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28.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drawings/drawing29.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drawings/drawing30.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namedSheetViews/namedSheetView1.xml" ContentType="application/vnd.ms-excel.namedsheetview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Override PartName="/xl/threadedComments/threadedComment12.xml" ContentType="application/vnd.ms-excel.threadedcomments+xml"/>
  <Override PartName="/xl/threadedComments/threadedComment13.xml" ContentType="application/vnd.ms-excel.threadedcomments+xml"/>
  <Override PartName="/xl/threadedComments/threadedComment14.xml" ContentType="application/vnd.ms-excel.threadedcomments+xml"/>
  <Override PartName="/xl/threadedComments/threadedComment15.xml" ContentType="application/vnd.ms-excel.threadedcomments+xml"/>
  <Override PartName="/xl/namedSheetViews/namedSheetView2.xml" ContentType="application/vnd.ms-excel.namedsheetviews+xml"/>
  <Override PartName="/xl/threadedComments/threadedComment16.xml" ContentType="application/vnd.ms-excel.threadedcomments+xml"/>
  <Override PartName="/xl/threadedComments/threadedComment17.xml" ContentType="application/vnd.ms-excel.threadedcomments+xml"/>
  <Override PartName="/xl/namedSheetViews/namedSheetView3.xml" ContentType="application/vnd.ms-excel.namedsheetviews+xml"/>
  <Override PartName="/xl/threadedComments/threadedComment18.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updateLinks="never"/>
  <mc:AlternateContent xmlns:mc="http://schemas.openxmlformats.org/markup-compatibility/2006">
    <mc:Choice Requires="x15">
      <x15ac:absPath xmlns:x15ac="http://schemas.microsoft.com/office/spreadsheetml/2010/11/ac" url="C:\Users\fbasilio\Desktop\Reforma N° 06-2023\12 Resolución N° 0530-2023-CU-SE-48_26102023\REFORMA N° 006 - 2023\"/>
    </mc:Choice>
  </mc:AlternateContent>
  <xr:revisionPtr revIDLastSave="0" documentId="13_ncr:1_{11AA6F01-F0E5-4997-838C-4F0AC50EA40C}" xr6:coauthVersionLast="36" xr6:coauthVersionMax="47" xr10:uidLastSave="{00000000-0000-0000-0000-000000000000}"/>
  <bookViews>
    <workbookView xWindow="0" yWindow="0" windowWidth="28800" windowHeight="12225" tabRatio="835" firstSheet="16" activeTab="20" xr2:uid="{00000000-000D-0000-FFFF-FFFF00000000}"/>
  </bookViews>
  <sheets>
    <sheet name="Resumen" sheetId="1" r:id="rId1"/>
    <sheet name="1. REC" sheetId="2" r:id="rId2"/>
    <sheet name="2. PG" sheetId="3" r:id="rId3"/>
    <sheet name="3. DCOM" sheetId="4" r:id="rId4"/>
    <sheet name="4. SG" sheetId="5" r:id="rId5"/>
    <sheet name="5. DPLAN" sheetId="6" r:id="rId6"/>
    <sheet name="6. DBUAC" sheetId="7" r:id="rId7"/>
    <sheet name="7. DAC" sheetId="8" r:id="rId8"/>
    <sheet name="8. VIVP" sheetId="9" r:id="rId9"/>
    <sheet name="9. DIDI" sheetId="10" r:id="rId10"/>
    <sheet name="10. DPOS" sheetId="11" r:id="rId11"/>
    <sheet name="11. DV" sheetId="12" r:id="rId12"/>
    <sheet name="12. VAC" sheetId="13" r:id="rId13"/>
    <sheet name="13. DA" sheetId="15" r:id="rId14"/>
    <sheet name="14. DFP" sheetId="14" r:id="rId15"/>
    <sheet name="15. DEC" sheetId="16" r:id="rId16"/>
    <sheet name="16. VAD" sheetId="17" r:id="rId17"/>
    <sheet name="17. DTIC" sheetId="33" r:id="rId18"/>
    <sheet name="18. DTH" sheetId="19" r:id="rId19"/>
    <sheet name="19. DFIN" sheetId="20" r:id="rId20"/>
    <sheet name="20. DADM" sheetId="21" r:id="rId21"/>
    <sheet name="21.1. FCA" sheetId="22" r:id="rId22"/>
    <sheet name="21.2. FCE" sheetId="23" r:id="rId23"/>
    <sheet name="21.3. FCQS" sheetId="34" r:id="rId24"/>
    <sheet name="21.4. FCS" sheetId="25" r:id="rId25"/>
    <sheet name="21.5. FIC" sheetId="26" r:id="rId26"/>
    <sheet name="Presupuesto solicitado" sheetId="28" r:id="rId27"/>
    <sheet name="R 01" sheetId="27" r:id="rId28"/>
    <sheet name="Solicitudes R1" sheetId="29" r:id="rId29"/>
    <sheet name="R 02" sheetId="31" r:id="rId30"/>
    <sheet name="Incr Red R2" sheetId="32" r:id="rId31"/>
    <sheet name="R 03" sheetId="36" r:id="rId32"/>
    <sheet name="Incr Red R3" sheetId="37" r:id="rId33"/>
    <sheet name="Solicitudes R3" sheetId="38" r:id="rId34"/>
    <sheet name="R 04" sheetId="39" r:id="rId35"/>
    <sheet name="Incr Red 004" sheetId="40" r:id="rId36"/>
    <sheet name="Solicitudes R4" sheetId="41" r:id="rId37"/>
    <sheet name="R 05" sheetId="42" r:id="rId38"/>
    <sheet name="Incr Red R5" sheetId="43" r:id="rId39"/>
    <sheet name="Solicitudes R5" sheetId="44" r:id="rId40"/>
    <sheet name="R 06" sheetId="46" r:id="rId41"/>
    <sheet name="Incr Red R6" sheetId="47" r:id="rId42"/>
    <sheet name="Solicitudes R6" sheetId="45" r:id="rId43"/>
  </sheets>
  <externalReferences>
    <externalReference r:id="rId44"/>
    <externalReference r:id="rId45"/>
    <externalReference r:id="rId46"/>
    <externalReference r:id="rId47"/>
    <externalReference r:id="rId48"/>
  </externalReferences>
  <definedNames>
    <definedName name="_Fill" localSheetId="17" hidden="1">'[1]Presupuesto 2017'!#REF!</definedName>
    <definedName name="_Fill" localSheetId="23" hidden="1">'[1]Presupuesto 2017'!#REF!</definedName>
    <definedName name="_Fill" localSheetId="35" hidden="1">'[1]Presupuesto 2017'!#REF!</definedName>
    <definedName name="_Fill" localSheetId="32" hidden="1">'[1]Presupuesto 2017'!#REF!</definedName>
    <definedName name="_Fill" localSheetId="38" hidden="1">'[1]Presupuesto 2017'!#REF!</definedName>
    <definedName name="_Fill" localSheetId="41" hidden="1">'[1]Presupuesto 2017'!#REF!</definedName>
    <definedName name="_Fill" localSheetId="27" hidden="1">'[1]Presupuesto 2017'!#REF!</definedName>
    <definedName name="_Fill" localSheetId="29" hidden="1">'[1]Presupuesto 2017'!#REF!</definedName>
    <definedName name="_Fill" localSheetId="31" hidden="1">'[1]Presupuesto 2017'!#REF!</definedName>
    <definedName name="_Fill" localSheetId="34" hidden="1">'[1]Presupuesto 2017'!#REF!</definedName>
    <definedName name="_Fill" localSheetId="37" hidden="1">'[1]Presupuesto 2017'!#REF!</definedName>
    <definedName name="_Fill" localSheetId="40" hidden="1">'[1]Presupuesto 2017'!#REF!</definedName>
    <definedName name="_Fill" hidden="1">'[1]Presupuesto 2017'!#REF!</definedName>
    <definedName name="_xlnm._FilterDatabase" localSheetId="1" hidden="1">'1. REC'!$S$8:$AG$8</definedName>
    <definedName name="_xlnm._FilterDatabase" localSheetId="10" hidden="1">'10. DPOS'!$A$8:$AH$8</definedName>
    <definedName name="_xlnm._FilterDatabase" localSheetId="11" hidden="1">'11. DV'!$A$8:$AH$8</definedName>
    <definedName name="_xlnm._FilterDatabase" localSheetId="12" hidden="1">'12. VAC'!$U$50:$Z$53</definedName>
    <definedName name="_xlnm._FilterDatabase" localSheetId="15" hidden="1">'15. DEC'!$A$8:$AG$8</definedName>
    <definedName name="_xlnm._FilterDatabase" localSheetId="17" hidden="1">'17. DTIC'!$A$8:$AI$8</definedName>
    <definedName name="_xlnm._FilterDatabase" localSheetId="18" hidden="1">'18. DTH'!$A$8:$AI$8</definedName>
    <definedName name="_xlnm._FilterDatabase" localSheetId="19" hidden="1">'19. DFIN'!$A$8:$AH$8</definedName>
    <definedName name="_xlnm._FilterDatabase" localSheetId="2" hidden="1">'2. PG'!$U$91:$Z$93</definedName>
    <definedName name="_xlnm._FilterDatabase" localSheetId="20" hidden="1">'20. DADM'!$A$8:$AL$8</definedName>
    <definedName name="_xlnm._FilterDatabase" localSheetId="21" hidden="1">'21.1. FCA'!$A$8:$AG$698</definedName>
    <definedName name="_xlnm._FilterDatabase" localSheetId="22" hidden="1">'21.2. FCE'!$A$8:$DC$713</definedName>
    <definedName name="_xlnm._FilterDatabase" localSheetId="23" hidden="1">'21.3. FCQS'!$A$8:$AG$8</definedName>
    <definedName name="_xlnm._FilterDatabase" localSheetId="24" hidden="1">'21.4. FCS'!$A$8:$AG$8</definedName>
    <definedName name="_xlnm._FilterDatabase" localSheetId="25" hidden="1">'21.5. FIC'!$A$8:$AG$8</definedName>
    <definedName name="_xlnm._FilterDatabase" localSheetId="3" hidden="1">'3. DCOM'!$U$60:$Z$69</definedName>
    <definedName name="_xlnm._FilterDatabase" localSheetId="4" hidden="1">'4. SG'!$U$118:$Z$125</definedName>
    <definedName name="_xlnm._FilterDatabase" localSheetId="5" hidden="1">'5. DPLAN'!$U$128:$Z$129</definedName>
    <definedName name="_xlnm._FilterDatabase" localSheetId="6" hidden="1">'6. DBUAC'!$A$8:$AH$253</definedName>
    <definedName name="_xlnm._FilterDatabase" localSheetId="7" hidden="1">'7. DAC'!$U$147:$Z$153</definedName>
    <definedName name="_xlnm._FilterDatabase" localSheetId="8" hidden="1">'8. VIVP'!$A$8:$AI$168</definedName>
    <definedName name="_xlnm._FilterDatabase" localSheetId="9" hidden="1">'9. DIDI'!$A$8:$AI$8</definedName>
    <definedName name="_xlnm._FilterDatabase" localSheetId="35" hidden="1">'Incr Red 004'!$A$13:$D$44</definedName>
    <definedName name="_xlnm._FilterDatabase" localSheetId="32" hidden="1">'Incr Red R3'!$A$5:$E$65</definedName>
    <definedName name="_xlnm._FilterDatabase" localSheetId="38" hidden="1">'Incr Red R5'!$B$84:$E$90</definedName>
    <definedName name="_xlnm._FilterDatabase" localSheetId="41" hidden="1">'Incr Red R6'!$B$131:$E$145</definedName>
    <definedName name="_xlnm._FilterDatabase" localSheetId="27" hidden="1">'R 01'!$A$17:$N$125</definedName>
    <definedName name="_xlnm._FilterDatabase" localSheetId="29" hidden="1">'R 02'!$A$18:$N$127</definedName>
    <definedName name="_xlnm._FilterDatabase" localSheetId="31" hidden="1">'R 03'!$A$24:$N$131</definedName>
    <definedName name="_xlnm._FilterDatabase" localSheetId="34" hidden="1">'R 04'!$B$262:$M$302</definedName>
    <definedName name="_xlnm._FilterDatabase" localSheetId="37" hidden="1">'R 05'!$B$269:$M$309</definedName>
    <definedName name="_xlnm._FilterDatabase" localSheetId="40" hidden="1">'R 06'!$B$281:$M$321</definedName>
    <definedName name="_xlnm._FilterDatabase" localSheetId="0" hidden="1">Resumen!$B$12:$H$370</definedName>
    <definedName name="_xlnm._FilterDatabase" localSheetId="33" hidden="1">'Solicitudes R3'!$A$13:$K$80</definedName>
    <definedName name="_xlnm._FilterDatabase" localSheetId="36" hidden="1">'Solicitudes R4'!$A$13:$H$58</definedName>
    <definedName name="_xlnm._FilterDatabase" localSheetId="39" hidden="1">'Solicitudes R5'!$A$12:$I$33</definedName>
    <definedName name="_xlnm._FilterDatabase" localSheetId="42" hidden="1">'Solicitudes R6'!$A$12:$I$48</definedName>
    <definedName name="_Key1" localSheetId="17" hidden="1">'[1]Presupuesto 2017'!#REF!</definedName>
    <definedName name="_Key1" localSheetId="23" hidden="1">'[1]Presupuesto 2017'!#REF!</definedName>
    <definedName name="_Key1" localSheetId="35" hidden="1">'[1]Presupuesto 2017'!#REF!</definedName>
    <definedName name="_Key1" localSheetId="30" hidden="1">'[1]Presupuesto 2017'!#REF!</definedName>
    <definedName name="_Key1" localSheetId="32" hidden="1">'[1]Presupuesto 2017'!#REF!</definedName>
    <definedName name="_Key1" localSheetId="38" hidden="1">'[1]Presupuesto 2017'!#REF!</definedName>
    <definedName name="_Key1" localSheetId="41" hidden="1">'[1]Presupuesto 2017'!#REF!</definedName>
    <definedName name="_Key1" localSheetId="27" hidden="1">'[1]Presupuesto 2017'!#REF!</definedName>
    <definedName name="_Key1" localSheetId="29" hidden="1">'[1]Presupuesto 2017'!#REF!</definedName>
    <definedName name="_Key1" localSheetId="31" hidden="1">'[1]Presupuesto 2017'!#REF!</definedName>
    <definedName name="_Key1" localSheetId="34" hidden="1">'[1]Presupuesto 2017'!#REF!</definedName>
    <definedName name="_Key1" localSheetId="37" hidden="1">'[1]Presupuesto 2017'!#REF!</definedName>
    <definedName name="_Key1" localSheetId="40" hidden="1">'[1]Presupuesto 2017'!#REF!</definedName>
    <definedName name="_Key1" hidden="1">'[1]Presupuesto 2017'!#REF!</definedName>
    <definedName name="_Key22" localSheetId="23" hidden="1">'[1]Presupuesto 2017'!#REF!</definedName>
    <definedName name="_Key22" localSheetId="35" hidden="1">'[1]Presupuesto 2017'!#REF!</definedName>
    <definedName name="_Key22" localSheetId="38" hidden="1">'[1]Presupuesto 2017'!#REF!</definedName>
    <definedName name="_Key22" localSheetId="41" hidden="1">'[1]Presupuesto 2017'!#REF!</definedName>
    <definedName name="_Key22" localSheetId="34" hidden="1">'[1]Presupuesto 2017'!#REF!</definedName>
    <definedName name="_Key22" localSheetId="37" hidden="1">'[1]Presupuesto 2017'!#REF!</definedName>
    <definedName name="_Key22" localSheetId="40" hidden="1">'[1]Presupuesto 2017'!#REF!</definedName>
    <definedName name="_Key22" hidden="1">'[1]Presupuesto 2017'!#REF!</definedName>
    <definedName name="_Order1" hidden="1">0</definedName>
    <definedName name="_Order2" hidden="1">0</definedName>
    <definedName name="_Sort" localSheetId="17" hidden="1">'[1]Presupuesto 2017'!#REF!</definedName>
    <definedName name="_Sort" localSheetId="23" hidden="1">'[1]Presupuesto 2017'!#REF!</definedName>
    <definedName name="_Sort" localSheetId="35" hidden="1">'[1]Presupuesto 2017'!#REF!</definedName>
    <definedName name="_Sort" localSheetId="30" hidden="1">'[1]Presupuesto 2017'!#REF!</definedName>
    <definedName name="_Sort" localSheetId="32" hidden="1">'[1]Presupuesto 2017'!#REF!</definedName>
    <definedName name="_Sort" localSheetId="38" hidden="1">'[1]Presupuesto 2017'!#REF!</definedName>
    <definedName name="_Sort" localSheetId="41" hidden="1">'[1]Presupuesto 2017'!#REF!</definedName>
    <definedName name="_Sort" localSheetId="27" hidden="1">'[1]Presupuesto 2017'!#REF!</definedName>
    <definedName name="_Sort" localSheetId="29" hidden="1">'[1]Presupuesto 2017'!#REF!</definedName>
    <definedName name="_Sort" localSheetId="31" hidden="1">'[1]Presupuesto 2017'!#REF!</definedName>
    <definedName name="_Sort" localSheetId="34" hidden="1">'[1]Presupuesto 2017'!#REF!</definedName>
    <definedName name="_Sort" localSheetId="37" hidden="1">'[1]Presupuesto 2017'!#REF!</definedName>
    <definedName name="_Sort" localSheetId="40" hidden="1">'[1]Presupuesto 2017'!#REF!</definedName>
    <definedName name="_Sort" hidden="1">'[1]Presupuesto 2017'!#REF!</definedName>
    <definedName name="_Sort2" localSheetId="23" hidden="1">'[1]Presupuesto 2017'!#REF!</definedName>
    <definedName name="_Sort2" localSheetId="35" hidden="1">'[1]Presupuesto 2017'!#REF!</definedName>
    <definedName name="_Sort2" localSheetId="38" hidden="1">'[1]Presupuesto 2017'!#REF!</definedName>
    <definedName name="_Sort2" localSheetId="41" hidden="1">'[1]Presupuesto 2017'!#REF!</definedName>
    <definedName name="_Sort2" localSheetId="34" hidden="1">'[1]Presupuesto 2017'!#REF!</definedName>
    <definedName name="_Sort2" localSheetId="37" hidden="1">'[1]Presupuesto 2017'!#REF!</definedName>
    <definedName name="_Sort2" localSheetId="40" hidden="1">'[1]Presupuesto 2017'!#REF!</definedName>
    <definedName name="_Sort2" hidden="1">'[1]Presupuesto 2017'!#REF!</definedName>
    <definedName name="AA230aa244" localSheetId="23">'21.3. FCQS'!$AA$209:$AA$209</definedName>
    <definedName name="AA230aa244" localSheetId="35">#REF!</definedName>
    <definedName name="AA230aa244" localSheetId="38">#REF!</definedName>
    <definedName name="AA230aa244" localSheetId="41">#REF!</definedName>
    <definedName name="AA230aa244" localSheetId="34">#REF!</definedName>
    <definedName name="AA230aa244" localSheetId="37">#REF!</definedName>
    <definedName name="AA230aa244" localSheetId="40">#REF!</definedName>
    <definedName name="AA230aa244">#REF!</definedName>
    <definedName name="_xlnm.Print_Area" localSheetId="35">'Incr Red 004'!$B$1:$C$96</definedName>
    <definedName name="_xlnm.Print_Area" localSheetId="30">'Incr Red R2'!$A$1:$C$31</definedName>
    <definedName name="_xlnm.Print_Area" localSheetId="32">'Incr Red R3'!$B$1:$E$160</definedName>
    <definedName name="_xlnm.Print_Area" localSheetId="38">'Incr Red R5'!$B$1:$E$96</definedName>
    <definedName name="_xlnm.Print_Area" localSheetId="41">'Incr Red R6'!#REF!</definedName>
    <definedName name="_xlnm.Print_Area" localSheetId="27">'R 01'!$B$1:$H$328</definedName>
    <definedName name="_xlnm.Print_Area" localSheetId="29">'R 02'!$B$1:$H$332</definedName>
    <definedName name="_xlnm.Print_Area" localSheetId="31">'R 03'!$B$1:$H$287</definedName>
    <definedName name="_xlnm.Print_Area" localSheetId="34">'R 04'!$B$1:$H$308</definedName>
    <definedName name="_xlnm.Print_Area" localSheetId="37">'R 05'!$B$1:$H$315</definedName>
    <definedName name="_xlnm.Print_Area" localSheetId="40">'R 06'!$H$331:$M$346</definedName>
    <definedName name="AY743A559" localSheetId="35">'[2]21.3. FCQS'!#REF!</definedName>
    <definedName name="AY743A559" localSheetId="38">'[2]21.3. FCQS'!#REF!</definedName>
    <definedName name="AY743A559" localSheetId="41">'[2]21.3. FCQS'!#REF!</definedName>
    <definedName name="AY743A559" localSheetId="34">'[2]21.3. FCQS'!#REF!</definedName>
    <definedName name="AY743A559" localSheetId="37">'[2]21.3. FCQS'!#REF!</definedName>
    <definedName name="AY743A559" localSheetId="40">'[2]21.3. FCQS'!#REF!</definedName>
    <definedName name="AY743A559">'21.3. FCQS'!#REF!</definedName>
    <definedName name="_xlnm.Print_Titles" localSheetId="1">'1. REC'!$A:$B,'1. REC'!$6:$8</definedName>
    <definedName name="_xlnm.Print_Titles" localSheetId="10">'10. DPOS'!$A:$B,'10. DPOS'!$6:$8</definedName>
    <definedName name="_xlnm.Print_Titles" localSheetId="11">'11. DV'!$A:$B,'11. DV'!$6:$8</definedName>
    <definedName name="_xlnm.Print_Titles" localSheetId="12">'12. VAC'!$A:$B,'12. VAC'!$7:$9</definedName>
    <definedName name="_xlnm.Print_Titles" localSheetId="13">'13. DA'!$A:$B,'13. DA'!$6:$8</definedName>
    <definedName name="_xlnm.Print_Titles" localSheetId="14">'14. DFP'!$A:$B,'14. DFP'!$6:$8</definedName>
    <definedName name="_xlnm.Print_Titles" localSheetId="15">'15. DEC'!$A:$A,'15. DEC'!$6:$8</definedName>
    <definedName name="_xlnm.Print_Titles" localSheetId="16">'16. VAD'!$A:$B,'16. VAD'!$6:$8</definedName>
    <definedName name="_xlnm.Print_Titles" localSheetId="17">'17. DTIC'!$A:$B,'17. DTIC'!$6:$8</definedName>
    <definedName name="_xlnm.Print_Titles" localSheetId="18">'18. DTH'!$A:$B,'18. DTH'!$6:$8</definedName>
    <definedName name="_xlnm.Print_Titles" localSheetId="19">'19. DFIN'!$A:$B,'19. DFIN'!$6:$8</definedName>
    <definedName name="_xlnm.Print_Titles" localSheetId="2">'2. PG'!$A:$B,'2. PG'!$6:$8</definedName>
    <definedName name="_xlnm.Print_Titles" localSheetId="20">'20. DADM'!$A:$B,'20. DADM'!$6:$8</definedName>
    <definedName name="_xlnm.Print_Titles" localSheetId="21">'21.1. FCA'!$A:$A,'21.1. FCA'!$6:$8</definedName>
    <definedName name="_xlnm.Print_Titles" localSheetId="22">'21.2. FCE'!$A:$A,'21.2. FCE'!$6:$8</definedName>
    <definedName name="_xlnm.Print_Titles" localSheetId="23">'21.3. FCQS'!$A:$A,'21.3. FCQS'!$6:$8</definedName>
    <definedName name="_xlnm.Print_Titles" localSheetId="24">'21.4. FCS'!$A:$A,'21.4. FCS'!$6:$8</definedName>
    <definedName name="_xlnm.Print_Titles" localSheetId="25">'21.5. FIC'!$A:$A,'21.5. FIC'!$6:$8</definedName>
    <definedName name="_xlnm.Print_Titles" localSheetId="3">'3. DCOM'!$A:$B,'3. DCOM'!$6:$8</definedName>
    <definedName name="_xlnm.Print_Titles" localSheetId="4">'4. SG'!$A:$B,'4. SG'!$6:$8</definedName>
    <definedName name="_xlnm.Print_Titles" localSheetId="5">'5. DPLAN'!$A:$B,'5. DPLAN'!$6:$8</definedName>
    <definedName name="_xlnm.Print_Titles" localSheetId="6">'6. DBUAC'!$A:$B,'6. DBUAC'!$6:$8</definedName>
    <definedName name="_xlnm.Print_Titles" localSheetId="7">'7. DAC'!$A:$B,'7. DAC'!$6:$8</definedName>
    <definedName name="_xlnm.Print_Titles" localSheetId="8">'8. VIVP'!$A:$B,'8. VIVP'!$6:$8</definedName>
    <definedName name="_xlnm.Print_Titles" localSheetId="9">'9. DIDI'!$A:$B,'9. DIDI'!$6:$8</definedName>
    <definedName name="_xlnm.Print_Titles" localSheetId="0">Resumen!$12:$12</definedName>
    <definedName name="_xlnm.Print_Titles" localSheetId="33">'Solicitudes R3'!$12:$13</definedName>
    <definedName name="_xlnm.Print_Titles" localSheetId="36">'Solicitudes R4'!$12:$12</definedName>
    <definedName name="_xlnm.Print_Titles" localSheetId="39">'Solicitudes R5'!$12:$12</definedName>
    <definedName name="_xlnm.Print_Titles" localSheetId="42">'Solicitudes R6'!$12:$12</definedName>
    <definedName name="Z436ab288">'20. DADM'!$Z$436:$Z$436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52" i="22" l="1"/>
  <c r="AA50" i="22"/>
  <c r="AA47" i="22"/>
  <c r="D144" i="47"/>
  <c r="E140" i="47"/>
  <c r="E144" i="47" s="1"/>
  <c r="D128" i="47"/>
  <c r="E113" i="47"/>
  <c r="E105" i="47"/>
  <c r="E128" i="47" s="1"/>
  <c r="D94" i="47"/>
  <c r="D95" i="47" s="1"/>
  <c r="E92" i="47"/>
  <c r="E87" i="47"/>
  <c r="E79" i="47"/>
  <c r="E75" i="47"/>
  <c r="E95" i="47" s="1"/>
  <c r="D64" i="47"/>
  <c r="E62" i="47"/>
  <c r="D57" i="47"/>
  <c r="D55" i="47"/>
  <c r="D50" i="47"/>
  <c r="E47" i="47"/>
  <c r="E42" i="47"/>
  <c r="E38" i="47"/>
  <c r="E37" i="47"/>
  <c r="E28" i="47"/>
  <c r="E68" i="47" s="1"/>
  <c r="E145" i="47" s="1"/>
  <c r="D10" i="47"/>
  <c r="E377" i="46"/>
  <c r="D377" i="46"/>
  <c r="E376" i="46"/>
  <c r="D376" i="46"/>
  <c r="F376" i="46" s="1"/>
  <c r="E375" i="46"/>
  <c r="D375" i="46"/>
  <c r="F375" i="46" s="1"/>
  <c r="E369" i="46"/>
  <c r="D369" i="46"/>
  <c r="E364" i="46"/>
  <c r="E363" i="46"/>
  <c r="D363" i="46"/>
  <c r="E361" i="46"/>
  <c r="D361" i="46"/>
  <c r="E353" i="46"/>
  <c r="E352" i="46"/>
  <c r="D352" i="46"/>
  <c r="F352" i="46" s="1"/>
  <c r="D351" i="46"/>
  <c r="E346" i="46"/>
  <c r="D346" i="46"/>
  <c r="E344" i="46"/>
  <c r="D344" i="46"/>
  <c r="F344" i="46" s="1"/>
  <c r="M343" i="46"/>
  <c r="J343" i="46"/>
  <c r="I343" i="46"/>
  <c r="E343" i="46"/>
  <c r="D343" i="46"/>
  <c r="M342" i="46"/>
  <c r="J342" i="46"/>
  <c r="I342" i="46"/>
  <c r="D342" i="46"/>
  <c r="M341" i="46"/>
  <c r="J341" i="46"/>
  <c r="I341" i="46"/>
  <c r="L340" i="46"/>
  <c r="L344" i="46" s="1"/>
  <c r="J340" i="46"/>
  <c r="I340" i="46"/>
  <c r="M338" i="46"/>
  <c r="J338" i="46"/>
  <c r="I338" i="46"/>
  <c r="M337" i="46"/>
  <c r="J337" i="46"/>
  <c r="I337" i="46"/>
  <c r="D337" i="46"/>
  <c r="J336" i="46"/>
  <c r="I336" i="46"/>
  <c r="M335" i="46"/>
  <c r="J335" i="46"/>
  <c r="I335" i="46"/>
  <c r="J334" i="46"/>
  <c r="I334" i="46"/>
  <c r="M320" i="46"/>
  <c r="E320" i="46"/>
  <c r="D320" i="46"/>
  <c r="G319" i="46"/>
  <c r="K319" i="46" s="1"/>
  <c r="H319" i="46" s="1"/>
  <c r="G318" i="46"/>
  <c r="K318" i="46" s="1"/>
  <c r="H318" i="46" s="1"/>
  <c r="G317" i="46"/>
  <c r="K317" i="46" s="1"/>
  <c r="H317" i="46" s="1"/>
  <c r="G316" i="46"/>
  <c r="I316" i="46" s="1"/>
  <c r="H316" i="46" s="1"/>
  <c r="F315" i="46"/>
  <c r="G314" i="46"/>
  <c r="J314" i="46" s="1"/>
  <c r="H314" i="46" s="1"/>
  <c r="G313" i="46"/>
  <c r="L313" i="46" s="1"/>
  <c r="G312" i="46"/>
  <c r="K312" i="46" s="1"/>
  <c r="H312" i="46" s="1"/>
  <c r="G311" i="46"/>
  <c r="K311" i="46" s="1"/>
  <c r="G310" i="46"/>
  <c r="J310" i="46" s="1"/>
  <c r="H310" i="46" s="1"/>
  <c r="G309" i="46"/>
  <c r="I309" i="46" s="1"/>
  <c r="H309" i="46" s="1"/>
  <c r="G308" i="46"/>
  <c r="J308" i="46" s="1"/>
  <c r="H308" i="46" s="1"/>
  <c r="G307" i="46"/>
  <c r="J307" i="46" s="1"/>
  <c r="H307" i="46" s="1"/>
  <c r="G306" i="46"/>
  <c r="J306" i="46" s="1"/>
  <c r="H306" i="46" s="1"/>
  <c r="G305" i="46"/>
  <c r="J305" i="46" s="1"/>
  <c r="H305" i="46" s="1"/>
  <c r="G304" i="46"/>
  <c r="J304" i="46" s="1"/>
  <c r="H304" i="46" s="1"/>
  <c r="G303" i="46"/>
  <c r="J303" i="46" s="1"/>
  <c r="H303" i="46" s="1"/>
  <c r="G302" i="46"/>
  <c r="J302" i="46" s="1"/>
  <c r="H302" i="46" s="1"/>
  <c r="G301" i="46"/>
  <c r="J301" i="46" s="1"/>
  <c r="H301" i="46" s="1"/>
  <c r="G300" i="46"/>
  <c r="J300" i="46" s="1"/>
  <c r="H300" i="46" s="1"/>
  <c r="G299" i="46"/>
  <c r="J299" i="46" s="1"/>
  <c r="H299" i="46" s="1"/>
  <c r="G298" i="46"/>
  <c r="J298" i="46" s="1"/>
  <c r="H298" i="46" s="1"/>
  <c r="G297" i="46"/>
  <c r="J297" i="46" s="1"/>
  <c r="H297" i="46" s="1"/>
  <c r="G296" i="46"/>
  <c r="J296" i="46" s="1"/>
  <c r="H296" i="46" s="1"/>
  <c r="G295" i="46"/>
  <c r="I295" i="46" s="1"/>
  <c r="G294" i="46"/>
  <c r="J294" i="46" s="1"/>
  <c r="H294" i="46" s="1"/>
  <c r="G293" i="46"/>
  <c r="J293" i="46" s="1"/>
  <c r="H293" i="46" s="1"/>
  <c r="G292" i="46"/>
  <c r="J292" i="46" s="1"/>
  <c r="H292" i="46" s="1"/>
  <c r="G291" i="46"/>
  <c r="J291" i="46" s="1"/>
  <c r="H291" i="46" s="1"/>
  <c r="G290" i="46"/>
  <c r="J290" i="46" s="1"/>
  <c r="H290" i="46" s="1"/>
  <c r="G289" i="46"/>
  <c r="J289" i="46" s="1"/>
  <c r="H289" i="46" s="1"/>
  <c r="G288" i="46"/>
  <c r="J288" i="46" s="1"/>
  <c r="H288" i="46" s="1"/>
  <c r="G287" i="46"/>
  <c r="J287" i="46" s="1"/>
  <c r="H287" i="46" s="1"/>
  <c r="G286" i="46"/>
  <c r="J286" i="46" s="1"/>
  <c r="H286" i="46" s="1"/>
  <c r="G285" i="46"/>
  <c r="J285" i="46" s="1"/>
  <c r="H285" i="46" s="1"/>
  <c r="G284" i="46"/>
  <c r="G283" i="46"/>
  <c r="J283" i="46" s="1"/>
  <c r="H283" i="46" s="1"/>
  <c r="D278" i="46"/>
  <c r="G277" i="46"/>
  <c r="K277" i="46" s="1"/>
  <c r="H277" i="46" s="1"/>
  <c r="G276" i="46"/>
  <c r="J276" i="46" s="1"/>
  <c r="H276" i="46" s="1"/>
  <c r="G275" i="46"/>
  <c r="M275" i="46" s="1"/>
  <c r="H275" i="46" s="1"/>
  <c r="G274" i="46"/>
  <c r="L274" i="46" s="1"/>
  <c r="H274" i="46" s="1"/>
  <c r="F273" i="46"/>
  <c r="E273" i="46"/>
  <c r="D362" i="46" s="1"/>
  <c r="G272" i="46"/>
  <c r="J272" i="46" s="1"/>
  <c r="H272" i="46" s="1"/>
  <c r="G271" i="46"/>
  <c r="I271" i="46" s="1"/>
  <c r="H271" i="46" s="1"/>
  <c r="G270" i="46"/>
  <c r="I270" i="46" s="1"/>
  <c r="H270" i="46" s="1"/>
  <c r="G269" i="46"/>
  <c r="M269" i="46" s="1"/>
  <c r="H269" i="46" s="1"/>
  <c r="G268" i="46"/>
  <c r="L268" i="46" s="1"/>
  <c r="H268" i="46" s="1"/>
  <c r="F267" i="46"/>
  <c r="G267" i="46" s="1"/>
  <c r="K267" i="46" s="1"/>
  <c r="H267" i="46" s="1"/>
  <c r="G266" i="46"/>
  <c r="J266" i="46" s="1"/>
  <c r="H266" i="46" s="1"/>
  <c r="G265" i="46"/>
  <c r="I265" i="46" s="1"/>
  <c r="H265" i="46" s="1"/>
  <c r="F264" i="46"/>
  <c r="E345" i="46" s="1"/>
  <c r="E264" i="46"/>
  <c r="G263" i="46"/>
  <c r="I263" i="46" s="1"/>
  <c r="H263" i="46" s="1"/>
  <c r="G262" i="46"/>
  <c r="K262" i="46" s="1"/>
  <c r="H262" i="46" s="1"/>
  <c r="G261" i="46"/>
  <c r="J261" i="46" s="1"/>
  <c r="H261" i="46" s="1"/>
  <c r="G260" i="46"/>
  <c r="I260" i="46" s="1"/>
  <c r="H260" i="46" s="1"/>
  <c r="G259" i="46"/>
  <c r="I259" i="46" s="1"/>
  <c r="H259" i="46" s="1"/>
  <c r="G258" i="46"/>
  <c r="K258" i="46" s="1"/>
  <c r="H258" i="46" s="1"/>
  <c r="G257" i="46"/>
  <c r="L257" i="46" s="1"/>
  <c r="H257" i="46" s="1"/>
  <c r="G256" i="46"/>
  <c r="M256" i="46" s="1"/>
  <c r="H256" i="46" s="1"/>
  <c r="G255" i="46"/>
  <c r="L255" i="46" s="1"/>
  <c r="G254" i="46"/>
  <c r="I254" i="46" s="1"/>
  <c r="H254" i="46" s="1"/>
  <c r="G253" i="46"/>
  <c r="I253" i="46" s="1"/>
  <c r="H253" i="46" s="1"/>
  <c r="G252" i="46"/>
  <c r="J252" i="46" s="1"/>
  <c r="H252" i="46" s="1"/>
  <c r="G251" i="46"/>
  <c r="J251" i="46" s="1"/>
  <c r="H251" i="46" s="1"/>
  <c r="G250" i="46"/>
  <c r="J250" i="46" s="1"/>
  <c r="H250" i="46" s="1"/>
  <c r="G249" i="46"/>
  <c r="I249" i="46" s="1"/>
  <c r="H249" i="46" s="1"/>
  <c r="G248" i="46"/>
  <c r="J248" i="46" s="1"/>
  <c r="H248" i="46" s="1"/>
  <c r="G247" i="46"/>
  <c r="J247" i="46" s="1"/>
  <c r="H247" i="46" s="1"/>
  <c r="G246" i="46"/>
  <c r="J246" i="46" s="1"/>
  <c r="H246" i="46" s="1"/>
  <c r="F245" i="46"/>
  <c r="G244" i="46"/>
  <c r="K244" i="46" s="1"/>
  <c r="H244" i="46" s="1"/>
  <c r="G243" i="46"/>
  <c r="J243" i="46" s="1"/>
  <c r="H243" i="46" s="1"/>
  <c r="G242" i="46"/>
  <c r="K242" i="46" s="1"/>
  <c r="H242" i="46" s="1"/>
  <c r="G241" i="46"/>
  <c r="K241" i="46" s="1"/>
  <c r="H241" i="46" s="1"/>
  <c r="G240" i="46"/>
  <c r="K240" i="46" s="1"/>
  <c r="H240" i="46" s="1"/>
  <c r="G239" i="46"/>
  <c r="I239" i="46" s="1"/>
  <c r="H239" i="46" s="1"/>
  <c r="G238" i="46"/>
  <c r="I238" i="46" s="1"/>
  <c r="H238" i="46" s="1"/>
  <c r="G237" i="46"/>
  <c r="I237" i="46" s="1"/>
  <c r="H237" i="46" s="1"/>
  <c r="F236" i="46"/>
  <c r="G236" i="46" s="1"/>
  <c r="J236" i="46" s="1"/>
  <c r="H236" i="46" s="1"/>
  <c r="G235" i="46"/>
  <c r="I235" i="46" s="1"/>
  <c r="H235" i="46" s="1"/>
  <c r="G234" i="46"/>
  <c r="J234" i="46" s="1"/>
  <c r="H234" i="46" s="1"/>
  <c r="G233" i="46"/>
  <c r="I233" i="46" s="1"/>
  <c r="H233" i="46" s="1"/>
  <c r="G232" i="46"/>
  <c r="I232" i="46" s="1"/>
  <c r="H232" i="46" s="1"/>
  <c r="G231" i="46"/>
  <c r="J231" i="46" s="1"/>
  <c r="H231" i="46" s="1"/>
  <c r="G230" i="46"/>
  <c r="I230" i="46" s="1"/>
  <c r="H230" i="46" s="1"/>
  <c r="F229" i="46"/>
  <c r="G229" i="46" s="1"/>
  <c r="K229" i="46" s="1"/>
  <c r="H229" i="46" s="1"/>
  <c r="G228" i="46"/>
  <c r="K228" i="46" s="1"/>
  <c r="H228" i="46" s="1"/>
  <c r="G227" i="46"/>
  <c r="J227" i="46" s="1"/>
  <c r="H227" i="46" s="1"/>
  <c r="G226" i="46"/>
  <c r="I226" i="46" s="1"/>
  <c r="H226" i="46" s="1"/>
  <c r="G225" i="46"/>
  <c r="K225" i="46" s="1"/>
  <c r="H225" i="46" s="1"/>
  <c r="G224" i="46"/>
  <c r="I224" i="46" s="1"/>
  <c r="H224" i="46" s="1"/>
  <c r="G223" i="46"/>
  <c r="I223" i="46" s="1"/>
  <c r="H223" i="46" s="1"/>
  <c r="G222" i="46"/>
  <c r="K222" i="46" s="1"/>
  <c r="H222" i="46" s="1"/>
  <c r="G221" i="46"/>
  <c r="I221" i="46" s="1"/>
  <c r="H221" i="46" s="1"/>
  <c r="G220" i="46"/>
  <c r="K220" i="46" s="1"/>
  <c r="G219" i="46"/>
  <c r="J219" i="46" s="1"/>
  <c r="H219" i="46" s="1"/>
  <c r="G218" i="46"/>
  <c r="M218" i="46" s="1"/>
  <c r="H218" i="46" s="1"/>
  <c r="G217" i="46"/>
  <c r="I217" i="46" s="1"/>
  <c r="H217" i="46" s="1"/>
  <c r="G216" i="46"/>
  <c r="J216" i="46" s="1"/>
  <c r="G215" i="46"/>
  <c r="I215" i="46" s="1"/>
  <c r="H215" i="46" s="1"/>
  <c r="G214" i="46"/>
  <c r="D209" i="46"/>
  <c r="E208" i="46"/>
  <c r="G207" i="46"/>
  <c r="I207" i="46" s="1"/>
  <c r="H207" i="46" s="1"/>
  <c r="F206" i="46"/>
  <c r="G206" i="46" s="1"/>
  <c r="K206" i="46" s="1"/>
  <c r="H206" i="46" s="1"/>
  <c r="G205" i="46"/>
  <c r="M205" i="46" s="1"/>
  <c r="H205" i="46" s="1"/>
  <c r="G204" i="46"/>
  <c r="L204" i="46" s="1"/>
  <c r="H204" i="46" s="1"/>
  <c r="G203" i="46"/>
  <c r="I203" i="46" s="1"/>
  <c r="H203" i="46" s="1"/>
  <c r="G202" i="46"/>
  <c r="K202" i="46" s="1"/>
  <c r="H202" i="46" s="1"/>
  <c r="G201" i="46"/>
  <c r="I201" i="46" s="1"/>
  <c r="H201" i="46" s="1"/>
  <c r="G200" i="46"/>
  <c r="K200" i="46" s="1"/>
  <c r="H200" i="46" s="1"/>
  <c r="G199" i="46"/>
  <c r="I199" i="46" s="1"/>
  <c r="H199" i="46" s="1"/>
  <c r="G198" i="46"/>
  <c r="I198" i="46" s="1"/>
  <c r="H198" i="46" s="1"/>
  <c r="G197" i="46"/>
  <c r="L197" i="46" s="1"/>
  <c r="H197" i="46" s="1"/>
  <c r="G196" i="46"/>
  <c r="L196" i="46" s="1"/>
  <c r="H196" i="46" s="1"/>
  <c r="G195" i="46"/>
  <c r="M195" i="46" s="1"/>
  <c r="F194" i="46"/>
  <c r="G193" i="46"/>
  <c r="L193" i="46" s="1"/>
  <c r="H193" i="46" s="1"/>
  <c r="G192" i="46"/>
  <c r="I192" i="46" s="1"/>
  <c r="H192" i="46" s="1"/>
  <c r="G191" i="46"/>
  <c r="I191" i="46" s="1"/>
  <c r="H191" i="46" s="1"/>
  <c r="G190" i="46"/>
  <c r="I190" i="46" s="1"/>
  <c r="H190" i="46" s="1"/>
  <c r="G189" i="46"/>
  <c r="I189" i="46" s="1"/>
  <c r="H189" i="46" s="1"/>
  <c r="G188" i="46"/>
  <c r="I188" i="46" s="1"/>
  <c r="H188" i="46" s="1"/>
  <c r="G187" i="46"/>
  <c r="I187" i="46" s="1"/>
  <c r="H187" i="46" s="1"/>
  <c r="G186" i="46"/>
  <c r="I186" i="46" s="1"/>
  <c r="H186" i="46" s="1"/>
  <c r="G185" i="46"/>
  <c r="K185" i="46" s="1"/>
  <c r="H185" i="46" s="1"/>
  <c r="G184" i="46"/>
  <c r="J184" i="46" s="1"/>
  <c r="H184" i="46" s="1"/>
  <c r="G183" i="46"/>
  <c r="I183" i="46" s="1"/>
  <c r="H183" i="46" s="1"/>
  <c r="G182" i="46"/>
  <c r="I182" i="46" s="1"/>
  <c r="H182" i="46" s="1"/>
  <c r="G181" i="46"/>
  <c r="I181" i="46" s="1"/>
  <c r="H181" i="46" s="1"/>
  <c r="G180" i="46"/>
  <c r="I180" i="46" s="1"/>
  <c r="H180" i="46" s="1"/>
  <c r="G179" i="46"/>
  <c r="I179" i="46" s="1"/>
  <c r="H179" i="46" s="1"/>
  <c r="G178" i="46"/>
  <c r="I178" i="46" s="1"/>
  <c r="H178" i="46" s="1"/>
  <c r="G177" i="46"/>
  <c r="I177" i="46" s="1"/>
  <c r="H177" i="46" s="1"/>
  <c r="G176" i="46"/>
  <c r="K176" i="46" s="1"/>
  <c r="H176" i="46" s="1"/>
  <c r="G175" i="46"/>
  <c r="I175" i="46" s="1"/>
  <c r="H175" i="46" s="1"/>
  <c r="G174" i="46"/>
  <c r="I174" i="46" s="1"/>
  <c r="H174" i="46" s="1"/>
  <c r="G173" i="46"/>
  <c r="K173" i="46" s="1"/>
  <c r="H173" i="46" s="1"/>
  <c r="G172" i="46"/>
  <c r="I172" i="46" s="1"/>
  <c r="H172" i="46" s="1"/>
  <c r="F171" i="46"/>
  <c r="G171" i="46" s="1"/>
  <c r="K171" i="46" s="1"/>
  <c r="H171" i="46" s="1"/>
  <c r="G170" i="46"/>
  <c r="J170" i="46" s="1"/>
  <c r="H170" i="46" s="1"/>
  <c r="G169" i="46"/>
  <c r="I169" i="46" s="1"/>
  <c r="H169" i="46" s="1"/>
  <c r="G168" i="46"/>
  <c r="J168" i="46" s="1"/>
  <c r="G167" i="46"/>
  <c r="I167" i="46" s="1"/>
  <c r="H167" i="46" s="1"/>
  <c r="G166" i="46"/>
  <c r="I166" i="46" s="1"/>
  <c r="H166" i="46" s="1"/>
  <c r="G165" i="46"/>
  <c r="K165" i="46" s="1"/>
  <c r="H165" i="46" s="1"/>
  <c r="F164" i="46"/>
  <c r="G163" i="46"/>
  <c r="K163" i="46" s="1"/>
  <c r="H163" i="46" s="1"/>
  <c r="G162" i="46"/>
  <c r="K162" i="46" s="1"/>
  <c r="H162" i="46" s="1"/>
  <c r="G161" i="46"/>
  <c r="K161" i="46" s="1"/>
  <c r="H161" i="46" s="1"/>
  <c r="G160" i="46"/>
  <c r="K160" i="46" s="1"/>
  <c r="H160" i="46" s="1"/>
  <c r="G159" i="46"/>
  <c r="K159" i="46" s="1"/>
  <c r="D154" i="46"/>
  <c r="D321" i="46" s="1"/>
  <c r="G153" i="46"/>
  <c r="K153" i="46" s="1"/>
  <c r="H153" i="46" s="1"/>
  <c r="G152" i="46"/>
  <c r="K152" i="46" s="1"/>
  <c r="H152" i="46" s="1"/>
  <c r="G151" i="46"/>
  <c r="I151" i="46" s="1"/>
  <c r="H151" i="46" s="1"/>
  <c r="G150" i="46"/>
  <c r="L150" i="46" s="1"/>
  <c r="H150" i="46" s="1"/>
  <c r="G149" i="46"/>
  <c r="L149" i="46" s="1"/>
  <c r="H149" i="46" s="1"/>
  <c r="G148" i="46"/>
  <c r="K148" i="46" s="1"/>
  <c r="H148" i="46" s="1"/>
  <c r="E147" i="46"/>
  <c r="G147" i="46" s="1"/>
  <c r="J147" i="46" s="1"/>
  <c r="H147" i="46" s="1"/>
  <c r="G146" i="46"/>
  <c r="I146" i="46" s="1"/>
  <c r="H146" i="46" s="1"/>
  <c r="G145" i="46"/>
  <c r="J145" i="46" s="1"/>
  <c r="H145" i="46" s="1"/>
  <c r="G144" i="46"/>
  <c r="M144" i="46" s="1"/>
  <c r="H144" i="46" s="1"/>
  <c r="G143" i="46"/>
  <c r="M143" i="46" s="1"/>
  <c r="M154" i="46" s="1"/>
  <c r="G142" i="46"/>
  <c r="L142" i="46" s="1"/>
  <c r="H142" i="46" s="1"/>
  <c r="F141" i="46"/>
  <c r="E362" i="46" s="1"/>
  <c r="F362" i="46" s="1"/>
  <c r="G140" i="46"/>
  <c r="J140" i="46" s="1"/>
  <c r="H140" i="46" s="1"/>
  <c r="G139" i="46"/>
  <c r="L139" i="46" s="1"/>
  <c r="H139" i="46" s="1"/>
  <c r="G138" i="46"/>
  <c r="K138" i="46" s="1"/>
  <c r="H138" i="46" s="1"/>
  <c r="E137" i="46"/>
  <c r="E136" i="46"/>
  <c r="G136" i="46" s="1"/>
  <c r="I136" i="46" s="1"/>
  <c r="H136" i="46" s="1"/>
  <c r="G135" i="46"/>
  <c r="L135" i="46" s="1"/>
  <c r="H135" i="46" s="1"/>
  <c r="G134" i="46"/>
  <c r="K134" i="46" s="1"/>
  <c r="H134" i="46" s="1"/>
  <c r="G133" i="46"/>
  <c r="K133" i="46" s="1"/>
  <c r="H133" i="46" s="1"/>
  <c r="G132" i="46"/>
  <c r="I132" i="46" s="1"/>
  <c r="H132" i="46" s="1"/>
  <c r="G131" i="46"/>
  <c r="I131" i="46" s="1"/>
  <c r="H131" i="46" s="1"/>
  <c r="E130" i="46"/>
  <c r="G129" i="46"/>
  <c r="L129" i="46" s="1"/>
  <c r="H129" i="46" s="1"/>
  <c r="G128" i="46"/>
  <c r="L128" i="46" s="1"/>
  <c r="H128" i="46" s="1"/>
  <c r="G127" i="46"/>
  <c r="I127" i="46" s="1"/>
  <c r="H127" i="46" s="1"/>
  <c r="G126" i="46"/>
  <c r="I126" i="46" s="1"/>
  <c r="H126" i="46" s="1"/>
  <c r="G125" i="46"/>
  <c r="K125" i="46" s="1"/>
  <c r="H125" i="46" s="1"/>
  <c r="E124" i="46"/>
  <c r="G123" i="46"/>
  <c r="K123" i="46" s="1"/>
  <c r="H123" i="46" s="1"/>
  <c r="G122" i="46"/>
  <c r="J122" i="46" s="1"/>
  <c r="H122" i="46" s="1"/>
  <c r="F121" i="46"/>
  <c r="E360" i="46" s="1"/>
  <c r="G120" i="46"/>
  <c r="J120" i="46" s="1"/>
  <c r="H120" i="46" s="1"/>
  <c r="G119" i="46"/>
  <c r="I119" i="46" s="1"/>
  <c r="H119" i="46" s="1"/>
  <c r="G118" i="46"/>
  <c r="K118" i="46" s="1"/>
  <c r="H118" i="46" s="1"/>
  <c r="G117" i="46"/>
  <c r="J117" i="46" s="1"/>
  <c r="H117" i="46" s="1"/>
  <c r="G116" i="46"/>
  <c r="I116" i="46" s="1"/>
  <c r="H116" i="46" s="1"/>
  <c r="G115" i="46"/>
  <c r="K115" i="46" s="1"/>
  <c r="H115" i="46" s="1"/>
  <c r="G114" i="46"/>
  <c r="K114" i="46" s="1"/>
  <c r="H114" i="46" s="1"/>
  <c r="F113" i="46"/>
  <c r="G113" i="46" s="1"/>
  <c r="K113" i="46" s="1"/>
  <c r="H113" i="46" s="1"/>
  <c r="G112" i="46"/>
  <c r="K112" i="46" s="1"/>
  <c r="H112" i="46" s="1"/>
  <c r="G111" i="46"/>
  <c r="K111" i="46" s="1"/>
  <c r="H111" i="46" s="1"/>
  <c r="G110" i="46"/>
  <c r="K110" i="46" s="1"/>
  <c r="H110" i="46" s="1"/>
  <c r="G109" i="46"/>
  <c r="K109" i="46" s="1"/>
  <c r="H109" i="46" s="1"/>
  <c r="G108" i="46"/>
  <c r="K108" i="46" s="1"/>
  <c r="H108" i="46" s="1"/>
  <c r="G107" i="46"/>
  <c r="K107" i="46" s="1"/>
  <c r="H107" i="46" s="1"/>
  <c r="G106" i="46"/>
  <c r="K106" i="46" s="1"/>
  <c r="H106" i="46" s="1"/>
  <c r="G105" i="46"/>
  <c r="I105" i="46" s="1"/>
  <c r="H105" i="46" s="1"/>
  <c r="F104" i="46"/>
  <c r="G104" i="46" s="1"/>
  <c r="K104" i="46" s="1"/>
  <c r="H104" i="46" s="1"/>
  <c r="F103" i="46"/>
  <c r="G102" i="46"/>
  <c r="I102" i="46" s="1"/>
  <c r="H102" i="46" s="1"/>
  <c r="G101" i="46"/>
  <c r="K101" i="46" s="1"/>
  <c r="H101" i="46" s="1"/>
  <c r="G100" i="46"/>
  <c r="I100" i="46" s="1"/>
  <c r="H100" i="46" s="1"/>
  <c r="E99" i="46"/>
  <c r="G98" i="46"/>
  <c r="K98" i="46" s="1"/>
  <c r="H98" i="46" s="1"/>
  <c r="G97" i="46"/>
  <c r="K97" i="46" s="1"/>
  <c r="H97" i="46" s="1"/>
  <c r="G96" i="46"/>
  <c r="J96" i="46" s="1"/>
  <c r="H96" i="46" s="1"/>
  <c r="G95" i="46"/>
  <c r="I95" i="46" s="1"/>
  <c r="H95" i="46" s="1"/>
  <c r="G94" i="46"/>
  <c r="K94" i="46" s="1"/>
  <c r="H94" i="46" s="1"/>
  <c r="G93" i="46"/>
  <c r="K93" i="46" s="1"/>
  <c r="H93" i="46" s="1"/>
  <c r="G92" i="46"/>
  <c r="I92" i="46" s="1"/>
  <c r="H92" i="46" s="1"/>
  <c r="G91" i="46"/>
  <c r="K91" i="46" s="1"/>
  <c r="H91" i="46" s="1"/>
  <c r="G90" i="46"/>
  <c r="K90" i="46" s="1"/>
  <c r="H90" i="46" s="1"/>
  <c r="G89" i="46"/>
  <c r="J89" i="46" s="1"/>
  <c r="H89" i="46" s="1"/>
  <c r="G88" i="46"/>
  <c r="K88" i="46" s="1"/>
  <c r="H88" i="46" s="1"/>
  <c r="F87" i="46"/>
  <c r="E342" i="46" s="1"/>
  <c r="E347" i="46" s="1"/>
  <c r="F86" i="46"/>
  <c r="G86" i="46" s="1"/>
  <c r="K86" i="46" s="1"/>
  <c r="H86" i="46" s="1"/>
  <c r="G85" i="46"/>
  <c r="K85" i="46" s="1"/>
  <c r="H85" i="46" s="1"/>
  <c r="G84" i="46"/>
  <c r="K84" i="46" s="1"/>
  <c r="H84" i="46" s="1"/>
  <c r="G83" i="46"/>
  <c r="K83" i="46" s="1"/>
  <c r="H83" i="46" s="1"/>
  <c r="G82" i="46"/>
  <c r="I82" i="46" s="1"/>
  <c r="H82" i="46" s="1"/>
  <c r="G81" i="46"/>
  <c r="I81" i="46" s="1"/>
  <c r="H81" i="46" s="1"/>
  <c r="G80" i="46"/>
  <c r="K80" i="46" s="1"/>
  <c r="H80" i="46" s="1"/>
  <c r="G79" i="46"/>
  <c r="K79" i="46" s="1"/>
  <c r="H79" i="46" s="1"/>
  <c r="G78" i="46"/>
  <c r="J78" i="46" s="1"/>
  <c r="H78" i="46" s="1"/>
  <c r="G77" i="46"/>
  <c r="K77" i="46" s="1"/>
  <c r="H77" i="46" s="1"/>
  <c r="G76" i="46"/>
  <c r="K76" i="46" s="1"/>
  <c r="H76" i="46" s="1"/>
  <c r="G75" i="46"/>
  <c r="K75" i="46" s="1"/>
  <c r="H75" i="46" s="1"/>
  <c r="G74" i="46"/>
  <c r="J74" i="46" s="1"/>
  <c r="H74" i="46" s="1"/>
  <c r="G73" i="46"/>
  <c r="I73" i="46" s="1"/>
  <c r="H73" i="46" s="1"/>
  <c r="G72" i="46"/>
  <c r="K72" i="46" s="1"/>
  <c r="H72" i="46" s="1"/>
  <c r="G71" i="46"/>
  <c r="J71" i="46" s="1"/>
  <c r="H71" i="46" s="1"/>
  <c r="G70" i="46"/>
  <c r="K70" i="46" s="1"/>
  <c r="H70" i="46" s="1"/>
  <c r="G69" i="46"/>
  <c r="K69" i="46" s="1"/>
  <c r="H69" i="46" s="1"/>
  <c r="G68" i="46"/>
  <c r="K68" i="46" s="1"/>
  <c r="H68" i="46" s="1"/>
  <c r="G67" i="46"/>
  <c r="K67" i="46" s="1"/>
  <c r="H67" i="46" s="1"/>
  <c r="G66" i="46"/>
  <c r="K66" i="46" s="1"/>
  <c r="H66" i="46" s="1"/>
  <c r="G65" i="46"/>
  <c r="K65" i="46" s="1"/>
  <c r="H65" i="46" s="1"/>
  <c r="G64" i="46"/>
  <c r="K64" i="46" s="1"/>
  <c r="H64" i="46" s="1"/>
  <c r="G63" i="46"/>
  <c r="K63" i="46" s="1"/>
  <c r="H63" i="46" s="1"/>
  <c r="G62" i="46"/>
  <c r="K62" i="46" s="1"/>
  <c r="H62" i="46" s="1"/>
  <c r="G61" i="46"/>
  <c r="I61" i="46" s="1"/>
  <c r="H61" i="46" s="1"/>
  <c r="G60" i="46"/>
  <c r="K60" i="46" s="1"/>
  <c r="H60" i="46" s="1"/>
  <c r="G59" i="46"/>
  <c r="K59" i="46" s="1"/>
  <c r="H59" i="46" s="1"/>
  <c r="G58" i="46"/>
  <c r="J58" i="46" s="1"/>
  <c r="H58" i="46" s="1"/>
  <c r="G57" i="46"/>
  <c r="I57" i="46" s="1"/>
  <c r="H57" i="46" s="1"/>
  <c r="G56" i="46"/>
  <c r="K56" i="46" s="1"/>
  <c r="H56" i="46" s="1"/>
  <c r="G55" i="46"/>
  <c r="J55" i="46" s="1"/>
  <c r="H55" i="46" s="1"/>
  <c r="G54" i="46"/>
  <c r="I54" i="46" s="1"/>
  <c r="H54" i="46" s="1"/>
  <c r="G53" i="46"/>
  <c r="K53" i="46" s="1"/>
  <c r="H53" i="46" s="1"/>
  <c r="G52" i="46"/>
  <c r="J52" i="46" s="1"/>
  <c r="H52" i="46" s="1"/>
  <c r="G51" i="46"/>
  <c r="K51" i="46" s="1"/>
  <c r="H51" i="46" s="1"/>
  <c r="G50" i="46"/>
  <c r="K50" i="46" s="1"/>
  <c r="H50" i="46" s="1"/>
  <c r="G49" i="46"/>
  <c r="I49" i="46" s="1"/>
  <c r="H49" i="46" s="1"/>
  <c r="G48" i="46"/>
  <c r="K48" i="46" s="1"/>
  <c r="H48" i="46" s="1"/>
  <c r="G47" i="46"/>
  <c r="J47" i="46" s="1"/>
  <c r="H47" i="46" s="1"/>
  <c r="G46" i="46"/>
  <c r="K46" i="46" s="1"/>
  <c r="H46" i="46" s="1"/>
  <c r="G45" i="46"/>
  <c r="K45" i="46" s="1"/>
  <c r="H45" i="46" s="1"/>
  <c r="G44" i="46"/>
  <c r="K44" i="46" s="1"/>
  <c r="H44" i="46" s="1"/>
  <c r="G43" i="46"/>
  <c r="K43" i="46" s="1"/>
  <c r="H43" i="46" s="1"/>
  <c r="E42" i="46"/>
  <c r="D358" i="46" s="1"/>
  <c r="G41" i="46"/>
  <c r="K41" i="46" s="1"/>
  <c r="H41" i="46" s="1"/>
  <c r="G40" i="46"/>
  <c r="K40" i="46" s="1"/>
  <c r="H40" i="46" s="1"/>
  <c r="G39" i="46"/>
  <c r="K39" i="46" s="1"/>
  <c r="H39" i="46" s="1"/>
  <c r="G38" i="46"/>
  <c r="K38" i="46" s="1"/>
  <c r="H38" i="46" s="1"/>
  <c r="G37" i="46"/>
  <c r="K37" i="46" s="1"/>
  <c r="H37" i="46" s="1"/>
  <c r="G36" i="46"/>
  <c r="K36" i="46" s="1"/>
  <c r="H36" i="46" s="1"/>
  <c r="G35" i="46"/>
  <c r="K35" i="46" s="1"/>
  <c r="H35" i="46" s="1"/>
  <c r="G34" i="46"/>
  <c r="K34" i="46" s="1"/>
  <c r="H34" i="46" s="1"/>
  <c r="G33" i="46"/>
  <c r="K33" i="46" s="1"/>
  <c r="H33" i="46" s="1"/>
  <c r="G32" i="46"/>
  <c r="K32" i="46" s="1"/>
  <c r="H32" i="46" s="1"/>
  <c r="G31" i="46"/>
  <c r="K31" i="46" s="1"/>
  <c r="H31" i="46" s="1"/>
  <c r="G30" i="46"/>
  <c r="K30" i="46" s="1"/>
  <c r="H30" i="46" s="1"/>
  <c r="G29" i="46"/>
  <c r="K29" i="46" s="1"/>
  <c r="H29" i="46" s="1"/>
  <c r="G28" i="46"/>
  <c r="K28" i="46" s="1"/>
  <c r="H28" i="46" s="1"/>
  <c r="G27" i="46"/>
  <c r="K27" i="46" s="1"/>
  <c r="H27" i="46" s="1"/>
  <c r="G26" i="46"/>
  <c r="K26" i="46" s="1"/>
  <c r="H26" i="46" s="1"/>
  <c r="I21" i="46"/>
  <c r="H21" i="46"/>
  <c r="G21" i="46"/>
  <c r="F21" i="46"/>
  <c r="D20" i="46"/>
  <c r="D19" i="46"/>
  <c r="D18" i="46"/>
  <c r="D17" i="46"/>
  <c r="D16" i="46"/>
  <c r="D15" i="46"/>
  <c r="D14" i="46"/>
  <c r="D13" i="46"/>
  <c r="D12" i="46"/>
  <c r="D11" i="46"/>
  <c r="D10" i="46"/>
  <c r="E9" i="46"/>
  <c r="D9" i="46" l="1"/>
  <c r="D21" i="46" s="1"/>
  <c r="E21" i="46"/>
  <c r="G99" i="46"/>
  <c r="K99" i="46" s="1"/>
  <c r="H99" i="46" s="1"/>
  <c r="D359" i="46"/>
  <c r="E359" i="46"/>
  <c r="F359" i="46" s="1"/>
  <c r="G103" i="46"/>
  <c r="K103" i="46" s="1"/>
  <c r="H103" i="46" s="1"/>
  <c r="G124" i="46"/>
  <c r="K124" i="46" s="1"/>
  <c r="H124" i="46" s="1"/>
  <c r="D360" i="46"/>
  <c r="F360" i="46" s="1"/>
  <c r="D370" i="46"/>
  <c r="L347" i="46"/>
  <c r="L334" i="46"/>
  <c r="L339" i="46" s="1"/>
  <c r="L345" i="46" s="1"/>
  <c r="G130" i="46"/>
  <c r="L130" i="46" s="1"/>
  <c r="H130" i="46" s="1"/>
  <c r="D353" i="46"/>
  <c r="G137" i="46"/>
  <c r="J137" i="46" s="1"/>
  <c r="H137" i="46" s="1"/>
  <c r="E358" i="46"/>
  <c r="E335" i="46"/>
  <c r="F209" i="46"/>
  <c r="G164" i="46"/>
  <c r="M336" i="46"/>
  <c r="E370" i="46"/>
  <c r="E371" i="46" s="1"/>
  <c r="M347" i="46"/>
  <c r="N347" i="46" s="1"/>
  <c r="G194" i="46"/>
  <c r="L194" i="46" s="1"/>
  <c r="H194" i="46" s="1"/>
  <c r="D364" i="46"/>
  <c r="D365" i="46" s="1"/>
  <c r="E209" i="46"/>
  <c r="E337" i="46"/>
  <c r="F337" i="46" s="1"/>
  <c r="F320" i="46"/>
  <c r="M339" i="46"/>
  <c r="M344" i="46"/>
  <c r="F343" i="46"/>
  <c r="F346" i="46"/>
  <c r="D354" i="46"/>
  <c r="F353" i="46"/>
  <c r="F361" i="46"/>
  <c r="F364" i="46"/>
  <c r="D371" i="46"/>
  <c r="F369" i="46"/>
  <c r="D378" i="46"/>
  <c r="E378" i="46"/>
  <c r="D68" i="47"/>
  <c r="D145" i="47" s="1"/>
  <c r="J154" i="46"/>
  <c r="F378" i="46"/>
  <c r="K164" i="46"/>
  <c r="H164" i="46" s="1"/>
  <c r="E336" i="46"/>
  <c r="E351" i="46"/>
  <c r="F278" i="46"/>
  <c r="G245" i="46"/>
  <c r="J245" i="46" s="1"/>
  <c r="H245" i="46" s="1"/>
  <c r="J284" i="46"/>
  <c r="H284" i="46" s="1"/>
  <c r="H143" i="46"/>
  <c r="I320" i="46"/>
  <c r="H295" i="46"/>
  <c r="F342" i="46"/>
  <c r="I209" i="46"/>
  <c r="D325" i="46"/>
  <c r="D323" i="46"/>
  <c r="H168" i="46"/>
  <c r="J209" i="46"/>
  <c r="H216" i="46"/>
  <c r="F358" i="46"/>
  <c r="G87" i="46"/>
  <c r="I87" i="46" s="1"/>
  <c r="H87" i="46" s="1"/>
  <c r="L278" i="46"/>
  <c r="H255" i="46"/>
  <c r="E365" i="46"/>
  <c r="F365" i="46" s="1"/>
  <c r="H159" i="46"/>
  <c r="F377" i="46"/>
  <c r="L320" i="46"/>
  <c r="H313" i="46"/>
  <c r="L154" i="46"/>
  <c r="M278" i="46"/>
  <c r="H311" i="46"/>
  <c r="F154" i="46"/>
  <c r="D336" i="46"/>
  <c r="D345" i="46"/>
  <c r="D347" i="46" s="1"/>
  <c r="E278" i="46"/>
  <c r="G264" i="46"/>
  <c r="I264" i="46" s="1"/>
  <c r="H264" i="46" s="1"/>
  <c r="L209" i="46"/>
  <c r="H220" i="46"/>
  <c r="F345" i="46"/>
  <c r="E334" i="46"/>
  <c r="E154" i="46"/>
  <c r="G42" i="46"/>
  <c r="K42" i="46" s="1"/>
  <c r="H42" i="46" s="1"/>
  <c r="M209" i="46"/>
  <c r="M321" i="46" s="1"/>
  <c r="M323" i="46" s="1"/>
  <c r="H195" i="46"/>
  <c r="D334" i="46"/>
  <c r="D335" i="46"/>
  <c r="F335" i="46" s="1"/>
  <c r="F370" i="46"/>
  <c r="F371" i="46" s="1"/>
  <c r="I214" i="46"/>
  <c r="G141" i="46"/>
  <c r="K141" i="46" s="1"/>
  <c r="H141" i="46" s="1"/>
  <c r="G273" i="46"/>
  <c r="K273" i="46" s="1"/>
  <c r="G121" i="46"/>
  <c r="K121" i="46" s="1"/>
  <c r="H121" i="46" s="1"/>
  <c r="G208" i="46"/>
  <c r="K208" i="46" s="1"/>
  <c r="G315" i="46"/>
  <c r="K315" i="46" l="1"/>
  <c r="H315" i="46" s="1"/>
  <c r="G320" i="46"/>
  <c r="H208" i="46"/>
  <c r="K209" i="46"/>
  <c r="H273" i="46"/>
  <c r="K278" i="46"/>
  <c r="H154" i="46"/>
  <c r="D380" i="46"/>
  <c r="F347" i="46"/>
  <c r="H320" i="46"/>
  <c r="M345" i="46"/>
  <c r="M349" i="46" s="1"/>
  <c r="J278" i="46"/>
  <c r="F351" i="46"/>
  <c r="E354" i="46"/>
  <c r="F354" i="46" s="1"/>
  <c r="I154" i="46"/>
  <c r="K154" i="46"/>
  <c r="F321" i="46"/>
  <c r="K320" i="46"/>
  <c r="L321" i="46"/>
  <c r="L323" i="46" s="1"/>
  <c r="F380" i="46"/>
  <c r="D338" i="46"/>
  <c r="F336" i="46"/>
  <c r="G278" i="46"/>
  <c r="G154" i="46"/>
  <c r="G209" i="46"/>
  <c r="J320" i="46"/>
  <c r="J321" i="46" s="1"/>
  <c r="J323" i="46" s="1"/>
  <c r="I278" i="46"/>
  <c r="H214" i="46"/>
  <c r="H278" i="46" s="1"/>
  <c r="E321" i="46"/>
  <c r="E338" i="46"/>
  <c r="F334" i="46"/>
  <c r="H209" i="46"/>
  <c r="H321" i="46" s="1"/>
  <c r="K321" i="46" l="1"/>
  <c r="K323" i="46" s="1"/>
  <c r="G321" i="46"/>
  <c r="H323" i="46" s="1"/>
  <c r="I321" i="46"/>
  <c r="I323" i="46" s="1"/>
  <c r="F338" i="46"/>
  <c r="E380" i="46"/>
  <c r="E381" i="46" s="1"/>
  <c r="F323" i="46"/>
  <c r="D381" i="46"/>
  <c r="E89" i="43" l="1"/>
  <c r="D89" i="43"/>
  <c r="D81" i="43"/>
  <c r="E76" i="43"/>
  <c r="E75" i="43"/>
  <c r="E74" i="43"/>
  <c r="E72" i="43"/>
  <c r="E68" i="43"/>
  <c r="E81" i="43" s="1"/>
  <c r="D59" i="43"/>
  <c r="D63" i="43" s="1"/>
  <c r="E48" i="43"/>
  <c r="E63" i="43" s="1"/>
  <c r="E39" i="43"/>
  <c r="E21" i="43"/>
  <c r="E43" i="43" s="1"/>
  <c r="E90" i="43" s="1"/>
  <c r="D11" i="43"/>
  <c r="D43" i="43" s="1"/>
  <c r="D90" i="43" s="1"/>
  <c r="M308" i="42"/>
  <c r="F308" i="42"/>
  <c r="E308" i="42"/>
  <c r="D308" i="42"/>
  <c r="G307" i="42"/>
  <c r="K307" i="42" s="1"/>
  <c r="H307" i="42" s="1"/>
  <c r="G306" i="42"/>
  <c r="K306" i="42" s="1"/>
  <c r="H306" i="42" s="1"/>
  <c r="G305" i="42"/>
  <c r="K305" i="42" s="1"/>
  <c r="H305" i="42" s="1"/>
  <c r="G304" i="42"/>
  <c r="I304" i="42" s="1"/>
  <c r="H304" i="42" s="1"/>
  <c r="G303" i="42"/>
  <c r="K303" i="42" s="1"/>
  <c r="H303" i="42" s="1"/>
  <c r="G302" i="42"/>
  <c r="J302" i="42" s="1"/>
  <c r="H302" i="42" s="1"/>
  <c r="G301" i="42"/>
  <c r="L301" i="42" s="1"/>
  <c r="G300" i="42"/>
  <c r="K300" i="42" s="1"/>
  <c r="H300" i="42" s="1"/>
  <c r="G299" i="42"/>
  <c r="K299" i="42" s="1"/>
  <c r="G298" i="42"/>
  <c r="J298" i="42" s="1"/>
  <c r="H298" i="42" s="1"/>
  <c r="G297" i="42"/>
  <c r="I297" i="42" s="1"/>
  <c r="H297" i="42" s="1"/>
  <c r="G296" i="42"/>
  <c r="J296" i="42" s="1"/>
  <c r="H296" i="42" s="1"/>
  <c r="G295" i="42"/>
  <c r="J295" i="42" s="1"/>
  <c r="H295" i="42" s="1"/>
  <c r="G294" i="42"/>
  <c r="J294" i="42" s="1"/>
  <c r="H294" i="42" s="1"/>
  <c r="G293" i="42"/>
  <c r="J293" i="42" s="1"/>
  <c r="H293" i="42" s="1"/>
  <c r="G292" i="42"/>
  <c r="J292" i="42" s="1"/>
  <c r="H292" i="42" s="1"/>
  <c r="G291" i="42"/>
  <c r="J291" i="42" s="1"/>
  <c r="H291" i="42" s="1"/>
  <c r="G290" i="42"/>
  <c r="J290" i="42" s="1"/>
  <c r="H290" i="42" s="1"/>
  <c r="G289" i="42"/>
  <c r="J289" i="42" s="1"/>
  <c r="H289" i="42" s="1"/>
  <c r="G288" i="42"/>
  <c r="J288" i="42" s="1"/>
  <c r="H288" i="42" s="1"/>
  <c r="G287" i="42"/>
  <c r="J287" i="42" s="1"/>
  <c r="H287" i="42" s="1"/>
  <c r="G286" i="42"/>
  <c r="J286" i="42" s="1"/>
  <c r="H286" i="42" s="1"/>
  <c r="G285" i="42"/>
  <c r="J285" i="42" s="1"/>
  <c r="H285" i="42" s="1"/>
  <c r="G284" i="42"/>
  <c r="J284" i="42" s="1"/>
  <c r="H284" i="42" s="1"/>
  <c r="G283" i="42"/>
  <c r="I283" i="42" s="1"/>
  <c r="G282" i="42"/>
  <c r="J282" i="42" s="1"/>
  <c r="H282" i="42" s="1"/>
  <c r="G281" i="42"/>
  <c r="J281" i="42" s="1"/>
  <c r="H281" i="42" s="1"/>
  <c r="G280" i="42"/>
  <c r="J280" i="42" s="1"/>
  <c r="H280" i="42" s="1"/>
  <c r="G279" i="42"/>
  <c r="J279" i="42" s="1"/>
  <c r="H279" i="42" s="1"/>
  <c r="G278" i="42"/>
  <c r="J278" i="42" s="1"/>
  <c r="H278" i="42" s="1"/>
  <c r="G277" i="42"/>
  <c r="J277" i="42" s="1"/>
  <c r="H277" i="42" s="1"/>
  <c r="G276" i="42"/>
  <c r="J276" i="42" s="1"/>
  <c r="H276" i="42" s="1"/>
  <c r="G275" i="42"/>
  <c r="J275" i="42" s="1"/>
  <c r="H275" i="42" s="1"/>
  <c r="G274" i="42"/>
  <c r="J274" i="42" s="1"/>
  <c r="H274" i="42" s="1"/>
  <c r="G273" i="42"/>
  <c r="J273" i="42" s="1"/>
  <c r="H273" i="42" s="1"/>
  <c r="G272" i="42"/>
  <c r="G271" i="42"/>
  <c r="J271" i="42" s="1"/>
  <c r="H271" i="42" s="1"/>
  <c r="E266" i="42"/>
  <c r="D266" i="42"/>
  <c r="G265" i="42"/>
  <c r="K265" i="42" s="1"/>
  <c r="H265" i="42" s="1"/>
  <c r="G264" i="42"/>
  <c r="J264" i="42" s="1"/>
  <c r="H264" i="42" s="1"/>
  <c r="G263" i="42"/>
  <c r="M263" i="42" s="1"/>
  <c r="H263" i="42" s="1"/>
  <c r="G262" i="42"/>
  <c r="L262" i="42" s="1"/>
  <c r="H262" i="42" s="1"/>
  <c r="G261" i="42"/>
  <c r="K261" i="42" s="1"/>
  <c r="H261" i="42" s="1"/>
  <c r="G260" i="42"/>
  <c r="J260" i="42" s="1"/>
  <c r="H260" i="42" s="1"/>
  <c r="G259" i="42"/>
  <c r="I259" i="42" s="1"/>
  <c r="H259" i="42" s="1"/>
  <c r="G258" i="42"/>
  <c r="I258" i="42" s="1"/>
  <c r="H258" i="42" s="1"/>
  <c r="G257" i="42"/>
  <c r="M257" i="42" s="1"/>
  <c r="H257" i="42" s="1"/>
  <c r="G256" i="42"/>
  <c r="K256" i="42" s="1"/>
  <c r="H256" i="42" s="1"/>
  <c r="G255" i="42"/>
  <c r="J255" i="42" s="1"/>
  <c r="H255" i="42" s="1"/>
  <c r="F254" i="42"/>
  <c r="G254" i="42" s="1"/>
  <c r="I254" i="42" s="1"/>
  <c r="H254" i="42" s="1"/>
  <c r="F253" i="42"/>
  <c r="G253" i="42" s="1"/>
  <c r="I253" i="42" s="1"/>
  <c r="H253" i="42" s="1"/>
  <c r="G252" i="42"/>
  <c r="I252" i="42" s="1"/>
  <c r="H252" i="42" s="1"/>
  <c r="G251" i="42"/>
  <c r="K251" i="42" s="1"/>
  <c r="H251" i="42" s="1"/>
  <c r="G250" i="42"/>
  <c r="J250" i="42" s="1"/>
  <c r="H250" i="42" s="1"/>
  <c r="G249" i="42"/>
  <c r="I249" i="42" s="1"/>
  <c r="H249" i="42" s="1"/>
  <c r="G248" i="42"/>
  <c r="I248" i="42" s="1"/>
  <c r="H248" i="42" s="1"/>
  <c r="G247" i="42"/>
  <c r="K247" i="42" s="1"/>
  <c r="H247" i="42" s="1"/>
  <c r="G246" i="42"/>
  <c r="L246" i="42" s="1"/>
  <c r="H246" i="42" s="1"/>
  <c r="G245" i="42"/>
  <c r="M245" i="42" s="1"/>
  <c r="H245" i="42" s="1"/>
  <c r="G244" i="42"/>
  <c r="L244" i="42" s="1"/>
  <c r="G243" i="42"/>
  <c r="I243" i="42" s="1"/>
  <c r="H243" i="42" s="1"/>
  <c r="G242" i="42"/>
  <c r="I242" i="42" s="1"/>
  <c r="H242" i="42" s="1"/>
  <c r="G241" i="42"/>
  <c r="J241" i="42" s="1"/>
  <c r="H241" i="42" s="1"/>
  <c r="G240" i="42"/>
  <c r="J240" i="42" s="1"/>
  <c r="H240" i="42" s="1"/>
  <c r="G239" i="42"/>
  <c r="J239" i="42" s="1"/>
  <c r="H239" i="42" s="1"/>
  <c r="F238" i="42"/>
  <c r="G238" i="42" s="1"/>
  <c r="I238" i="42" s="1"/>
  <c r="H238" i="42" s="1"/>
  <c r="G237" i="42"/>
  <c r="J237" i="42" s="1"/>
  <c r="H237" i="42" s="1"/>
  <c r="G236" i="42"/>
  <c r="J236" i="42" s="1"/>
  <c r="H236" i="42" s="1"/>
  <c r="G235" i="42"/>
  <c r="J235" i="42" s="1"/>
  <c r="H235" i="42" s="1"/>
  <c r="G234" i="42"/>
  <c r="K234" i="42" s="1"/>
  <c r="H234" i="42" s="1"/>
  <c r="G233" i="42"/>
  <c r="J233" i="42" s="1"/>
  <c r="H233" i="42" s="1"/>
  <c r="G232" i="42"/>
  <c r="K232" i="42" s="1"/>
  <c r="H232" i="42" s="1"/>
  <c r="G231" i="42"/>
  <c r="K231" i="42" s="1"/>
  <c r="H231" i="42" s="1"/>
  <c r="G230" i="42"/>
  <c r="K230" i="42" s="1"/>
  <c r="H230" i="42" s="1"/>
  <c r="G229" i="42"/>
  <c r="I229" i="42" s="1"/>
  <c r="H229" i="42" s="1"/>
  <c r="G228" i="42"/>
  <c r="I228" i="42" s="1"/>
  <c r="H228" i="42" s="1"/>
  <c r="G227" i="42"/>
  <c r="J227" i="42" s="1"/>
  <c r="H227" i="42" s="1"/>
  <c r="F226" i="42"/>
  <c r="G226" i="42" s="1"/>
  <c r="I226" i="42" s="1"/>
  <c r="H226" i="42" s="1"/>
  <c r="G225" i="42"/>
  <c r="J225" i="42" s="1"/>
  <c r="H225" i="42" s="1"/>
  <c r="G224" i="42"/>
  <c r="I224" i="42" s="1"/>
  <c r="H224" i="42" s="1"/>
  <c r="G223" i="42"/>
  <c r="I223" i="42" s="1"/>
  <c r="H223" i="42" s="1"/>
  <c r="G222" i="42"/>
  <c r="J222" i="42" s="1"/>
  <c r="H222" i="42" s="1"/>
  <c r="G221" i="42"/>
  <c r="I221" i="42" s="1"/>
  <c r="H221" i="42" s="1"/>
  <c r="G220" i="42"/>
  <c r="K220" i="42" s="1"/>
  <c r="H220" i="42" s="1"/>
  <c r="G219" i="42"/>
  <c r="K219" i="42" s="1"/>
  <c r="H219" i="42" s="1"/>
  <c r="G218" i="42"/>
  <c r="J218" i="42" s="1"/>
  <c r="H218" i="42" s="1"/>
  <c r="G217" i="42"/>
  <c r="I217" i="42" s="1"/>
  <c r="H217" i="42" s="1"/>
  <c r="G216" i="42"/>
  <c r="K216" i="42" s="1"/>
  <c r="H216" i="42" s="1"/>
  <c r="G215" i="42"/>
  <c r="I215" i="42" s="1"/>
  <c r="H215" i="42" s="1"/>
  <c r="G214" i="42"/>
  <c r="I214" i="42" s="1"/>
  <c r="H214" i="42" s="1"/>
  <c r="G213" i="42"/>
  <c r="K213" i="42" s="1"/>
  <c r="H213" i="42" s="1"/>
  <c r="G212" i="42"/>
  <c r="I212" i="42" s="1"/>
  <c r="H212" i="42" s="1"/>
  <c r="G211" i="42"/>
  <c r="K211" i="42" s="1"/>
  <c r="G210" i="42"/>
  <c r="M210" i="42" s="1"/>
  <c r="G209" i="42"/>
  <c r="I209" i="42" s="1"/>
  <c r="H209" i="42" s="1"/>
  <c r="G208" i="42"/>
  <c r="J208" i="42" s="1"/>
  <c r="F207" i="42"/>
  <c r="G206" i="42"/>
  <c r="D201" i="42"/>
  <c r="G200" i="42"/>
  <c r="K200" i="42" s="1"/>
  <c r="H200" i="42" s="1"/>
  <c r="G199" i="42"/>
  <c r="I199" i="42" s="1"/>
  <c r="H199" i="42" s="1"/>
  <c r="G198" i="42"/>
  <c r="K198" i="42" s="1"/>
  <c r="H198" i="42" s="1"/>
  <c r="G197" i="42"/>
  <c r="M197" i="42" s="1"/>
  <c r="H197" i="42" s="1"/>
  <c r="G196" i="42"/>
  <c r="L196" i="42" s="1"/>
  <c r="H196" i="42" s="1"/>
  <c r="G195" i="42"/>
  <c r="I195" i="42" s="1"/>
  <c r="H195" i="42" s="1"/>
  <c r="G194" i="42"/>
  <c r="K194" i="42" s="1"/>
  <c r="H194" i="42" s="1"/>
  <c r="E193" i="42"/>
  <c r="E201" i="42" s="1"/>
  <c r="G192" i="42"/>
  <c r="K192" i="42" s="1"/>
  <c r="H192" i="42" s="1"/>
  <c r="G191" i="42"/>
  <c r="I191" i="42" s="1"/>
  <c r="H191" i="42" s="1"/>
  <c r="G190" i="42"/>
  <c r="I190" i="42" s="1"/>
  <c r="H190" i="42" s="1"/>
  <c r="G189" i="42"/>
  <c r="L189" i="42" s="1"/>
  <c r="H189" i="42" s="1"/>
  <c r="G188" i="42"/>
  <c r="L188" i="42" s="1"/>
  <c r="H188" i="42" s="1"/>
  <c r="G187" i="42"/>
  <c r="M187" i="42" s="1"/>
  <c r="H187" i="42" s="1"/>
  <c r="G186" i="42"/>
  <c r="L186" i="42" s="1"/>
  <c r="H186" i="42" s="1"/>
  <c r="G185" i="42"/>
  <c r="L185" i="42" s="1"/>
  <c r="G184" i="42"/>
  <c r="I184" i="42" s="1"/>
  <c r="H184" i="42" s="1"/>
  <c r="G183" i="42"/>
  <c r="I183" i="42" s="1"/>
  <c r="H183" i="42" s="1"/>
  <c r="G182" i="42"/>
  <c r="I182" i="42" s="1"/>
  <c r="H182" i="42" s="1"/>
  <c r="G181" i="42"/>
  <c r="I181" i="42" s="1"/>
  <c r="H181" i="42" s="1"/>
  <c r="G180" i="42"/>
  <c r="I180" i="42" s="1"/>
  <c r="H180" i="42" s="1"/>
  <c r="G179" i="42"/>
  <c r="I179" i="42" s="1"/>
  <c r="H179" i="42" s="1"/>
  <c r="G178" i="42"/>
  <c r="I178" i="42" s="1"/>
  <c r="H178" i="42" s="1"/>
  <c r="G177" i="42"/>
  <c r="K177" i="42" s="1"/>
  <c r="H177" i="42" s="1"/>
  <c r="G176" i="42"/>
  <c r="J176" i="42" s="1"/>
  <c r="H176" i="42" s="1"/>
  <c r="G175" i="42"/>
  <c r="I175" i="42" s="1"/>
  <c r="H175" i="42" s="1"/>
  <c r="G174" i="42"/>
  <c r="I174" i="42" s="1"/>
  <c r="H174" i="42" s="1"/>
  <c r="G173" i="42"/>
  <c r="I173" i="42" s="1"/>
  <c r="H173" i="42" s="1"/>
  <c r="G172" i="42"/>
  <c r="I172" i="42" s="1"/>
  <c r="H172" i="42" s="1"/>
  <c r="G171" i="42"/>
  <c r="I171" i="42" s="1"/>
  <c r="H171" i="42" s="1"/>
  <c r="G170" i="42"/>
  <c r="I170" i="42" s="1"/>
  <c r="H170" i="42" s="1"/>
  <c r="G169" i="42"/>
  <c r="I169" i="42" s="1"/>
  <c r="H169" i="42" s="1"/>
  <c r="G168" i="42"/>
  <c r="K168" i="42" s="1"/>
  <c r="H168" i="42" s="1"/>
  <c r="G167" i="42"/>
  <c r="I167" i="42" s="1"/>
  <c r="H167" i="42" s="1"/>
  <c r="G166" i="42"/>
  <c r="I166" i="42" s="1"/>
  <c r="H166" i="42" s="1"/>
  <c r="G165" i="42"/>
  <c r="K165" i="42" s="1"/>
  <c r="H165" i="42" s="1"/>
  <c r="G164" i="42"/>
  <c r="I164" i="42" s="1"/>
  <c r="H164" i="42" s="1"/>
  <c r="G163" i="42"/>
  <c r="K163" i="42" s="1"/>
  <c r="H163" i="42" s="1"/>
  <c r="G162" i="42"/>
  <c r="J162" i="42" s="1"/>
  <c r="H162" i="42" s="1"/>
  <c r="F161" i="42"/>
  <c r="F201" i="42" s="1"/>
  <c r="G160" i="42"/>
  <c r="J160" i="42" s="1"/>
  <c r="H160" i="42" s="1"/>
  <c r="G159" i="42"/>
  <c r="I159" i="42" s="1"/>
  <c r="H159" i="42" s="1"/>
  <c r="G158" i="42"/>
  <c r="I158" i="42" s="1"/>
  <c r="G157" i="42"/>
  <c r="K157" i="42" s="1"/>
  <c r="H157" i="42" s="1"/>
  <c r="G156" i="42"/>
  <c r="K156" i="42" s="1"/>
  <c r="H156" i="42" s="1"/>
  <c r="G155" i="42"/>
  <c r="K155" i="42" s="1"/>
  <c r="H155" i="42" s="1"/>
  <c r="G154" i="42"/>
  <c r="K154" i="42" s="1"/>
  <c r="H154" i="42" s="1"/>
  <c r="G153" i="42"/>
  <c r="K153" i="42" s="1"/>
  <c r="H153" i="42" s="1"/>
  <c r="G152" i="42"/>
  <c r="K152" i="42" s="1"/>
  <c r="H152" i="42" s="1"/>
  <c r="G151" i="42"/>
  <c r="K151" i="42" s="1"/>
  <c r="D146" i="42"/>
  <c r="D309" i="42" s="1"/>
  <c r="G145" i="42"/>
  <c r="K145" i="42" s="1"/>
  <c r="H145" i="42" s="1"/>
  <c r="G144" i="42"/>
  <c r="K144" i="42" s="1"/>
  <c r="H144" i="42" s="1"/>
  <c r="G143" i="42"/>
  <c r="L143" i="42" s="1"/>
  <c r="H143" i="42" s="1"/>
  <c r="G142" i="42"/>
  <c r="L142" i="42" s="1"/>
  <c r="H142" i="42" s="1"/>
  <c r="G141" i="42"/>
  <c r="K141" i="42" s="1"/>
  <c r="H141" i="42" s="1"/>
  <c r="G140" i="42"/>
  <c r="I140" i="42" s="1"/>
  <c r="H140" i="42" s="1"/>
  <c r="G139" i="42"/>
  <c r="J139" i="42" s="1"/>
  <c r="H139" i="42" s="1"/>
  <c r="G138" i="42"/>
  <c r="M138" i="42" s="1"/>
  <c r="H138" i="42" s="1"/>
  <c r="G137" i="42"/>
  <c r="M137" i="42" s="1"/>
  <c r="G136" i="42"/>
  <c r="L136" i="42" s="1"/>
  <c r="H136" i="42" s="1"/>
  <c r="G135" i="42"/>
  <c r="K135" i="42" s="1"/>
  <c r="H135" i="42" s="1"/>
  <c r="G134" i="42"/>
  <c r="J134" i="42" s="1"/>
  <c r="H134" i="42" s="1"/>
  <c r="G133" i="42"/>
  <c r="K133" i="42" s="1"/>
  <c r="H133" i="42" s="1"/>
  <c r="G132" i="42"/>
  <c r="I132" i="42" s="1"/>
  <c r="H132" i="42" s="1"/>
  <c r="G131" i="42"/>
  <c r="K131" i="42" s="1"/>
  <c r="H131" i="42" s="1"/>
  <c r="G130" i="42"/>
  <c r="K130" i="42" s="1"/>
  <c r="H130" i="42" s="1"/>
  <c r="G129" i="42"/>
  <c r="K129" i="42" s="1"/>
  <c r="H129" i="42" s="1"/>
  <c r="G128" i="42"/>
  <c r="I128" i="42" s="1"/>
  <c r="H128" i="42" s="1"/>
  <c r="G127" i="42"/>
  <c r="I127" i="42" s="1"/>
  <c r="H127" i="42" s="1"/>
  <c r="G126" i="42"/>
  <c r="L126" i="42" s="1"/>
  <c r="H126" i="42" s="1"/>
  <c r="G125" i="42"/>
  <c r="L125" i="42" s="1"/>
  <c r="H125" i="42" s="1"/>
  <c r="G124" i="42"/>
  <c r="L124" i="42" s="1"/>
  <c r="F123" i="42"/>
  <c r="G123" i="42" s="1"/>
  <c r="I123" i="42" s="1"/>
  <c r="H123" i="42" s="1"/>
  <c r="G122" i="42"/>
  <c r="I122" i="42" s="1"/>
  <c r="H122" i="42" s="1"/>
  <c r="G121" i="42"/>
  <c r="K121" i="42" s="1"/>
  <c r="H121" i="42" s="1"/>
  <c r="G120" i="42"/>
  <c r="K120" i="42" s="1"/>
  <c r="H120" i="42" s="1"/>
  <c r="G119" i="42"/>
  <c r="J119" i="42" s="1"/>
  <c r="H119" i="42" s="1"/>
  <c r="G118" i="42"/>
  <c r="K118" i="42" s="1"/>
  <c r="H118" i="42" s="1"/>
  <c r="G117" i="42"/>
  <c r="J117" i="42" s="1"/>
  <c r="H117" i="42" s="1"/>
  <c r="G116" i="42"/>
  <c r="I116" i="42" s="1"/>
  <c r="H116" i="42" s="1"/>
  <c r="G115" i="42"/>
  <c r="K115" i="42" s="1"/>
  <c r="H115" i="42" s="1"/>
  <c r="G114" i="42"/>
  <c r="J114" i="42" s="1"/>
  <c r="H114" i="42" s="1"/>
  <c r="G113" i="42"/>
  <c r="K113" i="42" s="1"/>
  <c r="H113" i="42" s="1"/>
  <c r="G112" i="42"/>
  <c r="K112" i="42" s="1"/>
  <c r="H112" i="42" s="1"/>
  <c r="G111" i="42"/>
  <c r="K111" i="42" s="1"/>
  <c r="H111" i="42" s="1"/>
  <c r="G110" i="42"/>
  <c r="K110" i="42" s="1"/>
  <c r="H110" i="42" s="1"/>
  <c r="G109" i="42"/>
  <c r="K109" i="42" s="1"/>
  <c r="H109" i="42" s="1"/>
  <c r="G108" i="42"/>
  <c r="K108" i="42" s="1"/>
  <c r="H108" i="42" s="1"/>
  <c r="G107" i="42"/>
  <c r="K107" i="42" s="1"/>
  <c r="H107" i="42" s="1"/>
  <c r="G106" i="42"/>
  <c r="K106" i="42" s="1"/>
  <c r="H106" i="42" s="1"/>
  <c r="G105" i="42"/>
  <c r="K105" i="42" s="1"/>
  <c r="H105" i="42" s="1"/>
  <c r="G104" i="42"/>
  <c r="K104" i="42" s="1"/>
  <c r="H104" i="42" s="1"/>
  <c r="G103" i="42"/>
  <c r="I103" i="42" s="1"/>
  <c r="H103" i="42" s="1"/>
  <c r="G102" i="42"/>
  <c r="K102" i="42" s="1"/>
  <c r="H102" i="42" s="1"/>
  <c r="G101" i="42"/>
  <c r="K101" i="42" s="1"/>
  <c r="H101" i="42" s="1"/>
  <c r="G100" i="42"/>
  <c r="I100" i="42" s="1"/>
  <c r="H100" i="42" s="1"/>
  <c r="G99" i="42"/>
  <c r="K99" i="42" s="1"/>
  <c r="H99" i="42" s="1"/>
  <c r="G98" i="42"/>
  <c r="I98" i="42" s="1"/>
  <c r="H98" i="42" s="1"/>
  <c r="G97" i="42"/>
  <c r="K97" i="42" s="1"/>
  <c r="H97" i="42" s="1"/>
  <c r="G96" i="42"/>
  <c r="K96" i="42" s="1"/>
  <c r="H96" i="42" s="1"/>
  <c r="G95" i="42"/>
  <c r="K95" i="42" s="1"/>
  <c r="H95" i="42" s="1"/>
  <c r="G94" i="42"/>
  <c r="J94" i="42" s="1"/>
  <c r="H94" i="42" s="1"/>
  <c r="G93" i="42"/>
  <c r="I93" i="42" s="1"/>
  <c r="H93" i="42" s="1"/>
  <c r="G92" i="42"/>
  <c r="K92" i="42" s="1"/>
  <c r="H92" i="42" s="1"/>
  <c r="G91" i="42"/>
  <c r="K91" i="42" s="1"/>
  <c r="H91" i="42" s="1"/>
  <c r="G90" i="42"/>
  <c r="I90" i="42" s="1"/>
  <c r="H90" i="42" s="1"/>
  <c r="G89" i="42"/>
  <c r="K89" i="42" s="1"/>
  <c r="H89" i="42" s="1"/>
  <c r="G88" i="42"/>
  <c r="K88" i="42" s="1"/>
  <c r="H88" i="42" s="1"/>
  <c r="G87" i="42"/>
  <c r="J87" i="42" s="1"/>
  <c r="H87" i="42" s="1"/>
  <c r="G86" i="42"/>
  <c r="K86" i="42" s="1"/>
  <c r="H86" i="42" s="1"/>
  <c r="G85" i="42"/>
  <c r="I85" i="42" s="1"/>
  <c r="H85" i="42" s="1"/>
  <c r="G84" i="42"/>
  <c r="K84" i="42" s="1"/>
  <c r="H84" i="42" s="1"/>
  <c r="G83" i="42"/>
  <c r="K83" i="42" s="1"/>
  <c r="H83" i="42" s="1"/>
  <c r="G82" i="42"/>
  <c r="K82" i="42" s="1"/>
  <c r="H82" i="42" s="1"/>
  <c r="G81" i="42"/>
  <c r="K81" i="42" s="1"/>
  <c r="H81" i="42" s="1"/>
  <c r="G80" i="42"/>
  <c r="I80" i="42" s="1"/>
  <c r="H80" i="42" s="1"/>
  <c r="G79" i="42"/>
  <c r="K79" i="42" s="1"/>
  <c r="H79" i="42" s="1"/>
  <c r="G78" i="42"/>
  <c r="K78" i="42" s="1"/>
  <c r="H78" i="42" s="1"/>
  <c r="G77" i="42"/>
  <c r="J77" i="42" s="1"/>
  <c r="H77" i="42" s="1"/>
  <c r="G76" i="42"/>
  <c r="K76" i="42" s="1"/>
  <c r="H76" i="42" s="1"/>
  <c r="G75" i="42"/>
  <c r="K75" i="42" s="1"/>
  <c r="H75" i="42" s="1"/>
  <c r="G74" i="42"/>
  <c r="K74" i="42" s="1"/>
  <c r="H74" i="42" s="1"/>
  <c r="F73" i="42"/>
  <c r="G72" i="42"/>
  <c r="I72" i="42" s="1"/>
  <c r="H72" i="42" s="1"/>
  <c r="G71" i="42"/>
  <c r="K71" i="42" s="1"/>
  <c r="H71" i="42" s="1"/>
  <c r="G70" i="42"/>
  <c r="J70" i="42" s="1"/>
  <c r="H70" i="42" s="1"/>
  <c r="G69" i="42"/>
  <c r="K69" i="42" s="1"/>
  <c r="H69" i="42" s="1"/>
  <c r="G68" i="42"/>
  <c r="K68" i="42" s="1"/>
  <c r="H68" i="42" s="1"/>
  <c r="G67" i="42"/>
  <c r="K67" i="42" s="1"/>
  <c r="H67" i="42" s="1"/>
  <c r="G66" i="42"/>
  <c r="K66" i="42" s="1"/>
  <c r="H66" i="42" s="1"/>
  <c r="G65" i="42"/>
  <c r="K65" i="42" s="1"/>
  <c r="H65" i="42" s="1"/>
  <c r="G64" i="42"/>
  <c r="K64" i="42" s="1"/>
  <c r="H64" i="42" s="1"/>
  <c r="G63" i="42"/>
  <c r="K63" i="42" s="1"/>
  <c r="H63" i="42" s="1"/>
  <c r="G62" i="42"/>
  <c r="K62" i="42" s="1"/>
  <c r="H62" i="42" s="1"/>
  <c r="G61" i="42"/>
  <c r="K61" i="42" s="1"/>
  <c r="H61" i="42" s="1"/>
  <c r="G60" i="42"/>
  <c r="I60" i="42" s="1"/>
  <c r="H60" i="42" s="1"/>
  <c r="G59" i="42"/>
  <c r="K59" i="42" s="1"/>
  <c r="H59" i="42" s="1"/>
  <c r="G58" i="42"/>
  <c r="K58" i="42" s="1"/>
  <c r="H58" i="42" s="1"/>
  <c r="G57" i="42"/>
  <c r="J57" i="42" s="1"/>
  <c r="H57" i="42" s="1"/>
  <c r="G56" i="42"/>
  <c r="I56" i="42" s="1"/>
  <c r="H56" i="42" s="1"/>
  <c r="G55" i="42"/>
  <c r="K55" i="42" s="1"/>
  <c r="H55" i="42" s="1"/>
  <c r="G54" i="42"/>
  <c r="J54" i="42" s="1"/>
  <c r="H54" i="42" s="1"/>
  <c r="G53" i="42"/>
  <c r="I53" i="42" s="1"/>
  <c r="H53" i="42" s="1"/>
  <c r="G52" i="42"/>
  <c r="K52" i="42" s="1"/>
  <c r="H52" i="42" s="1"/>
  <c r="G51" i="42"/>
  <c r="J51" i="42" s="1"/>
  <c r="H51" i="42" s="1"/>
  <c r="G50" i="42"/>
  <c r="K50" i="42" s="1"/>
  <c r="H50" i="42" s="1"/>
  <c r="G49" i="42"/>
  <c r="K49" i="42" s="1"/>
  <c r="H49" i="42" s="1"/>
  <c r="G48" i="42"/>
  <c r="I48" i="42" s="1"/>
  <c r="G47" i="42"/>
  <c r="K47" i="42" s="1"/>
  <c r="H47" i="42" s="1"/>
  <c r="E46" i="42"/>
  <c r="G45" i="42"/>
  <c r="K45" i="42" s="1"/>
  <c r="H45" i="42" s="1"/>
  <c r="G44" i="42"/>
  <c r="K44" i="42" s="1"/>
  <c r="H44" i="42" s="1"/>
  <c r="G43" i="42"/>
  <c r="K43" i="42" s="1"/>
  <c r="H43" i="42" s="1"/>
  <c r="G42" i="42"/>
  <c r="K42" i="42" s="1"/>
  <c r="H42" i="42" s="1"/>
  <c r="G41" i="42"/>
  <c r="K41" i="42" s="1"/>
  <c r="H41" i="42" s="1"/>
  <c r="G40" i="42"/>
  <c r="K40" i="42" s="1"/>
  <c r="H40" i="42" s="1"/>
  <c r="G39" i="42"/>
  <c r="K39" i="42" s="1"/>
  <c r="H39" i="42" s="1"/>
  <c r="G38" i="42"/>
  <c r="K38" i="42" s="1"/>
  <c r="H38" i="42" s="1"/>
  <c r="G37" i="42"/>
  <c r="K37" i="42" s="1"/>
  <c r="H37" i="42" s="1"/>
  <c r="G36" i="42"/>
  <c r="K36" i="42" s="1"/>
  <c r="H36" i="42" s="1"/>
  <c r="G35" i="42"/>
  <c r="K35" i="42" s="1"/>
  <c r="H35" i="42" s="1"/>
  <c r="G34" i="42"/>
  <c r="K34" i="42" s="1"/>
  <c r="H34" i="42" s="1"/>
  <c r="G33" i="42"/>
  <c r="K33" i="42" s="1"/>
  <c r="H33" i="42" s="1"/>
  <c r="G32" i="42"/>
  <c r="K32" i="42" s="1"/>
  <c r="H32" i="42" s="1"/>
  <c r="G31" i="42"/>
  <c r="K31" i="42" s="1"/>
  <c r="H31" i="42" s="1"/>
  <c r="G30" i="42"/>
  <c r="K30" i="42" s="1"/>
  <c r="H30" i="42" s="1"/>
  <c r="G29" i="42"/>
  <c r="K29" i="42" s="1"/>
  <c r="H29" i="42" s="1"/>
  <c r="G28" i="42"/>
  <c r="K28" i="42" s="1"/>
  <c r="H28" i="42" s="1"/>
  <c r="G27" i="42"/>
  <c r="K27" i="42" s="1"/>
  <c r="H27" i="42" s="1"/>
  <c r="G26" i="42"/>
  <c r="I21" i="42"/>
  <c r="H21" i="42"/>
  <c r="G21" i="42"/>
  <c r="F21" i="42"/>
  <c r="D20" i="42"/>
  <c r="D19" i="42"/>
  <c r="D18" i="42"/>
  <c r="D17" i="42"/>
  <c r="D16" i="42"/>
  <c r="D15" i="42"/>
  <c r="D14" i="42"/>
  <c r="D13" i="42"/>
  <c r="D12" i="42"/>
  <c r="D11" i="42"/>
  <c r="D10" i="42"/>
  <c r="E9" i="42"/>
  <c r="E21" i="42" s="1"/>
  <c r="D9" i="42"/>
  <c r="D21" i="42" l="1"/>
  <c r="L201" i="42"/>
  <c r="H185" i="42"/>
  <c r="G308" i="42"/>
  <c r="H158" i="42"/>
  <c r="K266" i="42"/>
  <c r="H211" i="42"/>
  <c r="L266" i="42"/>
  <c r="H244" i="42"/>
  <c r="M146" i="42"/>
  <c r="H137" i="42"/>
  <c r="D313" i="42"/>
  <c r="D311" i="42"/>
  <c r="K201" i="42"/>
  <c r="H151" i="42"/>
  <c r="L146" i="42"/>
  <c r="H124" i="42"/>
  <c r="K308" i="42"/>
  <c r="H299" i="42"/>
  <c r="E146" i="42"/>
  <c r="E309" i="42" s="1"/>
  <c r="G46" i="42"/>
  <c r="J46" i="42" s="1"/>
  <c r="M201" i="42"/>
  <c r="H208" i="42"/>
  <c r="J266" i="42"/>
  <c r="H283" i="42"/>
  <c r="I308" i="42"/>
  <c r="M266" i="42"/>
  <c r="K26" i="42"/>
  <c r="J201" i="42"/>
  <c r="I206" i="42"/>
  <c r="L308" i="42"/>
  <c r="H301" i="42"/>
  <c r="F146" i="42"/>
  <c r="J272" i="42"/>
  <c r="H272" i="42" s="1"/>
  <c r="H308" i="42" s="1"/>
  <c r="F266" i="42"/>
  <c r="I146" i="42"/>
  <c r="H48" i="42"/>
  <c r="G207" i="42"/>
  <c r="G193" i="42"/>
  <c r="I193" i="42" s="1"/>
  <c r="H193" i="42" s="1"/>
  <c r="G73" i="42"/>
  <c r="G161" i="42"/>
  <c r="I161" i="42" s="1"/>
  <c r="H161" i="42" s="1"/>
  <c r="H210" i="42"/>
  <c r="X104" i="23"/>
  <c r="Y97" i="33"/>
  <c r="C285" i="1"/>
  <c r="D285" i="1"/>
  <c r="E285" i="1"/>
  <c r="F285" i="1"/>
  <c r="G285" i="1"/>
  <c r="C286" i="1"/>
  <c r="D286" i="1"/>
  <c r="E286" i="1"/>
  <c r="F286" i="1"/>
  <c r="G286" i="1"/>
  <c r="C287" i="1"/>
  <c r="D287" i="1"/>
  <c r="E287" i="1"/>
  <c r="F287" i="1"/>
  <c r="G287" i="1"/>
  <c r="C288" i="1"/>
  <c r="D288" i="1"/>
  <c r="E288" i="1"/>
  <c r="F288" i="1"/>
  <c r="G288" i="1"/>
  <c r="C289" i="1"/>
  <c r="D289" i="1"/>
  <c r="E289" i="1"/>
  <c r="F289" i="1"/>
  <c r="G289" i="1"/>
  <c r="C290" i="1"/>
  <c r="D290" i="1"/>
  <c r="E290" i="1"/>
  <c r="F290" i="1"/>
  <c r="G290" i="1"/>
  <c r="C291" i="1"/>
  <c r="D291" i="1"/>
  <c r="E291" i="1"/>
  <c r="F291" i="1"/>
  <c r="G291" i="1"/>
  <c r="C292" i="1"/>
  <c r="D292" i="1"/>
  <c r="E292" i="1"/>
  <c r="F292" i="1"/>
  <c r="G292" i="1"/>
  <c r="C293" i="1"/>
  <c r="D293" i="1"/>
  <c r="E293" i="1"/>
  <c r="F293" i="1"/>
  <c r="G293" i="1"/>
  <c r="C294" i="1"/>
  <c r="D294" i="1"/>
  <c r="E294" i="1"/>
  <c r="F294" i="1"/>
  <c r="G294" i="1"/>
  <c r="C295" i="1"/>
  <c r="D295" i="1"/>
  <c r="E295" i="1"/>
  <c r="F295" i="1"/>
  <c r="G295" i="1"/>
  <c r="C296" i="1"/>
  <c r="D296" i="1"/>
  <c r="E296" i="1"/>
  <c r="F296" i="1"/>
  <c r="G296" i="1"/>
  <c r="C297" i="1"/>
  <c r="D297" i="1"/>
  <c r="E297" i="1"/>
  <c r="F297" i="1"/>
  <c r="G297" i="1"/>
  <c r="C298" i="1"/>
  <c r="D298" i="1"/>
  <c r="E298" i="1"/>
  <c r="F298" i="1"/>
  <c r="G298" i="1"/>
  <c r="C299" i="1"/>
  <c r="D299" i="1"/>
  <c r="E299" i="1"/>
  <c r="F299" i="1"/>
  <c r="G299" i="1"/>
  <c r="C300" i="1"/>
  <c r="D300" i="1"/>
  <c r="E300" i="1"/>
  <c r="F300" i="1"/>
  <c r="G300" i="1"/>
  <c r="C301" i="1"/>
  <c r="D301" i="1"/>
  <c r="E301" i="1"/>
  <c r="F301" i="1"/>
  <c r="G301" i="1"/>
  <c r="C302" i="1"/>
  <c r="D302" i="1"/>
  <c r="E302" i="1"/>
  <c r="F302" i="1"/>
  <c r="G302" i="1"/>
  <c r="C303" i="1"/>
  <c r="D303" i="1"/>
  <c r="E303" i="1"/>
  <c r="F303" i="1"/>
  <c r="G303" i="1"/>
  <c r="C304" i="1"/>
  <c r="D304" i="1"/>
  <c r="E304" i="1"/>
  <c r="F304" i="1"/>
  <c r="G304" i="1"/>
  <c r="C305" i="1"/>
  <c r="D305" i="1"/>
  <c r="E305" i="1"/>
  <c r="F305" i="1"/>
  <c r="G305" i="1"/>
  <c r="C306" i="1"/>
  <c r="D306" i="1"/>
  <c r="E306" i="1"/>
  <c r="F306" i="1"/>
  <c r="G306" i="1"/>
  <c r="C307" i="1"/>
  <c r="D307" i="1"/>
  <c r="E307" i="1"/>
  <c r="F307" i="1"/>
  <c r="G307" i="1"/>
  <c r="C308" i="1"/>
  <c r="D308" i="1"/>
  <c r="E308" i="1"/>
  <c r="F308" i="1"/>
  <c r="G308" i="1"/>
  <c r="C309" i="1"/>
  <c r="D309" i="1"/>
  <c r="E309" i="1"/>
  <c r="F309" i="1"/>
  <c r="G309" i="1"/>
  <c r="X435" i="23"/>
  <c r="Y290" i="21"/>
  <c r="Y289" i="21"/>
  <c r="Y27" i="10"/>
  <c r="Y15" i="6"/>
  <c r="X291" i="34"/>
  <c r="Y66" i="19"/>
  <c r="Y68" i="19"/>
  <c r="Y67" i="19"/>
  <c r="X30" i="23"/>
  <c r="Y30" i="23"/>
  <c r="Z30" i="23" s="1"/>
  <c r="AA29" i="23" s="1"/>
  <c r="AA74" i="23" s="1"/>
  <c r="C196" i="1"/>
  <c r="D196" i="1"/>
  <c r="E196" i="1"/>
  <c r="F196" i="1"/>
  <c r="G196" i="1"/>
  <c r="C197" i="1"/>
  <c r="D197" i="1"/>
  <c r="E197" i="1"/>
  <c r="F197" i="1"/>
  <c r="G197" i="1"/>
  <c r="C198" i="1"/>
  <c r="D198" i="1"/>
  <c r="E198" i="1"/>
  <c r="F198" i="1"/>
  <c r="G198" i="1"/>
  <c r="C199" i="1"/>
  <c r="D199" i="1"/>
  <c r="E199" i="1"/>
  <c r="F199" i="1"/>
  <c r="G199" i="1"/>
  <c r="C200" i="1"/>
  <c r="D200" i="1"/>
  <c r="E200" i="1"/>
  <c r="F200" i="1"/>
  <c r="G200" i="1"/>
  <c r="C201" i="1"/>
  <c r="D201" i="1"/>
  <c r="E201" i="1"/>
  <c r="F201" i="1"/>
  <c r="G201" i="1"/>
  <c r="C202" i="1"/>
  <c r="D202" i="1"/>
  <c r="E202" i="1"/>
  <c r="F202" i="1"/>
  <c r="G202" i="1"/>
  <c r="C203" i="1"/>
  <c r="D203" i="1"/>
  <c r="E203" i="1"/>
  <c r="F203" i="1"/>
  <c r="G203" i="1"/>
  <c r="C204" i="1"/>
  <c r="D204" i="1"/>
  <c r="E204" i="1"/>
  <c r="F204" i="1"/>
  <c r="G204" i="1"/>
  <c r="C205" i="1"/>
  <c r="D205" i="1"/>
  <c r="E205" i="1"/>
  <c r="F205" i="1"/>
  <c r="G205" i="1"/>
  <c r="C206" i="1"/>
  <c r="D206" i="1"/>
  <c r="E206" i="1"/>
  <c r="F206" i="1"/>
  <c r="G206" i="1"/>
  <c r="C207" i="1"/>
  <c r="D207" i="1"/>
  <c r="E207" i="1"/>
  <c r="F207" i="1"/>
  <c r="G207" i="1"/>
  <c r="C208" i="1"/>
  <c r="D208" i="1"/>
  <c r="E208" i="1"/>
  <c r="F208" i="1"/>
  <c r="G208" i="1"/>
  <c r="C209" i="1"/>
  <c r="D209" i="1"/>
  <c r="E209" i="1"/>
  <c r="F209" i="1"/>
  <c r="G209" i="1"/>
  <c r="C210" i="1"/>
  <c r="D210" i="1"/>
  <c r="E210" i="1"/>
  <c r="F210" i="1"/>
  <c r="G210" i="1"/>
  <c r="C211" i="1"/>
  <c r="D211" i="1"/>
  <c r="E211" i="1"/>
  <c r="F211" i="1"/>
  <c r="G211" i="1"/>
  <c r="C212" i="1"/>
  <c r="D212" i="1"/>
  <c r="E212" i="1"/>
  <c r="F212" i="1"/>
  <c r="G212" i="1"/>
  <c r="Z52" i="21"/>
  <c r="AA52" i="21" s="1"/>
  <c r="C319" i="1"/>
  <c r="D319" i="1"/>
  <c r="E319" i="1"/>
  <c r="F319" i="1"/>
  <c r="G319" i="1"/>
  <c r="C320" i="1"/>
  <c r="D320" i="1"/>
  <c r="E320" i="1"/>
  <c r="F320" i="1"/>
  <c r="G320" i="1"/>
  <c r="C321" i="1"/>
  <c r="D321" i="1"/>
  <c r="E321" i="1"/>
  <c r="F321" i="1"/>
  <c r="G321" i="1"/>
  <c r="C322" i="1"/>
  <c r="D322" i="1"/>
  <c r="E322" i="1"/>
  <c r="F322" i="1"/>
  <c r="G322" i="1"/>
  <c r="C323" i="1"/>
  <c r="D323" i="1"/>
  <c r="E323" i="1"/>
  <c r="F323" i="1"/>
  <c r="G323" i="1"/>
  <c r="C324" i="1"/>
  <c r="D324" i="1"/>
  <c r="E324" i="1"/>
  <c r="F324" i="1"/>
  <c r="G324" i="1"/>
  <c r="C325" i="1"/>
  <c r="D325" i="1"/>
  <c r="E325" i="1"/>
  <c r="F325" i="1"/>
  <c r="G325" i="1"/>
  <c r="C326" i="1"/>
  <c r="D326" i="1"/>
  <c r="E326" i="1"/>
  <c r="F326" i="1"/>
  <c r="G326" i="1"/>
  <c r="C327" i="1"/>
  <c r="D327" i="1"/>
  <c r="E327" i="1"/>
  <c r="F327" i="1"/>
  <c r="G327" i="1"/>
  <c r="C328" i="1"/>
  <c r="D328" i="1"/>
  <c r="E328" i="1"/>
  <c r="F328" i="1"/>
  <c r="G328" i="1"/>
  <c r="C329" i="1"/>
  <c r="D329" i="1"/>
  <c r="E329" i="1"/>
  <c r="F329" i="1"/>
  <c r="G329" i="1"/>
  <c r="C330" i="1"/>
  <c r="D330" i="1"/>
  <c r="E330" i="1"/>
  <c r="F330" i="1"/>
  <c r="G330" i="1"/>
  <c r="C331" i="1"/>
  <c r="D331" i="1"/>
  <c r="E331" i="1"/>
  <c r="F331" i="1"/>
  <c r="G331" i="1"/>
  <c r="C332" i="1"/>
  <c r="D332" i="1"/>
  <c r="E332" i="1"/>
  <c r="F332" i="1"/>
  <c r="G332" i="1"/>
  <c r="C333" i="1"/>
  <c r="D333" i="1"/>
  <c r="E333" i="1"/>
  <c r="F333" i="1"/>
  <c r="G333" i="1"/>
  <c r="C334" i="1"/>
  <c r="D334" i="1"/>
  <c r="E334" i="1"/>
  <c r="F334" i="1"/>
  <c r="G334" i="1"/>
  <c r="C335" i="1"/>
  <c r="D335" i="1"/>
  <c r="E335" i="1"/>
  <c r="F335" i="1"/>
  <c r="G335" i="1"/>
  <c r="C336" i="1"/>
  <c r="D336" i="1"/>
  <c r="E336" i="1"/>
  <c r="F336" i="1"/>
  <c r="G336" i="1"/>
  <c r="C337" i="1"/>
  <c r="D337" i="1"/>
  <c r="E337" i="1"/>
  <c r="F337" i="1"/>
  <c r="G337" i="1"/>
  <c r="C338" i="1"/>
  <c r="D338" i="1"/>
  <c r="E338" i="1"/>
  <c r="F338" i="1"/>
  <c r="G338" i="1"/>
  <c r="C339" i="1"/>
  <c r="D339" i="1"/>
  <c r="E339" i="1"/>
  <c r="F339" i="1"/>
  <c r="G339" i="1"/>
  <c r="C41" i="1"/>
  <c r="D41" i="1"/>
  <c r="E41" i="1"/>
  <c r="F41" i="1"/>
  <c r="G41" i="1"/>
  <c r="C42" i="1"/>
  <c r="D42" i="1"/>
  <c r="E42" i="1"/>
  <c r="F42" i="1"/>
  <c r="G42" i="1"/>
  <c r="C43" i="1"/>
  <c r="D43" i="1"/>
  <c r="E43" i="1"/>
  <c r="F43" i="1"/>
  <c r="G43" i="1"/>
  <c r="C44" i="1"/>
  <c r="D44" i="1"/>
  <c r="E44" i="1"/>
  <c r="F44" i="1"/>
  <c r="G44" i="1"/>
  <c r="C45" i="1"/>
  <c r="D45" i="1"/>
  <c r="E45" i="1"/>
  <c r="F45" i="1"/>
  <c r="G45" i="1"/>
  <c r="C46" i="1"/>
  <c r="D46" i="1"/>
  <c r="E46" i="1"/>
  <c r="F46" i="1"/>
  <c r="G46" i="1"/>
  <c r="C40" i="1"/>
  <c r="D40" i="1"/>
  <c r="E40" i="1"/>
  <c r="F40" i="1"/>
  <c r="G40" i="1"/>
  <c r="C38" i="1"/>
  <c r="D38" i="1"/>
  <c r="E38" i="1"/>
  <c r="F38" i="1"/>
  <c r="G38" i="1"/>
  <c r="C39" i="1"/>
  <c r="D39" i="1"/>
  <c r="E39" i="1"/>
  <c r="F39" i="1"/>
  <c r="G39" i="1"/>
  <c r="C52" i="1"/>
  <c r="D52" i="1"/>
  <c r="E52" i="1"/>
  <c r="F52" i="1"/>
  <c r="G52" i="1"/>
  <c r="C53" i="1"/>
  <c r="D53" i="1"/>
  <c r="E53" i="1"/>
  <c r="F53" i="1"/>
  <c r="G53" i="1"/>
  <c r="C54" i="1"/>
  <c r="D54" i="1"/>
  <c r="E54" i="1"/>
  <c r="F54" i="1"/>
  <c r="G54" i="1"/>
  <c r="C55" i="1"/>
  <c r="D55" i="1"/>
  <c r="E55" i="1"/>
  <c r="F55" i="1"/>
  <c r="G55" i="1"/>
  <c r="C56" i="1"/>
  <c r="D56" i="1"/>
  <c r="E56" i="1"/>
  <c r="F56" i="1"/>
  <c r="G56" i="1"/>
  <c r="C57" i="1"/>
  <c r="D57" i="1"/>
  <c r="E57" i="1"/>
  <c r="F57" i="1"/>
  <c r="G57" i="1"/>
  <c r="C58" i="1"/>
  <c r="D58" i="1"/>
  <c r="E58" i="1"/>
  <c r="F58" i="1"/>
  <c r="G58" i="1"/>
  <c r="C59" i="1"/>
  <c r="D59" i="1"/>
  <c r="E59" i="1"/>
  <c r="F59" i="1"/>
  <c r="G59" i="1"/>
  <c r="C60" i="1"/>
  <c r="D60" i="1"/>
  <c r="E60" i="1"/>
  <c r="F60" i="1"/>
  <c r="G60" i="1"/>
  <c r="C61" i="1"/>
  <c r="D61" i="1"/>
  <c r="E61" i="1"/>
  <c r="F61" i="1"/>
  <c r="G61" i="1"/>
  <c r="C62" i="1"/>
  <c r="D62" i="1"/>
  <c r="E62" i="1"/>
  <c r="F62" i="1"/>
  <c r="G62" i="1"/>
  <c r="C63" i="1"/>
  <c r="D63" i="1"/>
  <c r="E63" i="1"/>
  <c r="F63" i="1"/>
  <c r="G63" i="1"/>
  <c r="C64" i="1"/>
  <c r="D64" i="1"/>
  <c r="E64" i="1"/>
  <c r="F64" i="1"/>
  <c r="G64" i="1"/>
  <c r="C65" i="1"/>
  <c r="D65" i="1"/>
  <c r="E65" i="1"/>
  <c r="F65" i="1"/>
  <c r="G65" i="1"/>
  <c r="C66" i="1"/>
  <c r="D66" i="1"/>
  <c r="E66" i="1"/>
  <c r="F66" i="1"/>
  <c r="G66" i="1"/>
  <c r="C67" i="1"/>
  <c r="D67" i="1"/>
  <c r="E67" i="1"/>
  <c r="F67" i="1"/>
  <c r="G67" i="1"/>
  <c r="C68" i="1"/>
  <c r="D68" i="1"/>
  <c r="E68" i="1"/>
  <c r="F68" i="1"/>
  <c r="G68" i="1"/>
  <c r="C51" i="1"/>
  <c r="D51" i="1"/>
  <c r="E51" i="1"/>
  <c r="F51" i="1"/>
  <c r="G51" i="1"/>
  <c r="Y95" i="21"/>
  <c r="C37" i="1"/>
  <c r="D37" i="1"/>
  <c r="E37" i="1"/>
  <c r="F37" i="1"/>
  <c r="G37" i="1"/>
  <c r="AA102" i="19"/>
  <c r="AB101" i="19" s="1"/>
  <c r="Z437" i="19" s="1"/>
  <c r="H196" i="1" s="1"/>
  <c r="Y122" i="21"/>
  <c r="Y73" i="19"/>
  <c r="Z73" i="19"/>
  <c r="AA73" i="19"/>
  <c r="Z122" i="21"/>
  <c r="AA122" i="21" s="1"/>
  <c r="Y71" i="19"/>
  <c r="Y42" i="7"/>
  <c r="Z19" i="6"/>
  <c r="AA19" i="6"/>
  <c r="AB18" i="6" s="1"/>
  <c r="Z132" i="6" s="1"/>
  <c r="Z32" i="7"/>
  <c r="AA32" i="7" s="1"/>
  <c r="AB31" i="7" s="1"/>
  <c r="Z260" i="7" s="1"/>
  <c r="H51" i="1" s="1"/>
  <c r="Z34" i="7"/>
  <c r="AA34" i="7" s="1"/>
  <c r="AB33" i="7"/>
  <c r="Z261" i="7" s="1"/>
  <c r="Y13" i="6"/>
  <c r="Z20" i="7"/>
  <c r="AA20" i="7" s="1"/>
  <c r="AB19" i="7"/>
  <c r="Z272" i="7" s="1"/>
  <c r="H63" i="1" s="1"/>
  <c r="Z17" i="6"/>
  <c r="AA17" i="6" s="1"/>
  <c r="AB16" i="6"/>
  <c r="Z137" i="6" s="1"/>
  <c r="Y15" i="11"/>
  <c r="Z15" i="6"/>
  <c r="AA15" i="6" s="1"/>
  <c r="AB14" i="6"/>
  <c r="Z136" i="6" s="1"/>
  <c r="Z13" i="6"/>
  <c r="AA13" i="6" s="1"/>
  <c r="AB12" i="6" s="1"/>
  <c r="Z135" i="6" s="1"/>
  <c r="Y54" i="22"/>
  <c r="Z54" i="22" s="1"/>
  <c r="Y51" i="22"/>
  <c r="Z51" i="22" s="1"/>
  <c r="Y722" i="22" s="1"/>
  <c r="H305" i="1" s="1"/>
  <c r="Y49" i="22"/>
  <c r="Z49" i="22" s="1"/>
  <c r="Y56" i="22"/>
  <c r="Z56" i="22"/>
  <c r="AA55" i="22" s="1"/>
  <c r="Y724" i="22" s="1"/>
  <c r="Z41" i="21"/>
  <c r="AA41" i="21" s="1"/>
  <c r="Z127" i="21"/>
  <c r="AA127" i="21" s="1"/>
  <c r="Z50" i="21"/>
  <c r="Y84" i="7"/>
  <c r="Z84" i="7" s="1"/>
  <c r="AA84" i="7" s="1"/>
  <c r="AB83" i="7" s="1"/>
  <c r="Z264" i="7" s="1"/>
  <c r="H55" i="1" s="1"/>
  <c r="AA312" i="21"/>
  <c r="Y10" i="6"/>
  <c r="Z10" i="6"/>
  <c r="AA10" i="6" s="1"/>
  <c r="AB9" i="6"/>
  <c r="Z129" i="6" s="1"/>
  <c r="Y235" i="23"/>
  <c r="Z235" i="23" s="1"/>
  <c r="AA234" i="23"/>
  <c r="AA269" i="23" s="1"/>
  <c r="Y174" i="23"/>
  <c r="Z174" i="23" s="1"/>
  <c r="AA173" i="23"/>
  <c r="AA228" i="23" s="1"/>
  <c r="C214" i="1"/>
  <c r="D214" i="1"/>
  <c r="E214" i="1"/>
  <c r="F214" i="1"/>
  <c r="G214" i="1"/>
  <c r="C215" i="1"/>
  <c r="D215" i="1"/>
  <c r="E215" i="1"/>
  <c r="F215" i="1"/>
  <c r="G215" i="1"/>
  <c r="C216" i="1"/>
  <c r="D216" i="1"/>
  <c r="E216" i="1"/>
  <c r="F216" i="1"/>
  <c r="G216" i="1"/>
  <c r="C217" i="1"/>
  <c r="D217" i="1"/>
  <c r="E217" i="1"/>
  <c r="F217" i="1"/>
  <c r="G217" i="1"/>
  <c r="C218" i="1"/>
  <c r="D218" i="1"/>
  <c r="E218" i="1"/>
  <c r="F218" i="1"/>
  <c r="G218" i="1"/>
  <c r="C219" i="1"/>
  <c r="D219" i="1"/>
  <c r="E219" i="1"/>
  <c r="F219" i="1"/>
  <c r="G219" i="1"/>
  <c r="C220" i="1"/>
  <c r="D220" i="1"/>
  <c r="E220" i="1"/>
  <c r="F220" i="1"/>
  <c r="G220" i="1"/>
  <c r="C221" i="1"/>
  <c r="D221" i="1"/>
  <c r="E221" i="1"/>
  <c r="F221" i="1"/>
  <c r="G221" i="1"/>
  <c r="C222" i="1"/>
  <c r="D222" i="1"/>
  <c r="E222" i="1"/>
  <c r="F222" i="1"/>
  <c r="G222" i="1"/>
  <c r="Y224" i="20"/>
  <c r="Z30" i="20"/>
  <c r="C25" i="1"/>
  <c r="D25" i="1"/>
  <c r="E25" i="1"/>
  <c r="F25" i="1"/>
  <c r="G25" i="1"/>
  <c r="C26" i="1"/>
  <c r="D26" i="1"/>
  <c r="E26" i="1"/>
  <c r="F26" i="1"/>
  <c r="G26" i="1"/>
  <c r="Y19" i="4"/>
  <c r="Z19" i="4" s="1"/>
  <c r="AA19" i="4" s="1"/>
  <c r="Y18" i="4"/>
  <c r="Z18" i="4" s="1"/>
  <c r="AA18" i="4" s="1"/>
  <c r="AB17" i="4" s="1"/>
  <c r="Z66" i="4" s="1"/>
  <c r="H25" i="1" s="1"/>
  <c r="Z83" i="19"/>
  <c r="AA83" i="19" s="1"/>
  <c r="Z443" i="19" s="1"/>
  <c r="H202" i="1" s="1"/>
  <c r="Z82" i="19"/>
  <c r="AA82" i="19" s="1"/>
  <c r="Z442" i="19" s="1"/>
  <c r="H201" i="1" s="1"/>
  <c r="Z81" i="19"/>
  <c r="AA81" i="19" s="1"/>
  <c r="Z439" i="19" s="1"/>
  <c r="H198" i="1" s="1"/>
  <c r="Z80" i="19"/>
  <c r="AA80" i="19" s="1"/>
  <c r="Z441" i="19" s="1"/>
  <c r="H200" i="1" s="1"/>
  <c r="Z25" i="20"/>
  <c r="Y61" i="19"/>
  <c r="Y11" i="4"/>
  <c r="Z11" i="4" s="1"/>
  <c r="AA11" i="4" s="1"/>
  <c r="Y200" i="19"/>
  <c r="Y204" i="33"/>
  <c r="X41" i="22"/>
  <c r="Y41" i="22"/>
  <c r="Z41" i="22" s="1"/>
  <c r="AA40" i="22"/>
  <c r="Y717" i="22" s="1"/>
  <c r="H300" i="1" s="1"/>
  <c r="X39" i="22"/>
  <c r="Y39" i="22" s="1"/>
  <c r="Z39" i="22" s="1"/>
  <c r="Y29" i="10"/>
  <c r="Y182" i="10"/>
  <c r="Z170" i="10"/>
  <c r="AA170" i="10"/>
  <c r="Z168" i="10"/>
  <c r="AA168" i="10"/>
  <c r="Z169" i="10"/>
  <c r="AA169" i="10"/>
  <c r="Z171" i="10"/>
  <c r="AA171" i="10"/>
  <c r="Z172" i="10"/>
  <c r="AA172" i="10"/>
  <c r="Z173" i="10"/>
  <c r="AA173" i="10"/>
  <c r="C312" i="1"/>
  <c r="D312" i="1"/>
  <c r="E312" i="1"/>
  <c r="F312" i="1"/>
  <c r="G312" i="1"/>
  <c r="X652" i="23"/>
  <c r="Y652" i="23"/>
  <c r="Z652" i="23" s="1"/>
  <c r="AA651" i="23"/>
  <c r="C340" i="1"/>
  <c r="D340" i="1"/>
  <c r="E340" i="1"/>
  <c r="F340" i="1"/>
  <c r="G340" i="1"/>
  <c r="Y80" i="25"/>
  <c r="Z80" i="25" s="1"/>
  <c r="Y157" i="21"/>
  <c r="Y155" i="21"/>
  <c r="Z155" i="21"/>
  <c r="AA155" i="21"/>
  <c r="AB154" i="21" s="1"/>
  <c r="Z157" i="21"/>
  <c r="AA157" i="21"/>
  <c r="AB156" i="21" s="1"/>
  <c r="C270" i="1"/>
  <c r="D270" i="1"/>
  <c r="E270" i="1"/>
  <c r="F270" i="1"/>
  <c r="G270" i="1"/>
  <c r="Y232" i="21"/>
  <c r="Z232" i="21"/>
  <c r="AA232" i="21" s="1"/>
  <c r="AB231" i="21"/>
  <c r="Z424" i="21" s="1"/>
  <c r="H270" i="1" s="1"/>
  <c r="Y197" i="7"/>
  <c r="Y198" i="7"/>
  <c r="Y199" i="7"/>
  <c r="Y196" i="7"/>
  <c r="Z196" i="7" s="1"/>
  <c r="AA196" i="7"/>
  <c r="Z197" i="7"/>
  <c r="AA197" i="7" s="1"/>
  <c r="Z198" i="7"/>
  <c r="AA198" i="7" s="1"/>
  <c r="Z199" i="7"/>
  <c r="AA199" i="7" s="1"/>
  <c r="Y69" i="25"/>
  <c r="Z123" i="9"/>
  <c r="AA123" i="9" s="1"/>
  <c r="X31" i="34"/>
  <c r="Y241" i="22"/>
  <c r="Z241" i="22"/>
  <c r="Y75" i="19"/>
  <c r="Y25" i="10"/>
  <c r="X56" i="25"/>
  <c r="Y77" i="7"/>
  <c r="Z254" i="33"/>
  <c r="AA254" i="33" s="1"/>
  <c r="Z301" i="21"/>
  <c r="AA301" i="21" s="1"/>
  <c r="Y69" i="19"/>
  <c r="AA68" i="19"/>
  <c r="AB68" i="19"/>
  <c r="Z224" i="20"/>
  <c r="AA224" i="20" s="1"/>
  <c r="Z303" i="20" s="1"/>
  <c r="H218" i="1" s="1"/>
  <c r="Y65" i="21"/>
  <c r="AB223" i="20"/>
  <c r="Y105" i="20"/>
  <c r="Y125" i="21"/>
  <c r="Z125" i="21" s="1"/>
  <c r="AA125" i="21" s="1"/>
  <c r="Z110" i="21"/>
  <c r="AA110" i="21"/>
  <c r="AB109" i="21" s="1"/>
  <c r="Z219" i="33"/>
  <c r="AA219" i="33" s="1"/>
  <c r="AB218" i="33" s="1"/>
  <c r="Y307" i="21"/>
  <c r="Y63" i="21"/>
  <c r="Y61" i="21"/>
  <c r="Y59" i="21"/>
  <c r="Y86" i="21"/>
  <c r="Y59" i="5"/>
  <c r="Y10" i="4"/>
  <c r="Y212" i="33"/>
  <c r="Y15" i="21"/>
  <c r="Y17" i="21"/>
  <c r="Y19" i="21"/>
  <c r="X290" i="22"/>
  <c r="Y353" i="19"/>
  <c r="Z452" i="19"/>
  <c r="H211" i="1" s="1"/>
  <c r="Z79" i="19"/>
  <c r="AA79" i="19" s="1"/>
  <c r="AB78" i="19" s="1"/>
  <c r="C144" i="1"/>
  <c r="D144" i="1"/>
  <c r="E144" i="1"/>
  <c r="F144" i="1"/>
  <c r="G144" i="1"/>
  <c r="Y264" i="33"/>
  <c r="Z264" i="33" s="1"/>
  <c r="AA264" i="33" s="1"/>
  <c r="Y263" i="33"/>
  <c r="Z263" i="33" s="1"/>
  <c r="AA263" i="33" s="1"/>
  <c r="Y262" i="33"/>
  <c r="Z262" i="33" s="1"/>
  <c r="AA262" i="33" s="1"/>
  <c r="Y261" i="33"/>
  <c r="Z261" i="33" s="1"/>
  <c r="AA261" i="33" s="1"/>
  <c r="AB260" i="33" s="1"/>
  <c r="Z327" i="33" s="1"/>
  <c r="H144" i="1" s="1"/>
  <c r="Z353" i="19"/>
  <c r="AA353" i="19" s="1"/>
  <c r="Y89" i="6"/>
  <c r="Y91" i="21"/>
  <c r="Y21" i="21"/>
  <c r="Y278" i="21"/>
  <c r="Y279" i="21"/>
  <c r="AA221" i="33"/>
  <c r="Y66" i="7"/>
  <c r="F76" i="1"/>
  <c r="G76" i="1"/>
  <c r="F77" i="1"/>
  <c r="G77" i="1"/>
  <c r="E76" i="1"/>
  <c r="E77" i="1"/>
  <c r="D76" i="1"/>
  <c r="D77" i="1"/>
  <c r="C76" i="1"/>
  <c r="C77" i="1"/>
  <c r="Y70" i="7"/>
  <c r="Y161" i="26"/>
  <c r="Z161" i="26" s="1"/>
  <c r="Y124" i="26"/>
  <c r="Z124" i="26" s="1"/>
  <c r="Y126" i="26"/>
  <c r="Y125" i="26"/>
  <c r="Z125" i="26"/>
  <c r="Z126" i="26"/>
  <c r="Y120" i="26"/>
  <c r="Z120" i="26" s="1"/>
  <c r="X63" i="22"/>
  <c r="Y63" i="22" s="1"/>
  <c r="X66" i="22"/>
  <c r="Y64" i="22"/>
  <c r="Z64" i="22" s="1"/>
  <c r="Y67" i="25"/>
  <c r="Y191" i="22"/>
  <c r="Z191" i="22" s="1"/>
  <c r="AA190" i="22" s="1"/>
  <c r="AA31" i="22"/>
  <c r="Y209" i="19"/>
  <c r="Y33" i="19"/>
  <c r="AB53" i="33"/>
  <c r="Z70" i="33"/>
  <c r="Z40" i="7"/>
  <c r="AA40" i="7" s="1"/>
  <c r="Z316" i="21"/>
  <c r="AA316" i="21" s="1"/>
  <c r="Y40" i="21"/>
  <c r="Y13" i="4"/>
  <c r="Y104" i="23"/>
  <c r="Z104" i="23" s="1"/>
  <c r="AA103" i="23" s="1"/>
  <c r="Z66" i="21"/>
  <c r="AA66" i="21" s="1"/>
  <c r="AB60" i="19"/>
  <c r="Y158" i="26"/>
  <c r="Z158" i="26"/>
  <c r="Y157" i="26"/>
  <c r="Z157" i="26" s="1"/>
  <c r="AA156" i="26" s="1"/>
  <c r="Y389" i="26" s="1"/>
  <c r="Z34" i="8"/>
  <c r="AA34" i="8" s="1"/>
  <c r="AB33" i="8" s="1"/>
  <c r="Z155" i="8" s="1"/>
  <c r="H76" i="1" s="1"/>
  <c r="Z32" i="8"/>
  <c r="AA32" i="8" s="1"/>
  <c r="Z31" i="8"/>
  <c r="AA31" i="8" s="1"/>
  <c r="Z30" i="8"/>
  <c r="AA30" i="8" s="1"/>
  <c r="AB29" i="8" s="1"/>
  <c r="Z156" i="8" s="1"/>
  <c r="H77" i="1" s="1"/>
  <c r="X207" i="22"/>
  <c r="Y207" i="22" s="1"/>
  <c r="Z207" i="22"/>
  <c r="X206" i="22"/>
  <c r="Y206" i="22" s="1"/>
  <c r="Z206" i="22" s="1"/>
  <c r="X205" i="22"/>
  <c r="Y205" i="22"/>
  <c r="Z205" i="22" s="1"/>
  <c r="Z77" i="7"/>
  <c r="AA77" i="7" s="1"/>
  <c r="AB76" i="7" s="1"/>
  <c r="Z274" i="7" s="1"/>
  <c r="E155" i="40"/>
  <c r="E154" i="40"/>
  <c r="D154" i="40"/>
  <c r="E149" i="40"/>
  <c r="E157" i="40" s="1"/>
  <c r="D148" i="40"/>
  <c r="E135" i="40"/>
  <c r="D135" i="40"/>
  <c r="E133" i="40"/>
  <c r="D133" i="40"/>
  <c r="E131" i="40"/>
  <c r="D131" i="40"/>
  <c r="E122" i="40"/>
  <c r="E120" i="40"/>
  <c r="D120" i="40"/>
  <c r="E114" i="40"/>
  <c r="D113" i="40"/>
  <c r="D112" i="40"/>
  <c r="E111" i="40"/>
  <c r="E138" i="40" s="1"/>
  <c r="D111" i="40"/>
  <c r="D138" i="40" s="1"/>
  <c r="E103" i="40"/>
  <c r="D102" i="40"/>
  <c r="E92" i="40"/>
  <c r="D87" i="40"/>
  <c r="D106" i="40" s="1"/>
  <c r="E85" i="40"/>
  <c r="E84" i="40"/>
  <c r="E81" i="40"/>
  <c r="E106" i="40" s="1"/>
  <c r="E74" i="40"/>
  <c r="D74" i="40"/>
  <c r="E71" i="40"/>
  <c r="D71" i="40"/>
  <c r="E69" i="40"/>
  <c r="D69" i="40"/>
  <c r="E68" i="40"/>
  <c r="E62" i="40"/>
  <c r="D62" i="40"/>
  <c r="E59" i="40"/>
  <c r="E58" i="40"/>
  <c r="E50" i="40"/>
  <c r="D45" i="40"/>
  <c r="D44" i="40"/>
  <c r="D42" i="40"/>
  <c r="D41" i="40"/>
  <c r="D39" i="40"/>
  <c r="E37" i="40"/>
  <c r="D31" i="40"/>
  <c r="D76" i="40" s="1"/>
  <c r="E27" i="40"/>
  <c r="E76" i="40" s="1"/>
  <c r="E158" i="40" s="1"/>
  <c r="D10" i="40"/>
  <c r="E364" i="39"/>
  <c r="D364" i="39"/>
  <c r="F364" i="39" s="1"/>
  <c r="E363" i="39"/>
  <c r="D363" i="39"/>
  <c r="F363" i="39" s="1"/>
  <c r="E362" i="39"/>
  <c r="E365" i="39" s="1"/>
  <c r="D362" i="39"/>
  <c r="E357" i="39"/>
  <c r="D357" i="39"/>
  <c r="E356" i="39"/>
  <c r="D356" i="39"/>
  <c r="F356" i="39" s="1"/>
  <c r="E355" i="39"/>
  <c r="D355" i="39"/>
  <c r="D358" i="39" s="1"/>
  <c r="E350" i="39"/>
  <c r="D350" i="39"/>
  <c r="E348" i="39"/>
  <c r="D348" i="39"/>
  <c r="E347" i="39"/>
  <c r="D347" i="39"/>
  <c r="E346" i="39"/>
  <c r="D346" i="39"/>
  <c r="D344" i="39"/>
  <c r="E338" i="39"/>
  <c r="D338" i="39"/>
  <c r="E337" i="39"/>
  <c r="D337" i="39"/>
  <c r="E330" i="39"/>
  <c r="D330" i="39"/>
  <c r="F330" i="39" s="1"/>
  <c r="E329" i="39"/>
  <c r="D329" i="39"/>
  <c r="F329" i="39" s="1"/>
  <c r="D328" i="39"/>
  <c r="E327" i="39"/>
  <c r="D327" i="39"/>
  <c r="M301" i="39"/>
  <c r="D301" i="39"/>
  <c r="G300" i="39"/>
  <c r="K300" i="39" s="1"/>
  <c r="H300" i="39" s="1"/>
  <c r="F299" i="39"/>
  <c r="G299" i="39" s="1"/>
  <c r="K299" i="39" s="1"/>
  <c r="H299" i="39" s="1"/>
  <c r="F298" i="39"/>
  <c r="E298" i="39"/>
  <c r="G297" i="39"/>
  <c r="I297" i="39" s="1"/>
  <c r="H297" i="39" s="1"/>
  <c r="G296" i="39"/>
  <c r="K296" i="39" s="1"/>
  <c r="H296" i="39" s="1"/>
  <c r="G295" i="39"/>
  <c r="J295" i="39" s="1"/>
  <c r="H295" i="39" s="1"/>
  <c r="G294" i="39"/>
  <c r="L294" i="39" s="1"/>
  <c r="L301" i="39" s="1"/>
  <c r="G293" i="39"/>
  <c r="K293" i="39" s="1"/>
  <c r="G292" i="39"/>
  <c r="K292" i="39" s="1"/>
  <c r="H292" i="39" s="1"/>
  <c r="G291" i="39"/>
  <c r="J291" i="39" s="1"/>
  <c r="H291" i="39" s="1"/>
  <c r="G290" i="39"/>
  <c r="I290" i="39" s="1"/>
  <c r="H290" i="39" s="1"/>
  <c r="G289" i="39"/>
  <c r="J289" i="39" s="1"/>
  <c r="H289" i="39" s="1"/>
  <c r="F288" i="39"/>
  <c r="F301" i="39" s="1"/>
  <c r="G287" i="39"/>
  <c r="J287" i="39" s="1"/>
  <c r="H287" i="39" s="1"/>
  <c r="G286" i="39"/>
  <c r="J286" i="39" s="1"/>
  <c r="H286" i="39" s="1"/>
  <c r="G285" i="39"/>
  <c r="J285" i="39" s="1"/>
  <c r="H285" i="39" s="1"/>
  <c r="G284" i="39"/>
  <c r="J284" i="39" s="1"/>
  <c r="H284" i="39" s="1"/>
  <c r="G283" i="39"/>
  <c r="J283" i="39" s="1"/>
  <c r="H283" i="39" s="1"/>
  <c r="G282" i="39"/>
  <c r="J282" i="39" s="1"/>
  <c r="H282" i="39" s="1"/>
  <c r="G281" i="39"/>
  <c r="J281" i="39" s="1"/>
  <c r="H281" i="39" s="1"/>
  <c r="E280" i="39"/>
  <c r="G279" i="39"/>
  <c r="J279" i="39" s="1"/>
  <c r="H279" i="39" s="1"/>
  <c r="G278" i="39"/>
  <c r="J278" i="39" s="1"/>
  <c r="H278" i="39" s="1"/>
  <c r="G277" i="39"/>
  <c r="J277" i="39" s="1"/>
  <c r="H277" i="39" s="1"/>
  <c r="G276" i="39"/>
  <c r="I276" i="39" s="1"/>
  <c r="G275" i="39"/>
  <c r="J275" i="39" s="1"/>
  <c r="H275" i="39" s="1"/>
  <c r="G274" i="39"/>
  <c r="J274" i="39" s="1"/>
  <c r="H274" i="39" s="1"/>
  <c r="G273" i="39"/>
  <c r="J273" i="39" s="1"/>
  <c r="H273" i="39" s="1"/>
  <c r="G272" i="39"/>
  <c r="J272" i="39" s="1"/>
  <c r="H272" i="39" s="1"/>
  <c r="G271" i="39"/>
  <c r="J271" i="39" s="1"/>
  <c r="H271" i="39" s="1"/>
  <c r="G270" i="39"/>
  <c r="J270" i="39" s="1"/>
  <c r="H270" i="39" s="1"/>
  <c r="G269" i="39"/>
  <c r="J269" i="39" s="1"/>
  <c r="H269" i="39" s="1"/>
  <c r="G268" i="39"/>
  <c r="J268" i="39" s="1"/>
  <c r="H268" i="39" s="1"/>
  <c r="G267" i="39"/>
  <c r="J267" i="39" s="1"/>
  <c r="H267" i="39" s="1"/>
  <c r="G266" i="39"/>
  <c r="J266" i="39" s="1"/>
  <c r="H266" i="39" s="1"/>
  <c r="G265" i="39"/>
  <c r="G264" i="39"/>
  <c r="J264" i="39" s="1"/>
  <c r="D259" i="39"/>
  <c r="D260" i="39" s="1"/>
  <c r="G258" i="39"/>
  <c r="K258" i="39" s="1"/>
  <c r="H258" i="39" s="1"/>
  <c r="G257" i="39"/>
  <c r="J257" i="39" s="1"/>
  <c r="H257" i="39" s="1"/>
  <c r="G256" i="39"/>
  <c r="M256" i="39" s="1"/>
  <c r="H256" i="39" s="1"/>
  <c r="G255" i="39"/>
  <c r="L255" i="39" s="1"/>
  <c r="H255" i="39" s="1"/>
  <c r="F254" i="39"/>
  <c r="E254" i="39"/>
  <c r="G254" i="39" s="1"/>
  <c r="K254" i="39" s="1"/>
  <c r="H254" i="39" s="1"/>
  <c r="G253" i="39"/>
  <c r="J253" i="39" s="1"/>
  <c r="H253" i="39" s="1"/>
  <c r="G252" i="39"/>
  <c r="I252" i="39" s="1"/>
  <c r="H252" i="39" s="1"/>
  <c r="G251" i="39"/>
  <c r="I251" i="39" s="1"/>
  <c r="H251" i="39" s="1"/>
  <c r="G250" i="39"/>
  <c r="M250" i="39" s="1"/>
  <c r="H250" i="39" s="1"/>
  <c r="F249" i="39"/>
  <c r="E249" i="39"/>
  <c r="G249" i="39" s="1"/>
  <c r="K249" i="39" s="1"/>
  <c r="H249" i="39" s="1"/>
  <c r="G248" i="39"/>
  <c r="J248" i="39" s="1"/>
  <c r="H248" i="39" s="1"/>
  <c r="G247" i="39"/>
  <c r="I247" i="39" s="1"/>
  <c r="H247" i="39" s="1"/>
  <c r="F246" i="39"/>
  <c r="E331" i="39" s="1"/>
  <c r="E246" i="39"/>
  <c r="G245" i="39"/>
  <c r="I245" i="39" s="1"/>
  <c r="H245" i="39" s="1"/>
  <c r="G244" i="39"/>
  <c r="K244" i="39" s="1"/>
  <c r="H244" i="39" s="1"/>
  <c r="G243" i="39"/>
  <c r="J243" i="39" s="1"/>
  <c r="H243" i="39" s="1"/>
  <c r="G242" i="39"/>
  <c r="I242" i="39" s="1"/>
  <c r="H242" i="39" s="1"/>
  <c r="G241" i="39"/>
  <c r="I241" i="39" s="1"/>
  <c r="H241" i="39" s="1"/>
  <c r="G240" i="39"/>
  <c r="K240" i="39" s="1"/>
  <c r="H240" i="39" s="1"/>
  <c r="G239" i="39"/>
  <c r="L239" i="39" s="1"/>
  <c r="H239" i="39" s="1"/>
  <c r="G238" i="39"/>
  <c r="M238" i="39" s="1"/>
  <c r="H238" i="39" s="1"/>
  <c r="G237" i="39"/>
  <c r="L237" i="39" s="1"/>
  <c r="L259" i="39" s="1"/>
  <c r="G236" i="39"/>
  <c r="I236" i="39" s="1"/>
  <c r="H236" i="39" s="1"/>
  <c r="G235" i="39"/>
  <c r="I235" i="39" s="1"/>
  <c r="H235" i="39" s="1"/>
  <c r="G234" i="39"/>
  <c r="J234" i="39" s="1"/>
  <c r="H234" i="39" s="1"/>
  <c r="G233" i="39"/>
  <c r="J233" i="39" s="1"/>
  <c r="H233" i="39" s="1"/>
  <c r="G232" i="39"/>
  <c r="J232" i="39" s="1"/>
  <c r="H232" i="39" s="1"/>
  <c r="G231" i="39"/>
  <c r="I231" i="39" s="1"/>
  <c r="H231" i="39" s="1"/>
  <c r="G230" i="39"/>
  <c r="J230" i="39" s="1"/>
  <c r="H230" i="39" s="1"/>
  <c r="G229" i="39"/>
  <c r="J229" i="39" s="1"/>
  <c r="H229" i="39" s="1"/>
  <c r="F228" i="39"/>
  <c r="G228" i="39" s="1"/>
  <c r="J228" i="39" s="1"/>
  <c r="H228" i="39" s="1"/>
  <c r="G227" i="39"/>
  <c r="K227" i="39" s="1"/>
  <c r="H227" i="39" s="1"/>
  <c r="G226" i="39"/>
  <c r="J226" i="39" s="1"/>
  <c r="H226" i="39" s="1"/>
  <c r="G225" i="39"/>
  <c r="K225" i="39" s="1"/>
  <c r="H225" i="39" s="1"/>
  <c r="G224" i="39"/>
  <c r="K224" i="39" s="1"/>
  <c r="H224" i="39" s="1"/>
  <c r="G223" i="39"/>
  <c r="K223" i="39" s="1"/>
  <c r="H223" i="39" s="1"/>
  <c r="G222" i="39"/>
  <c r="I222" i="39" s="1"/>
  <c r="H222" i="39" s="1"/>
  <c r="G221" i="39"/>
  <c r="I221" i="39" s="1"/>
  <c r="H221" i="39" s="1"/>
  <c r="F220" i="39"/>
  <c r="E220" i="39"/>
  <c r="G219" i="39"/>
  <c r="I219" i="39" s="1"/>
  <c r="H219" i="39" s="1"/>
  <c r="G218" i="39"/>
  <c r="J218" i="39" s="1"/>
  <c r="H218" i="39" s="1"/>
  <c r="G217" i="39"/>
  <c r="I217" i="39" s="1"/>
  <c r="H217" i="39" s="1"/>
  <c r="G216" i="39"/>
  <c r="I216" i="39" s="1"/>
  <c r="H216" i="39" s="1"/>
  <c r="G215" i="39"/>
  <c r="J215" i="39" s="1"/>
  <c r="H215" i="39" s="1"/>
  <c r="G214" i="39"/>
  <c r="I214" i="39" s="1"/>
  <c r="H214" i="39" s="1"/>
  <c r="G213" i="39"/>
  <c r="K213" i="39" s="1"/>
  <c r="H213" i="39" s="1"/>
  <c r="G212" i="39"/>
  <c r="K212" i="39" s="1"/>
  <c r="H212" i="39" s="1"/>
  <c r="G211" i="39"/>
  <c r="J211" i="39" s="1"/>
  <c r="H211" i="39" s="1"/>
  <c r="F210" i="39"/>
  <c r="G210" i="39" s="1"/>
  <c r="I210" i="39" s="1"/>
  <c r="H210" i="39" s="1"/>
  <c r="G209" i="39"/>
  <c r="K209" i="39" s="1"/>
  <c r="H209" i="39" s="1"/>
  <c r="E208" i="39"/>
  <c r="G208" i="39" s="1"/>
  <c r="I208" i="39" s="1"/>
  <c r="H208" i="39" s="1"/>
  <c r="G207" i="39"/>
  <c r="I207" i="39" s="1"/>
  <c r="H207" i="39" s="1"/>
  <c r="G206" i="39"/>
  <c r="K206" i="39" s="1"/>
  <c r="G205" i="39"/>
  <c r="I205" i="39" s="1"/>
  <c r="H205" i="39" s="1"/>
  <c r="G204" i="39"/>
  <c r="K204" i="39" s="1"/>
  <c r="H204" i="39" s="1"/>
  <c r="G203" i="39"/>
  <c r="M203" i="39" s="1"/>
  <c r="G202" i="39"/>
  <c r="I202" i="39" s="1"/>
  <c r="H202" i="39" s="1"/>
  <c r="E201" i="39"/>
  <c r="D336" i="39" s="1"/>
  <c r="D339" i="39" s="1"/>
  <c r="F200" i="39"/>
  <c r="F259" i="39" s="1"/>
  <c r="E200" i="39"/>
  <c r="G199" i="39"/>
  <c r="I199" i="39" s="1"/>
  <c r="H199" i="39" s="1"/>
  <c r="D194" i="39"/>
  <c r="G193" i="39"/>
  <c r="K193" i="39" s="1"/>
  <c r="H193" i="39" s="1"/>
  <c r="G192" i="39"/>
  <c r="I192" i="39" s="1"/>
  <c r="H192" i="39" s="1"/>
  <c r="F191" i="39"/>
  <c r="G191" i="39" s="1"/>
  <c r="K191" i="39" s="1"/>
  <c r="H191" i="39" s="1"/>
  <c r="G190" i="39"/>
  <c r="M190" i="39" s="1"/>
  <c r="H190" i="39" s="1"/>
  <c r="G189" i="39"/>
  <c r="L189" i="39" s="1"/>
  <c r="H189" i="39" s="1"/>
  <c r="G188" i="39"/>
  <c r="I188" i="39" s="1"/>
  <c r="H188" i="39" s="1"/>
  <c r="E187" i="39"/>
  <c r="G187" i="39" s="1"/>
  <c r="K187" i="39" s="1"/>
  <c r="H187" i="39" s="1"/>
  <c r="G186" i="39"/>
  <c r="I186" i="39" s="1"/>
  <c r="H186" i="39" s="1"/>
  <c r="G185" i="39"/>
  <c r="K185" i="39" s="1"/>
  <c r="H185" i="39" s="1"/>
  <c r="G184" i="39"/>
  <c r="I184" i="39" s="1"/>
  <c r="H184" i="39" s="1"/>
  <c r="G183" i="39"/>
  <c r="I183" i="39" s="1"/>
  <c r="H183" i="39" s="1"/>
  <c r="G182" i="39"/>
  <c r="L182" i="39" s="1"/>
  <c r="H182" i="39" s="1"/>
  <c r="G181" i="39"/>
  <c r="L181" i="39" s="1"/>
  <c r="H181" i="39" s="1"/>
  <c r="G180" i="39"/>
  <c r="M180" i="39" s="1"/>
  <c r="M194" i="39" s="1"/>
  <c r="G179" i="39"/>
  <c r="L179" i="39" s="1"/>
  <c r="H179" i="39" s="1"/>
  <c r="G178" i="39"/>
  <c r="L178" i="39" s="1"/>
  <c r="H178" i="39" s="1"/>
  <c r="G177" i="39"/>
  <c r="I177" i="39" s="1"/>
  <c r="H177" i="39" s="1"/>
  <c r="G176" i="39"/>
  <c r="I176" i="39" s="1"/>
  <c r="H176" i="39" s="1"/>
  <c r="G175" i="39"/>
  <c r="I175" i="39" s="1"/>
  <c r="H175" i="39" s="1"/>
  <c r="G174" i="39"/>
  <c r="I174" i="39" s="1"/>
  <c r="H174" i="39" s="1"/>
  <c r="G173" i="39"/>
  <c r="I173" i="39" s="1"/>
  <c r="H173" i="39" s="1"/>
  <c r="G172" i="39"/>
  <c r="I172" i="39" s="1"/>
  <c r="H172" i="39" s="1"/>
  <c r="G171" i="39"/>
  <c r="I171" i="39" s="1"/>
  <c r="H171" i="39" s="1"/>
  <c r="G170" i="39"/>
  <c r="K170" i="39" s="1"/>
  <c r="H170" i="39" s="1"/>
  <c r="G169" i="39"/>
  <c r="J169" i="39" s="1"/>
  <c r="H169" i="39" s="1"/>
  <c r="G168" i="39"/>
  <c r="I168" i="39" s="1"/>
  <c r="H168" i="39" s="1"/>
  <c r="G167" i="39"/>
  <c r="I167" i="39" s="1"/>
  <c r="H167" i="39" s="1"/>
  <c r="G166" i="39"/>
  <c r="I166" i="39" s="1"/>
  <c r="H166" i="39" s="1"/>
  <c r="G165" i="39"/>
  <c r="I165" i="39" s="1"/>
  <c r="H165" i="39" s="1"/>
  <c r="G164" i="39"/>
  <c r="I164" i="39" s="1"/>
  <c r="H164" i="39" s="1"/>
  <c r="F163" i="39"/>
  <c r="G163" i="39" s="1"/>
  <c r="I163" i="39" s="1"/>
  <c r="H163" i="39" s="1"/>
  <c r="G162" i="39"/>
  <c r="K162" i="39" s="1"/>
  <c r="H162" i="39" s="1"/>
  <c r="G161" i="39"/>
  <c r="I161" i="39" s="1"/>
  <c r="H161" i="39" s="1"/>
  <c r="G160" i="39"/>
  <c r="I160" i="39" s="1"/>
  <c r="H160" i="39" s="1"/>
  <c r="G159" i="39"/>
  <c r="K159" i="39" s="1"/>
  <c r="H159" i="39" s="1"/>
  <c r="G158" i="39"/>
  <c r="I158" i="39" s="1"/>
  <c r="H158" i="39" s="1"/>
  <c r="G157" i="39"/>
  <c r="K157" i="39" s="1"/>
  <c r="H157" i="39" s="1"/>
  <c r="G156" i="39"/>
  <c r="J156" i="39" s="1"/>
  <c r="H156" i="39" s="1"/>
  <c r="E155" i="39"/>
  <c r="G154" i="39"/>
  <c r="J154" i="39" s="1"/>
  <c r="H154" i="39" s="1"/>
  <c r="F153" i="39"/>
  <c r="G153" i="39" s="1"/>
  <c r="I153" i="39" s="1"/>
  <c r="H153" i="39" s="1"/>
  <c r="F152" i="39"/>
  <c r="G152" i="39" s="1"/>
  <c r="I152" i="39" s="1"/>
  <c r="G151" i="39"/>
  <c r="K151" i="39" s="1"/>
  <c r="H151" i="39" s="1"/>
  <c r="G150" i="39"/>
  <c r="K150" i="39" s="1"/>
  <c r="H150" i="39" s="1"/>
  <c r="G149" i="39"/>
  <c r="K149" i="39" s="1"/>
  <c r="H149" i="39" s="1"/>
  <c r="G148" i="39"/>
  <c r="K148" i="39" s="1"/>
  <c r="H148" i="39" s="1"/>
  <c r="G147" i="39"/>
  <c r="K147" i="39" s="1"/>
  <c r="H147" i="39" s="1"/>
  <c r="G146" i="39"/>
  <c r="K146" i="39" s="1"/>
  <c r="H146" i="39" s="1"/>
  <c r="F145" i="39"/>
  <c r="D140" i="39"/>
  <c r="D302" i="39" s="1"/>
  <c r="G139" i="39"/>
  <c r="K139" i="39" s="1"/>
  <c r="H139" i="39" s="1"/>
  <c r="G138" i="39"/>
  <c r="K138" i="39" s="1"/>
  <c r="H138" i="39" s="1"/>
  <c r="G137" i="39"/>
  <c r="L137" i="39" s="1"/>
  <c r="H137" i="39" s="1"/>
  <c r="G136" i="39"/>
  <c r="L136" i="39" s="1"/>
  <c r="H136" i="39" s="1"/>
  <c r="F135" i="39"/>
  <c r="E135" i="39"/>
  <c r="G135" i="39" s="1"/>
  <c r="K135" i="39" s="1"/>
  <c r="H135" i="39" s="1"/>
  <c r="G134" i="39"/>
  <c r="I134" i="39" s="1"/>
  <c r="H134" i="39" s="1"/>
  <c r="G133" i="39"/>
  <c r="J133" i="39" s="1"/>
  <c r="H133" i="39" s="1"/>
  <c r="G132" i="39"/>
  <c r="M132" i="39" s="1"/>
  <c r="H132" i="39" s="1"/>
  <c r="G131" i="39"/>
  <c r="M131" i="39" s="1"/>
  <c r="G130" i="39"/>
  <c r="L130" i="39" s="1"/>
  <c r="H130" i="39" s="1"/>
  <c r="F129" i="39"/>
  <c r="E129" i="39"/>
  <c r="G128" i="39"/>
  <c r="J128" i="39" s="1"/>
  <c r="H128" i="39" s="1"/>
  <c r="F127" i="39"/>
  <c r="E127" i="39"/>
  <c r="G126" i="39"/>
  <c r="I126" i="39" s="1"/>
  <c r="H126" i="39" s="1"/>
  <c r="G125" i="39"/>
  <c r="L125" i="39" s="1"/>
  <c r="H125" i="39" s="1"/>
  <c r="G124" i="39"/>
  <c r="L124" i="39" s="1"/>
  <c r="H124" i="39" s="1"/>
  <c r="G123" i="39"/>
  <c r="L123" i="39" s="1"/>
  <c r="F122" i="39"/>
  <c r="G121" i="39"/>
  <c r="I121" i="39" s="1"/>
  <c r="H121" i="39" s="1"/>
  <c r="G120" i="39"/>
  <c r="K120" i="39" s="1"/>
  <c r="H120" i="39" s="1"/>
  <c r="G119" i="39"/>
  <c r="K119" i="39" s="1"/>
  <c r="H119" i="39" s="1"/>
  <c r="G118" i="39"/>
  <c r="J118" i="39" s="1"/>
  <c r="H118" i="39" s="1"/>
  <c r="G117" i="39"/>
  <c r="K117" i="39" s="1"/>
  <c r="H117" i="39" s="1"/>
  <c r="G116" i="39"/>
  <c r="J116" i="39" s="1"/>
  <c r="H116" i="39" s="1"/>
  <c r="G115" i="39"/>
  <c r="I115" i="39" s="1"/>
  <c r="H115" i="39" s="1"/>
  <c r="G114" i="39"/>
  <c r="K114" i="39" s="1"/>
  <c r="H114" i="39" s="1"/>
  <c r="G113" i="39"/>
  <c r="J113" i="39" s="1"/>
  <c r="H113" i="39" s="1"/>
  <c r="G112" i="39"/>
  <c r="K112" i="39" s="1"/>
  <c r="H112" i="39" s="1"/>
  <c r="G111" i="39"/>
  <c r="K111" i="39" s="1"/>
  <c r="H111" i="39" s="1"/>
  <c r="F110" i="39"/>
  <c r="E110" i="39"/>
  <c r="G110" i="39" s="1"/>
  <c r="K110" i="39" s="1"/>
  <c r="H110" i="39" s="1"/>
  <c r="G109" i="39"/>
  <c r="K109" i="39" s="1"/>
  <c r="H109" i="39" s="1"/>
  <c r="G108" i="39"/>
  <c r="K108" i="39" s="1"/>
  <c r="H108" i="39" s="1"/>
  <c r="G107" i="39"/>
  <c r="K107" i="39" s="1"/>
  <c r="H107" i="39" s="1"/>
  <c r="G106" i="39"/>
  <c r="K106" i="39" s="1"/>
  <c r="H106" i="39" s="1"/>
  <c r="G105" i="39"/>
  <c r="K105" i="39" s="1"/>
  <c r="H105" i="39" s="1"/>
  <c r="G104" i="39"/>
  <c r="K104" i="39" s="1"/>
  <c r="H104" i="39" s="1"/>
  <c r="G103" i="39"/>
  <c r="K103" i="39" s="1"/>
  <c r="H103" i="39" s="1"/>
  <c r="F102" i="39"/>
  <c r="E326" i="39" s="1"/>
  <c r="G101" i="39"/>
  <c r="K101" i="39" s="1"/>
  <c r="H101" i="39" s="1"/>
  <c r="F100" i="39"/>
  <c r="G100" i="39" s="1"/>
  <c r="K100" i="39" s="1"/>
  <c r="H100" i="39" s="1"/>
  <c r="G99" i="39"/>
  <c r="I99" i="39" s="1"/>
  <c r="H99" i="39" s="1"/>
  <c r="G98" i="39"/>
  <c r="K98" i="39" s="1"/>
  <c r="H98" i="39" s="1"/>
  <c r="G97" i="39"/>
  <c r="K97" i="39" s="1"/>
  <c r="H97" i="39" s="1"/>
  <c r="G96" i="39"/>
  <c r="K96" i="39" s="1"/>
  <c r="H96" i="39" s="1"/>
  <c r="G95" i="39"/>
  <c r="K95" i="39" s="1"/>
  <c r="H95" i="39" s="1"/>
  <c r="G94" i="39"/>
  <c r="J94" i="39" s="1"/>
  <c r="H94" i="39" s="1"/>
  <c r="G93" i="39"/>
  <c r="I93" i="39" s="1"/>
  <c r="H93" i="39" s="1"/>
  <c r="G92" i="39"/>
  <c r="K92" i="39" s="1"/>
  <c r="H92" i="39" s="1"/>
  <c r="F91" i="39"/>
  <c r="G91" i="39" s="1"/>
  <c r="K91" i="39" s="1"/>
  <c r="H91" i="39" s="1"/>
  <c r="G90" i="39"/>
  <c r="I90" i="39" s="1"/>
  <c r="H90" i="39" s="1"/>
  <c r="G89" i="39"/>
  <c r="K89" i="39" s="1"/>
  <c r="H89" i="39" s="1"/>
  <c r="G88" i="39"/>
  <c r="K88" i="39" s="1"/>
  <c r="H88" i="39" s="1"/>
  <c r="G87" i="39"/>
  <c r="J87" i="39" s="1"/>
  <c r="H87" i="39" s="1"/>
  <c r="G86" i="39"/>
  <c r="K86" i="39" s="1"/>
  <c r="H86" i="39" s="1"/>
  <c r="E85" i="39"/>
  <c r="G85" i="39" s="1"/>
  <c r="I85" i="39" s="1"/>
  <c r="H85" i="39" s="1"/>
  <c r="E84" i="39"/>
  <c r="G84" i="39" s="1"/>
  <c r="K84" i="39" s="1"/>
  <c r="H84" i="39" s="1"/>
  <c r="G83" i="39"/>
  <c r="K83" i="39" s="1"/>
  <c r="H83" i="39" s="1"/>
  <c r="G82" i="39"/>
  <c r="K82" i="39" s="1"/>
  <c r="H82" i="39" s="1"/>
  <c r="E81" i="39"/>
  <c r="G81" i="39" s="1"/>
  <c r="K81" i="39" s="1"/>
  <c r="H81" i="39" s="1"/>
  <c r="E80" i="39"/>
  <c r="G80" i="39" s="1"/>
  <c r="I80" i="39" s="1"/>
  <c r="H80" i="39" s="1"/>
  <c r="G79" i="39"/>
  <c r="K79" i="39" s="1"/>
  <c r="H79" i="39" s="1"/>
  <c r="G78" i="39"/>
  <c r="K78" i="39" s="1"/>
  <c r="H78" i="39" s="1"/>
  <c r="G77" i="39"/>
  <c r="J77" i="39" s="1"/>
  <c r="H77" i="39" s="1"/>
  <c r="E76" i="39"/>
  <c r="G76" i="39" s="1"/>
  <c r="K76" i="39" s="1"/>
  <c r="H76" i="39" s="1"/>
  <c r="G75" i="39"/>
  <c r="K75" i="39" s="1"/>
  <c r="H75" i="39" s="1"/>
  <c r="F74" i="39"/>
  <c r="G74" i="39" s="1"/>
  <c r="K74" i="39" s="1"/>
  <c r="H74" i="39" s="1"/>
  <c r="G73" i="39"/>
  <c r="J73" i="39" s="1"/>
  <c r="H73" i="39" s="1"/>
  <c r="G72" i="39"/>
  <c r="I72" i="39" s="1"/>
  <c r="H72" i="39" s="1"/>
  <c r="G71" i="39"/>
  <c r="K71" i="39" s="1"/>
  <c r="H71" i="39" s="1"/>
  <c r="G70" i="39"/>
  <c r="J70" i="39" s="1"/>
  <c r="H70" i="39" s="1"/>
  <c r="G69" i="39"/>
  <c r="K69" i="39" s="1"/>
  <c r="H69" i="39" s="1"/>
  <c r="G68" i="39"/>
  <c r="K68" i="39" s="1"/>
  <c r="H68" i="39" s="1"/>
  <c r="G67" i="39"/>
  <c r="K67" i="39" s="1"/>
  <c r="H67" i="39" s="1"/>
  <c r="G66" i="39"/>
  <c r="K66" i="39" s="1"/>
  <c r="H66" i="39" s="1"/>
  <c r="G65" i="39"/>
  <c r="K65" i="39" s="1"/>
  <c r="H65" i="39" s="1"/>
  <c r="G64" i="39"/>
  <c r="K64" i="39" s="1"/>
  <c r="H64" i="39" s="1"/>
  <c r="G63" i="39"/>
  <c r="K63" i="39" s="1"/>
  <c r="H63" i="39" s="1"/>
  <c r="G62" i="39"/>
  <c r="K62" i="39" s="1"/>
  <c r="H62" i="39" s="1"/>
  <c r="G61" i="39"/>
  <c r="K61" i="39" s="1"/>
  <c r="H61" i="39" s="1"/>
  <c r="E60" i="39"/>
  <c r="G59" i="39"/>
  <c r="K59" i="39" s="1"/>
  <c r="H59" i="39" s="1"/>
  <c r="G58" i="39"/>
  <c r="K58" i="39" s="1"/>
  <c r="H58" i="39" s="1"/>
  <c r="G57" i="39"/>
  <c r="J57" i="39" s="1"/>
  <c r="H57" i="39" s="1"/>
  <c r="G56" i="39"/>
  <c r="I56" i="39" s="1"/>
  <c r="H56" i="39" s="1"/>
  <c r="F55" i="39"/>
  <c r="G55" i="39" s="1"/>
  <c r="K55" i="39" s="1"/>
  <c r="H55" i="39" s="1"/>
  <c r="G54" i="39"/>
  <c r="J54" i="39" s="1"/>
  <c r="H54" i="39" s="1"/>
  <c r="G53" i="39"/>
  <c r="I53" i="39" s="1"/>
  <c r="H53" i="39" s="1"/>
  <c r="G52" i="39"/>
  <c r="K52" i="39" s="1"/>
  <c r="H52" i="39" s="1"/>
  <c r="G51" i="39"/>
  <c r="J51" i="39" s="1"/>
  <c r="H51" i="39" s="1"/>
  <c r="G50" i="39"/>
  <c r="K50" i="39" s="1"/>
  <c r="H50" i="39" s="1"/>
  <c r="G49" i="39"/>
  <c r="K49" i="39" s="1"/>
  <c r="H49" i="39" s="1"/>
  <c r="G48" i="39"/>
  <c r="I48" i="39" s="1"/>
  <c r="H48" i="39" s="1"/>
  <c r="G47" i="39"/>
  <c r="K47" i="39" s="1"/>
  <c r="H47" i="39" s="1"/>
  <c r="G46" i="39"/>
  <c r="J46" i="39" s="1"/>
  <c r="G45" i="39"/>
  <c r="K45" i="39" s="1"/>
  <c r="H45" i="39" s="1"/>
  <c r="G44" i="39"/>
  <c r="K44" i="39" s="1"/>
  <c r="H44" i="39" s="1"/>
  <c r="G43" i="39"/>
  <c r="K43" i="39" s="1"/>
  <c r="H43" i="39" s="1"/>
  <c r="G42" i="39"/>
  <c r="K42" i="39" s="1"/>
  <c r="H42" i="39" s="1"/>
  <c r="G41" i="39"/>
  <c r="K41" i="39" s="1"/>
  <c r="H41" i="39" s="1"/>
  <c r="G40" i="39"/>
  <c r="K40" i="39" s="1"/>
  <c r="H40" i="39" s="1"/>
  <c r="G39" i="39"/>
  <c r="K39" i="39" s="1"/>
  <c r="H39" i="39" s="1"/>
  <c r="G38" i="39"/>
  <c r="K38" i="39" s="1"/>
  <c r="H38" i="39" s="1"/>
  <c r="G37" i="39"/>
  <c r="K37" i="39" s="1"/>
  <c r="H37" i="39" s="1"/>
  <c r="G36" i="39"/>
  <c r="K36" i="39" s="1"/>
  <c r="H36" i="39" s="1"/>
  <c r="G35" i="39"/>
  <c r="K35" i="39" s="1"/>
  <c r="H35" i="39" s="1"/>
  <c r="G34" i="39"/>
  <c r="K34" i="39" s="1"/>
  <c r="H34" i="39" s="1"/>
  <c r="G33" i="39"/>
  <c r="K33" i="39" s="1"/>
  <c r="H33" i="39" s="1"/>
  <c r="G32" i="39"/>
  <c r="K32" i="39" s="1"/>
  <c r="H32" i="39" s="1"/>
  <c r="G31" i="39"/>
  <c r="K31" i="39" s="1"/>
  <c r="H31" i="39" s="1"/>
  <c r="G30" i="39"/>
  <c r="K30" i="39" s="1"/>
  <c r="H30" i="39" s="1"/>
  <c r="G29" i="39"/>
  <c r="K29" i="39" s="1"/>
  <c r="H29" i="39" s="1"/>
  <c r="G28" i="39"/>
  <c r="K28" i="39" s="1"/>
  <c r="H28" i="39" s="1"/>
  <c r="G27" i="39"/>
  <c r="K27" i="39" s="1"/>
  <c r="H27" i="39" s="1"/>
  <c r="G26" i="39"/>
  <c r="K26" i="39" s="1"/>
  <c r="I21" i="39"/>
  <c r="H21" i="39"/>
  <c r="G21" i="39"/>
  <c r="F21" i="39"/>
  <c r="D20" i="39"/>
  <c r="D19" i="39"/>
  <c r="D18" i="39"/>
  <c r="D17" i="39"/>
  <c r="D16" i="39"/>
  <c r="D15" i="39"/>
  <c r="D14" i="39"/>
  <c r="D13" i="39"/>
  <c r="D12" i="39"/>
  <c r="D11" i="39"/>
  <c r="D10" i="39"/>
  <c r="E9" i="39"/>
  <c r="D9" i="39" s="1"/>
  <c r="D21" i="39" s="1"/>
  <c r="Y31" i="21"/>
  <c r="Z31" i="21" s="1"/>
  <c r="AA31" i="21" s="1"/>
  <c r="Y30" i="21"/>
  <c r="Z30" i="21" s="1"/>
  <c r="AA30" i="21" s="1"/>
  <c r="Y29" i="21"/>
  <c r="Z29" i="21" s="1"/>
  <c r="AA29" i="21" s="1"/>
  <c r="Z28" i="21"/>
  <c r="AA28" i="21" s="1"/>
  <c r="Z12" i="8"/>
  <c r="Z13" i="8"/>
  <c r="Z27" i="21"/>
  <c r="AA27" i="21" s="1"/>
  <c r="Z26" i="21"/>
  <c r="AA26" i="21" s="1"/>
  <c r="Z199" i="33"/>
  <c r="AA199" i="33"/>
  <c r="Z200" i="33"/>
  <c r="AA200" i="33"/>
  <c r="Z25" i="21"/>
  <c r="AA25" i="21" s="1"/>
  <c r="Z24" i="21"/>
  <c r="AA24" i="21" s="1"/>
  <c r="AB23" i="21" s="1"/>
  <c r="X60" i="22"/>
  <c r="Y60" i="22" s="1"/>
  <c r="AA59" i="22" s="1"/>
  <c r="X387" i="22"/>
  <c r="Y387" i="22" s="1"/>
  <c r="Z387" i="22" s="1"/>
  <c r="X386" i="22"/>
  <c r="X34" i="26"/>
  <c r="X38" i="26"/>
  <c r="Z31" i="20"/>
  <c r="Y20" i="5"/>
  <c r="Y224" i="33"/>
  <c r="Y70" i="21"/>
  <c r="Y144" i="21"/>
  <c r="Y24" i="4"/>
  <c r="D228" i="1"/>
  <c r="Y23" i="4"/>
  <c r="Z67" i="25"/>
  <c r="X173" i="34"/>
  <c r="Y22" i="9"/>
  <c r="Y80" i="6"/>
  <c r="Z54" i="33"/>
  <c r="C181" i="1"/>
  <c r="D181" i="1"/>
  <c r="E181" i="1"/>
  <c r="F181" i="1"/>
  <c r="G181" i="1"/>
  <c r="C182" i="1"/>
  <c r="D182" i="1"/>
  <c r="E182" i="1"/>
  <c r="F182" i="1"/>
  <c r="G182" i="1"/>
  <c r="Z422" i="19"/>
  <c r="H181" i="1" s="1"/>
  <c r="AA60" i="19"/>
  <c r="C342" i="1"/>
  <c r="D342" i="1"/>
  <c r="E342" i="1"/>
  <c r="F342" i="1"/>
  <c r="G342" i="1"/>
  <c r="C343" i="1"/>
  <c r="D343" i="1"/>
  <c r="E343" i="1"/>
  <c r="F343" i="1"/>
  <c r="G343" i="1"/>
  <c r="C344" i="1"/>
  <c r="D344" i="1"/>
  <c r="E344" i="1"/>
  <c r="F344" i="1"/>
  <c r="G344" i="1"/>
  <c r="C345" i="1"/>
  <c r="D345" i="1"/>
  <c r="E345" i="1"/>
  <c r="F345" i="1"/>
  <c r="G345" i="1"/>
  <c r="C346" i="1"/>
  <c r="D346" i="1"/>
  <c r="E346" i="1"/>
  <c r="F346" i="1"/>
  <c r="G346" i="1"/>
  <c r="C347" i="1"/>
  <c r="D347" i="1"/>
  <c r="E347" i="1"/>
  <c r="F347" i="1"/>
  <c r="G347" i="1"/>
  <c r="C348" i="1"/>
  <c r="D348" i="1"/>
  <c r="E348" i="1"/>
  <c r="F348" i="1"/>
  <c r="G348" i="1"/>
  <c r="C349" i="1"/>
  <c r="D349" i="1"/>
  <c r="E349" i="1"/>
  <c r="F349" i="1"/>
  <c r="G349" i="1"/>
  <c r="C350" i="1"/>
  <c r="D350" i="1"/>
  <c r="E350" i="1"/>
  <c r="F350" i="1"/>
  <c r="G350" i="1"/>
  <c r="C351" i="1"/>
  <c r="D351" i="1"/>
  <c r="E351" i="1"/>
  <c r="F351" i="1"/>
  <c r="G351" i="1"/>
  <c r="C352" i="1"/>
  <c r="D352" i="1"/>
  <c r="E352" i="1"/>
  <c r="F352" i="1"/>
  <c r="G352" i="1"/>
  <c r="C353" i="1"/>
  <c r="D353" i="1"/>
  <c r="E353" i="1"/>
  <c r="F353" i="1"/>
  <c r="G353" i="1"/>
  <c r="C354" i="1"/>
  <c r="D354" i="1"/>
  <c r="E354" i="1"/>
  <c r="F354" i="1"/>
  <c r="G354" i="1"/>
  <c r="C355" i="1"/>
  <c r="D355" i="1"/>
  <c r="E355" i="1"/>
  <c r="F355" i="1"/>
  <c r="G355" i="1"/>
  <c r="C356" i="1"/>
  <c r="D356" i="1"/>
  <c r="E356" i="1"/>
  <c r="F356" i="1"/>
  <c r="G356" i="1"/>
  <c r="C357" i="1"/>
  <c r="D357" i="1"/>
  <c r="E357" i="1"/>
  <c r="F357" i="1"/>
  <c r="G357" i="1"/>
  <c r="C358" i="1"/>
  <c r="D358" i="1"/>
  <c r="E358" i="1"/>
  <c r="F358" i="1"/>
  <c r="G358" i="1"/>
  <c r="C359" i="1"/>
  <c r="D359" i="1"/>
  <c r="E359" i="1"/>
  <c r="F359" i="1"/>
  <c r="G359" i="1"/>
  <c r="Y1252" i="25"/>
  <c r="C310" i="1"/>
  <c r="D310" i="1"/>
  <c r="E310" i="1"/>
  <c r="F310" i="1"/>
  <c r="G310" i="1"/>
  <c r="C311" i="1"/>
  <c r="D311" i="1"/>
  <c r="E311" i="1"/>
  <c r="F311" i="1"/>
  <c r="G311" i="1"/>
  <c r="C313" i="1"/>
  <c r="D313" i="1"/>
  <c r="E313" i="1"/>
  <c r="F313" i="1"/>
  <c r="G313" i="1"/>
  <c r="C314" i="1"/>
  <c r="D314" i="1"/>
  <c r="E314" i="1"/>
  <c r="F314" i="1"/>
  <c r="G314" i="1"/>
  <c r="C315" i="1"/>
  <c r="D315" i="1"/>
  <c r="E315" i="1"/>
  <c r="F315" i="1"/>
  <c r="G315" i="1"/>
  <c r="C316" i="1"/>
  <c r="D316" i="1"/>
  <c r="E316" i="1"/>
  <c r="F316" i="1"/>
  <c r="G316" i="1"/>
  <c r="C317" i="1"/>
  <c r="D317" i="1"/>
  <c r="E317" i="1"/>
  <c r="F317" i="1"/>
  <c r="G317" i="1"/>
  <c r="AA265" i="19"/>
  <c r="AB264" i="19"/>
  <c r="Z438" i="19" s="1"/>
  <c r="Y30" i="7"/>
  <c r="C269" i="1"/>
  <c r="D269" i="1"/>
  <c r="E269" i="1"/>
  <c r="F269" i="1"/>
  <c r="G269" i="1"/>
  <c r="C271" i="1"/>
  <c r="D271" i="1"/>
  <c r="E271" i="1"/>
  <c r="F271" i="1"/>
  <c r="G271" i="1"/>
  <c r="AB311" i="21"/>
  <c r="Z423" i="21" s="1"/>
  <c r="H269" i="1" s="1"/>
  <c r="C243" i="1"/>
  <c r="D243" i="1"/>
  <c r="E243" i="1"/>
  <c r="F243" i="1"/>
  <c r="G243" i="1"/>
  <c r="C244" i="1"/>
  <c r="D244" i="1"/>
  <c r="E244" i="1"/>
  <c r="F244" i="1"/>
  <c r="G244" i="1"/>
  <c r="Y310" i="21"/>
  <c r="Z310" i="21" s="1"/>
  <c r="C278" i="1"/>
  <c r="D278" i="1"/>
  <c r="E278" i="1"/>
  <c r="F278" i="1"/>
  <c r="G278" i="1"/>
  <c r="C279" i="1"/>
  <c r="D279" i="1"/>
  <c r="E279" i="1"/>
  <c r="F279" i="1"/>
  <c r="G279" i="1"/>
  <c r="C280" i="1"/>
  <c r="D280" i="1"/>
  <c r="E280" i="1"/>
  <c r="F280" i="1"/>
  <c r="G280" i="1"/>
  <c r="C281" i="1"/>
  <c r="D281" i="1"/>
  <c r="E281" i="1"/>
  <c r="F281" i="1"/>
  <c r="G281" i="1"/>
  <c r="C282" i="1"/>
  <c r="D282" i="1"/>
  <c r="E282" i="1"/>
  <c r="F282" i="1"/>
  <c r="G282" i="1"/>
  <c r="C283" i="1"/>
  <c r="D283" i="1"/>
  <c r="E283" i="1"/>
  <c r="F283" i="1"/>
  <c r="G283" i="1"/>
  <c r="C224" i="1"/>
  <c r="D224" i="1"/>
  <c r="E224" i="1"/>
  <c r="F224" i="1"/>
  <c r="G224" i="1"/>
  <c r="C225" i="1"/>
  <c r="D225" i="1"/>
  <c r="E225" i="1"/>
  <c r="F225" i="1"/>
  <c r="G225" i="1"/>
  <c r="C226" i="1"/>
  <c r="D226" i="1"/>
  <c r="E226" i="1"/>
  <c r="F226" i="1"/>
  <c r="G226" i="1"/>
  <c r="C227" i="1"/>
  <c r="D227" i="1"/>
  <c r="E227" i="1"/>
  <c r="F227" i="1"/>
  <c r="G227" i="1"/>
  <c r="C228" i="1"/>
  <c r="E228" i="1"/>
  <c r="F228" i="1"/>
  <c r="G228" i="1"/>
  <c r="C229" i="1"/>
  <c r="D229" i="1"/>
  <c r="E229" i="1"/>
  <c r="F229" i="1"/>
  <c r="G229" i="1"/>
  <c r="C230" i="1"/>
  <c r="D230" i="1"/>
  <c r="E230" i="1"/>
  <c r="F230" i="1"/>
  <c r="G230" i="1"/>
  <c r="C231" i="1"/>
  <c r="D231" i="1"/>
  <c r="E231" i="1"/>
  <c r="F231" i="1"/>
  <c r="G231" i="1"/>
  <c r="C232" i="1"/>
  <c r="D232" i="1"/>
  <c r="E232" i="1"/>
  <c r="F232" i="1"/>
  <c r="G232" i="1"/>
  <c r="C233" i="1"/>
  <c r="D233" i="1"/>
  <c r="E233" i="1"/>
  <c r="F233" i="1"/>
  <c r="G233" i="1"/>
  <c r="C234" i="1"/>
  <c r="D234" i="1"/>
  <c r="E234" i="1"/>
  <c r="F234" i="1"/>
  <c r="G234" i="1"/>
  <c r="C235" i="1"/>
  <c r="D235" i="1"/>
  <c r="E235" i="1"/>
  <c r="F235" i="1"/>
  <c r="G235" i="1"/>
  <c r="C236" i="1"/>
  <c r="D236" i="1"/>
  <c r="E236" i="1"/>
  <c r="F236" i="1"/>
  <c r="G236" i="1"/>
  <c r="C237" i="1"/>
  <c r="D237" i="1"/>
  <c r="E237" i="1"/>
  <c r="F237" i="1"/>
  <c r="G237" i="1"/>
  <c r="C238" i="1"/>
  <c r="D238" i="1"/>
  <c r="E238" i="1"/>
  <c r="F238" i="1"/>
  <c r="G238" i="1"/>
  <c r="C239" i="1"/>
  <c r="D239" i="1"/>
  <c r="E239" i="1"/>
  <c r="F239" i="1"/>
  <c r="G239" i="1"/>
  <c r="C240" i="1"/>
  <c r="D240" i="1"/>
  <c r="E240" i="1"/>
  <c r="F240" i="1"/>
  <c r="G240" i="1"/>
  <c r="C241" i="1"/>
  <c r="D241" i="1"/>
  <c r="E241" i="1"/>
  <c r="F241" i="1"/>
  <c r="G241" i="1"/>
  <c r="C242" i="1"/>
  <c r="D242" i="1"/>
  <c r="E242" i="1"/>
  <c r="F242" i="1"/>
  <c r="G242" i="1"/>
  <c r="C245" i="1"/>
  <c r="D245" i="1"/>
  <c r="E245" i="1"/>
  <c r="F245" i="1"/>
  <c r="G245" i="1"/>
  <c r="C246" i="1"/>
  <c r="D246" i="1"/>
  <c r="E246" i="1"/>
  <c r="F246" i="1"/>
  <c r="G246" i="1"/>
  <c r="C247" i="1"/>
  <c r="D247" i="1"/>
  <c r="E247" i="1"/>
  <c r="F247" i="1"/>
  <c r="G247" i="1"/>
  <c r="C248" i="1"/>
  <c r="D248" i="1"/>
  <c r="E248" i="1"/>
  <c r="F248" i="1"/>
  <c r="G248" i="1"/>
  <c r="C249" i="1"/>
  <c r="D249" i="1"/>
  <c r="E249" i="1"/>
  <c r="F249" i="1"/>
  <c r="G249" i="1"/>
  <c r="C250" i="1"/>
  <c r="D250" i="1"/>
  <c r="E250" i="1"/>
  <c r="F250" i="1"/>
  <c r="G250" i="1"/>
  <c r="C251" i="1"/>
  <c r="D251" i="1"/>
  <c r="E251" i="1"/>
  <c r="F251" i="1"/>
  <c r="G251" i="1"/>
  <c r="C252" i="1"/>
  <c r="D252" i="1"/>
  <c r="E252" i="1"/>
  <c r="F252" i="1"/>
  <c r="G252" i="1"/>
  <c r="C253" i="1"/>
  <c r="D253" i="1"/>
  <c r="E253" i="1"/>
  <c r="F253" i="1"/>
  <c r="G253" i="1"/>
  <c r="C254" i="1"/>
  <c r="D254" i="1"/>
  <c r="E254" i="1"/>
  <c r="F254" i="1"/>
  <c r="G254" i="1"/>
  <c r="C255" i="1"/>
  <c r="D255" i="1"/>
  <c r="E255" i="1"/>
  <c r="F255" i="1"/>
  <c r="G255" i="1"/>
  <c r="C256" i="1"/>
  <c r="D256" i="1"/>
  <c r="E256" i="1"/>
  <c r="F256" i="1"/>
  <c r="G256" i="1"/>
  <c r="C257" i="1"/>
  <c r="D257" i="1"/>
  <c r="E257" i="1"/>
  <c r="F257" i="1"/>
  <c r="G257" i="1"/>
  <c r="C258" i="1"/>
  <c r="D258" i="1"/>
  <c r="E258" i="1"/>
  <c r="F258" i="1"/>
  <c r="G258" i="1"/>
  <c r="C259" i="1"/>
  <c r="D259" i="1"/>
  <c r="E259" i="1"/>
  <c r="F259" i="1"/>
  <c r="G259" i="1"/>
  <c r="C260" i="1"/>
  <c r="D260" i="1"/>
  <c r="E260" i="1"/>
  <c r="F260" i="1"/>
  <c r="G260" i="1"/>
  <c r="C261" i="1"/>
  <c r="D261" i="1"/>
  <c r="E261" i="1"/>
  <c r="F261" i="1"/>
  <c r="G261" i="1"/>
  <c r="C262" i="1"/>
  <c r="D262" i="1"/>
  <c r="E262" i="1"/>
  <c r="F262" i="1"/>
  <c r="G262" i="1"/>
  <c r="C263" i="1"/>
  <c r="D263" i="1"/>
  <c r="E263" i="1"/>
  <c r="F263" i="1"/>
  <c r="G263" i="1"/>
  <c r="C264" i="1"/>
  <c r="D264" i="1"/>
  <c r="E264" i="1"/>
  <c r="F264" i="1"/>
  <c r="G264" i="1"/>
  <c r="C265" i="1"/>
  <c r="D265" i="1"/>
  <c r="E265" i="1"/>
  <c r="F265" i="1"/>
  <c r="G265" i="1"/>
  <c r="C266" i="1"/>
  <c r="D266" i="1"/>
  <c r="E266" i="1"/>
  <c r="F266" i="1"/>
  <c r="G266" i="1"/>
  <c r="C267" i="1"/>
  <c r="D267" i="1"/>
  <c r="E267" i="1"/>
  <c r="F267" i="1"/>
  <c r="G267" i="1"/>
  <c r="C268" i="1"/>
  <c r="D268" i="1"/>
  <c r="E268" i="1"/>
  <c r="F268" i="1"/>
  <c r="G268" i="1"/>
  <c r="C272" i="1"/>
  <c r="D272" i="1"/>
  <c r="E272" i="1"/>
  <c r="F272" i="1"/>
  <c r="G272" i="1"/>
  <c r="C273" i="1"/>
  <c r="D273" i="1"/>
  <c r="E273" i="1"/>
  <c r="F273" i="1"/>
  <c r="G273" i="1"/>
  <c r="C274" i="1"/>
  <c r="D274" i="1"/>
  <c r="E274" i="1"/>
  <c r="F274" i="1"/>
  <c r="G274" i="1"/>
  <c r="C275" i="1"/>
  <c r="D275" i="1"/>
  <c r="E275" i="1"/>
  <c r="F275" i="1"/>
  <c r="G275" i="1"/>
  <c r="C276" i="1"/>
  <c r="D276" i="1"/>
  <c r="E276" i="1"/>
  <c r="F276" i="1"/>
  <c r="G276" i="1"/>
  <c r="C277" i="1"/>
  <c r="D277" i="1"/>
  <c r="E277" i="1"/>
  <c r="F277" i="1"/>
  <c r="G277" i="1"/>
  <c r="Z44" i="21"/>
  <c r="AA44" i="21" s="1"/>
  <c r="Z43" i="21"/>
  <c r="C159" i="1"/>
  <c r="D159" i="1"/>
  <c r="E159" i="1"/>
  <c r="F159" i="1"/>
  <c r="G159" i="1"/>
  <c r="C160" i="1"/>
  <c r="D160" i="1"/>
  <c r="E160" i="1"/>
  <c r="F160" i="1"/>
  <c r="G160" i="1"/>
  <c r="Z88" i="33"/>
  <c r="AA88" i="33" s="1"/>
  <c r="Z87" i="33"/>
  <c r="AA87" i="33" s="1"/>
  <c r="AB86" i="33" s="1"/>
  <c r="Y385" i="25"/>
  <c r="Z385" i="25"/>
  <c r="Y386" i="25"/>
  <c r="Z386" i="25"/>
  <c r="Y387" i="25"/>
  <c r="Z387" i="25"/>
  <c r="Y388" i="25"/>
  <c r="Z388" i="25"/>
  <c r="Y389" i="25"/>
  <c r="Z389" i="25"/>
  <c r="Y390" i="25"/>
  <c r="Z390" i="25"/>
  <c r="Y391" i="25"/>
  <c r="Z391" i="25"/>
  <c r="Y392" i="25"/>
  <c r="Z392" i="25"/>
  <c r="Y393" i="25"/>
  <c r="Z393" i="25"/>
  <c r="Y394" i="25"/>
  <c r="Z394" i="25"/>
  <c r="Y395" i="25"/>
  <c r="Z395" i="25"/>
  <c r="Y396" i="25"/>
  <c r="Z396" i="25"/>
  <c r="Y397" i="25"/>
  <c r="Z397" i="25"/>
  <c r="Y398" i="25"/>
  <c r="Z398" i="25"/>
  <c r="Y399" i="25"/>
  <c r="Z399" i="25"/>
  <c r="Y400" i="25"/>
  <c r="Z400" i="25"/>
  <c r="Y384" i="25"/>
  <c r="Z384" i="25" s="1"/>
  <c r="C129" i="1"/>
  <c r="D129" i="1"/>
  <c r="E129" i="1"/>
  <c r="F129" i="1"/>
  <c r="G129" i="1"/>
  <c r="Z342" i="33"/>
  <c r="AB346" i="21"/>
  <c r="Z407" i="21" s="1"/>
  <c r="H253" i="1" s="1"/>
  <c r="Z209" i="21"/>
  <c r="AA209" i="21" s="1"/>
  <c r="AB208" i="21" s="1"/>
  <c r="Z207" i="21"/>
  <c r="AA207" i="21"/>
  <c r="Z206" i="21"/>
  <c r="AA206" i="21" s="1"/>
  <c r="AB205" i="21" s="1"/>
  <c r="Z425" i="21" s="1"/>
  <c r="H271" i="1" s="1"/>
  <c r="Z398" i="21"/>
  <c r="H244" i="1" s="1"/>
  <c r="G22" i="1"/>
  <c r="F22" i="1"/>
  <c r="E22" i="1"/>
  <c r="D22" i="1"/>
  <c r="C22" i="1"/>
  <c r="Z13" i="4"/>
  <c r="AA13" i="4" s="1"/>
  <c r="AB12" i="4" s="1"/>
  <c r="Z63" i="4" s="1"/>
  <c r="Y30" i="11"/>
  <c r="Y31" i="4"/>
  <c r="X496" i="25"/>
  <c r="Y496" i="25" s="1"/>
  <c r="Z496" i="25" s="1"/>
  <c r="AA495" i="25" s="1"/>
  <c r="Y1250" i="25" s="1"/>
  <c r="H347" i="1" s="1"/>
  <c r="X292" i="34"/>
  <c r="X299" i="34"/>
  <c r="Z144" i="7"/>
  <c r="AA144" i="7" s="1"/>
  <c r="Z143" i="7"/>
  <c r="AA143" i="7" s="1"/>
  <c r="Z142" i="7"/>
  <c r="AA142" i="7" s="1"/>
  <c r="Z141" i="7"/>
  <c r="AA141" i="7" s="1"/>
  <c r="Z140" i="7"/>
  <c r="AA140" i="7" s="1"/>
  <c r="Z139" i="7"/>
  <c r="AA139" i="7" s="1"/>
  <c r="Z138" i="7"/>
  <c r="AA138" i="7" s="1"/>
  <c r="Z137" i="7"/>
  <c r="AA137" i="7" s="1"/>
  <c r="Z136" i="7"/>
  <c r="AA136" i="7" s="1"/>
  <c r="Z135" i="7"/>
  <c r="AA135" i="7" s="1"/>
  <c r="Z134" i="7"/>
  <c r="AA134" i="7" s="1"/>
  <c r="Z133" i="7"/>
  <c r="AA133" i="7" s="1"/>
  <c r="Z132" i="7"/>
  <c r="AA132" i="7" s="1"/>
  <c r="Z131" i="7"/>
  <c r="AA131" i="7" s="1"/>
  <c r="Z130" i="7"/>
  <c r="AA130" i="7" s="1"/>
  <c r="Z129" i="7"/>
  <c r="AA129" i="7" s="1"/>
  <c r="Z128" i="7"/>
  <c r="AA128" i="7" s="1"/>
  <c r="Z127" i="7"/>
  <c r="AA127" i="7" s="1"/>
  <c r="Z126" i="7"/>
  <c r="AA126" i="7" s="1"/>
  <c r="Z125" i="7"/>
  <c r="AA125" i="7" s="1"/>
  <c r="Z124" i="7"/>
  <c r="AA124" i="7" s="1"/>
  <c r="Z123" i="7"/>
  <c r="AA123" i="7" s="1"/>
  <c r="Z122" i="7"/>
  <c r="AA122" i="7" s="1"/>
  <c r="Z121" i="7"/>
  <c r="AA121" i="7" s="1"/>
  <c r="Z120" i="7"/>
  <c r="AA120" i="7" s="1"/>
  <c r="AB119" i="7" s="1"/>
  <c r="Z267" i="7" s="1"/>
  <c r="H58" i="1" s="1"/>
  <c r="X48" i="22"/>
  <c r="Y31" i="34"/>
  <c r="Z31" i="34" s="1"/>
  <c r="AA30" i="34"/>
  <c r="X522" i="34"/>
  <c r="X525" i="34"/>
  <c r="X524" i="34"/>
  <c r="X523" i="34"/>
  <c r="X180" i="34"/>
  <c r="X616" i="34"/>
  <c r="X199" i="34"/>
  <c r="X197" i="34"/>
  <c r="X195" i="34"/>
  <c r="X194" i="34"/>
  <c r="X193" i="34"/>
  <c r="X192" i="34"/>
  <c r="X183" i="34"/>
  <c r="X178" i="34"/>
  <c r="X229" i="34"/>
  <c r="X280" i="34"/>
  <c r="Y87" i="7"/>
  <c r="Z87" i="7" s="1"/>
  <c r="Y60" i="25"/>
  <c r="Z60" i="25" s="1"/>
  <c r="AA59" i="25"/>
  <c r="Y1259" i="25" s="1"/>
  <c r="H356" i="1" s="1"/>
  <c r="Z97" i="21"/>
  <c r="AA97" i="21" s="1"/>
  <c r="AB96" i="21"/>
  <c r="Z49" i="21"/>
  <c r="AA49" i="21" s="1"/>
  <c r="Z40" i="21"/>
  <c r="AA40" i="21" s="1"/>
  <c r="Y305" i="21"/>
  <c r="C165" i="1"/>
  <c r="D165" i="1"/>
  <c r="E165" i="1"/>
  <c r="F165" i="1"/>
  <c r="G165" i="1"/>
  <c r="C166" i="1"/>
  <c r="D166" i="1"/>
  <c r="E166" i="1"/>
  <c r="F166" i="1"/>
  <c r="G166" i="1"/>
  <c r="C167" i="1"/>
  <c r="D167" i="1"/>
  <c r="E167" i="1"/>
  <c r="F167" i="1"/>
  <c r="G167" i="1"/>
  <c r="C168" i="1"/>
  <c r="D168" i="1"/>
  <c r="E168" i="1"/>
  <c r="F168" i="1"/>
  <c r="G168" i="1"/>
  <c r="C169" i="1"/>
  <c r="D169" i="1"/>
  <c r="E169" i="1"/>
  <c r="F169" i="1"/>
  <c r="G169" i="1"/>
  <c r="C170" i="1"/>
  <c r="D170" i="1"/>
  <c r="E170" i="1"/>
  <c r="F170" i="1"/>
  <c r="G170" i="1"/>
  <c r="C171" i="1"/>
  <c r="D171" i="1"/>
  <c r="E171" i="1"/>
  <c r="F171" i="1"/>
  <c r="G171" i="1"/>
  <c r="C172" i="1"/>
  <c r="D172" i="1"/>
  <c r="E172" i="1"/>
  <c r="F172" i="1"/>
  <c r="G172" i="1"/>
  <c r="C173" i="1"/>
  <c r="D173" i="1"/>
  <c r="E173" i="1"/>
  <c r="F173" i="1"/>
  <c r="G173" i="1"/>
  <c r="C174" i="1"/>
  <c r="D174" i="1"/>
  <c r="E174" i="1"/>
  <c r="F174" i="1"/>
  <c r="G174" i="1"/>
  <c r="C175" i="1"/>
  <c r="D175" i="1"/>
  <c r="E175" i="1"/>
  <c r="F175" i="1"/>
  <c r="G175" i="1"/>
  <c r="C176" i="1"/>
  <c r="D176" i="1"/>
  <c r="E176" i="1"/>
  <c r="F176" i="1"/>
  <c r="G176" i="1"/>
  <c r="C177" i="1"/>
  <c r="D177" i="1"/>
  <c r="E177" i="1"/>
  <c r="F177" i="1"/>
  <c r="G177" i="1"/>
  <c r="C178" i="1"/>
  <c r="D178" i="1"/>
  <c r="E178" i="1"/>
  <c r="F178" i="1"/>
  <c r="G178" i="1"/>
  <c r="C179" i="1"/>
  <c r="D179" i="1"/>
  <c r="E179" i="1"/>
  <c r="F179" i="1"/>
  <c r="G179" i="1"/>
  <c r="C180" i="1"/>
  <c r="D180" i="1"/>
  <c r="E180" i="1"/>
  <c r="F180" i="1"/>
  <c r="G180" i="1"/>
  <c r="C183" i="1"/>
  <c r="D183" i="1"/>
  <c r="E183" i="1"/>
  <c r="F183" i="1"/>
  <c r="G183" i="1"/>
  <c r="C184" i="1"/>
  <c r="D184" i="1"/>
  <c r="E184" i="1"/>
  <c r="F184" i="1"/>
  <c r="G184" i="1"/>
  <c r="C185" i="1"/>
  <c r="D185" i="1"/>
  <c r="E185" i="1"/>
  <c r="F185" i="1"/>
  <c r="G185" i="1"/>
  <c r="C186" i="1"/>
  <c r="D186" i="1"/>
  <c r="E186" i="1"/>
  <c r="F186" i="1"/>
  <c r="G186" i="1"/>
  <c r="C187" i="1"/>
  <c r="D187" i="1"/>
  <c r="E187" i="1"/>
  <c r="F187" i="1"/>
  <c r="G187" i="1"/>
  <c r="C188" i="1"/>
  <c r="D188" i="1"/>
  <c r="E188" i="1"/>
  <c r="F188" i="1"/>
  <c r="G188" i="1"/>
  <c r="C189" i="1"/>
  <c r="D189" i="1"/>
  <c r="E189" i="1"/>
  <c r="F189" i="1"/>
  <c r="G189" i="1"/>
  <c r="C190" i="1"/>
  <c r="D190" i="1"/>
  <c r="E190" i="1"/>
  <c r="F190" i="1"/>
  <c r="G190" i="1"/>
  <c r="C191" i="1"/>
  <c r="D191" i="1"/>
  <c r="E191" i="1"/>
  <c r="F191" i="1"/>
  <c r="G191" i="1"/>
  <c r="C192" i="1"/>
  <c r="D192" i="1"/>
  <c r="E192" i="1"/>
  <c r="F192" i="1"/>
  <c r="G192" i="1"/>
  <c r="C193" i="1"/>
  <c r="D193" i="1"/>
  <c r="E193" i="1"/>
  <c r="F193" i="1"/>
  <c r="G193" i="1"/>
  <c r="C194" i="1"/>
  <c r="D194" i="1"/>
  <c r="E194" i="1"/>
  <c r="F194" i="1"/>
  <c r="G194" i="1"/>
  <c r="C195" i="1"/>
  <c r="D195" i="1"/>
  <c r="E195" i="1"/>
  <c r="F195" i="1"/>
  <c r="G195" i="1"/>
  <c r="C135" i="1"/>
  <c r="D135" i="1"/>
  <c r="E135" i="1"/>
  <c r="F135" i="1"/>
  <c r="G135" i="1"/>
  <c r="C136" i="1"/>
  <c r="D136" i="1"/>
  <c r="E136" i="1"/>
  <c r="F136" i="1"/>
  <c r="G136" i="1"/>
  <c r="C137" i="1"/>
  <c r="D137" i="1"/>
  <c r="E137" i="1"/>
  <c r="F137" i="1"/>
  <c r="G137" i="1"/>
  <c r="C138" i="1"/>
  <c r="D138" i="1"/>
  <c r="E138" i="1"/>
  <c r="F138" i="1"/>
  <c r="G138" i="1"/>
  <c r="C139" i="1"/>
  <c r="D139" i="1"/>
  <c r="E139" i="1"/>
  <c r="F139" i="1"/>
  <c r="G139" i="1"/>
  <c r="C140" i="1"/>
  <c r="D140" i="1"/>
  <c r="E140" i="1"/>
  <c r="F140" i="1"/>
  <c r="G140" i="1"/>
  <c r="C141" i="1"/>
  <c r="D141" i="1"/>
  <c r="E141" i="1"/>
  <c r="F141" i="1"/>
  <c r="G141" i="1"/>
  <c r="C142" i="1"/>
  <c r="D142" i="1"/>
  <c r="E142" i="1"/>
  <c r="F142" i="1"/>
  <c r="G142" i="1"/>
  <c r="C143" i="1"/>
  <c r="D143" i="1"/>
  <c r="E143" i="1"/>
  <c r="F143" i="1"/>
  <c r="G143" i="1"/>
  <c r="C145" i="1"/>
  <c r="D145" i="1"/>
  <c r="E145" i="1"/>
  <c r="F145" i="1"/>
  <c r="G145" i="1"/>
  <c r="C146" i="1"/>
  <c r="D146" i="1"/>
  <c r="E146" i="1"/>
  <c r="F146" i="1"/>
  <c r="G146" i="1"/>
  <c r="C147" i="1"/>
  <c r="D147" i="1"/>
  <c r="E147" i="1"/>
  <c r="F147" i="1"/>
  <c r="G147" i="1"/>
  <c r="C148" i="1"/>
  <c r="D148" i="1"/>
  <c r="E148" i="1"/>
  <c r="F148" i="1"/>
  <c r="G148" i="1"/>
  <c r="C149" i="1"/>
  <c r="D149" i="1"/>
  <c r="E149" i="1"/>
  <c r="F149" i="1"/>
  <c r="G149" i="1"/>
  <c r="C150" i="1"/>
  <c r="D150" i="1"/>
  <c r="E150" i="1"/>
  <c r="F150" i="1"/>
  <c r="G150" i="1"/>
  <c r="C151" i="1"/>
  <c r="D151" i="1"/>
  <c r="E151" i="1"/>
  <c r="F151" i="1"/>
  <c r="G151" i="1"/>
  <c r="C152" i="1"/>
  <c r="D152" i="1"/>
  <c r="E152" i="1"/>
  <c r="F152" i="1"/>
  <c r="G152" i="1"/>
  <c r="C153" i="1"/>
  <c r="D153" i="1"/>
  <c r="E153" i="1"/>
  <c r="F153" i="1"/>
  <c r="G153" i="1"/>
  <c r="C154" i="1"/>
  <c r="D154" i="1"/>
  <c r="E154" i="1"/>
  <c r="F154" i="1"/>
  <c r="G154" i="1"/>
  <c r="C155" i="1"/>
  <c r="D155" i="1"/>
  <c r="E155" i="1"/>
  <c r="F155" i="1"/>
  <c r="G155" i="1"/>
  <c r="C156" i="1"/>
  <c r="D156" i="1"/>
  <c r="E156" i="1"/>
  <c r="F156" i="1"/>
  <c r="G156" i="1"/>
  <c r="C157" i="1"/>
  <c r="D157" i="1"/>
  <c r="E157" i="1"/>
  <c r="F157" i="1"/>
  <c r="G157" i="1"/>
  <c r="C158" i="1"/>
  <c r="D158" i="1"/>
  <c r="E158" i="1"/>
  <c r="F158" i="1"/>
  <c r="G158" i="1"/>
  <c r="C161" i="1"/>
  <c r="D161" i="1"/>
  <c r="E161" i="1"/>
  <c r="F161" i="1"/>
  <c r="G161" i="1"/>
  <c r="C162" i="1"/>
  <c r="D162" i="1"/>
  <c r="E162" i="1"/>
  <c r="F162" i="1"/>
  <c r="G162" i="1"/>
  <c r="C163" i="1"/>
  <c r="D163" i="1"/>
  <c r="E163" i="1"/>
  <c r="F163" i="1"/>
  <c r="G163" i="1"/>
  <c r="C126" i="1"/>
  <c r="D126" i="1"/>
  <c r="E126" i="1"/>
  <c r="F126" i="1"/>
  <c r="G126" i="1"/>
  <c r="C127" i="1"/>
  <c r="D127" i="1"/>
  <c r="E127" i="1"/>
  <c r="F127" i="1"/>
  <c r="G127" i="1"/>
  <c r="D116" i="1"/>
  <c r="E116" i="1"/>
  <c r="F116" i="1"/>
  <c r="G116" i="1"/>
  <c r="D117" i="1"/>
  <c r="E117" i="1"/>
  <c r="F117" i="1"/>
  <c r="G117" i="1"/>
  <c r="D118" i="1"/>
  <c r="E118" i="1"/>
  <c r="F118" i="1"/>
  <c r="G118" i="1"/>
  <c r="D119" i="1"/>
  <c r="E119" i="1"/>
  <c r="F119" i="1"/>
  <c r="G119" i="1"/>
  <c r="D120" i="1"/>
  <c r="E120" i="1"/>
  <c r="F120" i="1"/>
  <c r="G120" i="1"/>
  <c r="D121" i="1"/>
  <c r="E121" i="1"/>
  <c r="F121" i="1"/>
  <c r="G121" i="1"/>
  <c r="D122" i="1"/>
  <c r="E122" i="1"/>
  <c r="F122" i="1"/>
  <c r="G122" i="1"/>
  <c r="D123" i="1"/>
  <c r="E123" i="1"/>
  <c r="F123" i="1"/>
  <c r="G123" i="1"/>
  <c r="D124" i="1"/>
  <c r="E124" i="1"/>
  <c r="F124" i="1"/>
  <c r="G124" i="1"/>
  <c r="D125" i="1"/>
  <c r="E125" i="1"/>
  <c r="F125" i="1"/>
  <c r="G125" i="1"/>
  <c r="C116" i="1"/>
  <c r="C117" i="1"/>
  <c r="C118" i="1"/>
  <c r="C119" i="1"/>
  <c r="C120" i="1"/>
  <c r="C121" i="1"/>
  <c r="C122" i="1"/>
  <c r="C123" i="1"/>
  <c r="C113" i="1"/>
  <c r="C100" i="1"/>
  <c r="C101" i="1"/>
  <c r="C102" i="1"/>
  <c r="C103" i="1"/>
  <c r="C104" i="1"/>
  <c r="C105" i="1"/>
  <c r="C106" i="1"/>
  <c r="C107" i="1"/>
  <c r="C108" i="1"/>
  <c r="C90" i="1"/>
  <c r="C91" i="1"/>
  <c r="C92" i="1"/>
  <c r="C93" i="1"/>
  <c r="C94" i="1"/>
  <c r="C95" i="1"/>
  <c r="C96" i="1"/>
  <c r="C97" i="1"/>
  <c r="C98" i="1"/>
  <c r="C99" i="1"/>
  <c r="C109" i="1"/>
  <c r="G79" i="1"/>
  <c r="F79" i="1"/>
  <c r="E79" i="1"/>
  <c r="D79" i="1"/>
  <c r="C79" i="1"/>
  <c r="AB85" i="3"/>
  <c r="Y31" i="10"/>
  <c r="Z279" i="21"/>
  <c r="AA279" i="21" s="1"/>
  <c r="Y303" i="21"/>
  <c r="Y126" i="12"/>
  <c r="Y125" i="12"/>
  <c r="Y124" i="12"/>
  <c r="Y123" i="12"/>
  <c r="Y122" i="12"/>
  <c r="Z81" i="12"/>
  <c r="AA81" i="12" s="1"/>
  <c r="Z82" i="12"/>
  <c r="AA82" i="12" s="1"/>
  <c r="Z80" i="12"/>
  <c r="AA80" i="12" s="1"/>
  <c r="Z79" i="12"/>
  <c r="AA79" i="12" s="1"/>
  <c r="Z78" i="12"/>
  <c r="AA78" i="12"/>
  <c r="AB77" i="12" s="1"/>
  <c r="Z278" i="12" s="1"/>
  <c r="H120" i="1" s="1"/>
  <c r="Y76" i="12"/>
  <c r="Z76" i="12"/>
  <c r="AA76" i="12" s="1"/>
  <c r="AB75" i="12" s="1"/>
  <c r="Z277" i="12" s="1"/>
  <c r="H119" i="1" s="1"/>
  <c r="Y74" i="12"/>
  <c r="Z74" i="12" s="1"/>
  <c r="AA74" i="12" s="1"/>
  <c r="Y73" i="12"/>
  <c r="Z73" i="12"/>
  <c r="AA73" i="12" s="1"/>
  <c r="Y72" i="12"/>
  <c r="Z72" i="12"/>
  <c r="AA72" i="12" s="1"/>
  <c r="Y71" i="12"/>
  <c r="Z71" i="12"/>
  <c r="AA71" i="12" s="1"/>
  <c r="AB70" i="12" s="1"/>
  <c r="Z276" i="12" s="1"/>
  <c r="Z163" i="10"/>
  <c r="AA163" i="10" s="1"/>
  <c r="Y206" i="33"/>
  <c r="Z206" i="33"/>
  <c r="AA206" i="33" s="1"/>
  <c r="AB205" i="33"/>
  <c r="Z224" i="33"/>
  <c r="AA224" i="33" s="1"/>
  <c r="Y90" i="33"/>
  <c r="Z90" i="33"/>
  <c r="AA90" i="33" s="1"/>
  <c r="AB89" i="33" s="1"/>
  <c r="Z336" i="33" s="1"/>
  <c r="H153" i="1" s="1"/>
  <c r="Y136" i="33"/>
  <c r="Y257" i="33"/>
  <c r="Z257" i="33" s="1"/>
  <c r="AA257" i="33" s="1"/>
  <c r="Y256" i="33"/>
  <c r="X53" i="22"/>
  <c r="Y53" i="22"/>
  <c r="AA59" i="19"/>
  <c r="AB59" i="19" s="1"/>
  <c r="Z421" i="19" s="1"/>
  <c r="H180" i="1" s="1"/>
  <c r="AA58" i="19"/>
  <c r="AB58" i="19" s="1"/>
  <c r="Z420" i="19" s="1"/>
  <c r="H179" i="1" s="1"/>
  <c r="Z117" i="10"/>
  <c r="AA117" i="10" s="1"/>
  <c r="Z118" i="10"/>
  <c r="AA118" i="10" s="1"/>
  <c r="Z119" i="10"/>
  <c r="AA119" i="10" s="1"/>
  <c r="Z120" i="10"/>
  <c r="AA120" i="10" s="1"/>
  <c r="Z121" i="10"/>
  <c r="AA121" i="10" s="1"/>
  <c r="Z122" i="10"/>
  <c r="AA122" i="10" s="1"/>
  <c r="Z123" i="10"/>
  <c r="AA123" i="10" s="1"/>
  <c r="Z124" i="10"/>
  <c r="AA124" i="10" s="1"/>
  <c r="Z125" i="10"/>
  <c r="AA125" i="10" s="1"/>
  <c r="Z126" i="10"/>
  <c r="AA126" i="10" s="1"/>
  <c r="Z127" i="10"/>
  <c r="AA127" i="10" s="1"/>
  <c r="Z128" i="10"/>
  <c r="AA128" i="10" s="1"/>
  <c r="Z129" i="10"/>
  <c r="AA129" i="10" s="1"/>
  <c r="Z130" i="10"/>
  <c r="AA130" i="10" s="1"/>
  <c r="Z131" i="10"/>
  <c r="AA131" i="10" s="1"/>
  <c r="Z132" i="10"/>
  <c r="AA132" i="10" s="1"/>
  <c r="Z133" i="10"/>
  <c r="AA133" i="10" s="1"/>
  <c r="Z134" i="10"/>
  <c r="AA134" i="10" s="1"/>
  <c r="Z135" i="10"/>
  <c r="AA135" i="10" s="1"/>
  <c r="Z136" i="10"/>
  <c r="AA136" i="10" s="1"/>
  <c r="Z137" i="10"/>
  <c r="AA137" i="10" s="1"/>
  <c r="Z138" i="10"/>
  <c r="AA138" i="10" s="1"/>
  <c r="Z139" i="10"/>
  <c r="AA139" i="10" s="1"/>
  <c r="Z140" i="10"/>
  <c r="AA140" i="10" s="1"/>
  <c r="Z141" i="10"/>
  <c r="AA141" i="10" s="1"/>
  <c r="Z142" i="10"/>
  <c r="AA142" i="10" s="1"/>
  <c r="Z116" i="10"/>
  <c r="AA116" i="10" s="1"/>
  <c r="AB115" i="10" s="1"/>
  <c r="Y191" i="10"/>
  <c r="Y188" i="10"/>
  <c r="Z167" i="10"/>
  <c r="AA167" i="10" s="1"/>
  <c r="Z166" i="10"/>
  <c r="AA166" i="10" s="1"/>
  <c r="AB165" i="10" s="1"/>
  <c r="Z146" i="10"/>
  <c r="AA146" i="10" s="1"/>
  <c r="Z147" i="10"/>
  <c r="AA147" i="10" s="1"/>
  <c r="Z148" i="10"/>
  <c r="AA148" i="10" s="1"/>
  <c r="Z149" i="10"/>
  <c r="AA149" i="10" s="1"/>
  <c r="Z150" i="10"/>
  <c r="AA150" i="10" s="1"/>
  <c r="Z151" i="10"/>
  <c r="AA151" i="10" s="1"/>
  <c r="Z152" i="10"/>
  <c r="AA152" i="10" s="1"/>
  <c r="Z153" i="10"/>
  <c r="AA153" i="10" s="1"/>
  <c r="Z154" i="10"/>
  <c r="AA154" i="10" s="1"/>
  <c r="Z155" i="10"/>
  <c r="AA155" i="10" s="1"/>
  <c r="Z156" i="10"/>
  <c r="AA156" i="10" s="1"/>
  <c r="Z157" i="10"/>
  <c r="AA157" i="10" s="1"/>
  <c r="Z158" i="10"/>
  <c r="AA158" i="10" s="1"/>
  <c r="Z159" i="10"/>
  <c r="AA159" i="10" s="1"/>
  <c r="Z160" i="10"/>
  <c r="AA160" i="10" s="1"/>
  <c r="Z161" i="10"/>
  <c r="AA161" i="10" s="1"/>
  <c r="Z162" i="10"/>
  <c r="AA162" i="10" s="1"/>
  <c r="Z145" i="10"/>
  <c r="AA145" i="10" s="1"/>
  <c r="AB144" i="10" s="1"/>
  <c r="Z191" i="10"/>
  <c r="AA191" i="10" s="1"/>
  <c r="AB190" i="10"/>
  <c r="Z342" i="10" s="1"/>
  <c r="H101" i="1" s="1"/>
  <c r="Z188" i="10"/>
  <c r="AA188" i="10" s="1"/>
  <c r="AB187" i="10"/>
  <c r="Y185" i="10"/>
  <c r="Z185" i="10"/>
  <c r="AA185" i="10" s="1"/>
  <c r="AB184" i="10"/>
  <c r="Z182" i="10"/>
  <c r="AA182" i="10" s="1"/>
  <c r="AB181" i="10" s="1"/>
  <c r="Z338" i="10" s="1"/>
  <c r="H97" i="1" s="1"/>
  <c r="Y179" i="10"/>
  <c r="Z179" i="10"/>
  <c r="AA179" i="10" s="1"/>
  <c r="AB178" i="10" s="1"/>
  <c r="Y176" i="10"/>
  <c r="Z176" i="10" s="1"/>
  <c r="AA176" i="10"/>
  <c r="AB175" i="10" s="1"/>
  <c r="Z332" i="10" s="1"/>
  <c r="H91" i="1" s="1"/>
  <c r="Y16" i="9"/>
  <c r="Z35" i="9"/>
  <c r="AA35" i="9"/>
  <c r="AB34" i="9" s="1"/>
  <c r="Y15" i="9"/>
  <c r="Z16" i="9"/>
  <c r="AA16" i="9" s="1"/>
  <c r="Y18" i="9"/>
  <c r="Z18" i="9" s="1"/>
  <c r="AA18" i="9" s="1"/>
  <c r="AB17" i="9" s="1"/>
  <c r="Z172" i="9" s="1"/>
  <c r="Y36" i="13"/>
  <c r="Z36" i="13" s="1"/>
  <c r="AA36" i="13" s="1"/>
  <c r="AB35" i="13" s="1"/>
  <c r="Z52" i="13" s="1"/>
  <c r="Z112" i="10"/>
  <c r="AA112" i="10"/>
  <c r="Y23" i="5"/>
  <c r="Z23" i="5"/>
  <c r="AA23" i="5" s="1"/>
  <c r="Z68" i="5"/>
  <c r="AA68" i="5" s="1"/>
  <c r="Y65" i="5"/>
  <c r="Y25" i="11"/>
  <c r="Y40" i="11"/>
  <c r="Z17" i="11"/>
  <c r="AA17" i="11" s="1"/>
  <c r="AB16" i="11"/>
  <c r="Z100" i="11" s="1"/>
  <c r="H113" i="1" s="1"/>
  <c r="Y103" i="20"/>
  <c r="Z103" i="20"/>
  <c r="AA103" i="20" s="1"/>
  <c r="AB102" i="20"/>
  <c r="Z300" i="20" s="1"/>
  <c r="H215" i="1" s="1"/>
  <c r="Y38" i="21"/>
  <c r="Z38" i="21" s="1"/>
  <c r="AA38" i="21" s="1"/>
  <c r="AB37" i="21" s="1"/>
  <c r="Z432" i="21" s="1"/>
  <c r="H278" i="1" s="1"/>
  <c r="Z303" i="21"/>
  <c r="AA303" i="21" s="1"/>
  <c r="AB302" i="21" s="1"/>
  <c r="Z431" i="21" s="1"/>
  <c r="H277" i="1" s="1"/>
  <c r="AA66" i="25"/>
  <c r="Y1249" i="25" s="1"/>
  <c r="Y103" i="33"/>
  <c r="Y91" i="6"/>
  <c r="Z91" i="6" s="1"/>
  <c r="Z318" i="21"/>
  <c r="X660" i="23"/>
  <c r="X109" i="23"/>
  <c r="X102" i="23"/>
  <c r="X101" i="23"/>
  <c r="X32" i="26"/>
  <c r="X65" i="25"/>
  <c r="X58" i="25"/>
  <c r="X20" i="22"/>
  <c r="Y146" i="21"/>
  <c r="Y93" i="21"/>
  <c r="Y80" i="33"/>
  <c r="Y15" i="33"/>
  <c r="AA20" i="11"/>
  <c r="Y10" i="11"/>
  <c r="Y35" i="10"/>
  <c r="Y111" i="2"/>
  <c r="Y11" i="8"/>
  <c r="Y10" i="8"/>
  <c r="Z10" i="8" s="1"/>
  <c r="AA10" i="8" s="1"/>
  <c r="Y93" i="7"/>
  <c r="Y68" i="7"/>
  <c r="Y17" i="7"/>
  <c r="Y15" i="7"/>
  <c r="Y108" i="5"/>
  <c r="Y57" i="5"/>
  <c r="Y26" i="4"/>
  <c r="Z23" i="4"/>
  <c r="AA23" i="4" s="1"/>
  <c r="Y15" i="4"/>
  <c r="Y16" i="4"/>
  <c r="Z16" i="4"/>
  <c r="AA16" i="4" s="1"/>
  <c r="Y35" i="3"/>
  <c r="Y16" i="3"/>
  <c r="Z96" i="2"/>
  <c r="AA96" i="2" s="1"/>
  <c r="Y32" i="2"/>
  <c r="Z32" i="2" s="1"/>
  <c r="W470" i="19" l="1"/>
  <c r="H197" i="1"/>
  <c r="H65" i="1"/>
  <c r="W290" i="7"/>
  <c r="Y719" i="23"/>
  <c r="V733" i="22"/>
  <c r="H307" i="1"/>
  <c r="H43" i="1"/>
  <c r="H44" i="1"/>
  <c r="W144" i="6"/>
  <c r="H45" i="1"/>
  <c r="H52" i="1"/>
  <c r="W283" i="7"/>
  <c r="W152" i="6"/>
  <c r="H40" i="1"/>
  <c r="Z414" i="21"/>
  <c r="AB51" i="21"/>
  <c r="J73" i="42"/>
  <c r="H73" i="42" s="1"/>
  <c r="G146" i="42"/>
  <c r="I207" i="42"/>
  <c r="H207" i="42" s="1"/>
  <c r="G266" i="42"/>
  <c r="H201" i="42"/>
  <c r="F309" i="42"/>
  <c r="F311" i="42" s="1"/>
  <c r="L309" i="42"/>
  <c r="L311" i="42" s="1"/>
  <c r="K146" i="42"/>
  <c r="K309" i="42" s="1"/>
  <c r="K311" i="42" s="1"/>
  <c r="H26" i="42"/>
  <c r="G201" i="42"/>
  <c r="G309" i="42" s="1"/>
  <c r="M309" i="42"/>
  <c r="M311" i="42" s="1"/>
  <c r="J308" i="42"/>
  <c r="I266" i="42"/>
  <c r="H206" i="42"/>
  <c r="H266" i="42" s="1"/>
  <c r="J146" i="42"/>
  <c r="J309" i="42" s="1"/>
  <c r="J311" i="42" s="1"/>
  <c r="H46" i="42"/>
  <c r="I201" i="42"/>
  <c r="I309" i="42" s="1"/>
  <c r="I311" i="42" s="1"/>
  <c r="AB39" i="21"/>
  <c r="Z384" i="21" s="1"/>
  <c r="H37" i="1"/>
  <c r="AA79" i="25"/>
  <c r="Y1243" i="25"/>
  <c r="H340" i="1" s="1"/>
  <c r="Z440" i="19"/>
  <c r="H199" i="1" s="1"/>
  <c r="AA87" i="7"/>
  <c r="AB86" i="7" s="1"/>
  <c r="AA91" i="6"/>
  <c r="AB90" i="6" s="1"/>
  <c r="Z131" i="6" s="1"/>
  <c r="Y724" i="23"/>
  <c r="H317" i="1" s="1"/>
  <c r="Y701" i="22"/>
  <c r="AA318" i="21"/>
  <c r="AB317" i="21" s="1"/>
  <c r="Z396" i="21" s="1"/>
  <c r="H242" i="1" s="1"/>
  <c r="AA43" i="21"/>
  <c r="AB42" i="21" s="1"/>
  <c r="AA310" i="21"/>
  <c r="AB309" i="21" s="1"/>
  <c r="Z397" i="21" s="1"/>
  <c r="H243" i="1" s="1"/>
  <c r="Z428" i="21"/>
  <c r="H274" i="1" s="1"/>
  <c r="Z63" i="22"/>
  <c r="AA62" i="22" s="1"/>
  <c r="Y710" i="22"/>
  <c r="H293" i="1" s="1"/>
  <c r="H126" i="1"/>
  <c r="W70" i="13"/>
  <c r="W59" i="13"/>
  <c r="H79" i="1"/>
  <c r="H118" i="1"/>
  <c r="H349" i="1"/>
  <c r="E328" i="39"/>
  <c r="F328" i="39" s="1"/>
  <c r="G122" i="39"/>
  <c r="I122" i="39" s="1"/>
  <c r="H122" i="39" s="1"/>
  <c r="D349" i="39"/>
  <c r="G127" i="39"/>
  <c r="K127" i="39" s="1"/>
  <c r="H127" i="39" s="1"/>
  <c r="G129" i="39"/>
  <c r="K129" i="39" s="1"/>
  <c r="H129" i="39" s="1"/>
  <c r="M140" i="39"/>
  <c r="H131" i="39"/>
  <c r="E317" i="39"/>
  <c r="E344" i="39"/>
  <c r="F194" i="39"/>
  <c r="G145" i="39"/>
  <c r="K145" i="39" s="1"/>
  <c r="G155" i="39"/>
  <c r="I155" i="39" s="1"/>
  <c r="H155" i="39" s="1"/>
  <c r="E194" i="39"/>
  <c r="G220" i="39"/>
  <c r="J220" i="39" s="1"/>
  <c r="H220" i="39" s="1"/>
  <c r="D331" i="39"/>
  <c r="F331" i="39" s="1"/>
  <c r="G246" i="39"/>
  <c r="I246" i="39" s="1"/>
  <c r="H246" i="39" s="1"/>
  <c r="E318" i="39"/>
  <c r="H264" i="39"/>
  <c r="I301" i="39"/>
  <c r="H276" i="39"/>
  <c r="D319" i="39"/>
  <c r="E301" i="39"/>
  <c r="G280" i="39"/>
  <c r="J280" i="39" s="1"/>
  <c r="H280" i="39" s="1"/>
  <c r="G298" i="39"/>
  <c r="K298" i="39" s="1"/>
  <c r="H298" i="39" s="1"/>
  <c r="F327" i="39"/>
  <c r="F337" i="39"/>
  <c r="F338" i="39"/>
  <c r="F344" i="39"/>
  <c r="F346" i="39"/>
  <c r="F347" i="39"/>
  <c r="F348" i="39"/>
  <c r="F350" i="39"/>
  <c r="E358" i="39"/>
  <c r="F355" i="39"/>
  <c r="F357" i="39"/>
  <c r="D157" i="40"/>
  <c r="D158" i="40" s="1"/>
  <c r="H22" i="1"/>
  <c r="W74" i="4"/>
  <c r="J140" i="39"/>
  <c r="H203" i="39"/>
  <c r="M259" i="39"/>
  <c r="H152" i="39"/>
  <c r="I194" i="39"/>
  <c r="D306" i="39"/>
  <c r="D304" i="39"/>
  <c r="H26" i="39"/>
  <c r="K140" i="39"/>
  <c r="H123" i="39"/>
  <c r="L140" i="39"/>
  <c r="H206" i="39"/>
  <c r="K259" i="39"/>
  <c r="D345" i="39"/>
  <c r="M302" i="39"/>
  <c r="M304" i="39" s="1"/>
  <c r="L194" i="39"/>
  <c r="F358" i="39"/>
  <c r="D316" i="39"/>
  <c r="D326" i="39"/>
  <c r="D332" i="39" s="1"/>
  <c r="D318" i="39"/>
  <c r="F318" i="39" s="1"/>
  <c r="G200" i="39"/>
  <c r="I200" i="39" s="1"/>
  <c r="H46" i="39"/>
  <c r="E345" i="39"/>
  <c r="F345" i="39" s="1"/>
  <c r="F140" i="39"/>
  <c r="F302" i="39" s="1"/>
  <c r="E316" i="39"/>
  <c r="G60" i="39"/>
  <c r="I60" i="39" s="1"/>
  <c r="J194" i="39"/>
  <c r="G194" i="39"/>
  <c r="H237" i="39"/>
  <c r="E21" i="39"/>
  <c r="E332" i="39"/>
  <c r="F326" i="39"/>
  <c r="E140" i="39"/>
  <c r="H145" i="39"/>
  <c r="K194" i="39"/>
  <c r="K301" i="39"/>
  <c r="G102" i="39"/>
  <c r="I102" i="39" s="1"/>
  <c r="H102" i="39" s="1"/>
  <c r="H180" i="39"/>
  <c r="G201" i="39"/>
  <c r="J201" i="39" s="1"/>
  <c r="J265" i="39"/>
  <c r="D317" i="39"/>
  <c r="F317" i="39" s="1"/>
  <c r="G140" i="39"/>
  <c r="E349" i="39"/>
  <c r="F349" i="39" s="1"/>
  <c r="E259" i="39"/>
  <c r="H294" i="39"/>
  <c r="E336" i="39"/>
  <c r="D351" i="39"/>
  <c r="D365" i="39"/>
  <c r="F362" i="39"/>
  <c r="G288" i="39"/>
  <c r="H293" i="39"/>
  <c r="E319" i="39"/>
  <c r="F319" i="39" s="1"/>
  <c r="Z329" i="33"/>
  <c r="H230" i="1"/>
  <c r="H346" i="1"/>
  <c r="V732" i="23"/>
  <c r="V737" i="23"/>
  <c r="H159" i="1"/>
  <c r="AB315" i="21"/>
  <c r="Z395" i="21" s="1"/>
  <c r="Z31" i="2"/>
  <c r="AA32" i="2"/>
  <c r="D150" i="37"/>
  <c r="D153" i="37" s="1"/>
  <c r="E145" i="37"/>
  <c r="E137" i="37"/>
  <c r="E153" i="37" s="1"/>
  <c r="D114" i="37"/>
  <c r="E113" i="37"/>
  <c r="D109" i="37"/>
  <c r="D128" i="37" s="1"/>
  <c r="E108" i="37"/>
  <c r="E128" i="37" s="1"/>
  <c r="D93" i="37"/>
  <c r="E91" i="37"/>
  <c r="D88" i="37"/>
  <c r="D94" i="37" s="1"/>
  <c r="E77" i="37"/>
  <c r="E94" i="37" s="1"/>
  <c r="D62" i="37"/>
  <c r="D60" i="37"/>
  <c r="E55" i="37"/>
  <c r="D50" i="37"/>
  <c r="D49" i="37"/>
  <c r="D44" i="37"/>
  <c r="D25" i="37"/>
  <c r="D21" i="37"/>
  <c r="D65" i="37" s="1"/>
  <c r="D154" i="37" s="1"/>
  <c r="E18" i="37"/>
  <c r="E65" i="37" s="1"/>
  <c r="E154" i="37" s="1"/>
  <c r="K346" i="36"/>
  <c r="J346" i="36"/>
  <c r="K345" i="36"/>
  <c r="J345" i="36"/>
  <c r="K344" i="36"/>
  <c r="K347" i="36" s="1"/>
  <c r="J344" i="36"/>
  <c r="J347" i="36" s="1"/>
  <c r="K339" i="36"/>
  <c r="J339" i="36"/>
  <c r="K338" i="36"/>
  <c r="J338" i="36"/>
  <c r="K337" i="36"/>
  <c r="J337" i="36"/>
  <c r="J340" i="36" s="1"/>
  <c r="K332" i="36"/>
  <c r="K330" i="36"/>
  <c r="J330" i="36"/>
  <c r="K329" i="36"/>
  <c r="J329" i="36"/>
  <c r="K328" i="36"/>
  <c r="J328" i="36"/>
  <c r="K327" i="36"/>
  <c r="J327" i="36"/>
  <c r="L327" i="36" s="1"/>
  <c r="K325" i="36"/>
  <c r="J325" i="36"/>
  <c r="K319" i="36"/>
  <c r="J319" i="36"/>
  <c r="K318" i="36"/>
  <c r="J318" i="36"/>
  <c r="L318" i="36" s="1"/>
  <c r="K317" i="36"/>
  <c r="J317" i="36"/>
  <c r="K316" i="36"/>
  <c r="J316" i="36"/>
  <c r="K315" i="36"/>
  <c r="J315" i="36"/>
  <c r="L313" i="36"/>
  <c r="K308" i="36"/>
  <c r="J308" i="36"/>
  <c r="K306" i="36"/>
  <c r="J306" i="36"/>
  <c r="L306" i="36" s="1"/>
  <c r="L305" i="36"/>
  <c r="K304" i="36"/>
  <c r="J304" i="36"/>
  <c r="K303" i="36"/>
  <c r="J303" i="36"/>
  <c r="L301" i="36"/>
  <c r="N294" i="36"/>
  <c r="M294" i="36"/>
  <c r="L294" i="36"/>
  <c r="N293" i="36"/>
  <c r="M293" i="36"/>
  <c r="L293" i="36"/>
  <c r="N292" i="36"/>
  <c r="M292" i="36"/>
  <c r="L292" i="36"/>
  <c r="N291" i="36"/>
  <c r="M291" i="36"/>
  <c r="M295" i="36" s="1"/>
  <c r="L291" i="36"/>
  <c r="L295" i="36" s="1"/>
  <c r="M280" i="36"/>
  <c r="L280" i="36"/>
  <c r="D280" i="36"/>
  <c r="G279" i="36"/>
  <c r="K279" i="36" s="1"/>
  <c r="H279" i="36" s="1"/>
  <c r="F278" i="36"/>
  <c r="G278" i="36" s="1"/>
  <c r="K278" i="36" s="1"/>
  <c r="H278" i="36" s="1"/>
  <c r="F277" i="36"/>
  <c r="E277" i="36"/>
  <c r="G277" i="36" s="1"/>
  <c r="K277" i="36" s="1"/>
  <c r="H277" i="36" s="1"/>
  <c r="E276" i="36"/>
  <c r="G276" i="36" s="1"/>
  <c r="I276" i="36" s="1"/>
  <c r="H276" i="36" s="1"/>
  <c r="G275" i="36"/>
  <c r="K275" i="36" s="1"/>
  <c r="H275" i="36" s="1"/>
  <c r="G274" i="36"/>
  <c r="K274" i="36" s="1"/>
  <c r="H274" i="36" s="1"/>
  <c r="G273" i="36"/>
  <c r="K273" i="36" s="1"/>
  <c r="G272" i="36"/>
  <c r="J272" i="36" s="1"/>
  <c r="H272" i="36" s="1"/>
  <c r="G271" i="36"/>
  <c r="I271" i="36" s="1"/>
  <c r="H271" i="36" s="1"/>
  <c r="G270" i="36"/>
  <c r="J270" i="36" s="1"/>
  <c r="H270" i="36" s="1"/>
  <c r="G269" i="36"/>
  <c r="J269" i="36" s="1"/>
  <c r="H269" i="36" s="1"/>
  <c r="G268" i="36"/>
  <c r="J268" i="36" s="1"/>
  <c r="H268" i="36" s="1"/>
  <c r="G267" i="36"/>
  <c r="J267" i="36" s="1"/>
  <c r="H267" i="36" s="1"/>
  <c r="G266" i="36"/>
  <c r="J266" i="36" s="1"/>
  <c r="H266" i="36" s="1"/>
  <c r="G265" i="36"/>
  <c r="J265" i="36" s="1"/>
  <c r="H265" i="36" s="1"/>
  <c r="G264" i="36"/>
  <c r="J264" i="36" s="1"/>
  <c r="H264" i="36" s="1"/>
  <c r="G263" i="36"/>
  <c r="J263" i="36" s="1"/>
  <c r="H263" i="36" s="1"/>
  <c r="G262" i="36"/>
  <c r="J262" i="36" s="1"/>
  <c r="H262" i="36" s="1"/>
  <c r="F261" i="36"/>
  <c r="G261" i="36" s="1"/>
  <c r="J261" i="36" s="1"/>
  <c r="H261" i="36" s="1"/>
  <c r="G260" i="36"/>
  <c r="J260" i="36" s="1"/>
  <c r="H260" i="36" s="1"/>
  <c r="G259" i="36"/>
  <c r="J259" i="36" s="1"/>
  <c r="H259" i="36" s="1"/>
  <c r="G258" i="36"/>
  <c r="I258" i="36" s="1"/>
  <c r="H258" i="36" s="1"/>
  <c r="G257" i="36"/>
  <c r="J257" i="36" s="1"/>
  <c r="H257" i="36" s="1"/>
  <c r="E256" i="36"/>
  <c r="G256" i="36" s="1"/>
  <c r="J256" i="36" s="1"/>
  <c r="H256" i="36" s="1"/>
  <c r="G255" i="36"/>
  <c r="J255" i="36" s="1"/>
  <c r="H255" i="36" s="1"/>
  <c r="G254" i="36"/>
  <c r="J254" i="36" s="1"/>
  <c r="H254" i="36" s="1"/>
  <c r="G253" i="36"/>
  <c r="J253" i="36" s="1"/>
  <c r="H253" i="36" s="1"/>
  <c r="G252" i="36"/>
  <c r="J252" i="36" s="1"/>
  <c r="H252" i="36" s="1"/>
  <c r="F251" i="36"/>
  <c r="G250" i="36"/>
  <c r="J250" i="36" s="1"/>
  <c r="H250" i="36" s="1"/>
  <c r="G249" i="36"/>
  <c r="J249" i="36" s="1"/>
  <c r="H249" i="36" s="1"/>
  <c r="G248" i="36"/>
  <c r="J248" i="36" s="1"/>
  <c r="H248" i="36" s="1"/>
  <c r="G247" i="36"/>
  <c r="J247" i="36" s="1"/>
  <c r="H247" i="36" s="1"/>
  <c r="G246" i="36"/>
  <c r="J246" i="36" s="1"/>
  <c r="H246" i="36" s="1"/>
  <c r="D241" i="36"/>
  <c r="D242" i="36" s="1"/>
  <c r="G240" i="36"/>
  <c r="K240" i="36" s="1"/>
  <c r="H240" i="36" s="1"/>
  <c r="G239" i="36"/>
  <c r="J239" i="36" s="1"/>
  <c r="H239" i="36" s="1"/>
  <c r="G238" i="36"/>
  <c r="M238" i="36" s="1"/>
  <c r="H238" i="36" s="1"/>
  <c r="G237" i="36"/>
  <c r="L237" i="36" s="1"/>
  <c r="H237" i="36" s="1"/>
  <c r="F236" i="36"/>
  <c r="E236" i="36"/>
  <c r="G236" i="36" s="1"/>
  <c r="K236" i="36" s="1"/>
  <c r="H236" i="36" s="1"/>
  <c r="G235" i="36"/>
  <c r="I235" i="36" s="1"/>
  <c r="H235" i="36" s="1"/>
  <c r="G234" i="36"/>
  <c r="I234" i="36" s="1"/>
  <c r="H234" i="36" s="1"/>
  <c r="G233" i="36"/>
  <c r="M233" i="36" s="1"/>
  <c r="H233" i="36" s="1"/>
  <c r="F232" i="36"/>
  <c r="E232" i="36"/>
  <c r="G232" i="36" s="1"/>
  <c r="K232" i="36" s="1"/>
  <c r="H232" i="36" s="1"/>
  <c r="G231" i="36"/>
  <c r="J231" i="36" s="1"/>
  <c r="H231" i="36" s="1"/>
  <c r="G230" i="36"/>
  <c r="I230" i="36" s="1"/>
  <c r="H230" i="36" s="1"/>
  <c r="F229" i="36"/>
  <c r="G228" i="36"/>
  <c r="I228" i="36" s="1"/>
  <c r="H228" i="36" s="1"/>
  <c r="G227" i="36"/>
  <c r="K227" i="36" s="1"/>
  <c r="H227" i="36" s="1"/>
  <c r="G226" i="36"/>
  <c r="J226" i="36" s="1"/>
  <c r="H226" i="36" s="1"/>
  <c r="G225" i="36"/>
  <c r="I225" i="36" s="1"/>
  <c r="H225" i="36" s="1"/>
  <c r="G224" i="36"/>
  <c r="L224" i="36" s="1"/>
  <c r="G223" i="36"/>
  <c r="M223" i="36" s="1"/>
  <c r="H223" i="36" s="1"/>
  <c r="G222" i="36"/>
  <c r="L222" i="36" s="1"/>
  <c r="H222" i="36" s="1"/>
  <c r="G221" i="36"/>
  <c r="I221" i="36" s="1"/>
  <c r="H221" i="36" s="1"/>
  <c r="G220" i="36"/>
  <c r="I220" i="36" s="1"/>
  <c r="H220" i="36" s="1"/>
  <c r="G219" i="36"/>
  <c r="J219" i="36" s="1"/>
  <c r="H219" i="36" s="1"/>
  <c r="G218" i="36"/>
  <c r="J218" i="36" s="1"/>
  <c r="H218" i="36" s="1"/>
  <c r="G217" i="36"/>
  <c r="J217" i="36" s="1"/>
  <c r="H217" i="36" s="1"/>
  <c r="E216" i="36"/>
  <c r="G216" i="36" s="1"/>
  <c r="I216" i="36" s="1"/>
  <c r="H216" i="36" s="1"/>
  <c r="G215" i="36"/>
  <c r="J215" i="36" s="1"/>
  <c r="H215" i="36" s="1"/>
  <c r="G214" i="36"/>
  <c r="J214" i="36" s="1"/>
  <c r="H214" i="36" s="1"/>
  <c r="F213" i="36"/>
  <c r="G213" i="36" s="1"/>
  <c r="J213" i="36" s="1"/>
  <c r="H213" i="36" s="1"/>
  <c r="G212" i="36"/>
  <c r="K212" i="36" s="1"/>
  <c r="H212" i="36" s="1"/>
  <c r="G211" i="36"/>
  <c r="J211" i="36" s="1"/>
  <c r="H211" i="36" s="1"/>
  <c r="G210" i="36"/>
  <c r="K210" i="36" s="1"/>
  <c r="H210" i="36" s="1"/>
  <c r="G209" i="36"/>
  <c r="K209" i="36" s="1"/>
  <c r="H209" i="36" s="1"/>
  <c r="G208" i="36"/>
  <c r="K208" i="36" s="1"/>
  <c r="H208" i="36" s="1"/>
  <c r="G207" i="36"/>
  <c r="I207" i="36" s="1"/>
  <c r="H207" i="36" s="1"/>
  <c r="G206" i="36"/>
  <c r="I206" i="36" s="1"/>
  <c r="H206" i="36" s="1"/>
  <c r="G205" i="36"/>
  <c r="J205" i="36" s="1"/>
  <c r="H205" i="36" s="1"/>
  <c r="E204" i="36"/>
  <c r="G204" i="36" s="1"/>
  <c r="I204" i="36" s="1"/>
  <c r="H204" i="36" s="1"/>
  <c r="F203" i="36"/>
  <c r="G203" i="36" s="1"/>
  <c r="J203" i="36" s="1"/>
  <c r="H203" i="36" s="1"/>
  <c r="E202" i="36"/>
  <c r="G202" i="36" s="1"/>
  <c r="I202" i="36" s="1"/>
  <c r="H202" i="36" s="1"/>
  <c r="G201" i="36"/>
  <c r="I201" i="36" s="1"/>
  <c r="H201" i="36" s="1"/>
  <c r="G200" i="36"/>
  <c r="J200" i="36" s="1"/>
  <c r="H200" i="36" s="1"/>
  <c r="G199" i="36"/>
  <c r="I199" i="36" s="1"/>
  <c r="H199" i="36" s="1"/>
  <c r="G198" i="36"/>
  <c r="K198" i="36" s="1"/>
  <c r="H198" i="36" s="1"/>
  <c r="G197" i="36"/>
  <c r="K197" i="36" s="1"/>
  <c r="H197" i="36" s="1"/>
  <c r="F196" i="36"/>
  <c r="E196" i="36"/>
  <c r="J314" i="36" s="1"/>
  <c r="J320" i="36" s="1"/>
  <c r="E195" i="36"/>
  <c r="G194" i="36"/>
  <c r="K194" i="36" s="1"/>
  <c r="H194" i="36" s="1"/>
  <c r="G193" i="36"/>
  <c r="I193" i="36" s="1"/>
  <c r="H193" i="36" s="1"/>
  <c r="G192" i="36"/>
  <c r="I192" i="36" s="1"/>
  <c r="H192" i="36" s="1"/>
  <c r="G191" i="36"/>
  <c r="K191" i="36" s="1"/>
  <c r="G190" i="36"/>
  <c r="I190" i="36" s="1"/>
  <c r="H190" i="36" s="1"/>
  <c r="G189" i="36"/>
  <c r="K189" i="36" s="1"/>
  <c r="H189" i="36" s="1"/>
  <c r="G188" i="36"/>
  <c r="M188" i="36" s="1"/>
  <c r="G187" i="36"/>
  <c r="I187" i="36" s="1"/>
  <c r="H187" i="36" s="1"/>
  <c r="G186" i="36"/>
  <c r="I186" i="36" s="1"/>
  <c r="H186" i="36" s="1"/>
  <c r="G185" i="36"/>
  <c r="D180" i="36"/>
  <c r="E179" i="36"/>
  <c r="F178" i="36"/>
  <c r="G178" i="36" s="1"/>
  <c r="K178" i="36" s="1"/>
  <c r="H178" i="36" s="1"/>
  <c r="G177" i="36"/>
  <c r="M177" i="36" s="1"/>
  <c r="H177" i="36" s="1"/>
  <c r="G176" i="36"/>
  <c r="L176" i="36" s="1"/>
  <c r="H176" i="36" s="1"/>
  <c r="G175" i="36"/>
  <c r="I175" i="36" s="1"/>
  <c r="H175" i="36" s="1"/>
  <c r="F174" i="36"/>
  <c r="K331" i="36" s="1"/>
  <c r="G173" i="36"/>
  <c r="I173" i="36" s="1"/>
  <c r="H173" i="36" s="1"/>
  <c r="G172" i="36"/>
  <c r="K172" i="36" s="1"/>
  <c r="H172" i="36" s="1"/>
  <c r="E171" i="36"/>
  <c r="G170" i="36"/>
  <c r="L170" i="36" s="1"/>
  <c r="H170" i="36" s="1"/>
  <c r="G169" i="36"/>
  <c r="M169" i="36" s="1"/>
  <c r="G168" i="36"/>
  <c r="L168" i="36" s="1"/>
  <c r="H168" i="36" s="1"/>
  <c r="G167" i="36"/>
  <c r="L167" i="36" s="1"/>
  <c r="G166" i="36"/>
  <c r="I166" i="36" s="1"/>
  <c r="H166" i="36" s="1"/>
  <c r="G165" i="36"/>
  <c r="I165" i="36" s="1"/>
  <c r="H165" i="36" s="1"/>
  <c r="G164" i="36"/>
  <c r="I164" i="36" s="1"/>
  <c r="H164" i="36" s="1"/>
  <c r="G163" i="36"/>
  <c r="I163" i="36" s="1"/>
  <c r="H163" i="36" s="1"/>
  <c r="G162" i="36"/>
  <c r="I162" i="36" s="1"/>
  <c r="H162" i="36" s="1"/>
  <c r="G161" i="36"/>
  <c r="I161" i="36" s="1"/>
  <c r="H161" i="36" s="1"/>
  <c r="G160" i="36"/>
  <c r="I160" i="36" s="1"/>
  <c r="H160" i="36" s="1"/>
  <c r="G159" i="36"/>
  <c r="K159" i="36" s="1"/>
  <c r="H159" i="36" s="1"/>
  <c r="G158" i="36"/>
  <c r="I158" i="36" s="1"/>
  <c r="H158" i="36" s="1"/>
  <c r="G157" i="36"/>
  <c r="I157" i="36" s="1"/>
  <c r="H157" i="36" s="1"/>
  <c r="G156" i="36"/>
  <c r="I156" i="36" s="1"/>
  <c r="H156" i="36" s="1"/>
  <c r="G155" i="36"/>
  <c r="I155" i="36" s="1"/>
  <c r="H155" i="36" s="1"/>
  <c r="F154" i="36"/>
  <c r="E154" i="36"/>
  <c r="G154" i="36" s="1"/>
  <c r="I154" i="36" s="1"/>
  <c r="H154" i="36" s="1"/>
  <c r="G153" i="36"/>
  <c r="I153" i="36" s="1"/>
  <c r="H153" i="36" s="1"/>
  <c r="G152" i="36"/>
  <c r="K152" i="36" s="1"/>
  <c r="H152" i="36" s="1"/>
  <c r="G151" i="36"/>
  <c r="I151" i="36" s="1"/>
  <c r="H151" i="36" s="1"/>
  <c r="F150" i="36"/>
  <c r="G150" i="36" s="1"/>
  <c r="I150" i="36" s="1"/>
  <c r="H150" i="36" s="1"/>
  <c r="G149" i="36"/>
  <c r="I149" i="36" s="1"/>
  <c r="H149" i="36" s="1"/>
  <c r="G148" i="36"/>
  <c r="K148" i="36" s="1"/>
  <c r="H148" i="36" s="1"/>
  <c r="G147" i="36"/>
  <c r="J147" i="36" s="1"/>
  <c r="H147" i="36" s="1"/>
  <c r="G146" i="36"/>
  <c r="I146" i="36" s="1"/>
  <c r="H146" i="36" s="1"/>
  <c r="G145" i="36"/>
  <c r="J145" i="36" s="1"/>
  <c r="G144" i="36"/>
  <c r="I144" i="36" s="1"/>
  <c r="H144" i="36" s="1"/>
  <c r="G143" i="36"/>
  <c r="I143" i="36" s="1"/>
  <c r="G142" i="36"/>
  <c r="K142" i="36" s="1"/>
  <c r="H142" i="36" s="1"/>
  <c r="G141" i="36"/>
  <c r="K141" i="36" s="1"/>
  <c r="H141" i="36" s="1"/>
  <c r="G140" i="36"/>
  <c r="K140" i="36" s="1"/>
  <c r="H140" i="36" s="1"/>
  <c r="G139" i="36"/>
  <c r="K139" i="36" s="1"/>
  <c r="H139" i="36" s="1"/>
  <c r="G138" i="36"/>
  <c r="K138" i="36" s="1"/>
  <c r="H138" i="36" s="1"/>
  <c r="G137" i="36"/>
  <c r="K137" i="36" s="1"/>
  <c r="H137" i="36" s="1"/>
  <c r="G136" i="36"/>
  <c r="D131" i="36"/>
  <c r="D281" i="36" s="1"/>
  <c r="G130" i="36"/>
  <c r="K130" i="36" s="1"/>
  <c r="H130" i="36" s="1"/>
  <c r="G129" i="36"/>
  <c r="K129" i="36" s="1"/>
  <c r="H129" i="36" s="1"/>
  <c r="G128" i="36"/>
  <c r="L128" i="36" s="1"/>
  <c r="H128" i="36" s="1"/>
  <c r="G127" i="36"/>
  <c r="L127" i="36" s="1"/>
  <c r="H127" i="36" s="1"/>
  <c r="E126" i="36"/>
  <c r="G126" i="36" s="1"/>
  <c r="K126" i="36" s="1"/>
  <c r="H126" i="36" s="1"/>
  <c r="G125" i="36"/>
  <c r="I125" i="36" s="1"/>
  <c r="H125" i="36" s="1"/>
  <c r="G124" i="36"/>
  <c r="M124" i="36" s="1"/>
  <c r="H124" i="36" s="1"/>
  <c r="G123" i="36"/>
  <c r="M123" i="36" s="1"/>
  <c r="G122" i="36"/>
  <c r="L122" i="36" s="1"/>
  <c r="H122" i="36" s="1"/>
  <c r="E121" i="36"/>
  <c r="G121" i="36" s="1"/>
  <c r="K121" i="36" s="1"/>
  <c r="H121" i="36" s="1"/>
  <c r="G120" i="36"/>
  <c r="J120" i="36" s="1"/>
  <c r="H120" i="36" s="1"/>
  <c r="E119" i="36"/>
  <c r="G119" i="36" s="1"/>
  <c r="K119" i="36" s="1"/>
  <c r="H119" i="36" s="1"/>
  <c r="G118" i="36"/>
  <c r="I118" i="36" s="1"/>
  <c r="H118" i="36" s="1"/>
  <c r="G117" i="36"/>
  <c r="L117" i="36" s="1"/>
  <c r="H117" i="36" s="1"/>
  <c r="G116" i="36"/>
  <c r="L116" i="36" s="1"/>
  <c r="G115" i="36"/>
  <c r="L115" i="36" s="1"/>
  <c r="H115" i="36" s="1"/>
  <c r="G114" i="36"/>
  <c r="I114" i="36" s="1"/>
  <c r="H114" i="36" s="1"/>
  <c r="G113" i="36"/>
  <c r="I113" i="36" s="1"/>
  <c r="H113" i="36" s="1"/>
  <c r="G112" i="36"/>
  <c r="K112" i="36" s="1"/>
  <c r="H112" i="36" s="1"/>
  <c r="G111" i="36"/>
  <c r="K111" i="36" s="1"/>
  <c r="H111" i="36" s="1"/>
  <c r="G110" i="36"/>
  <c r="J110" i="36" s="1"/>
  <c r="H110" i="36" s="1"/>
  <c r="G109" i="36"/>
  <c r="K109" i="36" s="1"/>
  <c r="H109" i="36" s="1"/>
  <c r="G108" i="36"/>
  <c r="J108" i="36" s="1"/>
  <c r="H108" i="36" s="1"/>
  <c r="G107" i="36"/>
  <c r="I107" i="36" s="1"/>
  <c r="H107" i="36" s="1"/>
  <c r="G106" i="36"/>
  <c r="K106" i="36" s="1"/>
  <c r="H106" i="36" s="1"/>
  <c r="G105" i="36"/>
  <c r="J105" i="36" s="1"/>
  <c r="H105" i="36" s="1"/>
  <c r="F104" i="36"/>
  <c r="G104" i="36" s="1"/>
  <c r="K104" i="36" s="1"/>
  <c r="H104" i="36" s="1"/>
  <c r="G103" i="36"/>
  <c r="K103" i="36" s="1"/>
  <c r="H103" i="36" s="1"/>
  <c r="G102" i="36"/>
  <c r="K102" i="36" s="1"/>
  <c r="H102" i="36" s="1"/>
  <c r="G101" i="36"/>
  <c r="K101" i="36" s="1"/>
  <c r="H101" i="36" s="1"/>
  <c r="G100" i="36"/>
  <c r="K100" i="36" s="1"/>
  <c r="H100" i="36" s="1"/>
  <c r="G99" i="36"/>
  <c r="K99" i="36" s="1"/>
  <c r="H99" i="36" s="1"/>
  <c r="G98" i="36"/>
  <c r="K98" i="36" s="1"/>
  <c r="H98" i="36" s="1"/>
  <c r="G97" i="36"/>
  <c r="K97" i="36" s="1"/>
  <c r="H97" i="36" s="1"/>
  <c r="G96" i="36"/>
  <c r="K96" i="36" s="1"/>
  <c r="H96" i="36" s="1"/>
  <c r="E95" i="36"/>
  <c r="G95" i="36" s="1"/>
  <c r="K95" i="36" s="1"/>
  <c r="H95" i="36" s="1"/>
  <c r="E94" i="36"/>
  <c r="G94" i="36" s="1"/>
  <c r="I94" i="36" s="1"/>
  <c r="H94" i="36" s="1"/>
  <c r="G93" i="36"/>
  <c r="K93" i="36" s="1"/>
  <c r="H93" i="36" s="1"/>
  <c r="G92" i="36"/>
  <c r="K92" i="36" s="1"/>
  <c r="H92" i="36" s="1"/>
  <c r="G91" i="36"/>
  <c r="I91" i="36" s="1"/>
  <c r="H91" i="36" s="1"/>
  <c r="G90" i="36"/>
  <c r="K90" i="36" s="1"/>
  <c r="H90" i="36" s="1"/>
  <c r="G89" i="36"/>
  <c r="K89" i="36" s="1"/>
  <c r="H89" i="36" s="1"/>
  <c r="E88" i="36"/>
  <c r="G88" i="36" s="1"/>
  <c r="K88" i="36" s="1"/>
  <c r="H88" i="36" s="1"/>
  <c r="G87" i="36"/>
  <c r="K87" i="36" s="1"/>
  <c r="H87" i="36" s="1"/>
  <c r="G86" i="36"/>
  <c r="J86" i="36" s="1"/>
  <c r="H86" i="36" s="1"/>
  <c r="G85" i="36"/>
  <c r="I85" i="36" s="1"/>
  <c r="H85" i="36" s="1"/>
  <c r="G84" i="36"/>
  <c r="K84" i="36" s="1"/>
  <c r="H84" i="36" s="1"/>
  <c r="G83" i="36"/>
  <c r="K83" i="36" s="1"/>
  <c r="H83" i="36" s="1"/>
  <c r="G82" i="36"/>
  <c r="I82" i="36" s="1"/>
  <c r="H82" i="36" s="1"/>
  <c r="G81" i="36"/>
  <c r="K81" i="36" s="1"/>
  <c r="H81" i="36" s="1"/>
  <c r="G80" i="36"/>
  <c r="K80" i="36" s="1"/>
  <c r="H80" i="36" s="1"/>
  <c r="G79" i="36"/>
  <c r="K79" i="36" s="1"/>
  <c r="H79" i="36" s="1"/>
  <c r="G78" i="36"/>
  <c r="I78" i="36" s="1"/>
  <c r="H78" i="36" s="1"/>
  <c r="G77" i="36"/>
  <c r="K77" i="36" s="1"/>
  <c r="H77" i="36" s="1"/>
  <c r="G76" i="36"/>
  <c r="K76" i="36" s="1"/>
  <c r="H76" i="36" s="1"/>
  <c r="G75" i="36"/>
  <c r="K75" i="36" s="1"/>
  <c r="H75" i="36" s="1"/>
  <c r="G74" i="36"/>
  <c r="K74" i="36" s="1"/>
  <c r="H74" i="36" s="1"/>
  <c r="G73" i="36"/>
  <c r="I73" i="36" s="1"/>
  <c r="H73" i="36" s="1"/>
  <c r="G72" i="36"/>
  <c r="K72" i="36" s="1"/>
  <c r="H72" i="36" s="1"/>
  <c r="G71" i="36"/>
  <c r="K71" i="36" s="1"/>
  <c r="H71" i="36" s="1"/>
  <c r="G70" i="36"/>
  <c r="J70" i="36" s="1"/>
  <c r="H70" i="36" s="1"/>
  <c r="G69" i="36"/>
  <c r="K69" i="36" s="1"/>
  <c r="H69" i="36" s="1"/>
  <c r="G68" i="36"/>
  <c r="K68" i="36" s="1"/>
  <c r="H68" i="36" s="1"/>
  <c r="F67" i="36"/>
  <c r="E67" i="36"/>
  <c r="G67" i="36" s="1"/>
  <c r="K67" i="36" s="1"/>
  <c r="H67" i="36" s="1"/>
  <c r="G66" i="36"/>
  <c r="J66" i="36" s="1"/>
  <c r="H66" i="36" s="1"/>
  <c r="G65" i="36"/>
  <c r="I65" i="36" s="1"/>
  <c r="H65" i="36" s="1"/>
  <c r="E64" i="36"/>
  <c r="G63" i="36"/>
  <c r="J63" i="36" s="1"/>
  <c r="H63" i="36" s="1"/>
  <c r="G62" i="36"/>
  <c r="K62" i="36" s="1"/>
  <c r="H62" i="36" s="1"/>
  <c r="G61" i="36"/>
  <c r="K61" i="36" s="1"/>
  <c r="H61" i="36" s="1"/>
  <c r="G60" i="36"/>
  <c r="K60" i="36" s="1"/>
  <c r="H60" i="36" s="1"/>
  <c r="E59" i="36"/>
  <c r="G59" i="36" s="1"/>
  <c r="K59" i="36" s="1"/>
  <c r="H59" i="36" s="1"/>
  <c r="G58" i="36"/>
  <c r="K58" i="36" s="1"/>
  <c r="H58" i="36" s="1"/>
  <c r="G57" i="36"/>
  <c r="K57" i="36" s="1"/>
  <c r="H57" i="36" s="1"/>
  <c r="G56" i="36"/>
  <c r="K56" i="36" s="1"/>
  <c r="H56" i="36" s="1"/>
  <c r="G55" i="36"/>
  <c r="K55" i="36" s="1"/>
  <c r="H55" i="36" s="1"/>
  <c r="G54" i="36"/>
  <c r="K54" i="36" s="1"/>
  <c r="H54" i="36" s="1"/>
  <c r="F53" i="36"/>
  <c r="K326" i="36" s="1"/>
  <c r="G52" i="36"/>
  <c r="J52" i="36" s="1"/>
  <c r="H52" i="36" s="1"/>
  <c r="E51" i="36"/>
  <c r="G51" i="36" s="1"/>
  <c r="K51" i="36" s="1"/>
  <c r="H51" i="36" s="1"/>
  <c r="G50" i="36"/>
  <c r="I50" i="36" s="1"/>
  <c r="H50" i="36" s="1"/>
  <c r="G49" i="36"/>
  <c r="K49" i="36" s="1"/>
  <c r="H49" i="36" s="1"/>
  <c r="G48" i="36"/>
  <c r="J48" i="36" s="1"/>
  <c r="H48" i="36" s="1"/>
  <c r="G47" i="36"/>
  <c r="K47" i="36" s="1"/>
  <c r="H47" i="36" s="1"/>
  <c r="G46" i="36"/>
  <c r="K46" i="36" s="1"/>
  <c r="H46" i="36" s="1"/>
  <c r="G45" i="36"/>
  <c r="I45" i="36" s="1"/>
  <c r="H45" i="36" s="1"/>
  <c r="G44" i="36"/>
  <c r="K44" i="36" s="1"/>
  <c r="H44" i="36" s="1"/>
  <c r="G43" i="36"/>
  <c r="J43" i="36" s="1"/>
  <c r="G42" i="36"/>
  <c r="K42" i="36" s="1"/>
  <c r="H42" i="36" s="1"/>
  <c r="G41" i="36"/>
  <c r="K41" i="36" s="1"/>
  <c r="H41" i="36" s="1"/>
  <c r="G40" i="36"/>
  <c r="K40" i="36" s="1"/>
  <c r="H40" i="36" s="1"/>
  <c r="G39" i="36"/>
  <c r="K39" i="36" s="1"/>
  <c r="H39" i="36" s="1"/>
  <c r="G38" i="36"/>
  <c r="K38" i="36" s="1"/>
  <c r="H38" i="36" s="1"/>
  <c r="G37" i="36"/>
  <c r="K37" i="36" s="1"/>
  <c r="H37" i="36" s="1"/>
  <c r="G36" i="36"/>
  <c r="K36" i="36" s="1"/>
  <c r="H36" i="36" s="1"/>
  <c r="G35" i="36"/>
  <c r="K35" i="36" s="1"/>
  <c r="H35" i="36" s="1"/>
  <c r="G34" i="36"/>
  <c r="K34" i="36" s="1"/>
  <c r="H34" i="36" s="1"/>
  <c r="G33" i="36"/>
  <c r="K33" i="36" s="1"/>
  <c r="H33" i="36" s="1"/>
  <c r="G32" i="36"/>
  <c r="K32" i="36" s="1"/>
  <c r="H32" i="36" s="1"/>
  <c r="G31" i="36"/>
  <c r="K31" i="36" s="1"/>
  <c r="H31" i="36" s="1"/>
  <c r="G30" i="36"/>
  <c r="K30" i="36" s="1"/>
  <c r="H30" i="36" s="1"/>
  <c r="G29" i="36"/>
  <c r="K29" i="36" s="1"/>
  <c r="H29" i="36" s="1"/>
  <c r="G28" i="36"/>
  <c r="K28" i="36" s="1"/>
  <c r="H28" i="36" s="1"/>
  <c r="G27" i="36"/>
  <c r="K27" i="36" s="1"/>
  <c r="H27" i="36" s="1"/>
  <c r="G26" i="36"/>
  <c r="I21" i="36"/>
  <c r="H21" i="36"/>
  <c r="G21" i="36"/>
  <c r="F21" i="36"/>
  <c r="E21" i="36"/>
  <c r="D20" i="36"/>
  <c r="D19" i="36"/>
  <c r="D18" i="36"/>
  <c r="D17" i="36"/>
  <c r="D16" i="36"/>
  <c r="D15" i="36"/>
  <c r="D14" i="36"/>
  <c r="D13" i="36"/>
  <c r="D12" i="36"/>
  <c r="D11" i="36"/>
  <c r="D10" i="36"/>
  <c r="D9" i="36"/>
  <c r="D21" i="36" s="1"/>
  <c r="W145" i="6" l="1"/>
  <c r="H39" i="1"/>
  <c r="H312" i="1"/>
  <c r="G312" i="42"/>
  <c r="H146" i="42"/>
  <c r="H309" i="42" s="1"/>
  <c r="H311" i="42" s="1"/>
  <c r="J288" i="39"/>
  <c r="H288" i="39" s="1"/>
  <c r="G301" i="39"/>
  <c r="H265" i="39"/>
  <c r="H301" i="39" s="1"/>
  <c r="J301" i="39"/>
  <c r="H194" i="39"/>
  <c r="E302" i="39"/>
  <c r="F304" i="39" s="1"/>
  <c r="H60" i="39"/>
  <c r="I140" i="39"/>
  <c r="H200" i="39"/>
  <c r="I259" i="39"/>
  <c r="D367" i="39"/>
  <c r="D368" i="39" s="1"/>
  <c r="F365" i="39"/>
  <c r="F316" i="39"/>
  <c r="E320" i="39"/>
  <c r="E339" i="39"/>
  <c r="F339" i="39" s="1"/>
  <c r="F336" i="39"/>
  <c r="L302" i="39"/>
  <c r="L304" i="39" s="1"/>
  <c r="E351" i="39"/>
  <c r="I302" i="39"/>
  <c r="I304" i="39" s="1"/>
  <c r="K302" i="39"/>
  <c r="K304" i="39" s="1"/>
  <c r="F332" i="39"/>
  <c r="H140" i="39"/>
  <c r="J259" i="39"/>
  <c r="H201" i="39"/>
  <c r="H259" i="39" s="1"/>
  <c r="G259" i="39"/>
  <c r="D320" i="39"/>
  <c r="H241" i="1"/>
  <c r="D283" i="36"/>
  <c r="D285" i="36"/>
  <c r="J326" i="36"/>
  <c r="L326" i="36" s="1"/>
  <c r="L131" i="36"/>
  <c r="H116" i="36"/>
  <c r="H145" i="36"/>
  <c r="J180" i="36"/>
  <c r="L180" i="36"/>
  <c r="H167" i="36"/>
  <c r="H169" i="36"/>
  <c r="M180" i="36"/>
  <c r="J332" i="36"/>
  <c r="G179" i="36"/>
  <c r="K179" i="36" s="1"/>
  <c r="H179" i="36" s="1"/>
  <c r="J302" i="36"/>
  <c r="L303" i="36"/>
  <c r="L304" i="36"/>
  <c r="L308" i="36"/>
  <c r="L315" i="36"/>
  <c r="L319" i="36"/>
  <c r="L328" i="36"/>
  <c r="L329" i="36"/>
  <c r="L330" i="36"/>
  <c r="L332" i="36"/>
  <c r="L338" i="36"/>
  <c r="L339" i="36"/>
  <c r="L345" i="36"/>
  <c r="H273" i="36"/>
  <c r="K280" i="36"/>
  <c r="H191" i="36"/>
  <c r="K241" i="36"/>
  <c r="H123" i="36"/>
  <c r="M131" i="36"/>
  <c r="H143" i="36"/>
  <c r="I185" i="36"/>
  <c r="G64" i="36"/>
  <c r="K64" i="36" s="1"/>
  <c r="H64" i="36" s="1"/>
  <c r="E131" i="36"/>
  <c r="I280" i="36"/>
  <c r="K136" i="36"/>
  <c r="H224" i="36"/>
  <c r="L241" i="36"/>
  <c r="L281" i="36" s="1"/>
  <c r="L283" i="36" s="1"/>
  <c r="K333" i="36"/>
  <c r="L317" i="36"/>
  <c r="N295" i="36"/>
  <c r="G174" i="36"/>
  <c r="K174" i="36" s="1"/>
  <c r="H174" i="36" s="1"/>
  <c r="L316" i="36"/>
  <c r="H188" i="36"/>
  <c r="M241" i="36"/>
  <c r="L337" i="36"/>
  <c r="K340" i="36"/>
  <c r="L340" i="36" s="1"/>
  <c r="K26" i="36"/>
  <c r="F180" i="36"/>
  <c r="F280" i="36"/>
  <c r="G251" i="36"/>
  <c r="J251" i="36" s="1"/>
  <c r="H251" i="36" s="1"/>
  <c r="H280" i="36" s="1"/>
  <c r="L347" i="36"/>
  <c r="H43" i="36"/>
  <c r="J131" i="36"/>
  <c r="L344" i="36"/>
  <c r="J307" i="36"/>
  <c r="J309" i="36" s="1"/>
  <c r="G171" i="36"/>
  <c r="I171" i="36" s="1"/>
  <c r="G196" i="36"/>
  <c r="J196" i="36" s="1"/>
  <c r="G195" i="36"/>
  <c r="F241" i="36"/>
  <c r="L325" i="36"/>
  <c r="K302" i="36"/>
  <c r="K314" i="36"/>
  <c r="L346" i="36"/>
  <c r="E241" i="36"/>
  <c r="J331" i="36"/>
  <c r="J333" i="36" s="1"/>
  <c r="J349" i="36" s="1"/>
  <c r="I131" i="36"/>
  <c r="G53" i="36"/>
  <c r="K53" i="36" s="1"/>
  <c r="H53" i="36" s="1"/>
  <c r="E180" i="36"/>
  <c r="K307" i="36"/>
  <c r="G229" i="36"/>
  <c r="I229" i="36" s="1"/>
  <c r="H229" i="36" s="1"/>
  <c r="F131" i="36"/>
  <c r="G280" i="36"/>
  <c r="E280" i="36"/>
  <c r="X23" i="22"/>
  <c r="AA32" i="22"/>
  <c r="Y702" i="22" s="1"/>
  <c r="H285" i="1" s="1"/>
  <c r="Z366" i="19"/>
  <c r="AA366" i="19" s="1"/>
  <c r="C361" i="1"/>
  <c r="D361" i="1"/>
  <c r="E361" i="1"/>
  <c r="F361" i="1"/>
  <c r="G361" i="1"/>
  <c r="C362" i="1"/>
  <c r="D362" i="1"/>
  <c r="E362" i="1"/>
  <c r="F362" i="1"/>
  <c r="G362" i="1"/>
  <c r="C363" i="1"/>
  <c r="D363" i="1"/>
  <c r="E363" i="1"/>
  <c r="F363" i="1"/>
  <c r="G363" i="1"/>
  <c r="C364" i="1"/>
  <c r="D364" i="1"/>
  <c r="E364" i="1"/>
  <c r="F364" i="1"/>
  <c r="G364" i="1"/>
  <c r="C365" i="1"/>
  <c r="D365" i="1"/>
  <c r="E365" i="1"/>
  <c r="F365" i="1"/>
  <c r="G365" i="1"/>
  <c r="C366" i="1"/>
  <c r="D366" i="1"/>
  <c r="E366" i="1"/>
  <c r="F366" i="1"/>
  <c r="G366" i="1"/>
  <c r="D360" i="1"/>
  <c r="E360" i="1"/>
  <c r="F360" i="1"/>
  <c r="G360" i="1"/>
  <c r="C360" i="1"/>
  <c r="D341" i="1"/>
  <c r="E341" i="1"/>
  <c r="F341" i="1"/>
  <c r="G341" i="1"/>
  <c r="C341" i="1"/>
  <c r="D318" i="1"/>
  <c r="E318" i="1"/>
  <c r="F318" i="1"/>
  <c r="G318" i="1"/>
  <c r="C318" i="1"/>
  <c r="D284" i="1"/>
  <c r="E284" i="1"/>
  <c r="F284" i="1"/>
  <c r="G284" i="1"/>
  <c r="C284" i="1"/>
  <c r="D223" i="1"/>
  <c r="E223" i="1"/>
  <c r="F223" i="1"/>
  <c r="G223" i="1"/>
  <c r="C223" i="1"/>
  <c r="D213" i="1"/>
  <c r="E213" i="1"/>
  <c r="F213" i="1"/>
  <c r="G213" i="1"/>
  <c r="C213" i="1"/>
  <c r="D164" i="1"/>
  <c r="E164" i="1"/>
  <c r="F164" i="1"/>
  <c r="G164" i="1"/>
  <c r="C164" i="1"/>
  <c r="D134" i="1"/>
  <c r="E134" i="1"/>
  <c r="F134" i="1"/>
  <c r="G134" i="1"/>
  <c r="C134" i="1"/>
  <c r="C131" i="1"/>
  <c r="D131" i="1"/>
  <c r="E131" i="1"/>
  <c r="F131" i="1"/>
  <c r="G131" i="1"/>
  <c r="C132" i="1"/>
  <c r="D132" i="1"/>
  <c r="E132" i="1"/>
  <c r="F132" i="1"/>
  <c r="G132" i="1"/>
  <c r="C133" i="1"/>
  <c r="D133" i="1"/>
  <c r="E133" i="1"/>
  <c r="F133" i="1"/>
  <c r="G133" i="1"/>
  <c r="D130" i="1"/>
  <c r="E130" i="1"/>
  <c r="F130" i="1"/>
  <c r="G130" i="1"/>
  <c r="C130" i="1"/>
  <c r="D128" i="1"/>
  <c r="E128" i="1"/>
  <c r="F128" i="1"/>
  <c r="G128" i="1"/>
  <c r="H128" i="1"/>
  <c r="C413" i="1" s="1"/>
  <c r="C128" i="1"/>
  <c r="C124" i="1"/>
  <c r="C125" i="1"/>
  <c r="D115" i="1"/>
  <c r="E115" i="1"/>
  <c r="F115" i="1"/>
  <c r="G115" i="1"/>
  <c r="C115" i="1"/>
  <c r="C111" i="1"/>
  <c r="D111" i="1"/>
  <c r="E111" i="1"/>
  <c r="F111" i="1"/>
  <c r="G111" i="1"/>
  <c r="C112" i="1"/>
  <c r="D112" i="1"/>
  <c r="E112" i="1"/>
  <c r="F112" i="1"/>
  <c r="G112" i="1"/>
  <c r="C114" i="1"/>
  <c r="D114" i="1"/>
  <c r="E114" i="1"/>
  <c r="F114" i="1"/>
  <c r="G114" i="1"/>
  <c r="D110" i="1"/>
  <c r="E110" i="1"/>
  <c r="F110" i="1"/>
  <c r="G110" i="1"/>
  <c r="C110" i="1"/>
  <c r="C80" i="1"/>
  <c r="D80" i="1"/>
  <c r="E80" i="1"/>
  <c r="F80" i="1"/>
  <c r="G80" i="1"/>
  <c r="C81" i="1"/>
  <c r="D81" i="1"/>
  <c r="E81" i="1"/>
  <c r="F81" i="1"/>
  <c r="G81" i="1"/>
  <c r="C82" i="1"/>
  <c r="D82" i="1"/>
  <c r="E82" i="1"/>
  <c r="F82" i="1"/>
  <c r="G82" i="1"/>
  <c r="C83" i="1"/>
  <c r="D83" i="1"/>
  <c r="E83" i="1"/>
  <c r="F83" i="1"/>
  <c r="G83" i="1"/>
  <c r="C84" i="1"/>
  <c r="D84" i="1"/>
  <c r="E84" i="1"/>
  <c r="F84" i="1"/>
  <c r="G84" i="1"/>
  <c r="C85" i="1"/>
  <c r="D85" i="1"/>
  <c r="E85" i="1"/>
  <c r="F85" i="1"/>
  <c r="G85" i="1"/>
  <c r="C86" i="1"/>
  <c r="D86" i="1"/>
  <c r="E86" i="1"/>
  <c r="F86" i="1"/>
  <c r="G86" i="1"/>
  <c r="C87" i="1"/>
  <c r="D87" i="1"/>
  <c r="E87" i="1"/>
  <c r="F87" i="1"/>
  <c r="G87" i="1"/>
  <c r="C88" i="1"/>
  <c r="D88" i="1"/>
  <c r="E88" i="1"/>
  <c r="F88" i="1"/>
  <c r="G88" i="1"/>
  <c r="C89" i="1"/>
  <c r="D89" i="1"/>
  <c r="E89" i="1"/>
  <c r="F89" i="1"/>
  <c r="G89" i="1"/>
  <c r="D78" i="1"/>
  <c r="E78" i="1"/>
  <c r="F78" i="1"/>
  <c r="G78" i="1"/>
  <c r="C78" i="1"/>
  <c r="C70" i="1"/>
  <c r="D70" i="1"/>
  <c r="E70" i="1"/>
  <c r="F70" i="1"/>
  <c r="G70" i="1"/>
  <c r="C71" i="1"/>
  <c r="D71" i="1"/>
  <c r="E71" i="1"/>
  <c r="F71" i="1"/>
  <c r="G71" i="1"/>
  <c r="C72" i="1"/>
  <c r="D72" i="1"/>
  <c r="E72" i="1"/>
  <c r="F72" i="1"/>
  <c r="G72" i="1"/>
  <c r="C73" i="1"/>
  <c r="D73" i="1"/>
  <c r="E73" i="1"/>
  <c r="F73" i="1"/>
  <c r="G73" i="1"/>
  <c r="C74" i="1"/>
  <c r="D74" i="1"/>
  <c r="E74" i="1"/>
  <c r="F74" i="1"/>
  <c r="G74" i="1"/>
  <c r="C75" i="1"/>
  <c r="D75" i="1"/>
  <c r="E75" i="1"/>
  <c r="F75" i="1"/>
  <c r="G75" i="1"/>
  <c r="D69" i="1"/>
  <c r="E69" i="1"/>
  <c r="F69" i="1"/>
  <c r="G69" i="1"/>
  <c r="C69" i="1"/>
  <c r="C48" i="1"/>
  <c r="D48" i="1"/>
  <c r="E48" i="1"/>
  <c r="F48" i="1"/>
  <c r="G48" i="1"/>
  <c r="C49" i="1"/>
  <c r="D49" i="1"/>
  <c r="E49" i="1"/>
  <c r="F49" i="1"/>
  <c r="G49" i="1"/>
  <c r="C50" i="1"/>
  <c r="D50" i="1"/>
  <c r="E50" i="1"/>
  <c r="F50" i="1"/>
  <c r="G50" i="1"/>
  <c r="D47" i="1"/>
  <c r="E47" i="1"/>
  <c r="F47" i="1"/>
  <c r="G47" i="1"/>
  <c r="C47" i="1"/>
  <c r="C32" i="1"/>
  <c r="D32" i="1"/>
  <c r="E32" i="1"/>
  <c r="F32" i="1"/>
  <c r="G32" i="1"/>
  <c r="C33" i="1"/>
  <c r="D33" i="1"/>
  <c r="E33" i="1"/>
  <c r="F33" i="1"/>
  <c r="G33" i="1"/>
  <c r="C34" i="1"/>
  <c r="D34" i="1"/>
  <c r="E34" i="1"/>
  <c r="F34" i="1"/>
  <c r="G34" i="1"/>
  <c r="C35" i="1"/>
  <c r="D35" i="1"/>
  <c r="E35" i="1"/>
  <c r="F35" i="1"/>
  <c r="G35" i="1"/>
  <c r="C36" i="1"/>
  <c r="D36" i="1"/>
  <c r="E36" i="1"/>
  <c r="F36" i="1"/>
  <c r="G36" i="1"/>
  <c r="D30" i="1"/>
  <c r="E30" i="1"/>
  <c r="F30" i="1"/>
  <c r="G30" i="1"/>
  <c r="C30" i="1"/>
  <c r="C23" i="1"/>
  <c r="D23" i="1"/>
  <c r="E23" i="1"/>
  <c r="F23" i="1"/>
  <c r="G23" i="1"/>
  <c r="C24" i="1"/>
  <c r="D24" i="1"/>
  <c r="E24" i="1"/>
  <c r="F24" i="1"/>
  <c r="G24" i="1"/>
  <c r="C27" i="1"/>
  <c r="D27" i="1"/>
  <c r="E27" i="1"/>
  <c r="F27" i="1"/>
  <c r="G27" i="1"/>
  <c r="C28" i="1"/>
  <c r="D28" i="1"/>
  <c r="E28" i="1"/>
  <c r="F28" i="1"/>
  <c r="G28" i="1"/>
  <c r="C29" i="1"/>
  <c r="D29" i="1"/>
  <c r="E29" i="1"/>
  <c r="F29" i="1"/>
  <c r="G29" i="1"/>
  <c r="D21" i="1"/>
  <c r="E21" i="1"/>
  <c r="F21" i="1"/>
  <c r="G21" i="1"/>
  <c r="C21" i="1"/>
  <c r="C20" i="1"/>
  <c r="D20" i="1"/>
  <c r="E20" i="1"/>
  <c r="F20" i="1"/>
  <c r="G20" i="1"/>
  <c r="D19" i="1"/>
  <c r="E19" i="1"/>
  <c r="F19" i="1"/>
  <c r="G19" i="1"/>
  <c r="C19" i="1"/>
  <c r="C14" i="1"/>
  <c r="D14" i="1"/>
  <c r="E14" i="1"/>
  <c r="F14" i="1"/>
  <c r="G14" i="1"/>
  <c r="C15" i="1"/>
  <c r="D15" i="1"/>
  <c r="E15" i="1"/>
  <c r="F15" i="1"/>
  <c r="G15" i="1"/>
  <c r="C16" i="1"/>
  <c r="D16" i="1"/>
  <c r="E16" i="1"/>
  <c r="F16" i="1"/>
  <c r="G16" i="1"/>
  <c r="C17" i="1"/>
  <c r="D17" i="1"/>
  <c r="E17" i="1"/>
  <c r="F17" i="1"/>
  <c r="G17" i="1"/>
  <c r="C18" i="1"/>
  <c r="D18" i="1"/>
  <c r="E18" i="1"/>
  <c r="F18" i="1"/>
  <c r="G18" i="1"/>
  <c r="D13" i="1"/>
  <c r="E13" i="1"/>
  <c r="F13" i="1"/>
  <c r="G13" i="1"/>
  <c r="C13" i="1"/>
  <c r="Z308" i="10"/>
  <c r="AA308" i="10" s="1"/>
  <c r="Y307" i="10"/>
  <c r="Z307" i="10"/>
  <c r="AA307" i="10" s="1"/>
  <c r="AB306" i="10" s="1"/>
  <c r="Z350" i="10" s="1"/>
  <c r="H109" i="1" s="1"/>
  <c r="Z305" i="10"/>
  <c r="AA305" i="10" s="1"/>
  <c r="Y61" i="33"/>
  <c r="Z61" i="33" s="1"/>
  <c r="AA61" i="33" s="1"/>
  <c r="AB60" i="33"/>
  <c r="Z345" i="33" s="1"/>
  <c r="H162" i="1" s="1"/>
  <c r="Z101" i="33"/>
  <c r="AA101" i="33" s="1"/>
  <c r="AB100" i="33" s="1"/>
  <c r="Z340" i="33" s="1"/>
  <c r="H157" i="1" s="1"/>
  <c r="Z87" i="6"/>
  <c r="AA87" i="6" s="1"/>
  <c r="AB86" i="6" s="1"/>
  <c r="Z134" i="6" s="1"/>
  <c r="H42" i="1" s="1"/>
  <c r="Z52" i="33"/>
  <c r="AA52" i="33" s="1"/>
  <c r="AB51" i="33" s="1"/>
  <c r="Z332" i="33" s="1"/>
  <c r="Z292" i="21"/>
  <c r="AA292" i="21" s="1"/>
  <c r="AB291" i="21" s="1"/>
  <c r="Z435" i="21" s="1"/>
  <c r="H282" i="1" s="1"/>
  <c r="Z287" i="21"/>
  <c r="AA287" i="21"/>
  <c r="AB286" i="21" s="1"/>
  <c r="Z430" i="21" s="1"/>
  <c r="H276" i="1" s="1"/>
  <c r="AB72" i="19"/>
  <c r="Z425" i="19" s="1"/>
  <c r="H184" i="1" s="1"/>
  <c r="Z36" i="21"/>
  <c r="AA36" i="21" s="1"/>
  <c r="AA104" i="21"/>
  <c r="AB103" i="21" s="1"/>
  <c r="Z421" i="21" s="1"/>
  <c r="H267" i="1" s="1"/>
  <c r="Z104" i="21"/>
  <c r="Y95" i="10"/>
  <c r="Y107" i="33"/>
  <c r="Y48" i="21"/>
  <c r="AA31" i="20"/>
  <c r="AA30" i="20"/>
  <c r="AA27" i="20"/>
  <c r="AA25" i="20"/>
  <c r="AA29" i="20"/>
  <c r="X29" i="22"/>
  <c r="Y26" i="8"/>
  <c r="Y48" i="19"/>
  <c r="Y65" i="25"/>
  <c r="Z65" i="25" s="1"/>
  <c r="AA64" i="25" s="1"/>
  <c r="Y1256" i="25" s="1"/>
  <c r="H353" i="1" s="1"/>
  <c r="Y67" i="9"/>
  <c r="Z67" i="9"/>
  <c r="AA67" i="9" s="1"/>
  <c r="AB66" i="9" s="1"/>
  <c r="Z176" i="9"/>
  <c r="Z253" i="33"/>
  <c r="X78" i="25"/>
  <c r="Y78" i="25" s="1"/>
  <c r="Y34" i="26"/>
  <c r="Z34" i="26" s="1"/>
  <c r="AA33" i="26" s="1"/>
  <c r="Y393" i="26" s="1"/>
  <c r="H365" i="1" s="1"/>
  <c r="X37" i="26"/>
  <c r="X39" i="26"/>
  <c r="X40" i="26"/>
  <c r="Y40" i="26"/>
  <c r="Y38" i="26"/>
  <c r="Y39" i="26"/>
  <c r="Z280" i="10"/>
  <c r="AA280" i="10" s="1"/>
  <c r="Z32" i="14"/>
  <c r="AA32" i="14" s="1"/>
  <c r="AB321" i="21"/>
  <c r="Z320" i="21"/>
  <c r="AA320" i="21"/>
  <c r="AB319" i="21" s="1"/>
  <c r="Z409" i="21" s="1"/>
  <c r="H255" i="1" s="1"/>
  <c r="Y75" i="6"/>
  <c r="Z75" i="6"/>
  <c r="AB74" i="6"/>
  <c r="G260" i="39" l="1"/>
  <c r="G302" i="39"/>
  <c r="F320" i="39"/>
  <c r="J302" i="39"/>
  <c r="J304" i="39" s="1"/>
  <c r="H302" i="39"/>
  <c r="H304" i="39"/>
  <c r="G305" i="39"/>
  <c r="F351" i="39"/>
  <c r="F367" i="39" s="1"/>
  <c r="E367" i="39"/>
  <c r="E368" i="39" s="1"/>
  <c r="H149" i="1"/>
  <c r="W355" i="33"/>
  <c r="AB35" i="21"/>
  <c r="H83" i="1"/>
  <c r="W147" i="6"/>
  <c r="I195" i="36"/>
  <c r="H195" i="36" s="1"/>
  <c r="G241" i="36"/>
  <c r="H171" i="36"/>
  <c r="I180" i="36"/>
  <c r="K180" i="36"/>
  <c r="H136" i="36"/>
  <c r="H180" i="36" s="1"/>
  <c r="H242" i="36"/>
  <c r="G242" i="36"/>
  <c r="H196" i="36"/>
  <c r="J241" i="36"/>
  <c r="L331" i="36"/>
  <c r="M281" i="36"/>
  <c r="M283" i="36" s="1"/>
  <c r="G180" i="36"/>
  <c r="G181" i="36" s="1"/>
  <c r="F281" i="36"/>
  <c r="L333" i="36"/>
  <c r="J280" i="36"/>
  <c r="L314" i="36"/>
  <c r="K320" i="36"/>
  <c r="L320" i="36" s="1"/>
  <c r="I241" i="36"/>
  <c r="I281" i="36" s="1"/>
  <c r="I283" i="36" s="1"/>
  <c r="H185" i="36"/>
  <c r="H241" i="36" s="1"/>
  <c r="L307" i="36"/>
  <c r="K131" i="36"/>
  <c r="K281" i="36" s="1"/>
  <c r="K283" i="36" s="1"/>
  <c r="H26" i="36"/>
  <c r="H131" i="36" s="1"/>
  <c r="G131" i="36"/>
  <c r="E281" i="36"/>
  <c r="K309" i="36"/>
  <c r="L309" i="36" s="1"/>
  <c r="L302" i="36"/>
  <c r="H284" i="1"/>
  <c r="AB279" i="10"/>
  <c r="Z65" i="12"/>
  <c r="AA65" i="12" s="1"/>
  <c r="Z66" i="12"/>
  <c r="AA66" i="12"/>
  <c r="Z68" i="12"/>
  <c r="AA68" i="12" s="1"/>
  <c r="Z69" i="12"/>
  <c r="AA69" i="12" s="1"/>
  <c r="Z64" i="12"/>
  <c r="AA64" i="12" s="1"/>
  <c r="AB63" i="12" s="1"/>
  <c r="Z95" i="21"/>
  <c r="AA95" i="21"/>
  <c r="Z89" i="6"/>
  <c r="AA89" i="6" s="1"/>
  <c r="AB88" i="6" s="1"/>
  <c r="Z80" i="6"/>
  <c r="AA80" i="6" s="1"/>
  <c r="AB79" i="6" s="1"/>
  <c r="Y308" i="21"/>
  <c r="Z308" i="21" s="1"/>
  <c r="AA308" i="21" s="1"/>
  <c r="Y298" i="21"/>
  <c r="Z298" i="21" s="1"/>
  <c r="AA298" i="21" s="1"/>
  <c r="Y83" i="21"/>
  <c r="Z83" i="21"/>
  <c r="Y82" i="21"/>
  <c r="Z340" i="10" l="1"/>
  <c r="H99" i="1" s="1"/>
  <c r="AB94" i="21"/>
  <c r="Z138" i="6"/>
  <c r="Z422" i="21"/>
  <c r="H268" i="1" s="1"/>
  <c r="C378" i="1" s="1"/>
  <c r="AB67" i="12"/>
  <c r="Z130" i="6"/>
  <c r="L349" i="36"/>
  <c r="J281" i="36"/>
  <c r="J283" i="36" s="1"/>
  <c r="H281" i="36"/>
  <c r="K349" i="36"/>
  <c r="K350" i="36" s="1"/>
  <c r="F283" i="36"/>
  <c r="G281" i="36"/>
  <c r="H283" i="36" s="1"/>
  <c r="G132" i="36"/>
  <c r="J350" i="36"/>
  <c r="W151" i="6" l="1"/>
  <c r="H38" i="1"/>
  <c r="W143" i="6"/>
  <c r="H46" i="1"/>
  <c r="W156" i="6"/>
  <c r="W447" i="21"/>
  <c r="J378" i="1"/>
  <c r="Z200" i="19"/>
  <c r="AA200" i="19" s="1"/>
  <c r="Y77" i="19"/>
  <c r="Z77" i="19" s="1"/>
  <c r="Z75" i="19"/>
  <c r="X36" i="26"/>
  <c r="Y118" i="26"/>
  <c r="Y10" i="34"/>
  <c r="Z10" i="34" s="1"/>
  <c r="Y11" i="34"/>
  <c r="Z11" i="34" s="1"/>
  <c r="Y15" i="34"/>
  <c r="Z15" i="34" s="1"/>
  <c r="AA14" i="34"/>
  <c r="Y17" i="34"/>
  <c r="Z17" i="34" s="1"/>
  <c r="Y19" i="34"/>
  <c r="Z19" i="34" s="1"/>
  <c r="AA18" i="34" s="1"/>
  <c r="Y93" i="34"/>
  <c r="Z93" i="34" s="1"/>
  <c r="Y94" i="34"/>
  <c r="Z94" i="34" s="1"/>
  <c r="Y95" i="34"/>
  <c r="Z95" i="34" s="1"/>
  <c r="Y96" i="34"/>
  <c r="Z96" i="34" s="1"/>
  <c r="Y98" i="34"/>
  <c r="Z98" i="34" s="1"/>
  <c r="AA97" i="34" s="1"/>
  <c r="Y108" i="34"/>
  <c r="Z108" i="34" s="1"/>
  <c r="Y109" i="34"/>
  <c r="Z109" i="34" s="1"/>
  <c r="Y110" i="34"/>
  <c r="Z110" i="34" s="1"/>
  <c r="Y111" i="34"/>
  <c r="Z111" i="34" s="1"/>
  <c r="Y112" i="34"/>
  <c r="Z112" i="34" s="1"/>
  <c r="Y113" i="34"/>
  <c r="Z113" i="34" s="1"/>
  <c r="Y114" i="34"/>
  <c r="Z114" i="34" s="1"/>
  <c r="Y115" i="34"/>
  <c r="Z115" i="34"/>
  <c r="Y116" i="34"/>
  <c r="Z116" i="34" s="1"/>
  <c r="Y117" i="34"/>
  <c r="Z117" i="34" s="1"/>
  <c r="Y118" i="34"/>
  <c r="Z118" i="34" s="1"/>
  <c r="Y119" i="34"/>
  <c r="Z119" i="34"/>
  <c r="Y120" i="34"/>
  <c r="Z120" i="34" s="1"/>
  <c r="Y122" i="34"/>
  <c r="Z122" i="34"/>
  <c r="Y123" i="34"/>
  <c r="Z123" i="34"/>
  <c r="Y124" i="34"/>
  <c r="Z124" i="34" s="1"/>
  <c r="Y125" i="34"/>
  <c r="Z125" i="34"/>
  <c r="Y126" i="34"/>
  <c r="Z126" i="34"/>
  <c r="Y127" i="34"/>
  <c r="Z127" i="34"/>
  <c r="Y129" i="34"/>
  <c r="Z129" i="34" s="1"/>
  <c r="Y153" i="34"/>
  <c r="Z153" i="34" s="1"/>
  <c r="Y154" i="34"/>
  <c r="Z154" i="34"/>
  <c r="Y155" i="34"/>
  <c r="Z155" i="34"/>
  <c r="Y156" i="34"/>
  <c r="Z156" i="34" s="1"/>
  <c r="Y157" i="34"/>
  <c r="Z157" i="34" s="1"/>
  <c r="Y158" i="34"/>
  <c r="Z158" i="34"/>
  <c r="Y159" i="34"/>
  <c r="Z159" i="34"/>
  <c r="Y160" i="34"/>
  <c r="Z160" i="34" s="1"/>
  <c r="Y161" i="34"/>
  <c r="Z161" i="34" s="1"/>
  <c r="Y162" i="34"/>
  <c r="Z162" i="34"/>
  <c r="Y163" i="34"/>
  <c r="Z163" i="34"/>
  <c r="Y164" i="34"/>
  <c r="Z164" i="34"/>
  <c r="Y165" i="34"/>
  <c r="Z165" i="34" s="1"/>
  <c r="Y166" i="34"/>
  <c r="Z166" i="34"/>
  <c r="Y167" i="34"/>
  <c r="Z167" i="34"/>
  <c r="Y168" i="34"/>
  <c r="Z168" i="34"/>
  <c r="Y169" i="34"/>
  <c r="Z169" i="34" s="1"/>
  <c r="Y170" i="34"/>
  <c r="Z170" i="34" s="1"/>
  <c r="Y171" i="34"/>
  <c r="Z171" i="34"/>
  <c r="Y173" i="34"/>
  <c r="Z173" i="34"/>
  <c r="AA172" i="34" s="1"/>
  <c r="Y176" i="34"/>
  <c r="Z176" i="34"/>
  <c r="AA175" i="34" s="1"/>
  <c r="Y178" i="34"/>
  <c r="Z178" i="34" s="1"/>
  <c r="AA177" i="34" s="1"/>
  <c r="Y180" i="34"/>
  <c r="Z180" i="34" s="1"/>
  <c r="AA179" i="34" s="1"/>
  <c r="Y183" i="34"/>
  <c r="Z183" i="34" s="1"/>
  <c r="AA182" i="34" s="1"/>
  <c r="Y185" i="34"/>
  <c r="Z185" i="34"/>
  <c r="AA184" i="34" s="1"/>
  <c r="Y721" i="34" s="1"/>
  <c r="H325" i="1" s="1"/>
  <c r="Y187" i="34"/>
  <c r="Z187" i="34" s="1"/>
  <c r="AA186" i="34" s="1"/>
  <c r="Y192" i="34"/>
  <c r="Z192" i="34" s="1"/>
  <c r="Y193" i="34"/>
  <c r="Z193" i="34"/>
  <c r="Y194" i="34"/>
  <c r="Z194" i="34" s="1"/>
  <c r="Y195" i="34"/>
  <c r="Z195" i="34"/>
  <c r="Y197" i="34"/>
  <c r="Z197" i="34" s="1"/>
  <c r="AA196" i="34" s="1"/>
  <c r="Y199" i="34"/>
  <c r="Z199" i="34" s="1"/>
  <c r="AA198" i="34" s="1"/>
  <c r="Y201" i="34"/>
  <c r="Z201" i="34" s="1"/>
  <c r="AA200" i="34" s="1"/>
  <c r="Y735" i="34" s="1"/>
  <c r="H339" i="1" s="1"/>
  <c r="Y208" i="34"/>
  <c r="Z208" i="34"/>
  <c r="AA207" i="34" s="1"/>
  <c r="Y210" i="34"/>
  <c r="Z210" i="34" s="1"/>
  <c r="Y211" i="34"/>
  <c r="Z211" i="34" s="1"/>
  <c r="Y212" i="34"/>
  <c r="Z212" i="34" s="1"/>
  <c r="Y213" i="34"/>
  <c r="Z213" i="34" s="1"/>
  <c r="Y215" i="34"/>
  <c r="Z215" i="34" s="1"/>
  <c r="AA214" i="34"/>
  <c r="Y217" i="34"/>
  <c r="Z217" i="34" s="1"/>
  <c r="AA216" i="34" s="1"/>
  <c r="Y219" i="34"/>
  <c r="Z219" i="34" s="1"/>
  <c r="Y220" i="34"/>
  <c r="Z220" i="34"/>
  <c r="Y221" i="34"/>
  <c r="Z221" i="34" s="1"/>
  <c r="Y223" i="34"/>
  <c r="Z223" i="34"/>
  <c r="Y224" i="34"/>
  <c r="Z224" i="34" s="1"/>
  <c r="Y225" i="34"/>
  <c r="Z225" i="34" s="1"/>
  <c r="Y226" i="34"/>
  <c r="Z226" i="34" s="1"/>
  <c r="Y227" i="34"/>
  <c r="Z227" i="34"/>
  <c r="Y229" i="34"/>
  <c r="Y231" i="34"/>
  <c r="Z231" i="34" s="1"/>
  <c r="Y232" i="34"/>
  <c r="Z232" i="34"/>
  <c r="Y233" i="34"/>
  <c r="Z233" i="34" s="1"/>
  <c r="Y234" i="34"/>
  <c r="Z234" i="34" s="1"/>
  <c r="Y236" i="34"/>
  <c r="Z236" i="34" s="1"/>
  <c r="Y237" i="34"/>
  <c r="Z237" i="34" s="1"/>
  <c r="Y238" i="34"/>
  <c r="Z238" i="34"/>
  <c r="Y239" i="34"/>
  <c r="Z239" i="34"/>
  <c r="Y240" i="34"/>
  <c r="Z240" i="34"/>
  <c r="Y241" i="34"/>
  <c r="Z241" i="34" s="1"/>
  <c r="Y242" i="34"/>
  <c r="Z242" i="34"/>
  <c r="Y243" i="34"/>
  <c r="Z243" i="34"/>
  <c r="Y244" i="34"/>
  <c r="Z244" i="34"/>
  <c r="Y245" i="34"/>
  <c r="Z245" i="34" s="1"/>
  <c r="Y246" i="34"/>
  <c r="Z246" i="34" s="1"/>
  <c r="Y247" i="34"/>
  <c r="Z247" i="34"/>
  <c r="Y248" i="34"/>
  <c r="Z248" i="34"/>
  <c r="Y249" i="34"/>
  <c r="Z249" i="34" s="1"/>
  <c r="Y250" i="34"/>
  <c r="Z250" i="34" s="1"/>
  <c r="Y251" i="34"/>
  <c r="Z251" i="34"/>
  <c r="Y253" i="34"/>
  <c r="Z253" i="34"/>
  <c r="AA252" i="34" s="1"/>
  <c r="Y255" i="34"/>
  <c r="Z255" i="34"/>
  <c r="AA254" i="34" s="1"/>
  <c r="Y723" i="34" s="1"/>
  <c r="H327" i="1" s="1"/>
  <c r="Y261" i="34"/>
  <c r="Z261" i="34" s="1"/>
  <c r="Y262" i="34"/>
  <c r="Z262" i="34"/>
  <c r="Y263" i="34"/>
  <c r="Z263" i="34" s="1"/>
  <c r="Y264" i="34"/>
  <c r="Z264" i="34" s="1"/>
  <c r="Y265" i="34"/>
  <c r="Z265" i="34" s="1"/>
  <c r="Y266" i="34"/>
  <c r="Z266" i="34"/>
  <c r="Y267" i="34"/>
  <c r="Z267" i="34" s="1"/>
  <c r="Y268" i="34"/>
  <c r="Z268" i="34" s="1"/>
  <c r="Y269" i="34"/>
  <c r="Z269" i="34" s="1"/>
  <c r="Y270" i="34"/>
  <c r="Z270" i="34"/>
  <c r="Y272" i="34"/>
  <c r="Z272" i="34"/>
  <c r="Y273" i="34"/>
  <c r="Z273" i="34"/>
  <c r="Y274" i="34"/>
  <c r="Z274" i="34" s="1"/>
  <c r="Y275" i="34"/>
  <c r="Z275" i="34" s="1"/>
  <c r="Y276" i="34"/>
  <c r="Z276" i="34"/>
  <c r="Y278" i="34"/>
  <c r="Y280" i="34"/>
  <c r="Z280" i="34" s="1"/>
  <c r="Y281" i="34"/>
  <c r="Z281" i="34" s="1"/>
  <c r="Y284" i="34"/>
  <c r="Z284" i="34"/>
  <c r="Y285" i="34"/>
  <c r="Z285" i="34" s="1"/>
  <c r="Y286" i="34"/>
  <c r="Z286" i="34" s="1"/>
  <c r="Y287" i="34"/>
  <c r="Z287" i="34" s="1"/>
  <c r="Y289" i="34"/>
  <c r="Z289" i="34" s="1"/>
  <c r="AA288" i="34" s="1"/>
  <c r="Y734" i="34" s="1"/>
  <c r="H338" i="1" s="1"/>
  <c r="Y291" i="34"/>
  <c r="Z291" i="34" s="1"/>
  <c r="Y292" i="34"/>
  <c r="Z292" i="34" s="1"/>
  <c r="Y294" i="34"/>
  <c r="Z294" i="34" s="1"/>
  <c r="Y295" i="34"/>
  <c r="Z295" i="34"/>
  <c r="Y296" i="34"/>
  <c r="Z296" i="34"/>
  <c r="Y297" i="34"/>
  <c r="Z297" i="34" s="1"/>
  <c r="Y299" i="34"/>
  <c r="Z299" i="34"/>
  <c r="AA298" i="34" s="1"/>
  <c r="Y301" i="34"/>
  <c r="Z301" i="34"/>
  <c r="Y302" i="34"/>
  <c r="Z302" i="34" s="1"/>
  <c r="Y303" i="34"/>
  <c r="Z303" i="34" s="1"/>
  <c r="Y304" i="34"/>
  <c r="Z304" i="34"/>
  <c r="Y306" i="34"/>
  <c r="Z306" i="34" s="1"/>
  <c r="Y451" i="34"/>
  <c r="Z451" i="34" s="1"/>
  <c r="AA450" i="34" s="1"/>
  <c r="AA490" i="34" s="1"/>
  <c r="Y522" i="34"/>
  <c r="Z522" i="34"/>
  <c r="Y523" i="34"/>
  <c r="Z523" i="34" s="1"/>
  <c r="Y524" i="34"/>
  <c r="Z524" i="34" s="1"/>
  <c r="Y525" i="34"/>
  <c r="Z525" i="34" s="1"/>
  <c r="Y543" i="34"/>
  <c r="Z543" i="34" s="1"/>
  <c r="Y614" i="34"/>
  <c r="Z614" i="34"/>
  <c r="AA613" i="34" s="1"/>
  <c r="Y716" i="34" s="1"/>
  <c r="H320" i="1" s="1"/>
  <c r="Y616" i="34"/>
  <c r="Z616" i="34"/>
  <c r="AA615" i="34" s="1"/>
  <c r="Y715" i="34"/>
  <c r="H319" i="1" s="1"/>
  <c r="Y718" i="34" l="1"/>
  <c r="H322" i="1" s="1"/>
  <c r="Z278" i="34"/>
  <c r="AA277" i="34" s="1"/>
  <c r="Y728" i="34" s="1"/>
  <c r="H332" i="1" s="1"/>
  <c r="Z229" i="34"/>
  <c r="AA228" i="34" s="1"/>
  <c r="AA75" i="19"/>
  <c r="AB74" i="19" s="1"/>
  <c r="Z118" i="26"/>
  <c r="AA117" i="26" s="1"/>
  <c r="Y388" i="26" s="1"/>
  <c r="H360" i="1" s="1"/>
  <c r="AB352" i="19"/>
  <c r="Y717" i="34"/>
  <c r="H321" i="1" s="1"/>
  <c r="AA260" i="34"/>
  <c r="AA9" i="34"/>
  <c r="AA16" i="34"/>
  <c r="AA521" i="34"/>
  <c r="Y733" i="34" s="1"/>
  <c r="H337" i="1" s="1"/>
  <c r="AA128" i="34"/>
  <c r="AA300" i="34"/>
  <c r="AA279" i="34"/>
  <c r="AA121" i="34"/>
  <c r="AA218" i="34"/>
  <c r="Y720" i="34" s="1"/>
  <c r="H324" i="1" s="1"/>
  <c r="AA271" i="34"/>
  <c r="AA293" i="34"/>
  <c r="AA283" i="34"/>
  <c r="AA107" i="34"/>
  <c r="AA152" i="34"/>
  <c r="AA230" i="34"/>
  <c r="AA222" i="34"/>
  <c r="Y727" i="34"/>
  <c r="H331" i="1" s="1"/>
  <c r="AA631" i="34"/>
  <c r="AA290" i="34"/>
  <c r="Y732" i="34" s="1"/>
  <c r="AA235" i="34"/>
  <c r="AA542" i="34"/>
  <c r="AA305" i="34"/>
  <c r="AA209" i="34"/>
  <c r="AA191" i="34"/>
  <c r="AA92" i="34"/>
  <c r="Y725" i="34" s="1"/>
  <c r="H329" i="1" s="1"/>
  <c r="Y714" i="34"/>
  <c r="AA67" i="34"/>
  <c r="H336" i="1" l="1"/>
  <c r="Y729" i="34"/>
  <c r="H333" i="1" s="1"/>
  <c r="Y719" i="34"/>
  <c r="H323" i="1" s="1"/>
  <c r="Y724" i="34"/>
  <c r="Y730" i="34"/>
  <c r="H334" i="1" s="1"/>
  <c r="Y722" i="34"/>
  <c r="Y726" i="34"/>
  <c r="H330" i="1" s="1"/>
  <c r="Y731" i="34"/>
  <c r="H318" i="1"/>
  <c r="AA536" i="34"/>
  <c r="V752" i="34"/>
  <c r="AA612" i="34"/>
  <c r="AA388" i="34"/>
  <c r="AA708" i="34" s="1"/>
  <c r="Y351" i="19"/>
  <c r="Z351" i="19" s="1"/>
  <c r="AA351" i="19" s="1"/>
  <c r="Y355" i="19"/>
  <c r="Z350" i="19"/>
  <c r="AA350" i="19" s="1"/>
  <c r="Y67" i="2"/>
  <c r="Y167" i="20"/>
  <c r="Z167" i="20" s="1"/>
  <c r="AA167" i="20" s="1"/>
  <c r="AB166" i="20" s="1"/>
  <c r="Y146" i="9"/>
  <c r="Z117" i="9"/>
  <c r="Z118" i="9"/>
  <c r="Z119" i="9"/>
  <c r="Z120" i="9"/>
  <c r="Z121" i="9"/>
  <c r="Z122" i="9"/>
  <c r="Z116" i="9"/>
  <c r="AA116" i="9" s="1"/>
  <c r="H326" i="1" l="1"/>
  <c r="V741" i="34"/>
  <c r="H328" i="1"/>
  <c r="V740" i="34"/>
  <c r="H335" i="1"/>
  <c r="V742" i="34"/>
  <c r="C423" i="1"/>
  <c r="V747" i="34"/>
  <c r="V754" i="34"/>
  <c r="Y736" i="34"/>
  <c r="Y739" i="34" s="1"/>
  <c r="V744" i="34"/>
  <c r="Y740" i="34" s="1"/>
  <c r="Y741" i="34"/>
  <c r="Y59" i="33"/>
  <c r="Z59" i="33" s="1"/>
  <c r="AA59" i="33" s="1"/>
  <c r="AB58" i="33" s="1"/>
  <c r="Z344" i="33" s="1"/>
  <c r="H161" i="1" s="1"/>
  <c r="Y57" i="33"/>
  <c r="Z57" i="33"/>
  <c r="AA57" i="33" s="1"/>
  <c r="AB56" i="33" s="1"/>
  <c r="Z95" i="10" l="1"/>
  <c r="AA95" i="10" s="1"/>
  <c r="AB94" i="10" s="1"/>
  <c r="Z46" i="10"/>
  <c r="AA46" i="10" s="1"/>
  <c r="Z45" i="10"/>
  <c r="Z304" i="10"/>
  <c r="AA304" i="10" s="1"/>
  <c r="Z303" i="10"/>
  <c r="AA303" i="10" s="1"/>
  <c r="Z302" i="10"/>
  <c r="AA302" i="10" s="1"/>
  <c r="Z301" i="10"/>
  <c r="AA301" i="10" s="1"/>
  <c r="AB300" i="10" s="1"/>
  <c r="Z299" i="10"/>
  <c r="AA299" i="10" s="1"/>
  <c r="Z298" i="10"/>
  <c r="AA298" i="10" s="1"/>
  <c r="Z297" i="10"/>
  <c r="AA297" i="10" s="1"/>
  <c r="Z296" i="10"/>
  <c r="AA296" i="10" s="1"/>
  <c r="Z295" i="10"/>
  <c r="AA295" i="10" s="1"/>
  <c r="Z294" i="10"/>
  <c r="AA294" i="10" s="1"/>
  <c r="Z293" i="10"/>
  <c r="AA293" i="10" s="1"/>
  <c r="Z292" i="10"/>
  <c r="AA292" i="10" s="1"/>
  <c r="Z291" i="10"/>
  <c r="AA291" i="10" s="1"/>
  <c r="Z290" i="10"/>
  <c r="Z236" i="10"/>
  <c r="AA236" i="10" s="1"/>
  <c r="Z235" i="10"/>
  <c r="AA235" i="10" s="1"/>
  <c r="Z233" i="10"/>
  <c r="AA233" i="10" s="1"/>
  <c r="Z232" i="10"/>
  <c r="AA232" i="10" s="1"/>
  <c r="Z231" i="10"/>
  <c r="AA231" i="10" s="1"/>
  <c r="Z230" i="10"/>
  <c r="AA230" i="10" s="1"/>
  <c r="Z229" i="10"/>
  <c r="AA229" i="10" s="1"/>
  <c r="Z228" i="10"/>
  <c r="AA228" i="10" s="1"/>
  <c r="AB227" i="10" s="1"/>
  <c r="Z349" i="10" s="1"/>
  <c r="H108" i="1" s="1"/>
  <c r="AA45" i="10" l="1"/>
  <c r="AB44" i="10" s="1"/>
  <c r="Z341" i="10" s="1"/>
  <c r="H100" i="1" s="1"/>
  <c r="AA290" i="10"/>
  <c r="AB289" i="10" s="1"/>
  <c r="AB324" i="10" s="1"/>
  <c r="Z348" i="10"/>
  <c r="H107" i="1" s="1"/>
  <c r="Z65" i="9"/>
  <c r="Z145" i="9"/>
  <c r="AA145" i="9" s="1"/>
  <c r="Z146" i="9"/>
  <c r="AA146" i="9" s="1"/>
  <c r="Z148" i="9"/>
  <c r="AA148" i="9" s="1"/>
  <c r="AA65" i="9" l="1"/>
  <c r="AB64" i="9" s="1"/>
  <c r="Z175" i="9"/>
  <c r="H82" i="1" s="1"/>
  <c r="X706" i="25" l="1"/>
  <c r="Y58" i="25"/>
  <c r="Z58" i="25" s="1"/>
  <c r="AA57" i="25" s="1"/>
  <c r="X48" i="25"/>
  <c r="Y1258" i="25" l="1"/>
  <c r="H355" i="1" s="1"/>
  <c r="Y118" i="7"/>
  <c r="Z118" i="7" s="1"/>
  <c r="AA118" i="7" l="1"/>
  <c r="AB117" i="7" s="1"/>
  <c r="Z111" i="2"/>
  <c r="AA111" i="2" s="1"/>
  <c r="Z61" i="12"/>
  <c r="AA61" i="12" s="1"/>
  <c r="AB110" i="2" l="1"/>
  <c r="Z154" i="2" s="1"/>
  <c r="H15" i="1" s="1"/>
  <c r="AB95" i="2"/>
  <c r="AB145" i="2"/>
  <c r="Z155" i="2"/>
  <c r="H16" i="1" s="1"/>
  <c r="Z382" i="21"/>
  <c r="H228" i="1" s="1"/>
  <c r="Z381" i="21"/>
  <c r="H227" i="1" s="1"/>
  <c r="H260" i="1"/>
  <c r="Z405" i="21"/>
  <c r="H251" i="1" s="1"/>
  <c r="Z394" i="21"/>
  <c r="H240" i="1" s="1"/>
  <c r="Z389" i="21"/>
  <c r="H235" i="1" s="1"/>
  <c r="Z67" i="2" l="1"/>
  <c r="AA67" i="2" s="1"/>
  <c r="AB66" i="2" s="1"/>
  <c r="Z152" i="2" s="1"/>
  <c r="H13" i="1" l="1"/>
  <c r="Z259" i="33"/>
  <c r="AA259" i="33" s="1"/>
  <c r="AB258" i="33" s="1"/>
  <c r="Z256" i="33"/>
  <c r="AA256" i="33" s="1"/>
  <c r="AB255" i="33" s="1"/>
  <c r="AA253" i="33"/>
  <c r="AB252" i="33" s="1"/>
  <c r="Z223" i="33"/>
  <c r="AA223" i="33" s="1"/>
  <c r="AB220" i="33"/>
  <c r="Z217" i="33"/>
  <c r="AA217" i="33" s="1"/>
  <c r="AB216" i="33" s="1"/>
  <c r="Z320" i="33" s="1"/>
  <c r="H137" i="1" s="1"/>
  <c r="Z215" i="33"/>
  <c r="AA215" i="33" s="1"/>
  <c r="AB214" i="33" s="1"/>
  <c r="Z321" i="33" s="1"/>
  <c r="H138" i="1" s="1"/>
  <c r="Z212" i="33"/>
  <c r="AA212" i="33" s="1"/>
  <c r="AB211" i="33" s="1"/>
  <c r="Z317" i="33" s="1"/>
  <c r="Z210" i="33"/>
  <c r="AA210" i="33" s="1"/>
  <c r="AB209" i="33" s="1"/>
  <c r="Z208" i="33"/>
  <c r="AA208" i="33" s="1"/>
  <c r="AB207" i="33" s="1"/>
  <c r="Z326" i="33" s="1"/>
  <c r="H143" i="1" s="1"/>
  <c r="Z204" i="33"/>
  <c r="AA204" i="33" s="1"/>
  <c r="AB203" i="33" s="1"/>
  <c r="Z202" i="33"/>
  <c r="AA202" i="33" s="1"/>
  <c r="AB201" i="33" s="1"/>
  <c r="Z197" i="33"/>
  <c r="AA197" i="33" s="1"/>
  <c r="Z196" i="33"/>
  <c r="AA196" i="33" s="1"/>
  <c r="Z195" i="33"/>
  <c r="AA195" i="33" s="1"/>
  <c r="AB194" i="33" s="1"/>
  <c r="Z142" i="33"/>
  <c r="AA142" i="33" s="1"/>
  <c r="AB141" i="33" s="1"/>
  <c r="Z140" i="33"/>
  <c r="Z136" i="33"/>
  <c r="Z108" i="33"/>
  <c r="AA108" i="33" s="1"/>
  <c r="Z107" i="33"/>
  <c r="AA107" i="33" s="1"/>
  <c r="AB106" i="33" s="1"/>
  <c r="Z105" i="33"/>
  <c r="AA105" i="33" s="1"/>
  <c r="AB104" i="33" s="1"/>
  <c r="Z330" i="33" s="1"/>
  <c r="H147" i="1" s="1"/>
  <c r="Z103" i="33"/>
  <c r="AA103" i="33" s="1"/>
  <c r="AB102" i="33" s="1"/>
  <c r="Z337" i="33" s="1"/>
  <c r="Z99" i="33"/>
  <c r="AA99" i="33" s="1"/>
  <c r="AB98" i="33" s="1"/>
  <c r="Z97" i="33"/>
  <c r="AA97" i="33" s="1"/>
  <c r="Z95" i="33"/>
  <c r="AA95" i="33" s="1"/>
  <c r="Z94" i="33"/>
  <c r="AA94" i="33" s="1"/>
  <c r="Z92" i="33"/>
  <c r="Y85" i="33"/>
  <c r="Z85" i="33" s="1"/>
  <c r="AA85" i="33" s="1"/>
  <c r="Z84" i="33"/>
  <c r="AA84" i="33" s="1"/>
  <c r="Z83" i="33"/>
  <c r="AA83" i="33" s="1"/>
  <c r="Z82" i="33"/>
  <c r="AA82" i="33" s="1"/>
  <c r="Z81" i="33"/>
  <c r="AA81" i="33" s="1"/>
  <c r="Z80" i="33"/>
  <c r="AA80" i="33" s="1"/>
  <c r="Z79" i="33"/>
  <c r="AA79" i="33" s="1"/>
  <c r="Z78" i="33"/>
  <c r="AA78" i="33" s="1"/>
  <c r="Z77" i="33"/>
  <c r="AA77" i="33" s="1"/>
  <c r="Z76" i="33"/>
  <c r="AA76" i="33" s="1"/>
  <c r="Z75" i="33"/>
  <c r="AA75" i="33" s="1"/>
  <c r="Z74" i="33"/>
  <c r="AA74" i="33" s="1"/>
  <c r="Z73" i="33"/>
  <c r="AA73" i="33" s="1"/>
  <c r="Z72" i="33"/>
  <c r="AA72" i="33" s="1"/>
  <c r="AB71" i="33" s="1"/>
  <c r="Z65" i="33"/>
  <c r="Z63" i="33"/>
  <c r="AA63" i="33" s="1"/>
  <c r="Z55" i="33"/>
  <c r="AA55" i="33" s="1"/>
  <c r="AA54" i="33"/>
  <c r="Y50" i="33"/>
  <c r="Z50" i="33" s="1"/>
  <c r="AA50" i="33" s="1"/>
  <c r="Z46" i="33"/>
  <c r="AA46" i="33" s="1"/>
  <c r="Z45" i="33"/>
  <c r="AA45" i="33" s="1"/>
  <c r="AB44" i="33" s="1"/>
  <c r="Z341" i="33" s="1"/>
  <c r="Z15" i="33"/>
  <c r="Z343" i="33" l="1"/>
  <c r="H160" i="1" s="1"/>
  <c r="AA140" i="33"/>
  <c r="AB139" i="33" s="1"/>
  <c r="Z328" i="33"/>
  <c r="AA65" i="33"/>
  <c r="AB64" i="33" s="1"/>
  <c r="Z335" i="33" s="1"/>
  <c r="H152" i="1" s="1"/>
  <c r="AA92" i="33"/>
  <c r="AB91" i="33" s="1"/>
  <c r="Z325" i="33" s="1"/>
  <c r="AB222" i="33"/>
  <c r="AB96" i="33"/>
  <c r="H158" i="1"/>
  <c r="H142" i="1"/>
  <c r="H154" i="1"/>
  <c r="W363" i="33"/>
  <c r="W354" i="33"/>
  <c r="H134" i="1"/>
  <c r="AA136" i="33"/>
  <c r="AB135" i="33" s="1"/>
  <c r="Z334" i="33" s="1"/>
  <c r="AA15" i="33"/>
  <c r="AB14" i="33" s="1"/>
  <c r="AA70" i="33"/>
  <c r="AB69" i="33" s="1"/>
  <c r="Z319" i="33"/>
  <c r="H136" i="1" s="1"/>
  <c r="AB49" i="33"/>
  <c r="Z331" i="33" s="1"/>
  <c r="H148" i="1" s="1"/>
  <c r="Z339" i="33"/>
  <c r="H156" i="1" s="1"/>
  <c r="AB193" i="33"/>
  <c r="Z338" i="33"/>
  <c r="H155" i="1" s="1"/>
  <c r="AB93" i="33"/>
  <c r="Z346" i="33" s="1"/>
  <c r="H163" i="1" s="1"/>
  <c r="AB246" i="33"/>
  <c r="AB62" i="33"/>
  <c r="Z333" i="33" s="1"/>
  <c r="H150" i="1" s="1"/>
  <c r="Z323" i="33"/>
  <c r="Z324" i="33"/>
  <c r="W364" i="33" s="1"/>
  <c r="Z318" i="33"/>
  <c r="AB310" i="33"/>
  <c r="H145" i="1"/>
  <c r="W353" i="33" l="1"/>
  <c r="W352" i="33"/>
  <c r="H146" i="1"/>
  <c r="H135" i="1"/>
  <c r="H141" i="1"/>
  <c r="H140" i="1"/>
  <c r="H151" i="1"/>
  <c r="Z322" i="33"/>
  <c r="Z347" i="33"/>
  <c r="H139" i="1" l="1"/>
  <c r="C417" i="1" s="1"/>
  <c r="W351" i="33"/>
  <c r="W359" i="33"/>
  <c r="W356" i="33"/>
  <c r="W366" i="33"/>
  <c r="Y37" i="26"/>
  <c r="Z37" i="26" s="1"/>
  <c r="Y36" i="26"/>
  <c r="Z36" i="26" s="1"/>
  <c r="AA35" i="26" s="1"/>
  <c r="Y391" i="26" l="1"/>
  <c r="H363" i="1" s="1"/>
  <c r="Y111" i="10"/>
  <c r="Z111" i="10" s="1"/>
  <c r="AA111" i="10" s="1"/>
  <c r="H361" i="1" l="1"/>
  <c r="Z63" i="5"/>
  <c r="Z118" i="12" l="1"/>
  <c r="AA118" i="12" s="1"/>
  <c r="Z123" i="12"/>
  <c r="AA123" i="12" s="1"/>
  <c r="Z124" i="12"/>
  <c r="AA124" i="12" s="1"/>
  <c r="Z125" i="12"/>
  <c r="AA125" i="12" s="1"/>
  <c r="Z126" i="12"/>
  <c r="AA126" i="12" s="1"/>
  <c r="Z122" i="12"/>
  <c r="AA122" i="12" s="1"/>
  <c r="AB121" i="12" s="1"/>
  <c r="AB60" i="12"/>
  <c r="Z275" i="12" s="1"/>
  <c r="H117" i="1" s="1"/>
  <c r="AB117" i="12" l="1"/>
  <c r="Z279" i="12"/>
  <c r="H121" i="1" s="1"/>
  <c r="Z282" i="12" l="1"/>
  <c r="H124" i="1"/>
  <c r="AA147" i="9"/>
  <c r="AB144" i="9" s="1"/>
  <c r="Z179" i="9" s="1"/>
  <c r="H86" i="1" s="1"/>
  <c r="AA117" i="9"/>
  <c r="AA118" i="9"/>
  <c r="AA119" i="9"/>
  <c r="AA120" i="9"/>
  <c r="AA121" i="9"/>
  <c r="AB31" i="14" l="1"/>
  <c r="Z138" i="14" s="1"/>
  <c r="Z30" i="14"/>
  <c r="AA30" i="14" s="1"/>
  <c r="H129" i="1" l="1"/>
  <c r="W143" i="14"/>
  <c r="C414" i="1"/>
  <c r="W150" i="14"/>
  <c r="Z139" i="14"/>
  <c r="C24" i="32"/>
  <c r="C31" i="32" s="1"/>
  <c r="C6" i="32"/>
  <c r="C10" i="32" s="1"/>
  <c r="M392" i="31"/>
  <c r="J392" i="31"/>
  <c r="K391" i="31"/>
  <c r="K392" i="31" s="1"/>
  <c r="E391" i="31"/>
  <c r="D391" i="31"/>
  <c r="G390" i="31"/>
  <c r="L390" i="31" s="1"/>
  <c r="G389" i="31"/>
  <c r="I389" i="31" s="1"/>
  <c r="H389" i="31" s="1"/>
  <c r="G388" i="31"/>
  <c r="I388" i="31" s="1"/>
  <c r="H388" i="31" s="1"/>
  <c r="G387" i="31"/>
  <c r="I387" i="31" s="1"/>
  <c r="H387" i="31" s="1"/>
  <c r="G386" i="31"/>
  <c r="I386" i="31" s="1"/>
  <c r="H386" i="31" s="1"/>
  <c r="G385" i="31"/>
  <c r="I385" i="31" s="1"/>
  <c r="D383" i="31"/>
  <c r="F382" i="31"/>
  <c r="F383" i="31" s="1"/>
  <c r="D380" i="31"/>
  <c r="F379" i="31"/>
  <c r="E378" i="31"/>
  <c r="E380" i="31" s="1"/>
  <c r="F373" i="31"/>
  <c r="E373" i="31"/>
  <c r="F370" i="31"/>
  <c r="E370" i="31"/>
  <c r="G370" i="31" s="1"/>
  <c r="E369" i="31"/>
  <c r="G369" i="31" s="1"/>
  <c r="F368" i="31"/>
  <c r="E368" i="31"/>
  <c r="D356" i="31"/>
  <c r="D363" i="31" s="1"/>
  <c r="D338" i="31"/>
  <c r="D342" i="31" s="1"/>
  <c r="M325" i="31"/>
  <c r="L325" i="31"/>
  <c r="F325" i="31"/>
  <c r="E325" i="31"/>
  <c r="D325" i="31"/>
  <c r="G324" i="31"/>
  <c r="K324" i="31" s="1"/>
  <c r="H324" i="31" s="1"/>
  <c r="G323" i="31"/>
  <c r="K323" i="31" s="1"/>
  <c r="H323" i="31" s="1"/>
  <c r="G322" i="31"/>
  <c r="K322" i="31" s="1"/>
  <c r="H322" i="31" s="1"/>
  <c r="G321" i="31"/>
  <c r="K321" i="31" s="1"/>
  <c r="H321" i="31" s="1"/>
  <c r="G320" i="31"/>
  <c r="K320" i="31" s="1"/>
  <c r="H320" i="31" s="1"/>
  <c r="G319" i="31"/>
  <c r="K319" i="31" s="1"/>
  <c r="G318" i="31"/>
  <c r="J318" i="31" s="1"/>
  <c r="H318" i="31" s="1"/>
  <c r="G317" i="31"/>
  <c r="I317" i="31" s="1"/>
  <c r="H317" i="31" s="1"/>
  <c r="G316" i="31"/>
  <c r="J316" i="31" s="1"/>
  <c r="H316" i="31" s="1"/>
  <c r="G315" i="31"/>
  <c r="J315" i="31" s="1"/>
  <c r="H315" i="31" s="1"/>
  <c r="G314" i="31"/>
  <c r="J314" i="31" s="1"/>
  <c r="H314" i="31" s="1"/>
  <c r="G313" i="31"/>
  <c r="J313" i="31" s="1"/>
  <c r="H313" i="31" s="1"/>
  <c r="G312" i="31"/>
  <c r="J312" i="31" s="1"/>
  <c r="H312" i="31" s="1"/>
  <c r="G311" i="31"/>
  <c r="J311" i="31" s="1"/>
  <c r="H311" i="31" s="1"/>
  <c r="G310" i="31"/>
  <c r="J310" i="31" s="1"/>
  <c r="H310" i="31" s="1"/>
  <c r="G309" i="31"/>
  <c r="J309" i="31" s="1"/>
  <c r="H309" i="31" s="1"/>
  <c r="G308" i="31"/>
  <c r="J308" i="31" s="1"/>
  <c r="H308" i="31" s="1"/>
  <c r="G307" i="31"/>
  <c r="J307" i="31" s="1"/>
  <c r="H307" i="31" s="1"/>
  <c r="G306" i="31"/>
  <c r="J306" i="31" s="1"/>
  <c r="H306" i="31" s="1"/>
  <c r="G305" i="31"/>
  <c r="J305" i="31" s="1"/>
  <c r="H305" i="31" s="1"/>
  <c r="G304" i="31"/>
  <c r="I304" i="31" s="1"/>
  <c r="I325" i="31" s="1"/>
  <c r="G303" i="31"/>
  <c r="J303" i="31" s="1"/>
  <c r="H303" i="31" s="1"/>
  <c r="G302" i="31"/>
  <c r="J302" i="31" s="1"/>
  <c r="H302" i="31" s="1"/>
  <c r="G301" i="31"/>
  <c r="J301" i="31" s="1"/>
  <c r="H301" i="31" s="1"/>
  <c r="G300" i="31"/>
  <c r="J300" i="31" s="1"/>
  <c r="H300" i="31" s="1"/>
  <c r="G299" i="31"/>
  <c r="J299" i="31" s="1"/>
  <c r="H299" i="31" s="1"/>
  <c r="G298" i="31"/>
  <c r="J298" i="31" s="1"/>
  <c r="H298" i="31" s="1"/>
  <c r="G297" i="31"/>
  <c r="J297" i="31" s="1"/>
  <c r="H297" i="31" s="1"/>
  <c r="G296" i="31"/>
  <c r="J296" i="31" s="1"/>
  <c r="H296" i="31" s="1"/>
  <c r="G295" i="31"/>
  <c r="J295" i="31" s="1"/>
  <c r="H295" i="31" s="1"/>
  <c r="G294" i="31"/>
  <c r="J294" i="31" s="1"/>
  <c r="H294" i="31" s="1"/>
  <c r="G293" i="31"/>
  <c r="J293" i="31" s="1"/>
  <c r="H293" i="31" s="1"/>
  <c r="G292" i="31"/>
  <c r="F287" i="31"/>
  <c r="E287" i="31"/>
  <c r="D287" i="31"/>
  <c r="G286" i="31"/>
  <c r="K286" i="31" s="1"/>
  <c r="H286" i="31" s="1"/>
  <c r="G285" i="31"/>
  <c r="L285" i="31" s="1"/>
  <c r="H285" i="31" s="1"/>
  <c r="G284" i="31"/>
  <c r="K284" i="31" s="1"/>
  <c r="H284" i="31" s="1"/>
  <c r="G283" i="31"/>
  <c r="I283" i="31" s="1"/>
  <c r="H283" i="31" s="1"/>
  <c r="G282" i="31"/>
  <c r="I282" i="31" s="1"/>
  <c r="H282" i="31" s="1"/>
  <c r="G281" i="31"/>
  <c r="M281" i="31" s="1"/>
  <c r="H281" i="31" s="1"/>
  <c r="G280" i="31"/>
  <c r="K280" i="31" s="1"/>
  <c r="H280" i="31" s="1"/>
  <c r="G279" i="31"/>
  <c r="J279" i="31" s="1"/>
  <c r="H279" i="31" s="1"/>
  <c r="G278" i="31"/>
  <c r="I278" i="31" s="1"/>
  <c r="H278" i="31" s="1"/>
  <c r="G277" i="31"/>
  <c r="I277" i="31" s="1"/>
  <c r="H277" i="31" s="1"/>
  <c r="G276" i="31"/>
  <c r="I276" i="31" s="1"/>
  <c r="H276" i="31" s="1"/>
  <c r="G275" i="31"/>
  <c r="K275" i="31" s="1"/>
  <c r="H275" i="31" s="1"/>
  <c r="G274" i="31"/>
  <c r="J274" i="31" s="1"/>
  <c r="H274" i="31" s="1"/>
  <c r="G273" i="31"/>
  <c r="L273" i="31" s="1"/>
  <c r="H273" i="31" s="1"/>
  <c r="G272" i="31"/>
  <c r="L272" i="31" s="1"/>
  <c r="G271" i="31"/>
  <c r="I271" i="31" s="1"/>
  <c r="H271" i="31" s="1"/>
  <c r="G270" i="31"/>
  <c r="I270" i="31" s="1"/>
  <c r="H270" i="31" s="1"/>
  <c r="G269" i="31"/>
  <c r="I269" i="31" s="1"/>
  <c r="H269" i="31" s="1"/>
  <c r="G268" i="31"/>
  <c r="J268" i="31" s="1"/>
  <c r="H268" i="31" s="1"/>
  <c r="G267" i="31"/>
  <c r="J267" i="31" s="1"/>
  <c r="H267" i="31" s="1"/>
  <c r="G266" i="31"/>
  <c r="J266" i="31" s="1"/>
  <c r="H266" i="31" s="1"/>
  <c r="G265" i="31"/>
  <c r="J265" i="31" s="1"/>
  <c r="H265" i="31" s="1"/>
  <c r="G264" i="31"/>
  <c r="I264" i="31" s="1"/>
  <c r="H264" i="31" s="1"/>
  <c r="G263" i="31"/>
  <c r="J263" i="31" s="1"/>
  <c r="H263" i="31" s="1"/>
  <c r="G262" i="31"/>
  <c r="I262" i="31" s="1"/>
  <c r="H262" i="31" s="1"/>
  <c r="G261" i="31"/>
  <c r="J261" i="31" s="1"/>
  <c r="H261" i="31" s="1"/>
  <c r="G260" i="31"/>
  <c r="I260" i="31" s="1"/>
  <c r="H260" i="31" s="1"/>
  <c r="G259" i="31"/>
  <c r="I259" i="31" s="1"/>
  <c r="H259" i="31" s="1"/>
  <c r="G258" i="31"/>
  <c r="K258" i="31" s="1"/>
  <c r="H258" i="31" s="1"/>
  <c r="G257" i="31"/>
  <c r="J257" i="31" s="1"/>
  <c r="H257" i="31" s="1"/>
  <c r="G256" i="31"/>
  <c r="K256" i="31" s="1"/>
  <c r="H256" i="31" s="1"/>
  <c r="G255" i="31"/>
  <c r="K255" i="31" s="1"/>
  <c r="H255" i="31" s="1"/>
  <c r="G254" i="31"/>
  <c r="I254" i="31" s="1"/>
  <c r="H254" i="31" s="1"/>
  <c r="G253" i="31"/>
  <c r="K253" i="31" s="1"/>
  <c r="H253" i="31" s="1"/>
  <c r="G252" i="31"/>
  <c r="I252" i="31" s="1"/>
  <c r="H252" i="31" s="1"/>
  <c r="G251" i="31"/>
  <c r="I251" i="31" s="1"/>
  <c r="H251" i="31" s="1"/>
  <c r="G250" i="31"/>
  <c r="I250" i="31" s="1"/>
  <c r="H250" i="31" s="1"/>
  <c r="G249" i="31"/>
  <c r="I249" i="31" s="1"/>
  <c r="H249" i="31" s="1"/>
  <c r="G248" i="31"/>
  <c r="I248" i="31" s="1"/>
  <c r="H248" i="31" s="1"/>
  <c r="G247" i="31"/>
  <c r="I247" i="31" s="1"/>
  <c r="H247" i="31" s="1"/>
  <c r="G246" i="31"/>
  <c r="I246" i="31" s="1"/>
  <c r="H246" i="31" s="1"/>
  <c r="G245" i="31"/>
  <c r="I245" i="31" s="1"/>
  <c r="H245" i="31" s="1"/>
  <c r="G244" i="31"/>
  <c r="J244" i="31" s="1"/>
  <c r="H244" i="31" s="1"/>
  <c r="G243" i="31"/>
  <c r="J243" i="31" s="1"/>
  <c r="H243" i="31" s="1"/>
  <c r="G242" i="31"/>
  <c r="I242" i="31" s="1"/>
  <c r="H242" i="31" s="1"/>
  <c r="G241" i="31"/>
  <c r="I241" i="31" s="1"/>
  <c r="H241" i="31" s="1"/>
  <c r="G240" i="31"/>
  <c r="J240" i="31" s="1"/>
  <c r="H240" i="31" s="1"/>
  <c r="G239" i="31"/>
  <c r="I239" i="31" s="1"/>
  <c r="H239" i="31" s="1"/>
  <c r="G238" i="31"/>
  <c r="I238" i="31" s="1"/>
  <c r="H238" i="31" s="1"/>
  <c r="G237" i="31"/>
  <c r="K237" i="31" s="1"/>
  <c r="H237" i="31" s="1"/>
  <c r="G236" i="31"/>
  <c r="I236" i="31" s="1"/>
  <c r="H236" i="31" s="1"/>
  <c r="G235" i="31"/>
  <c r="K235" i="31" s="1"/>
  <c r="H235" i="31" s="1"/>
  <c r="G234" i="31"/>
  <c r="I234" i="31" s="1"/>
  <c r="H234" i="31" s="1"/>
  <c r="G233" i="31"/>
  <c r="K233" i="31" s="1"/>
  <c r="H233" i="31" s="1"/>
  <c r="G232" i="31"/>
  <c r="I232" i="31" s="1"/>
  <c r="H232" i="31" s="1"/>
  <c r="G231" i="31"/>
  <c r="I231" i="31" s="1"/>
  <c r="H231" i="31" s="1"/>
  <c r="G230" i="31"/>
  <c r="K230" i="31" s="1"/>
  <c r="H230" i="31" s="1"/>
  <c r="G229" i="31"/>
  <c r="I229" i="31" s="1"/>
  <c r="H229" i="31" s="1"/>
  <c r="G228" i="31"/>
  <c r="K228" i="31" s="1"/>
  <c r="H228" i="31" s="1"/>
  <c r="G227" i="31"/>
  <c r="M227" i="31" s="1"/>
  <c r="G226" i="31"/>
  <c r="I226" i="31" s="1"/>
  <c r="H226" i="31" s="1"/>
  <c r="G225" i="31"/>
  <c r="J225" i="31" s="1"/>
  <c r="H225" i="31" s="1"/>
  <c r="G224" i="31"/>
  <c r="I224" i="31" s="1"/>
  <c r="H224" i="31" s="1"/>
  <c r="G223" i="31"/>
  <c r="K223" i="31" s="1"/>
  <c r="H223" i="31" s="1"/>
  <c r="G222" i="31"/>
  <c r="I222" i="31" s="1"/>
  <c r="H222" i="31" s="1"/>
  <c r="G221" i="31"/>
  <c r="I221" i="31" s="1"/>
  <c r="H221" i="31" s="1"/>
  <c r="G220" i="31"/>
  <c r="I220" i="31" s="1"/>
  <c r="G219" i="31"/>
  <c r="K219" i="31" s="1"/>
  <c r="H219" i="31" s="1"/>
  <c r="G218" i="31"/>
  <c r="K218" i="31" s="1"/>
  <c r="H218" i="31" s="1"/>
  <c r="G217" i="31"/>
  <c r="K217" i="31" s="1"/>
  <c r="H217" i="31" s="1"/>
  <c r="G216" i="31"/>
  <c r="K216" i="31" s="1"/>
  <c r="H216" i="31" s="1"/>
  <c r="G215" i="31"/>
  <c r="M210" i="31"/>
  <c r="F210" i="31"/>
  <c r="E210" i="31"/>
  <c r="D210" i="31"/>
  <c r="G209" i="31"/>
  <c r="K209" i="31" s="1"/>
  <c r="H209" i="31" s="1"/>
  <c r="G208" i="31"/>
  <c r="I208" i="31" s="1"/>
  <c r="H208" i="31" s="1"/>
  <c r="G207" i="31"/>
  <c r="L207" i="31" s="1"/>
  <c r="H207" i="31" s="1"/>
  <c r="G206" i="31"/>
  <c r="I206" i="31" s="1"/>
  <c r="H206" i="31" s="1"/>
  <c r="G205" i="31"/>
  <c r="K205" i="31" s="1"/>
  <c r="H205" i="31" s="1"/>
  <c r="G204" i="31"/>
  <c r="L204" i="31" s="1"/>
  <c r="H204" i="31" s="1"/>
  <c r="G203" i="31"/>
  <c r="K203" i="31" s="1"/>
  <c r="H203" i="31" s="1"/>
  <c r="G202" i="31"/>
  <c r="I202" i="31" s="1"/>
  <c r="H202" i="31" s="1"/>
  <c r="G201" i="31"/>
  <c r="K201" i="31" s="1"/>
  <c r="H201" i="31" s="1"/>
  <c r="G200" i="31"/>
  <c r="L200" i="31" s="1"/>
  <c r="H200" i="31" s="1"/>
  <c r="H199" i="31"/>
  <c r="G199" i="31"/>
  <c r="G198" i="31"/>
  <c r="L198" i="31" s="1"/>
  <c r="H198" i="31" s="1"/>
  <c r="G197" i="31"/>
  <c r="L197" i="31" s="1"/>
  <c r="G196" i="31"/>
  <c r="I196" i="31" s="1"/>
  <c r="H196" i="31" s="1"/>
  <c r="G195" i="31"/>
  <c r="I195" i="31" s="1"/>
  <c r="H195" i="31" s="1"/>
  <c r="G194" i="31"/>
  <c r="I194" i="31" s="1"/>
  <c r="H194" i="31" s="1"/>
  <c r="G193" i="31"/>
  <c r="I193" i="31" s="1"/>
  <c r="H193" i="31" s="1"/>
  <c r="G192" i="31"/>
  <c r="I192" i="31" s="1"/>
  <c r="H192" i="31" s="1"/>
  <c r="G191" i="31"/>
  <c r="I191" i="31" s="1"/>
  <c r="H191" i="31" s="1"/>
  <c r="G190" i="31"/>
  <c r="I190" i="31" s="1"/>
  <c r="H190" i="31" s="1"/>
  <c r="G189" i="31"/>
  <c r="I189" i="31" s="1"/>
  <c r="H189" i="31" s="1"/>
  <c r="G188" i="31"/>
  <c r="I188" i="31" s="1"/>
  <c r="H188" i="31" s="1"/>
  <c r="G187" i="31"/>
  <c r="K187" i="31" s="1"/>
  <c r="H187" i="31" s="1"/>
  <c r="G186" i="31"/>
  <c r="I186" i="31" s="1"/>
  <c r="H186" i="31" s="1"/>
  <c r="G185" i="31"/>
  <c r="J185" i="31" s="1"/>
  <c r="H185" i="31" s="1"/>
  <c r="G184" i="31"/>
  <c r="I184" i="31" s="1"/>
  <c r="H184" i="31" s="1"/>
  <c r="G183" i="31"/>
  <c r="I183" i="31" s="1"/>
  <c r="H183" i="31" s="1"/>
  <c r="G182" i="31"/>
  <c r="I182" i="31" s="1"/>
  <c r="H182" i="31" s="1"/>
  <c r="G181" i="31"/>
  <c r="I181" i="31" s="1"/>
  <c r="H181" i="31" s="1"/>
  <c r="G180" i="31"/>
  <c r="I180" i="31" s="1"/>
  <c r="H180" i="31" s="1"/>
  <c r="G179" i="31"/>
  <c r="J179" i="31" s="1"/>
  <c r="H179" i="31" s="1"/>
  <c r="G178" i="31"/>
  <c r="J178" i="31" s="1"/>
  <c r="H178" i="31" s="1"/>
  <c r="G177" i="31"/>
  <c r="I177" i="31" s="1"/>
  <c r="H177" i="31" s="1"/>
  <c r="G176" i="31"/>
  <c r="I176" i="31" s="1"/>
  <c r="H176" i="31" s="1"/>
  <c r="G175" i="31"/>
  <c r="K175" i="31" s="1"/>
  <c r="H175" i="31" s="1"/>
  <c r="G174" i="31"/>
  <c r="I174" i="31" s="1"/>
  <c r="H174" i="31" s="1"/>
  <c r="G173" i="31"/>
  <c r="I173" i="31" s="1"/>
  <c r="H173" i="31" s="1"/>
  <c r="G172" i="31"/>
  <c r="J172" i="31" s="1"/>
  <c r="H172" i="31" s="1"/>
  <c r="G171" i="31"/>
  <c r="I171" i="31" s="1"/>
  <c r="H171" i="31" s="1"/>
  <c r="H170" i="31"/>
  <c r="G170" i="31"/>
  <c r="G169" i="31"/>
  <c r="K169" i="31" s="1"/>
  <c r="H169" i="31" s="1"/>
  <c r="G168" i="31"/>
  <c r="J168" i="31" s="1"/>
  <c r="H168" i="31" s="1"/>
  <c r="G167" i="31"/>
  <c r="I167" i="31" s="1"/>
  <c r="H167" i="31" s="1"/>
  <c r="G166" i="31"/>
  <c r="I166" i="31" s="1"/>
  <c r="H166" i="31" s="1"/>
  <c r="G165" i="31"/>
  <c r="I165" i="31" s="1"/>
  <c r="H165" i="31" s="1"/>
  <c r="G164" i="31"/>
  <c r="I164" i="31" s="1"/>
  <c r="H164" i="31" s="1"/>
  <c r="G163" i="31"/>
  <c r="J163" i="31" s="1"/>
  <c r="G162" i="31"/>
  <c r="I162" i="31" s="1"/>
  <c r="H162" i="31" s="1"/>
  <c r="G161" i="31"/>
  <c r="I161" i="31" s="1"/>
  <c r="H161" i="31" s="1"/>
  <c r="G160" i="31"/>
  <c r="I160" i="31" s="1"/>
  <c r="H160" i="31" s="1"/>
  <c r="G159" i="31"/>
  <c r="I159" i="31" s="1"/>
  <c r="G158" i="31"/>
  <c r="I158" i="31" s="1"/>
  <c r="H158" i="31" s="1"/>
  <c r="G157" i="31"/>
  <c r="K157" i="31" s="1"/>
  <c r="H157" i="31" s="1"/>
  <c r="G156" i="31"/>
  <c r="K156" i="31" s="1"/>
  <c r="H156" i="31" s="1"/>
  <c r="G155" i="31"/>
  <c r="K155" i="31" s="1"/>
  <c r="H155" i="31" s="1"/>
  <c r="G154" i="31"/>
  <c r="K154" i="31" s="1"/>
  <c r="H154" i="31" s="1"/>
  <c r="G153" i="31"/>
  <c r="K153" i="31" s="1"/>
  <c r="H153" i="31" s="1"/>
  <c r="G152" i="31"/>
  <c r="K152" i="31" s="1"/>
  <c r="H152" i="31" s="1"/>
  <c r="G151" i="31"/>
  <c r="K151" i="31" s="1"/>
  <c r="H151" i="31" s="1"/>
  <c r="G150" i="31"/>
  <c r="K150" i="31" s="1"/>
  <c r="M145" i="31"/>
  <c r="L145" i="31"/>
  <c r="K145" i="31"/>
  <c r="F145" i="31"/>
  <c r="E145" i="31"/>
  <c r="D145" i="31"/>
  <c r="G144" i="31"/>
  <c r="J144" i="31" s="1"/>
  <c r="H144" i="31" s="1"/>
  <c r="G143" i="31"/>
  <c r="J143" i="31" s="1"/>
  <c r="H143" i="31" s="1"/>
  <c r="G142" i="31"/>
  <c r="J142" i="31" s="1"/>
  <c r="H142" i="31" s="1"/>
  <c r="G141" i="31"/>
  <c r="J141" i="31" s="1"/>
  <c r="H141" i="31" s="1"/>
  <c r="G140" i="31"/>
  <c r="J140" i="31" s="1"/>
  <c r="H140" i="31" s="1"/>
  <c r="G139" i="31"/>
  <c r="J139" i="31" s="1"/>
  <c r="G138" i="31"/>
  <c r="J138" i="31" s="1"/>
  <c r="H138" i="31" s="1"/>
  <c r="G137" i="31"/>
  <c r="J137" i="31" s="1"/>
  <c r="H137" i="31" s="1"/>
  <c r="G136" i="31"/>
  <c r="I136" i="31" s="1"/>
  <c r="H136" i="31" s="1"/>
  <c r="G135" i="31"/>
  <c r="I135" i="31" s="1"/>
  <c r="H135" i="31" s="1"/>
  <c r="G134" i="31"/>
  <c r="I134" i="31" s="1"/>
  <c r="H134" i="31" s="1"/>
  <c r="G133" i="31"/>
  <c r="I133" i="31" s="1"/>
  <c r="H133" i="31" s="1"/>
  <c r="G132" i="31"/>
  <c r="F127" i="31"/>
  <c r="E127" i="31"/>
  <c r="D127" i="31"/>
  <c r="D326" i="31" s="1"/>
  <c r="G126" i="31"/>
  <c r="I126" i="31" s="1"/>
  <c r="H126" i="31" s="1"/>
  <c r="G125" i="31"/>
  <c r="K125" i="31" s="1"/>
  <c r="H125" i="31" s="1"/>
  <c r="G124" i="31"/>
  <c r="K124" i="31" s="1"/>
  <c r="H124" i="31" s="1"/>
  <c r="G123" i="31"/>
  <c r="L123" i="31" s="1"/>
  <c r="H123" i="31" s="1"/>
  <c r="G122" i="31"/>
  <c r="K122" i="31" s="1"/>
  <c r="H122" i="31" s="1"/>
  <c r="G121" i="31"/>
  <c r="J121" i="31" s="1"/>
  <c r="H121" i="31" s="1"/>
  <c r="G120" i="31"/>
  <c r="I120" i="31" s="1"/>
  <c r="H120" i="31" s="1"/>
  <c r="G119" i="31"/>
  <c r="L119" i="31" s="1"/>
  <c r="H119" i="31" s="1"/>
  <c r="G118" i="31"/>
  <c r="K118" i="31" s="1"/>
  <c r="H118" i="31" s="1"/>
  <c r="G117" i="31"/>
  <c r="M117" i="31" s="1"/>
  <c r="G116" i="31"/>
  <c r="L116" i="31" s="1"/>
  <c r="H116" i="31" s="1"/>
  <c r="G115" i="31"/>
  <c r="K115" i="31" s="1"/>
  <c r="H115" i="31" s="1"/>
  <c r="G114" i="31"/>
  <c r="J114" i="31" s="1"/>
  <c r="H114" i="31" s="1"/>
  <c r="G113" i="31"/>
  <c r="I113" i="31" s="1"/>
  <c r="H113" i="31" s="1"/>
  <c r="G112" i="31"/>
  <c r="K112" i="31" s="1"/>
  <c r="H112" i="31" s="1"/>
  <c r="G111" i="31"/>
  <c r="J111" i="31" s="1"/>
  <c r="H111" i="31" s="1"/>
  <c r="G110" i="31"/>
  <c r="I110" i="31" s="1"/>
  <c r="H110" i="31" s="1"/>
  <c r="G109" i="31"/>
  <c r="L109" i="31" s="1"/>
  <c r="H109" i="31" s="1"/>
  <c r="G108" i="31"/>
  <c r="L108" i="31" s="1"/>
  <c r="H108" i="31" s="1"/>
  <c r="G107" i="31"/>
  <c r="L107" i="31" s="1"/>
  <c r="G106" i="31"/>
  <c r="I106" i="31" s="1"/>
  <c r="H106" i="31" s="1"/>
  <c r="G105" i="31"/>
  <c r="I105" i="31" s="1"/>
  <c r="H105" i="31" s="1"/>
  <c r="G104" i="31"/>
  <c r="K104" i="31" s="1"/>
  <c r="H104" i="31" s="1"/>
  <c r="G103" i="31"/>
  <c r="I103" i="31" s="1"/>
  <c r="H103" i="31" s="1"/>
  <c r="G102" i="31"/>
  <c r="I102" i="31" s="1"/>
  <c r="H102" i="31" s="1"/>
  <c r="G101" i="31"/>
  <c r="K101" i="31" s="1"/>
  <c r="H101" i="31" s="1"/>
  <c r="G100" i="31"/>
  <c r="J100" i="31" s="1"/>
  <c r="H100" i="31" s="1"/>
  <c r="G99" i="31"/>
  <c r="K99" i="31" s="1"/>
  <c r="H99" i="31" s="1"/>
  <c r="G98" i="31"/>
  <c r="J98" i="31" s="1"/>
  <c r="H98" i="31" s="1"/>
  <c r="G97" i="31"/>
  <c r="I97" i="31" s="1"/>
  <c r="H97" i="31" s="1"/>
  <c r="G96" i="31"/>
  <c r="K96" i="31" s="1"/>
  <c r="H96" i="31" s="1"/>
  <c r="G95" i="31"/>
  <c r="J95" i="31" s="1"/>
  <c r="H95" i="31" s="1"/>
  <c r="G94" i="31"/>
  <c r="K94" i="31" s="1"/>
  <c r="H94" i="31" s="1"/>
  <c r="G93" i="31"/>
  <c r="I93" i="31" s="1"/>
  <c r="H93" i="31" s="1"/>
  <c r="G92" i="31"/>
  <c r="J92" i="31" s="1"/>
  <c r="H92" i="31" s="1"/>
  <c r="G91" i="31"/>
  <c r="I91" i="31" s="1"/>
  <c r="H91" i="31" s="1"/>
  <c r="G90" i="31"/>
  <c r="K90" i="31" s="1"/>
  <c r="H90" i="31" s="1"/>
  <c r="G89" i="31"/>
  <c r="K89" i="31" s="1"/>
  <c r="H89" i="31" s="1"/>
  <c r="G88" i="31"/>
  <c r="K88" i="31" s="1"/>
  <c r="H88" i="31" s="1"/>
  <c r="G87" i="31"/>
  <c r="K87" i="31" s="1"/>
  <c r="H87" i="31" s="1"/>
  <c r="G86" i="31"/>
  <c r="K86" i="31" s="1"/>
  <c r="H86" i="31" s="1"/>
  <c r="G85" i="31"/>
  <c r="I85" i="31" s="1"/>
  <c r="H85" i="31" s="1"/>
  <c r="G84" i="31"/>
  <c r="K84" i="31" s="1"/>
  <c r="H84" i="31" s="1"/>
  <c r="G83" i="31"/>
  <c r="K83" i="31" s="1"/>
  <c r="H83" i="31" s="1"/>
  <c r="G82" i="31"/>
  <c r="K82" i="31" s="1"/>
  <c r="H82" i="31" s="1"/>
  <c r="G81" i="31"/>
  <c r="K81" i="31" s="1"/>
  <c r="H81" i="31" s="1"/>
  <c r="G80" i="31"/>
  <c r="I80" i="31" s="1"/>
  <c r="H80" i="31" s="1"/>
  <c r="G79" i="31"/>
  <c r="K79" i="31" s="1"/>
  <c r="H79" i="31" s="1"/>
  <c r="G78" i="31"/>
  <c r="K78" i="31" s="1"/>
  <c r="H78" i="31" s="1"/>
  <c r="G77" i="31"/>
  <c r="K77" i="31" s="1"/>
  <c r="H77" i="31" s="1"/>
  <c r="G76" i="31"/>
  <c r="K76" i="31" s="1"/>
  <c r="H76" i="31" s="1"/>
  <c r="G75" i="31"/>
  <c r="J75" i="31" s="1"/>
  <c r="H75" i="31" s="1"/>
  <c r="G74" i="31"/>
  <c r="K74" i="31" s="1"/>
  <c r="H74" i="31" s="1"/>
  <c r="G73" i="31"/>
  <c r="K73" i="31" s="1"/>
  <c r="H73" i="31" s="1"/>
  <c r="G72" i="31"/>
  <c r="I72" i="31" s="1"/>
  <c r="H72" i="31" s="1"/>
  <c r="G71" i="31"/>
  <c r="K71" i="31" s="1"/>
  <c r="H71" i="31" s="1"/>
  <c r="G70" i="31"/>
  <c r="K70" i="31" s="1"/>
  <c r="H70" i="31" s="1"/>
  <c r="G69" i="31"/>
  <c r="K69" i="31" s="1"/>
  <c r="H69" i="31" s="1"/>
  <c r="G68" i="31"/>
  <c r="K68" i="31" s="1"/>
  <c r="H68" i="31" s="1"/>
  <c r="G67" i="31"/>
  <c r="K67" i="31" s="1"/>
  <c r="H67" i="31" s="1"/>
  <c r="G66" i="31"/>
  <c r="K66" i="31" s="1"/>
  <c r="H66" i="31" s="1"/>
  <c r="G65" i="31"/>
  <c r="K65" i="31" s="1"/>
  <c r="H65" i="31" s="1"/>
  <c r="G64" i="31"/>
  <c r="J64" i="31" s="1"/>
  <c r="H64" i="31" s="1"/>
  <c r="G63" i="31"/>
  <c r="K63" i="31" s="1"/>
  <c r="H63" i="31" s="1"/>
  <c r="H62" i="31"/>
  <c r="G62" i="31"/>
  <c r="G61" i="31"/>
  <c r="K61" i="31" s="1"/>
  <c r="H61" i="31" s="1"/>
  <c r="G60" i="31"/>
  <c r="K60" i="31" s="1"/>
  <c r="H60" i="31" s="1"/>
  <c r="G59" i="31"/>
  <c r="J59" i="31" s="1"/>
  <c r="H59" i="31" s="1"/>
  <c r="G58" i="31"/>
  <c r="I58" i="31" s="1"/>
  <c r="H58" i="31" s="1"/>
  <c r="G57" i="31"/>
  <c r="K57" i="31" s="1"/>
  <c r="H57" i="31" s="1"/>
  <c r="G56" i="31"/>
  <c r="K56" i="31" s="1"/>
  <c r="H56" i="31" s="1"/>
  <c r="G55" i="31"/>
  <c r="K55" i="31" s="1"/>
  <c r="H55" i="31" s="1"/>
  <c r="G54" i="31"/>
  <c r="K54" i="31" s="1"/>
  <c r="H54" i="31" s="1"/>
  <c r="G53" i="31"/>
  <c r="K53" i="31" s="1"/>
  <c r="H53" i="31" s="1"/>
  <c r="G52" i="31"/>
  <c r="K52" i="31" s="1"/>
  <c r="H52" i="31" s="1"/>
  <c r="G51" i="31"/>
  <c r="K51" i="31" s="1"/>
  <c r="H51" i="31" s="1"/>
  <c r="G50" i="31"/>
  <c r="K50" i="31" s="1"/>
  <c r="H50" i="31" s="1"/>
  <c r="G49" i="31"/>
  <c r="K49" i="31" s="1"/>
  <c r="H49" i="31" s="1"/>
  <c r="G48" i="31"/>
  <c r="K48" i="31" s="1"/>
  <c r="H48" i="31" s="1"/>
  <c r="G47" i="31"/>
  <c r="K47" i="31" s="1"/>
  <c r="H47" i="31" s="1"/>
  <c r="G46" i="31"/>
  <c r="K46" i="31" s="1"/>
  <c r="H46" i="31" s="1"/>
  <c r="G45" i="31"/>
  <c r="I45" i="31" s="1"/>
  <c r="H45" i="31" s="1"/>
  <c r="G44" i="31"/>
  <c r="K44" i="31" s="1"/>
  <c r="H44" i="31" s="1"/>
  <c r="G43" i="31"/>
  <c r="K43" i="31" s="1"/>
  <c r="H43" i="31" s="1"/>
  <c r="G42" i="31"/>
  <c r="K42" i="31" s="1"/>
  <c r="H42" i="31" s="1"/>
  <c r="G41" i="31"/>
  <c r="I41" i="31" s="1"/>
  <c r="G40" i="31"/>
  <c r="K40" i="31" s="1"/>
  <c r="H40" i="31" s="1"/>
  <c r="G39" i="31"/>
  <c r="K39" i="31" s="1"/>
  <c r="H39" i="31" s="1"/>
  <c r="G38" i="31"/>
  <c r="K38" i="31" s="1"/>
  <c r="H38" i="31" s="1"/>
  <c r="G37" i="31"/>
  <c r="K37" i="31" s="1"/>
  <c r="H37" i="31" s="1"/>
  <c r="G36" i="31"/>
  <c r="K36" i="31" s="1"/>
  <c r="H36" i="31" s="1"/>
  <c r="G35" i="31"/>
  <c r="K35" i="31" s="1"/>
  <c r="H35" i="31" s="1"/>
  <c r="G34" i="31"/>
  <c r="K34" i="31" s="1"/>
  <c r="H34" i="31" s="1"/>
  <c r="G33" i="31"/>
  <c r="K33" i="31" s="1"/>
  <c r="H33" i="31" s="1"/>
  <c r="G32" i="31"/>
  <c r="K32" i="31" s="1"/>
  <c r="H32" i="31" s="1"/>
  <c r="G31" i="31"/>
  <c r="K31" i="31" s="1"/>
  <c r="H31" i="31" s="1"/>
  <c r="G30" i="31"/>
  <c r="K30" i="31" s="1"/>
  <c r="H30" i="31" s="1"/>
  <c r="G29" i="31"/>
  <c r="K29" i="31" s="1"/>
  <c r="H29" i="31" s="1"/>
  <c r="G28" i="31"/>
  <c r="K28" i="31" s="1"/>
  <c r="H28" i="31" s="1"/>
  <c r="G27" i="31"/>
  <c r="K27" i="31" s="1"/>
  <c r="H27" i="31" s="1"/>
  <c r="G26" i="31"/>
  <c r="K26" i="31" s="1"/>
  <c r="H26" i="31" s="1"/>
  <c r="G25" i="31"/>
  <c r="K25" i="31" s="1"/>
  <c r="H25" i="31" s="1"/>
  <c r="G24" i="31"/>
  <c r="K24" i="31" s="1"/>
  <c r="H24" i="31" s="1"/>
  <c r="G23" i="31"/>
  <c r="K23" i="31" s="1"/>
  <c r="H23" i="31" s="1"/>
  <c r="G22" i="31"/>
  <c r="K22" i="31" s="1"/>
  <c r="H22" i="31" s="1"/>
  <c r="G21" i="31"/>
  <c r="K21" i="31" s="1"/>
  <c r="H21" i="31" s="1"/>
  <c r="G20" i="31"/>
  <c r="I15" i="31"/>
  <c r="H15" i="31"/>
  <c r="G15" i="31"/>
  <c r="F15" i="31"/>
  <c r="E15" i="31"/>
  <c r="D14" i="31"/>
  <c r="D13" i="31"/>
  <c r="D12" i="31"/>
  <c r="D11" i="31"/>
  <c r="D10" i="31"/>
  <c r="D9" i="31"/>
  <c r="G287" i="31" l="1"/>
  <c r="G127" i="31"/>
  <c r="F371" i="31"/>
  <c r="D392" i="31"/>
  <c r="D15" i="31"/>
  <c r="D330" i="31" s="1"/>
  <c r="G288" i="31" s="1"/>
  <c r="E326" i="31"/>
  <c r="F326" i="31"/>
  <c r="E392" i="31"/>
  <c r="G145" i="31"/>
  <c r="G368" i="31"/>
  <c r="J292" i="31"/>
  <c r="G325" i="31"/>
  <c r="F380" i="31"/>
  <c r="F392" i="31" s="1"/>
  <c r="G379" i="31"/>
  <c r="L379" i="31" s="1"/>
  <c r="H379" i="31" s="1"/>
  <c r="K325" i="31"/>
  <c r="H319" i="31"/>
  <c r="H385" i="31"/>
  <c r="I391" i="31"/>
  <c r="K210" i="31"/>
  <c r="H150" i="31"/>
  <c r="H272" i="31"/>
  <c r="L287" i="31"/>
  <c r="J145" i="31"/>
  <c r="H139" i="31"/>
  <c r="J287" i="31"/>
  <c r="H41" i="31"/>
  <c r="I127" i="31"/>
  <c r="J325" i="31"/>
  <c r="H292" i="31"/>
  <c r="H117" i="31"/>
  <c r="M127" i="31"/>
  <c r="H227" i="31"/>
  <c r="M287" i="31"/>
  <c r="J210" i="31"/>
  <c r="H163" i="31"/>
  <c r="I210" i="31"/>
  <c r="H159" i="31"/>
  <c r="L127" i="31"/>
  <c r="I287" i="31"/>
  <c r="H220" i="31"/>
  <c r="H390" i="31"/>
  <c r="L391" i="31"/>
  <c r="H197" i="31"/>
  <c r="L210" i="31"/>
  <c r="J127" i="31"/>
  <c r="K20" i="31"/>
  <c r="H107" i="31"/>
  <c r="E371" i="31"/>
  <c r="G371" i="31" s="1"/>
  <c r="G391" i="31"/>
  <c r="G210" i="31"/>
  <c r="G326" i="31" s="1"/>
  <c r="K215" i="31"/>
  <c r="G382" i="31"/>
  <c r="I132" i="31"/>
  <c r="G378" i="31"/>
  <c r="H304" i="31"/>
  <c r="D328" i="31" l="1"/>
  <c r="F328" i="31"/>
  <c r="L326" i="31"/>
  <c r="L328" i="31" s="1"/>
  <c r="H391" i="31"/>
  <c r="H215" i="31"/>
  <c r="H287" i="31" s="1"/>
  <c r="K287" i="31"/>
  <c r="H20" i="31"/>
  <c r="H127" i="31" s="1"/>
  <c r="K127" i="31"/>
  <c r="K326" i="31" s="1"/>
  <c r="K328" i="31" s="1"/>
  <c r="H210" i="31"/>
  <c r="H132" i="31"/>
  <c r="H145" i="31" s="1"/>
  <c r="I145" i="31"/>
  <c r="I326" i="31" s="1"/>
  <c r="I328" i="31" s="1"/>
  <c r="J326" i="31"/>
  <c r="J328" i="31" s="1"/>
  <c r="M326" i="31"/>
  <c r="M328" i="31" s="1"/>
  <c r="H325" i="31"/>
  <c r="G383" i="31"/>
  <c r="I382" i="31"/>
  <c r="L378" i="31"/>
  <c r="G380" i="31"/>
  <c r="G392" i="31" l="1"/>
  <c r="H378" i="31"/>
  <c r="H380" i="31" s="1"/>
  <c r="L380" i="31"/>
  <c r="L392" i="31" s="1"/>
  <c r="I383" i="31"/>
  <c r="I392" i="31" s="1"/>
  <c r="H382" i="31"/>
  <c r="H383" i="31" s="1"/>
  <c r="H326" i="31"/>
  <c r="H328" i="31" s="1"/>
  <c r="H392" i="31" l="1"/>
  <c r="Z19" i="21" l="1"/>
  <c r="AA19" i="21" s="1"/>
  <c r="AB18" i="21" s="1"/>
  <c r="Z378" i="21" s="1"/>
  <c r="Z85" i="6"/>
  <c r="AA85" i="6" s="1"/>
  <c r="AB84" i="6" s="1"/>
  <c r="Z294" i="21"/>
  <c r="AA294" i="21" s="1"/>
  <c r="AB293" i="21" s="1"/>
  <c r="Z290" i="21"/>
  <c r="AA290" i="21" s="1"/>
  <c r="Z285" i="21"/>
  <c r="AA285" i="21" s="1"/>
  <c r="AB284" i="21" s="1"/>
  <c r="Z108" i="21"/>
  <c r="AA108" i="21" s="1"/>
  <c r="Z106" i="21"/>
  <c r="AA106" i="21" s="1"/>
  <c r="AB105" i="21" s="1"/>
  <c r="Z102" i="21"/>
  <c r="AA102" i="21" s="1"/>
  <c r="AB101" i="21" s="1"/>
  <c r="Z420" i="21" s="1"/>
  <c r="AB107" i="21"/>
  <c r="Z419" i="21" s="1"/>
  <c r="H265" i="1" s="1"/>
  <c r="Z289" i="21"/>
  <c r="Z70" i="21"/>
  <c r="AA70" i="21" s="1"/>
  <c r="Z68" i="21"/>
  <c r="Z65" i="21"/>
  <c r="AA65" i="21" s="1"/>
  <c r="D339" i="27"/>
  <c r="J193" i="28"/>
  <c r="I193" i="28"/>
  <c r="D193" i="28"/>
  <c r="E192" i="28"/>
  <c r="K192" i="28" s="1"/>
  <c r="E191" i="28"/>
  <c r="K191" i="28" s="1"/>
  <c r="E190" i="28"/>
  <c r="K190" i="28" s="1"/>
  <c r="E189" i="28"/>
  <c r="K189" i="28" s="1"/>
  <c r="E188" i="28"/>
  <c r="K188" i="28" s="1"/>
  <c r="E187" i="28"/>
  <c r="K187" i="28" s="1"/>
  <c r="E186" i="28"/>
  <c r="K186" i="28" s="1"/>
  <c r="E185" i="28"/>
  <c r="K185" i="28" s="1"/>
  <c r="E184" i="28"/>
  <c r="K184" i="28" s="1"/>
  <c r="E183" i="28"/>
  <c r="K183" i="28" s="1"/>
  <c r="E182" i="28"/>
  <c r="K182" i="28" s="1"/>
  <c r="E181" i="28"/>
  <c r="K181" i="28" s="1"/>
  <c r="E180" i="28"/>
  <c r="K180" i="28" s="1"/>
  <c r="E179" i="28"/>
  <c r="K179" i="28" s="1"/>
  <c r="E178" i="28"/>
  <c r="K178" i="28" s="1"/>
  <c r="E177" i="28"/>
  <c r="K177" i="28" s="1"/>
  <c r="E175" i="28"/>
  <c r="K175" i="28" s="1"/>
  <c r="E174" i="28"/>
  <c r="K174" i="28" s="1"/>
  <c r="E173" i="28"/>
  <c r="K173" i="28" s="1"/>
  <c r="E172" i="28"/>
  <c r="K172" i="28" s="1"/>
  <c r="E171" i="28"/>
  <c r="K171" i="28" s="1"/>
  <c r="E170" i="28"/>
  <c r="K170" i="28" s="1"/>
  <c r="E169" i="28"/>
  <c r="K169" i="28" s="1"/>
  <c r="E168" i="28"/>
  <c r="K168" i="28" s="1"/>
  <c r="E167" i="28"/>
  <c r="K167" i="28" s="1"/>
  <c r="E166" i="28"/>
  <c r="K166" i="28" s="1"/>
  <c r="E165" i="28"/>
  <c r="K165" i="28" s="1"/>
  <c r="J160" i="28"/>
  <c r="D160" i="28"/>
  <c r="I160" i="28"/>
  <c r="E158" i="28"/>
  <c r="K158" i="28" s="1"/>
  <c r="E157" i="28"/>
  <c r="K157" i="28" s="1"/>
  <c r="E156" i="28"/>
  <c r="K156" i="28" s="1"/>
  <c r="E155" i="28"/>
  <c r="K155" i="28" s="1"/>
  <c r="E154" i="28"/>
  <c r="K154" i="28" s="1"/>
  <c r="E153" i="28"/>
  <c r="K153" i="28" s="1"/>
  <c r="E152" i="28"/>
  <c r="K152" i="28" s="1"/>
  <c r="E151" i="28"/>
  <c r="K151" i="28" s="1"/>
  <c r="E150" i="28"/>
  <c r="K150" i="28" s="1"/>
  <c r="E149" i="28"/>
  <c r="K149" i="28" s="1"/>
  <c r="E148" i="28"/>
  <c r="K148" i="28" s="1"/>
  <c r="E147" i="28"/>
  <c r="K147" i="28" s="1"/>
  <c r="E146" i="28"/>
  <c r="K146" i="28" s="1"/>
  <c r="E145" i="28"/>
  <c r="K145" i="28" s="1"/>
  <c r="E144" i="28"/>
  <c r="K144" i="28" s="1"/>
  <c r="E142" i="28"/>
  <c r="K142" i="28" s="1"/>
  <c r="E140" i="28"/>
  <c r="K140" i="28" s="1"/>
  <c r="E139" i="28"/>
  <c r="K139" i="28" s="1"/>
  <c r="E138" i="28"/>
  <c r="K138" i="28" s="1"/>
  <c r="E137" i="28"/>
  <c r="K137" i="28" s="1"/>
  <c r="E136" i="28"/>
  <c r="K136" i="28" s="1"/>
  <c r="E135" i="28"/>
  <c r="J130" i="28"/>
  <c r="I130" i="28"/>
  <c r="G130" i="28"/>
  <c r="D130" i="28"/>
  <c r="E129" i="28"/>
  <c r="K129" i="28" s="1"/>
  <c r="E128" i="28"/>
  <c r="K128" i="28" s="1"/>
  <c r="K127" i="28"/>
  <c r="E126" i="28"/>
  <c r="K126" i="28" s="1"/>
  <c r="E125" i="28"/>
  <c r="K125" i="28" s="1"/>
  <c r="E124" i="28"/>
  <c r="K124" i="28" s="1"/>
  <c r="E123" i="28"/>
  <c r="K123" i="28" s="1"/>
  <c r="E122" i="28"/>
  <c r="K122" i="28" s="1"/>
  <c r="E121" i="28"/>
  <c r="K121" i="28" s="1"/>
  <c r="E120" i="28"/>
  <c r="K120" i="28" s="1"/>
  <c r="E119" i="28"/>
  <c r="K119" i="28" s="1"/>
  <c r="E118" i="28"/>
  <c r="K118" i="28" s="1"/>
  <c r="E117" i="28"/>
  <c r="K117" i="28" s="1"/>
  <c r="E116" i="28"/>
  <c r="K116" i="28" s="1"/>
  <c r="E115" i="28"/>
  <c r="K115" i="28" s="1"/>
  <c r="E114" i="28"/>
  <c r="K114" i="28" s="1"/>
  <c r="E113" i="28"/>
  <c r="K113" i="28" s="1"/>
  <c r="E112" i="28"/>
  <c r="K112" i="28" s="1"/>
  <c r="E111" i="28"/>
  <c r="K111" i="28" s="1"/>
  <c r="E110" i="28"/>
  <c r="K110" i="28" s="1"/>
  <c r="E109" i="28"/>
  <c r="K109" i="28" s="1"/>
  <c r="E108" i="28"/>
  <c r="K108" i="28" s="1"/>
  <c r="E107" i="28"/>
  <c r="K107" i="28" s="1"/>
  <c r="E106" i="28"/>
  <c r="K106" i="28" s="1"/>
  <c r="E105" i="28"/>
  <c r="K105" i="28" s="1"/>
  <c r="E104" i="28"/>
  <c r="K104" i="28" s="1"/>
  <c r="E103" i="28"/>
  <c r="K103" i="28" s="1"/>
  <c r="E102" i="28"/>
  <c r="K102" i="28" s="1"/>
  <c r="E101" i="28"/>
  <c r="K101" i="28" s="1"/>
  <c r="E100" i="28"/>
  <c r="K100" i="28" s="1"/>
  <c r="E99" i="28"/>
  <c r="K99" i="28" s="1"/>
  <c r="E98" i="28"/>
  <c r="K98" i="28" s="1"/>
  <c r="E97" i="28"/>
  <c r="K97" i="28" s="1"/>
  <c r="E95" i="28"/>
  <c r="K95" i="28" s="1"/>
  <c r="J90" i="28"/>
  <c r="I90" i="28"/>
  <c r="D90" i="28"/>
  <c r="D194" i="28" s="1"/>
  <c r="E89" i="28"/>
  <c r="K89" i="28" s="1"/>
  <c r="K88" i="28"/>
  <c r="E87" i="28"/>
  <c r="K87" i="28" s="1"/>
  <c r="E86" i="28"/>
  <c r="K86" i="28" s="1"/>
  <c r="E85" i="28"/>
  <c r="K85" i="28" s="1"/>
  <c r="E84" i="28"/>
  <c r="K84" i="28" s="1"/>
  <c r="E83" i="28"/>
  <c r="K83" i="28" s="1"/>
  <c r="E82" i="28"/>
  <c r="K82" i="28" s="1"/>
  <c r="E81" i="28"/>
  <c r="K81" i="28" s="1"/>
  <c r="E80" i="28"/>
  <c r="K80" i="28" s="1"/>
  <c r="E78" i="28"/>
  <c r="K78" i="28" s="1"/>
  <c r="G90" i="28"/>
  <c r="E76" i="28"/>
  <c r="K76" i="28" s="1"/>
  <c r="E75" i="28"/>
  <c r="K75" i="28" s="1"/>
  <c r="E74" i="28"/>
  <c r="K74" i="28" s="1"/>
  <c r="E73" i="28"/>
  <c r="K73" i="28" s="1"/>
  <c r="E72" i="28"/>
  <c r="K72" i="28" s="1"/>
  <c r="E71" i="28"/>
  <c r="K71" i="28" s="1"/>
  <c r="E70" i="28"/>
  <c r="K70" i="28" s="1"/>
  <c r="E69" i="28"/>
  <c r="K69" i="28" s="1"/>
  <c r="E68" i="28"/>
  <c r="K68" i="28" s="1"/>
  <c r="E67" i="28"/>
  <c r="K67" i="28" s="1"/>
  <c r="E66" i="28"/>
  <c r="K66" i="28" s="1"/>
  <c r="E65" i="28"/>
  <c r="K65" i="28" s="1"/>
  <c r="E64" i="28"/>
  <c r="K64" i="28" s="1"/>
  <c r="E63" i="28"/>
  <c r="K63" i="28" s="1"/>
  <c r="E62" i="28"/>
  <c r="K62" i="28" s="1"/>
  <c r="E61" i="28"/>
  <c r="K61" i="28" s="1"/>
  <c r="E60" i="28"/>
  <c r="K60" i="28" s="1"/>
  <c r="E59" i="28"/>
  <c r="K59" i="28" s="1"/>
  <c r="E58" i="28"/>
  <c r="K58" i="28" s="1"/>
  <c r="K57" i="28"/>
  <c r="E56" i="28"/>
  <c r="K56" i="28" s="1"/>
  <c r="E55" i="28"/>
  <c r="K55" i="28" s="1"/>
  <c r="E54" i="28"/>
  <c r="K54" i="28" s="1"/>
  <c r="E53" i="28"/>
  <c r="K53" i="28" s="1"/>
  <c r="E52" i="28"/>
  <c r="K52" i="28" s="1"/>
  <c r="E51" i="28"/>
  <c r="K51" i="28" s="1"/>
  <c r="E50" i="28"/>
  <c r="K50" i="28" s="1"/>
  <c r="E49" i="28"/>
  <c r="K49" i="28" s="1"/>
  <c r="E48" i="28"/>
  <c r="K48" i="28" s="1"/>
  <c r="E47" i="28"/>
  <c r="K47" i="28" s="1"/>
  <c r="E46" i="28"/>
  <c r="K46" i="28" s="1"/>
  <c r="E45" i="28"/>
  <c r="K45" i="28" s="1"/>
  <c r="E44" i="28"/>
  <c r="K44" i="28" s="1"/>
  <c r="E43" i="28"/>
  <c r="K43" i="28" s="1"/>
  <c r="E42" i="28"/>
  <c r="K42" i="28" s="1"/>
  <c r="E41" i="28"/>
  <c r="K41" i="28" s="1"/>
  <c r="E40" i="28"/>
  <c r="K40" i="28" s="1"/>
  <c r="E39" i="28"/>
  <c r="K39" i="28" s="1"/>
  <c r="E38" i="28"/>
  <c r="K38" i="28" s="1"/>
  <c r="E37" i="28"/>
  <c r="K37" i="28" s="1"/>
  <c r="K36" i="28"/>
  <c r="E35" i="28"/>
  <c r="K35" i="28" s="1"/>
  <c r="E34" i="28"/>
  <c r="K34" i="28" s="1"/>
  <c r="E33" i="28"/>
  <c r="K33" i="28" s="1"/>
  <c r="E32" i="28"/>
  <c r="K32" i="28" s="1"/>
  <c r="E31" i="28"/>
  <c r="K31" i="28" s="1"/>
  <c r="E30" i="28"/>
  <c r="K30" i="28" s="1"/>
  <c r="E29" i="28"/>
  <c r="K29" i="28" s="1"/>
  <c r="E28" i="28"/>
  <c r="K28" i="28" s="1"/>
  <c r="E27" i="28"/>
  <c r="K27" i="28" s="1"/>
  <c r="E26" i="28"/>
  <c r="K26" i="28" s="1"/>
  <c r="E25" i="28"/>
  <c r="K25" i="28" s="1"/>
  <c r="E24" i="28"/>
  <c r="K24" i="28" s="1"/>
  <c r="E23" i="28"/>
  <c r="K23" i="28" s="1"/>
  <c r="E22" i="28"/>
  <c r="K22" i="28" s="1"/>
  <c r="E21" i="28"/>
  <c r="K21" i="28" s="1"/>
  <c r="E20" i="28"/>
  <c r="K20" i="28" s="1"/>
  <c r="J15" i="28"/>
  <c r="I15" i="28"/>
  <c r="H15" i="28"/>
  <c r="G15" i="28"/>
  <c r="F15" i="28"/>
  <c r="E14" i="28"/>
  <c r="E13" i="28"/>
  <c r="E12" i="28"/>
  <c r="E11" i="28"/>
  <c r="E10" i="28"/>
  <c r="E15" i="28" s="1"/>
  <c r="D341" i="27"/>
  <c r="M321" i="27"/>
  <c r="L321" i="27"/>
  <c r="F321" i="27"/>
  <c r="D321" i="27"/>
  <c r="G320" i="27"/>
  <c r="K320" i="27" s="1"/>
  <c r="H320" i="27" s="1"/>
  <c r="E319" i="27"/>
  <c r="G319" i="27" s="1"/>
  <c r="K319" i="27" s="1"/>
  <c r="H319" i="27" s="1"/>
  <c r="E318" i="27"/>
  <c r="G318" i="27" s="1"/>
  <c r="K318" i="27" s="1"/>
  <c r="H318" i="27" s="1"/>
  <c r="E317" i="27"/>
  <c r="G317" i="27" s="1"/>
  <c r="K317" i="27" s="1"/>
  <c r="H317" i="27" s="1"/>
  <c r="G316" i="27"/>
  <c r="K316" i="27" s="1"/>
  <c r="H316" i="27" s="1"/>
  <c r="G315" i="27"/>
  <c r="K315" i="27" s="1"/>
  <c r="H315" i="27" s="1"/>
  <c r="G314" i="27"/>
  <c r="J314" i="27" s="1"/>
  <c r="H314" i="27" s="1"/>
  <c r="G313" i="27"/>
  <c r="I313" i="27" s="1"/>
  <c r="H313" i="27" s="1"/>
  <c r="G312" i="27"/>
  <c r="J312" i="27" s="1"/>
  <c r="H312" i="27" s="1"/>
  <c r="G311" i="27"/>
  <c r="J311" i="27" s="1"/>
  <c r="H311" i="27" s="1"/>
  <c r="G310" i="27"/>
  <c r="J310" i="27" s="1"/>
  <c r="H310" i="27" s="1"/>
  <c r="G309" i="27"/>
  <c r="J309" i="27" s="1"/>
  <c r="H309" i="27" s="1"/>
  <c r="G308" i="27"/>
  <c r="J308" i="27" s="1"/>
  <c r="H308" i="27" s="1"/>
  <c r="G307" i="27"/>
  <c r="J307" i="27" s="1"/>
  <c r="H307" i="27" s="1"/>
  <c r="G306" i="27"/>
  <c r="J306" i="27" s="1"/>
  <c r="H306" i="27" s="1"/>
  <c r="G305" i="27"/>
  <c r="J305" i="27" s="1"/>
  <c r="H305" i="27" s="1"/>
  <c r="G304" i="27"/>
  <c r="J304" i="27" s="1"/>
  <c r="H304" i="27" s="1"/>
  <c r="G303" i="27"/>
  <c r="J303" i="27" s="1"/>
  <c r="H303" i="27" s="1"/>
  <c r="G302" i="27"/>
  <c r="J302" i="27" s="1"/>
  <c r="H302" i="27" s="1"/>
  <c r="G301" i="27"/>
  <c r="J301" i="27" s="1"/>
  <c r="H301" i="27" s="1"/>
  <c r="G300" i="27"/>
  <c r="I300" i="27" s="1"/>
  <c r="H300" i="27" s="1"/>
  <c r="G299" i="27"/>
  <c r="J299" i="27" s="1"/>
  <c r="H299" i="27" s="1"/>
  <c r="G298" i="27"/>
  <c r="J298" i="27" s="1"/>
  <c r="H298" i="27" s="1"/>
  <c r="G297" i="27"/>
  <c r="J297" i="27" s="1"/>
  <c r="H297" i="27" s="1"/>
  <c r="G296" i="27"/>
  <c r="J296" i="27" s="1"/>
  <c r="H296" i="27" s="1"/>
  <c r="G295" i="27"/>
  <c r="J295" i="27" s="1"/>
  <c r="H295" i="27" s="1"/>
  <c r="G294" i="27"/>
  <c r="J294" i="27" s="1"/>
  <c r="H294" i="27" s="1"/>
  <c r="G293" i="27"/>
  <c r="J293" i="27" s="1"/>
  <c r="H293" i="27" s="1"/>
  <c r="G292" i="27"/>
  <c r="J292" i="27" s="1"/>
  <c r="H292" i="27" s="1"/>
  <c r="G291" i="27"/>
  <c r="J291" i="27" s="1"/>
  <c r="H291" i="27" s="1"/>
  <c r="G290" i="27"/>
  <c r="J290" i="27" s="1"/>
  <c r="H290" i="27" s="1"/>
  <c r="G289" i="27"/>
  <c r="G288" i="27"/>
  <c r="J288" i="27" s="1"/>
  <c r="M283" i="27"/>
  <c r="D283" i="27"/>
  <c r="G282" i="27"/>
  <c r="K282" i="27" s="1"/>
  <c r="H282" i="27" s="1"/>
  <c r="G281" i="27"/>
  <c r="L281" i="27" s="1"/>
  <c r="H281" i="27" s="1"/>
  <c r="E280" i="27"/>
  <c r="G280" i="27" s="1"/>
  <c r="K280" i="27" s="1"/>
  <c r="H280" i="27" s="1"/>
  <c r="G279" i="27"/>
  <c r="I279" i="27" s="1"/>
  <c r="H279" i="27" s="1"/>
  <c r="G278" i="27"/>
  <c r="I278" i="27" s="1"/>
  <c r="H278" i="27" s="1"/>
  <c r="E277" i="27"/>
  <c r="G277" i="27" s="1"/>
  <c r="K277" i="27" s="1"/>
  <c r="H277" i="27" s="1"/>
  <c r="E276" i="27"/>
  <c r="G276" i="27" s="1"/>
  <c r="J276" i="27" s="1"/>
  <c r="H276" i="27" s="1"/>
  <c r="G275" i="27"/>
  <c r="I275" i="27" s="1"/>
  <c r="H275" i="27" s="1"/>
  <c r="E274" i="27"/>
  <c r="G273" i="27"/>
  <c r="K273" i="27" s="1"/>
  <c r="H273" i="27" s="1"/>
  <c r="G272" i="27"/>
  <c r="K272" i="27" s="1"/>
  <c r="H272" i="27" s="1"/>
  <c r="E271" i="27"/>
  <c r="G271" i="27" s="1"/>
  <c r="J271" i="27" s="1"/>
  <c r="H271" i="27" s="1"/>
  <c r="G270" i="27"/>
  <c r="L270" i="27" s="1"/>
  <c r="H270" i="27" s="1"/>
  <c r="G269" i="27"/>
  <c r="L269" i="27" s="1"/>
  <c r="H269" i="27" s="1"/>
  <c r="G268" i="27"/>
  <c r="I268" i="27" s="1"/>
  <c r="H268" i="27" s="1"/>
  <c r="G267" i="27"/>
  <c r="I267" i="27" s="1"/>
  <c r="H267" i="27" s="1"/>
  <c r="G266" i="27"/>
  <c r="I266" i="27" s="1"/>
  <c r="H266" i="27" s="1"/>
  <c r="G265" i="27"/>
  <c r="J265" i="27" s="1"/>
  <c r="H265" i="27" s="1"/>
  <c r="G264" i="27"/>
  <c r="J264" i="27" s="1"/>
  <c r="H264" i="27" s="1"/>
  <c r="G263" i="27"/>
  <c r="J263" i="27" s="1"/>
  <c r="H263" i="27" s="1"/>
  <c r="G262" i="27"/>
  <c r="J262" i="27" s="1"/>
  <c r="H262" i="27" s="1"/>
  <c r="G261" i="27"/>
  <c r="I261" i="27" s="1"/>
  <c r="H261" i="27" s="1"/>
  <c r="G260" i="27"/>
  <c r="J260" i="27" s="1"/>
  <c r="H260" i="27" s="1"/>
  <c r="G259" i="27"/>
  <c r="I259" i="27" s="1"/>
  <c r="H259" i="27" s="1"/>
  <c r="F258" i="27"/>
  <c r="G258" i="27" s="1"/>
  <c r="J258" i="27" s="1"/>
  <c r="H258" i="27" s="1"/>
  <c r="G257" i="27"/>
  <c r="I257" i="27" s="1"/>
  <c r="H257" i="27" s="1"/>
  <c r="G256" i="27"/>
  <c r="I256" i="27" s="1"/>
  <c r="H256" i="27" s="1"/>
  <c r="G255" i="27"/>
  <c r="K255" i="27" s="1"/>
  <c r="H255" i="27" s="1"/>
  <c r="G254" i="27"/>
  <c r="J254" i="27" s="1"/>
  <c r="H254" i="27" s="1"/>
  <c r="G253" i="27"/>
  <c r="K253" i="27" s="1"/>
  <c r="H253" i="27" s="1"/>
  <c r="G252" i="27"/>
  <c r="K252" i="27" s="1"/>
  <c r="H252" i="27" s="1"/>
  <c r="G251" i="27"/>
  <c r="I251" i="27" s="1"/>
  <c r="H251" i="27" s="1"/>
  <c r="G250" i="27"/>
  <c r="K250" i="27" s="1"/>
  <c r="H250" i="27" s="1"/>
  <c r="G249" i="27"/>
  <c r="I249" i="27" s="1"/>
  <c r="H249" i="27" s="1"/>
  <c r="G248" i="27"/>
  <c r="I248" i="27" s="1"/>
  <c r="H248" i="27" s="1"/>
  <c r="G247" i="27"/>
  <c r="I247" i="27" s="1"/>
  <c r="H247" i="27" s="1"/>
  <c r="G246" i="27"/>
  <c r="I246" i="27" s="1"/>
  <c r="H246" i="27" s="1"/>
  <c r="G245" i="27"/>
  <c r="I245" i="27" s="1"/>
  <c r="H245" i="27" s="1"/>
  <c r="G244" i="27"/>
  <c r="I244" i="27" s="1"/>
  <c r="H244" i="27" s="1"/>
  <c r="G243" i="27"/>
  <c r="I243" i="27" s="1"/>
  <c r="H243" i="27" s="1"/>
  <c r="G242" i="27"/>
  <c r="I242" i="27" s="1"/>
  <c r="H242" i="27" s="1"/>
  <c r="G241" i="27"/>
  <c r="J241" i="27" s="1"/>
  <c r="H241" i="27" s="1"/>
  <c r="G240" i="27"/>
  <c r="J240" i="27" s="1"/>
  <c r="H240" i="27" s="1"/>
  <c r="G239" i="27"/>
  <c r="I239" i="27" s="1"/>
  <c r="H239" i="27" s="1"/>
  <c r="G238" i="27"/>
  <c r="I238" i="27" s="1"/>
  <c r="H238" i="27" s="1"/>
  <c r="G237" i="27"/>
  <c r="J237" i="27" s="1"/>
  <c r="H237" i="27" s="1"/>
  <c r="G236" i="27"/>
  <c r="I236" i="27" s="1"/>
  <c r="H236" i="27" s="1"/>
  <c r="G235" i="27"/>
  <c r="I235" i="27" s="1"/>
  <c r="H235" i="27" s="1"/>
  <c r="F234" i="27"/>
  <c r="E234" i="27"/>
  <c r="G233" i="27"/>
  <c r="I233" i="27" s="1"/>
  <c r="H233" i="27" s="1"/>
  <c r="G232" i="27"/>
  <c r="K232" i="27" s="1"/>
  <c r="H232" i="27" s="1"/>
  <c r="F231" i="27"/>
  <c r="G231" i="27" s="1"/>
  <c r="I231" i="27" s="1"/>
  <c r="H231" i="27" s="1"/>
  <c r="G230" i="27"/>
  <c r="K230" i="27" s="1"/>
  <c r="H230" i="27" s="1"/>
  <c r="G229" i="27"/>
  <c r="I229" i="27" s="1"/>
  <c r="H229" i="27" s="1"/>
  <c r="G228" i="27"/>
  <c r="I228" i="27" s="1"/>
  <c r="H228" i="27" s="1"/>
  <c r="G227" i="27"/>
  <c r="K227" i="27" s="1"/>
  <c r="H227" i="27" s="1"/>
  <c r="G226" i="27"/>
  <c r="I226" i="27" s="1"/>
  <c r="H226" i="27" s="1"/>
  <c r="G225" i="27"/>
  <c r="K225" i="27" s="1"/>
  <c r="H225" i="27" s="1"/>
  <c r="G224" i="27"/>
  <c r="I224" i="27" s="1"/>
  <c r="H224" i="27" s="1"/>
  <c r="G223" i="27"/>
  <c r="J223" i="27" s="1"/>
  <c r="G222" i="27"/>
  <c r="I222" i="27" s="1"/>
  <c r="H222" i="27" s="1"/>
  <c r="G221" i="27"/>
  <c r="K221" i="27" s="1"/>
  <c r="H221" i="27" s="1"/>
  <c r="F220" i="27"/>
  <c r="G220" i="27" s="1"/>
  <c r="I220" i="27" s="1"/>
  <c r="H220" i="27" s="1"/>
  <c r="G219" i="27"/>
  <c r="I219" i="27" s="1"/>
  <c r="H219" i="27" s="1"/>
  <c r="E218" i="27"/>
  <c r="G218" i="27" s="1"/>
  <c r="I218" i="27" s="1"/>
  <c r="G217" i="27"/>
  <c r="K217" i="27" s="1"/>
  <c r="H217" i="27" s="1"/>
  <c r="G216" i="27"/>
  <c r="K216" i="27" s="1"/>
  <c r="H216" i="27" s="1"/>
  <c r="G215" i="27"/>
  <c r="K215" i="27" s="1"/>
  <c r="H215" i="27" s="1"/>
  <c r="G214" i="27"/>
  <c r="K214" i="27" s="1"/>
  <c r="H214" i="27" s="1"/>
  <c r="G213" i="27"/>
  <c r="K213" i="27" s="1"/>
  <c r="H213" i="27" s="1"/>
  <c r="M208" i="27"/>
  <c r="D208" i="27"/>
  <c r="E207" i="27"/>
  <c r="G207" i="27" s="1"/>
  <c r="K207" i="27" s="1"/>
  <c r="H207" i="27" s="1"/>
  <c r="G206" i="27"/>
  <c r="I206" i="27" s="1"/>
  <c r="H206" i="27" s="1"/>
  <c r="G205" i="27"/>
  <c r="L205" i="27" s="1"/>
  <c r="H205" i="27" s="1"/>
  <c r="G204" i="27"/>
  <c r="I204" i="27" s="1"/>
  <c r="H204" i="27" s="1"/>
  <c r="G203" i="27"/>
  <c r="K203" i="27" s="1"/>
  <c r="H203" i="27" s="1"/>
  <c r="G202" i="27"/>
  <c r="L202" i="27" s="1"/>
  <c r="H202" i="27" s="1"/>
  <c r="F201" i="27"/>
  <c r="G201" i="27" s="1"/>
  <c r="K201" i="27" s="1"/>
  <c r="H201" i="27" s="1"/>
  <c r="F200" i="27"/>
  <c r="F344" i="27" s="1"/>
  <c r="G199" i="27"/>
  <c r="K199" i="27" s="1"/>
  <c r="H199" i="27" s="1"/>
  <c r="G198" i="27"/>
  <c r="L198" i="27" s="1"/>
  <c r="H198" i="27" s="1"/>
  <c r="H197" i="27"/>
  <c r="G197" i="27"/>
  <c r="G196" i="27"/>
  <c r="L196" i="27" s="1"/>
  <c r="H196" i="27" s="1"/>
  <c r="G195" i="27"/>
  <c r="L195" i="27" s="1"/>
  <c r="G194" i="27"/>
  <c r="I194" i="27" s="1"/>
  <c r="H194" i="27" s="1"/>
  <c r="G193" i="27"/>
  <c r="I193" i="27" s="1"/>
  <c r="H193" i="27" s="1"/>
  <c r="G192" i="27"/>
  <c r="I192" i="27" s="1"/>
  <c r="H192" i="27" s="1"/>
  <c r="G191" i="27"/>
  <c r="I191" i="27" s="1"/>
  <c r="H191" i="27" s="1"/>
  <c r="G190" i="27"/>
  <c r="I190" i="27" s="1"/>
  <c r="H190" i="27" s="1"/>
  <c r="G189" i="27"/>
  <c r="I189" i="27" s="1"/>
  <c r="H189" i="27" s="1"/>
  <c r="G188" i="27"/>
  <c r="I188" i="27" s="1"/>
  <c r="H188" i="27" s="1"/>
  <c r="G187" i="27"/>
  <c r="I187" i="27" s="1"/>
  <c r="H187" i="27" s="1"/>
  <c r="G186" i="27"/>
  <c r="I186" i="27" s="1"/>
  <c r="H186" i="27" s="1"/>
  <c r="E185" i="27"/>
  <c r="G185" i="27" s="1"/>
  <c r="K185" i="27" s="1"/>
  <c r="H185" i="27" s="1"/>
  <c r="G184" i="27"/>
  <c r="I184" i="27" s="1"/>
  <c r="H184" i="27" s="1"/>
  <c r="G183" i="27"/>
  <c r="J183" i="27" s="1"/>
  <c r="H183" i="27" s="1"/>
  <c r="G182" i="27"/>
  <c r="I182" i="27" s="1"/>
  <c r="H182" i="27" s="1"/>
  <c r="G181" i="27"/>
  <c r="I181" i="27" s="1"/>
  <c r="H181" i="27" s="1"/>
  <c r="G180" i="27"/>
  <c r="I180" i="27" s="1"/>
  <c r="H180" i="27" s="1"/>
  <c r="G179" i="27"/>
  <c r="I179" i="27" s="1"/>
  <c r="H179" i="27" s="1"/>
  <c r="G178" i="27"/>
  <c r="I178" i="27" s="1"/>
  <c r="H178" i="27" s="1"/>
  <c r="G177" i="27"/>
  <c r="J177" i="27" s="1"/>
  <c r="H177" i="27" s="1"/>
  <c r="G176" i="27"/>
  <c r="J176" i="27" s="1"/>
  <c r="H176" i="27" s="1"/>
  <c r="G175" i="27"/>
  <c r="I175" i="27" s="1"/>
  <c r="H175" i="27" s="1"/>
  <c r="G174" i="27"/>
  <c r="I174" i="27" s="1"/>
  <c r="H174" i="27" s="1"/>
  <c r="G173" i="27"/>
  <c r="K173" i="27" s="1"/>
  <c r="H173" i="27" s="1"/>
  <c r="G172" i="27"/>
  <c r="I172" i="27" s="1"/>
  <c r="H172" i="27" s="1"/>
  <c r="G171" i="27"/>
  <c r="I171" i="27" s="1"/>
  <c r="H171" i="27" s="1"/>
  <c r="G170" i="27"/>
  <c r="J170" i="27" s="1"/>
  <c r="H170" i="27" s="1"/>
  <c r="F169" i="27"/>
  <c r="G169" i="27" s="1"/>
  <c r="I169" i="27" s="1"/>
  <c r="H169" i="27" s="1"/>
  <c r="H168" i="27"/>
  <c r="G168" i="27"/>
  <c r="E167" i="27"/>
  <c r="G167" i="27" s="1"/>
  <c r="K167" i="27" s="1"/>
  <c r="H167" i="27" s="1"/>
  <c r="G166" i="27"/>
  <c r="J166" i="27" s="1"/>
  <c r="H166" i="27" s="1"/>
  <c r="F165" i="27"/>
  <c r="G164" i="27"/>
  <c r="I164" i="27" s="1"/>
  <c r="H164" i="27" s="1"/>
  <c r="G163" i="27"/>
  <c r="I163" i="27" s="1"/>
  <c r="H163" i="27" s="1"/>
  <c r="G162" i="27"/>
  <c r="I162" i="27" s="1"/>
  <c r="H162" i="27" s="1"/>
  <c r="G161" i="27"/>
  <c r="J161" i="27" s="1"/>
  <c r="G160" i="27"/>
  <c r="I160" i="27" s="1"/>
  <c r="H160" i="27" s="1"/>
  <c r="G159" i="27"/>
  <c r="I159" i="27" s="1"/>
  <c r="H159" i="27" s="1"/>
  <c r="G158" i="27"/>
  <c r="I158" i="27" s="1"/>
  <c r="H158" i="27" s="1"/>
  <c r="G157" i="27"/>
  <c r="I157" i="27" s="1"/>
  <c r="H157" i="27" s="1"/>
  <c r="G156" i="27"/>
  <c r="I156" i="27" s="1"/>
  <c r="H156" i="27" s="1"/>
  <c r="G155" i="27"/>
  <c r="K155" i="27" s="1"/>
  <c r="H155" i="27" s="1"/>
  <c r="G154" i="27"/>
  <c r="K154" i="27" s="1"/>
  <c r="H154" i="27" s="1"/>
  <c r="G153" i="27"/>
  <c r="K153" i="27" s="1"/>
  <c r="H153" i="27" s="1"/>
  <c r="G152" i="27"/>
  <c r="K152" i="27" s="1"/>
  <c r="H152" i="27" s="1"/>
  <c r="G151" i="27"/>
  <c r="K151" i="27" s="1"/>
  <c r="H151" i="27" s="1"/>
  <c r="G150" i="27"/>
  <c r="K150" i="27" s="1"/>
  <c r="H150" i="27" s="1"/>
  <c r="G149" i="27"/>
  <c r="K149" i="27" s="1"/>
  <c r="H149" i="27" s="1"/>
  <c r="G148" i="27"/>
  <c r="K148" i="27" s="1"/>
  <c r="H148" i="27" s="1"/>
  <c r="M143" i="27"/>
  <c r="L143" i="27"/>
  <c r="K143" i="27"/>
  <c r="F143" i="27"/>
  <c r="E143" i="27"/>
  <c r="D143" i="27"/>
  <c r="G142" i="27"/>
  <c r="J142" i="27" s="1"/>
  <c r="H142" i="27" s="1"/>
  <c r="G141" i="27"/>
  <c r="J141" i="27" s="1"/>
  <c r="H141" i="27" s="1"/>
  <c r="G140" i="27"/>
  <c r="J140" i="27" s="1"/>
  <c r="H140" i="27" s="1"/>
  <c r="G139" i="27"/>
  <c r="J139" i="27" s="1"/>
  <c r="H139" i="27" s="1"/>
  <c r="G138" i="27"/>
  <c r="J138" i="27" s="1"/>
  <c r="H138" i="27" s="1"/>
  <c r="G137" i="27"/>
  <c r="J137" i="27" s="1"/>
  <c r="H137" i="27" s="1"/>
  <c r="G136" i="27"/>
  <c r="J136" i="27" s="1"/>
  <c r="H136" i="27" s="1"/>
  <c r="G135" i="27"/>
  <c r="J135" i="27" s="1"/>
  <c r="G134" i="27"/>
  <c r="I134" i="27" s="1"/>
  <c r="H134" i="27" s="1"/>
  <c r="G133" i="27"/>
  <c r="I133" i="27" s="1"/>
  <c r="H133" i="27" s="1"/>
  <c r="G132" i="27"/>
  <c r="I132" i="27" s="1"/>
  <c r="H132" i="27" s="1"/>
  <c r="G131" i="27"/>
  <c r="I131" i="27" s="1"/>
  <c r="H131" i="27" s="1"/>
  <c r="G130" i="27"/>
  <c r="I130" i="27" s="1"/>
  <c r="M125" i="27"/>
  <c r="D125" i="27"/>
  <c r="G124" i="27"/>
  <c r="I124" i="27" s="1"/>
  <c r="H124" i="27" s="1"/>
  <c r="G123" i="27"/>
  <c r="K123" i="27" s="1"/>
  <c r="H123" i="27" s="1"/>
  <c r="G122" i="27"/>
  <c r="K122" i="27" s="1"/>
  <c r="H122" i="27" s="1"/>
  <c r="G121" i="27"/>
  <c r="L121" i="27" s="1"/>
  <c r="H121" i="27" s="1"/>
  <c r="E120" i="27"/>
  <c r="G120" i="27" s="1"/>
  <c r="K120" i="27" s="1"/>
  <c r="H120" i="27" s="1"/>
  <c r="G119" i="27"/>
  <c r="J119" i="27" s="1"/>
  <c r="H119" i="27" s="1"/>
  <c r="G118" i="27"/>
  <c r="I118" i="27" s="1"/>
  <c r="H118" i="27" s="1"/>
  <c r="G117" i="27"/>
  <c r="L117" i="27" s="1"/>
  <c r="H117" i="27" s="1"/>
  <c r="G116" i="27"/>
  <c r="K116" i="27" s="1"/>
  <c r="H116" i="27" s="1"/>
  <c r="G115" i="27"/>
  <c r="L115" i="27" s="1"/>
  <c r="H115" i="27" s="1"/>
  <c r="E114" i="27"/>
  <c r="G114" i="27" s="1"/>
  <c r="K114" i="27" s="1"/>
  <c r="H114" i="27" s="1"/>
  <c r="E113" i="27"/>
  <c r="G112" i="27"/>
  <c r="I112" i="27" s="1"/>
  <c r="H112" i="27" s="1"/>
  <c r="E111" i="27"/>
  <c r="G110" i="27"/>
  <c r="J110" i="27" s="1"/>
  <c r="H110" i="27" s="1"/>
  <c r="G109" i="27"/>
  <c r="I109" i="27" s="1"/>
  <c r="H109" i="27" s="1"/>
  <c r="G108" i="27"/>
  <c r="L108" i="27" s="1"/>
  <c r="H108" i="27" s="1"/>
  <c r="G107" i="27"/>
  <c r="L107" i="27" s="1"/>
  <c r="H107" i="27" s="1"/>
  <c r="G106" i="27"/>
  <c r="L106" i="27" s="1"/>
  <c r="H106" i="27" s="1"/>
  <c r="G105" i="27"/>
  <c r="I105" i="27" s="1"/>
  <c r="H105" i="27" s="1"/>
  <c r="G104" i="27"/>
  <c r="I104" i="27" s="1"/>
  <c r="H104" i="27" s="1"/>
  <c r="G103" i="27"/>
  <c r="K103" i="27" s="1"/>
  <c r="H103" i="27" s="1"/>
  <c r="G102" i="27"/>
  <c r="I102" i="27" s="1"/>
  <c r="H102" i="27" s="1"/>
  <c r="G101" i="27"/>
  <c r="I101" i="27" s="1"/>
  <c r="H101" i="27" s="1"/>
  <c r="G100" i="27"/>
  <c r="K100" i="27" s="1"/>
  <c r="H100" i="27" s="1"/>
  <c r="G99" i="27"/>
  <c r="J99" i="27" s="1"/>
  <c r="H99" i="27" s="1"/>
  <c r="G98" i="27"/>
  <c r="K98" i="27" s="1"/>
  <c r="H98" i="27" s="1"/>
  <c r="G97" i="27"/>
  <c r="J97" i="27" s="1"/>
  <c r="H97" i="27" s="1"/>
  <c r="G96" i="27"/>
  <c r="I96" i="27" s="1"/>
  <c r="H96" i="27" s="1"/>
  <c r="G95" i="27"/>
  <c r="K95" i="27" s="1"/>
  <c r="H95" i="27" s="1"/>
  <c r="G94" i="27"/>
  <c r="J94" i="27" s="1"/>
  <c r="H94" i="27" s="1"/>
  <c r="G93" i="27"/>
  <c r="K93" i="27" s="1"/>
  <c r="H93" i="27" s="1"/>
  <c r="G92" i="27"/>
  <c r="I92" i="27" s="1"/>
  <c r="H92" i="27" s="1"/>
  <c r="G91" i="27"/>
  <c r="J91" i="27" s="1"/>
  <c r="H91" i="27" s="1"/>
  <c r="G90" i="27"/>
  <c r="I90" i="27" s="1"/>
  <c r="H90" i="27" s="1"/>
  <c r="G89" i="27"/>
  <c r="K89" i="27" s="1"/>
  <c r="H89" i="27" s="1"/>
  <c r="G88" i="27"/>
  <c r="K88" i="27" s="1"/>
  <c r="H88" i="27" s="1"/>
  <c r="G87" i="27"/>
  <c r="K87" i="27" s="1"/>
  <c r="H87" i="27" s="1"/>
  <c r="F86" i="27"/>
  <c r="G86" i="27" s="1"/>
  <c r="K86" i="27" s="1"/>
  <c r="H86" i="27" s="1"/>
  <c r="G85" i="27"/>
  <c r="K85" i="27" s="1"/>
  <c r="H85" i="27" s="1"/>
  <c r="G84" i="27"/>
  <c r="I84" i="27" s="1"/>
  <c r="H84" i="27" s="1"/>
  <c r="G83" i="27"/>
  <c r="K83" i="27" s="1"/>
  <c r="H83" i="27" s="1"/>
  <c r="G82" i="27"/>
  <c r="K82" i="27" s="1"/>
  <c r="H82" i="27" s="1"/>
  <c r="G81" i="27"/>
  <c r="K81" i="27" s="1"/>
  <c r="H81" i="27" s="1"/>
  <c r="G80" i="27"/>
  <c r="K80" i="27" s="1"/>
  <c r="H80" i="27" s="1"/>
  <c r="G79" i="27"/>
  <c r="I79" i="27" s="1"/>
  <c r="H79" i="27" s="1"/>
  <c r="G78" i="27"/>
  <c r="K78" i="27" s="1"/>
  <c r="H78" i="27" s="1"/>
  <c r="G77" i="27"/>
  <c r="K77" i="27" s="1"/>
  <c r="H77" i="27" s="1"/>
  <c r="G76" i="27"/>
  <c r="K76" i="27" s="1"/>
  <c r="H76" i="27" s="1"/>
  <c r="G75" i="27"/>
  <c r="K75" i="27" s="1"/>
  <c r="H75" i="27" s="1"/>
  <c r="G74" i="27"/>
  <c r="J74" i="27" s="1"/>
  <c r="H74" i="27" s="1"/>
  <c r="G73" i="27"/>
  <c r="K73" i="27" s="1"/>
  <c r="H73" i="27" s="1"/>
  <c r="G72" i="27"/>
  <c r="K72" i="27" s="1"/>
  <c r="H72" i="27" s="1"/>
  <c r="G71" i="27"/>
  <c r="I71" i="27" s="1"/>
  <c r="H71" i="27" s="1"/>
  <c r="G70" i="27"/>
  <c r="K70" i="27" s="1"/>
  <c r="H70" i="27" s="1"/>
  <c r="G69" i="27"/>
  <c r="K69" i="27" s="1"/>
  <c r="H69" i="27" s="1"/>
  <c r="G68" i="27"/>
  <c r="K68" i="27" s="1"/>
  <c r="H68" i="27" s="1"/>
  <c r="G67" i="27"/>
  <c r="K67" i="27" s="1"/>
  <c r="H67" i="27" s="1"/>
  <c r="G66" i="27"/>
  <c r="K66" i="27" s="1"/>
  <c r="H66" i="27" s="1"/>
  <c r="F65" i="27"/>
  <c r="G65" i="27" s="1"/>
  <c r="K65" i="27" s="1"/>
  <c r="H65" i="27" s="1"/>
  <c r="G64" i="27"/>
  <c r="K64" i="27" s="1"/>
  <c r="H64" i="27" s="1"/>
  <c r="E63" i="27"/>
  <c r="G63" i="27" s="1"/>
  <c r="J63" i="27" s="1"/>
  <c r="H63" i="27" s="1"/>
  <c r="G62" i="27"/>
  <c r="K62" i="27" s="1"/>
  <c r="H62" i="27" s="1"/>
  <c r="H61" i="27"/>
  <c r="G61" i="27"/>
  <c r="G60" i="27"/>
  <c r="K60" i="27" s="1"/>
  <c r="H60" i="27" s="1"/>
  <c r="F59" i="27"/>
  <c r="E59" i="27"/>
  <c r="G58" i="27"/>
  <c r="J58" i="27" s="1"/>
  <c r="G57" i="27"/>
  <c r="I57" i="27" s="1"/>
  <c r="H57" i="27" s="1"/>
  <c r="G56" i="27"/>
  <c r="K56" i="27" s="1"/>
  <c r="H56" i="27" s="1"/>
  <c r="G55" i="27"/>
  <c r="K55" i="27" s="1"/>
  <c r="H55" i="27" s="1"/>
  <c r="G54" i="27"/>
  <c r="K54" i="27" s="1"/>
  <c r="H54" i="27" s="1"/>
  <c r="G53" i="27"/>
  <c r="K53" i="27" s="1"/>
  <c r="H53" i="27" s="1"/>
  <c r="G52" i="27"/>
  <c r="K52" i="27" s="1"/>
  <c r="H52" i="27" s="1"/>
  <c r="G51" i="27"/>
  <c r="K51" i="27" s="1"/>
  <c r="H51" i="27" s="1"/>
  <c r="G50" i="27"/>
  <c r="K50" i="27" s="1"/>
  <c r="H50" i="27" s="1"/>
  <c r="G49" i="27"/>
  <c r="K49" i="27" s="1"/>
  <c r="H49" i="27" s="1"/>
  <c r="G48" i="27"/>
  <c r="K48" i="27" s="1"/>
  <c r="H48" i="27" s="1"/>
  <c r="G47" i="27"/>
  <c r="K47" i="27" s="1"/>
  <c r="H47" i="27" s="1"/>
  <c r="G46" i="27"/>
  <c r="K46" i="27" s="1"/>
  <c r="H46" i="27" s="1"/>
  <c r="G45" i="27"/>
  <c r="K45" i="27" s="1"/>
  <c r="H45" i="27" s="1"/>
  <c r="G44" i="27"/>
  <c r="I44" i="27" s="1"/>
  <c r="H44" i="27" s="1"/>
  <c r="G43" i="27"/>
  <c r="K43" i="27" s="1"/>
  <c r="H43" i="27" s="1"/>
  <c r="G42" i="27"/>
  <c r="K42" i="27" s="1"/>
  <c r="H42" i="27" s="1"/>
  <c r="F41" i="27"/>
  <c r="G40" i="27"/>
  <c r="I40" i="27" s="1"/>
  <c r="G39" i="27"/>
  <c r="K39" i="27" s="1"/>
  <c r="H39" i="27" s="1"/>
  <c r="G38" i="27"/>
  <c r="K38" i="27" s="1"/>
  <c r="H38" i="27" s="1"/>
  <c r="G37" i="27"/>
  <c r="K37" i="27" s="1"/>
  <c r="H37" i="27" s="1"/>
  <c r="G36" i="27"/>
  <c r="K36" i="27" s="1"/>
  <c r="H36" i="27" s="1"/>
  <c r="G35" i="27"/>
  <c r="K35" i="27" s="1"/>
  <c r="H35" i="27" s="1"/>
  <c r="G34" i="27"/>
  <c r="K34" i="27" s="1"/>
  <c r="H34" i="27" s="1"/>
  <c r="G33" i="27"/>
  <c r="K33" i="27" s="1"/>
  <c r="H33" i="27" s="1"/>
  <c r="G32" i="27"/>
  <c r="K32" i="27" s="1"/>
  <c r="H32" i="27" s="1"/>
  <c r="G31" i="27"/>
  <c r="K31" i="27" s="1"/>
  <c r="H31" i="27" s="1"/>
  <c r="G30" i="27"/>
  <c r="K30" i="27" s="1"/>
  <c r="H30" i="27" s="1"/>
  <c r="G29" i="27"/>
  <c r="K29" i="27" s="1"/>
  <c r="H29" i="27" s="1"/>
  <c r="G28" i="27"/>
  <c r="K28" i="27" s="1"/>
  <c r="H28" i="27" s="1"/>
  <c r="G27" i="27"/>
  <c r="K27" i="27" s="1"/>
  <c r="H27" i="27" s="1"/>
  <c r="G26" i="27"/>
  <c r="K26" i="27" s="1"/>
  <c r="H26" i="27" s="1"/>
  <c r="G25" i="27"/>
  <c r="K25" i="27" s="1"/>
  <c r="H25" i="27" s="1"/>
  <c r="G24" i="27"/>
  <c r="K24" i="27" s="1"/>
  <c r="H24" i="27" s="1"/>
  <c r="G23" i="27"/>
  <c r="K23" i="27" s="1"/>
  <c r="H23" i="27" s="1"/>
  <c r="G22" i="27"/>
  <c r="K22" i="27" s="1"/>
  <c r="H22" i="27" s="1"/>
  <c r="G21" i="27"/>
  <c r="K21" i="27" s="1"/>
  <c r="H21" i="27" s="1"/>
  <c r="G20" i="27"/>
  <c r="K20" i="27" s="1"/>
  <c r="H20" i="27" s="1"/>
  <c r="G19" i="27"/>
  <c r="I14" i="27"/>
  <c r="H14" i="27"/>
  <c r="G14" i="27"/>
  <c r="F14" i="27"/>
  <c r="E14" i="27"/>
  <c r="D13" i="27"/>
  <c r="D12" i="27"/>
  <c r="D11" i="27"/>
  <c r="D10" i="27"/>
  <c r="D9" i="27"/>
  <c r="AB64" i="21" l="1"/>
  <c r="Z416" i="21" s="1"/>
  <c r="AA68" i="21"/>
  <c r="AB67" i="21" s="1"/>
  <c r="Z415" i="21" s="1"/>
  <c r="AB69" i="21"/>
  <c r="Z390" i="21" s="1"/>
  <c r="H236" i="1" s="1"/>
  <c r="H261" i="1"/>
  <c r="H266" i="1"/>
  <c r="H224" i="1"/>
  <c r="Z434" i="21"/>
  <c r="H281" i="1" s="1"/>
  <c r="Z426" i="21"/>
  <c r="H272" i="1" s="1"/>
  <c r="Z429" i="21"/>
  <c r="H275" i="1" s="1"/>
  <c r="F125" i="27"/>
  <c r="J194" i="28"/>
  <c r="AA289" i="21"/>
  <c r="AB288" i="21" s="1"/>
  <c r="Z436" i="21" s="1"/>
  <c r="H283" i="1" s="1"/>
  <c r="H160" i="28"/>
  <c r="H130" i="28"/>
  <c r="G193" i="28"/>
  <c r="F193" i="28"/>
  <c r="F90" i="28"/>
  <c r="G160" i="28"/>
  <c r="G194" i="28" s="1"/>
  <c r="F130" i="28"/>
  <c r="I194" i="28"/>
  <c r="H90" i="28"/>
  <c r="G59" i="27"/>
  <c r="K59" i="27" s="1"/>
  <c r="H59" i="27" s="1"/>
  <c r="E345" i="27"/>
  <c r="G345" i="27" s="1"/>
  <c r="G113" i="27"/>
  <c r="J113" i="27" s="1"/>
  <c r="H113" i="27" s="1"/>
  <c r="E344" i="27"/>
  <c r="G344" i="27" s="1"/>
  <c r="G274" i="27"/>
  <c r="I274" i="27" s="1"/>
  <c r="H274" i="27" s="1"/>
  <c r="K135" i="28"/>
  <c r="E79" i="28"/>
  <c r="K79" i="28" s="1"/>
  <c r="E141" i="28"/>
  <c r="E159" i="28"/>
  <c r="K159" i="28" s="1"/>
  <c r="E176" i="28"/>
  <c r="K176" i="28" s="1"/>
  <c r="K193" i="28" s="1"/>
  <c r="H193" i="28"/>
  <c r="F160" i="28"/>
  <c r="F194" i="28" s="1"/>
  <c r="E77" i="28"/>
  <c r="K77" i="28" s="1"/>
  <c r="K90" i="28" s="1"/>
  <c r="E96" i="28"/>
  <c r="K96" i="28" s="1"/>
  <c r="K130" i="28" s="1"/>
  <c r="E143" i="28"/>
  <c r="K143" i="28" s="1"/>
  <c r="L125" i="27"/>
  <c r="M322" i="27"/>
  <c r="M324" i="27" s="1"/>
  <c r="G143" i="27"/>
  <c r="F208" i="27"/>
  <c r="D14" i="27"/>
  <c r="D326" i="27" s="1"/>
  <c r="E283" i="27"/>
  <c r="I125" i="27"/>
  <c r="H40" i="27"/>
  <c r="H130" i="27"/>
  <c r="I143" i="27"/>
  <c r="D322" i="27"/>
  <c r="D324" i="27" s="1"/>
  <c r="J143" i="27"/>
  <c r="H135" i="27"/>
  <c r="H218" i="27"/>
  <c r="G321" i="27"/>
  <c r="J289" i="27"/>
  <c r="H289" i="27" s="1"/>
  <c r="J125" i="27"/>
  <c r="E349" i="27"/>
  <c r="G111" i="27"/>
  <c r="K111" i="27" s="1"/>
  <c r="H111" i="27" s="1"/>
  <c r="E346" i="27"/>
  <c r="E125" i="27"/>
  <c r="J283" i="27"/>
  <c r="H223" i="27"/>
  <c r="K19" i="27"/>
  <c r="G41" i="27"/>
  <c r="K41" i="27" s="1"/>
  <c r="H41" i="27" s="1"/>
  <c r="H58" i="27"/>
  <c r="K208" i="27"/>
  <c r="J208" i="27"/>
  <c r="H161" i="27"/>
  <c r="L208" i="27"/>
  <c r="H195" i="27"/>
  <c r="E321" i="27"/>
  <c r="E208" i="27"/>
  <c r="F283" i="27"/>
  <c r="F322" i="27" s="1"/>
  <c r="K321" i="27"/>
  <c r="G165" i="27"/>
  <c r="I165" i="27" s="1"/>
  <c r="H165" i="27" s="1"/>
  <c r="F349" i="27"/>
  <c r="G200" i="27"/>
  <c r="I200" i="27" s="1"/>
  <c r="H200" i="27" s="1"/>
  <c r="G234" i="27"/>
  <c r="K234" i="27" s="1"/>
  <c r="H234" i="27" s="1"/>
  <c r="L283" i="27"/>
  <c r="H288" i="27"/>
  <c r="I321" i="27"/>
  <c r="F346" i="27"/>
  <c r="F347" i="27" s="1"/>
  <c r="Z30" i="7"/>
  <c r="AA30" i="7" s="1"/>
  <c r="AB29" i="7" s="1"/>
  <c r="Z80" i="2"/>
  <c r="AA80" i="2" s="1"/>
  <c r="Z305" i="21"/>
  <c r="AA305" i="21" s="1"/>
  <c r="Z46" i="21"/>
  <c r="AA46" i="21" s="1"/>
  <c r="AB45" i="21" s="1"/>
  <c r="AB90" i="11"/>
  <c r="Z42" i="12"/>
  <c r="AA42" i="12" s="1"/>
  <c r="Z43" i="12"/>
  <c r="AA43" i="12" s="1"/>
  <c r="Y18" i="25"/>
  <c r="Z18" i="25" s="1"/>
  <c r="AA17" i="25" s="1"/>
  <c r="Y1248" i="25" s="1"/>
  <c r="H345" i="1" s="1"/>
  <c r="AA122" i="9"/>
  <c r="AB115" i="9" s="1"/>
  <c r="Z178" i="9" s="1"/>
  <c r="W199" i="9" s="1"/>
  <c r="Z40" i="11"/>
  <c r="AA40" i="11" s="1"/>
  <c r="AB39" i="11" s="1"/>
  <c r="Z20" i="11"/>
  <c r="Z12" i="11"/>
  <c r="AA12" i="11" s="1"/>
  <c r="Z11" i="11"/>
  <c r="AA11" i="11" s="1"/>
  <c r="Z10" i="11"/>
  <c r="AA10" i="11" s="1"/>
  <c r="Y78" i="10"/>
  <c r="Z78" i="10"/>
  <c r="AA78" i="10" s="1"/>
  <c r="Y33" i="10"/>
  <c r="Z33" i="10" s="1"/>
  <c r="AA33" i="10" s="1"/>
  <c r="AB32" i="10" s="1"/>
  <c r="Z337" i="10" s="1"/>
  <c r="H96" i="1" s="1"/>
  <c r="Z27" i="10"/>
  <c r="Z25" i="10"/>
  <c r="AA25" i="10" s="1"/>
  <c r="AB24" i="10" s="1"/>
  <c r="Z333" i="10" s="1"/>
  <c r="Z30" i="11"/>
  <c r="AB29" i="11" s="1"/>
  <c r="H92" i="1" l="1"/>
  <c r="AA27" i="10"/>
  <c r="AB26" i="10" s="1"/>
  <c r="Z334" i="10" s="1"/>
  <c r="H262" i="1"/>
  <c r="W455" i="21"/>
  <c r="W446" i="21"/>
  <c r="AB77" i="10"/>
  <c r="Z345" i="10" s="1"/>
  <c r="H104" i="1" s="1"/>
  <c r="AB304" i="21"/>
  <c r="H85" i="1"/>
  <c r="Z133" i="6"/>
  <c r="AB28" i="20"/>
  <c r="Z307" i="20" s="1"/>
  <c r="H222" i="1" s="1"/>
  <c r="I283" i="27"/>
  <c r="AB19" i="11"/>
  <c r="E347" i="27"/>
  <c r="H194" i="28"/>
  <c r="AB41" i="12"/>
  <c r="Z281" i="12" s="1"/>
  <c r="H283" i="27"/>
  <c r="K141" i="28"/>
  <c r="K160" i="28" s="1"/>
  <c r="K194" i="28" s="1"/>
  <c r="E160" i="28"/>
  <c r="E130" i="28"/>
  <c r="E90" i="28"/>
  <c r="E193" i="28"/>
  <c r="L322" i="27"/>
  <c r="L324" i="27" s="1"/>
  <c r="G208" i="27"/>
  <c r="H208" i="27"/>
  <c r="G283" i="27"/>
  <c r="G284" i="27" s="1"/>
  <c r="K283" i="27"/>
  <c r="K125" i="27"/>
  <c r="H19" i="27"/>
  <c r="H125" i="27" s="1"/>
  <c r="G125" i="27"/>
  <c r="H143" i="27"/>
  <c r="G347" i="27"/>
  <c r="J321" i="27"/>
  <c r="J322" i="27" s="1"/>
  <c r="J324" i="27" s="1"/>
  <c r="E322" i="27"/>
  <c r="F324" i="27" s="1"/>
  <c r="H321" i="27"/>
  <c r="G346" i="27"/>
  <c r="I208" i="27"/>
  <c r="I322" i="27" s="1"/>
  <c r="I324" i="27" s="1"/>
  <c r="Z273" i="7"/>
  <c r="H64" i="1" s="1"/>
  <c r="AB9" i="11"/>
  <c r="Z97" i="11" s="1"/>
  <c r="Y663" i="23"/>
  <c r="Z663" i="23" s="1"/>
  <c r="AA663" i="23" s="1"/>
  <c r="Y662" i="23"/>
  <c r="Z662" i="23" s="1"/>
  <c r="AA662" i="23" s="1"/>
  <c r="Y661" i="23"/>
  <c r="Z661" i="23" s="1"/>
  <c r="AA661" i="23" s="1"/>
  <c r="Y109" i="23"/>
  <c r="Y660" i="23"/>
  <c r="Y656" i="23"/>
  <c r="Z656" i="23" s="1"/>
  <c r="Y655" i="23"/>
  <c r="Z655" i="23" s="1"/>
  <c r="Y653" i="23"/>
  <c r="Z653" i="23" s="1"/>
  <c r="AA653" i="23" s="1"/>
  <c r="Y650" i="23"/>
  <c r="Z650" i="23" s="1"/>
  <c r="AA650" i="23" s="1"/>
  <c r="Y583" i="23"/>
  <c r="Z583" i="23" s="1"/>
  <c r="AA583" i="23" s="1"/>
  <c r="Y582" i="23"/>
  <c r="Z582" i="23" s="1"/>
  <c r="AA582" i="23" s="1"/>
  <c r="Y581" i="23"/>
  <c r="Z581" i="23" s="1"/>
  <c r="AA581" i="23" s="1"/>
  <c r="Y580" i="23"/>
  <c r="Z580" i="23" s="1"/>
  <c r="AA580" i="23" s="1"/>
  <c r="Y579" i="23"/>
  <c r="Z579" i="23" s="1"/>
  <c r="AA579" i="23" s="1"/>
  <c r="Y512" i="23"/>
  <c r="Z512" i="23" s="1"/>
  <c r="AA512" i="23" s="1"/>
  <c r="Y511" i="23"/>
  <c r="Z511" i="23" s="1"/>
  <c r="AA511" i="23" s="1"/>
  <c r="Y510" i="23"/>
  <c r="Z510" i="23" s="1"/>
  <c r="AA510" i="23" s="1"/>
  <c r="X509" i="23"/>
  <c r="Y509" i="23" s="1"/>
  <c r="Z509" i="23" s="1"/>
  <c r="AA509" i="23" s="1"/>
  <c r="Y508" i="23"/>
  <c r="Z508" i="23" s="1"/>
  <c r="AA508" i="23" s="1"/>
  <c r="Y441" i="23"/>
  <c r="Y439" i="23"/>
  <c r="Z439" i="23" s="1"/>
  <c r="AA438" i="23" s="1"/>
  <c r="Y435" i="23"/>
  <c r="Z435" i="23" s="1"/>
  <c r="AA434" i="23" s="1"/>
  <c r="Y433" i="23"/>
  <c r="Z433" i="23" s="1"/>
  <c r="AA432" i="23" s="1"/>
  <c r="Y365" i="23"/>
  <c r="Z365" i="23" s="1"/>
  <c r="AA365" i="23" s="1"/>
  <c r="Y364" i="23"/>
  <c r="Z364" i="23" s="1"/>
  <c r="AA364" i="23" s="1"/>
  <c r="Y363" i="23"/>
  <c r="Z363" i="23" s="1"/>
  <c r="AA363" i="23" s="1"/>
  <c r="Y362" i="23"/>
  <c r="Z362" i="23" s="1"/>
  <c r="AA362" i="23" s="1"/>
  <c r="Y361" i="23"/>
  <c r="Z361" i="23" s="1"/>
  <c r="AA361" i="23" s="1"/>
  <c r="Y294" i="23"/>
  <c r="Z294" i="23" s="1"/>
  <c r="AA294" i="23" s="1"/>
  <c r="Y293" i="23"/>
  <c r="Z293" i="23" s="1"/>
  <c r="AA293" i="23" s="1"/>
  <c r="Y292" i="23"/>
  <c r="Z292" i="23" s="1"/>
  <c r="AA292" i="23" s="1"/>
  <c r="X291" i="23"/>
  <c r="Y291" i="23" s="1"/>
  <c r="Z291" i="23" s="1"/>
  <c r="AA291" i="23" s="1"/>
  <c r="Y290" i="23"/>
  <c r="Z290" i="23" s="1"/>
  <c r="AA290" i="23" s="1"/>
  <c r="Y111" i="23"/>
  <c r="Y102" i="23"/>
  <c r="Z102" i="23" s="1"/>
  <c r="Y101" i="23"/>
  <c r="Z101" i="23" s="1"/>
  <c r="Z139" i="6" l="1"/>
  <c r="W155" i="6"/>
  <c r="H41" i="1"/>
  <c r="W146" i="6"/>
  <c r="Z441" i="23"/>
  <c r="AA440" i="23" s="1"/>
  <c r="AA487" i="23" s="1"/>
  <c r="H93" i="1"/>
  <c r="W357" i="10"/>
  <c r="Y722" i="23"/>
  <c r="H315" i="1" s="1"/>
  <c r="Y720" i="23"/>
  <c r="V730" i="23" s="1"/>
  <c r="H110" i="1"/>
  <c r="H123" i="1"/>
  <c r="Z660" i="23"/>
  <c r="AA659" i="23" s="1"/>
  <c r="Y721" i="23" s="1"/>
  <c r="H314" i="1" s="1"/>
  <c r="Z109" i="23"/>
  <c r="AA108" i="23" s="1"/>
  <c r="Y716" i="23" s="1"/>
  <c r="Z437" i="21"/>
  <c r="H279" i="1" s="1"/>
  <c r="G322" i="27"/>
  <c r="K322" i="27"/>
  <c r="K324" i="27" s="1"/>
  <c r="AA654" i="23"/>
  <c r="H322" i="27"/>
  <c r="H324" i="27" s="1"/>
  <c r="E194" i="28"/>
  <c r="Z111" i="23"/>
  <c r="AA110" i="23" s="1"/>
  <c r="Y717" i="23" s="1"/>
  <c r="H310" i="1" s="1"/>
  <c r="AA100" i="23"/>
  <c r="AA167" i="23" s="1"/>
  <c r="AA411" i="23"/>
  <c r="AA629" i="23"/>
  <c r="AA340" i="23"/>
  <c r="AA558" i="23"/>
  <c r="Y723" i="23" l="1"/>
  <c r="AA709" i="23"/>
  <c r="V735" i="23"/>
  <c r="H309" i="1"/>
  <c r="C387" i="1"/>
  <c r="C405" i="1"/>
  <c r="H313" i="1"/>
  <c r="H316" i="1"/>
  <c r="W148" i="6"/>
  <c r="Y742" i="34"/>
  <c r="V729" i="23"/>
  <c r="AA710" i="23"/>
  <c r="Y718" i="23"/>
  <c r="Y725" i="23" s="1"/>
  <c r="V731" i="23" l="1"/>
  <c r="H311" i="1"/>
  <c r="V738" i="23"/>
  <c r="Y728" i="23"/>
  <c r="V740" i="23"/>
  <c r="Y56" i="25"/>
  <c r="Z56" i="25" s="1"/>
  <c r="AA55" i="25" s="1"/>
  <c r="Y1247" i="25" s="1"/>
  <c r="H344" i="1" s="1"/>
  <c r="Y82" i="25"/>
  <c r="Z78" i="25"/>
  <c r="AA77" i="25" s="1"/>
  <c r="Z42" i="7"/>
  <c r="AA42" i="7" s="1"/>
  <c r="Z242" i="7"/>
  <c r="AA242" i="7" s="1"/>
  <c r="Y89" i="21"/>
  <c r="Z89" i="21" s="1"/>
  <c r="AA89" i="21" s="1"/>
  <c r="Y88" i="21"/>
  <c r="Z88" i="21" s="1"/>
  <c r="AA88" i="21" s="1"/>
  <c r="Z278" i="21"/>
  <c r="AA278" i="21" s="1"/>
  <c r="Z38" i="7"/>
  <c r="AA38" i="7" s="1"/>
  <c r="AB37" i="7" s="1"/>
  <c r="Y38" i="22"/>
  <c r="Z38" i="22" s="1"/>
  <c r="AA37" i="22" s="1"/>
  <c r="Z37" i="10"/>
  <c r="AA37" i="10" s="1"/>
  <c r="Y34" i="21"/>
  <c r="Z34" i="21" s="1"/>
  <c r="AA34" i="21" s="1"/>
  <c r="AB33" i="21" s="1"/>
  <c r="Z417" i="21" s="1"/>
  <c r="Y131" i="22"/>
  <c r="Z36" i="7"/>
  <c r="AA36" i="7" s="1"/>
  <c r="Z453" i="19"/>
  <c r="H212" i="1" s="1"/>
  <c r="Z66" i="7"/>
  <c r="AA66" i="7" s="1"/>
  <c r="Z35" i="3"/>
  <c r="AA35" i="3" s="1"/>
  <c r="Z222" i="7"/>
  <c r="AA222" i="7" s="1"/>
  <c r="Z93" i="21"/>
  <c r="AA93" i="21" s="1"/>
  <c r="AB92" i="21" s="1"/>
  <c r="Z399" i="21" s="1"/>
  <c r="H245" i="1" s="1"/>
  <c r="Z31" i="19"/>
  <c r="AA31" i="19" s="1"/>
  <c r="Z297" i="21"/>
  <c r="AA297" i="21" s="1"/>
  <c r="V402" i="26"/>
  <c r="AA381" i="26"/>
  <c r="AA360" i="26"/>
  <c r="AA339" i="26"/>
  <c r="AA318" i="26"/>
  <c r="AA277" i="26"/>
  <c r="Y155" i="26"/>
  <c r="Z155" i="26" s="1"/>
  <c r="Y154" i="26"/>
  <c r="Z154" i="26" s="1"/>
  <c r="Y153" i="26"/>
  <c r="Z153" i="26" s="1"/>
  <c r="Y152" i="26"/>
  <c r="Z152" i="26" s="1"/>
  <c r="Y151" i="26"/>
  <c r="Z151" i="26" s="1"/>
  <c r="Y150" i="26"/>
  <c r="Z150" i="26" s="1"/>
  <c r="Y149" i="26"/>
  <c r="Z149" i="26" s="1"/>
  <c r="Y148" i="26"/>
  <c r="Z148" i="26" s="1"/>
  <c r="Y147" i="26"/>
  <c r="Z147" i="26" s="1"/>
  <c r="Y146" i="26"/>
  <c r="Z146" i="26" s="1"/>
  <c r="Y145" i="26"/>
  <c r="Z145" i="26" s="1"/>
  <c r="Y144" i="26"/>
  <c r="Z144" i="26" s="1"/>
  <c r="Y143" i="26"/>
  <c r="Z143" i="26" s="1"/>
  <c r="Y142" i="26"/>
  <c r="Z142" i="26" s="1"/>
  <c r="Y141" i="26"/>
  <c r="Z141" i="26" s="1"/>
  <c r="Y140" i="26"/>
  <c r="Z140" i="26" s="1"/>
  <c r="Y139" i="26"/>
  <c r="Z139" i="26" s="1"/>
  <c r="Y138" i="26"/>
  <c r="Z138" i="26" s="1"/>
  <c r="Y137" i="26"/>
  <c r="Z137" i="26" s="1"/>
  <c r="Y136" i="26"/>
  <c r="Z136" i="26" s="1"/>
  <c r="Y135" i="26"/>
  <c r="Z135" i="26" s="1"/>
  <c r="Y134" i="26"/>
  <c r="Z134" i="26" s="1"/>
  <c r="Y133" i="26"/>
  <c r="Z133" i="26" s="1"/>
  <c r="Y132" i="26"/>
  <c r="Z132" i="26" s="1"/>
  <c r="Y131" i="26"/>
  <c r="Z131" i="26" s="1"/>
  <c r="Y130" i="26"/>
  <c r="Z130" i="26" s="1"/>
  <c r="Y129" i="26"/>
  <c r="Z129" i="26" s="1"/>
  <c r="Y128" i="26"/>
  <c r="Z128" i="26" s="1"/>
  <c r="Y127" i="26"/>
  <c r="Z127" i="26" s="1"/>
  <c r="Y123" i="26"/>
  <c r="Z123" i="26" s="1"/>
  <c r="Y122" i="26"/>
  <c r="Z122" i="26" s="1"/>
  <c r="Y121" i="26"/>
  <c r="Z121" i="26" s="1"/>
  <c r="Y32" i="26"/>
  <c r="Y30" i="26"/>
  <c r="Z30" i="26" s="1"/>
  <c r="AA29" i="26" s="1"/>
  <c r="AA1236" i="25"/>
  <c r="AA1084" i="25"/>
  <c r="AA1008" i="25"/>
  <c r="AA932" i="25"/>
  <c r="AA856" i="25"/>
  <c r="Y708" i="25"/>
  <c r="Y706" i="25"/>
  <c r="Z706" i="25" s="1"/>
  <c r="AA704" i="25"/>
  <c r="Y574" i="25"/>
  <c r="Y501" i="25"/>
  <c r="Z501" i="25" s="1"/>
  <c r="Y500" i="25"/>
  <c r="Z500" i="25" s="1"/>
  <c r="Y499" i="25"/>
  <c r="Z499" i="25" s="1"/>
  <c r="Y498" i="25"/>
  <c r="Z498" i="25" s="1"/>
  <c r="Y494" i="25"/>
  <c r="Z494" i="25" s="1"/>
  <c r="Y493" i="25"/>
  <c r="Z493" i="25" s="1"/>
  <c r="Y418" i="25"/>
  <c r="Y417" i="25"/>
  <c r="AA382" i="25"/>
  <c r="AA306" i="25"/>
  <c r="AA265" i="25"/>
  <c r="AA204" i="25"/>
  <c r="Y76" i="25"/>
  <c r="Z76" i="25" s="1"/>
  <c r="Y74" i="25"/>
  <c r="Z74" i="25" s="1"/>
  <c r="Y73" i="25"/>
  <c r="Z73" i="25" s="1"/>
  <c r="Y71" i="25"/>
  <c r="Z71" i="25" s="1"/>
  <c r="Z69" i="25"/>
  <c r="Y54" i="25"/>
  <c r="Z54" i="25" s="1"/>
  <c r="Y52" i="25"/>
  <c r="Z52" i="25" s="1"/>
  <c r="Y51" i="25"/>
  <c r="Z51" i="25" s="1"/>
  <c r="Y50" i="25"/>
  <c r="Z50" i="25" s="1"/>
  <c r="Y49" i="25"/>
  <c r="Z49" i="25" s="1"/>
  <c r="Y48" i="25"/>
  <c r="Z48" i="25" s="1"/>
  <c r="Y47" i="25"/>
  <c r="Z47" i="25" s="1"/>
  <c r="Y46" i="25"/>
  <c r="Z46" i="25" s="1"/>
  <c r="Y45" i="25"/>
  <c r="Z45" i="25" s="1"/>
  <c r="Y44" i="25"/>
  <c r="Z44" i="25" s="1"/>
  <c r="Y43" i="25"/>
  <c r="Z43" i="25" s="1"/>
  <c r="Y42" i="25"/>
  <c r="Z42" i="25" s="1"/>
  <c r="Y41" i="25"/>
  <c r="Z41" i="25" s="1"/>
  <c r="Y40" i="25"/>
  <c r="Z40" i="25" s="1"/>
  <c r="Y39" i="25"/>
  <c r="Z39" i="25" s="1"/>
  <c r="Y38" i="25"/>
  <c r="Z38" i="25" s="1"/>
  <c r="Y37" i="25"/>
  <c r="Z37" i="25" s="1"/>
  <c r="Y36" i="25"/>
  <c r="Z36" i="25" s="1"/>
  <c r="Y35" i="25"/>
  <c r="Z35" i="25" s="1"/>
  <c r="Y34" i="25"/>
  <c r="Z34" i="25" s="1"/>
  <c r="Y33" i="25"/>
  <c r="Z33" i="25" s="1"/>
  <c r="Y32" i="25"/>
  <c r="Z32" i="25" s="1"/>
  <c r="Y31" i="25"/>
  <c r="Z31" i="25" s="1"/>
  <c r="Y30" i="25"/>
  <c r="Z30" i="25" s="1"/>
  <c r="AA694" i="22"/>
  <c r="AA618" i="22"/>
  <c r="AA542" i="22"/>
  <c r="AA466" i="22"/>
  <c r="Y386" i="22"/>
  <c r="Z386" i="22" s="1"/>
  <c r="AA385" i="22" s="1"/>
  <c r="Y290" i="22"/>
  <c r="Z290" i="22" s="1"/>
  <c r="AA289" i="22" s="1"/>
  <c r="Y266" i="22"/>
  <c r="Z266" i="22" s="1"/>
  <c r="Y265" i="22"/>
  <c r="Z265" i="22" s="1"/>
  <c r="Y264" i="22"/>
  <c r="Z264" i="22" s="1"/>
  <c r="Y261" i="22"/>
  <c r="Z261" i="22" s="1"/>
  <c r="Y260" i="22"/>
  <c r="Z260" i="22" s="1"/>
  <c r="Y259" i="22"/>
  <c r="Z259" i="22" s="1"/>
  <c r="Y258" i="22"/>
  <c r="Z258" i="22" s="1"/>
  <c r="Y257" i="22"/>
  <c r="Z257" i="22" s="1"/>
  <c r="Y256" i="22"/>
  <c r="Z256" i="22" s="1"/>
  <c r="Y255" i="22"/>
  <c r="Z255" i="22" s="1"/>
  <c r="Y254" i="22"/>
  <c r="Z254" i="22" s="1"/>
  <c r="Y251" i="22"/>
  <c r="Z251" i="22" s="1"/>
  <c r="Y248" i="22"/>
  <c r="Z248" i="22" s="1"/>
  <c r="Y247" i="22"/>
  <c r="Z247" i="22" s="1"/>
  <c r="Y246" i="22"/>
  <c r="Z246" i="22" s="1"/>
  <c r="Z245" i="22"/>
  <c r="Y238" i="22"/>
  <c r="Z238" i="22" s="1"/>
  <c r="Y237" i="22"/>
  <c r="Z237" i="22" s="1"/>
  <c r="Y236" i="22"/>
  <c r="Z236" i="22" s="1"/>
  <c r="Y233" i="22"/>
  <c r="Z233" i="22" s="1"/>
  <c r="Y230" i="22"/>
  <c r="Z230" i="22" s="1"/>
  <c r="Y229" i="22"/>
  <c r="Z229" i="22" s="1"/>
  <c r="Y226" i="22"/>
  <c r="Z226" i="22" s="1"/>
  <c r="Y223" i="22"/>
  <c r="Z223" i="22" s="1"/>
  <c r="Y218" i="22"/>
  <c r="Z218" i="22" s="1"/>
  <c r="Y215" i="22"/>
  <c r="Z215" i="22" s="1"/>
  <c r="Y212" i="22"/>
  <c r="Z212" i="22" s="1"/>
  <c r="Y211" i="22"/>
  <c r="Z211" i="22" s="1"/>
  <c r="Y210" i="22"/>
  <c r="Z210" i="22" s="1"/>
  <c r="Y209" i="22"/>
  <c r="Z209" i="22" s="1"/>
  <c r="Y208" i="22"/>
  <c r="Z208" i="22" s="1"/>
  <c r="AA204" i="22" s="1"/>
  <c r="Y198" i="22"/>
  <c r="Z198" i="22" s="1"/>
  <c r="Y195" i="22"/>
  <c r="Z195" i="22" s="1"/>
  <c r="Y170" i="22"/>
  <c r="Z170" i="22" s="1"/>
  <c r="Y147" i="22"/>
  <c r="Z147" i="22" s="1"/>
  <c r="Y144" i="22"/>
  <c r="Z144" i="22" s="1"/>
  <c r="Y128" i="22"/>
  <c r="Z128" i="22" s="1"/>
  <c r="Y125" i="22"/>
  <c r="Z125" i="22" s="1"/>
  <c r="Y109" i="22"/>
  <c r="Z109" i="22" s="1"/>
  <c r="Y66" i="22"/>
  <c r="Z53" i="22"/>
  <c r="Y48" i="22"/>
  <c r="Y35" i="22"/>
  <c r="Z35" i="22" s="1"/>
  <c r="AA34" i="22" s="1"/>
  <c r="Y29" i="22"/>
  <c r="AA28" i="22" s="1"/>
  <c r="Y26" i="22"/>
  <c r="Z26" i="22" s="1"/>
  <c r="Y23" i="22"/>
  <c r="Z23" i="22" s="1"/>
  <c r="Y20" i="22"/>
  <c r="Z20" i="22" s="1"/>
  <c r="Y15" i="22"/>
  <c r="Z15" i="22" s="1"/>
  <c r="AA14" i="22" s="1"/>
  <c r="Z314" i="21"/>
  <c r="Z307" i="21"/>
  <c r="AA307" i="21" s="1"/>
  <c r="AB306" i="21" s="1"/>
  <c r="Z300" i="21"/>
  <c r="Z296" i="21"/>
  <c r="AA296" i="21" s="1"/>
  <c r="Z283" i="21"/>
  <c r="AA283" i="21" s="1"/>
  <c r="Z244" i="21"/>
  <c r="AA244" i="21" s="1"/>
  <c r="Z242" i="21"/>
  <c r="AA242" i="21" s="1"/>
  <c r="Z146" i="21"/>
  <c r="AA146" i="21" s="1"/>
  <c r="AB145" i="21" s="1"/>
  <c r="Z387" i="21" s="1"/>
  <c r="H233" i="1" s="1"/>
  <c r="Z144" i="21"/>
  <c r="AA144" i="21" s="1"/>
  <c r="Z126" i="21"/>
  <c r="AA126" i="21" s="1"/>
  <c r="AB124" i="21" s="1"/>
  <c r="Z123" i="21"/>
  <c r="AA123" i="21" s="1"/>
  <c r="Z117" i="21"/>
  <c r="AA117" i="21" s="1"/>
  <c r="AB116" i="21" s="1"/>
  <c r="Z91" i="21"/>
  <c r="AA91" i="21" s="1"/>
  <c r="AB90" i="21" s="1"/>
  <c r="Z86" i="21"/>
  <c r="AA86" i="21" s="1"/>
  <c r="Z82" i="21"/>
  <c r="Z74" i="21"/>
  <c r="AA74" i="21" s="1"/>
  <c r="Z73" i="21"/>
  <c r="AA73" i="21" s="1"/>
  <c r="Z72" i="21"/>
  <c r="AA72" i="21" s="1"/>
  <c r="Z63" i="21"/>
  <c r="AA63" i="21" s="1"/>
  <c r="Z61" i="21"/>
  <c r="AA61" i="21" s="1"/>
  <c r="Z59" i="21"/>
  <c r="AA59" i="21" s="1"/>
  <c r="Z48" i="21"/>
  <c r="AA48" i="21" s="1"/>
  <c r="AB47" i="21" s="1"/>
  <c r="Z21" i="21"/>
  <c r="AA21" i="21" s="1"/>
  <c r="AB20" i="21" s="1"/>
  <c r="Z17" i="21"/>
  <c r="AA17" i="21" s="1"/>
  <c r="Z15" i="21"/>
  <c r="AA15" i="21" s="1"/>
  <c r="Z262" i="20"/>
  <c r="AA262" i="20" s="1"/>
  <c r="AB261" i="20" s="1"/>
  <c r="Z299" i="20" s="1"/>
  <c r="H214" i="1" s="1"/>
  <c r="Z257" i="20"/>
  <c r="AA257" i="20" s="1"/>
  <c r="AB256" i="20" s="1"/>
  <c r="Z221" i="20"/>
  <c r="AA221" i="20" s="1"/>
  <c r="AB220" i="20" s="1"/>
  <c r="Z200" i="20"/>
  <c r="AA200" i="20" s="1"/>
  <c r="AB199" i="20" s="1"/>
  <c r="Z170" i="20"/>
  <c r="AA170" i="20" s="1"/>
  <c r="AB169" i="20" s="1"/>
  <c r="Z165" i="20"/>
  <c r="AA165" i="20" s="1"/>
  <c r="AB164" i="20" s="1"/>
  <c r="Z107" i="20"/>
  <c r="AA107" i="20" s="1"/>
  <c r="AB106" i="20" s="1"/>
  <c r="Z305" i="20" s="1"/>
  <c r="H220" i="1" s="1"/>
  <c r="Z105" i="20"/>
  <c r="AA105" i="20" s="1"/>
  <c r="Z100" i="20"/>
  <c r="AA100" i="20" s="1"/>
  <c r="AB99" i="20" s="1"/>
  <c r="Z98" i="20"/>
  <c r="AA98" i="20" s="1"/>
  <c r="AB97" i="20" s="1"/>
  <c r="Z298" i="20" s="1"/>
  <c r="Z41" i="20"/>
  <c r="AA41" i="20" s="1"/>
  <c r="AB26" i="20"/>
  <c r="Z304" i="20" s="1"/>
  <c r="H219" i="1" s="1"/>
  <c r="AB24" i="20"/>
  <c r="Z306" i="20" s="1"/>
  <c r="H221" i="1" s="1"/>
  <c r="C390" i="1" s="1"/>
  <c r="Z365" i="19"/>
  <c r="AA365" i="19" s="1"/>
  <c r="Z364" i="19"/>
  <c r="AA364" i="19" s="1"/>
  <c r="Z363" i="19"/>
  <c r="AA363" i="19" s="1"/>
  <c r="Z362" i="19"/>
  <c r="Z355" i="19"/>
  <c r="AA355" i="19" s="1"/>
  <c r="AB354" i="19" s="1"/>
  <c r="Z431" i="19" s="1"/>
  <c r="H190" i="1" s="1"/>
  <c r="Z349" i="19"/>
  <c r="AA349" i="19" s="1"/>
  <c r="Z348" i="19"/>
  <c r="AA348" i="19" s="1"/>
  <c r="Z347" i="19"/>
  <c r="AA347" i="19" s="1"/>
  <c r="Z346" i="19"/>
  <c r="AA346" i="19" s="1"/>
  <c r="Z345" i="19"/>
  <c r="AA345" i="19" s="1"/>
  <c r="Z344" i="19"/>
  <c r="AA344" i="19" s="1"/>
  <c r="Z343" i="19"/>
  <c r="AA343" i="19" s="1"/>
  <c r="Z342" i="19"/>
  <c r="AA342" i="19" s="1"/>
  <c r="Z341" i="19"/>
  <c r="AA341" i="19" s="1"/>
  <c r="Z340" i="19"/>
  <c r="AA340" i="19" s="1"/>
  <c r="Z339" i="19"/>
  <c r="AA339" i="19" s="1"/>
  <c r="Z338" i="19"/>
  <c r="AA338" i="19" s="1"/>
  <c r="Z337" i="19"/>
  <c r="AA337" i="19" s="1"/>
  <c r="Z336" i="19"/>
  <c r="AA336" i="19" s="1"/>
  <c r="Z329" i="19"/>
  <c r="AA329" i="19" s="1"/>
  <c r="Z328" i="19"/>
  <c r="AA328" i="19" s="1"/>
  <c r="Z327" i="19"/>
  <c r="AA327" i="19" s="1"/>
  <c r="Z326" i="19"/>
  <c r="AA326" i="19" s="1"/>
  <c r="Z325" i="19"/>
  <c r="AA325" i="19" s="1"/>
  <c r="Z324" i="19"/>
  <c r="AA324" i="19" s="1"/>
  <c r="Z323" i="19"/>
  <c r="AA323" i="19" s="1"/>
  <c r="Z322" i="19"/>
  <c r="AA322" i="19" s="1"/>
  <c r="Z321" i="19"/>
  <c r="AA321" i="19" s="1"/>
  <c r="Z320" i="19"/>
  <c r="AA320" i="19" s="1"/>
  <c r="Z319" i="19"/>
  <c r="AA319" i="19" s="1"/>
  <c r="Z318" i="19"/>
  <c r="AA318" i="19" s="1"/>
  <c r="Z317" i="19"/>
  <c r="AA317" i="19" s="1"/>
  <c r="Z316" i="19"/>
  <c r="AA316" i="19" s="1"/>
  <c r="Z315" i="19"/>
  <c r="AA315" i="19" s="1"/>
  <c r="Z314" i="19"/>
  <c r="AA314" i="19" s="1"/>
  <c r="Z313" i="19"/>
  <c r="AA313" i="19" s="1"/>
  <c r="Z312" i="19"/>
  <c r="AA312" i="19" s="1"/>
  <c r="Z311" i="19"/>
  <c r="AA311" i="19" s="1"/>
  <c r="Z310" i="19"/>
  <c r="AA310" i="19" s="1"/>
  <c r="Z309" i="19"/>
  <c r="AA309" i="19" s="1"/>
  <c r="Z308" i="19"/>
  <c r="AA308" i="19" s="1"/>
  <c r="Z307" i="19"/>
  <c r="AA307" i="19" s="1"/>
  <c r="Z306" i="19"/>
  <c r="AA306" i="19" s="1"/>
  <c r="AB305" i="19" s="1"/>
  <c r="Z261" i="19"/>
  <c r="AA261" i="19" s="1"/>
  <c r="Z260" i="19"/>
  <c r="AA260" i="19" s="1"/>
  <c r="AB259" i="19" s="1"/>
  <c r="Z209" i="19"/>
  <c r="AA209" i="19" s="1"/>
  <c r="AB208" i="19" s="1"/>
  <c r="Z199" i="19"/>
  <c r="AA199" i="19" s="1"/>
  <c r="AB198" i="19" s="1"/>
  <c r="Z166" i="19"/>
  <c r="AA166" i="19" s="1"/>
  <c r="Z165" i="19"/>
  <c r="AA165" i="19" s="1"/>
  <c r="Z164" i="19"/>
  <c r="AA164" i="19" s="1"/>
  <c r="Z163" i="19"/>
  <c r="AA163" i="19" s="1"/>
  <c r="AA103" i="19"/>
  <c r="AA100" i="19"/>
  <c r="AB99" i="19" s="1"/>
  <c r="Z71" i="19"/>
  <c r="AA71" i="19" s="1"/>
  <c r="AB70" i="19" s="1"/>
  <c r="Z451" i="19" s="1"/>
  <c r="H210" i="1" s="1"/>
  <c r="AA69" i="19"/>
  <c r="AB69" i="19" s="1"/>
  <c r="Z450" i="19" s="1"/>
  <c r="H209" i="1" s="1"/>
  <c r="Z449" i="19"/>
  <c r="H208" i="1" s="1"/>
  <c r="AA67" i="19"/>
  <c r="AB67" i="19" s="1"/>
  <c r="Z448" i="19" s="1"/>
  <c r="H207" i="1" s="1"/>
  <c r="AA66" i="19"/>
  <c r="AB66" i="19" s="1"/>
  <c r="Z447" i="19" s="1"/>
  <c r="H206" i="1" s="1"/>
  <c r="AA65" i="19"/>
  <c r="AB65" i="19" s="1"/>
  <c r="Z446" i="19" s="1"/>
  <c r="H205" i="1" s="1"/>
  <c r="AA64" i="19"/>
  <c r="AB64" i="19" s="1"/>
  <c r="Z445" i="19" s="1"/>
  <c r="H204" i="1" s="1"/>
  <c r="AA63" i="19"/>
  <c r="AB63" i="19" s="1"/>
  <c r="Z444" i="19" s="1"/>
  <c r="H203" i="1" s="1"/>
  <c r="AA62" i="19"/>
  <c r="AB62" i="19" s="1"/>
  <c r="Z423" i="19" s="1"/>
  <c r="H182" i="1" s="1"/>
  <c r="AA61" i="19"/>
  <c r="AB61" i="19" s="1"/>
  <c r="Z419" i="19" s="1"/>
  <c r="AA57" i="19"/>
  <c r="AB57" i="19" s="1"/>
  <c r="Z418" i="19" s="1"/>
  <c r="H177" i="1" s="1"/>
  <c r="AA56" i="19"/>
  <c r="AB56" i="19" s="1"/>
  <c r="Z417" i="19" s="1"/>
  <c r="H176" i="1" s="1"/>
  <c r="AA55" i="19"/>
  <c r="AB55" i="19" s="1"/>
  <c r="Z416" i="19" s="1"/>
  <c r="H175" i="1" s="1"/>
  <c r="AA54" i="19"/>
  <c r="AB54" i="19" s="1"/>
  <c r="Z415" i="19" s="1"/>
  <c r="H174" i="1" s="1"/>
  <c r="AA53" i="19"/>
  <c r="AB53" i="19" s="1"/>
  <c r="Z414" i="19" s="1"/>
  <c r="H173" i="1" s="1"/>
  <c r="AA52" i="19"/>
  <c r="AB52" i="19" s="1"/>
  <c r="Z413" i="19" s="1"/>
  <c r="H172" i="1" s="1"/>
  <c r="AA51" i="19"/>
  <c r="AB51" i="19" s="1"/>
  <c r="Z412" i="19" s="1"/>
  <c r="H171" i="1" s="1"/>
  <c r="AA50" i="19"/>
  <c r="AB50" i="19" s="1"/>
  <c r="Z411" i="19" s="1"/>
  <c r="H170" i="1" s="1"/>
  <c r="AA49" i="19"/>
  <c r="AB49" i="19" s="1"/>
  <c r="Z410" i="19" s="1"/>
  <c r="H169" i="1" s="1"/>
  <c r="AA48" i="19"/>
  <c r="AB48" i="19" s="1"/>
  <c r="AA47" i="19"/>
  <c r="AB47" i="19" s="1"/>
  <c r="Z408" i="19" s="1"/>
  <c r="H167" i="1" s="1"/>
  <c r="AA46" i="19"/>
  <c r="AB46" i="19" s="1"/>
  <c r="Z407" i="19" s="1"/>
  <c r="H166" i="1" s="1"/>
  <c r="AA45" i="19"/>
  <c r="AB45" i="19" s="1"/>
  <c r="Z406" i="19" s="1"/>
  <c r="H165" i="1" s="1"/>
  <c r="AA44" i="19"/>
  <c r="AB44" i="19" s="1"/>
  <c r="Z405" i="19" s="1"/>
  <c r="Z33" i="19"/>
  <c r="AA32" i="19"/>
  <c r="Z32" i="19"/>
  <c r="Z30" i="19"/>
  <c r="AA30" i="19" s="1"/>
  <c r="Z36" i="17"/>
  <c r="AA36" i="17" s="1"/>
  <c r="Z10" i="17"/>
  <c r="AA10" i="17" s="1"/>
  <c r="AB9" i="17" s="1"/>
  <c r="Y45" i="16"/>
  <c r="Z45" i="16" s="1"/>
  <c r="Y31" i="16"/>
  <c r="Z31" i="16" s="1"/>
  <c r="Y30" i="16"/>
  <c r="Z30" i="16" s="1"/>
  <c r="Y25" i="16"/>
  <c r="Z25" i="16" s="1"/>
  <c r="AA9" i="16"/>
  <c r="Y81" i="16" s="1"/>
  <c r="H130" i="1" s="1"/>
  <c r="Z77" i="15"/>
  <c r="AA77" i="15" s="1"/>
  <c r="Z76" i="15"/>
  <c r="AA76" i="15" s="1"/>
  <c r="Z16" i="15"/>
  <c r="AA16" i="15" s="1"/>
  <c r="Z15" i="15"/>
  <c r="AA15" i="15" s="1"/>
  <c r="Z42" i="13"/>
  <c r="Z41" i="13"/>
  <c r="Z21" i="13"/>
  <c r="AA21" i="13" s="1"/>
  <c r="Z237" i="12"/>
  <c r="AA237" i="12" s="1"/>
  <c r="Z225" i="12"/>
  <c r="AA225" i="12" s="1"/>
  <c r="Z224" i="12"/>
  <c r="AA224" i="12" s="1"/>
  <c r="Z222" i="12"/>
  <c r="AA222" i="12" s="1"/>
  <c r="Z116" i="12"/>
  <c r="AA116" i="12" s="1"/>
  <c r="Z40" i="12"/>
  <c r="AA40" i="12" s="1"/>
  <c r="AB39" i="12" s="1"/>
  <c r="Z280" i="12" s="1"/>
  <c r="Z99" i="11"/>
  <c r="Z25" i="11"/>
  <c r="AA25" i="11" s="1"/>
  <c r="AB24" i="11" s="1"/>
  <c r="Z15" i="11"/>
  <c r="AA15" i="11" s="1"/>
  <c r="Z113" i="10"/>
  <c r="AA113" i="10" s="1"/>
  <c r="AB110" i="10" s="1"/>
  <c r="AB243" i="10" s="1"/>
  <c r="Z35" i="10"/>
  <c r="AA35" i="10" s="1"/>
  <c r="Z31" i="10"/>
  <c r="AA31" i="10" s="1"/>
  <c r="Z29" i="10"/>
  <c r="AA29" i="10" s="1"/>
  <c r="AB28" i="10" s="1"/>
  <c r="Z138" i="9"/>
  <c r="AA138" i="9" s="1"/>
  <c r="Z137" i="9"/>
  <c r="AA137" i="9" s="1"/>
  <c r="Z135" i="9"/>
  <c r="AA135" i="9" s="1"/>
  <c r="Z30" i="9"/>
  <c r="AA30" i="9" s="1"/>
  <c r="AB29" i="9" s="1"/>
  <c r="Z22" i="9"/>
  <c r="AA22" i="9" s="1"/>
  <c r="Z15" i="9"/>
  <c r="AA15" i="9" s="1"/>
  <c r="Z53" i="8"/>
  <c r="AA53" i="8" s="1"/>
  <c r="Z52" i="8"/>
  <c r="AA52" i="8" s="1"/>
  <c r="Z51" i="8"/>
  <c r="AA51" i="8" s="1"/>
  <c r="Z44" i="8"/>
  <c r="AA44" i="8" s="1"/>
  <c r="Z28" i="8"/>
  <c r="AA28" i="8" s="1"/>
  <c r="Z26" i="8"/>
  <c r="Z21" i="8"/>
  <c r="AA21" i="8" s="1"/>
  <c r="AB20" i="8" s="1"/>
  <c r="Z15" i="8"/>
  <c r="AA15" i="8" s="1"/>
  <c r="AB14" i="8" s="1"/>
  <c r="Z11" i="8"/>
  <c r="AA11" i="8" s="1"/>
  <c r="AB9" i="8" s="1"/>
  <c r="Z247" i="7"/>
  <c r="AA247" i="7" s="1"/>
  <c r="Z246" i="7"/>
  <c r="AA246" i="7" s="1"/>
  <c r="Y244" i="7"/>
  <c r="Z244" i="7" s="1"/>
  <c r="AA244" i="7" s="1"/>
  <c r="Z237" i="7"/>
  <c r="AA237" i="7" s="1"/>
  <c r="Z236" i="7"/>
  <c r="AA236" i="7" s="1"/>
  <c r="Z235" i="7"/>
  <c r="AA235" i="7" s="1"/>
  <c r="Z234" i="7"/>
  <c r="AA234" i="7" s="1"/>
  <c r="Z233" i="7"/>
  <c r="AA233" i="7" s="1"/>
  <c r="Z232" i="7"/>
  <c r="AA232" i="7" s="1"/>
  <c r="Z231" i="7"/>
  <c r="AA231" i="7" s="1"/>
  <c r="Z230" i="7"/>
  <c r="AA230" i="7" s="1"/>
  <c r="Z229" i="7"/>
  <c r="AA229" i="7" s="1"/>
  <c r="Z228" i="7"/>
  <c r="AA228" i="7" s="1"/>
  <c r="Z227" i="7"/>
  <c r="AA227" i="7" s="1"/>
  <c r="Z226" i="7"/>
  <c r="AA226" i="7" s="1"/>
  <c r="Z225" i="7"/>
  <c r="AA225" i="7" s="1"/>
  <c r="Z224" i="7"/>
  <c r="AA224" i="7" s="1"/>
  <c r="Z221" i="7"/>
  <c r="AA221" i="7" s="1"/>
  <c r="Z220" i="7"/>
  <c r="AA220" i="7" s="1"/>
  <c r="Z219" i="7"/>
  <c r="AA219" i="7" s="1"/>
  <c r="Z218" i="7"/>
  <c r="AA218" i="7" s="1"/>
  <c r="Z217" i="7"/>
  <c r="AA217" i="7" s="1"/>
  <c r="Z216" i="7"/>
  <c r="AA216" i="7" s="1"/>
  <c r="Z195" i="7"/>
  <c r="AA195" i="7" s="1"/>
  <c r="Z194" i="7"/>
  <c r="AA194" i="7" s="1"/>
  <c r="Z193" i="7"/>
  <c r="AA193" i="7" s="1"/>
  <c r="Z192" i="7"/>
  <c r="AA192" i="7" s="1"/>
  <c r="AB191" i="7" s="1"/>
  <c r="Z174" i="7"/>
  <c r="AA174" i="7" s="1"/>
  <c r="Z173" i="7"/>
  <c r="AA173" i="7" s="1"/>
  <c r="Z172" i="7"/>
  <c r="AA172" i="7" s="1"/>
  <c r="Z171" i="7"/>
  <c r="AA171" i="7" s="1"/>
  <c r="Z94" i="7"/>
  <c r="AA94" i="7" s="1"/>
  <c r="Z93" i="7"/>
  <c r="AA93" i="7" s="1"/>
  <c r="Z92" i="7"/>
  <c r="AB91" i="7" s="1"/>
  <c r="Z82" i="7"/>
  <c r="AA82" i="7" s="1"/>
  <c r="Z70" i="7"/>
  <c r="AA70" i="7" s="1"/>
  <c r="AB69" i="7" s="1"/>
  <c r="Z256" i="7" s="1"/>
  <c r="Z68" i="7"/>
  <c r="AA68" i="7" s="1"/>
  <c r="Z65" i="7"/>
  <c r="AA65" i="7" s="1"/>
  <c r="Z64" i="7"/>
  <c r="AA64" i="7" s="1"/>
  <c r="Z63" i="7"/>
  <c r="AA63" i="7" s="1"/>
  <c r="Z62" i="7"/>
  <c r="AA62" i="7" s="1"/>
  <c r="Z61" i="7"/>
  <c r="AA61" i="7" s="1"/>
  <c r="Z60" i="7"/>
  <c r="AA60" i="7" s="1"/>
  <c r="Z59" i="7"/>
  <c r="AA59" i="7" s="1"/>
  <c r="Z57" i="7"/>
  <c r="AA57" i="7" s="1"/>
  <c r="Z56" i="7"/>
  <c r="AA56" i="7" s="1"/>
  <c r="Z55" i="7"/>
  <c r="AA55" i="7" s="1"/>
  <c r="Z54" i="7"/>
  <c r="AA54" i="7" s="1"/>
  <c r="Z52" i="7"/>
  <c r="AA52" i="7" s="1"/>
  <c r="Z51" i="7"/>
  <c r="AA51" i="7" s="1"/>
  <c r="Z50" i="7"/>
  <c r="AA50" i="7" s="1"/>
  <c r="Z49" i="7"/>
  <c r="AA49" i="7" s="1"/>
  <c r="Z48" i="7"/>
  <c r="AA48" i="7" s="1"/>
  <c r="Z47" i="7"/>
  <c r="AA47" i="7" s="1"/>
  <c r="Z45" i="7"/>
  <c r="AA45" i="7" s="1"/>
  <c r="Z44" i="7"/>
  <c r="AA44" i="7" s="1"/>
  <c r="Z17" i="7"/>
  <c r="AA17" i="7" s="1"/>
  <c r="AB16" i="7" s="1"/>
  <c r="Z15" i="7"/>
  <c r="AA15" i="7" s="1"/>
  <c r="AB122" i="6"/>
  <c r="Z110" i="5"/>
  <c r="AA110" i="5" s="1"/>
  <c r="Z109" i="5"/>
  <c r="AA109" i="5" s="1"/>
  <c r="Z108" i="5"/>
  <c r="AA108" i="5" s="1"/>
  <c r="Z88" i="5"/>
  <c r="AA88" i="5" s="1"/>
  <c r="Z65" i="5"/>
  <c r="AA65" i="5" s="1"/>
  <c r="AA63" i="5"/>
  <c r="Z59" i="5"/>
  <c r="AA59" i="5" s="1"/>
  <c r="Z57" i="5"/>
  <c r="AA57" i="5" s="1"/>
  <c r="Z40" i="5"/>
  <c r="AA40" i="5" s="1"/>
  <c r="Z39" i="5"/>
  <c r="AA39" i="5" s="1"/>
  <c r="Z37" i="5"/>
  <c r="AA37" i="5" s="1"/>
  <c r="Z36" i="5"/>
  <c r="AA36" i="5" s="1"/>
  <c r="Z24" i="5"/>
  <c r="AA24" i="5" s="1"/>
  <c r="AB22" i="5" s="1"/>
  <c r="Z120" i="5" s="1"/>
  <c r="Z21" i="5"/>
  <c r="AA21" i="5" s="1"/>
  <c r="Z20" i="5"/>
  <c r="AA20" i="5" s="1"/>
  <c r="Z15" i="5"/>
  <c r="AA15" i="5" s="1"/>
  <c r="Z36" i="4"/>
  <c r="Z31" i="4"/>
  <c r="AA31" i="4" s="1"/>
  <c r="Z26" i="4"/>
  <c r="AA26" i="4" s="1"/>
  <c r="Z24" i="4"/>
  <c r="AA24" i="4" s="1"/>
  <c r="Z21" i="4"/>
  <c r="AA21" i="4" s="1"/>
  <c r="Z15" i="4"/>
  <c r="Z10" i="4"/>
  <c r="AA10" i="4" s="1"/>
  <c r="AB9" i="4" s="1"/>
  <c r="Z16" i="3"/>
  <c r="AA16" i="3" s="1"/>
  <c r="Z15" i="3"/>
  <c r="AA15" i="3" s="1"/>
  <c r="Z13" i="3"/>
  <c r="Z12" i="3"/>
  <c r="Z11" i="3"/>
  <c r="Z10" i="3"/>
  <c r="AB9" i="3"/>
  <c r="Z82" i="2"/>
  <c r="AA82" i="2" s="1"/>
  <c r="Z81" i="2"/>
  <c r="AA81" i="2" s="1"/>
  <c r="Z72" i="2"/>
  <c r="AA72" i="2" s="1"/>
  <c r="Z71" i="2"/>
  <c r="AA71" i="2" s="1"/>
  <c r="Z70" i="2"/>
  <c r="AA70" i="2" s="1"/>
  <c r="Z65" i="2"/>
  <c r="AA65" i="2" s="1"/>
  <c r="Z38" i="2"/>
  <c r="AA38" i="2" s="1"/>
  <c r="Z37" i="2"/>
  <c r="AA37" i="2" s="1"/>
  <c r="Z36" i="2"/>
  <c r="AA36" i="2" s="1"/>
  <c r="Z35" i="2"/>
  <c r="AA35" i="2" s="1"/>
  <c r="Y33" i="2"/>
  <c r="Z33" i="2" s="1"/>
  <c r="Y17" i="2"/>
  <c r="Z17" i="2" s="1"/>
  <c r="AA17" i="2" s="1"/>
  <c r="Z15" i="2"/>
  <c r="AA15" i="2" s="1"/>
  <c r="H164" i="1" l="1"/>
  <c r="Z48" i="22"/>
  <c r="Y721" i="22" s="1"/>
  <c r="H304" i="1" s="1"/>
  <c r="Z708" i="25"/>
  <c r="AA707" i="25" s="1"/>
  <c r="Y1246" i="25" s="1"/>
  <c r="Z82" i="25"/>
  <c r="AA81" i="25" s="1"/>
  <c r="Y1244" i="25" s="1"/>
  <c r="AA300" i="21"/>
  <c r="AB299" i="21" s="1"/>
  <c r="AB58" i="7"/>
  <c r="AA15" i="4"/>
  <c r="AB14" i="4" s="1"/>
  <c r="Y708" i="22"/>
  <c r="H291" i="1" s="1"/>
  <c r="AB104" i="20"/>
  <c r="AB121" i="21"/>
  <c r="AA82" i="21"/>
  <c r="AB81" i="21" s="1"/>
  <c r="AA314" i="21"/>
  <c r="AB313" i="21" s="1"/>
  <c r="C422" i="1"/>
  <c r="Y731" i="23" s="1"/>
  <c r="AA33" i="19"/>
  <c r="AB32" i="19" s="1"/>
  <c r="AA362" i="19"/>
  <c r="AB361" i="19" s="1"/>
  <c r="AB277" i="21"/>
  <c r="Z66" i="22"/>
  <c r="AA65" i="22" s="1"/>
  <c r="Y711" i="22" s="1"/>
  <c r="H122" i="1"/>
  <c r="W288" i="12"/>
  <c r="H213" i="1"/>
  <c r="H343" i="1"/>
  <c r="Z32" i="26"/>
  <c r="AA31" i="26" s="1"/>
  <c r="AB20" i="4"/>
  <c r="Z68" i="4" s="1"/>
  <c r="H263" i="1"/>
  <c r="H178" i="1"/>
  <c r="H112" i="1"/>
  <c r="AB29" i="19"/>
  <c r="AB295" i="21"/>
  <c r="Z391" i="21" s="1"/>
  <c r="H237" i="1" s="1"/>
  <c r="AB62" i="21"/>
  <c r="AB60" i="21"/>
  <c r="Z401" i="21" s="1"/>
  <c r="H247" i="1" s="1"/>
  <c r="AB58" i="21"/>
  <c r="AB103" i="19"/>
  <c r="Z435" i="19" s="1"/>
  <c r="H27" i="1"/>
  <c r="H341" i="1"/>
  <c r="Z409" i="19"/>
  <c r="W324" i="20"/>
  <c r="W325" i="20"/>
  <c r="AB335" i="19"/>
  <c r="Y730" i="23"/>
  <c r="AA29" i="25"/>
  <c r="Y1251" i="25" s="1"/>
  <c r="AB16" i="21"/>
  <c r="Z413" i="21"/>
  <c r="H259" i="1" s="1"/>
  <c r="AB14" i="11"/>
  <c r="Z269" i="7"/>
  <c r="H60" i="1" s="1"/>
  <c r="AB215" i="7"/>
  <c r="AB67" i="7"/>
  <c r="Z98" i="11"/>
  <c r="W106" i="11" s="1"/>
  <c r="AB35" i="7"/>
  <c r="W321" i="20"/>
  <c r="Z302" i="20"/>
  <c r="V733" i="23"/>
  <c r="Y729" i="23" s="1"/>
  <c r="AB20" i="13"/>
  <c r="Z61" i="17"/>
  <c r="AB35" i="17"/>
  <c r="Z148" i="8"/>
  <c r="Z64" i="4"/>
  <c r="AB39" i="7"/>
  <c r="Z265" i="7" s="1"/>
  <c r="H56" i="1" s="1"/>
  <c r="AA123" i="22"/>
  <c r="Z344" i="10"/>
  <c r="H103" i="1" s="1"/>
  <c r="AA349" i="22"/>
  <c r="AB30" i="10"/>
  <c r="AA250" i="22"/>
  <c r="AB75" i="15"/>
  <c r="AB121" i="15" s="1"/>
  <c r="AB36" i="10"/>
  <c r="Z347" i="10" s="1"/>
  <c r="AA53" i="25"/>
  <c r="Y1260" i="25" s="1"/>
  <c r="H357" i="1" s="1"/>
  <c r="AA492" i="25"/>
  <c r="AB238" i="7"/>
  <c r="Z268" i="7" s="1"/>
  <c r="H59" i="1" s="1"/>
  <c r="AB41" i="7"/>
  <c r="Z259" i="7" s="1"/>
  <c r="H50" i="1" s="1"/>
  <c r="Z257" i="7"/>
  <c r="AB87" i="21"/>
  <c r="Z392" i="21" s="1"/>
  <c r="H238" i="1" s="1"/>
  <c r="AB134" i="9"/>
  <c r="Z275" i="7"/>
  <c r="AB245" i="7"/>
  <c r="AB34" i="10"/>
  <c r="Z346" i="10"/>
  <c r="AB243" i="7"/>
  <c r="AB43" i="7"/>
  <c r="Z263" i="7" s="1"/>
  <c r="H54" i="1" s="1"/>
  <c r="AA22" i="22"/>
  <c r="AA214" i="22"/>
  <c r="AA130" i="22"/>
  <c r="Y716" i="22" s="1"/>
  <c r="H299" i="1" s="1"/>
  <c r="AA263" i="22"/>
  <c r="AA244" i="22"/>
  <c r="AB38" i="5"/>
  <c r="Z122" i="5" s="1"/>
  <c r="H33" i="1" s="1"/>
  <c r="AB67" i="5"/>
  <c r="AB221" i="12"/>
  <c r="AB223" i="12"/>
  <c r="Z273" i="12" s="1"/>
  <c r="AB34" i="3"/>
  <c r="AB170" i="7"/>
  <c r="AB180" i="7" s="1"/>
  <c r="Z51" i="13"/>
  <c r="Z427" i="21"/>
  <c r="AB14" i="15"/>
  <c r="Z380" i="21"/>
  <c r="H226" i="1" s="1"/>
  <c r="AB40" i="20"/>
  <c r="Z301" i="20" s="1"/>
  <c r="AB43" i="8"/>
  <c r="Z149" i="8" s="1"/>
  <c r="H70" i="1" s="1"/>
  <c r="AB22" i="4"/>
  <c r="Z62" i="4" s="1"/>
  <c r="AB30" i="4"/>
  <c r="AB14" i="3"/>
  <c r="Z92" i="3" s="1"/>
  <c r="H19" i="1" s="1"/>
  <c r="AB107" i="5"/>
  <c r="AB14" i="5"/>
  <c r="Z400" i="21"/>
  <c r="H246" i="1" s="1"/>
  <c r="AB85" i="21"/>
  <c r="Z379" i="21"/>
  <c r="H225" i="1" s="1"/>
  <c r="Z402" i="21"/>
  <c r="H248" i="1" s="1"/>
  <c r="AB71" i="21"/>
  <c r="Z408" i="21" s="1"/>
  <c r="H254" i="1" s="1"/>
  <c r="AB243" i="21"/>
  <c r="AB14" i="21"/>
  <c r="Z377" i="21" s="1"/>
  <c r="Z406" i="21"/>
  <c r="H252" i="1" s="1"/>
  <c r="Z411" i="21"/>
  <c r="Z412" i="21"/>
  <c r="H258" i="1" s="1"/>
  <c r="AB143" i="21"/>
  <c r="Z386" i="21" s="1"/>
  <c r="AB46" i="7"/>
  <c r="AB53" i="7"/>
  <c r="Z270" i="7" s="1"/>
  <c r="AB14" i="7"/>
  <c r="AB111" i="7" s="1"/>
  <c r="AB162" i="19"/>
  <c r="Z428" i="19" s="1"/>
  <c r="H187" i="1" s="1"/>
  <c r="Z434" i="19"/>
  <c r="Z433" i="19"/>
  <c r="Z426" i="19"/>
  <c r="AB34" i="2"/>
  <c r="Z156" i="2" s="1"/>
  <c r="AB79" i="2"/>
  <c r="AB64" i="2"/>
  <c r="Z153" i="2" s="1"/>
  <c r="AB25" i="4"/>
  <c r="Z69" i="4" s="1"/>
  <c r="Z67" i="4"/>
  <c r="H26" i="1" s="1"/>
  <c r="AB62" i="5"/>
  <c r="AB27" i="8"/>
  <c r="Z152" i="8"/>
  <c r="AA228" i="22"/>
  <c r="Y714" i="22" s="1"/>
  <c r="H297" i="1" s="1"/>
  <c r="AB31" i="2"/>
  <c r="Z157" i="2" s="1"/>
  <c r="H18" i="1" s="1"/>
  <c r="AB35" i="5"/>
  <c r="AB19" i="5"/>
  <c r="Z125" i="5" s="1"/>
  <c r="AB87" i="5"/>
  <c r="Z276" i="7"/>
  <c r="H67" i="1" s="1"/>
  <c r="AB21" i="9"/>
  <c r="AB136" i="9"/>
  <c r="Z177" i="9" s="1"/>
  <c r="AB56" i="5"/>
  <c r="Z123" i="5" s="1"/>
  <c r="AB64" i="5"/>
  <c r="Z119" i="5" s="1"/>
  <c r="Z61" i="4"/>
  <c r="H29" i="1" s="1"/>
  <c r="AB80" i="14"/>
  <c r="AA24" i="16"/>
  <c r="AB58" i="5"/>
  <c r="AB223" i="7"/>
  <c r="Z182" i="9"/>
  <c r="AB131" i="14"/>
  <c r="Z181" i="9"/>
  <c r="H88" i="1" s="1"/>
  <c r="Z331" i="10"/>
  <c r="H90" i="1" s="1"/>
  <c r="AB236" i="12"/>
  <c r="Z151" i="8"/>
  <c r="Z180" i="9"/>
  <c r="H87" i="1" s="1"/>
  <c r="AA146" i="22"/>
  <c r="Z343" i="10"/>
  <c r="Z427" i="19"/>
  <c r="H186" i="1" s="1"/>
  <c r="AA25" i="22"/>
  <c r="Y703" i="22" s="1"/>
  <c r="H286" i="1" s="1"/>
  <c r="Y719" i="22"/>
  <c r="H302" i="1" s="1"/>
  <c r="AA225" i="22"/>
  <c r="Z335" i="10"/>
  <c r="H94" i="1" s="1"/>
  <c r="AB282" i="21"/>
  <c r="AA19" i="22"/>
  <c r="AB50" i="8"/>
  <c r="AB115" i="12"/>
  <c r="Z283" i="12" s="1"/>
  <c r="AA44" i="16"/>
  <c r="Y82" i="16" s="1"/>
  <c r="AA235" i="22"/>
  <c r="AA143" i="22"/>
  <c r="AA240" i="22"/>
  <c r="Y715" i="22" s="1"/>
  <c r="H298" i="1" s="1"/>
  <c r="AA253" i="22"/>
  <c r="AA497" i="25"/>
  <c r="Y1257" i="25" s="1"/>
  <c r="H354" i="1" s="1"/>
  <c r="AB241" i="21"/>
  <c r="Z418" i="21" s="1"/>
  <c r="W457" i="21" s="1"/>
  <c r="AA232" i="22"/>
  <c r="AA705" i="25"/>
  <c r="Z430" i="19"/>
  <c r="H189" i="1" s="1"/>
  <c r="Z424" i="19"/>
  <c r="AA416" i="25"/>
  <c r="AA29" i="16"/>
  <c r="Y84" i="16" s="1"/>
  <c r="Y706" i="22"/>
  <c r="H289" i="1" s="1"/>
  <c r="Z404" i="21"/>
  <c r="H250" i="1" s="1"/>
  <c r="AA217" i="22"/>
  <c r="AA160" i="26"/>
  <c r="Y394" i="26" s="1"/>
  <c r="H366" i="1" s="1"/>
  <c r="AA75" i="25"/>
  <c r="Z385" i="21"/>
  <c r="H231" i="1" s="1"/>
  <c r="AA127" i="22"/>
  <c r="Y713" i="22" s="1"/>
  <c r="H296" i="1" s="1"/>
  <c r="AA169" i="22"/>
  <c r="AA68" i="25"/>
  <c r="Y1262" i="25" s="1"/>
  <c r="H359" i="1" s="1"/>
  <c r="AA72" i="25"/>
  <c r="Y1261" i="25" s="1"/>
  <c r="H358" i="1" s="1"/>
  <c r="AA195" i="22"/>
  <c r="Y725" i="22" s="1"/>
  <c r="H308" i="1" s="1"/>
  <c r="AA222" i="22"/>
  <c r="AA108" i="22"/>
  <c r="AA573" i="25"/>
  <c r="AA628" i="25" s="1"/>
  <c r="AA70" i="25"/>
  <c r="AA119" i="26"/>
  <c r="Y392" i="26" s="1"/>
  <c r="W459" i="19" l="1"/>
  <c r="W466" i="19"/>
  <c r="W458" i="19"/>
  <c r="H193" i="1"/>
  <c r="W467" i="19"/>
  <c r="H61" i="1"/>
  <c r="H216" i="1"/>
  <c r="W314" i="20"/>
  <c r="H66" i="1"/>
  <c r="W291" i="7"/>
  <c r="W75" i="4"/>
  <c r="W320" i="20"/>
  <c r="H217" i="1"/>
  <c r="W464" i="19"/>
  <c r="H294" i="1"/>
  <c r="AB249" i="7"/>
  <c r="AB250" i="7" s="1"/>
  <c r="H185" i="1"/>
  <c r="Y705" i="22"/>
  <c r="H288" i="1" s="1"/>
  <c r="AA107" i="22"/>
  <c r="Y707" i="22"/>
  <c r="H290" i="1" s="1"/>
  <c r="W356" i="10"/>
  <c r="H102" i="1"/>
  <c r="W364" i="10"/>
  <c r="H105" i="1"/>
  <c r="W367" i="10"/>
  <c r="H106" i="1"/>
  <c r="H73" i="1"/>
  <c r="Z154" i="8"/>
  <c r="AB64" i="8"/>
  <c r="AB142" i="8" s="1"/>
  <c r="H69" i="1"/>
  <c r="W162" i="8"/>
  <c r="Z277" i="7"/>
  <c r="H68" i="1" s="1"/>
  <c r="Y83" i="16"/>
  <c r="H132" i="1" s="1"/>
  <c r="Y1254" i="25"/>
  <c r="Y1253" i="25"/>
  <c r="Y712" i="22"/>
  <c r="H295" i="1" s="1"/>
  <c r="AA288" i="22"/>
  <c r="H72" i="1"/>
  <c r="Z403" i="21"/>
  <c r="H249" i="1" s="1"/>
  <c r="H194" i="1"/>
  <c r="Y704" i="22"/>
  <c r="H287" i="1" s="1"/>
  <c r="H350" i="1"/>
  <c r="H125" i="1"/>
  <c r="W300" i="12"/>
  <c r="W290" i="12"/>
  <c r="W188" i="9"/>
  <c r="W169" i="2"/>
  <c r="W164" i="2"/>
  <c r="W319" i="20"/>
  <c r="W60" i="13"/>
  <c r="W313" i="20"/>
  <c r="H348" i="1"/>
  <c r="Y390" i="26"/>
  <c r="H362" i="1" s="1"/>
  <c r="AA81" i="26"/>
  <c r="H273" i="1"/>
  <c r="H232" i="1"/>
  <c r="H183" i="1"/>
  <c r="H192" i="1"/>
  <c r="H168" i="1"/>
  <c r="C382" i="1" s="1"/>
  <c r="H48" i="1"/>
  <c r="H264" i="1"/>
  <c r="K378" i="1" s="1"/>
  <c r="H47" i="1"/>
  <c r="H223" i="1"/>
  <c r="H257" i="1"/>
  <c r="Z433" i="21"/>
  <c r="Z339" i="10"/>
  <c r="H98" i="1" s="1"/>
  <c r="Z336" i="10"/>
  <c r="H95" i="1" s="1"/>
  <c r="Z436" i="19"/>
  <c r="AB14" i="9"/>
  <c r="Z171" i="9" s="1"/>
  <c r="Z53" i="13"/>
  <c r="Z174" i="9"/>
  <c r="H81" i="1" s="1"/>
  <c r="Z150" i="8"/>
  <c r="Z258" i="7"/>
  <c r="Z124" i="5"/>
  <c r="H35" i="1" s="1"/>
  <c r="Z121" i="5"/>
  <c r="H32" i="1" s="1"/>
  <c r="Z65" i="4"/>
  <c r="Z93" i="3"/>
  <c r="Z94" i="3" s="1"/>
  <c r="H364" i="1"/>
  <c r="V411" i="26"/>
  <c r="V399" i="26"/>
  <c r="H133" i="1"/>
  <c r="V91" i="16"/>
  <c r="H131" i="1"/>
  <c r="C415" i="1" s="1"/>
  <c r="V90" i="16"/>
  <c r="Z351" i="10"/>
  <c r="H89" i="1"/>
  <c r="W189" i="9"/>
  <c r="H30" i="1"/>
  <c r="H34" i="1"/>
  <c r="H84" i="1"/>
  <c r="H28" i="1"/>
  <c r="W86" i="4"/>
  <c r="H14" i="1"/>
  <c r="H17" i="1"/>
  <c r="W174" i="2"/>
  <c r="H49" i="1"/>
  <c r="H21" i="1"/>
  <c r="Z54" i="13"/>
  <c r="H115" i="1"/>
  <c r="Z274" i="12"/>
  <c r="H23" i="1"/>
  <c r="W73" i="17"/>
  <c r="W58" i="13"/>
  <c r="H111" i="1"/>
  <c r="W113" i="11"/>
  <c r="H78" i="1"/>
  <c r="AB89" i="2"/>
  <c r="AB146" i="2" s="1"/>
  <c r="V406" i="26"/>
  <c r="V401" i="26"/>
  <c r="W195" i="9"/>
  <c r="Y1255" i="25"/>
  <c r="Z101" i="11"/>
  <c r="Y395" i="26"/>
  <c r="AA780" i="25"/>
  <c r="Y1245" i="25"/>
  <c r="AA390" i="22"/>
  <c r="Y709" i="22"/>
  <c r="Y723" i="22"/>
  <c r="H306" i="1" s="1"/>
  <c r="Y720" i="22"/>
  <c r="H303" i="1" s="1"/>
  <c r="Y718" i="22"/>
  <c r="Z271" i="7"/>
  <c r="Z410" i="21"/>
  <c r="H256" i="1" s="1"/>
  <c r="AB54" i="3"/>
  <c r="AB86" i="3" s="1"/>
  <c r="Z393" i="21"/>
  <c r="H239" i="1" s="1"/>
  <c r="Z383" i="21"/>
  <c r="W100" i="3"/>
  <c r="W102" i="3" s="1"/>
  <c r="Z98" i="3" s="1"/>
  <c r="Z262" i="7"/>
  <c r="H53" i="1" s="1"/>
  <c r="Z266" i="7"/>
  <c r="H57" i="1" s="1"/>
  <c r="AB157" i="12"/>
  <c r="AB266" i="12"/>
  <c r="AB200" i="12"/>
  <c r="AB109" i="12"/>
  <c r="AB74" i="15"/>
  <c r="AB122" i="15" s="1"/>
  <c r="Z135" i="15" s="1"/>
  <c r="W135" i="15"/>
  <c r="W137" i="15" s="1"/>
  <c r="Z133" i="15" s="1"/>
  <c r="AB44" i="11"/>
  <c r="AB91" i="11" s="1"/>
  <c r="Z102" i="11"/>
  <c r="Z105" i="11" s="1"/>
  <c r="W147" i="14"/>
  <c r="Y1263" i="25"/>
  <c r="AB45" i="20"/>
  <c r="AB153" i="21"/>
  <c r="AB370" i="21"/>
  <c r="W62" i="13"/>
  <c r="AB45" i="13"/>
  <c r="AB55" i="17"/>
  <c r="AA75" i="16"/>
  <c r="AB197" i="19"/>
  <c r="AA552" i="25"/>
  <c r="Z388" i="21"/>
  <c r="W444" i="21" s="1"/>
  <c r="AA471" i="25"/>
  <c r="AB99" i="10"/>
  <c r="AB325" i="10" s="1"/>
  <c r="AB132" i="14"/>
  <c r="Z142" i="14" s="1"/>
  <c r="AB253" i="19"/>
  <c r="AB158" i="20"/>
  <c r="AB291" i="20"/>
  <c r="AB96" i="20"/>
  <c r="AB255" i="20"/>
  <c r="AB219" i="20"/>
  <c r="AB55" i="4"/>
  <c r="AB61" i="5"/>
  <c r="AB230" i="21"/>
  <c r="AB184" i="21"/>
  <c r="AB276" i="21"/>
  <c r="AB136" i="19"/>
  <c r="Z129" i="15"/>
  <c r="Z132" i="15" s="1"/>
  <c r="Z432" i="19"/>
  <c r="H191" i="1" s="1"/>
  <c r="AB299" i="19"/>
  <c r="AA216" i="26"/>
  <c r="AA382" i="26" s="1"/>
  <c r="W105" i="3"/>
  <c r="V101" i="16"/>
  <c r="AB164" i="9"/>
  <c r="AB398" i="19"/>
  <c r="Z429" i="19"/>
  <c r="W157" i="14"/>
  <c r="Z144" i="14" s="1"/>
  <c r="AB73" i="6"/>
  <c r="AB123" i="6" s="1"/>
  <c r="Z145" i="6" s="1"/>
  <c r="Z62" i="17"/>
  <c r="Z65" i="17" s="1"/>
  <c r="W80" i="17"/>
  <c r="W68" i="17"/>
  <c r="W70" i="17" s="1"/>
  <c r="Z66" i="17" s="1"/>
  <c r="AB112" i="5"/>
  <c r="AA123" i="25"/>
  <c r="V96" i="16"/>
  <c r="Y85" i="16"/>
  <c r="Y88" i="16" s="1"/>
  <c r="W465" i="19" l="1"/>
  <c r="W460" i="19"/>
  <c r="H62" i="1"/>
  <c r="W294" i="7"/>
  <c r="W282" i="7"/>
  <c r="H301" i="1"/>
  <c r="V731" i="22"/>
  <c r="V742" i="22"/>
  <c r="H292" i="1"/>
  <c r="V732" i="22"/>
  <c r="W81" i="4"/>
  <c r="W76" i="4"/>
  <c r="W284" i="7"/>
  <c r="W289" i="7"/>
  <c r="W468" i="19"/>
  <c r="W461" i="19"/>
  <c r="C385" i="1"/>
  <c r="W462" i="19"/>
  <c r="C406" i="1"/>
  <c r="Z278" i="7"/>
  <c r="AA695" i="22"/>
  <c r="H71" i="1"/>
  <c r="W168" i="8"/>
  <c r="H75" i="1"/>
  <c r="W161" i="8"/>
  <c r="Y726" i="22"/>
  <c r="Y729" i="22"/>
  <c r="H342" i="1"/>
  <c r="V1267" i="25"/>
  <c r="V1274" i="25"/>
  <c r="H114" i="1"/>
  <c r="W118" i="11"/>
  <c r="W108" i="11"/>
  <c r="H352" i="1"/>
  <c r="V1268" i="25"/>
  <c r="H116" i="1"/>
  <c r="W295" i="12"/>
  <c r="W289" i="12"/>
  <c r="C401" i="1"/>
  <c r="Z97" i="3"/>
  <c r="H127" i="1"/>
  <c r="W65" i="13"/>
  <c r="H351" i="1"/>
  <c r="V1279" i="25"/>
  <c r="V1269" i="25"/>
  <c r="W362" i="10"/>
  <c r="W355" i="10"/>
  <c r="C419" i="1"/>
  <c r="V737" i="22"/>
  <c r="V730" i="22"/>
  <c r="C425" i="1"/>
  <c r="Z126" i="5"/>
  <c r="W137" i="5"/>
  <c r="Z438" i="21"/>
  <c r="H280" i="1"/>
  <c r="C388" i="1" s="1"/>
  <c r="W443" i="21"/>
  <c r="V744" i="22"/>
  <c r="H188" i="1"/>
  <c r="H195" i="1"/>
  <c r="J377" i="1"/>
  <c r="H234" i="1"/>
  <c r="W445" i="21"/>
  <c r="H229" i="1"/>
  <c r="W451" i="21"/>
  <c r="H24" i="1"/>
  <c r="Z70" i="4"/>
  <c r="W456" i="21"/>
  <c r="W452" i="21"/>
  <c r="H20" i="1"/>
  <c r="W106" i="3"/>
  <c r="W112" i="3" s="1"/>
  <c r="Z99" i="3" s="1"/>
  <c r="Z142" i="6"/>
  <c r="Z143" i="6"/>
  <c r="C418" i="1"/>
  <c r="Z73" i="4"/>
  <c r="Z58" i="13"/>
  <c r="Z143" i="14"/>
  <c r="H36" i="1"/>
  <c r="W132" i="5"/>
  <c r="W134" i="5" s="1"/>
  <c r="W142" i="5"/>
  <c r="Y398" i="26"/>
  <c r="W176" i="2"/>
  <c r="Z163" i="2" s="1"/>
  <c r="Z158" i="2"/>
  <c r="Z161" i="2" s="1"/>
  <c r="C410" i="1"/>
  <c r="C411" i="1"/>
  <c r="Z57" i="13"/>
  <c r="C412" i="1"/>
  <c r="C409" i="1"/>
  <c r="C421" i="1"/>
  <c r="Y732" i="22"/>
  <c r="Z67" i="17"/>
  <c r="W110" i="11"/>
  <c r="Z106" i="11" s="1"/>
  <c r="V1281" i="25"/>
  <c r="W286" i="7"/>
  <c r="W140" i="15"/>
  <c r="W147" i="15" s="1"/>
  <c r="Z134" i="15" s="1"/>
  <c r="V403" i="26"/>
  <c r="Y399" i="26" s="1"/>
  <c r="V93" i="16"/>
  <c r="Y89" i="16" s="1"/>
  <c r="AB267" i="12"/>
  <c r="W296" i="7"/>
  <c r="W472" i="19"/>
  <c r="Z454" i="19"/>
  <c r="W292" i="12"/>
  <c r="Z284" i="12"/>
  <c r="W316" i="20"/>
  <c r="Z308" i="20"/>
  <c r="W120" i="11"/>
  <c r="Z107" i="11" s="1"/>
  <c r="Z164" i="2"/>
  <c r="W326" i="20"/>
  <c r="V1271" i="25"/>
  <c r="AB113" i="5"/>
  <c r="AA1237" i="25"/>
  <c r="W78" i="4"/>
  <c r="Z74" i="4" s="1"/>
  <c r="W158" i="6"/>
  <c r="Z144" i="6" s="1"/>
  <c r="AB292" i="20"/>
  <c r="W88" i="4"/>
  <c r="Z75" i="4" s="1"/>
  <c r="AB371" i="21"/>
  <c r="AB399" i="19"/>
  <c r="Z68" i="17"/>
  <c r="Y91" i="16"/>
  <c r="W72" i="13"/>
  <c r="Z59" i="13" s="1"/>
  <c r="W369" i="10"/>
  <c r="V103" i="16"/>
  <c r="Y90" i="16" s="1"/>
  <c r="W359" i="10"/>
  <c r="Z311" i="20" l="1"/>
  <c r="X472" i="19"/>
  <c r="C384" i="1"/>
  <c r="C386" i="1"/>
  <c r="C377" i="1"/>
  <c r="C397" i="1"/>
  <c r="C375" i="1"/>
  <c r="C395" i="1"/>
  <c r="C404" i="1"/>
  <c r="Z458" i="19"/>
  <c r="C420" i="1"/>
  <c r="V734" i="22"/>
  <c r="W144" i="5"/>
  <c r="Z131" i="5" s="1"/>
  <c r="C403" i="1"/>
  <c r="K377" i="1"/>
  <c r="C402" i="1"/>
  <c r="Z100" i="3" s="1"/>
  <c r="Y1266" i="25"/>
  <c r="Z129" i="5"/>
  <c r="Y1267" i="25"/>
  <c r="Z281" i="7"/>
  <c r="Z312" i="20"/>
  <c r="Z442" i="21"/>
  <c r="Z283" i="7"/>
  <c r="Z282" i="7"/>
  <c r="Y1268" i="25"/>
  <c r="J375" i="1"/>
  <c r="K375" i="1" s="1"/>
  <c r="W166" i="2"/>
  <c r="Z162" i="2" s="1"/>
  <c r="C424" i="1"/>
  <c r="Y1269" i="25" s="1"/>
  <c r="Z130" i="5"/>
  <c r="Z354" i="10"/>
  <c r="W302" i="12"/>
  <c r="Z289" i="12" s="1"/>
  <c r="V413" i="26"/>
  <c r="Y400" i="26" s="1"/>
  <c r="W459" i="21"/>
  <c r="Z444" i="21" s="1"/>
  <c r="Z287" i="12"/>
  <c r="Z288" i="12"/>
  <c r="Z355" i="10"/>
  <c r="Z356" i="10"/>
  <c r="Z132" i="5"/>
  <c r="Z108" i="11"/>
  <c r="Z357" i="10"/>
  <c r="Y401" i="26"/>
  <c r="Z314" i="20"/>
  <c r="Z284" i="7"/>
  <c r="Z290" i="12"/>
  <c r="Z313" i="20"/>
  <c r="Z460" i="19"/>
  <c r="Z459" i="19"/>
  <c r="Z457" i="19"/>
  <c r="Z76" i="4"/>
  <c r="Z60" i="13"/>
  <c r="Z145" i="14"/>
  <c r="W448" i="21"/>
  <c r="Z443" i="21" l="1"/>
  <c r="Z20" i="9"/>
  <c r="AA20" i="9" s="1"/>
  <c r="AB19" i="9" l="1"/>
  <c r="AB89" i="9" l="1"/>
  <c r="AB165" i="9" s="1"/>
  <c r="Z173" i="9"/>
  <c r="Z183" i="9"/>
  <c r="Z186" i="9" s="1"/>
  <c r="H80" i="1" l="1"/>
  <c r="W194" i="9"/>
  <c r="W187" i="9"/>
  <c r="J374" i="1" s="1"/>
  <c r="W201" i="9"/>
  <c r="Z188" i="9" s="1"/>
  <c r="W191" i="9"/>
  <c r="Z187" i="9" s="1"/>
  <c r="C396" i="1" l="1"/>
  <c r="C383" i="1"/>
  <c r="C374" i="1"/>
  <c r="C408" i="1"/>
  <c r="K374" i="1"/>
  <c r="Z189" i="9" l="1"/>
  <c r="Z153" i="8"/>
  <c r="H74" i="1"/>
  <c r="C394" i="1" l="1"/>
  <c r="C389" i="1"/>
  <c r="C376" i="1"/>
  <c r="W173" i="8"/>
  <c r="W163" i="8"/>
  <c r="Z157" i="8"/>
  <c r="C407" i="1"/>
  <c r="H367" i="1"/>
  <c r="C391" i="1"/>
  <c r="C379" i="1"/>
  <c r="D374" i="1" s="1"/>
  <c r="C426" i="1"/>
  <c r="W175" i="8"/>
  <c r="D395" i="1" l="1"/>
  <c r="D378" i="1"/>
  <c r="D376" i="1"/>
  <c r="D396" i="1"/>
  <c r="D375" i="1"/>
  <c r="D397" i="1"/>
  <c r="D377" i="1"/>
  <c r="W165" i="8"/>
  <c r="Z161" i="8" s="1"/>
  <c r="J376" i="1"/>
  <c r="Z162" i="8"/>
  <c r="Z160" i="8"/>
  <c r="Z163" i="8"/>
  <c r="C398" i="1"/>
  <c r="D394" i="1"/>
  <c r="D398" i="1" s="1"/>
  <c r="K381" i="1"/>
  <c r="K379" i="1"/>
  <c r="K382" i="1"/>
  <c r="D379" i="1"/>
  <c r="D383" i="1" l="1"/>
  <c r="D384" i="1"/>
  <c r="D385" i="1"/>
  <c r="D386" i="1"/>
  <c r="D387" i="1"/>
  <c r="D388" i="1"/>
  <c r="D389" i="1"/>
  <c r="D390" i="1"/>
  <c r="D382" i="1"/>
  <c r="K380" i="1"/>
  <c r="D402" i="1"/>
  <c r="D419" i="1"/>
  <c r="D414" i="1"/>
  <c r="D404" i="1"/>
  <c r="D420" i="1"/>
  <c r="D406" i="1"/>
  <c r="D413" i="1"/>
  <c r="D425" i="1"/>
  <c r="D423" i="1"/>
  <c r="D421" i="1"/>
  <c r="D415" i="1"/>
  <c r="D418" i="1"/>
  <c r="D405" i="1"/>
  <c r="D409" i="1"/>
  <c r="D424" i="1"/>
  <c r="D412" i="1"/>
  <c r="D416" i="1"/>
  <c r="D403" i="1"/>
  <c r="D410" i="1"/>
  <c r="D422" i="1"/>
  <c r="D417" i="1"/>
  <c r="D411" i="1"/>
  <c r="D408" i="1"/>
  <c r="D401" i="1"/>
  <c r="D407" i="1"/>
  <c r="J379" i="1"/>
  <c r="K376" i="1"/>
  <c r="D426" i="1" l="1"/>
  <c r="D391" i="1"/>
  <c r="Y730" i="22"/>
  <c r="Y731" i="22" l="1"/>
  <c r="AB119" i="33"/>
  <c r="AB311" i="33"/>
  <c r="Z350" i="33"/>
  <c r="J373" i="1" l="1"/>
  <c r="K373" i="1" s="1"/>
  <c r="Z353" i="33"/>
  <c r="Z352" i="33"/>
  <c r="Z35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Eunice Basilio</author>
  </authors>
  <commentList>
    <comment ref="AA32" authorId="0" shapeId="0" xr:uid="{DF28236D-2A25-4010-9428-FBE20CCCE0A2}">
      <text>
        <r>
          <rPr>
            <sz val="10"/>
            <color rgb="FF000000"/>
            <rFont val="Arial"/>
            <family val="2"/>
            <scheme val="minor"/>
          </rPr>
          <t>Dirección De Planificación:
CERTIFICACION presupuestaria Nro 235</t>
        </r>
      </text>
    </comment>
    <comment ref="AA36" authorId="0" shapeId="0" xr:uid="{4F47CD48-4889-4DFD-84E9-66741378D342}">
      <text>
        <r>
          <rPr>
            <sz val="10"/>
            <color rgb="FF000000"/>
            <rFont val="Arial"/>
            <family val="2"/>
            <scheme val="minor"/>
          </rPr>
          <t>Dirección De Planificación:
Certificación presupuestaria Nro. 199</t>
        </r>
      </text>
    </comment>
    <comment ref="V66" authorId="1" shapeId="0" xr:uid="{00000000-0006-0000-0100-000001000000}">
      <text>
        <r>
          <rPr>
            <b/>
            <sz val="9"/>
            <color rgb="FF000000"/>
            <rFont val="Tahoma"/>
            <family val="2"/>
          </rPr>
          <t>Eunice Basilio:</t>
        </r>
        <r>
          <rPr>
            <sz val="9"/>
            <color rgb="FF000000"/>
            <rFont val="Tahoma"/>
            <family val="2"/>
          </rPr>
          <t xml:space="preserve">
</t>
        </r>
        <r>
          <rPr>
            <sz val="9"/>
            <color rgb="FF000000"/>
            <rFont val="Tahoma"/>
            <family val="2"/>
          </rPr>
          <t>Se trasladó el valor que tenía la Dirección Administrativa por $ 10,000 por disposición del Abg. Oscar.</t>
        </r>
      </text>
    </comment>
    <comment ref="AA96" authorId="0" shapeId="0" xr:uid="{13ACBDAB-C56E-40AA-9C57-414EC4D6FC28}">
      <text>
        <r>
          <rPr>
            <sz val="10"/>
            <color rgb="FF000000"/>
            <rFont val="Arial"/>
            <family val="2"/>
            <scheme val="minor"/>
          </rPr>
          <t>Dirección De Planificación:
Certificación presupuestaria Nro. 255</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valeriaramonc@hotmail.com</author>
    <author>tc={EE9E1B0D-CA7C-4C1D-BA10-B0DEA563082E}</author>
    <author>Dirección De Planificación</author>
    <author>tc={38F3CF82-72B9-4B3C-BE15-05F1A13268CB}</author>
  </authors>
  <commentList>
    <comment ref="AB39" authorId="0" shapeId="0" xr:uid="{00000000-0006-0000-0B00-000001000000}">
      <text>
        <r>
          <rPr>
            <sz val="10"/>
            <color rgb="FF000000"/>
            <rFont val="Arial"/>
            <family val="2"/>
          </rPr>
          <t xml:space="preserve">valeriaramonc@hotmail.com:
</t>
        </r>
        <r>
          <rPr>
            <sz val="10"/>
            <color rgb="FF000000"/>
            <rFont val="Arial"/>
            <family val="2"/>
          </rPr>
          <t xml:space="preserve">POR AJUSTE SUMA 0.95 </t>
        </r>
      </text>
    </comment>
    <comment ref="AA118" authorId="1" shapeId="0" xr:uid="{EE9E1B0D-CA7C-4C1D-BA10-B0DEA563082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422</t>
        </r>
      </text>
    </comment>
    <comment ref="AA224" authorId="2" shapeId="0" xr:uid="{B0F74FE0-A688-4DD4-B09C-010707B9080D}">
      <text>
        <r>
          <rPr>
            <sz val="10"/>
            <color rgb="FF000000"/>
            <rFont val="Arial"/>
            <family val="2"/>
            <scheme val="minor"/>
          </rPr>
          <t>Dirección De Planificación:
Certificación Nro. 161</t>
        </r>
      </text>
    </comment>
    <comment ref="AA225" authorId="3" shapeId="0" xr:uid="{38F3CF82-72B9-4B3C-BE15-05F1A13268CB}">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368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s>
  <commentList>
    <comment ref="AA21" authorId="0" shapeId="0" xr:uid="{D137D644-FAAB-459A-AB29-0FAE162070E9}">
      <text>
        <r>
          <rPr>
            <sz val="10"/>
            <color rgb="FF000000"/>
            <rFont val="Arial"/>
            <family val="2"/>
            <scheme val="minor"/>
          </rPr>
          <t>Dirección De Planificación:
Certificación presupuestaria nro. 122</t>
        </r>
      </text>
    </comment>
    <comment ref="AB40" authorId="0" shapeId="0" xr:uid="{EF9414BA-4C12-4BEA-8691-19DC2669AF7B}">
      <text>
        <r>
          <rPr>
            <sz val="10"/>
            <color rgb="FF000000"/>
            <rFont val="Arial"/>
            <family val="2"/>
            <scheme val="minor"/>
          </rPr>
          <t>Dirección De Planificación:
En virtud del seguimiento se reduce el egreso por cuanto no se ha ejecutado hasta el momento.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s>
  <commentList>
    <comment ref="AA16" authorId="0" shapeId="0" xr:uid="{00666B14-5246-4982-8651-534EA7B21B84}">
      <text>
        <r>
          <rPr>
            <sz val="10"/>
            <color rgb="FF000000"/>
            <rFont val="Arial"/>
            <family val="2"/>
            <scheme val="minor"/>
          </rPr>
          <t>Dirección De Planificación:
Certificación nro. 169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s>
  <commentList>
    <comment ref="AA30" authorId="0" shapeId="0" xr:uid="{8F4812F3-20EE-4FFE-A3C7-6E3A30FFF235}">
      <text>
        <r>
          <rPr>
            <sz val="10"/>
            <color rgb="FF000000"/>
            <rFont val="Arial"/>
            <family val="2"/>
            <scheme val="minor"/>
          </rPr>
          <t>Dirección De Planificación:
La coordinación para necesidades de comunicación se deberá realizar con la Dirección de Comunicación y con cargo a dicho POA 2024; en virtud de que hasta la fecha no se ha certificado ni comprometido el recurso asignado.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tc={728A4A1F-4568-46EA-AA6E-638A201F053E}</author>
    <author>tc={E2311742-5E0D-4828-B9F6-84FFF8D57B77}</author>
  </authors>
  <commentList>
    <comment ref="Z25" authorId="0" shapeId="0" xr:uid="{728A4A1F-4568-46EA-AA6E-638A201F053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473</t>
        </r>
      </text>
    </comment>
    <comment ref="Z30" authorId="1" shapeId="0" xr:uid="{E2311742-5E0D-4828-B9F6-84FFF8D57B7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466</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tc={D9550EEC-7D7C-4AD7-A3E1-ECB7C3B5B4BC}</author>
    <author>tc={5F8945FB-B87F-4011-BF07-1EA3460A40FC}</author>
  </authors>
  <commentList>
    <comment ref="AB35" authorId="0" shapeId="0" xr:uid="{D9550EEC-7D7C-4AD7-A3E1-ECB7C3B5B4B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190089.58 se reduce por cuanto se realizará el proyecto el otro año </t>
        </r>
      </text>
    </comment>
    <comment ref="Y36" authorId="1" shapeId="0" xr:uid="{5F8945FB-B87F-4011-BF07-1EA3460A40F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169722.84</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tc={9997F8E4-780E-40D4-AC4C-5A168AA52DA3}</author>
    <author>Valeria Ramon Capa</author>
    <author>tc={59264EAE-609C-4D40-9625-252E6539161A}</author>
    <author>tc={67DA1EBD-0E6F-4771-A5AC-C0C0EDC48BC6}</author>
    <author>tc={4C805AC6-1B59-479F-986A-8B177A44FDBE}</author>
    <author>tc={ADB50D4F-B078-4611-AD32-C7D2BFD2D700}</author>
    <author>tc={B6542109-9411-46F5-A060-DB680BB61265}</author>
    <author>tc={503A7D5D-C07A-4DC2-BAB1-306AEE314E68}</author>
    <author>Fanny Eunice Basilio Banchon</author>
    <author>tc={02B0E6E2-7D31-44B0-84A9-8BB279C1F5D4}</author>
    <author>tc={021C8AF5-4D7B-435D-9AEE-4C7FBEF312F3}</author>
  </authors>
  <commentList>
    <comment ref="AA15" authorId="0" shapeId="0" xr:uid="{7B3F7269-AED5-41D9-986B-D4B809A8AEBF}">
      <text>
        <r>
          <rPr>
            <sz val="10"/>
            <color rgb="FF000000"/>
            <rFont val="Arial"/>
            <family val="2"/>
            <scheme val="minor"/>
          </rPr>
          <t>Dirección De Planificación:
Certificación nro. 265</t>
        </r>
      </text>
    </comment>
    <comment ref="AB53" authorId="1" shapeId="0" xr:uid="{9997F8E4-780E-40D4-AC4C-5A168AA52DA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367</t>
        </r>
      </text>
    </comment>
    <comment ref="AA54" authorId="0" shapeId="0" xr:uid="{4B68CD0B-782B-496E-8F65-C312CA1FE665}">
      <text>
        <r>
          <rPr>
            <sz val="10"/>
            <color rgb="FF000000"/>
            <rFont val="Arial"/>
            <family val="2"/>
            <scheme val="minor"/>
          </rPr>
          <t>Dirección De Planificación:
En virtud de información de la proforma.</t>
        </r>
      </text>
    </comment>
    <comment ref="AA55" authorId="0" shapeId="0" xr:uid="{AEBA7B3D-8FD4-4C73-896C-B598F3C6471A}">
      <text>
        <r>
          <rPr>
            <sz val="10"/>
            <color rgb="FF000000"/>
            <rFont val="Arial"/>
            <family val="2"/>
            <scheme val="minor"/>
          </rPr>
          <t>Dirección De Planificación:
En virtud de información de la proforma.</t>
        </r>
      </text>
    </comment>
    <comment ref="AA65" authorId="0" shapeId="0" xr:uid="{7DF48F71-B059-4A0D-8F1F-493AC8BA0AAD}">
      <text>
        <r>
          <rPr>
            <sz val="10"/>
            <color rgb="FF000000"/>
            <rFont val="Arial"/>
            <scheme val="minor"/>
          </rPr>
          <t>Dirección De Planificación:
Certificación Nro 404</t>
        </r>
      </text>
    </comment>
    <comment ref="AA70" authorId="0" shapeId="0" xr:uid="{0582A607-4B6E-428E-913D-2991FE2F4992}">
      <text>
        <r>
          <rPr>
            <sz val="10"/>
            <color rgb="FF000000"/>
            <rFont val="Arial"/>
            <family val="2"/>
            <scheme val="minor"/>
          </rPr>
          <t>Dirección De Planificación:
Certificación nro. 304</t>
        </r>
      </text>
    </comment>
    <comment ref="W72" authorId="2" shapeId="0" xr:uid="{00000000-0006-0000-1100-000001000000}">
      <text>
        <r>
          <rPr>
            <sz val="10"/>
            <color rgb="FF000000"/>
            <rFont val="Arial"/>
            <family val="2"/>
            <scheme val="minor"/>
          </rPr>
          <t>Valeria Ramon:
45</t>
        </r>
      </text>
    </comment>
    <comment ref="AA79" authorId="0" shapeId="0" xr:uid="{51BE77B0-8405-4816-8BE5-ADF766E093F5}">
      <text>
        <r>
          <rPr>
            <sz val="10"/>
            <color rgb="FF000000"/>
            <rFont val="Arial"/>
            <family val="2"/>
            <scheme val="minor"/>
          </rPr>
          <t xml:space="preserve">Dirección De Planificación:
Orden de compra nro. 
CE-20230002449913 </t>
        </r>
      </text>
    </comment>
    <comment ref="AA81" authorId="3" shapeId="0" xr:uid="{59264EAE-609C-4D40-9625-252E6539161A}">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210</t>
        </r>
      </text>
    </comment>
    <comment ref="AA85" authorId="4" shapeId="0" xr:uid="{67DA1EBD-0E6F-4771-A5AC-C0C0EDC48BC6}">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210</t>
        </r>
      </text>
    </comment>
    <comment ref="AA196" authorId="0" shapeId="0" xr:uid="{D5745EB1-0D9A-40EC-AEE2-FBEB3110453E}">
      <text>
        <r>
          <rPr>
            <sz val="10"/>
            <color rgb="FF000000"/>
            <rFont val="Arial"/>
            <scheme val="minor"/>
          </rPr>
          <t>Dirección De Planificación:
Certificación Nro 449</t>
        </r>
      </text>
    </comment>
    <comment ref="AB198" authorId="0" shapeId="0" xr:uid="{922395E2-F217-4857-B6B3-53A183B2A13E}">
      <text>
        <r>
          <rPr>
            <sz val="10"/>
            <color rgb="FF000000"/>
            <rFont val="Arial"/>
            <family val="2"/>
            <scheme val="minor"/>
          </rPr>
          <t>Dirección De Planificación:
Se unifica en POA de DADM por solicitud de la Unidad de Compras Públicas.</t>
        </r>
      </text>
    </comment>
    <comment ref="AB201" authorId="5" shapeId="0" xr:uid="{4C805AC6-1B59-479F-986A-8B177A44FDB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2887.36</t>
        </r>
      </text>
    </comment>
    <comment ref="W202" authorId="6" shapeId="0" xr:uid="{ADB50D4F-B078-4611-AD32-C7D2BFD2D700}">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Y202" authorId="7" shapeId="0" xr:uid="{B6542109-9411-46F5-A060-DB680BB6126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1289</t>
        </r>
      </text>
    </comment>
    <comment ref="W204" authorId="0" shapeId="0" xr:uid="{07BD323E-BB52-4D8E-AC0D-6D27CC9DA60E}">
      <text>
        <r>
          <rPr>
            <sz val="10"/>
            <color rgb="FF000000"/>
            <rFont val="Arial"/>
            <scheme val="minor"/>
          </rPr>
          <t>Dirección De Planificación:
1</t>
        </r>
      </text>
    </comment>
    <comment ref="W217" authorId="8" shapeId="0" xr:uid="{503A7D5D-C07A-4DC2-BAB1-306AEE314E68}">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AB218" authorId="9" shapeId="0" xr:uid="{EDDE1051-12EE-4602-87ED-500B4A0A49AF}">
      <text>
        <r>
          <rPr>
            <sz val="10"/>
            <color rgb="FF000000"/>
            <rFont val="Arial"/>
            <scheme val="minor"/>
          </rPr>
          <t>Fanny Eunice Basilio Banchon:
Certificacion 499</t>
        </r>
      </text>
    </comment>
    <comment ref="AA253" authorId="10" shapeId="0" xr:uid="{02B0E6E2-7D31-44B0-84A9-8BB279C1F5D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DTIC-0326-M</t>
        </r>
      </text>
    </comment>
    <comment ref="AA254" authorId="11" shapeId="0" xr:uid="{021C8AF5-4D7B-435D-9AEE-4C7FBEF312F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370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tc={87ADF63D-F47B-4B83-A451-DFCBDFECDB6F}</author>
  </authors>
  <commentList>
    <comment ref="AA30" authorId="0" shapeId="0" xr:uid="{E653A7EF-2C0C-462B-A909-C099CB89FF81}">
      <text>
        <r>
          <rPr>
            <sz val="10"/>
            <color rgb="FF000000"/>
            <rFont val="Arial"/>
            <family val="2"/>
            <scheme val="minor"/>
          </rPr>
          <t>Dirección De Planificación:
CERTIFICACION Nro 165</t>
        </r>
      </text>
    </comment>
    <comment ref="AA75" authorId="1" shapeId="0" xr:uid="{87ADF63D-F47B-4B83-A451-DFCBDFECDB6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certificación 139</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tc={78C55EE4-24EB-4BCB-906B-3F01D243E732}</author>
  </authors>
  <commentList>
    <comment ref="W262" authorId="0" shapeId="0" xr:uid="{78C55EE4-24EB-4BCB-906B-3F01D243E732}">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5</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tc={6320B654-4B39-4F75-9C11-4B9E3DA923CE}</author>
    <author>Dirección De Planificación</author>
    <author>tc={FCF50C39-B88B-4F78-8D97-80036E681F83}</author>
    <author>tc={80631304-42D4-4261-88F8-9A06E891CFDD}</author>
    <author>tc={6BBEF778-9E89-42F9-8F3E-B86F684BEF7F}</author>
    <author>tc={B74E6F9F-39D7-4176-9934-2357D4F7F786}</author>
    <author>Valeria  Lisstte Ramon Capa</author>
    <author>tc={0B3C6B11-C58D-4978-B748-A71602DC68D6}</author>
    <author>tc={3E0EAAD2-5BD4-48F0-9C17-50EA4E3680EF}</author>
    <author>tc={24BE2289-C5DA-4832-BD5B-E0403F1A3DCF}</author>
    <author>tc={7738FBAA-C501-4382-8E04-CA12FAB06224}</author>
    <author>tc={C7D0ACB8-6E67-4CAE-BBF5-7E36F4233565}</author>
  </authors>
  <commentList>
    <comment ref="AB20" authorId="0" shapeId="0" xr:uid="{00000000-0006-0000-1400-000001000000}">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14000 se redujo para cubrir liquidaciones por juicios  990101 003
</t>
        </r>
      </text>
    </comment>
    <comment ref="AA24" authorId="1" shapeId="0" xr:uid="{BC0EF74F-C6FB-4042-B53B-599249133E73}">
      <text>
        <r>
          <rPr>
            <sz val="10"/>
            <color rgb="FF000000"/>
            <rFont val="Arial"/>
            <family val="2"/>
            <scheme val="minor"/>
          </rPr>
          <t>Dirección De Planificación:
Del POA de DTIC</t>
        </r>
      </text>
    </comment>
    <comment ref="AA25" authorId="1" shapeId="0" xr:uid="{40271B26-3D2C-422F-8438-6E32B6FD43BD}">
      <text>
        <r>
          <rPr>
            <sz val="10"/>
            <color rgb="FF000000"/>
            <rFont val="Arial"/>
            <family val="2"/>
            <scheme val="minor"/>
          </rPr>
          <t>Dirección De Planificación:
Del POA de DTIC</t>
        </r>
      </text>
    </comment>
    <comment ref="AA26" authorId="1" shapeId="0" xr:uid="{EE98F44E-6E47-410A-B4F7-73BC310E339C}">
      <text>
        <r>
          <rPr>
            <sz val="10"/>
            <color rgb="FF000000"/>
            <rFont val="Arial"/>
            <family val="2"/>
            <scheme val="minor"/>
          </rPr>
          <t>Dirección De Planificación:
Del POA de DAC</t>
        </r>
      </text>
    </comment>
    <comment ref="AA27" authorId="1" shapeId="0" xr:uid="{6610BC1A-E946-4B88-A03A-DBF3D435EA0C}">
      <text>
        <r>
          <rPr>
            <sz val="10"/>
            <color rgb="FF000000"/>
            <rFont val="Arial"/>
            <family val="2"/>
            <scheme val="minor"/>
          </rPr>
          <t>Dirección De Planificación:
Del POA de DAC</t>
        </r>
      </text>
    </comment>
    <comment ref="AA28" authorId="1" shapeId="0" xr:uid="{9D51E587-78D7-45E8-B934-4676913B01CD}">
      <text>
        <r>
          <rPr>
            <sz val="10"/>
            <color rgb="FF000000"/>
            <rFont val="Arial"/>
            <family val="2"/>
            <scheme val="minor"/>
          </rPr>
          <t>Dirección De Planificación:
Del POA de DBUAC</t>
        </r>
      </text>
    </comment>
    <comment ref="AA29" authorId="1" shapeId="0" xr:uid="{A31FDFEE-4462-4B2E-A60B-37EB9864DEAE}">
      <text>
        <r>
          <rPr>
            <sz val="10"/>
            <color rgb="FF000000"/>
            <rFont val="Arial"/>
            <family val="2"/>
            <scheme val="minor"/>
          </rPr>
          <t>Dirección De Planificación:
Del POA de FIC</t>
        </r>
      </text>
    </comment>
    <comment ref="AA30" authorId="1" shapeId="0" xr:uid="{7E95A9AF-7732-47B6-9FFD-EF4A5A8A130B}">
      <text>
        <r>
          <rPr>
            <sz val="10"/>
            <color rgb="FF000000"/>
            <rFont val="Arial"/>
            <family val="2"/>
            <scheme val="minor"/>
          </rPr>
          <t>Dirección De Planificación:
Del POA de FIC</t>
        </r>
      </text>
    </comment>
    <comment ref="AA31" authorId="1" shapeId="0" xr:uid="{30231254-17F7-4A36-9736-9AEC86BD31F5}">
      <text>
        <r>
          <rPr>
            <sz val="10"/>
            <color rgb="FF000000"/>
            <rFont val="Arial"/>
            <family val="2"/>
            <scheme val="minor"/>
          </rPr>
          <t>Dirección De Planificación:
Del POA de FIC</t>
        </r>
      </text>
    </comment>
    <comment ref="AA74" authorId="2" shapeId="0" xr:uid="{FCF50C39-B88B-4F78-8D97-80036E681F8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certificacion 386
</t>
        </r>
      </text>
    </comment>
    <comment ref="AB96" authorId="3" shapeId="0" xr:uid="{80631304-42D4-4261-88F8-9A06E891CFDD}">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501</t>
        </r>
      </text>
    </comment>
    <comment ref="AA102" authorId="4" shapeId="0" xr:uid="{6BBEF778-9E89-42F9-8F3E-B86F684BEF7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247</t>
        </r>
      </text>
    </comment>
    <comment ref="AA106" authorId="5" shapeId="0" xr:uid="{B74E6F9F-39D7-4176-9934-2357D4F7F786}">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247</t>
        </r>
      </text>
    </comment>
    <comment ref="W110" authorId="6" shapeId="0" xr:uid="{8B88D534-DF3A-4254-AFAD-853227DDA704}">
      <text>
        <r>
          <rPr>
            <sz val="10"/>
            <color rgb="FF000000"/>
            <rFont val="Arial"/>
            <scheme val="minor"/>
          </rPr>
          <t>Valeria  Lisstte Ramon Capa:
24</t>
        </r>
      </text>
    </comment>
    <comment ref="AB116" authorId="7" shapeId="0" xr:uid="{0B3C6B11-C58D-4978-B748-A71602DC68D6}">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386</t>
        </r>
      </text>
    </comment>
    <comment ref="AA122" authorId="8" shapeId="0" xr:uid="{3E0EAAD2-5BD4-48F0-9C17-50EA4E3680E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Certificación nro. 433</t>
        </r>
      </text>
    </comment>
    <comment ref="AA125" authorId="9" shapeId="0" xr:uid="{24BE2289-C5DA-4832-BD5B-E0403F1A3DC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Certificaciones nro. 33 y 34</t>
        </r>
      </text>
    </comment>
    <comment ref="AA242" authorId="1" shapeId="0" xr:uid="{4BF3FAF4-418A-4F30-93C2-2278D795610B}">
      <text>
        <r>
          <rPr>
            <sz val="10"/>
            <color rgb="FF000000"/>
            <rFont val="Arial"/>
            <family val="2"/>
            <scheme val="minor"/>
          </rPr>
          <t>Dirección De Planificación:
CERTIFICACION Nro 328</t>
        </r>
      </text>
    </comment>
    <comment ref="AB243" authorId="10" shapeId="0" xr:uid="{7738FBAA-C501-4382-8E04-CA12FAB0622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382</t>
        </r>
      </text>
    </comment>
    <comment ref="AA294" authorId="1" shapeId="0" xr:uid="{7A544D20-3E99-4C0B-A2C8-056F07A4C2A8}">
      <text>
        <r>
          <rPr>
            <sz val="10"/>
            <color rgb="FF000000"/>
            <rFont val="Arial"/>
            <scheme val="minor"/>
          </rPr>
          <t>Dirección De Planificación:
Certificación Nro. 380</t>
        </r>
      </text>
    </comment>
    <comment ref="AA296" authorId="1" shapeId="0" xr:uid="{38CB3DD9-DD9D-4D9C-A041-91F6C1C4EEFB}">
      <text>
        <r>
          <rPr>
            <sz val="10"/>
            <color rgb="FF000000"/>
            <rFont val="Arial"/>
            <family val="2"/>
            <scheme val="minor"/>
          </rPr>
          <t>Dirección De Planificación:
CERTIFICACION Nro 79
CERTIFICACION Nro 302</t>
        </r>
      </text>
    </comment>
    <comment ref="AB309" authorId="11" shapeId="0" xr:uid="{C7D0ACB8-6E67-4CAE-BBF5-7E36F423356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Certificación 520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tc={298D1797-1D63-41E5-9960-8F4BF0D8F67B}</author>
    <author>Dirección De Planificación</author>
  </authors>
  <commentList>
    <comment ref="AA21" authorId="0" shapeId="0" xr:uid="{298D1797-1D63-41E5-9960-8F4BF0D8F67B}">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373</t>
        </r>
      </text>
    </comment>
    <comment ref="AA23" authorId="1" shapeId="0" xr:uid="{42A4F236-B164-4883-918D-2ACB9DF729E5}">
      <text>
        <r>
          <rPr>
            <sz val="10"/>
            <color rgb="FF000000"/>
            <rFont val="Arial"/>
            <family val="2"/>
            <scheme val="minor"/>
          </rPr>
          <t>Dirección De Planificación:
Certificación presupuestaria Nro. 51</t>
        </r>
      </text>
    </comment>
    <comment ref="AA24" authorId="1" shapeId="0" xr:uid="{F2BA52E8-2065-448C-BF73-99926FB311BD}">
      <text>
        <r>
          <rPr>
            <sz val="10"/>
            <color rgb="FF000000"/>
            <rFont val="Arial"/>
            <family val="2"/>
            <scheme val="minor"/>
          </rPr>
          <t>Dirección De Planificación:
Certificación presupuestaria nro. 174</t>
        </r>
      </text>
    </comment>
    <comment ref="AA26" authorId="1" shapeId="0" xr:uid="{A213BD7F-D693-481A-8BCD-12E082EE6CF7}">
      <text>
        <r>
          <rPr>
            <sz val="10"/>
            <color rgb="FF000000"/>
            <rFont val="Arial"/>
            <family val="2"/>
            <scheme val="minor"/>
          </rPr>
          <t>Dirección De Planificación:
Certificación presupuestaria nro. 175</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tc={4217BB85-B26C-4DAC-BF8D-548482537336}</author>
    <author>tc={117CD7E9-3653-4660-B343-83DEF1223B94}</author>
    <author>tc={F3A0FAA0-2D35-4BE0-828D-CD600B3DFFBE}</author>
    <author>Valeria Ramon Capa</author>
    <author>tc={14FF5A77-5B95-4E83-8691-C204F6E91647}</author>
    <author>tc={2D5745C2-E692-4F7C-B34A-0AEA0B5F9178}</author>
    <author>tc={95F10D82-85C1-4A2B-9EA5-2689C55393D7}</author>
  </authors>
  <commentList>
    <comment ref="Z15" authorId="0" shapeId="0" xr:uid="{8C2F8175-4161-4C80-AEC8-C510EEF7FE7D}">
      <text>
        <r>
          <rPr>
            <sz val="10"/>
            <color rgb="FF000000"/>
            <rFont val="Arial"/>
            <scheme val="minor"/>
          </rPr>
          <t>Dirección De Planificación:
Certificación Nro. 393</t>
        </r>
      </text>
    </comment>
    <comment ref="Z20" authorId="0" shapeId="0" xr:uid="{E3D336C0-BAED-4A34-8182-1889ACEECF83}">
      <text>
        <r>
          <rPr>
            <sz val="10"/>
            <color rgb="FF000000"/>
            <rFont val="Arial"/>
            <family val="2"/>
            <scheme val="minor"/>
          </rPr>
          <t>Dirección De Planificación:
CERTIFICACION Nro 202</t>
        </r>
      </text>
    </comment>
    <comment ref="Z26" authorId="0" shapeId="0" xr:uid="{7F3DC555-2942-4699-8692-41921E0F64EE}">
      <text>
        <r>
          <rPr>
            <sz val="10"/>
            <color rgb="FF000000"/>
            <rFont val="Arial"/>
            <family val="2"/>
            <scheme val="minor"/>
          </rPr>
          <t>Dirección De Planificación:
CERTIFICACION Nro 259</t>
        </r>
      </text>
    </comment>
    <comment ref="Z29" authorId="1" shapeId="0" xr:uid="{4217BB85-B26C-4DAC-BF8D-548482537336}">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Liquidado por creación de fondo</t>
        </r>
      </text>
    </comment>
    <comment ref="Z64" authorId="0" shapeId="0" xr:uid="{86CD6818-97B3-4B98-872A-A96C516EEFE7}">
      <text>
        <r>
          <rPr>
            <sz val="10"/>
            <color rgb="FF000000"/>
            <rFont val="Arial"/>
            <scheme val="minor"/>
          </rPr>
          <t>Dirección De Planificación:
Certificación Nro. 387</t>
        </r>
      </text>
    </comment>
    <comment ref="Z125" authorId="2" shapeId="0" xr:uid="{117CD7E9-3653-4660-B343-83DEF1223B9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462</t>
        </r>
      </text>
    </comment>
    <comment ref="V128" authorId="0" shapeId="0" xr:uid="{3D590982-FD7F-44C9-88A6-AF07FA0BFFD5}">
      <text>
        <r>
          <rPr>
            <sz val="10"/>
            <color rgb="FF000000"/>
            <rFont val="Arial"/>
            <scheme val="minor"/>
          </rPr>
          <t>Dirección De Planificación:
1</t>
        </r>
      </text>
    </comment>
    <comment ref="X128" authorId="0" shapeId="0" xr:uid="{A61744BA-AD3D-42E7-8E07-7D2E28B9B15F}">
      <text>
        <r>
          <rPr>
            <sz val="10"/>
            <color rgb="FF000000"/>
            <rFont val="Arial"/>
            <scheme val="minor"/>
          </rPr>
          <t xml:space="preserve">Dirección De Planificación:
$423,00
</t>
        </r>
      </text>
    </comment>
    <comment ref="AA130" authorId="3" shapeId="0" xr:uid="{F3A0FAA0-2D35-4BE0-828D-CD600B3DFFB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352</t>
        </r>
      </text>
    </comment>
    <comment ref="AA143" authorId="4" shapeId="0" xr:uid="{00000000-0006-0000-1500-000001000000}">
      <text>
        <r>
          <rPr>
            <b/>
            <sz val="10"/>
            <color rgb="FF000000"/>
            <rFont val="Tahoma"/>
            <family val="2"/>
          </rPr>
          <t>Valeria Ramon Capa:</t>
        </r>
        <r>
          <rPr>
            <sz val="10"/>
            <color rgb="FF000000"/>
            <rFont val="Tahoma"/>
            <family val="2"/>
          </rPr>
          <t xml:space="preserve">
</t>
        </r>
        <r>
          <rPr>
            <sz val="10"/>
            <color rgb="FF000000"/>
            <rFont val="Tahoma"/>
            <family val="2"/>
          </rPr>
          <t>solo desfinanciado $22400 pero no eliminado</t>
        </r>
      </text>
    </comment>
    <comment ref="Z191" authorId="0" shapeId="0" xr:uid="{861528EC-00F6-41F6-940D-1BEF26A7A984}">
      <text>
        <r>
          <rPr>
            <sz val="10"/>
            <color rgb="FF000000"/>
            <rFont val="Arial"/>
            <scheme val="minor"/>
          </rPr>
          <t>Dirección De Planificación:
Certificación Nro 348</t>
        </r>
      </text>
    </comment>
    <comment ref="AA197" authorId="5" shapeId="0" xr:uid="{14FF5A77-5B95-4E83-8691-C204F6E9164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421</t>
        </r>
      </text>
    </comment>
    <comment ref="V215" authorId="6" shapeId="0" xr:uid="{2D5745C2-E692-4F7C-B34A-0AEA0B5F9178}">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t>
        </r>
      </text>
    </comment>
    <comment ref="AA240" authorId="7" shapeId="0" xr:uid="{95F10D82-85C1-4A2B-9EA5-2689C55393D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327</t>
        </r>
      </text>
    </comment>
    <comment ref="Y707" authorId="0" shapeId="0" xr:uid="{7084EF0F-74FB-412E-94A5-DB6DBDFAD4A4}">
      <text>
        <r>
          <rPr>
            <sz val="10"/>
            <color rgb="FF000000"/>
            <rFont val="Arial"/>
            <scheme val="minor"/>
          </rPr>
          <t>Dirección De Planificación:
Certificación Nro. 421</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Eunice</author>
    <author>HP</author>
    <author>tc={CE5A9B7C-6BBF-4AB7-A08F-7292D353D0B7}</author>
  </authors>
  <commentList>
    <comment ref="AD7" authorId="0" shapeId="0" xr:uid="{00000000-0006-0000-1600-000001000000}">
      <text>
        <r>
          <rPr>
            <sz val="9"/>
            <color indexed="81"/>
            <rFont val="Tahoma"/>
            <family val="2"/>
          </rPr>
          <t xml:space="preserve">
Marcar con una S en el cuatrimestre que va requerir el insumo para el cumplimiento de la meta.</t>
        </r>
      </text>
    </comment>
    <comment ref="AG7" authorId="0" shapeId="0" xr:uid="{00000000-0006-0000-1600-000002000000}">
      <text>
        <r>
          <rPr>
            <sz val="9"/>
            <color indexed="81"/>
            <rFont val="Tahoma"/>
            <family val="2"/>
          </rPr>
          <t xml:space="preserve">
Ingresar algún detalle adicional si es necesario.</t>
        </r>
      </text>
    </comment>
    <comment ref="R8" authorId="0" shapeId="0" xr:uid="{00000000-0006-0000-1600-000003000000}">
      <text>
        <r>
          <rPr>
            <sz val="9"/>
            <color indexed="81"/>
            <rFont val="Tahoma"/>
            <family val="2"/>
          </rPr>
          <t xml:space="preserve">
Ingresar el Programa Presupuestario al que corresponde el bien o servicio a requerir.</t>
        </r>
      </text>
    </comment>
    <comment ref="S8" authorId="0" shapeId="0" xr:uid="{00000000-0006-0000-1600-000004000000}">
      <text>
        <r>
          <rPr>
            <sz val="9"/>
            <color indexed="81"/>
            <rFont val="Tahoma"/>
            <family val="2"/>
          </rPr>
          <t xml:space="preserve">
Ingresar el código de la Partida a la que corresponde el bien o servicio a requerir.</t>
        </r>
      </text>
    </comment>
    <comment ref="T8" authorId="1" shapeId="0" xr:uid="{00000000-0006-0000-1600-000005000000}">
      <text>
        <r>
          <rPr>
            <sz val="9"/>
            <color indexed="81"/>
            <rFont val="Tahoma"/>
            <family val="2"/>
          </rPr>
          <t xml:space="preserve">
Ingresar el CPC</t>
        </r>
      </text>
    </comment>
    <comment ref="U8" authorId="0" shapeId="0" xr:uid="{00000000-0006-0000-1600-000006000000}">
      <text>
        <r>
          <rPr>
            <sz val="9"/>
            <color indexed="81"/>
            <rFont val="Tahoma"/>
            <family val="2"/>
          </rPr>
          <t xml:space="preserve">
Ingresar la descripción del objeto de contratación, agrupada según la partida a la que corresponde.</t>
        </r>
      </text>
    </comment>
    <comment ref="V8" authorId="0" shapeId="0" xr:uid="{00000000-0006-0000-1600-000007000000}">
      <text>
        <r>
          <rPr>
            <sz val="9"/>
            <color indexed="81"/>
            <rFont val="Tahoma"/>
            <family val="2"/>
          </rPr>
          <t xml:space="preserve">
Es la cantidad de los insumos que se requieren para el cumplimiento de las metas.</t>
        </r>
      </text>
    </comment>
    <comment ref="W8" authorId="0" shapeId="0" xr:uid="{00000000-0006-0000-1600-000008000000}">
      <text>
        <r>
          <rPr>
            <sz val="9"/>
            <color indexed="81"/>
            <rFont val="Tahoma"/>
            <family val="2"/>
          </rPr>
          <t xml:space="preserve">
Ubicar si es Unidad, Metros, Litros, etc.</t>
        </r>
      </text>
    </comment>
    <comment ref="X8" authorId="0" shapeId="0" xr:uid="{00000000-0006-0000-1600-000009000000}">
      <text>
        <r>
          <rPr>
            <sz val="9"/>
            <color indexed="81"/>
            <rFont val="Tahoma"/>
            <family val="2"/>
          </rPr>
          <t xml:space="preserve">
Es el valor unitario del producto detallado.</t>
        </r>
      </text>
    </comment>
    <comment ref="Y8" authorId="0" shapeId="0" xr:uid="{00000000-0006-0000-1600-00000A000000}">
      <text>
        <r>
          <rPr>
            <sz val="9"/>
            <color indexed="81"/>
            <rFont val="Tahoma"/>
            <family val="2"/>
          </rPr>
          <t xml:space="preserve">
Ingresar el subtotal, que resulta de multiplicar la cantidad anual por el costo unitario, sin incluir el IVA.</t>
        </r>
      </text>
    </comment>
    <comment ref="Z8" authorId="1" shapeId="0" xr:uid="{00000000-0006-0000-1600-00000B000000}">
      <text>
        <r>
          <rPr>
            <sz val="9"/>
            <color indexed="81"/>
            <rFont val="Tahoma"/>
            <family val="2"/>
          </rPr>
          <t xml:space="preserve">
Ingresar el subtotal, que resulta de multiplicar la cantidad anual por el costo unitario, incluido el IVA.</t>
        </r>
      </text>
    </comment>
    <comment ref="AA8" authorId="0" shapeId="0" xr:uid="{00000000-0006-0000-1600-00000C000000}">
      <text>
        <r>
          <rPr>
            <sz val="9"/>
            <color indexed="81"/>
            <rFont val="Tahoma"/>
            <family val="2"/>
          </rPr>
          <t xml:space="preserve">
Corresponde a la suma total de la Partida Presupuestaria, incluido el IVA.</t>
        </r>
      </text>
    </comment>
    <comment ref="Z441" authorId="2" shapeId="0" xr:uid="{CE5A9B7C-6BBF-4AB7-A08F-7292D353D0B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484</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tc={81EF29CE-1E96-49BB-A2F9-2278CF3CB673}</author>
    <author>Valeria Ramon Capa</author>
    <author>tc={4F13012C-E226-470F-8587-7A9181C9D25E}</author>
    <author>tc={63C9AA72-8B47-4FF1-8419-22F763CDFFB4}</author>
    <author>Dirección De Planificación</author>
    <author>tc={0953FB0F-F338-43B6-BB3F-FC46955F4080}</author>
    <author>tc={28F3954F-4DAA-495B-8225-2817A47855D4}</author>
    <author>tc={6F1F764E-3C0C-4879-A852-3F53EE8BFF2B}</author>
    <author>tc={33685EA9-7F3D-40CD-B085-6029F0EF9C99}</author>
    <author>tc={2F6B12C6-A088-40FC-860D-68A0E3E609A8}</author>
    <author>tc={81C370BC-5019-4114-ADF1-D6F12E352931}</author>
    <author>tc={F4715BC5-DB92-4357-AD7C-14F89CB167F2}</author>
    <author>tc={5FF09611-DDED-4FD0-9FA1-7B67CA37363F}</author>
    <author>tc={2E2CE04F-0B72-4D4C-B7F0-5D84800DF454}</author>
    <author>tc={C88493C5-CAD0-4781-9B92-3B960DAC02BA}</author>
    <author>tc={AB374DEF-73DC-4344-98DC-F99EC11B369C}</author>
    <author>tc={784CF91F-7E6E-485C-B5D7-7D9D63381D6F}</author>
    <author>tc={CA7D6EC6-36FE-4CF7-BA60-2491FEC97693}</author>
    <author>tc={51942998-92DE-4FA0-B1A7-6B333FCC92F7}</author>
    <author>tc={81817F83-4E35-4EE4-B036-D43AA704A1C1}</author>
    <author>tc={953CB11D-E931-4DED-9FCA-6B1F61345D15}</author>
    <author>tc={58742912-2A0F-48AE-B9B6-95885BE84FE3}</author>
    <author>tc={946F6EA6-FD4B-418B-9FFC-02889BD5A606}</author>
    <author>tc={3CBDE2CA-A5CA-416A-B899-634B68FA7911}</author>
    <author>tc={FA542D5E-BCA8-46F3-93CE-A240ECBFABA8}</author>
    <author>tc={36ED743C-A8A5-4A42-81AE-1F8D24036AB4}</author>
    <author>tc={D59E8F3E-225C-48FF-8D97-72EDC340FDD0}</author>
    <author>tc={FF98E67B-FB9F-40FB-BB6F-BE48B42E4563}</author>
    <author>tc={3331066B-7476-40B9-8F63-62FB1B0A2A4A}</author>
    <author>tc={CEB1721B-1D88-4F71-A66B-1A57DC354271}</author>
    <author>tc={CB64551F-DAA8-4ECE-968B-BFC916227BE5}</author>
  </authors>
  <commentList>
    <comment ref="Z15" authorId="0" shapeId="0" xr:uid="{81EF29CE-1E96-49BB-A2F9-2278CF3CB67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66</t>
        </r>
      </text>
    </comment>
    <comment ref="V19" authorId="1" shapeId="0" xr:uid="{00000000-0006-0000-1700-000001000000}">
      <text>
        <r>
          <rPr>
            <b/>
            <sz val="10"/>
            <color rgb="FF000000"/>
            <rFont val="Tahoma"/>
            <family val="2"/>
          </rPr>
          <t>Valeria Ramon Capa:</t>
        </r>
        <r>
          <rPr>
            <sz val="10"/>
            <color rgb="FF000000"/>
            <rFont val="Tahoma"/>
            <family val="2"/>
          </rPr>
          <t xml:space="preserve">
</t>
        </r>
        <r>
          <rPr>
            <sz val="10"/>
            <color rgb="FF000000"/>
            <rFont val="Tahoma"/>
            <family val="2"/>
          </rPr>
          <t>15</t>
        </r>
      </text>
    </comment>
    <comment ref="Z31" authorId="2" shapeId="0" xr:uid="{4F13012C-E226-470F-8587-7A9181C9D25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538</t>
        </r>
      </text>
    </comment>
    <comment ref="AA128" authorId="3" shapeId="0" xr:uid="{63C9AA72-8B47-4FF1-8419-22F763CDFFB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428</t>
        </r>
      </text>
    </comment>
    <comment ref="Z215" authorId="4" shapeId="0" xr:uid="{63077105-5CB6-4D86-A172-D68FA8CFEC97}">
      <text>
        <r>
          <rPr>
            <sz val="10"/>
            <color rgb="FF000000"/>
            <rFont val="Arial"/>
            <scheme val="minor"/>
          </rPr>
          <t>Dirección De Planificación:
Certificación Nro 343</t>
        </r>
      </text>
    </comment>
    <comment ref="AA228" authorId="5" shapeId="0" xr:uid="{0953FB0F-F338-43B6-BB3F-FC46955F4080}">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modificar a valor sin IVA EN POA Y REFORMA</t>
        </r>
      </text>
    </comment>
    <comment ref="Z229" authorId="6" shapeId="0" xr:uid="{28F3954F-4DAA-495B-8225-2817A47855D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341</t>
        </r>
      </text>
    </comment>
    <comment ref="V253" authorId="7" shapeId="0" xr:uid="{6F1F764E-3C0C-4879-A852-3F53EE8BFF2B}">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55" authorId="8" shapeId="0" xr:uid="{33685EA9-7F3D-40CD-B085-6029F0EF9C99}">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t>
        </r>
      </text>
    </comment>
    <comment ref="V261" authorId="9" shapeId="0" xr:uid="{2F6B12C6-A088-40FC-860D-68A0E3E609A8}">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2" authorId="10" shapeId="0" xr:uid="{81C370BC-5019-4114-ADF1-D6F12E352931}">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3" authorId="11" shapeId="0" xr:uid="{F4715BC5-DB92-4357-AD7C-14F89CB167F2}">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4" authorId="12" shapeId="0" xr:uid="{5FF09611-DDED-4FD0-9FA1-7B67CA37363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5" authorId="13" shapeId="0" xr:uid="{2E2CE04F-0B72-4D4C-B7F0-5D84800DF45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6" authorId="14" shapeId="0" xr:uid="{C88493C5-CAD0-4781-9B92-3B960DAC02BA}">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67" authorId="15" shapeId="0" xr:uid="{AB374DEF-73DC-4344-98DC-F99EC11B369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12</t>
        </r>
      </text>
    </comment>
    <comment ref="V268" authorId="16" shapeId="0" xr:uid="{784CF91F-7E6E-485C-B5D7-7D9D63381D6F}">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100</t>
        </r>
      </text>
    </comment>
    <comment ref="V269" authorId="17" shapeId="0" xr:uid="{CA7D6EC6-36FE-4CF7-BA60-2491FEC9769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12</t>
        </r>
      </text>
    </comment>
    <comment ref="V270" authorId="18" shapeId="0" xr:uid="{51942998-92DE-4FA0-B1A7-6B333FCC92F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100</t>
        </r>
      </text>
    </comment>
    <comment ref="V272" authorId="19" shapeId="0" xr:uid="{81817F83-4E35-4EE4-B036-D43AA704A1C1}">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4</t>
        </r>
      </text>
    </comment>
    <comment ref="V273" authorId="20" shapeId="0" xr:uid="{953CB11D-E931-4DED-9FCA-6B1F61345D1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t>
        </r>
      </text>
    </comment>
    <comment ref="V274" authorId="21" shapeId="0" xr:uid="{58742912-2A0F-48AE-B9B6-95885BE84FE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t>
        </r>
      </text>
    </comment>
    <comment ref="V275" authorId="22" shapeId="0" xr:uid="{946F6EA6-FD4B-418B-9FFC-02889BD5A606}">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V276" authorId="23" shapeId="0" xr:uid="{3CBDE2CA-A5CA-416A-B899-634B68FA7911}">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2</t>
        </r>
      </text>
    </comment>
    <comment ref="Z280" authorId="4" shapeId="0" xr:uid="{54C44D9D-765C-48C0-9644-FA1D513C5184}">
      <text>
        <r>
          <rPr>
            <sz val="10"/>
            <color rgb="FF000000"/>
            <rFont val="Arial"/>
            <scheme val="minor"/>
          </rPr>
          <t xml:space="preserve">Dirección De Planificación:
Certificación Nro 341
</t>
        </r>
      </text>
    </comment>
    <comment ref="AA280" authorId="24" shapeId="0" xr:uid="{FA542D5E-BCA8-46F3-93CE-A240ECBFABA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DISMINUIR VALOR DE IVA EN POA Y REFORMA
</t>
        </r>
      </text>
    </comment>
    <comment ref="Z281" authorId="4" shapeId="0" xr:uid="{64DF9170-0C2D-425D-B777-47B590817FB6}">
      <text>
        <r>
          <rPr>
            <sz val="10"/>
            <color rgb="FF000000"/>
            <rFont val="Arial"/>
            <scheme val="minor"/>
          </rPr>
          <t>Dirección De Planificación:
Certificación Nro 347</t>
        </r>
      </text>
    </comment>
    <comment ref="AA288" authorId="25" shapeId="0" xr:uid="{36ED743C-A8A5-4A42-81AE-1F8D24036AB4}">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CAMBIAR A 1350 EN POA Y REFORMA</t>
        </r>
      </text>
    </comment>
    <comment ref="Z291" authorId="26" shapeId="0" xr:uid="{D59E8F3E-225C-48FF-8D97-72EDC340FDD0}">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329</t>
        </r>
      </text>
    </comment>
    <comment ref="Z292" authorId="27" shapeId="0" xr:uid="{FF98E67B-FB9F-40FB-BB6F-BE48B42E456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512</t>
        </r>
      </text>
    </comment>
    <comment ref="AA298" authorId="28" shapeId="0" xr:uid="{3331066B-7476-40B9-8F63-62FB1B0A2A4A}">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165 CAMBIAR EN POA Y REFORMA
</t>
        </r>
      </text>
    </comment>
    <comment ref="AA305" authorId="29" shapeId="0" xr:uid="{CEB1721B-1D88-4F71-A66B-1A57DC354271}">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459</t>
        </r>
      </text>
    </comment>
    <comment ref="Z543" authorId="30" shapeId="0" xr:uid="{CB64551F-DAA8-4ECE-968B-BFC916227BE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405</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tc={C30F89DB-356E-48E0-BC58-8ED238E011A8}</author>
    <author>Dirección De Planificación</author>
    <author>tc={E4C941F8-DAD8-4AD0-BAE1-25615251EE47}</author>
    <author>tc={2B153D44-D6A3-4B74-B6EB-D19AA5E2068C}</author>
  </authors>
  <commentList>
    <comment ref="Z54" authorId="0" shapeId="0" xr:uid="{C30F89DB-356E-48E0-BC58-8ED238E011A8}">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351</t>
        </r>
      </text>
    </comment>
    <comment ref="Z58" authorId="1" shapeId="0" xr:uid="{7837FC90-CB5B-4E98-A272-A683BF566217}">
      <text>
        <r>
          <rPr>
            <sz val="10"/>
            <color rgb="FF000000"/>
            <rFont val="Arial"/>
            <family val="2"/>
            <scheme val="minor"/>
          </rPr>
          <t>Dirección De Planificación:
CERTIFICACION Nro 191</t>
        </r>
      </text>
    </comment>
    <comment ref="Z60" authorId="2" shapeId="0" xr:uid="{E4C941F8-DAD8-4AD0-BAE1-25615251EE47}">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503</t>
        </r>
      </text>
    </comment>
    <comment ref="Z69" authorId="1" shapeId="0" xr:uid="{AD1B500C-E7E3-4E86-9AE5-BCBDC0B03DDE}">
      <text>
        <r>
          <rPr>
            <sz val="10"/>
            <color rgb="FF000000"/>
            <rFont val="Arial"/>
            <family val="2"/>
            <scheme val="minor"/>
          </rPr>
          <t>Dirección De Planificación:
CERTIFICACION Nro 148</t>
        </r>
      </text>
    </comment>
    <comment ref="Z71" authorId="1" shapeId="0" xr:uid="{6F0293EF-FC19-4ADE-874E-DB64AF1ADF15}">
      <text>
        <r>
          <rPr>
            <sz val="10"/>
            <color rgb="FF000000"/>
            <rFont val="Arial"/>
            <family val="2"/>
            <scheme val="minor"/>
          </rPr>
          <t>Dirección De Planificación:
CERTIFICACION Nro 143</t>
        </r>
      </text>
    </comment>
    <comment ref="Z73" authorId="1" shapeId="0" xr:uid="{222B9D72-E88C-45D7-A702-67DD0009D81E}">
      <text>
        <r>
          <rPr>
            <sz val="10"/>
            <color rgb="FF000000"/>
            <rFont val="Arial"/>
            <family val="2"/>
            <scheme val="minor"/>
          </rPr>
          <t>Dirección De Planificación:
CERTIFICACION Nro 262</t>
        </r>
      </text>
    </comment>
    <comment ref="Z74" authorId="1" shapeId="0" xr:uid="{D0CE2B73-AD61-4C8D-9BAA-3D7E9F0FF171}">
      <text>
        <r>
          <rPr>
            <sz val="10"/>
            <color rgb="FF000000"/>
            <rFont val="Arial"/>
            <family val="2"/>
            <scheme val="minor"/>
          </rPr>
          <t>Dirección De Planificación:
CERTIFICACION Nro 262</t>
        </r>
      </text>
    </comment>
    <comment ref="Z82" authorId="3" shapeId="0" xr:uid="{2B153D44-D6A3-4B74-B6EB-D19AA5E2068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301</t>
        </r>
      </text>
    </comment>
    <comment ref="Z708" authorId="1" shapeId="0" xr:uid="{6E6DC783-8E26-4123-A4C7-D988336907B0}">
      <text>
        <r>
          <rPr>
            <sz val="10"/>
            <color rgb="FF000000"/>
            <rFont val="Arial"/>
            <scheme val="minor"/>
          </rPr>
          <t>Dirección De Planificación:
Certificación  Nro. 409</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tc={B88B9CD3-195E-4EA5-BE0B-87E28702831C}</author>
  </authors>
  <commentList>
    <comment ref="Z32" authorId="0" shapeId="0" xr:uid="{2A4F8670-B700-467B-9DDB-EC05830EF548}">
      <text>
        <r>
          <rPr>
            <sz val="10"/>
            <color rgb="FF000000"/>
            <rFont val="Arial"/>
            <family val="2"/>
            <scheme val="minor"/>
          </rPr>
          <t>Dirección De Planificación:
CERTIFICACION Nro 274</t>
        </r>
      </text>
    </comment>
    <comment ref="Z38" authorId="0" shapeId="0" xr:uid="{616AFCA3-012E-4304-AEFC-06ADFC8FC071}">
      <text>
        <r>
          <rPr>
            <sz val="10"/>
            <color rgb="FF000000"/>
            <rFont val="Arial"/>
            <family val="2"/>
            <scheme val="minor"/>
          </rPr>
          <t>Dirección De Planificación:
Se unifica en el POA de DADM por pedido de la Unidad de Compras Públicas.</t>
        </r>
      </text>
    </comment>
    <comment ref="Z39" authorId="0" shapeId="0" xr:uid="{2C72C84C-316C-489D-A554-964A3361A52E}">
      <text>
        <r>
          <rPr>
            <sz val="10"/>
            <color rgb="FF000000"/>
            <rFont val="Arial"/>
            <family val="2"/>
            <scheme val="minor"/>
          </rPr>
          <t>Dirección De Planificación:
Se unifica en el POA de DADM por pedido de la Unidad de Compras Públicas.</t>
        </r>
      </text>
    </comment>
    <comment ref="Z40" authorId="0" shapeId="0" xr:uid="{2F4DB71D-9C50-45A3-835E-360ACE9DE5E2}">
      <text>
        <r>
          <rPr>
            <sz val="10"/>
            <color rgb="FF000000"/>
            <rFont val="Arial"/>
            <family val="2"/>
            <scheme val="minor"/>
          </rPr>
          <t>Dirección De Planificación:
Se unifica en el POA de DADM por pedido de la Unidad de Compras Públicas.</t>
        </r>
      </text>
    </comment>
    <comment ref="Z118" authorId="1" shapeId="0" xr:uid="{B88B9CD3-195E-4EA5-BE0B-87E28702831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437</t>
        </r>
      </text>
    </comment>
    <comment ref="Z120" authorId="0" shapeId="0" xr:uid="{31E29094-6527-45BB-B339-99E2479AA29F}">
      <text>
        <r>
          <rPr>
            <sz val="10"/>
            <color rgb="FF000000"/>
            <rFont val="Arial"/>
            <scheme val="minor"/>
          </rPr>
          <t>Dirección De Planificación:
CERTIFICACION Nro 378</t>
        </r>
      </text>
    </comment>
    <comment ref="Z121" authorId="0" shapeId="0" xr:uid="{F64BA532-A3B1-4D0E-B42E-E48214BB4C5A}">
      <text>
        <r>
          <rPr>
            <sz val="10"/>
            <color rgb="FF000000"/>
            <rFont val="Arial"/>
            <scheme val="minor"/>
          </rPr>
          <t>Dirección De Planificación:
CERTIFICACION Nro 378</t>
        </r>
      </text>
    </comment>
    <comment ref="Z122" authorId="0" shapeId="0" xr:uid="{16F64F59-4DAA-4DF9-AA1B-B21AF1E4CD63}">
      <text>
        <r>
          <rPr>
            <sz val="10"/>
            <color rgb="FF000000"/>
            <rFont val="Arial"/>
            <scheme val="minor"/>
          </rPr>
          <t>Dirección De Planificación:
CERTIFICACION Nro 378</t>
        </r>
      </text>
    </comment>
    <comment ref="Z153" authorId="0" shapeId="0" xr:uid="{921877F0-9794-406B-AE14-554A45A8AFA2}">
      <text>
        <r>
          <rPr>
            <sz val="10"/>
            <color rgb="FF000000"/>
            <rFont val="Arial"/>
            <scheme val="minor"/>
          </rPr>
          <t>Dirección De Planificación:
Certificación Nro 379</t>
        </r>
      </text>
    </comment>
    <comment ref="Z155" authorId="0" shapeId="0" xr:uid="{0F9B224D-537E-4E05-AF02-443CFF7091E9}">
      <text>
        <r>
          <rPr>
            <sz val="10"/>
            <color rgb="FF000000"/>
            <rFont val="Arial"/>
            <scheme val="minor"/>
          </rPr>
          <t>Dirección De Planificación:
Certificación Nro 436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HP</author>
    <author>Eunice Basilio</author>
    <author>Dirección Financiera</author>
  </authors>
  <commentList>
    <comment ref="E40" authorId="0" shapeId="0" xr:uid="{00000000-0006-0000-1B00-000001000000}">
      <text>
        <r>
          <rPr>
            <b/>
            <sz val="9"/>
            <color indexed="81"/>
            <rFont val="Tahoma"/>
            <family val="2"/>
          </rPr>
          <t>HP:</t>
        </r>
        <r>
          <rPr>
            <sz val="9"/>
            <color indexed="81"/>
            <rFont val="Tahoma"/>
            <family val="2"/>
          </rPr>
          <t xml:space="preserve">
Reforma N° 2:
Se incrementó $ 28.000,00 por contrato año anterior para adquisición de SIMCARD DBU</t>
        </r>
      </text>
    </comment>
    <comment ref="F41" authorId="0" shapeId="0" xr:uid="{00000000-0006-0000-1B00-000002000000}">
      <text>
        <r>
          <rPr>
            <b/>
            <sz val="9"/>
            <color indexed="81"/>
            <rFont val="Tahoma"/>
            <family val="2"/>
          </rPr>
          <t>HP:</t>
        </r>
        <r>
          <rPr>
            <sz val="9"/>
            <color indexed="81"/>
            <rFont val="Tahoma"/>
            <family val="2"/>
          </rPr>
          <t xml:space="preserve">
Reforma N° 2:
Se redujo $ 28.000,00 por adquisición de SIMCARD DBU, contrato que ya estaba en el POA.
Se redujo $ 14.000,00 para cubrir liquidaciones por juicios en la partida N° 990101 0701 003 en el programa 82</t>
        </r>
      </text>
    </comment>
    <comment ref="F42" authorId="0" shapeId="0" xr:uid="{00000000-0006-0000-1B00-000003000000}">
      <text>
        <r>
          <rPr>
            <b/>
            <sz val="9"/>
            <color indexed="81"/>
            <rFont val="Tahoma"/>
            <family val="2"/>
          </rPr>
          <t>HP:</t>
        </r>
        <r>
          <rPr>
            <sz val="9"/>
            <color indexed="81"/>
            <rFont val="Tahoma"/>
            <family val="2"/>
          </rPr>
          <t xml:space="preserve">
Reforma N° 2:
Se redujo $ 1.000,00 para cubrir liquidaciones por juicios en la partida N° 990101 0701 003 en el programa 82</t>
        </r>
      </text>
    </comment>
    <comment ref="E44" authorId="0" shapeId="0" xr:uid="{00000000-0006-0000-1B00-000004000000}">
      <text>
        <r>
          <rPr>
            <b/>
            <sz val="9"/>
            <color indexed="81"/>
            <rFont val="Tahoma"/>
            <family val="2"/>
          </rPr>
          <t>HP:</t>
        </r>
        <r>
          <rPr>
            <sz val="9"/>
            <color indexed="81"/>
            <rFont val="Tahoma"/>
            <family val="2"/>
          </rPr>
          <t xml:space="preserve">
Reforma N° 2:
Se incrementó $ 1.292,40, según Memorando N° UTMACH-DBUAC-2023-0012-M del 12/01/2023. </t>
        </r>
      </text>
    </comment>
    <comment ref="E47" authorId="0" shapeId="0" xr:uid="{00000000-0006-0000-1B00-000005000000}">
      <text>
        <r>
          <rPr>
            <b/>
            <sz val="9"/>
            <color indexed="81"/>
            <rFont val="Tahoma"/>
            <family val="2"/>
          </rPr>
          <t>HP:</t>
        </r>
        <r>
          <rPr>
            <sz val="9"/>
            <color indexed="81"/>
            <rFont val="Tahoma"/>
            <family val="2"/>
          </rPr>
          <t xml:space="preserve">
Reforma N° 2:
Se incrementó $ 194.032,61, según Oficio N° UTMACH-DADM-2023-0016-OF del 10/01/2023</t>
        </r>
      </text>
    </comment>
    <comment ref="E48" authorId="0" shapeId="0" xr:uid="{00000000-0006-0000-1B00-000006000000}">
      <text>
        <r>
          <rPr>
            <b/>
            <sz val="9"/>
            <color indexed="81"/>
            <rFont val="Tahoma"/>
            <family val="2"/>
          </rPr>
          <t>HP:</t>
        </r>
        <r>
          <rPr>
            <sz val="9"/>
            <color indexed="81"/>
            <rFont val="Tahoma"/>
            <family val="2"/>
          </rPr>
          <t xml:space="preserve">
Reforma N° 2:
Se incrementó $ 29.226,24, según Memorando N° UTMACH-DBUAC-2023-0012-M del 12/01/2023. </t>
        </r>
      </text>
    </comment>
    <comment ref="F49" authorId="0" shapeId="0" xr:uid="{00000000-0006-0000-1B00-000007000000}">
      <text>
        <r>
          <rPr>
            <b/>
            <sz val="9"/>
            <color indexed="81"/>
            <rFont val="Tahoma"/>
            <family val="2"/>
          </rPr>
          <t>HP:</t>
        </r>
        <r>
          <rPr>
            <sz val="9"/>
            <color indexed="81"/>
            <rFont val="Tahoma"/>
            <family val="2"/>
          </rPr>
          <t xml:space="preserve">
Reforma N° 2:
Se redujo $ 10.080,00 para pasar a Costas Judiciales</t>
        </r>
      </text>
    </comment>
    <comment ref="E51" authorId="0" shapeId="0" xr:uid="{00000000-0006-0000-1B00-000008000000}">
      <text>
        <r>
          <rPr>
            <b/>
            <sz val="9"/>
            <color indexed="81"/>
            <rFont val="Tahoma"/>
            <family val="2"/>
          </rPr>
          <t>HP:</t>
        </r>
        <r>
          <rPr>
            <sz val="9"/>
            <color indexed="81"/>
            <rFont val="Tahoma"/>
            <family val="2"/>
          </rPr>
          <t xml:space="preserve">
Reforma N° 2:
Se incrementó $ 37.040,00 por separación de partidas. Dir. Administrativa.</t>
        </r>
      </text>
    </comment>
    <comment ref="E58" authorId="0" shapeId="0" xr:uid="{00000000-0006-0000-1B00-000009000000}">
      <text>
        <r>
          <rPr>
            <b/>
            <sz val="9"/>
            <color indexed="81"/>
            <rFont val="Tahoma"/>
            <family val="2"/>
          </rPr>
          <t>HP:</t>
        </r>
        <r>
          <rPr>
            <sz val="9"/>
            <color indexed="81"/>
            <rFont val="Tahoma"/>
            <family val="2"/>
          </rPr>
          <t xml:space="preserve">
Reforma N° 2:
Se redujo $ 78.060,00 Dir. Administrativa que pasó de fuente 3 a fuente 2</t>
        </r>
      </text>
    </comment>
    <comment ref="E59" authorId="0" shapeId="0" xr:uid="{00000000-0006-0000-1B00-00000A000000}">
      <text>
        <r>
          <rPr>
            <b/>
            <sz val="9"/>
            <color indexed="81"/>
            <rFont val="Tahoma"/>
            <family val="2"/>
          </rPr>
          <t>HP:</t>
        </r>
        <r>
          <rPr>
            <sz val="9"/>
            <color indexed="81"/>
            <rFont val="Tahoma"/>
            <family val="2"/>
          </rPr>
          <t xml:space="preserve">
Reforma N° 2:
Se incrementó $ 7.500,00 según Oficio N° UTMACH-DADM-UOIFM-2022-555-OF del 29/12/2022.
Se incrementó $ 1.550,00, según Memorando N° UTMACH-DBUAC-2023-0012-M del 12/01/2023. 
Se incrementó $ 5.000,00 para adecuación de la DPLAN.
Se incrementó $ 56.000,00+219200,27 para adecuaciones y reparación de infraestructura y seguridad de ingresos peatonales y vehiculares. Vic. Administrativo. Vic. Administrativo</t>
        </r>
      </text>
    </comment>
    <comment ref="F59" authorId="0" shapeId="0" xr:uid="{00000000-0006-0000-1B00-00000B000000}">
      <text>
        <r>
          <rPr>
            <b/>
            <sz val="9"/>
            <color indexed="81"/>
            <rFont val="Tahoma"/>
            <family val="2"/>
          </rPr>
          <t>HP:</t>
        </r>
        <r>
          <rPr>
            <sz val="9"/>
            <color indexed="81"/>
            <rFont val="Tahoma"/>
            <family val="2"/>
          </rPr>
          <t xml:space="preserve">
Reforma N° 2:
Se redujo $ 18.037,80 Rectorado
Se redujo $ 110.026,38 Vic. Académico
Se redujo $ 78.060,00 Dir. Administrativa que pasó a fuente 2</t>
        </r>
      </text>
    </comment>
    <comment ref="E60" authorId="1" shapeId="0" xr:uid="{00000000-0006-0000-1B00-00000C000000}">
      <text>
        <r>
          <rPr>
            <b/>
            <sz val="9"/>
            <color indexed="81"/>
            <rFont val="Tahoma"/>
            <family val="2"/>
          </rPr>
          <t>Eunice Basilio:</t>
        </r>
        <r>
          <rPr>
            <sz val="9"/>
            <color indexed="81"/>
            <rFont val="Tahoma"/>
            <family val="2"/>
          </rPr>
          <t xml:space="preserve">
Reforma N° 2:
Se incrementó conforme archivo POA 2023:
$ 15.000,00 Dir. Administrativa</t>
        </r>
      </text>
    </comment>
    <comment ref="E62" authorId="0" shapeId="0" xr:uid="{00000000-0006-0000-1B00-00000D000000}">
      <text>
        <r>
          <rPr>
            <b/>
            <sz val="9"/>
            <color indexed="81"/>
            <rFont val="Tahoma"/>
            <family val="2"/>
          </rPr>
          <t>HP:</t>
        </r>
        <r>
          <rPr>
            <sz val="9"/>
            <color indexed="81"/>
            <rFont val="Tahoma"/>
            <family val="2"/>
          </rPr>
          <t xml:space="preserve">
Reforma N° 2:
Se incrementó solo $ 7.000,00 según Oficio N° UTMACH-DADM-UOIFM-2022-555-OF del 29/12/2022.</t>
        </r>
      </text>
    </comment>
    <comment ref="F62" authorId="0" shapeId="0" xr:uid="{00000000-0006-0000-1B00-00000E000000}">
      <text>
        <r>
          <rPr>
            <b/>
            <sz val="9"/>
            <color indexed="81"/>
            <rFont val="Tahoma"/>
            <family val="2"/>
          </rPr>
          <t>HP:</t>
        </r>
        <r>
          <rPr>
            <sz val="9"/>
            <color indexed="81"/>
            <rFont val="Tahoma"/>
            <family val="2"/>
          </rPr>
          <t xml:space="preserve">
Reforma N° 2:
Se redujo $ 92.610,11 para pasar a la partida N° 990101 0701 003 Obligaciones de Ejercicios Anteriores en Personal en el prog. 01 y 82</t>
        </r>
      </text>
    </comment>
    <comment ref="E63" authorId="0" shapeId="0" xr:uid="{00000000-0006-0000-1B00-00000F000000}">
      <text>
        <r>
          <rPr>
            <b/>
            <sz val="9"/>
            <color indexed="81"/>
            <rFont val="Tahoma"/>
            <family val="2"/>
          </rPr>
          <t>HP:</t>
        </r>
        <r>
          <rPr>
            <sz val="9"/>
            <color indexed="81"/>
            <rFont val="Tahoma"/>
            <family val="2"/>
          </rPr>
          <t xml:space="preserve">
Reforma N° 2:
$ 2.124,58 mantenimiento de vehículo KIA KMOTOR Dir Adm
$ 3.984,61 mantenimiento de vehículos GUALPA RAMIREZ Dir Adm</t>
        </r>
      </text>
    </comment>
    <comment ref="F65" authorId="0" shapeId="0" xr:uid="{00000000-0006-0000-1B00-000010000000}">
      <text>
        <r>
          <rPr>
            <b/>
            <sz val="9"/>
            <color indexed="81"/>
            <rFont val="Tahoma"/>
            <family val="2"/>
          </rPr>
          <t>HP:</t>
        </r>
        <r>
          <rPr>
            <sz val="9"/>
            <color indexed="81"/>
            <rFont val="Tahoma"/>
            <family val="2"/>
          </rPr>
          <t xml:space="preserve">
Reforma N° 2:
Se redujo $ 5.000,00 para adecuación de la DPLAN.
Se redujo $ 8.960,00 por indicar
Se redujo $ 600,84 Dir. Académica</t>
        </r>
      </text>
    </comment>
    <comment ref="F67" authorId="1" shapeId="0" xr:uid="{00000000-0006-0000-1B00-000011000000}">
      <text>
        <r>
          <rPr>
            <b/>
            <sz val="9"/>
            <color indexed="81"/>
            <rFont val="Tahoma"/>
            <family val="2"/>
          </rPr>
          <t>Eunice Basilio:</t>
        </r>
        <r>
          <rPr>
            <sz val="9"/>
            <color indexed="81"/>
            <rFont val="Tahoma"/>
            <family val="2"/>
          </rPr>
          <t xml:space="preserve">
Reforma N° 2:
Se redujo $ 284.523,80 conforme archivo POA 2023.</t>
        </r>
      </text>
    </comment>
    <comment ref="F68" authorId="0" shapeId="0" xr:uid="{00000000-0006-0000-1B00-000012000000}">
      <text>
        <r>
          <rPr>
            <b/>
            <sz val="9"/>
            <color indexed="81"/>
            <rFont val="Tahoma"/>
            <family val="2"/>
          </rPr>
          <t>HP:</t>
        </r>
        <r>
          <rPr>
            <sz val="9"/>
            <color indexed="81"/>
            <rFont val="Tahoma"/>
            <family val="2"/>
          </rPr>
          <t xml:space="preserve">
Reforma N° 2:
Se redujo $ 90.884,73, se sacó del POA 2023 de la DTH ítem Para sumar a la partida 580209 "A Jubilados Patronales"</t>
        </r>
      </text>
    </comment>
    <comment ref="E71" authorId="0" shapeId="0" xr:uid="{00000000-0006-0000-1B00-000013000000}">
      <text>
        <r>
          <rPr>
            <b/>
            <sz val="9"/>
            <color indexed="81"/>
            <rFont val="Tahoma"/>
            <family val="2"/>
          </rPr>
          <t>HP:</t>
        </r>
        <r>
          <rPr>
            <sz val="9"/>
            <color indexed="81"/>
            <rFont val="Tahoma"/>
            <family val="2"/>
          </rPr>
          <t xml:space="preserve">
Reforma N° 2:
Se incrementó $ 287,08, según Memorando N° UTMACH-DBUAC-2023-0012-M del 12/01/2023. </t>
        </r>
      </text>
    </comment>
    <comment ref="E72" authorId="0" shapeId="0" xr:uid="{00000000-0006-0000-1B00-000014000000}">
      <text>
        <r>
          <rPr>
            <b/>
            <sz val="9"/>
            <color indexed="81"/>
            <rFont val="Tahoma"/>
            <family val="2"/>
          </rPr>
          <t>HP:</t>
        </r>
        <r>
          <rPr>
            <sz val="9"/>
            <color indexed="81"/>
            <rFont val="Tahoma"/>
            <family val="2"/>
          </rPr>
          <t xml:space="preserve">
Reforma N° 2:
Se incrementó 40.000,00 para Uniformes Personal LOSEP DTH</t>
        </r>
      </text>
    </comment>
    <comment ref="F73" authorId="0" shapeId="0" xr:uid="{00000000-0006-0000-1B00-000015000000}">
      <text>
        <r>
          <rPr>
            <b/>
            <sz val="9"/>
            <color indexed="81"/>
            <rFont val="Tahoma"/>
            <family val="2"/>
          </rPr>
          <t>HP:</t>
        </r>
        <r>
          <rPr>
            <sz val="9"/>
            <color indexed="81"/>
            <rFont val="Tahoma"/>
            <family val="2"/>
          </rPr>
          <t xml:space="preserve">
Reforma N° 2:
Se redujo $ 37.040,00 para pasar a la partida de combustible. Dir. Administrativa.</t>
        </r>
      </text>
    </comment>
    <comment ref="E74" authorId="0" shapeId="0" xr:uid="{00000000-0006-0000-1B00-000016000000}">
      <text>
        <r>
          <rPr>
            <b/>
            <sz val="9"/>
            <color indexed="81"/>
            <rFont val="Tahoma"/>
            <family val="2"/>
          </rPr>
          <t>HP:</t>
        </r>
        <r>
          <rPr>
            <sz val="9"/>
            <color indexed="81"/>
            <rFont val="Tahoma"/>
            <family val="2"/>
          </rPr>
          <t xml:space="preserve">
Reforma N° 2:
Se rincrementó 16.800,00 Dir Adm
77,28 DAC que pasó de fuente 3 a fuente 2</t>
        </r>
      </text>
    </comment>
    <comment ref="F75" authorId="0" shapeId="0" xr:uid="{00000000-0006-0000-1B00-000017000000}">
      <text>
        <r>
          <rPr>
            <b/>
            <sz val="9"/>
            <color indexed="81"/>
            <rFont val="Tahoma"/>
            <family val="2"/>
          </rPr>
          <t>HP:</t>
        </r>
        <r>
          <rPr>
            <sz val="9"/>
            <color indexed="81"/>
            <rFont val="Tahoma"/>
            <family val="2"/>
          </rPr>
          <t xml:space="preserve">
Reforma N° 2:
Se redujo 16.800,00 Dir Adm
77,28 DAC que pasan a fuente 2</t>
        </r>
      </text>
    </comment>
    <comment ref="F77" authorId="0" shapeId="0" xr:uid="{00000000-0006-0000-1B00-000018000000}">
      <text>
        <r>
          <rPr>
            <b/>
            <sz val="9"/>
            <color indexed="81"/>
            <rFont val="Tahoma"/>
            <family val="2"/>
          </rPr>
          <t>HP:</t>
        </r>
        <r>
          <rPr>
            <sz val="9"/>
            <color indexed="81"/>
            <rFont val="Tahoma"/>
            <family val="2"/>
          </rPr>
          <t xml:space="preserve">
Reforma N° 2:
Se redujo $ 10.000,00 Dir. Administrativa</t>
        </r>
      </text>
    </comment>
    <comment ref="E80" authorId="0" shapeId="0" xr:uid="{00000000-0006-0000-1B00-000019000000}">
      <text>
        <r>
          <rPr>
            <b/>
            <sz val="9"/>
            <color indexed="81"/>
            <rFont val="Tahoma"/>
            <family val="2"/>
          </rPr>
          <t>HP:</t>
        </r>
        <r>
          <rPr>
            <sz val="9"/>
            <color indexed="81"/>
            <rFont val="Tahoma"/>
            <family val="2"/>
          </rPr>
          <t xml:space="preserve">
Reforma N° 2:
Se incrementó $ 4.500,00 según Oficio N° UTMACH-DADM-UOIFM-2022-555-OF del 29/12/2022.</t>
        </r>
      </text>
    </comment>
    <comment ref="E81" authorId="0" shapeId="0" xr:uid="{00000000-0006-0000-1B00-00001A000000}">
      <text>
        <r>
          <rPr>
            <b/>
            <sz val="9"/>
            <color indexed="81"/>
            <rFont val="Tahoma"/>
            <family val="2"/>
          </rPr>
          <t>HP:</t>
        </r>
        <r>
          <rPr>
            <sz val="9"/>
            <color indexed="81"/>
            <rFont val="Tahoma"/>
            <family val="2"/>
          </rPr>
          <t xml:space="preserve">
Reforma N° 2:
Se incrementó $ 1.333,44, según Memorando N° UTMACH-DBUAC-2023-0012-M del 12/01/2023. </t>
        </r>
      </text>
    </comment>
    <comment ref="F85" authorId="0" shapeId="0" xr:uid="{00000000-0006-0000-1B00-00001B000000}">
      <text>
        <r>
          <rPr>
            <b/>
            <sz val="9"/>
            <color indexed="81"/>
            <rFont val="Tahoma"/>
            <family val="2"/>
          </rPr>
          <t>HP:</t>
        </r>
        <r>
          <rPr>
            <sz val="9"/>
            <color indexed="81"/>
            <rFont val="Tahoma"/>
            <family val="2"/>
          </rPr>
          <t xml:space="preserve">
Reforma N° 2:
Se redujo 2.340,60</t>
        </r>
      </text>
    </comment>
    <comment ref="F86" authorId="0" shapeId="0" xr:uid="{00000000-0006-0000-1B00-00001C000000}">
      <text>
        <r>
          <rPr>
            <b/>
            <sz val="9"/>
            <color indexed="81"/>
            <rFont val="Tahoma"/>
            <family val="2"/>
          </rPr>
          <t>HP:</t>
        </r>
        <r>
          <rPr>
            <sz val="9"/>
            <color indexed="81"/>
            <rFont val="Tahoma"/>
            <family val="2"/>
          </rPr>
          <t xml:space="preserve">
Reforma N° 2:
Se redujo $ 34.363,67 del POA DBU por tener los ítems con precios mayores de $ 100.00.
Se redujo $ 56.000,00 para la readecuación de las entradas de la UTMACH. Vic. Administrativo</t>
        </r>
      </text>
    </comment>
    <comment ref="E100" authorId="0" shapeId="0" xr:uid="{00000000-0006-0000-1B00-00001D000000}">
      <text>
        <r>
          <rPr>
            <b/>
            <sz val="9"/>
            <color indexed="81"/>
            <rFont val="Tahoma"/>
            <family val="2"/>
          </rPr>
          <t>HP:</t>
        </r>
        <r>
          <rPr>
            <sz val="9"/>
            <color indexed="81"/>
            <rFont val="Tahoma"/>
            <family val="2"/>
          </rPr>
          <t xml:space="preserve">
Reforma N° 2:
Se incrementó $ 5.080,00 que es de la partida N° 530239 0701 003 Membrecías</t>
        </r>
      </text>
    </comment>
    <comment ref="E103" authorId="0" shapeId="0" xr:uid="{00000000-0006-0000-1B00-00001E000000}">
      <text>
        <r>
          <rPr>
            <b/>
            <sz val="9"/>
            <color indexed="81"/>
            <rFont val="Tahoma"/>
            <family val="2"/>
          </rPr>
          <t>HP:</t>
        </r>
        <r>
          <rPr>
            <sz val="9"/>
            <color indexed="81"/>
            <rFont val="Tahoma"/>
            <family val="2"/>
          </rPr>
          <t xml:space="preserve">
Reforma N° 2:
Se incrementó $ 1.000,00 para devolución de valores a estudiantes. Dir. Financiera.</t>
        </r>
      </text>
    </comment>
    <comment ref="F105" authorId="1" shapeId="0" xr:uid="{00000000-0006-0000-1B00-00001F000000}">
      <text>
        <r>
          <rPr>
            <b/>
            <sz val="9"/>
            <color indexed="81"/>
            <rFont val="Tahoma"/>
            <family val="2"/>
          </rPr>
          <t>Eunice Basilio:</t>
        </r>
        <r>
          <rPr>
            <sz val="9"/>
            <color indexed="81"/>
            <rFont val="Tahoma"/>
            <family val="2"/>
          </rPr>
          <t xml:space="preserve">
Reforma N° 2:
Se redujo conforme archivo POA 2023.
Se redujo $ 137.214,99, porque se sacó del POA 2023 de la DTH ítem para sumar a esta partida 580209 "A Jubilados Patronales"</t>
        </r>
      </text>
    </comment>
    <comment ref="B106" authorId="0" shapeId="0" xr:uid="{00000000-0006-0000-1B00-000020000000}">
      <text>
        <r>
          <rPr>
            <b/>
            <sz val="9"/>
            <color indexed="81"/>
            <rFont val="Tahoma"/>
            <family val="2"/>
          </rPr>
          <t>HP:</t>
        </r>
        <r>
          <rPr>
            <sz val="9"/>
            <color indexed="81"/>
            <rFont val="Tahoma"/>
            <family val="2"/>
          </rPr>
          <t xml:space="preserve">
Valores de proyectos de inversión</t>
        </r>
      </text>
    </comment>
    <comment ref="E107" authorId="0" shapeId="0" xr:uid="{00000000-0006-0000-1B00-000021000000}">
      <text>
        <r>
          <rPr>
            <b/>
            <sz val="9"/>
            <color indexed="81"/>
            <rFont val="Tahoma"/>
            <family val="2"/>
          </rPr>
          <t>HP:</t>
        </r>
        <r>
          <rPr>
            <sz val="9"/>
            <color indexed="81"/>
            <rFont val="Tahoma"/>
            <family val="2"/>
          </rPr>
          <t xml:space="preserve">
Reforma N° 2:
Se incrementó $ 423.188,30 py de jubilados que consta en la 84 en el POA 2023 de la DTH.
Se incrementó el saldo $ 18.470,34 y se lo sumó al py de jubilados DTH.</t>
        </r>
      </text>
    </comment>
    <comment ref="E108" authorId="0" shapeId="0" xr:uid="{00000000-0006-0000-1B00-000022000000}">
      <text>
        <r>
          <rPr>
            <b/>
            <sz val="9"/>
            <color indexed="81"/>
            <rFont val="Tahoma"/>
            <family val="2"/>
          </rPr>
          <t>HP:</t>
        </r>
        <r>
          <rPr>
            <sz val="9"/>
            <color indexed="81"/>
            <rFont val="Tahoma"/>
            <family val="2"/>
          </rPr>
          <t xml:space="preserve">
Reforma N° 2:
Servicio de seguridad privada COMUNIDAD FAMILIAR SEGURA COMFASEG Dir Administrativa</t>
        </r>
      </text>
    </comment>
    <comment ref="E109" authorId="0" shapeId="0" xr:uid="{00000000-0006-0000-1B00-000023000000}">
      <text>
        <r>
          <rPr>
            <b/>
            <sz val="9"/>
            <color indexed="81"/>
            <rFont val="Tahoma"/>
            <family val="2"/>
          </rPr>
          <t>HP:</t>
        </r>
        <r>
          <rPr>
            <sz val="9"/>
            <color indexed="81"/>
            <rFont val="Tahoma"/>
            <family val="2"/>
          </rPr>
          <t xml:space="preserve">
Reforma N° 2:
Se incrementó $ 545,00 para pago de órdenes compra de 1 archivador aéreo, 2 mesa de centro por los valores $90,00 y $396,00 sin incluir el IVA, respectivamente, según Oficio N° UTMACH-ADM-CENTRAL-EMP-2023-0048-OF_16/01/2023.
Dir. Administrativa</t>
        </r>
      </text>
    </comment>
    <comment ref="E111" authorId="1" shapeId="0" xr:uid="{00000000-0006-0000-1B00-000024000000}">
      <text>
        <r>
          <rPr>
            <b/>
            <sz val="9"/>
            <color indexed="81"/>
            <rFont val="Tahoma"/>
            <family val="2"/>
          </rPr>
          <t>Eunice Basilio:</t>
        </r>
        <r>
          <rPr>
            <sz val="9"/>
            <color indexed="81"/>
            <rFont val="Tahoma"/>
            <family val="2"/>
          </rPr>
          <t xml:space="preserve">
Reforma N° 2:
Se incrementó conforme archivo POA 2023:
$ 24.400,68 Dir. Administrativa
$ 761,38 Secretaría General
$ 2.893,16 Dir. Posgrado</t>
        </r>
      </text>
    </comment>
    <comment ref="E113" authorId="0" shapeId="0" xr:uid="{00000000-0006-0000-1B00-000025000000}">
      <text>
        <r>
          <rPr>
            <b/>
            <sz val="9"/>
            <color indexed="81"/>
            <rFont val="Tahoma"/>
            <family val="2"/>
          </rPr>
          <t>HP:</t>
        </r>
        <r>
          <rPr>
            <sz val="9"/>
            <color indexed="81"/>
            <rFont val="Tahoma"/>
            <family val="2"/>
          </rPr>
          <t xml:space="preserve">
Reforma N° 2:
Se incrementó $ 39.500,00 para adquisición de aires acondicionados PULLA HNOS Dir Adm
$ 2.940,00 por contrato de año anterior para adquisición de proyectores de imagen. TICS</t>
        </r>
      </text>
    </comment>
    <comment ref="E114" authorId="1" shapeId="0" xr:uid="{00000000-0006-0000-1B00-000026000000}">
      <text>
        <r>
          <rPr>
            <b/>
            <sz val="9"/>
            <color indexed="81"/>
            <rFont val="Tahoma"/>
            <family val="2"/>
          </rPr>
          <t>Eunice Basilio:</t>
        </r>
        <r>
          <rPr>
            <sz val="9"/>
            <color indexed="81"/>
            <rFont val="Tahoma"/>
            <family val="2"/>
          </rPr>
          <t xml:space="preserve">
Reforma N° 2:
Se incrementó conforme archivo POA 2023:
$ 19.554,08 DIRCOM
$ 3.360,00 Secretaría General
$ 2.882,88 Dir. Aseguramiento de la Calidad
$ 53.704,13 DTIC
$ 360,00 Dir. Financiera
$ 70.954,075 DBUAC</t>
        </r>
      </text>
    </comment>
    <comment ref="E115" authorId="0" shapeId="0" xr:uid="{00000000-0006-0000-1B00-000027000000}">
      <text>
        <r>
          <rPr>
            <b/>
            <sz val="9"/>
            <color indexed="81"/>
            <rFont val="Tahoma"/>
            <family val="2"/>
          </rPr>
          <t>HP:</t>
        </r>
        <r>
          <rPr>
            <sz val="9"/>
            <color indexed="81"/>
            <rFont val="Tahoma"/>
            <family val="2"/>
          </rPr>
          <t xml:space="preserve">
Reforma N° 2:
Se incrementó $ 42.311,18 para pago de contrato de año anterior por adquisición de cámaras de videovigilancia. UTMACH EP
Dir. Administrativa</t>
        </r>
      </text>
    </comment>
    <comment ref="E118" authorId="0" shapeId="0" xr:uid="{00000000-0006-0000-1B00-000028000000}">
      <text>
        <r>
          <rPr>
            <b/>
            <sz val="9"/>
            <color indexed="81"/>
            <rFont val="Tahoma"/>
            <family val="2"/>
          </rPr>
          <t>HP:</t>
        </r>
        <r>
          <rPr>
            <sz val="9"/>
            <color indexed="81"/>
            <rFont val="Tahoma"/>
            <family val="2"/>
          </rPr>
          <t xml:space="preserve">
Reforma N° 2:
Se incrementó $ 81.952,06 DBUAC Tablet</t>
        </r>
      </text>
    </comment>
    <comment ref="E120" authorId="1" shapeId="0" xr:uid="{00000000-0006-0000-1B00-000029000000}">
      <text>
        <r>
          <rPr>
            <b/>
            <sz val="9"/>
            <color indexed="81"/>
            <rFont val="Tahoma"/>
            <family val="2"/>
          </rPr>
          <t>Eunice Basilio:</t>
        </r>
        <r>
          <rPr>
            <sz val="9"/>
            <color indexed="81"/>
            <rFont val="Tahoma"/>
            <family val="2"/>
          </rPr>
          <t xml:space="preserve">
Reforma N° 2:
Se incrementó 
$ 6.548,35 Rectorado
$ 3.920,00 DIRCOM
$ 1.868,16 Secretaría General
$ 2.934,40 Dirección de Aseguramiento de la Calidad
conforme archivo POA 2023.</t>
        </r>
      </text>
    </comment>
    <comment ref="E121" authorId="0" shapeId="0" xr:uid="{00000000-0006-0000-1B00-00002A000000}">
      <text>
        <r>
          <rPr>
            <b/>
            <sz val="9"/>
            <color indexed="81"/>
            <rFont val="Tahoma"/>
            <family val="2"/>
          </rPr>
          <t>HP:</t>
        </r>
        <r>
          <rPr>
            <sz val="9"/>
            <color indexed="81"/>
            <rFont val="Tahoma"/>
            <family val="2"/>
          </rPr>
          <t xml:space="preserve">
Reforma N° 2:
Se incrementó $ 4.518,00 para pago de contrato de año anterior por adquisición de cámaras de videovigilancia. UTMACH EP
Dir. Administrativa</t>
        </r>
      </text>
    </comment>
    <comment ref="F121" authorId="0" shapeId="0" xr:uid="{00000000-0006-0000-1B00-00002B000000}">
      <text>
        <r>
          <rPr>
            <b/>
            <sz val="9"/>
            <color indexed="81"/>
            <rFont val="Tahoma"/>
            <family val="2"/>
          </rPr>
          <t>HP:</t>
        </r>
        <r>
          <rPr>
            <sz val="9"/>
            <color indexed="81"/>
            <rFont val="Tahoma"/>
            <family val="2"/>
          </rPr>
          <t xml:space="preserve">
Reforma N° 2:
Se redujo $ 414.919,06 para Py Red Lan.
Se redujo $ 423.188,30 py de jubilados que consta en la 84 en el POA 2023 de la DTH.
Se redujo el saldo $ 18.470,34 y se lo sumó al py de jubilados DTH.</t>
        </r>
      </text>
    </comment>
    <comment ref="E122" authorId="1" shapeId="0" xr:uid="{00000000-0006-0000-1B00-00002C000000}">
      <text>
        <r>
          <rPr>
            <b/>
            <sz val="9"/>
            <color indexed="81"/>
            <rFont val="Tahoma"/>
            <family val="2"/>
          </rPr>
          <t>Eunice Basilio:</t>
        </r>
        <r>
          <rPr>
            <sz val="9"/>
            <color indexed="81"/>
            <rFont val="Tahoma"/>
            <family val="2"/>
          </rPr>
          <t xml:space="preserve">
Reforma N° 2:
Se incrementó $ 8.999,20 conforme archivo POA 2023 DBU</t>
        </r>
      </text>
    </comment>
    <comment ref="E123" authorId="0" shapeId="0" xr:uid="{00000000-0006-0000-1B00-00002D000000}">
      <text>
        <r>
          <rPr>
            <b/>
            <sz val="9"/>
            <color indexed="81"/>
            <rFont val="Tahoma"/>
            <family val="2"/>
          </rPr>
          <t>HP:</t>
        </r>
        <r>
          <rPr>
            <sz val="9"/>
            <color indexed="81"/>
            <rFont val="Tahoma"/>
            <family val="2"/>
          </rPr>
          <t xml:space="preserve">
Reforma N° 2:
Se incrementó $ 16.000,00 para liquidaciones personal administrativo, trabajadores, pago de alimentación, transporte, cargas familiares, antigüedad.</t>
        </r>
      </text>
    </comment>
    <comment ref="K148" authorId="2" shapeId="0" xr:uid="{00000000-0006-0000-1B00-00002E000000}">
      <text>
        <r>
          <rPr>
            <b/>
            <sz val="9"/>
            <color indexed="81"/>
            <rFont val="Tahoma"/>
            <family val="2"/>
          </rPr>
          <t>Dirección Financiera:</t>
        </r>
        <r>
          <rPr>
            <sz val="9"/>
            <color indexed="81"/>
            <rFont val="Tahoma"/>
            <family val="2"/>
          </rPr>
          <t xml:space="preserve">
500000 para concursos y promociones</t>
        </r>
      </text>
    </comment>
    <comment ref="E161" authorId="0" shapeId="0" xr:uid="{00000000-0006-0000-1B00-00002F000000}">
      <text>
        <r>
          <rPr>
            <b/>
            <sz val="9"/>
            <color indexed="81"/>
            <rFont val="Tahoma"/>
            <family val="2"/>
          </rPr>
          <t>HP:</t>
        </r>
        <r>
          <rPr>
            <sz val="9"/>
            <color indexed="81"/>
            <rFont val="Tahoma"/>
            <family val="2"/>
          </rPr>
          <t xml:space="preserve">
Reforma N° 2:
Se incrementó $ 5.040,00 FCQS</t>
        </r>
      </text>
    </comment>
    <comment ref="E165" authorId="0" shapeId="0" xr:uid="{00000000-0006-0000-1B00-000030000000}">
      <text>
        <r>
          <rPr>
            <b/>
            <sz val="9"/>
            <color indexed="81"/>
            <rFont val="Tahoma"/>
            <family val="2"/>
          </rPr>
          <t>HP:</t>
        </r>
        <r>
          <rPr>
            <sz val="9"/>
            <color indexed="81"/>
            <rFont val="Tahoma"/>
            <family val="2"/>
          </rPr>
          <t xml:space="preserve">
Reforma N° 2:
Se incrementó 83.935,78 para Dir. Administrativa
Se eliminó porque no se puede cruzar del grupo 84 al grupo 53.
Se incrementó $ 14.752,06 por saldo positivo y cuadre final de la fuente 1.
Cómo quedó en el POA:
711.513,00 DIR ADMINISTRATIVA
Se incrementó 5.448,78 </t>
        </r>
      </text>
    </comment>
    <comment ref="F165" authorId="0" shapeId="0" xr:uid="{00000000-0006-0000-1B00-000031000000}">
      <text>
        <r>
          <rPr>
            <b/>
            <sz val="9"/>
            <color indexed="81"/>
            <rFont val="Tahoma"/>
            <family val="2"/>
          </rPr>
          <t>HP:</t>
        </r>
        <r>
          <rPr>
            <sz val="9"/>
            <color indexed="81"/>
            <rFont val="Tahoma"/>
            <family val="2"/>
          </rPr>
          <t xml:space="preserve">
Reforma N° 2:
Se redujo:
$ 6.720,00 Dir. Aseguramiento de la Calidad.
$ 6.720,00 FIC</t>
        </r>
      </text>
    </comment>
    <comment ref="E166" authorId="0" shapeId="0" xr:uid="{00000000-0006-0000-1B00-000032000000}">
      <text>
        <r>
          <rPr>
            <b/>
            <sz val="9"/>
            <color indexed="81"/>
            <rFont val="Tahoma"/>
            <family val="2"/>
          </rPr>
          <t>HP:</t>
        </r>
        <r>
          <rPr>
            <sz val="9"/>
            <color indexed="81"/>
            <rFont val="Tahoma"/>
            <family val="2"/>
          </rPr>
          <t xml:space="preserve">
Reforma N° 2:
Se incrementó $ 77.722,59 DBUAC</t>
        </r>
      </text>
    </comment>
    <comment ref="E167" authorId="0" shapeId="0" xr:uid="{00000000-0006-0000-1B00-000033000000}">
      <text>
        <r>
          <rPr>
            <b/>
            <sz val="9"/>
            <color indexed="81"/>
            <rFont val="Tahoma"/>
            <family val="2"/>
          </rPr>
          <t>HP:</t>
        </r>
        <r>
          <rPr>
            <sz val="9"/>
            <color indexed="81"/>
            <rFont val="Tahoma"/>
            <family val="2"/>
          </rPr>
          <t xml:space="preserve">
Reforma N° 2:
Se incrementó </t>
        </r>
        <r>
          <rPr>
            <b/>
            <sz val="9"/>
            <color indexed="81"/>
            <rFont val="Tahoma"/>
            <family val="2"/>
          </rPr>
          <t>$ 5.666,86</t>
        </r>
        <r>
          <rPr>
            <sz val="9"/>
            <color indexed="81"/>
            <rFont val="Tahoma"/>
            <family val="2"/>
          </rPr>
          <t xml:space="preserve"> para adecuación de Sala de Docentes de la Carrera de Enfermería en la FCQS. UTMACH EP EMPRESA PUBLICA
Se incrementó $ 44.380,00 según Memorando N° FCS-D-2023-0062-M del 23/01/2023.
Reforma N° 2:
Se incrementó $ 250.000,00 para DBUAC Adecuación de espacios de bienestar deportivos.
Se eliminó porque no se puede cruzar de la 84 al grupo 53.
Se incrementó $ 123.677,98 para DBUAC Adecuación de espacios de bienestar deportivos.
Por saldo a favor y cuadre final de la fuente 3.</t>
        </r>
      </text>
    </comment>
    <comment ref="F169" authorId="0" shapeId="0" xr:uid="{00000000-0006-0000-1B00-000034000000}">
      <text>
        <r>
          <rPr>
            <b/>
            <sz val="9"/>
            <color indexed="81"/>
            <rFont val="Tahoma"/>
            <family val="2"/>
          </rPr>
          <t>HP:</t>
        </r>
        <r>
          <rPr>
            <sz val="9"/>
            <color indexed="81"/>
            <rFont val="Tahoma"/>
            <family val="2"/>
          </rPr>
          <t xml:space="preserve">
Reforma N° 2:
Se redujo $ 9.200,00 Dir. Administrativa</t>
        </r>
      </text>
    </comment>
    <comment ref="F171" authorId="1" shapeId="0" xr:uid="{00000000-0006-0000-1B00-000035000000}">
      <text>
        <r>
          <rPr>
            <b/>
            <sz val="9"/>
            <color indexed="81"/>
            <rFont val="Tahoma"/>
            <family val="2"/>
          </rPr>
          <t>Eunice Basilio:</t>
        </r>
        <r>
          <rPr>
            <sz val="9"/>
            <color indexed="81"/>
            <rFont val="Tahoma"/>
            <family val="2"/>
          </rPr>
          <t xml:space="preserve">
Reforma N° 2:
Se redujo $ 3.590,15 para cubrir contratos de años anteriores y disponibilidades de nuevas necesidades.</t>
        </r>
      </text>
    </comment>
    <comment ref="E172" authorId="0" shapeId="0" xr:uid="{00000000-0006-0000-1B00-000036000000}">
      <text>
        <r>
          <rPr>
            <b/>
            <sz val="9"/>
            <color indexed="81"/>
            <rFont val="Tahoma"/>
            <family val="2"/>
          </rPr>
          <t>HP:</t>
        </r>
        <r>
          <rPr>
            <sz val="9"/>
            <color indexed="81"/>
            <rFont val="Tahoma"/>
            <family val="2"/>
          </rPr>
          <t xml:space="preserve">
Reforma N° 2:
Se incrementó $ 20.000,00 Vic. Académico</t>
        </r>
      </text>
    </comment>
    <comment ref="F173" authorId="0" shapeId="0" xr:uid="{00000000-0006-0000-1B00-000037000000}">
      <text>
        <r>
          <rPr>
            <b/>
            <sz val="9"/>
            <color indexed="81"/>
            <rFont val="Tahoma"/>
            <family val="2"/>
          </rPr>
          <t>HP:</t>
        </r>
        <r>
          <rPr>
            <sz val="9"/>
            <color indexed="81"/>
            <rFont val="Tahoma"/>
            <family val="2"/>
          </rPr>
          <t xml:space="preserve">
Reforma N° 2:
Se redujo $ 22.400,00 Vic. Académico</t>
        </r>
      </text>
    </comment>
    <comment ref="E174" authorId="0" shapeId="0" xr:uid="{00000000-0006-0000-1B00-000038000000}">
      <text>
        <r>
          <rPr>
            <b/>
            <sz val="9"/>
            <color indexed="81"/>
            <rFont val="Tahoma"/>
            <family val="2"/>
          </rPr>
          <t>HP:</t>
        </r>
        <r>
          <rPr>
            <sz val="9"/>
            <color indexed="81"/>
            <rFont val="Tahoma"/>
            <family val="2"/>
          </rPr>
          <t xml:space="preserve">
Reforma N° 2:
Se incrementó $ 34.151,28 Dir. Formación Profesional</t>
        </r>
      </text>
    </comment>
    <comment ref="F175" authorId="0" shapeId="0" xr:uid="{00000000-0006-0000-1B00-000039000000}">
      <text>
        <r>
          <rPr>
            <b/>
            <sz val="9"/>
            <color indexed="81"/>
            <rFont val="Tahoma"/>
            <family val="2"/>
          </rPr>
          <t>HP:</t>
        </r>
        <r>
          <rPr>
            <sz val="9"/>
            <color indexed="81"/>
            <rFont val="Tahoma"/>
            <family val="2"/>
          </rPr>
          <t xml:space="preserve">
Reforma N° 2:
Se redujo $ 10.640,00 DTIC</t>
        </r>
      </text>
    </comment>
    <comment ref="F180" authorId="0" shapeId="0" xr:uid="{00000000-0006-0000-1B00-00003A000000}">
      <text>
        <r>
          <rPr>
            <b/>
            <sz val="9"/>
            <color indexed="81"/>
            <rFont val="Tahoma"/>
            <family val="2"/>
          </rPr>
          <t>HP:</t>
        </r>
        <r>
          <rPr>
            <sz val="9"/>
            <color indexed="81"/>
            <rFont val="Tahoma"/>
            <family val="2"/>
          </rPr>
          <t xml:space="preserve">
Reforma N° 2:
Se redujo $ 7.260,96 FCS</t>
        </r>
      </text>
    </comment>
    <comment ref="E185" authorId="0" shapeId="0" xr:uid="{00000000-0006-0000-1B00-00003B000000}">
      <text>
        <r>
          <rPr>
            <b/>
            <sz val="9"/>
            <color indexed="81"/>
            <rFont val="Tahoma"/>
            <family val="2"/>
          </rPr>
          <t>HP:</t>
        </r>
        <r>
          <rPr>
            <sz val="9"/>
            <color indexed="81"/>
            <rFont val="Tahoma"/>
            <family val="2"/>
          </rPr>
          <t xml:space="preserve">
Reforma N° 2:
Se incrementó $ 3.300,00 según Memorando N° FCS-D-2023-0062-M del 23/01/2023.
Se incrementó $ 1.747,20 de acuerdo al POA 2023 de la FCE presentado.</t>
        </r>
      </text>
    </comment>
    <comment ref="E188" authorId="0" shapeId="0" xr:uid="{00000000-0006-0000-1B00-00003C000000}">
      <text>
        <r>
          <rPr>
            <b/>
            <sz val="9"/>
            <color indexed="81"/>
            <rFont val="Tahoma"/>
            <family val="2"/>
          </rPr>
          <t>HP:</t>
        </r>
        <r>
          <rPr>
            <sz val="9"/>
            <color indexed="81"/>
            <rFont val="Tahoma"/>
            <family val="2"/>
          </rPr>
          <t xml:space="preserve">
Reforma N° 2:
Se incrementó $ 231,44 de acuerdo al POA 2023 de la FCE presentado.</t>
        </r>
      </text>
    </comment>
    <comment ref="E193" authorId="0" shapeId="0" xr:uid="{00000000-0006-0000-1B00-00003D000000}">
      <text>
        <r>
          <rPr>
            <b/>
            <sz val="9"/>
            <color indexed="81"/>
            <rFont val="Tahoma"/>
            <family val="2"/>
          </rPr>
          <t>HP:</t>
        </r>
        <r>
          <rPr>
            <sz val="9"/>
            <color indexed="81"/>
            <rFont val="Tahoma"/>
            <family val="2"/>
          </rPr>
          <t xml:space="preserve">
Reforma N° 2:
Se incrementó $ 10.164,16, según Memorando N° UTMACH-DBUAC-2023-0009-M del 10/01/2023</t>
        </r>
      </text>
    </comment>
    <comment ref="E194" authorId="0" shapeId="0" xr:uid="{00000000-0006-0000-1B00-00003E000000}">
      <text>
        <r>
          <rPr>
            <b/>
            <sz val="9"/>
            <color indexed="81"/>
            <rFont val="Tahoma"/>
            <family val="2"/>
          </rPr>
          <t>HP:</t>
        </r>
        <r>
          <rPr>
            <sz val="9"/>
            <color indexed="81"/>
            <rFont val="Tahoma"/>
            <family val="2"/>
          </rPr>
          <t xml:space="preserve">
Reforma N° 2:
Se incrementó $ 118.070,00 según Oficio N° UTMACH-DBUAC-2023-0006-M del 06/En/2023, solo se atendió INCREMENTO NECESARIO PARA PAO 2023 -1 (5 MESES)</t>
        </r>
      </text>
    </comment>
    <comment ref="E196" authorId="0" shapeId="0" xr:uid="{00000000-0006-0000-1B00-00003F000000}">
      <text>
        <r>
          <rPr>
            <b/>
            <sz val="9"/>
            <color indexed="81"/>
            <rFont val="Tahoma"/>
            <family val="2"/>
          </rPr>
          <t>HP:</t>
        </r>
        <r>
          <rPr>
            <sz val="9"/>
            <color indexed="81"/>
            <rFont val="Tahoma"/>
            <family val="2"/>
          </rPr>
          <t xml:space="preserve">
Reforma N° 2:
Se incrementó $ 33.214,12 para Repotenciación de la Línea de Media Tensión 13200 VAC, en el Campus principal de la UTMACH. - UTMACH EP.</t>
        </r>
      </text>
    </comment>
    <comment ref="E199" authorId="0" shapeId="0" xr:uid="{00000000-0006-0000-1B00-000040000000}">
      <text>
        <r>
          <rPr>
            <b/>
            <sz val="9"/>
            <color indexed="81"/>
            <rFont val="Tahoma"/>
            <family val="2"/>
          </rPr>
          <t>HP:</t>
        </r>
        <r>
          <rPr>
            <sz val="9"/>
            <color indexed="81"/>
            <rFont val="Tahoma"/>
            <family val="2"/>
          </rPr>
          <t xml:space="preserve">
Reforma N° 2:
Se incrementó $ 7.320,00 según Memorando N° FCS-D-2023-0062-M del 23/01/2023.</t>
        </r>
      </text>
    </comment>
    <comment ref="F200" authorId="0" shapeId="0" xr:uid="{00000000-0006-0000-1B00-000041000000}">
      <text>
        <r>
          <rPr>
            <b/>
            <sz val="9"/>
            <color indexed="81"/>
            <rFont val="Tahoma"/>
            <family val="2"/>
          </rPr>
          <t>HP:</t>
        </r>
        <r>
          <rPr>
            <sz val="9"/>
            <color indexed="81"/>
            <rFont val="Tahoma"/>
            <family val="2"/>
          </rPr>
          <t xml:space="preserve">
Reforma N° 2:
Se redujo $ 1.176.733,21 para Py Inversión FIC.
El saldo de  $ 2.000.000,00 para Py construcción e implementación del CRAI Dir. Administrativa
En el POA quedó así:
$ 2.000.000,00 para Py construcción e implementación del CRAI Dir. Administrativa+81.527,83</t>
        </r>
      </text>
    </comment>
    <comment ref="E201" authorId="0" shapeId="0" xr:uid="{00000000-0006-0000-1B00-000042000000}">
      <text>
        <r>
          <rPr>
            <b/>
            <sz val="9"/>
            <color indexed="81"/>
            <rFont val="Tahoma"/>
            <family val="2"/>
          </rPr>
          <t>HP:</t>
        </r>
        <r>
          <rPr>
            <sz val="9"/>
            <color indexed="81"/>
            <rFont val="Tahoma"/>
            <family val="2"/>
          </rPr>
          <t xml:space="preserve">
Reforma N° 2:
Se incrementó $ 1.700,00 para lentes de cámara por disposición del Director DPLAN
En el POA quedó así:
5.709,60 FCS
2.251,20 DTIC</t>
        </r>
      </text>
    </comment>
    <comment ref="F201" authorId="0" shapeId="0" xr:uid="{00000000-0006-0000-1B00-000043000000}">
      <text>
        <r>
          <rPr>
            <b/>
            <sz val="9"/>
            <color indexed="81"/>
            <rFont val="Tahoma"/>
            <family val="2"/>
          </rPr>
          <t>HP:</t>
        </r>
        <r>
          <rPr>
            <sz val="9"/>
            <color indexed="81"/>
            <rFont val="Tahoma"/>
            <family val="2"/>
          </rPr>
          <t xml:space="preserve">
Reforma N° 2:
Se redujo $ 22.296,96 Vic. Académico
$ 949.040,38-62852,68</t>
        </r>
      </text>
    </comment>
    <comment ref="E202" authorId="0" shapeId="0" xr:uid="{00000000-0006-0000-1B00-000044000000}">
      <text>
        <r>
          <rPr>
            <b/>
            <sz val="9"/>
            <color indexed="81"/>
            <rFont val="Tahoma"/>
            <family val="2"/>
          </rPr>
          <t>HP:</t>
        </r>
        <r>
          <rPr>
            <sz val="9"/>
            <color indexed="81"/>
            <rFont val="Tahoma"/>
            <family val="2"/>
          </rPr>
          <t xml:space="preserve">
Reforma N° 2:
Se incrementó $ 57.344,85 para pago de contrato de año anterior por adquisición e instalación de equipos de climatización. Dir. Administrativa.</t>
        </r>
      </text>
    </comment>
    <comment ref="E203" authorId="1" shapeId="0" xr:uid="{00000000-0006-0000-1B00-000045000000}">
      <text>
        <r>
          <rPr>
            <b/>
            <sz val="9"/>
            <color indexed="81"/>
            <rFont val="Tahoma"/>
            <family val="2"/>
          </rPr>
          <t>Eunice Basilio:</t>
        </r>
        <r>
          <rPr>
            <sz val="9"/>
            <color indexed="81"/>
            <rFont val="Tahoma"/>
            <family val="2"/>
          </rPr>
          <t xml:space="preserve">
Reforma N° 2:
Se incrementó $ 2.897,97 conforme archivo POA 2023.
Se incrementó $ 8.505,49 de acuerdo al POA 2023 de la FCE presentado.
En el POA quedó:
1.867,77 DIPOS
1.030,20 FCA
8.505,49 FCE
1.310,60 FCQS</t>
        </r>
      </text>
    </comment>
    <comment ref="E204" authorId="0" shapeId="0" xr:uid="{00000000-0006-0000-1B00-000046000000}">
      <text>
        <r>
          <rPr>
            <b/>
            <sz val="9"/>
            <color indexed="81"/>
            <rFont val="Tahoma"/>
            <family val="2"/>
          </rPr>
          <t>HP:</t>
        </r>
        <r>
          <rPr>
            <sz val="9"/>
            <color indexed="81"/>
            <rFont val="Tahoma"/>
            <family val="2"/>
          </rPr>
          <t xml:space="preserve">
Reforma N° 2:
Se incrementó $ 41.623,28 para pago de contrato de año anterior por adquisición e instalación de equipos de climatización. Dir. Administrativa.</t>
        </r>
      </text>
    </comment>
    <comment ref="E205" authorId="0" shapeId="0" xr:uid="{00000000-0006-0000-1B00-000047000000}">
      <text>
        <r>
          <rPr>
            <b/>
            <sz val="9"/>
            <color indexed="81"/>
            <rFont val="Tahoma"/>
            <family val="2"/>
          </rPr>
          <t>HP:</t>
        </r>
        <r>
          <rPr>
            <sz val="9"/>
            <color indexed="81"/>
            <rFont val="Tahoma"/>
            <family val="2"/>
          </rPr>
          <t xml:space="preserve">
Reforma N° 2:
Se incrementó 13.831,48 para Repotenciación de la Línea de Media Tensión 13200 VAC, en el Campus principal de la UTMACH. - UTMACH EP</t>
        </r>
      </text>
    </comment>
    <comment ref="E207" authorId="0" shapeId="0" xr:uid="{00000000-0006-0000-1B00-000048000000}">
      <text>
        <r>
          <rPr>
            <b/>
            <sz val="9"/>
            <color indexed="81"/>
            <rFont val="Tahoma"/>
            <family val="2"/>
          </rPr>
          <t>HP:</t>
        </r>
        <r>
          <rPr>
            <sz val="9"/>
            <color indexed="81"/>
            <rFont val="Tahoma"/>
            <family val="2"/>
          </rPr>
          <t xml:space="preserve">
Reforma N° 2:
Se incrementó $ 75.610,11 que vino de la la partida N° 990101 0701 003 Obligaciones de Ejercicios Anteriores en Personal del programa 01.
Se incrementó $ 40.000,00 para liquidaciones de haberes, trabajadores y ex servidores.
Se incrementó $ 10.000,00 para liquidaciones de docentes.
$ 13.000,00 para pago a VASQUEZ FLORES JOSE ALBERTO
$ 6.000,00 para pago a BURGOS BURGOS JHON
Se incrementó $ 5000+15.000,00 para cubrir liquidaciones por juicios en la partida N° 990101 0701 003</t>
        </r>
      </text>
    </comment>
    <comment ref="E218" authorId="0" shapeId="0" xr:uid="{00000000-0006-0000-1B00-000049000000}">
      <text>
        <r>
          <rPr>
            <b/>
            <sz val="9"/>
            <color indexed="81"/>
            <rFont val="Tahoma"/>
            <family val="2"/>
          </rPr>
          <t>HP:</t>
        </r>
        <r>
          <rPr>
            <sz val="9"/>
            <color indexed="81"/>
            <rFont val="Tahoma"/>
            <family val="2"/>
          </rPr>
          <t xml:space="preserve">
Reforma N° 2:
Se incrementó $ 8.609,16 por contrato año anterior por servicio de implementación de una Red Wifi - TELCONET - TIC
$ 59.717,94 Servicio de internet CEDIA TIC</t>
        </r>
      </text>
    </comment>
    <comment ref="F220" authorId="0" shapeId="0" xr:uid="{00000000-0006-0000-1B00-00004A000000}">
      <text>
        <r>
          <rPr>
            <b/>
            <sz val="9"/>
            <color indexed="81"/>
            <rFont val="Tahoma"/>
            <family val="2"/>
          </rPr>
          <t>HP:</t>
        </r>
        <r>
          <rPr>
            <sz val="9"/>
            <color indexed="81"/>
            <rFont val="Tahoma"/>
            <family val="2"/>
          </rPr>
          <t xml:space="preserve">
Reforma N° 2: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t>
        </r>
      </text>
    </comment>
    <comment ref="E224" authorId="0" shapeId="0" xr:uid="{00000000-0006-0000-1B00-00004B000000}">
      <text>
        <r>
          <rPr>
            <b/>
            <sz val="9"/>
            <color indexed="81"/>
            <rFont val="Tahoma"/>
            <family val="2"/>
          </rPr>
          <t>HP:</t>
        </r>
        <r>
          <rPr>
            <sz val="9"/>
            <color indexed="81"/>
            <rFont val="Tahoma"/>
            <family val="2"/>
          </rPr>
          <t xml:space="preserve">
Reforma N° 2:
Se incrementó $ 25.066,04 por contrato año anterior, para Renovación de garantías extendidas y soporte de fábrica para los equipos que conforman la Plataforma Flexpod - AKEA - DTIC</t>
        </r>
      </text>
    </comment>
    <comment ref="E225" authorId="0" shapeId="0" xr:uid="{00000000-0006-0000-1B00-00004C000000}">
      <text>
        <r>
          <rPr>
            <b/>
            <sz val="9"/>
            <color indexed="81"/>
            <rFont val="Tahoma"/>
            <family val="2"/>
          </rPr>
          <t>HP:</t>
        </r>
        <r>
          <rPr>
            <sz val="9"/>
            <color indexed="81"/>
            <rFont val="Tahoma"/>
            <family val="2"/>
          </rPr>
          <t xml:space="preserve">
Reforma N° 2:
Se incrementó $ 1.000,00 según Memorando N° UTMACH-DIDI-2023-0053-M_02/02/2023.</t>
        </r>
      </text>
    </comment>
    <comment ref="E227" authorId="0" shapeId="0" xr:uid="{00000000-0006-0000-1B00-00004D000000}">
      <text>
        <r>
          <rPr>
            <b/>
            <sz val="9"/>
            <color indexed="81"/>
            <rFont val="Tahoma"/>
            <family val="2"/>
          </rPr>
          <t>HP:</t>
        </r>
        <r>
          <rPr>
            <sz val="9"/>
            <color indexed="81"/>
            <rFont val="Tahoma"/>
            <family val="2"/>
          </rPr>
          <t xml:space="preserve">
Reforma N° 2:
Se incrementó $ 10.000,00 según Memorando N° UTMACH-DIDI-2023-0053-M_02/02/2023.</t>
        </r>
      </text>
    </comment>
    <comment ref="E230" authorId="0" shapeId="0" xr:uid="{00000000-0006-0000-1B00-00004E000000}">
      <text>
        <r>
          <rPr>
            <b/>
            <sz val="9"/>
            <color indexed="81"/>
            <rFont val="Tahoma"/>
            <family val="2"/>
          </rPr>
          <t>HP:</t>
        </r>
        <r>
          <rPr>
            <sz val="9"/>
            <color indexed="81"/>
            <rFont val="Tahoma"/>
            <family val="2"/>
          </rPr>
          <t xml:space="preserve">
Reforma N° 2:
Se incrementó $ 5.000,00 según Memorando N° UTMACH-DIDI-2023-0053-M_02/02/2023.</t>
        </r>
      </text>
    </comment>
    <comment ref="F231" authorId="0" shapeId="0" xr:uid="{00000000-0006-0000-1B00-00004F000000}">
      <text>
        <r>
          <rPr>
            <b/>
            <sz val="9"/>
            <color indexed="81"/>
            <rFont val="Tahoma"/>
            <family val="2"/>
          </rPr>
          <t>HP:</t>
        </r>
        <r>
          <rPr>
            <sz val="9"/>
            <color indexed="81"/>
            <rFont val="Tahoma"/>
            <family val="2"/>
          </rPr>
          <t xml:space="preserve">
Reforma N° 2:
Se reduce $ 24.512,00 FCS
$ 29.680,00 Rectorado
25.440
En el POA quedó así:
16.800,00 FCA
24.559,17 FCE</t>
        </r>
      </text>
    </comment>
    <comment ref="E232" authorId="0" shapeId="0" xr:uid="{00000000-0006-0000-1B00-000050000000}">
      <text>
        <r>
          <rPr>
            <b/>
            <sz val="9"/>
            <color indexed="81"/>
            <rFont val="Tahoma"/>
            <family val="2"/>
          </rPr>
          <t>HP:</t>
        </r>
        <r>
          <rPr>
            <sz val="9"/>
            <color indexed="81"/>
            <rFont val="Tahoma"/>
            <family val="2"/>
          </rPr>
          <t xml:space="preserve">
Reforma N° 2:
Se incrementó $ 13.648,02 FCQS</t>
        </r>
      </text>
    </comment>
    <comment ref="E234" authorId="0" shapeId="0" xr:uid="{00000000-0006-0000-1B00-000051000000}">
      <text>
        <r>
          <rPr>
            <b/>
            <sz val="9"/>
            <color indexed="81"/>
            <rFont val="Tahoma"/>
            <family val="2"/>
          </rPr>
          <t>HP:</t>
        </r>
        <r>
          <rPr>
            <sz val="9"/>
            <color indexed="81"/>
            <rFont val="Tahoma"/>
            <family val="2"/>
          </rPr>
          <t xml:space="preserve">
Reforma N° 2:
Se incrementó $ 10.208,47 según Memorando N° UTMACH-DIDI-2023-0053-M_02/02/2023. (solo eso se atendió)</t>
        </r>
      </text>
    </comment>
    <comment ref="F234" authorId="0" shapeId="0" xr:uid="{00000000-0006-0000-1B00-000052000000}">
      <text>
        <r>
          <rPr>
            <b/>
            <sz val="9"/>
            <color indexed="81"/>
            <rFont val="Tahoma"/>
            <family val="2"/>
          </rPr>
          <t>HP:</t>
        </r>
        <r>
          <rPr>
            <sz val="9"/>
            <color indexed="81"/>
            <rFont val="Tahoma"/>
            <family val="2"/>
          </rPr>
          <t xml:space="preserve">
Reforma N° 2:
Se redujo $ 1.250,00 para Py Inversión FIC, que en el POA estaba en esta fuente de financiamiento 3
Se redujo $ 22.400,00 de acuerdo al 1er POA 2023 de la FCE presentado (por no estar desagregado).
Se redujo $ 18.703,99
En el POA quedó así:
10.208,48 DIDI
12.768,00 FCA
3.696,00 FCQS</t>
        </r>
      </text>
    </comment>
    <comment ref="F237" authorId="0" shapeId="0" xr:uid="{00000000-0006-0000-1B00-000053000000}">
      <text>
        <r>
          <rPr>
            <b/>
            <sz val="9"/>
            <color indexed="81"/>
            <rFont val="Tahoma"/>
            <family val="2"/>
          </rPr>
          <t>HP:</t>
        </r>
        <r>
          <rPr>
            <sz val="9"/>
            <color indexed="81"/>
            <rFont val="Tahoma"/>
            <family val="2"/>
          </rPr>
          <t xml:space="preserve">
Reforma N° 2:
Se redujo $ 25.064,00 por disposición del Director del DPLAN</t>
        </r>
      </text>
    </comment>
    <comment ref="E239" authorId="0" shapeId="0" xr:uid="{00000000-0006-0000-1B00-000054000000}">
      <text>
        <r>
          <rPr>
            <b/>
            <sz val="9"/>
            <color indexed="81"/>
            <rFont val="Tahoma"/>
            <family val="2"/>
          </rPr>
          <t>HP:</t>
        </r>
        <r>
          <rPr>
            <sz val="9"/>
            <color indexed="81"/>
            <rFont val="Tahoma"/>
            <family val="2"/>
          </rPr>
          <t xml:space="preserve">
Reforma N° 2:
Se incrementó $ 4.800,00 según adjunto de Vic. Investigación en e-mail enviado el 03/02/2023</t>
        </r>
      </text>
    </comment>
    <comment ref="E240" authorId="0" shapeId="0" xr:uid="{00000000-0006-0000-1B00-000055000000}">
      <text>
        <r>
          <rPr>
            <b/>
            <sz val="9"/>
            <color indexed="81"/>
            <rFont val="Tahoma"/>
            <family val="2"/>
          </rPr>
          <t>HP:</t>
        </r>
        <r>
          <rPr>
            <sz val="9"/>
            <color indexed="81"/>
            <rFont val="Tahoma"/>
            <family val="2"/>
          </rPr>
          <t xml:space="preserve">
Reforma N° 2:
Se incrementó $ 480,00 según adjunto de Vic. Investigación en e-mail enviado el 03/02/2023</t>
        </r>
      </text>
    </comment>
    <comment ref="F240" authorId="0" shapeId="0" xr:uid="{00000000-0006-0000-1B00-000056000000}">
      <text>
        <r>
          <rPr>
            <b/>
            <sz val="9"/>
            <color indexed="81"/>
            <rFont val="Tahoma"/>
            <family val="2"/>
          </rPr>
          <t>HP:</t>
        </r>
        <r>
          <rPr>
            <sz val="9"/>
            <color indexed="81"/>
            <rFont val="Tahoma"/>
            <family val="2"/>
          </rPr>
          <t xml:space="preserve">
Reforma N° 2:
Se redujo $ 12.320,00 Vic. Investigación</t>
        </r>
      </text>
    </comment>
    <comment ref="E241" authorId="0" shapeId="0" xr:uid="{00000000-0006-0000-1B00-000057000000}">
      <text>
        <r>
          <rPr>
            <b/>
            <sz val="9"/>
            <color indexed="81"/>
            <rFont val="Tahoma"/>
            <family val="2"/>
          </rPr>
          <t>HP:</t>
        </r>
        <r>
          <rPr>
            <sz val="9"/>
            <color indexed="81"/>
            <rFont val="Tahoma"/>
            <family val="2"/>
          </rPr>
          <t xml:space="preserve">
Reforma N° 2:
Se incrementó $ 5.544,00 de acuerdo al POA 2023 de la FCE presentado.</t>
        </r>
      </text>
    </comment>
    <comment ref="F241" authorId="0" shapeId="0" xr:uid="{00000000-0006-0000-1B00-000058000000}">
      <text>
        <r>
          <rPr>
            <b/>
            <sz val="9"/>
            <color indexed="81"/>
            <rFont val="Tahoma"/>
            <family val="2"/>
          </rPr>
          <t>HP:</t>
        </r>
        <r>
          <rPr>
            <sz val="9"/>
            <color indexed="81"/>
            <rFont val="Tahoma"/>
            <family val="2"/>
          </rPr>
          <t xml:space="preserve">
Reforma N° 2:
Se redujo $ 3.500,00 según Memorando N° UTMACH-DIDI-2023-0053-M_02/02/2023.</t>
        </r>
      </text>
    </comment>
    <comment ref="E243" authorId="0" shapeId="0" xr:uid="{00000000-0006-0000-1B00-000059000000}">
      <text>
        <r>
          <rPr>
            <b/>
            <sz val="9"/>
            <color indexed="81"/>
            <rFont val="Tahoma"/>
            <family val="2"/>
          </rPr>
          <t>HP:</t>
        </r>
        <r>
          <rPr>
            <sz val="9"/>
            <color indexed="81"/>
            <rFont val="Tahoma"/>
            <family val="2"/>
          </rPr>
          <t xml:space="preserve">
Reforma N° 2:
Se incrementó $ 56,00 FCQS</t>
        </r>
      </text>
    </comment>
    <comment ref="E253" authorId="0" shapeId="0" xr:uid="{00000000-0006-0000-1B00-00005A000000}">
      <text>
        <r>
          <rPr>
            <b/>
            <sz val="9"/>
            <color indexed="81"/>
            <rFont val="Tahoma"/>
            <family val="2"/>
          </rPr>
          <t>HP:</t>
        </r>
        <r>
          <rPr>
            <sz val="9"/>
            <color indexed="81"/>
            <rFont val="Tahoma"/>
            <family val="2"/>
          </rPr>
          <t xml:space="preserve">
Reforma N° 2:
Se incrementó $ 620,58 FCQS</t>
        </r>
      </text>
    </comment>
    <comment ref="E254" authorId="0" shapeId="0" xr:uid="{00000000-0006-0000-1B00-00005B000000}">
      <text>
        <r>
          <rPr>
            <b/>
            <sz val="9"/>
            <color indexed="81"/>
            <rFont val="Tahoma"/>
            <family val="2"/>
          </rPr>
          <t>HP:</t>
        </r>
        <r>
          <rPr>
            <sz val="9"/>
            <color indexed="81"/>
            <rFont val="Tahoma"/>
            <family val="2"/>
          </rPr>
          <t xml:space="preserve">
Reforma N° 2:
Se incrementó $ 672,00 FCQS</t>
        </r>
      </text>
    </comment>
    <comment ref="E258" authorId="0" shapeId="0" xr:uid="{00000000-0006-0000-1B00-00005C000000}">
      <text>
        <r>
          <rPr>
            <b/>
            <sz val="9"/>
            <color indexed="81"/>
            <rFont val="Tahoma"/>
            <family val="2"/>
          </rPr>
          <t>HP:</t>
        </r>
        <r>
          <rPr>
            <sz val="9"/>
            <color indexed="81"/>
            <rFont val="Tahoma"/>
            <family val="2"/>
          </rPr>
          <t xml:space="preserve">
Reforma N° 2:
Se incrementó $ 5.000,00 según Memorando N° UTMACH-DIDI-2023-0053-M_02/02/2023.</t>
        </r>
      </text>
    </comment>
    <comment ref="F258" authorId="0" shapeId="0" xr:uid="{00000000-0006-0000-1B00-00005D000000}">
      <text>
        <r>
          <rPr>
            <b/>
            <sz val="9"/>
            <color indexed="81"/>
            <rFont val="Tahoma"/>
            <family val="2"/>
          </rPr>
          <t>HP:</t>
        </r>
        <r>
          <rPr>
            <sz val="9"/>
            <color indexed="81"/>
            <rFont val="Tahoma"/>
            <family val="2"/>
          </rPr>
          <t xml:space="preserve">
Reforma N° 2:
Se redujo $ 7.400,00 FCA
$ 6.000,00 FCS
$ 4.000,00 FIC
Se redujo $ 56.000,00 de acuerdo al 1er POA 2023 de la FCE presentado (por no estar desagregado).
Se redujo $ 39.092,51
En el POA quedó:
8.360,00 DIDI
15.000,00 FCA
28.107,49 FCQS
10.800,00 FCS
6.080,00 FIC</t>
        </r>
      </text>
    </comment>
    <comment ref="F260" authorId="0" shapeId="0" xr:uid="{00000000-0006-0000-1B00-00005E000000}">
      <text>
        <r>
          <rPr>
            <b/>
            <sz val="9"/>
            <color indexed="81"/>
            <rFont val="Tahoma"/>
            <family val="2"/>
          </rPr>
          <t>HP:</t>
        </r>
        <r>
          <rPr>
            <sz val="9"/>
            <color indexed="81"/>
            <rFont val="Tahoma"/>
            <family val="2"/>
          </rPr>
          <t xml:space="preserve">
Reforma N° 2:
$ 394,63 para Py Inversión FIC.
$ 0,75 POR DIFERENCIA</t>
        </r>
      </text>
    </comment>
    <comment ref="E261" authorId="0" shapeId="0" xr:uid="{00000000-0006-0000-1B00-00005F000000}">
      <text>
        <r>
          <rPr>
            <b/>
            <sz val="9"/>
            <color indexed="81"/>
            <rFont val="Tahoma"/>
            <family val="2"/>
          </rPr>
          <t>HP:</t>
        </r>
        <r>
          <rPr>
            <sz val="9"/>
            <color indexed="81"/>
            <rFont val="Tahoma"/>
            <family val="2"/>
          </rPr>
          <t xml:space="preserve">
Reforma N° 2:
Se incrementó $ 394,64 py inversión FIC</t>
        </r>
      </text>
    </comment>
    <comment ref="E262" authorId="0" shapeId="0" xr:uid="{00000000-0006-0000-1B00-000060000000}">
      <text>
        <r>
          <rPr>
            <b/>
            <sz val="9"/>
            <color indexed="81"/>
            <rFont val="Tahoma"/>
            <family val="2"/>
          </rPr>
          <t>HP:</t>
        </r>
        <r>
          <rPr>
            <sz val="9"/>
            <color indexed="81"/>
            <rFont val="Tahoma"/>
            <family val="2"/>
          </rPr>
          <t xml:space="preserve">
Reforma N° 2:
Se incrementó $ 39,20 FCQS</t>
        </r>
      </text>
    </comment>
    <comment ref="E263" authorId="0" shapeId="0" xr:uid="{00000000-0006-0000-1B00-000061000000}">
      <text>
        <r>
          <rPr>
            <b/>
            <sz val="9"/>
            <color indexed="81"/>
            <rFont val="Tahoma"/>
            <family val="2"/>
          </rPr>
          <t>HP:</t>
        </r>
        <r>
          <rPr>
            <sz val="9"/>
            <color indexed="81"/>
            <rFont val="Tahoma"/>
            <family val="2"/>
          </rPr>
          <t xml:space="preserve">
Reforma N° 2:
Se incrementó $ 2.000,00 según Memorando N° UTMACH-DIDI-2023-0053-M_02/02/2023.</t>
        </r>
      </text>
    </comment>
    <comment ref="E264" authorId="0" shapeId="0" xr:uid="{00000000-0006-0000-1B00-000062000000}">
      <text>
        <r>
          <rPr>
            <b/>
            <sz val="9"/>
            <color indexed="81"/>
            <rFont val="Tahoma"/>
            <family val="2"/>
          </rPr>
          <t>HP:</t>
        </r>
        <r>
          <rPr>
            <sz val="9"/>
            <color indexed="81"/>
            <rFont val="Tahoma"/>
            <family val="2"/>
          </rPr>
          <t xml:space="preserve">
Se incrementó $ 22.000,00 según Memorando N° UTMACH-DIDI-2023-0053-M_02/02/2023 y UTMACH-DIDI-2023-0042-M_31/01/2023</t>
        </r>
      </text>
    </comment>
    <comment ref="E265" authorId="0" shapeId="0" xr:uid="{00000000-0006-0000-1B00-000063000000}">
      <text>
        <r>
          <rPr>
            <b/>
            <sz val="9"/>
            <color indexed="81"/>
            <rFont val="Tahoma"/>
            <family val="2"/>
          </rPr>
          <t>HP:</t>
        </r>
        <r>
          <rPr>
            <sz val="9"/>
            <color indexed="81"/>
            <rFont val="Tahoma"/>
            <family val="2"/>
          </rPr>
          <t xml:space="preserve">
Reforma N° 2:
Se incrementó $ 3.500,00 según Memorando N° UTMACH-DIDI-2023-0053-M_02/02/2023.</t>
        </r>
      </text>
    </comment>
    <comment ref="E268" authorId="0" shapeId="0" xr:uid="{00000000-0006-0000-1B00-000064000000}">
      <text>
        <r>
          <rPr>
            <b/>
            <sz val="9"/>
            <color indexed="81"/>
            <rFont val="Tahoma"/>
            <family val="2"/>
          </rPr>
          <t>HP:</t>
        </r>
        <r>
          <rPr>
            <sz val="9"/>
            <color indexed="81"/>
            <rFont val="Tahoma"/>
            <family val="2"/>
          </rPr>
          <t xml:space="preserve">
Reforma N° 2:
Se incrementó $1.250,00 Py de Inversión FIC</t>
        </r>
      </text>
    </comment>
    <comment ref="E269" authorId="0" shapeId="0" xr:uid="{00000000-0006-0000-1B00-000065000000}">
      <text>
        <r>
          <rPr>
            <b/>
            <sz val="9"/>
            <color indexed="81"/>
            <rFont val="Tahoma"/>
            <family val="2"/>
          </rPr>
          <t>HP:</t>
        </r>
        <r>
          <rPr>
            <sz val="9"/>
            <color indexed="81"/>
            <rFont val="Tahoma"/>
            <family val="2"/>
          </rPr>
          <t xml:space="preserve">
Reforma N° 2:
Se incrementó $ 26.785,71 para Servicio de Consultoría CRAI - LOAYZA AGUILAR KAROL</t>
        </r>
      </text>
    </comment>
    <comment ref="E270" authorId="0" shapeId="0" xr:uid="{00000000-0006-0000-1B00-000066000000}">
      <text>
        <r>
          <rPr>
            <b/>
            <sz val="9"/>
            <color indexed="81"/>
            <rFont val="Tahoma"/>
            <family val="2"/>
          </rPr>
          <t>HP:</t>
        </r>
        <r>
          <rPr>
            <sz val="9"/>
            <color indexed="81"/>
            <rFont val="Tahoma"/>
            <family val="2"/>
          </rPr>
          <t xml:space="preserve">
Reforma N° 2:
Servicio de implementación de una red wifi TELCONET DTIC</t>
        </r>
      </text>
    </comment>
    <comment ref="E271" authorId="0" shapeId="0" xr:uid="{00000000-0006-0000-1B00-000067000000}">
      <text>
        <r>
          <rPr>
            <b/>
            <sz val="9"/>
            <color indexed="81"/>
            <rFont val="Tahoma"/>
            <family val="2"/>
          </rPr>
          <t>HP:</t>
        </r>
        <r>
          <rPr>
            <sz val="9"/>
            <color indexed="81"/>
            <rFont val="Tahoma"/>
            <family val="2"/>
          </rPr>
          <t xml:space="preserve">
Reforma N° 2:
Se incrementó $ 2.250,00 contrato año anterior. Adquisición de silla para cubículos ANDRANGO QUIMBIAMBA FCA
</t>
        </r>
      </text>
    </comment>
    <comment ref="E272" authorId="0" shapeId="0" xr:uid="{00000000-0006-0000-1B00-000068000000}">
      <text>
        <r>
          <rPr>
            <b/>
            <sz val="9"/>
            <color indexed="81"/>
            <rFont val="Tahoma"/>
            <family val="2"/>
          </rPr>
          <t>HP:</t>
        </r>
        <r>
          <rPr>
            <sz val="9"/>
            <color indexed="81"/>
            <rFont val="Tahoma"/>
            <family val="2"/>
          </rPr>
          <t xml:space="preserve">
Reforma N° 2:
Se incrementó $ 6.843,20 de acuerdo al POA 2023 de la FCE presentado.</t>
        </r>
      </text>
    </comment>
    <comment ref="E273" authorId="0" shapeId="0" xr:uid="{00000000-0006-0000-1B00-000069000000}">
      <text>
        <r>
          <rPr>
            <b/>
            <sz val="9"/>
            <color indexed="81"/>
            <rFont val="Tahoma"/>
            <family val="2"/>
          </rPr>
          <t>HP:</t>
        </r>
        <r>
          <rPr>
            <sz val="9"/>
            <color indexed="81"/>
            <rFont val="Tahoma"/>
            <family val="2"/>
          </rPr>
          <t xml:space="preserve">
Reforma N° 2:
Se incrementó $ 6.370,00 Py de Inversión FIC</t>
        </r>
      </text>
    </comment>
    <comment ref="E274" authorId="0" shapeId="0" xr:uid="{00000000-0006-0000-1B00-00006A000000}">
      <text>
        <r>
          <rPr>
            <b/>
            <sz val="9"/>
            <color indexed="81"/>
            <rFont val="Tahoma"/>
            <family val="2"/>
          </rPr>
          <t>HP:</t>
        </r>
        <r>
          <rPr>
            <sz val="9"/>
            <color indexed="81"/>
            <rFont val="Tahoma"/>
            <family val="2"/>
          </rPr>
          <t xml:space="preserve">
Reforma N° 2: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t>
        </r>
      </text>
    </comment>
    <comment ref="E275" authorId="0" shapeId="0" xr:uid="{00000000-0006-0000-1B00-00006B000000}">
      <text>
        <r>
          <rPr>
            <b/>
            <sz val="9"/>
            <color indexed="81"/>
            <rFont val="Tahoma"/>
            <family val="2"/>
          </rPr>
          <t>HP:</t>
        </r>
        <r>
          <rPr>
            <sz val="9"/>
            <color indexed="81"/>
            <rFont val="Tahoma"/>
            <family val="2"/>
          </rPr>
          <t xml:space="preserve">
Reforma N° 2:
Se incrementó $ 924.169,72 Py de Inversión FIC</t>
        </r>
      </text>
    </comment>
    <comment ref="E276" authorId="0" shapeId="0" xr:uid="{00000000-0006-0000-1B00-00006C000000}">
      <text>
        <r>
          <rPr>
            <b/>
            <sz val="9"/>
            <color indexed="81"/>
            <rFont val="Tahoma"/>
            <family val="2"/>
          </rPr>
          <t>HP:</t>
        </r>
        <r>
          <rPr>
            <sz val="9"/>
            <color indexed="81"/>
            <rFont val="Tahoma"/>
            <family val="2"/>
          </rPr>
          <t xml:space="preserve">
Reforma N° 2:
Se incrementó $ 9.325,25 por contrato de año anterior para adquisición de proyectores de imagen. TICS.
</t>
        </r>
      </text>
    </comment>
    <comment ref="E277" authorId="1" shapeId="0" xr:uid="{00000000-0006-0000-1B00-00006D000000}">
      <text>
        <r>
          <rPr>
            <b/>
            <sz val="9"/>
            <color indexed="81"/>
            <rFont val="Tahoma"/>
            <family val="2"/>
          </rPr>
          <t>Eunice Basilio:</t>
        </r>
        <r>
          <rPr>
            <sz val="9"/>
            <color indexed="81"/>
            <rFont val="Tahoma"/>
            <family val="2"/>
          </rPr>
          <t xml:space="preserve">
Reforma N° 2:
Se incrementó $ 211.328,52 conforme archivo POA 2023.
$ 4.278,40 Vic. de Investigación, Vinculación y Posgrado
$ 134.551,20 DIDI (con el incremento de abajo)
$ 59.062,12 + 22.400,00 FCA
$ 12.028,80 + 18043,20 FCS
$ 400,00 Rectorado
$ 1.008,00 + 30.889,60 + 1.929,57 FCQS
$ 15.120,00 FIC
Se incrementó $ 132.871,20 según Memorando N° UTMACH-DIDI-2023-0053-M_02/02/2023.
Se incrementó $ 8.480,00 según adjunto de Vic. Investigación en e-mail enviado el 03/02/2023</t>
        </r>
      </text>
    </comment>
    <comment ref="E278" authorId="0" shapeId="0" xr:uid="{00000000-0006-0000-1B00-00006E000000}">
      <text>
        <r>
          <rPr>
            <b/>
            <sz val="9"/>
            <color indexed="81"/>
            <rFont val="Tahoma"/>
            <family val="2"/>
          </rPr>
          <t>HP:</t>
        </r>
        <r>
          <rPr>
            <sz val="9"/>
            <color indexed="81"/>
            <rFont val="Tahoma"/>
            <family val="2"/>
          </rPr>
          <t xml:space="preserve">
Reforma N° 2:
Se incrementó $ 1.344,10 FCQS</t>
        </r>
      </text>
    </comment>
    <comment ref="E279" authorId="0" shapeId="0" xr:uid="{00000000-0006-0000-1B00-00006F000000}">
      <text>
        <r>
          <rPr>
            <b/>
            <sz val="9"/>
            <color indexed="81"/>
            <rFont val="Tahoma"/>
            <family val="2"/>
          </rPr>
          <t>HP:</t>
        </r>
        <r>
          <rPr>
            <sz val="9"/>
            <color indexed="81"/>
            <rFont val="Tahoma"/>
            <family val="2"/>
          </rPr>
          <t xml:space="preserve">
Reforma N° 2:
Se incrementó $ 244.548,86 Py de Inversión FIC</t>
        </r>
      </text>
    </comment>
    <comment ref="E280" authorId="1" shapeId="0" xr:uid="{00000000-0006-0000-1B00-000070000000}">
      <text>
        <r>
          <rPr>
            <b/>
            <sz val="9"/>
            <color indexed="81"/>
            <rFont val="Tahoma"/>
            <family val="2"/>
          </rPr>
          <t>Eunice Basilio:</t>
        </r>
        <r>
          <rPr>
            <sz val="9"/>
            <color indexed="81"/>
            <rFont val="Tahoma"/>
            <family val="2"/>
          </rPr>
          <t xml:space="preserve">
Reforma N° 2:
Se incrementó conforme archivo POA 2023:
$ 13.523,26 Vic. Investigación
$ 2.240,00 DIDI
$ 123.516,00 DTIC + 18.037,80
$ 65.044,00 FCE
$ 11.150,72  FCS
$ 7.504,00 Rectorado
Se incrementó $ 1.771,84, según Memorando N° UTMACH-DADM-2023-0013-M del 16/01/23 Se agrega a TICS.
Se incrementó $ 45.920,00 según Memorando N° UTMACH-DIDI-2023-0053-M_02/02/2023.</t>
        </r>
      </text>
    </comment>
    <comment ref="E281" authorId="1" shapeId="0" xr:uid="{00000000-0006-0000-1B00-000071000000}">
      <text>
        <r>
          <rPr>
            <b/>
            <sz val="9"/>
            <color indexed="81"/>
            <rFont val="Tahoma"/>
            <family val="2"/>
          </rPr>
          <t>Eunice Basilio:</t>
        </r>
        <r>
          <rPr>
            <sz val="9"/>
            <color indexed="81"/>
            <rFont val="Tahoma"/>
            <family val="2"/>
          </rPr>
          <t xml:space="preserve">
Reforma N° 2:
Se incrementó $ 414.919,06 Py de Red Lan DTIC</t>
        </r>
      </text>
    </comment>
    <comment ref="E282" authorId="0" shapeId="0" xr:uid="{00000000-0006-0000-1B00-000072000000}">
      <text>
        <r>
          <rPr>
            <b/>
            <sz val="9"/>
            <color indexed="81"/>
            <rFont val="Tahoma"/>
            <family val="2"/>
          </rPr>
          <t>HP:</t>
        </r>
        <r>
          <rPr>
            <sz val="9"/>
            <color indexed="81"/>
            <rFont val="Tahoma"/>
            <family val="2"/>
          </rPr>
          <t xml:space="preserve">
Reforma N° 2:
Se incrementó $ 2.800,00 según Memorando N° UTMACH-DIDI-2023-0053-M_02/02/2023.</t>
        </r>
      </text>
    </comment>
    <comment ref="F288" authorId="0" shapeId="0" xr:uid="{00000000-0006-0000-1B00-000073000000}">
      <text>
        <r>
          <rPr>
            <b/>
            <sz val="9"/>
            <color indexed="81"/>
            <rFont val="Tahoma"/>
            <family val="2"/>
          </rPr>
          <t>HP:</t>
        </r>
        <r>
          <rPr>
            <sz val="9"/>
            <color indexed="81"/>
            <rFont val="Tahoma"/>
            <family val="2"/>
          </rPr>
          <t xml:space="preserve">
Reforma N° 2:
Se redujo $ 8.960,00 Vic. de Investigación
según adjunto de Vic. Investigación en e-mail enviado el 03/02/2023</t>
        </r>
      </text>
    </comment>
    <comment ref="E294" authorId="0" shapeId="0" xr:uid="{00000000-0006-0000-1B00-000074000000}">
      <text>
        <r>
          <rPr>
            <b/>
            <sz val="9"/>
            <color indexed="81"/>
            <rFont val="Tahoma"/>
            <family val="2"/>
          </rPr>
          <t>HP:</t>
        </r>
        <r>
          <rPr>
            <sz val="9"/>
            <color indexed="81"/>
            <rFont val="Tahoma"/>
            <family val="2"/>
          </rPr>
          <t xml:space="preserve">
Reforma N° 2:se incrementó $ 2.352,00 FCQS
</t>
        </r>
      </text>
    </comment>
    <comment ref="F295" authorId="0" shapeId="0" xr:uid="{00000000-0006-0000-1B00-000075000000}">
      <text>
        <r>
          <rPr>
            <b/>
            <sz val="9"/>
            <color indexed="81"/>
            <rFont val="Tahoma"/>
            <family val="2"/>
          </rPr>
          <t>HP:</t>
        </r>
        <r>
          <rPr>
            <sz val="9"/>
            <color indexed="81"/>
            <rFont val="Tahoma"/>
            <family val="2"/>
          </rPr>
          <t xml:space="preserve">
Reforma N° 2:
Se redujo $ 22.400,00 FCA</t>
        </r>
      </text>
    </comment>
    <comment ref="F296" authorId="0" shapeId="0" xr:uid="{00000000-0006-0000-1B00-000076000000}">
      <text>
        <r>
          <rPr>
            <b/>
            <sz val="9"/>
            <color indexed="81"/>
            <rFont val="Tahoma"/>
            <family val="2"/>
          </rPr>
          <t>HP:</t>
        </r>
        <r>
          <rPr>
            <sz val="9"/>
            <color indexed="81"/>
            <rFont val="Tahoma"/>
            <family val="2"/>
          </rPr>
          <t xml:space="preserve">
Reforma N° 2:
Se redujo $ 25.064,00 por disposición del Director del DPLAN</t>
        </r>
      </text>
    </comment>
    <comment ref="F297" authorId="0" shapeId="0" xr:uid="{00000000-0006-0000-1B00-000077000000}">
      <text>
        <r>
          <rPr>
            <b/>
            <sz val="9"/>
            <color indexed="81"/>
            <rFont val="Tahoma"/>
            <family val="2"/>
          </rPr>
          <t>HP:</t>
        </r>
        <r>
          <rPr>
            <sz val="9"/>
            <color indexed="81"/>
            <rFont val="Tahoma"/>
            <family val="2"/>
          </rPr>
          <t xml:space="preserve">
Reforma N° 2:
Se redujo $ 20.160,00 de acuerdo al 1er POA 2023 de la FCE presentado (por no estar desagregado).</t>
        </r>
      </text>
    </comment>
    <comment ref="F299" authorId="0" shapeId="0" xr:uid="{00000000-0006-0000-1B00-000078000000}">
      <text>
        <r>
          <rPr>
            <b/>
            <sz val="9"/>
            <color indexed="81"/>
            <rFont val="Tahoma"/>
            <family val="2"/>
          </rPr>
          <t>HP:</t>
        </r>
        <r>
          <rPr>
            <sz val="9"/>
            <color indexed="81"/>
            <rFont val="Tahoma"/>
            <family val="2"/>
          </rPr>
          <t xml:space="preserve">
Reforma N° 2:
Se redujo $ 6.800,00 Dir. Educ. Continua</t>
        </r>
      </text>
    </comment>
    <comment ref="F304" authorId="0" shapeId="0" xr:uid="{00000000-0006-0000-1B00-000079000000}">
      <text>
        <r>
          <rPr>
            <b/>
            <sz val="9"/>
            <color indexed="81"/>
            <rFont val="Tahoma"/>
            <family val="2"/>
          </rPr>
          <t>HP:</t>
        </r>
        <r>
          <rPr>
            <sz val="9"/>
            <color indexed="81"/>
            <rFont val="Tahoma"/>
            <family val="2"/>
          </rPr>
          <t xml:space="preserve">
Reforma N° 2:
Se redujo $ 1.261,38 Dir. Educ. Continua</t>
        </r>
      </text>
    </comment>
    <comment ref="F306" authorId="0" shapeId="0" xr:uid="{00000000-0006-0000-1B00-00007A000000}">
      <text>
        <r>
          <rPr>
            <b/>
            <sz val="9"/>
            <color indexed="81"/>
            <rFont val="Tahoma"/>
            <family val="2"/>
          </rPr>
          <t>HP:</t>
        </r>
        <r>
          <rPr>
            <sz val="9"/>
            <color indexed="81"/>
            <rFont val="Tahoma"/>
            <family val="2"/>
          </rPr>
          <t xml:space="preserve">
Reforma N° 2:
Se redujo $ 26.096,00 FCQS</t>
        </r>
      </text>
    </comment>
    <comment ref="E308" authorId="0" shapeId="0" xr:uid="{00000000-0006-0000-1B00-00007B000000}">
      <text>
        <r>
          <rPr>
            <b/>
            <sz val="9"/>
            <color indexed="81"/>
            <rFont val="Tahoma"/>
            <family val="2"/>
          </rPr>
          <t>HP:</t>
        </r>
        <r>
          <rPr>
            <sz val="9"/>
            <color indexed="81"/>
            <rFont val="Tahoma"/>
            <family val="2"/>
          </rPr>
          <t xml:space="preserve">
Reforma N° 2:se incrementó $ 162,40 FCQS
</t>
        </r>
      </text>
    </comment>
    <comment ref="E309" authorId="0" shapeId="0" xr:uid="{00000000-0006-0000-1B00-00007C000000}">
      <text>
        <r>
          <rPr>
            <b/>
            <sz val="9"/>
            <color indexed="81"/>
            <rFont val="Tahoma"/>
            <family val="2"/>
          </rPr>
          <t>HP:</t>
        </r>
        <r>
          <rPr>
            <sz val="9"/>
            <color indexed="81"/>
            <rFont val="Tahoma"/>
            <family val="2"/>
          </rPr>
          <t xml:space="preserve">
Reforma N° 2:se incrementó $ 619,36 FCQS
</t>
        </r>
      </text>
    </comment>
    <comment ref="E310" authorId="0" shapeId="0" xr:uid="{00000000-0006-0000-1B00-00007D000000}">
      <text>
        <r>
          <rPr>
            <b/>
            <sz val="9"/>
            <color indexed="81"/>
            <rFont val="Tahoma"/>
            <family val="2"/>
          </rPr>
          <t>HP:</t>
        </r>
        <r>
          <rPr>
            <sz val="9"/>
            <color indexed="81"/>
            <rFont val="Tahoma"/>
            <family val="2"/>
          </rPr>
          <t xml:space="preserve">
Reforma N° 2:se incrementó $ 5.600,00 FCQS
</t>
        </r>
      </text>
    </comment>
    <comment ref="F312" authorId="0" shapeId="0" xr:uid="{00000000-0006-0000-1B00-00007E000000}">
      <text>
        <r>
          <rPr>
            <b/>
            <sz val="9"/>
            <color indexed="81"/>
            <rFont val="Tahoma"/>
            <family val="2"/>
          </rPr>
          <t>HP:</t>
        </r>
        <r>
          <rPr>
            <sz val="9"/>
            <color indexed="81"/>
            <rFont val="Tahoma"/>
            <family val="2"/>
          </rPr>
          <t xml:space="preserve">
Reforma N° 2:
Se redujo $ 21.280,00 DBUAC</t>
        </r>
      </text>
    </comment>
    <comment ref="E317" authorId="1" shapeId="0" xr:uid="{00000000-0006-0000-1B00-00007F000000}">
      <text>
        <r>
          <rPr>
            <b/>
            <sz val="9"/>
            <color indexed="81"/>
            <rFont val="Tahoma"/>
            <family val="2"/>
          </rPr>
          <t>Eunice Basilio:</t>
        </r>
        <r>
          <rPr>
            <sz val="9"/>
            <color indexed="81"/>
            <rFont val="Tahoma"/>
            <family val="2"/>
          </rPr>
          <t xml:space="preserve">
Reforma N° 2:
Se incrementó $ 14.739,77 conforme archivo POA 2023.
Se incrementó $ 5.107,94 FCQS</t>
        </r>
      </text>
    </comment>
    <comment ref="E318" authorId="1" shapeId="0" xr:uid="{00000000-0006-0000-1B00-000080000000}">
      <text>
        <r>
          <rPr>
            <b/>
            <sz val="9"/>
            <color indexed="81"/>
            <rFont val="Tahoma"/>
            <family val="2"/>
          </rPr>
          <t>Eunice Basilio:</t>
        </r>
        <r>
          <rPr>
            <sz val="9"/>
            <color indexed="81"/>
            <rFont val="Tahoma"/>
            <family val="2"/>
          </rPr>
          <t xml:space="preserve">
Reforma N° 2:
Se incrementó $ 20.678,10 conforme archivo POA 2023.
Se incrementó $ 5.308,80 por contrato de año anterior para adquisición de proyectores de imagen. TICS
Se incrementó $ 9.924,07 FCQS</t>
        </r>
      </text>
    </comment>
    <comment ref="E319" authorId="1" shapeId="0" xr:uid="{00000000-0006-0000-1B00-000081000000}">
      <text>
        <r>
          <rPr>
            <b/>
            <sz val="9"/>
            <color indexed="81"/>
            <rFont val="Tahoma"/>
            <family val="2"/>
          </rPr>
          <t>Eunice Basilio:</t>
        </r>
        <r>
          <rPr>
            <sz val="9"/>
            <color indexed="81"/>
            <rFont val="Tahoma"/>
            <family val="2"/>
          </rPr>
          <t xml:space="preserve">
Reforma N° 2:
Se incrementó $ 21.446,90 conforme archivo POA 2023.
Se incrementó $ 336,01 FCQS
</t>
        </r>
      </text>
    </comment>
    <comment ref="E320" authorId="0" shapeId="0" xr:uid="{00000000-0006-0000-1B00-000082000000}">
      <text>
        <r>
          <rPr>
            <b/>
            <sz val="9"/>
            <color indexed="81"/>
            <rFont val="Tahoma"/>
            <family val="2"/>
          </rPr>
          <t>HP:</t>
        </r>
        <r>
          <rPr>
            <sz val="9"/>
            <color indexed="81"/>
            <rFont val="Tahoma"/>
            <family val="2"/>
          </rPr>
          <t xml:space="preserve">
Reforma N° 2:se incrementó $ 5.600,00 FCQS
</t>
        </r>
      </text>
    </comment>
    <comment ref="D332" authorId="0" shapeId="0" xr:uid="{00000000-0006-0000-1B00-000083000000}">
      <text>
        <r>
          <rPr>
            <b/>
            <sz val="9"/>
            <color indexed="81"/>
            <rFont val="Tahoma"/>
            <family val="2"/>
          </rPr>
          <t>HP:</t>
        </r>
        <r>
          <rPr>
            <sz val="9"/>
            <color indexed="81"/>
            <rFont val="Tahoma"/>
            <family val="2"/>
          </rPr>
          <t xml:space="preserve">
Reforma N° 2:
Se incrementó $ 39.500,00 por contrato de Adquisición de aires acondicionados PULLA HNOS Dir Adm</t>
        </r>
      </text>
    </comment>
    <comment ref="D333" authorId="0" shapeId="0" xr:uid="{00000000-0006-0000-1B00-000084000000}">
      <text>
        <r>
          <rPr>
            <b/>
            <sz val="9"/>
            <color indexed="81"/>
            <rFont val="Tahoma"/>
            <family val="2"/>
          </rPr>
          <t>HP:</t>
        </r>
        <r>
          <rPr>
            <sz val="9"/>
            <color indexed="81"/>
            <rFont val="Tahoma"/>
            <family val="2"/>
          </rPr>
          <t xml:space="preserve">
Reforma N° 2:
Se incrementó 25.066,04 para Renovación de garantías extendidas y soporte de fábrica para los equipos que onforman la Plataforma Flexpod - AKEA - DIDI</t>
        </r>
      </text>
    </comment>
    <comment ref="D334" authorId="1" shapeId="0" xr:uid="{00000000-0006-0000-1B00-000085000000}">
      <text>
        <r>
          <rPr>
            <b/>
            <sz val="9"/>
            <color indexed="81"/>
            <rFont val="Tahoma"/>
            <family val="2"/>
          </rPr>
          <t>Eunice Basilio:</t>
        </r>
        <r>
          <rPr>
            <sz val="9"/>
            <color indexed="81"/>
            <rFont val="Tahoma"/>
            <family val="2"/>
          </rPr>
          <t xml:space="preserve">
Reforma N° 2:
Se incrementó $ 110.690,00 para Adecuac. de los equipos de la Infraestructura de Core de la Red LAN de la UTMACH - AKEA</t>
        </r>
      </text>
    </comment>
    <comment ref="D335" authorId="0" shapeId="0" xr:uid="{00000000-0006-0000-1B00-000086000000}">
      <text>
        <r>
          <rPr>
            <b/>
            <sz val="9"/>
            <color indexed="81"/>
            <rFont val="Tahoma"/>
            <family val="2"/>
          </rPr>
          <t>HP:</t>
        </r>
        <r>
          <rPr>
            <sz val="9"/>
            <color indexed="81"/>
            <rFont val="Tahoma"/>
            <family val="2"/>
          </rPr>
          <t xml:space="preserve">
Reforma N° 2:
Se incrementó $ 26.785,71 para Servicio de Consultoría CRAI - LOAYZA AGUILAR KAROL</t>
        </r>
      </text>
    </comment>
    <comment ref="D336" authorId="0" shapeId="0" xr:uid="{00000000-0006-0000-1B00-000087000000}">
      <text>
        <r>
          <rPr>
            <b/>
            <sz val="9"/>
            <color indexed="81"/>
            <rFont val="Tahoma"/>
            <family val="2"/>
          </rPr>
          <t>HP:</t>
        </r>
        <r>
          <rPr>
            <sz val="9"/>
            <color indexed="81"/>
            <rFont val="Tahoma"/>
            <family val="2"/>
          </rPr>
          <t xml:space="preserve">
Reforma N° 2:
Se incrementó $ 26.785,57 (sin IVA) para Repotenciación de la Línea de Media Tensión 13200 VAC, en el Campus principal de la UTMACH. - UTMACH EP.</t>
        </r>
      </text>
    </comment>
    <comment ref="D337" authorId="0" shapeId="0" xr:uid="{00000000-0006-0000-1B00-000088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D338" authorId="0" shapeId="0" xr:uid="{00000000-0006-0000-1B00-000089000000}">
      <text>
        <r>
          <rPr>
            <b/>
            <sz val="9"/>
            <color indexed="81"/>
            <rFont val="Tahoma"/>
            <family val="2"/>
          </rPr>
          <t>HP:</t>
        </r>
        <r>
          <rPr>
            <sz val="9"/>
            <color indexed="81"/>
            <rFont val="Tahoma"/>
            <family val="2"/>
          </rPr>
          <t xml:space="preserve">
Reforma N° 2:
Se incrementó $ 37.765,46 para pago de contrato de año anterior por adquisición de cámaras de videovigilancia. UTMACH EP
Dir. Administrativa</t>
        </r>
      </text>
    </comment>
    <comment ref="D339" authorId="0" shapeId="0" xr:uid="{00000000-0006-0000-1B00-00008A000000}">
      <text>
        <r>
          <rPr>
            <b/>
            <sz val="9"/>
            <color indexed="81"/>
            <rFont val="Tahoma"/>
            <family val="2"/>
          </rPr>
          <t>HP:</t>
        </r>
        <r>
          <rPr>
            <sz val="9"/>
            <color indexed="81"/>
            <rFont val="Tahoma"/>
            <family val="2"/>
          </rPr>
          <t xml:space="preserve">
Reforma N° 2:
Se incrementó $ 14.827,75+$ 6.354,75 por contrato de año anterior para adquisición de proyectores de imagen. TICS
Se incrementó 3.495,00 para Adquisición de un estereomicroscopio para la ejecución de un proyecto de investigación de la FCQS - NARVAEZ SOLUCIONES INTEGRALES - NSI CIA.LTDA. - DIDI</t>
        </r>
      </text>
    </comment>
    <comment ref="D340" authorId="0" shapeId="0" xr:uid="{00000000-0006-0000-1B00-00008B000000}">
      <text>
        <r>
          <rPr>
            <b/>
            <sz val="9"/>
            <color indexed="81"/>
            <rFont val="Tahoma"/>
            <family val="2"/>
          </rPr>
          <t>HP:</t>
        </r>
        <r>
          <rPr>
            <sz val="9"/>
            <color indexed="81"/>
            <rFont val="Tahoma"/>
            <family val="2"/>
          </rPr>
          <t xml:space="preserve">
Reforma N° 2:
Se incrementó $ 79.813,00 para pago de contrato de año anterior por adquisición e instalación de equipos de climatización. Dir. Administrativa.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HP</author>
    <author>Eunice Basilio</author>
    <author>Dirección Financiera</author>
    <author>Vilma Chanena Vega Ponce</author>
  </authors>
  <commentList>
    <comment ref="E41" authorId="0" shapeId="0" xr:uid="{00000000-0006-0000-1D00-000001000000}">
      <text>
        <r>
          <rPr>
            <b/>
            <sz val="9"/>
            <color indexed="81"/>
            <rFont val="Tahoma"/>
            <family val="2"/>
          </rPr>
          <t>HP:</t>
        </r>
        <r>
          <rPr>
            <sz val="9"/>
            <color indexed="81"/>
            <rFont val="Tahoma"/>
            <family val="2"/>
          </rPr>
          <t xml:space="preserve">
Reforma N° 2:
Se incrementó $ 28.000,00 por contrato año anterior para adquisición de SIMCARD DBU</t>
        </r>
      </text>
    </comment>
    <comment ref="F42" authorId="0" shapeId="0" xr:uid="{00000000-0006-0000-1D00-000002000000}">
      <text>
        <r>
          <rPr>
            <b/>
            <sz val="9"/>
            <color indexed="81"/>
            <rFont val="Tahoma"/>
            <family val="2"/>
          </rPr>
          <t>HP:</t>
        </r>
        <r>
          <rPr>
            <sz val="9"/>
            <color indexed="81"/>
            <rFont val="Tahoma"/>
            <family val="2"/>
          </rPr>
          <t xml:space="preserve">
Reforma N° 2:
Se redujo $ 28.000,00 por adquisición de SIMCARD DBU, contrato que ya estaba en el POA.
Se redujo $ 14.000,00 para cubrir liquidaciones por juicios en la partida N° 990101 0701 003 en el programa 82</t>
        </r>
      </text>
    </comment>
    <comment ref="F43" authorId="0" shapeId="0" xr:uid="{00000000-0006-0000-1D00-000003000000}">
      <text>
        <r>
          <rPr>
            <b/>
            <sz val="9"/>
            <color indexed="81"/>
            <rFont val="Tahoma"/>
            <family val="2"/>
          </rPr>
          <t>HP:</t>
        </r>
        <r>
          <rPr>
            <sz val="9"/>
            <color indexed="81"/>
            <rFont val="Tahoma"/>
            <family val="2"/>
          </rPr>
          <t xml:space="preserve">
Reforma N° 2:
Se redujo $ 1.000,00 para cubrir liquidaciones por juicios en la partida N° 990101 0701 003 en el programa 82</t>
        </r>
      </text>
    </comment>
    <comment ref="E45" authorId="0" shapeId="0" xr:uid="{00000000-0006-0000-1D00-000004000000}">
      <text>
        <r>
          <rPr>
            <b/>
            <sz val="9"/>
            <color indexed="81"/>
            <rFont val="Tahoma"/>
            <family val="2"/>
          </rPr>
          <t>HP:</t>
        </r>
        <r>
          <rPr>
            <sz val="9"/>
            <color indexed="81"/>
            <rFont val="Tahoma"/>
            <family val="2"/>
          </rPr>
          <t xml:space="preserve">
Reforma N° 2:
Se incrementó $ 1.292,40, según Memorando N° UTMACH-DBUAC-2023-0012-M del 12/01/2023. </t>
        </r>
      </text>
    </comment>
    <comment ref="E48" authorId="0" shapeId="0" xr:uid="{00000000-0006-0000-1D00-000005000000}">
      <text>
        <r>
          <rPr>
            <b/>
            <sz val="9"/>
            <color indexed="81"/>
            <rFont val="Tahoma"/>
            <family val="2"/>
          </rPr>
          <t>HP:</t>
        </r>
        <r>
          <rPr>
            <sz val="9"/>
            <color indexed="81"/>
            <rFont val="Tahoma"/>
            <family val="2"/>
          </rPr>
          <t xml:space="preserve">
Reforma N° 2:
Se incrementó $ 194.032,61, según Oficio N° UTMACH-DADM-2023-0016-OF del 10/01/2023</t>
        </r>
      </text>
    </comment>
    <comment ref="E49" authorId="0" shapeId="0" xr:uid="{00000000-0006-0000-1D00-000006000000}">
      <text>
        <r>
          <rPr>
            <b/>
            <sz val="9"/>
            <color indexed="81"/>
            <rFont val="Tahoma"/>
            <family val="2"/>
          </rPr>
          <t>HP:</t>
        </r>
        <r>
          <rPr>
            <sz val="9"/>
            <color indexed="81"/>
            <rFont val="Tahoma"/>
            <family val="2"/>
          </rPr>
          <t xml:space="preserve">
Reforma N° 2:
Se incrementó $ 29.226,24, según Memorando N° UTMACH-DBUAC-2023-0012-M del 12/01/2023. </t>
        </r>
      </text>
    </comment>
    <comment ref="F50" authorId="0" shapeId="0" xr:uid="{00000000-0006-0000-1D00-000007000000}">
      <text>
        <r>
          <rPr>
            <b/>
            <sz val="9"/>
            <color indexed="81"/>
            <rFont val="Tahoma"/>
            <family val="2"/>
          </rPr>
          <t>HP:</t>
        </r>
        <r>
          <rPr>
            <sz val="9"/>
            <color indexed="81"/>
            <rFont val="Tahoma"/>
            <family val="2"/>
          </rPr>
          <t xml:space="preserve">
Reforma N° 2:
Se redujo $ 10.080,00 para pasar a Costas Judiciales</t>
        </r>
      </text>
    </comment>
    <comment ref="E52" authorId="0" shapeId="0" xr:uid="{00000000-0006-0000-1D00-000008000000}">
      <text>
        <r>
          <rPr>
            <b/>
            <sz val="9"/>
            <color indexed="81"/>
            <rFont val="Tahoma"/>
            <family val="2"/>
          </rPr>
          <t>HP:</t>
        </r>
        <r>
          <rPr>
            <sz val="9"/>
            <color indexed="81"/>
            <rFont val="Tahoma"/>
            <family val="2"/>
          </rPr>
          <t xml:space="preserve">
Reforma N° 2:
Se incrementó $ 37.040,00 por separación de partidas. Dir. Administrativa.</t>
        </r>
      </text>
    </comment>
    <comment ref="E59" authorId="0" shapeId="0" xr:uid="{00000000-0006-0000-1D00-000009000000}">
      <text>
        <r>
          <rPr>
            <b/>
            <sz val="9"/>
            <color indexed="81"/>
            <rFont val="Tahoma"/>
            <family val="2"/>
          </rPr>
          <t>HP:</t>
        </r>
        <r>
          <rPr>
            <sz val="9"/>
            <color indexed="81"/>
            <rFont val="Tahoma"/>
            <family val="2"/>
          </rPr>
          <t xml:space="preserve">
Reforma N° 2:
Se redujo $ 78.060,00 Dir. Administrativa que pasó de fuente 3 a fuente 2</t>
        </r>
      </text>
    </comment>
    <comment ref="E60" authorId="0" shapeId="0" xr:uid="{00000000-0006-0000-1D00-00000A000000}">
      <text>
        <r>
          <rPr>
            <b/>
            <sz val="9"/>
            <color indexed="81"/>
            <rFont val="Tahoma"/>
            <family val="2"/>
          </rPr>
          <t>HP:</t>
        </r>
        <r>
          <rPr>
            <sz val="9"/>
            <color indexed="81"/>
            <rFont val="Tahoma"/>
            <family val="2"/>
          </rPr>
          <t xml:space="preserve">
Reforma N° 2:
Se incrementó $ 7.500,00 según Oficio N° UTMACH-DADM-UOIFM-2022-555-OF del 29/12/2022.
Se incrementó $ 1.550,00, según Memorando N° UTMACH-DBUAC-2023-0012-M del 12/01/2023. 
Se incrementó $ 5.000,00 para adecuación de la DPLAN.
Se incrementó $ 56.000,00+219200,27 para adecuaciones y reparación de infraestructura y seguridad de ingresos peatonales y vehiculares. Vic. Administrativo. Vic. Administrativo</t>
        </r>
      </text>
    </comment>
    <comment ref="F60" authorId="0" shapeId="0" xr:uid="{00000000-0006-0000-1D00-00000B000000}">
      <text>
        <r>
          <rPr>
            <b/>
            <sz val="9"/>
            <color indexed="81"/>
            <rFont val="Tahoma"/>
            <family val="2"/>
          </rPr>
          <t>HP:</t>
        </r>
        <r>
          <rPr>
            <sz val="9"/>
            <color indexed="81"/>
            <rFont val="Tahoma"/>
            <family val="2"/>
          </rPr>
          <t xml:space="preserve">
Reforma N° 2:
Se redujo $ 18.037,80 Rectorado
Se redujo $ 110.026,38 Vic. Académico
Se redujo $ 78.060,00 Dir. Administrativa que pasó a fuente 2</t>
        </r>
      </text>
    </comment>
    <comment ref="E61" authorId="1" shapeId="0" xr:uid="{00000000-0006-0000-1D00-00000C000000}">
      <text>
        <r>
          <rPr>
            <b/>
            <sz val="9"/>
            <color indexed="81"/>
            <rFont val="Tahoma"/>
            <family val="2"/>
          </rPr>
          <t>Eunice Basilio:</t>
        </r>
        <r>
          <rPr>
            <sz val="9"/>
            <color indexed="81"/>
            <rFont val="Tahoma"/>
            <family val="2"/>
          </rPr>
          <t xml:space="preserve">
Reforma N° 2:
Se incrementó conforme archivo POA 2023:
$ 15.000,00 Dir. Administrativa</t>
        </r>
      </text>
    </comment>
    <comment ref="E63" authorId="0" shapeId="0" xr:uid="{00000000-0006-0000-1D00-00000D000000}">
      <text>
        <r>
          <rPr>
            <b/>
            <sz val="9"/>
            <color indexed="81"/>
            <rFont val="Tahoma"/>
            <family val="2"/>
          </rPr>
          <t>HP:</t>
        </r>
        <r>
          <rPr>
            <sz val="9"/>
            <color indexed="81"/>
            <rFont val="Tahoma"/>
            <family val="2"/>
          </rPr>
          <t xml:space="preserve">
Reforma N° 2:
Se incrementó solo $ 7.000,00 según Oficio N° UTMACH-DADM-UOIFM-2022-555-OF del 29/12/2022.</t>
        </r>
      </text>
    </comment>
    <comment ref="F63" authorId="0" shapeId="0" xr:uid="{00000000-0006-0000-1D00-00000E000000}">
      <text>
        <r>
          <rPr>
            <b/>
            <sz val="9"/>
            <color indexed="81"/>
            <rFont val="Tahoma"/>
            <family val="2"/>
          </rPr>
          <t>HP:</t>
        </r>
        <r>
          <rPr>
            <sz val="9"/>
            <color indexed="81"/>
            <rFont val="Tahoma"/>
            <family val="2"/>
          </rPr>
          <t xml:space="preserve">
Reforma N° 2:
Se redujo $ 92.610,11 para pasar a la partida N° 990101 0701 003 Obligaciones de Ejercicios Anteriores en Personal en el prog. 01 y 82</t>
        </r>
      </text>
    </comment>
    <comment ref="E64" authorId="0" shapeId="0" xr:uid="{00000000-0006-0000-1D00-00000F000000}">
      <text>
        <r>
          <rPr>
            <b/>
            <sz val="9"/>
            <color indexed="81"/>
            <rFont val="Tahoma"/>
            <family val="2"/>
          </rPr>
          <t>HP:</t>
        </r>
        <r>
          <rPr>
            <sz val="9"/>
            <color indexed="81"/>
            <rFont val="Tahoma"/>
            <family val="2"/>
          </rPr>
          <t xml:space="preserve">
Reforma N° 2:
$ 2.124,58 mantenimiento de vehículo KIA KMOTOR Dir Adm
$ 3.984,61 mantenimiento de vehículos GUALPA RAMIREZ Dir Adm</t>
        </r>
      </text>
    </comment>
    <comment ref="F66" authorId="0" shapeId="0" xr:uid="{00000000-0006-0000-1D00-000010000000}">
      <text>
        <r>
          <rPr>
            <b/>
            <sz val="9"/>
            <color indexed="81"/>
            <rFont val="Tahoma"/>
            <family val="2"/>
          </rPr>
          <t>HP:</t>
        </r>
        <r>
          <rPr>
            <sz val="9"/>
            <color indexed="81"/>
            <rFont val="Tahoma"/>
            <family val="2"/>
          </rPr>
          <t xml:space="preserve">
Reforma N° 2:
Se redujo $ 5.000,00 para adecuación de la DPLAN.
Se redujo $ 8.960,00 por indicar
Se redujo $ 600,84 Dir. Académica</t>
        </r>
      </text>
    </comment>
    <comment ref="F68" authorId="1" shapeId="0" xr:uid="{00000000-0006-0000-1D00-000011000000}">
      <text>
        <r>
          <rPr>
            <b/>
            <sz val="9"/>
            <color indexed="81"/>
            <rFont val="Tahoma"/>
            <family val="2"/>
          </rPr>
          <t>Eunice Basilio:</t>
        </r>
        <r>
          <rPr>
            <sz val="9"/>
            <color indexed="81"/>
            <rFont val="Tahoma"/>
            <family val="2"/>
          </rPr>
          <t xml:space="preserve">
Reforma N° 2:
Se redujo $ 284.523,80 conforme archivo POA 2023.</t>
        </r>
      </text>
    </comment>
    <comment ref="F69" authorId="0" shapeId="0" xr:uid="{00000000-0006-0000-1D00-000012000000}">
      <text>
        <r>
          <rPr>
            <b/>
            <sz val="9"/>
            <color indexed="81"/>
            <rFont val="Tahoma"/>
            <family val="2"/>
          </rPr>
          <t>HP:</t>
        </r>
        <r>
          <rPr>
            <sz val="9"/>
            <color indexed="81"/>
            <rFont val="Tahoma"/>
            <family val="2"/>
          </rPr>
          <t xml:space="preserve">
Reforma N° 2:
Se redujo $ 90.884,73, se sacó del POA 2023 de la DTH ítem Para sumar a la partida 580209 "A Jubilados Patronales"</t>
        </r>
      </text>
    </comment>
    <comment ref="E72" authorId="0" shapeId="0" xr:uid="{00000000-0006-0000-1D00-000013000000}">
      <text>
        <r>
          <rPr>
            <b/>
            <sz val="9"/>
            <color indexed="81"/>
            <rFont val="Tahoma"/>
            <family val="2"/>
          </rPr>
          <t>HP:</t>
        </r>
        <r>
          <rPr>
            <sz val="9"/>
            <color indexed="81"/>
            <rFont val="Tahoma"/>
            <family val="2"/>
          </rPr>
          <t xml:space="preserve">
Reforma N° 2:
Se incrementó $ 287,08, según Memorando N° UTMACH-DBUAC-2023-0012-M del 12/01/2023. </t>
        </r>
      </text>
    </comment>
    <comment ref="E73" authorId="0" shapeId="0" xr:uid="{00000000-0006-0000-1D00-000014000000}">
      <text>
        <r>
          <rPr>
            <b/>
            <sz val="9"/>
            <color indexed="81"/>
            <rFont val="Tahoma"/>
            <family val="2"/>
          </rPr>
          <t>HP:</t>
        </r>
        <r>
          <rPr>
            <sz val="9"/>
            <color indexed="81"/>
            <rFont val="Tahoma"/>
            <family val="2"/>
          </rPr>
          <t xml:space="preserve">
Reforma N° 2:
Se incrementó 40.000,00 para Uniformes Personal LOSEP DTH</t>
        </r>
      </text>
    </comment>
    <comment ref="F74" authorId="0" shapeId="0" xr:uid="{00000000-0006-0000-1D00-000015000000}">
      <text>
        <r>
          <rPr>
            <b/>
            <sz val="9"/>
            <color indexed="81"/>
            <rFont val="Tahoma"/>
            <family val="2"/>
          </rPr>
          <t>HP:</t>
        </r>
        <r>
          <rPr>
            <sz val="9"/>
            <color indexed="81"/>
            <rFont val="Tahoma"/>
            <family val="2"/>
          </rPr>
          <t xml:space="preserve">
Reforma N° 2:
Se redujo $ 37.040,00 para pasar a la partida de combustible. Dir. Administrativa.</t>
        </r>
      </text>
    </comment>
    <comment ref="E75" authorId="0" shapeId="0" xr:uid="{00000000-0006-0000-1D00-000016000000}">
      <text>
        <r>
          <rPr>
            <b/>
            <sz val="9"/>
            <color indexed="81"/>
            <rFont val="Tahoma"/>
            <family val="2"/>
          </rPr>
          <t>HP:</t>
        </r>
        <r>
          <rPr>
            <sz val="9"/>
            <color indexed="81"/>
            <rFont val="Tahoma"/>
            <family val="2"/>
          </rPr>
          <t xml:space="preserve">
Reforma N° 2:
Se rincrementó 16.800,00 Dir Adm
77,28 DAC que pasó de fuente 3 a fuente 2</t>
        </r>
      </text>
    </comment>
    <comment ref="F76" authorId="0" shapeId="0" xr:uid="{00000000-0006-0000-1D00-000017000000}">
      <text>
        <r>
          <rPr>
            <b/>
            <sz val="9"/>
            <color indexed="81"/>
            <rFont val="Tahoma"/>
            <family val="2"/>
          </rPr>
          <t>HP:</t>
        </r>
        <r>
          <rPr>
            <sz val="9"/>
            <color indexed="81"/>
            <rFont val="Tahoma"/>
            <family val="2"/>
          </rPr>
          <t xml:space="preserve">
Reforma N° 2:
Se redujo 16.800,00 Dir Adm
77,28 DAC que pasan a fuente 2</t>
        </r>
      </text>
    </comment>
    <comment ref="F78" authorId="0" shapeId="0" xr:uid="{00000000-0006-0000-1D00-000018000000}">
      <text>
        <r>
          <rPr>
            <b/>
            <sz val="9"/>
            <color indexed="81"/>
            <rFont val="Tahoma"/>
            <family val="2"/>
          </rPr>
          <t>HP:</t>
        </r>
        <r>
          <rPr>
            <sz val="9"/>
            <color indexed="81"/>
            <rFont val="Tahoma"/>
            <family val="2"/>
          </rPr>
          <t xml:space="preserve">
Reforma N° 2:
Se redujo $ 10.000,00 Dir. Administrativa</t>
        </r>
      </text>
    </comment>
    <comment ref="E81" authorId="0" shapeId="0" xr:uid="{00000000-0006-0000-1D00-000019000000}">
      <text>
        <r>
          <rPr>
            <b/>
            <sz val="9"/>
            <color indexed="81"/>
            <rFont val="Tahoma"/>
            <family val="2"/>
          </rPr>
          <t>HP:</t>
        </r>
        <r>
          <rPr>
            <sz val="9"/>
            <color indexed="81"/>
            <rFont val="Tahoma"/>
            <family val="2"/>
          </rPr>
          <t xml:space="preserve">
Reforma N° 2:
Se incrementó $ 4.500,00 según Oficio N° UTMACH-DADM-UOIFM-2022-555-OF del 29/12/2022.</t>
        </r>
      </text>
    </comment>
    <comment ref="E82" authorId="0" shapeId="0" xr:uid="{00000000-0006-0000-1D00-00001A000000}">
      <text>
        <r>
          <rPr>
            <b/>
            <sz val="9"/>
            <color indexed="81"/>
            <rFont val="Tahoma"/>
            <family val="2"/>
          </rPr>
          <t>HP:</t>
        </r>
        <r>
          <rPr>
            <sz val="9"/>
            <color indexed="81"/>
            <rFont val="Tahoma"/>
            <family val="2"/>
          </rPr>
          <t xml:space="preserve">
Reforma N° 2:
Se incrementó $ 1.333,44, según Memorando N° UTMACH-DBUAC-2023-0012-M del 12/01/2023. </t>
        </r>
      </text>
    </comment>
    <comment ref="F86" authorId="0" shapeId="0" xr:uid="{00000000-0006-0000-1D00-00001B000000}">
      <text>
        <r>
          <rPr>
            <b/>
            <sz val="9"/>
            <color indexed="81"/>
            <rFont val="Tahoma"/>
            <family val="2"/>
          </rPr>
          <t>HP:</t>
        </r>
        <r>
          <rPr>
            <sz val="9"/>
            <color indexed="81"/>
            <rFont val="Tahoma"/>
            <family val="2"/>
          </rPr>
          <t xml:space="preserve">
Reforma N° 2:
Se redujo 2.340,60</t>
        </r>
      </text>
    </comment>
    <comment ref="F87" authorId="0" shapeId="0" xr:uid="{00000000-0006-0000-1D00-00001C000000}">
      <text>
        <r>
          <rPr>
            <b/>
            <sz val="9"/>
            <color indexed="81"/>
            <rFont val="Tahoma"/>
            <family val="2"/>
          </rPr>
          <t>HP:</t>
        </r>
        <r>
          <rPr>
            <sz val="9"/>
            <color indexed="81"/>
            <rFont val="Tahoma"/>
            <family val="2"/>
          </rPr>
          <t xml:space="preserve">
Reforma N° 2:
Se redujo $ 34.363,67 del POA DBU por tener los ítems con precios mayores de $ 100.00.
Se redujo $ 56.000,00 para la readecuación de las entradas de la UTMACH. Vic. Administrativo</t>
        </r>
      </text>
    </comment>
    <comment ref="E101" authorId="0" shapeId="0" xr:uid="{00000000-0006-0000-1D00-00001D000000}">
      <text>
        <r>
          <rPr>
            <b/>
            <sz val="9"/>
            <color indexed="81"/>
            <rFont val="Tahoma"/>
            <family val="2"/>
          </rPr>
          <t>HP:</t>
        </r>
        <r>
          <rPr>
            <sz val="9"/>
            <color indexed="81"/>
            <rFont val="Tahoma"/>
            <family val="2"/>
          </rPr>
          <t xml:space="preserve">
Reforma N° 2:
Se incrementó $ 5.080,00 que es de la partida N° 530239 0701 003 Membrecías</t>
        </r>
      </text>
    </comment>
    <comment ref="E104" authorId="0" shapeId="0" xr:uid="{00000000-0006-0000-1D00-00001E000000}">
      <text>
        <r>
          <rPr>
            <b/>
            <sz val="9"/>
            <color indexed="81"/>
            <rFont val="Tahoma"/>
            <family val="2"/>
          </rPr>
          <t>HP:</t>
        </r>
        <r>
          <rPr>
            <sz val="9"/>
            <color indexed="81"/>
            <rFont val="Tahoma"/>
            <family val="2"/>
          </rPr>
          <t xml:space="preserve">
Reforma N° 2:
Se incrementó $ 1.000,00 para devolución de valores a estudiantes. Dir. Financiera.</t>
        </r>
      </text>
    </comment>
    <comment ref="F106" authorId="1" shapeId="0" xr:uid="{00000000-0006-0000-1D00-00001F000000}">
      <text>
        <r>
          <rPr>
            <b/>
            <sz val="9"/>
            <color indexed="81"/>
            <rFont val="Tahoma"/>
            <family val="2"/>
          </rPr>
          <t>Eunice Basilio:</t>
        </r>
        <r>
          <rPr>
            <sz val="9"/>
            <color indexed="81"/>
            <rFont val="Tahoma"/>
            <family val="2"/>
          </rPr>
          <t xml:space="preserve">
Reforma N° 2:
Se redujo conforme archivo POA 2023.
Se redujo $ 137.214,99, porque se sacó del POA 2023 de la DTH ítem para sumar a esta partida 580209 "A Jubilados Patronales"</t>
        </r>
      </text>
    </comment>
    <comment ref="B107" authorId="0" shapeId="0" xr:uid="{00000000-0006-0000-1D00-000020000000}">
      <text>
        <r>
          <rPr>
            <b/>
            <sz val="9"/>
            <color indexed="81"/>
            <rFont val="Tahoma"/>
            <family val="2"/>
          </rPr>
          <t>HP:</t>
        </r>
        <r>
          <rPr>
            <sz val="9"/>
            <color indexed="81"/>
            <rFont val="Tahoma"/>
            <family val="2"/>
          </rPr>
          <t xml:space="preserve">
Valores de proyectos de inversión</t>
        </r>
      </text>
    </comment>
    <comment ref="E108" authorId="0" shapeId="0" xr:uid="{00000000-0006-0000-1D00-000021000000}">
      <text>
        <r>
          <rPr>
            <b/>
            <sz val="9"/>
            <color indexed="81"/>
            <rFont val="Tahoma"/>
            <family val="2"/>
          </rPr>
          <t>HP:</t>
        </r>
        <r>
          <rPr>
            <sz val="9"/>
            <color indexed="81"/>
            <rFont val="Tahoma"/>
            <family val="2"/>
          </rPr>
          <t xml:space="preserve">
Reforma N° 2:
Se incrementó $ 423.188,30 py de jubilados que consta en la 84 en el POA 2023 de la DTH.
Se incrementó el saldo $ 18.470,34 y se lo sumó al py de jubilados DTH.</t>
        </r>
      </text>
    </comment>
    <comment ref="E109" authorId="0" shapeId="0" xr:uid="{00000000-0006-0000-1D00-000022000000}">
      <text>
        <r>
          <rPr>
            <b/>
            <sz val="9"/>
            <color indexed="81"/>
            <rFont val="Tahoma"/>
            <family val="2"/>
          </rPr>
          <t>HP:</t>
        </r>
        <r>
          <rPr>
            <sz val="9"/>
            <color indexed="81"/>
            <rFont val="Tahoma"/>
            <family val="2"/>
          </rPr>
          <t xml:space="preserve">
Reforma N° 2:
Servicio de seguridad privada COMUNIDAD FAMILIAR SEGURA COMFASEG Dir Administrativa</t>
        </r>
      </text>
    </comment>
    <comment ref="E110" authorId="0" shapeId="0" xr:uid="{00000000-0006-0000-1D00-000023000000}">
      <text>
        <r>
          <rPr>
            <b/>
            <sz val="9"/>
            <color indexed="81"/>
            <rFont val="Tahoma"/>
            <family val="2"/>
          </rPr>
          <t>HP:</t>
        </r>
        <r>
          <rPr>
            <sz val="9"/>
            <color indexed="81"/>
            <rFont val="Tahoma"/>
            <family val="2"/>
          </rPr>
          <t xml:space="preserve">
Reforma N° 2:
Se incrementó $ 545,00 para pago de órdenes compra de 1 archivador aéreo, 2 mesa de centro por los valores $90,00 y $396,00 sin incluir el IVA, respectivamente, según Oficio N° UTMACH-ADM-CENTRAL-EMP-2023-0048-OF_16/01/2023.
Dir. Administrativa</t>
        </r>
      </text>
    </comment>
    <comment ref="E112" authorId="1" shapeId="0" xr:uid="{00000000-0006-0000-1D00-000024000000}">
      <text>
        <r>
          <rPr>
            <b/>
            <sz val="9"/>
            <color indexed="81"/>
            <rFont val="Tahoma"/>
            <family val="2"/>
          </rPr>
          <t>Eunice Basilio:</t>
        </r>
        <r>
          <rPr>
            <sz val="9"/>
            <color indexed="81"/>
            <rFont val="Tahoma"/>
            <family val="2"/>
          </rPr>
          <t xml:space="preserve">
Reforma N° 2:
Se incrementó conforme archivo POA 2023:
$ 24.400,68 Dir. Administrativa
$ 761,38 Secretaría General
$ 2.893,16 Dir. Posgrado</t>
        </r>
      </text>
    </comment>
    <comment ref="E114" authorId="0" shapeId="0" xr:uid="{00000000-0006-0000-1D00-000025000000}">
      <text>
        <r>
          <rPr>
            <b/>
            <sz val="9"/>
            <color indexed="81"/>
            <rFont val="Tahoma"/>
            <family val="2"/>
          </rPr>
          <t>HP:</t>
        </r>
        <r>
          <rPr>
            <sz val="9"/>
            <color indexed="81"/>
            <rFont val="Tahoma"/>
            <family val="2"/>
          </rPr>
          <t xml:space="preserve">
Reforma N° 2:
Se incrementó $ 39.500,00 para adquisición de aires acondicionados PULLA HNOS Dir Adm
$ 2.940,00 por contrato de año anterior para adquisición de proyectores de imagen. TICS</t>
        </r>
      </text>
    </comment>
    <comment ref="E115" authorId="1" shapeId="0" xr:uid="{00000000-0006-0000-1D00-000026000000}">
      <text>
        <r>
          <rPr>
            <b/>
            <sz val="9"/>
            <color indexed="81"/>
            <rFont val="Tahoma"/>
            <family val="2"/>
          </rPr>
          <t>Eunice Basilio:</t>
        </r>
        <r>
          <rPr>
            <sz val="9"/>
            <color indexed="81"/>
            <rFont val="Tahoma"/>
            <family val="2"/>
          </rPr>
          <t xml:space="preserve">
Reforma N° 2:
Se incrementó conforme archivo POA 2023:
$ 19.554,08 DIRCOM
$ 3.360,00 Secretaría General
$ 2.882,88 Dir. Aseguramiento de la Calidad
$ 53.704,13 DTIC
$ 360,00 Dir. Financiera
$ 70.954,075 DBUAC</t>
        </r>
      </text>
    </comment>
    <comment ref="E116" authorId="0" shapeId="0" xr:uid="{00000000-0006-0000-1D00-000027000000}">
      <text>
        <r>
          <rPr>
            <b/>
            <sz val="9"/>
            <color indexed="81"/>
            <rFont val="Tahoma"/>
            <family val="2"/>
          </rPr>
          <t>HP:</t>
        </r>
        <r>
          <rPr>
            <sz val="9"/>
            <color indexed="81"/>
            <rFont val="Tahoma"/>
            <family val="2"/>
          </rPr>
          <t xml:space="preserve">
Reforma N° 2:
Se incrementó $ 42.311,18 para pago de contrato de año anterior por adquisición de cámaras de videovigilancia. UTMACH EP
Dir. Administrativa</t>
        </r>
      </text>
    </comment>
    <comment ref="E120" authorId="0" shapeId="0" xr:uid="{00000000-0006-0000-1D00-000028000000}">
      <text>
        <r>
          <rPr>
            <b/>
            <sz val="9"/>
            <color indexed="81"/>
            <rFont val="Tahoma"/>
            <family val="2"/>
          </rPr>
          <t>HP:</t>
        </r>
        <r>
          <rPr>
            <sz val="9"/>
            <color indexed="81"/>
            <rFont val="Tahoma"/>
            <family val="2"/>
          </rPr>
          <t xml:space="preserve">
Reforma N° 2:
Se incrementó $ 81.952,06 DBUAC Tablet</t>
        </r>
      </text>
    </comment>
    <comment ref="E122" authorId="1" shapeId="0" xr:uid="{00000000-0006-0000-1D00-000029000000}">
      <text>
        <r>
          <rPr>
            <b/>
            <sz val="9"/>
            <color indexed="81"/>
            <rFont val="Tahoma"/>
            <family val="2"/>
          </rPr>
          <t>Eunice Basilio:</t>
        </r>
        <r>
          <rPr>
            <sz val="9"/>
            <color indexed="81"/>
            <rFont val="Tahoma"/>
            <family val="2"/>
          </rPr>
          <t xml:space="preserve">
Reforma N° 2:
Se incrementó 
$ 6.548,35 Rectorado
$ 3.920,00 DIRCOM
$ 1.868,16 Secretaría General
$ 2.934,40 Dirección de Aseguramiento de la Calidad
conforme archivo POA 2023.</t>
        </r>
      </text>
    </comment>
    <comment ref="E123" authorId="0" shapeId="0" xr:uid="{00000000-0006-0000-1D00-00002A000000}">
      <text>
        <r>
          <rPr>
            <b/>
            <sz val="9"/>
            <color indexed="81"/>
            <rFont val="Tahoma"/>
            <family val="2"/>
          </rPr>
          <t>HP:</t>
        </r>
        <r>
          <rPr>
            <sz val="9"/>
            <color indexed="81"/>
            <rFont val="Tahoma"/>
            <family val="2"/>
          </rPr>
          <t xml:space="preserve">
Reforma N° 2:
Se incrementó $ 4.518,00 para pago de contrato de año anterior por adquisición de cámaras de videovigilancia. UTMACH EP
Dir. Administrativa</t>
        </r>
      </text>
    </comment>
    <comment ref="F123" authorId="0" shapeId="0" xr:uid="{00000000-0006-0000-1D00-00002B000000}">
      <text>
        <r>
          <rPr>
            <b/>
            <sz val="9"/>
            <color indexed="81"/>
            <rFont val="Tahoma"/>
            <family val="2"/>
          </rPr>
          <t>HP:</t>
        </r>
        <r>
          <rPr>
            <sz val="9"/>
            <color indexed="81"/>
            <rFont val="Tahoma"/>
            <family val="2"/>
          </rPr>
          <t xml:space="preserve">
Reforma N° 2:
Se redujo $ 414.919,06 para Py Red Lan.
Se redujo $ 423.188,30 py de jubilados que consta en la 84 en el POA 2023 de la DTH.
Se redujo el saldo $ 18.470,34 y se lo sumó al py de jubilados DTH.</t>
        </r>
      </text>
    </comment>
    <comment ref="E124" authorId="1" shapeId="0" xr:uid="{00000000-0006-0000-1D00-00002C000000}">
      <text>
        <r>
          <rPr>
            <b/>
            <sz val="9"/>
            <color indexed="81"/>
            <rFont val="Tahoma"/>
            <family val="2"/>
          </rPr>
          <t>Eunice Basilio:</t>
        </r>
        <r>
          <rPr>
            <sz val="9"/>
            <color indexed="81"/>
            <rFont val="Tahoma"/>
            <family val="2"/>
          </rPr>
          <t xml:space="preserve">
Reforma N° 2:
Se incrementó $ 8.999,20 conforme archivo POA 2023 DBU</t>
        </r>
      </text>
    </comment>
    <comment ref="E125" authorId="0" shapeId="0" xr:uid="{00000000-0006-0000-1D00-00002D000000}">
      <text>
        <r>
          <rPr>
            <b/>
            <sz val="9"/>
            <color indexed="81"/>
            <rFont val="Tahoma"/>
            <family val="2"/>
          </rPr>
          <t>HP:</t>
        </r>
        <r>
          <rPr>
            <sz val="9"/>
            <color indexed="81"/>
            <rFont val="Tahoma"/>
            <family val="2"/>
          </rPr>
          <t xml:space="preserve">
Reforma N° 2:
Se incrementó $ 16.000,00 para liquidaciones personal administrativo, trabajadores, pago de alimentación, transporte, cargas familiares, antigüedad.</t>
        </r>
      </text>
    </comment>
    <comment ref="K150" authorId="2" shapeId="0" xr:uid="{00000000-0006-0000-1D00-00002E000000}">
      <text>
        <r>
          <rPr>
            <b/>
            <sz val="9"/>
            <color indexed="81"/>
            <rFont val="Tahoma"/>
            <family val="2"/>
          </rPr>
          <t>Dirección Financiera:</t>
        </r>
        <r>
          <rPr>
            <sz val="9"/>
            <color indexed="81"/>
            <rFont val="Tahoma"/>
            <family val="2"/>
          </rPr>
          <t xml:space="preserve">
500000 para concursos y promociones</t>
        </r>
      </text>
    </comment>
    <comment ref="E163" authorId="0" shapeId="0" xr:uid="{00000000-0006-0000-1D00-00002F000000}">
      <text>
        <r>
          <rPr>
            <b/>
            <sz val="9"/>
            <color indexed="81"/>
            <rFont val="Tahoma"/>
            <family val="2"/>
          </rPr>
          <t>HP:</t>
        </r>
        <r>
          <rPr>
            <sz val="9"/>
            <color indexed="81"/>
            <rFont val="Tahoma"/>
            <family val="2"/>
          </rPr>
          <t xml:space="preserve">
Reforma N° 2:
Se incrementó $ 5.040,00 FCQS</t>
        </r>
      </text>
    </comment>
    <comment ref="E167" authorId="0" shapeId="0" xr:uid="{00000000-0006-0000-1D00-000030000000}">
      <text>
        <r>
          <rPr>
            <b/>
            <sz val="9"/>
            <color indexed="81"/>
            <rFont val="Tahoma"/>
            <family val="2"/>
          </rPr>
          <t>HP:</t>
        </r>
        <r>
          <rPr>
            <sz val="9"/>
            <color indexed="81"/>
            <rFont val="Tahoma"/>
            <family val="2"/>
          </rPr>
          <t xml:space="preserve">
Reforma N° 2:
Se incrementó 83.935,78 para Dir. Administrativa
Se eliminó porque no se puede cruzar del grupo 84 al grupo 53.
Se incrementó $ 14.752,06 por saldo positivo y cuadre final de la fuente 1.
Cómo quedó en el POA:
711.513,00 DIR ADMINISTRATIVA
Se incrementó 5.448,78 </t>
        </r>
      </text>
    </comment>
    <comment ref="F167" authorId="0" shapeId="0" xr:uid="{00000000-0006-0000-1D00-000031000000}">
      <text>
        <r>
          <rPr>
            <b/>
            <sz val="9"/>
            <color indexed="81"/>
            <rFont val="Tahoma"/>
            <family val="2"/>
          </rPr>
          <t>HP:</t>
        </r>
        <r>
          <rPr>
            <sz val="9"/>
            <color indexed="81"/>
            <rFont val="Tahoma"/>
            <family val="2"/>
          </rPr>
          <t xml:space="preserve">
Reforma N° 2:
Se redujo:
$ 6.720,00 Dir. Aseguramiento de la Calidad.
$ 6.720,00 FIC</t>
        </r>
      </text>
    </comment>
    <comment ref="E168" authorId="0" shapeId="0" xr:uid="{00000000-0006-0000-1D00-000032000000}">
      <text>
        <r>
          <rPr>
            <b/>
            <sz val="9"/>
            <color indexed="81"/>
            <rFont val="Tahoma"/>
            <family val="2"/>
          </rPr>
          <t>HP:</t>
        </r>
        <r>
          <rPr>
            <sz val="9"/>
            <color indexed="81"/>
            <rFont val="Tahoma"/>
            <family val="2"/>
          </rPr>
          <t xml:space="preserve">
Reforma N° 2:
Se incrementó $ 77.722,59 DBUAC</t>
        </r>
      </text>
    </comment>
    <comment ref="E169" authorId="0" shapeId="0" xr:uid="{00000000-0006-0000-1D00-000033000000}">
      <text>
        <r>
          <rPr>
            <b/>
            <sz val="9"/>
            <color indexed="81"/>
            <rFont val="Tahoma"/>
            <family val="2"/>
          </rPr>
          <t>HP:</t>
        </r>
        <r>
          <rPr>
            <sz val="9"/>
            <color indexed="81"/>
            <rFont val="Tahoma"/>
            <family val="2"/>
          </rPr>
          <t xml:space="preserve">
Reforma N° 2:
Se incrementó </t>
        </r>
        <r>
          <rPr>
            <b/>
            <sz val="9"/>
            <color indexed="81"/>
            <rFont val="Tahoma"/>
            <family val="2"/>
          </rPr>
          <t>$ 5.666,86</t>
        </r>
        <r>
          <rPr>
            <sz val="9"/>
            <color indexed="81"/>
            <rFont val="Tahoma"/>
            <family val="2"/>
          </rPr>
          <t xml:space="preserve"> para adecuación de Sala de Docentes de la Carrera de Enfermería en la FCQS. UTMACH EP EMPRESA PUBLICA
Se incrementó $ 44.380,00 según Memorando N° FCS-D-2023-0062-M del 23/01/2023.
Reforma N° 2:
Se incrementó $ 250.000,00 para DBUAC Adecuación de espacios de bienestar deportivos.
Se eliminó porque no se puede cruzar de la 84 al grupo 53.
Se incrementó $ 123.677,98 para DBUAC Adecuación de espacios de bienestar deportivos.
Por saldo a favor y cuadre final de la fuente 3.</t>
        </r>
      </text>
    </comment>
    <comment ref="F171" authorId="0" shapeId="0" xr:uid="{00000000-0006-0000-1D00-000034000000}">
      <text>
        <r>
          <rPr>
            <b/>
            <sz val="9"/>
            <color indexed="81"/>
            <rFont val="Tahoma"/>
            <family val="2"/>
          </rPr>
          <t>HP:</t>
        </r>
        <r>
          <rPr>
            <sz val="9"/>
            <color indexed="81"/>
            <rFont val="Tahoma"/>
            <family val="2"/>
          </rPr>
          <t xml:space="preserve">
Reforma N° 2:
Se redujo $ 9.200,00 Dir. Administrativa</t>
        </r>
      </text>
    </comment>
    <comment ref="F173" authorId="1" shapeId="0" xr:uid="{00000000-0006-0000-1D00-000035000000}">
      <text>
        <r>
          <rPr>
            <b/>
            <sz val="9"/>
            <color indexed="81"/>
            <rFont val="Tahoma"/>
            <family val="2"/>
          </rPr>
          <t>Eunice Basilio:</t>
        </r>
        <r>
          <rPr>
            <sz val="9"/>
            <color indexed="81"/>
            <rFont val="Tahoma"/>
            <family val="2"/>
          </rPr>
          <t xml:space="preserve">
Reforma N° 2:
Se redujo $ 3.590,15 para cubrir contratos de años anteriores y disponibilidades de nuevas necesidades.</t>
        </r>
      </text>
    </comment>
    <comment ref="E174" authorId="0" shapeId="0" xr:uid="{00000000-0006-0000-1D00-000036000000}">
      <text>
        <r>
          <rPr>
            <b/>
            <sz val="9"/>
            <color indexed="81"/>
            <rFont val="Tahoma"/>
            <family val="2"/>
          </rPr>
          <t>HP:</t>
        </r>
        <r>
          <rPr>
            <sz val="9"/>
            <color indexed="81"/>
            <rFont val="Tahoma"/>
            <family val="2"/>
          </rPr>
          <t xml:space="preserve">
Reforma N° 2:
Se incrementó $ 20.000,00 Vic. Académico</t>
        </r>
      </text>
    </comment>
    <comment ref="F175" authorId="0" shapeId="0" xr:uid="{00000000-0006-0000-1D00-000037000000}">
      <text>
        <r>
          <rPr>
            <b/>
            <sz val="9"/>
            <color indexed="81"/>
            <rFont val="Tahoma"/>
            <family val="2"/>
          </rPr>
          <t>HP:</t>
        </r>
        <r>
          <rPr>
            <sz val="9"/>
            <color indexed="81"/>
            <rFont val="Tahoma"/>
            <family val="2"/>
          </rPr>
          <t xml:space="preserve">
Reforma N° 2:
Se redujo $ 22.400,00 Vic. Académico</t>
        </r>
      </text>
    </comment>
    <comment ref="E176" authorId="0" shapeId="0" xr:uid="{00000000-0006-0000-1D00-000038000000}">
      <text>
        <r>
          <rPr>
            <b/>
            <sz val="9"/>
            <color indexed="81"/>
            <rFont val="Tahoma"/>
            <family val="2"/>
          </rPr>
          <t>HP:</t>
        </r>
        <r>
          <rPr>
            <sz val="9"/>
            <color indexed="81"/>
            <rFont val="Tahoma"/>
            <family val="2"/>
          </rPr>
          <t xml:space="preserve">
Reforma N° 2:
Se incrementó $ 34.151,28 Dir. Formación Profesional</t>
        </r>
      </text>
    </comment>
    <comment ref="F177" authorId="0" shapeId="0" xr:uid="{00000000-0006-0000-1D00-000039000000}">
      <text>
        <r>
          <rPr>
            <b/>
            <sz val="9"/>
            <color indexed="81"/>
            <rFont val="Tahoma"/>
            <family val="2"/>
          </rPr>
          <t>HP:</t>
        </r>
        <r>
          <rPr>
            <sz val="9"/>
            <color indexed="81"/>
            <rFont val="Tahoma"/>
            <family val="2"/>
          </rPr>
          <t xml:space="preserve">
Reforma N° 2:
Se redujo $ 10.640,00 DTIC</t>
        </r>
      </text>
    </comment>
    <comment ref="F182" authorId="0" shapeId="0" xr:uid="{00000000-0006-0000-1D00-00003A000000}">
      <text>
        <r>
          <rPr>
            <b/>
            <sz val="9"/>
            <color indexed="81"/>
            <rFont val="Tahoma"/>
            <family val="2"/>
          </rPr>
          <t>HP:</t>
        </r>
        <r>
          <rPr>
            <sz val="9"/>
            <color indexed="81"/>
            <rFont val="Tahoma"/>
            <family val="2"/>
          </rPr>
          <t xml:space="preserve">
Reforma N° 2:
Se redujo $ 7.260,96 FCS</t>
        </r>
      </text>
    </comment>
    <comment ref="E187" authorId="0" shapeId="0" xr:uid="{00000000-0006-0000-1D00-00003B000000}">
      <text>
        <r>
          <rPr>
            <b/>
            <sz val="9"/>
            <color indexed="81"/>
            <rFont val="Tahoma"/>
            <family val="2"/>
          </rPr>
          <t>HP:</t>
        </r>
        <r>
          <rPr>
            <sz val="9"/>
            <color indexed="81"/>
            <rFont val="Tahoma"/>
            <family val="2"/>
          </rPr>
          <t xml:space="preserve">
Reforma N° 2:
Se incrementó $ 3.300,00 según Memorando N° FCS-D-2023-0062-M del 23/01/2023.
Se incrementó $ 1.747,20 de acuerdo al POA 2023 de la FCE presentado.</t>
        </r>
      </text>
    </comment>
    <comment ref="E190" authorId="0" shapeId="0" xr:uid="{00000000-0006-0000-1D00-00003C000000}">
      <text>
        <r>
          <rPr>
            <b/>
            <sz val="9"/>
            <color indexed="81"/>
            <rFont val="Tahoma"/>
            <family val="2"/>
          </rPr>
          <t>HP:</t>
        </r>
        <r>
          <rPr>
            <sz val="9"/>
            <color indexed="81"/>
            <rFont val="Tahoma"/>
            <family val="2"/>
          </rPr>
          <t xml:space="preserve">
Reforma N° 2:
Se incrementó $ 231,46 de acuerdo al POA 2023 de la FCE presentado.</t>
        </r>
      </text>
    </comment>
    <comment ref="E195" authorId="0" shapeId="0" xr:uid="{00000000-0006-0000-1D00-00003D000000}">
      <text>
        <r>
          <rPr>
            <b/>
            <sz val="9"/>
            <color indexed="81"/>
            <rFont val="Tahoma"/>
            <family val="2"/>
          </rPr>
          <t>HP:</t>
        </r>
        <r>
          <rPr>
            <sz val="9"/>
            <color indexed="81"/>
            <rFont val="Tahoma"/>
            <family val="2"/>
          </rPr>
          <t xml:space="preserve">
Reforma N° 2:
Se incrementó $ 10.164,16, según Memorando N° UTMACH-DBUAC-2023-0009-M del 10/01/2023</t>
        </r>
      </text>
    </comment>
    <comment ref="E196" authorId="0" shapeId="0" xr:uid="{00000000-0006-0000-1D00-00003E000000}">
      <text>
        <r>
          <rPr>
            <b/>
            <sz val="9"/>
            <color indexed="81"/>
            <rFont val="Tahoma"/>
            <family val="2"/>
          </rPr>
          <t>HP:</t>
        </r>
        <r>
          <rPr>
            <sz val="9"/>
            <color indexed="81"/>
            <rFont val="Tahoma"/>
            <family val="2"/>
          </rPr>
          <t xml:space="preserve">
Reforma N° 2:
Se incrementó $ 118.070,00 según Oficio N° UTMACH-DBUAC-2023-0006-M del 06/En/2023, solo se atendió INCREMENTO NECESARIO PARA PAO 2023 -1 (5 MESES)</t>
        </r>
      </text>
    </comment>
    <comment ref="E198" authorId="0" shapeId="0" xr:uid="{00000000-0006-0000-1D00-00003F000000}">
      <text>
        <r>
          <rPr>
            <b/>
            <sz val="9"/>
            <color indexed="81"/>
            <rFont val="Tahoma"/>
            <family val="2"/>
          </rPr>
          <t>HP:</t>
        </r>
        <r>
          <rPr>
            <sz val="9"/>
            <color indexed="81"/>
            <rFont val="Tahoma"/>
            <family val="2"/>
          </rPr>
          <t xml:space="preserve">
Reforma N° 2:
Se incrementó $ 33.214,12 para Repotenciación de la Línea de Media Tensión 13200 VAC, en el Campus principal de la UTMACH. - UTMACH EP.</t>
        </r>
      </text>
    </comment>
    <comment ref="E201" authorId="0" shapeId="0" xr:uid="{00000000-0006-0000-1D00-000040000000}">
      <text>
        <r>
          <rPr>
            <b/>
            <sz val="9"/>
            <color indexed="81"/>
            <rFont val="Tahoma"/>
            <family val="2"/>
          </rPr>
          <t>HP:</t>
        </r>
        <r>
          <rPr>
            <sz val="9"/>
            <color indexed="81"/>
            <rFont val="Tahoma"/>
            <family val="2"/>
          </rPr>
          <t xml:space="preserve">
Reforma N° 2:
Se incrementó $ 7.320,00 según Memorando N° FCS-D-2023-0062-M del 23/01/2023.</t>
        </r>
      </text>
    </comment>
    <comment ref="F202" authorId="0" shapeId="0" xr:uid="{00000000-0006-0000-1D00-000041000000}">
      <text>
        <r>
          <rPr>
            <b/>
            <sz val="9"/>
            <color indexed="81"/>
            <rFont val="Tahoma"/>
            <family val="2"/>
          </rPr>
          <t>HP:</t>
        </r>
        <r>
          <rPr>
            <sz val="9"/>
            <color indexed="81"/>
            <rFont val="Tahoma"/>
            <family val="2"/>
          </rPr>
          <t xml:space="preserve">
Reforma N° 2:
Se redujo $ 1.176.733,21 para Py Inversión FIC.
El saldo de  $ 2.000.000,00 para Py construcción e implementación del CRAI Dir. Administrativa
En el POA quedó así:
$ 2.000.000,00 para Py construcción e implementación del CRAI Dir. Administrativa+81.527,83</t>
        </r>
      </text>
    </comment>
    <comment ref="E203" authorId="0" shapeId="0" xr:uid="{00000000-0006-0000-1D00-000042000000}">
      <text>
        <r>
          <rPr>
            <b/>
            <sz val="9"/>
            <color indexed="81"/>
            <rFont val="Tahoma"/>
            <family val="2"/>
          </rPr>
          <t>HP:</t>
        </r>
        <r>
          <rPr>
            <sz val="9"/>
            <color indexed="81"/>
            <rFont val="Tahoma"/>
            <family val="2"/>
          </rPr>
          <t xml:space="preserve">
Reforma N° 2:
Se incrementó $ 1.700,00 para lentes de cámara por disposición del Director DPLAN
En el POA quedó así:
5.709,60 FCS
2.251,20 DTIC</t>
        </r>
      </text>
    </comment>
    <comment ref="F203" authorId="0" shapeId="0" xr:uid="{00000000-0006-0000-1D00-000043000000}">
      <text>
        <r>
          <rPr>
            <b/>
            <sz val="9"/>
            <color indexed="81"/>
            <rFont val="Tahoma"/>
            <family val="2"/>
          </rPr>
          <t>HP:</t>
        </r>
        <r>
          <rPr>
            <sz val="9"/>
            <color indexed="81"/>
            <rFont val="Tahoma"/>
            <family val="2"/>
          </rPr>
          <t xml:space="preserve">
Reforma N° 2:
Se redujo $ 22.296,96 Vic. Académico
$ 949.040,38-62852,68</t>
        </r>
      </text>
    </comment>
    <comment ref="E204" authorId="0" shapeId="0" xr:uid="{00000000-0006-0000-1D00-000044000000}">
      <text>
        <r>
          <rPr>
            <b/>
            <sz val="9"/>
            <color indexed="81"/>
            <rFont val="Tahoma"/>
            <family val="2"/>
          </rPr>
          <t>HP:</t>
        </r>
        <r>
          <rPr>
            <sz val="9"/>
            <color indexed="81"/>
            <rFont val="Tahoma"/>
            <family val="2"/>
          </rPr>
          <t xml:space="preserve">
Reforma N° 2:
Se incrementó $ 57.344,85 para pago de contrato de año anterior por adquisición e instalación de equipos de climatización. Dir. Administrativa.</t>
        </r>
      </text>
    </comment>
    <comment ref="E205" authorId="1" shapeId="0" xr:uid="{00000000-0006-0000-1D00-000045000000}">
      <text>
        <r>
          <rPr>
            <b/>
            <sz val="9"/>
            <color indexed="81"/>
            <rFont val="Tahoma"/>
            <family val="2"/>
          </rPr>
          <t>Eunice Basilio:</t>
        </r>
        <r>
          <rPr>
            <sz val="9"/>
            <color indexed="81"/>
            <rFont val="Tahoma"/>
            <family val="2"/>
          </rPr>
          <t xml:space="preserve">
Reforma N° 2:
Se incrementó $ 2.897,97 conforme archivo POA 2023.
Se incrementó $ 8.505,49 de acuerdo al POA 2023 de la FCE presentado.
En el POA quedó:
1.867,77 DIPOS
1.030,20 FCA
8.505,49 FCE
1.310,60 FCQS</t>
        </r>
      </text>
    </comment>
    <comment ref="E206" authorId="0" shapeId="0" xr:uid="{00000000-0006-0000-1D00-000046000000}">
      <text>
        <r>
          <rPr>
            <b/>
            <sz val="9"/>
            <color indexed="81"/>
            <rFont val="Tahoma"/>
            <family val="2"/>
          </rPr>
          <t>HP:</t>
        </r>
        <r>
          <rPr>
            <sz val="9"/>
            <color indexed="81"/>
            <rFont val="Tahoma"/>
            <family val="2"/>
          </rPr>
          <t xml:space="preserve">
Reforma N° 2:
Se incrementó $ 41.623,28 para pago de contrato de año anterior por adquisición e instalación de equipos de climatización. Dir. Administrativa.</t>
        </r>
      </text>
    </comment>
    <comment ref="E207" authorId="0" shapeId="0" xr:uid="{00000000-0006-0000-1D00-000047000000}">
      <text>
        <r>
          <rPr>
            <b/>
            <sz val="9"/>
            <color indexed="81"/>
            <rFont val="Tahoma"/>
            <family val="2"/>
          </rPr>
          <t>HP:</t>
        </r>
        <r>
          <rPr>
            <sz val="9"/>
            <color indexed="81"/>
            <rFont val="Tahoma"/>
            <family val="2"/>
          </rPr>
          <t xml:space="preserve">
Reforma N° 2:
Se incrementó 13.831,48 para Repotenciación de la Línea de Media Tensión 13200 VAC, en el Campus principal de la UTMACH. - UTMACH EP</t>
        </r>
      </text>
    </comment>
    <comment ref="E209" authorId="0" shapeId="0" xr:uid="{00000000-0006-0000-1D00-000048000000}">
      <text>
        <r>
          <rPr>
            <b/>
            <sz val="9"/>
            <color indexed="81"/>
            <rFont val="Tahoma"/>
            <family val="2"/>
          </rPr>
          <t>HP:</t>
        </r>
        <r>
          <rPr>
            <sz val="9"/>
            <color indexed="81"/>
            <rFont val="Tahoma"/>
            <family val="2"/>
          </rPr>
          <t xml:space="preserve">
Reforma N° 2:
Se incrementó $ 75.610,11 que vino de la la partida N° 990101 0701 003 Obligaciones de Ejercicios Anteriores en Personal del programa 01.
Se incrementó $ 40.000,00 para liquidaciones de haberes, trabajadores y ex servidores.
Se incrementó $ 10.000,00 para liquidaciones de docentes.
$ 13.000,00 para pago a VASQUEZ FLORES JOSE ALBERTO
$ 6.000,00 para pago a BURGOS BURGOS JHON
Se incrementó $ 5000+15.000,00 para cubrir liquidaciones por juicios en la partida N° 990101 0701 003</t>
        </r>
      </text>
    </comment>
    <comment ref="E220" authorId="0" shapeId="0" xr:uid="{00000000-0006-0000-1D00-000049000000}">
      <text>
        <r>
          <rPr>
            <b/>
            <sz val="9"/>
            <color indexed="81"/>
            <rFont val="Tahoma"/>
            <family val="2"/>
          </rPr>
          <t>HP:</t>
        </r>
        <r>
          <rPr>
            <sz val="9"/>
            <color indexed="81"/>
            <rFont val="Tahoma"/>
            <family val="2"/>
          </rPr>
          <t xml:space="preserve">
Reforma N° 2:
Se incrementó $ 8.609,16 por contrato año anterior por servicio de implementación de una Red Wifi - TELCONET - TIC
$ 59.717,94 Servicio de internet CEDIA TIC</t>
        </r>
      </text>
    </comment>
    <comment ref="F222" authorId="0" shapeId="0" xr:uid="{00000000-0006-0000-1D00-00004A000000}">
      <text>
        <r>
          <rPr>
            <b/>
            <sz val="9"/>
            <color indexed="81"/>
            <rFont val="Tahoma"/>
            <family val="2"/>
          </rPr>
          <t>HP:</t>
        </r>
        <r>
          <rPr>
            <sz val="9"/>
            <color indexed="81"/>
            <rFont val="Tahoma"/>
            <family val="2"/>
          </rPr>
          <t xml:space="preserve">
Reforma N° 2: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t>
        </r>
      </text>
    </comment>
    <comment ref="E226" authorId="0" shapeId="0" xr:uid="{00000000-0006-0000-1D00-00004B000000}">
      <text>
        <r>
          <rPr>
            <b/>
            <sz val="9"/>
            <color indexed="81"/>
            <rFont val="Tahoma"/>
            <family val="2"/>
          </rPr>
          <t>HP:</t>
        </r>
        <r>
          <rPr>
            <sz val="9"/>
            <color indexed="81"/>
            <rFont val="Tahoma"/>
            <family val="2"/>
          </rPr>
          <t xml:space="preserve">
Reforma N° 2:
Se incrementó $ 25.066,04 por contrato año anterior, para Renovación de garantías extendidas y soporte de fábrica para los equipos que conforman la Plataforma Flexpod - AKEA - DTIC</t>
        </r>
      </text>
    </comment>
    <comment ref="E228" authorId="0" shapeId="0" xr:uid="{00000000-0006-0000-1D00-00004C000000}">
      <text>
        <r>
          <rPr>
            <b/>
            <sz val="9"/>
            <color indexed="81"/>
            <rFont val="Tahoma"/>
            <family val="2"/>
          </rPr>
          <t>HP:</t>
        </r>
        <r>
          <rPr>
            <sz val="9"/>
            <color indexed="81"/>
            <rFont val="Tahoma"/>
            <family val="2"/>
          </rPr>
          <t xml:space="preserve">
Reforma N° 2:
Se incrementó $ 1.000,00 según Memorando N° UTMACH-DIDI-2023-0053-M_02/02/2023.</t>
        </r>
      </text>
    </comment>
    <comment ref="E230" authorId="0" shapeId="0" xr:uid="{00000000-0006-0000-1D00-00004D000000}">
      <text>
        <r>
          <rPr>
            <b/>
            <sz val="9"/>
            <color indexed="81"/>
            <rFont val="Tahoma"/>
            <family val="2"/>
          </rPr>
          <t>HP:</t>
        </r>
        <r>
          <rPr>
            <sz val="9"/>
            <color indexed="81"/>
            <rFont val="Tahoma"/>
            <family val="2"/>
          </rPr>
          <t xml:space="preserve">
Reforma N° 2:
Se incrementó $ 10.000,00 según Memorando N° UTMACH-DIDI-2023-0053-M_02/02/2023.</t>
        </r>
      </text>
    </comment>
    <comment ref="E233" authorId="0" shapeId="0" xr:uid="{00000000-0006-0000-1D00-00004E000000}">
      <text>
        <r>
          <rPr>
            <b/>
            <sz val="9"/>
            <color indexed="81"/>
            <rFont val="Tahoma"/>
            <family val="2"/>
          </rPr>
          <t>HP:</t>
        </r>
        <r>
          <rPr>
            <sz val="9"/>
            <color indexed="81"/>
            <rFont val="Tahoma"/>
            <family val="2"/>
          </rPr>
          <t xml:space="preserve">
Reforma N° 2:
Se incrementó $ 5.000,00 según Memorando N° UTMACH-DIDI-2023-0053-M_02/02/2023.</t>
        </r>
      </text>
    </comment>
    <comment ref="F234" authorId="0" shapeId="0" xr:uid="{00000000-0006-0000-1D00-00004F000000}">
      <text>
        <r>
          <rPr>
            <b/>
            <sz val="9"/>
            <color indexed="81"/>
            <rFont val="Tahoma"/>
            <family val="2"/>
          </rPr>
          <t>HP:</t>
        </r>
        <r>
          <rPr>
            <sz val="9"/>
            <color indexed="81"/>
            <rFont val="Tahoma"/>
            <family val="2"/>
          </rPr>
          <t xml:space="preserve">
Reforma N° 2:
Se reduce $ 24.512,00 FCS
$ 29.680,00 Rectorado
25.440
En el POA quedó así:
16.800,00 FCA
24.559,17 FCE</t>
        </r>
      </text>
    </comment>
    <comment ref="E235" authorId="0" shapeId="0" xr:uid="{00000000-0006-0000-1D00-000050000000}">
      <text>
        <r>
          <rPr>
            <b/>
            <sz val="9"/>
            <color indexed="81"/>
            <rFont val="Tahoma"/>
            <family val="2"/>
          </rPr>
          <t>HP:</t>
        </r>
        <r>
          <rPr>
            <sz val="9"/>
            <color indexed="81"/>
            <rFont val="Tahoma"/>
            <family val="2"/>
          </rPr>
          <t xml:space="preserve">
Reforma N° 2:
Se incrementó $ 13.648,02 FCQS</t>
        </r>
      </text>
    </comment>
    <comment ref="E237" authorId="0" shapeId="0" xr:uid="{00000000-0006-0000-1D00-000051000000}">
      <text>
        <r>
          <rPr>
            <b/>
            <sz val="9"/>
            <color indexed="81"/>
            <rFont val="Tahoma"/>
            <family val="2"/>
          </rPr>
          <t>HP:</t>
        </r>
        <r>
          <rPr>
            <sz val="9"/>
            <color indexed="81"/>
            <rFont val="Tahoma"/>
            <family val="2"/>
          </rPr>
          <t xml:space="preserve">
Reforma N° 2:
Se incrementó $ 10.208,47 según Memorando N° UTMACH-DIDI-2023-0053-M_02/02/2023. (solo eso se atendió)</t>
        </r>
      </text>
    </comment>
    <comment ref="F237" authorId="0" shapeId="0" xr:uid="{00000000-0006-0000-1D00-000052000000}">
      <text>
        <r>
          <rPr>
            <b/>
            <sz val="9"/>
            <color indexed="81"/>
            <rFont val="Tahoma"/>
            <family val="2"/>
          </rPr>
          <t>HP:</t>
        </r>
        <r>
          <rPr>
            <sz val="9"/>
            <color indexed="81"/>
            <rFont val="Tahoma"/>
            <family val="2"/>
          </rPr>
          <t xml:space="preserve">
Reforma N° 2:
Se redujo $ 1.250,00 para Py Inversión FIC, que en el POA estaba en esta fuente de financiamiento 3
Se redujo $ 22.400,00 de acuerdo al 1er POA 2023 de la FCE presentado (por no estar desagregado).
Se redujo $ 18.703,99
En el POA quedó así:
10.208,48 DIDI
12.768,00 FCA
3.696,00 FCQS</t>
        </r>
      </text>
    </comment>
    <comment ref="F240" authorId="0" shapeId="0" xr:uid="{00000000-0006-0000-1D00-000053000000}">
      <text>
        <r>
          <rPr>
            <b/>
            <sz val="9"/>
            <color indexed="81"/>
            <rFont val="Tahoma"/>
            <family val="2"/>
          </rPr>
          <t>HP:</t>
        </r>
        <r>
          <rPr>
            <sz val="9"/>
            <color indexed="81"/>
            <rFont val="Tahoma"/>
            <family val="2"/>
          </rPr>
          <t xml:space="preserve">
Reforma N° 2:
Se redujo $ 25.064,00 por disposición del Director del DPLAN</t>
        </r>
      </text>
    </comment>
    <comment ref="E242" authorId="0" shapeId="0" xr:uid="{00000000-0006-0000-1D00-000054000000}">
      <text>
        <r>
          <rPr>
            <b/>
            <sz val="9"/>
            <color indexed="81"/>
            <rFont val="Tahoma"/>
            <family val="2"/>
          </rPr>
          <t>HP:</t>
        </r>
        <r>
          <rPr>
            <sz val="9"/>
            <color indexed="81"/>
            <rFont val="Tahoma"/>
            <family val="2"/>
          </rPr>
          <t xml:space="preserve">
Reforma N° 2:
Se incrementó $ 4.800,00 según adjunto de Vic. Investigación en e-mail enviado el 03/02/2023</t>
        </r>
      </text>
    </comment>
    <comment ref="E243" authorId="0" shapeId="0" xr:uid="{00000000-0006-0000-1D00-000055000000}">
      <text>
        <r>
          <rPr>
            <b/>
            <sz val="9"/>
            <color indexed="81"/>
            <rFont val="Tahoma"/>
            <family val="2"/>
          </rPr>
          <t>HP:</t>
        </r>
        <r>
          <rPr>
            <sz val="9"/>
            <color indexed="81"/>
            <rFont val="Tahoma"/>
            <family val="2"/>
          </rPr>
          <t xml:space="preserve">
Reforma N° 2:
Se incrementó $ 480,00 según adjunto de Vic. Investigación en e-mail enviado el 03/02/2023</t>
        </r>
      </text>
    </comment>
    <comment ref="F243" authorId="0" shapeId="0" xr:uid="{00000000-0006-0000-1D00-000056000000}">
      <text>
        <r>
          <rPr>
            <b/>
            <sz val="9"/>
            <color indexed="81"/>
            <rFont val="Tahoma"/>
            <family val="2"/>
          </rPr>
          <t>HP:</t>
        </r>
        <r>
          <rPr>
            <sz val="9"/>
            <color indexed="81"/>
            <rFont val="Tahoma"/>
            <family val="2"/>
          </rPr>
          <t xml:space="preserve">
Reforma N° 2:
Se redujo $ 12.320,00 Vic. Investigación</t>
        </r>
      </text>
    </comment>
    <comment ref="E244" authorId="0" shapeId="0" xr:uid="{00000000-0006-0000-1D00-000057000000}">
      <text>
        <r>
          <rPr>
            <b/>
            <sz val="9"/>
            <color indexed="81"/>
            <rFont val="Tahoma"/>
            <family val="2"/>
          </rPr>
          <t>HP:</t>
        </r>
        <r>
          <rPr>
            <sz val="9"/>
            <color indexed="81"/>
            <rFont val="Tahoma"/>
            <family val="2"/>
          </rPr>
          <t xml:space="preserve">
Reforma N° 2:
Se incrementó $ 5.544,00 de acuerdo al POA 2023 de la FCE presentado.</t>
        </r>
      </text>
    </comment>
    <comment ref="F244" authorId="0" shapeId="0" xr:uid="{00000000-0006-0000-1D00-000058000000}">
      <text>
        <r>
          <rPr>
            <b/>
            <sz val="9"/>
            <color indexed="81"/>
            <rFont val="Tahoma"/>
            <family val="2"/>
          </rPr>
          <t>HP:</t>
        </r>
        <r>
          <rPr>
            <sz val="9"/>
            <color indexed="81"/>
            <rFont val="Tahoma"/>
            <family val="2"/>
          </rPr>
          <t xml:space="preserve">
Reforma N° 2:
Se redujo $ 3.500,00 según Memorando N° UTMACH-DIDI-2023-0053-M_02/02/2023.</t>
        </r>
      </text>
    </comment>
    <comment ref="E246" authorId="0" shapeId="0" xr:uid="{00000000-0006-0000-1D00-000059000000}">
      <text>
        <r>
          <rPr>
            <b/>
            <sz val="9"/>
            <color indexed="81"/>
            <rFont val="Tahoma"/>
            <family val="2"/>
          </rPr>
          <t>HP:</t>
        </r>
        <r>
          <rPr>
            <sz val="9"/>
            <color indexed="81"/>
            <rFont val="Tahoma"/>
            <family val="2"/>
          </rPr>
          <t xml:space="preserve">
Reforma N° 2:
Se incrementó $ 56,00 FCQS</t>
        </r>
      </text>
    </comment>
    <comment ref="E256" authorId="0" shapeId="0" xr:uid="{00000000-0006-0000-1D00-00005A000000}">
      <text>
        <r>
          <rPr>
            <b/>
            <sz val="9"/>
            <color indexed="81"/>
            <rFont val="Tahoma"/>
            <family val="2"/>
          </rPr>
          <t>HP:</t>
        </r>
        <r>
          <rPr>
            <sz val="9"/>
            <color indexed="81"/>
            <rFont val="Tahoma"/>
            <family val="2"/>
          </rPr>
          <t xml:space="preserve">
Reforma N° 2:
Se incrementó $ 620,58 FCQS</t>
        </r>
      </text>
    </comment>
    <comment ref="E257" authorId="0" shapeId="0" xr:uid="{00000000-0006-0000-1D00-00005B000000}">
      <text>
        <r>
          <rPr>
            <b/>
            <sz val="9"/>
            <color indexed="81"/>
            <rFont val="Tahoma"/>
            <family val="2"/>
          </rPr>
          <t>HP:</t>
        </r>
        <r>
          <rPr>
            <sz val="9"/>
            <color indexed="81"/>
            <rFont val="Tahoma"/>
            <family val="2"/>
          </rPr>
          <t xml:space="preserve">
Reforma N° 2:
Se incrementó $ 672,00 FCQS</t>
        </r>
      </text>
    </comment>
    <comment ref="E261" authorId="0" shapeId="0" xr:uid="{00000000-0006-0000-1D00-00005C000000}">
      <text>
        <r>
          <rPr>
            <b/>
            <sz val="9"/>
            <color indexed="81"/>
            <rFont val="Tahoma"/>
            <family val="2"/>
          </rPr>
          <t>HP:</t>
        </r>
        <r>
          <rPr>
            <sz val="9"/>
            <color indexed="81"/>
            <rFont val="Tahoma"/>
            <family val="2"/>
          </rPr>
          <t xml:space="preserve">
Reforma N° 2:
Se incrementó $ 5.000,00 según Memorando N° UTMACH-DIDI-2023-0053-M_02/02/2023.</t>
        </r>
      </text>
    </comment>
    <comment ref="F261" authorId="0" shapeId="0" xr:uid="{00000000-0006-0000-1D00-00005D000000}">
      <text>
        <r>
          <rPr>
            <b/>
            <sz val="9"/>
            <color indexed="81"/>
            <rFont val="Tahoma"/>
            <family val="2"/>
          </rPr>
          <t>HP:</t>
        </r>
        <r>
          <rPr>
            <sz val="9"/>
            <color indexed="81"/>
            <rFont val="Tahoma"/>
            <family val="2"/>
          </rPr>
          <t xml:space="preserve">
Reforma N° 2:
Se redujo $ 7.400,00 FCA
$ 6.000,00 FCS
$ 4.000,00 FIC
Se redujo $ 56.000,00 de acuerdo al 1er POA 2023 de la FCE presentado (por no estar desagregado).
Se redujo $ 39.092,51
En el POA quedó:
8.360,00 DIDI
15.000,00 FCA
28.107,49 FCQS
10.800,00 FCS
6.080,00 FIC</t>
        </r>
      </text>
    </comment>
    <comment ref="F263" authorId="0" shapeId="0" xr:uid="{00000000-0006-0000-1D00-00005E000000}">
      <text>
        <r>
          <rPr>
            <b/>
            <sz val="9"/>
            <color indexed="81"/>
            <rFont val="Tahoma"/>
            <family val="2"/>
          </rPr>
          <t>HP:</t>
        </r>
        <r>
          <rPr>
            <sz val="9"/>
            <color indexed="81"/>
            <rFont val="Tahoma"/>
            <family val="2"/>
          </rPr>
          <t xml:space="preserve">
Reforma N° 2:
$ 394,63 para Py Inversión FIC.
$ 0,75 POR DIFERENCIA</t>
        </r>
      </text>
    </comment>
    <comment ref="E264" authorId="0" shapeId="0" xr:uid="{00000000-0006-0000-1D00-00005F000000}">
      <text>
        <r>
          <rPr>
            <b/>
            <sz val="9"/>
            <color indexed="81"/>
            <rFont val="Tahoma"/>
            <family val="2"/>
          </rPr>
          <t>HP:</t>
        </r>
        <r>
          <rPr>
            <sz val="9"/>
            <color indexed="81"/>
            <rFont val="Tahoma"/>
            <family val="2"/>
          </rPr>
          <t xml:space="preserve">
Reforma N° 2:
Se incrementó $ 394,64 py inversión FIC</t>
        </r>
      </text>
    </comment>
    <comment ref="E265" authorId="0" shapeId="0" xr:uid="{00000000-0006-0000-1D00-000060000000}">
      <text>
        <r>
          <rPr>
            <b/>
            <sz val="9"/>
            <color indexed="81"/>
            <rFont val="Tahoma"/>
            <family val="2"/>
          </rPr>
          <t>HP:</t>
        </r>
        <r>
          <rPr>
            <sz val="9"/>
            <color indexed="81"/>
            <rFont val="Tahoma"/>
            <family val="2"/>
          </rPr>
          <t xml:space="preserve">
Reforma N° 2:
Se incrementó $ 39,20 FCQS</t>
        </r>
      </text>
    </comment>
    <comment ref="E266" authorId="0" shapeId="0" xr:uid="{00000000-0006-0000-1D00-000061000000}">
      <text>
        <r>
          <rPr>
            <b/>
            <sz val="9"/>
            <color indexed="81"/>
            <rFont val="Tahoma"/>
            <family val="2"/>
          </rPr>
          <t>HP:</t>
        </r>
        <r>
          <rPr>
            <sz val="9"/>
            <color indexed="81"/>
            <rFont val="Tahoma"/>
            <family val="2"/>
          </rPr>
          <t xml:space="preserve">
Reforma N° 2:
Se incrementó $ 2.000,00 según Memorando N° UTMACH-DIDI-2023-0053-M_02/02/2023.</t>
        </r>
      </text>
    </comment>
    <comment ref="E267" authorId="0" shapeId="0" xr:uid="{00000000-0006-0000-1D00-000062000000}">
      <text>
        <r>
          <rPr>
            <b/>
            <sz val="9"/>
            <color indexed="81"/>
            <rFont val="Tahoma"/>
            <family val="2"/>
          </rPr>
          <t>HP:</t>
        </r>
        <r>
          <rPr>
            <sz val="9"/>
            <color indexed="81"/>
            <rFont val="Tahoma"/>
            <family val="2"/>
          </rPr>
          <t xml:space="preserve">
Se incrementó $ 22.000,00 según Memorando N° UTMACH-DIDI-2023-0053-M_02/02/2023 y UTMACH-DIDI-2023-0042-M_31/01/2023</t>
        </r>
      </text>
    </comment>
    <comment ref="E268" authorId="0" shapeId="0" xr:uid="{00000000-0006-0000-1D00-000063000000}">
      <text>
        <r>
          <rPr>
            <b/>
            <sz val="9"/>
            <color indexed="81"/>
            <rFont val="Tahoma"/>
            <family val="2"/>
          </rPr>
          <t>HP:</t>
        </r>
        <r>
          <rPr>
            <sz val="9"/>
            <color indexed="81"/>
            <rFont val="Tahoma"/>
            <family val="2"/>
          </rPr>
          <t xml:space="preserve">
Reforma N° 2:
Se incrementó $ 3.500,00 según Memorando N° UTMACH-DIDI-2023-0053-M_02/02/2023.</t>
        </r>
      </text>
    </comment>
    <comment ref="E271" authorId="0" shapeId="0" xr:uid="{00000000-0006-0000-1D00-000064000000}">
      <text>
        <r>
          <rPr>
            <b/>
            <sz val="9"/>
            <color indexed="81"/>
            <rFont val="Tahoma"/>
            <family val="2"/>
          </rPr>
          <t>HP:</t>
        </r>
        <r>
          <rPr>
            <sz val="9"/>
            <color indexed="81"/>
            <rFont val="Tahoma"/>
            <family val="2"/>
          </rPr>
          <t xml:space="preserve">
Reforma N° 2:
Se incrementó $1.250,00 Py de Inversión FIC</t>
        </r>
      </text>
    </comment>
    <comment ref="E272" authorId="0" shapeId="0" xr:uid="{00000000-0006-0000-1D00-000065000000}">
      <text>
        <r>
          <rPr>
            <b/>
            <sz val="9"/>
            <color indexed="81"/>
            <rFont val="Tahoma"/>
            <family val="2"/>
          </rPr>
          <t>HP:</t>
        </r>
        <r>
          <rPr>
            <sz val="9"/>
            <color indexed="81"/>
            <rFont val="Tahoma"/>
            <family val="2"/>
          </rPr>
          <t xml:space="preserve">
Reforma N° 2:
Se incrementó $ 26.785,71 para Servicio de Consultoría CRAI - LOAYZA AGUILAR KAROL</t>
        </r>
      </text>
    </comment>
    <comment ref="E273" authorId="0" shapeId="0" xr:uid="{00000000-0006-0000-1D00-000066000000}">
      <text>
        <r>
          <rPr>
            <b/>
            <sz val="9"/>
            <color indexed="81"/>
            <rFont val="Tahoma"/>
            <family val="2"/>
          </rPr>
          <t>HP:</t>
        </r>
        <r>
          <rPr>
            <sz val="9"/>
            <color indexed="81"/>
            <rFont val="Tahoma"/>
            <family val="2"/>
          </rPr>
          <t xml:space="preserve">
Reforma N° 2:
Servicio de implementación de una red wifi TELCONET DTIC</t>
        </r>
      </text>
    </comment>
    <comment ref="E274" authorId="0" shapeId="0" xr:uid="{00000000-0006-0000-1D00-000067000000}">
      <text>
        <r>
          <rPr>
            <b/>
            <sz val="9"/>
            <color indexed="81"/>
            <rFont val="Tahoma"/>
            <family val="2"/>
          </rPr>
          <t>HP:</t>
        </r>
        <r>
          <rPr>
            <sz val="9"/>
            <color indexed="81"/>
            <rFont val="Tahoma"/>
            <family val="2"/>
          </rPr>
          <t xml:space="preserve">
Reforma N° 2:
Se incrementó $ 2.250,00 contrato año anterior. Adquisición de silla para cubículos ANDRANGO QUIMBIAMBA FCA
</t>
        </r>
      </text>
    </comment>
    <comment ref="E275" authorId="0" shapeId="0" xr:uid="{00000000-0006-0000-1D00-000068000000}">
      <text>
        <r>
          <rPr>
            <b/>
            <sz val="9"/>
            <color indexed="81"/>
            <rFont val="Tahoma"/>
            <family val="2"/>
          </rPr>
          <t>HP:</t>
        </r>
        <r>
          <rPr>
            <sz val="9"/>
            <color indexed="81"/>
            <rFont val="Tahoma"/>
            <family val="2"/>
          </rPr>
          <t xml:space="preserve">
Reforma N° 2:
Se incrementó $ 6.843,20 de acuerdo al POA 2023 de la FCE presentado.</t>
        </r>
      </text>
    </comment>
    <comment ref="E276" authorId="0" shapeId="0" xr:uid="{00000000-0006-0000-1D00-000069000000}">
      <text>
        <r>
          <rPr>
            <b/>
            <sz val="9"/>
            <color indexed="81"/>
            <rFont val="Tahoma"/>
            <family val="2"/>
          </rPr>
          <t>HP:</t>
        </r>
        <r>
          <rPr>
            <sz val="9"/>
            <color indexed="81"/>
            <rFont val="Tahoma"/>
            <family val="2"/>
          </rPr>
          <t xml:space="preserve">
Reforma N° 2:
Se incrementó $ 6.370,00 Py de Inversión FIC</t>
        </r>
      </text>
    </comment>
    <comment ref="E277" authorId="0" shapeId="0" xr:uid="{00000000-0006-0000-1D00-00006A000000}">
      <text>
        <r>
          <rPr>
            <b/>
            <sz val="9"/>
            <color indexed="81"/>
            <rFont val="Tahoma"/>
            <family val="2"/>
          </rPr>
          <t>HP:</t>
        </r>
        <r>
          <rPr>
            <sz val="9"/>
            <color indexed="81"/>
            <rFont val="Tahoma"/>
            <family val="2"/>
          </rPr>
          <t xml:space="preserve">
Reforma N° 2: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t>
        </r>
      </text>
    </comment>
    <comment ref="E278" authorId="0" shapeId="0" xr:uid="{00000000-0006-0000-1D00-00006B000000}">
      <text>
        <r>
          <rPr>
            <b/>
            <sz val="9"/>
            <color indexed="81"/>
            <rFont val="Tahoma"/>
            <family val="2"/>
          </rPr>
          <t>HP:</t>
        </r>
        <r>
          <rPr>
            <sz val="9"/>
            <color indexed="81"/>
            <rFont val="Tahoma"/>
            <family val="2"/>
          </rPr>
          <t xml:space="preserve">
Reforma N° 2:
Se incrementó $ 924.169,72 Py de Inversión FIC</t>
        </r>
      </text>
    </comment>
    <comment ref="E279" authorId="0" shapeId="0" xr:uid="{00000000-0006-0000-1D00-00006C000000}">
      <text>
        <r>
          <rPr>
            <b/>
            <sz val="9"/>
            <color indexed="81"/>
            <rFont val="Tahoma"/>
            <family val="2"/>
          </rPr>
          <t>HP:</t>
        </r>
        <r>
          <rPr>
            <sz val="9"/>
            <color indexed="81"/>
            <rFont val="Tahoma"/>
            <family val="2"/>
          </rPr>
          <t xml:space="preserve">
Reforma N° 2:
Se incrementó $ 9.325,25 por contrato de año anterior para adquisición de proyectores de imagen. TICS.
</t>
        </r>
      </text>
    </comment>
    <comment ref="E280" authorId="1" shapeId="0" xr:uid="{00000000-0006-0000-1D00-00006D000000}">
      <text>
        <r>
          <rPr>
            <b/>
            <sz val="9"/>
            <color indexed="81"/>
            <rFont val="Tahoma"/>
            <family val="2"/>
          </rPr>
          <t>Eunice Basilio:</t>
        </r>
        <r>
          <rPr>
            <sz val="9"/>
            <color indexed="81"/>
            <rFont val="Tahoma"/>
            <family val="2"/>
          </rPr>
          <t xml:space="preserve">
Reforma N° 2:
Se incrementó $ 211.328,52 conforme archivo POA 2023.
$ 4.278,40 Vic. de Investigación, Vinculación y Posgrado
$ 134.551,20 DIDI (con el incremento de abajo)
$ 59.062,12 + 22.400,00 FCA
$ 12.028,80 + 18043,20 FCS
$ 400,00 Rectorado
$ 1.008,00 + 30.889,60 + 1.929,57 FCQS
$ 15.120,00 FIC
Se incrementó $ 132.871,20 según Memorando N° UTMACH-DIDI-2023-0053-M_02/02/2023.
Se incrementó $ 8.480,00 según adjunto de Vic. Investigación en e-mail enviado el 03/02/2023</t>
        </r>
      </text>
    </comment>
    <comment ref="E282" authorId="0" shapeId="0" xr:uid="{00000000-0006-0000-1D00-00006E000000}">
      <text>
        <r>
          <rPr>
            <b/>
            <sz val="9"/>
            <color indexed="81"/>
            <rFont val="Tahoma"/>
            <family val="2"/>
          </rPr>
          <t>HP:</t>
        </r>
        <r>
          <rPr>
            <sz val="9"/>
            <color indexed="81"/>
            <rFont val="Tahoma"/>
            <family val="2"/>
          </rPr>
          <t xml:space="preserve">
Reforma N° 2:
Se incrementó $ 1.344,10 FCQS</t>
        </r>
      </text>
    </comment>
    <comment ref="E283" authorId="0" shapeId="0" xr:uid="{00000000-0006-0000-1D00-00006F000000}">
      <text>
        <r>
          <rPr>
            <b/>
            <sz val="9"/>
            <color indexed="81"/>
            <rFont val="Tahoma"/>
            <family val="2"/>
          </rPr>
          <t>HP:</t>
        </r>
        <r>
          <rPr>
            <sz val="9"/>
            <color indexed="81"/>
            <rFont val="Tahoma"/>
            <family val="2"/>
          </rPr>
          <t xml:space="preserve">
Reforma N° 2:
Se incrementó $ 244.548,86 Py de Inversión FIC</t>
        </r>
      </text>
    </comment>
    <comment ref="E284" authorId="1" shapeId="0" xr:uid="{00000000-0006-0000-1D00-000070000000}">
      <text>
        <r>
          <rPr>
            <b/>
            <sz val="9"/>
            <color indexed="81"/>
            <rFont val="Tahoma"/>
            <family val="2"/>
          </rPr>
          <t>Eunice Basilio:</t>
        </r>
        <r>
          <rPr>
            <sz val="9"/>
            <color indexed="81"/>
            <rFont val="Tahoma"/>
            <family val="2"/>
          </rPr>
          <t xml:space="preserve">
Reforma N° 2:
Se incrementó conforme archivo POA 2023:
$ 13.523,26 Vic. Investigación
$ 2.240,00 DIDI
$ 123.516,00 DTIC + 18.037,80
$ 65.044,00 FCE
$ 11.150,72  FCS
$ 7.504,00 Rectorado
Se incrementó $ 1.771,84, según Memorando N° UTMACH-DADM-2023-0013-M del 16/01/23 Se agrega a TICS.
Se incrementó $ 45.920,00 según Memorando N° UTMACH-DIDI-2023-0053-M_02/02/2023.</t>
        </r>
      </text>
    </comment>
    <comment ref="E285" authorId="1" shapeId="0" xr:uid="{00000000-0006-0000-1D00-000071000000}">
      <text>
        <r>
          <rPr>
            <b/>
            <sz val="9"/>
            <color indexed="81"/>
            <rFont val="Tahoma"/>
            <family val="2"/>
          </rPr>
          <t>Eunice Basilio:</t>
        </r>
        <r>
          <rPr>
            <sz val="9"/>
            <color indexed="81"/>
            <rFont val="Tahoma"/>
            <family val="2"/>
          </rPr>
          <t xml:space="preserve">
Reforma N° 2:
Se incrementó $ 414.919,06 Py de Red Lan DTIC</t>
        </r>
      </text>
    </comment>
    <comment ref="E286" authorId="0" shapeId="0" xr:uid="{00000000-0006-0000-1D00-000072000000}">
      <text>
        <r>
          <rPr>
            <b/>
            <sz val="9"/>
            <color indexed="81"/>
            <rFont val="Tahoma"/>
            <family val="2"/>
          </rPr>
          <t>HP:</t>
        </r>
        <r>
          <rPr>
            <sz val="9"/>
            <color indexed="81"/>
            <rFont val="Tahoma"/>
            <family val="2"/>
          </rPr>
          <t xml:space="preserve">
Reforma N° 2:
Se incrementó $ 2.800,00 según Memorando N° UTMACH-DIDI-2023-0053-M_02/02/2023.</t>
        </r>
      </text>
    </comment>
    <comment ref="F292" authorId="0" shapeId="0" xr:uid="{00000000-0006-0000-1D00-000073000000}">
      <text>
        <r>
          <rPr>
            <b/>
            <sz val="9"/>
            <color indexed="81"/>
            <rFont val="Tahoma"/>
            <family val="2"/>
          </rPr>
          <t>HP:</t>
        </r>
        <r>
          <rPr>
            <sz val="9"/>
            <color indexed="81"/>
            <rFont val="Tahoma"/>
            <family val="2"/>
          </rPr>
          <t xml:space="preserve">
Reforma N° 2:
Se redujo $ 8.960,00 Vic. de Investigación
según adjunto de Vic. Investigación en e-mail enviado el 03/02/2023</t>
        </r>
      </text>
    </comment>
    <comment ref="E298" authorId="0" shapeId="0" xr:uid="{00000000-0006-0000-1D00-000074000000}">
      <text>
        <r>
          <rPr>
            <b/>
            <sz val="9"/>
            <color indexed="81"/>
            <rFont val="Tahoma"/>
            <family val="2"/>
          </rPr>
          <t>HP:</t>
        </r>
        <r>
          <rPr>
            <sz val="9"/>
            <color indexed="81"/>
            <rFont val="Tahoma"/>
            <family val="2"/>
          </rPr>
          <t xml:space="preserve">
Reforma N° 2:se incrementó $ 2.352,00 FCQS
</t>
        </r>
      </text>
    </comment>
    <comment ref="F299" authorId="0" shapeId="0" xr:uid="{00000000-0006-0000-1D00-000075000000}">
      <text>
        <r>
          <rPr>
            <b/>
            <sz val="9"/>
            <color indexed="81"/>
            <rFont val="Tahoma"/>
            <family val="2"/>
          </rPr>
          <t>HP:</t>
        </r>
        <r>
          <rPr>
            <sz val="9"/>
            <color indexed="81"/>
            <rFont val="Tahoma"/>
            <family val="2"/>
          </rPr>
          <t xml:space="preserve">
Reforma N° 2:
Se redujo $ 22.400,00 FCA</t>
        </r>
      </text>
    </comment>
    <comment ref="F300" authorId="0" shapeId="0" xr:uid="{00000000-0006-0000-1D00-000076000000}">
      <text>
        <r>
          <rPr>
            <b/>
            <sz val="9"/>
            <color indexed="81"/>
            <rFont val="Tahoma"/>
            <family val="2"/>
          </rPr>
          <t>HP:</t>
        </r>
        <r>
          <rPr>
            <sz val="9"/>
            <color indexed="81"/>
            <rFont val="Tahoma"/>
            <family val="2"/>
          </rPr>
          <t xml:space="preserve">
Reforma N° 2:
Se redujo $ 25.064,00 por disposición del Director del DPLAN</t>
        </r>
      </text>
    </comment>
    <comment ref="F301" authorId="0" shapeId="0" xr:uid="{00000000-0006-0000-1D00-000077000000}">
      <text>
        <r>
          <rPr>
            <b/>
            <sz val="9"/>
            <color indexed="81"/>
            <rFont val="Tahoma"/>
            <family val="2"/>
          </rPr>
          <t>HP:</t>
        </r>
        <r>
          <rPr>
            <sz val="9"/>
            <color indexed="81"/>
            <rFont val="Tahoma"/>
            <family val="2"/>
          </rPr>
          <t xml:space="preserve">
Reforma N° 2:
Se redujo $ 20.160,00 de acuerdo al 1er POA 2023 de la FCE presentado (por no estar desagregado).</t>
        </r>
      </text>
    </comment>
    <comment ref="F303" authorId="0" shapeId="0" xr:uid="{00000000-0006-0000-1D00-000078000000}">
      <text>
        <r>
          <rPr>
            <b/>
            <sz val="9"/>
            <color indexed="81"/>
            <rFont val="Tahoma"/>
            <family val="2"/>
          </rPr>
          <t>HP:</t>
        </r>
        <r>
          <rPr>
            <sz val="9"/>
            <color indexed="81"/>
            <rFont val="Tahoma"/>
            <family val="2"/>
          </rPr>
          <t xml:space="preserve">
Reforma N° 2:
Se redujo $ 6.800,00 Dir. Educ. Continua</t>
        </r>
      </text>
    </comment>
    <comment ref="F308" authorId="0" shapeId="0" xr:uid="{00000000-0006-0000-1D00-000079000000}">
      <text>
        <r>
          <rPr>
            <b/>
            <sz val="9"/>
            <color indexed="81"/>
            <rFont val="Tahoma"/>
            <family val="2"/>
          </rPr>
          <t>HP:</t>
        </r>
        <r>
          <rPr>
            <sz val="9"/>
            <color indexed="81"/>
            <rFont val="Tahoma"/>
            <family val="2"/>
          </rPr>
          <t xml:space="preserve">
Reforma N° 2:
Se redujo $ 1.261,38 Dir. Educ. Continua</t>
        </r>
      </text>
    </comment>
    <comment ref="F310" authorId="0" shapeId="0" xr:uid="{00000000-0006-0000-1D00-00007A000000}">
      <text>
        <r>
          <rPr>
            <b/>
            <sz val="9"/>
            <color indexed="81"/>
            <rFont val="Tahoma"/>
            <family val="2"/>
          </rPr>
          <t>HP:</t>
        </r>
        <r>
          <rPr>
            <sz val="9"/>
            <color indexed="81"/>
            <rFont val="Tahoma"/>
            <family val="2"/>
          </rPr>
          <t xml:space="preserve">
Reforma N° 2:
Se redujo $ 26.096,00 FCQS</t>
        </r>
      </text>
    </comment>
    <comment ref="E312" authorId="0" shapeId="0" xr:uid="{00000000-0006-0000-1D00-00007B000000}">
      <text>
        <r>
          <rPr>
            <b/>
            <sz val="9"/>
            <color indexed="81"/>
            <rFont val="Tahoma"/>
            <family val="2"/>
          </rPr>
          <t>HP:</t>
        </r>
        <r>
          <rPr>
            <sz val="9"/>
            <color indexed="81"/>
            <rFont val="Tahoma"/>
            <family val="2"/>
          </rPr>
          <t xml:space="preserve">
Reforma N° 2:se incrementó $ 162,40 FCQS
</t>
        </r>
      </text>
    </comment>
    <comment ref="E313" authorId="0" shapeId="0" xr:uid="{00000000-0006-0000-1D00-00007C000000}">
      <text>
        <r>
          <rPr>
            <b/>
            <sz val="9"/>
            <color indexed="81"/>
            <rFont val="Tahoma"/>
            <family val="2"/>
          </rPr>
          <t>HP:</t>
        </r>
        <r>
          <rPr>
            <sz val="9"/>
            <color indexed="81"/>
            <rFont val="Tahoma"/>
            <family val="2"/>
          </rPr>
          <t xml:space="preserve">
Reforma N° 2:se incrementó $ 619,36 FCQS
</t>
        </r>
      </text>
    </comment>
    <comment ref="E314" authorId="0" shapeId="0" xr:uid="{00000000-0006-0000-1D00-00007D000000}">
      <text>
        <r>
          <rPr>
            <b/>
            <sz val="9"/>
            <color indexed="81"/>
            <rFont val="Tahoma"/>
            <family val="2"/>
          </rPr>
          <t>HP:</t>
        </r>
        <r>
          <rPr>
            <sz val="9"/>
            <color indexed="81"/>
            <rFont val="Tahoma"/>
            <family val="2"/>
          </rPr>
          <t xml:space="preserve">
Reforma N° 2:se incrementó $ 5.600,00 FCQS
</t>
        </r>
      </text>
    </comment>
    <comment ref="F316" authorId="0" shapeId="0" xr:uid="{00000000-0006-0000-1D00-00007E000000}">
      <text>
        <r>
          <rPr>
            <b/>
            <sz val="9"/>
            <color indexed="81"/>
            <rFont val="Tahoma"/>
            <family val="2"/>
          </rPr>
          <t>HP:</t>
        </r>
        <r>
          <rPr>
            <sz val="9"/>
            <color indexed="81"/>
            <rFont val="Tahoma"/>
            <family val="2"/>
          </rPr>
          <t xml:space="preserve">
Reforma N° 2:
Se redujo $ 21.280,00 DBUAC</t>
        </r>
      </text>
    </comment>
    <comment ref="E321" authorId="1" shapeId="0" xr:uid="{00000000-0006-0000-1D00-00007F000000}">
      <text>
        <r>
          <rPr>
            <b/>
            <sz val="9"/>
            <color indexed="81"/>
            <rFont val="Tahoma"/>
            <family val="2"/>
          </rPr>
          <t>Eunice Basilio:</t>
        </r>
        <r>
          <rPr>
            <sz val="9"/>
            <color indexed="81"/>
            <rFont val="Tahoma"/>
            <family val="2"/>
          </rPr>
          <t xml:space="preserve">
Reforma N° 2:
Se incrementó $ 14.739,77 conforme archivo POA 2023.
Se incrementó $ 5.107,94 FCQS</t>
        </r>
      </text>
    </comment>
    <comment ref="E322" authorId="1" shapeId="0" xr:uid="{00000000-0006-0000-1D00-000080000000}">
      <text>
        <r>
          <rPr>
            <b/>
            <sz val="9"/>
            <color indexed="81"/>
            <rFont val="Tahoma"/>
            <family val="2"/>
          </rPr>
          <t>Eunice Basilio:</t>
        </r>
        <r>
          <rPr>
            <sz val="9"/>
            <color indexed="81"/>
            <rFont val="Tahoma"/>
            <family val="2"/>
          </rPr>
          <t xml:space="preserve">
Reforma N° 2:
Se incrementó $ 20.678,10 conforme archivo POA 2023.
Se incrementó $ 5.308,80 por contrato de año anterior para adquisición de proyectores de imagen. TICS
Se incrementó $ 9.924,07 FCQS</t>
        </r>
      </text>
    </comment>
    <comment ref="E323" authorId="1" shapeId="0" xr:uid="{00000000-0006-0000-1D00-000081000000}">
      <text>
        <r>
          <rPr>
            <b/>
            <sz val="9"/>
            <color indexed="81"/>
            <rFont val="Tahoma"/>
            <family val="2"/>
          </rPr>
          <t>Eunice Basilio:</t>
        </r>
        <r>
          <rPr>
            <sz val="9"/>
            <color indexed="81"/>
            <rFont val="Tahoma"/>
            <family val="2"/>
          </rPr>
          <t xml:space="preserve">
Reforma N° 2:
Se incrementó $ 21.446,90 conforme archivo POA 2023.
Se incrementó $ 336,01 FCQS
</t>
        </r>
      </text>
    </comment>
    <comment ref="E324" authorId="0" shapeId="0" xr:uid="{00000000-0006-0000-1D00-000082000000}">
      <text>
        <r>
          <rPr>
            <b/>
            <sz val="9"/>
            <color indexed="81"/>
            <rFont val="Tahoma"/>
            <family val="2"/>
          </rPr>
          <t>HP:</t>
        </r>
        <r>
          <rPr>
            <sz val="9"/>
            <color indexed="81"/>
            <rFont val="Tahoma"/>
            <family val="2"/>
          </rPr>
          <t xml:space="preserve">
Reforma N° 2:se incrementó $ 5.600,00 FCQS
</t>
        </r>
      </text>
    </comment>
    <comment ref="D337" authorId="0" shapeId="0" xr:uid="{00000000-0006-0000-1D00-000083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D338" authorId="0" shapeId="0" xr:uid="{00000000-0006-0000-1D00-000084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D339" authorId="0" shapeId="0" xr:uid="{00000000-0006-0000-1D00-000085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D341" authorId="0" shapeId="0" xr:uid="{00000000-0006-0000-1D00-000086000000}">
      <text>
        <r>
          <rPr>
            <b/>
            <sz val="9"/>
            <color indexed="81"/>
            <rFont val="Tahoma"/>
            <family val="2"/>
          </rPr>
          <t>HP:</t>
        </r>
        <r>
          <rPr>
            <sz val="9"/>
            <color indexed="81"/>
            <rFont val="Tahoma"/>
            <family val="2"/>
          </rPr>
          <t xml:space="preserve">
Reforma N° 2:
Se incrementó $ 26.785,57 (sin IVA) para Repotenciación de la Línea de Media Tensión 13200 VAC, en el Campus principal de la UTMACH. - UTMACH EP.</t>
        </r>
      </text>
    </comment>
    <comment ref="D346" authorId="3" shapeId="0" xr:uid="{00000000-0006-0000-1D00-000087000000}">
      <text>
        <r>
          <rPr>
            <b/>
            <sz val="9"/>
            <color indexed="81"/>
            <rFont val="Tahoma"/>
            <family val="2"/>
          </rPr>
          <t>Vilma Chanena Vega Ponce:</t>
        </r>
        <r>
          <rPr>
            <sz val="9"/>
            <color indexed="81"/>
            <rFont val="Tahoma"/>
            <family val="2"/>
          </rPr>
          <t xml:space="preserve">
saldo de caja
</t>
        </r>
      </text>
    </comment>
    <comment ref="D347" authorId="0" shapeId="0" xr:uid="{00000000-0006-0000-1D00-000088000000}">
      <text>
        <r>
          <rPr>
            <b/>
            <sz val="9"/>
            <color indexed="81"/>
            <rFont val="Tahoma"/>
            <family val="2"/>
          </rPr>
          <t>HP:</t>
        </r>
        <r>
          <rPr>
            <sz val="9"/>
            <color indexed="81"/>
            <rFont val="Tahoma"/>
            <family val="2"/>
          </rPr>
          <t xml:space="preserve">
Reforma N° 2:
Se incrementó $ 42.311.18 para pago de contrato de año anterior por adquisición de cámaras de videovigilancia. UTMACH EP
Dir. Administrativa</t>
        </r>
      </text>
    </comment>
    <comment ref="D348" authorId="0" shapeId="0" xr:uid="{00000000-0006-0000-1D00-000089000000}">
      <text>
        <r>
          <rPr>
            <b/>
            <sz val="9"/>
            <color indexed="81"/>
            <rFont val="Tahoma"/>
            <family val="2"/>
          </rPr>
          <t>HP:</t>
        </r>
        <r>
          <rPr>
            <sz val="9"/>
            <color indexed="81"/>
            <rFont val="Tahoma"/>
            <family val="2"/>
          </rPr>
          <t xml:space="preserve">
Reforma N° 2:
Se incrementó $ 4.518  contrato adquisicion de camaras y 1.570 adquisicion de computador, contratos año anterior.</t>
        </r>
      </text>
    </comment>
    <comment ref="D349" authorId="0" shapeId="0" xr:uid="{00000000-0006-0000-1D00-00008A000000}">
      <text>
        <r>
          <rPr>
            <b/>
            <sz val="9"/>
            <color indexed="81"/>
            <rFont val="Tahoma"/>
            <family val="2"/>
          </rPr>
          <t>HP:</t>
        </r>
        <r>
          <rPr>
            <sz val="9"/>
            <color indexed="81"/>
            <rFont val="Tahoma"/>
            <family val="2"/>
          </rPr>
          <t xml:space="preserve">
Reforma N° 2:
Se incrementó pago de contrato servicio de seguridad privada, 50.279,23, año anterior.
</t>
        </r>
      </text>
    </comment>
    <comment ref="D350" authorId="3" shapeId="0" xr:uid="{00000000-0006-0000-1D00-00008B000000}">
      <text>
        <r>
          <rPr>
            <b/>
            <sz val="9"/>
            <color indexed="81"/>
            <rFont val="Tahoma"/>
            <family val="2"/>
          </rPr>
          <t>Vilma Chanena Vega Ponce:</t>
        </r>
        <r>
          <rPr>
            <sz val="9"/>
            <color indexed="81"/>
            <rFont val="Tahoma"/>
            <family val="2"/>
          </rPr>
          <t xml:space="preserve">
convenio MIES</t>
        </r>
      </text>
    </comment>
    <comment ref="D351" authorId="3" shapeId="0" xr:uid="{00000000-0006-0000-1D00-00008C000000}">
      <text>
        <r>
          <rPr>
            <b/>
            <sz val="9"/>
            <color indexed="81"/>
            <rFont val="Tahoma"/>
            <family val="2"/>
          </rPr>
          <t>Vilma Chanena Vega Ponce:</t>
        </r>
        <r>
          <rPr>
            <sz val="9"/>
            <color indexed="81"/>
            <rFont val="Tahoma"/>
            <family val="2"/>
          </rPr>
          <t xml:space="preserve">
convenio MIES
</t>
        </r>
      </text>
    </comment>
    <comment ref="D352" authorId="3" shapeId="0" xr:uid="{00000000-0006-0000-1D00-00008D000000}">
      <text>
        <r>
          <rPr>
            <b/>
            <sz val="9"/>
            <color indexed="81"/>
            <rFont val="Tahoma"/>
            <family val="2"/>
          </rPr>
          <t>Vilma Chanena Vega Ponce:</t>
        </r>
        <r>
          <rPr>
            <sz val="9"/>
            <color indexed="81"/>
            <rFont val="Tahoma"/>
            <family val="2"/>
          </rPr>
          <t xml:space="preserve">
pago de liquidaciones de remuneraciones personal docente por finalizacion de contratos de años anteriores.</t>
        </r>
      </text>
    </comment>
    <comment ref="D353" authorId="3" shapeId="0" xr:uid="{00000000-0006-0000-1D00-00008E000000}">
      <text>
        <r>
          <rPr>
            <b/>
            <sz val="9"/>
            <color indexed="81"/>
            <rFont val="Tahoma"/>
            <family val="2"/>
          </rPr>
          <t>Vilma Chanena Vega Ponce:</t>
        </r>
        <r>
          <rPr>
            <sz val="9"/>
            <color indexed="81"/>
            <rFont val="Tahoma"/>
            <family val="2"/>
          </rPr>
          <t xml:space="preserve">
pago de contrato año anterior valor 33.214,12 para repotenciacion de la linea media tension.</t>
        </r>
      </text>
    </comment>
    <comment ref="D354" authorId="0" shapeId="0" xr:uid="{00000000-0006-0000-1D00-00008F000000}">
      <text>
        <r>
          <rPr>
            <b/>
            <sz val="9"/>
            <color indexed="81"/>
            <rFont val="Tahoma"/>
            <family val="2"/>
          </rPr>
          <t>HP:</t>
        </r>
        <r>
          <rPr>
            <sz val="9"/>
            <color indexed="81"/>
            <rFont val="Tahoma"/>
            <family val="2"/>
          </rPr>
          <t xml:space="preserve">
Reforma N° 2:
Contrato UTMACH EP, monto 41.623,28 para adquisición equipos de climatización.</t>
        </r>
      </text>
    </comment>
    <comment ref="D355" authorId="0" shapeId="0" xr:uid="{00000000-0006-0000-1D00-000090000000}">
      <text>
        <r>
          <rPr>
            <b/>
            <sz val="9"/>
            <color indexed="81"/>
            <rFont val="Tahoma"/>
            <family val="2"/>
          </rPr>
          <t>HP:</t>
        </r>
        <r>
          <rPr>
            <sz val="9"/>
            <color indexed="81"/>
            <rFont val="Tahoma"/>
            <family val="2"/>
          </rPr>
          <t xml:space="preserve">
Reforma N° 2:
 $ 57.344,85 contrato adquisición de equipos de climatización y 13.831,49 contrato repotenciación de la línea media tensión, Dir. Administrativa.</t>
        </r>
      </text>
    </comment>
    <comment ref="D356" authorId="3" shapeId="0" xr:uid="{00000000-0006-0000-1D00-000091000000}">
      <text>
        <r>
          <rPr>
            <b/>
            <sz val="9"/>
            <color indexed="81"/>
            <rFont val="Tahoma"/>
            <family val="2"/>
          </rPr>
          <t>Vilma Chanena Vega Ponce:</t>
        </r>
        <r>
          <rPr>
            <sz val="9"/>
            <color indexed="81"/>
            <rFont val="Tahoma"/>
            <family val="2"/>
          </rPr>
          <t xml:space="preserve">
incremento por 14.362,05 mantenimiento de edificios, Investigacion y 13.505,20 MIES por convenio. </t>
        </r>
      </text>
    </comment>
    <comment ref="D357" authorId="3" shapeId="0" xr:uid="{00000000-0006-0000-1D00-000092000000}">
      <text>
        <r>
          <rPr>
            <b/>
            <sz val="9"/>
            <color indexed="81"/>
            <rFont val="Tahoma"/>
            <family val="2"/>
          </rPr>
          <t>Vilma Chanena Vega Ponce:</t>
        </r>
        <r>
          <rPr>
            <sz val="9"/>
            <color indexed="81"/>
            <rFont val="Tahoma"/>
            <family val="2"/>
          </rPr>
          <t xml:space="preserve">
saldo de caja bancos</t>
        </r>
      </text>
    </comment>
    <comment ref="D358" authorId="3" shapeId="0" xr:uid="{00000000-0006-0000-1D00-000093000000}">
      <text>
        <r>
          <rPr>
            <b/>
            <sz val="9"/>
            <color indexed="81"/>
            <rFont val="Tahoma"/>
            <family val="2"/>
          </rPr>
          <t>Vilma Chanena Vega Ponce:</t>
        </r>
        <r>
          <rPr>
            <sz val="9"/>
            <color indexed="81"/>
            <rFont val="Tahoma"/>
            <family val="2"/>
          </rPr>
          <t xml:space="preserve">
saldo de caja bancos</t>
        </r>
      </text>
    </comment>
    <comment ref="D359" authorId="3" shapeId="0" xr:uid="{00000000-0006-0000-1D00-000094000000}">
      <text>
        <r>
          <rPr>
            <b/>
            <sz val="9"/>
            <color indexed="81"/>
            <rFont val="Tahoma"/>
            <family val="2"/>
          </rPr>
          <t>Vilma Chanena Vega Ponce:</t>
        </r>
        <r>
          <rPr>
            <sz val="9"/>
            <color indexed="81"/>
            <rFont val="Tahoma"/>
            <family val="2"/>
          </rPr>
          <t xml:space="preserve">
contrato año anterior servicio de implementacion de RED WIFI monto 231.043,11</t>
        </r>
      </text>
    </comment>
    <comment ref="D360" authorId="1" shapeId="0" xr:uid="{00000000-0006-0000-1D00-000095000000}">
      <text>
        <r>
          <rPr>
            <b/>
            <sz val="9"/>
            <color indexed="81"/>
            <rFont val="Tahoma"/>
            <family val="2"/>
          </rPr>
          <t>Eunice Basilio:</t>
        </r>
        <r>
          <rPr>
            <sz val="9"/>
            <color indexed="81"/>
            <rFont val="Tahoma"/>
            <family val="2"/>
          </rPr>
          <t xml:space="preserve">
Reforma N° 2:
contrato año anterior, se incrementó $ 110.690,00 para Adecuac. de los equipos de la Infraestructura de Core de la Red LAN de la UTMACH - AKEA</t>
        </r>
      </text>
    </comment>
    <comment ref="D361" authorId="0" shapeId="0" xr:uid="{00000000-0006-0000-1D00-000096000000}">
      <text>
        <r>
          <rPr>
            <b/>
            <sz val="9"/>
            <color indexed="81"/>
            <rFont val="Tahoma"/>
            <family val="2"/>
          </rPr>
          <t>HP:</t>
        </r>
        <r>
          <rPr>
            <sz val="9"/>
            <color indexed="81"/>
            <rFont val="Tahoma"/>
            <family val="2"/>
          </rPr>
          <t xml:space="preserve">
Reforma N° 2:
contrato año anterior, se incrementó $ 26.785,72 para Servicio de Consultoría CRAI - LOAYZA AGUILAR KAROL</t>
        </r>
      </text>
    </comment>
    <comment ref="D362" authorId="0" shapeId="0" xr:uid="{00000000-0006-0000-1D00-000097000000}">
      <text>
        <r>
          <rPr>
            <b/>
            <sz val="9"/>
            <color indexed="81"/>
            <rFont val="Tahoma"/>
            <family val="2"/>
          </rPr>
          <t>HP:</t>
        </r>
        <r>
          <rPr>
            <sz val="9"/>
            <color indexed="81"/>
            <rFont val="Tahoma"/>
            <family val="2"/>
          </rPr>
          <t xml:space="preserve">
Reforma N° 2:
saldo de caja-bancos
</t>
        </r>
      </text>
    </comment>
    <comment ref="E378" authorId="0" shapeId="0" xr:uid="{00000000-0006-0000-1D00-000098000000}">
      <text>
        <r>
          <rPr>
            <b/>
            <sz val="9"/>
            <color indexed="81"/>
            <rFont val="Tahoma"/>
            <family val="2"/>
          </rPr>
          <t>HP:</t>
        </r>
        <r>
          <rPr>
            <sz val="9"/>
            <color indexed="81"/>
            <rFont val="Tahoma"/>
            <family val="2"/>
          </rPr>
          <t xml:space="preserve">
Reforma N° 2:
Se incrementó $ 423.188,30 py de jubilados que consta en la 84 en el POA 2023 de la DTH.
Se incrementó el saldo $ 18.470,34 y se lo sumó al py de jubilados DTH.</t>
        </r>
      </text>
    </comment>
    <comment ref="E379" authorId="0" shapeId="0" xr:uid="{00000000-0006-0000-1D00-000099000000}">
      <text>
        <r>
          <rPr>
            <b/>
            <sz val="9"/>
            <color indexed="81"/>
            <rFont val="Tahoma"/>
            <family val="2"/>
          </rPr>
          <t>HP:</t>
        </r>
        <r>
          <rPr>
            <sz val="9"/>
            <color indexed="81"/>
            <rFont val="Tahoma"/>
            <family val="2"/>
          </rPr>
          <t xml:space="preserve">
Reforma N° 2:
Se incrementó $ 4.518,00 para pago de contrato de año anterior por adquisición de cámaras de videovigilancia. UTMACH EP
Dir. Administrativa</t>
        </r>
      </text>
    </comment>
    <comment ref="F379" authorId="0" shapeId="0" xr:uid="{00000000-0006-0000-1D00-00009A000000}">
      <text>
        <r>
          <rPr>
            <b/>
            <sz val="9"/>
            <color indexed="81"/>
            <rFont val="Tahoma"/>
            <family val="2"/>
          </rPr>
          <t>HP:</t>
        </r>
        <r>
          <rPr>
            <sz val="9"/>
            <color indexed="81"/>
            <rFont val="Tahoma"/>
            <family val="2"/>
          </rPr>
          <t xml:space="preserve">
Reforma N° 2:
Se redujo $ 414.919,06 para Py Red Lan.
Se redujo $ 423.188,30 py de jubilados que consta en la 84 en el POA 2023 de la DTH.
Se redujo el saldo $ 18.470,34 y se lo sumó al py de jubilados DTH.</t>
        </r>
      </text>
    </comment>
    <comment ref="F382" authorId="0" shapeId="0" xr:uid="{00000000-0006-0000-1D00-00009B000000}">
      <text>
        <r>
          <rPr>
            <b/>
            <sz val="9"/>
            <color indexed="81"/>
            <rFont val="Tahoma"/>
            <family val="2"/>
          </rPr>
          <t>HP:</t>
        </r>
        <r>
          <rPr>
            <sz val="9"/>
            <color indexed="81"/>
            <rFont val="Tahoma"/>
            <family val="2"/>
          </rPr>
          <t xml:space="preserve">
Reforma N° 2:
Se redujo $ 1.176.733,21 para Py Inversión FIC.
El saldo de  $ 2.000.000,00 para Py construcción e implementación del CRAI Dir. Administrativa
</t>
        </r>
      </text>
    </comment>
    <comment ref="E385" authorId="0" shapeId="0" xr:uid="{00000000-0006-0000-1D00-00009C000000}">
      <text>
        <r>
          <rPr>
            <b/>
            <sz val="9"/>
            <color indexed="81"/>
            <rFont val="Tahoma"/>
            <family val="2"/>
          </rPr>
          <t>HP:</t>
        </r>
        <r>
          <rPr>
            <sz val="9"/>
            <color indexed="81"/>
            <rFont val="Tahoma"/>
            <family val="2"/>
          </rPr>
          <t xml:space="preserve">
Reforma N° 2:
$ 394,63 para Py Inversión FIC.</t>
        </r>
      </text>
    </comment>
    <comment ref="E386" authorId="0" shapeId="0" xr:uid="{00000000-0006-0000-1D00-00009D000000}">
      <text>
        <r>
          <rPr>
            <b/>
            <sz val="9"/>
            <color indexed="81"/>
            <rFont val="Tahoma"/>
            <family val="2"/>
          </rPr>
          <t>HP:</t>
        </r>
        <r>
          <rPr>
            <sz val="9"/>
            <color indexed="81"/>
            <rFont val="Tahoma"/>
            <family val="2"/>
          </rPr>
          <t xml:space="preserve">
Reforma N° 2:
$ 1.250,00 para Py Inversión FIC.</t>
        </r>
      </text>
    </comment>
    <comment ref="E387" authorId="0" shapeId="0" xr:uid="{00000000-0006-0000-1D00-00009E000000}">
      <text>
        <r>
          <rPr>
            <b/>
            <sz val="9"/>
            <color indexed="81"/>
            <rFont val="Tahoma"/>
            <family val="2"/>
          </rPr>
          <t>HP:</t>
        </r>
        <r>
          <rPr>
            <sz val="9"/>
            <color indexed="81"/>
            <rFont val="Tahoma"/>
            <family val="2"/>
          </rPr>
          <t xml:space="preserve">
Reforma N° 2:
$ 6.370,00 para Py Inversión FIC.</t>
        </r>
      </text>
    </comment>
    <comment ref="E388" authorId="0" shapeId="0" xr:uid="{00000000-0006-0000-1D00-00009F000000}">
      <text>
        <r>
          <rPr>
            <b/>
            <sz val="9"/>
            <color indexed="81"/>
            <rFont val="Tahoma"/>
            <family val="2"/>
          </rPr>
          <t>HP:</t>
        </r>
        <r>
          <rPr>
            <sz val="9"/>
            <color indexed="81"/>
            <rFont val="Tahoma"/>
            <family val="2"/>
          </rPr>
          <t xml:space="preserve">
Reforma N° 2:
$ 924.169,72 para Py Inversión FIC.</t>
        </r>
      </text>
    </comment>
    <comment ref="E389" authorId="0" shapeId="0" xr:uid="{00000000-0006-0000-1D00-0000A0000000}">
      <text>
        <r>
          <rPr>
            <b/>
            <sz val="9"/>
            <color indexed="81"/>
            <rFont val="Tahoma"/>
            <family val="2"/>
          </rPr>
          <t>HP:</t>
        </r>
        <r>
          <rPr>
            <sz val="9"/>
            <color indexed="81"/>
            <rFont val="Tahoma"/>
            <family val="2"/>
          </rPr>
          <t xml:space="preserve">
Reforma N° 2:
$ 244.548,86 para Py Inversión FIC.</t>
        </r>
      </text>
    </comment>
    <comment ref="E390" authorId="1" shapeId="0" xr:uid="{00000000-0006-0000-1D00-0000A1000000}">
      <text>
        <r>
          <rPr>
            <b/>
            <sz val="9"/>
            <color indexed="81"/>
            <rFont val="Tahoma"/>
            <family val="2"/>
          </rPr>
          <t>Eunice Basilio:</t>
        </r>
        <r>
          <rPr>
            <sz val="9"/>
            <color indexed="81"/>
            <rFont val="Tahoma"/>
            <family val="2"/>
          </rPr>
          <t xml:space="preserve">
Reforma N° 2:
Se incrementó $ 414.919,06 para Py Red Lan.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HP</author>
    <author>Eunice Basilio</author>
  </authors>
  <commentList>
    <comment ref="C5" authorId="0" shapeId="0" xr:uid="{00000000-0006-0000-1E00-000001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C6" authorId="0" shapeId="0" xr:uid="{00000000-0006-0000-1E00-000002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C7" authorId="0" shapeId="0" xr:uid="{00000000-0006-0000-1E00-000003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C9" authorId="0" shapeId="0" xr:uid="{00000000-0006-0000-1E00-000004000000}">
      <text>
        <r>
          <rPr>
            <b/>
            <sz val="9"/>
            <color indexed="81"/>
            <rFont val="Tahoma"/>
            <family val="2"/>
          </rPr>
          <t>HP:</t>
        </r>
        <r>
          <rPr>
            <sz val="9"/>
            <color indexed="81"/>
            <rFont val="Tahoma"/>
            <family val="2"/>
          </rPr>
          <t xml:space="preserve">
Reforma N° 2:
Se incrementó $ 26.785,57 (sin IVA) para Repotenciación de la Línea de Media Tensión 13200 VAC, en el Campus principal de la UTMACH. - UTMACH EP.</t>
        </r>
      </text>
    </comment>
    <comment ref="C15" authorId="0" shapeId="0" xr:uid="{00000000-0006-0000-1E00-000005000000}">
      <text>
        <r>
          <rPr>
            <b/>
            <sz val="9"/>
            <color indexed="81"/>
            <rFont val="Tahoma"/>
            <family val="2"/>
          </rPr>
          <t>HP:</t>
        </r>
        <r>
          <rPr>
            <sz val="9"/>
            <color indexed="81"/>
            <rFont val="Tahoma"/>
            <family val="2"/>
          </rPr>
          <t xml:space="preserve">
Reforma N° 2:
Se incrementó $ 37.765,46 para pago de contrato de año anterior por adquisición de cámaras de videovigilancia. UTMACH EP
Dir. Administrativa</t>
        </r>
      </text>
    </comment>
    <comment ref="C16" authorId="0" shapeId="0" xr:uid="{00000000-0006-0000-1E00-000006000000}">
      <text>
        <r>
          <rPr>
            <b/>
            <sz val="9"/>
            <color indexed="81"/>
            <rFont val="Tahoma"/>
            <family val="2"/>
          </rPr>
          <t>HP:</t>
        </r>
        <r>
          <rPr>
            <sz val="9"/>
            <color indexed="81"/>
            <rFont val="Tahoma"/>
            <family val="2"/>
          </rPr>
          <t xml:space="preserve">
Reforma N° 2:
Se incrementó $ 39.500,00 por contrato de Adquisición de aires acondicionados PULLA HNOS Dir Adm</t>
        </r>
      </text>
    </comment>
    <comment ref="C17" authorId="0" shapeId="0" xr:uid="{00000000-0006-0000-1E00-000007000000}">
      <text>
        <r>
          <rPr>
            <b/>
            <sz val="9"/>
            <color indexed="81"/>
            <rFont val="Tahoma"/>
            <family val="2"/>
          </rPr>
          <t>HP:</t>
        </r>
        <r>
          <rPr>
            <sz val="9"/>
            <color indexed="81"/>
            <rFont val="Tahoma"/>
            <family val="2"/>
          </rPr>
          <t xml:space="preserve">
Reforma N° 2:
Se incrementó $ 39.500,00 por contrato de Adquisición de aires acondicionados PULLA HNOS Dir Adm</t>
        </r>
      </text>
    </comment>
    <comment ref="C21" authorId="0" shapeId="0" xr:uid="{00000000-0006-0000-1E00-000008000000}">
      <text>
        <r>
          <rPr>
            <b/>
            <sz val="9"/>
            <color indexed="81"/>
            <rFont val="Tahoma"/>
            <family val="2"/>
          </rPr>
          <t>HP:</t>
        </r>
        <r>
          <rPr>
            <sz val="9"/>
            <color indexed="81"/>
            <rFont val="Tahoma"/>
            <family val="2"/>
          </rPr>
          <t xml:space="preserve">
Reforma N° 2:
Se incrementó $ 26.785,57 (sin IVA) para Repotenciación de la Línea de Media Tensión 13200 VAC, en el Campus principal de la UTMACH. - UTMACH EP.</t>
        </r>
      </text>
    </comment>
    <comment ref="C22" authorId="0" shapeId="0" xr:uid="{00000000-0006-0000-1E00-000009000000}">
      <text>
        <r>
          <rPr>
            <b/>
            <sz val="9"/>
            <color indexed="81"/>
            <rFont val="Tahoma"/>
            <family val="2"/>
          </rPr>
          <t>HP:</t>
        </r>
        <r>
          <rPr>
            <sz val="9"/>
            <color indexed="81"/>
            <rFont val="Tahoma"/>
            <family val="2"/>
          </rPr>
          <t xml:space="preserve">
Reforma N° 2:
Se incrementó 11.154,42 (sin IVA) para Repotenciación de la Línea de Media Tensión 13200 VAC, en el Campus principal de la UTMACH. - UTMACH EP</t>
        </r>
      </text>
    </comment>
    <comment ref="C23" authorId="0" shapeId="0" xr:uid="{00000000-0006-0000-1E00-00000A000000}">
      <text>
        <r>
          <rPr>
            <b/>
            <sz val="9"/>
            <color indexed="81"/>
            <rFont val="Tahoma"/>
            <family val="2"/>
          </rPr>
          <t>HP:</t>
        </r>
        <r>
          <rPr>
            <sz val="9"/>
            <color indexed="81"/>
            <rFont val="Tahoma"/>
            <family val="2"/>
          </rPr>
          <t xml:space="preserve">
Reforma N° 2:
Se incrementó $ 79.813,00 para pago de contrato de año anterior por adquisición e instalación de equipos de climatización. Dir. Administrativa.</t>
        </r>
      </text>
    </comment>
    <comment ref="C28" authorId="1" shapeId="0" xr:uid="{00000000-0006-0000-1E00-00000B000000}">
      <text>
        <r>
          <rPr>
            <b/>
            <sz val="9"/>
            <color indexed="81"/>
            <rFont val="Tahoma"/>
            <family val="2"/>
          </rPr>
          <t>Eunice Basilio:</t>
        </r>
        <r>
          <rPr>
            <sz val="9"/>
            <color indexed="81"/>
            <rFont val="Tahoma"/>
            <family val="2"/>
          </rPr>
          <t xml:space="preserve">
Reforma N° 2:
Se incrementó $ 110.690,00 para Adecuac. de los equipos de la Infraestructura de Core de la Red LAN de la UTMACH - AKEA</t>
        </r>
      </text>
    </comment>
    <comment ref="C29" authorId="0" shapeId="0" xr:uid="{00000000-0006-0000-1E00-00000C000000}">
      <text>
        <r>
          <rPr>
            <b/>
            <sz val="9"/>
            <color indexed="81"/>
            <rFont val="Tahoma"/>
            <family val="2"/>
          </rPr>
          <t>HP:</t>
        </r>
        <r>
          <rPr>
            <sz val="9"/>
            <color indexed="81"/>
            <rFont val="Tahoma"/>
            <family val="2"/>
          </rPr>
          <t xml:space="preserve">
Reforma N° 2:
Se incrementó $ 26.785,71 para Servicio de Consultoría CRAI - LOAYZA AGUILAR KAROL</t>
        </r>
      </text>
    </comment>
    <comment ref="C30" authorId="0" shapeId="0" xr:uid="{00000000-0006-0000-1E00-00000D000000}">
      <text>
        <r>
          <rPr>
            <b/>
            <sz val="9"/>
            <color indexed="81"/>
            <rFont val="Tahoma"/>
            <family val="2"/>
          </rPr>
          <t>HP:</t>
        </r>
        <r>
          <rPr>
            <sz val="9"/>
            <color indexed="81"/>
            <rFont val="Tahoma"/>
            <family val="2"/>
          </rPr>
          <t xml:space="preserve">
Reforma N° 2:
Se incrementó $ 26.785,71 para Servicio de Consultoría CRAI - LOAYZA AGUILAR KAROL</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LENOVO</author>
    <author>HP</author>
    <author>Valeria Ramon Capa</author>
    <author>Eunice Basilio</author>
    <author>Dirección Financiera</author>
  </authors>
  <commentList>
    <comment ref="F26" authorId="0" shapeId="0" xr:uid="{00000000-0006-0000-1F00-000001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$ 30.000,00 para financiar Décimo Tercer Sueldo</t>
        </r>
      </text>
    </comment>
    <comment ref="F27" authorId="0" shapeId="0" xr:uid="{00000000-0006-0000-1F00-000002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$ 20.000,00 para financiar Décimo Tercer Sueldo</t>
        </r>
      </text>
    </comment>
    <comment ref="F30" authorId="0" shapeId="0" xr:uid="{00000000-0006-0000-1F00-000003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$ 10.000,00 para financiar Décimo Tercer Sueldo</t>
        </r>
      </text>
    </comment>
    <comment ref="F39" authorId="0" shapeId="0" xr:uid="{00000000-0006-0000-1F00-000004000000}">
      <text>
        <r>
          <rPr>
            <b/>
            <sz val="9"/>
            <color indexed="81"/>
            <rFont val="Tahoma"/>
            <family val="2"/>
          </rPr>
          <t>LENOVO:</t>
        </r>
        <r>
          <rPr>
            <sz val="9"/>
            <color indexed="81"/>
            <rFont val="Tahoma"/>
            <family val="2"/>
          </rPr>
          <t xml:space="preserve">
Reforma N° 3:
Se reduce $2.000,00 para cubrir vacaciones.</t>
        </r>
      </text>
    </comment>
    <comment ref="F40" authorId="0" shapeId="0" xr:uid="{00000000-0006-0000-1F00-00000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reduce $2.000,00 para cubrir vacaciones.</t>
        </r>
      </text>
    </comment>
    <comment ref="E45" authorId="1" shapeId="0" xr:uid="{00000000-0006-0000-1F00-00000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$ 28.000,00 por contrato año anterior para adquisición de SIMCARD DBU</t>
        </r>
      </text>
    </comment>
    <comment ref="F45" authorId="2" shapeId="0" xr:uid="{00000000-0006-0000-1F00-000007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redujo $2.000,00 a DBUAC en reunión de seguimiento y en virtud de oficio Nro. MEF-SP-2023-0501 para atender Memo Nro. 0399 de DADM.
</t>
        </r>
      </text>
    </comment>
    <comment ref="F46" authorId="1" shapeId="0" xr:uid="{00000000-0006-0000-1F00-00000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$ 28.000,00 por adquisición de SIMCARD DBU, contrato que ya estaba en el POA.
</t>
        </r>
        <r>
          <rPr>
            <sz val="9"/>
            <color rgb="FF000000"/>
            <rFont val="Tahoma"/>
            <family val="2"/>
          </rPr>
          <t xml:space="preserve">
</t>
        </r>
        <r>
          <rPr>
            <sz val="9"/>
            <color rgb="FF000000"/>
            <rFont val="Tahoma"/>
            <family val="2"/>
          </rPr>
          <t>Se redujo $ 14.000,00 para cubrir liquidaciones por juicios en la partida N</t>
        </r>
        <r>
          <rPr>
            <sz val="9"/>
            <color rgb="FF000000"/>
            <rFont val="Tahoma"/>
            <family val="2"/>
          </rPr>
          <t>°</t>
        </r>
        <r>
          <rPr>
            <sz val="9"/>
            <color rgb="FF000000"/>
            <rFont val="Tahoma"/>
            <family val="2"/>
          </rPr>
          <t xml:space="preserve"> 990101 0701 003 en el programa 82</t>
        </r>
      </text>
    </comment>
    <comment ref="E47" authorId="0" shapeId="0" xr:uid="{00000000-0006-0000-1F00-000009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F47" authorId="1" shapeId="0" xr:uid="{00000000-0006-0000-1F00-00000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$ 1.000,00 para cubrir liquidaciones por juicios en la partida N</t>
        </r>
        <r>
          <rPr>
            <sz val="9"/>
            <color rgb="FF000000"/>
            <rFont val="Tahoma"/>
            <family val="2"/>
          </rPr>
          <t>°</t>
        </r>
        <r>
          <rPr>
            <sz val="9"/>
            <color rgb="FF000000"/>
            <rFont val="Tahoma"/>
            <family val="2"/>
          </rPr>
          <t xml:space="preserve"> 990101 0701 003 en el programa 82</t>
        </r>
      </text>
    </comment>
    <comment ref="E48" authorId="2" shapeId="0" xr:uid="{00000000-0006-0000-1F00-00000B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$2.509,82 por cuadre de fuente de 003 a fuente 002</t>
        </r>
      </text>
    </comment>
    <comment ref="F49" authorId="2" shapeId="0" xr:uid="{00000000-0006-0000-1F00-00000C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$2.564,80 por cuadre de fuente de 003 a fuente 002</t>
        </r>
      </text>
    </comment>
    <comment ref="E50" authorId="1" shapeId="0" xr:uid="{00000000-0006-0000-1F00-00000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text>
    </comment>
    <comment ref="E51" authorId="0" shapeId="0" xr:uid="{00000000-0006-0000-1F00-00000E000000}">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$ 26.320,00+3.139,70, según memo N</t>
        </r>
        <r>
          <rPr>
            <sz val="9"/>
            <color rgb="FF000000"/>
            <rFont val="Tahoma"/>
            <family val="34"/>
          </rPr>
          <t>°</t>
        </r>
        <r>
          <rPr>
            <sz val="9"/>
            <color rgb="FF000000"/>
            <rFont val="Tahoma"/>
            <family val="34"/>
          </rPr>
          <t xml:space="preserve"> DBUAC-2023-0124-M_03032023, reducción de (13.160,00-200) a DBUAC por atención de Memo N 0399 de DADM y en virtud del seguimiento 
</t>
        </r>
        <r>
          <rPr>
            <sz val="9"/>
            <color rgb="FF000000"/>
            <rFont val="Tahoma"/>
            <family val="34"/>
          </rPr>
          <t xml:space="preserve">
</t>
        </r>
        <r>
          <rPr>
            <sz val="9"/>
            <color rgb="FF000000"/>
            <rFont val="Tahoma"/>
            <family val="34"/>
          </rPr>
          <t>-Se incrementó $ 100,00 según memo N</t>
        </r>
        <r>
          <rPr>
            <sz val="9"/>
            <color rgb="FF000000"/>
            <rFont val="Tahoma"/>
            <family val="34"/>
          </rPr>
          <t>°</t>
        </r>
        <r>
          <rPr>
            <sz val="9"/>
            <color rgb="FF000000"/>
            <rFont val="Tahoma"/>
            <family val="34"/>
          </rPr>
          <t xml:space="preserve"> DADM-2023-0335-M_16052023
</t>
        </r>
        <r>
          <rPr>
            <sz val="9"/>
            <color rgb="FF000000"/>
            <rFont val="Tahoma"/>
            <family val="34"/>
          </rPr>
          <t xml:space="preserve">
</t>
        </r>
        <r>
          <rPr>
            <sz val="9"/>
            <color rgb="FF000000"/>
            <rFont val="Tahoma"/>
            <family val="34"/>
          </rPr>
          <t>-Se incrementó $3.144,06 según memo Nro DF-UT-2023-0116-M_10042023</t>
        </r>
      </text>
    </comment>
    <comment ref="F51" authorId="2" shapeId="0" xr:uid="{00000000-0006-0000-1F00-00000F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reduce $234,08 por memo VADM 382</t>
        </r>
      </text>
    </comment>
    <comment ref="E52" authorId="2" shapeId="0" xr:uid="{00000000-0006-0000-1F00-000010000000}">
      <text>
        <r>
          <rPr>
            <b/>
            <sz val="10"/>
            <color rgb="FF000000"/>
            <rFont val="Tahoma"/>
            <family val="2"/>
          </rPr>
          <t>Valeria Ramon Capa:</t>
        </r>
        <r>
          <rPr>
            <sz val="10"/>
            <color rgb="FF000000"/>
            <rFont val="Tahoma"/>
            <family val="2"/>
          </rPr>
          <t xml:space="preserve">
</t>
        </r>
        <r>
          <rPr>
            <sz val="10"/>
            <color rgb="FF000000"/>
            <rFont val="Courier"/>
            <family val="1"/>
          </rPr>
          <t xml:space="preserve">Reforma N 3:
</t>
        </r>
        <r>
          <rPr>
            <sz val="10"/>
            <color rgb="FF000000"/>
            <rFont val="Courier"/>
            <family val="1"/>
          </rPr>
          <t>Se incrementó $34.000 por cambio de fuente de 003 a 002 en DirCom</t>
        </r>
      </text>
    </comment>
    <comment ref="F53" authorId="2" shapeId="0" xr:uid="{00000000-0006-0000-1F00-000011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reduce $11.920,00 a DirCom por seguimiento y en virtud de oficio Nro. MEF-SP-2023-0501 para atender Memo Nro. 0399 de DADM.
</t>
        </r>
        <r>
          <rPr>
            <sz val="9"/>
            <color rgb="FF000000"/>
            <rFont val="Tahoma"/>
            <family val="2"/>
          </rPr>
          <t xml:space="preserve">
</t>
        </r>
        <r>
          <rPr>
            <sz val="9"/>
            <color rgb="FF000000"/>
            <rFont val="Tahoma"/>
            <family val="2"/>
          </rPr>
          <t>Se reduce $34000 por cambio de fuente a 002</t>
        </r>
      </text>
    </comment>
    <comment ref="E54" authorId="1" shapeId="0" xr:uid="{00000000-0006-0000-1F00-00001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$ 194.032,61, según Oficio N</t>
        </r>
        <r>
          <rPr>
            <sz val="9"/>
            <color rgb="FF000000"/>
            <rFont val="Tahoma"/>
            <family val="2"/>
          </rPr>
          <t>°</t>
        </r>
        <r>
          <rPr>
            <sz val="9"/>
            <color rgb="FF000000"/>
            <rFont val="Tahoma"/>
            <family val="2"/>
          </rPr>
          <t xml:space="preserve"> UTMACH-DADM-2023-0016-OF del 10/01/2023
</t>
        </r>
        <r>
          <rPr>
            <sz val="9"/>
            <color rgb="FF000000"/>
            <rFont val="Tahoma"/>
            <family val="2"/>
          </rPr>
          <t xml:space="preserve">
</t>
        </r>
        <r>
          <rPr>
            <b/>
            <sz val="9"/>
            <color rgb="FF000000"/>
            <rFont val="Tahoma"/>
            <family val="2"/>
          </rPr>
          <t xml:space="preserve">Reforma N 3: 
</t>
        </r>
        <r>
          <rPr>
            <sz val="9"/>
            <color rgb="FF000000"/>
            <rFont val="Tahoma"/>
            <family val="2"/>
          </rPr>
          <t>Se incrementó $190.089,58 según memo N</t>
        </r>
        <r>
          <rPr>
            <sz val="9"/>
            <color rgb="FF000000"/>
            <rFont val="Tahoma"/>
            <family val="2"/>
          </rPr>
          <t>°</t>
        </r>
        <r>
          <rPr>
            <sz val="9"/>
            <color rgb="FF000000"/>
            <rFont val="Tahoma"/>
            <family val="2"/>
          </rPr>
          <t xml:space="preserve"> VADM 382</t>
        </r>
      </text>
    </comment>
    <comment ref="F54" authorId="2" shapeId="0" xr:uid="{00000000-0006-0000-1F00-000013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$6.000,00 a Dadm por cuadre de fuentes</t>
        </r>
      </text>
    </comment>
    <comment ref="E55" authorId="1" shapeId="0" xr:uid="{00000000-0006-0000-1F00-00001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$ 29.226,24, según Memorando N</t>
        </r>
        <r>
          <rPr>
            <sz val="9"/>
            <color rgb="FF000000"/>
            <rFont val="Tahoma"/>
            <family val="2"/>
          </rPr>
          <t>°</t>
        </r>
        <r>
          <rPr>
            <sz val="9"/>
            <color rgb="FF000000"/>
            <rFont val="Tahoma"/>
            <family val="2"/>
          </rPr>
          <t xml:space="preserve"> UTMACH-DBUAC-2023-0012-M del 12/01/2023. </t>
        </r>
      </text>
    </comment>
    <comment ref="F55" authorId="2" shapeId="0" xr:uid="{00000000-0006-0000-1F00-000015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redujo $8.780,04 a DBUAC en reunión de seguimiento y en virtud de oficio Nro. MEF-SP-2023-0501 para atender Memo Nro. 0399 de DADM.</t>
        </r>
      </text>
    </comment>
    <comment ref="F56" authorId="1" shapeId="0" xr:uid="{00000000-0006-0000-1F00-00001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$ 10.080,00 para pasar a Costas Judiciales</t>
        </r>
      </text>
    </comment>
    <comment ref="E58" authorId="1" shapeId="0" xr:uid="{00000000-0006-0000-1F00-00001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$ 37.040,00 por separación de partidas. Dir. Administrativa.</t>
        </r>
      </text>
    </comment>
    <comment ref="E59" authorId="0" shapeId="0" xr:uid="{00000000-0006-0000-1F00-000018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Se incrementó $ 6.000,00 según memo N</t>
        </r>
        <r>
          <rPr>
            <sz val="9"/>
            <color rgb="FF000000"/>
            <rFont val="Tahoma"/>
            <family val="2"/>
          </rPr>
          <t>°</t>
        </r>
        <r>
          <rPr>
            <sz val="9"/>
            <color rgb="FF000000"/>
            <rFont val="Tahoma"/>
            <family val="2"/>
          </rPr>
          <t xml:space="preserve"> DADM-2023-0364-M_24052023</t>
        </r>
      </text>
    </comment>
    <comment ref="E60" authorId="0" shapeId="0" xr:uid="{00000000-0006-0000-1F00-000019000000}">
      <text>
        <r>
          <rPr>
            <b/>
            <sz val="9"/>
            <color rgb="FF000000"/>
            <rFont val="Tahoma"/>
            <family val="2"/>
          </rPr>
          <t>LENOVO:</t>
        </r>
        <r>
          <rPr>
            <sz val="9"/>
            <color rgb="FF000000"/>
            <rFont val="Tahoma"/>
            <family val="2"/>
          </rPr>
          <t xml:space="preserve">
</t>
        </r>
        <r>
          <rPr>
            <sz val="9"/>
            <color rgb="FF000000"/>
            <rFont val="Tahoma"/>
            <family val="2"/>
          </rPr>
          <t>Se incrementó $ 4.000,00 según memo N</t>
        </r>
        <r>
          <rPr>
            <sz val="9"/>
            <color rgb="FF000000"/>
            <rFont val="Tahoma"/>
            <family val="2"/>
          </rPr>
          <t>°</t>
        </r>
        <r>
          <rPr>
            <sz val="9"/>
            <color rgb="FF000000"/>
            <rFont val="Tahoma"/>
            <family val="2"/>
          </rPr>
          <t xml:space="preserve"> DADM-2023-0364-M_24052023</t>
        </r>
      </text>
    </comment>
    <comment ref="E61" authorId="0" shapeId="0" xr:uid="{00000000-0006-0000-1F00-00001A000000}">
      <text>
        <r>
          <rPr>
            <b/>
            <sz val="9"/>
            <color rgb="FF000000"/>
            <rFont val="Tahoma"/>
            <family val="2"/>
          </rPr>
          <t>LENOVO:</t>
        </r>
        <r>
          <rPr>
            <sz val="9"/>
            <color rgb="FF000000"/>
            <rFont val="Tahoma"/>
            <family val="2"/>
          </rPr>
          <t xml:space="preserve">
</t>
        </r>
        <r>
          <rPr>
            <sz val="9"/>
            <color rgb="FF000000"/>
            <rFont val="Tahoma"/>
            <family val="2"/>
          </rPr>
          <t>Se incrementó $ 10.000,00 según memo N</t>
        </r>
        <r>
          <rPr>
            <sz val="9"/>
            <color rgb="FF000000"/>
            <rFont val="Tahoma"/>
            <family val="2"/>
          </rPr>
          <t>°</t>
        </r>
        <r>
          <rPr>
            <sz val="9"/>
            <color rgb="FF000000"/>
            <rFont val="Tahoma"/>
            <family val="2"/>
          </rPr>
          <t xml:space="preserve"> DADM-2023-0364-M_24052023</t>
        </r>
      </text>
    </comment>
    <comment ref="E63" authorId="2" shapeId="0" xr:uid="{00000000-0006-0000-1F00-00001B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
</t>
        </r>
        <r>
          <rPr>
            <sz val="10"/>
            <color rgb="FF000000"/>
            <rFont val="Tahoma"/>
            <family val="2"/>
          </rPr>
          <t xml:space="preserve">Se incrementó $8.801,91 </t>
        </r>
        <r>
          <rPr>
            <sz val="10"/>
            <color rgb="FF000000"/>
            <rFont val="Courier"/>
            <family val="1"/>
          </rPr>
          <t xml:space="preserve">por atención de Memo N UTMACH-DAC-2023-0133-M </t>
        </r>
      </text>
    </comment>
    <comment ref="E64" authorId="2" shapeId="0" xr:uid="{00000000-0006-0000-1F00-00001C000000}">
      <text>
        <r>
          <rPr>
            <b/>
            <sz val="8"/>
            <color rgb="FF000000"/>
            <rFont val="Tahoma"/>
            <family val="2"/>
          </rPr>
          <t>Valeria Ramon Capa:</t>
        </r>
        <r>
          <rPr>
            <sz val="8"/>
            <color rgb="FF000000"/>
            <rFont val="Tahoma"/>
            <family val="2"/>
          </rPr>
          <t xml:space="preserve">
</t>
        </r>
        <r>
          <rPr>
            <b/>
            <sz val="9"/>
            <color rgb="FF000000"/>
            <rFont val="Courier"/>
            <family val="1"/>
          </rPr>
          <t xml:space="preserve">    
</t>
        </r>
        <r>
          <rPr>
            <b/>
            <sz val="9"/>
            <color rgb="FF000000"/>
            <rFont val="Tahoma"/>
            <family val="34"/>
          </rPr>
          <t>Reforma N</t>
        </r>
        <r>
          <rPr>
            <b/>
            <sz val="9"/>
            <color rgb="FF000000"/>
            <rFont val="Tahoma"/>
            <family val="34"/>
          </rPr>
          <t>°</t>
        </r>
        <r>
          <rPr>
            <b/>
            <sz val="9"/>
            <color rgb="FF000000"/>
            <rFont val="Tahoma"/>
            <family val="34"/>
          </rPr>
          <t xml:space="preserve"> 3:
</t>
        </r>
        <r>
          <rPr>
            <sz val="9"/>
            <color rgb="FF000000"/>
            <rFont val="Tahoma"/>
            <family val="34"/>
          </rPr>
          <t>Se incrementó $ 4.879,98 según memos N</t>
        </r>
        <r>
          <rPr>
            <sz val="9"/>
            <color rgb="FF000000"/>
            <rFont val="Tahoma"/>
            <family val="34"/>
          </rPr>
          <t>°</t>
        </r>
        <r>
          <rPr>
            <sz val="9"/>
            <color rgb="FF000000"/>
            <rFont val="Tahoma"/>
            <family val="34"/>
          </rPr>
          <t xml:space="preserve">  CGR-2023-0165-M y N</t>
        </r>
        <r>
          <rPr>
            <sz val="9"/>
            <color rgb="FF000000"/>
            <rFont val="Tahoma"/>
            <family val="34"/>
          </rPr>
          <t>°</t>
        </r>
        <r>
          <rPr>
            <sz val="9"/>
            <color rgb="FF000000"/>
            <rFont val="Tahoma"/>
            <family val="34"/>
          </rPr>
          <t xml:space="preserve">  R-2023-0255-M </t>
        </r>
      </text>
    </comment>
    <comment ref="E65" authorId="2" shapeId="0" xr:uid="{00000000-0006-0000-1F00-00001D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2"/>
          </rPr>
          <t>Solicitud de incremento de $2000 TICS y en reunión mantenida con TICS indicaron ya no tener necesidad</t>
        </r>
      </text>
    </comment>
    <comment ref="E66" authorId="1" shapeId="0" xr:uid="{00000000-0006-0000-1F00-00001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$ 78.060,00 Dir. Administrativa que pasó de fuente 3 a fuente 2
</t>
        </r>
        <r>
          <rPr>
            <sz val="9"/>
            <color rgb="FF000000"/>
            <rFont val="Tahoma"/>
            <family val="2"/>
          </rPr>
          <t xml:space="preserve">
</t>
        </r>
        <r>
          <rPr>
            <sz val="9"/>
            <color rgb="FF000000"/>
            <rFont val="Tahoma"/>
            <family val="2"/>
          </rPr>
          <t xml:space="preserve">Reforma N 3:
</t>
        </r>
        <r>
          <rPr>
            <sz val="9"/>
            <color rgb="FF000000"/>
            <rFont val="Tahoma"/>
            <family val="2"/>
          </rPr>
          <t>Se incrementó $581,76 Dir.adm por cuadre de fuente</t>
        </r>
      </text>
    </comment>
    <comment ref="E67" authorId="1" shapeId="0" xr:uid="{00000000-0006-0000-1F00-00001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Se incrementó $ 1.550,00,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Se incrementó $ 5.000,00 para adecuación de la DPLAN.
</t>
        </r>
        <r>
          <rPr>
            <sz val="9"/>
            <color rgb="FF000000"/>
            <rFont val="Tahoma"/>
            <family val="2"/>
          </rPr>
          <t xml:space="preserve">
</t>
        </r>
        <r>
          <rPr>
            <sz val="9"/>
            <color rgb="FF000000"/>
            <rFont val="Tahoma"/>
            <family val="2"/>
          </rPr>
          <t xml:space="preserve">Se incrementó $ 56.000,00+219200,27 para adecuaciones y reparación de infraestructura y seguridad de ingresos peatonales y vehiculares. Vic. Administrativo. Vic. Administrativo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sz val="9"/>
            <color rgb="FF000000"/>
            <rFont val="Tahoma"/>
            <family val="2"/>
          </rPr>
          <t xml:space="preserve">Se incremento $1.500,00 según memo N UTMACH-DPLAN-UPES -2023- 014M </t>
        </r>
      </text>
    </comment>
    <comment ref="F67" authorId="1" shapeId="0" xr:uid="{00000000-0006-0000-1F00-000020000000}">
      <text>
        <r>
          <rPr>
            <b/>
            <sz val="8"/>
            <color rgb="FF000000"/>
            <rFont val="Tahoma"/>
            <family val="34"/>
          </rPr>
          <t>HP:</t>
        </r>
        <r>
          <rPr>
            <sz val="8"/>
            <color rgb="FF000000"/>
            <rFont val="Tahoma"/>
            <family val="34"/>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redujo $ 18.037,80 Rectorado
</t>
        </r>
        <r>
          <rPr>
            <sz val="8"/>
            <color rgb="FF000000"/>
            <rFont val="Tahoma"/>
            <family val="34"/>
          </rPr>
          <t xml:space="preserve">Se redujo $ 110.026,38 Vic. Académico
</t>
        </r>
        <r>
          <rPr>
            <sz val="8"/>
            <color rgb="FF000000"/>
            <rFont val="Tahoma"/>
            <family val="34"/>
          </rPr>
          <t xml:space="preserve">Se redujo $ 78.060,00 Dir. Administrativa que pasó a fuente 2
</t>
        </r>
        <r>
          <rPr>
            <sz val="8"/>
            <color rgb="FF000000"/>
            <rFont val="Tahoma"/>
            <family val="34"/>
          </rPr>
          <t xml:space="preserve">
</t>
        </r>
        <r>
          <rPr>
            <b/>
            <sz val="8"/>
            <color rgb="FF000000"/>
            <rFont val="Tahoma"/>
            <family val="34"/>
          </rPr>
          <t xml:space="preserve">Reforma N 3: 
</t>
        </r>
        <r>
          <rPr>
            <sz val="8"/>
            <color rgb="FF000000"/>
            <rFont val="Tahoma"/>
            <family val="34"/>
          </rPr>
          <t xml:space="preserve">- Se redujo $165.173,78 según memo N  VADM 382.
</t>
        </r>
        <r>
          <rPr>
            <sz val="8"/>
            <color rgb="FF000000"/>
            <rFont val="Tahoma"/>
            <family val="34"/>
          </rPr>
          <t xml:space="preserve">- 06/06 se redujo $ 2.240 según reunión mantenida con TICS y en virtud de oficio Nro. MEF-SP-2023-0501 para atender Memo Nro.0399 de DADM.
</t>
        </r>
        <r>
          <rPr>
            <sz val="8"/>
            <color rgb="FF000000"/>
            <rFont val="Tahoma"/>
            <family val="34"/>
          </rPr>
          <t>-Se redujo $ 6.720,11 por cambio de fuente de DAC</t>
        </r>
      </text>
    </comment>
    <comment ref="E68" authorId="3" shapeId="0" xr:uid="{00000000-0006-0000-1F00-00002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$ 15.000,00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$ 340,00 según memo N</t>
        </r>
        <r>
          <rPr>
            <sz val="9"/>
            <color rgb="FF000000"/>
            <rFont val="Tahoma"/>
            <family val="2"/>
          </rPr>
          <t>°</t>
        </r>
        <r>
          <rPr>
            <sz val="9"/>
            <color rgb="FF000000"/>
            <rFont val="Tahoma"/>
            <family val="2"/>
          </rPr>
          <t xml:space="preserve"> UTMACH-DADM-2023-0335-M_16052023</t>
        </r>
      </text>
    </comment>
    <comment ref="E69" authorId="1" shapeId="0" xr:uid="{00000000-0006-0000-1F00-00002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solo $ 7.000,00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UTMACH-DADM-2023-0335-M_16052023</t>
        </r>
      </text>
    </comment>
    <comment ref="F69" authorId="1" shapeId="0" xr:uid="{00000000-0006-0000-1F00-00002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$ 92.610,11 para pasar a la partida N</t>
        </r>
        <r>
          <rPr>
            <sz val="9"/>
            <color rgb="FF000000"/>
            <rFont val="Tahoma"/>
            <family val="2"/>
          </rPr>
          <t>°</t>
        </r>
        <r>
          <rPr>
            <sz val="9"/>
            <color rgb="FF000000"/>
            <rFont val="Tahoma"/>
            <family val="2"/>
          </rPr>
          <t xml:space="preserve"> 990101 0701 003 Obligaciones de Ejercicios Anteriores en Personal en el prog. 01 y 82</t>
        </r>
      </text>
    </comment>
    <comment ref="E70" authorId="1" shapeId="0" xr:uid="{00000000-0006-0000-1F00-00002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$ 2.124,58 mantenimiento de vehículo KIA KMOTOR Dir Adm
</t>
        </r>
        <r>
          <rPr>
            <sz val="9"/>
            <color rgb="FF000000"/>
            <rFont val="Tahoma"/>
            <family val="2"/>
          </rPr>
          <t>$ 3.984,61 mantenimiento de vehículos GUALPA RAMIREZ Dir Adm</t>
        </r>
      </text>
    </comment>
    <comment ref="F71" authorId="2" shapeId="0" xr:uid="{00000000-0006-0000-1F00-000025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$3097,14 a Dadm por cuadre de fuente</t>
        </r>
      </text>
    </comment>
    <comment ref="E72" authorId="3" shapeId="0" xr:uid="{00000000-0006-0000-1F00-000026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E73" authorId="2" shapeId="0" xr:uid="{00000000-0006-0000-1F00-000027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
</t>
        </r>
        <r>
          <rPr>
            <sz val="10"/>
            <color rgb="FF000000"/>
            <rFont val="Tahoma"/>
            <family val="2"/>
          </rPr>
          <t>Se incrementó  $17.474,61 para estudio de obra de infraestructura conforme reunión de seguimiento con Rectorado</t>
        </r>
      </text>
    </comment>
    <comment ref="F74" authorId="1" shapeId="0" xr:uid="{00000000-0006-0000-1F00-00002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E75" authorId="2" shapeId="0" xr:uid="{00000000-0006-0000-1F00-000029000000}">
      <text>
        <r>
          <rPr>
            <b/>
            <sz val="9"/>
            <color rgb="FF000000"/>
            <rFont val="Tahoma"/>
            <family val="2"/>
          </rPr>
          <t>Valeria Ramon Capa:</t>
        </r>
        <r>
          <rPr>
            <sz val="9"/>
            <color rgb="FF000000"/>
            <rFont val="Tahoma"/>
            <family val="2"/>
          </rPr>
          <t xml:space="preserve">
</t>
        </r>
        <r>
          <rPr>
            <sz val="10"/>
            <color rgb="FF000000"/>
            <rFont val="Tahoma"/>
            <family val="2"/>
          </rPr>
          <t xml:space="preserve">Reforma 3: 
</t>
        </r>
        <r>
          <rPr>
            <sz val="10"/>
            <color rgb="FF000000"/>
            <rFont val="Tahoma"/>
            <family val="2"/>
          </rPr>
          <t>Se incrementó $7056 según Memo N CGR-2023-0180-M</t>
        </r>
      </text>
    </comment>
    <comment ref="F76" authorId="2" shapeId="0" xr:uid="{00000000-0006-0000-1F00-00002A000000}">
      <text>
        <r>
          <rPr>
            <b/>
            <sz val="10"/>
            <color rgb="FF000000"/>
            <rFont val="Tahoma"/>
            <family val="2"/>
          </rPr>
          <t xml:space="preserve">Valeria Ramon Capa:
</t>
        </r>
        <r>
          <rPr>
            <sz val="9"/>
            <color rgb="FF000000"/>
            <rFont val="Tahoma"/>
            <family val="34"/>
          </rPr>
          <t xml:space="preserve">Reforma 3:
</t>
        </r>
        <r>
          <rPr>
            <sz val="9"/>
            <color rgb="FF000000"/>
            <rFont val="Tahoma"/>
            <family val="34"/>
          </rPr>
          <t>Se reduce $30.016,00 a Secretaría General por seguimiento y en virtud de oficio Nro. MEF-SP-2023-0501 para atender Memo Nro. 0399 de DADM.</t>
        </r>
      </text>
    </comment>
    <comment ref="F77" authorId="3" shapeId="0" xr:uid="{00000000-0006-0000-1F00-00002B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$ 284.523,80 conforme archivo POA 2023.
</t>
        </r>
        <r>
          <rPr>
            <b/>
            <sz val="9"/>
            <color rgb="FF000000"/>
            <rFont val="Tahoma"/>
            <family val="2"/>
          </rPr>
          <t xml:space="preserve">Reforma N 3:
</t>
        </r>
        <r>
          <rPr>
            <sz val="9"/>
            <color rgb="FF000000"/>
            <rFont val="Tahoma"/>
            <family val="2"/>
          </rPr>
          <t>Se redujo $3.848,46, no se encuentra asignado en POA</t>
        </r>
      </text>
    </comment>
    <comment ref="E78" authorId="3" shapeId="0" xr:uid="{00000000-0006-0000-1F00-00002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$ 12.060,16 según memo N</t>
        </r>
        <r>
          <rPr>
            <sz val="9"/>
            <color rgb="FF000000"/>
            <rFont val="Tahoma"/>
            <family val="2"/>
          </rPr>
          <t>°</t>
        </r>
        <r>
          <rPr>
            <sz val="9"/>
            <color rgb="FF000000"/>
            <rFont val="Tahoma"/>
            <family val="2"/>
          </rPr>
          <t xml:space="preserve"> DTIC-2023-0088-M_04052023</t>
        </r>
      </text>
    </comment>
    <comment ref="E79" authorId="2" shapeId="0" xr:uid="{00000000-0006-0000-1F00-00002D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10"/>
            <color rgb="FF000000"/>
            <rFont val="Tahoma"/>
            <family val="2"/>
          </rPr>
          <t>Se incrementó $6.000 por atención a memo nro 0764 DTH</t>
        </r>
      </text>
    </comment>
    <comment ref="F79" authorId="1" shapeId="0" xr:uid="{00000000-0006-0000-1F00-00002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$ 90.884,73, se sacó del POA 2023 de la DTH ítem Para sumar a la partida 580209 "A Jubilados Patronales"</t>
        </r>
      </text>
    </comment>
    <comment ref="F80" authorId="0" shapeId="0" xr:uid="{00000000-0006-0000-1F00-00002F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E81" authorId="0" shapeId="0" xr:uid="{00000000-0006-0000-1F00-000030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E82" authorId="1" shapeId="0" xr:uid="{00000000-0006-0000-1F00-00003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 </t>
        </r>
      </text>
    </comment>
    <comment ref="E83" authorId="2" shapeId="0" xr:uid="{00000000-0006-0000-1F00-000032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$8.000 en virtud de memo nro 0764 DTH</t>
        </r>
      </text>
    </comment>
    <comment ref="F84" authorId="1" shapeId="0" xr:uid="{00000000-0006-0000-1F00-00003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$ 37.040,00 para pasar a la partida de combustible. Dir. Administrativa.</t>
        </r>
      </text>
    </comment>
    <comment ref="E85" authorId="3" shapeId="0" xr:uid="{00000000-0006-0000-1F00-000034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 según memo N</t>
        </r>
        <r>
          <rPr>
            <sz val="9"/>
            <color rgb="FF000000"/>
            <rFont val="Tahoma"/>
            <family val="2"/>
          </rPr>
          <t>°</t>
        </r>
        <r>
          <rPr>
            <sz val="9"/>
            <color rgb="FF000000"/>
            <rFont val="Tahoma"/>
            <family val="2"/>
          </rPr>
          <t xml:space="preserve"> DTIC-2023-0088-M_04052023</t>
        </r>
      </text>
    </comment>
    <comment ref="E86" authorId="1" shapeId="0" xr:uid="{00000000-0006-0000-1F00-00003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rincrementó 16.800,00 Dir Adm
</t>
        </r>
        <r>
          <rPr>
            <sz val="9"/>
            <color rgb="FF000000"/>
            <rFont val="Tahoma"/>
            <family val="2"/>
          </rPr>
          <t>77,28 DAC que pasó de fuente 3 a fuente 2</t>
        </r>
      </text>
    </comment>
    <comment ref="F86" authorId="0" shapeId="0" xr:uid="{00000000-0006-0000-1F00-000036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$ 61,09 en Dir. Administrativa</t>
        </r>
      </text>
    </comment>
    <comment ref="F87" authorId="1" shapeId="0" xr:uid="{00000000-0006-0000-1F00-00003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16.800,00 Dir Adm
</t>
        </r>
        <r>
          <rPr>
            <sz val="9"/>
            <color rgb="FF000000"/>
            <rFont val="Tahoma"/>
            <family val="2"/>
          </rPr>
          <t>77,28 DAC que pasan a fuente 2</t>
        </r>
      </text>
    </comment>
    <comment ref="E88" authorId="2" shapeId="0" xr:uid="{00000000-0006-0000-1F00-000038000000}">
      <text>
        <r>
          <rPr>
            <b/>
            <sz val="7"/>
            <color rgb="FF000000"/>
            <rFont val="Tahoma"/>
            <family val="2"/>
          </rPr>
          <t>Valeria Ramon Capa:</t>
        </r>
        <r>
          <rPr>
            <sz val="7"/>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$ 250,00 según memo N</t>
        </r>
        <r>
          <rPr>
            <sz val="9"/>
            <color rgb="FF000000"/>
            <rFont val="Tahoma"/>
            <family val="34"/>
          </rPr>
          <t>°</t>
        </r>
        <r>
          <rPr>
            <sz val="9"/>
            <color rgb="FF000000"/>
            <rFont val="Tahoma"/>
            <family val="34"/>
          </rPr>
          <t xml:space="preserve"> DADM-2023-0335-M_16052023
</t>
        </r>
      </text>
    </comment>
    <comment ref="F89" authorId="1" shapeId="0" xr:uid="{00000000-0006-0000-1F00-00003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$ 10.000,00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$ 26.320,00, según memo N</t>
        </r>
        <r>
          <rPr>
            <sz val="9"/>
            <color rgb="FF000000"/>
            <rFont val="Tahoma"/>
            <family val="2"/>
          </rPr>
          <t>°</t>
        </r>
        <r>
          <rPr>
            <sz val="9"/>
            <color rgb="FF000000"/>
            <rFont val="Tahoma"/>
            <family val="2"/>
          </rPr>
          <t xml:space="preserve"> DBUAC-2023-0124-M_03032023</t>
        </r>
      </text>
    </comment>
    <comment ref="F90" authorId="2" shapeId="0" xr:uid="{00000000-0006-0000-1F00-00003A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Reducción de $7.000 a DTH por memo nro 0764_06062023</t>
        </r>
      </text>
    </comment>
    <comment ref="E91" authorId="3" shapeId="0" xr:uid="{00000000-0006-0000-1F00-00003B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$ 600,00 según memo N</t>
        </r>
        <r>
          <rPr>
            <sz val="9"/>
            <color rgb="FF000000"/>
            <rFont val="Tahoma"/>
            <family val="2"/>
          </rPr>
          <t>°</t>
        </r>
        <r>
          <rPr>
            <sz val="9"/>
            <color rgb="FF000000"/>
            <rFont val="Tahoma"/>
            <family val="2"/>
          </rPr>
          <t xml:space="preserve"> DTIC-2023-0088-M_04052023</t>
        </r>
      </text>
    </comment>
    <comment ref="E92" authorId="1" shapeId="0" xr:uid="{00000000-0006-0000-1F00-00003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t>
        </r>
      </text>
    </comment>
    <comment ref="E93" authorId="1" shapeId="0" xr:uid="{00000000-0006-0000-1F00-00003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$ 1.333,44, según Memorando N</t>
        </r>
        <r>
          <rPr>
            <sz val="9"/>
            <color rgb="FF000000"/>
            <rFont val="Tahoma"/>
            <family val="2"/>
          </rPr>
          <t>°</t>
        </r>
        <r>
          <rPr>
            <sz val="9"/>
            <color rgb="FF000000"/>
            <rFont val="Tahoma"/>
            <family val="2"/>
          </rPr>
          <t xml:space="preserve"> UTMACH-DBUAC-2023-0012-M del 12/01/2023. </t>
        </r>
      </text>
    </comment>
    <comment ref="E94" authorId="3" shapeId="0" xr:uid="{00000000-0006-0000-1F00-00003E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$ 10.197,60 según memo N</t>
        </r>
        <r>
          <rPr>
            <sz val="9"/>
            <color rgb="FF000000"/>
            <rFont val="Tahoma"/>
            <family val="2"/>
          </rPr>
          <t>°</t>
        </r>
        <r>
          <rPr>
            <sz val="9"/>
            <color rgb="FF000000"/>
            <rFont val="Tahoma"/>
            <family val="2"/>
          </rPr>
          <t xml:space="preserve"> DTIC-2023-0088-M_04052023
</t>
        </r>
      </text>
    </comment>
    <comment ref="E95" authorId="0" shapeId="0" xr:uid="{00000000-0006-0000-1F00-00003F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 según memo N</t>
        </r>
        <r>
          <rPr>
            <sz val="9"/>
            <color rgb="FF000000"/>
            <rFont val="Tahoma"/>
            <family val="2"/>
          </rPr>
          <t>°</t>
        </r>
        <r>
          <rPr>
            <sz val="9"/>
            <color rgb="FF000000"/>
            <rFont val="Tahoma"/>
            <family val="2"/>
          </rPr>
          <t xml:space="preserve"> DADM-2023-0335-M_16052023</t>
        </r>
      </text>
    </comment>
    <comment ref="E96" authorId="0" shapeId="0" xr:uid="{00000000-0006-0000-1F00-000040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 según memo N</t>
        </r>
        <r>
          <rPr>
            <sz val="9"/>
            <color rgb="FF000000"/>
            <rFont val="Tahoma"/>
            <family val="2"/>
          </rPr>
          <t>°</t>
        </r>
        <r>
          <rPr>
            <sz val="9"/>
            <color rgb="FF000000"/>
            <rFont val="Tahoma"/>
            <family val="2"/>
          </rPr>
          <t xml:space="preserve"> DADM-2023-0335-M_16052023</t>
        </r>
      </text>
    </comment>
    <comment ref="E97" authorId="1" shapeId="0" xr:uid="{00000000-0006-0000-1F00-00004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 xml:space="preserve">Se incrementó $2.000 a DTH por memo nro 0764_06062023
</t>
        </r>
      </text>
    </comment>
    <comment ref="E98" authorId="1" shapeId="0" xr:uid="{00000000-0006-0000-1F00-00004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Se incrementó $5.000,00 a DTH por memo nro 0764_06062023</t>
        </r>
      </text>
    </comment>
    <comment ref="F99" authorId="1" shapeId="0" xr:uid="{00000000-0006-0000-1F00-00004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2.340,60</t>
        </r>
      </text>
    </comment>
    <comment ref="F100" authorId="1" shapeId="0" xr:uid="{00000000-0006-0000-1F00-00004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$ 34.363,67 del POA DBU por tener los ítems con precios mayores de $ 100.00.
</t>
        </r>
        <r>
          <rPr>
            <sz val="9"/>
            <color rgb="FF000000"/>
            <rFont val="Tahoma"/>
            <family val="2"/>
          </rPr>
          <t>Se redujo $ 56.000,00 para la readecuación de las entradas de la UTMACH. Vic. Administrativo</t>
        </r>
      </text>
    </comment>
    <comment ref="F103" authorId="0" shapeId="0" xr:uid="{00000000-0006-0000-1F00-000045000000}">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redujo $ 4.457,60 a DBUAC por seguimiento y en virtud de oficio Nro. MEF-SP-2023-0501 para atender Memo Nro. 0399 de DADM.</t>
        </r>
      </text>
    </comment>
    <comment ref="F104" authorId="0" shapeId="0" xr:uid="{00000000-0006-0000-1F00-000046000000}">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Se redujo $ 3.360,00 según memo N° UTMACH-DADM-2023-0335-M_16052023, no se atendió materiales de oficina.
30/05 se redujo lo restante $ 40 por seguimiento y en virtud de oficio Nro. MEF-SP-2023-0501 para atender Memo Nro. 0399 de DADM.</t>
        </r>
      </text>
    </comment>
    <comment ref="E106" authorId="0" shapeId="0" xr:uid="{00000000-0006-0000-1F00-000047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E108" authorId="2" shapeId="0" xr:uid="{00000000-0006-0000-1F00-000048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$151.520,00 a DADM por Memo N 0399_01062023</t>
        </r>
      </text>
    </comment>
    <comment ref="E111" authorId="1" shapeId="0" xr:uid="{00000000-0006-0000-1F00-00004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$ 5.080,00 que es de la partida N</t>
        </r>
        <r>
          <rPr>
            <sz val="9"/>
            <color rgb="FF000000"/>
            <rFont val="Tahoma"/>
            <family val="2"/>
          </rPr>
          <t>°</t>
        </r>
        <r>
          <rPr>
            <sz val="9"/>
            <color rgb="FF000000"/>
            <rFont val="Tahoma"/>
            <family val="2"/>
          </rPr>
          <t xml:space="preserve"> 530239 0701 003 Membrecías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$ 170,00 según memo N</t>
        </r>
        <r>
          <rPr>
            <sz val="9"/>
            <color rgb="FF000000"/>
            <rFont val="Tahoma"/>
            <family val="2"/>
          </rPr>
          <t>°</t>
        </r>
        <r>
          <rPr>
            <sz val="9"/>
            <color rgb="FF000000"/>
            <rFont val="Tahoma"/>
            <family val="2"/>
          </rPr>
          <t xml:space="preserve"> DADM-2023-0335-M_16052023</t>
        </r>
      </text>
    </comment>
    <comment ref="F111" authorId="2" shapeId="0" xr:uid="{00000000-0006-0000-1F00-00004A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$370 a PG por cuadre de grupo 57</t>
        </r>
      </text>
    </comment>
    <comment ref="E112" authorId="1" shapeId="0" xr:uid="{00000000-0006-0000-1F00-00004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para devolución de valores a estudiantes. Dir. Financiera.</t>
        </r>
      </text>
    </comment>
    <comment ref="F114" authorId="3" shapeId="0" xr:uid="{00000000-0006-0000-1F00-00004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conforme archivo POA 2023.
</t>
        </r>
        <r>
          <rPr>
            <sz val="9"/>
            <color rgb="FF000000"/>
            <rFont val="Tahoma"/>
            <family val="2"/>
          </rPr>
          <t>Se redujo $ 137.214,99, porque se sacó del POA 2023 de la DTH ítem para sumar a esta partida 580209 "A Jubilados Patronales"</t>
        </r>
      </text>
    </comment>
    <comment ref="B115" authorId="1" shapeId="0" xr:uid="{00000000-0006-0000-1F00-00004D000000}">
      <text>
        <r>
          <rPr>
            <b/>
            <sz val="9"/>
            <color rgb="FF000000"/>
            <rFont val="Tahoma"/>
            <family val="2"/>
          </rPr>
          <t>HP:</t>
        </r>
        <r>
          <rPr>
            <sz val="9"/>
            <color rgb="FF000000"/>
            <rFont val="Tahoma"/>
            <family val="2"/>
          </rPr>
          <t xml:space="preserve">
</t>
        </r>
        <r>
          <rPr>
            <sz val="9"/>
            <color rgb="FF000000"/>
            <rFont val="Tahoma"/>
            <family val="2"/>
          </rPr>
          <t>Valores de proyectos de inversión</t>
        </r>
      </text>
    </comment>
    <comment ref="E116" authorId="1" shapeId="0" xr:uid="{00000000-0006-0000-1F00-00004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$ 423.188,30 py de jubilados que consta en la 84 en el POA 2023 de la DTH.
</t>
        </r>
        <r>
          <rPr>
            <sz val="9"/>
            <color rgb="FF000000"/>
            <rFont val="Tahoma"/>
            <family val="2"/>
          </rPr>
          <t>Se incrementó el saldo $ 18.470,34 y se lo sumó al py de jubilados DTH.</t>
        </r>
      </text>
    </comment>
    <comment ref="E117" authorId="1" shapeId="0" xr:uid="{00000000-0006-0000-1F00-00004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Servicio de seguridad privada COMUNIDAD FAMILIAR SEGURA COMFASEG Dir Administrativa</t>
        </r>
      </text>
    </comment>
    <comment ref="E118" authorId="1" shapeId="0" xr:uid="{00000000-0006-0000-1F00-00005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$ 545,00 para pago de órdenes compra de 1 archivador aéreo, 2 mesa de centro por los valores $90,00 y $396,00 sin incluir el IVA, respectivamente, según Oficio N</t>
        </r>
        <r>
          <rPr>
            <sz val="9"/>
            <color rgb="FF000000"/>
            <rFont val="Tahoma"/>
            <family val="2"/>
          </rPr>
          <t>°</t>
        </r>
        <r>
          <rPr>
            <sz val="9"/>
            <color rgb="FF000000"/>
            <rFont val="Tahoma"/>
            <family val="2"/>
          </rPr>
          <t xml:space="preserve"> UTMACH-ADM-CENTRAL-EMP-2023-0048-OF_16/01/2023.
</t>
        </r>
        <r>
          <rPr>
            <sz val="9"/>
            <color rgb="FF000000"/>
            <rFont val="Tahoma"/>
            <family val="2"/>
          </rPr>
          <t>Dir. Administrativa</t>
        </r>
      </text>
    </comment>
    <comment ref="E119" authorId="3" shapeId="0" xr:uid="{00000000-0006-0000-1F00-00005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$ 24.400,68 Dir. Administrativa
</t>
        </r>
        <r>
          <rPr>
            <sz val="9"/>
            <color rgb="FF000000"/>
            <rFont val="Tahoma"/>
            <family val="2"/>
          </rPr>
          <t xml:space="preserve">$ 761,38 Secretaría General
</t>
        </r>
        <r>
          <rPr>
            <sz val="9"/>
            <color rgb="FF000000"/>
            <rFont val="Tahoma"/>
            <family val="2"/>
          </rPr>
          <t xml:space="preserve">$ 2.893,16 Dir. Posgrado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$ 1.607,43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Se incrementó a DPLAN $87,78 por cuadre de fuente </t>
        </r>
      </text>
    </comment>
    <comment ref="F119" authorId="2" shapeId="0" xr:uid="{00000000-0006-0000-1F00-000052000000}">
      <text>
        <r>
          <rPr>
            <b/>
            <sz val="9"/>
            <color rgb="FF000000"/>
            <rFont val="Tahoma"/>
            <family val="34"/>
          </rPr>
          <t>Valeria Ramon Capa:</t>
        </r>
        <r>
          <rPr>
            <sz val="9"/>
            <color rgb="FF000000"/>
            <rFont val="Tahoma"/>
            <family val="34"/>
          </rPr>
          <t xml:space="preserve">
</t>
        </r>
        <r>
          <rPr>
            <b/>
            <sz val="9"/>
            <color rgb="FF000000"/>
            <rFont val="Tahoma"/>
            <family val="34"/>
          </rPr>
          <t xml:space="preserve">Reforma 3:
</t>
        </r>
        <r>
          <rPr>
            <sz val="9"/>
            <color rgb="FF000000"/>
            <rFont val="Tahoma"/>
            <family val="34"/>
          </rPr>
          <t>Se reduce $632,58 según memo N</t>
        </r>
        <r>
          <rPr>
            <sz val="9"/>
            <color rgb="FF000000"/>
            <rFont val="Tahoma"/>
            <family val="34"/>
          </rPr>
          <t>°</t>
        </r>
        <r>
          <rPr>
            <sz val="9"/>
            <color rgb="FF000000"/>
            <rFont val="Tahoma"/>
            <family val="34"/>
          </rPr>
          <t xml:space="preserve"> UTMACH-DIPOS-2023-0160-M_19052023</t>
        </r>
      </text>
    </comment>
    <comment ref="E120" authorId="1" shapeId="0" xr:uid="{00000000-0006-0000-1F00-000053000000}">
      <text>
        <r>
          <rPr>
            <b/>
            <sz val="9"/>
            <color rgb="FF000000"/>
            <rFont val="Tahoma"/>
            <family val="2"/>
          </rPr>
          <t>HP:</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2:
</t>
        </r>
        <r>
          <rPr>
            <sz val="9"/>
            <color rgb="FF000000"/>
            <rFont val="Tahoma"/>
            <family val="34"/>
          </rPr>
          <t xml:space="preserve">Se incrementó $ 39.500,00 para adquisición de aires acondicionados PULLA HNOS Dir Adm
</t>
        </r>
        <r>
          <rPr>
            <sz val="9"/>
            <color rgb="FF000000"/>
            <rFont val="Tahoma"/>
            <family val="34"/>
          </rPr>
          <t>$ 2.940,00 por contrato de año anterior para adquisición de proyectores de imagen. TICS</t>
        </r>
      </text>
    </comment>
    <comment ref="E121" authorId="3" shapeId="0" xr:uid="{00000000-0006-0000-1F00-000054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$ 19.554,08 DIRCOM
</t>
        </r>
        <r>
          <rPr>
            <sz val="9"/>
            <color rgb="FF000000"/>
            <rFont val="Tahoma"/>
            <family val="2"/>
          </rPr>
          <t xml:space="preserve">$ 3.360,00 Secretaría General
</t>
        </r>
        <r>
          <rPr>
            <sz val="9"/>
            <color rgb="FF000000"/>
            <rFont val="Tahoma"/>
            <family val="2"/>
          </rPr>
          <t xml:space="preserve">$ 2.882,88 Dir. Aseguramiento de la Calidad
</t>
        </r>
        <r>
          <rPr>
            <sz val="9"/>
            <color rgb="FF000000"/>
            <rFont val="Tahoma"/>
            <family val="2"/>
          </rPr>
          <t xml:space="preserve">$ 53.704,13 DTIC
</t>
        </r>
        <r>
          <rPr>
            <sz val="9"/>
            <color rgb="FF000000"/>
            <rFont val="Tahoma"/>
            <family val="2"/>
          </rPr>
          <t xml:space="preserve">$ 360,00 Dir. Financiera
</t>
        </r>
        <r>
          <rPr>
            <sz val="9"/>
            <color rgb="FF000000"/>
            <rFont val="Tahoma"/>
            <family val="2"/>
          </rPr>
          <t xml:space="preserve">$ 70.954,075 DBUAC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$ 8.999,20, según memo N</t>
        </r>
        <r>
          <rPr>
            <sz val="9"/>
            <color rgb="FF000000"/>
            <rFont val="Tahoma"/>
            <family val="2"/>
          </rPr>
          <t>°</t>
        </r>
        <r>
          <rPr>
            <sz val="9"/>
            <color rgb="FF000000"/>
            <rFont val="Tahoma"/>
            <family val="2"/>
          </rPr>
          <t xml:space="preserve"> DBUAC-2023-0124-M_03032023
</t>
        </r>
        <r>
          <rPr>
            <sz val="9"/>
            <color rgb="FF000000"/>
            <rFont val="Tahoma"/>
            <family val="2"/>
          </rPr>
          <t xml:space="preserve">
</t>
        </r>
        <r>
          <rPr>
            <sz val="9"/>
            <color rgb="FF000000"/>
            <rFont val="Tahoma"/>
            <family val="2"/>
          </rPr>
          <t xml:space="preserve">Se incrementó $2.000,01 para compra de montacarga de Unidad de Bienes (reasignación)
</t>
        </r>
        <r>
          <rPr>
            <sz val="9"/>
            <color rgb="FF000000"/>
            <rFont val="Tahoma"/>
            <family val="2"/>
          </rPr>
          <t xml:space="preserve">
</t>
        </r>
        <r>
          <rPr>
            <sz val="9"/>
            <color rgb="FF000000"/>
            <rFont val="Tahoma"/>
            <family val="2"/>
          </rPr>
          <t>Se incrementó $ 13.686,40, según memo N</t>
        </r>
        <r>
          <rPr>
            <sz val="9"/>
            <color rgb="FF000000"/>
            <rFont val="Tahoma"/>
            <family val="2"/>
          </rPr>
          <t>°</t>
        </r>
        <r>
          <rPr>
            <sz val="9"/>
            <color rgb="FF000000"/>
            <rFont val="Tahoma"/>
            <family val="2"/>
          </rPr>
          <t xml:space="preserve"> DBUAC-2023-0318-M_22052023
</t>
        </r>
      </text>
    </comment>
    <comment ref="E122" authorId="1" shapeId="0" xr:uid="{00000000-0006-0000-1F00-00005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$ 42.311,18 para pago de contrato de año anterior por adquisición de cámaras de videovigilancia. UTMACH EP
</t>
        </r>
        <r>
          <rPr>
            <sz val="9"/>
            <color rgb="FF000000"/>
            <rFont val="Tahoma"/>
            <family val="2"/>
          </rPr>
          <t>Dir. Administrativa</t>
        </r>
      </text>
    </comment>
    <comment ref="E125" authorId="1" shapeId="0" xr:uid="{00000000-0006-0000-1F00-00005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$ 81.952,06 DBUAC Tablet
</t>
        </r>
        <r>
          <rPr>
            <sz val="9"/>
            <color rgb="FF000000"/>
            <rFont val="Tahoma"/>
            <family val="2"/>
          </rPr>
          <t xml:space="preserve">
</t>
        </r>
        <r>
          <rPr>
            <sz val="9"/>
            <color rgb="FF000000"/>
            <rFont val="Tahoma"/>
            <family val="2"/>
          </rPr>
          <t xml:space="preserve">Reforma N 3:
</t>
        </r>
        <r>
          <rPr>
            <sz val="9"/>
            <color rgb="FF000000"/>
            <rFont val="Tahoma"/>
            <family val="2"/>
          </rPr>
          <t>Se incrementó $1.644,63 DPLAN-UPES por reunión de seguimiento</t>
        </r>
      </text>
    </comment>
    <comment ref="E126" authorId="3" shapeId="0" xr:uid="{00000000-0006-0000-1F00-000057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sz val="9"/>
            <color rgb="FF000000"/>
            <rFont val="Tahoma"/>
            <family val="2"/>
          </rPr>
          <t xml:space="preserve">$ 6.548,35 Rectorado
</t>
        </r>
        <r>
          <rPr>
            <sz val="9"/>
            <color rgb="FF000000"/>
            <rFont val="Tahoma"/>
            <family val="2"/>
          </rPr>
          <t xml:space="preserve">$ 3.920,00 DIRCOM
</t>
        </r>
        <r>
          <rPr>
            <sz val="9"/>
            <color rgb="FF000000"/>
            <rFont val="Tahoma"/>
            <family val="2"/>
          </rPr>
          <t xml:space="preserve">$ 1.868,16 Secretaría General
</t>
        </r>
        <r>
          <rPr>
            <sz val="9"/>
            <color rgb="FF000000"/>
            <rFont val="Tahoma"/>
            <family val="2"/>
          </rPr>
          <t xml:space="preserve">$ 2.934,40 Dirección de Aseguramiento de la Calidad
</t>
        </r>
        <r>
          <rPr>
            <sz val="9"/>
            <color rgb="FF000000"/>
            <rFont val="Tahoma"/>
            <family val="2"/>
          </rPr>
          <t xml:space="preserve">conforme archivo POA 2023.
</t>
        </r>
        <r>
          <rPr>
            <sz val="9"/>
            <color rgb="FF000000"/>
            <rFont val="Tahoma"/>
            <family val="2"/>
          </rPr>
          <t xml:space="preserve">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E127" authorId="1" shapeId="0" xr:uid="{00000000-0006-0000-1F00-00005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$ 4.518,00 para pago de contrato de año anterior por adquisición de cámaras de videovigilancia. UTMACH EP
</t>
        </r>
        <r>
          <rPr>
            <sz val="9"/>
            <color rgb="FF000000"/>
            <rFont val="Tahoma"/>
            <family val="2"/>
          </rPr>
          <t>Dir. Administrativa</t>
        </r>
      </text>
    </comment>
    <comment ref="F127" authorId="1" shapeId="0" xr:uid="{00000000-0006-0000-1F00-00005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$ 414.919,06 para Py Red Lan.
</t>
        </r>
        <r>
          <rPr>
            <sz val="9"/>
            <color rgb="FF000000"/>
            <rFont val="Tahoma"/>
            <family val="2"/>
          </rPr>
          <t xml:space="preserve">Se redujo $ 423.188,30 py de jubilados que consta en la 84 en el POA 2023 de la DTH.
</t>
        </r>
        <r>
          <rPr>
            <sz val="9"/>
            <color rgb="FF000000"/>
            <rFont val="Tahoma"/>
            <family val="2"/>
          </rPr>
          <t>Se redujo el saldo $ 18.470,34 y se lo sumó al py de jubilados DTH.</t>
        </r>
      </text>
    </comment>
    <comment ref="G127" authorId="2" shapeId="0" xr:uid="{00000000-0006-0000-1F00-00005A000000}">
      <text>
        <r>
          <rPr>
            <b/>
            <sz val="10"/>
            <color rgb="FF000000"/>
            <rFont val="Tahoma"/>
            <family val="2"/>
          </rPr>
          <t>Valeria Ramon Capa:</t>
        </r>
        <r>
          <rPr>
            <sz val="10"/>
            <color rgb="FF000000"/>
            <rFont val="Tahoma"/>
            <family val="2"/>
          </rPr>
          <t xml:space="preserve">
</t>
        </r>
      </text>
    </comment>
    <comment ref="E129" authorId="3" shapeId="0" xr:uid="{00000000-0006-0000-1F00-00005B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$ 8.999,20 conforme archivo POA 2023 DBU</t>
        </r>
      </text>
    </comment>
    <comment ref="F129" authorId="0" shapeId="0" xr:uid="{00000000-0006-0000-1F00-00005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$ 8.999,20, según memo N</t>
        </r>
        <r>
          <rPr>
            <sz val="9"/>
            <color rgb="FF000000"/>
            <rFont val="Tahoma"/>
            <family val="2"/>
          </rPr>
          <t>°</t>
        </r>
        <r>
          <rPr>
            <sz val="9"/>
            <color rgb="FF000000"/>
            <rFont val="Tahoma"/>
            <family val="2"/>
          </rPr>
          <t xml:space="preserve"> DBUAC-2023-0124-M_03032023</t>
        </r>
      </text>
    </comment>
    <comment ref="E130" authorId="1" shapeId="0" xr:uid="{00000000-0006-0000-1F00-00005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$ 16.000,00 para liquidaciones personal administrativo, trabajadores, pago de alimentación, transporte, cargas familiares, antigüedad.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$ 10.000,00 atendiendo al memo N</t>
        </r>
        <r>
          <rPr>
            <sz val="9"/>
            <color rgb="FF000000"/>
            <rFont val="Tahoma"/>
            <family val="2"/>
          </rPr>
          <t>°</t>
        </r>
        <r>
          <rPr>
            <sz val="9"/>
            <color rgb="FF000000"/>
            <rFont val="Tahoma"/>
            <family val="2"/>
          </rPr>
          <t xml:space="preserve"> UTMACH-DF-2023-0197-M_20052023</t>
        </r>
      </text>
    </comment>
    <comment ref="G132" authorId="2" shapeId="0" xr:uid="{00000000-0006-0000-1F00-00005E000000}">
      <text>
        <r>
          <rPr>
            <b/>
            <sz val="10"/>
            <color rgb="FF000000"/>
            <rFont val="Tahoma"/>
            <family val="2"/>
          </rPr>
          <t>Valeria Ramon Capa:</t>
        </r>
        <r>
          <rPr>
            <sz val="10"/>
            <color rgb="FF000000"/>
            <rFont val="Tahoma"/>
            <family val="2"/>
          </rPr>
          <t xml:space="preserve">
</t>
        </r>
        <r>
          <rPr>
            <sz val="10"/>
            <color rgb="FF000000"/>
            <rFont val="Tahoma"/>
            <family val="2"/>
          </rPr>
          <t>POA</t>
        </r>
      </text>
    </comment>
    <comment ref="F136" authorId="0" shapeId="0" xr:uid="{00000000-0006-0000-1F00-00005F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$ 40.000,00 para financiar Décimo Tercer Sueldo</t>
        </r>
      </text>
    </comment>
    <comment ref="K136" authorId="4" shapeId="0" xr:uid="{00000000-0006-0000-1F00-000060000000}">
      <text>
        <r>
          <rPr>
            <b/>
            <sz val="9"/>
            <color rgb="FF000000"/>
            <rFont val="Tahoma"/>
            <family val="2"/>
          </rPr>
          <t>Dirección Financiera:</t>
        </r>
        <r>
          <rPr>
            <sz val="9"/>
            <color rgb="FF000000"/>
            <rFont val="Tahoma"/>
            <family val="2"/>
          </rPr>
          <t xml:space="preserve">
</t>
        </r>
        <r>
          <rPr>
            <sz val="9"/>
            <color rgb="FF000000"/>
            <rFont val="Tahoma"/>
            <family val="2"/>
          </rPr>
          <t>500000 para concursos y promociones</t>
        </r>
      </text>
    </comment>
    <comment ref="E137" authorId="0" shapeId="0" xr:uid="{00000000-0006-0000-1F00-000061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incrementó $ 100.000,00 para financiar Décimo Tercer Sueldo</t>
        </r>
      </text>
    </comment>
    <comment ref="E142" authorId="0" shapeId="0" xr:uid="{00000000-0006-0000-1F00-00006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$4.000,00</t>
        </r>
      </text>
    </comment>
    <comment ref="E143" authorId="2" shapeId="0" xr:uid="{00000000-0006-0000-1F00-000063000000}">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incrementa $1.509,87 según memo N</t>
        </r>
        <r>
          <rPr>
            <sz val="9"/>
            <color rgb="FF000000"/>
            <rFont val="Tahoma"/>
            <family val="2"/>
          </rPr>
          <t>°</t>
        </r>
        <r>
          <rPr>
            <sz val="9"/>
            <color rgb="FF000000"/>
            <rFont val="Tahoma"/>
            <family val="2"/>
          </rPr>
          <t xml:space="preserve"> UTMACH-DIPOS-2023-0160-M_19052023</t>
        </r>
      </text>
    </comment>
    <comment ref="E145" authorId="1" shapeId="0" xr:uid="{00000000-0006-0000-1F00-00006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$ 5.040,00 FCQS</t>
        </r>
      </text>
    </comment>
    <comment ref="E146" authorId="1" shapeId="0" xr:uid="{00000000-0006-0000-1F00-00006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83.935,78 para Dir. Administrativa
</t>
        </r>
        <r>
          <rPr>
            <sz val="9"/>
            <color rgb="FF000000"/>
            <rFont val="Tahoma"/>
            <family val="2"/>
          </rPr>
          <t xml:space="preserve">Se eliminó porque no se puede cruzar del grupo 84 al grupo 53.
</t>
        </r>
        <r>
          <rPr>
            <sz val="9"/>
            <color rgb="FF000000"/>
            <rFont val="Tahoma"/>
            <family val="2"/>
          </rPr>
          <t xml:space="preserve">
</t>
        </r>
        <r>
          <rPr>
            <sz val="9"/>
            <color rgb="FF000000"/>
            <rFont val="Tahoma"/>
            <family val="2"/>
          </rPr>
          <t xml:space="preserve">Se incrementó $ 14.752,06 por saldo positivo y cuadre final de la fuente 1.
</t>
        </r>
        <r>
          <rPr>
            <sz val="9"/>
            <color rgb="FF000000"/>
            <rFont val="Tahoma"/>
            <family val="2"/>
          </rPr>
          <t xml:space="preserve">
</t>
        </r>
        <r>
          <rPr>
            <sz val="9"/>
            <color rgb="FF000000"/>
            <rFont val="Tahoma"/>
            <family val="2"/>
          </rPr>
          <t xml:space="preserve">Cómo quedó en el POA:
</t>
        </r>
        <r>
          <rPr>
            <sz val="9"/>
            <color rgb="FF000000"/>
            <rFont val="Tahoma"/>
            <family val="2"/>
          </rPr>
          <t xml:space="preserve">711.513,00 DIR ADMINISTRATIVA
</t>
        </r>
        <r>
          <rPr>
            <sz val="9"/>
            <color rgb="FF000000"/>
            <rFont val="Tahoma"/>
            <family val="2"/>
          </rPr>
          <t xml:space="preserve">
</t>
        </r>
        <r>
          <rPr>
            <sz val="9"/>
            <color rgb="FF000000"/>
            <rFont val="Tahoma"/>
            <family val="2"/>
          </rPr>
          <t>Se incrementó 5.448,78</t>
        </r>
      </text>
    </comment>
    <comment ref="F146" authorId="1" shapeId="0" xr:uid="{00000000-0006-0000-1F00-00006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t>
        </r>
        <r>
          <rPr>
            <sz val="9"/>
            <color rgb="FF000000"/>
            <rFont val="Tahoma"/>
            <family val="2"/>
          </rPr>
          <t xml:space="preserve">$ 6.720,00 Dir. Aseguramiento de la Calidad.
</t>
        </r>
        <r>
          <rPr>
            <sz val="9"/>
            <color rgb="FF000000"/>
            <rFont val="Tahoma"/>
            <family val="2"/>
          </rPr>
          <t xml:space="preserve">$ 6.720,00 FIC
</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$1.365,00 por atención de Memo N UTMACH-DAC-2023-0133-M </t>
        </r>
      </text>
    </comment>
    <comment ref="E147" authorId="1" shapeId="0" xr:uid="{00000000-0006-0000-1F00-00006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$ 77.722,59 DBUAC</t>
        </r>
      </text>
    </comment>
    <comment ref="E148" authorId="1" shapeId="0" xr:uid="{00000000-0006-0000-1F00-00006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b/>
            <sz val="9"/>
            <color rgb="FF000000"/>
            <rFont val="Tahoma"/>
            <family val="2"/>
          </rPr>
          <t>$ 5.666,86</t>
        </r>
        <r>
          <rPr>
            <sz val="9"/>
            <color rgb="FF000000"/>
            <rFont val="Tahoma"/>
            <family val="2"/>
          </rPr>
          <t xml:space="preserve"> para adecuación de Sala de Docentes de la Carrera de Enfermería en la FCQS. UTMACH EP EMPRESA PUBLICA
</t>
        </r>
        <r>
          <rPr>
            <sz val="9"/>
            <color rgb="FF000000"/>
            <rFont val="Tahoma"/>
            <family val="2"/>
          </rPr>
          <t xml:space="preserve">
</t>
        </r>
        <r>
          <rPr>
            <sz val="9"/>
            <color rgb="FF000000"/>
            <rFont val="Tahoma"/>
            <family val="2"/>
          </rPr>
          <t>Se incrementó $ 44.380,00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$ 250.000,00 para DBUAC Adecuación de espacios de bienestar deportivos.
</t>
        </r>
        <r>
          <rPr>
            <sz val="9"/>
            <color rgb="FF000000"/>
            <rFont val="Tahoma"/>
            <family val="2"/>
          </rPr>
          <t xml:space="preserve">Se eliminó porque no se puede cruzar de la 84 al grupo 53.
</t>
        </r>
        <r>
          <rPr>
            <sz val="9"/>
            <color rgb="FF000000"/>
            <rFont val="Tahoma"/>
            <family val="2"/>
          </rPr>
          <t xml:space="preserve">Se incrementó $ 123.677,98 para DBUAC Adecuación de espacios de bienestar deportivos.
</t>
        </r>
        <r>
          <rPr>
            <sz val="9"/>
            <color rgb="FF000000"/>
            <rFont val="Tahoma"/>
            <family val="2"/>
          </rPr>
          <t xml:space="preserve">Por saldo a favor y cuadre final de la fuente 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$ 3.224,44 según memo N</t>
        </r>
        <r>
          <rPr>
            <sz val="9"/>
            <color rgb="FF000000"/>
            <rFont val="Tahoma"/>
            <family val="2"/>
          </rPr>
          <t>°</t>
        </r>
        <r>
          <rPr>
            <sz val="9"/>
            <color rgb="FF000000"/>
            <rFont val="Tahoma"/>
            <family val="2"/>
          </rPr>
          <t xml:space="preserve"> FIC-D-2023-0217-M_09052023 (por cuadre de fuente)
</t>
        </r>
        <r>
          <rPr>
            <sz val="9"/>
            <color rgb="FF000000"/>
            <rFont val="Tahoma"/>
            <family val="2"/>
          </rPr>
          <t xml:space="preserve">
</t>
        </r>
      </text>
    </comment>
    <comment ref="F148" authorId="2" shapeId="0" xr:uid="{00000000-0006-0000-1F00-000069000000}">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$ 44.380,00 FCS en reunión de seguimiento y en virtud de oficio Nro. MEF-SP-2023-0501 para atender Memo Nro. 0399 de DADM.</t>
        </r>
      </text>
    </comment>
    <comment ref="F149" authorId="1" shapeId="0" xr:uid="{00000000-0006-0000-1F00-00006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$ 9.200,00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reduce $ 4.024,45 según memo N</t>
        </r>
        <r>
          <rPr>
            <sz val="9"/>
            <color rgb="FF000000"/>
            <rFont val="Tahoma"/>
            <family val="2"/>
          </rPr>
          <t>°</t>
        </r>
        <r>
          <rPr>
            <sz val="9"/>
            <color rgb="FF000000"/>
            <rFont val="Tahoma"/>
            <family val="2"/>
          </rPr>
          <t xml:space="preserve"> FIC-D-2023-0217-M_09052023</t>
        </r>
      </text>
    </comment>
    <comment ref="F150" authorId="3" shapeId="0" xr:uid="{00000000-0006-0000-1F00-00006B000000}">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redujo $ 3.590,15 para cubrir contratos de años anteriores y disponibilidades de nuevas necesidades.
</t>
        </r>
        <r>
          <rPr>
            <b/>
            <sz val="8"/>
            <color rgb="FF000000"/>
            <rFont val="Tahoma"/>
            <family val="34"/>
          </rPr>
          <t xml:space="preserve">Reforma 3:
</t>
        </r>
        <r>
          <rPr>
            <sz val="8"/>
            <color rgb="FF000000"/>
            <rFont val="Tahoma"/>
            <family val="34"/>
          </rPr>
          <t xml:space="preserve">Se redujo $20.000 DTH por seguimiento y en virtud de oficio Nro. MEF-SP-2023-0501 para atender Memo Nro. 0399 de DADM.
</t>
        </r>
        <r>
          <rPr>
            <sz val="8"/>
            <color rgb="FF000000"/>
            <rFont val="Tahoma"/>
            <family val="34"/>
          </rPr>
          <t xml:space="preserve">
</t>
        </r>
        <r>
          <rPr>
            <sz val="8"/>
            <color rgb="FF000000"/>
            <rFont val="Tahoma"/>
            <family val="34"/>
          </rPr>
          <t>Se redujo $6.456,36 a DTH por cuadre de fuente</t>
        </r>
      </text>
    </comment>
    <comment ref="E151" authorId="1" shapeId="0" xr:uid="{00000000-0006-0000-1F00-00006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$ 20.000,00 Vic. Académico</t>
        </r>
      </text>
    </comment>
    <comment ref="F151" authorId="2" shapeId="0" xr:uid="{00000000-0006-0000-1F00-00006D000000}">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Se redujo $30.000,00 a Vic. Académico por seguimiento y en virtud de oficio Nro. MEF-SP-2023-0501 para atender Memo Nro. 0399 de DADM.
</t>
        </r>
      </text>
    </comment>
    <comment ref="F152" authorId="1" shapeId="0" xr:uid="{00000000-0006-0000-1F00-00006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$ 22.400,00 Vic. Académico</t>
        </r>
      </text>
    </comment>
    <comment ref="E153" authorId="1" shapeId="0" xr:uid="{00000000-0006-0000-1F00-00006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$ 34.151,28 Dir. Formación Profesional</t>
        </r>
      </text>
    </comment>
    <comment ref="F153" authorId="0" shapeId="0" xr:uid="{00000000-0006-0000-1F00-000070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t>
        </r>
      </text>
    </comment>
    <comment ref="E154" authorId="3" shapeId="0" xr:uid="{00000000-0006-0000-1F00-00007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$ 4.000,00-0,63 según memo N</t>
        </r>
        <r>
          <rPr>
            <sz val="9"/>
            <color rgb="FF000000"/>
            <rFont val="Tahoma"/>
            <family val="2"/>
          </rPr>
          <t>°</t>
        </r>
        <r>
          <rPr>
            <sz val="9"/>
            <color rgb="FF000000"/>
            <rFont val="Tahoma"/>
            <family val="2"/>
          </rPr>
          <t xml:space="preserve"> DTIC-2023-0088-M_04052023</t>
        </r>
      </text>
    </comment>
    <comment ref="F154" authorId="1" shapeId="0" xr:uid="{00000000-0006-0000-1F00-00007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$ 10.640,00 DTIC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$ 4.352,39 según memo N</t>
        </r>
        <r>
          <rPr>
            <sz val="9"/>
            <color rgb="FF000000"/>
            <rFont val="Tahoma"/>
            <family val="2"/>
          </rPr>
          <t>°</t>
        </r>
        <r>
          <rPr>
            <sz val="9"/>
            <color rgb="FF000000"/>
            <rFont val="Tahoma"/>
            <family val="2"/>
          </rPr>
          <t xml:space="preserve"> DTIC-2023-0088-M_04052023</t>
        </r>
      </text>
    </comment>
    <comment ref="E155" authorId="2" shapeId="0" xr:uid="{00000000-0006-0000-1F00-000073000000}">
      <text>
        <r>
          <rPr>
            <b/>
            <sz val="10"/>
            <color rgb="FF000000"/>
            <rFont val="Tahoma"/>
            <family val="2"/>
          </rPr>
          <t xml:space="preserve">Valeria Ramon Capa:
</t>
        </r>
        <r>
          <rPr>
            <b/>
            <sz val="10"/>
            <color rgb="FF000000"/>
            <rFont val="Tahoma"/>
            <family val="2"/>
          </rPr>
          <t xml:space="preserve">
</t>
        </r>
        <r>
          <rPr>
            <sz val="10"/>
            <color rgb="FF000000"/>
            <rFont val="Tahoma"/>
            <family val="2"/>
          </rPr>
          <t xml:space="preserve">Reforma N 3:
</t>
        </r>
        <r>
          <rPr>
            <sz val="10"/>
            <color rgb="FF000000"/>
            <rFont val="Tahoma"/>
            <family val="2"/>
          </rPr>
          <t xml:space="preserve">Se incrementa $157,33 de fondo de caja chica de FCA </t>
        </r>
      </text>
    </comment>
    <comment ref="F156" authorId="2" shapeId="0" xr:uid="{00000000-0006-0000-1F00-000074000000}">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reduce $1.509,87 según memo N</t>
        </r>
        <r>
          <rPr>
            <sz val="9"/>
            <color rgb="FF000000"/>
            <rFont val="Tahoma"/>
            <family val="2"/>
          </rPr>
          <t>°</t>
        </r>
        <r>
          <rPr>
            <sz val="9"/>
            <color rgb="FF000000"/>
            <rFont val="Tahoma"/>
            <family val="2"/>
          </rPr>
          <t xml:space="preserve"> UTMACH-DIPOS-2023-0160-M_19052023</t>
        </r>
      </text>
    </comment>
    <comment ref="E157" authorId="2" shapeId="0" xr:uid="{00000000-0006-0000-1F00-000075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$157,34 por distribución de fondo de caja chica de la FCA - correo 13062023</t>
        </r>
      </text>
    </comment>
    <comment ref="F157" authorId="1" shapeId="0" xr:uid="{00000000-0006-0000-1F00-00007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$ 7.260,96 FCS</t>
        </r>
      </text>
    </comment>
    <comment ref="E158" authorId="2" shapeId="0" xr:uid="{00000000-0006-0000-1F00-000077000000}">
      <text>
        <r>
          <rPr>
            <b/>
            <sz val="10"/>
            <color rgb="FF000000"/>
            <rFont val="Tahoma"/>
            <family val="2"/>
          </rPr>
          <t xml:space="preserve">Valeria Ramon Capa:
</t>
        </r>
        <r>
          <rPr>
            <b/>
            <sz val="10"/>
            <color rgb="FF000000"/>
            <rFont val="Tahoma"/>
            <family val="2"/>
          </rPr>
          <t>Reforma N 3:</t>
        </r>
        <r>
          <rPr>
            <sz val="10"/>
            <color rgb="FF000000"/>
            <rFont val="Tahoma"/>
            <family val="2"/>
          </rPr>
          <t xml:space="preserve">
</t>
        </r>
        <r>
          <rPr>
            <sz val="10"/>
            <color rgb="FF000000"/>
            <rFont val="Courier"/>
            <family val="1"/>
          </rPr>
          <t xml:space="preserve">Se incrementa $157,33 por distribución de fondo de caja chica de la FCA - correo 13062023
</t>
        </r>
      </text>
    </comment>
    <comment ref="F158" authorId="0" shapeId="0" xr:uid="{00000000-0006-0000-1F00-000078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$ 327,68 según memo N</t>
        </r>
        <r>
          <rPr>
            <sz val="9"/>
            <color rgb="FF000000"/>
            <rFont val="Tahoma"/>
            <family val="2"/>
          </rPr>
          <t>°</t>
        </r>
        <r>
          <rPr>
            <sz val="9"/>
            <color rgb="FF000000"/>
            <rFont val="Tahoma"/>
            <family val="2"/>
          </rPr>
          <t xml:space="preserve"> FCA-D-2023-0249-M_05052023</t>
        </r>
      </text>
    </comment>
    <comment ref="E159" authorId="1" shapeId="0" xr:uid="{00000000-0006-0000-1F00-00007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F159" authorId="2" shapeId="0" xr:uid="{00000000-0006-0000-1F00-00007A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Se reduce $2.280 a FCS por reunión de seguimiento y en virtud de oficio Nro. MEF-SP-2023-0501 para atender Memo Nro. 0399 de DADM.</t>
        </r>
      </text>
    </comment>
    <comment ref="E162" authorId="1" shapeId="0" xr:uid="{00000000-0006-0000-1F00-00007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$ 231,46 de acuerdo al POA 2023 de la FCE presentado.</t>
        </r>
      </text>
    </comment>
    <comment ref="F163" authorId="0" shapeId="0" xr:uid="{00000000-0006-0000-1F00-00007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$ 2.755,31 según memo N</t>
        </r>
        <r>
          <rPr>
            <sz val="9"/>
            <color rgb="FF000000"/>
            <rFont val="Tahoma"/>
            <family val="2"/>
          </rPr>
          <t>°</t>
        </r>
        <r>
          <rPr>
            <sz val="9"/>
            <color rgb="FF000000"/>
            <rFont val="Tahoma"/>
            <family val="2"/>
          </rPr>
          <t xml:space="preserve"> FCS-D-2023-0460-M_23052023 y reunión de seguimiento de seguimiento, en virtud de oficio Nro. MEF-SP-2023-0501 para atender Memo Nro. 0399 de DADM.</t>
        </r>
      </text>
    </comment>
    <comment ref="F164" authorId="2" shapeId="0" xr:uid="{00000000-0006-0000-1F00-00007D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$472 por solicitud de FCA vía Correo 12062023</t>
        </r>
      </text>
    </comment>
    <comment ref="E165" authorId="1" shapeId="0" xr:uid="{00000000-0006-0000-1F00-00007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$ 10.164,16, según Memorando N</t>
        </r>
        <r>
          <rPr>
            <sz val="9"/>
            <color rgb="FF000000"/>
            <rFont val="Tahoma"/>
            <family val="2"/>
          </rPr>
          <t>°</t>
        </r>
        <r>
          <rPr>
            <sz val="9"/>
            <color rgb="FF000000"/>
            <rFont val="Tahoma"/>
            <family val="2"/>
          </rPr>
          <t xml:space="preserve"> UTMACH-DBUAC-2023-0009-M del 10/01/2023</t>
        </r>
      </text>
    </comment>
    <comment ref="E166" authorId="1" shapeId="0" xr:uid="{00000000-0006-0000-1F00-00007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$ 118.070,00 según Oficio N</t>
        </r>
        <r>
          <rPr>
            <sz val="9"/>
            <color rgb="FF000000"/>
            <rFont val="Tahoma"/>
            <family val="2"/>
          </rPr>
          <t>°</t>
        </r>
        <r>
          <rPr>
            <sz val="9"/>
            <color rgb="FF000000"/>
            <rFont val="Tahoma"/>
            <family val="2"/>
          </rPr>
          <t xml:space="preserve"> UTMACH-DBUAC-2023-0006-M del 06/En/2023, solo se atendió INCREMENTO NECESARIO PARA PAO 2023 -1 (5 MESES)</t>
        </r>
      </text>
    </comment>
    <comment ref="E168" authorId="1" shapeId="0" xr:uid="{00000000-0006-0000-1F00-00008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$ 33.214,12 para Repotenciación de la Línea de Media Tensión 13200 VAC, en el Campus principal de la UTMACH. - UTMACH EP.</t>
        </r>
      </text>
    </comment>
    <comment ref="D169" authorId="2" shapeId="0" xr:uid="{00000000-0006-0000-1F00-000081000000}">
      <text>
        <r>
          <rPr>
            <b/>
            <sz val="10"/>
            <color rgb="FF000000"/>
            <rFont val="Tahoma"/>
            <family val="2"/>
          </rPr>
          <t>Valeria Ramon Capa:</t>
        </r>
        <r>
          <rPr>
            <sz val="10"/>
            <color rgb="FF000000"/>
            <rFont val="Tahoma"/>
            <family val="2"/>
          </rPr>
          <t xml:space="preserve">
</t>
        </r>
        <r>
          <rPr>
            <sz val="10"/>
            <color rgb="FF000000"/>
            <rFont val="Tahoma"/>
            <family val="2"/>
          </rPr>
          <t>Este valor consta en el POA de Dirección administrativa</t>
        </r>
      </text>
    </comment>
    <comment ref="E171" authorId="0" shapeId="0" xr:uid="{00000000-0006-0000-1F00-00008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$ 1.052,80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Se incrementó $87,40 según memo DAC N 133_30052023 </t>
        </r>
      </text>
    </comment>
    <comment ref="E172" authorId="1" shapeId="0" xr:uid="{00000000-0006-0000-1F00-00008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$ 7.320,00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$ 11.505,18 según memo N</t>
        </r>
        <r>
          <rPr>
            <sz val="9"/>
            <color rgb="FF000000"/>
            <rFont val="Tahoma"/>
            <family val="2"/>
          </rPr>
          <t>°</t>
        </r>
        <r>
          <rPr>
            <sz val="9"/>
            <color rgb="FF000000"/>
            <rFont val="Tahoma"/>
            <family val="2"/>
          </rPr>
          <t xml:space="preserve"> FCS-D-2023-0460-M_23052023 y reunión de seguimiento</t>
        </r>
      </text>
    </comment>
    <comment ref="F172" authorId="2" shapeId="0" xr:uid="{00000000-0006-0000-1F00-000084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$4.000,00 a FCS por seguimiento y en virtud de oficio Nro. MEF-SP-2023-0501 para atender Memo Nro. 0399 de DADM.</t>
        </r>
      </text>
    </comment>
    <comment ref="E173" authorId="0" shapeId="0" xr:uid="{00000000-0006-0000-1F00-00008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FIC-D-2023-0217-M_09052023</t>
        </r>
      </text>
    </comment>
    <comment ref="F173" authorId="1" shapeId="0" xr:uid="{00000000-0006-0000-1F00-00008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$ 1.176.733,21 para Py Inversión FIC.
</t>
        </r>
        <r>
          <rPr>
            <sz val="9"/>
            <color rgb="FF000000"/>
            <rFont val="Tahoma"/>
            <family val="2"/>
          </rPr>
          <t xml:space="preserve">El saldo de  $ 2.000.000,00 para Py construcción e implementación del CRAI Dir. Administrativa
</t>
        </r>
        <r>
          <rPr>
            <sz val="9"/>
            <color rgb="FF000000"/>
            <rFont val="Tahoma"/>
            <family val="2"/>
          </rPr>
          <t xml:space="preserve">
</t>
        </r>
        <r>
          <rPr>
            <sz val="9"/>
            <color rgb="FF000000"/>
            <rFont val="Tahoma"/>
            <family val="2"/>
          </rPr>
          <t xml:space="preserve">En el POA quedó así:
</t>
        </r>
        <r>
          <rPr>
            <sz val="9"/>
            <color rgb="FF000000"/>
            <rFont val="Tahoma"/>
            <family val="2"/>
          </rPr>
          <t>$ 2.000.000,00 para Py construcción e implementación del CRAI Dir. Administrativa+81.527,83</t>
        </r>
      </text>
    </comment>
    <comment ref="E174" authorId="1" shapeId="0" xr:uid="{00000000-0006-0000-1F00-00008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$ 1.700,00 para lentes de cámara por disposición del Director DPLAN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5.709,60 FCS
</t>
        </r>
        <r>
          <rPr>
            <sz val="9"/>
            <color rgb="FF000000"/>
            <rFont val="Tahoma"/>
            <family val="2"/>
          </rPr>
          <t>2.251,20 DTIC</t>
        </r>
      </text>
    </comment>
    <comment ref="F174" authorId="1" shapeId="0" xr:uid="{00000000-0006-0000-1F00-00008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$ 22.296,96 Vic. Académico
</t>
        </r>
        <r>
          <rPr>
            <sz val="9"/>
            <color rgb="FF000000"/>
            <rFont val="Tahoma"/>
            <family val="2"/>
          </rPr>
          <t xml:space="preserve">$ 949.040,38-62852,68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$ 62.852,68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redujo $ 4.384,60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Courier"/>
            <family val="1"/>
          </rPr>
          <t>Se redujo $ 13.686,40, para atender memo N</t>
        </r>
        <r>
          <rPr>
            <sz val="9"/>
            <color rgb="FF000000"/>
            <rFont val="Courier"/>
            <family val="1"/>
          </rPr>
          <t>°</t>
        </r>
        <r>
          <rPr>
            <sz val="9"/>
            <color rgb="FF000000"/>
            <rFont val="Courier"/>
            <family val="1"/>
          </rPr>
          <t xml:space="preserve"> DBUAC-2023-0318-M_22052023
</t>
        </r>
        <r>
          <rPr>
            <sz val="9"/>
            <color rgb="FF000000"/>
            <rFont val="Courier"/>
            <family val="1"/>
          </rPr>
          <t xml:space="preserve">
</t>
        </r>
        <r>
          <rPr>
            <sz val="9"/>
            <color rgb="FF000000"/>
            <rFont val="Courier"/>
            <family val="1"/>
          </rPr>
          <t xml:space="preserve">Se redujo $ 13.405,61+6.776,00 para atender memo N 0604 FCQS_25052023
</t>
        </r>
        <r>
          <rPr>
            <sz val="9"/>
            <color rgb="FF000000"/>
            <rFont val="Courier"/>
            <family val="1"/>
          </rPr>
          <t xml:space="preserve">
</t>
        </r>
        <r>
          <rPr>
            <sz val="9"/>
            <color rgb="FF000000"/>
            <rFont val="Courier"/>
            <family val="1"/>
          </rPr>
          <t>Se redujo $ 15.879,05 para atender memo N</t>
        </r>
        <r>
          <rPr>
            <sz val="9"/>
            <color rgb="FF000000"/>
            <rFont val="Courier"/>
            <family val="1"/>
          </rPr>
          <t>°</t>
        </r>
        <r>
          <rPr>
            <sz val="9"/>
            <color rgb="FF000000"/>
            <rFont val="Courier"/>
            <family val="1"/>
          </rPr>
          <t xml:space="preserve"> DBUAC-2023-0124-M_03032023
</t>
        </r>
        <r>
          <rPr>
            <sz val="9"/>
            <color rgb="FF000000"/>
            <rFont val="Courier"/>
            <family val="1"/>
          </rPr>
          <t xml:space="preserve">
</t>
        </r>
        <r>
          <rPr>
            <sz val="9"/>
            <color rgb="FF000000"/>
            <rFont val="Courier"/>
            <family val="1"/>
          </rPr>
          <t xml:space="preserve">Se redujo $1620 por cuadre de fuente
</t>
        </r>
        <r>
          <rPr>
            <sz val="9"/>
            <color rgb="FF000000"/>
            <rFont val="Courier"/>
            <family val="1"/>
          </rPr>
          <t xml:space="preserve">
</t>
        </r>
        <r>
          <rPr>
            <sz val="9"/>
            <color rgb="FF000000"/>
            <rFont val="Courier"/>
            <family val="1"/>
          </rPr>
          <t xml:space="preserve">Se redujo $ 39.637,92 para cartera de proyectos de inversión 2023 - 83 840104 003
</t>
        </r>
        <r>
          <rPr>
            <sz val="9"/>
            <color rgb="FF000000"/>
            <rFont val="Courier"/>
            <family val="1"/>
          </rPr>
          <t xml:space="preserve">
</t>
        </r>
        <r>
          <rPr>
            <sz val="9"/>
            <color rgb="FF000000"/>
            <rFont val="Courier"/>
            <family val="1"/>
          </rPr>
          <t xml:space="preserve">Se redujo $10.080,00 para cartera de proyectos de inversión 2023 - 83 840107 003
</t>
        </r>
        <r>
          <rPr>
            <sz val="9"/>
            <color rgb="FF000000"/>
            <rFont val="Courier"/>
            <family val="1"/>
          </rPr>
          <t xml:space="preserve">
</t>
        </r>
        <r>
          <rPr>
            <sz val="9"/>
            <color rgb="FF000000"/>
            <rFont val="Courier"/>
            <family val="1"/>
          </rPr>
          <t xml:space="preserve">Se reduce $5.824 para reestablecer computadoras en TICS
</t>
        </r>
        <r>
          <rPr>
            <sz val="9"/>
            <color rgb="FF000000"/>
            <rFont val="Courier"/>
            <family val="1"/>
          </rPr>
          <t xml:space="preserve">
</t>
        </r>
        <r>
          <rPr>
            <sz val="9"/>
            <color rgb="FF000000"/>
            <rFont val="Courier"/>
            <family val="1"/>
          </rPr>
          <t xml:space="preserve">Se reduce $268,73 por cuadre de fuente </t>
        </r>
      </text>
    </comment>
    <comment ref="E175" authorId="1" shapeId="0" xr:uid="{00000000-0006-0000-1F00-00008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$ 41.623,28 para pago de contrato de año anterior por adquisición e instalación de equipos de climatización. Dir. Administrativa.</t>
        </r>
      </text>
    </comment>
    <comment ref="E176" authorId="1" shapeId="0" xr:uid="{00000000-0006-0000-1F00-00008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13.831,48 para Repotenciación de la Línea de Media Tensión 13200 VAC, en el Campus principal de la UTMACH. - UTMACH EP</t>
        </r>
      </text>
    </comment>
    <comment ref="D177" authorId="2" shapeId="0" xr:uid="{00000000-0006-0000-1F00-00008B000000}">
      <text>
        <r>
          <rPr>
            <b/>
            <sz val="10"/>
            <color rgb="FF000000"/>
            <rFont val="Tahoma"/>
            <family val="2"/>
          </rPr>
          <t>Valeria Ramon Capa:</t>
        </r>
        <r>
          <rPr>
            <sz val="10"/>
            <color rgb="FF000000"/>
            <rFont val="Tahoma"/>
            <family val="2"/>
          </rPr>
          <t xml:space="preserve">
</t>
        </r>
        <r>
          <rPr>
            <sz val="10"/>
            <color rgb="FF000000"/>
            <rFont val="Courier"/>
            <family val="1"/>
          </rPr>
          <t>Este valor consta en el POA de Dirección administrativa</t>
        </r>
      </text>
    </comment>
    <comment ref="E178" authorId="3" shapeId="0" xr:uid="{00000000-0006-0000-1F00-00008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$ 2.897,97 conforme archivo POA 2023.
</t>
        </r>
        <r>
          <rPr>
            <sz val="9"/>
            <color rgb="FF000000"/>
            <rFont val="Tahoma"/>
            <family val="2"/>
          </rPr>
          <t xml:space="preserve">
</t>
        </r>
        <r>
          <rPr>
            <sz val="9"/>
            <color rgb="FF000000"/>
            <rFont val="Tahoma"/>
            <family val="2"/>
          </rPr>
          <t xml:space="preserve">Se incrementó $ 8.505,49 de acuerdo al POA 2023 de la FCE presentado.
</t>
        </r>
        <r>
          <rPr>
            <sz val="9"/>
            <color rgb="FF000000"/>
            <rFont val="Tahoma"/>
            <family val="2"/>
          </rPr>
          <t xml:space="preserve">
</t>
        </r>
        <r>
          <rPr>
            <sz val="9"/>
            <color rgb="FF000000"/>
            <rFont val="Tahoma"/>
            <family val="2"/>
          </rPr>
          <t xml:space="preserve">En el POA quedó:
</t>
        </r>
        <r>
          <rPr>
            <sz val="9"/>
            <color rgb="FF000000"/>
            <rFont val="Tahoma"/>
            <family val="2"/>
          </rPr>
          <t xml:space="preserve">1.867,77 DIPOS
</t>
        </r>
        <r>
          <rPr>
            <sz val="9"/>
            <color rgb="FF000000"/>
            <rFont val="Tahoma"/>
            <family val="2"/>
          </rPr>
          <t xml:space="preserve">1.030,20 FCA
</t>
        </r>
        <r>
          <rPr>
            <sz val="9"/>
            <color rgb="FF000000"/>
            <rFont val="Tahoma"/>
            <family val="2"/>
          </rPr>
          <t xml:space="preserve">8.505,49 FCE
</t>
        </r>
        <r>
          <rPr>
            <sz val="9"/>
            <color rgb="FF000000"/>
            <rFont val="Tahoma"/>
            <family val="2"/>
          </rPr>
          <t xml:space="preserve">1.310,60 FCQS
</t>
        </r>
        <r>
          <rPr>
            <sz val="9"/>
            <color rgb="FF000000"/>
            <rFont val="Tahoma"/>
            <family val="2"/>
          </rPr>
          <t xml:space="preserve">
</t>
        </r>
        <r>
          <rPr>
            <b/>
            <sz val="9"/>
            <color rgb="FF000000"/>
            <rFont val="Tahoma"/>
            <family val="2"/>
          </rPr>
          <t xml:space="preserve">Reforma N 3:
</t>
        </r>
        <r>
          <rPr>
            <sz val="9"/>
            <color rgb="FF000000"/>
            <rFont val="Tahoma"/>
            <family val="2"/>
          </rPr>
          <t>Se incrementó $1.146,32 según memo N</t>
        </r>
        <r>
          <rPr>
            <sz val="9"/>
            <color rgb="FF000000"/>
            <rFont val="Tahoma"/>
            <family val="2"/>
          </rPr>
          <t>°</t>
        </r>
        <r>
          <rPr>
            <sz val="9"/>
            <color rgb="FF000000"/>
            <rFont val="Tahoma"/>
            <family val="2"/>
          </rPr>
          <t xml:space="preserve"> UTMACH-DIPOS-2023-0160-M_19052023
</t>
        </r>
      </text>
    </comment>
    <comment ref="F178" authorId="2" shapeId="0" xr:uid="{00000000-0006-0000-1F00-00008D000000}">
      <text>
        <r>
          <rPr>
            <b/>
            <sz val="8"/>
            <color rgb="FF000000"/>
            <rFont val="Tahoma"/>
            <family val="2"/>
          </rPr>
          <t>Valeria Ramon Capa:</t>
        </r>
        <r>
          <rPr>
            <sz val="8"/>
            <color rgb="FF000000"/>
            <rFont val="Tahoma"/>
            <family val="2"/>
          </rPr>
          <t xml:space="preserve">
</t>
        </r>
        <r>
          <rPr>
            <b/>
            <sz val="9"/>
            <color rgb="FF000000"/>
            <rFont val="Tahoma"/>
            <family val="2"/>
          </rPr>
          <t xml:space="preserve">
</t>
        </r>
        <r>
          <rPr>
            <b/>
            <sz val="9"/>
            <color rgb="FF000000"/>
            <rFont val="Tahoma"/>
            <family val="2"/>
          </rPr>
          <t xml:space="preserve">Reforma 3:
</t>
        </r>
        <r>
          <rPr>
            <sz val="9"/>
            <color rgb="FF000000"/>
            <rFont val="Tahoma"/>
            <family val="2"/>
          </rPr>
          <t>Se reduce $380,46 y $133,28 según memo N</t>
        </r>
        <r>
          <rPr>
            <sz val="9"/>
            <color rgb="FF000000"/>
            <rFont val="Tahoma"/>
            <family val="2"/>
          </rPr>
          <t>°</t>
        </r>
        <r>
          <rPr>
            <sz val="9"/>
            <color rgb="FF000000"/>
            <rFont val="Tahoma"/>
            <family val="2"/>
          </rPr>
          <t xml:space="preserve"> UTMACH-DIPOS-2023-0160-M_19052023</t>
        </r>
      </text>
    </comment>
    <comment ref="E179" authorId="1" shapeId="0" xr:uid="{00000000-0006-0000-1F00-00008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$ 75.610,11 que vino de la la partida N</t>
        </r>
        <r>
          <rPr>
            <sz val="9"/>
            <color rgb="FF000000"/>
            <rFont val="Tahoma"/>
            <family val="2"/>
          </rPr>
          <t>°</t>
        </r>
        <r>
          <rPr>
            <sz val="9"/>
            <color rgb="FF000000"/>
            <rFont val="Tahoma"/>
            <family val="2"/>
          </rPr>
          <t xml:space="preserve"> 990101 0701 003 Obligaciones de Ejercicios Anteriores en Personal del programa 01.
</t>
        </r>
        <r>
          <rPr>
            <sz val="9"/>
            <color rgb="FF000000"/>
            <rFont val="Tahoma"/>
            <family val="2"/>
          </rPr>
          <t xml:space="preserve">
</t>
        </r>
        <r>
          <rPr>
            <sz val="9"/>
            <color rgb="FF000000"/>
            <rFont val="Tahoma"/>
            <family val="2"/>
          </rPr>
          <t xml:space="preserve">Se incrementó $ 40.000,00 para liquidaciones de haberes, trabajadores y ex servidores.
</t>
        </r>
        <r>
          <rPr>
            <sz val="9"/>
            <color rgb="FF000000"/>
            <rFont val="Tahoma"/>
            <family val="2"/>
          </rPr>
          <t xml:space="preserve">Se incrementó $ 10.000,00 para liquidaciones de docentes.
</t>
        </r>
        <r>
          <rPr>
            <sz val="9"/>
            <color rgb="FF000000"/>
            <rFont val="Tahoma"/>
            <family val="2"/>
          </rPr>
          <t xml:space="preserve">$ 13.000,00 para pago a VASQUEZ FLORES JOSE ALBERTO
</t>
        </r>
        <r>
          <rPr>
            <sz val="9"/>
            <color rgb="FF000000"/>
            <rFont val="Tahoma"/>
            <family val="2"/>
          </rPr>
          <t xml:space="preserve">$ 6.000,00 para pago a BURGOS BURGOS JHON
</t>
        </r>
        <r>
          <rPr>
            <sz val="9"/>
            <color rgb="FF000000"/>
            <rFont val="Tahoma"/>
            <family val="2"/>
          </rPr>
          <t xml:space="preserve">
</t>
        </r>
        <r>
          <rPr>
            <sz val="9"/>
            <color rgb="FF000000"/>
            <rFont val="Tahoma"/>
            <family val="2"/>
          </rPr>
          <t>Se incrementó $ 5000+15.000,00 para cubrir liquidaciones por juicios en la partida N</t>
        </r>
        <r>
          <rPr>
            <sz val="9"/>
            <color rgb="FF000000"/>
            <rFont val="Tahoma"/>
            <family val="2"/>
          </rPr>
          <t>°</t>
        </r>
        <r>
          <rPr>
            <sz val="9"/>
            <color rgb="FF000000"/>
            <rFont val="Tahoma"/>
            <family val="2"/>
          </rPr>
          <t xml:space="preserve"> 990101 0701 003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$ 60.000,00 atendiendo al memo N</t>
        </r>
        <r>
          <rPr>
            <sz val="9"/>
            <color rgb="FF000000"/>
            <rFont val="Tahoma"/>
            <family val="2"/>
          </rPr>
          <t>°</t>
        </r>
        <r>
          <rPr>
            <sz val="9"/>
            <color rgb="FF000000"/>
            <rFont val="Tahoma"/>
            <family val="2"/>
          </rPr>
          <t xml:space="preserve"> UTMACH-DF-2023-0197-M_20052023
</t>
        </r>
        <r>
          <rPr>
            <sz val="9"/>
            <color rgb="FF000000"/>
            <rFont val="Tahoma"/>
            <family val="2"/>
          </rPr>
          <t>Se incrementó $50.000,00 a Dfin para cubrir necesidad por juicio, notificado verbalmente por parte del Procurador a Dirección Financiera</t>
        </r>
      </text>
    </comment>
    <comment ref="E185" authorId="1" shapeId="0" xr:uid="{00000000-0006-0000-1F00-00008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$ 8.609,16 por contrato año anterior por servicio de implementación de una Red Wifi - TELCONET - TIC
</t>
        </r>
        <r>
          <rPr>
            <sz val="9"/>
            <color rgb="FF000000"/>
            <rFont val="Tahoma"/>
            <family val="2"/>
          </rPr>
          <t>$ 59.717,94 Servicio de internet CEDIA TIC</t>
        </r>
      </text>
    </comment>
    <comment ref="F185" authorId="3" shapeId="0" xr:uid="{00000000-0006-0000-1F00-000090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$ 49.750,97 según memo N</t>
        </r>
        <r>
          <rPr>
            <sz val="9"/>
            <color rgb="FF000000"/>
            <rFont val="Tahoma"/>
            <family val="2"/>
          </rPr>
          <t>°</t>
        </r>
        <r>
          <rPr>
            <sz val="9"/>
            <color rgb="FF000000"/>
            <rFont val="Tahoma"/>
            <family val="2"/>
          </rPr>
          <t xml:space="preserve"> DTIC-2023-0088-M_04052023</t>
        </r>
      </text>
    </comment>
    <comment ref="F186" authorId="1" shapeId="0" xr:uid="{00000000-0006-0000-1F00-00009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$ 33.600,00 de acuerdo al 1er POA 2023 de la FCE presentado (por no estar desagregado).
</t>
        </r>
        <r>
          <rPr>
            <sz val="9"/>
            <color rgb="FF000000"/>
            <rFont val="Tahoma"/>
            <family val="2"/>
          </rPr>
          <t xml:space="preserve">
</t>
        </r>
        <r>
          <rPr>
            <sz val="9"/>
            <color rgb="FF000000"/>
            <rFont val="Tahoma"/>
            <family val="2"/>
          </rPr>
          <t xml:space="preserve">Se redujo $ 4.800,00 según adjunto de Vic. Investigación en e-mail enviado el 03/02/2023
</t>
        </r>
        <r>
          <rPr>
            <sz val="9"/>
            <color rgb="FF000000"/>
            <rFont val="Tahoma"/>
            <family val="2"/>
          </rPr>
          <t xml:space="preserve">
</t>
        </r>
        <r>
          <rPr>
            <sz val="9"/>
            <color rgb="FF000000"/>
            <rFont val="Tahoma"/>
            <family val="2"/>
          </rPr>
          <t xml:space="preserve">Se redujo $ 1.120,00 FIC
</t>
        </r>
        <r>
          <rPr>
            <sz val="9"/>
            <color rgb="FF000000"/>
            <rFont val="Tahoma"/>
            <family val="2"/>
          </rPr>
          <t xml:space="preserve">
</t>
        </r>
        <r>
          <rPr>
            <sz val="9"/>
            <color rgb="FF000000"/>
            <rFont val="Tahoma"/>
            <family val="2"/>
          </rPr>
          <t xml:space="preserve">Se redujo $ 33.600,00 FCQS
</t>
        </r>
        <r>
          <rPr>
            <sz val="9"/>
            <color rgb="FF000000"/>
            <rFont val="Tahoma"/>
            <family val="2"/>
          </rPr>
          <t xml:space="preserve">
</t>
        </r>
        <r>
          <rPr>
            <sz val="9"/>
            <color rgb="FF000000"/>
            <rFont val="Tahoma"/>
            <family val="2"/>
          </rPr>
          <t xml:space="preserve">En el POA quedó asi:
</t>
        </r>
        <r>
          <rPr>
            <sz val="9"/>
            <color rgb="FF000000"/>
            <rFont val="Tahoma"/>
            <family val="2"/>
          </rPr>
          <t xml:space="preserve">2.480,00 Vic. Investigación
</t>
        </r>
        <r>
          <rPr>
            <sz val="9"/>
            <color rgb="FF000000"/>
            <rFont val="Tahoma"/>
            <family val="2"/>
          </rPr>
          <t xml:space="preserve">168.000,00 DIDI
</t>
        </r>
        <r>
          <rPr>
            <sz val="9"/>
            <color rgb="FF000000"/>
            <rFont val="Tahoma"/>
            <family val="2"/>
          </rPr>
          <t xml:space="preserve">2.240,00 FCA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Se redujo $2.240,00 a FCA en reunión de seguimiento y en virtud de oficio Nro. MEF-SP-2023-0501 para atender Memo Nro. 0399 de DADM.</t>
        </r>
      </text>
    </comment>
    <comment ref="E187" authorId="1" shapeId="0" xr:uid="{00000000-0006-0000-1F00-00009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$ 25.066,04 por contrato año anterior, para Renovación de garantías extendidas y soporte de fábrica para los equipos que conforman la Plataforma Flexpod - AKEA - DTIC</t>
        </r>
      </text>
    </comment>
    <comment ref="D188" authorId="2" shapeId="0" xr:uid="{00000000-0006-0000-1F00-000093000000}">
      <text>
        <r>
          <rPr>
            <b/>
            <sz val="10"/>
            <color rgb="FF000000"/>
            <rFont val="Tahoma"/>
            <family val="2"/>
          </rPr>
          <t>Valeria Ramon Capa:</t>
        </r>
        <r>
          <rPr>
            <sz val="10"/>
            <color rgb="FF000000"/>
            <rFont val="Tahoma"/>
            <family val="2"/>
          </rPr>
          <t xml:space="preserve">
</t>
        </r>
        <r>
          <rPr>
            <sz val="10"/>
            <color rgb="FF000000"/>
            <rFont val="Tahoma"/>
            <family val="2"/>
          </rPr>
          <t>Este valor se encuentra en el POA de TICS</t>
        </r>
      </text>
    </comment>
    <comment ref="E189" authorId="1" shapeId="0" xr:uid="{00000000-0006-0000-1F00-00009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según Memorando N</t>
        </r>
        <r>
          <rPr>
            <sz val="9"/>
            <color rgb="FF000000"/>
            <rFont val="Tahoma"/>
            <family val="2"/>
          </rPr>
          <t>°</t>
        </r>
        <r>
          <rPr>
            <sz val="9"/>
            <color rgb="FF000000"/>
            <rFont val="Tahoma"/>
            <family val="2"/>
          </rPr>
          <t xml:space="preserve"> UTMACH-DIDI-2023-0053-M_02/02/2023.</t>
        </r>
      </text>
    </comment>
    <comment ref="E190" authorId="2" shapeId="0" xr:uid="{00000000-0006-0000-1F00-000095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E191" authorId="1" shapeId="0" xr:uid="{00000000-0006-0000-1F00-00009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$ 10.000,00 según Memorando N</t>
        </r>
        <r>
          <rPr>
            <sz val="9"/>
            <color rgb="FF000000"/>
            <rFont val="Tahoma"/>
            <family val="2"/>
          </rPr>
          <t>°</t>
        </r>
        <r>
          <rPr>
            <sz val="9"/>
            <color rgb="FF000000"/>
            <rFont val="Tahoma"/>
            <family val="2"/>
          </rPr>
          <t xml:space="preserve"> UTMACH-DIDI-2023-0053-M_02/02/2023.</t>
        </r>
      </text>
    </comment>
    <comment ref="E194" authorId="1" shapeId="0" xr:uid="{00000000-0006-0000-1F00-00009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E195" authorId="2" shapeId="0" xr:uid="{00000000-0006-0000-1F00-000098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incrementa $108.473,73 a FCS por cambio de fuente y en atención a FCS-D-2023-0460-M
</t>
        </r>
        <r>
          <rPr>
            <sz val="10"/>
            <color rgb="FF000000"/>
            <rFont val="Courier"/>
            <family val="1"/>
          </rPr>
          <t xml:space="preserve">-Se incrementa $25.760,00 movimiento de partida para egreso de forma adecuada en FCA </t>
        </r>
        <r>
          <rPr>
            <sz val="9"/>
            <color rgb="FF000000"/>
            <rFont val="Courier"/>
            <family val="1"/>
          </rPr>
          <t xml:space="preserve">
</t>
        </r>
      </text>
    </comment>
    <comment ref="F195" authorId="1" shapeId="0" xr:uid="{00000000-0006-0000-1F00-00009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reduce $ 24.512,00 FCS
</t>
        </r>
        <r>
          <rPr>
            <sz val="9"/>
            <color rgb="FF000000"/>
            <rFont val="Tahoma"/>
            <family val="2"/>
          </rPr>
          <t xml:space="preserve">$ 29.680,00 Rectorado
</t>
        </r>
        <r>
          <rPr>
            <sz val="9"/>
            <color rgb="FF000000"/>
            <rFont val="Tahoma"/>
            <family val="2"/>
          </rPr>
          <t xml:space="preserve">25.440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16.800,00 FCA
</t>
        </r>
        <r>
          <rPr>
            <sz val="9"/>
            <color rgb="FF000000"/>
            <rFont val="Tahoma"/>
            <family val="2"/>
          </rPr>
          <t xml:space="preserve">24.559,17 FCE
</t>
        </r>
        <r>
          <rPr>
            <b/>
            <sz val="9"/>
            <color rgb="FF000000"/>
            <rFont val="Tahoma"/>
            <family val="2"/>
          </rPr>
          <t xml:space="preserve">
</t>
        </r>
        <r>
          <rPr>
            <b/>
            <sz val="9"/>
            <color rgb="FF000000"/>
            <rFont val="Tahoma"/>
            <family val="2"/>
          </rPr>
          <t xml:space="preserve">Reforma N 3:
</t>
        </r>
        <r>
          <rPr>
            <sz val="9"/>
            <color rgb="FF000000"/>
            <rFont val="Tahoma"/>
            <family val="2"/>
          </rPr>
          <t>Se reduce $38.921,22 FCE por cuanto las reparaciones de edificaciones las realizará la aseguradora</t>
        </r>
      </text>
    </comment>
    <comment ref="E196" authorId="2" shapeId="0" xr:uid="{00000000-0006-0000-1F00-00009A000000}">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t>
        </r>
      </text>
    </comment>
    <comment ref="F196" authorId="2" shapeId="0" xr:uid="{00000000-0006-0000-1F00-00009B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197" authorId="1" shapeId="0" xr:uid="{00000000-0006-0000-1F00-00009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$ 13.648,02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F197" authorId="2" shapeId="0" xr:uid="{00000000-0006-0000-1F00-00009D000000}">
      <text>
        <r>
          <rPr>
            <b/>
            <sz val="10"/>
            <color rgb="FF000000"/>
            <rFont val="Tahoma"/>
            <family val="2"/>
          </rPr>
          <t>Valeria Ramon Capa:</t>
        </r>
        <r>
          <rPr>
            <sz val="10"/>
            <color rgb="FF000000"/>
            <rFont val="Tahoma"/>
            <family val="2"/>
          </rPr>
          <t xml:space="preserve">
</t>
        </r>
        <r>
          <rPr>
            <sz val="10"/>
            <color rgb="FF000000"/>
            <rFont val="Tahoma"/>
            <family val="2"/>
          </rPr>
          <t xml:space="preserve">Se reduce $13.648,00 a FCQS </t>
        </r>
        <r>
          <rPr>
            <sz val="10"/>
            <color rgb="FF000000"/>
            <rFont val="Courier"/>
            <family val="1"/>
          </rPr>
          <t>por seguimiento y en virtud de oficio Nro. MEF-SP-2023-0501 para atender Memo Nro. 0399 de DADM.</t>
        </r>
      </text>
    </comment>
    <comment ref="E198" authorId="1" shapeId="0" xr:uid="{00000000-0006-0000-1F00-00009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t>
        </r>
      </text>
    </comment>
    <comment ref="F198" authorId="1" shapeId="0" xr:uid="{00000000-0006-0000-1F00-00009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$ 1.250,00 para Py Inversión FIC, que en el POA estaba en esta fuente de financiamiento 3
</t>
        </r>
        <r>
          <rPr>
            <sz val="9"/>
            <color rgb="FF000000"/>
            <rFont val="Tahoma"/>
            <family val="2"/>
          </rPr>
          <t xml:space="preserve">
</t>
        </r>
        <r>
          <rPr>
            <sz val="9"/>
            <color rgb="FF000000"/>
            <rFont val="Tahoma"/>
            <family val="2"/>
          </rPr>
          <t xml:space="preserve">Se redujo $ 22.400,00 de acuerdo al 1er POA 2023 de la FCE presentado (por no estar desagregado).
</t>
        </r>
        <r>
          <rPr>
            <sz val="9"/>
            <color rgb="FF000000"/>
            <rFont val="Tahoma"/>
            <family val="2"/>
          </rPr>
          <t xml:space="preserve">
</t>
        </r>
        <r>
          <rPr>
            <sz val="9"/>
            <color rgb="FF000000"/>
            <rFont val="Tahoma"/>
            <family val="2"/>
          </rPr>
          <t xml:space="preserve">Se redujo $ 18.703,99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10.208,48 DIDI
</t>
        </r>
        <r>
          <rPr>
            <sz val="9"/>
            <color rgb="FF000000"/>
            <rFont val="Tahoma"/>
            <family val="2"/>
          </rPr>
          <t xml:space="preserve">12.768,00 FCA
</t>
        </r>
        <r>
          <rPr>
            <sz val="9"/>
            <color rgb="FF000000"/>
            <rFont val="Tahoma"/>
            <family val="2"/>
          </rPr>
          <t>3.696,00 FCQS</t>
        </r>
      </text>
    </comment>
    <comment ref="F199" authorId="2" shapeId="0" xr:uid="{00000000-0006-0000-1F00-0000A0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Se reduce $25.760,00 movimiento de partida para egreso de forma adecuada en FCA </t>
        </r>
      </text>
    </comment>
    <comment ref="F200" authorId="1" shapeId="0" xr:uid="{00000000-0006-0000-1F00-0000A1000000}">
      <text>
        <r>
          <rPr>
            <b/>
            <sz val="9"/>
            <color rgb="FF000000"/>
            <rFont val="Tahoma"/>
            <family val="2"/>
          </rPr>
          <t xml:space="preserve">HP: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06/06: Se redujo $17.500 a DTH por reunión de seguimiento y en virtud de oficio Nro. MEF-SP-2023-0501 para atender Memo Nro. 0399 de DADM</t>
        </r>
        <r>
          <rPr>
            <sz val="10"/>
            <color rgb="FF000000"/>
            <rFont val="Tahoma"/>
            <family val="34"/>
          </rPr>
          <t xml:space="preserve"> y en atención al memo 0764 DTH</t>
        </r>
      </text>
    </comment>
    <comment ref="E202" authorId="1" shapeId="0" xr:uid="{00000000-0006-0000-1F00-0000A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$ 4.800,00 según adjunto de Vic. Investigación en e-mail enviado el 03/02/2023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F202" authorId="2" shapeId="0" xr:uid="{00000000-0006-0000-1F00-0000A3000000}">
      <text>
        <r>
          <rPr>
            <b/>
            <sz val="9"/>
            <color rgb="FF000000"/>
            <rFont val="Tahoma"/>
            <family val="34"/>
          </rPr>
          <t>Valeria Ramon Capa:</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$4.800,00 a Vic. Investigación por seguimiento y en virtud de oficio Nro. MEF-SP-2023-0501 para atender Memo Nro. 0399 de DADM.</t>
        </r>
      </text>
    </comment>
    <comment ref="E203" authorId="1" shapeId="0" xr:uid="{00000000-0006-0000-1F00-0000A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$ 480,00 según adjunto de Vic. Investigación en e-mail enviado el 03/02/2023</t>
        </r>
      </text>
    </comment>
    <comment ref="F203" authorId="1" shapeId="0" xr:uid="{00000000-0006-0000-1F00-0000A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$ 12.320,00 Vic. Investigación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$480,00-150,00 a Vic. Investigación en reunión de seguimiento y en virtud de oficio Nro. MEF-SP-2023-0501 para atender Memo Nro. 0399 de DADM.
</t>
        </r>
      </text>
    </comment>
    <comment ref="E204" authorId="3" shapeId="0" xr:uid="{00000000-0006-0000-1F00-0000A6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E205" authorId="1" shapeId="0" xr:uid="{00000000-0006-0000-1F00-0000A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$ 5.544,00 de acuerdo al POA 2023 de la FCE presentado.</t>
        </r>
      </text>
    </comment>
    <comment ref="F205" authorId="1" shapeId="0" xr:uid="{00000000-0006-0000-1F00-0000A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$ 3.500,00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$ 11.200,00 según memo N</t>
        </r>
        <r>
          <rPr>
            <sz val="9"/>
            <color rgb="FF000000"/>
            <rFont val="Tahoma"/>
            <family val="2"/>
          </rPr>
          <t>°</t>
        </r>
        <r>
          <rPr>
            <sz val="9"/>
            <color rgb="FF000000"/>
            <rFont val="Tahoma"/>
            <family val="2"/>
          </rPr>
          <t xml:space="preserve"> FCS-D-2023-0460-M_23052023</t>
        </r>
      </text>
    </comment>
    <comment ref="E206" authorId="1" shapeId="0" xr:uid="{00000000-0006-0000-1F00-0000A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 FCQS</t>
        </r>
      </text>
    </comment>
    <comment ref="F207" authorId="0" shapeId="0" xr:uid="{00000000-0006-0000-1F00-0000AA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$ 530,00 según memo N</t>
        </r>
        <r>
          <rPr>
            <sz val="9"/>
            <color rgb="FF000000"/>
            <rFont val="Tahoma"/>
            <family val="2"/>
          </rPr>
          <t>°</t>
        </r>
        <r>
          <rPr>
            <sz val="9"/>
            <color rgb="FF000000"/>
            <rFont val="Tahoma"/>
            <family val="2"/>
          </rPr>
          <t xml:space="preserve"> DIDI-2023-0223-M_04052023</t>
        </r>
      </text>
    </comment>
    <comment ref="F208" authorId="2" shapeId="0" xr:uid="{00000000-0006-0000-1F00-0000AB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E210" authorId="1" shapeId="0" xr:uid="{00000000-0006-0000-1F00-0000A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$ 620,58 FCQS</t>
        </r>
      </text>
    </comment>
    <comment ref="E211" authorId="1" shapeId="0" xr:uid="{00000000-0006-0000-1F00-0000A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$ 672,00 FCQS</t>
        </r>
      </text>
    </comment>
    <comment ref="E213" authorId="1" shapeId="0" xr:uid="{00000000-0006-0000-1F00-0000A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F213" authorId="1" shapeId="0" xr:uid="{00000000-0006-0000-1F00-0000A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$ 7.400,00 FCA
</t>
        </r>
        <r>
          <rPr>
            <sz val="9"/>
            <color rgb="FF000000"/>
            <rFont val="Tahoma"/>
            <family val="2"/>
          </rPr>
          <t xml:space="preserve">$ 6.000,00 FCS
</t>
        </r>
        <r>
          <rPr>
            <sz val="9"/>
            <color rgb="FF000000"/>
            <rFont val="Tahoma"/>
            <family val="2"/>
          </rPr>
          <t xml:space="preserve">$ 4.000,00 FIC
</t>
        </r>
        <r>
          <rPr>
            <sz val="9"/>
            <color rgb="FF000000"/>
            <rFont val="Tahoma"/>
            <family val="2"/>
          </rPr>
          <t xml:space="preserve">
</t>
        </r>
        <r>
          <rPr>
            <sz val="9"/>
            <color rgb="FF000000"/>
            <rFont val="Tahoma"/>
            <family val="2"/>
          </rPr>
          <t xml:space="preserve">Se redujo $ 56.000,00 de acuerdo al 1er POA 2023 de la FCE presentado (por no estar desagregado).
</t>
        </r>
        <r>
          <rPr>
            <sz val="9"/>
            <color rgb="FF000000"/>
            <rFont val="Tahoma"/>
            <family val="2"/>
          </rPr>
          <t xml:space="preserve">
</t>
        </r>
        <r>
          <rPr>
            <sz val="9"/>
            <color rgb="FF000000"/>
            <rFont val="Tahoma"/>
            <family val="2"/>
          </rPr>
          <t xml:space="preserve">Se redujo $ 39.092,51
</t>
        </r>
        <r>
          <rPr>
            <sz val="9"/>
            <color rgb="FF000000"/>
            <rFont val="Tahoma"/>
            <family val="2"/>
          </rPr>
          <t xml:space="preserve">
</t>
        </r>
        <r>
          <rPr>
            <sz val="9"/>
            <color rgb="FF000000"/>
            <rFont val="Tahoma"/>
            <family val="2"/>
          </rPr>
          <t xml:space="preserve">En el POA quedó:
</t>
        </r>
        <r>
          <rPr>
            <sz val="9"/>
            <color rgb="FF000000"/>
            <rFont val="Tahoma"/>
            <family val="2"/>
          </rPr>
          <t xml:space="preserve">8.360,00 DIDI
</t>
        </r>
        <r>
          <rPr>
            <sz val="9"/>
            <color rgb="FF000000"/>
            <rFont val="Tahoma"/>
            <family val="2"/>
          </rPr>
          <t xml:space="preserve">15.000,00 FCA
</t>
        </r>
        <r>
          <rPr>
            <sz val="9"/>
            <color rgb="FF000000"/>
            <rFont val="Tahoma"/>
            <family val="2"/>
          </rPr>
          <t xml:space="preserve">28.107,49 FCQS
</t>
        </r>
        <r>
          <rPr>
            <sz val="9"/>
            <color rgb="FF000000"/>
            <rFont val="Tahoma"/>
            <family val="2"/>
          </rPr>
          <t xml:space="preserve">10.800,00 FCS
</t>
        </r>
        <r>
          <rPr>
            <sz val="9"/>
            <color rgb="FF000000"/>
            <rFont val="Tahoma"/>
            <family val="2"/>
          </rPr>
          <t xml:space="preserve">6.080,00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 xml:space="preserve">Se redujo $ 10.800,00 a FCS según reunión de seguimiento y en virtud de oficio Nro. MEF-SP-2023-0501 para atender Memo Nro. 0399 de DADM.
</t>
        </r>
        <r>
          <rPr>
            <sz val="9"/>
            <color rgb="FF000000"/>
            <rFont val="Tahoma"/>
            <family val="2"/>
          </rPr>
          <t xml:space="preserve">
</t>
        </r>
        <r>
          <rPr>
            <sz val="9"/>
            <color rgb="FF000000"/>
            <rFont val="Tahoma"/>
            <family val="2"/>
          </rPr>
          <t xml:space="preserve">Se redujo $ 15.848,08+6.776,00 según memo N 0604 FCQS_25052023
</t>
        </r>
        <r>
          <rPr>
            <sz val="9"/>
            <color rgb="FF000000"/>
            <rFont val="Tahoma"/>
            <family val="2"/>
          </rPr>
          <t xml:space="preserve">
</t>
        </r>
        <r>
          <rPr>
            <sz val="9"/>
            <color rgb="FF000000"/>
            <rFont val="Tahoma"/>
            <family val="2"/>
          </rPr>
          <t>Se redujo $6.080,00 por memo N</t>
        </r>
        <r>
          <rPr>
            <sz val="9"/>
            <color rgb="FF000000"/>
            <rFont val="Tahoma"/>
            <family val="2"/>
          </rPr>
          <t>°</t>
        </r>
        <r>
          <rPr>
            <sz val="9"/>
            <color rgb="FF000000"/>
            <rFont val="Tahoma"/>
            <family val="2"/>
          </rPr>
          <t xml:space="preserve"> UTMACH-FIC-D-2023-0312-M_18052023</t>
        </r>
      </text>
    </comment>
    <comment ref="F214" authorId="1" shapeId="0" xr:uid="{00000000-0006-0000-1F00-0000B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$ 394,63 para Py Inversión FIC.
</t>
        </r>
        <r>
          <rPr>
            <sz val="9"/>
            <color rgb="FF000000"/>
            <rFont val="Tahoma"/>
            <family val="2"/>
          </rPr>
          <t>$ 0,75 POR DIFERENCIA</t>
        </r>
      </text>
    </comment>
    <comment ref="E215" authorId="1" shapeId="0" xr:uid="{00000000-0006-0000-1F00-0000B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E216" authorId="0" shapeId="0" xr:uid="{00000000-0006-0000-1F00-0000B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E217" authorId="1" shapeId="0" xr:uid="{00000000-0006-0000-1F00-0000B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 según Memorando N</t>
        </r>
        <r>
          <rPr>
            <sz val="9"/>
            <color rgb="FF000000"/>
            <rFont val="Tahoma"/>
            <family val="2"/>
          </rPr>
          <t>°</t>
        </r>
        <r>
          <rPr>
            <sz val="9"/>
            <color rgb="FF000000"/>
            <rFont val="Tahoma"/>
            <family val="2"/>
          </rPr>
          <t xml:space="preserve"> UTMACH-DIDI-2023-0053-M_02/02/2023.</t>
        </r>
      </text>
    </comment>
    <comment ref="F217" authorId="2" shapeId="0" xr:uid="{00000000-0006-0000-1F00-0000B4000000}">
      <text>
        <r>
          <rPr>
            <b/>
            <sz val="10"/>
            <color rgb="FF000000"/>
            <rFont val="Tahoma"/>
            <family val="2"/>
          </rPr>
          <t>Valeria Ramon Capa:</t>
        </r>
        <r>
          <rPr>
            <sz val="10"/>
            <color rgb="FF000000"/>
            <rFont val="Tahoma"/>
            <family val="2"/>
          </rPr>
          <t xml:space="preserve">
</t>
        </r>
        <r>
          <rPr>
            <sz val="10"/>
            <color rgb="FF000000"/>
            <rFont val="Tahoma"/>
            <family val="2"/>
          </rPr>
          <t>Reforma N</t>
        </r>
        <r>
          <rPr>
            <sz val="10"/>
            <color rgb="FF000000"/>
            <rFont val="Tahoma"/>
            <family val="2"/>
          </rPr>
          <t>°</t>
        </r>
        <r>
          <rPr>
            <sz val="10"/>
            <color rgb="FF000000"/>
            <rFont val="Tahoma"/>
            <family val="2"/>
          </rPr>
          <t xml:space="preserve"> 3: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E218" authorId="1" shapeId="0" xr:uid="{00000000-0006-0000-1F00-0000B5000000}">
      <text>
        <r>
          <rPr>
            <b/>
            <sz val="9"/>
            <color rgb="FF000000"/>
            <rFont val="Tahoma"/>
            <family val="2"/>
          </rPr>
          <t>HP:</t>
        </r>
        <r>
          <rPr>
            <sz val="9"/>
            <color rgb="FF000000"/>
            <rFont val="Tahoma"/>
            <family val="2"/>
          </rPr>
          <t xml:space="preserve">
</t>
        </r>
        <r>
          <rPr>
            <sz val="9"/>
            <color rgb="FF000000"/>
            <rFont val="Tahoma"/>
            <family val="2"/>
          </rPr>
          <t>Se incrementó $ 22.000,00 según Memorando N</t>
        </r>
        <r>
          <rPr>
            <sz val="9"/>
            <color rgb="FF000000"/>
            <rFont val="Tahoma"/>
            <family val="2"/>
          </rPr>
          <t>°</t>
        </r>
        <r>
          <rPr>
            <sz val="9"/>
            <color rgb="FF000000"/>
            <rFont val="Tahoma"/>
            <family val="2"/>
          </rPr>
          <t xml:space="preserve"> UTMACH-DIDI-2023-0053-M_02/02/2023 y UTMACH-DIDI-2023-0042-M_31/01/2023</t>
        </r>
      </text>
    </comment>
    <comment ref="F218" authorId="2" shapeId="0" xr:uid="{00000000-0006-0000-1F00-0000B6000000}">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reduce $13.133,00 en atención al memo nro 083 DIDI-BG</t>
        </r>
      </text>
    </comment>
    <comment ref="E219" authorId="1" shapeId="0" xr:uid="{00000000-0006-0000-1F00-0000B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$ 3.500,00 según Memorando N</t>
        </r>
        <r>
          <rPr>
            <sz val="9"/>
            <color rgb="FF000000"/>
            <rFont val="Tahoma"/>
            <family val="2"/>
          </rPr>
          <t>°</t>
        </r>
        <r>
          <rPr>
            <sz val="9"/>
            <color rgb="FF000000"/>
            <rFont val="Tahoma"/>
            <family val="2"/>
          </rPr>
          <t xml:space="preserve"> UTMACH-DIDI-2023-0053-M_02/02/2023.</t>
        </r>
      </text>
    </comment>
    <comment ref="F220" authorId="0" shapeId="0" xr:uid="{00000000-0006-0000-1F00-0000B8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E221" authorId="1" shapeId="0" xr:uid="{00000000-0006-0000-1F00-0000B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$1.250,00 Py de Inversión FIC</t>
        </r>
      </text>
    </comment>
    <comment ref="F221" authorId="0" shapeId="0" xr:uid="{00000000-0006-0000-1F00-0000BA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$ 1.250,00 según memo N</t>
        </r>
        <r>
          <rPr>
            <sz val="9"/>
            <color rgb="FF000000"/>
            <rFont val="Tahoma"/>
            <family val="2"/>
          </rPr>
          <t>°</t>
        </r>
        <r>
          <rPr>
            <sz val="9"/>
            <color rgb="FF000000"/>
            <rFont val="Tahoma"/>
            <family val="2"/>
          </rPr>
          <t xml:space="preserve"> FIC-D-2023-0209-M_05052023.</t>
        </r>
      </text>
    </comment>
    <comment ref="E222" authorId="1" shapeId="0" xr:uid="{00000000-0006-0000-1F00-0000B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$ 26.785,71 para Servicio de Consultoría CRAI - LOAYZA AGUILAR KAROL</t>
        </r>
      </text>
    </comment>
    <comment ref="D223" authorId="2" shapeId="0" xr:uid="{00000000-0006-0000-1F00-0000BC000000}">
      <text>
        <r>
          <rPr>
            <b/>
            <sz val="10"/>
            <color rgb="FF000000"/>
            <rFont val="Tahoma"/>
            <family val="2"/>
          </rPr>
          <t>Valeria Ramon Capa:</t>
        </r>
        <r>
          <rPr>
            <sz val="10"/>
            <color rgb="FF000000"/>
            <rFont val="Tahoma"/>
            <family val="2"/>
          </rPr>
          <t xml:space="preserve">
</t>
        </r>
        <r>
          <rPr>
            <sz val="10"/>
            <color rgb="FF000000"/>
            <rFont val="Tahoma"/>
            <family val="2"/>
          </rPr>
          <t>Este valor se encuentra en el POA de Dplan</t>
        </r>
      </text>
    </comment>
    <comment ref="E224" authorId="1" shapeId="0" xr:uid="{00000000-0006-0000-1F00-0000B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Servicio de implementación de una red wifi TELCONET DTIC</t>
        </r>
      </text>
    </comment>
    <comment ref="F225" authorId="0" shapeId="0" xr:uid="{00000000-0006-0000-1F00-0000BE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$ 394,63 según memo N</t>
        </r>
        <r>
          <rPr>
            <sz val="9"/>
            <color rgb="FF000000"/>
            <rFont val="Tahoma"/>
            <family val="2"/>
          </rPr>
          <t>°</t>
        </r>
        <r>
          <rPr>
            <sz val="9"/>
            <color rgb="FF000000"/>
            <rFont val="Tahoma"/>
            <family val="2"/>
          </rPr>
          <t xml:space="preserve"> FIC-D-2023-0209-M_05052023.</t>
        </r>
      </text>
    </comment>
    <comment ref="E226" authorId="1" shapeId="0" xr:uid="{00000000-0006-0000-1F00-0000B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$ 2.250,00 contrato año anterior. Adquisición de silla para cubículos ANDRANGO QUIMBIAMBA FCA</t>
        </r>
      </text>
    </comment>
    <comment ref="E227" authorId="1" shapeId="0" xr:uid="{00000000-0006-0000-1F00-0000C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$ 6.843,20 de acuerdo al POA 2023 de la FCE presentado.</t>
        </r>
      </text>
    </comment>
    <comment ref="E228" authorId="1" shapeId="0" xr:uid="{00000000-0006-0000-1F00-0000C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$ 6.370,00 Py de Inversión FIC</t>
        </r>
      </text>
    </comment>
    <comment ref="F228" authorId="0" shapeId="0" xr:uid="{00000000-0006-0000-1F00-0000C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$ 6.370,00 según memo N</t>
        </r>
        <r>
          <rPr>
            <sz val="9"/>
            <color rgb="FF000000"/>
            <rFont val="Tahoma"/>
            <family val="2"/>
          </rPr>
          <t>°</t>
        </r>
        <r>
          <rPr>
            <sz val="9"/>
            <color rgb="FF000000"/>
            <rFont val="Tahoma"/>
            <family val="2"/>
          </rPr>
          <t xml:space="preserve"> FIC-D-2023-0209-M_05052023.</t>
        </r>
      </text>
    </comment>
    <comment ref="E229" authorId="1" shapeId="0" xr:uid="{00000000-0006-0000-1F00-0000C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$ 3.495,00 por contrato del año anterior para adquisición de un estereomicroscopio para la ejecución de un proyecto de investigación de la FCQS - NARVAEZ SOLUCIONES INTEGRALES - NSI CIA.LTDA. - DIDI
</t>
        </r>
        <r>
          <rPr>
            <sz val="9"/>
            <color rgb="FF000000"/>
            <rFont val="Tahoma"/>
            <family val="2"/>
          </rPr>
          <t xml:space="preserve">
</t>
        </r>
        <r>
          <rPr>
            <sz val="9"/>
            <color rgb="FF000000"/>
            <rFont val="Tahoma"/>
            <family val="2"/>
          </rPr>
          <t xml:space="preserve">$ 8.692,25 por contrato de año anterior para adquisición de proyectores de imagen. TICS.
</t>
        </r>
        <r>
          <rPr>
            <sz val="9"/>
            <color rgb="FF000000"/>
            <rFont val="Tahoma"/>
            <family val="2"/>
          </rPr>
          <t xml:space="preserve">
</t>
        </r>
        <r>
          <rPr>
            <sz val="9"/>
            <color rgb="FF000000"/>
            <rFont val="Tahoma"/>
            <family val="2"/>
          </rPr>
          <t xml:space="preserve">$ 53.725,18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$ 13.192,00 según memo N</t>
        </r>
        <r>
          <rPr>
            <sz val="9"/>
            <color rgb="FF000000"/>
            <rFont val="Tahoma"/>
            <family val="2"/>
          </rPr>
          <t>°</t>
        </r>
        <r>
          <rPr>
            <sz val="9"/>
            <color rgb="FF000000"/>
            <rFont val="Tahoma"/>
            <family val="2"/>
          </rPr>
          <t xml:space="preserve"> DTIC-2023-0088-M_04052023</t>
        </r>
      </text>
    </comment>
    <comment ref="F229" authorId="2" shapeId="0" xr:uid="{00000000-0006-0000-1F00-0000C4000000}">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-06/06 Se reduce $10.192 por reunión mantenida con TICS por seguimiento y en virtud de oficio Nro. MEF-SP-2023-0501 para atender Memo Nro. 0399 de DADM.
</t>
        </r>
        <r>
          <rPr>
            <sz val="9"/>
            <color rgb="FF000000"/>
            <rFont val="Tahoma"/>
            <family val="34"/>
          </rPr>
          <t xml:space="preserve">
</t>
        </r>
        <r>
          <rPr>
            <sz val="9"/>
            <color rgb="FF000000"/>
            <rFont val="Tahoma"/>
            <family val="34"/>
          </rPr>
          <t xml:space="preserve">-Se redujo $5.600,00+134,40 según memo N 0604 FCQS_25052023
</t>
        </r>
        <r>
          <rPr>
            <sz val="9"/>
            <color rgb="FF000000"/>
            <rFont val="Tahoma"/>
            <family val="34"/>
          </rPr>
          <t xml:space="preserve">
</t>
        </r>
        <r>
          <rPr>
            <sz val="9"/>
            <color rgb="FF000000"/>
            <rFont val="Tahoma"/>
            <family val="34"/>
          </rPr>
          <t xml:space="preserve">-Se reduce $14280 a FCQS por seguimiento y en virtud de oficio Nro. MEF-SP-2023-0501 para atender Memo Nro. 0399 de DADM.
</t>
        </r>
      </text>
    </comment>
    <comment ref="E230" authorId="1" shapeId="0" xr:uid="{00000000-0006-0000-1F00-0000C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$ 924.169,72 Py de Inversión FIC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E231" authorId="1" shapeId="0" xr:uid="{00000000-0006-0000-1F00-0000C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$ 9.325,25 por contrato de año anterior para adquisición de proyectores de imagen. TICS.
</t>
        </r>
      </text>
    </comment>
    <comment ref="E232" authorId="3" shapeId="0" xr:uid="{00000000-0006-0000-1F00-0000C7000000}">
      <text>
        <r>
          <rPr>
            <b/>
            <sz val="7"/>
            <color rgb="FF000000"/>
            <rFont val="Tahoma"/>
            <family val="2"/>
          </rPr>
          <t>Eunice Basilio:</t>
        </r>
        <r>
          <rPr>
            <sz val="7"/>
            <color rgb="FF000000"/>
            <rFont val="Tahoma"/>
            <family val="2"/>
          </rPr>
          <t xml:space="preserve">
</t>
        </r>
        <r>
          <rPr>
            <sz val="7"/>
            <color rgb="FF000000"/>
            <rFont val="Tahoma"/>
            <family val="2"/>
          </rPr>
          <t>Reforma N</t>
        </r>
        <r>
          <rPr>
            <sz val="7"/>
            <color rgb="FF000000"/>
            <rFont val="Tahoma"/>
            <family val="2"/>
          </rPr>
          <t>°</t>
        </r>
        <r>
          <rPr>
            <sz val="7"/>
            <color rgb="FF000000"/>
            <rFont val="Tahoma"/>
            <family val="2"/>
          </rPr>
          <t xml:space="preserve"> 2:
</t>
        </r>
        <r>
          <rPr>
            <sz val="7"/>
            <color rgb="FF000000"/>
            <rFont val="Tahoma"/>
            <family val="2"/>
          </rPr>
          <t xml:space="preserve">Se incrementó $ 211.328,52 conforme archivo POA 2023.
</t>
        </r>
        <r>
          <rPr>
            <sz val="7"/>
            <color rgb="FF000000"/>
            <rFont val="Tahoma"/>
            <family val="2"/>
          </rPr>
          <t xml:space="preserve">$ 4.278,40 Vic. de Investigación, Vinculación y Posgrado
</t>
        </r>
        <r>
          <rPr>
            <sz val="7"/>
            <color rgb="FF000000"/>
            <rFont val="Tahoma"/>
            <family val="2"/>
          </rPr>
          <t xml:space="preserve">$ 134.551,20 DIDI (con el incremento de abajo)
</t>
        </r>
        <r>
          <rPr>
            <sz val="7"/>
            <color rgb="FF000000"/>
            <rFont val="Tahoma"/>
            <family val="2"/>
          </rPr>
          <t xml:space="preserve">$ 59.062,12 + 22.400,00 FCA
</t>
        </r>
        <r>
          <rPr>
            <sz val="7"/>
            <color rgb="FF000000"/>
            <rFont val="Tahoma"/>
            <family val="2"/>
          </rPr>
          <t xml:space="preserve">$ 12.028,80 + 18043,20 FCS
</t>
        </r>
        <r>
          <rPr>
            <sz val="7"/>
            <color rgb="FF000000"/>
            <rFont val="Tahoma"/>
            <family val="2"/>
          </rPr>
          <t xml:space="preserve">$ 400,00 Rectorado
</t>
        </r>
        <r>
          <rPr>
            <sz val="7"/>
            <color rgb="FF000000"/>
            <rFont val="Tahoma"/>
            <family val="2"/>
          </rPr>
          <t xml:space="preserve">$ 1.008,00 + 30.889,60 + 1.929,57 FCQS
</t>
        </r>
        <r>
          <rPr>
            <sz val="7"/>
            <color rgb="FF000000"/>
            <rFont val="Tahoma"/>
            <family val="2"/>
          </rPr>
          <t xml:space="preserve">$ 15.120,00 FIC
</t>
        </r>
        <r>
          <rPr>
            <sz val="7"/>
            <color rgb="FFFF0000"/>
            <rFont val="Tahoma"/>
            <family val="2"/>
          </rPr>
          <t xml:space="preserve">
</t>
        </r>
        <r>
          <rPr>
            <sz val="7"/>
            <color rgb="FF000000"/>
            <rFont val="Tahoma"/>
            <family val="2"/>
          </rPr>
          <t>Se redujo $ 132.871,20 según Memorando N</t>
        </r>
        <r>
          <rPr>
            <sz val="7"/>
            <color rgb="FF000000"/>
            <rFont val="Tahoma"/>
            <family val="2"/>
          </rPr>
          <t>°</t>
        </r>
        <r>
          <rPr>
            <sz val="7"/>
            <color rgb="FF000000"/>
            <rFont val="Tahoma"/>
            <family val="2"/>
          </rPr>
          <t xml:space="preserve"> UTMACH-DIDI-2023-0053-M_02/02/2023.
</t>
        </r>
        <r>
          <rPr>
            <sz val="7"/>
            <color rgb="FF000000"/>
            <rFont val="Tahoma"/>
            <family val="2"/>
          </rPr>
          <t xml:space="preserve">
</t>
        </r>
        <r>
          <rPr>
            <sz val="7"/>
            <color rgb="FF000000"/>
            <rFont val="Tahoma"/>
            <family val="2"/>
          </rPr>
          <t xml:space="preserve">Se incrementó $ 8.480,00 según adjunto de Vic. Investigación en e-mail enviado el 03/02/2023
</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3:
</t>
        </r>
        <r>
          <rPr>
            <sz val="7"/>
            <color rgb="FF000000"/>
            <rFont val="Tahoma"/>
            <family val="2"/>
          </rPr>
          <t>Se incrementó $ 9.559,07 según memo N</t>
        </r>
        <r>
          <rPr>
            <sz val="7"/>
            <color rgb="FF000000"/>
            <rFont val="Tahoma"/>
            <family val="2"/>
          </rPr>
          <t>°</t>
        </r>
        <r>
          <rPr>
            <sz val="7"/>
            <color rgb="FF000000"/>
            <rFont val="Tahoma"/>
            <family val="2"/>
          </rPr>
          <t xml:space="preserve"> 8 FCE-D-2023-0238-M_14032023
</t>
        </r>
        <r>
          <rPr>
            <sz val="7"/>
            <color rgb="FF000000"/>
            <rFont val="Tahoma"/>
            <family val="2"/>
          </rPr>
          <t xml:space="preserve">
</t>
        </r>
        <r>
          <rPr>
            <sz val="7"/>
            <color rgb="FF000000"/>
            <rFont val="Tahoma"/>
            <family val="2"/>
          </rPr>
          <t xml:space="preserve">05/06: Se incrementó $5000 a FCA por reunión de seguimiento
</t>
        </r>
        <r>
          <rPr>
            <sz val="7"/>
            <color rgb="FF000000"/>
            <rFont val="Tahoma"/>
            <family val="2"/>
          </rPr>
          <t xml:space="preserve">
</t>
        </r>
        <r>
          <rPr>
            <sz val="7"/>
            <color rgb="FF000000"/>
            <rFont val="Tahoma"/>
            <family val="2"/>
          </rPr>
          <t xml:space="preserve">Se incrementó $ 1.904,87+3.136,00+3.136,00 según memo N 0604 FCQS_25052023
</t>
        </r>
        <r>
          <rPr>
            <sz val="7"/>
            <color rgb="FF000000"/>
            <rFont val="Tahoma"/>
            <family val="2"/>
          </rPr>
          <t xml:space="preserve">
</t>
        </r>
        <r>
          <rPr>
            <sz val="7"/>
            <color rgb="FF000000"/>
            <rFont val="Tahoma"/>
            <family val="2"/>
          </rPr>
          <t xml:space="preserve">Se incrementó 923,41 en FCA por cuadre de grupo 84
</t>
        </r>
        <r>
          <rPr>
            <sz val="7"/>
            <color rgb="FF000000"/>
            <rFont val="Tahoma"/>
            <family val="2"/>
          </rPr>
          <t xml:space="preserve">
</t>
        </r>
        <r>
          <rPr>
            <sz val="7"/>
            <color rgb="FF000000"/>
            <rFont val="Tahoma"/>
            <family val="2"/>
          </rPr>
          <t>Se incrementó $11.620,00 por memo N</t>
        </r>
        <r>
          <rPr>
            <sz val="7"/>
            <color rgb="FF000000"/>
            <rFont val="Tahoma"/>
            <family val="2"/>
          </rPr>
          <t>°</t>
        </r>
        <r>
          <rPr>
            <sz val="7"/>
            <color rgb="FF000000"/>
            <rFont val="Tahoma"/>
            <family val="2"/>
          </rPr>
          <t xml:space="preserve"> UTMACH-FIC-D-2023-0312-M_18052023
</t>
        </r>
        <r>
          <rPr>
            <sz val="7"/>
            <color rgb="FF000000"/>
            <rFont val="Tahoma"/>
            <family val="2"/>
          </rPr>
          <t xml:space="preserve">
</t>
        </r>
        <r>
          <rPr>
            <sz val="7"/>
            <color rgb="FF000000"/>
            <rFont val="Tahoma"/>
            <family val="2"/>
          </rPr>
          <t xml:space="preserve">Se incrementó $ 13.405,61+6.776,00 según memo N 0604 FCQS_25052023
</t>
        </r>
        <r>
          <rPr>
            <sz val="7"/>
            <color rgb="FF000000"/>
            <rFont val="Tahoma"/>
            <family val="2"/>
          </rPr>
          <t xml:space="preserve">
</t>
        </r>
        <r>
          <rPr>
            <sz val="7"/>
            <color rgb="FF000000"/>
            <rFont val="Tahoma"/>
            <family val="2"/>
          </rPr>
          <t>Se incrementó en DIDI $ 39.637,92 - ($3.158,13 por cuadre de fuente) para cartera de proyectos de inversión 2023</t>
        </r>
      </text>
    </comment>
    <comment ref="F232" authorId="2" shapeId="0" xr:uid="{00000000-0006-0000-1F00-0000C8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$15.120,00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Se reduce $758,4 a VIVP por reunión de seguimiento y en virtud de oficio Nro. MEF-SP-2023-0501 para atender Memo Nro. 0399 de DADM.</t>
        </r>
      </text>
    </comment>
    <comment ref="E234" authorId="1" shapeId="0" xr:uid="{00000000-0006-0000-1F00-0000C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$ 1.344,10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$ 6.338,72 según memo N</t>
        </r>
        <r>
          <rPr>
            <sz val="9"/>
            <color rgb="FF000000"/>
            <rFont val="Tahoma"/>
            <family val="2"/>
          </rPr>
          <t>°</t>
        </r>
        <r>
          <rPr>
            <sz val="9"/>
            <color rgb="FF000000"/>
            <rFont val="Tahoma"/>
            <family val="2"/>
          </rPr>
          <t xml:space="preserve"> DTIC-2023-0088-M_04052023</t>
        </r>
      </text>
    </comment>
    <comment ref="F234" authorId="2" shapeId="0" xr:uid="{00000000-0006-0000-1F00-0000CA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reduce $1.086,02 por reunión de seguimiento con TICS y en virtud de oficio Nro. MEF-SP-2023-0501 para atender Memo Nro. 0399 de DADM.</t>
        </r>
      </text>
    </comment>
    <comment ref="E235" authorId="1" shapeId="0" xr:uid="{00000000-0006-0000-1F00-0000C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$ 244.548,86 Py de Inversión FIC</t>
        </r>
      </text>
    </comment>
    <comment ref="F235" authorId="0" shapeId="0" xr:uid="{00000000-0006-0000-1F00-0000C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$ 74.735,30 según memo N</t>
        </r>
        <r>
          <rPr>
            <sz val="9"/>
            <color rgb="FF000000"/>
            <rFont val="Tahoma"/>
            <family val="2"/>
          </rPr>
          <t>°</t>
        </r>
        <r>
          <rPr>
            <sz val="9"/>
            <color rgb="FF000000"/>
            <rFont val="Tahoma"/>
            <family val="2"/>
          </rPr>
          <t xml:space="preserve"> FIC-D-2023-0209-M_05052023.</t>
        </r>
      </text>
    </comment>
    <comment ref="E236" authorId="3" shapeId="0" xr:uid="{00000000-0006-0000-1F00-0000CD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$ 13.523,26 Vic. Investigación
</t>
        </r>
        <r>
          <rPr>
            <sz val="9"/>
            <color rgb="FF000000"/>
            <rFont val="Tahoma"/>
            <family val="2"/>
          </rPr>
          <t xml:space="preserve">$ 2.240,00 DIDI
</t>
        </r>
        <r>
          <rPr>
            <sz val="9"/>
            <color rgb="FF000000"/>
            <rFont val="Tahoma"/>
            <family val="2"/>
          </rPr>
          <t xml:space="preserve">$ 123.516,00 DTIC + 18.037,80
</t>
        </r>
        <r>
          <rPr>
            <sz val="9"/>
            <color rgb="FF000000"/>
            <rFont val="Tahoma"/>
            <family val="2"/>
          </rPr>
          <t xml:space="preserve">$ 65.044,00 FCE
</t>
        </r>
        <r>
          <rPr>
            <sz val="9"/>
            <color rgb="FF000000"/>
            <rFont val="Tahoma"/>
            <family val="2"/>
          </rPr>
          <t xml:space="preserve">$ 11.150,72  FCS
</t>
        </r>
        <r>
          <rPr>
            <sz val="9"/>
            <color rgb="FF000000"/>
            <rFont val="Tahoma"/>
            <family val="2"/>
          </rPr>
          <t xml:space="preserve">$ 7.504,00 Rectorado
</t>
        </r>
        <r>
          <rPr>
            <sz val="9"/>
            <color rgb="FF000000"/>
            <rFont val="Tahoma"/>
            <family val="2"/>
          </rPr>
          <t xml:space="preserve">
</t>
        </r>
        <r>
          <rPr>
            <sz val="9"/>
            <color rgb="FF000000"/>
            <rFont val="Tahoma"/>
            <family val="2"/>
          </rPr>
          <t>Se incrementó $ 1.771,84, según Memorando N</t>
        </r>
        <r>
          <rPr>
            <sz val="9"/>
            <color rgb="FF000000"/>
            <rFont val="Tahoma"/>
            <family val="2"/>
          </rPr>
          <t>°</t>
        </r>
        <r>
          <rPr>
            <sz val="9"/>
            <color rgb="FF000000"/>
            <rFont val="Tahoma"/>
            <family val="2"/>
          </rPr>
          <t xml:space="preserve"> UTMACH-DADM-2023-0013-M del 16/01/23 Se agrega a TICS.
</t>
        </r>
        <r>
          <rPr>
            <sz val="9"/>
            <color rgb="FF000000"/>
            <rFont val="Tahoma"/>
            <family val="2"/>
          </rPr>
          <t xml:space="preserve">
</t>
        </r>
        <r>
          <rPr>
            <sz val="9"/>
            <color rgb="FF000000"/>
            <rFont val="Tahoma"/>
            <family val="2"/>
          </rPr>
          <t>Se incrementó $ 45.920,00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$ 61.245,25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$3.500,00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incrementó $38.449,60 a FCE por cuadre de fuentes
</t>
        </r>
        <r>
          <rPr>
            <sz val="9"/>
            <color rgb="FF000000"/>
            <rFont val="Tahoma"/>
            <family val="2"/>
          </rPr>
          <t xml:space="preserve">
</t>
        </r>
        <r>
          <rPr>
            <sz val="9"/>
            <color rgb="FF000000"/>
            <rFont val="Tahoma"/>
            <family val="2"/>
          </rPr>
          <t>Se incrementó $10.080 a DIDI para cubrir cartera de Proyectos de investigación</t>
        </r>
      </text>
    </comment>
    <comment ref="F236" authorId="0" shapeId="0" xr:uid="{00000000-0006-0000-1F00-0000CE000000}">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$ 9.559,07 según memo N</t>
        </r>
        <r>
          <rPr>
            <sz val="9"/>
            <color rgb="FF000000"/>
            <rFont val="Tahoma"/>
            <family val="2"/>
          </rPr>
          <t>°</t>
        </r>
        <r>
          <rPr>
            <sz val="9"/>
            <color rgb="FF000000"/>
            <rFont val="Tahoma"/>
            <family val="2"/>
          </rPr>
          <t xml:space="preserve"> 8 FCE-D-2023-0238-M_14032023
</t>
        </r>
        <r>
          <rPr>
            <sz val="9"/>
            <color rgb="FF000000"/>
            <rFont val="Tahoma"/>
            <family val="2"/>
          </rPr>
          <t xml:space="preserve">
</t>
        </r>
        <r>
          <rPr>
            <sz val="9"/>
            <color rgb="FF000000"/>
            <rFont val="Tahoma"/>
            <family val="2"/>
          </rPr>
          <t xml:space="preserve">Se redujo $7.504 para cubrir solicitud de memo N CGR-2023-0180-M
</t>
        </r>
        <r>
          <rPr>
            <sz val="9"/>
            <color rgb="FF000000"/>
            <rFont val="Tahoma"/>
            <family val="2"/>
          </rPr>
          <t xml:space="preserve">
</t>
        </r>
        <r>
          <rPr>
            <sz val="9"/>
            <color rgb="FF000000"/>
            <rFont val="Tahoma"/>
            <family val="2"/>
          </rPr>
          <t xml:space="preserve">Por seguimiento y en virtud de oficio Nro. MEF-SP-2023-0501 para atender Memo Nro. 0399 de DADM:
</t>
        </r>
        <r>
          <rPr>
            <sz val="9"/>
            <color rgb="FF000000"/>
            <rFont val="Tahoma"/>
            <family val="2"/>
          </rPr>
          <t xml:space="preserve">
</t>
        </r>
        <r>
          <rPr>
            <sz val="9"/>
            <color rgb="FF000000"/>
            <rFont val="Tahoma"/>
            <family val="2"/>
          </rPr>
          <t xml:space="preserve">-05/06: Se redujo $2.081,43 según reunión mantenida con VIVP 
</t>
        </r>
        <r>
          <rPr>
            <sz val="9"/>
            <color rgb="FF000000"/>
            <rFont val="Tahoma"/>
            <family val="2"/>
          </rPr>
          <t xml:space="preserve">
</t>
        </r>
        <r>
          <rPr>
            <sz val="9"/>
            <color rgb="FF000000"/>
            <rFont val="Tahoma"/>
            <family val="2"/>
          </rPr>
          <t xml:space="preserve">- Se reduce $33.488 según reunión mantenida con TICS
</t>
        </r>
        <r>
          <rPr>
            <sz val="9"/>
            <color rgb="FF000000"/>
            <rFont val="Tahoma"/>
            <family val="2"/>
          </rPr>
          <t xml:space="preserve">
</t>
        </r>
        <r>
          <rPr>
            <sz val="9"/>
            <color rgb="FF000000"/>
            <rFont val="Tahoma"/>
            <family val="2"/>
          </rPr>
          <t xml:space="preserve">- Se redujo $16.587,2 según seguimiento DIDI
</t>
        </r>
        <r>
          <rPr>
            <sz val="9"/>
            <color rgb="FF000000"/>
            <rFont val="Tahoma"/>
            <family val="2"/>
          </rPr>
          <t xml:space="preserve">
</t>
        </r>
        <r>
          <rPr>
            <sz val="9"/>
            <color rgb="FF000000"/>
            <rFont val="Tahoma"/>
            <family val="2"/>
          </rPr>
          <t>- Se redujo $5,81 por cuadre de grupo 83</t>
        </r>
      </text>
    </comment>
    <comment ref="E237" authorId="3" shapeId="0" xr:uid="{00000000-0006-0000-1F00-0000CF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$ 414.919,06 Py de Red Lan DTIC</t>
        </r>
      </text>
    </comment>
    <comment ref="E239" authorId="2" shapeId="0" xr:uid="{00000000-0006-0000-1F00-0000D0000000}">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incrementa $13.133,00 en atención al memo nro 083 DIDI-BG</t>
        </r>
      </text>
    </comment>
    <comment ref="E240" authorId="1" shapeId="0" xr:uid="{00000000-0006-0000-1F00-0000D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 según Memorando N</t>
        </r>
        <r>
          <rPr>
            <sz val="9"/>
            <color rgb="FF000000"/>
            <rFont val="Tahoma"/>
            <family val="2"/>
          </rPr>
          <t>°</t>
        </r>
        <r>
          <rPr>
            <sz val="9"/>
            <color rgb="FF000000"/>
            <rFont val="Tahoma"/>
            <family val="2"/>
          </rPr>
          <t xml:space="preserve"> UTMACH-DIDI-2023-0053-M_02/02/2023.</t>
        </r>
      </text>
    </comment>
    <comment ref="F246" authorId="1" shapeId="0" xr:uid="{00000000-0006-0000-1F00-0000D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$ 8.960,00 Vic. de Investigación
</t>
        </r>
        <r>
          <rPr>
            <sz val="9"/>
            <color rgb="FF000000"/>
            <rFont val="Tahoma"/>
            <family val="2"/>
          </rPr>
          <t xml:space="preserve">según adjunto de Vic. Investigación en e-mail enviado el 03/02/2023
</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$9.640,00 Dircom conforme a la reunión con fecha 01/06 con la Directora </t>
        </r>
        <r>
          <rPr>
            <sz val="10"/>
            <color rgb="FF000000"/>
            <rFont val="Courier"/>
            <family val="1"/>
          </rPr>
          <t>por seguimiento y en virtud de oficio Nro. MEF-SP-2023-0501 para atender Memo Nro. 0399 de DADM.</t>
        </r>
      </text>
    </comment>
    <comment ref="F248" authorId="0" shapeId="0" xr:uid="{00000000-0006-0000-1F00-0000D3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$ 1.344,00, según memo N</t>
        </r>
        <r>
          <rPr>
            <sz val="9"/>
            <color rgb="FF000000"/>
            <rFont val="Tahoma"/>
            <family val="2"/>
          </rPr>
          <t>°</t>
        </r>
        <r>
          <rPr>
            <sz val="9"/>
            <color rgb="FF000000"/>
            <rFont val="Tahoma"/>
            <family val="2"/>
          </rPr>
          <t xml:space="preserve"> DVIN-2023-0106-M_17032023</t>
        </r>
      </text>
    </comment>
    <comment ref="F249" authorId="0" shapeId="0" xr:uid="{00000000-0006-0000-1F00-0000D4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F250" authorId="0" shapeId="0" xr:uid="{00000000-0006-0000-1F00-0000D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$ 2.121,28, según memo N</t>
        </r>
        <r>
          <rPr>
            <sz val="9"/>
            <color rgb="FF000000"/>
            <rFont val="Tahoma"/>
            <family val="2"/>
          </rPr>
          <t>°</t>
        </r>
        <r>
          <rPr>
            <sz val="9"/>
            <color rgb="FF000000"/>
            <rFont val="Tahoma"/>
            <family val="2"/>
          </rPr>
          <t xml:space="preserve"> DVIN-2023-0106-M_17032023</t>
        </r>
      </text>
    </comment>
    <comment ref="F251" authorId="0" shapeId="0" xr:uid="{00000000-0006-0000-1F00-0000D6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del POA $ 5.600,00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
</t>
        </r>
        <r>
          <rPr>
            <sz val="9"/>
            <color rgb="FF000000"/>
            <rFont val="Tahoma"/>
            <family val="2"/>
          </rPr>
          <t xml:space="preserve">
</t>
        </r>
        <r>
          <rPr>
            <sz val="9"/>
            <color rgb="FF000000"/>
            <rFont val="Tahoma"/>
            <family val="2"/>
          </rPr>
          <t>Se redujo $795,65 a FCS en reunión de seguimiento y para unificar en el programa 83</t>
        </r>
      </text>
    </comment>
    <comment ref="E252" authorId="1" shapeId="0" xr:uid="{00000000-0006-0000-1F00-0000D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$ 2.352,00 FCQS</t>
        </r>
      </text>
    </comment>
    <comment ref="F253" authorId="1" shapeId="0" xr:uid="{00000000-0006-0000-1F00-0000D8000000}">
      <text>
        <r>
          <rPr>
            <b/>
            <sz val="9"/>
            <color rgb="FF000000"/>
            <rFont val="Tahoma"/>
            <family val="34"/>
          </rPr>
          <t xml:space="preserve">HP:
</t>
        </r>
        <r>
          <rPr>
            <b/>
            <sz val="9"/>
            <color rgb="FF000000"/>
            <rFont val="Tahoma"/>
            <family val="34"/>
          </rPr>
          <t>Reforma 3:</t>
        </r>
        <r>
          <rPr>
            <sz val="9"/>
            <color rgb="FF000000"/>
            <rFont val="Tahoma"/>
            <family val="34"/>
          </rPr>
          <t xml:space="preserve">
</t>
        </r>
        <r>
          <rPr>
            <sz val="9"/>
            <color rgb="FF000000"/>
            <rFont val="Tahoma"/>
            <family val="34"/>
          </rPr>
          <t xml:space="preserve">Se redujo $22.400,00 a FCA en reunión de seguimiento y en virtud de oficio Nro. MEF-SP-2023-0501 para atender Memo Nro. 0399 de DADM.
</t>
        </r>
      </text>
    </comment>
    <comment ref="E254" authorId="0" shapeId="0" xr:uid="{00000000-0006-0000-1F00-0000D9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$ 18.120,00 según memo N</t>
        </r>
        <r>
          <rPr>
            <sz val="9"/>
            <color rgb="FF000000"/>
            <rFont val="Tahoma"/>
            <family val="2"/>
          </rPr>
          <t>°</t>
        </r>
        <r>
          <rPr>
            <sz val="9"/>
            <color rgb="FF000000"/>
            <rFont val="Tahoma"/>
            <family val="2"/>
          </rPr>
          <t xml:space="preserve"> UTMACH-DEC-2023-0147-M_05062023</t>
        </r>
      </text>
    </comment>
    <comment ref="F254" authorId="1" shapeId="0" xr:uid="{00000000-0006-0000-1F00-0000D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 xml:space="preserve">06/06: Se redujo $20.000 a DTH </t>
        </r>
        <r>
          <rPr>
            <sz val="10"/>
            <color rgb="FF000000"/>
            <rFont val="Tahoma"/>
            <family val="34"/>
          </rPr>
          <t>por seguimiento y en virtud de oficio Nro. MEF-SP-2023-0501 para atender Memo Nro. 0399 de DADM, y en atención al memo nro 0764 DTH</t>
        </r>
      </text>
    </comment>
    <comment ref="F255" authorId="1" shapeId="0" xr:uid="{00000000-0006-0000-1F00-0000D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$ 20.160,00 de acuerdo al 1er POA 2023 de la FCE presentado (por no estar desagregado).</t>
        </r>
      </text>
    </comment>
    <comment ref="E256" authorId="0" shapeId="0" xr:uid="{00000000-0006-0000-1F00-0000D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$ 2.859,53+5.600,00-150,00 según memo N</t>
        </r>
        <r>
          <rPr>
            <sz val="9"/>
            <color rgb="FF000000"/>
            <rFont val="Tahoma"/>
            <family val="2"/>
          </rPr>
          <t>°</t>
        </r>
        <r>
          <rPr>
            <sz val="9"/>
            <color rgb="FF000000"/>
            <rFont val="Tahoma"/>
            <family val="2"/>
          </rPr>
          <t xml:space="preserve"> DVIN-2023-0106-M_17032023</t>
        </r>
      </text>
    </comment>
    <comment ref="F256" authorId="0" shapeId="0" xr:uid="{00000000-0006-0000-1F00-0000DD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$ 17920 a DVIN según reunión de seguimiento y en virtud de oficio Nro. MEF-SP-2023-0501 para atender Memo Nro. 0399 de DADM.</t>
        </r>
      </text>
    </comment>
    <comment ref="F257" authorId="1" shapeId="0" xr:uid="{00000000-0006-0000-1F00-0000D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$ 6.800,00 Dir. Educ. Continua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F258" authorId="2" shapeId="0" xr:uid="{00000000-0006-0000-1F00-0000DF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$250,00 por cuanto en el memo 0460 FCS se prescinde de la compra del hardware.</t>
        </r>
      </text>
    </comment>
    <comment ref="F259" authorId="0" shapeId="0" xr:uid="{00000000-0006-0000-1F00-0000E0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F260" authorId="0" shapeId="0" xr:uid="{00000000-0006-0000-1F00-0000E1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$ 536,00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F261" authorId="2" shapeId="0" xr:uid="{00000000-0006-0000-1F00-0000E2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$61,09 FCS proceso ejecutado</t>
        </r>
      </text>
    </comment>
    <comment ref="F262" authorId="1" shapeId="0" xr:uid="{00000000-0006-0000-1F00-0000E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$ 1.261,38 Dir. Educ. Continua</t>
        </r>
      </text>
    </comment>
    <comment ref="F264" authorId="1" shapeId="0" xr:uid="{00000000-0006-0000-1F00-0000E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$ 26.096,00 FCQS</t>
        </r>
      </text>
    </comment>
    <comment ref="E265" authorId="0" shapeId="0" xr:uid="{00000000-0006-0000-1F00-0000E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icrementó $ 3.382,40, según memo N</t>
        </r>
        <r>
          <rPr>
            <sz val="9"/>
            <color rgb="FF000000"/>
            <rFont val="Tahoma"/>
            <family val="2"/>
          </rPr>
          <t>°</t>
        </r>
        <r>
          <rPr>
            <sz val="9"/>
            <color rgb="FF000000"/>
            <rFont val="Tahoma"/>
            <family val="2"/>
          </rPr>
          <t xml:space="preserve"> DVIN-2023-0106-M_17032023</t>
        </r>
      </text>
    </comment>
    <comment ref="F265" authorId="2" shapeId="0" xr:uid="{00000000-0006-0000-1F00-0000E6000000}">
      <text>
        <r>
          <rPr>
            <b/>
            <sz val="9"/>
            <color rgb="FF000000"/>
            <rFont val="Tahoma"/>
            <family val="2"/>
          </rPr>
          <t>Valeria Ramon Capa:</t>
        </r>
        <r>
          <rPr>
            <sz val="9"/>
            <color rgb="FF000000"/>
            <rFont val="Tahoma"/>
            <family val="2"/>
          </rPr>
          <t xml:space="preserve">
</t>
        </r>
        <r>
          <rPr>
            <b/>
            <sz val="9"/>
            <color rgb="FF000000"/>
            <rFont val="Tahoma"/>
            <family val="2"/>
          </rPr>
          <t>Reforma 3:</t>
        </r>
        <r>
          <rPr>
            <sz val="9"/>
            <color rgb="FF000000"/>
            <rFont val="Tahoma"/>
            <family val="2"/>
          </rPr>
          <t xml:space="preserve">
</t>
        </r>
        <r>
          <rPr>
            <sz val="9"/>
            <color rgb="FF000000"/>
            <rFont val="Tahoma"/>
            <family val="2"/>
          </rPr>
          <t>Se redujo $1.344,00 a FCA en reunión de seguimiento y en virtud de oficio Nro. MEF-SP-2023-0501 para atender Memo Nro. 0399 de DADM.</t>
        </r>
      </text>
    </comment>
    <comment ref="E266" authorId="1" shapeId="0" xr:uid="{00000000-0006-0000-1F00-0000E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$ 162,40 FCQS</t>
        </r>
      </text>
    </comment>
    <comment ref="E267" authorId="1" shapeId="0" xr:uid="{00000000-0006-0000-1F00-0000E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$ 619,36 FCQS
</t>
        </r>
      </text>
    </comment>
    <comment ref="E268" authorId="1" shapeId="0" xr:uid="{00000000-0006-0000-1F00-0000E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$ 5.600,00 FCQS
</t>
        </r>
      </text>
    </comment>
    <comment ref="F270" authorId="1" shapeId="0" xr:uid="{00000000-0006-0000-1F00-0000E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$ 21.280,00 DBUAC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$ 15.879,05, según memo N</t>
        </r>
        <r>
          <rPr>
            <sz val="9"/>
            <color rgb="FF000000"/>
            <rFont val="Tahoma"/>
            <family val="2"/>
          </rPr>
          <t>°</t>
        </r>
        <r>
          <rPr>
            <sz val="9"/>
            <color rgb="FF000000"/>
            <rFont val="Tahoma"/>
            <family val="2"/>
          </rPr>
          <t xml:space="preserve"> DBUAC-2023-0124-M_03032023</t>
        </r>
      </text>
    </comment>
    <comment ref="F272" authorId="0" shapeId="0" xr:uid="{00000000-0006-0000-1F00-0000EB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$ 1.037,14, según memo N</t>
        </r>
        <r>
          <rPr>
            <sz val="9"/>
            <color rgb="FF000000"/>
            <rFont val="Tahoma"/>
            <family val="2"/>
          </rPr>
          <t>°</t>
        </r>
        <r>
          <rPr>
            <sz val="9"/>
            <color rgb="FF000000"/>
            <rFont val="Tahoma"/>
            <family val="2"/>
          </rPr>
          <t xml:space="preserve"> DVIN-2023-0106-M_17032023</t>
        </r>
      </text>
    </comment>
    <comment ref="E275" authorId="3" shapeId="0" xr:uid="{00000000-0006-0000-1F00-0000E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$ 14.739,77 conforme archivo POA 2023.
</t>
        </r>
        <r>
          <rPr>
            <sz val="9"/>
            <color rgb="FF000000"/>
            <rFont val="Tahoma"/>
            <family val="2"/>
          </rPr>
          <t xml:space="preserve">
</t>
        </r>
        <r>
          <rPr>
            <sz val="9"/>
            <color rgb="FF000000"/>
            <rFont val="Tahoma"/>
            <family val="2"/>
          </rPr>
          <t>Se incrementó $ 5.107,94 FCQS</t>
        </r>
      </text>
    </comment>
    <comment ref="F275" authorId="0" shapeId="0" xr:uid="{00000000-0006-0000-1F00-0000ED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$ 2.132,48, según memo N</t>
        </r>
        <r>
          <rPr>
            <sz val="9"/>
            <color rgb="FF000000"/>
            <rFont val="Tahoma"/>
            <family val="2"/>
          </rPr>
          <t>°</t>
        </r>
        <r>
          <rPr>
            <sz val="9"/>
            <color rgb="FF000000"/>
            <rFont val="Tahoma"/>
            <family val="2"/>
          </rPr>
          <t xml:space="preserve"> DVIN-2023-0106-M_17032023</t>
        </r>
      </text>
    </comment>
    <comment ref="E276" authorId="2" shapeId="0" xr:uid="{00000000-0006-0000-1F00-0000EE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incrementó $ 8.042,47+134,40 según memo N 0604 FCQS_25052023</t>
        </r>
      </text>
    </comment>
    <comment ref="E277" authorId="3" shapeId="0" xr:uid="{00000000-0006-0000-1F00-0000EF000000}">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incrementó $ 20.678,10 conforme archivo POA 2023.
</t>
        </r>
        <r>
          <rPr>
            <sz val="8"/>
            <color rgb="FF000000"/>
            <rFont val="Tahoma"/>
            <family val="34"/>
          </rPr>
          <t xml:space="preserve">
</t>
        </r>
        <r>
          <rPr>
            <sz val="8"/>
            <color rgb="FF000000"/>
            <rFont val="Tahoma"/>
            <family val="34"/>
          </rPr>
          <t xml:space="preserve">Se incrementó $ 5.308,80 por contrato de año anterior para adquisición de proyectores de imagen. TICS
</t>
        </r>
        <r>
          <rPr>
            <sz val="8"/>
            <color rgb="FF000000"/>
            <rFont val="Tahoma"/>
            <family val="34"/>
          </rPr>
          <t xml:space="preserve">
</t>
        </r>
        <r>
          <rPr>
            <sz val="8"/>
            <color rgb="FF000000"/>
            <rFont val="Tahoma"/>
            <family val="34"/>
          </rPr>
          <t xml:space="preserve">Se incrementó $ 9.924,07 FCQS
</t>
        </r>
        <r>
          <rPr>
            <sz val="8"/>
            <color rgb="FF000000"/>
            <rFont val="Tahoma"/>
            <family val="34"/>
          </rPr>
          <t xml:space="preserve">
</t>
        </r>
        <r>
          <rPr>
            <b/>
            <sz val="8"/>
            <color rgb="FF000000"/>
            <rFont val="Tahoma"/>
            <family val="34"/>
          </rPr>
          <t>Reforma N</t>
        </r>
        <r>
          <rPr>
            <b/>
            <sz val="8"/>
            <color rgb="FF000000"/>
            <rFont val="Tahoma"/>
            <family val="34"/>
          </rPr>
          <t>°</t>
        </r>
        <r>
          <rPr>
            <b/>
            <sz val="8"/>
            <color rgb="FF000000"/>
            <rFont val="Tahoma"/>
            <family val="34"/>
          </rPr>
          <t xml:space="preserve"> 3:
</t>
        </r>
        <r>
          <rPr>
            <sz val="8"/>
            <color rgb="FF000000"/>
            <rFont val="Tahoma"/>
            <family val="34"/>
          </rPr>
          <t>Se incrementó $ 2.265,62, según memo N</t>
        </r>
        <r>
          <rPr>
            <sz val="8"/>
            <color rgb="FF000000"/>
            <rFont val="Tahoma"/>
            <family val="34"/>
          </rPr>
          <t>°</t>
        </r>
        <r>
          <rPr>
            <sz val="8"/>
            <color rgb="FF000000"/>
            <rFont val="Tahoma"/>
            <family val="34"/>
          </rPr>
          <t xml:space="preserve"> DVIN-2023-0106-M_17032023
</t>
        </r>
        <r>
          <rPr>
            <sz val="8"/>
            <color rgb="FF000000"/>
            <rFont val="Tahoma"/>
            <family val="34"/>
          </rPr>
          <t xml:space="preserve">Se incrementó $1.568,00 por atención de memo N 231 DVIN.         
</t>
        </r>
        <r>
          <rPr>
            <sz val="8"/>
            <color rgb="FF000000"/>
            <rFont val="Tahoma"/>
            <family val="34"/>
          </rPr>
          <t xml:space="preserve">    El incremento total de DVIN  = $4.005,12
</t>
        </r>
        <r>
          <rPr>
            <sz val="8"/>
            <color rgb="FF000000"/>
            <rFont val="Tahoma"/>
            <family val="34"/>
          </rPr>
          <t xml:space="preserve">
</t>
        </r>
        <r>
          <rPr>
            <sz val="8"/>
            <color rgb="FF000000"/>
            <rFont val="Tahoma"/>
            <family val="34"/>
          </rPr>
          <t>Se incrementó $ 15.879,05, según memo N</t>
        </r>
        <r>
          <rPr>
            <sz val="8"/>
            <color rgb="FF000000"/>
            <rFont val="Tahoma"/>
            <family val="34"/>
          </rPr>
          <t>°</t>
        </r>
        <r>
          <rPr>
            <sz val="8"/>
            <color rgb="FF000000"/>
            <rFont val="Tahoma"/>
            <family val="34"/>
          </rPr>
          <t xml:space="preserve"> DBUAC-2023-0124-M_03032023
</t>
        </r>
        <r>
          <rPr>
            <sz val="8"/>
            <color rgb="FF000000"/>
            <rFont val="Tahoma"/>
            <family val="34"/>
          </rPr>
          <t xml:space="preserve">
</t>
        </r>
        <r>
          <rPr>
            <sz val="8"/>
            <color rgb="FF000000"/>
            <rFont val="Tahoma"/>
            <family val="34"/>
          </rPr>
          <t>Se incrementó $12.549,71 por cuadre de financiamiento del POA</t>
        </r>
      </text>
    </comment>
    <comment ref="F277" authorId="2" shapeId="0" xr:uid="{00000000-0006-0000-1F00-0000F0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$1.568 + $4009,60 = $5.577,60 según memo N FCS 460
</t>
        </r>
        <r>
          <rPr>
            <sz val="9"/>
            <color rgb="FF000000"/>
            <rFont val="Tahoma"/>
            <family val="2"/>
          </rPr>
          <t xml:space="preserve">
</t>
        </r>
        <r>
          <rPr>
            <sz val="9"/>
            <color rgb="FF000000"/>
            <rFont val="Tahoma"/>
            <family val="2"/>
          </rPr>
          <t xml:space="preserve">Se reduce $3.528,00 según memo DEC 075
</t>
        </r>
        <r>
          <rPr>
            <sz val="9"/>
            <color rgb="FF000000"/>
            <rFont val="Tahoma"/>
            <family val="2"/>
          </rPr>
          <t xml:space="preserve">
</t>
        </r>
        <r>
          <rPr>
            <sz val="9"/>
            <color rgb="FF000000"/>
            <rFont val="Tahoma"/>
            <family val="2"/>
          </rPr>
          <t>Se redujo $1.904,87+3.136,00+3.136,00= $8.176,87 según memo N 0604 FCQS_25052023</t>
        </r>
      </text>
    </comment>
    <comment ref="E278" authorId="3" shapeId="0" xr:uid="{00000000-0006-0000-1F00-0000F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$ 21.446,90 conforme archivo POA 2023.
</t>
        </r>
        <r>
          <rPr>
            <sz val="9"/>
            <color rgb="FF000000"/>
            <rFont val="Tahoma"/>
            <family val="2"/>
          </rPr>
          <t xml:space="preserve">
</t>
        </r>
        <r>
          <rPr>
            <sz val="9"/>
            <color rgb="FF000000"/>
            <rFont val="Tahoma"/>
            <family val="2"/>
          </rPr>
          <t xml:space="preserve">Se incrementó $ 336,01 FCQS
</t>
        </r>
        <r>
          <rPr>
            <sz val="9"/>
            <color rgb="FF000000"/>
            <rFont val="Tahoma"/>
            <family val="2"/>
          </rPr>
          <t xml:space="preserve">
</t>
        </r>
        <r>
          <rPr>
            <sz val="9"/>
            <color rgb="FF000000"/>
            <rFont val="Tahoma"/>
            <family val="2"/>
          </rPr>
          <t xml:space="preserve">Reforma 3:
</t>
        </r>
        <r>
          <rPr>
            <sz val="9"/>
            <color rgb="FF000000"/>
            <rFont val="Tahoma"/>
            <family val="2"/>
          </rPr>
          <t>Se incrementó $26.880,00 por atención de memo N 231 DVIN</t>
        </r>
      </text>
    </comment>
    <comment ref="F278" authorId="0" shapeId="0" xr:uid="{00000000-0006-0000-1F00-0000F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$ 133,14,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sz val="9"/>
            <color rgb="FF000000"/>
            <rFont val="Tahoma"/>
            <family val="2"/>
          </rPr>
          <t>Se redujo $1800,02 según memo N FCS-2023-0460</t>
        </r>
      </text>
    </comment>
    <comment ref="E279" authorId="1" shapeId="0" xr:uid="{00000000-0006-0000-1F00-0000F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$ 5.600,00 FCQS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LENOVO</author>
    <author>HP</author>
    <author>Valeria Ramon Capa</author>
    <author>Eunice Basilio</author>
  </authors>
  <commentList>
    <comment ref="E7" authorId="0" shapeId="0" xr:uid="{00000000-0006-0000-2000-000001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$ 30.000,00 para financiar Décimo Tercer Sueldo</t>
        </r>
      </text>
    </comment>
    <comment ref="E8" authorId="0" shapeId="0" xr:uid="{00000000-0006-0000-2000-000002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$ 20.000,00 para financiar Décimo Tercer Sueldo</t>
        </r>
      </text>
    </comment>
    <comment ref="E9" authorId="0" shapeId="0" xr:uid="{00000000-0006-0000-2000-000003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$ 10.000,00 para financiar Décimo Tercer Sueldo</t>
        </r>
      </text>
    </comment>
    <comment ref="E10" authorId="0" shapeId="0" xr:uid="{00000000-0006-0000-2000-000004000000}">
      <text>
        <r>
          <rPr>
            <b/>
            <sz val="9"/>
            <color indexed="81"/>
            <rFont val="Tahoma"/>
            <family val="2"/>
          </rPr>
          <t>LENOVO:</t>
        </r>
        <r>
          <rPr>
            <sz val="9"/>
            <color indexed="81"/>
            <rFont val="Tahoma"/>
            <family val="2"/>
          </rPr>
          <t xml:space="preserve">
Reforma N° 3:
Se reduce $2.000,00 para cubrir vacaciones.</t>
        </r>
      </text>
    </comment>
    <comment ref="E11" authorId="0" shapeId="0" xr:uid="{00000000-0006-0000-2000-00000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reduce $2.000,00 para cubrir vacaciones.</t>
        </r>
      </text>
    </comment>
    <comment ref="D12" authorId="1" shapeId="0" xr:uid="{00000000-0006-0000-2000-00000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$ 28.000,00 por contrato año anterior para adquisición de SIMCARD DBU</t>
        </r>
      </text>
    </comment>
    <comment ref="E12" authorId="2" shapeId="0" xr:uid="{00000000-0006-0000-2000-000007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redujo $2.000,00 a DBUAC en reunión de seguimiento y en virtud de oficio Nro. MEF-SP-2023-0501 para atender Memo Nro. 0399 de DADM.
</t>
        </r>
      </text>
    </comment>
    <comment ref="D13" authorId="0" shapeId="0" xr:uid="{00000000-0006-0000-2000-000008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E13" authorId="1" shapeId="0" xr:uid="{00000000-0006-0000-2000-00000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$ 1.000,00 para cubrir liquidaciones por juicios en la partida N</t>
        </r>
        <r>
          <rPr>
            <sz val="9"/>
            <color rgb="FF000000"/>
            <rFont val="Tahoma"/>
            <family val="2"/>
          </rPr>
          <t>°</t>
        </r>
        <r>
          <rPr>
            <sz val="9"/>
            <color rgb="FF000000"/>
            <rFont val="Tahoma"/>
            <family val="2"/>
          </rPr>
          <t xml:space="preserve"> 990101 0701 003 en el programa 82</t>
        </r>
      </text>
    </comment>
    <comment ref="D14" authorId="2" shapeId="0" xr:uid="{00000000-0006-0000-2000-00000A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$2.509,82 por cuadre de fuente de 003 a fuente 002</t>
        </r>
      </text>
    </comment>
    <comment ref="E15" authorId="2" shapeId="0" xr:uid="{00000000-0006-0000-2000-00000B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$2.564,80 por cuadre de fuente de 003 a fuente 002</t>
        </r>
      </text>
    </comment>
    <comment ref="D16" authorId="0" shapeId="0" xr:uid="{00000000-0006-0000-2000-00000C000000}">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$ 26.320,00+3.139,70, según memo N</t>
        </r>
        <r>
          <rPr>
            <sz val="9"/>
            <color rgb="FF000000"/>
            <rFont val="Tahoma"/>
            <family val="34"/>
          </rPr>
          <t>°</t>
        </r>
        <r>
          <rPr>
            <sz val="9"/>
            <color rgb="FF000000"/>
            <rFont val="Tahoma"/>
            <family val="34"/>
          </rPr>
          <t xml:space="preserve"> DBUAC-2023-0124-M_03032023, reducción de (13.160,00-200) a DBUAC por atención de Memo N 0399 de DADM y en virtud del seguimiento 
</t>
        </r>
        <r>
          <rPr>
            <sz val="9"/>
            <color rgb="FF000000"/>
            <rFont val="Tahoma"/>
            <family val="34"/>
          </rPr>
          <t xml:space="preserve">
</t>
        </r>
        <r>
          <rPr>
            <sz val="9"/>
            <color rgb="FF000000"/>
            <rFont val="Tahoma"/>
            <family val="34"/>
          </rPr>
          <t>-Se incrementó $ 100,00 según memo N</t>
        </r>
        <r>
          <rPr>
            <sz val="9"/>
            <color rgb="FF000000"/>
            <rFont val="Tahoma"/>
            <family val="34"/>
          </rPr>
          <t>°</t>
        </r>
        <r>
          <rPr>
            <sz val="9"/>
            <color rgb="FF000000"/>
            <rFont val="Tahoma"/>
            <family val="34"/>
          </rPr>
          <t xml:space="preserve"> DADM-2023-0335-M_16052023
</t>
        </r>
        <r>
          <rPr>
            <sz val="9"/>
            <color rgb="FF000000"/>
            <rFont val="Tahoma"/>
            <family val="34"/>
          </rPr>
          <t xml:space="preserve">
</t>
        </r>
        <r>
          <rPr>
            <sz val="9"/>
            <color rgb="FF000000"/>
            <rFont val="Tahoma"/>
            <family val="34"/>
          </rPr>
          <t>-Se incrementó $3.144,06 según memo Nro DF-UT-2023-0116-M_10042023</t>
        </r>
      </text>
    </comment>
    <comment ref="E16" authorId="2" shapeId="0" xr:uid="{00000000-0006-0000-2000-00000D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reduce $234,08 por memo VADM 382</t>
        </r>
      </text>
    </comment>
    <comment ref="D17" authorId="2" shapeId="0" xr:uid="{00000000-0006-0000-2000-00000E000000}">
      <text>
        <r>
          <rPr>
            <b/>
            <sz val="10"/>
            <color rgb="FF000000"/>
            <rFont val="Tahoma"/>
            <family val="2"/>
          </rPr>
          <t>Valeria Ramon Capa:</t>
        </r>
        <r>
          <rPr>
            <sz val="10"/>
            <color rgb="FF000000"/>
            <rFont val="Tahoma"/>
            <family val="2"/>
          </rPr>
          <t xml:space="preserve">
</t>
        </r>
        <r>
          <rPr>
            <sz val="10"/>
            <color rgb="FF000000"/>
            <rFont val="Courier"/>
            <family val="1"/>
          </rPr>
          <t xml:space="preserve">Reforma N 3:
</t>
        </r>
        <r>
          <rPr>
            <sz val="10"/>
            <color rgb="FF000000"/>
            <rFont val="Courier"/>
            <family val="1"/>
          </rPr>
          <t>Se incrementó $34.000 por cambio de fuente de 003 a 002 en DirCom</t>
        </r>
      </text>
    </comment>
    <comment ref="E18" authorId="2" shapeId="0" xr:uid="{00000000-0006-0000-2000-00000F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reduce $11.920,00 a DirCom por seguimiento y en virtud de oficio Nro. MEF-SP-2023-0501 para atender Memo Nro. 0399 de DADM.
</t>
        </r>
        <r>
          <rPr>
            <sz val="9"/>
            <color rgb="FF000000"/>
            <rFont val="Tahoma"/>
            <family val="2"/>
          </rPr>
          <t xml:space="preserve">
</t>
        </r>
        <r>
          <rPr>
            <sz val="9"/>
            <color rgb="FF000000"/>
            <rFont val="Tahoma"/>
            <family val="2"/>
          </rPr>
          <t>Se reduce $34000 por cambio de fuente a 002</t>
        </r>
      </text>
    </comment>
    <comment ref="D19" authorId="1" shapeId="0" xr:uid="{00000000-0006-0000-2000-00001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$ 194.032,61, según Oficio N</t>
        </r>
        <r>
          <rPr>
            <sz val="9"/>
            <color rgb="FF000000"/>
            <rFont val="Tahoma"/>
            <family val="2"/>
          </rPr>
          <t>°</t>
        </r>
        <r>
          <rPr>
            <sz val="9"/>
            <color rgb="FF000000"/>
            <rFont val="Tahoma"/>
            <family val="2"/>
          </rPr>
          <t xml:space="preserve"> UTMACH-DADM-2023-0016-OF del 10/01/2023
</t>
        </r>
        <r>
          <rPr>
            <sz val="9"/>
            <color rgb="FF000000"/>
            <rFont val="Tahoma"/>
            <family val="2"/>
          </rPr>
          <t xml:space="preserve">
</t>
        </r>
        <r>
          <rPr>
            <b/>
            <sz val="9"/>
            <color rgb="FF000000"/>
            <rFont val="Tahoma"/>
            <family val="2"/>
          </rPr>
          <t xml:space="preserve">Reforma N 3: 
</t>
        </r>
        <r>
          <rPr>
            <sz val="9"/>
            <color rgb="FF000000"/>
            <rFont val="Tahoma"/>
            <family val="2"/>
          </rPr>
          <t>Se incrementó $190.089,58 según memo N</t>
        </r>
        <r>
          <rPr>
            <sz val="9"/>
            <color rgb="FF000000"/>
            <rFont val="Tahoma"/>
            <family val="2"/>
          </rPr>
          <t>°</t>
        </r>
        <r>
          <rPr>
            <sz val="9"/>
            <color rgb="FF000000"/>
            <rFont val="Tahoma"/>
            <family val="2"/>
          </rPr>
          <t xml:space="preserve"> VADM 382</t>
        </r>
      </text>
    </comment>
    <comment ref="E19" authorId="2" shapeId="0" xr:uid="{00000000-0006-0000-2000-000011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$6.000,00 a Dadm por cuadre de fuentes</t>
        </r>
      </text>
    </comment>
    <comment ref="D20" authorId="1" shapeId="0" xr:uid="{00000000-0006-0000-2000-00001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$ 29.226,24, según Memorando N</t>
        </r>
        <r>
          <rPr>
            <sz val="9"/>
            <color rgb="FF000000"/>
            <rFont val="Tahoma"/>
            <family val="2"/>
          </rPr>
          <t>°</t>
        </r>
        <r>
          <rPr>
            <sz val="9"/>
            <color rgb="FF000000"/>
            <rFont val="Tahoma"/>
            <family val="2"/>
          </rPr>
          <t xml:space="preserve"> UTMACH-DBUAC-2023-0012-M del 12/01/2023. </t>
        </r>
      </text>
    </comment>
    <comment ref="E20" authorId="2" shapeId="0" xr:uid="{00000000-0006-0000-2000-000013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redujo $8.780,04 a DBUAC en reunión de seguimiento y en virtud de oficio Nro. MEF-SP-2023-0501 para atender Memo Nro. 0399 de DADM.</t>
        </r>
      </text>
    </comment>
    <comment ref="D21" authorId="0" shapeId="0" xr:uid="{00000000-0006-0000-2000-000014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Se incrementó $ 6.000,00 según memo N</t>
        </r>
        <r>
          <rPr>
            <sz val="9"/>
            <color rgb="FF000000"/>
            <rFont val="Tahoma"/>
            <family val="2"/>
          </rPr>
          <t>°</t>
        </r>
        <r>
          <rPr>
            <sz val="9"/>
            <color rgb="FF000000"/>
            <rFont val="Tahoma"/>
            <family val="2"/>
          </rPr>
          <t xml:space="preserve"> DADM-2023-0364-M_24052023</t>
        </r>
      </text>
    </comment>
    <comment ref="D22" authorId="0" shapeId="0" xr:uid="{00000000-0006-0000-2000-000015000000}">
      <text>
        <r>
          <rPr>
            <b/>
            <sz val="9"/>
            <color rgb="FF000000"/>
            <rFont val="Tahoma"/>
            <family val="2"/>
          </rPr>
          <t>LENOVO:</t>
        </r>
        <r>
          <rPr>
            <sz val="9"/>
            <color rgb="FF000000"/>
            <rFont val="Tahoma"/>
            <family val="2"/>
          </rPr>
          <t xml:space="preserve">
</t>
        </r>
        <r>
          <rPr>
            <sz val="9"/>
            <color rgb="FF000000"/>
            <rFont val="Tahoma"/>
            <family val="2"/>
          </rPr>
          <t>Se incrementó $ 4.000,00 según memo N</t>
        </r>
        <r>
          <rPr>
            <sz val="9"/>
            <color rgb="FF000000"/>
            <rFont val="Tahoma"/>
            <family val="2"/>
          </rPr>
          <t>°</t>
        </r>
        <r>
          <rPr>
            <sz val="9"/>
            <color rgb="FF000000"/>
            <rFont val="Tahoma"/>
            <family val="2"/>
          </rPr>
          <t xml:space="preserve"> DADM-2023-0364-M_24052023</t>
        </r>
      </text>
    </comment>
    <comment ref="D23" authorId="0" shapeId="0" xr:uid="{00000000-0006-0000-2000-000016000000}">
      <text>
        <r>
          <rPr>
            <b/>
            <sz val="9"/>
            <color rgb="FF000000"/>
            <rFont val="Tahoma"/>
            <family val="2"/>
          </rPr>
          <t>LENOVO:</t>
        </r>
        <r>
          <rPr>
            <sz val="9"/>
            <color rgb="FF000000"/>
            <rFont val="Tahoma"/>
            <family val="2"/>
          </rPr>
          <t xml:space="preserve">
</t>
        </r>
        <r>
          <rPr>
            <sz val="9"/>
            <color rgb="FF000000"/>
            <rFont val="Tahoma"/>
            <family val="2"/>
          </rPr>
          <t>Se incrementó $ 10.000,00 según memo N</t>
        </r>
        <r>
          <rPr>
            <sz val="9"/>
            <color rgb="FF000000"/>
            <rFont val="Tahoma"/>
            <family val="2"/>
          </rPr>
          <t>°</t>
        </r>
        <r>
          <rPr>
            <sz val="9"/>
            <color rgb="FF000000"/>
            <rFont val="Tahoma"/>
            <family val="2"/>
          </rPr>
          <t xml:space="preserve"> DADM-2023-0364-M_24052023</t>
        </r>
      </text>
    </comment>
    <comment ref="D24" authorId="2" shapeId="0" xr:uid="{00000000-0006-0000-2000-000017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
</t>
        </r>
        <r>
          <rPr>
            <sz val="10"/>
            <color rgb="FF000000"/>
            <rFont val="Tahoma"/>
            <family val="2"/>
          </rPr>
          <t xml:space="preserve">Se incrementó $8.801,91 </t>
        </r>
        <r>
          <rPr>
            <sz val="10"/>
            <color rgb="FF000000"/>
            <rFont val="Courier"/>
            <family val="1"/>
          </rPr>
          <t xml:space="preserve">por atención de Memo N UTMACH-DAC-2023-0133-M </t>
        </r>
      </text>
    </comment>
    <comment ref="D25" authorId="2" shapeId="0" xr:uid="{00000000-0006-0000-2000-000018000000}">
      <text>
        <r>
          <rPr>
            <b/>
            <sz val="8"/>
            <color rgb="FF000000"/>
            <rFont val="Tahoma"/>
            <family val="2"/>
          </rPr>
          <t>Valeria Ramon Capa:</t>
        </r>
        <r>
          <rPr>
            <sz val="8"/>
            <color rgb="FF000000"/>
            <rFont val="Tahoma"/>
            <family val="2"/>
          </rPr>
          <t xml:space="preserve">
</t>
        </r>
        <r>
          <rPr>
            <b/>
            <sz val="9"/>
            <color rgb="FF000000"/>
            <rFont val="Courier"/>
            <family val="1"/>
          </rPr>
          <t xml:space="preserve">    
</t>
        </r>
        <r>
          <rPr>
            <b/>
            <sz val="9"/>
            <color rgb="FF000000"/>
            <rFont val="Tahoma"/>
            <family val="34"/>
          </rPr>
          <t>Reforma N</t>
        </r>
        <r>
          <rPr>
            <b/>
            <sz val="9"/>
            <color rgb="FF000000"/>
            <rFont val="Tahoma"/>
            <family val="34"/>
          </rPr>
          <t>°</t>
        </r>
        <r>
          <rPr>
            <b/>
            <sz val="9"/>
            <color rgb="FF000000"/>
            <rFont val="Tahoma"/>
            <family val="34"/>
          </rPr>
          <t xml:space="preserve"> 3:
</t>
        </r>
        <r>
          <rPr>
            <sz val="9"/>
            <color rgb="FF000000"/>
            <rFont val="Tahoma"/>
            <family val="34"/>
          </rPr>
          <t>Se incrementó $ 4.879,98 según memos N</t>
        </r>
        <r>
          <rPr>
            <sz val="9"/>
            <color rgb="FF000000"/>
            <rFont val="Tahoma"/>
            <family val="34"/>
          </rPr>
          <t>°</t>
        </r>
        <r>
          <rPr>
            <sz val="9"/>
            <color rgb="FF000000"/>
            <rFont val="Tahoma"/>
            <family val="34"/>
          </rPr>
          <t xml:space="preserve">  CGR-2023-0165-M y N</t>
        </r>
        <r>
          <rPr>
            <sz val="9"/>
            <color rgb="FF000000"/>
            <rFont val="Tahoma"/>
            <family val="34"/>
          </rPr>
          <t>°</t>
        </r>
        <r>
          <rPr>
            <sz val="9"/>
            <color rgb="FF000000"/>
            <rFont val="Tahoma"/>
            <family val="34"/>
          </rPr>
          <t xml:space="preserve">  R-2023-0255-M </t>
        </r>
      </text>
    </comment>
    <comment ref="D26" authorId="1" shapeId="0" xr:uid="{00000000-0006-0000-2000-00001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$ 78.060,00 Dir. Administrativa que pasó de fuente 3 a fuente 2
</t>
        </r>
        <r>
          <rPr>
            <sz val="9"/>
            <color rgb="FF000000"/>
            <rFont val="Tahoma"/>
            <family val="2"/>
          </rPr>
          <t xml:space="preserve">
</t>
        </r>
        <r>
          <rPr>
            <sz val="9"/>
            <color rgb="FF000000"/>
            <rFont val="Tahoma"/>
            <family val="2"/>
          </rPr>
          <t xml:space="preserve">Reforma N 3:
</t>
        </r>
        <r>
          <rPr>
            <sz val="9"/>
            <color rgb="FF000000"/>
            <rFont val="Tahoma"/>
            <family val="2"/>
          </rPr>
          <t>Se incrementó $581,76 Dir.adm por cuadre de fuente</t>
        </r>
      </text>
    </comment>
    <comment ref="D27" authorId="1" shapeId="0" xr:uid="{00000000-0006-0000-2000-00001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Se incrementó $ 1.550,00,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Se incrementó $ 5.000,00 para adecuación de la DPLAN.
</t>
        </r>
        <r>
          <rPr>
            <sz val="9"/>
            <color rgb="FF000000"/>
            <rFont val="Tahoma"/>
            <family val="2"/>
          </rPr>
          <t xml:space="preserve">
</t>
        </r>
        <r>
          <rPr>
            <sz val="9"/>
            <color rgb="FF000000"/>
            <rFont val="Tahoma"/>
            <family val="2"/>
          </rPr>
          <t xml:space="preserve">Se incrementó $ 56.000,00+219200,27 para adecuaciones y reparación de infraestructura y seguridad de ingresos peatonales y vehiculares. Vic. Administrativo. Vic. Administrativo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sz val="9"/>
            <color rgb="FF000000"/>
            <rFont val="Tahoma"/>
            <family val="2"/>
          </rPr>
          <t xml:space="preserve">Se incremento $1.500,00 según memo N UTMACH-DPLAN-UPES -2023- 014M </t>
        </r>
      </text>
    </comment>
    <comment ref="E27" authorId="1" shapeId="0" xr:uid="{00000000-0006-0000-2000-00001B000000}">
      <text>
        <r>
          <rPr>
            <b/>
            <sz val="8"/>
            <color rgb="FF000000"/>
            <rFont val="Tahoma"/>
            <family val="34"/>
          </rPr>
          <t>HP:</t>
        </r>
        <r>
          <rPr>
            <sz val="8"/>
            <color rgb="FF000000"/>
            <rFont val="Tahoma"/>
            <family val="34"/>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redujo $ 18.037,80 Rectorado
</t>
        </r>
        <r>
          <rPr>
            <sz val="8"/>
            <color rgb="FF000000"/>
            <rFont val="Tahoma"/>
            <family val="34"/>
          </rPr>
          <t xml:space="preserve">Se redujo $ 110.026,38 Vic. Académico
</t>
        </r>
        <r>
          <rPr>
            <sz val="8"/>
            <color rgb="FF000000"/>
            <rFont val="Tahoma"/>
            <family val="34"/>
          </rPr>
          <t xml:space="preserve">Se redujo $ 78.060,00 Dir. Administrativa que pasó a fuente 2
</t>
        </r>
        <r>
          <rPr>
            <sz val="8"/>
            <color rgb="FF000000"/>
            <rFont val="Tahoma"/>
            <family val="34"/>
          </rPr>
          <t xml:space="preserve">
</t>
        </r>
        <r>
          <rPr>
            <b/>
            <sz val="8"/>
            <color rgb="FF000000"/>
            <rFont val="Tahoma"/>
            <family val="34"/>
          </rPr>
          <t xml:space="preserve">Reforma N 3: 
</t>
        </r>
        <r>
          <rPr>
            <sz val="8"/>
            <color rgb="FF000000"/>
            <rFont val="Tahoma"/>
            <family val="34"/>
          </rPr>
          <t xml:space="preserve">- Se redujo $165.173,78 según memo N  VADM 382.
</t>
        </r>
        <r>
          <rPr>
            <sz val="8"/>
            <color rgb="FF000000"/>
            <rFont val="Tahoma"/>
            <family val="34"/>
          </rPr>
          <t xml:space="preserve">- 06/06 se redujo $ 2.240 según reunión mantenida con TICS y en virtud de oficio Nro. MEF-SP-2023-0501 para atender Memo Nro.0399 de DADM.
</t>
        </r>
        <r>
          <rPr>
            <sz val="8"/>
            <color rgb="FF000000"/>
            <rFont val="Tahoma"/>
            <family val="34"/>
          </rPr>
          <t>-Se redujo $ 6.720,11 por cambio de fuente de DAC</t>
        </r>
      </text>
    </comment>
    <comment ref="D28" authorId="3" shapeId="0" xr:uid="{00000000-0006-0000-2000-00001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$ 15.000,00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$ 340,00 según memo N</t>
        </r>
        <r>
          <rPr>
            <sz val="9"/>
            <color rgb="FF000000"/>
            <rFont val="Tahoma"/>
            <family val="2"/>
          </rPr>
          <t>°</t>
        </r>
        <r>
          <rPr>
            <sz val="9"/>
            <color rgb="FF000000"/>
            <rFont val="Tahoma"/>
            <family val="2"/>
          </rPr>
          <t xml:space="preserve"> UTMACH-DADM-2023-0335-M_16052023</t>
        </r>
      </text>
    </comment>
    <comment ref="D29" authorId="1" shapeId="0" xr:uid="{00000000-0006-0000-2000-00001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solo $ 7.000,00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UTMACH-DADM-2023-0335-M_16052023</t>
        </r>
      </text>
    </comment>
    <comment ref="E29" authorId="1" shapeId="0" xr:uid="{00000000-0006-0000-2000-00001E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$ 92.610,11 para pasar a la partida N</t>
        </r>
        <r>
          <rPr>
            <sz val="9"/>
            <color rgb="FF000000"/>
            <rFont val="Tahoma"/>
            <family val="2"/>
          </rPr>
          <t>°</t>
        </r>
        <r>
          <rPr>
            <sz val="9"/>
            <color rgb="FF000000"/>
            <rFont val="Tahoma"/>
            <family val="2"/>
          </rPr>
          <t xml:space="preserve"> 990101 0701 003 Obligaciones de Ejercicios Anteriores en Personal en el prog. 01 y 82</t>
        </r>
      </text>
    </comment>
    <comment ref="E30" authorId="2" shapeId="0" xr:uid="{00000000-0006-0000-2000-00001F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$3097,14 a Dadm por cuadre de fuente</t>
        </r>
      </text>
    </comment>
    <comment ref="D31" authorId="3" shapeId="0" xr:uid="{00000000-0006-0000-2000-000020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D32" authorId="2" shapeId="0" xr:uid="{00000000-0006-0000-2000-000021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
</t>
        </r>
        <r>
          <rPr>
            <sz val="10"/>
            <color rgb="FF000000"/>
            <rFont val="Tahoma"/>
            <family val="2"/>
          </rPr>
          <t>Se incrementó  $17.474,61 para estudio de obra de infraestructura conforme reunión de seguimiento con Rectorado</t>
        </r>
      </text>
    </comment>
    <comment ref="E33" authorId="1" shapeId="0" xr:uid="{00000000-0006-0000-2000-00002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D34" authorId="2" shapeId="0" xr:uid="{00000000-0006-0000-2000-000023000000}">
      <text>
        <r>
          <rPr>
            <b/>
            <sz val="9"/>
            <color rgb="FF000000"/>
            <rFont val="Tahoma"/>
            <family val="2"/>
          </rPr>
          <t>Valeria Ramon Capa:</t>
        </r>
        <r>
          <rPr>
            <sz val="9"/>
            <color rgb="FF000000"/>
            <rFont val="Tahoma"/>
            <family val="2"/>
          </rPr>
          <t xml:space="preserve">
</t>
        </r>
        <r>
          <rPr>
            <sz val="10"/>
            <color rgb="FF000000"/>
            <rFont val="Tahoma"/>
            <family val="2"/>
          </rPr>
          <t xml:space="preserve">Reforma 3: 
</t>
        </r>
        <r>
          <rPr>
            <sz val="10"/>
            <color rgb="FF000000"/>
            <rFont val="Tahoma"/>
            <family val="2"/>
          </rPr>
          <t>Se incrementó $7056 según Memo N CGR-2023-0180-M</t>
        </r>
      </text>
    </comment>
    <comment ref="E35" authorId="2" shapeId="0" xr:uid="{00000000-0006-0000-2000-000024000000}">
      <text>
        <r>
          <rPr>
            <b/>
            <sz val="10"/>
            <color rgb="FF000000"/>
            <rFont val="Tahoma"/>
            <family val="2"/>
          </rPr>
          <t xml:space="preserve">Valeria Ramon Capa:
</t>
        </r>
        <r>
          <rPr>
            <sz val="9"/>
            <color rgb="FF000000"/>
            <rFont val="Tahoma"/>
            <family val="34"/>
          </rPr>
          <t xml:space="preserve">Reforma 3:
</t>
        </r>
        <r>
          <rPr>
            <sz val="9"/>
            <color rgb="FF000000"/>
            <rFont val="Tahoma"/>
            <family val="34"/>
          </rPr>
          <t>Se reduce $30.016,00 a Secretaría General por seguimiento y en virtud de oficio Nro. MEF-SP-2023-0501 para atender Memo Nro. 0399 de DADM.</t>
        </r>
      </text>
    </comment>
    <comment ref="E36" authorId="3" shapeId="0" xr:uid="{00000000-0006-0000-2000-000025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$ 284.523,80 conforme archivo POA 2023.
</t>
        </r>
        <r>
          <rPr>
            <b/>
            <sz val="9"/>
            <color rgb="FF000000"/>
            <rFont val="Tahoma"/>
            <family val="2"/>
          </rPr>
          <t xml:space="preserve">Reforma N 3:
</t>
        </r>
        <r>
          <rPr>
            <sz val="9"/>
            <color rgb="FF000000"/>
            <rFont val="Tahoma"/>
            <family val="2"/>
          </rPr>
          <t>Se redujo $3.848,46, no se encuentra asignado en POA</t>
        </r>
      </text>
    </comment>
    <comment ref="D37" authorId="3" shapeId="0" xr:uid="{00000000-0006-0000-2000-000026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$ 12.060,16 según memo N</t>
        </r>
        <r>
          <rPr>
            <sz val="9"/>
            <color rgb="FF000000"/>
            <rFont val="Tahoma"/>
            <family val="2"/>
          </rPr>
          <t>°</t>
        </r>
        <r>
          <rPr>
            <sz val="9"/>
            <color rgb="FF000000"/>
            <rFont val="Tahoma"/>
            <family val="2"/>
          </rPr>
          <t xml:space="preserve"> DTIC-2023-0088-M_04052023</t>
        </r>
      </text>
    </comment>
    <comment ref="D38" authorId="2" shapeId="0" xr:uid="{00000000-0006-0000-2000-000027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10"/>
            <color rgb="FF000000"/>
            <rFont val="Tahoma"/>
            <family val="2"/>
          </rPr>
          <t>Se incrementó $6.000 por atención a memo nro 0764 DTH</t>
        </r>
      </text>
    </comment>
    <comment ref="E38" authorId="1" shapeId="0" xr:uid="{00000000-0006-0000-2000-00002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$ 90.884,73, se sacó del POA 2023 de la DTH ítem Para sumar a la partida 580209 "A Jubilados Patronales"</t>
        </r>
      </text>
    </comment>
    <comment ref="E39" authorId="0" shapeId="0" xr:uid="{00000000-0006-0000-2000-000029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D40" authorId="0" shapeId="0" xr:uid="{00000000-0006-0000-2000-00002A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D41" authorId="2" shapeId="0" xr:uid="{00000000-0006-0000-2000-00002B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$8.000 en virtud de memo nro 0764 DTH</t>
        </r>
      </text>
    </comment>
    <comment ref="D42" authorId="3" shapeId="0" xr:uid="{00000000-0006-0000-2000-00002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 según memo N</t>
        </r>
        <r>
          <rPr>
            <sz val="9"/>
            <color rgb="FF000000"/>
            <rFont val="Tahoma"/>
            <family val="2"/>
          </rPr>
          <t>°</t>
        </r>
        <r>
          <rPr>
            <sz val="9"/>
            <color rgb="FF000000"/>
            <rFont val="Tahoma"/>
            <family val="2"/>
          </rPr>
          <t xml:space="preserve"> DTIC-2023-0088-M_04052023</t>
        </r>
      </text>
    </comment>
    <comment ref="D43" authorId="1" shapeId="0" xr:uid="{00000000-0006-0000-2000-00002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rincrementó 16.800,00 Dir Adm
</t>
        </r>
        <r>
          <rPr>
            <sz val="9"/>
            <color rgb="FF000000"/>
            <rFont val="Tahoma"/>
            <family val="2"/>
          </rPr>
          <t>77,28 DAC que pasó de fuente 3 a fuente 2</t>
        </r>
      </text>
    </comment>
    <comment ref="E43" authorId="0" shapeId="0" xr:uid="{00000000-0006-0000-2000-00002E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$ 61,09 en Dir. Administrativa</t>
        </r>
      </text>
    </comment>
    <comment ref="D44" authorId="2" shapeId="0" xr:uid="{00000000-0006-0000-2000-00002F000000}">
      <text>
        <r>
          <rPr>
            <b/>
            <sz val="7"/>
            <color rgb="FF000000"/>
            <rFont val="Tahoma"/>
            <family val="2"/>
          </rPr>
          <t>Valeria Ramon Capa:</t>
        </r>
        <r>
          <rPr>
            <sz val="7"/>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$ 250,00 según memo N</t>
        </r>
        <r>
          <rPr>
            <sz val="9"/>
            <color rgb="FF000000"/>
            <rFont val="Tahoma"/>
            <family val="34"/>
          </rPr>
          <t>°</t>
        </r>
        <r>
          <rPr>
            <sz val="9"/>
            <color rgb="FF000000"/>
            <rFont val="Tahoma"/>
            <family val="34"/>
          </rPr>
          <t xml:space="preserve"> DADM-2023-0335-M_16052023
</t>
        </r>
      </text>
    </comment>
    <comment ref="E45" authorId="1" shapeId="0" xr:uid="{00000000-0006-0000-2000-00003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$ 10.000,00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$ 26.320,00, según memo N</t>
        </r>
        <r>
          <rPr>
            <sz val="9"/>
            <color rgb="FF000000"/>
            <rFont val="Tahoma"/>
            <family val="2"/>
          </rPr>
          <t>°</t>
        </r>
        <r>
          <rPr>
            <sz val="9"/>
            <color rgb="FF000000"/>
            <rFont val="Tahoma"/>
            <family val="2"/>
          </rPr>
          <t xml:space="preserve"> DBUAC-2023-0124-M_03032023</t>
        </r>
      </text>
    </comment>
    <comment ref="E46" authorId="2" shapeId="0" xr:uid="{00000000-0006-0000-2000-000031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Reducción de $7.000 a DTH por memo nro 0764_06062023</t>
        </r>
      </text>
    </comment>
    <comment ref="D47" authorId="3" shapeId="0" xr:uid="{00000000-0006-0000-2000-000032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$ 600,00 según memo N</t>
        </r>
        <r>
          <rPr>
            <sz val="9"/>
            <color rgb="FF000000"/>
            <rFont val="Tahoma"/>
            <family val="2"/>
          </rPr>
          <t>°</t>
        </r>
        <r>
          <rPr>
            <sz val="9"/>
            <color rgb="FF000000"/>
            <rFont val="Tahoma"/>
            <family val="2"/>
          </rPr>
          <t xml:space="preserve"> DTIC-2023-0088-M_04052023</t>
        </r>
      </text>
    </comment>
    <comment ref="D48" authorId="1" shapeId="0" xr:uid="{00000000-0006-0000-2000-00003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t>
        </r>
      </text>
    </comment>
    <comment ref="D49" authorId="3" shapeId="0" xr:uid="{00000000-0006-0000-2000-000034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$ 10.197,60 según memo N</t>
        </r>
        <r>
          <rPr>
            <sz val="9"/>
            <color rgb="FF000000"/>
            <rFont val="Tahoma"/>
            <family val="2"/>
          </rPr>
          <t>°</t>
        </r>
        <r>
          <rPr>
            <sz val="9"/>
            <color rgb="FF000000"/>
            <rFont val="Tahoma"/>
            <family val="2"/>
          </rPr>
          <t xml:space="preserve"> DTIC-2023-0088-M_04052023
</t>
        </r>
      </text>
    </comment>
    <comment ref="D50" authorId="0" shapeId="0" xr:uid="{00000000-0006-0000-2000-00003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 según memo N</t>
        </r>
        <r>
          <rPr>
            <sz val="9"/>
            <color rgb="FF000000"/>
            <rFont val="Tahoma"/>
            <family val="2"/>
          </rPr>
          <t>°</t>
        </r>
        <r>
          <rPr>
            <sz val="9"/>
            <color rgb="FF000000"/>
            <rFont val="Tahoma"/>
            <family val="2"/>
          </rPr>
          <t xml:space="preserve"> DADM-2023-0335-M_16052023</t>
        </r>
      </text>
    </comment>
    <comment ref="D51" authorId="0" shapeId="0" xr:uid="{00000000-0006-0000-2000-000036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 según memo N</t>
        </r>
        <r>
          <rPr>
            <sz val="9"/>
            <color rgb="FF000000"/>
            <rFont val="Tahoma"/>
            <family val="2"/>
          </rPr>
          <t>°</t>
        </r>
        <r>
          <rPr>
            <sz val="9"/>
            <color rgb="FF000000"/>
            <rFont val="Tahoma"/>
            <family val="2"/>
          </rPr>
          <t xml:space="preserve"> DADM-2023-0335-M_16052023</t>
        </r>
      </text>
    </comment>
    <comment ref="D52" authorId="1" shapeId="0" xr:uid="{00000000-0006-0000-2000-00003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 xml:space="preserve">Se incrementó $2.000 a DTH por memo nro 0764_06062023
</t>
        </r>
      </text>
    </comment>
    <comment ref="D53" authorId="1" shapeId="0" xr:uid="{00000000-0006-0000-2000-00003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Se incrementó $5.000,00 a DTH por memo nro 0764_06062023</t>
        </r>
      </text>
    </comment>
    <comment ref="E54" authorId="0" shapeId="0" xr:uid="{00000000-0006-0000-2000-000039000000}">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redujo $ 4.457,60 a DBUAC por seguimiento y en virtud de oficio Nro. MEF-SP-2023-0501 para atender Memo Nro. 0399 de DADM.</t>
        </r>
      </text>
    </comment>
    <comment ref="E55" authorId="0" shapeId="0" xr:uid="{00000000-0006-0000-2000-00003A000000}">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Se redujo $ 3.360,00 según memo N° UTMACH-DADM-2023-0335-M_16052023, no se atendió materiales de oficina.
30/05 se redujo lo restante $ 40 por seguimiento y en virtud de oficio Nro. MEF-SP-2023-0501 para atender Memo Nro. 0399 de DADM.</t>
        </r>
      </text>
    </comment>
    <comment ref="D56" authorId="0" shapeId="0" xr:uid="{00000000-0006-0000-2000-00003B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D57" authorId="2" shapeId="0" xr:uid="{00000000-0006-0000-2000-00003C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$151.520,00 a DADM por Memo N 0399_01062023</t>
        </r>
      </text>
    </comment>
    <comment ref="D58" authorId="1" shapeId="0" xr:uid="{00000000-0006-0000-2000-00003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$ 5.080,00 que es de la partida N</t>
        </r>
        <r>
          <rPr>
            <sz val="9"/>
            <color rgb="FF000000"/>
            <rFont val="Tahoma"/>
            <family val="2"/>
          </rPr>
          <t>°</t>
        </r>
        <r>
          <rPr>
            <sz val="9"/>
            <color rgb="FF000000"/>
            <rFont val="Tahoma"/>
            <family val="2"/>
          </rPr>
          <t xml:space="preserve"> 530239 0701 003 Membrecías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$ 170,00 según memo N</t>
        </r>
        <r>
          <rPr>
            <sz val="9"/>
            <color rgb="FF000000"/>
            <rFont val="Tahoma"/>
            <family val="2"/>
          </rPr>
          <t>°</t>
        </r>
        <r>
          <rPr>
            <sz val="9"/>
            <color rgb="FF000000"/>
            <rFont val="Tahoma"/>
            <family val="2"/>
          </rPr>
          <t xml:space="preserve"> DADM-2023-0335-M_16052023</t>
        </r>
      </text>
    </comment>
    <comment ref="E58" authorId="2" shapeId="0" xr:uid="{00000000-0006-0000-2000-00003E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Se reduce $370 a PG por cuadre de grupo 57</t>
        </r>
      </text>
    </comment>
    <comment ref="D59" authorId="3" shapeId="0" xr:uid="{00000000-0006-0000-2000-00003F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$ 24.400,68 Dir. Administrativa
</t>
        </r>
        <r>
          <rPr>
            <sz val="9"/>
            <color rgb="FF000000"/>
            <rFont val="Tahoma"/>
            <family val="2"/>
          </rPr>
          <t xml:space="preserve">$ 761,38 Secretaría General
</t>
        </r>
        <r>
          <rPr>
            <sz val="9"/>
            <color rgb="FF000000"/>
            <rFont val="Tahoma"/>
            <family val="2"/>
          </rPr>
          <t xml:space="preserve">$ 2.893,16 Dir. Posgrado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$ 1.607,43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Se incrementó a DPLAN $87,78 por cuadre de fuente </t>
        </r>
      </text>
    </comment>
    <comment ref="E59" authorId="2" shapeId="0" xr:uid="{00000000-0006-0000-2000-000040000000}">
      <text>
        <r>
          <rPr>
            <b/>
            <sz val="9"/>
            <color rgb="FF000000"/>
            <rFont val="Tahoma"/>
            <family val="34"/>
          </rPr>
          <t>Valeria Ramon Capa:</t>
        </r>
        <r>
          <rPr>
            <sz val="9"/>
            <color rgb="FF000000"/>
            <rFont val="Tahoma"/>
            <family val="34"/>
          </rPr>
          <t xml:space="preserve">
</t>
        </r>
        <r>
          <rPr>
            <b/>
            <sz val="9"/>
            <color rgb="FF000000"/>
            <rFont val="Tahoma"/>
            <family val="34"/>
          </rPr>
          <t xml:space="preserve">Reforma 3:
</t>
        </r>
        <r>
          <rPr>
            <sz val="9"/>
            <color rgb="FF000000"/>
            <rFont val="Tahoma"/>
            <family val="34"/>
          </rPr>
          <t>Se reduce $632,58 según memo N</t>
        </r>
        <r>
          <rPr>
            <sz val="9"/>
            <color rgb="FF000000"/>
            <rFont val="Tahoma"/>
            <family val="34"/>
          </rPr>
          <t>°</t>
        </r>
        <r>
          <rPr>
            <sz val="9"/>
            <color rgb="FF000000"/>
            <rFont val="Tahoma"/>
            <family val="34"/>
          </rPr>
          <t xml:space="preserve"> UTMACH-DIPOS-2023-0160-M_19052023</t>
        </r>
      </text>
    </comment>
    <comment ref="D60" authorId="3" shapeId="0" xr:uid="{00000000-0006-0000-2000-00004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$ 19.554,08 DIRCOM
</t>
        </r>
        <r>
          <rPr>
            <sz val="9"/>
            <color rgb="FF000000"/>
            <rFont val="Tahoma"/>
            <family val="2"/>
          </rPr>
          <t xml:space="preserve">$ 3.360,00 Secretaría General
</t>
        </r>
        <r>
          <rPr>
            <sz val="9"/>
            <color rgb="FF000000"/>
            <rFont val="Tahoma"/>
            <family val="2"/>
          </rPr>
          <t xml:space="preserve">$ 2.882,88 Dir. Aseguramiento de la Calidad
</t>
        </r>
        <r>
          <rPr>
            <sz val="9"/>
            <color rgb="FF000000"/>
            <rFont val="Tahoma"/>
            <family val="2"/>
          </rPr>
          <t xml:space="preserve">$ 53.704,13 DTIC
</t>
        </r>
        <r>
          <rPr>
            <sz val="9"/>
            <color rgb="FF000000"/>
            <rFont val="Tahoma"/>
            <family val="2"/>
          </rPr>
          <t xml:space="preserve">$ 360,00 Dir. Financiera
</t>
        </r>
        <r>
          <rPr>
            <sz val="9"/>
            <color rgb="FF000000"/>
            <rFont val="Tahoma"/>
            <family val="2"/>
          </rPr>
          <t xml:space="preserve">$ 70.954,075 DBUAC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$ 8.999,20, según memo N</t>
        </r>
        <r>
          <rPr>
            <sz val="9"/>
            <color rgb="FF000000"/>
            <rFont val="Tahoma"/>
            <family val="2"/>
          </rPr>
          <t>°</t>
        </r>
        <r>
          <rPr>
            <sz val="9"/>
            <color rgb="FF000000"/>
            <rFont val="Tahoma"/>
            <family val="2"/>
          </rPr>
          <t xml:space="preserve"> DBUAC-2023-0124-M_03032023
</t>
        </r>
        <r>
          <rPr>
            <sz val="9"/>
            <color rgb="FF000000"/>
            <rFont val="Tahoma"/>
            <family val="2"/>
          </rPr>
          <t xml:space="preserve">
</t>
        </r>
        <r>
          <rPr>
            <sz val="9"/>
            <color rgb="FF000000"/>
            <rFont val="Tahoma"/>
            <family val="2"/>
          </rPr>
          <t xml:space="preserve">Se incrementó $2.000,01 para compra de montacarga de Unidad de Bienes (reasignación)
</t>
        </r>
        <r>
          <rPr>
            <sz val="9"/>
            <color rgb="FF000000"/>
            <rFont val="Tahoma"/>
            <family val="2"/>
          </rPr>
          <t xml:space="preserve">
</t>
        </r>
        <r>
          <rPr>
            <sz val="9"/>
            <color rgb="FF000000"/>
            <rFont val="Tahoma"/>
            <family val="2"/>
          </rPr>
          <t>Se incrementó $ 13.686,40, según memo N</t>
        </r>
        <r>
          <rPr>
            <sz val="9"/>
            <color rgb="FF000000"/>
            <rFont val="Tahoma"/>
            <family val="2"/>
          </rPr>
          <t>°</t>
        </r>
        <r>
          <rPr>
            <sz val="9"/>
            <color rgb="FF000000"/>
            <rFont val="Tahoma"/>
            <family val="2"/>
          </rPr>
          <t xml:space="preserve"> DBUAC-2023-0318-M_22052023
</t>
        </r>
      </text>
    </comment>
    <comment ref="D61" authorId="1" shapeId="0" xr:uid="{00000000-0006-0000-2000-00004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$ 81.952,06 DBUAC Tablet
</t>
        </r>
        <r>
          <rPr>
            <sz val="9"/>
            <color rgb="FF000000"/>
            <rFont val="Tahoma"/>
            <family val="2"/>
          </rPr>
          <t xml:space="preserve">
</t>
        </r>
        <r>
          <rPr>
            <sz val="9"/>
            <color rgb="FF000000"/>
            <rFont val="Tahoma"/>
            <family val="2"/>
          </rPr>
          <t xml:space="preserve">Reforma N 3:
</t>
        </r>
        <r>
          <rPr>
            <sz val="9"/>
            <color rgb="FF000000"/>
            <rFont val="Tahoma"/>
            <family val="2"/>
          </rPr>
          <t>Se incrementó $1.644,63 DPLAN-UPES por reunión de seguimiento</t>
        </r>
      </text>
    </comment>
    <comment ref="D62" authorId="3" shapeId="0" xr:uid="{00000000-0006-0000-2000-000043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sz val="9"/>
            <color rgb="FF000000"/>
            <rFont val="Tahoma"/>
            <family val="2"/>
          </rPr>
          <t xml:space="preserve">$ 6.548,35 Rectorado
</t>
        </r>
        <r>
          <rPr>
            <sz val="9"/>
            <color rgb="FF000000"/>
            <rFont val="Tahoma"/>
            <family val="2"/>
          </rPr>
          <t xml:space="preserve">$ 3.920,00 DIRCOM
</t>
        </r>
        <r>
          <rPr>
            <sz val="9"/>
            <color rgb="FF000000"/>
            <rFont val="Tahoma"/>
            <family val="2"/>
          </rPr>
          <t xml:space="preserve">$ 1.868,16 Secretaría General
</t>
        </r>
        <r>
          <rPr>
            <sz val="9"/>
            <color rgb="FF000000"/>
            <rFont val="Tahoma"/>
            <family val="2"/>
          </rPr>
          <t xml:space="preserve">$ 2.934,40 Dirección de Aseguramiento de la Calidad
</t>
        </r>
        <r>
          <rPr>
            <sz val="9"/>
            <color rgb="FF000000"/>
            <rFont val="Tahoma"/>
            <family val="2"/>
          </rPr>
          <t xml:space="preserve">conforme archivo POA 2023.
</t>
        </r>
        <r>
          <rPr>
            <sz val="9"/>
            <color rgb="FF000000"/>
            <rFont val="Tahoma"/>
            <family val="2"/>
          </rPr>
          <t xml:space="preserve">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D63" authorId="3" shapeId="0" xr:uid="{00000000-0006-0000-2000-000044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$ 8.999,20 conforme archivo POA 2023 DBU</t>
        </r>
      </text>
    </comment>
    <comment ref="E63" authorId="0" shapeId="0" xr:uid="{00000000-0006-0000-2000-00004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$ 8.999,20, según memo N</t>
        </r>
        <r>
          <rPr>
            <sz val="9"/>
            <color rgb="FF000000"/>
            <rFont val="Tahoma"/>
            <family val="2"/>
          </rPr>
          <t>°</t>
        </r>
        <r>
          <rPr>
            <sz val="9"/>
            <color rgb="FF000000"/>
            <rFont val="Tahoma"/>
            <family val="2"/>
          </rPr>
          <t xml:space="preserve"> DBUAC-2023-0124-M_03032023</t>
        </r>
      </text>
    </comment>
    <comment ref="D64" authorId="1" shapeId="0" xr:uid="{00000000-0006-0000-2000-00004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$ 16.000,00 para liquidaciones personal administrativo, trabajadores, pago de alimentación, transporte, cargas familiares, antigüedad.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$ 10.000,00 atendiendo al memo N</t>
        </r>
        <r>
          <rPr>
            <sz val="9"/>
            <color rgb="FF000000"/>
            <rFont val="Tahoma"/>
            <family val="2"/>
          </rPr>
          <t>°</t>
        </r>
        <r>
          <rPr>
            <sz val="9"/>
            <color rgb="FF000000"/>
            <rFont val="Tahoma"/>
            <family val="2"/>
          </rPr>
          <t xml:space="preserve"> UTMACH-DF-2023-0197-M_20052023</t>
        </r>
      </text>
    </comment>
    <comment ref="E70" authorId="0" shapeId="0" xr:uid="{00000000-0006-0000-2000-000047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$ 40.000,00 para financiar Décimo Tercer Sueldo</t>
        </r>
      </text>
    </comment>
    <comment ref="D71" authorId="0" shapeId="0" xr:uid="{00000000-0006-0000-2000-000048000000}">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incrementó $ 100.000,00 para financiar Décimo Tercer Sueldo</t>
        </r>
      </text>
    </comment>
    <comment ref="D72" authorId="0" shapeId="0" xr:uid="{00000000-0006-0000-2000-000049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$4.000,00</t>
        </r>
      </text>
    </comment>
    <comment ref="D73" authorId="2" shapeId="0" xr:uid="{00000000-0006-0000-2000-00004A000000}">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incrementa $1.509,87 según memo N</t>
        </r>
        <r>
          <rPr>
            <sz val="9"/>
            <color rgb="FF000000"/>
            <rFont val="Tahoma"/>
            <family val="2"/>
          </rPr>
          <t>°</t>
        </r>
        <r>
          <rPr>
            <sz val="9"/>
            <color rgb="FF000000"/>
            <rFont val="Tahoma"/>
            <family val="2"/>
          </rPr>
          <t xml:space="preserve"> UTMACH-DIPOS-2023-0160-M_19052023</t>
        </r>
      </text>
    </comment>
    <comment ref="D74" authorId="1" shapeId="0" xr:uid="{00000000-0006-0000-2000-00004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83.935,78 para Dir. Administrativa
</t>
        </r>
        <r>
          <rPr>
            <sz val="9"/>
            <color rgb="FF000000"/>
            <rFont val="Tahoma"/>
            <family val="2"/>
          </rPr>
          <t xml:space="preserve">Se eliminó porque no se puede cruzar del grupo 84 al grupo 53.
</t>
        </r>
        <r>
          <rPr>
            <sz val="9"/>
            <color rgb="FF000000"/>
            <rFont val="Tahoma"/>
            <family val="2"/>
          </rPr>
          <t xml:space="preserve">
</t>
        </r>
        <r>
          <rPr>
            <sz val="9"/>
            <color rgb="FF000000"/>
            <rFont val="Tahoma"/>
            <family val="2"/>
          </rPr>
          <t xml:space="preserve">Se incrementó $ 14.752,06 por saldo positivo y cuadre final de la fuente 1.
</t>
        </r>
        <r>
          <rPr>
            <sz val="9"/>
            <color rgb="FF000000"/>
            <rFont val="Tahoma"/>
            <family val="2"/>
          </rPr>
          <t xml:space="preserve">
</t>
        </r>
        <r>
          <rPr>
            <sz val="9"/>
            <color rgb="FF000000"/>
            <rFont val="Tahoma"/>
            <family val="2"/>
          </rPr>
          <t xml:space="preserve">Cómo quedó en el POA:
</t>
        </r>
        <r>
          <rPr>
            <sz val="9"/>
            <color rgb="FF000000"/>
            <rFont val="Tahoma"/>
            <family val="2"/>
          </rPr>
          <t xml:space="preserve">711.513,00 DIR ADMINISTRATIVA
</t>
        </r>
        <r>
          <rPr>
            <sz val="9"/>
            <color rgb="FF000000"/>
            <rFont val="Tahoma"/>
            <family val="2"/>
          </rPr>
          <t xml:space="preserve">
</t>
        </r>
        <r>
          <rPr>
            <sz val="9"/>
            <color rgb="FF000000"/>
            <rFont val="Tahoma"/>
            <family val="2"/>
          </rPr>
          <t>Se incrementó 5.448,78</t>
        </r>
      </text>
    </comment>
    <comment ref="E74" authorId="1" shapeId="0" xr:uid="{00000000-0006-0000-2000-00004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t>
        </r>
        <r>
          <rPr>
            <sz val="9"/>
            <color rgb="FF000000"/>
            <rFont val="Tahoma"/>
            <family val="2"/>
          </rPr>
          <t xml:space="preserve">$ 6.720,00 Dir. Aseguramiento de la Calidad.
</t>
        </r>
        <r>
          <rPr>
            <sz val="9"/>
            <color rgb="FF000000"/>
            <rFont val="Tahoma"/>
            <family val="2"/>
          </rPr>
          <t xml:space="preserve">$ 6.720,00 FIC
</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$1.365,00 por atención de Memo N UTMACH-DAC-2023-0133-M </t>
        </r>
      </text>
    </comment>
    <comment ref="D75" authorId="1" shapeId="0" xr:uid="{00000000-0006-0000-2000-00004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b/>
            <sz val="9"/>
            <color rgb="FF000000"/>
            <rFont val="Tahoma"/>
            <family val="2"/>
          </rPr>
          <t>$ 5.666,86</t>
        </r>
        <r>
          <rPr>
            <sz val="9"/>
            <color rgb="FF000000"/>
            <rFont val="Tahoma"/>
            <family val="2"/>
          </rPr>
          <t xml:space="preserve"> para adecuación de Sala de Docentes de la Carrera de Enfermería en la FCQS. UTMACH EP EMPRESA PUBLICA
</t>
        </r>
        <r>
          <rPr>
            <sz val="9"/>
            <color rgb="FF000000"/>
            <rFont val="Tahoma"/>
            <family val="2"/>
          </rPr>
          <t xml:space="preserve">
</t>
        </r>
        <r>
          <rPr>
            <sz val="9"/>
            <color rgb="FF000000"/>
            <rFont val="Tahoma"/>
            <family val="2"/>
          </rPr>
          <t>Se incrementó $ 44.380,00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$ 250.000,00 para DBUAC Adecuación de espacios de bienestar deportivos.
</t>
        </r>
        <r>
          <rPr>
            <sz val="9"/>
            <color rgb="FF000000"/>
            <rFont val="Tahoma"/>
            <family val="2"/>
          </rPr>
          <t xml:space="preserve">Se eliminó porque no se puede cruzar de la 84 al grupo 53.
</t>
        </r>
        <r>
          <rPr>
            <sz val="9"/>
            <color rgb="FF000000"/>
            <rFont val="Tahoma"/>
            <family val="2"/>
          </rPr>
          <t xml:space="preserve">Se incrementó $ 123.677,98 para DBUAC Adecuación de espacios de bienestar deportivos.
</t>
        </r>
        <r>
          <rPr>
            <sz val="9"/>
            <color rgb="FF000000"/>
            <rFont val="Tahoma"/>
            <family val="2"/>
          </rPr>
          <t xml:space="preserve">Por saldo a favor y cuadre final de la fuente 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$ 3.224,44 según memo N</t>
        </r>
        <r>
          <rPr>
            <sz val="9"/>
            <color rgb="FF000000"/>
            <rFont val="Tahoma"/>
            <family val="2"/>
          </rPr>
          <t>°</t>
        </r>
        <r>
          <rPr>
            <sz val="9"/>
            <color rgb="FF000000"/>
            <rFont val="Tahoma"/>
            <family val="2"/>
          </rPr>
          <t xml:space="preserve"> FIC-D-2023-0217-M_09052023 (por cuadre de fuente)
</t>
        </r>
        <r>
          <rPr>
            <sz val="9"/>
            <color rgb="FF000000"/>
            <rFont val="Tahoma"/>
            <family val="2"/>
          </rPr>
          <t xml:space="preserve">
</t>
        </r>
      </text>
    </comment>
    <comment ref="E75" authorId="2" shapeId="0" xr:uid="{00000000-0006-0000-2000-00004E000000}">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$ 44.380,00 FCS en reunión de seguimiento y en virtud de oficio Nro. MEF-SP-2023-0501 para atender Memo Nro. 0399 de DADM.</t>
        </r>
      </text>
    </comment>
    <comment ref="E76" authorId="1" shapeId="0" xr:uid="{00000000-0006-0000-2000-00004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$ 9.200,00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reduce $ 4.024,45 según memo N</t>
        </r>
        <r>
          <rPr>
            <sz val="9"/>
            <color rgb="FF000000"/>
            <rFont val="Tahoma"/>
            <family val="2"/>
          </rPr>
          <t>°</t>
        </r>
        <r>
          <rPr>
            <sz val="9"/>
            <color rgb="FF000000"/>
            <rFont val="Tahoma"/>
            <family val="2"/>
          </rPr>
          <t xml:space="preserve"> FIC-D-2023-0217-M_09052023</t>
        </r>
      </text>
    </comment>
    <comment ref="E77" authorId="3" shapeId="0" xr:uid="{00000000-0006-0000-2000-000050000000}">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redujo $ 3.590,15 para cubrir contratos de años anteriores y disponibilidades de nuevas necesidades.
</t>
        </r>
        <r>
          <rPr>
            <b/>
            <sz val="8"/>
            <color rgb="FF000000"/>
            <rFont val="Tahoma"/>
            <family val="34"/>
          </rPr>
          <t xml:space="preserve">Reforma 3:
</t>
        </r>
        <r>
          <rPr>
            <sz val="8"/>
            <color rgb="FF000000"/>
            <rFont val="Tahoma"/>
            <family val="34"/>
          </rPr>
          <t xml:space="preserve">Se redujo $20.000 DTH por seguimiento y en virtud de oficio Nro. MEF-SP-2023-0501 para atender Memo Nro. 0399 de DADM.
</t>
        </r>
        <r>
          <rPr>
            <sz val="8"/>
            <color rgb="FF000000"/>
            <rFont val="Tahoma"/>
            <family val="34"/>
          </rPr>
          <t xml:space="preserve">
</t>
        </r>
        <r>
          <rPr>
            <sz val="8"/>
            <color rgb="FF000000"/>
            <rFont val="Tahoma"/>
            <family val="34"/>
          </rPr>
          <t>Se redujo $6.456,36 a DTH por cuadre de fuente</t>
        </r>
      </text>
    </comment>
    <comment ref="D78" authorId="1" shapeId="0" xr:uid="{00000000-0006-0000-2000-00005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$ 20.000,00 Vic. Académico</t>
        </r>
      </text>
    </comment>
    <comment ref="E78" authorId="2" shapeId="0" xr:uid="{00000000-0006-0000-2000-000052000000}">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Se redujo $30.000,00 a Vic. Académico por seguimiento y en virtud de oficio Nro. MEF-SP-2023-0501 para atender Memo Nro. 0399 de DADM.
</t>
        </r>
      </text>
    </comment>
    <comment ref="D79" authorId="1" shapeId="0" xr:uid="{00000000-0006-0000-2000-00005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$ 34.151,28 Dir. Formación Profesional</t>
        </r>
      </text>
    </comment>
    <comment ref="E79" authorId="0" shapeId="0" xr:uid="{00000000-0006-0000-2000-000054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t>
        </r>
      </text>
    </comment>
    <comment ref="D80" authorId="3" shapeId="0" xr:uid="{00000000-0006-0000-2000-000055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$ 4.000,00-0,63 según memo N</t>
        </r>
        <r>
          <rPr>
            <sz val="9"/>
            <color rgb="FF000000"/>
            <rFont val="Tahoma"/>
            <family val="2"/>
          </rPr>
          <t>°</t>
        </r>
        <r>
          <rPr>
            <sz val="9"/>
            <color rgb="FF000000"/>
            <rFont val="Tahoma"/>
            <family val="2"/>
          </rPr>
          <t xml:space="preserve"> DTIC-2023-0088-M_04052023</t>
        </r>
      </text>
    </comment>
    <comment ref="E80" authorId="1" shapeId="0" xr:uid="{00000000-0006-0000-2000-00005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$ 10.640,00 DTIC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$ 4.352,39 según memo N</t>
        </r>
        <r>
          <rPr>
            <sz val="9"/>
            <color rgb="FF000000"/>
            <rFont val="Tahoma"/>
            <family val="2"/>
          </rPr>
          <t>°</t>
        </r>
        <r>
          <rPr>
            <sz val="9"/>
            <color rgb="FF000000"/>
            <rFont val="Tahoma"/>
            <family val="2"/>
          </rPr>
          <t xml:space="preserve"> DTIC-2023-0088-M_04052023</t>
        </r>
      </text>
    </comment>
    <comment ref="D81" authorId="2" shapeId="0" xr:uid="{00000000-0006-0000-2000-000057000000}">
      <text>
        <r>
          <rPr>
            <b/>
            <sz val="10"/>
            <color rgb="FF000000"/>
            <rFont val="Tahoma"/>
            <family val="2"/>
          </rPr>
          <t xml:space="preserve">Valeria Ramon Capa:
</t>
        </r>
        <r>
          <rPr>
            <b/>
            <sz val="10"/>
            <color rgb="FF000000"/>
            <rFont val="Tahoma"/>
            <family val="2"/>
          </rPr>
          <t xml:space="preserve">
</t>
        </r>
        <r>
          <rPr>
            <sz val="10"/>
            <color rgb="FF000000"/>
            <rFont val="Tahoma"/>
            <family val="2"/>
          </rPr>
          <t xml:space="preserve">Reforma N 3:
</t>
        </r>
        <r>
          <rPr>
            <sz val="10"/>
            <color rgb="FF000000"/>
            <rFont val="Tahoma"/>
            <family val="2"/>
          </rPr>
          <t xml:space="preserve">Se incrementa $157,33 de fondo de caja chica de FCA </t>
        </r>
      </text>
    </comment>
    <comment ref="E82" authorId="2" shapeId="0" xr:uid="{00000000-0006-0000-2000-000058000000}">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reduce $1.509,87 según memo N</t>
        </r>
        <r>
          <rPr>
            <sz val="9"/>
            <color rgb="FF000000"/>
            <rFont val="Tahoma"/>
            <family val="2"/>
          </rPr>
          <t>°</t>
        </r>
        <r>
          <rPr>
            <sz val="9"/>
            <color rgb="FF000000"/>
            <rFont val="Tahoma"/>
            <family val="2"/>
          </rPr>
          <t xml:space="preserve"> UTMACH-DIPOS-2023-0160-M_19052023</t>
        </r>
      </text>
    </comment>
    <comment ref="D83" authorId="2" shapeId="0" xr:uid="{00000000-0006-0000-2000-000059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$157,34 por distribución de fondo de caja chica de la FCA - correo 13062023</t>
        </r>
      </text>
    </comment>
    <comment ref="E83" authorId="1" shapeId="0" xr:uid="{00000000-0006-0000-2000-00005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$ 7.260,96 FCS</t>
        </r>
      </text>
    </comment>
    <comment ref="D84" authorId="2" shapeId="0" xr:uid="{00000000-0006-0000-2000-00005B000000}">
      <text>
        <r>
          <rPr>
            <b/>
            <sz val="10"/>
            <color rgb="FF000000"/>
            <rFont val="Tahoma"/>
            <family val="2"/>
          </rPr>
          <t xml:space="preserve">Valeria Ramon Capa:
</t>
        </r>
        <r>
          <rPr>
            <b/>
            <sz val="10"/>
            <color rgb="FF000000"/>
            <rFont val="Tahoma"/>
            <family val="2"/>
          </rPr>
          <t>Reforma N 3:</t>
        </r>
        <r>
          <rPr>
            <sz val="10"/>
            <color rgb="FF000000"/>
            <rFont val="Tahoma"/>
            <family val="2"/>
          </rPr>
          <t xml:space="preserve">
</t>
        </r>
        <r>
          <rPr>
            <sz val="10"/>
            <color rgb="FF000000"/>
            <rFont val="Courier"/>
            <family val="1"/>
          </rPr>
          <t xml:space="preserve">Se incrementa $157,33 por distribución de fondo de caja chica de la FCA - correo 13062023
</t>
        </r>
      </text>
    </comment>
    <comment ref="E84" authorId="0" shapeId="0" xr:uid="{00000000-0006-0000-2000-00005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$ 327,68 según memo N</t>
        </r>
        <r>
          <rPr>
            <sz val="9"/>
            <color rgb="FF000000"/>
            <rFont val="Tahoma"/>
            <family val="2"/>
          </rPr>
          <t>°</t>
        </r>
        <r>
          <rPr>
            <sz val="9"/>
            <color rgb="FF000000"/>
            <rFont val="Tahoma"/>
            <family val="2"/>
          </rPr>
          <t xml:space="preserve"> FCA-D-2023-0249-M_05052023</t>
        </r>
      </text>
    </comment>
    <comment ref="D85" authorId="1" shapeId="0" xr:uid="{00000000-0006-0000-2000-00005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E85" authorId="2" shapeId="0" xr:uid="{00000000-0006-0000-2000-00005E000000}">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Se reduce $2.280 a FCS por reunión de seguimiento y en virtud de oficio Nro. MEF-SP-2023-0501 para atender Memo Nro. 0399 de DADM.</t>
        </r>
      </text>
    </comment>
    <comment ref="E86" authorId="0" shapeId="0" xr:uid="{00000000-0006-0000-2000-00005F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$ 2.755,31 según memo N</t>
        </r>
        <r>
          <rPr>
            <sz val="9"/>
            <color rgb="FF000000"/>
            <rFont val="Tahoma"/>
            <family val="2"/>
          </rPr>
          <t>°</t>
        </r>
        <r>
          <rPr>
            <sz val="9"/>
            <color rgb="FF000000"/>
            <rFont val="Tahoma"/>
            <family val="2"/>
          </rPr>
          <t xml:space="preserve"> FCS-D-2023-0460-M_23052023 y reunión de seguimiento de seguimiento, en virtud de oficio Nro. MEF-SP-2023-0501 para atender Memo Nro. 0399 de DADM.</t>
        </r>
      </text>
    </comment>
    <comment ref="E87" authorId="2" shapeId="0" xr:uid="{00000000-0006-0000-2000-000060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$472 por solicitud de FCA vía Correo 12062023</t>
        </r>
      </text>
    </comment>
    <comment ref="D88" authorId="0" shapeId="0" xr:uid="{00000000-0006-0000-2000-000061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$ 1.052,80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Se incrementó $87,40 según memo DAC N 133_30052023 </t>
        </r>
      </text>
    </comment>
    <comment ref="D89" authorId="1" shapeId="0" xr:uid="{00000000-0006-0000-2000-00006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$ 7.320,00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$ 11.505,18 según memo N</t>
        </r>
        <r>
          <rPr>
            <sz val="9"/>
            <color rgb="FF000000"/>
            <rFont val="Tahoma"/>
            <family val="2"/>
          </rPr>
          <t>°</t>
        </r>
        <r>
          <rPr>
            <sz val="9"/>
            <color rgb="FF000000"/>
            <rFont val="Tahoma"/>
            <family val="2"/>
          </rPr>
          <t xml:space="preserve"> FCS-D-2023-0460-M_23052023 y reunión de seguimiento</t>
        </r>
      </text>
    </comment>
    <comment ref="E89" authorId="2" shapeId="0" xr:uid="{00000000-0006-0000-2000-000063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$4.000,00 a FCS por seguimiento y en virtud de oficio Nro. MEF-SP-2023-0501 para atender Memo Nro. 0399 de DADM.</t>
        </r>
      </text>
    </comment>
    <comment ref="D90" authorId="0" shapeId="0" xr:uid="{00000000-0006-0000-2000-000064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FIC-D-2023-0217-M_09052023</t>
        </r>
      </text>
    </comment>
    <comment ref="E90" authorId="1" shapeId="0" xr:uid="{00000000-0006-0000-2000-000065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$ 1.176.733,21 para Py Inversión FIC.
</t>
        </r>
        <r>
          <rPr>
            <sz val="9"/>
            <color rgb="FF000000"/>
            <rFont val="Tahoma"/>
            <family val="2"/>
          </rPr>
          <t xml:space="preserve">El saldo de  $ 2.000.000,00 para Py construcción e implementación del CRAI Dir. Administrativa
</t>
        </r>
        <r>
          <rPr>
            <sz val="9"/>
            <color rgb="FF000000"/>
            <rFont val="Tahoma"/>
            <family val="2"/>
          </rPr>
          <t xml:space="preserve">
</t>
        </r>
        <r>
          <rPr>
            <sz val="9"/>
            <color rgb="FF000000"/>
            <rFont val="Tahoma"/>
            <family val="2"/>
          </rPr>
          <t xml:space="preserve">En el POA quedó así:
</t>
        </r>
        <r>
          <rPr>
            <sz val="9"/>
            <color rgb="FF000000"/>
            <rFont val="Tahoma"/>
            <family val="2"/>
          </rPr>
          <t>$ 2.000.000,00 para Py construcción e implementación del CRAI Dir. Administrativa+81.527,83</t>
        </r>
      </text>
    </comment>
    <comment ref="D91" authorId="1" shapeId="0" xr:uid="{00000000-0006-0000-2000-000066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$ 1.700,00 para lentes de cámara por disposición del Director DPLAN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5.709,60 FCS
</t>
        </r>
        <r>
          <rPr>
            <sz val="9"/>
            <color rgb="FF000000"/>
            <rFont val="Tahoma"/>
            <family val="2"/>
          </rPr>
          <t>2.251,20 DTIC</t>
        </r>
      </text>
    </comment>
    <comment ref="E91" authorId="1" shapeId="0" xr:uid="{00000000-0006-0000-2000-00006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$ 22.296,96 Vic. Académico
</t>
        </r>
        <r>
          <rPr>
            <sz val="9"/>
            <color rgb="FF000000"/>
            <rFont val="Tahoma"/>
            <family val="2"/>
          </rPr>
          <t xml:space="preserve">$ 949.040,38-62852,68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$ 62.852,68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redujo $ 4.384,60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Courier"/>
            <family val="1"/>
          </rPr>
          <t>Se redujo $ 13.686,40, para atender memo N</t>
        </r>
        <r>
          <rPr>
            <sz val="9"/>
            <color rgb="FF000000"/>
            <rFont val="Courier"/>
            <family val="1"/>
          </rPr>
          <t>°</t>
        </r>
        <r>
          <rPr>
            <sz val="9"/>
            <color rgb="FF000000"/>
            <rFont val="Courier"/>
            <family val="1"/>
          </rPr>
          <t xml:space="preserve"> DBUAC-2023-0318-M_22052023
</t>
        </r>
        <r>
          <rPr>
            <sz val="9"/>
            <color rgb="FF000000"/>
            <rFont val="Courier"/>
            <family val="1"/>
          </rPr>
          <t xml:space="preserve">
</t>
        </r>
        <r>
          <rPr>
            <sz val="9"/>
            <color rgb="FF000000"/>
            <rFont val="Courier"/>
            <family val="1"/>
          </rPr>
          <t xml:space="preserve">Se redujo $ 13.405,61+6.776,00 para atender memo N 0604 FCQS_25052023
</t>
        </r>
        <r>
          <rPr>
            <sz val="9"/>
            <color rgb="FF000000"/>
            <rFont val="Courier"/>
            <family val="1"/>
          </rPr>
          <t xml:space="preserve">
</t>
        </r>
        <r>
          <rPr>
            <sz val="9"/>
            <color rgb="FF000000"/>
            <rFont val="Courier"/>
            <family val="1"/>
          </rPr>
          <t>Se redujo $ 15.879,05 para atender memo N</t>
        </r>
        <r>
          <rPr>
            <sz val="9"/>
            <color rgb="FF000000"/>
            <rFont val="Courier"/>
            <family val="1"/>
          </rPr>
          <t>°</t>
        </r>
        <r>
          <rPr>
            <sz val="9"/>
            <color rgb="FF000000"/>
            <rFont val="Courier"/>
            <family val="1"/>
          </rPr>
          <t xml:space="preserve"> DBUAC-2023-0124-M_03032023
</t>
        </r>
        <r>
          <rPr>
            <sz val="9"/>
            <color rgb="FF000000"/>
            <rFont val="Courier"/>
            <family val="1"/>
          </rPr>
          <t xml:space="preserve">
</t>
        </r>
        <r>
          <rPr>
            <sz val="9"/>
            <color rgb="FF000000"/>
            <rFont val="Courier"/>
            <family val="1"/>
          </rPr>
          <t xml:space="preserve">Se redujo $1620 por cuadre de fuente
</t>
        </r>
        <r>
          <rPr>
            <sz val="9"/>
            <color rgb="FF000000"/>
            <rFont val="Courier"/>
            <family val="1"/>
          </rPr>
          <t xml:space="preserve">
</t>
        </r>
        <r>
          <rPr>
            <sz val="9"/>
            <color rgb="FF000000"/>
            <rFont val="Courier"/>
            <family val="1"/>
          </rPr>
          <t xml:space="preserve">Se redujo $ 39.637,92 para cartera de proyectos de inversión 2023 - 83 840104 003
</t>
        </r>
        <r>
          <rPr>
            <sz val="9"/>
            <color rgb="FF000000"/>
            <rFont val="Courier"/>
            <family val="1"/>
          </rPr>
          <t xml:space="preserve">
</t>
        </r>
        <r>
          <rPr>
            <sz val="9"/>
            <color rgb="FF000000"/>
            <rFont val="Courier"/>
            <family val="1"/>
          </rPr>
          <t xml:space="preserve">Se redujo $10.080,00 para cartera de proyectos de inversión 2023 - 83 840107 003
</t>
        </r>
        <r>
          <rPr>
            <sz val="9"/>
            <color rgb="FF000000"/>
            <rFont val="Courier"/>
            <family val="1"/>
          </rPr>
          <t xml:space="preserve">
</t>
        </r>
        <r>
          <rPr>
            <sz val="9"/>
            <color rgb="FF000000"/>
            <rFont val="Courier"/>
            <family val="1"/>
          </rPr>
          <t xml:space="preserve">Se reduce $5.824 para reestablecer computadoras en TICS
</t>
        </r>
        <r>
          <rPr>
            <sz val="9"/>
            <color rgb="FF000000"/>
            <rFont val="Courier"/>
            <family val="1"/>
          </rPr>
          <t xml:space="preserve">
</t>
        </r>
        <r>
          <rPr>
            <sz val="9"/>
            <color rgb="FF000000"/>
            <rFont val="Courier"/>
            <family val="1"/>
          </rPr>
          <t xml:space="preserve">Se reduce $268,73 por cuadre de fuente </t>
        </r>
      </text>
    </comment>
    <comment ref="D92" authorId="3" shapeId="0" xr:uid="{00000000-0006-0000-2000-000068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$ 2.897,97 conforme archivo POA 2023.
</t>
        </r>
        <r>
          <rPr>
            <sz val="9"/>
            <color rgb="FF000000"/>
            <rFont val="Tahoma"/>
            <family val="2"/>
          </rPr>
          <t xml:space="preserve">
</t>
        </r>
        <r>
          <rPr>
            <sz val="9"/>
            <color rgb="FF000000"/>
            <rFont val="Tahoma"/>
            <family val="2"/>
          </rPr>
          <t xml:space="preserve">Se incrementó $ 8.505,49 de acuerdo al POA 2023 de la FCE presentado.
</t>
        </r>
        <r>
          <rPr>
            <sz val="9"/>
            <color rgb="FF000000"/>
            <rFont val="Tahoma"/>
            <family val="2"/>
          </rPr>
          <t xml:space="preserve">
</t>
        </r>
        <r>
          <rPr>
            <sz val="9"/>
            <color rgb="FF000000"/>
            <rFont val="Tahoma"/>
            <family val="2"/>
          </rPr>
          <t xml:space="preserve">En el POA quedó:
</t>
        </r>
        <r>
          <rPr>
            <sz val="9"/>
            <color rgb="FF000000"/>
            <rFont val="Tahoma"/>
            <family val="2"/>
          </rPr>
          <t xml:space="preserve">1.867,77 DIPOS
</t>
        </r>
        <r>
          <rPr>
            <sz val="9"/>
            <color rgb="FF000000"/>
            <rFont val="Tahoma"/>
            <family val="2"/>
          </rPr>
          <t xml:space="preserve">1.030,20 FCA
</t>
        </r>
        <r>
          <rPr>
            <sz val="9"/>
            <color rgb="FF000000"/>
            <rFont val="Tahoma"/>
            <family val="2"/>
          </rPr>
          <t xml:space="preserve">8.505,49 FCE
</t>
        </r>
        <r>
          <rPr>
            <sz val="9"/>
            <color rgb="FF000000"/>
            <rFont val="Tahoma"/>
            <family val="2"/>
          </rPr>
          <t xml:space="preserve">1.310,60 FCQS
</t>
        </r>
        <r>
          <rPr>
            <sz val="9"/>
            <color rgb="FF000000"/>
            <rFont val="Tahoma"/>
            <family val="2"/>
          </rPr>
          <t xml:space="preserve">
</t>
        </r>
        <r>
          <rPr>
            <b/>
            <sz val="9"/>
            <color rgb="FF000000"/>
            <rFont val="Tahoma"/>
            <family val="2"/>
          </rPr>
          <t xml:space="preserve">Reforma N 3:
</t>
        </r>
        <r>
          <rPr>
            <sz val="9"/>
            <color rgb="FF000000"/>
            <rFont val="Tahoma"/>
            <family val="2"/>
          </rPr>
          <t>Se incrementó $1.146,32 según memo N</t>
        </r>
        <r>
          <rPr>
            <sz val="9"/>
            <color rgb="FF000000"/>
            <rFont val="Tahoma"/>
            <family val="2"/>
          </rPr>
          <t>°</t>
        </r>
        <r>
          <rPr>
            <sz val="9"/>
            <color rgb="FF000000"/>
            <rFont val="Tahoma"/>
            <family val="2"/>
          </rPr>
          <t xml:space="preserve"> UTMACH-DIPOS-2023-0160-M_19052023
</t>
        </r>
      </text>
    </comment>
    <comment ref="E92" authorId="2" shapeId="0" xr:uid="{00000000-0006-0000-2000-000069000000}">
      <text>
        <r>
          <rPr>
            <b/>
            <sz val="8"/>
            <color rgb="FF000000"/>
            <rFont val="Tahoma"/>
            <family val="2"/>
          </rPr>
          <t>Valeria Ramon Capa:</t>
        </r>
        <r>
          <rPr>
            <sz val="8"/>
            <color rgb="FF000000"/>
            <rFont val="Tahoma"/>
            <family val="2"/>
          </rPr>
          <t xml:space="preserve">
</t>
        </r>
        <r>
          <rPr>
            <b/>
            <sz val="9"/>
            <color rgb="FF000000"/>
            <rFont val="Tahoma"/>
            <family val="2"/>
          </rPr>
          <t xml:space="preserve">
</t>
        </r>
        <r>
          <rPr>
            <b/>
            <sz val="9"/>
            <color rgb="FF000000"/>
            <rFont val="Tahoma"/>
            <family val="2"/>
          </rPr>
          <t xml:space="preserve">Reforma 3:
</t>
        </r>
        <r>
          <rPr>
            <sz val="9"/>
            <color rgb="FF000000"/>
            <rFont val="Tahoma"/>
            <family val="2"/>
          </rPr>
          <t>Se reduce $380,46 y $133,28 según memo N</t>
        </r>
        <r>
          <rPr>
            <sz val="9"/>
            <color rgb="FF000000"/>
            <rFont val="Tahoma"/>
            <family val="2"/>
          </rPr>
          <t>°</t>
        </r>
        <r>
          <rPr>
            <sz val="9"/>
            <color rgb="FF000000"/>
            <rFont val="Tahoma"/>
            <family val="2"/>
          </rPr>
          <t xml:space="preserve"> UTMACH-DIPOS-2023-0160-M_19052023</t>
        </r>
      </text>
    </comment>
    <comment ref="D93" authorId="1" shapeId="0" xr:uid="{00000000-0006-0000-2000-00006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$ 75.610,11 que vino de la la partida N</t>
        </r>
        <r>
          <rPr>
            <sz val="9"/>
            <color rgb="FF000000"/>
            <rFont val="Tahoma"/>
            <family val="2"/>
          </rPr>
          <t>°</t>
        </r>
        <r>
          <rPr>
            <sz val="9"/>
            <color rgb="FF000000"/>
            <rFont val="Tahoma"/>
            <family val="2"/>
          </rPr>
          <t xml:space="preserve"> 990101 0701 003 Obligaciones de Ejercicios Anteriores en Personal del programa 01.
</t>
        </r>
        <r>
          <rPr>
            <sz val="9"/>
            <color rgb="FF000000"/>
            <rFont val="Tahoma"/>
            <family val="2"/>
          </rPr>
          <t xml:space="preserve">
</t>
        </r>
        <r>
          <rPr>
            <sz val="9"/>
            <color rgb="FF000000"/>
            <rFont val="Tahoma"/>
            <family val="2"/>
          </rPr>
          <t xml:space="preserve">Se incrementó $ 40.000,00 para liquidaciones de haberes, trabajadores y ex servidores.
</t>
        </r>
        <r>
          <rPr>
            <sz val="9"/>
            <color rgb="FF000000"/>
            <rFont val="Tahoma"/>
            <family val="2"/>
          </rPr>
          <t xml:space="preserve">Se incrementó $ 10.000,00 para liquidaciones de docentes.
</t>
        </r>
        <r>
          <rPr>
            <sz val="9"/>
            <color rgb="FF000000"/>
            <rFont val="Tahoma"/>
            <family val="2"/>
          </rPr>
          <t xml:space="preserve">$ 13.000,00 para pago a VASQUEZ FLORES JOSE ALBERTO
</t>
        </r>
        <r>
          <rPr>
            <sz val="9"/>
            <color rgb="FF000000"/>
            <rFont val="Tahoma"/>
            <family val="2"/>
          </rPr>
          <t xml:space="preserve">$ 6.000,00 para pago a BURGOS BURGOS JHON
</t>
        </r>
        <r>
          <rPr>
            <sz val="9"/>
            <color rgb="FF000000"/>
            <rFont val="Tahoma"/>
            <family val="2"/>
          </rPr>
          <t xml:space="preserve">
</t>
        </r>
        <r>
          <rPr>
            <sz val="9"/>
            <color rgb="FF000000"/>
            <rFont val="Tahoma"/>
            <family val="2"/>
          </rPr>
          <t>Se incrementó $ 5000+15.000,00 para cubrir liquidaciones por juicios en la partida N</t>
        </r>
        <r>
          <rPr>
            <sz val="9"/>
            <color rgb="FF000000"/>
            <rFont val="Tahoma"/>
            <family val="2"/>
          </rPr>
          <t>°</t>
        </r>
        <r>
          <rPr>
            <sz val="9"/>
            <color rgb="FF000000"/>
            <rFont val="Tahoma"/>
            <family val="2"/>
          </rPr>
          <t xml:space="preserve"> 990101 0701 003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$ 60.000,00 atendiendo al memo N</t>
        </r>
        <r>
          <rPr>
            <sz val="9"/>
            <color rgb="FF000000"/>
            <rFont val="Tahoma"/>
            <family val="2"/>
          </rPr>
          <t>°</t>
        </r>
        <r>
          <rPr>
            <sz val="9"/>
            <color rgb="FF000000"/>
            <rFont val="Tahoma"/>
            <family val="2"/>
          </rPr>
          <t xml:space="preserve"> UTMACH-DF-2023-0197-M_20052023
</t>
        </r>
        <r>
          <rPr>
            <sz val="9"/>
            <color rgb="FF000000"/>
            <rFont val="Tahoma"/>
            <family val="2"/>
          </rPr>
          <t>Se incrementó $50.000,00 a Dfin para cubrir necesidad por juicio, notificado verbalmente por parte del Procurador a Dirección Financiera</t>
        </r>
      </text>
    </comment>
    <comment ref="D99" authorId="1" shapeId="0" xr:uid="{00000000-0006-0000-2000-00006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$ 8.609,16 por contrato año anterior por servicio de implementación de una Red Wifi - TELCONET - TIC
</t>
        </r>
        <r>
          <rPr>
            <sz val="9"/>
            <color rgb="FF000000"/>
            <rFont val="Tahoma"/>
            <family val="2"/>
          </rPr>
          <t>$ 59.717,94 Servicio de internet CEDIA TIC</t>
        </r>
      </text>
    </comment>
    <comment ref="E99" authorId="3" shapeId="0" xr:uid="{00000000-0006-0000-2000-00006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$ 49.750,97 según memo N</t>
        </r>
        <r>
          <rPr>
            <sz val="9"/>
            <color rgb="FF000000"/>
            <rFont val="Tahoma"/>
            <family val="2"/>
          </rPr>
          <t>°</t>
        </r>
        <r>
          <rPr>
            <sz val="9"/>
            <color rgb="FF000000"/>
            <rFont val="Tahoma"/>
            <family val="2"/>
          </rPr>
          <t xml:space="preserve"> DTIC-2023-0088-M_04052023</t>
        </r>
      </text>
    </comment>
    <comment ref="E100" authorId="1" shapeId="0" xr:uid="{00000000-0006-0000-2000-00006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$ 33.600,00 de acuerdo al 1er POA 2023 de la FCE presentado (por no estar desagregado).
</t>
        </r>
        <r>
          <rPr>
            <sz val="9"/>
            <color rgb="FF000000"/>
            <rFont val="Tahoma"/>
            <family val="2"/>
          </rPr>
          <t xml:space="preserve">
</t>
        </r>
        <r>
          <rPr>
            <sz val="9"/>
            <color rgb="FF000000"/>
            <rFont val="Tahoma"/>
            <family val="2"/>
          </rPr>
          <t xml:space="preserve">Se redujo $ 4.800,00 según adjunto de Vic. Investigación en e-mail enviado el 03/02/2023
</t>
        </r>
        <r>
          <rPr>
            <sz val="9"/>
            <color rgb="FF000000"/>
            <rFont val="Tahoma"/>
            <family val="2"/>
          </rPr>
          <t xml:space="preserve">
</t>
        </r>
        <r>
          <rPr>
            <sz val="9"/>
            <color rgb="FF000000"/>
            <rFont val="Tahoma"/>
            <family val="2"/>
          </rPr>
          <t xml:space="preserve">Se redujo $ 1.120,00 FIC
</t>
        </r>
        <r>
          <rPr>
            <sz val="9"/>
            <color rgb="FF000000"/>
            <rFont val="Tahoma"/>
            <family val="2"/>
          </rPr>
          <t xml:space="preserve">
</t>
        </r>
        <r>
          <rPr>
            <sz val="9"/>
            <color rgb="FF000000"/>
            <rFont val="Tahoma"/>
            <family val="2"/>
          </rPr>
          <t xml:space="preserve">Se redujo $ 33.600,00 FCQS
</t>
        </r>
        <r>
          <rPr>
            <sz val="9"/>
            <color rgb="FF000000"/>
            <rFont val="Tahoma"/>
            <family val="2"/>
          </rPr>
          <t xml:space="preserve">
</t>
        </r>
        <r>
          <rPr>
            <sz val="9"/>
            <color rgb="FF000000"/>
            <rFont val="Tahoma"/>
            <family val="2"/>
          </rPr>
          <t xml:space="preserve">En el POA quedó asi:
</t>
        </r>
        <r>
          <rPr>
            <sz val="9"/>
            <color rgb="FF000000"/>
            <rFont val="Tahoma"/>
            <family val="2"/>
          </rPr>
          <t xml:space="preserve">2.480,00 Vic. Investigación
</t>
        </r>
        <r>
          <rPr>
            <sz val="9"/>
            <color rgb="FF000000"/>
            <rFont val="Tahoma"/>
            <family val="2"/>
          </rPr>
          <t xml:space="preserve">168.000,00 DIDI
</t>
        </r>
        <r>
          <rPr>
            <sz val="9"/>
            <color rgb="FF000000"/>
            <rFont val="Tahoma"/>
            <family val="2"/>
          </rPr>
          <t xml:space="preserve">2.240,00 FCA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Se redujo $2.240,00 a FCA en reunión de seguimiento y en virtud de oficio Nro. MEF-SP-2023-0501 para atender Memo Nro. 0399 de DADM.</t>
        </r>
      </text>
    </comment>
    <comment ref="D101" authorId="2" shapeId="0" xr:uid="{00000000-0006-0000-2000-00006E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D102" authorId="2" shapeId="0" xr:uid="{00000000-0006-0000-2000-00006F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incrementa $108.473,73 a FCS por cambio de fuente y en atención a FCS-D-2023-0460-M
</t>
        </r>
        <r>
          <rPr>
            <sz val="10"/>
            <color rgb="FF000000"/>
            <rFont val="Courier"/>
            <family val="1"/>
          </rPr>
          <t xml:space="preserve">-Se incrementa $25.760,00 movimiento de partida para egreso de forma adecuada en FCA </t>
        </r>
        <r>
          <rPr>
            <sz val="9"/>
            <color rgb="FF000000"/>
            <rFont val="Courier"/>
            <family val="1"/>
          </rPr>
          <t xml:space="preserve">
</t>
        </r>
      </text>
    </comment>
    <comment ref="E102" authorId="1" shapeId="0" xr:uid="{00000000-0006-0000-2000-00007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reduce $ 24.512,00 FCS
</t>
        </r>
        <r>
          <rPr>
            <sz val="9"/>
            <color rgb="FF000000"/>
            <rFont val="Tahoma"/>
            <family val="2"/>
          </rPr>
          <t xml:space="preserve">$ 29.680,00 Rectorado
</t>
        </r>
        <r>
          <rPr>
            <sz val="9"/>
            <color rgb="FF000000"/>
            <rFont val="Tahoma"/>
            <family val="2"/>
          </rPr>
          <t xml:space="preserve">25.440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16.800,00 FCA
</t>
        </r>
        <r>
          <rPr>
            <sz val="9"/>
            <color rgb="FF000000"/>
            <rFont val="Tahoma"/>
            <family val="2"/>
          </rPr>
          <t xml:space="preserve">24.559,17 FCE
</t>
        </r>
        <r>
          <rPr>
            <b/>
            <sz val="9"/>
            <color rgb="FF000000"/>
            <rFont val="Tahoma"/>
            <family val="2"/>
          </rPr>
          <t xml:space="preserve">
</t>
        </r>
        <r>
          <rPr>
            <b/>
            <sz val="9"/>
            <color rgb="FF000000"/>
            <rFont val="Tahoma"/>
            <family val="2"/>
          </rPr>
          <t xml:space="preserve">Reforma N 3:
</t>
        </r>
        <r>
          <rPr>
            <sz val="9"/>
            <color rgb="FF000000"/>
            <rFont val="Tahoma"/>
            <family val="2"/>
          </rPr>
          <t>Se reduce $38.921,22 FCE por cuanto las reparaciones de edificaciones las realizará la aseguradora</t>
        </r>
      </text>
    </comment>
    <comment ref="D103" authorId="2" shapeId="0" xr:uid="{00000000-0006-0000-2000-000071000000}">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t>
        </r>
      </text>
    </comment>
    <comment ref="E103" authorId="2" shapeId="0" xr:uid="{00000000-0006-0000-2000-000072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D104" authorId="1" shapeId="0" xr:uid="{00000000-0006-0000-2000-00007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$ 13.648,02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E104" authorId="2" shapeId="0" xr:uid="{00000000-0006-0000-2000-000074000000}">
      <text>
        <r>
          <rPr>
            <b/>
            <sz val="10"/>
            <color rgb="FF000000"/>
            <rFont val="Tahoma"/>
            <family val="2"/>
          </rPr>
          <t>Valeria Ramon Capa:</t>
        </r>
        <r>
          <rPr>
            <sz val="10"/>
            <color rgb="FF000000"/>
            <rFont val="Tahoma"/>
            <family val="2"/>
          </rPr>
          <t xml:space="preserve">
</t>
        </r>
        <r>
          <rPr>
            <sz val="10"/>
            <color rgb="FF000000"/>
            <rFont val="Tahoma"/>
            <family val="2"/>
          </rPr>
          <t xml:space="preserve">Se reduce $13.648,00 a FCQS </t>
        </r>
        <r>
          <rPr>
            <sz val="10"/>
            <color rgb="FF000000"/>
            <rFont val="Courier"/>
            <family val="1"/>
          </rPr>
          <t>por seguimiento y en virtud de oficio Nro. MEF-SP-2023-0501 para atender Memo Nro. 0399 de DADM.</t>
        </r>
      </text>
    </comment>
    <comment ref="E105" authorId="2" shapeId="0" xr:uid="{00000000-0006-0000-2000-000075000000}">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Se reduce $25.760,00 movimiento de partida para egreso de forma adecuada en FCA </t>
        </r>
      </text>
    </comment>
    <comment ref="E106" authorId="1" shapeId="0" xr:uid="{00000000-0006-0000-2000-000076000000}">
      <text>
        <r>
          <rPr>
            <b/>
            <sz val="9"/>
            <color rgb="FF000000"/>
            <rFont val="Tahoma"/>
            <family val="2"/>
          </rPr>
          <t xml:space="preserve">HP: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06/06: Se redujo $17.500 a DTH por reunión de seguimiento y en virtud de oficio Nro. MEF-SP-2023-0501 para atender Memo Nro. 0399 de DADM</t>
        </r>
        <r>
          <rPr>
            <sz val="10"/>
            <color rgb="FF000000"/>
            <rFont val="Tahoma"/>
            <family val="34"/>
          </rPr>
          <t xml:space="preserve"> y en atención al memo 0764 DTH</t>
        </r>
      </text>
    </comment>
    <comment ref="D107" authorId="1" shapeId="0" xr:uid="{00000000-0006-0000-2000-000077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$ 4.800,00 según adjunto de Vic. Investigación en e-mail enviado el 03/02/2023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E107" authorId="2" shapeId="0" xr:uid="{00000000-0006-0000-2000-000078000000}">
      <text>
        <r>
          <rPr>
            <b/>
            <sz val="9"/>
            <color rgb="FF000000"/>
            <rFont val="Tahoma"/>
            <family val="34"/>
          </rPr>
          <t>Valeria Ramon Capa:</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$4.800,00 a Vic. Investigación por seguimiento y en virtud de oficio Nro. MEF-SP-2023-0501 para atender Memo Nro. 0399 de DADM.</t>
        </r>
      </text>
    </comment>
    <comment ref="D108" authorId="1" shapeId="0" xr:uid="{00000000-0006-0000-2000-00007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$ 480,00 según adjunto de Vic. Investigación en e-mail enviado el 03/02/2023</t>
        </r>
      </text>
    </comment>
    <comment ref="E108" authorId="1" shapeId="0" xr:uid="{00000000-0006-0000-2000-00007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$ 12.320,00 Vic. Investigación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$480,00-150,00 a Vic. Investigación en reunión de seguimiento y en virtud de oficio Nro. MEF-SP-2023-0501 para atender Memo Nro. 0399 de DADM.
</t>
        </r>
      </text>
    </comment>
    <comment ref="D109" authorId="3" shapeId="0" xr:uid="{00000000-0006-0000-2000-00007B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D110" authorId="1" shapeId="0" xr:uid="{00000000-0006-0000-2000-00007C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$ 5.544,00 de acuerdo al POA 2023 de la FCE presentado.</t>
        </r>
      </text>
    </comment>
    <comment ref="E110" authorId="1" shapeId="0" xr:uid="{00000000-0006-0000-2000-00007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$ 3.500,00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$ 11.200,00 según memo N</t>
        </r>
        <r>
          <rPr>
            <sz val="9"/>
            <color rgb="FF000000"/>
            <rFont val="Tahoma"/>
            <family val="2"/>
          </rPr>
          <t>°</t>
        </r>
        <r>
          <rPr>
            <sz val="9"/>
            <color rgb="FF000000"/>
            <rFont val="Tahoma"/>
            <family val="2"/>
          </rPr>
          <t xml:space="preserve"> FCS-D-2023-0460-M_23052023</t>
        </r>
      </text>
    </comment>
    <comment ref="E111" authorId="0" shapeId="0" xr:uid="{00000000-0006-0000-2000-00007E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$ 530,00 según memo N</t>
        </r>
        <r>
          <rPr>
            <sz val="9"/>
            <color rgb="FF000000"/>
            <rFont val="Tahoma"/>
            <family val="2"/>
          </rPr>
          <t>°</t>
        </r>
        <r>
          <rPr>
            <sz val="9"/>
            <color rgb="FF000000"/>
            <rFont val="Tahoma"/>
            <family val="2"/>
          </rPr>
          <t xml:space="preserve"> DIDI-2023-0223-M_04052023</t>
        </r>
      </text>
    </comment>
    <comment ref="E112" authorId="2" shapeId="0" xr:uid="{00000000-0006-0000-2000-00007F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D113" authorId="1" shapeId="0" xr:uid="{00000000-0006-0000-2000-00008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E113" authorId="1" shapeId="0" xr:uid="{00000000-0006-0000-2000-000081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$ 7.400,00 FCA
</t>
        </r>
        <r>
          <rPr>
            <sz val="9"/>
            <color rgb="FF000000"/>
            <rFont val="Tahoma"/>
            <family val="2"/>
          </rPr>
          <t xml:space="preserve">$ 6.000,00 FCS
</t>
        </r>
        <r>
          <rPr>
            <sz val="9"/>
            <color rgb="FF000000"/>
            <rFont val="Tahoma"/>
            <family val="2"/>
          </rPr>
          <t xml:space="preserve">$ 4.000,00 FIC
</t>
        </r>
        <r>
          <rPr>
            <sz val="9"/>
            <color rgb="FF000000"/>
            <rFont val="Tahoma"/>
            <family val="2"/>
          </rPr>
          <t xml:space="preserve">
</t>
        </r>
        <r>
          <rPr>
            <sz val="9"/>
            <color rgb="FF000000"/>
            <rFont val="Tahoma"/>
            <family val="2"/>
          </rPr>
          <t xml:space="preserve">Se redujo $ 56.000,00 de acuerdo al 1er POA 2023 de la FCE presentado (por no estar desagregado).
</t>
        </r>
        <r>
          <rPr>
            <sz val="9"/>
            <color rgb="FF000000"/>
            <rFont val="Tahoma"/>
            <family val="2"/>
          </rPr>
          <t xml:space="preserve">
</t>
        </r>
        <r>
          <rPr>
            <sz val="9"/>
            <color rgb="FF000000"/>
            <rFont val="Tahoma"/>
            <family val="2"/>
          </rPr>
          <t xml:space="preserve">Se redujo $ 39.092,51
</t>
        </r>
        <r>
          <rPr>
            <sz val="9"/>
            <color rgb="FF000000"/>
            <rFont val="Tahoma"/>
            <family val="2"/>
          </rPr>
          <t xml:space="preserve">
</t>
        </r>
        <r>
          <rPr>
            <sz val="9"/>
            <color rgb="FF000000"/>
            <rFont val="Tahoma"/>
            <family val="2"/>
          </rPr>
          <t xml:space="preserve">En el POA quedó:
</t>
        </r>
        <r>
          <rPr>
            <sz val="9"/>
            <color rgb="FF000000"/>
            <rFont val="Tahoma"/>
            <family val="2"/>
          </rPr>
          <t xml:space="preserve">8.360,00 DIDI
</t>
        </r>
        <r>
          <rPr>
            <sz val="9"/>
            <color rgb="FF000000"/>
            <rFont val="Tahoma"/>
            <family val="2"/>
          </rPr>
          <t xml:space="preserve">15.000,00 FCA
</t>
        </r>
        <r>
          <rPr>
            <sz val="9"/>
            <color rgb="FF000000"/>
            <rFont val="Tahoma"/>
            <family val="2"/>
          </rPr>
          <t xml:space="preserve">28.107,49 FCQS
</t>
        </r>
        <r>
          <rPr>
            <sz val="9"/>
            <color rgb="FF000000"/>
            <rFont val="Tahoma"/>
            <family val="2"/>
          </rPr>
          <t xml:space="preserve">10.800,00 FCS
</t>
        </r>
        <r>
          <rPr>
            <sz val="9"/>
            <color rgb="FF000000"/>
            <rFont val="Tahoma"/>
            <family val="2"/>
          </rPr>
          <t xml:space="preserve">6.080,00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 xml:space="preserve">Se redujo $ 10.800,00 a FCS según reunión de seguimiento y en virtud de oficio Nro. MEF-SP-2023-0501 para atender Memo Nro. 0399 de DADM.
</t>
        </r>
        <r>
          <rPr>
            <sz val="9"/>
            <color rgb="FF000000"/>
            <rFont val="Tahoma"/>
            <family val="2"/>
          </rPr>
          <t xml:space="preserve">
</t>
        </r>
        <r>
          <rPr>
            <sz val="9"/>
            <color rgb="FF000000"/>
            <rFont val="Tahoma"/>
            <family val="2"/>
          </rPr>
          <t xml:space="preserve">Se redujo $ 15.848,08+6.776,00 según memo N 0604 FCQS_25052023
</t>
        </r>
        <r>
          <rPr>
            <sz val="9"/>
            <color rgb="FF000000"/>
            <rFont val="Tahoma"/>
            <family val="2"/>
          </rPr>
          <t xml:space="preserve">
</t>
        </r>
        <r>
          <rPr>
            <sz val="9"/>
            <color rgb="FF000000"/>
            <rFont val="Tahoma"/>
            <family val="2"/>
          </rPr>
          <t>Se redujo $6.080,00 por memo N</t>
        </r>
        <r>
          <rPr>
            <sz val="9"/>
            <color rgb="FF000000"/>
            <rFont val="Tahoma"/>
            <family val="2"/>
          </rPr>
          <t>°</t>
        </r>
        <r>
          <rPr>
            <sz val="9"/>
            <color rgb="FF000000"/>
            <rFont val="Tahoma"/>
            <family val="2"/>
          </rPr>
          <t xml:space="preserve"> UTMACH-FIC-D-2023-0312-M_18052023</t>
        </r>
      </text>
    </comment>
    <comment ref="D114" authorId="0" shapeId="0" xr:uid="{00000000-0006-0000-2000-00008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D115" authorId="1" shapeId="0" xr:uid="{00000000-0006-0000-2000-00008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 según Memorando N</t>
        </r>
        <r>
          <rPr>
            <sz val="9"/>
            <color rgb="FF000000"/>
            <rFont val="Tahoma"/>
            <family val="2"/>
          </rPr>
          <t>°</t>
        </r>
        <r>
          <rPr>
            <sz val="9"/>
            <color rgb="FF000000"/>
            <rFont val="Tahoma"/>
            <family val="2"/>
          </rPr>
          <t xml:space="preserve"> UTMACH-DIDI-2023-0053-M_02/02/2023.</t>
        </r>
      </text>
    </comment>
    <comment ref="E115" authorId="2" shapeId="0" xr:uid="{00000000-0006-0000-2000-000084000000}">
      <text>
        <r>
          <rPr>
            <b/>
            <sz val="10"/>
            <color rgb="FF000000"/>
            <rFont val="Tahoma"/>
            <family val="2"/>
          </rPr>
          <t>Valeria Ramon Capa:</t>
        </r>
        <r>
          <rPr>
            <sz val="10"/>
            <color rgb="FF000000"/>
            <rFont val="Tahoma"/>
            <family val="2"/>
          </rPr>
          <t xml:space="preserve">
</t>
        </r>
        <r>
          <rPr>
            <sz val="10"/>
            <color rgb="FF000000"/>
            <rFont val="Tahoma"/>
            <family val="2"/>
          </rPr>
          <t>Reforma N</t>
        </r>
        <r>
          <rPr>
            <sz val="10"/>
            <color rgb="FF000000"/>
            <rFont val="Tahoma"/>
            <family val="2"/>
          </rPr>
          <t>°</t>
        </r>
        <r>
          <rPr>
            <sz val="10"/>
            <color rgb="FF000000"/>
            <rFont val="Tahoma"/>
            <family val="2"/>
          </rPr>
          <t xml:space="preserve"> 3: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D116" authorId="1" shapeId="0" xr:uid="{00000000-0006-0000-2000-000085000000}">
      <text>
        <r>
          <rPr>
            <b/>
            <sz val="9"/>
            <color rgb="FF000000"/>
            <rFont val="Tahoma"/>
            <family val="2"/>
          </rPr>
          <t>HP:</t>
        </r>
        <r>
          <rPr>
            <sz val="9"/>
            <color rgb="FF000000"/>
            <rFont val="Tahoma"/>
            <family val="2"/>
          </rPr>
          <t xml:space="preserve">
</t>
        </r>
        <r>
          <rPr>
            <sz val="9"/>
            <color rgb="FF000000"/>
            <rFont val="Tahoma"/>
            <family val="2"/>
          </rPr>
          <t>Se incrementó $ 22.000,00 según Memorando N</t>
        </r>
        <r>
          <rPr>
            <sz val="9"/>
            <color rgb="FF000000"/>
            <rFont val="Tahoma"/>
            <family val="2"/>
          </rPr>
          <t>°</t>
        </r>
        <r>
          <rPr>
            <sz val="9"/>
            <color rgb="FF000000"/>
            <rFont val="Tahoma"/>
            <family val="2"/>
          </rPr>
          <t xml:space="preserve"> UTMACH-DIDI-2023-0053-M_02/02/2023 y UTMACH-DIDI-2023-0042-M_31/01/2023</t>
        </r>
      </text>
    </comment>
    <comment ref="E116" authorId="2" shapeId="0" xr:uid="{00000000-0006-0000-2000-000086000000}">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reduce $13.133,00 en atención al memo nro 083 DIDI-BG</t>
        </r>
      </text>
    </comment>
    <comment ref="E117" authorId="0" shapeId="0" xr:uid="{00000000-0006-0000-2000-000087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D118" authorId="1" shapeId="0" xr:uid="{00000000-0006-0000-2000-000088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$1.250,00 Py de Inversión FIC</t>
        </r>
      </text>
    </comment>
    <comment ref="E118" authorId="0" shapeId="0" xr:uid="{00000000-0006-0000-2000-000089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$ 1.250,00 según memo N</t>
        </r>
        <r>
          <rPr>
            <sz val="9"/>
            <color rgb="FF000000"/>
            <rFont val="Tahoma"/>
            <family val="2"/>
          </rPr>
          <t>°</t>
        </r>
        <r>
          <rPr>
            <sz val="9"/>
            <color rgb="FF000000"/>
            <rFont val="Tahoma"/>
            <family val="2"/>
          </rPr>
          <t xml:space="preserve"> FIC-D-2023-0209-M_05052023.</t>
        </r>
      </text>
    </comment>
    <comment ref="E119" authorId="0" shapeId="0" xr:uid="{00000000-0006-0000-2000-00008A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$ 394,63 según memo N</t>
        </r>
        <r>
          <rPr>
            <sz val="9"/>
            <color rgb="FF000000"/>
            <rFont val="Tahoma"/>
            <family val="2"/>
          </rPr>
          <t>°</t>
        </r>
        <r>
          <rPr>
            <sz val="9"/>
            <color rgb="FF000000"/>
            <rFont val="Tahoma"/>
            <family val="2"/>
          </rPr>
          <t xml:space="preserve"> FIC-D-2023-0209-M_05052023.</t>
        </r>
      </text>
    </comment>
    <comment ref="D120" authorId="1" shapeId="0" xr:uid="{00000000-0006-0000-2000-00008B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$ 6.370,00 Py de Inversión FIC</t>
        </r>
      </text>
    </comment>
    <comment ref="E120" authorId="0" shapeId="0" xr:uid="{00000000-0006-0000-2000-00008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$ 6.370,00 según memo N</t>
        </r>
        <r>
          <rPr>
            <sz val="9"/>
            <color rgb="FF000000"/>
            <rFont val="Tahoma"/>
            <family val="2"/>
          </rPr>
          <t>°</t>
        </r>
        <r>
          <rPr>
            <sz val="9"/>
            <color rgb="FF000000"/>
            <rFont val="Tahoma"/>
            <family val="2"/>
          </rPr>
          <t xml:space="preserve"> FIC-D-2023-0209-M_05052023.</t>
        </r>
      </text>
    </comment>
    <comment ref="D121" authorId="1" shapeId="0" xr:uid="{00000000-0006-0000-2000-00008D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$ 3.495,00 por contrato del año anterior para adquisición de un estereomicroscopio para la ejecución de un proyecto de investigación de la FCQS - NARVAEZ SOLUCIONES INTEGRALES - NSI CIA.LTDA. - DIDI
</t>
        </r>
        <r>
          <rPr>
            <sz val="9"/>
            <color rgb="FF000000"/>
            <rFont val="Tahoma"/>
            <family val="2"/>
          </rPr>
          <t xml:space="preserve">
</t>
        </r>
        <r>
          <rPr>
            <sz val="9"/>
            <color rgb="FF000000"/>
            <rFont val="Tahoma"/>
            <family val="2"/>
          </rPr>
          <t xml:space="preserve">$ 8.692,25 por contrato de año anterior para adquisición de proyectores de imagen. TICS.
</t>
        </r>
        <r>
          <rPr>
            <sz val="9"/>
            <color rgb="FF000000"/>
            <rFont val="Tahoma"/>
            <family val="2"/>
          </rPr>
          <t xml:space="preserve">
</t>
        </r>
        <r>
          <rPr>
            <sz val="9"/>
            <color rgb="FF000000"/>
            <rFont val="Tahoma"/>
            <family val="2"/>
          </rPr>
          <t xml:space="preserve">$ 53.725,18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$ 13.192,00 según memo N</t>
        </r>
        <r>
          <rPr>
            <sz val="9"/>
            <color rgb="FF000000"/>
            <rFont val="Tahoma"/>
            <family val="2"/>
          </rPr>
          <t>°</t>
        </r>
        <r>
          <rPr>
            <sz val="9"/>
            <color rgb="FF000000"/>
            <rFont val="Tahoma"/>
            <family val="2"/>
          </rPr>
          <t xml:space="preserve"> DTIC-2023-0088-M_04052023</t>
        </r>
      </text>
    </comment>
    <comment ref="E121" authorId="2" shapeId="0" xr:uid="{00000000-0006-0000-2000-00008E000000}">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-06/06 Se reduce $10.192 por reunión mantenida con TICS por seguimiento y en virtud de oficio Nro. MEF-SP-2023-0501 para atender Memo Nro. 0399 de DADM.
</t>
        </r>
        <r>
          <rPr>
            <sz val="9"/>
            <color rgb="FF000000"/>
            <rFont val="Tahoma"/>
            <family val="34"/>
          </rPr>
          <t xml:space="preserve">
</t>
        </r>
        <r>
          <rPr>
            <sz val="9"/>
            <color rgb="FF000000"/>
            <rFont val="Tahoma"/>
            <family val="34"/>
          </rPr>
          <t xml:space="preserve">-Se redujo $5.600,00+134,40 según memo N 0604 FCQS_25052023
</t>
        </r>
        <r>
          <rPr>
            <sz val="9"/>
            <color rgb="FF000000"/>
            <rFont val="Tahoma"/>
            <family val="34"/>
          </rPr>
          <t xml:space="preserve">
</t>
        </r>
        <r>
          <rPr>
            <sz val="9"/>
            <color rgb="FF000000"/>
            <rFont val="Tahoma"/>
            <family val="34"/>
          </rPr>
          <t xml:space="preserve">-Se reduce $14280 a FCQS por seguimiento y en virtud de oficio Nro. MEF-SP-2023-0501 para atender Memo Nro. 0399 de DADM.
</t>
        </r>
      </text>
    </comment>
    <comment ref="D122" authorId="1" shapeId="0" xr:uid="{00000000-0006-0000-2000-00008F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$ 924.169,72 Py de Inversión FIC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D123" authorId="3" shapeId="0" xr:uid="{00000000-0006-0000-2000-000090000000}">
      <text>
        <r>
          <rPr>
            <b/>
            <sz val="7"/>
            <color rgb="FF000000"/>
            <rFont val="Tahoma"/>
            <family val="2"/>
          </rPr>
          <t>Eunice Basilio:</t>
        </r>
        <r>
          <rPr>
            <sz val="7"/>
            <color rgb="FF000000"/>
            <rFont val="Tahoma"/>
            <family val="2"/>
          </rPr>
          <t xml:space="preserve">
</t>
        </r>
        <r>
          <rPr>
            <sz val="7"/>
            <color rgb="FF000000"/>
            <rFont val="Tahoma"/>
            <family val="2"/>
          </rPr>
          <t>Reforma N</t>
        </r>
        <r>
          <rPr>
            <sz val="7"/>
            <color rgb="FF000000"/>
            <rFont val="Tahoma"/>
            <family val="2"/>
          </rPr>
          <t>°</t>
        </r>
        <r>
          <rPr>
            <sz val="7"/>
            <color rgb="FF000000"/>
            <rFont val="Tahoma"/>
            <family val="2"/>
          </rPr>
          <t xml:space="preserve"> 2:
</t>
        </r>
        <r>
          <rPr>
            <sz val="7"/>
            <color rgb="FF000000"/>
            <rFont val="Tahoma"/>
            <family val="2"/>
          </rPr>
          <t xml:space="preserve">Se incrementó $ 211.328,52 conforme archivo POA 2023.
</t>
        </r>
        <r>
          <rPr>
            <sz val="7"/>
            <color rgb="FF000000"/>
            <rFont val="Tahoma"/>
            <family val="2"/>
          </rPr>
          <t xml:space="preserve">$ 4.278,40 Vic. de Investigación, Vinculación y Posgrado
</t>
        </r>
        <r>
          <rPr>
            <sz val="7"/>
            <color rgb="FF000000"/>
            <rFont val="Tahoma"/>
            <family val="2"/>
          </rPr>
          <t xml:space="preserve">$ 134.551,20 DIDI (con el incremento de abajo)
</t>
        </r>
        <r>
          <rPr>
            <sz val="7"/>
            <color rgb="FF000000"/>
            <rFont val="Tahoma"/>
            <family val="2"/>
          </rPr>
          <t xml:space="preserve">$ 59.062,12 + 22.400,00 FCA
</t>
        </r>
        <r>
          <rPr>
            <sz val="7"/>
            <color rgb="FF000000"/>
            <rFont val="Tahoma"/>
            <family val="2"/>
          </rPr>
          <t xml:space="preserve">$ 12.028,80 + 18043,20 FCS
</t>
        </r>
        <r>
          <rPr>
            <sz val="7"/>
            <color rgb="FF000000"/>
            <rFont val="Tahoma"/>
            <family val="2"/>
          </rPr>
          <t xml:space="preserve">$ 400,00 Rectorado
</t>
        </r>
        <r>
          <rPr>
            <sz val="7"/>
            <color rgb="FF000000"/>
            <rFont val="Tahoma"/>
            <family val="2"/>
          </rPr>
          <t xml:space="preserve">$ 1.008,00 + 30.889,60 + 1.929,57 FCQS
</t>
        </r>
        <r>
          <rPr>
            <sz val="7"/>
            <color rgb="FF000000"/>
            <rFont val="Tahoma"/>
            <family val="2"/>
          </rPr>
          <t xml:space="preserve">$ 15.120,00 FIC
</t>
        </r>
        <r>
          <rPr>
            <sz val="7"/>
            <color rgb="FFFF0000"/>
            <rFont val="Tahoma"/>
            <family val="2"/>
          </rPr>
          <t xml:space="preserve">
</t>
        </r>
        <r>
          <rPr>
            <sz val="7"/>
            <color rgb="FF000000"/>
            <rFont val="Tahoma"/>
            <family val="2"/>
          </rPr>
          <t>Se redujo $ 132.871,20 según Memorando N</t>
        </r>
        <r>
          <rPr>
            <sz val="7"/>
            <color rgb="FF000000"/>
            <rFont val="Tahoma"/>
            <family val="2"/>
          </rPr>
          <t>°</t>
        </r>
        <r>
          <rPr>
            <sz val="7"/>
            <color rgb="FF000000"/>
            <rFont val="Tahoma"/>
            <family val="2"/>
          </rPr>
          <t xml:space="preserve"> UTMACH-DIDI-2023-0053-M_02/02/2023.
</t>
        </r>
        <r>
          <rPr>
            <sz val="7"/>
            <color rgb="FF000000"/>
            <rFont val="Tahoma"/>
            <family val="2"/>
          </rPr>
          <t xml:space="preserve">
</t>
        </r>
        <r>
          <rPr>
            <sz val="7"/>
            <color rgb="FF000000"/>
            <rFont val="Tahoma"/>
            <family val="2"/>
          </rPr>
          <t xml:space="preserve">Se incrementó $ 8.480,00 según adjunto de Vic. Investigación en e-mail enviado el 03/02/2023
</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3:
</t>
        </r>
        <r>
          <rPr>
            <sz val="7"/>
            <color rgb="FF000000"/>
            <rFont val="Tahoma"/>
            <family val="2"/>
          </rPr>
          <t>Se incrementó $ 9.559,07 según memo N</t>
        </r>
        <r>
          <rPr>
            <sz val="7"/>
            <color rgb="FF000000"/>
            <rFont val="Tahoma"/>
            <family val="2"/>
          </rPr>
          <t>°</t>
        </r>
        <r>
          <rPr>
            <sz val="7"/>
            <color rgb="FF000000"/>
            <rFont val="Tahoma"/>
            <family val="2"/>
          </rPr>
          <t xml:space="preserve"> 8 FCE-D-2023-0238-M_14032023
</t>
        </r>
        <r>
          <rPr>
            <sz val="7"/>
            <color rgb="FF000000"/>
            <rFont val="Tahoma"/>
            <family val="2"/>
          </rPr>
          <t xml:space="preserve">
</t>
        </r>
        <r>
          <rPr>
            <sz val="7"/>
            <color rgb="FF000000"/>
            <rFont val="Tahoma"/>
            <family val="2"/>
          </rPr>
          <t xml:space="preserve">05/06: Se incrementó $5000 a FCA por reunión de seguimiento
</t>
        </r>
        <r>
          <rPr>
            <sz val="7"/>
            <color rgb="FF000000"/>
            <rFont val="Tahoma"/>
            <family val="2"/>
          </rPr>
          <t xml:space="preserve">
</t>
        </r>
        <r>
          <rPr>
            <sz val="7"/>
            <color rgb="FF000000"/>
            <rFont val="Tahoma"/>
            <family val="2"/>
          </rPr>
          <t xml:space="preserve">Se incrementó $ 1.904,87+3.136,00+3.136,00 según memo N 0604 FCQS_25052023
</t>
        </r>
        <r>
          <rPr>
            <sz val="7"/>
            <color rgb="FF000000"/>
            <rFont val="Tahoma"/>
            <family val="2"/>
          </rPr>
          <t xml:space="preserve">
</t>
        </r>
        <r>
          <rPr>
            <sz val="7"/>
            <color rgb="FF000000"/>
            <rFont val="Tahoma"/>
            <family val="2"/>
          </rPr>
          <t xml:space="preserve">Se incrementó 923,41 en FCA por cuadre de grupo 84
</t>
        </r>
        <r>
          <rPr>
            <sz val="7"/>
            <color rgb="FF000000"/>
            <rFont val="Tahoma"/>
            <family val="2"/>
          </rPr>
          <t xml:space="preserve">
</t>
        </r>
        <r>
          <rPr>
            <sz val="7"/>
            <color rgb="FF000000"/>
            <rFont val="Tahoma"/>
            <family val="2"/>
          </rPr>
          <t>Se incrementó $11.620,00 por memo N</t>
        </r>
        <r>
          <rPr>
            <sz val="7"/>
            <color rgb="FF000000"/>
            <rFont val="Tahoma"/>
            <family val="2"/>
          </rPr>
          <t>°</t>
        </r>
        <r>
          <rPr>
            <sz val="7"/>
            <color rgb="FF000000"/>
            <rFont val="Tahoma"/>
            <family val="2"/>
          </rPr>
          <t xml:space="preserve"> UTMACH-FIC-D-2023-0312-M_18052023
</t>
        </r>
        <r>
          <rPr>
            <sz val="7"/>
            <color rgb="FF000000"/>
            <rFont val="Tahoma"/>
            <family val="2"/>
          </rPr>
          <t xml:space="preserve">
</t>
        </r>
        <r>
          <rPr>
            <sz val="7"/>
            <color rgb="FF000000"/>
            <rFont val="Tahoma"/>
            <family val="2"/>
          </rPr>
          <t xml:space="preserve">Se incrementó $ 13.405,61+6.776,00 según memo N 0604 FCQS_25052023
</t>
        </r>
        <r>
          <rPr>
            <sz val="7"/>
            <color rgb="FF000000"/>
            <rFont val="Tahoma"/>
            <family val="2"/>
          </rPr>
          <t xml:space="preserve">
</t>
        </r>
        <r>
          <rPr>
            <sz val="7"/>
            <color rgb="FF000000"/>
            <rFont val="Tahoma"/>
            <family val="2"/>
          </rPr>
          <t>Se incrementó en DIDI $ 39.637,92 - ($3.158,13 por cuadre de fuente) para cartera de proyectos de inversión 2023</t>
        </r>
      </text>
    </comment>
    <comment ref="E123" authorId="2" shapeId="0" xr:uid="{00000000-0006-0000-2000-000091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$15.120,00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Se reduce $758,4 a VIVP por reunión de seguimiento y en virtud de oficio Nro. MEF-SP-2023-0501 para atender Memo Nro. 0399 de DADM.</t>
        </r>
      </text>
    </comment>
    <comment ref="D124" authorId="1" shapeId="0" xr:uid="{00000000-0006-0000-2000-000092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$ 1.344,10 FCQS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$ 6.338,72 según memo N</t>
        </r>
        <r>
          <rPr>
            <sz val="9"/>
            <color rgb="FF000000"/>
            <rFont val="Tahoma"/>
            <family val="2"/>
          </rPr>
          <t>°</t>
        </r>
        <r>
          <rPr>
            <sz val="9"/>
            <color rgb="FF000000"/>
            <rFont val="Tahoma"/>
            <family val="2"/>
          </rPr>
          <t xml:space="preserve"> DTIC-2023-0088-M_04052023</t>
        </r>
      </text>
    </comment>
    <comment ref="E124" authorId="2" shapeId="0" xr:uid="{00000000-0006-0000-2000-00009300000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reduce $1.086,02 por reunión de seguimiento con TICS y en virtud de oficio Nro. MEF-SP-2023-0501 para atender Memo Nro. 0399 de DADM.</t>
        </r>
      </text>
    </comment>
    <comment ref="D125" authorId="1" shapeId="0" xr:uid="{00000000-0006-0000-2000-000094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$ 244.548,86 Py de Inversión FIC</t>
        </r>
      </text>
    </comment>
    <comment ref="E125" authorId="0" shapeId="0" xr:uid="{00000000-0006-0000-2000-00009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$ 74.735,30 según memo N</t>
        </r>
        <r>
          <rPr>
            <sz val="9"/>
            <color rgb="FF000000"/>
            <rFont val="Tahoma"/>
            <family val="2"/>
          </rPr>
          <t>°</t>
        </r>
        <r>
          <rPr>
            <sz val="9"/>
            <color rgb="FF000000"/>
            <rFont val="Tahoma"/>
            <family val="2"/>
          </rPr>
          <t xml:space="preserve"> FIC-D-2023-0209-M_05052023.</t>
        </r>
      </text>
    </comment>
    <comment ref="D126" authorId="3" shapeId="0" xr:uid="{00000000-0006-0000-2000-000096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$ 13.523,26 Vic. Investigación
</t>
        </r>
        <r>
          <rPr>
            <sz val="9"/>
            <color rgb="FF000000"/>
            <rFont val="Tahoma"/>
            <family val="2"/>
          </rPr>
          <t xml:space="preserve">$ 2.240,00 DIDI
</t>
        </r>
        <r>
          <rPr>
            <sz val="9"/>
            <color rgb="FF000000"/>
            <rFont val="Tahoma"/>
            <family val="2"/>
          </rPr>
          <t xml:space="preserve">$ 123.516,00 DTIC + 18.037,80
</t>
        </r>
        <r>
          <rPr>
            <sz val="9"/>
            <color rgb="FF000000"/>
            <rFont val="Tahoma"/>
            <family val="2"/>
          </rPr>
          <t xml:space="preserve">$ 65.044,00 FCE
</t>
        </r>
        <r>
          <rPr>
            <sz val="9"/>
            <color rgb="FF000000"/>
            <rFont val="Tahoma"/>
            <family val="2"/>
          </rPr>
          <t xml:space="preserve">$ 11.150,72  FCS
</t>
        </r>
        <r>
          <rPr>
            <sz val="9"/>
            <color rgb="FF000000"/>
            <rFont val="Tahoma"/>
            <family val="2"/>
          </rPr>
          <t xml:space="preserve">$ 7.504,00 Rectorado
</t>
        </r>
        <r>
          <rPr>
            <sz val="9"/>
            <color rgb="FF000000"/>
            <rFont val="Tahoma"/>
            <family val="2"/>
          </rPr>
          <t xml:space="preserve">
</t>
        </r>
        <r>
          <rPr>
            <sz val="9"/>
            <color rgb="FF000000"/>
            <rFont val="Tahoma"/>
            <family val="2"/>
          </rPr>
          <t>Se incrementó $ 1.771,84, según Memorando N</t>
        </r>
        <r>
          <rPr>
            <sz val="9"/>
            <color rgb="FF000000"/>
            <rFont val="Tahoma"/>
            <family val="2"/>
          </rPr>
          <t>°</t>
        </r>
        <r>
          <rPr>
            <sz val="9"/>
            <color rgb="FF000000"/>
            <rFont val="Tahoma"/>
            <family val="2"/>
          </rPr>
          <t xml:space="preserve"> UTMACH-DADM-2023-0013-M del 16/01/23 Se agrega a TICS.
</t>
        </r>
        <r>
          <rPr>
            <sz val="9"/>
            <color rgb="FF000000"/>
            <rFont val="Tahoma"/>
            <family val="2"/>
          </rPr>
          <t xml:space="preserve">
</t>
        </r>
        <r>
          <rPr>
            <sz val="9"/>
            <color rgb="FF000000"/>
            <rFont val="Tahoma"/>
            <family val="2"/>
          </rPr>
          <t>Se incrementó $ 45.920,00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$ 61.245,25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$3.500,00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incrementó $38.449,60 a FCE por cuadre de fuentes
</t>
        </r>
        <r>
          <rPr>
            <sz val="9"/>
            <color rgb="FF000000"/>
            <rFont val="Tahoma"/>
            <family val="2"/>
          </rPr>
          <t xml:space="preserve">
</t>
        </r>
        <r>
          <rPr>
            <sz val="9"/>
            <color rgb="FF000000"/>
            <rFont val="Tahoma"/>
            <family val="2"/>
          </rPr>
          <t>Se incrementó $10.080 a DIDI para cubrir cartera de Proyectos de investigación</t>
        </r>
      </text>
    </comment>
    <comment ref="E126" authorId="0" shapeId="0" xr:uid="{00000000-0006-0000-2000-000097000000}">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$ 9.559,07 según memo N</t>
        </r>
        <r>
          <rPr>
            <sz val="9"/>
            <color rgb="FF000000"/>
            <rFont val="Tahoma"/>
            <family val="2"/>
          </rPr>
          <t>°</t>
        </r>
        <r>
          <rPr>
            <sz val="9"/>
            <color rgb="FF000000"/>
            <rFont val="Tahoma"/>
            <family val="2"/>
          </rPr>
          <t xml:space="preserve"> 8 FCE-D-2023-0238-M_14032023
</t>
        </r>
        <r>
          <rPr>
            <sz val="9"/>
            <color rgb="FF000000"/>
            <rFont val="Tahoma"/>
            <family val="2"/>
          </rPr>
          <t xml:space="preserve">
</t>
        </r>
        <r>
          <rPr>
            <sz val="9"/>
            <color rgb="FF000000"/>
            <rFont val="Tahoma"/>
            <family val="2"/>
          </rPr>
          <t xml:space="preserve">Se redujo $7.504 para cubrir solicitud de memo N CGR-2023-0180-M
</t>
        </r>
        <r>
          <rPr>
            <sz val="9"/>
            <color rgb="FF000000"/>
            <rFont val="Tahoma"/>
            <family val="2"/>
          </rPr>
          <t xml:space="preserve">
</t>
        </r>
        <r>
          <rPr>
            <sz val="9"/>
            <color rgb="FF000000"/>
            <rFont val="Tahoma"/>
            <family val="2"/>
          </rPr>
          <t xml:space="preserve">Por seguimiento y en virtud de oficio Nro. MEF-SP-2023-0501 para atender Memo Nro. 0399 de DADM:
</t>
        </r>
        <r>
          <rPr>
            <sz val="9"/>
            <color rgb="FF000000"/>
            <rFont val="Tahoma"/>
            <family val="2"/>
          </rPr>
          <t xml:space="preserve">
</t>
        </r>
        <r>
          <rPr>
            <sz val="9"/>
            <color rgb="FF000000"/>
            <rFont val="Tahoma"/>
            <family val="2"/>
          </rPr>
          <t xml:space="preserve">-05/06: Se redujo $2.081,43 según reunión mantenida con VIVP 
</t>
        </r>
        <r>
          <rPr>
            <sz val="9"/>
            <color rgb="FF000000"/>
            <rFont val="Tahoma"/>
            <family val="2"/>
          </rPr>
          <t xml:space="preserve">
</t>
        </r>
        <r>
          <rPr>
            <sz val="9"/>
            <color rgb="FF000000"/>
            <rFont val="Tahoma"/>
            <family val="2"/>
          </rPr>
          <t xml:space="preserve">- Se reduce $33.488 según reunión mantenida con TICS
</t>
        </r>
        <r>
          <rPr>
            <sz val="9"/>
            <color rgb="FF000000"/>
            <rFont val="Tahoma"/>
            <family val="2"/>
          </rPr>
          <t xml:space="preserve">
</t>
        </r>
        <r>
          <rPr>
            <sz val="9"/>
            <color rgb="FF000000"/>
            <rFont val="Tahoma"/>
            <family val="2"/>
          </rPr>
          <t xml:space="preserve">- Se redujo $16.587,2 según seguimiento DIDI
</t>
        </r>
        <r>
          <rPr>
            <sz val="9"/>
            <color rgb="FF000000"/>
            <rFont val="Tahoma"/>
            <family val="2"/>
          </rPr>
          <t xml:space="preserve">
</t>
        </r>
        <r>
          <rPr>
            <sz val="9"/>
            <color rgb="FF000000"/>
            <rFont val="Tahoma"/>
            <family val="2"/>
          </rPr>
          <t>- Se redujo $5,81 por cuadre de grupo 83</t>
        </r>
      </text>
    </comment>
    <comment ref="D127" authorId="2" shapeId="0" xr:uid="{00000000-0006-0000-2000-000098000000}">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incrementa $13.133,00 en atención al memo nro 083 DIDI-BG</t>
        </r>
      </text>
    </comment>
    <comment ref="E133" authorId="1" shapeId="0" xr:uid="{00000000-0006-0000-2000-000099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$ 8.960,00 Vic. de Investigación
</t>
        </r>
        <r>
          <rPr>
            <sz val="9"/>
            <color rgb="FF000000"/>
            <rFont val="Tahoma"/>
            <family val="2"/>
          </rPr>
          <t xml:space="preserve">según adjunto de Vic. Investigación en e-mail enviado el 03/02/2023
</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$9.640,00 Dircom conforme a la reunión con fecha 01/06 con la Directora </t>
        </r>
        <r>
          <rPr>
            <sz val="10"/>
            <color rgb="FF000000"/>
            <rFont val="Courier"/>
            <family val="1"/>
          </rPr>
          <t>por seguimiento y en virtud de oficio Nro. MEF-SP-2023-0501 para atender Memo Nro. 0399 de DADM.</t>
        </r>
      </text>
    </comment>
    <comment ref="E134" authorId="0" shapeId="0" xr:uid="{00000000-0006-0000-2000-00009A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$ 1.344,00, según memo N</t>
        </r>
        <r>
          <rPr>
            <sz val="9"/>
            <color rgb="FF000000"/>
            <rFont val="Tahoma"/>
            <family val="2"/>
          </rPr>
          <t>°</t>
        </r>
        <r>
          <rPr>
            <sz val="9"/>
            <color rgb="FF000000"/>
            <rFont val="Tahoma"/>
            <family val="2"/>
          </rPr>
          <t xml:space="preserve"> DVIN-2023-0106-M_17032023</t>
        </r>
      </text>
    </comment>
    <comment ref="E135" authorId="0" shapeId="0" xr:uid="{00000000-0006-0000-2000-00009B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E136" authorId="0" shapeId="0" xr:uid="{00000000-0006-0000-2000-00009C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$ 2.121,28, según memo N</t>
        </r>
        <r>
          <rPr>
            <sz val="9"/>
            <color rgb="FF000000"/>
            <rFont val="Tahoma"/>
            <family val="2"/>
          </rPr>
          <t>°</t>
        </r>
        <r>
          <rPr>
            <sz val="9"/>
            <color rgb="FF000000"/>
            <rFont val="Tahoma"/>
            <family val="2"/>
          </rPr>
          <t xml:space="preserve"> DVIN-2023-0106-M_17032023</t>
        </r>
      </text>
    </comment>
    <comment ref="E137" authorId="0" shapeId="0" xr:uid="{00000000-0006-0000-2000-00009D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del POA $ 5.600,00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
</t>
        </r>
        <r>
          <rPr>
            <sz val="9"/>
            <color rgb="FF000000"/>
            <rFont val="Tahoma"/>
            <family val="2"/>
          </rPr>
          <t xml:space="preserve">
</t>
        </r>
        <r>
          <rPr>
            <sz val="9"/>
            <color rgb="FF000000"/>
            <rFont val="Tahoma"/>
            <family val="2"/>
          </rPr>
          <t>Se redujo $795,65 a FCS en reunión de seguimiento y para unificar en el programa 83</t>
        </r>
      </text>
    </comment>
    <comment ref="E138" authorId="1" shapeId="0" xr:uid="{00000000-0006-0000-2000-00009E000000}">
      <text>
        <r>
          <rPr>
            <b/>
            <sz val="9"/>
            <color rgb="FF000000"/>
            <rFont val="Tahoma"/>
            <family val="34"/>
          </rPr>
          <t xml:space="preserve">HP:
</t>
        </r>
        <r>
          <rPr>
            <b/>
            <sz val="9"/>
            <color rgb="FF000000"/>
            <rFont val="Tahoma"/>
            <family val="34"/>
          </rPr>
          <t>Reforma 3:</t>
        </r>
        <r>
          <rPr>
            <sz val="9"/>
            <color rgb="FF000000"/>
            <rFont val="Tahoma"/>
            <family val="34"/>
          </rPr>
          <t xml:space="preserve">
</t>
        </r>
        <r>
          <rPr>
            <sz val="9"/>
            <color rgb="FF000000"/>
            <rFont val="Tahoma"/>
            <family val="34"/>
          </rPr>
          <t xml:space="preserve">Se redujo $22.400,00 a FCA en reunión de seguimiento y en virtud de oficio Nro. MEF-SP-2023-0501 para atender Memo Nro. 0399 de DADM.
</t>
        </r>
      </text>
    </comment>
    <comment ref="D139" authorId="0" shapeId="0" xr:uid="{00000000-0006-0000-2000-00009F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$ 18.120,00 según memo N</t>
        </r>
        <r>
          <rPr>
            <sz val="9"/>
            <color rgb="FF000000"/>
            <rFont val="Tahoma"/>
            <family val="2"/>
          </rPr>
          <t>°</t>
        </r>
        <r>
          <rPr>
            <sz val="9"/>
            <color rgb="FF000000"/>
            <rFont val="Tahoma"/>
            <family val="2"/>
          </rPr>
          <t xml:space="preserve"> UTMACH-DEC-2023-0147-M_05062023</t>
        </r>
      </text>
    </comment>
    <comment ref="E139" authorId="1" shapeId="0" xr:uid="{00000000-0006-0000-2000-0000A0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 xml:space="preserve">06/06: Se redujo $20.000 a DTH </t>
        </r>
        <r>
          <rPr>
            <sz val="10"/>
            <color rgb="FF000000"/>
            <rFont val="Tahoma"/>
            <family val="34"/>
          </rPr>
          <t>por seguimiento y en virtud de oficio Nro. MEF-SP-2023-0501 para atender Memo Nro. 0399 de DADM, y en atención al memo nro 0764 DTH</t>
        </r>
      </text>
    </comment>
    <comment ref="D140" authorId="0" shapeId="0" xr:uid="{00000000-0006-0000-2000-0000A1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$ 2.859,53+5.600,00-150,00 según memo N</t>
        </r>
        <r>
          <rPr>
            <sz val="9"/>
            <color rgb="FF000000"/>
            <rFont val="Tahoma"/>
            <family val="2"/>
          </rPr>
          <t>°</t>
        </r>
        <r>
          <rPr>
            <sz val="9"/>
            <color rgb="FF000000"/>
            <rFont val="Tahoma"/>
            <family val="2"/>
          </rPr>
          <t xml:space="preserve"> DVIN-2023-0106-M_17032023</t>
        </r>
      </text>
    </comment>
    <comment ref="E140" authorId="0" shapeId="0" xr:uid="{00000000-0006-0000-2000-0000A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$ 17920 a DVIN según reunión de seguimiento y en virtud de oficio Nro. MEF-SP-2023-0501 para atender Memo Nro. 0399 de DADM.</t>
        </r>
      </text>
    </comment>
    <comment ref="E141" authorId="1" shapeId="0" xr:uid="{00000000-0006-0000-2000-0000A3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$ 6.800,00 Dir. Educ. Continua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E142" authorId="2" shapeId="0" xr:uid="{00000000-0006-0000-2000-0000A4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$250,00 por cuanto en el memo 0460 FCS se prescinde de la compra del hardware.</t>
        </r>
      </text>
    </comment>
    <comment ref="E143" authorId="0" shapeId="0" xr:uid="{00000000-0006-0000-2000-0000A5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E144" authorId="0" shapeId="0" xr:uid="{00000000-0006-0000-2000-0000A6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$ 536,00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E145" authorId="2" shapeId="0" xr:uid="{00000000-0006-0000-2000-0000A7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$61,09 FCS proceso ejecutado</t>
        </r>
      </text>
    </comment>
    <comment ref="D146" authorId="0" shapeId="0" xr:uid="{00000000-0006-0000-2000-0000A8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icrementó $ 3.382,40, según memo N</t>
        </r>
        <r>
          <rPr>
            <sz val="9"/>
            <color rgb="FF000000"/>
            <rFont val="Tahoma"/>
            <family val="2"/>
          </rPr>
          <t>°</t>
        </r>
        <r>
          <rPr>
            <sz val="9"/>
            <color rgb="FF000000"/>
            <rFont val="Tahoma"/>
            <family val="2"/>
          </rPr>
          <t xml:space="preserve"> DVIN-2023-0106-M_17032023</t>
        </r>
      </text>
    </comment>
    <comment ref="E146" authorId="2" shapeId="0" xr:uid="{00000000-0006-0000-2000-0000A9000000}">
      <text>
        <r>
          <rPr>
            <b/>
            <sz val="9"/>
            <color rgb="FF000000"/>
            <rFont val="Tahoma"/>
            <family val="2"/>
          </rPr>
          <t>Valeria Ramon Capa:</t>
        </r>
        <r>
          <rPr>
            <sz val="9"/>
            <color rgb="FF000000"/>
            <rFont val="Tahoma"/>
            <family val="2"/>
          </rPr>
          <t xml:space="preserve">
</t>
        </r>
        <r>
          <rPr>
            <b/>
            <sz val="9"/>
            <color rgb="FF000000"/>
            <rFont val="Tahoma"/>
            <family val="2"/>
          </rPr>
          <t>Reforma 3:</t>
        </r>
        <r>
          <rPr>
            <sz val="9"/>
            <color rgb="FF000000"/>
            <rFont val="Tahoma"/>
            <family val="2"/>
          </rPr>
          <t xml:space="preserve">
</t>
        </r>
        <r>
          <rPr>
            <sz val="9"/>
            <color rgb="FF000000"/>
            <rFont val="Tahoma"/>
            <family val="2"/>
          </rPr>
          <t>Se redujo $1.344,00 a FCA en reunión de seguimiento y en virtud de oficio Nro. MEF-SP-2023-0501 para atender Memo Nro. 0399 de DADM.</t>
        </r>
      </text>
    </comment>
    <comment ref="E147" authorId="1" shapeId="0" xr:uid="{00000000-0006-0000-2000-0000AA00000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$ 21.280,00 DBUAC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$ 15.879,05, según memo N</t>
        </r>
        <r>
          <rPr>
            <sz val="9"/>
            <color rgb="FF000000"/>
            <rFont val="Tahoma"/>
            <family val="2"/>
          </rPr>
          <t>°</t>
        </r>
        <r>
          <rPr>
            <sz val="9"/>
            <color rgb="FF000000"/>
            <rFont val="Tahoma"/>
            <family val="2"/>
          </rPr>
          <t xml:space="preserve"> DBUAC-2023-0124-M_03032023</t>
        </r>
      </text>
    </comment>
    <comment ref="E148" authorId="0" shapeId="0" xr:uid="{00000000-0006-0000-2000-0000AB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$ 1.037,14, según memo N</t>
        </r>
        <r>
          <rPr>
            <sz val="9"/>
            <color rgb="FF000000"/>
            <rFont val="Tahoma"/>
            <family val="2"/>
          </rPr>
          <t>°</t>
        </r>
        <r>
          <rPr>
            <sz val="9"/>
            <color rgb="FF000000"/>
            <rFont val="Tahoma"/>
            <family val="2"/>
          </rPr>
          <t xml:space="preserve"> DVIN-2023-0106-M_17032023</t>
        </r>
      </text>
    </comment>
    <comment ref="D149" authorId="3" shapeId="0" xr:uid="{00000000-0006-0000-2000-0000AC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$ 14.739,77 conforme archivo POA 2023.
</t>
        </r>
        <r>
          <rPr>
            <sz val="9"/>
            <color rgb="FF000000"/>
            <rFont val="Tahoma"/>
            <family val="2"/>
          </rPr>
          <t xml:space="preserve">
</t>
        </r>
        <r>
          <rPr>
            <sz val="9"/>
            <color rgb="FF000000"/>
            <rFont val="Tahoma"/>
            <family val="2"/>
          </rPr>
          <t>Se incrementó $ 5.107,94 FCQS</t>
        </r>
      </text>
    </comment>
    <comment ref="E149" authorId="0" shapeId="0" xr:uid="{00000000-0006-0000-2000-0000AD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$ 2.132,48, según memo N</t>
        </r>
        <r>
          <rPr>
            <sz val="9"/>
            <color rgb="FF000000"/>
            <rFont val="Tahoma"/>
            <family val="2"/>
          </rPr>
          <t>°</t>
        </r>
        <r>
          <rPr>
            <sz val="9"/>
            <color rgb="FF000000"/>
            <rFont val="Tahoma"/>
            <family val="2"/>
          </rPr>
          <t xml:space="preserve"> DVIN-2023-0106-M_17032023</t>
        </r>
      </text>
    </comment>
    <comment ref="D150" authorId="2" shapeId="0" xr:uid="{00000000-0006-0000-2000-0000AE00000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incrementó $ 8.042,47+134,40 según memo N 0604 FCQS_25052023</t>
        </r>
      </text>
    </comment>
    <comment ref="D151" authorId="3" shapeId="0" xr:uid="{00000000-0006-0000-2000-0000AF000000}">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incrementó $ 20.678,10 conforme archivo POA 2023.
</t>
        </r>
        <r>
          <rPr>
            <sz val="8"/>
            <color rgb="FF000000"/>
            <rFont val="Tahoma"/>
            <family val="34"/>
          </rPr>
          <t xml:space="preserve">
</t>
        </r>
        <r>
          <rPr>
            <sz val="8"/>
            <color rgb="FF000000"/>
            <rFont val="Tahoma"/>
            <family val="34"/>
          </rPr>
          <t xml:space="preserve">Se incrementó $ 5.308,80 por contrato de año anterior para adquisición de proyectores de imagen. TICS
</t>
        </r>
        <r>
          <rPr>
            <sz val="8"/>
            <color rgb="FF000000"/>
            <rFont val="Tahoma"/>
            <family val="34"/>
          </rPr>
          <t xml:space="preserve">
</t>
        </r>
        <r>
          <rPr>
            <sz val="8"/>
            <color rgb="FF000000"/>
            <rFont val="Tahoma"/>
            <family val="34"/>
          </rPr>
          <t xml:space="preserve">Se incrementó $ 9.924,07 FCQS
</t>
        </r>
        <r>
          <rPr>
            <sz val="8"/>
            <color rgb="FF000000"/>
            <rFont val="Tahoma"/>
            <family val="34"/>
          </rPr>
          <t xml:space="preserve">
</t>
        </r>
        <r>
          <rPr>
            <b/>
            <sz val="8"/>
            <color rgb="FF000000"/>
            <rFont val="Tahoma"/>
            <family val="34"/>
          </rPr>
          <t>Reforma N</t>
        </r>
        <r>
          <rPr>
            <b/>
            <sz val="8"/>
            <color rgb="FF000000"/>
            <rFont val="Tahoma"/>
            <family val="34"/>
          </rPr>
          <t>°</t>
        </r>
        <r>
          <rPr>
            <b/>
            <sz val="8"/>
            <color rgb="FF000000"/>
            <rFont val="Tahoma"/>
            <family val="34"/>
          </rPr>
          <t xml:space="preserve"> 3:
</t>
        </r>
        <r>
          <rPr>
            <sz val="8"/>
            <color rgb="FF000000"/>
            <rFont val="Tahoma"/>
            <family val="34"/>
          </rPr>
          <t>Se incrementó $ 2.265,62, según memo N</t>
        </r>
        <r>
          <rPr>
            <sz val="8"/>
            <color rgb="FF000000"/>
            <rFont val="Tahoma"/>
            <family val="34"/>
          </rPr>
          <t>°</t>
        </r>
        <r>
          <rPr>
            <sz val="8"/>
            <color rgb="FF000000"/>
            <rFont val="Tahoma"/>
            <family val="34"/>
          </rPr>
          <t xml:space="preserve"> DVIN-2023-0106-M_17032023
</t>
        </r>
        <r>
          <rPr>
            <sz val="8"/>
            <color rgb="FF000000"/>
            <rFont val="Tahoma"/>
            <family val="34"/>
          </rPr>
          <t xml:space="preserve">Se incrementó $1.568,00 por atención de memo N 231 DVIN.         
</t>
        </r>
        <r>
          <rPr>
            <sz val="8"/>
            <color rgb="FF000000"/>
            <rFont val="Tahoma"/>
            <family val="34"/>
          </rPr>
          <t xml:space="preserve">    El incremento total de DVIN  = $4.005,12
</t>
        </r>
        <r>
          <rPr>
            <sz val="8"/>
            <color rgb="FF000000"/>
            <rFont val="Tahoma"/>
            <family val="34"/>
          </rPr>
          <t xml:space="preserve">
</t>
        </r>
        <r>
          <rPr>
            <sz val="8"/>
            <color rgb="FF000000"/>
            <rFont val="Tahoma"/>
            <family val="34"/>
          </rPr>
          <t>Se incrementó $ 15.879,05, según memo N</t>
        </r>
        <r>
          <rPr>
            <sz val="8"/>
            <color rgb="FF000000"/>
            <rFont val="Tahoma"/>
            <family val="34"/>
          </rPr>
          <t>°</t>
        </r>
        <r>
          <rPr>
            <sz val="8"/>
            <color rgb="FF000000"/>
            <rFont val="Tahoma"/>
            <family val="34"/>
          </rPr>
          <t xml:space="preserve"> DBUAC-2023-0124-M_03032023
</t>
        </r>
        <r>
          <rPr>
            <sz val="8"/>
            <color rgb="FF000000"/>
            <rFont val="Tahoma"/>
            <family val="34"/>
          </rPr>
          <t xml:space="preserve">
</t>
        </r>
        <r>
          <rPr>
            <sz val="8"/>
            <color rgb="FF000000"/>
            <rFont val="Tahoma"/>
            <family val="34"/>
          </rPr>
          <t>Se incrementó $12.549,71 por cuadre de financiamiento del POA</t>
        </r>
      </text>
    </comment>
    <comment ref="E151" authorId="2" shapeId="0" xr:uid="{00000000-0006-0000-2000-0000B000000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$1.568 + $4009,60 = $5.577,60 según memo N FCS 460
</t>
        </r>
        <r>
          <rPr>
            <sz val="9"/>
            <color rgb="FF000000"/>
            <rFont val="Tahoma"/>
            <family val="2"/>
          </rPr>
          <t xml:space="preserve">
</t>
        </r>
        <r>
          <rPr>
            <sz val="9"/>
            <color rgb="FF000000"/>
            <rFont val="Tahoma"/>
            <family val="2"/>
          </rPr>
          <t xml:space="preserve">Se reduce $3.528,00 según memo DEC 075
</t>
        </r>
        <r>
          <rPr>
            <sz val="9"/>
            <color rgb="FF000000"/>
            <rFont val="Tahoma"/>
            <family val="2"/>
          </rPr>
          <t xml:space="preserve">
</t>
        </r>
        <r>
          <rPr>
            <sz val="9"/>
            <color rgb="FF000000"/>
            <rFont val="Tahoma"/>
            <family val="2"/>
          </rPr>
          <t>Se redujo $1.904,87+3.136,00+3.136,00= $8.176,87 según memo N 0604 FCQS_25052023</t>
        </r>
      </text>
    </comment>
    <comment ref="D152" authorId="3" shapeId="0" xr:uid="{00000000-0006-0000-2000-0000B100000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$ 21.446,90 conforme archivo POA 2023.
</t>
        </r>
        <r>
          <rPr>
            <sz val="9"/>
            <color rgb="FF000000"/>
            <rFont val="Tahoma"/>
            <family val="2"/>
          </rPr>
          <t xml:space="preserve">
</t>
        </r>
        <r>
          <rPr>
            <sz val="9"/>
            <color rgb="FF000000"/>
            <rFont val="Tahoma"/>
            <family val="2"/>
          </rPr>
          <t xml:space="preserve">Se incrementó $ 336,01 FCQS
</t>
        </r>
        <r>
          <rPr>
            <sz val="9"/>
            <color rgb="FF000000"/>
            <rFont val="Tahoma"/>
            <family val="2"/>
          </rPr>
          <t xml:space="preserve">
</t>
        </r>
        <r>
          <rPr>
            <sz val="9"/>
            <color rgb="FF000000"/>
            <rFont val="Tahoma"/>
            <family val="2"/>
          </rPr>
          <t xml:space="preserve">Reforma 3:
</t>
        </r>
        <r>
          <rPr>
            <sz val="9"/>
            <color rgb="FF000000"/>
            <rFont val="Tahoma"/>
            <family val="2"/>
          </rPr>
          <t>Se incrementó $26.880,00 por atención de memo N 231 DVIN</t>
        </r>
      </text>
    </comment>
    <comment ref="E152" authorId="0" shapeId="0" xr:uid="{00000000-0006-0000-2000-0000B200000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$ 133,14,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sz val="9"/>
            <color rgb="FF000000"/>
            <rFont val="Tahoma"/>
            <family val="2"/>
          </rPr>
          <t>Se redujo $1800,02 según memo N FCS-2023-0460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s>
  <commentList>
    <comment ref="AA57" authorId="0" shapeId="0" xr:uid="{832737AF-AA15-4222-8AF0-16839C81E333}">
      <text>
        <r>
          <rPr>
            <sz val="10"/>
            <color rgb="FF000000"/>
            <rFont val="Arial"/>
            <family val="2"/>
            <scheme val="minor"/>
          </rPr>
          <t>Dirección De Planificación:
Certificación presupuestaria nro. 146</t>
        </r>
      </text>
    </comment>
    <comment ref="AA59" authorId="0" shapeId="0" xr:uid="{11F0D548-F849-4D1D-99D5-5BAB381BDD9B}">
      <text>
        <r>
          <rPr>
            <sz val="10"/>
            <color rgb="FF000000"/>
            <rFont val="Arial"/>
            <family val="2"/>
            <scheme val="minor"/>
          </rPr>
          <t>Dirección De Planificación:
Proceso reportado por la UCP-DADM</t>
        </r>
      </text>
    </comment>
    <comment ref="AA108" authorId="0" shapeId="0" xr:uid="{813E3BF4-2A2C-48B1-8C01-6857FA95EA76}">
      <text>
        <r>
          <rPr>
            <sz val="10"/>
            <color rgb="FF000000"/>
            <rFont val="Arial"/>
            <family val="2"/>
            <scheme val="minor"/>
          </rPr>
          <t>Dirección De Planificación:
Certificación presupuestaria nro. 159</t>
        </r>
      </text>
    </comment>
    <comment ref="AA109" authorId="0" shapeId="0" xr:uid="{DDCEBD2F-4AC3-42B1-A96F-D94024EA9C11}">
      <text>
        <r>
          <rPr>
            <sz val="10"/>
            <color rgb="FF000000"/>
            <rFont val="Arial"/>
            <family val="2"/>
            <scheme val="minor"/>
          </rPr>
          <t>Dirección De Planificación:
Certificación presupuestaria nro. 159</t>
        </r>
      </text>
    </comment>
    <comment ref="AA110" authorId="0" shapeId="0" xr:uid="{E2FEDA25-6FFB-421A-86B1-8B8E1A9968B4}">
      <text>
        <r>
          <rPr>
            <sz val="10"/>
            <color rgb="FF000000"/>
            <rFont val="Arial"/>
            <family val="2"/>
            <scheme val="minor"/>
          </rPr>
          <t>Dirección De Planificación:
Certificación presupuestaria nro. 159</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HP</author>
    <author>Valeria Ramon Capa</author>
    <author>Admin</author>
    <author>Eunice Basilio</author>
    <author>Dirección Financiera</author>
  </authors>
  <commentList>
    <comment ref="E9" authorId="0" shapeId="0" xr:uid="{5CE692BD-3B83-1342-8DFD-5D04675C3ADB}">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Incorporación de ingreso por $ 12.399,18 del convenio del MIES.</t>
        </r>
      </text>
    </comment>
    <comment ref="F26" authorId="1" shapeId="0" xr:uid="{01B8DB05-BEEB-ED48-8297-BAB7E4B72E36}">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 xml:space="preserve">Se reduce $ 30.000,00 para financiar Décimo Tercer Sueldo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reduce $ 30.000,00 para financiar segundo plan de jubilación de la UTMACH, previsto a planificarse en septiembre.</t>
        </r>
        <r>
          <rPr>
            <sz val="9"/>
            <color rgb="FF000000"/>
            <rFont val="Arial"/>
            <family val="2"/>
          </rPr>
          <t xml:space="preserve">
</t>
        </r>
      </text>
    </comment>
    <comment ref="F27" authorId="1" shapeId="0" xr:uid="{FB7E1441-4B0A-9B40-9F96-6E67EED84C33}">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 xml:space="preserve">Se reduce $ 20.000,00 para financiar Décimo Tercer Sueldo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reduce $ 60.000,00 para financiar segundo plan de jubilación de la UTMACH, previsto a planificarse en septiembre.</t>
        </r>
        <r>
          <rPr>
            <sz val="9"/>
            <color rgb="FF000000"/>
            <rFont val="Arial"/>
            <family val="2"/>
          </rPr>
          <t xml:space="preserve">
</t>
        </r>
      </text>
    </comment>
    <comment ref="F30" authorId="1" shapeId="0" xr:uid="{740DFD45-F749-774A-8F79-75F815362EE6}">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$ 10.000,00 para financiar Décimo Tercer Sueldo</t>
        </r>
      </text>
    </comment>
    <comment ref="F36" authorId="0" shapeId="0" xr:uid="{7D9020D4-3276-AF4A-A80B-D0E05CDF326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$ 10.000,00 para financiar segundo plan de jubilación de la UTMACH, previsto a planificarse en septiembre.
</t>
        </r>
      </text>
    </comment>
    <comment ref="F39" authorId="1" shapeId="0" xr:uid="{BA61085D-0D22-2346-9C6C-4E57703CE51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reduce $2.000,00 para cubrir vacaciones.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Calibri"/>
            <family val="2"/>
          </rPr>
          <t>Se reduce $ 10.000,00 para financiar segundo plan de jubilación de la UTMACH, previsto a planificarse en septiembre.</t>
        </r>
        <r>
          <rPr>
            <sz val="9"/>
            <color rgb="FF000000"/>
            <rFont val="Calibri"/>
            <family val="2"/>
          </rPr>
          <t xml:space="preserve">
</t>
        </r>
      </text>
    </comment>
    <comment ref="F40" authorId="1" shapeId="0" xr:uid="{03F3128D-8C8D-F047-BCD6-7A79D53DD6B1}">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reduce $2.000,00 para cubrir vacaciones.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text>
    </comment>
    <comment ref="E41" authorId="0" shapeId="0" xr:uid="{1E5C31D7-CF72-6E48-97E0-9A8049059D0E}">
      <text>
        <r>
          <rPr>
            <b/>
            <sz val="10"/>
            <color rgb="FF000000"/>
            <rFont val="Tahoma"/>
            <family val="2"/>
          </rPr>
          <t xml:space="preserve">Microsoft Office User:
</t>
        </r>
        <r>
          <rPr>
            <b/>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$ 7.000 para financiar indemnizaciones 
</t>
        </r>
        <r>
          <rPr>
            <sz val="10"/>
            <color rgb="FF000000"/>
            <rFont val="Arial"/>
            <family val="2"/>
          </rPr>
          <t xml:space="preserve">por renuncia voluntaria, conforme lo indicado en la tabla 4 del </t>
        </r>
        <r>
          <rPr>
            <sz val="10"/>
            <color rgb="FF000000"/>
            <rFont val="Calibri"/>
            <family val="2"/>
          </rPr>
          <t>Memorando nro. UTMACH-DTH-2023-1164-M</t>
        </r>
      </text>
    </comment>
    <comment ref="E42" authorId="0" shapeId="0" xr:uid="{71A58752-9DF2-3748-A827-191F002CB26C}">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incrementa $ 7.000 para financiar indemnizaciones por renuncia voluntaria, conforme lo indicado en la tabla 4 del Memorando nro. UTMACH-DTH-2023-1164-M
</t>
        </r>
      </text>
    </comment>
    <comment ref="E44" authorId="0" shapeId="0" xr:uid="{06F6890A-CA5D-2546-9DFB-912C1083102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Calibri"/>
            <family val="2"/>
          </rPr>
          <t xml:space="preserve">Reforma nro. 004:
</t>
        </r>
        <r>
          <rPr>
            <sz val="8"/>
            <color rgb="FF000000"/>
            <rFont val="Calibri"/>
            <family val="2"/>
          </rPr>
          <t xml:space="preserve">Se incrementa $ 7.000 para financiar indemnizaciones por renuncia voluntaria, conforme lo indicado en la tabla 4 del Memorando nro. UTMACH-DTH-2023-1164-M
</t>
        </r>
      </text>
    </comment>
    <comment ref="E48" authorId="2" shapeId="0" xr:uid="{A4CEDEC8-D240-264C-8F37-11D53E0306F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$ 28.000,00 por contrato año anterior para adquisición de SIMCARD DBU</t>
        </r>
      </text>
    </comment>
    <comment ref="F48" authorId="3" shapeId="0" xr:uid="{89850C30-3D10-DC49-B401-5867FBB89615}">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redujo $2.000,00 a DBUAC en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$ 23.313,24 DBUAC por efecto de informe de seguimiento, por cuanto no se ha solictado el pago a la presente fecha y no se ha dado información por la parte requirente.</t>
        </r>
      </text>
    </comment>
    <comment ref="E49" authorId="0" shapeId="0" xr:uid="{F580C625-DDBC-044E-B200-3F8C18CB5DC7}">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incrementa $ 9.000,00 en el POA de DADM por atención del memo nro. DF-2023-0282-M.</t>
        </r>
      </text>
    </comment>
    <comment ref="F49" authorId="2" shapeId="0" xr:uid="{955A391F-AA8F-7740-B953-047B45689C2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$ 28.000,00 por adquisición de SIMCARD DBU, contrato que ya estaba en el POA.
</t>
        </r>
        <r>
          <rPr>
            <sz val="9"/>
            <color rgb="FF000000"/>
            <rFont val="Tahoma"/>
            <family val="2"/>
          </rPr>
          <t xml:space="preserve">
</t>
        </r>
        <r>
          <rPr>
            <sz val="9"/>
            <color rgb="FF000000"/>
            <rFont val="Tahoma"/>
            <family val="2"/>
          </rPr>
          <t>Se redujo $ 14.000,00 para cubrir liquidaciones por juicios en la partida N</t>
        </r>
        <r>
          <rPr>
            <sz val="9"/>
            <color rgb="FF000000"/>
            <rFont val="Tahoma"/>
            <family val="2"/>
          </rPr>
          <t>°</t>
        </r>
        <r>
          <rPr>
            <sz val="9"/>
            <color rgb="FF000000"/>
            <rFont val="Tahoma"/>
            <family val="2"/>
          </rPr>
          <t xml:space="preserve"> 990101 0701 003 en el programa 82</t>
        </r>
      </text>
    </comment>
    <comment ref="E50" authorId="1" shapeId="0" xr:uid="{25C0E753-BE0A-8745-A0F0-568CE0F6A128}">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F50" authorId="2" shapeId="0" xr:uid="{9AF54623-875B-F144-92DA-BA8602A490E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$ 1.000,00 para cubrir liquidaciones por juicios en la partida N</t>
        </r>
        <r>
          <rPr>
            <sz val="9"/>
            <color rgb="FF000000"/>
            <rFont val="Tahoma"/>
            <family val="2"/>
          </rPr>
          <t>°</t>
        </r>
        <r>
          <rPr>
            <sz val="9"/>
            <color rgb="FF000000"/>
            <rFont val="Tahoma"/>
            <family val="2"/>
          </rPr>
          <t xml:space="preserve"> 990101 0701 003 en el programa 82
</t>
        </r>
        <r>
          <rPr>
            <sz val="9"/>
            <color rgb="FF000000"/>
            <rFont val="Tahoma"/>
            <family val="2"/>
          </rPr>
          <t xml:space="preserve">
</t>
        </r>
        <r>
          <rPr>
            <sz val="9"/>
            <color rgb="FF000000"/>
            <rFont val="Tahoma"/>
            <family val="2"/>
          </rPr>
          <t xml:space="preserve">Reforma nro. 4:
</t>
        </r>
        <r>
          <rPr>
            <sz val="9"/>
            <color rgb="FF000000"/>
            <rFont val="Tahoma"/>
            <family val="2"/>
          </rPr>
          <t xml:space="preserve">
</t>
        </r>
        <r>
          <rPr>
            <sz val="9"/>
            <color rgb="FF000000"/>
            <rFont val="Tahoma"/>
            <family val="2"/>
          </rPr>
          <t>Se reduce $ 2.160,00 en el POA de SG para atender el memo nro. SG-2023-0213-M.</t>
        </r>
      </text>
    </comment>
    <comment ref="E51" authorId="3" shapeId="0" xr:uid="{9E73BABC-560A-F649-B098-CB22D578C7A3}">
      <text>
        <r>
          <rPr>
            <b/>
            <sz val="10"/>
            <color rgb="FF000000"/>
            <rFont val="Tahoma"/>
            <family val="2"/>
          </rPr>
          <t>Valeria Ramon Capa:</t>
        </r>
        <r>
          <rPr>
            <sz val="10"/>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$2.509,82 por cuadre de fuente de 003 a fuente 002.</t>
        </r>
      </text>
    </comment>
    <comment ref="F52" authorId="3" shapeId="0" xr:uid="{2B0165E3-5360-944D-B5BA-F92BD715DAE6}">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$2.564,80 por cuadre de fuente de 003 a fuente 002</t>
        </r>
      </text>
    </comment>
    <comment ref="E53" authorId="2" shapeId="0" xr:uid="{667E5B68-3705-7E48-A737-99482D1B261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text>
    </comment>
    <comment ref="E54" authorId="2" shapeId="0" xr:uid="{623E53D3-4070-3843-8151-2001EF70B28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$ 15.000,00 DIRCOM por efecto de informe de seguimiento.</t>
        </r>
      </text>
    </comment>
    <comment ref="E55" authorId="1" shapeId="0" xr:uid="{E6173FB2-A093-914F-805D-6FABC518913E}">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$ 26.320,00+3.139,70, según memo N</t>
        </r>
        <r>
          <rPr>
            <sz val="9"/>
            <color rgb="FF000000"/>
            <rFont val="Tahoma"/>
            <family val="34"/>
          </rPr>
          <t>°</t>
        </r>
        <r>
          <rPr>
            <sz val="9"/>
            <color rgb="FF000000"/>
            <rFont val="Tahoma"/>
            <family val="34"/>
          </rPr>
          <t xml:space="preserve"> DBUAC-2023-0124-M_03032023, reducción de (13.160,00-200) a DBUAC por atención de Memo N 0399 de DADM y en virtud del seguimiento 
</t>
        </r>
        <r>
          <rPr>
            <sz val="9"/>
            <color rgb="FF000000"/>
            <rFont val="Tahoma"/>
            <family val="34"/>
          </rPr>
          <t xml:space="preserve">
</t>
        </r>
        <r>
          <rPr>
            <sz val="9"/>
            <color rgb="FF000000"/>
            <rFont val="Tahoma"/>
            <family val="34"/>
          </rPr>
          <t>-Se incrementó $ 100,00 según memo N</t>
        </r>
        <r>
          <rPr>
            <sz val="9"/>
            <color rgb="FF000000"/>
            <rFont val="Tahoma"/>
            <family val="34"/>
          </rPr>
          <t>°</t>
        </r>
        <r>
          <rPr>
            <sz val="9"/>
            <color rgb="FF000000"/>
            <rFont val="Tahoma"/>
            <family val="34"/>
          </rPr>
          <t xml:space="preserve"> DADM-2023-0335-M_16052023
</t>
        </r>
        <r>
          <rPr>
            <sz val="9"/>
            <color rgb="FF000000"/>
            <rFont val="Tahoma"/>
            <family val="34"/>
          </rPr>
          <t xml:space="preserve">
</t>
        </r>
        <r>
          <rPr>
            <sz val="9"/>
            <color rgb="FF000000"/>
            <rFont val="Tahoma"/>
            <family val="34"/>
          </rPr>
          <t xml:space="preserve">-Se incrementó $3.144,06 según memo Nro DF-UT-2023-0116-M_10042023
</t>
        </r>
        <r>
          <rPr>
            <sz val="9"/>
            <color rgb="FF000000"/>
            <rFont val="Tahoma"/>
            <family val="34"/>
          </rPr>
          <t xml:space="preserve">
</t>
        </r>
        <r>
          <rPr>
            <sz val="9"/>
            <color rgb="FF000000"/>
            <rFont val="Tahoma"/>
            <family val="34"/>
          </rPr>
          <t xml:space="preserve">Reforma nro. 004:
</t>
        </r>
        <r>
          <rPr>
            <sz val="9"/>
            <color rgb="FF000000"/>
            <rFont val="Tahoma"/>
            <family val="34"/>
          </rPr>
          <t xml:space="preserve">
</t>
        </r>
        <r>
          <rPr>
            <sz val="9"/>
            <color rgb="FF000000"/>
            <rFont val="Tahoma"/>
            <family val="34"/>
          </rPr>
          <t>Se incrementa $ 388,16 en el POA de SG para atender el memo nro. SG-2023-0213-M</t>
        </r>
      </text>
    </comment>
    <comment ref="F55" authorId="3" shapeId="0" xr:uid="{E4576C1F-CAA5-0F4E-B3EE-7C0EA427DFFF}">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
</t>
        </r>
        <r>
          <rPr>
            <sz val="9"/>
            <color rgb="FF000000"/>
            <rFont val="Tahoma"/>
            <family val="2"/>
          </rPr>
          <t xml:space="preserve">Se reduce $234,08 por memo VADM 382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$ 820,00 Procuraduria Gral. por efecto de informe de seguimiento.
</t>
        </r>
        <r>
          <rPr>
            <sz val="9"/>
            <color rgb="FF000000"/>
            <rFont val="Tahoma"/>
            <family val="2"/>
          </rPr>
          <t xml:space="preserve">
</t>
        </r>
        <r>
          <rPr>
            <sz val="9"/>
            <color rgb="FF000000"/>
            <rFont val="Tahoma"/>
            <family val="2"/>
          </rPr>
          <t>Se redujo $ 1.269,00 y $ 2.033,88 (Certif. N</t>
        </r>
        <r>
          <rPr>
            <sz val="9"/>
            <color rgb="FF000000"/>
            <rFont val="Tahoma"/>
            <family val="2"/>
          </rPr>
          <t>°</t>
        </r>
        <r>
          <rPr>
            <sz val="9"/>
            <color rgb="FF000000"/>
            <rFont val="Tahoma"/>
            <family val="2"/>
          </rPr>
          <t xml:space="preserve"> 174) DIRCOM por efecto de informe de seguimiento.
</t>
        </r>
        <r>
          <rPr>
            <sz val="9"/>
            <color rgb="FF000000"/>
            <rFont val="Tahoma"/>
            <family val="2"/>
          </rPr>
          <t xml:space="preserve">
</t>
        </r>
        <r>
          <rPr>
            <sz val="9"/>
            <color rgb="FF000000"/>
            <rFont val="Tahoma"/>
            <family val="2"/>
          </rPr>
          <t>Se redujo $ 100,90 DBUAC por efecto de informe de seguimiento. (Cert. N</t>
        </r>
        <r>
          <rPr>
            <sz val="9"/>
            <color rgb="FF000000"/>
            <rFont val="Tahoma"/>
            <family val="2"/>
          </rPr>
          <t>°</t>
        </r>
        <r>
          <rPr>
            <sz val="9"/>
            <color rgb="FF000000"/>
            <rFont val="Tahoma"/>
            <family val="2"/>
          </rPr>
          <t xml:space="preserve"> 331)</t>
        </r>
      </text>
    </comment>
    <comment ref="E56" authorId="0" shapeId="0" xr:uid="{A1CC9AD5-62C1-8547-8E1A-B0E80100E8D0}">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$ 3.000,00 por efectos de seguimiento y reunión de coordinación.</t>
        </r>
      </text>
    </comment>
    <comment ref="E57" authorId="3" shapeId="0" xr:uid="{3A2245D8-FDE1-3A4F-AE99-19A3F6A3423E}">
      <text>
        <r>
          <rPr>
            <b/>
            <sz val="9"/>
            <color rgb="FF000000"/>
            <rFont val="Tahoma"/>
            <family val="2"/>
          </rPr>
          <t>Valeria Ramon Capa:</t>
        </r>
        <r>
          <rPr>
            <sz val="10"/>
            <color rgb="FF000000"/>
            <rFont val="Tahoma"/>
            <family val="2"/>
          </rPr>
          <t xml:space="preserve">
</t>
        </r>
        <r>
          <rPr>
            <sz val="9"/>
            <color rgb="FF000000"/>
            <rFont val="Tahoma"/>
            <family val="2"/>
          </rPr>
          <t xml:space="preserve">Reforma N 3:
</t>
        </r>
        <r>
          <rPr>
            <sz val="9"/>
            <color rgb="FF000000"/>
            <rFont val="Tahoma"/>
            <family val="2"/>
          </rPr>
          <t>Se incrementó $34.000 por cambio de fuente de 003 a 002 en DirCom</t>
        </r>
      </text>
    </comment>
    <comment ref="F57" authorId="4" shapeId="0" xr:uid="{699E40E7-8EE4-7D4C-9B21-773529EDB55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DIRCOM por efecto de informe de seguimiento.</t>
        </r>
      </text>
    </comment>
    <comment ref="F58" authorId="3" shapeId="0" xr:uid="{9EF23AC2-F3D8-7848-ACB8-EF9E14BBF6BC}">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reduce $11.920,00 a DirCom por seguimiento y en virtud de oficio Nro. MEF-SP-2023-0501 para atender Memo Nro. 0399 de DADM.
</t>
        </r>
        <r>
          <rPr>
            <sz val="9"/>
            <color rgb="FF000000"/>
            <rFont val="Tahoma"/>
            <family val="2"/>
          </rPr>
          <t xml:space="preserve">
</t>
        </r>
        <r>
          <rPr>
            <sz val="9"/>
            <color rgb="FF000000"/>
            <rFont val="Tahoma"/>
            <family val="2"/>
          </rPr>
          <t>Se reduce $34000 por cambio de fuente a 002</t>
        </r>
      </text>
    </comment>
    <comment ref="E59" authorId="2" shapeId="0" xr:uid="{CAF88C36-E087-0D47-9EE4-9A48B847071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$ 194.032,61, según Oficio N</t>
        </r>
        <r>
          <rPr>
            <sz val="9"/>
            <color rgb="FF000000"/>
            <rFont val="Tahoma"/>
            <family val="2"/>
          </rPr>
          <t>°</t>
        </r>
        <r>
          <rPr>
            <sz val="9"/>
            <color rgb="FF000000"/>
            <rFont val="Tahoma"/>
            <family val="2"/>
          </rPr>
          <t xml:space="preserve"> UTMACH-DADM-2023-0016-OF del 10/01/2023
</t>
        </r>
        <r>
          <rPr>
            <sz val="9"/>
            <color rgb="FF000000"/>
            <rFont val="Tahoma"/>
            <family val="2"/>
          </rPr>
          <t xml:space="preserve">
</t>
        </r>
        <r>
          <rPr>
            <b/>
            <sz val="9"/>
            <color rgb="FF000000"/>
            <rFont val="Tahoma"/>
            <family val="2"/>
          </rPr>
          <t xml:space="preserve">Reforma N 3: 
</t>
        </r>
        <r>
          <rPr>
            <sz val="9"/>
            <color rgb="FF000000"/>
            <rFont val="Tahoma"/>
            <family val="2"/>
          </rPr>
          <t>Se incrementó $190.089,58 según memo N</t>
        </r>
        <r>
          <rPr>
            <sz val="9"/>
            <color rgb="FF000000"/>
            <rFont val="Tahoma"/>
            <family val="2"/>
          </rPr>
          <t>°</t>
        </r>
        <r>
          <rPr>
            <sz val="9"/>
            <color rgb="FF000000"/>
            <rFont val="Tahoma"/>
            <family val="2"/>
          </rPr>
          <t xml:space="preserve"> VADM 382</t>
        </r>
      </text>
    </comment>
    <comment ref="F59" authorId="3" shapeId="0" xr:uid="{5E3A46FF-E44A-8447-962C-E70FABD435F2}">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Se reduce $6.000,00 a Dadm por cuadre de fuentes
</t>
        </r>
        <r>
          <rPr>
            <sz val="10"/>
            <color rgb="FF000000"/>
            <rFont val="Tahoma"/>
            <family val="2"/>
          </rPr>
          <t xml:space="preserve">
</t>
        </r>
        <r>
          <rPr>
            <b/>
            <sz val="10"/>
            <color rgb="FF000000"/>
            <rFont val="Tahoma"/>
            <family val="2"/>
          </rPr>
          <t xml:space="preserve">Reforma nro. 004
</t>
        </r>
        <r>
          <rPr>
            <sz val="10"/>
            <color rgb="FF000000"/>
            <rFont val="Tahoma"/>
            <family val="2"/>
          </rPr>
          <t xml:space="preserve">
</t>
        </r>
        <r>
          <rPr>
            <sz val="10"/>
            <color rgb="FF000000"/>
            <rFont val="Tahoma"/>
            <family val="2"/>
          </rPr>
          <t>Se reduce $128.000,00 por efectos de modificación de compromiso presupuestario para que se planifique en el 2024 las planillas que corresponden a ese año, dentro del POA de DADM (</t>
        </r>
        <r>
          <rPr>
            <sz val="10"/>
            <color rgb="FF000000"/>
            <rFont val="Arial"/>
            <family val="2"/>
          </rPr>
          <t>Memorando nro. UTMACH-DPLAN-2023-0230-M)</t>
        </r>
      </text>
    </comment>
    <comment ref="E60" authorId="2" shapeId="0" xr:uid="{5920C942-4B6D-514D-8A5C-C7F1928B1AF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$ 31.207,68 para el servicio de limpieza en atención memo nro. UTMACH-DADM-2023-0645, en el POA de DADM.</t>
        </r>
      </text>
    </comment>
    <comment ref="E61" authorId="0" shapeId="0" xr:uid="{98DEAE0D-7552-EA46-9F00-0DFDF7BBC2D0}">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incrementó $ 20,16 en el POA de DFIN para atender pedido del memorando nro. UTMACH-DF-2023-0264-M.</t>
        </r>
      </text>
    </comment>
    <comment ref="F61" authorId="3" shapeId="0" xr:uid="{3E5735A1-00B4-484F-A6FA-9402D43675FA}">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redujo $8.780,04 a DBUAC en reunión de seguimiento y en virtud de oficio Nro. MEF-SP-2023-0501 para atender Memo Nro. 0399 de DADM.</t>
        </r>
      </text>
    </comment>
    <comment ref="E62" authorId="2" shapeId="0" xr:uid="{2021E725-F22D-D844-9450-8A9EB925865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$ 29.226,24, según Memorando N</t>
        </r>
        <r>
          <rPr>
            <sz val="9"/>
            <color rgb="FF000000"/>
            <rFont val="Tahoma"/>
            <family val="2"/>
          </rPr>
          <t>°</t>
        </r>
        <r>
          <rPr>
            <sz val="9"/>
            <color rgb="FF000000"/>
            <rFont val="Tahoma"/>
            <family val="2"/>
          </rPr>
          <t xml:space="preserve"> UTMACH-DBUAC-2023-0012-M del 12/01/2023. </t>
        </r>
      </text>
    </comment>
    <comment ref="F62" authorId="3" shapeId="0" xr:uid="{F74C472B-D8EA-E24B-9F4A-08CAD554579B}">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redujo $8.780,04 a DBUAC en reunión de seguimiento y en virtud de oficio Nro. MEF-SP-2023-0501 para atender Memo Nro. 0399 de DADM.</t>
        </r>
      </text>
    </comment>
    <comment ref="F63" authorId="2" shapeId="0" xr:uid="{DE0CD213-0D20-4548-AC2E-A3B2D0DAB8B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$ 10.080,00 para pasar a Costas Judiciales</t>
        </r>
      </text>
    </comment>
    <comment ref="E65" authorId="2" shapeId="0" xr:uid="{A15FEB88-C169-4740-ADB8-5F66D86C849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$ 37.040,00 por separación de partidas. Dir. Administrativa.</t>
        </r>
      </text>
    </comment>
    <comment ref="E66" authorId="1" shapeId="0" xr:uid="{29F6D869-8920-8B47-B7B6-BD3EC3CDF7E6}">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Se incrementó $ 6.000,00 según memo N</t>
        </r>
        <r>
          <rPr>
            <sz val="9"/>
            <color rgb="FF000000"/>
            <rFont val="Tahoma"/>
            <family val="2"/>
          </rPr>
          <t>°</t>
        </r>
        <r>
          <rPr>
            <sz val="9"/>
            <color rgb="FF000000"/>
            <rFont val="Tahoma"/>
            <family val="2"/>
          </rPr>
          <t xml:space="preserve"> DADM-2023-0364-M_24052023</t>
        </r>
      </text>
    </comment>
    <comment ref="F66" authorId="4" shapeId="0" xr:uid="{9A15EFA3-4721-C445-8138-480B4CA37FC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 DADM por efecto de informe de seguimiento.</t>
        </r>
      </text>
    </comment>
    <comment ref="E67" authorId="1" shapeId="0" xr:uid="{8167D3CC-34C7-8844-A67C-4EBDBFDE75C8}">
      <text>
        <r>
          <rPr>
            <b/>
            <sz val="9"/>
            <color rgb="FF000000"/>
            <rFont val="Tahoma"/>
            <family val="2"/>
          </rPr>
          <t>LENOVO:</t>
        </r>
        <r>
          <rPr>
            <sz val="9"/>
            <color rgb="FF000000"/>
            <rFont val="Tahoma"/>
            <family val="2"/>
          </rPr>
          <t xml:space="preserve">
</t>
        </r>
        <r>
          <rPr>
            <sz val="9"/>
            <color rgb="FF000000"/>
            <rFont val="Tahoma"/>
            <family val="2"/>
          </rPr>
          <t>Se incrementó $ 4.000,00 según memo N</t>
        </r>
        <r>
          <rPr>
            <sz val="9"/>
            <color rgb="FF000000"/>
            <rFont val="Tahoma"/>
            <family val="2"/>
          </rPr>
          <t>°</t>
        </r>
        <r>
          <rPr>
            <sz val="9"/>
            <color rgb="FF000000"/>
            <rFont val="Tahoma"/>
            <family val="2"/>
          </rPr>
          <t xml:space="preserve"> DADM-2023-0364-M_24052023</t>
        </r>
      </text>
    </comment>
    <comment ref="F67" authorId="4" shapeId="0" xr:uid="{200D9636-DCEB-8649-9C48-149FCD13AE7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DADM por efecto de informe de seguimiento.</t>
        </r>
      </text>
    </comment>
    <comment ref="E68" authorId="1" shapeId="0" xr:uid="{0CD7618C-9411-104E-80F0-8E578DDFB69A}">
      <text>
        <r>
          <rPr>
            <b/>
            <sz val="9"/>
            <color rgb="FF000000"/>
            <rFont val="Tahoma"/>
            <family val="2"/>
          </rPr>
          <t>LENOVO:</t>
        </r>
        <r>
          <rPr>
            <sz val="9"/>
            <color rgb="FF000000"/>
            <rFont val="Tahoma"/>
            <family val="2"/>
          </rPr>
          <t xml:space="preserve">
</t>
        </r>
        <r>
          <rPr>
            <sz val="9"/>
            <color rgb="FF000000"/>
            <rFont val="Tahoma"/>
            <family val="2"/>
          </rPr>
          <t>Se incrementó $ 10.000,00 según memo N</t>
        </r>
        <r>
          <rPr>
            <sz val="9"/>
            <color rgb="FF000000"/>
            <rFont val="Tahoma"/>
            <family val="2"/>
          </rPr>
          <t>°</t>
        </r>
        <r>
          <rPr>
            <sz val="9"/>
            <color rgb="FF000000"/>
            <rFont val="Tahoma"/>
            <family val="2"/>
          </rPr>
          <t xml:space="preserve"> DADM-2023-0364-M_24052023</t>
        </r>
      </text>
    </comment>
    <comment ref="E70" authorId="3" shapeId="0" xr:uid="{50BA9717-EB65-AD46-9576-FBCB52E1BE4B}">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incrementó $8.801,91 por atención de Memo N UTMACH-DAC-2023-0133-M</t>
        </r>
      </text>
    </comment>
    <comment ref="F70" authorId="4" shapeId="0" xr:uid="{A3508C81-04A9-9147-864B-5037CDFB78D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$ 8.801,91 DAC por efecto de informe de seguimiento.</t>
        </r>
      </text>
    </comment>
    <comment ref="E71" authorId="3" shapeId="0" xr:uid="{CD87AA76-156B-C044-95F0-D37741E419B3}">
      <text>
        <r>
          <rPr>
            <b/>
            <sz val="8"/>
            <color rgb="FF000000"/>
            <rFont val="Tahoma"/>
            <family val="2"/>
          </rPr>
          <t>Valeria Ramon Capa:</t>
        </r>
        <r>
          <rPr>
            <sz val="8"/>
            <color rgb="FF000000"/>
            <rFont val="Tahoma"/>
            <family val="2"/>
          </rPr>
          <t xml:space="preserve">
</t>
        </r>
        <r>
          <rPr>
            <b/>
            <sz val="9"/>
            <color rgb="FF000000"/>
            <rFont val="Tahoma"/>
            <family val="34"/>
          </rPr>
          <t>Reforma N</t>
        </r>
        <r>
          <rPr>
            <b/>
            <sz val="9"/>
            <color rgb="FF000000"/>
            <rFont val="Tahoma"/>
            <family val="34"/>
          </rPr>
          <t>°</t>
        </r>
        <r>
          <rPr>
            <b/>
            <sz val="9"/>
            <color rgb="FF000000"/>
            <rFont val="Tahoma"/>
            <family val="34"/>
          </rPr>
          <t xml:space="preserve"> 3:
</t>
        </r>
        <r>
          <rPr>
            <sz val="9"/>
            <color rgb="FF000000"/>
            <rFont val="Tahoma"/>
            <family val="34"/>
          </rPr>
          <t>Se incrementó $ 4.879,98 según memos N</t>
        </r>
        <r>
          <rPr>
            <sz val="9"/>
            <color rgb="FF000000"/>
            <rFont val="Tahoma"/>
            <family val="34"/>
          </rPr>
          <t>°</t>
        </r>
        <r>
          <rPr>
            <sz val="9"/>
            <color rgb="FF000000"/>
            <rFont val="Tahoma"/>
            <family val="34"/>
          </rPr>
          <t xml:space="preserve">  CGR-2023-0165-M y N</t>
        </r>
        <r>
          <rPr>
            <sz val="9"/>
            <color rgb="FF000000"/>
            <rFont val="Tahoma"/>
            <family val="34"/>
          </rPr>
          <t>°</t>
        </r>
        <r>
          <rPr>
            <sz val="9"/>
            <color rgb="FF000000"/>
            <rFont val="Tahoma"/>
            <family val="34"/>
          </rPr>
          <t xml:space="preserve">  R-2023-0255-M </t>
        </r>
      </text>
    </comment>
    <comment ref="E72" authorId="3" shapeId="0" xr:uid="{134436A4-4746-F442-9222-5BD25E50CD7D}">
      <text>
        <r>
          <rPr>
            <b/>
            <sz val="9"/>
            <color rgb="FF000000"/>
            <rFont val="Tahoma"/>
            <family val="2"/>
          </rPr>
          <t xml:space="preserve">Valeria Ramon Capa:
</t>
        </r>
        <r>
          <rPr>
            <b/>
            <sz val="9"/>
            <color rgb="FF000000"/>
            <rFont val="Tahoma"/>
            <family val="2"/>
          </rPr>
          <t>Reforma N</t>
        </r>
        <r>
          <rPr>
            <b/>
            <sz val="9"/>
            <color rgb="FF000000"/>
            <rFont val="Tahoma"/>
            <family val="2"/>
          </rPr>
          <t>°</t>
        </r>
        <r>
          <rPr>
            <b/>
            <sz val="9"/>
            <color rgb="FF000000"/>
            <rFont val="Tahoma"/>
            <family val="2"/>
          </rPr>
          <t xml:space="preserve"> 3: </t>
        </r>
        <r>
          <rPr>
            <b/>
            <sz val="10"/>
            <color rgb="FF000000"/>
            <rFont val="Tahoma"/>
            <family val="2"/>
          </rPr>
          <t xml:space="preserve">
</t>
        </r>
        <r>
          <rPr>
            <sz val="9"/>
            <color rgb="FF000000"/>
            <rFont val="Tahoma"/>
            <family val="2"/>
          </rPr>
          <t>Solicitud de incremento de $2000 TICS y en reunión mantenida con TICS indicaron ya no tener necesidad</t>
        </r>
      </text>
    </comment>
    <comment ref="E73" authorId="2" shapeId="0" xr:uid="{00DB9BFD-939B-A448-AAE2-355F6575A7D3}">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$ 78.060,00 Dir. Administrativa que pasó de fuente 3 a fuente 2
</t>
        </r>
        <r>
          <rPr>
            <sz val="9"/>
            <color rgb="FF000000"/>
            <rFont val="Tahoma"/>
            <family val="2"/>
          </rPr>
          <t xml:space="preserve">
</t>
        </r>
        <r>
          <rPr>
            <b/>
            <sz val="9"/>
            <color rgb="FF000000"/>
            <rFont val="Tahoma"/>
            <family val="2"/>
          </rPr>
          <t>Reforma N 3:</t>
        </r>
        <r>
          <rPr>
            <sz val="9"/>
            <color rgb="FF000000"/>
            <rFont val="Tahoma"/>
            <family val="2"/>
          </rPr>
          <t xml:space="preserve">
</t>
        </r>
        <r>
          <rPr>
            <sz val="9"/>
            <color rgb="FF000000"/>
            <rFont val="Tahoma"/>
            <family val="2"/>
          </rPr>
          <t xml:space="preserve">Se incrementó $581,76 Dir.adm por cuadre de fuente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9"/>
            <color rgb="FF000000"/>
            <rFont val="Tahoma"/>
            <family val="2"/>
          </rPr>
          <t>Aumento de $ 17.997,61 para atender pedido de adecuación de baterías sanitarias de la FCE para sumar a un solo proceso para adecuaciones varias que constan en estudio previo de la Unidad de Obras, incluidas las baterias sanitarias de la FCE.</t>
        </r>
      </text>
    </comment>
    <comment ref="E74" authorId="2" shapeId="0" xr:uid="{699640CE-FBAF-2D4C-87EE-AA4E87957F38}">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incrementó $ 7.500,00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Se incrementó $ 1.550,00,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Se incrementó $ 5.000,00 para adecuación de la DPLAN.
</t>
        </r>
        <r>
          <rPr>
            <sz val="9"/>
            <color rgb="FF000000"/>
            <rFont val="Tahoma"/>
            <family val="2"/>
          </rPr>
          <t xml:space="preserve">
</t>
        </r>
        <r>
          <rPr>
            <sz val="9"/>
            <color rgb="FF000000"/>
            <rFont val="Tahoma"/>
            <family val="2"/>
          </rPr>
          <t xml:space="preserve">Se incrementó $ 56.000,00+219200,27 para adecuaciones y reparación de infraestructura y seguridad de ingresos peatonales y vehiculares. Vic. Administrativo. Vic. Administrativo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$ 400,00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sz val="9"/>
            <color rgb="FF000000"/>
            <rFont val="Tahoma"/>
            <family val="2"/>
          </rPr>
          <t xml:space="preserve">Se incremento $1.500,00 según memo N UTMACH-DPLAN-UPES -2023- 014M </t>
        </r>
      </text>
    </comment>
    <comment ref="F74" authorId="2" shapeId="0" xr:uid="{2CE15091-2F83-814C-A6EC-766626318499}">
      <text>
        <r>
          <rPr>
            <b/>
            <sz val="8"/>
            <color rgb="FF000000"/>
            <rFont val="Tahoma"/>
            <family val="34"/>
          </rPr>
          <t>HP:</t>
        </r>
        <r>
          <rPr>
            <sz val="8"/>
            <color rgb="FF000000"/>
            <rFont val="Tahoma"/>
            <family val="34"/>
          </rPr>
          <t xml:space="preserve">
</t>
        </r>
        <r>
          <rPr>
            <b/>
            <sz val="8"/>
            <color rgb="FF000000"/>
            <rFont val="Tahoma"/>
            <family val="2"/>
          </rPr>
          <t>Reforma N</t>
        </r>
        <r>
          <rPr>
            <b/>
            <sz val="8"/>
            <color rgb="FF000000"/>
            <rFont val="Tahoma"/>
            <family val="2"/>
          </rPr>
          <t>°</t>
        </r>
        <r>
          <rPr>
            <b/>
            <sz val="8"/>
            <color rgb="FF000000"/>
            <rFont val="Tahoma"/>
            <family val="2"/>
          </rPr>
          <t xml:space="preserve"> 2:</t>
        </r>
        <r>
          <rPr>
            <sz val="8"/>
            <color rgb="FF000000"/>
            <rFont val="Tahoma"/>
            <family val="34"/>
          </rPr>
          <t xml:space="preserve">
</t>
        </r>
        <r>
          <rPr>
            <sz val="8"/>
            <color rgb="FF000000"/>
            <rFont val="Tahoma"/>
            <family val="34"/>
          </rPr>
          <t xml:space="preserve">Se redujo $ 18.037,80 Rectorado
</t>
        </r>
        <r>
          <rPr>
            <sz val="8"/>
            <color rgb="FF000000"/>
            <rFont val="Tahoma"/>
            <family val="34"/>
          </rPr>
          <t xml:space="preserve">Se redujo $ 110.026,38 Vic. Académico
</t>
        </r>
        <r>
          <rPr>
            <sz val="8"/>
            <color rgb="FF000000"/>
            <rFont val="Tahoma"/>
            <family val="34"/>
          </rPr>
          <t xml:space="preserve">Se redujo $ 78.060,00 Dir. Administrativa que pasó a fuente 2
</t>
        </r>
        <r>
          <rPr>
            <sz val="8"/>
            <color rgb="FF000000"/>
            <rFont val="Tahoma"/>
            <family val="34"/>
          </rPr>
          <t xml:space="preserve">
</t>
        </r>
        <r>
          <rPr>
            <b/>
            <sz val="8"/>
            <color rgb="FF000000"/>
            <rFont val="Tahoma"/>
            <family val="34"/>
          </rPr>
          <t xml:space="preserve">Reforma N 3: 
</t>
        </r>
        <r>
          <rPr>
            <sz val="8"/>
            <color rgb="FF000000"/>
            <rFont val="Tahoma"/>
            <family val="34"/>
          </rPr>
          <t xml:space="preserve">- Se redujo $165.173,78 según memo N  VADM 382.
</t>
        </r>
        <r>
          <rPr>
            <sz val="8"/>
            <color rgb="FF000000"/>
            <rFont val="Tahoma"/>
            <family val="34"/>
          </rPr>
          <t xml:space="preserve">- 06/06 se redujo $ 2.240 según reunión mantenida con TICS y en virtud de oficio Nro. MEF-SP-2023-0501 para atender Memo Nro.0399 de DADM.
</t>
        </r>
        <r>
          <rPr>
            <sz val="8"/>
            <color rgb="FF000000"/>
            <rFont val="Tahoma"/>
            <family val="34"/>
          </rPr>
          <t xml:space="preserve">-Se redujo $ 6.720,11 por cambio de fuente de DAC
</t>
        </r>
        <r>
          <rPr>
            <sz val="8"/>
            <color rgb="FF000000"/>
            <rFont val="Tahoma"/>
            <family val="34"/>
          </rPr>
          <t xml:space="preserve">
</t>
        </r>
        <r>
          <rPr>
            <b/>
            <sz val="8"/>
            <color rgb="FF000000"/>
            <rFont val="Tahoma"/>
            <family val="2"/>
          </rPr>
          <t>Reforma N</t>
        </r>
        <r>
          <rPr>
            <b/>
            <sz val="8"/>
            <color rgb="FF000000"/>
            <rFont val="Tahoma"/>
            <family val="2"/>
          </rPr>
          <t>°</t>
        </r>
        <r>
          <rPr>
            <b/>
            <sz val="8"/>
            <color rgb="FF000000"/>
            <rFont val="Tahoma"/>
            <family val="2"/>
          </rPr>
          <t xml:space="preserve"> 4:</t>
        </r>
        <r>
          <rPr>
            <sz val="8"/>
            <color rgb="FF000000"/>
            <rFont val="Tahoma"/>
            <family val="34"/>
          </rPr>
          <t xml:space="preserve">
</t>
        </r>
        <r>
          <rPr>
            <sz val="8"/>
            <color rgb="FF000000"/>
            <rFont val="Tahoma"/>
            <family val="34"/>
          </rPr>
          <t xml:space="preserve">Se reduce $ 4.393,87 Rectorado por efecto de informe de seguimiento.
</t>
        </r>
        <r>
          <rPr>
            <sz val="8"/>
            <color rgb="FF000000"/>
            <rFont val="Tahoma"/>
            <family val="34"/>
          </rPr>
          <t xml:space="preserve">
</t>
        </r>
        <r>
          <rPr>
            <sz val="8"/>
            <color rgb="FF000000"/>
            <rFont val="Tahoma"/>
            <family val="34"/>
          </rPr>
          <t xml:space="preserve">Se redujo $ 449,00 Secretaría General por efecto de informe de seguimiento.
</t>
        </r>
        <r>
          <rPr>
            <sz val="8"/>
            <color rgb="FF000000"/>
            <rFont val="Tahoma"/>
            <family val="34"/>
          </rPr>
          <t xml:space="preserve">
</t>
        </r>
        <r>
          <rPr>
            <sz val="8"/>
            <color rgb="FF000000"/>
            <rFont val="Tahoma"/>
            <family val="34"/>
          </rPr>
          <t>Se redujo $ 6.500,00 DPLAN por efecto de informe de seguimiento.</t>
        </r>
      </text>
    </comment>
    <comment ref="E75" authorId="5" shapeId="0" xr:uid="{080984B6-A54A-4944-BDDA-31C326818F4C}">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conforme archivo POA 2023:
</t>
        </r>
        <r>
          <rPr>
            <sz val="9"/>
            <color rgb="FF000000"/>
            <rFont val="Tahoma"/>
            <family val="2"/>
          </rPr>
          <t xml:space="preserve">$ 15.000,00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$ 340,00 según memo N</t>
        </r>
        <r>
          <rPr>
            <sz val="9"/>
            <color rgb="FF000000"/>
            <rFont val="Tahoma"/>
            <family val="2"/>
          </rPr>
          <t>°</t>
        </r>
        <r>
          <rPr>
            <sz val="9"/>
            <color rgb="FF000000"/>
            <rFont val="Tahoma"/>
            <family val="2"/>
          </rPr>
          <t xml:space="preserve"> UTMACH-DADM-2023-0335-M_16052023</t>
        </r>
      </text>
    </comment>
    <comment ref="F75" authorId="4" shapeId="0" xr:uid="{7A526B3A-5C1C-FB46-B6B6-0B243136A5D3}">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$ 1.947,00 DADM por efecto de informe de seguimiento.</t>
        </r>
      </text>
    </comment>
    <comment ref="E76" authorId="2" shapeId="0" xr:uid="{0DD52647-AD00-F941-9D95-4C9B0CDF226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incrementó solo $ 7.000,00 según Oficio N</t>
        </r>
        <r>
          <rPr>
            <sz val="9"/>
            <color rgb="FF000000"/>
            <rFont val="Tahoma"/>
            <family val="2"/>
          </rPr>
          <t>°</t>
        </r>
        <r>
          <rPr>
            <sz val="9"/>
            <color rgb="FF000000"/>
            <rFont val="Tahoma"/>
            <family val="2"/>
          </rPr>
          <t xml:space="preserve"> UTMACH-DADM-UOIFM-2022-555-OF del 29/12/2022.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$ 250,00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$ 2.184,00 DIRCOM, según N</t>
        </r>
        <r>
          <rPr>
            <sz val="9"/>
            <color rgb="FF000000"/>
            <rFont val="Tahoma"/>
            <family val="2"/>
          </rPr>
          <t>°</t>
        </r>
        <r>
          <rPr>
            <sz val="9"/>
            <color rgb="FF000000"/>
            <rFont val="Tahoma"/>
            <family val="2"/>
          </rPr>
          <t xml:space="preserve"> DIRCOM-2023-0135-M para mantenimiento de la imprenta.</t>
        </r>
      </text>
    </comment>
    <comment ref="F76" authorId="2" shapeId="0" xr:uid="{CB5257F4-36EA-024E-94EA-106DBA7CB044}">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redujo $ 92.610,11 para pasar a la partida N</t>
        </r>
        <r>
          <rPr>
            <sz val="9"/>
            <color rgb="FF000000"/>
            <rFont val="Tahoma"/>
            <family val="2"/>
          </rPr>
          <t>°</t>
        </r>
        <r>
          <rPr>
            <sz val="9"/>
            <color rgb="FF000000"/>
            <rFont val="Tahoma"/>
            <family val="2"/>
          </rPr>
          <t xml:space="preserve"> 990101 0701 003 Obligaciones de Ejercicios Anteriores en Personal en el prog. 01 y 82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$ 7.619,55 Unidad de Obras por efecto de informe de seguimiento.</t>
        </r>
      </text>
    </comment>
    <comment ref="E77" authorId="2" shapeId="0" xr:uid="{73CE82F1-2BF6-4743-8A58-14CE233E4D9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$ 2.124,58 mantenimiento de vehículo KIA KMOTOR Dir Adm
</t>
        </r>
        <r>
          <rPr>
            <sz val="9"/>
            <color rgb="FF000000"/>
            <rFont val="Tahoma"/>
            <family val="2"/>
          </rPr>
          <t>$ 3.984,61 mantenimiento de vehículos GUALPA RAMIREZ Dir Adm</t>
        </r>
      </text>
    </comment>
    <comment ref="F78" authorId="3" shapeId="0" xr:uid="{E537D41E-FDA5-664F-B966-9D08455477B9}">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10"/>
            <color rgb="FF000000"/>
            <rFont val="Tahoma"/>
            <family val="2"/>
          </rPr>
          <t xml:space="preserve">
</t>
        </r>
        <r>
          <rPr>
            <sz val="10"/>
            <color rgb="FF000000"/>
            <rFont val="Tahoma"/>
            <family val="2"/>
          </rPr>
          <t xml:space="preserve">Se reduce $3097,14 a Dadm por cuadre de fuente
</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4:</t>
        </r>
        <r>
          <rPr>
            <sz val="10"/>
            <color rgb="FF000000"/>
            <rFont val="Tahoma"/>
            <family val="2"/>
          </rPr>
          <t xml:space="preserve">
</t>
        </r>
        <r>
          <rPr>
            <sz val="10"/>
            <color rgb="FF000000"/>
            <rFont val="Tahoma"/>
            <family val="2"/>
          </rPr>
          <t>Se redujo $ 2.500,00 DADM por efecto de informe de seguimiento.</t>
        </r>
      </text>
    </comment>
    <comment ref="E79" authorId="5" shapeId="0" xr:uid="{4CBC6F3C-EFFE-BB4A-AE9F-736960DE4228}">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E80" authorId="3" shapeId="0" xr:uid="{5FE37025-7936-C442-B996-D12988B469DB}">
      <text>
        <r>
          <rPr>
            <b/>
            <sz val="10"/>
            <color rgb="FF000000"/>
            <rFont val="Tahoma"/>
            <family val="2"/>
          </rPr>
          <t>Valeria Ramon Capa:</t>
        </r>
        <r>
          <rPr>
            <sz val="10"/>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 xml:space="preserve">Se incrementó  $17.474,61 para estudio de obra de infraestructura conforme reunión de seguimiento con Rectorado.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$ 136.405,46 para estudios especializados por efecto del sismo, Dir. Administrativa.</t>
        </r>
      </text>
    </comment>
    <comment ref="F80" authorId="4" shapeId="0" xr:uid="{300E1C5C-43C2-A148-993E-556B32F4D5A4}">
      <text>
        <r>
          <rPr>
            <b/>
            <sz val="9"/>
            <color rgb="FF000000"/>
            <rFont val="Tahoma"/>
            <family val="2"/>
          </rPr>
          <t>Admin:</t>
        </r>
        <r>
          <rPr>
            <sz val="9"/>
            <color rgb="FF000000"/>
            <rFont val="Tahoma"/>
            <family val="2"/>
          </rPr>
          <t xml:space="preserve">
</t>
        </r>
        <r>
          <rPr>
            <sz val="9"/>
            <color rgb="FF000000"/>
            <rFont val="Tahoma"/>
            <family val="2"/>
          </rPr>
          <t>Se redujo $ 1.974,61 DPLAN por efecto de informe de seguimiento.</t>
        </r>
      </text>
    </comment>
    <comment ref="E81" authorId="0" shapeId="0" xr:uid="{22C1964F-CA15-7C46-ABC6-20E5C4ABA06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8"/>
            <color rgb="FF000000"/>
            <rFont val="Calibri"/>
            <family val="2"/>
          </rPr>
          <t>Se incrementó $ 67.200,00, según memo N</t>
        </r>
        <r>
          <rPr>
            <sz val="8"/>
            <color rgb="FF000000"/>
            <rFont val="Calibri"/>
            <family val="2"/>
          </rPr>
          <t>°</t>
        </r>
        <r>
          <rPr>
            <sz val="8"/>
            <color rgb="FF000000"/>
            <rFont val="Calibri"/>
            <family val="2"/>
          </rPr>
          <t xml:space="preserve"> UTMACH-DADM-2023-0648-M (Alcance al M_0645)_29072023.
</t>
        </r>
        <r>
          <rPr>
            <sz val="8"/>
            <color rgb="FF000000"/>
            <rFont val="Calibri"/>
            <family val="2"/>
          </rPr>
          <t xml:space="preserve">
</t>
        </r>
        <r>
          <rPr>
            <sz val="8"/>
            <color rgb="FF000000"/>
            <rFont val="Calibri"/>
            <family val="2"/>
          </rPr>
          <t>Se incrementó $ 16.800,00, según memo N</t>
        </r>
        <r>
          <rPr>
            <sz val="8"/>
            <color rgb="FF000000"/>
            <rFont val="Calibri"/>
            <family val="2"/>
          </rPr>
          <t>°</t>
        </r>
        <r>
          <rPr>
            <sz val="8"/>
            <color rgb="FF000000"/>
            <rFont val="Calibri"/>
            <family val="2"/>
          </rPr>
          <t xml:space="preserve"> UTMACH-DADM-UOIFM-2023-0213-M_29072023, para los Estudios, Diseño y Construcción del Espacio Cultural Universitario (Concha Acústica) DPLAN
</t>
        </r>
      </text>
    </comment>
    <comment ref="F81" authorId="2" shapeId="0" xr:uid="{4543C4C6-85C5-F743-85EB-F978CF595B7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E82" authorId="3" shapeId="0" xr:uid="{9DC69489-E512-7041-AA3F-193D3FF16721}">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$7056 según Memo N CGR-2023-0180-M</t>
        </r>
      </text>
    </comment>
    <comment ref="F82" authorId="4" shapeId="0" xr:uid="{1EDA902F-048A-4242-9C95-A87F112772F6}">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$ 756,00 Rectorado por saldo no ejecutado, Certificación N</t>
        </r>
        <r>
          <rPr>
            <sz val="9"/>
            <color rgb="FF000000"/>
            <rFont val="Tahoma"/>
            <family val="2"/>
          </rPr>
          <t>°</t>
        </r>
        <r>
          <rPr>
            <sz val="9"/>
            <color rgb="FF000000"/>
            <rFont val="Tahoma"/>
            <family val="2"/>
          </rPr>
          <t xml:space="preserve"> 255</t>
        </r>
      </text>
    </comment>
    <comment ref="F83" authorId="3" shapeId="0" xr:uid="{FDE088CE-CFA6-F449-A0EE-F3270497F163}">
      <text>
        <r>
          <rPr>
            <b/>
            <sz val="10"/>
            <color rgb="FF000000"/>
            <rFont val="Tahoma"/>
            <family val="2"/>
          </rPr>
          <t xml:space="preserve">Valeria Ramon Capa:
</t>
        </r>
        <r>
          <rPr>
            <sz val="9"/>
            <color rgb="FF000000"/>
            <rFont val="Tahoma"/>
            <family val="34"/>
          </rPr>
          <t xml:space="preserve">Reforma 3:
</t>
        </r>
        <r>
          <rPr>
            <sz val="9"/>
            <color rgb="FF000000"/>
            <rFont val="Tahoma"/>
            <family val="34"/>
          </rPr>
          <t>Se reduce $30.016,00 a Secretaría General por seguimiento y en virtud de oficio Nro. MEF-SP-2023-0501 para atender Memo Nro. 0399 de DADM.</t>
        </r>
      </text>
    </comment>
    <comment ref="E84" authorId="0" shapeId="0" xr:uid="{9F76FF6B-2676-DF44-BA29-954FC5C6D023}">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aumenta $ 1315,45 en el POA de DTH para atender memo nro. DTAH-2023-1017-M, considerando el saldo de $ 96,55 en la partida.
</t>
        </r>
        <r>
          <rPr>
            <sz val="10"/>
            <color rgb="FF000000"/>
            <rFont val="Tahoma"/>
            <family val="2"/>
          </rPr>
          <t xml:space="preserve">
</t>
        </r>
        <r>
          <rPr>
            <sz val="10"/>
            <color rgb="FF000000"/>
            <rFont val="Tahoma"/>
            <family val="2"/>
          </rPr>
          <t>Se aumenta $ 8.000,00 + $ 7.156,55 en el POA de DTH para atender memo nro. DTH-2023-1131-M.</t>
        </r>
      </text>
    </comment>
    <comment ref="F84" authorId="5" shapeId="0" xr:uid="{B999439C-66E6-8043-88EF-F310F52398AA}">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$ 284.523,80 conforme archivo POA 2023.
</t>
        </r>
        <r>
          <rPr>
            <b/>
            <sz val="9"/>
            <color rgb="FF000000"/>
            <rFont val="Tahoma"/>
            <family val="2"/>
          </rPr>
          <t xml:space="preserve">Reforma N 3:
</t>
        </r>
        <r>
          <rPr>
            <sz val="9"/>
            <color rgb="FF000000"/>
            <rFont val="Tahoma"/>
            <family val="2"/>
          </rPr>
          <t xml:space="preserve">Se redujo $3.848,46, no se encuentra asignado en POA
</t>
        </r>
      </text>
    </comment>
    <comment ref="E85" authorId="5" shapeId="0" xr:uid="{E1CCD4CB-8E6F-594C-8643-B81E45AF9A71}">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$ 12.060,16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t>
        </r>
        <r>
          <rPr>
            <sz val="10"/>
            <color rgb="FF000000"/>
            <rFont val="Arial"/>
            <family val="2"/>
          </rPr>
          <t xml:space="preserve">1.881,60 en el POA de DTIC para la atención del memo nro. XXXXXX. </t>
        </r>
      </text>
    </comment>
    <comment ref="E86" authorId="3" shapeId="0" xr:uid="{DFBC159F-2AD8-3440-8E6D-421832BC4E20}">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incrementó $6.000 por atención a memo nro 0764 DTH</t>
        </r>
      </text>
    </comment>
    <comment ref="F86" authorId="2" shapeId="0" xr:uid="{BB9E9DD5-03E0-B944-AB78-9228E14242A0}">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$ 90.884,73, se sacó del POA 2023 de la DTH ítem Para sumar a la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$ 6.000,00 DTH por efecto de informe de seguimiento.</t>
        </r>
      </text>
    </comment>
    <comment ref="E87" authorId="0" shapeId="0" xr:uid="{1656E4CE-CDF0-114F-90FF-1B7B90FD112C}">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$ 2.500,00 para atender pedido del memo nro. </t>
        </r>
        <r>
          <rPr>
            <sz val="10"/>
            <color rgb="FF000000"/>
            <rFont val="Calibri"/>
            <family val="2"/>
          </rPr>
          <t>UTMACH-DADM-2023-0651-M.</t>
        </r>
      </text>
    </comment>
    <comment ref="F88" authorId="1" shapeId="0" xr:uid="{8DBA65D3-6533-2E4B-8079-C22A9F4656F8}">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E89" authorId="1" shapeId="0" xr:uid="{0DD0DFF9-1921-E043-89E9-44D1EA67F696}">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$ 2.184,00 según memo nro. DADM-2023-0645-M.</t>
        </r>
      </text>
    </comment>
    <comment ref="F89" authorId="4" shapeId="0" xr:uid="{9DEC33F5-84E8-3D45-BA0E-CA789717E9B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reduce $ 672,00 Rectorado por efecto de informe de seguimiento.</t>
        </r>
      </text>
    </comment>
    <comment ref="E90" authorId="2" shapeId="0" xr:uid="{51801B48-AEC3-B54E-99FD-AF260088D60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 </t>
        </r>
      </text>
    </comment>
    <comment ref="E91" authorId="3" shapeId="0" xr:uid="{547D8FA9-51CD-F444-9401-6124C227BC15}">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$8.000 en virtud de memo nro 0764 DTH</t>
        </r>
      </text>
    </comment>
    <comment ref="F91" authorId="4" shapeId="0" xr:uid="{444F606F-2FD1-4E47-B957-3D003DE03A36}">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$ 3.660,23 DTH por efecto de informe de seguimiento.
</t>
        </r>
        <r>
          <rPr>
            <sz val="9"/>
            <color rgb="FF000000"/>
            <rFont val="Tahoma"/>
            <family val="2"/>
          </rPr>
          <t xml:space="preserve">
</t>
        </r>
        <r>
          <rPr>
            <sz val="9"/>
            <color rgb="FF000000"/>
            <rFont val="Tahoma"/>
            <family val="2"/>
          </rPr>
          <t>Se redujo $ 3.264,00 DTH por efecto de informe de seguimiento.</t>
        </r>
      </text>
    </comment>
    <comment ref="F92" authorId="2" shapeId="0" xr:uid="{DC689718-7C94-1E4B-A92D-15BDF59A8D5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$ 37.040,00 para pasar a la partida de combustible.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DADM por efecto de informe de seguimiento.</t>
        </r>
      </text>
    </comment>
    <comment ref="E93" authorId="5" shapeId="0" xr:uid="{64B8E703-263B-D749-841C-30F38CB69F68}">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 según memo N</t>
        </r>
        <r>
          <rPr>
            <sz val="9"/>
            <color rgb="FF000000"/>
            <rFont val="Tahoma"/>
            <family val="2"/>
          </rPr>
          <t>°</t>
        </r>
        <r>
          <rPr>
            <sz val="9"/>
            <color rgb="FF000000"/>
            <rFont val="Tahoma"/>
            <family val="2"/>
          </rPr>
          <t xml:space="preserve"> DTIC-2023-0088-M_04052023</t>
        </r>
      </text>
    </comment>
    <comment ref="F93" authorId="4" shapeId="0" xr:uid="{5C330D56-7EE9-DD4D-B0EF-4C56B7F7F6B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$ 3,22 DTIC por efecto de informe de seguimiento.</t>
        </r>
      </text>
    </comment>
    <comment ref="E94" authorId="2" shapeId="0" xr:uid="{4CD3B73D-502F-8747-8DC2-C20812E0529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rincrementó 16.800,00 Dir Adm
</t>
        </r>
        <r>
          <rPr>
            <sz val="9"/>
            <color rgb="FF000000"/>
            <rFont val="Tahoma"/>
            <family val="2"/>
          </rPr>
          <t>77,28 DAC que pasó de fuente 3 a fuente 2</t>
        </r>
      </text>
    </comment>
    <comment ref="F94" authorId="1" shapeId="0" xr:uid="{02EE8A89-790D-D94C-AD8C-D2BF3A956477}">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 xml:space="preserve">Se redujo $ 61,09 en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$ 3.000,00 DADM por efecto de informe de seguimiento.</t>
        </r>
      </text>
    </comment>
    <comment ref="F95" authorId="2" shapeId="0" xr:uid="{5B65F9AF-556B-8543-A844-32B8FB034DF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16.800,00 Dir Adm
</t>
        </r>
        <r>
          <rPr>
            <sz val="9"/>
            <color rgb="FF000000"/>
            <rFont val="Tahoma"/>
            <family val="2"/>
          </rPr>
          <t>77,28 DAC que pasan a fuente 2</t>
        </r>
      </text>
    </comment>
    <comment ref="E96" authorId="3" shapeId="0" xr:uid="{EE41C1EA-2F1C-1D4F-BC35-9FF6416A836F}">
      <text>
        <r>
          <rPr>
            <b/>
            <sz val="7"/>
            <color rgb="FF000000"/>
            <rFont val="Tahoma"/>
            <family val="2"/>
          </rPr>
          <t>Valeria Ramon Capa:</t>
        </r>
        <r>
          <rPr>
            <sz val="7"/>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$ 250,00 según memo N</t>
        </r>
        <r>
          <rPr>
            <sz val="9"/>
            <color rgb="FF000000"/>
            <rFont val="Tahoma"/>
            <family val="34"/>
          </rPr>
          <t>°</t>
        </r>
        <r>
          <rPr>
            <sz val="9"/>
            <color rgb="FF000000"/>
            <rFont val="Tahoma"/>
            <family val="34"/>
          </rPr>
          <t xml:space="preserve"> DADM-2023-0335-M_16052023
</t>
        </r>
      </text>
    </comment>
    <comment ref="F96" authorId="4" shapeId="0" xr:uid="{27C0B3A3-0552-0249-825E-38440C220EF1}">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$ 2.000,00 DADM por efecto de informe de seguimiento.</t>
        </r>
      </text>
    </comment>
    <comment ref="F97" authorId="2" shapeId="0" xr:uid="{AB19139E-7D2A-B243-AA17-AF4C3EE0FAC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$ 10.000,00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$ 26.320,00, según memo N</t>
        </r>
        <r>
          <rPr>
            <sz val="9"/>
            <color rgb="FF000000"/>
            <rFont val="Tahoma"/>
            <family val="2"/>
          </rPr>
          <t>°</t>
        </r>
        <r>
          <rPr>
            <sz val="9"/>
            <color rgb="FF000000"/>
            <rFont val="Tahoma"/>
            <family val="2"/>
          </rPr>
          <t xml:space="preserve"> DBUAC-2023-0124-M_03032023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$ 1.400,00 DADM por efecto de informe de seguimiento.</t>
        </r>
      </text>
    </comment>
    <comment ref="E98" authorId="0" shapeId="0" xr:uid="{CB45D2C4-9F9F-2644-90D4-38A585FA16B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 xml:space="preserve">Se incrementa $ 49.108,37 para atender memo nro. DUAC-2023-0656-M. </t>
        </r>
      </text>
    </comment>
    <comment ref="F98" authorId="3" shapeId="0" xr:uid="{C76D69FB-EB50-2A40-8BFB-B5FE4E6C088C}">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Reducción de $7.000 a DTH por memo nro 0764_06062023</t>
        </r>
      </text>
    </comment>
    <comment ref="E99" authorId="5" shapeId="0" xr:uid="{58B0F03A-7945-914B-AEA8-6E7203BBBDA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$ 600,00 según memo N</t>
        </r>
        <r>
          <rPr>
            <sz val="9"/>
            <color rgb="FF000000"/>
            <rFont val="Tahoma"/>
            <family val="2"/>
          </rPr>
          <t>°</t>
        </r>
        <r>
          <rPr>
            <sz val="9"/>
            <color rgb="FF000000"/>
            <rFont val="Tahoma"/>
            <family val="2"/>
          </rPr>
          <t xml:space="preserve"> DTIC-2023-0088-M_04052023</t>
        </r>
      </text>
    </comment>
    <comment ref="E100" authorId="2" shapeId="0" xr:uid="{58FD903B-FD60-BC49-835C-E9DE539E046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t>
        </r>
      </text>
    </comment>
    <comment ref="F100" authorId="4" shapeId="0" xr:uid="{396A2341-4C9A-2C4B-8E9D-2661FE0B0EA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$ 61,67 Vic. Académico por efecto de informe de seguimiento.
</t>
        </r>
        <r>
          <rPr>
            <sz val="9"/>
            <color rgb="FF000000"/>
            <rFont val="Tahoma"/>
            <family val="2"/>
          </rPr>
          <t xml:space="preserve">
</t>
        </r>
        <r>
          <rPr>
            <sz val="9"/>
            <color rgb="FF000000"/>
            <rFont val="Tahoma"/>
            <family val="2"/>
          </rPr>
          <t>Se redujo $ 7.156,55 en el POA de DADM por efecto del seguimiento.</t>
        </r>
      </text>
    </comment>
    <comment ref="E101" authorId="2" shapeId="0" xr:uid="{003B31FB-D72B-4D41-AFC2-CDD29CBCB5B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$ 1.333,44, según Memorando N</t>
        </r>
        <r>
          <rPr>
            <sz val="9"/>
            <color rgb="FF000000"/>
            <rFont val="Tahoma"/>
            <family val="2"/>
          </rPr>
          <t>°</t>
        </r>
        <r>
          <rPr>
            <sz val="9"/>
            <color rgb="FF000000"/>
            <rFont val="Tahoma"/>
            <family val="2"/>
          </rPr>
          <t xml:space="preserve"> UTMACH-DBUAC-2023-0012-M del 12/01/2023. </t>
        </r>
      </text>
    </comment>
    <comment ref="E102" authorId="5" shapeId="0" xr:uid="{96817D3A-A3ED-8B48-9FEB-6514ED4FFC92}">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$ 10.197,60 según memo N</t>
        </r>
        <r>
          <rPr>
            <sz val="9"/>
            <color rgb="FF000000"/>
            <rFont val="Tahoma"/>
            <family val="2"/>
          </rPr>
          <t>°</t>
        </r>
        <r>
          <rPr>
            <sz val="9"/>
            <color rgb="FF000000"/>
            <rFont val="Tahoma"/>
            <family val="2"/>
          </rPr>
          <t xml:space="preserve"> DTIC-2023-0088-M_04052023
</t>
        </r>
      </text>
    </comment>
    <comment ref="F102" authorId="4" shapeId="0" xr:uid="{89D82874-1625-7842-8BD9-EC80FB340F7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$ 2.160,45 DTIC por efecto de informe de seguimiento.</t>
        </r>
      </text>
    </comment>
    <comment ref="E103" authorId="1" shapeId="0" xr:uid="{9BEBECD1-2CBE-DC47-97B0-FB8393913B0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 según memo N</t>
        </r>
        <r>
          <rPr>
            <sz val="9"/>
            <color rgb="FF000000"/>
            <rFont val="Tahoma"/>
            <family val="2"/>
          </rPr>
          <t>°</t>
        </r>
        <r>
          <rPr>
            <sz val="9"/>
            <color rgb="FF000000"/>
            <rFont val="Tahoma"/>
            <family val="2"/>
          </rPr>
          <t xml:space="preserve"> DADM-2023-0335-M_16052023</t>
        </r>
      </text>
    </comment>
    <comment ref="E104" authorId="1" shapeId="0" xr:uid="{37BD3856-6D79-B14E-86DB-8C7AA0A94F8C}">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 según memo N</t>
        </r>
        <r>
          <rPr>
            <sz val="9"/>
            <color rgb="FF000000"/>
            <rFont val="Tahoma"/>
            <family val="2"/>
          </rPr>
          <t>°</t>
        </r>
        <r>
          <rPr>
            <sz val="9"/>
            <color rgb="FF000000"/>
            <rFont val="Tahoma"/>
            <family val="2"/>
          </rPr>
          <t xml:space="preserve"> DADM-2023-0335-M_16052023</t>
        </r>
      </text>
    </comment>
    <comment ref="E105" authorId="2" shapeId="0" xr:uid="{BC077F31-E3FC-4045-9803-FA602A6E85E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 xml:space="preserve">Se incrementó $2.000 a DTH por memo nro 0764_06062023
</t>
        </r>
      </text>
    </comment>
    <comment ref="E106" authorId="2" shapeId="0" xr:uid="{F3AF438C-75C4-0F43-9708-46A79506E7F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40.000,00 para Uniformes Personal LOSEP DTH
</t>
        </r>
        <r>
          <rPr>
            <sz val="9"/>
            <color rgb="FF000000"/>
            <rFont val="Tahoma"/>
            <family val="2"/>
          </rPr>
          <t xml:space="preserve">
</t>
        </r>
        <r>
          <rPr>
            <b/>
            <sz val="9"/>
            <color rgb="FF000000"/>
            <rFont val="Tahoma"/>
            <family val="2"/>
          </rPr>
          <t xml:space="preserve">Reforma 3:
</t>
        </r>
        <r>
          <rPr>
            <sz val="9"/>
            <color rgb="FF000000"/>
            <rFont val="Tahoma"/>
            <family val="2"/>
          </rPr>
          <t>Se incrementó $5.000,00 a DTH por memo nro 0764_06062023</t>
        </r>
      </text>
    </comment>
    <comment ref="F107" authorId="2" shapeId="0" xr:uid="{93C1BDC4-EBF1-8748-A9B4-89F125725E1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2.340,60</t>
        </r>
      </text>
    </comment>
    <comment ref="F108" authorId="2" shapeId="0" xr:uid="{AD747688-7E57-B84E-BE25-14D5F0515273}">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$ 34.363,67 del POA DBU por tener los ítems con precios mayores de $ 100.00.
</t>
        </r>
        <r>
          <rPr>
            <sz val="9"/>
            <color rgb="FF000000"/>
            <rFont val="Tahoma"/>
            <family val="2"/>
          </rPr>
          <t xml:space="preserve">Se redujo $ 56.000,00 para la readecuación de las entradas de la UTMACH. Vic. Administrativo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$ 896,00 DIRCOM por efecto de informe de seguimiento.</t>
        </r>
      </text>
    </comment>
    <comment ref="E109" authorId="0" shapeId="0" xr:uid="{FE4BB176-46B8-BE4B-B898-C367E27EEAE0}">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$ 1.828,02 en el POAD de DADM para atender memo nro. </t>
        </r>
        <r>
          <rPr>
            <sz val="10"/>
            <color rgb="FF000000"/>
            <rFont val="Arial"/>
            <family val="2"/>
            <scheme val="minor"/>
          </rPr>
          <t>UTMACH-DADM-2023-0651-M</t>
        </r>
      </text>
    </comment>
    <comment ref="F109" authorId="4" shapeId="0" xr:uid="{E3C5CB37-7793-A147-B93A-C7AFBAE31E4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$ 18,08 DAC por efecto de informe de seguimiento.</t>
        </r>
      </text>
    </comment>
    <comment ref="E110" authorId="0" shapeId="0" xr:uid="{FA9657E5-FE82-7D45-845C-AFE9D7DB1A3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$ 280,00 en el POA de DTIC para atender el memo nro. </t>
        </r>
        <r>
          <rPr>
            <sz val="10"/>
            <color rgb="FF000000"/>
            <rFont val="Calibri"/>
            <family val="2"/>
          </rPr>
          <t>UTMACH-DTIC-2023-0224-M</t>
        </r>
        <r>
          <rPr>
            <sz val="10"/>
            <color rgb="FF000000"/>
            <rFont val="Tahoma"/>
            <family val="2"/>
          </rPr>
          <t>.</t>
        </r>
      </text>
    </comment>
    <comment ref="F110" authorId="4" shapeId="0" xr:uid="{C96CD024-BBF2-384F-8EA8-1462F95F037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$ 564,68 Rectorado por saldo no ejecutado.
</t>
        </r>
        <r>
          <rPr>
            <sz val="9"/>
            <color rgb="FF000000"/>
            <rFont val="Tahoma"/>
            <family val="2"/>
          </rPr>
          <t xml:space="preserve">
</t>
        </r>
        <r>
          <rPr>
            <sz val="9"/>
            <color rgb="FF000000"/>
            <rFont val="Tahoma"/>
            <family val="2"/>
          </rPr>
          <t>Se redujo $ 72,75 DAC por efecto de informe de seguimiento. (Cert. N</t>
        </r>
        <r>
          <rPr>
            <sz val="9"/>
            <color rgb="FF000000"/>
            <rFont val="Tahoma"/>
            <family val="2"/>
          </rPr>
          <t>°</t>
        </r>
        <r>
          <rPr>
            <sz val="9"/>
            <color rgb="FF000000"/>
            <rFont val="Tahoma"/>
            <family val="2"/>
          </rPr>
          <t xml:space="preserve"> 169)</t>
        </r>
      </text>
    </comment>
    <comment ref="F111" authorId="1" shapeId="0" xr:uid="{64F659D0-6FD0-7245-A4F9-1ACAD4E25EB0}">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redujo $ 4.457,60 a DBUAC por seguimiento y en virtud de oficio Nro. MEF-SP-2023-0501 para atender Memo Nro. 0399 de DADM.</t>
        </r>
      </text>
    </comment>
    <comment ref="F112" authorId="1" shapeId="0" xr:uid="{2EADA098-726E-8943-BFCD-48179D6DD88B}">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Se redujo $ 3.360,00 según memo N</t>
        </r>
        <r>
          <rPr>
            <sz val="9"/>
            <color rgb="FF000000"/>
            <rFont val="Tahoma"/>
            <family val="34"/>
          </rPr>
          <t>°</t>
        </r>
        <r>
          <rPr>
            <sz val="9"/>
            <color rgb="FF000000"/>
            <rFont val="Tahoma"/>
            <family val="34"/>
          </rPr>
          <t xml:space="preserve"> UTMACH-DADM-2023-0335-M_16052023, no se atendió materiales de oficina.
</t>
        </r>
        <r>
          <rPr>
            <sz val="9"/>
            <color rgb="FF000000"/>
            <rFont val="Tahoma"/>
            <family val="34"/>
          </rPr>
          <t xml:space="preserve">
</t>
        </r>
        <r>
          <rPr>
            <sz val="9"/>
            <color rgb="FF000000"/>
            <rFont val="Tahoma"/>
            <family val="34"/>
          </rPr>
          <t>30/05 se redujo lo restante $ 40 por seguimiento y en virtud de oficio Nro. MEF-SP-2023-0501 para atender Memo Nro. 0399 de DADM.</t>
        </r>
      </text>
    </comment>
    <comment ref="E113" authorId="0" shapeId="0" xr:uid="{B23F75B9-2E4B-9442-9C8B-BFF4E22E189A}">
      <text>
        <r>
          <rPr>
            <b/>
            <sz val="10"/>
            <color rgb="FF000000"/>
            <rFont val="Tahoma"/>
            <family val="2"/>
          </rPr>
          <t>Microsoft Office User:</t>
        </r>
        <r>
          <rPr>
            <sz val="10"/>
            <color rgb="FF000000"/>
            <rFont val="Tahoma"/>
            <family val="2"/>
          </rPr>
          <t xml:space="preserve">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incrementa $ 2.520,22 para atender pedido del memo nro. DADM-2023-065-M.</t>
        </r>
      </text>
    </comment>
    <comment ref="E114" authorId="1" shapeId="0" xr:uid="{A53BFAAD-DB47-394A-89EE-6C1486BF987B}">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F114" authorId="4" shapeId="0" xr:uid="{38232806-62ED-2F4E-BC6B-E15F3A28F84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$ 949,98 DADM por efecto de informe de seguimiento.</t>
        </r>
      </text>
    </comment>
    <comment ref="E116" authorId="3" shapeId="0" xr:uid="{2E6FBDEA-C5CA-EE43-BC22-B124F4073B52}">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$151.520,00 a DADM por Memo N 0399_01062023</t>
        </r>
      </text>
    </comment>
    <comment ref="F116" authorId="4" shapeId="0" xr:uid="{5DB5801D-DB07-2743-8CD5-C2664EC92EA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$ 170.000,00 DADM por efecto de informe de seguimiento, los mismos que quedan pendientes de asignar cuando se recaude el valor programado en la fuente 002.</t>
        </r>
      </text>
    </comment>
    <comment ref="E119" authorId="2" shapeId="0" xr:uid="{DB4CC3C9-4D00-144E-81E7-25E59EBC986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$ 5.080,00 que es de la partida N</t>
        </r>
        <r>
          <rPr>
            <sz val="9"/>
            <color rgb="FF000000"/>
            <rFont val="Tahoma"/>
            <family val="2"/>
          </rPr>
          <t>°</t>
        </r>
        <r>
          <rPr>
            <sz val="9"/>
            <color rgb="FF000000"/>
            <rFont val="Tahoma"/>
            <family val="2"/>
          </rPr>
          <t xml:space="preserve"> 530239 0701 003 Membrecías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$ 170,00 según memo N</t>
        </r>
        <r>
          <rPr>
            <sz val="9"/>
            <color rgb="FF000000"/>
            <rFont val="Tahoma"/>
            <family val="2"/>
          </rPr>
          <t>°</t>
        </r>
        <r>
          <rPr>
            <sz val="9"/>
            <color rgb="FF000000"/>
            <rFont val="Tahoma"/>
            <family val="2"/>
          </rPr>
          <t xml:space="preserve"> DADM-2023-0335-M_16052023</t>
        </r>
      </text>
    </comment>
    <comment ref="F119" authorId="3" shapeId="0" xr:uid="{F6E845B3-3E12-5E4E-9CB7-9691DB2B31F4}">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Se reduce $370 a PG por cuadre de grupo 57
</t>
        </r>
        <r>
          <rPr>
            <sz val="10"/>
            <color rgb="FF000000"/>
            <rFont val="Tahoma"/>
            <family val="2"/>
          </rPr>
          <t xml:space="preserve">
</t>
        </r>
        <r>
          <rPr>
            <sz val="10"/>
            <color rgb="FF000000"/>
            <rFont val="Tahoma"/>
            <family val="2"/>
          </rPr>
          <t>Reforma N</t>
        </r>
        <r>
          <rPr>
            <sz val="10"/>
            <color rgb="FF000000"/>
            <rFont val="Tahoma"/>
            <family val="2"/>
          </rPr>
          <t>°</t>
        </r>
        <r>
          <rPr>
            <sz val="10"/>
            <color rgb="FF000000"/>
            <rFont val="Tahoma"/>
            <family val="2"/>
          </rPr>
          <t xml:space="preserve"> 4:
</t>
        </r>
        <r>
          <rPr>
            <sz val="10"/>
            <color rgb="FF000000"/>
            <rFont val="Tahoma"/>
            <family val="2"/>
          </rPr>
          <t>Se redujo $ 3.710,00 Procuraduria Gral. por efecto de informe de seguimiento.</t>
        </r>
      </text>
    </comment>
    <comment ref="E120" authorId="2" shapeId="0" xr:uid="{01572DE3-5FBA-6342-84FD-17C530779A9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para devolución de valores a estudiantes. Dir. Financiera.</t>
        </r>
      </text>
    </comment>
    <comment ref="F120" authorId="4" shapeId="0" xr:uid="{B6CC6E51-0EF2-7A44-BB88-6A00CB6281D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$ 500,00 Dir. Financiera por efecto de informe de seguimiento.</t>
        </r>
      </text>
    </comment>
    <comment ref="F122" authorId="5" shapeId="0" xr:uid="{DC391B87-AA6D-524A-B429-017537AC0C5B}">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conforme archivo POA 2023.
</t>
        </r>
        <r>
          <rPr>
            <sz val="9"/>
            <color rgb="FF000000"/>
            <rFont val="Tahoma"/>
            <family val="2"/>
          </rPr>
          <t xml:space="preserve">Se redujo $ 137.214,99, porque se sacó del POA 2023 de la DTH ítem para sumar a esta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t>
        </r>
        <r>
          <rPr>
            <sz val="10"/>
            <color rgb="FF000000"/>
            <rFont val="Arial"/>
            <family val="2"/>
            <scheme val="minor"/>
          </rPr>
          <t xml:space="preserve">203.797,63 </t>
        </r>
        <r>
          <rPr>
            <sz val="9"/>
            <color rgb="FF000000"/>
            <rFont val="Tahoma"/>
            <family val="2"/>
          </rPr>
          <t xml:space="preserve"> DTH por efecto de informe de seguimiento.</t>
        </r>
      </text>
    </comment>
    <comment ref="B123" authorId="2" shapeId="0" xr:uid="{F70A63CA-C53F-CA40-95A7-A8A8BF64D910}">
      <text>
        <r>
          <rPr>
            <b/>
            <sz val="9"/>
            <color rgb="FF000000"/>
            <rFont val="Tahoma"/>
            <family val="2"/>
          </rPr>
          <t>HP:</t>
        </r>
        <r>
          <rPr>
            <sz val="9"/>
            <color rgb="FF000000"/>
            <rFont val="Tahoma"/>
            <family val="2"/>
          </rPr>
          <t xml:space="preserve">
</t>
        </r>
        <r>
          <rPr>
            <sz val="9"/>
            <color rgb="FF000000"/>
            <rFont val="Tahoma"/>
            <family val="2"/>
          </rPr>
          <t>Valores de proyectos de inversión</t>
        </r>
      </text>
    </comment>
    <comment ref="E124" authorId="2" shapeId="0" xr:uid="{83F0BA86-32C2-A74B-801A-6415B1D8B1D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$ 423.188,30 py de jubilados que consta en la 84 en el POA 2023 de la DTH.
</t>
        </r>
        <r>
          <rPr>
            <sz val="9"/>
            <color rgb="FF000000"/>
            <rFont val="Tahoma"/>
            <family val="2"/>
          </rPr>
          <t>Se incrementó el saldo $ 18.470,34 y se lo sumó al py de jubilados DTH.</t>
        </r>
      </text>
    </comment>
    <comment ref="E125" authorId="2" shapeId="0" xr:uid="{F8D613AE-F70A-324C-87FC-4CE9ED12A8E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Servicio de seguridad privada COMUNIDAD FAMILIAR SEGURA COMFASEG Dir Administrativa</t>
        </r>
      </text>
    </comment>
    <comment ref="E126" authorId="2" shapeId="0" xr:uid="{6F44FCFF-68F9-F548-9C2A-EA14850FE58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$ 545,00 para pago de órdenes compra de 1 archivador aéreo, 2 mesa de centro por los valores $90,00 y $396,00 sin incluir el IVA, respectivamente, según Oficio N</t>
        </r>
        <r>
          <rPr>
            <sz val="9"/>
            <color rgb="FF000000"/>
            <rFont val="Tahoma"/>
            <family val="2"/>
          </rPr>
          <t>°</t>
        </r>
        <r>
          <rPr>
            <sz val="9"/>
            <color rgb="FF000000"/>
            <rFont val="Tahoma"/>
            <family val="2"/>
          </rPr>
          <t xml:space="preserve"> UTMACH-ADM-CENTRAL-EMP-2023-0048-OF_16/01/2023.
</t>
        </r>
        <r>
          <rPr>
            <sz val="9"/>
            <color rgb="FF000000"/>
            <rFont val="Tahoma"/>
            <family val="2"/>
          </rPr>
          <t>Dir. Administrativa</t>
        </r>
      </text>
    </comment>
    <comment ref="E127" authorId="5" shapeId="0" xr:uid="{A426EDDF-6744-934E-9ECB-0C390B41DFD8}">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$ 24.400,68 Dir. Administrativa
</t>
        </r>
        <r>
          <rPr>
            <sz val="9"/>
            <color rgb="FF000000"/>
            <rFont val="Tahoma"/>
            <family val="2"/>
          </rPr>
          <t xml:space="preserve">$ 761,38 Secretaría General
</t>
        </r>
        <r>
          <rPr>
            <sz val="9"/>
            <color rgb="FF000000"/>
            <rFont val="Tahoma"/>
            <family val="2"/>
          </rPr>
          <t xml:space="preserve">$ 2.893,16 Dir. Posgrado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$ 1.607,43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Se incrementó a DPLAN $87,78 por cuadre de fuente 
</t>
        </r>
        <r>
          <rPr>
            <sz val="9"/>
            <color rgb="FF000000"/>
            <rFont val="Tahoma"/>
            <family val="2"/>
          </rPr>
          <t xml:space="preserve">
</t>
        </r>
        <r>
          <rPr>
            <sz val="9"/>
            <color rgb="FF000000"/>
            <rFont val="Tahoma"/>
            <family val="2"/>
          </rPr>
          <t xml:space="preserve">Se incrementa $ 159,85 en el POA de DPOS para atender memo nro. DIPOS-2023-0237-M
</t>
        </r>
        <r>
          <rPr>
            <sz val="9"/>
            <color rgb="FF000000"/>
            <rFont val="Tahoma"/>
            <family val="2"/>
          </rPr>
          <t xml:space="preserve">
</t>
        </r>
        <r>
          <rPr>
            <sz val="9"/>
            <color rgb="FF000000"/>
            <rFont val="Tahoma"/>
            <family val="2"/>
          </rPr>
          <t xml:space="preserve">Se incrementa $ 2.660,50 en el POA de DADM para atender memo nro. </t>
        </r>
        <r>
          <rPr>
            <sz val="9"/>
            <color rgb="FF000000"/>
            <rFont val="Calibri"/>
            <family val="2"/>
          </rPr>
          <t>UTMACH-DADM-2023-0656-M</t>
        </r>
      </text>
    </comment>
    <comment ref="F127" authorId="3" shapeId="0" xr:uid="{0ED09615-17E7-5B48-BE42-5655A1A6706F}">
      <text>
        <r>
          <rPr>
            <b/>
            <sz val="9"/>
            <color rgb="FF000000"/>
            <rFont val="Tahoma"/>
            <family val="34"/>
          </rPr>
          <t>Valeria Ramon Capa:</t>
        </r>
        <r>
          <rPr>
            <sz val="9"/>
            <color rgb="FF000000"/>
            <rFont val="Tahoma"/>
            <family val="34"/>
          </rPr>
          <t xml:space="preserve">
</t>
        </r>
        <r>
          <rPr>
            <b/>
            <sz val="9"/>
            <color rgb="FF000000"/>
            <rFont val="Tahoma"/>
            <family val="34"/>
          </rPr>
          <t xml:space="preserve">Reforma 3:
</t>
        </r>
        <r>
          <rPr>
            <sz val="9"/>
            <color rgb="FF000000"/>
            <rFont val="Tahoma"/>
            <family val="34"/>
          </rPr>
          <t>Se reduce $632,58 según memo N</t>
        </r>
        <r>
          <rPr>
            <sz val="9"/>
            <color rgb="FF000000"/>
            <rFont val="Tahoma"/>
            <family val="34"/>
          </rPr>
          <t>°</t>
        </r>
        <r>
          <rPr>
            <sz val="9"/>
            <color rgb="FF000000"/>
            <rFont val="Tahoma"/>
            <family val="34"/>
          </rPr>
          <t xml:space="preserve"> UTMACH-DIPOS-2023-0160-M_19052023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 xml:space="preserve">Se redujo $ 81,58 Secretaría General por efecto de informe de seguimiento.
</t>
        </r>
        <r>
          <rPr>
            <sz val="9"/>
            <color rgb="FF000000"/>
            <rFont val="Tahoma"/>
            <family val="34"/>
          </rPr>
          <t xml:space="preserve">
</t>
        </r>
        <r>
          <rPr>
            <sz val="9"/>
            <color rgb="FF000000"/>
            <rFont val="Tahoma"/>
            <family val="34"/>
          </rPr>
          <t xml:space="preserve">Se redujo $ 87,78 DPLAN por efecto de informe de seguimiento.
</t>
        </r>
        <r>
          <rPr>
            <sz val="9"/>
            <color rgb="FF000000"/>
            <rFont val="Tahoma"/>
            <family val="34"/>
          </rPr>
          <t xml:space="preserve">
</t>
        </r>
        <r>
          <rPr>
            <sz val="9"/>
            <color rgb="FF000000"/>
            <rFont val="Tahoma"/>
            <family val="34"/>
          </rPr>
          <t>Se redujo $ 621,20 DIPOS por efecto de informe de seguimiento. (Cert. N</t>
        </r>
        <r>
          <rPr>
            <sz val="9"/>
            <color rgb="FF000000"/>
            <rFont val="Tahoma"/>
            <family val="34"/>
          </rPr>
          <t>°</t>
        </r>
        <r>
          <rPr>
            <sz val="9"/>
            <color rgb="FF000000"/>
            <rFont val="Tahoma"/>
            <family val="34"/>
          </rPr>
          <t xml:space="preserve"> 147)
</t>
        </r>
        <r>
          <rPr>
            <sz val="9"/>
            <color rgb="FF000000"/>
            <rFont val="Tahoma"/>
            <family val="34"/>
          </rPr>
          <t xml:space="preserve">
</t>
        </r>
        <r>
          <rPr>
            <sz val="9"/>
            <color rgb="FF000000"/>
            <rFont val="Tahoma"/>
            <family val="34"/>
          </rPr>
          <t>Se redujo $ 530,00 DIPOS por efecto de informe de seguimiento. (Cert. N</t>
        </r>
        <r>
          <rPr>
            <sz val="9"/>
            <color rgb="FF000000"/>
            <rFont val="Tahoma"/>
            <family val="34"/>
          </rPr>
          <t>°</t>
        </r>
        <r>
          <rPr>
            <sz val="9"/>
            <color rgb="FF000000"/>
            <rFont val="Tahoma"/>
            <family val="34"/>
          </rPr>
          <t xml:space="preserve"> 147)
</t>
        </r>
        <r>
          <rPr>
            <sz val="9"/>
            <color rgb="FF000000"/>
            <rFont val="Tahoma"/>
            <family val="34"/>
          </rPr>
          <t xml:space="preserve">
</t>
        </r>
        <r>
          <rPr>
            <sz val="9"/>
            <color rgb="FF000000"/>
            <rFont val="Tahoma"/>
            <family val="34"/>
          </rPr>
          <t>Se redujo $ 182,16 DTIC por efecto de informe de seguimiento. (Cert. N</t>
        </r>
        <r>
          <rPr>
            <sz val="9"/>
            <color rgb="FF000000"/>
            <rFont val="Tahoma"/>
            <family val="34"/>
          </rPr>
          <t>°</t>
        </r>
        <r>
          <rPr>
            <sz val="9"/>
            <color rgb="FF000000"/>
            <rFont val="Tahoma"/>
            <family val="34"/>
          </rPr>
          <t xml:space="preserve"> 265)
</t>
        </r>
        <r>
          <rPr>
            <sz val="9"/>
            <color rgb="FF000000"/>
            <rFont val="Tahoma"/>
            <family val="34"/>
          </rPr>
          <t xml:space="preserve">
</t>
        </r>
        <r>
          <rPr>
            <sz val="9"/>
            <color rgb="FF000000"/>
            <rFont val="Tahoma"/>
            <family val="34"/>
          </rPr>
          <t>Se redujo $ 2.125,00 DADM por efecto de informe de seguimiento.</t>
        </r>
      </text>
    </comment>
    <comment ref="E128" authorId="2" shapeId="0" xr:uid="{D6E0F12A-EA22-554C-A8DA-3E65F299FDA0}">
      <text>
        <r>
          <rPr>
            <b/>
            <sz val="9"/>
            <color rgb="FF000000"/>
            <rFont val="Tahoma"/>
            <family val="2"/>
          </rPr>
          <t>HP:</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2:
</t>
        </r>
        <r>
          <rPr>
            <sz val="9"/>
            <color rgb="FF000000"/>
            <rFont val="Tahoma"/>
            <family val="34"/>
          </rPr>
          <t xml:space="preserve">Se incrementó $ 39.500,00 para adquisición de aires acondicionados PULLA HNOS Dir Adm
</t>
        </r>
        <r>
          <rPr>
            <sz val="9"/>
            <color rgb="FF000000"/>
            <rFont val="Tahoma"/>
            <family val="34"/>
          </rPr>
          <t xml:space="preserve">$ 2.940,00 por contrato de año anterior para adquisición de proyectores de imagen. TICS
</t>
        </r>
        <r>
          <rPr>
            <sz val="9"/>
            <color rgb="FF000000"/>
            <rFont val="Tahoma"/>
            <family val="34"/>
          </rPr>
          <t xml:space="preserve">
</t>
        </r>
        <r>
          <rPr>
            <sz val="8"/>
            <color rgb="FF000000"/>
            <rFont val="Calibri"/>
            <family val="2"/>
          </rPr>
          <t xml:space="preserve">Reforma nro. 004:
</t>
        </r>
        <r>
          <rPr>
            <sz val="8"/>
            <color rgb="FF000000"/>
            <rFont val="Calibri"/>
            <family val="2"/>
          </rPr>
          <t xml:space="preserve">Se incrementa $ 313,60 en el POA de VAC para atender memo nro. VACAD-2023-0354-M
</t>
        </r>
      </text>
    </comment>
    <comment ref="F128" authorId="0" shapeId="0" xr:uid="{282C740F-A9A1-0F43-9155-AAA03A7FA4BE}">
      <text>
        <r>
          <rPr>
            <b/>
            <sz val="10"/>
            <color rgb="FF000000"/>
            <rFont val="Tahoma"/>
            <family val="2"/>
          </rPr>
          <t>Microsoft Office User:</t>
        </r>
        <r>
          <rPr>
            <sz val="10"/>
            <color rgb="FF000000"/>
            <rFont val="Tahoma"/>
            <family val="2"/>
          </rPr>
          <t xml:space="preserve">
</t>
        </r>
      </text>
    </comment>
    <comment ref="E129" authorId="5" shapeId="0" xr:uid="{67186D27-08C0-5441-B369-823ED4D090A1}">
      <text>
        <r>
          <rPr>
            <b/>
            <sz val="8"/>
            <color rgb="FF000000"/>
            <rFont val="Tahoma"/>
            <family val="2"/>
          </rPr>
          <t>Eunice Basilio:</t>
        </r>
        <r>
          <rPr>
            <sz val="8"/>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2:
</t>
        </r>
        <r>
          <rPr>
            <sz val="8"/>
            <color rgb="FF000000"/>
            <rFont val="Tahoma"/>
            <family val="2"/>
          </rPr>
          <t xml:space="preserve">Se incrementó conforme archivo POA 2023:
</t>
        </r>
        <r>
          <rPr>
            <sz val="8"/>
            <color rgb="FF000000"/>
            <rFont val="Tahoma"/>
            <family val="2"/>
          </rPr>
          <t xml:space="preserve">$ 19.554,08 DIRCOM
</t>
        </r>
        <r>
          <rPr>
            <sz val="8"/>
            <color rgb="FF000000"/>
            <rFont val="Tahoma"/>
            <family val="2"/>
          </rPr>
          <t xml:space="preserve">$ 3.360,00 Secretaría General
</t>
        </r>
        <r>
          <rPr>
            <sz val="8"/>
            <color rgb="FF000000"/>
            <rFont val="Tahoma"/>
            <family val="2"/>
          </rPr>
          <t xml:space="preserve">$ 2.882,88 Dir. Aseguramiento de la Calidad
</t>
        </r>
        <r>
          <rPr>
            <sz val="8"/>
            <color rgb="FF000000"/>
            <rFont val="Tahoma"/>
            <family val="2"/>
          </rPr>
          <t xml:space="preserve">$ 53.704,13 DTIC
</t>
        </r>
        <r>
          <rPr>
            <sz val="8"/>
            <color rgb="FF000000"/>
            <rFont val="Tahoma"/>
            <family val="2"/>
          </rPr>
          <t xml:space="preserve">$ 360,00 Dir. Financiera
</t>
        </r>
        <r>
          <rPr>
            <sz val="8"/>
            <color rgb="FF000000"/>
            <rFont val="Tahoma"/>
            <family val="2"/>
          </rPr>
          <t xml:space="preserve">$ 70.954,075 DBUAC
</t>
        </r>
        <r>
          <rPr>
            <sz val="8"/>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3:
</t>
        </r>
        <r>
          <rPr>
            <sz val="8"/>
            <color rgb="FF000000"/>
            <rFont val="Tahoma"/>
            <family val="2"/>
          </rPr>
          <t>Se incrementó $ 8.999,20, según memo N</t>
        </r>
        <r>
          <rPr>
            <sz val="8"/>
            <color rgb="FF000000"/>
            <rFont val="Tahoma"/>
            <family val="2"/>
          </rPr>
          <t>°</t>
        </r>
        <r>
          <rPr>
            <sz val="8"/>
            <color rgb="FF000000"/>
            <rFont val="Tahoma"/>
            <family val="2"/>
          </rPr>
          <t xml:space="preserve"> DBUAC-2023-0124-M_03032023
</t>
        </r>
        <r>
          <rPr>
            <sz val="8"/>
            <color rgb="FF000000"/>
            <rFont val="Tahoma"/>
            <family val="2"/>
          </rPr>
          <t xml:space="preserve">
</t>
        </r>
        <r>
          <rPr>
            <sz val="8"/>
            <color rgb="FF000000"/>
            <rFont val="Tahoma"/>
            <family val="2"/>
          </rPr>
          <t xml:space="preserve">Se incrementó $2.000,01 para compra de montacarga de Unidad de Bienes (reasignación)
</t>
        </r>
        <r>
          <rPr>
            <sz val="8"/>
            <color rgb="FF000000"/>
            <rFont val="Tahoma"/>
            <family val="2"/>
          </rPr>
          <t xml:space="preserve">
</t>
        </r>
        <r>
          <rPr>
            <sz val="8"/>
            <color rgb="FF000000"/>
            <rFont val="Tahoma"/>
            <family val="2"/>
          </rPr>
          <t>Se incrementó $ 13.686,40, según memo N</t>
        </r>
        <r>
          <rPr>
            <sz val="8"/>
            <color rgb="FF000000"/>
            <rFont val="Tahoma"/>
            <family val="2"/>
          </rPr>
          <t>°</t>
        </r>
        <r>
          <rPr>
            <sz val="8"/>
            <color rgb="FF000000"/>
            <rFont val="Tahoma"/>
            <family val="2"/>
          </rPr>
          <t xml:space="preserve"> DBUAC-2023-0318-M_22052023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 xml:space="preserve">Se incrementa $ 6.888,00 para atender memo nro. DADM-2023-0645-M.
</t>
        </r>
        <r>
          <rPr>
            <sz val="8"/>
            <color rgb="FF000000"/>
            <rFont val="Tahoma"/>
            <family val="2"/>
          </rPr>
          <t xml:space="preserve">
</t>
        </r>
        <r>
          <rPr>
            <sz val="8"/>
            <color rgb="FF000000"/>
            <rFont val="Arial"/>
            <family val="2"/>
            <scheme val="minor"/>
          </rPr>
          <t>Se incrementa $ 51.788,80 en el POA de DBUAC para atender memo nro. DBUAC-2023-0597-M.</t>
        </r>
        <r>
          <rPr>
            <sz val="8"/>
            <color rgb="FF000000"/>
            <rFont val="Arial"/>
            <family val="2"/>
            <scheme val="minor"/>
          </rPr>
          <t xml:space="preserve">
</t>
        </r>
        <r>
          <rPr>
            <sz val="8"/>
            <color rgb="FF000000"/>
            <rFont val="Tahoma"/>
            <family val="2"/>
          </rPr>
          <t xml:space="preserve">
</t>
        </r>
        <r>
          <rPr>
            <sz val="8"/>
            <color rgb="FF000000"/>
            <rFont val="Arial"/>
            <family val="2"/>
            <scheme val="minor"/>
          </rPr>
          <t xml:space="preserve">Se incrementa $ 2251,20 + 4631,75 en el POA de DADM en atención al </t>
        </r>
        <r>
          <rPr>
            <sz val="8"/>
            <color rgb="FF000000"/>
            <rFont val="Arial"/>
            <family val="2"/>
            <scheme val="minor"/>
          </rPr>
          <t xml:space="preserve">Memorando nro. UTMACH-DADM-UCP-2023-1143-M.
</t>
        </r>
      </text>
    </comment>
    <comment ref="F129" authorId="4" shapeId="0" xr:uid="{60F9B283-4C57-AD40-96AB-9056AA3348F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$ 2.135,00 Unidad dee Gestión Documental y Archivo por efecto de informe de seguimiento (Certif. N</t>
        </r>
        <r>
          <rPr>
            <sz val="9"/>
            <color rgb="FF000000"/>
            <rFont val="Tahoma"/>
            <family val="2"/>
          </rPr>
          <t>°</t>
        </r>
        <r>
          <rPr>
            <sz val="9"/>
            <color rgb="FF000000"/>
            <rFont val="Tahoma"/>
            <family val="2"/>
          </rPr>
          <t xml:space="preserve"> 159)
</t>
        </r>
        <r>
          <rPr>
            <sz val="9"/>
            <color rgb="FF000000"/>
            <rFont val="Tahoma"/>
            <family val="2"/>
          </rPr>
          <t xml:space="preserve">
</t>
        </r>
        <r>
          <rPr>
            <sz val="9"/>
            <color rgb="FF000000"/>
            <rFont val="Tahoma"/>
            <family val="2"/>
          </rPr>
          <t xml:space="preserve">Se redujo $ 4.940,53 DBUAC por efecto de informe de seguimiento.
</t>
        </r>
        <r>
          <rPr>
            <sz val="9"/>
            <color rgb="FF000000"/>
            <rFont val="Tahoma"/>
            <family val="2"/>
          </rPr>
          <t xml:space="preserve">
</t>
        </r>
        <r>
          <rPr>
            <sz val="9"/>
            <color rgb="FF000000"/>
            <rFont val="Tahoma"/>
            <family val="2"/>
          </rPr>
          <t>Se redujo $ 136,90 DAC por efecto de informe de seguimiento (Cert. N</t>
        </r>
        <r>
          <rPr>
            <sz val="9"/>
            <color rgb="FF000000"/>
            <rFont val="Tahoma"/>
            <family val="2"/>
          </rPr>
          <t>°</t>
        </r>
        <r>
          <rPr>
            <sz val="9"/>
            <color rgb="FF000000"/>
            <rFont val="Tahoma"/>
            <family val="2"/>
          </rPr>
          <t xml:space="preserve"> 235 dispensador y N</t>
        </r>
        <r>
          <rPr>
            <sz val="9"/>
            <color rgb="FF000000"/>
            <rFont val="Tahoma"/>
            <family val="2"/>
          </rPr>
          <t>°</t>
        </r>
        <r>
          <rPr>
            <sz val="9"/>
            <color rgb="FF000000"/>
            <rFont val="Tahoma"/>
            <family val="2"/>
          </rPr>
          <t xml:space="preserve"> 152 proyector).
</t>
        </r>
        <r>
          <rPr>
            <sz val="9"/>
            <color rgb="FF000000"/>
            <rFont val="Tahoma"/>
            <family val="2"/>
          </rPr>
          <t xml:space="preserve">
</t>
        </r>
        <r>
          <rPr>
            <sz val="9"/>
            <color rgb="FF000000"/>
            <rFont val="Tahoma"/>
            <family val="2"/>
          </rPr>
          <t>Se redujo $ 589,26 Unidad de Control de Bienes por efecto de informe de seguimiento.</t>
        </r>
      </text>
    </comment>
    <comment ref="E130" authorId="2" shapeId="0" xr:uid="{2F76F82F-4687-0D4E-84DE-4FCBB7AF1BA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$ 42.311,18 para pago de contrato de año anterior por adquisición de cámaras de videovigilancia. UTMACH EP
</t>
        </r>
        <r>
          <rPr>
            <sz val="9"/>
            <color rgb="FF000000"/>
            <rFont val="Tahoma"/>
            <family val="2"/>
          </rPr>
          <t>Dir. Administrativa</t>
        </r>
      </text>
    </comment>
    <comment ref="E133" authorId="0" shapeId="0" xr:uid="{8A3722EC-E9DE-774A-8D55-CE4CFC5878D8}">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$ 6.300,00 en el POA de DADM para atender memo nro. </t>
        </r>
        <r>
          <rPr>
            <sz val="10"/>
            <color rgb="FF000000"/>
            <rFont val="Arial"/>
            <family val="2"/>
            <scheme val="minor"/>
          </rPr>
          <t>UTMACH-DADM-2023-0651-M.</t>
        </r>
      </text>
    </comment>
    <comment ref="E134" authorId="2" shapeId="0" xr:uid="{F6DC5B1F-0DFD-1D4A-BE50-915BE2A01D7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$ 81.952,06 DBUAC Tablet
</t>
        </r>
        <r>
          <rPr>
            <sz val="9"/>
            <color rgb="FF000000"/>
            <rFont val="Tahoma"/>
            <family val="2"/>
          </rPr>
          <t xml:space="preserve">
</t>
        </r>
        <r>
          <rPr>
            <sz val="9"/>
            <color rgb="FF000000"/>
            <rFont val="Tahoma"/>
            <family val="2"/>
          </rPr>
          <t xml:space="preserve">Reforma N 3:
</t>
        </r>
        <r>
          <rPr>
            <sz val="9"/>
            <color rgb="FF000000"/>
            <rFont val="Tahoma"/>
            <family val="2"/>
          </rPr>
          <t>Se incrementó $1.644,63 DPLAN-UPES por reunión de seguimiento</t>
        </r>
      </text>
    </comment>
    <comment ref="F134" authorId="4" shapeId="0" xr:uid="{7754CF23-1644-1B42-8884-2B26A68F955A}">
      <text>
        <r>
          <rPr>
            <b/>
            <sz val="9"/>
            <color rgb="FF000000"/>
            <rFont val="Tahoma"/>
            <family val="2"/>
          </rPr>
          <t>Admin:</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$ 8.250,99 DBUAC por efecto de informe de seguimiento. (Cert. N</t>
        </r>
        <r>
          <rPr>
            <sz val="9"/>
            <color rgb="FF000000"/>
            <rFont val="Tahoma"/>
            <family val="2"/>
          </rPr>
          <t>°</t>
        </r>
        <r>
          <rPr>
            <sz val="9"/>
            <color rgb="FF000000"/>
            <rFont val="Tahoma"/>
            <family val="2"/>
          </rPr>
          <t xml:space="preserve"> 303)</t>
        </r>
      </text>
    </comment>
    <comment ref="E135" authorId="5" shapeId="0" xr:uid="{512A9063-BE95-094F-84AC-22A8C6672E1A}">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sz val="9"/>
            <color rgb="FF000000"/>
            <rFont val="Tahoma"/>
            <family val="2"/>
          </rPr>
          <t xml:space="preserve">$ 6.548,35 Rectorado
</t>
        </r>
        <r>
          <rPr>
            <sz val="9"/>
            <color rgb="FF000000"/>
            <rFont val="Tahoma"/>
            <family val="2"/>
          </rPr>
          <t xml:space="preserve">$ 3.920,00 DIRCOM
</t>
        </r>
        <r>
          <rPr>
            <sz val="9"/>
            <color rgb="FF000000"/>
            <rFont val="Tahoma"/>
            <family val="2"/>
          </rPr>
          <t xml:space="preserve">$ 1.868,16 Secretaría General
</t>
        </r>
        <r>
          <rPr>
            <sz val="9"/>
            <color rgb="FF000000"/>
            <rFont val="Tahoma"/>
            <family val="2"/>
          </rPr>
          <t xml:space="preserve">$ 2.934,40 Dirección de Aseguramiento de la Calidad
</t>
        </r>
        <r>
          <rPr>
            <sz val="9"/>
            <color rgb="FF000000"/>
            <rFont val="Tahoma"/>
            <family val="2"/>
          </rPr>
          <t xml:space="preserve">conforme archivo POA 2023.
</t>
        </r>
        <r>
          <rPr>
            <sz val="9"/>
            <color rgb="FF000000"/>
            <rFont val="Tahoma"/>
            <family val="2"/>
          </rPr>
          <t xml:space="preserve">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$ 1.008,00 según memo N</t>
        </r>
        <r>
          <rPr>
            <sz val="9"/>
            <color rgb="FF000000"/>
            <rFont val="Tahoma"/>
            <family val="2"/>
          </rPr>
          <t>°</t>
        </r>
        <r>
          <rPr>
            <sz val="9"/>
            <color rgb="FF000000"/>
            <rFont val="Tahoma"/>
            <family val="2"/>
          </rPr>
          <t xml:space="preserve"> UTMACH-DAC-2023-0056-M_24032023
</t>
        </r>
        <r>
          <rPr>
            <sz val="9"/>
            <color rgb="FF000000"/>
            <rFont val="Tahoma"/>
            <family val="2"/>
          </rPr>
          <t xml:space="preserve">UTMACH-DAC-2023-0059-M_27032023 (Alcance M_0056)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$ 81,10 para atender pedido del memo nro. SG-2023-0194-M, en el POA de SG
</t>
        </r>
        <r>
          <rPr>
            <sz val="9"/>
            <color rgb="FF000000"/>
            <rFont val="Tahoma"/>
            <family val="2"/>
          </rPr>
          <t xml:space="preserve">
</t>
        </r>
        <r>
          <rPr>
            <sz val="9"/>
            <color rgb="FF000000"/>
            <rFont val="Tahoma"/>
            <family val="2"/>
          </rPr>
          <t xml:space="preserve">Se incrementa $ 1.771,84 para atender pedido del memo nro. SG-2023-0213-M
</t>
        </r>
        <r>
          <rPr>
            <sz val="9"/>
            <color rgb="FF000000"/>
            <rFont val="Tahoma"/>
            <family val="2"/>
          </rPr>
          <t xml:space="preserve">
</t>
        </r>
        <r>
          <rPr>
            <sz val="9"/>
            <color rgb="FF000000"/>
            <rFont val="Tahoma"/>
            <family val="2"/>
          </rPr>
          <t xml:space="preserve">Se incrementa $ 3.801,28 para atender el pedido del memo nro. </t>
        </r>
        <r>
          <rPr>
            <sz val="10"/>
            <color rgb="FF000000"/>
            <rFont val="Calibri"/>
            <family val="2"/>
          </rPr>
          <t>UTMACH-DADM-2023-0656-M</t>
        </r>
        <r>
          <rPr>
            <sz val="9"/>
            <color rgb="FF000000"/>
            <rFont val="Calibri"/>
            <family val="2"/>
          </rPr>
          <t xml:space="preserve">
</t>
        </r>
      </text>
    </comment>
    <comment ref="F135" authorId="4" shapeId="0" xr:uid="{35228D8A-FD60-3F4C-8C9E-6F1403585AA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$ 836,81 DIRCOM por efecto de informe de seguimiento.
</t>
        </r>
        <r>
          <rPr>
            <sz val="9"/>
            <color rgb="FF000000"/>
            <rFont val="Tahoma"/>
            <family val="2"/>
          </rPr>
          <t xml:space="preserve">
</t>
        </r>
        <r>
          <rPr>
            <sz val="9"/>
            <color rgb="FF000000"/>
            <rFont val="Tahoma"/>
            <family val="2"/>
          </rPr>
          <t>Se redujo $ 572,00 + $ 1.254,40 en el POA de DAC por efecto de informe de seguimiento y atención memo nro. DAC-2023-0221-M.</t>
        </r>
      </text>
    </comment>
    <comment ref="E136" authorId="2" shapeId="0" xr:uid="{D4BDF6BF-BDF3-4343-AA32-5EDFD5EDEEA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$ 4.518,00 para pago de contrato de año anterior por adquisición de cámaras de videovigilancia. UTMACH EP
</t>
        </r>
        <r>
          <rPr>
            <sz val="9"/>
            <color rgb="FF000000"/>
            <rFont val="Tahoma"/>
            <family val="2"/>
          </rPr>
          <t>Dir. Administrativa</t>
        </r>
      </text>
    </comment>
    <comment ref="F136" authorId="2" shapeId="0" xr:uid="{D85F6778-428B-E647-93E8-4DD5D083C85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$ 414.919,06 para Py Red Lan.
</t>
        </r>
        <r>
          <rPr>
            <sz val="9"/>
            <color rgb="FF000000"/>
            <rFont val="Tahoma"/>
            <family val="2"/>
          </rPr>
          <t xml:space="preserve">Se redujo $ 423.188,30 py de jubilados que consta en la 84 en el POA 2023 de la DTH.
</t>
        </r>
        <r>
          <rPr>
            <sz val="9"/>
            <color rgb="FF000000"/>
            <rFont val="Tahoma"/>
            <family val="2"/>
          </rPr>
          <t>Se redujo el saldo $ 18.470,34 y se lo sumó al py de jubilados DTH.</t>
        </r>
      </text>
    </comment>
    <comment ref="G136" authorId="3" shapeId="0" xr:uid="{EDAE67D1-28BD-4149-B0EA-08D90AF1172C}">
      <text>
        <r>
          <rPr>
            <b/>
            <sz val="10"/>
            <color rgb="FF000000"/>
            <rFont val="Tahoma"/>
            <family val="2"/>
          </rPr>
          <t>Valeria Ramon Capa:</t>
        </r>
        <r>
          <rPr>
            <sz val="10"/>
            <color rgb="FF000000"/>
            <rFont val="Tahoma"/>
            <family val="2"/>
          </rPr>
          <t xml:space="preserve">
</t>
        </r>
      </text>
    </comment>
    <comment ref="E138" authorId="5" shapeId="0" xr:uid="{7D62A9DC-AD68-EA44-9304-D08314682B6F}">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$ 8.999,20 conforme archivo POA 2023 DBU</t>
        </r>
      </text>
    </comment>
    <comment ref="F138" authorId="1" shapeId="0" xr:uid="{ADF540C7-2674-3143-8454-6E1B155012F1}">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$ 8.999,20, según memo N</t>
        </r>
        <r>
          <rPr>
            <sz val="9"/>
            <color rgb="FF000000"/>
            <rFont val="Tahoma"/>
            <family val="2"/>
          </rPr>
          <t>°</t>
        </r>
        <r>
          <rPr>
            <sz val="9"/>
            <color rgb="FF000000"/>
            <rFont val="Tahoma"/>
            <family val="2"/>
          </rPr>
          <t xml:space="preserve"> DBUAC-2023-0124-M_03032023</t>
        </r>
      </text>
    </comment>
    <comment ref="E139" authorId="2" shapeId="0" xr:uid="{A1426E98-D98B-8045-AB6E-30A2A442FA2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$ 16.000,00 para liquidaciones personal administrativo, trabajadores, pago de alimentación, transporte, cargas familiares, antigüedad.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$ 10.000,00 atendiendo al memo N</t>
        </r>
        <r>
          <rPr>
            <sz val="9"/>
            <color rgb="FF000000"/>
            <rFont val="Tahoma"/>
            <family val="2"/>
          </rPr>
          <t>°</t>
        </r>
        <r>
          <rPr>
            <sz val="9"/>
            <color rgb="FF000000"/>
            <rFont val="Tahoma"/>
            <family val="2"/>
          </rPr>
          <t xml:space="preserve"> UTMACH-DF-2023-0197-M_20052023</t>
        </r>
      </text>
    </comment>
    <comment ref="F139" authorId="4" shapeId="0" xr:uid="{2CCE13C1-1A19-9448-8B37-5A720F318B6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$ 4.000,00 Dir. Financiera por efecto de informe de seguimiento.</t>
        </r>
      </text>
    </comment>
    <comment ref="G141" authorId="3" shapeId="0" xr:uid="{037C0806-8548-2F4D-91A6-2DFEEA68D406}">
      <text>
        <r>
          <rPr>
            <b/>
            <sz val="10"/>
            <color rgb="FF000000"/>
            <rFont val="Tahoma"/>
            <family val="2"/>
          </rPr>
          <t>Valeria Ramon Capa:</t>
        </r>
        <r>
          <rPr>
            <sz val="10"/>
            <color rgb="FF000000"/>
            <rFont val="Tahoma"/>
            <family val="2"/>
          </rPr>
          <t xml:space="preserve">
</t>
        </r>
        <r>
          <rPr>
            <sz val="10"/>
            <color rgb="FF000000"/>
            <rFont val="Tahoma"/>
            <family val="2"/>
          </rPr>
          <t>POA</t>
        </r>
      </text>
    </comment>
    <comment ref="F145" authorId="1" shapeId="0" xr:uid="{495E9810-E338-684C-997D-00A9284C6B7D}">
      <text>
        <r>
          <rPr>
            <b/>
            <sz val="9"/>
            <color rgb="FF000000"/>
            <rFont val="Tahoma"/>
            <family val="2"/>
          </rPr>
          <t xml:space="preserve">LENOVO:
</t>
        </r>
        <r>
          <rPr>
            <sz val="9"/>
            <color rgb="FF000000"/>
            <rFont val="Tahoma"/>
            <family val="2"/>
          </rPr>
          <t xml:space="preserve">
</t>
        </r>
        <r>
          <rPr>
            <b/>
            <sz val="9"/>
            <color rgb="FF000000"/>
            <rFont val="Tahoma"/>
            <family val="2"/>
          </rPr>
          <t xml:space="preserve">Reforma 3:
</t>
        </r>
        <r>
          <rPr>
            <sz val="9"/>
            <color rgb="FF000000"/>
            <rFont val="Tahoma"/>
            <family val="2"/>
          </rPr>
          <t xml:space="preserve">
</t>
        </r>
        <r>
          <rPr>
            <sz val="9"/>
            <color rgb="FF000000"/>
            <rFont val="Tahoma"/>
            <family val="2"/>
          </rPr>
          <t xml:space="preserve">Se reduce $ 40.000,00 para financiar Décimo Tercer Sueldo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9"/>
            <color rgb="FF000000"/>
            <rFont val="Tahoma"/>
            <family val="2"/>
          </rPr>
          <t xml:space="preserve">Se reduce $ 262.000,00 para financiar la partida de servicios personales por contrato, por efectos del seguimiento presupuestario.
</t>
        </r>
        <r>
          <rPr>
            <sz val="9"/>
            <color rgb="FF000000"/>
            <rFont val="Tahoma"/>
            <family val="2"/>
          </rPr>
          <t xml:space="preserve">
</t>
        </r>
        <r>
          <rPr>
            <sz val="9"/>
            <color rgb="FF000000"/>
            <rFont val="Tahoma"/>
            <family val="2"/>
          </rPr>
          <t xml:space="preserve">Se reduce $ 6.000,00 para financiar partida de décimo cuarto sueldo, por efectos del seguimiento presupuestario.
</t>
        </r>
        <r>
          <rPr>
            <sz val="9"/>
            <color rgb="FF000000"/>
            <rFont val="Tahoma"/>
            <family val="2"/>
          </rPr>
          <t xml:space="preserve">
</t>
        </r>
        <r>
          <rPr>
            <sz val="9"/>
            <color rgb="FF000000"/>
            <rFont val="Tahoma"/>
            <family val="2"/>
          </rPr>
          <t>Se reduce $ 30.000,00 para financiar segundo plan de jubilación de la UTMACH, previsto a planificarse en septiembre.</t>
        </r>
      </text>
    </comment>
    <comment ref="K145" authorId="6" shapeId="0" xr:uid="{6A47B158-D105-014B-856A-7644E4CFF2DA}">
      <text>
        <r>
          <rPr>
            <b/>
            <sz val="9"/>
            <color rgb="FF000000"/>
            <rFont val="Tahoma"/>
            <family val="2"/>
          </rPr>
          <t>Dirección Financiera:</t>
        </r>
        <r>
          <rPr>
            <sz val="9"/>
            <color rgb="FF000000"/>
            <rFont val="Tahoma"/>
            <family val="2"/>
          </rPr>
          <t xml:space="preserve">
</t>
        </r>
        <r>
          <rPr>
            <sz val="9"/>
            <color rgb="FF000000"/>
            <rFont val="Tahoma"/>
            <family val="2"/>
          </rPr>
          <t>500000 para concursos y promociones</t>
        </r>
      </text>
    </comment>
    <comment ref="E146" authorId="1" shapeId="0" xr:uid="{90F10117-81D1-4143-8AC1-5EBC0A134835}">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incrementó $ 100.000,00 para financiar Décimo Tercer Sueldo</t>
        </r>
      </text>
    </comment>
    <comment ref="E147" authorId="0" shapeId="0" xr:uid="{F9F00666-E08A-7140-8A6E-8839ABF9654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incrementa $ 6.000,00 para financiar partida de décimo cuarto sueldo, por efectos del seguimiento presupuestario.</t>
        </r>
      </text>
    </comment>
    <comment ref="E148" authorId="0" shapeId="0" xr:uid="{A5F98560-5970-C540-A0DF-11D34F0E43BC}">
      <text>
        <r>
          <rPr>
            <b/>
            <sz val="10"/>
            <color rgb="FF000000"/>
            <rFont val="Tahoma"/>
            <family val="2"/>
          </rPr>
          <t xml:space="preserve">Microsoft Office User:
</t>
        </r>
        <r>
          <rPr>
            <b/>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$ 262.000,00 para financiar la partida de servicios personales por contrato, por efectos del seguimiento presupuestario.
</t>
        </r>
      </text>
    </comment>
    <comment ref="E151" authorId="1" shapeId="0" xr:uid="{C6FB6CE8-A184-204A-8275-89E5A94CEE0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$4.000,00</t>
        </r>
      </text>
    </comment>
    <comment ref="E152" authorId="3" shapeId="0" xr:uid="{11A89889-78D3-314D-A424-6FC767F14BD7}">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incrementa $1.509,87 según memo N</t>
        </r>
        <r>
          <rPr>
            <sz val="9"/>
            <color rgb="FF000000"/>
            <rFont val="Tahoma"/>
            <family val="2"/>
          </rPr>
          <t>°</t>
        </r>
        <r>
          <rPr>
            <sz val="9"/>
            <color rgb="FF000000"/>
            <rFont val="Tahoma"/>
            <family val="2"/>
          </rPr>
          <t xml:space="preserve"> UTMACH-DIPOS-2023-0160-M_19052023</t>
        </r>
      </text>
    </comment>
    <comment ref="F152" authorId="4" shapeId="0" xr:uid="{765B2AB7-B7BA-AE44-A62E-4CAA218ACEA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$ 1.209,87 DIPOS por efecto de informe de seguimiento.</t>
        </r>
      </text>
    </comment>
    <comment ref="F153" authorId="4" shapeId="0" xr:uid="{256D7824-F857-0E43-9079-23A046DA0F4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$ 2.410,40 DIPOS por efecto de informe de seguimiento.
</t>
        </r>
        <r>
          <rPr>
            <sz val="9"/>
            <color rgb="FF000000"/>
            <rFont val="Tahoma"/>
            <family val="2"/>
          </rPr>
          <t xml:space="preserve">
</t>
        </r>
        <r>
          <rPr>
            <sz val="9"/>
            <color rgb="FF000000"/>
            <rFont val="Tahoma"/>
            <family val="2"/>
          </rPr>
          <t>Se redujo $ 1.000,16 Dir. Formación Profesional por efecto de informe de seguimiento.</t>
        </r>
      </text>
    </comment>
    <comment ref="E154" authorId="2" shapeId="0" xr:uid="{74356818-B029-6448-A4C2-3D2C8F13C01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$ 5.040,00 FCQS</t>
        </r>
      </text>
    </comment>
    <comment ref="F154" authorId="4" shapeId="0" xr:uid="{A70505B9-59EC-E747-9852-CB7684FDAF1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$ 540,00 FCQS según informe de seguimiento.</t>
        </r>
      </text>
    </comment>
    <comment ref="E155" authorId="2" shapeId="0" xr:uid="{4B939F13-B3D0-D247-8728-2DF686DAE2A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83.935,78 para Dir. Administrativa
</t>
        </r>
        <r>
          <rPr>
            <sz val="9"/>
            <color rgb="FF000000"/>
            <rFont val="Tahoma"/>
            <family val="2"/>
          </rPr>
          <t xml:space="preserve">Se eliminó porque no se puede cruzar del grupo 84 al grupo 53.
</t>
        </r>
        <r>
          <rPr>
            <sz val="9"/>
            <color rgb="FF000000"/>
            <rFont val="Tahoma"/>
            <family val="2"/>
          </rPr>
          <t xml:space="preserve">
</t>
        </r>
        <r>
          <rPr>
            <sz val="9"/>
            <color rgb="FF000000"/>
            <rFont val="Tahoma"/>
            <family val="2"/>
          </rPr>
          <t xml:space="preserve">Se incrementó $ 14.752,06 por saldo positivo y cuadre final de la fuente 1.
</t>
        </r>
        <r>
          <rPr>
            <sz val="9"/>
            <color rgb="FF000000"/>
            <rFont val="Tahoma"/>
            <family val="2"/>
          </rPr>
          <t xml:space="preserve">
</t>
        </r>
        <r>
          <rPr>
            <sz val="9"/>
            <color rgb="FF000000"/>
            <rFont val="Tahoma"/>
            <family val="2"/>
          </rPr>
          <t xml:space="preserve">Cómo quedó en el POA:
</t>
        </r>
        <r>
          <rPr>
            <sz val="9"/>
            <color rgb="FF000000"/>
            <rFont val="Tahoma"/>
            <family val="2"/>
          </rPr>
          <t xml:space="preserve">711.513,00 DIR ADMINISTRATIVA
</t>
        </r>
        <r>
          <rPr>
            <sz val="9"/>
            <color rgb="FF000000"/>
            <rFont val="Tahoma"/>
            <family val="2"/>
          </rPr>
          <t xml:space="preserve">
</t>
        </r>
        <r>
          <rPr>
            <sz val="9"/>
            <color rgb="FF000000"/>
            <rFont val="Tahoma"/>
            <family val="2"/>
          </rPr>
          <t xml:space="preserve">Se incrementó 5.448,78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F155" authorId="2" shapeId="0" xr:uid="{CF766A74-2603-5643-AD50-B57BE47FB6A2}">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t>
        </r>
        <r>
          <rPr>
            <sz val="9"/>
            <color rgb="FF000000"/>
            <rFont val="Tahoma"/>
            <family val="2"/>
          </rPr>
          <t xml:space="preserve">$ 6.720,00 Dir. Aseguramiento de la Calidad.
</t>
        </r>
        <r>
          <rPr>
            <sz val="9"/>
            <color rgb="FF000000"/>
            <rFont val="Tahoma"/>
            <family val="2"/>
          </rPr>
          <t xml:space="preserve">$ 6.720,00 FIC
</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$1.365,00 por atención de Memo N</t>
        </r>
        <r>
          <rPr>
            <sz val="9"/>
            <color rgb="FF000000"/>
            <rFont val="Tahoma"/>
            <family val="34"/>
          </rPr>
          <t>°</t>
        </r>
        <r>
          <rPr>
            <sz val="9"/>
            <color rgb="FF000000"/>
            <rFont val="Tahoma"/>
            <family val="34"/>
          </rPr>
          <t xml:space="preserve"> UTMACH-DAC-2023-0133-M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 xml:space="preserve">Se reduce $ 711.513,00 por cambio de partida de inversión del </t>
        </r>
        <r>
          <rPr>
            <sz val="10"/>
            <color rgb="FF000000"/>
            <rFont val="Arial"/>
            <family val="2"/>
          </rPr>
          <t>Proyecto de Inversión " Adecuación de infraestructura y equipamiento Universidad Técnica de Machala"</t>
        </r>
        <r>
          <rPr>
            <sz val="9"/>
            <color rgb="FF000000"/>
            <rFont val="Arial"/>
            <family val="2"/>
          </rPr>
          <t xml:space="preserve"> </t>
        </r>
      </text>
    </comment>
    <comment ref="E156" authorId="2" shapeId="0" xr:uid="{53F3F98B-3777-274A-8ED1-150A0300797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$ 77.722,59 DBUAC</t>
        </r>
      </text>
    </comment>
    <comment ref="F156" authorId="4" shapeId="0" xr:uid="{7F2B58DA-F0E9-2849-B2DF-8B501FCC298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t>
        </r>
      </text>
    </comment>
    <comment ref="E157" authorId="2" shapeId="0" xr:uid="{02226AB1-0076-0147-95A5-610CEF8F5788}">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t>
        </r>
        <r>
          <rPr>
            <b/>
            <sz val="9"/>
            <color rgb="FF000000"/>
            <rFont val="Tahoma"/>
            <family val="2"/>
          </rPr>
          <t>$ 5.666,86</t>
        </r>
        <r>
          <rPr>
            <sz val="9"/>
            <color rgb="FF000000"/>
            <rFont val="Tahoma"/>
            <family val="2"/>
          </rPr>
          <t xml:space="preserve"> para adecuación de Sala de Docentes de la Carrera de Enfermería en la FCQS. UTMACH EP EMPRESA PUBLICA
</t>
        </r>
        <r>
          <rPr>
            <sz val="9"/>
            <color rgb="FF000000"/>
            <rFont val="Tahoma"/>
            <family val="2"/>
          </rPr>
          <t xml:space="preserve">
</t>
        </r>
        <r>
          <rPr>
            <sz val="9"/>
            <color rgb="FF000000"/>
            <rFont val="Tahoma"/>
            <family val="2"/>
          </rPr>
          <t>Se incrementó $ 44.380,00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$ 250.000,00 para DBUAC Adecuación de espacios de bienestar deportivos.
</t>
        </r>
        <r>
          <rPr>
            <sz val="9"/>
            <color rgb="FF000000"/>
            <rFont val="Tahoma"/>
            <family val="2"/>
          </rPr>
          <t xml:space="preserve">Se eliminó porque no se puede cruzar de la 84 al grupo 53.
</t>
        </r>
        <r>
          <rPr>
            <sz val="9"/>
            <color rgb="FF000000"/>
            <rFont val="Tahoma"/>
            <family val="2"/>
          </rPr>
          <t xml:space="preserve">Se incrementó $ 123.677,98 para DBUAC Adecuación de espacios de bienestar deportivos.
</t>
        </r>
        <r>
          <rPr>
            <sz val="9"/>
            <color rgb="FF000000"/>
            <rFont val="Tahoma"/>
            <family val="2"/>
          </rPr>
          <t xml:space="preserve">Por saldo a favor y cuadre final de la fuente 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$ 3.224,44 según memo N</t>
        </r>
        <r>
          <rPr>
            <sz val="9"/>
            <color rgb="FF000000"/>
            <rFont val="Tahoma"/>
            <family val="2"/>
          </rPr>
          <t>°</t>
        </r>
        <r>
          <rPr>
            <sz val="9"/>
            <color rgb="FF000000"/>
            <rFont val="Tahoma"/>
            <family val="2"/>
          </rPr>
          <t xml:space="preserve"> FIC-D-2023-0217-M_09052023 (por cuadre de fuente)
</t>
        </r>
      </text>
    </comment>
    <comment ref="F157" authorId="3" shapeId="0" xr:uid="{6A394ABD-FB19-144B-9B2F-02EB0CFBC8E8}">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redujo $ 44.380,00 FCS en reunión de seguimiento y en virtud de oficio Nro. MEF-SP-2023-0501 para atender Memo Nro. 0399 de DADM.
</t>
        </r>
        <r>
          <rPr>
            <sz val="9"/>
            <color rgb="FF000000"/>
            <rFont val="Tahoma"/>
            <family val="2"/>
          </rPr>
          <t xml:space="preserve">
</t>
        </r>
        <r>
          <rPr>
            <sz val="10"/>
            <color rgb="FF000000"/>
            <rFont val="Arial"/>
            <family val="2"/>
          </rPr>
          <t xml:space="preserve">Reforma nro. 004:
</t>
        </r>
        <r>
          <rPr>
            <sz val="10"/>
            <color rgb="FF000000"/>
            <rFont val="Arial"/>
            <family val="2"/>
          </rPr>
          <t xml:space="preserve">Se redujo $ 123.677,98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 en la misma partida con fuente 001.
</t>
        </r>
      </text>
    </comment>
    <comment ref="F158" authorId="2" shapeId="0" xr:uid="{04D821B4-56AD-4A45-9F91-287B166FF4B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$ 9.200,00 Dir. Administrativa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reduce $ 4.024,45 según memo N</t>
        </r>
        <r>
          <rPr>
            <sz val="9"/>
            <color rgb="FF000000"/>
            <rFont val="Tahoma"/>
            <family val="2"/>
          </rPr>
          <t>°</t>
        </r>
        <r>
          <rPr>
            <sz val="9"/>
            <color rgb="FF000000"/>
            <rFont val="Tahoma"/>
            <family val="2"/>
          </rPr>
          <t xml:space="preserve"> FIC-D-2023-0217-M_09052023</t>
        </r>
      </text>
    </comment>
    <comment ref="E159" authorId="4" shapeId="0" xr:uid="{D58F8EC0-D2A8-F44B-92FA-FF3295F6E94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$ 50.000,00 según memo N</t>
        </r>
        <r>
          <rPr>
            <sz val="9"/>
            <color rgb="FF000000"/>
            <rFont val="Tahoma"/>
            <family val="2"/>
          </rPr>
          <t>°</t>
        </r>
        <r>
          <rPr>
            <sz val="9"/>
            <color rgb="FF000000"/>
            <rFont val="Tahoma"/>
            <family val="2"/>
          </rPr>
          <t xml:space="preserve"> UTMACH-FCA-D-2023-0571-M_28072023 para Estudios especializados para la construcción del bloque de laboratorios de la FCA.</t>
        </r>
      </text>
    </comment>
    <comment ref="F159" authorId="2" shapeId="0" xr:uid="{9A238236-9B92-7344-A902-10DB2AE2670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F160" authorId="5" shapeId="0" xr:uid="{F7C5ED1B-B049-8B4E-9EFC-E9B36D1927F7}">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redujo $ 3.590,15 para cubrir contratos de años anteriores y disponibilidades de nuevas necesidades.
</t>
        </r>
        <r>
          <rPr>
            <b/>
            <sz val="8"/>
            <color rgb="FF000000"/>
            <rFont val="Tahoma"/>
            <family val="34"/>
          </rPr>
          <t xml:space="preserve">Reforma 3:
</t>
        </r>
        <r>
          <rPr>
            <sz val="8"/>
            <color rgb="FF000000"/>
            <rFont val="Tahoma"/>
            <family val="34"/>
          </rPr>
          <t xml:space="preserve">Se redujo $20.000 DTH por seguimiento y en virtud de oficio Nro. MEF-SP-2023-0501 para atender Memo Nro. 0399 de DADM.
</t>
        </r>
        <r>
          <rPr>
            <sz val="8"/>
            <color rgb="FF000000"/>
            <rFont val="Tahoma"/>
            <family val="34"/>
          </rPr>
          <t xml:space="preserve">
</t>
        </r>
        <r>
          <rPr>
            <sz val="8"/>
            <color rgb="FF000000"/>
            <rFont val="Tahoma"/>
            <family val="34"/>
          </rPr>
          <t>Se redujo $6.456,36 a DTH por cuadre de fuente</t>
        </r>
      </text>
    </comment>
    <comment ref="E161" authorId="2" shapeId="0" xr:uid="{83DEAB5A-4153-2D42-A250-E4D4071D256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$ 20.000,00 Vic. Académico</t>
        </r>
      </text>
    </comment>
    <comment ref="F161" authorId="3" shapeId="0" xr:uid="{9BFF358F-E9CA-6844-962D-B9B817A5973F}">
      <text>
        <r>
          <rPr>
            <b/>
            <sz val="9"/>
            <color rgb="FF000000"/>
            <rFont val="Tahoma"/>
            <family val="34"/>
          </rPr>
          <t>Valeria Ramon Capa:</t>
        </r>
        <r>
          <rPr>
            <sz val="9"/>
            <color rgb="FF000000"/>
            <rFont val="Tahoma"/>
            <family val="34"/>
          </rPr>
          <t xml:space="preserve">
</t>
        </r>
        <r>
          <rPr>
            <b/>
            <sz val="9"/>
            <color rgb="FF000000"/>
            <rFont val="Tahoma"/>
            <family val="2"/>
          </rPr>
          <t>Reforma 3:</t>
        </r>
        <r>
          <rPr>
            <sz val="9"/>
            <color rgb="FF000000"/>
            <rFont val="Tahoma"/>
            <family val="34"/>
          </rPr>
          <t xml:space="preserve">
</t>
        </r>
        <r>
          <rPr>
            <sz val="9"/>
            <color rgb="FF000000"/>
            <rFont val="Tahoma"/>
            <family val="34"/>
          </rPr>
          <t xml:space="preserve">Se redujo $30.000,00 a Vic. Académico por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$ 5.714,28 Vic. Académico por efecto de informe de seguimiento.</t>
        </r>
      </text>
    </comment>
    <comment ref="F162" authorId="2" shapeId="0" xr:uid="{03FFA9AF-FF42-5E4D-A410-A1FF1CD0AAD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$ 22.400,00 Vic. Académico</t>
        </r>
      </text>
    </comment>
    <comment ref="E163" authorId="2" shapeId="0" xr:uid="{742CEFF7-20E5-BA41-ADE9-84930225BFA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$ 34.151,28 Dir. Formación Profesional</t>
        </r>
      </text>
    </comment>
    <comment ref="F163" authorId="1" shapeId="0" xr:uid="{3966D673-CBEE-3B4B-8A0E-4784F75CF333}">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$ 35.211,30 Dir. Formación Profesional por efecto de informe de seguimiento.</t>
        </r>
      </text>
    </comment>
    <comment ref="E164" authorId="5" shapeId="0" xr:uid="{EB03A717-BE55-1A48-BBC3-F16EDD4973B4}">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$ 4.000,00-0,63 según memo N</t>
        </r>
        <r>
          <rPr>
            <sz val="9"/>
            <color rgb="FF000000"/>
            <rFont val="Tahoma"/>
            <family val="2"/>
          </rPr>
          <t>°</t>
        </r>
        <r>
          <rPr>
            <sz val="9"/>
            <color rgb="FF000000"/>
            <rFont val="Tahoma"/>
            <family val="2"/>
          </rPr>
          <t xml:space="preserve"> DTIC-2023-0088-M_04052023</t>
        </r>
      </text>
    </comment>
    <comment ref="F164" authorId="2" shapeId="0" xr:uid="{6863AA61-A32C-044C-9C8C-BE73868BA07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$ 10.640,00 DTIC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$ 4.352,39 según memo N</t>
        </r>
        <r>
          <rPr>
            <sz val="9"/>
            <color rgb="FF000000"/>
            <rFont val="Tahoma"/>
            <family val="2"/>
          </rPr>
          <t>°</t>
        </r>
        <r>
          <rPr>
            <sz val="9"/>
            <color rgb="FF000000"/>
            <rFont val="Tahoma"/>
            <family val="2"/>
          </rPr>
          <t xml:space="preserve"> DTIC-2023-0088-M_04052023</t>
        </r>
      </text>
    </comment>
    <comment ref="E165" authorId="3" shapeId="0" xr:uid="{B18FE8E0-C124-FB43-B2AF-CAB64792544E}">
      <text>
        <r>
          <rPr>
            <b/>
            <sz val="10"/>
            <color rgb="FF000000"/>
            <rFont val="Tahoma"/>
            <family val="2"/>
          </rPr>
          <t xml:space="preserve">Valeria Ramon Capa:
</t>
        </r>
        <r>
          <rPr>
            <b/>
            <sz val="10"/>
            <color rgb="FF000000"/>
            <rFont val="Tahoma"/>
            <family val="2"/>
          </rPr>
          <t xml:space="preserve">
</t>
        </r>
        <r>
          <rPr>
            <sz val="10"/>
            <color rgb="FF000000"/>
            <rFont val="Tahoma"/>
            <family val="2"/>
          </rPr>
          <t xml:space="preserve">Reforma N 3:
</t>
        </r>
        <r>
          <rPr>
            <sz val="10"/>
            <color rgb="FF000000"/>
            <rFont val="Tahoma"/>
            <family val="2"/>
          </rPr>
          <t xml:space="preserve">Se incrementa $157,33 de fondo de caja chica de FCA </t>
        </r>
      </text>
    </comment>
    <comment ref="F166" authorId="3" shapeId="0" xr:uid="{983E2600-E3C7-9D41-9A8C-A36A224C5AF8}">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reduce $1.509,87 según memo N</t>
        </r>
        <r>
          <rPr>
            <sz val="9"/>
            <color rgb="FF000000"/>
            <rFont val="Tahoma"/>
            <family val="2"/>
          </rPr>
          <t>°</t>
        </r>
        <r>
          <rPr>
            <sz val="9"/>
            <color rgb="FF000000"/>
            <rFont val="Tahoma"/>
            <family val="2"/>
          </rPr>
          <t xml:space="preserve"> UTMACH-DIPOS-2023-0160-M_19052023</t>
        </r>
      </text>
    </comment>
    <comment ref="E167" authorId="3" shapeId="0" xr:uid="{2CFECEB5-0615-7842-A3BC-342602D5BB97}">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$157,34 por distribución de fondo de caja chica de la FCA - correo 13062023</t>
        </r>
      </text>
    </comment>
    <comment ref="F167" authorId="2" shapeId="0" xr:uid="{E89A8EF8-79DF-C14B-9994-ED27784819C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$ 7.260,96 FCS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$ 1.194,00 FCA por efecto de informe de seguimiento (Certi. N</t>
        </r>
        <r>
          <rPr>
            <sz val="9"/>
            <color rgb="FF000000"/>
            <rFont val="Tahoma"/>
            <family val="2"/>
          </rPr>
          <t>°</t>
        </r>
        <r>
          <rPr>
            <sz val="9"/>
            <color rgb="FF000000"/>
            <rFont val="Tahoma"/>
            <family val="2"/>
          </rPr>
          <t xml:space="preserve"> 259).</t>
        </r>
      </text>
    </comment>
    <comment ref="E168" authorId="3" shapeId="0" xr:uid="{49BC2C2B-4DF7-B443-BB82-432A4BBD8D0E}">
      <text>
        <r>
          <rPr>
            <b/>
            <sz val="10"/>
            <color rgb="FF000000"/>
            <rFont val="Tahoma"/>
            <family val="2"/>
          </rPr>
          <t xml:space="preserve">Valeria Ramon Capa:
</t>
        </r>
        <r>
          <rPr>
            <b/>
            <sz val="10"/>
            <color rgb="FF000000"/>
            <rFont val="Tahoma"/>
            <family val="2"/>
          </rPr>
          <t>Reforma N 3:</t>
        </r>
        <r>
          <rPr>
            <sz val="10"/>
            <color rgb="FF000000"/>
            <rFont val="Tahoma"/>
            <family val="2"/>
          </rPr>
          <t xml:space="preserve">
</t>
        </r>
        <r>
          <rPr>
            <sz val="10"/>
            <color rgb="FF000000"/>
            <rFont val="Courier"/>
            <family val="1"/>
          </rPr>
          <t xml:space="preserve">Se incrementa $157,33 por distribución de fondo de caja chica de la FCA - correo 13062023
</t>
        </r>
      </text>
    </comment>
    <comment ref="F168" authorId="1" shapeId="0" xr:uid="{3363D670-CDC5-8541-BC84-858A55BBBD9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$ 327,68 según memo N</t>
        </r>
        <r>
          <rPr>
            <sz val="9"/>
            <color rgb="FF000000"/>
            <rFont val="Tahoma"/>
            <family val="2"/>
          </rPr>
          <t>°</t>
        </r>
        <r>
          <rPr>
            <sz val="9"/>
            <color rgb="FF000000"/>
            <rFont val="Tahoma"/>
            <family val="2"/>
          </rPr>
          <t xml:space="preserve"> FCA-D-2023-0249-M_05052023</t>
        </r>
      </text>
    </comment>
    <comment ref="E169" authorId="0" shapeId="0" xr:uid="{9F6ECDB6-5CA3-5E46-8F5E-7B28DCD61F4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$ 64.443,90 en el POA de DADM para atender memo nro. </t>
        </r>
        <r>
          <rPr>
            <sz val="10"/>
            <color rgb="FF000000"/>
            <rFont val="Arial"/>
            <family val="2"/>
          </rPr>
          <t>UTMACH-DADM-2023-0725-M.</t>
        </r>
      </text>
    </comment>
    <comment ref="E170" authorId="2" shapeId="0" xr:uid="{B9DC20C7-6A51-0C41-B4B3-6FBA71AE07D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F170" authorId="3" shapeId="0" xr:uid="{E8DC4EB0-2A2B-C241-80A9-7F53427BA6BF}">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reduce $2.280 a FCS por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$ 229,32 FCE según informe de seguimiento.</t>
        </r>
      </text>
    </comment>
    <comment ref="F171" authorId="4" shapeId="0" xr:uid="{1A99C30C-30E1-5343-8ADC-AB72BFDB369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$ 56,80 FCA por efecto de informe de seguimiento (Cert. N</t>
        </r>
        <r>
          <rPr>
            <sz val="9"/>
            <color rgb="FF000000"/>
            <rFont val="Tahoma"/>
            <family val="2"/>
          </rPr>
          <t>°</t>
        </r>
        <r>
          <rPr>
            <sz val="9"/>
            <color rgb="FF000000"/>
            <rFont val="Tahoma"/>
            <family val="2"/>
          </rPr>
          <t xml:space="preserve"> 202).</t>
        </r>
      </text>
    </comment>
    <comment ref="E173" authorId="2" shapeId="0" xr:uid="{88D26C55-F6B0-4742-AEC9-35A52E5C1EA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$ 231,46 de acuerdo al POA 2023 de la FCE presentado.</t>
        </r>
      </text>
    </comment>
    <comment ref="F174" authorId="1" shapeId="0" xr:uid="{CA6D7F8A-F104-D348-8ADF-48BB091554D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$ 2.755,31 según memo N</t>
        </r>
        <r>
          <rPr>
            <sz val="9"/>
            <color rgb="FF000000"/>
            <rFont val="Tahoma"/>
            <family val="2"/>
          </rPr>
          <t>°</t>
        </r>
        <r>
          <rPr>
            <sz val="9"/>
            <color rgb="FF000000"/>
            <rFont val="Tahoma"/>
            <family val="2"/>
          </rPr>
          <t xml:space="preserve"> FCS-D-2023-0460-M_23052023 y reunión de seguimiento de seguimiento, en virtud de oficio Nro. MEF-SP-2023-0501 para atender Memo Nro. 0399 de DADM.</t>
        </r>
      </text>
    </comment>
    <comment ref="F175" authorId="3" shapeId="0" xr:uid="{687B2536-0428-EC43-B7E7-2F0DB45EB75E}">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reduce $472 por solicitud de FCA vía Correo 12062023</t>
        </r>
      </text>
    </comment>
    <comment ref="E176" authorId="2" shapeId="0" xr:uid="{F36202D1-BEFC-EA42-A8F6-D34F145B274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$ 10.164,16, según Memorando N</t>
        </r>
        <r>
          <rPr>
            <sz val="9"/>
            <color rgb="FF000000"/>
            <rFont val="Tahoma"/>
            <family val="2"/>
          </rPr>
          <t>°</t>
        </r>
        <r>
          <rPr>
            <sz val="9"/>
            <color rgb="FF000000"/>
            <rFont val="Tahoma"/>
            <family val="2"/>
          </rPr>
          <t xml:space="preserve"> UTMACH-DBUAC-2023-0009-M del 10/01/2023</t>
        </r>
      </text>
    </comment>
    <comment ref="F176" authorId="4" shapeId="0" xr:uid="{9467704A-285C-BC41-B53F-CEB1668860A1}">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seguimiento.(Cert. N</t>
        </r>
        <r>
          <rPr>
            <sz val="9"/>
            <color rgb="FF000000"/>
            <rFont val="Tahoma"/>
            <family val="2"/>
          </rPr>
          <t>°</t>
        </r>
        <r>
          <rPr>
            <sz val="9"/>
            <color rgb="FF000000"/>
            <rFont val="Tahoma"/>
            <family val="2"/>
          </rPr>
          <t xml:space="preserve"> 149)</t>
        </r>
      </text>
    </comment>
    <comment ref="E177" authorId="2" shapeId="0" xr:uid="{5A5BCCD3-81F2-1140-9D69-450DC125942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$ 118.070,00 según Oficio N</t>
        </r>
        <r>
          <rPr>
            <sz val="9"/>
            <color rgb="FF000000"/>
            <rFont val="Tahoma"/>
            <family val="2"/>
          </rPr>
          <t>°</t>
        </r>
        <r>
          <rPr>
            <sz val="9"/>
            <color rgb="FF000000"/>
            <rFont val="Tahoma"/>
            <family val="2"/>
          </rPr>
          <t xml:space="preserve"> UTMACH-DBUAC-2023-0006-M del 06/En/2023, solo se atendió INCREMENTO NECESARIO PARA PAO 2023 -1 (5 MESES)</t>
        </r>
      </text>
    </comment>
    <comment ref="E179" authorId="2" shapeId="0" xr:uid="{E3FFAE7A-7EC4-6A47-A918-7BCCD7BFECF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$ 33.214,12 para Repotenciación de la Línea de Media Tensión 13200 VAC, en el Campus principal de la UTMACH. - UTMACH EP.</t>
        </r>
      </text>
    </comment>
    <comment ref="D180" authorId="3" shapeId="0" xr:uid="{8104BFC0-4DF4-E74A-A263-3F3B3BC42B94}">
      <text>
        <r>
          <rPr>
            <b/>
            <sz val="10"/>
            <color rgb="FF000000"/>
            <rFont val="Tahoma"/>
            <family val="2"/>
          </rPr>
          <t>Valeria Ramon Capa:</t>
        </r>
        <r>
          <rPr>
            <sz val="10"/>
            <color rgb="FF000000"/>
            <rFont val="Tahoma"/>
            <family val="2"/>
          </rPr>
          <t xml:space="preserve">
</t>
        </r>
        <r>
          <rPr>
            <sz val="10"/>
            <color rgb="FF000000"/>
            <rFont val="Tahoma"/>
            <family val="2"/>
          </rPr>
          <t>Este valor consta en el POA de Dirección administrativa</t>
        </r>
      </text>
    </comment>
    <comment ref="E181" authorId="0" shapeId="0" xr:uid="{E4F6AD0E-9A71-3C4A-B3EC-7D983C8C2F8B}">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$ 28.840,00 para la fiscalización de la ejecución del </t>
        </r>
        <r>
          <rPr>
            <sz val="10"/>
            <color rgb="FF000000"/>
            <rFont val="Arial"/>
            <family val="2"/>
          </rPr>
          <t>Proyecto de Inversión " Adecuación de infraestructura y equipamiento Universidad Técnica de Machala", en el POA de DADM.</t>
        </r>
      </text>
    </comment>
    <comment ref="E183" authorId="4" shapeId="0" xr:uid="{BE360451-6ED4-2546-A67C-76C2F41F25A8}">
      <text>
        <r>
          <rPr>
            <b/>
            <sz val="9"/>
            <color rgb="FF000000"/>
            <rFont val="Tahoma"/>
            <family val="2"/>
          </rPr>
          <t>Admin:</t>
        </r>
        <r>
          <rPr>
            <sz val="9"/>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4:
</t>
        </r>
        <r>
          <rPr>
            <sz val="8"/>
            <color rgb="FF000000"/>
            <rFont val="Tahoma"/>
            <family val="2"/>
          </rPr>
          <t xml:space="preserve">Se incrementa $ 639.186,31 por cambio de partida del </t>
        </r>
        <r>
          <rPr>
            <sz val="8"/>
            <color rgb="FF000000"/>
            <rFont val="Arial"/>
            <family val="2"/>
          </rPr>
          <t>Proyecto de Inversión " Adecuación de infraestructura y equipamiento Universidad Técnica de Machala", en el POA de DADM</t>
        </r>
      </text>
    </comment>
    <comment ref="E184" authorId="1" shapeId="0" xr:uid="{AE8430E8-E5CA-2F45-AC4F-2213CEF28421}">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$ 1.052,80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Se incrementó $87,40 según memo DAC N 133_30052023 </t>
        </r>
      </text>
    </comment>
    <comment ref="F184" authorId="0" shapeId="0" xr:uid="{B5E5E2BA-1CCD-F84B-B1AD-A41EFDF1201A}">
      <text>
        <r>
          <rPr>
            <b/>
            <sz val="10"/>
            <color rgb="FF000000"/>
            <rFont val="Tahoma"/>
            <family val="2"/>
          </rPr>
          <t>Microsoft Office User:</t>
        </r>
        <r>
          <rPr>
            <sz val="10"/>
            <color rgb="FF000000"/>
            <rFont val="Tahoma"/>
            <family val="2"/>
          </rPr>
          <t xml:space="preserve">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reduce $ 87,40 en atención al memo nro. DAC-2023-0221-M.</t>
        </r>
      </text>
    </comment>
    <comment ref="E185" authorId="2" shapeId="0" xr:uid="{9FE55E82-5FED-DD47-A379-9B0EE92452C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$ 7.320,00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$ 11.505,18 según memo N</t>
        </r>
        <r>
          <rPr>
            <sz val="9"/>
            <color rgb="FF000000"/>
            <rFont val="Tahoma"/>
            <family val="2"/>
          </rPr>
          <t>°</t>
        </r>
        <r>
          <rPr>
            <sz val="9"/>
            <color rgb="FF000000"/>
            <rFont val="Tahoma"/>
            <family val="2"/>
          </rPr>
          <t xml:space="preserve"> FCS-D-2023-0460-M_23052023 y reunión de seguimiento</t>
        </r>
      </text>
    </comment>
    <comment ref="F185" authorId="3" shapeId="0" xr:uid="{0A7C81EA-F657-4045-AC4F-B23DB41E80D7}">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$4.000,00 a FCS por seguimiento y en virtud de oficio Nro. MEF-SP-2023-0501 para atender Memo Nro. 0399 de DADM.</t>
        </r>
      </text>
    </comment>
    <comment ref="E186" authorId="1" shapeId="0" xr:uid="{1BA7EDA1-8282-AA41-A38F-10F3AB334FED}">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FIC-D-2023-0217-M_09052023</t>
        </r>
      </text>
    </comment>
    <comment ref="F186" authorId="2" shapeId="0" xr:uid="{C14AD746-575D-C24D-BF37-BC43B6F62EE0}">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$ 1.176.733,21 para Py Inversión FIC.
</t>
        </r>
        <r>
          <rPr>
            <sz val="9"/>
            <color rgb="FF000000"/>
            <rFont val="Tahoma"/>
            <family val="2"/>
          </rPr>
          <t xml:space="preserve">El saldo de  $ 2.000.000,00 para Py construcción e implementación del CRAI Dir. Administrativa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$ 2.000.000,00 para Py construcción e implementación del CRAI Dir. Administrativa+81.527,83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reduce $ 2.075.957,83 por cambio de programa presupuestario del 82 al 83 del proyecto del CRAI</t>
        </r>
      </text>
    </comment>
    <comment ref="E187" authorId="2" shapeId="0" xr:uid="{17D89ED1-9945-9B4E-9870-9051C7A3F42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$ 1.700,00 para lentes de cámara por disposición del Director DPLAN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5.709,60 FCS
</t>
        </r>
        <r>
          <rPr>
            <sz val="9"/>
            <color rgb="FF000000"/>
            <rFont val="Tahoma"/>
            <family val="2"/>
          </rPr>
          <t xml:space="preserve">2.251,20 DTIC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$ 1097,60 en el POA DPOS para atender el memo DIPOS-2023-237-M.</t>
        </r>
      </text>
    </comment>
    <comment ref="F187" authorId="2" shapeId="0" xr:uid="{F6CD76AD-BB5A-7248-BF36-AE7AC21129A3}">
      <text>
        <r>
          <rPr>
            <b/>
            <sz val="9"/>
            <color rgb="FF000000"/>
            <rFont val="Tahoma"/>
            <family val="2"/>
          </rPr>
          <t>HP:</t>
        </r>
        <r>
          <rPr>
            <sz val="9"/>
            <color rgb="FF000000"/>
            <rFont val="Tahoma"/>
            <family val="2"/>
          </rPr>
          <t xml:space="preserve">
</t>
        </r>
        <r>
          <rPr>
            <sz val="8"/>
            <color rgb="FF000000"/>
            <rFont val="+mn-lt"/>
            <charset val="1"/>
          </rPr>
          <t>Reforma N</t>
        </r>
        <r>
          <rPr>
            <sz val="8"/>
            <color rgb="FF000000"/>
            <rFont val="Tahoma"/>
            <family val="2"/>
          </rPr>
          <t>°</t>
        </r>
        <r>
          <rPr>
            <sz val="8"/>
            <color rgb="FF000000"/>
            <rFont val="+mn-lt"/>
            <charset val="1"/>
          </rPr>
          <t xml:space="preserve"> 2:
</t>
        </r>
        <r>
          <rPr>
            <sz val="8"/>
            <color rgb="FF000000"/>
            <rFont val="+mn-lt"/>
            <charset val="1"/>
          </rPr>
          <t xml:space="preserve">Se redujo $ 22.296,96 Vic. Académico
</t>
        </r>
        <r>
          <rPr>
            <sz val="8"/>
            <color rgb="FF000000"/>
            <rFont val="+mn-lt"/>
            <charset val="1"/>
          </rPr>
          <t xml:space="preserve">$ 949.040,38-62852,68
</t>
        </r>
        <r>
          <rPr>
            <sz val="8"/>
            <color rgb="FF000000"/>
            <rFont val="+mn-lt"/>
            <charset val="1"/>
          </rPr>
          <t xml:space="preserve">
</t>
        </r>
        <r>
          <rPr>
            <b/>
            <sz val="8"/>
            <color rgb="FF000000"/>
            <rFont val="+mn-lt"/>
            <charset val="1"/>
          </rPr>
          <t>Reforma N</t>
        </r>
        <r>
          <rPr>
            <b/>
            <sz val="8"/>
            <color rgb="FF000000"/>
            <rFont val="Tahoma"/>
            <family val="2"/>
          </rPr>
          <t>°</t>
        </r>
        <r>
          <rPr>
            <b/>
            <sz val="8"/>
            <color rgb="FF000000"/>
            <rFont val="+mn-lt"/>
            <charset val="1"/>
          </rPr>
          <t xml:space="preserve"> 3:
</t>
        </r>
        <r>
          <rPr>
            <sz val="8"/>
            <color rgb="FF000000"/>
            <rFont val="+mn-lt"/>
            <charset val="1"/>
          </rPr>
          <t>Se redujo $ 62.852,68 según memo N</t>
        </r>
        <r>
          <rPr>
            <sz val="8"/>
            <color rgb="FF000000"/>
            <rFont val="Tahoma"/>
            <family val="2"/>
          </rPr>
          <t>°</t>
        </r>
        <r>
          <rPr>
            <sz val="8"/>
            <color rgb="FF000000"/>
            <rFont val="+mn-lt"/>
            <charset val="1"/>
          </rPr>
          <t xml:space="preserve"> DTIC-2023-0088-M_04052023
</t>
        </r>
        <r>
          <rPr>
            <sz val="8"/>
            <color rgb="FF000000"/>
            <rFont val="+mn-lt"/>
            <charset val="1"/>
          </rPr>
          <t xml:space="preserve">
</t>
        </r>
        <r>
          <rPr>
            <sz val="8"/>
            <color rgb="FF000000"/>
            <rFont val="+mn-lt"/>
            <charset val="1"/>
          </rPr>
          <t>Se redujo $ 4.384,60 según memo N</t>
        </r>
        <r>
          <rPr>
            <sz val="8"/>
            <color rgb="FF000000"/>
            <rFont val="Tahoma"/>
            <family val="2"/>
          </rPr>
          <t>°</t>
        </r>
        <r>
          <rPr>
            <sz val="8"/>
            <color rgb="FF000000"/>
            <rFont val="+mn-lt"/>
            <charset val="1"/>
          </rPr>
          <t xml:space="preserve"> FCS-D-2023-0460-M_23052023
</t>
        </r>
        <r>
          <rPr>
            <sz val="8"/>
            <color rgb="FF000000"/>
            <rFont val="+mn-lt"/>
            <charset val="1"/>
          </rPr>
          <t xml:space="preserve">
</t>
        </r>
        <r>
          <rPr>
            <sz val="8"/>
            <color rgb="FF000000"/>
            <rFont val="+mn-lt"/>
            <charset val="1"/>
          </rPr>
          <t>Se redujo $ 13.686,40, para atender memo N</t>
        </r>
        <r>
          <rPr>
            <sz val="8"/>
            <color rgb="FF000000"/>
            <rFont val="+mn-lt"/>
            <charset val="1"/>
          </rPr>
          <t>°</t>
        </r>
        <r>
          <rPr>
            <sz val="8"/>
            <color rgb="FF000000"/>
            <rFont val="+mn-lt"/>
            <charset val="1"/>
          </rPr>
          <t xml:space="preserve"> DBUAC-2023-0318-M_22052023
</t>
        </r>
        <r>
          <rPr>
            <sz val="8"/>
            <color rgb="FF000000"/>
            <rFont val="+mn-lt"/>
            <charset val="1"/>
          </rPr>
          <t xml:space="preserve">
</t>
        </r>
        <r>
          <rPr>
            <sz val="8"/>
            <color rgb="FF000000"/>
            <rFont val="+mn-lt"/>
            <charset val="1"/>
          </rPr>
          <t xml:space="preserve">Se redujo $ 13.405,61+6.776,00 para atender memo N 0604 FCQS_25052023
</t>
        </r>
        <r>
          <rPr>
            <sz val="8"/>
            <color rgb="FF000000"/>
            <rFont val="+mn-lt"/>
            <charset val="1"/>
          </rPr>
          <t xml:space="preserve">
</t>
        </r>
        <r>
          <rPr>
            <sz val="8"/>
            <color rgb="FF000000"/>
            <rFont val="+mn-lt"/>
            <charset val="1"/>
          </rPr>
          <t>Se redujo $ 15.879,05 para atender memo N</t>
        </r>
        <r>
          <rPr>
            <sz val="8"/>
            <color rgb="FF000000"/>
            <rFont val="+mn-lt"/>
            <charset val="1"/>
          </rPr>
          <t>°</t>
        </r>
        <r>
          <rPr>
            <sz val="8"/>
            <color rgb="FF000000"/>
            <rFont val="+mn-lt"/>
            <charset val="1"/>
          </rPr>
          <t xml:space="preserve"> DBUAC-2023-0124-M_03032023
</t>
        </r>
        <r>
          <rPr>
            <sz val="8"/>
            <color rgb="FF000000"/>
            <rFont val="+mn-lt"/>
            <charset val="1"/>
          </rPr>
          <t xml:space="preserve">
</t>
        </r>
        <r>
          <rPr>
            <sz val="8"/>
            <color rgb="FF000000"/>
            <rFont val="+mn-lt"/>
            <charset val="1"/>
          </rPr>
          <t xml:space="preserve">Se redujo $1620 por cuadre de fuente
</t>
        </r>
        <r>
          <rPr>
            <sz val="8"/>
            <color rgb="FF000000"/>
            <rFont val="+mn-lt"/>
            <charset val="1"/>
          </rPr>
          <t xml:space="preserve">
</t>
        </r>
        <r>
          <rPr>
            <sz val="8"/>
            <color rgb="FF000000"/>
            <rFont val="+mn-lt"/>
            <charset val="1"/>
          </rPr>
          <t xml:space="preserve">Se redujo $ 39.637,92 para cartera de proyectos de inversión 2023 - 83 840104 003
</t>
        </r>
        <r>
          <rPr>
            <sz val="8"/>
            <color rgb="FF000000"/>
            <rFont val="+mn-lt"/>
            <charset val="1"/>
          </rPr>
          <t xml:space="preserve">
</t>
        </r>
        <r>
          <rPr>
            <sz val="8"/>
            <color rgb="FF000000"/>
            <rFont val="+mn-lt"/>
            <charset val="1"/>
          </rPr>
          <t xml:space="preserve">Se redujo $10.080,00 para cartera de proyectos de inversión 2023 - 83 840107 003
</t>
        </r>
        <r>
          <rPr>
            <sz val="8"/>
            <color rgb="FF000000"/>
            <rFont val="+mn-lt"/>
            <charset val="1"/>
          </rPr>
          <t xml:space="preserve">
</t>
        </r>
        <r>
          <rPr>
            <sz val="8"/>
            <color rgb="FF000000"/>
            <rFont val="+mn-lt"/>
            <charset val="1"/>
          </rPr>
          <t xml:space="preserve">Se reduce $5.824 para reestablecer computadoras en TICS
</t>
        </r>
        <r>
          <rPr>
            <sz val="8"/>
            <color rgb="FF000000"/>
            <rFont val="+mn-lt"/>
            <charset val="1"/>
          </rPr>
          <t xml:space="preserve">
</t>
        </r>
        <r>
          <rPr>
            <sz val="8"/>
            <color rgb="FF000000"/>
            <rFont val="+mn-lt"/>
            <charset val="1"/>
          </rPr>
          <t xml:space="preserve">Se reduce $268,73 por cuadre de fuente 
</t>
        </r>
        <r>
          <rPr>
            <sz val="8"/>
            <color rgb="FF000000"/>
            <rFont val="+mn-lt"/>
            <charset val="1"/>
          </rPr>
          <t xml:space="preserve">
</t>
        </r>
        <r>
          <rPr>
            <sz val="8"/>
            <color rgb="FF000000"/>
            <rFont val="+mn-lt"/>
            <charset val="1"/>
          </rPr>
          <t xml:space="preserve">Reforma Nro. 004:
</t>
        </r>
        <r>
          <rPr>
            <sz val="8"/>
            <color rgb="FF000000"/>
            <rFont val="+mn-lt"/>
            <charset val="1"/>
          </rPr>
          <t xml:space="preserve">
</t>
        </r>
        <r>
          <rPr>
            <sz val="8"/>
            <color rgb="FF000000"/>
            <rFont val="+mn-lt"/>
            <charset val="1"/>
          </rPr>
          <t xml:space="preserve">Se reduce $ 2251,20 en el POA de DTIC y se trasladan al POa de DADM en atención al </t>
        </r>
        <r>
          <rPr>
            <sz val="8"/>
            <color rgb="FF000000"/>
            <rFont val="+mn-lt"/>
            <charset val="1"/>
          </rPr>
          <t>Memorando nro. UTMACH-DADM-UCP-2023-1143-M.</t>
        </r>
      </text>
    </comment>
    <comment ref="E188" authorId="2" shapeId="0" xr:uid="{9892EA4E-36E0-E940-BBC8-1902859E251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$ 41.623,28 para pago de contrato de año anterior por adquisición e instalación de equipos de climatización. Dir. Administrativa.</t>
        </r>
      </text>
    </comment>
    <comment ref="E189" authorId="2" shapeId="0" xr:uid="{5B9ACA04-FB89-754B-AE9E-A596A2B61E4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13.831,48 para Repotenciación de la Línea de Media Tensión 13200 VAC, en el Campus principal de la UTMACH. - UTMACH EP</t>
        </r>
      </text>
    </comment>
    <comment ref="D190" authorId="3" shapeId="0" xr:uid="{39042351-9434-7B40-B29A-36327909A226}">
      <text>
        <r>
          <rPr>
            <b/>
            <sz val="10"/>
            <color rgb="FF000000"/>
            <rFont val="Tahoma"/>
            <family val="2"/>
          </rPr>
          <t>Valeria Ramon Capa:</t>
        </r>
        <r>
          <rPr>
            <sz val="10"/>
            <color rgb="FF000000"/>
            <rFont val="Tahoma"/>
            <family val="2"/>
          </rPr>
          <t xml:space="preserve">
</t>
        </r>
        <r>
          <rPr>
            <sz val="10"/>
            <color rgb="FF000000"/>
            <rFont val="Courier"/>
            <family val="1"/>
          </rPr>
          <t>Este valor consta en el POA de Dirección administrativa</t>
        </r>
      </text>
    </comment>
    <comment ref="E191" authorId="5" shapeId="0" xr:uid="{34EA9B23-25B1-354A-BDF2-2E0561F0DD69}">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$ 2.897,97 conforme archivo POA 2023.
</t>
        </r>
        <r>
          <rPr>
            <sz val="9"/>
            <color rgb="FF000000"/>
            <rFont val="Tahoma"/>
            <family val="2"/>
          </rPr>
          <t xml:space="preserve">
</t>
        </r>
        <r>
          <rPr>
            <sz val="9"/>
            <color rgb="FF000000"/>
            <rFont val="Tahoma"/>
            <family val="2"/>
          </rPr>
          <t xml:space="preserve">Se incrementó $ 8.505,49 de acuerdo al POA 2023 de la FCE presentado.
</t>
        </r>
        <r>
          <rPr>
            <sz val="9"/>
            <color rgb="FF000000"/>
            <rFont val="Tahoma"/>
            <family val="2"/>
          </rPr>
          <t xml:space="preserve">
</t>
        </r>
        <r>
          <rPr>
            <sz val="9"/>
            <color rgb="FF000000"/>
            <rFont val="Tahoma"/>
            <family val="2"/>
          </rPr>
          <t xml:space="preserve">En el POA quedó:
</t>
        </r>
        <r>
          <rPr>
            <sz val="9"/>
            <color rgb="FF000000"/>
            <rFont val="Tahoma"/>
            <family val="2"/>
          </rPr>
          <t xml:space="preserve">1.867,77 DIPOS
</t>
        </r>
        <r>
          <rPr>
            <sz val="9"/>
            <color rgb="FF000000"/>
            <rFont val="Tahoma"/>
            <family val="2"/>
          </rPr>
          <t xml:space="preserve">1.030,20 FCA
</t>
        </r>
        <r>
          <rPr>
            <sz val="9"/>
            <color rgb="FF000000"/>
            <rFont val="Tahoma"/>
            <family val="2"/>
          </rPr>
          <t xml:space="preserve">8.505,49 FCE
</t>
        </r>
        <r>
          <rPr>
            <sz val="9"/>
            <color rgb="FF000000"/>
            <rFont val="Tahoma"/>
            <family val="2"/>
          </rPr>
          <t xml:space="preserve">1.310,60 FCQS
</t>
        </r>
        <r>
          <rPr>
            <sz val="9"/>
            <color rgb="FF000000"/>
            <rFont val="Tahoma"/>
            <family val="2"/>
          </rPr>
          <t xml:space="preserve">
</t>
        </r>
        <r>
          <rPr>
            <b/>
            <sz val="9"/>
            <color rgb="FF000000"/>
            <rFont val="Tahoma"/>
            <family val="2"/>
          </rPr>
          <t xml:space="preserve">Reforma N 3:
</t>
        </r>
        <r>
          <rPr>
            <sz val="9"/>
            <color rgb="FF000000"/>
            <rFont val="Tahoma"/>
            <family val="2"/>
          </rPr>
          <t>Se incrementó $1.146,32 según memo N</t>
        </r>
        <r>
          <rPr>
            <sz val="9"/>
            <color rgb="FF000000"/>
            <rFont val="Tahoma"/>
            <family val="2"/>
          </rPr>
          <t>°</t>
        </r>
        <r>
          <rPr>
            <sz val="9"/>
            <color rgb="FF000000"/>
            <rFont val="Tahoma"/>
            <family val="2"/>
          </rPr>
          <t xml:space="preserve"> UTMACH-DIPOS-2023-0160-M_19052023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$ 500,00 según memo N</t>
        </r>
        <r>
          <rPr>
            <sz val="9"/>
            <color rgb="FF000000"/>
            <rFont val="Tahoma"/>
            <family val="2"/>
          </rPr>
          <t>°</t>
        </r>
        <r>
          <rPr>
            <sz val="9"/>
            <color rgb="FF000000"/>
            <rFont val="Tahoma"/>
            <family val="2"/>
          </rPr>
          <t xml:space="preserve"> UTMACH-FCA-D-2023-0571-M_28072023 para compra de scaner.</t>
        </r>
      </text>
    </comment>
    <comment ref="F191" authorId="3" shapeId="0" xr:uid="{D7E486E2-52AA-9145-AC4E-F0C4044C6B86}">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reduce $380,46 y $133,28 según memo N</t>
        </r>
        <r>
          <rPr>
            <sz val="9"/>
            <color rgb="FF000000"/>
            <rFont val="Tahoma"/>
            <family val="2"/>
          </rPr>
          <t>°</t>
        </r>
        <r>
          <rPr>
            <sz val="9"/>
            <color rgb="FF000000"/>
            <rFont val="Tahoma"/>
            <family val="2"/>
          </rPr>
          <t xml:space="preserve"> UTMACH-DIPOS-2023-0160-M_19052023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$ 1.930,27 FCE según informe de seguimiento.
</t>
        </r>
        <r>
          <rPr>
            <sz val="9"/>
            <color rgb="FF000000"/>
            <rFont val="Tahoma"/>
            <family val="2"/>
          </rPr>
          <t xml:space="preserve">
</t>
        </r>
        <r>
          <rPr>
            <sz val="9"/>
            <color rgb="FF000000"/>
            <rFont val="Tahoma"/>
            <family val="2"/>
          </rPr>
          <t>Se redujo $ 1097,60 en el POA de DPOS para atender pedido del memo DIPOS-2023-237-M</t>
        </r>
      </text>
    </comment>
    <comment ref="E192" authorId="0" shapeId="0" xr:uid="{31FA6FB1-BA35-E440-AA70-8CE67DF47741}">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Incremento de $ </t>
        </r>
        <r>
          <rPr>
            <b/>
            <sz val="10"/>
            <color rgb="FF000000"/>
            <rFont val="Calibri"/>
            <family val="2"/>
          </rPr>
          <t xml:space="preserve">369,966.00 </t>
        </r>
        <r>
          <rPr>
            <sz val="10"/>
            <color rgb="FF000000"/>
            <rFont val="Arial"/>
            <family val="2"/>
          </rPr>
          <t xml:space="preserve">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t>
        </r>
        <r>
          <rPr>
            <sz val="10"/>
            <color rgb="FF000000"/>
            <rFont val="Calibri"/>
            <family val="2"/>
          </rPr>
          <t>Memorando nro. UTMACH-DADM-UOIFM-2023-0240-M.</t>
        </r>
      </text>
    </comment>
    <comment ref="E193" authorId="2" shapeId="0" xr:uid="{A690F2CF-24EB-1B43-9494-E210643C5E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$ 75.610,11 que vino de la la partida N</t>
        </r>
        <r>
          <rPr>
            <sz val="9"/>
            <color rgb="FF000000"/>
            <rFont val="Tahoma"/>
            <family val="2"/>
          </rPr>
          <t>°</t>
        </r>
        <r>
          <rPr>
            <sz val="9"/>
            <color rgb="FF000000"/>
            <rFont val="Tahoma"/>
            <family val="2"/>
          </rPr>
          <t xml:space="preserve"> 990101 0701 003 Obligaciones de Ejercicios Anteriores en Personal del programa 01.
</t>
        </r>
        <r>
          <rPr>
            <sz val="9"/>
            <color rgb="FF000000"/>
            <rFont val="Tahoma"/>
            <family val="2"/>
          </rPr>
          <t xml:space="preserve">
</t>
        </r>
        <r>
          <rPr>
            <sz val="9"/>
            <color rgb="FF000000"/>
            <rFont val="Tahoma"/>
            <family val="2"/>
          </rPr>
          <t xml:space="preserve">Se incrementó $ 40.000,00 para liquidaciones de haberes, trabajadores y ex servidores.
</t>
        </r>
        <r>
          <rPr>
            <sz val="9"/>
            <color rgb="FF000000"/>
            <rFont val="Tahoma"/>
            <family val="2"/>
          </rPr>
          <t xml:space="preserve">Se incrementó $ 10.000,00 para liquidaciones de docentes.
</t>
        </r>
        <r>
          <rPr>
            <sz val="9"/>
            <color rgb="FF000000"/>
            <rFont val="Tahoma"/>
            <family val="2"/>
          </rPr>
          <t xml:space="preserve">$ 13.000,00 para pago a VASQUEZ FLORES JOSE ALBERTO
</t>
        </r>
        <r>
          <rPr>
            <sz val="9"/>
            <color rgb="FF000000"/>
            <rFont val="Tahoma"/>
            <family val="2"/>
          </rPr>
          <t xml:space="preserve">$ 6.000,00 para pago a BURGOS BURGOS JHON
</t>
        </r>
        <r>
          <rPr>
            <sz val="9"/>
            <color rgb="FF000000"/>
            <rFont val="Tahoma"/>
            <family val="2"/>
          </rPr>
          <t xml:space="preserve">
</t>
        </r>
        <r>
          <rPr>
            <sz val="9"/>
            <color rgb="FF000000"/>
            <rFont val="Tahoma"/>
            <family val="2"/>
          </rPr>
          <t>Se incrementó $ 5000+15.000,00 para cubrir liquidaciones por juicios en la partida N</t>
        </r>
        <r>
          <rPr>
            <sz val="9"/>
            <color rgb="FF000000"/>
            <rFont val="Tahoma"/>
            <family val="2"/>
          </rPr>
          <t>°</t>
        </r>
        <r>
          <rPr>
            <sz val="9"/>
            <color rgb="FF000000"/>
            <rFont val="Tahoma"/>
            <family val="2"/>
          </rPr>
          <t xml:space="preserve"> 990101 0701 003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$ 60.000,00 atendiendo al memo N</t>
        </r>
        <r>
          <rPr>
            <sz val="9"/>
            <color rgb="FF000000"/>
            <rFont val="Tahoma"/>
            <family val="2"/>
          </rPr>
          <t>°</t>
        </r>
        <r>
          <rPr>
            <sz val="9"/>
            <color rgb="FF000000"/>
            <rFont val="Tahoma"/>
            <family val="2"/>
          </rPr>
          <t xml:space="preserve"> UTMACH-DF-2023-0197-M_20052023
</t>
        </r>
        <r>
          <rPr>
            <sz val="9"/>
            <color rgb="FF000000"/>
            <rFont val="Tahoma"/>
            <family val="2"/>
          </rPr>
          <t xml:space="preserve">Se incrementó $50.000,00 a Dfin para cubrir necesidad por juicio, notificado verbalmente por parte del Procurador a Dirección Financiera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$ 4.000,00 para financiar pago de docentes que podrían terminar sus licencias sin remuneración</t>
        </r>
      </text>
    </comment>
    <comment ref="E199" authorId="2" shapeId="0" xr:uid="{D0C21C17-66DD-A54E-B85C-40C2578B545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$ 8.609,16 por contrato año anterior por servicio de implementación de una Red Wifi - TELCONET - TIC
</t>
        </r>
        <r>
          <rPr>
            <sz val="9"/>
            <color rgb="FF000000"/>
            <rFont val="Tahoma"/>
            <family val="2"/>
          </rPr>
          <t>$ 59.717,94 Servicio de internet CEDIA TIC</t>
        </r>
      </text>
    </comment>
    <comment ref="F199" authorId="5" shapeId="0" xr:uid="{E5719FB0-A180-074C-8355-0BCAD4C79762}">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$ 49.750,97 según memo N</t>
        </r>
        <r>
          <rPr>
            <sz val="9"/>
            <color rgb="FF000000"/>
            <rFont val="Tahoma"/>
            <family val="2"/>
          </rPr>
          <t>°</t>
        </r>
        <r>
          <rPr>
            <sz val="9"/>
            <color rgb="FF000000"/>
            <rFont val="Tahoma"/>
            <family val="2"/>
          </rPr>
          <t xml:space="preserve"> DTIC-2023-0088-M_04052023</t>
        </r>
      </text>
    </comment>
    <comment ref="E200" authorId="0" shapeId="0" xr:uid="{BF76BC94-5E27-674B-A3D5-7769FC2F18D0}">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$ 1898,86 en el POA de VIVP en atención parcial al memo nro. VINVIP-2023-0220-M
</t>
        </r>
        <r>
          <rPr>
            <sz val="10"/>
            <color rgb="FF000000"/>
            <rFont val="Tahoma"/>
            <family val="2"/>
          </rPr>
          <t xml:space="preserve">
</t>
        </r>
        <r>
          <rPr>
            <sz val="10"/>
            <color rgb="FF000000"/>
            <rFont val="Tahoma"/>
            <family val="2"/>
          </rPr>
          <t xml:space="preserve">Se incrementa $ 2.000,00 para atender </t>
        </r>
        <r>
          <rPr>
            <sz val="10"/>
            <color rgb="FF000000"/>
            <rFont val="Calibri"/>
            <family val="2"/>
          </rPr>
          <t>Memorando nro. UTMACH-FCS-D-2023-0916-M.</t>
        </r>
      </text>
    </comment>
    <comment ref="F200" authorId="2" shapeId="0" xr:uid="{02B952F9-80F1-824C-AEBB-DA281B4FD51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$ 33.600,00 de acuerdo al 1er POA 2023 de la FCE presentado (por no estar desagregado).
</t>
        </r>
        <r>
          <rPr>
            <sz val="9"/>
            <color rgb="FF000000"/>
            <rFont val="Tahoma"/>
            <family val="2"/>
          </rPr>
          <t xml:space="preserve">
</t>
        </r>
        <r>
          <rPr>
            <sz val="9"/>
            <color rgb="FF000000"/>
            <rFont val="Tahoma"/>
            <family val="2"/>
          </rPr>
          <t xml:space="preserve">Se redujo $ 4.800,00 según adjunto de Vic. Investigación en e-mail enviado el 03/02/2023
</t>
        </r>
        <r>
          <rPr>
            <sz val="9"/>
            <color rgb="FF000000"/>
            <rFont val="Tahoma"/>
            <family val="2"/>
          </rPr>
          <t xml:space="preserve">
</t>
        </r>
        <r>
          <rPr>
            <sz val="9"/>
            <color rgb="FF000000"/>
            <rFont val="Tahoma"/>
            <family val="2"/>
          </rPr>
          <t xml:space="preserve">Se redujo $ 1.120,00 FIC
</t>
        </r>
        <r>
          <rPr>
            <sz val="9"/>
            <color rgb="FF000000"/>
            <rFont val="Tahoma"/>
            <family val="2"/>
          </rPr>
          <t xml:space="preserve">
</t>
        </r>
        <r>
          <rPr>
            <sz val="9"/>
            <color rgb="FF000000"/>
            <rFont val="Tahoma"/>
            <family val="2"/>
          </rPr>
          <t xml:space="preserve">Se redujo $ 33.600,00 FCQS
</t>
        </r>
        <r>
          <rPr>
            <sz val="9"/>
            <color rgb="FF000000"/>
            <rFont val="Tahoma"/>
            <family val="2"/>
          </rPr>
          <t xml:space="preserve">
</t>
        </r>
        <r>
          <rPr>
            <sz val="9"/>
            <color rgb="FF000000"/>
            <rFont val="Tahoma"/>
            <family val="2"/>
          </rPr>
          <t xml:space="preserve">En el POA quedó asi:
</t>
        </r>
        <r>
          <rPr>
            <sz val="9"/>
            <color rgb="FF000000"/>
            <rFont val="Tahoma"/>
            <family val="2"/>
          </rPr>
          <t xml:space="preserve">2.480,00 Vic. Investigación
</t>
        </r>
        <r>
          <rPr>
            <sz val="9"/>
            <color rgb="FF000000"/>
            <rFont val="Tahoma"/>
            <family val="2"/>
          </rPr>
          <t xml:space="preserve">168.000,00 DIDI
</t>
        </r>
        <r>
          <rPr>
            <sz val="9"/>
            <color rgb="FF000000"/>
            <rFont val="Tahoma"/>
            <family val="2"/>
          </rPr>
          <t xml:space="preserve">2.240,00 FCA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$2.240,00 a FCA en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$ 9.959,98 DIDI por efecto de informe de seguimiento.</t>
        </r>
      </text>
    </comment>
    <comment ref="E201" authorId="3" shapeId="0" xr:uid="{850FBBA9-0106-1644-9593-4EEEC18B7095}">
      <text>
        <r>
          <rPr>
            <b/>
            <sz val="9"/>
            <color rgb="FF000000"/>
            <rFont val="Tahoma"/>
            <family val="2"/>
          </rPr>
          <t xml:space="preserve">Valeria Ramon Capa: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
</t>
        </r>
        <r>
          <rPr>
            <sz val="9"/>
            <color rgb="FF000000"/>
            <rFont val="Tahoma"/>
            <family val="2"/>
          </rPr>
          <t xml:space="preserve">Se incrementa $ 2.352,00 en el POA del VIVP para atender el memo nro. VINVIP-2023-0220-M
</t>
        </r>
        <r>
          <rPr>
            <sz val="9"/>
            <color rgb="FF000000"/>
            <rFont val="Tahoma"/>
            <family val="2"/>
          </rPr>
          <t xml:space="preserve">
</t>
        </r>
        <r>
          <rPr>
            <sz val="9"/>
            <color rgb="FF000000"/>
            <rFont val="Tahoma"/>
            <family val="2"/>
          </rPr>
          <t>Se incrementa $ 5.000,00 en el POA de DIDI para financiamiento de la cartera de proyecto 2023</t>
        </r>
      </text>
    </comment>
    <comment ref="F201" authorId="3" shapeId="0" xr:uid="{E6EC1E15-2D4C-7142-BD7A-275CA79C8E44}">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02" authorId="2" shapeId="0" xr:uid="{98D32FEB-3C85-754C-84DE-B3D616303F8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$ 25.066,04 por contrato año anterior, para Renovación de garantías extendidas y soporte de fábrica para los equipos que conforman la Plataforma Flexpod - AKEA - DTIC</t>
        </r>
      </text>
    </comment>
    <comment ref="D203" authorId="3" shapeId="0" xr:uid="{3E6F2D50-2E4F-3D4F-B2F3-174E061B6C72}">
      <text>
        <r>
          <rPr>
            <b/>
            <sz val="10"/>
            <color rgb="FF000000"/>
            <rFont val="Tahoma"/>
            <family val="2"/>
          </rPr>
          <t>Valeria Ramon Capa:</t>
        </r>
        <r>
          <rPr>
            <sz val="10"/>
            <color rgb="FF000000"/>
            <rFont val="Tahoma"/>
            <family val="2"/>
          </rPr>
          <t xml:space="preserve">
</t>
        </r>
        <r>
          <rPr>
            <sz val="10"/>
            <color rgb="FF000000"/>
            <rFont val="Tahoma"/>
            <family val="2"/>
          </rPr>
          <t>Este valor se encuentra en el POA de TICS</t>
        </r>
      </text>
    </comment>
    <comment ref="E204" authorId="2" shapeId="0" xr:uid="{ECA58311-4FE2-F74A-8332-715090BE138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según Memorando N</t>
        </r>
        <r>
          <rPr>
            <sz val="9"/>
            <color rgb="FF000000"/>
            <rFont val="Tahoma"/>
            <family val="2"/>
          </rPr>
          <t>°</t>
        </r>
        <r>
          <rPr>
            <sz val="9"/>
            <color rgb="FF000000"/>
            <rFont val="Tahoma"/>
            <family val="2"/>
          </rPr>
          <t xml:space="preserve"> UTMACH-DIDI-2023-0053-M_02/02/2023.</t>
        </r>
      </text>
    </comment>
    <comment ref="E205" authorId="3" shapeId="0" xr:uid="{53E6198C-D07E-D34A-AFFF-ECDF8EE96144}">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E206" authorId="2" shapeId="0" xr:uid="{DAACE03A-F4CF-E443-9AD7-3F67DED0524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$ 10.000,00 según Memorando N</t>
        </r>
        <r>
          <rPr>
            <sz val="9"/>
            <color rgb="FF000000"/>
            <rFont val="Tahoma"/>
            <family val="2"/>
          </rPr>
          <t>°</t>
        </r>
        <r>
          <rPr>
            <sz val="9"/>
            <color rgb="FF000000"/>
            <rFont val="Tahoma"/>
            <family val="2"/>
          </rPr>
          <t xml:space="preserve"> UTMACH-DIDI-2023-0053-M_02/02/2023.</t>
        </r>
      </text>
    </comment>
    <comment ref="E208" authorId="0" shapeId="0" xr:uid="{10CAEC30-3382-D843-858D-E0B40CB2795A}">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$ 2.200,00 en el POA de DIDI para financiamiento de la cartera de proyecto 2023
</t>
        </r>
        <r>
          <rPr>
            <sz val="10"/>
            <color rgb="FF000000"/>
            <rFont val="Tahoma"/>
            <family val="2"/>
          </rPr>
          <t xml:space="preserve">
</t>
        </r>
        <r>
          <rPr>
            <sz val="10"/>
            <color rgb="FF000000"/>
            <rFont val="Tahoma"/>
            <family val="2"/>
          </rPr>
          <t xml:space="preserve">Se incrementa $ 1.000,00 para atender el memo nro. DF-UPSTO-2023-0786-M
</t>
        </r>
      </text>
    </comment>
    <comment ref="F208" authorId="4" shapeId="0" xr:uid="{78C325B1-E05B-7545-B1EE-CA17B71554A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$ 94,00 VIVP por efecto de informe de seguimiento.</t>
        </r>
      </text>
    </comment>
    <comment ref="E209" authorId="2" shapeId="0" xr:uid="{ED73D18F-67BC-BE4F-8323-B3E7587129C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E210" authorId="3" shapeId="0" xr:uid="{637E218D-9C0C-6548-8D45-4FD63603F858}">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incrementa $108.473,73 a FCS por cambio de fuente y en atención a FCS-D-2023-0460-M
</t>
        </r>
        <r>
          <rPr>
            <sz val="9"/>
            <color rgb="FF000000"/>
            <rFont val="Tahoma"/>
            <family val="2"/>
          </rPr>
          <t>-Se incrementa $25.760,00 movimiento de partida para egreso de forma adecuada en FCA</t>
        </r>
      </text>
    </comment>
    <comment ref="F210" authorId="2" shapeId="0" xr:uid="{11394EA4-AF9C-4F45-8A0A-7FCEB3ADBABE}">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reduce $ 24.512,00 FCS
</t>
        </r>
        <r>
          <rPr>
            <sz val="9"/>
            <color rgb="FF000000"/>
            <rFont val="Tahoma"/>
            <family val="2"/>
          </rPr>
          <t xml:space="preserve">$ 29.680,00 Rectorado
</t>
        </r>
        <r>
          <rPr>
            <sz val="9"/>
            <color rgb="FF000000"/>
            <rFont val="Tahoma"/>
            <family val="2"/>
          </rPr>
          <t xml:space="preserve">25.440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16.800,00 FCA
</t>
        </r>
        <r>
          <rPr>
            <sz val="9"/>
            <color rgb="FF000000"/>
            <rFont val="Tahoma"/>
            <family val="2"/>
          </rPr>
          <t xml:space="preserve">24.559,17 FCE
</t>
        </r>
        <r>
          <rPr>
            <b/>
            <sz val="9"/>
            <color rgb="FF000000"/>
            <rFont val="Tahoma"/>
            <family val="2"/>
          </rPr>
          <t xml:space="preserve">
</t>
        </r>
        <r>
          <rPr>
            <b/>
            <sz val="9"/>
            <color rgb="FF000000"/>
            <rFont val="Tahoma"/>
            <family val="2"/>
          </rPr>
          <t xml:space="preserve">Reforma N 3:
</t>
        </r>
        <r>
          <rPr>
            <sz val="9"/>
            <color rgb="FF000000"/>
            <rFont val="Tahoma"/>
            <family val="2"/>
          </rPr>
          <t xml:space="preserve">Se reduce $38.921,22 FCE por cuanto las reparaciones de edificaciones las realizará la aseguradora.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$ 104.473,73 FCS.
</t>
        </r>
        <r>
          <rPr>
            <sz val="9"/>
            <color rgb="FF000000"/>
            <rFont val="Tahoma"/>
            <family val="2"/>
          </rPr>
          <t xml:space="preserve">
</t>
        </r>
        <r>
          <rPr>
            <sz val="9"/>
            <color rgb="FF000000"/>
            <rFont val="Tahoma"/>
            <family val="2"/>
          </rPr>
          <t xml:space="preserve">Se redujo $ 210,00 FCA por efecto de informe de seguimiento.
</t>
        </r>
        <r>
          <rPr>
            <sz val="9"/>
            <color rgb="FF000000"/>
            <rFont val="Tahoma"/>
            <family val="2"/>
          </rPr>
          <t xml:space="preserve">
</t>
        </r>
        <r>
          <rPr>
            <sz val="9"/>
            <color rgb="FF000000"/>
            <rFont val="Tahoma"/>
            <family val="2"/>
          </rPr>
          <t>Se redujo $ 25.570 en el POA de FCA para atender el memo nro. FCA-D-2023-0593-M.</t>
        </r>
      </text>
    </comment>
    <comment ref="E211" authorId="3" shapeId="0" xr:uid="{9A6ECB34-8896-C74C-950A-9FD5493D75D4}">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$ 31.960,45 en el POA de FCA para atender el memo nro. FCA-D-2023-0617-M.</t>
        </r>
      </text>
    </comment>
    <comment ref="F211" authorId="3" shapeId="0" xr:uid="{B849DB4E-BCF2-E64B-97F1-1CD80210A451}">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12" authorId="2" shapeId="0" xr:uid="{3AF95432-5B0D-BF4D-9425-56C112DADC1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$ 13.648,02 FCQS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F212" authorId="3" shapeId="0" xr:uid="{299BBB9D-98C9-2B4E-8DEF-1B42AF4FB698}">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9"/>
            <color rgb="FF000000"/>
            <rFont val="Tahoma"/>
            <family val="2"/>
          </rPr>
          <t xml:space="preserve">Se reduce $13.648,00 a FCQS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$ 651,45 FIC por efecto de informe de seguimiento (Cert. N</t>
        </r>
        <r>
          <rPr>
            <sz val="9"/>
            <color rgb="FF000000"/>
            <rFont val="Tahoma"/>
            <family val="2"/>
          </rPr>
          <t>°</t>
        </r>
        <r>
          <rPr>
            <sz val="9"/>
            <color rgb="FF000000"/>
            <rFont val="Tahoma"/>
            <family val="2"/>
          </rPr>
          <t xml:space="preserve"> 274).</t>
        </r>
      </text>
    </comment>
    <comment ref="E213" authorId="2" shapeId="0" xr:uid="{29DC3C08-8FA5-F94A-88DE-504C4FC9829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incrementa $ 5.860,96 en el POA de DIDI para financiamiento de la cartera de proyecto 2023</t>
        </r>
      </text>
    </comment>
    <comment ref="F213" authorId="2" shapeId="0" xr:uid="{F95B7A72-DA16-454A-A716-6076E26802F0}">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$ 1.250,00 para Py Inversión FIC, que en el POA estaba en esta fuente de financiamiento 3
</t>
        </r>
        <r>
          <rPr>
            <sz val="9"/>
            <color rgb="FF000000"/>
            <rFont val="Tahoma"/>
            <family val="2"/>
          </rPr>
          <t xml:space="preserve">
</t>
        </r>
        <r>
          <rPr>
            <sz val="9"/>
            <color rgb="FF000000"/>
            <rFont val="Tahoma"/>
            <family val="2"/>
          </rPr>
          <t xml:space="preserve">Se redujo $ 22.400,00 de acuerdo al 1er POA 2023 de la FCE presentado (por no estar desagregado).
</t>
        </r>
        <r>
          <rPr>
            <sz val="9"/>
            <color rgb="FF000000"/>
            <rFont val="Tahoma"/>
            <family val="2"/>
          </rPr>
          <t xml:space="preserve">
</t>
        </r>
        <r>
          <rPr>
            <sz val="9"/>
            <color rgb="FF000000"/>
            <rFont val="Tahoma"/>
            <family val="2"/>
          </rPr>
          <t xml:space="preserve">Se redujo $ 18.703,99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10.208,48 DIDI
</t>
        </r>
        <r>
          <rPr>
            <sz val="9"/>
            <color rgb="FF000000"/>
            <rFont val="Tahoma"/>
            <family val="2"/>
          </rPr>
          <t xml:space="preserve">12.768,00 FCA
</t>
        </r>
        <r>
          <rPr>
            <sz val="9"/>
            <color rgb="FF000000"/>
            <rFont val="Tahoma"/>
            <family val="2"/>
          </rPr>
          <t xml:space="preserve">3.696,00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$ 10.208,48 DIDI por efecto de informe de seguimiento.</t>
        </r>
      </text>
    </comment>
    <comment ref="F214" authorId="3" shapeId="0" xr:uid="{6CB80D08-2A52-744D-BBE5-A37627E99E03}">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Se reduce $25.760,00 movimiento de partida para egreso de forma adecuada en FCA </t>
        </r>
      </text>
    </comment>
    <comment ref="F215" authorId="2" shapeId="0" xr:uid="{0EBB9609-AC89-1D47-AE86-A983FC749A79}">
      <text>
        <r>
          <rPr>
            <b/>
            <sz val="9"/>
            <color rgb="FF000000"/>
            <rFont val="Tahoma"/>
            <family val="2"/>
          </rPr>
          <t xml:space="preserve">HP: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06/06: Se redujo $17.500 a DTH por reunión de seguimiento y en virtud de oficio Nro. MEF-SP-2023-0501 para atender Memo Nro. 0399 de DADM</t>
        </r>
        <r>
          <rPr>
            <sz val="10"/>
            <color rgb="FF000000"/>
            <rFont val="Tahoma"/>
            <family val="34"/>
          </rPr>
          <t xml:space="preserve"> y en atención al memo 0764 DTH</t>
        </r>
      </text>
    </comment>
    <comment ref="E216" authorId="0" shapeId="0" xr:uid="{885FF9B9-C166-8B4F-8F67-E042E4950B46}">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$ 2.800,00 en el POA de DIDI para financiamiento de la cartera de proyecto 2023
</t>
        </r>
      </text>
    </comment>
    <comment ref="F216" authorId="4" shapeId="0" xr:uid="{62458549-D064-9C45-B450-6D9DF1B2EECA}">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$ 1.680,00 DIDI por efecto de informe de seguimiento.</t>
        </r>
      </text>
    </comment>
    <comment ref="E217" authorId="2" shapeId="0" xr:uid="{136DC611-7F45-8D40-906B-2E9AC559548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$ 4.800,00 según adjunto de Vic. Investigación en e-mail enviado el 03/02/2023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F217" authorId="3" shapeId="0" xr:uid="{5FE1FE60-25CC-A448-BB9F-243923F677F9}">
      <text>
        <r>
          <rPr>
            <b/>
            <sz val="9"/>
            <color rgb="FF000000"/>
            <rFont val="Tahoma"/>
            <family val="34"/>
          </rPr>
          <t>Valeria Ramon Capa:</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$4.800,00 a Vic. Investigación por seguimiento y en virtud de oficio Nro. MEF-SP-2023-0501 para atender Memo Nro. 0399 de DADM.</t>
        </r>
      </text>
    </comment>
    <comment ref="E218" authorId="2" shapeId="0" xr:uid="{5BE04443-B6A3-2846-BBCF-4B5C99AFE9D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$ 480,00 según adjunto de Vic. Investigación en e-mail enviado el 03/02/2023</t>
        </r>
      </text>
    </comment>
    <comment ref="F218" authorId="2" shapeId="0" xr:uid="{B13DD56E-9E1B-394D-8809-05D84843269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$ 12.320,00 Vic. Investigación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$480,00-150,00 a Vic. Investigación en reunión de seguimiento y en virtud de oficio Nro. MEF-SP-2023-0501 para atender Memo Nro. 0399 de DADM.
</t>
        </r>
      </text>
    </comment>
    <comment ref="E219" authorId="5" shapeId="0" xr:uid="{25988910-7FFF-B14F-B512-87E8DF7AB41A}">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F219" authorId="4" shapeId="0" xr:uid="{7B4EF65E-62A7-DD41-8404-742D9548992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$ 1.953,10 DTIC por efecto de informe de seguimiento.</t>
        </r>
      </text>
    </comment>
    <comment ref="E220" authorId="2" shapeId="0" xr:uid="{83A58949-7DB0-5645-B781-D7CA77EC9A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$ 5.544,00 de acuerdo al POA 2023 de la FCE presentado.
</t>
        </r>
        <r>
          <rPr>
            <sz val="9"/>
            <color rgb="FF000000"/>
            <rFont val="Tahoma"/>
            <family val="2"/>
          </rPr>
          <t xml:space="preserve">
</t>
        </r>
        <r>
          <rPr>
            <sz val="9"/>
            <color rgb="FF000000"/>
            <rFont val="Arial"/>
            <family val="2"/>
          </rPr>
          <t xml:space="preserve">Se incrementa $ 2.000,00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Reforma nro. 004:
</t>
        </r>
        <r>
          <rPr>
            <sz val="9"/>
            <color rgb="FF000000"/>
            <rFont val="Arial"/>
            <family val="2"/>
          </rPr>
          <t xml:space="preserve">
</t>
        </r>
        <r>
          <rPr>
            <sz val="9"/>
            <color rgb="FF000000"/>
            <rFont val="Arial"/>
            <family val="2"/>
          </rPr>
          <t xml:space="preserve">Se aumenta $ 7056,00 + $ </t>
        </r>
        <r>
          <rPr>
            <sz val="10"/>
            <color rgb="FF000000"/>
            <rFont val="Arial"/>
            <family val="2"/>
          </rPr>
          <t xml:space="preserve">4.360,68 + $ </t>
        </r>
        <r>
          <rPr>
            <b/>
            <sz val="10"/>
            <color rgb="FF000000"/>
            <rFont val="Arial"/>
            <family val="2"/>
          </rPr>
          <t xml:space="preserve">5.738,00 </t>
        </r>
        <r>
          <rPr>
            <sz val="9"/>
            <color rgb="FF000000"/>
            <rFont val="Arial"/>
            <family val="2"/>
          </rPr>
          <t xml:space="preserve"> en POA de DTIC en atención al memo nro. </t>
        </r>
        <r>
          <rPr>
            <sz val="10"/>
            <color rgb="FF000000"/>
            <rFont val="Calibri"/>
            <family val="2"/>
          </rPr>
          <t>UTMACH-DTIC-2023-0224-M.</t>
        </r>
      </text>
    </comment>
    <comment ref="F220" authorId="2" shapeId="0" xr:uid="{13F0D305-90DD-FF4E-A61F-87B5A5737C9C}">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redujo $ 3.500,00 según Memorando N</t>
        </r>
        <r>
          <rPr>
            <sz val="9"/>
            <color rgb="FF000000"/>
            <rFont val="Tahoma"/>
            <family val="2"/>
          </rPr>
          <t>°</t>
        </r>
        <r>
          <rPr>
            <sz val="9"/>
            <color rgb="FF000000"/>
            <rFont val="Tahoma"/>
            <family val="2"/>
          </rPr>
          <t xml:space="preserve"> UTMACH-DIDI-2023-0053-M_02/02/2023.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$ 11.200,00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$ 360,00 DIDI por efecto de informe de seguimiento.
</t>
        </r>
        <r>
          <rPr>
            <sz val="9"/>
            <color rgb="FF000000"/>
            <rFont val="Tahoma"/>
            <family val="2"/>
          </rPr>
          <t xml:space="preserve">
</t>
        </r>
        <r>
          <rPr>
            <sz val="9"/>
            <color rgb="FF000000"/>
            <rFont val="Tahoma"/>
            <family val="2"/>
          </rPr>
          <t xml:space="preserve">Se redujo $ 6.765,28 DTIC por efecto de informe de seguimiento.
</t>
        </r>
        <r>
          <rPr>
            <sz val="9"/>
            <color rgb="FF000000"/>
            <rFont val="Tahoma"/>
            <family val="2"/>
          </rPr>
          <t xml:space="preserve">
</t>
        </r>
        <r>
          <rPr>
            <sz val="9"/>
            <color rgb="FF000000"/>
            <rFont val="Tahoma"/>
            <family val="2"/>
          </rPr>
          <t xml:space="preserve">Se reduce $ 2.352,00 en el POA de VIVP en atención al memo nro. VINVIP-2023-0220-M
</t>
        </r>
        <r>
          <rPr>
            <sz val="9"/>
            <color rgb="FF000000"/>
            <rFont val="Tahoma"/>
            <family val="2"/>
          </rPr>
          <t xml:space="preserve">
</t>
        </r>
        <r>
          <rPr>
            <sz val="9"/>
            <color rgb="FF000000"/>
            <rFont val="Tahoma"/>
            <family val="2"/>
          </rPr>
          <t xml:space="preserve">Se reduce $ 1184,96 en el POA de DTIC en atención al memo nro. </t>
        </r>
        <r>
          <rPr>
            <sz val="10"/>
            <color rgb="FF000000"/>
            <rFont val="Arial"/>
            <family val="2"/>
            <scheme val="minor"/>
          </rPr>
          <t xml:space="preserve">UTMACH-DTIC-2023-0224-M.
</t>
        </r>
        <r>
          <rPr>
            <sz val="9"/>
            <color rgb="FF000000"/>
            <rFont val="Tahoma"/>
            <family val="2"/>
          </rPr>
          <t xml:space="preserve">
</t>
        </r>
        <r>
          <rPr>
            <sz val="9"/>
            <color rgb="FF000000"/>
            <rFont val="Tahoma"/>
            <family val="2"/>
          </rPr>
          <t xml:space="preserve">Se reduce $ 12732,16 en el POA de DTIC en atención al memo nro. </t>
        </r>
        <r>
          <rPr>
            <sz val="10"/>
            <color rgb="FF000000"/>
            <rFont val="Arial"/>
            <family val="2"/>
            <scheme val="minor"/>
          </rPr>
          <t>UTMACH-DTIC-2023-0224-M.</t>
        </r>
      </text>
    </comment>
    <comment ref="E221" authorId="2" shapeId="0" xr:uid="{A2C4927B-654F-4D4C-B201-A14F6AA4B62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 FCQS</t>
        </r>
      </text>
    </comment>
    <comment ref="F222" authorId="1" shapeId="0" xr:uid="{17EDB090-7299-5040-AD79-347D26FE614A}">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$ 530,00 según memo N</t>
        </r>
        <r>
          <rPr>
            <sz val="9"/>
            <color rgb="FF000000"/>
            <rFont val="Tahoma"/>
            <family val="2"/>
          </rPr>
          <t>°</t>
        </r>
        <r>
          <rPr>
            <sz val="9"/>
            <color rgb="FF000000"/>
            <rFont val="Tahoma"/>
            <family val="2"/>
          </rPr>
          <t xml:space="preserve"> DIDI-2023-0223-M_04052023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$ 590,00 DIDI por efecto de informe de seguimiento.</t>
        </r>
      </text>
    </comment>
    <comment ref="F223" authorId="3" shapeId="0" xr:uid="{A96C38A1-0C31-C44F-A77A-EBE0E9A20134}">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E225" authorId="2" shapeId="0" xr:uid="{A7347004-0C07-6947-83F9-8A9DF51A241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$ 620,58 FCQS</t>
        </r>
      </text>
    </comment>
    <comment ref="E226" authorId="2" shapeId="0" xr:uid="{B415564D-4E3B-5747-A366-CC16AD5C080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$ 672,00 FCQS</t>
        </r>
      </text>
    </comment>
    <comment ref="E228" authorId="2" shapeId="0" xr:uid="{B6B54F8E-F235-7147-966F-45507A79355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Arial"/>
            <family val="2"/>
          </rPr>
          <t xml:space="preserve">Se incrementa $ 2.500,00 en el POA de DIDI para financiamiento de la cartera de proyecto 2023, conforme pedido del memo nro. UTMACH-DIDI-2023-0466-M
</t>
        </r>
      </text>
    </comment>
    <comment ref="F228" authorId="2" shapeId="0" xr:uid="{5F4C4E91-0787-FF45-A8AC-C9569ADAB86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$ 7.400,00 FCA
</t>
        </r>
        <r>
          <rPr>
            <sz val="9"/>
            <color rgb="FF000000"/>
            <rFont val="Tahoma"/>
            <family val="2"/>
          </rPr>
          <t xml:space="preserve">$ 6.000,00 FCS
</t>
        </r>
        <r>
          <rPr>
            <sz val="9"/>
            <color rgb="FF000000"/>
            <rFont val="Tahoma"/>
            <family val="2"/>
          </rPr>
          <t xml:space="preserve">$ 4.000,00 FIC
</t>
        </r>
        <r>
          <rPr>
            <sz val="9"/>
            <color rgb="FF000000"/>
            <rFont val="Tahoma"/>
            <family val="2"/>
          </rPr>
          <t xml:space="preserve">
</t>
        </r>
        <r>
          <rPr>
            <sz val="9"/>
            <color rgb="FF000000"/>
            <rFont val="Tahoma"/>
            <family val="2"/>
          </rPr>
          <t xml:space="preserve">Se redujo $ 56.000,00 de acuerdo al 1er POA 2023 de la FCE presentado (por no estar desagregado).
</t>
        </r>
        <r>
          <rPr>
            <sz val="9"/>
            <color rgb="FF000000"/>
            <rFont val="Tahoma"/>
            <family val="2"/>
          </rPr>
          <t xml:space="preserve">
</t>
        </r>
        <r>
          <rPr>
            <sz val="9"/>
            <color rgb="FF000000"/>
            <rFont val="Tahoma"/>
            <family val="2"/>
          </rPr>
          <t xml:space="preserve">Se redujo $ 39.092,51
</t>
        </r>
        <r>
          <rPr>
            <sz val="9"/>
            <color rgb="FF000000"/>
            <rFont val="Tahoma"/>
            <family val="2"/>
          </rPr>
          <t xml:space="preserve">
</t>
        </r>
        <r>
          <rPr>
            <sz val="9"/>
            <color rgb="FF000000"/>
            <rFont val="Tahoma"/>
            <family val="2"/>
          </rPr>
          <t xml:space="preserve">En el POA quedó:
</t>
        </r>
        <r>
          <rPr>
            <sz val="9"/>
            <color rgb="FF000000"/>
            <rFont val="Tahoma"/>
            <family val="2"/>
          </rPr>
          <t xml:space="preserve">8.360,00 DIDI
</t>
        </r>
        <r>
          <rPr>
            <sz val="9"/>
            <color rgb="FF000000"/>
            <rFont val="Tahoma"/>
            <family val="2"/>
          </rPr>
          <t xml:space="preserve">15.000,00 FCA
</t>
        </r>
        <r>
          <rPr>
            <sz val="9"/>
            <color rgb="FF000000"/>
            <rFont val="Tahoma"/>
            <family val="2"/>
          </rPr>
          <t xml:space="preserve">28.107,49 FCQS
</t>
        </r>
        <r>
          <rPr>
            <sz val="9"/>
            <color rgb="FF000000"/>
            <rFont val="Tahoma"/>
            <family val="2"/>
          </rPr>
          <t xml:space="preserve">10.800,00 FCS
</t>
        </r>
        <r>
          <rPr>
            <sz val="9"/>
            <color rgb="FF000000"/>
            <rFont val="Tahoma"/>
            <family val="2"/>
          </rPr>
          <t xml:space="preserve">6.080,00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 xml:space="preserve">Se redujo $ 10.800,00 a FCS según reunión de seguimiento y en virtud de oficio Nro. MEF-SP-2023-0501 para atender Memo Nro. 0399 de DADM.
</t>
        </r>
        <r>
          <rPr>
            <sz val="9"/>
            <color rgb="FF000000"/>
            <rFont val="Tahoma"/>
            <family val="2"/>
          </rPr>
          <t xml:space="preserve">
</t>
        </r>
        <r>
          <rPr>
            <sz val="9"/>
            <color rgb="FF000000"/>
            <rFont val="Tahoma"/>
            <family val="2"/>
          </rPr>
          <t xml:space="preserve">Se redujo $ 15.848,08+6.776,00 según memo N 0604 FCQS_25052023
</t>
        </r>
        <r>
          <rPr>
            <sz val="9"/>
            <color rgb="FF000000"/>
            <rFont val="Tahoma"/>
            <family val="2"/>
          </rPr>
          <t xml:space="preserve">
</t>
        </r>
        <r>
          <rPr>
            <sz val="9"/>
            <color rgb="FF000000"/>
            <rFont val="Tahoma"/>
            <family val="2"/>
          </rPr>
          <t>Se redujo $6.080,00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$ 8.360,00 DIDI por efecto de informe de seguimiento.
</t>
        </r>
        <r>
          <rPr>
            <sz val="9"/>
            <color rgb="FF000000"/>
            <rFont val="Tahoma"/>
            <family val="2"/>
          </rPr>
          <t xml:space="preserve">
</t>
        </r>
        <r>
          <rPr>
            <sz val="9"/>
            <color rgb="FF000000"/>
            <rFont val="Tahoma"/>
            <family val="2"/>
          </rPr>
          <t>Se redujo $ 4.190,00 FCA por efecto de informe de seguimiento.</t>
        </r>
      </text>
    </comment>
    <comment ref="F229" authorId="2" shapeId="0" xr:uid="{D2ACB50D-8F08-854B-8451-EF1860D53A6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$ 394,63 para Py Inversión FIC.
</t>
        </r>
        <r>
          <rPr>
            <sz val="9"/>
            <color rgb="FF000000"/>
            <rFont val="Tahoma"/>
            <family val="2"/>
          </rPr>
          <t xml:space="preserve">$ 0,75 POR DIFERENCIA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$ 2.240,00 DIDI por efecto de informe de seguimiento.</t>
        </r>
      </text>
    </comment>
    <comment ref="E230" authorId="2" shapeId="0" xr:uid="{496572DB-BD75-B64E-B1CE-E53D8A93FE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F230" authorId="0" shapeId="0" xr:uid="{BAC62AE0-6005-C248-ABF6-1487D3A1B91B}">
      <text>
        <r>
          <rPr>
            <b/>
            <sz val="10"/>
            <color rgb="FF000000"/>
            <rFont val="Tahoma"/>
            <family val="2"/>
          </rPr>
          <t xml:space="preserve">Microsoft Office User:
</t>
        </r>
        <r>
          <rPr>
            <b/>
            <sz val="10"/>
            <color rgb="FF000000"/>
            <rFont val="Tahoma"/>
            <family val="2"/>
          </rPr>
          <t xml:space="preserve">
</t>
        </r>
        <r>
          <rPr>
            <b/>
            <sz val="10"/>
            <color rgb="FF000000"/>
            <rFont val="Tahoma"/>
            <family val="2"/>
          </rPr>
          <t xml:space="preserve">Reforma nro. 004:
</t>
        </r>
        <r>
          <rPr>
            <b/>
            <sz val="10"/>
            <color rgb="FF000000"/>
            <rFont val="Tahoma"/>
            <family val="2"/>
          </rPr>
          <t xml:space="preserve">
</t>
        </r>
        <r>
          <rPr>
            <sz val="9"/>
            <color rgb="FF000000"/>
            <rFont val="Tahoma"/>
            <family val="2"/>
          </rPr>
          <t xml:space="preserve">Se reduce $ 1680,00 en el POA de DIDI para atender memo nro. DIDI-2023-0468-M
</t>
        </r>
        <r>
          <rPr>
            <sz val="9"/>
            <color rgb="FF000000"/>
            <rFont val="Tahoma"/>
            <family val="2"/>
          </rPr>
          <t xml:space="preserve">
</t>
        </r>
      </text>
    </comment>
    <comment ref="E231" authorId="1" shapeId="0" xr:uid="{3952AFE7-DE8A-A941-80E3-7A5D757B791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E232" authorId="2" shapeId="0" xr:uid="{5FAC523F-37AA-5643-BBB7-8B40A44129F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t>
        </r>
        <r>
          <rPr>
            <sz val="9"/>
            <color rgb="FF000000"/>
            <rFont val="Arial"/>
            <family val="2"/>
          </rPr>
          <t xml:space="preserve">1,662.50 en el POA de DTIC para atender memo nro. </t>
        </r>
        <r>
          <rPr>
            <sz val="10"/>
            <color rgb="FF000000"/>
            <rFont val="Arial"/>
            <family val="2"/>
            <scheme val="minor"/>
          </rPr>
          <t>UTMACH-DTIC-2023-0224-M.</t>
        </r>
      </text>
    </comment>
    <comment ref="F232" authorId="3" shapeId="0" xr:uid="{C7E23C14-C054-6845-B8ED-A94A3687492E}">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E233" authorId="2" shapeId="0" xr:uid="{1361E319-EDAD-A748-8ED9-A20FC10F839C}">
      <text>
        <r>
          <rPr>
            <b/>
            <sz val="9"/>
            <color rgb="FF000000"/>
            <rFont val="Tahoma"/>
            <family val="2"/>
          </rPr>
          <t>HP:</t>
        </r>
        <r>
          <rPr>
            <sz val="9"/>
            <color rgb="FF000000"/>
            <rFont val="Tahoma"/>
            <family val="2"/>
          </rPr>
          <t xml:space="preserve">
</t>
        </r>
        <r>
          <rPr>
            <sz val="9"/>
            <color rgb="FF000000"/>
            <rFont val="Tahoma"/>
            <family val="2"/>
          </rPr>
          <t>Se incrementó $ 22.000,00 según Memorando N</t>
        </r>
        <r>
          <rPr>
            <sz val="9"/>
            <color rgb="FF000000"/>
            <rFont val="Tahoma"/>
            <family val="2"/>
          </rPr>
          <t>°</t>
        </r>
        <r>
          <rPr>
            <sz val="9"/>
            <color rgb="FF000000"/>
            <rFont val="Tahoma"/>
            <family val="2"/>
          </rPr>
          <t xml:space="preserve"> UTMACH-DIDI-2023-0053-M_02/02/2023 y UTMACH-DIDI-2023-0042-M_31/01/2023</t>
        </r>
      </text>
    </comment>
    <comment ref="F233" authorId="3" shapeId="0" xr:uid="{C0890A4D-1875-7841-9EB7-FB557CB29986}">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reduce $13.133,00 en atención al memo nro 083 DIDI-BG</t>
        </r>
      </text>
    </comment>
    <comment ref="E234" authorId="2" shapeId="0" xr:uid="{529516EA-F4B7-F041-9A17-1BA71C7E295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$ 3.500,00 según Memorando N</t>
        </r>
        <r>
          <rPr>
            <sz val="9"/>
            <color rgb="FF000000"/>
            <rFont val="Tahoma"/>
            <family val="2"/>
          </rPr>
          <t>°</t>
        </r>
        <r>
          <rPr>
            <sz val="9"/>
            <color rgb="FF000000"/>
            <rFont val="Tahoma"/>
            <family val="2"/>
          </rPr>
          <t xml:space="preserve"> UTMACH-DIDI-2023-0053-M_02/02/2023.</t>
        </r>
      </text>
    </comment>
    <comment ref="E235" authorId="0" shapeId="0" xr:uid="{EF6C9A7B-E62E-3446-8C44-9919A203AA71}">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incrimenta $ 26.116,86 en el POA de DIDI para atender memo nro. VINVIP-2023-0213-M</t>
        </r>
      </text>
    </comment>
    <comment ref="F235" authorId="1" shapeId="0" xr:uid="{F63D14F4-E7EB-5840-9FC2-3DAD2F2582F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E236" authorId="2" shapeId="0" xr:uid="{388C213F-C86B-A842-80F2-264680A9FB7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$1.250,00 Py de Inversión FIC</t>
        </r>
      </text>
    </comment>
    <comment ref="F236" authorId="1" shapeId="0" xr:uid="{B42ACA01-5D3E-1347-8301-DC7F7E72390B}">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$ 1.250,00 según memo N</t>
        </r>
        <r>
          <rPr>
            <sz val="9"/>
            <color rgb="FF000000"/>
            <rFont val="Tahoma"/>
            <family val="2"/>
          </rPr>
          <t>°</t>
        </r>
        <r>
          <rPr>
            <sz val="9"/>
            <color rgb="FF000000"/>
            <rFont val="Tahoma"/>
            <family val="2"/>
          </rPr>
          <t xml:space="preserve"> FIC-D-2023-0209-M_05052023.</t>
        </r>
      </text>
    </comment>
    <comment ref="E237" authorId="2" shapeId="0" xr:uid="{FCCFFB7F-01E5-5641-82B8-6545F71FE94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$ 26.785,71 para Servicio de Consultoría CRAI - LOAYZA AGUILAR KAROL</t>
        </r>
      </text>
    </comment>
    <comment ref="D238" authorId="3" shapeId="0" xr:uid="{B52C9756-A7CC-B74A-8ADF-50873C99D945}">
      <text>
        <r>
          <rPr>
            <b/>
            <sz val="10"/>
            <color rgb="FF000000"/>
            <rFont val="Tahoma"/>
            <family val="2"/>
          </rPr>
          <t>Valeria Ramon Capa:</t>
        </r>
        <r>
          <rPr>
            <sz val="10"/>
            <color rgb="FF000000"/>
            <rFont val="Tahoma"/>
            <family val="2"/>
          </rPr>
          <t xml:space="preserve">
</t>
        </r>
        <r>
          <rPr>
            <sz val="10"/>
            <color rgb="FF000000"/>
            <rFont val="Tahoma"/>
            <family val="2"/>
          </rPr>
          <t>Este valor se encuentra en el POA de Dplan</t>
        </r>
      </text>
    </comment>
    <comment ref="E239" authorId="2" shapeId="0" xr:uid="{096163BF-7664-384C-B314-77FF890B4CF5}">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Servicio de implementación de una red wifi TELCONET DTIC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$ 316.079,06 en virtud del proyecto de inversión DTIC.</t>
        </r>
      </text>
    </comment>
    <comment ref="E240" authorId="0" shapeId="0" xr:uid="{D309527C-B625-1644-838D-BEDC19AB4AC3}">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incrementó $ 62.540,30 para anticipo de contrato de fiscalización de la obra de construcción del CRAI, en el POA de DADM.</t>
        </r>
      </text>
    </comment>
    <comment ref="F241" authorId="1" shapeId="0" xr:uid="{0A5F0E9E-055C-1C43-9955-55C341B72D55}">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$ 394,63 según memo N</t>
        </r>
        <r>
          <rPr>
            <sz val="9"/>
            <color rgb="FF000000"/>
            <rFont val="Tahoma"/>
            <family val="2"/>
          </rPr>
          <t>°</t>
        </r>
        <r>
          <rPr>
            <sz val="9"/>
            <color rgb="FF000000"/>
            <rFont val="Tahoma"/>
            <family val="2"/>
          </rPr>
          <t xml:space="preserve"> FIC-D-2023-0209-M_05052023.</t>
        </r>
      </text>
    </comment>
    <comment ref="E242" authorId="4" shapeId="0" xr:uid="{CC16C507-9F66-BB46-A764-9E32DFD1091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incrementa $ 1.563.507,51 por cambio de programa presupuestario del 82 al 83 del proyecto del CRAI</t>
        </r>
      </text>
    </comment>
    <comment ref="E243" authorId="2" shapeId="0" xr:uid="{C871C83C-487E-F84D-90DF-7FA1D432876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$ 2.250,00 contrato año anterior. Adquisición de silla para cubículos ANDRANGO QUIMBIAMBA FCA</t>
        </r>
      </text>
    </comment>
    <comment ref="E244" authorId="2" shapeId="0" xr:uid="{D280DDC5-9270-7A46-9492-D7122DCF10E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$ 6.843,20 de acuerdo al POA 2023 de la FCE presentado.</t>
        </r>
      </text>
    </comment>
    <comment ref="F244" authorId="4" shapeId="0" xr:uid="{0FEEEBCF-2EE2-A24A-8666-A15B363D823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$ 756,08 FCE según informe de seguimiento.</t>
        </r>
      </text>
    </comment>
    <comment ref="E245" authorId="2" shapeId="0" xr:uid="{07BB41DB-B1C1-0F4B-A2E8-C38AC64AD8C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$ 6.370,00 Py de Inversión FIC</t>
        </r>
      </text>
    </comment>
    <comment ref="F245" authorId="1" shapeId="0" xr:uid="{DA71843B-6394-7244-A395-C9AFF080400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$ 6.370,00 según memo N</t>
        </r>
        <r>
          <rPr>
            <sz val="9"/>
            <color rgb="FF000000"/>
            <rFont val="Tahoma"/>
            <family val="2"/>
          </rPr>
          <t>°</t>
        </r>
        <r>
          <rPr>
            <sz val="9"/>
            <color rgb="FF000000"/>
            <rFont val="Tahoma"/>
            <family val="2"/>
          </rPr>
          <t xml:space="preserve"> FIC-D-2023-0209-M_05052023.</t>
        </r>
      </text>
    </comment>
    <comment ref="E246" authorId="2" shapeId="0" xr:uid="{8D2825DB-8BAE-8549-94AB-2769055B762D}">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$ 3.495,00 por contrato del año anterior para adquisición de un estereomicroscopio para la ejecución de un proyecto de investigación de la FCQS - NARVAEZ SOLUCIONES INTEGRALES - NSI CIA.LTDA. - DIDI
</t>
        </r>
        <r>
          <rPr>
            <sz val="9"/>
            <color rgb="FF000000"/>
            <rFont val="Tahoma"/>
            <family val="2"/>
          </rPr>
          <t xml:space="preserve">
</t>
        </r>
        <r>
          <rPr>
            <sz val="9"/>
            <color rgb="FF000000"/>
            <rFont val="Tahoma"/>
            <family val="2"/>
          </rPr>
          <t xml:space="preserve">$ 8.692,25 por contrato de año anterior para adquisición de proyectores de imagen. TICS.
</t>
        </r>
        <r>
          <rPr>
            <sz val="9"/>
            <color rgb="FF000000"/>
            <rFont val="Tahoma"/>
            <family val="2"/>
          </rPr>
          <t xml:space="preserve">
</t>
        </r>
        <r>
          <rPr>
            <sz val="9"/>
            <color rgb="FF000000"/>
            <rFont val="Tahoma"/>
            <family val="2"/>
          </rPr>
          <t xml:space="preserve">$ 53.725,18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$ 13.192,00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incrementa $ 776,00 + $112,00 + $ 24.700,00 (televisores) en atención al memo nro. FCQS-D-2023-0905-M.
</t>
        </r>
        <r>
          <rPr>
            <sz val="8"/>
            <color rgb="FF000000"/>
            <rFont val="Calibri"/>
            <family val="2"/>
          </rPr>
          <t xml:space="preserve">
</t>
        </r>
        <r>
          <rPr>
            <sz val="8"/>
            <color rgb="FF000000"/>
            <rFont val="Calibri"/>
            <family val="2"/>
          </rPr>
          <t>Se incrementa $ 29.760 en el POA de FCA según el memo nro. FCA-D-2023-0593-M.</t>
        </r>
      </text>
    </comment>
    <comment ref="F246" authorId="3" shapeId="0" xr:uid="{E4FF4EBD-2F83-8B45-A0D0-400D2630D8E6}">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-06/06 Se reduce $10.192 por reunión mantenida con TICS por seguimiento y en virtud de oficio Nro. MEF-SP-2023-0501 para atender Memo Nro. 0399 de DADM.
</t>
        </r>
        <r>
          <rPr>
            <sz val="9"/>
            <color rgb="FF000000"/>
            <rFont val="Tahoma"/>
            <family val="34"/>
          </rPr>
          <t xml:space="preserve">
</t>
        </r>
        <r>
          <rPr>
            <sz val="9"/>
            <color rgb="FF000000"/>
            <rFont val="Tahoma"/>
            <family val="34"/>
          </rPr>
          <t xml:space="preserve">-Se redujo $5.600,00+134,40 según memo N 0604 FCQS_25052023
</t>
        </r>
        <r>
          <rPr>
            <sz val="9"/>
            <color rgb="FF000000"/>
            <rFont val="Tahoma"/>
            <family val="34"/>
          </rPr>
          <t xml:space="preserve">
</t>
        </r>
        <r>
          <rPr>
            <sz val="9"/>
            <color rgb="FF000000"/>
            <rFont val="Tahoma"/>
            <family val="34"/>
          </rPr>
          <t xml:space="preserve">-Se reduce $14280 a FCQS por seguimiento y en virtud de oficio Nro. MEF-SP-2023-0501 para atender Memo Nro. 0399 de DADM.
</t>
        </r>
        <r>
          <rPr>
            <sz val="9"/>
            <color rgb="FF000000"/>
            <rFont val="Tahoma"/>
            <family val="34"/>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reduce $ 745,74 + $108,80 + $ 1.691,20 + $ 1.915,20   + $ 1.915,20 + $500,00 + $1.120,00 + $ 6.057,97 en atención al memo nro. FCQS-D-2023-0905-M.
</t>
        </r>
      </text>
    </comment>
    <comment ref="E247" authorId="2" shapeId="0" xr:uid="{D0BE329F-CE32-7C41-B94E-94231BFE05E8}">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$ 924.169,72 Py de Inversión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E248" authorId="2" shapeId="0" xr:uid="{A3ACBB0F-1FA9-F643-ABD6-54253FFD9BB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$ 9.325,25 por contrato de año anterior para adquisición de proyectores de imagen. TICS.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$ 28.605,92 en el POA de FCS para atender el memo nro. </t>
        </r>
        <r>
          <rPr>
            <sz val="10"/>
            <color rgb="FF000000"/>
            <rFont val="Calibri"/>
            <family val="2"/>
          </rPr>
          <t xml:space="preserve">UTMACH-FCS-D-2023-0831-M. </t>
        </r>
      </text>
    </comment>
    <comment ref="E249" authorId="5" shapeId="0" xr:uid="{58F8D935-0AB1-B04B-840A-990FD6C12E5D}">
      <text>
        <r>
          <rPr>
            <b/>
            <sz val="7"/>
            <color rgb="FF000000"/>
            <rFont val="Tahoma"/>
            <family val="2"/>
          </rPr>
          <t>Eunice Basilio:</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2:</t>
        </r>
        <r>
          <rPr>
            <sz val="7"/>
            <color rgb="FF000000"/>
            <rFont val="Tahoma"/>
            <family val="2"/>
          </rPr>
          <t xml:space="preserve">
</t>
        </r>
        <r>
          <rPr>
            <sz val="7"/>
            <color rgb="FF000000"/>
            <rFont val="Tahoma"/>
            <family val="2"/>
          </rPr>
          <t xml:space="preserve">Se incrementó $ 211.328,52 conforme archivo POA 2023.
</t>
        </r>
        <r>
          <rPr>
            <sz val="7"/>
            <color rgb="FF000000"/>
            <rFont val="Tahoma"/>
            <family val="2"/>
          </rPr>
          <t xml:space="preserve">$ 4.278,40 Vic. de Investigación, Vinculación y Posgrado
</t>
        </r>
        <r>
          <rPr>
            <sz val="7"/>
            <color rgb="FF000000"/>
            <rFont val="Tahoma"/>
            <family val="2"/>
          </rPr>
          <t xml:space="preserve">$ 134.551,20 DIDI (con el incremento de abajo)
</t>
        </r>
        <r>
          <rPr>
            <sz val="7"/>
            <color rgb="FF000000"/>
            <rFont val="Tahoma"/>
            <family val="2"/>
          </rPr>
          <t xml:space="preserve">$ 59.062,12 + 22.400,00 FCA
</t>
        </r>
        <r>
          <rPr>
            <sz val="7"/>
            <color rgb="FF000000"/>
            <rFont val="Tahoma"/>
            <family val="2"/>
          </rPr>
          <t xml:space="preserve">$ 12.028,80 + 18043,20 FCS
</t>
        </r>
        <r>
          <rPr>
            <sz val="7"/>
            <color rgb="FF000000"/>
            <rFont val="Tahoma"/>
            <family val="2"/>
          </rPr>
          <t xml:space="preserve">$ 400,00 Rectorado
</t>
        </r>
        <r>
          <rPr>
            <sz val="7"/>
            <color rgb="FF000000"/>
            <rFont val="Tahoma"/>
            <family val="2"/>
          </rPr>
          <t xml:space="preserve">$ 1.008,00 + 30.889,60 + 1.929,57 FCQS
</t>
        </r>
        <r>
          <rPr>
            <sz val="7"/>
            <color rgb="FF000000"/>
            <rFont val="Tahoma"/>
            <family val="2"/>
          </rPr>
          <t xml:space="preserve">$ 15.120,00 FIC
</t>
        </r>
        <r>
          <rPr>
            <sz val="7"/>
            <color rgb="FFFF0000"/>
            <rFont val="Tahoma"/>
            <family val="2"/>
          </rPr>
          <t xml:space="preserve">
</t>
        </r>
        <r>
          <rPr>
            <sz val="7"/>
            <color rgb="FF000000"/>
            <rFont val="Tahoma"/>
            <family val="2"/>
          </rPr>
          <t>Se redujo $ 132.871,20 según Memorando N</t>
        </r>
        <r>
          <rPr>
            <sz val="7"/>
            <color rgb="FF000000"/>
            <rFont val="Tahoma"/>
            <family val="2"/>
          </rPr>
          <t>°</t>
        </r>
        <r>
          <rPr>
            <sz val="7"/>
            <color rgb="FF000000"/>
            <rFont val="Tahoma"/>
            <family val="2"/>
          </rPr>
          <t xml:space="preserve"> UTMACH-DIDI-2023-0053-M_02/02/2023.
</t>
        </r>
        <r>
          <rPr>
            <sz val="7"/>
            <color rgb="FF000000"/>
            <rFont val="Tahoma"/>
            <family val="2"/>
          </rPr>
          <t xml:space="preserve">
</t>
        </r>
        <r>
          <rPr>
            <sz val="7"/>
            <color rgb="FF000000"/>
            <rFont val="Tahoma"/>
            <family val="2"/>
          </rPr>
          <t xml:space="preserve">Se incrementó $ 8.480,00 según adjunto de Vic. Investigación en e-mail enviado el 03/02/2023
</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3:
</t>
        </r>
        <r>
          <rPr>
            <sz val="7"/>
            <color rgb="FF000000"/>
            <rFont val="Tahoma"/>
            <family val="2"/>
          </rPr>
          <t>Se incrementó $ 9.559,07 según memo N</t>
        </r>
        <r>
          <rPr>
            <sz val="7"/>
            <color rgb="FF000000"/>
            <rFont val="Tahoma"/>
            <family val="2"/>
          </rPr>
          <t>°</t>
        </r>
        <r>
          <rPr>
            <sz val="7"/>
            <color rgb="FF000000"/>
            <rFont val="Tahoma"/>
            <family val="2"/>
          </rPr>
          <t xml:space="preserve"> 8 FCE-D-2023-0238-M_14032023
</t>
        </r>
        <r>
          <rPr>
            <sz val="7"/>
            <color rgb="FF000000"/>
            <rFont val="Tahoma"/>
            <family val="2"/>
          </rPr>
          <t xml:space="preserve">
</t>
        </r>
        <r>
          <rPr>
            <sz val="7"/>
            <color rgb="FF000000"/>
            <rFont val="Tahoma"/>
            <family val="2"/>
          </rPr>
          <t xml:space="preserve">05/06: Se incrementó $5000 a FCA por reunión de seguimiento
</t>
        </r>
        <r>
          <rPr>
            <sz val="7"/>
            <color rgb="FF000000"/>
            <rFont val="Tahoma"/>
            <family val="2"/>
          </rPr>
          <t xml:space="preserve">
</t>
        </r>
        <r>
          <rPr>
            <sz val="7"/>
            <color rgb="FF000000"/>
            <rFont val="Tahoma"/>
            <family val="2"/>
          </rPr>
          <t xml:space="preserve">Se incrementó $ 1.904,87+3.136,00+3.136,00 según memo N 0604 FCQS_25052023
</t>
        </r>
        <r>
          <rPr>
            <sz val="7"/>
            <color rgb="FF000000"/>
            <rFont val="Tahoma"/>
            <family val="2"/>
          </rPr>
          <t xml:space="preserve">
</t>
        </r>
        <r>
          <rPr>
            <sz val="7"/>
            <color rgb="FF000000"/>
            <rFont val="Tahoma"/>
            <family val="2"/>
          </rPr>
          <t xml:space="preserve">Se incrementó 923,41 en FCA por cuadre de grupo 84
</t>
        </r>
        <r>
          <rPr>
            <sz val="7"/>
            <color rgb="FF000000"/>
            <rFont val="Tahoma"/>
            <family val="2"/>
          </rPr>
          <t xml:space="preserve">
</t>
        </r>
        <r>
          <rPr>
            <sz val="7"/>
            <color rgb="FF000000"/>
            <rFont val="Tahoma"/>
            <family val="2"/>
          </rPr>
          <t>Se incrementó $11.620,00 por memo N</t>
        </r>
        <r>
          <rPr>
            <sz val="7"/>
            <color rgb="FF000000"/>
            <rFont val="Tahoma"/>
            <family val="2"/>
          </rPr>
          <t>°</t>
        </r>
        <r>
          <rPr>
            <sz val="7"/>
            <color rgb="FF000000"/>
            <rFont val="Tahoma"/>
            <family val="2"/>
          </rPr>
          <t xml:space="preserve"> UTMACH-FIC-D-2023-0312-M_18052023
</t>
        </r>
        <r>
          <rPr>
            <sz val="7"/>
            <color rgb="FF000000"/>
            <rFont val="Tahoma"/>
            <family val="2"/>
          </rPr>
          <t xml:space="preserve">
</t>
        </r>
        <r>
          <rPr>
            <sz val="7"/>
            <color rgb="FF000000"/>
            <rFont val="Tahoma"/>
            <family val="2"/>
          </rPr>
          <t xml:space="preserve">Se incrementó $ 13.405,61+6.776,00 según memo N 0604 FCQS_25052023
</t>
        </r>
        <r>
          <rPr>
            <sz val="7"/>
            <color rgb="FF000000"/>
            <rFont val="Tahoma"/>
            <family val="2"/>
          </rPr>
          <t xml:space="preserve">
</t>
        </r>
        <r>
          <rPr>
            <sz val="7"/>
            <color rgb="FF000000"/>
            <rFont val="Tahoma"/>
            <family val="2"/>
          </rPr>
          <t xml:space="preserve">Se incrementó en DIDI $ 39.637,92 - ($3.158,13 por cuadre de fuente) para cartera de proyectos de inversión 2023
</t>
        </r>
        <r>
          <rPr>
            <sz val="7"/>
            <color rgb="FF000000"/>
            <rFont val="Tahoma"/>
            <family val="2"/>
          </rPr>
          <t xml:space="preserve">
</t>
        </r>
        <r>
          <rPr>
            <b/>
            <sz val="7"/>
            <color rgb="FF000000"/>
            <rFont val="Tahoma"/>
            <family val="2"/>
          </rPr>
          <t xml:space="preserve">Reforman nro. 004:
</t>
        </r>
        <r>
          <rPr>
            <sz val="7"/>
            <color rgb="FF000000"/>
            <rFont val="Tahoma"/>
            <family val="2"/>
          </rPr>
          <t xml:space="preserve">
</t>
        </r>
        <r>
          <rPr>
            <sz val="7"/>
            <color rgb="FF000000"/>
            <rFont val="Arial"/>
            <family val="2"/>
          </rPr>
          <t xml:space="preserve">Se incrementa $ 27.791,68 en el POA de DIDI para financiamiento de la cartera de proyecto 2023, conforme pedido del memo nro. UTMACH-DIDI-2023-0466-M
</t>
        </r>
        <r>
          <rPr>
            <sz val="7"/>
            <color rgb="FF000000"/>
            <rFont val="Arial"/>
            <family val="2"/>
          </rPr>
          <t xml:space="preserve">
</t>
        </r>
        <r>
          <rPr>
            <sz val="7"/>
            <color rgb="FF000000"/>
            <rFont val="Arial"/>
            <family val="2"/>
          </rPr>
          <t xml:space="preserve">Se incrementa $ 2,576.00 en el POA de DIDI para financiamiento de la cartera de proyecto 2023, conforme pedido del memo nro. UTMACH-DIDI-2023-0468-M 
</t>
        </r>
        <r>
          <rPr>
            <sz val="7"/>
            <color rgb="FF000000"/>
            <rFont val="Arial"/>
            <family val="2"/>
          </rPr>
          <t xml:space="preserve">
</t>
        </r>
        <r>
          <rPr>
            <sz val="7"/>
            <color rgb="FF000000"/>
            <rFont val="Arial"/>
            <family val="2"/>
          </rPr>
          <t xml:space="preserve">
</t>
        </r>
      </text>
    </comment>
    <comment ref="F249" authorId="3" shapeId="0" xr:uid="{8F4DDE76-4CE6-8A4A-9C6F-B38997805622}">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$15.120,00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reduce $758,4 a VIVP por reunión de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$ 62,50+120,00 Rectorado por saldo no ejecutado.
</t>
        </r>
        <r>
          <rPr>
            <sz val="9"/>
            <color rgb="FF000000"/>
            <rFont val="Tahoma"/>
            <family val="2"/>
          </rPr>
          <t xml:space="preserve">
</t>
        </r>
        <r>
          <rPr>
            <sz val="9"/>
            <color rgb="FF000000"/>
            <rFont val="Tahoma"/>
            <family val="2"/>
          </rPr>
          <t xml:space="preserve">Se redujo $ 4.000,00 FCA por efecto de informe de seguimiento y atención al memo nro. FCA-D-2023-0593-M.
</t>
        </r>
        <r>
          <rPr>
            <sz val="9"/>
            <color rgb="FF000000"/>
            <rFont val="Tahoma"/>
            <family val="2"/>
          </rPr>
          <t xml:space="preserve">
</t>
        </r>
        <r>
          <rPr>
            <sz val="9"/>
            <color rgb="FF000000"/>
            <rFont val="Tahoma"/>
            <family val="2"/>
          </rPr>
          <t xml:space="preserve">Se redujo $ 4.320,00 FCA por efecto de informe de seguimiento.
</t>
        </r>
        <r>
          <rPr>
            <sz val="9"/>
            <color rgb="FF000000"/>
            <rFont val="Tahoma"/>
            <family val="2"/>
          </rPr>
          <t xml:space="preserve">
</t>
        </r>
        <r>
          <rPr>
            <sz val="9"/>
            <color rgb="FF000000"/>
            <rFont val="Arial"/>
            <family val="2"/>
          </rPr>
          <t xml:space="preserve">Se reduce $ </t>
        </r>
        <r>
          <rPr>
            <b/>
            <sz val="9"/>
            <color rgb="FF000000"/>
            <rFont val="Arial"/>
            <family val="2"/>
          </rPr>
          <t>12,762.40</t>
        </r>
        <r>
          <rPr>
            <sz val="9"/>
            <color rgb="FF000000"/>
            <rFont val="Arial"/>
            <family val="2"/>
          </rPr>
          <t xml:space="preserve">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Se reduce $ 500,00 en el POA de FCA para atender memo nro. FCA-D-2023-0571-M.
</t>
        </r>
        <r>
          <rPr>
            <sz val="9"/>
            <color rgb="FF000000"/>
            <rFont val="Arial"/>
            <family val="2"/>
          </rPr>
          <t xml:space="preserve">
</t>
        </r>
        <r>
          <rPr>
            <sz val="8"/>
            <color rgb="FF000000"/>
            <rFont val="Calibri"/>
            <family val="2"/>
          </rPr>
          <t xml:space="preserve">Se reduce $ 3.255,54 + $ 1.456,87 + $ 1.691,20 + $ 1.691,20 en atención al memo nro. FCQS-D-2023-0905-M.
</t>
        </r>
        <r>
          <rPr>
            <sz val="8"/>
            <color rgb="FF000000"/>
            <rFont val="Calibri"/>
            <family val="2"/>
          </rPr>
          <t xml:space="preserve">
</t>
        </r>
        <r>
          <rPr>
            <sz val="8"/>
            <color rgb="FF000000"/>
            <rFont val="Arial"/>
            <family val="2"/>
            <scheme val="minor"/>
          </rPr>
          <t xml:space="preserve">Se reduce $ 4.631,75 en el POA de FIC y se trasladan al POa de DADM en atención al </t>
        </r>
        <r>
          <rPr>
            <sz val="8"/>
            <color rgb="FF000000"/>
            <rFont val="Arial"/>
            <family val="2"/>
            <scheme val="minor"/>
          </rPr>
          <t xml:space="preserve">Memorando nro. UTMACH-DADM-UCP-2023-1143-M.
</t>
        </r>
      </text>
    </comment>
    <comment ref="E251" authorId="2" shapeId="0" xr:uid="{C02D287A-918D-7546-9442-8407584C0F06}">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$ 1.344,10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$ 6.338,72 según memo N</t>
        </r>
        <r>
          <rPr>
            <sz val="9"/>
            <color rgb="FF000000"/>
            <rFont val="Tahoma"/>
            <family val="2"/>
          </rPr>
          <t>°</t>
        </r>
        <r>
          <rPr>
            <sz val="9"/>
            <color rgb="FF000000"/>
            <rFont val="Tahoma"/>
            <family val="2"/>
          </rPr>
          <t xml:space="preserve"> DTIC-2023-0088-M_04052023</t>
        </r>
      </text>
    </comment>
    <comment ref="F251" authorId="3" shapeId="0" xr:uid="{029639FA-946E-BD46-B5F8-881FA0F8D648}">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reduce $1.086,02 por reunión de seguimiento con TICS y en virtud de oficio Nro. MEF-SP-2023-0501 para atender Memo Nro. 0399 de DADM.</t>
        </r>
      </text>
    </comment>
    <comment ref="E252" authorId="2" shapeId="0" xr:uid="{286FD438-2FEB-9C46-8AB8-C6D0B2078BB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$ 244.548,86 Py de Inversión FIC</t>
        </r>
      </text>
    </comment>
    <comment ref="F252" authorId="1" shapeId="0" xr:uid="{6F9CA073-F8E7-FA40-A69D-F5921CCD680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$ 74.735,30 según memo N</t>
        </r>
        <r>
          <rPr>
            <sz val="9"/>
            <color rgb="FF000000"/>
            <rFont val="Tahoma"/>
            <family val="2"/>
          </rPr>
          <t>°</t>
        </r>
        <r>
          <rPr>
            <sz val="9"/>
            <color rgb="FF000000"/>
            <rFont val="Tahoma"/>
            <family val="2"/>
          </rPr>
          <t xml:space="preserve"> FIC-D-2023-0209-M_05052023.</t>
        </r>
      </text>
    </comment>
    <comment ref="E253" authorId="0" shapeId="0" xr:uid="{70E5A110-62AE-F344-B493-9AFAA1EEBB2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$ 119.296,80 en el POA de DTIC para atender el memo nro. DTIC-2023-224-M.	</t>
        </r>
      </text>
    </comment>
    <comment ref="E254" authorId="5" shapeId="0" xr:uid="{E19B9514-656B-AE44-9193-7F832DF7AA7D}">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conforme archivo POA 2023:
</t>
        </r>
        <r>
          <rPr>
            <sz val="9"/>
            <color rgb="FF000000"/>
            <rFont val="Tahoma"/>
            <family val="2"/>
          </rPr>
          <t xml:space="preserve">$ 13.523,26 Vic. Investigación
</t>
        </r>
        <r>
          <rPr>
            <sz val="9"/>
            <color rgb="FF000000"/>
            <rFont val="Tahoma"/>
            <family val="2"/>
          </rPr>
          <t xml:space="preserve">$ 2.240,00 DIDI
</t>
        </r>
        <r>
          <rPr>
            <sz val="9"/>
            <color rgb="FF000000"/>
            <rFont val="Tahoma"/>
            <family val="2"/>
          </rPr>
          <t xml:space="preserve">$ 123.516,00 DTIC + 18.037,80
</t>
        </r>
        <r>
          <rPr>
            <sz val="9"/>
            <color rgb="FF000000"/>
            <rFont val="Tahoma"/>
            <family val="2"/>
          </rPr>
          <t xml:space="preserve">$ 65.044,00 FCE
</t>
        </r>
        <r>
          <rPr>
            <sz val="9"/>
            <color rgb="FF000000"/>
            <rFont val="Tahoma"/>
            <family val="2"/>
          </rPr>
          <t xml:space="preserve">$ 11.150,72  FCS
</t>
        </r>
        <r>
          <rPr>
            <sz val="9"/>
            <color rgb="FF000000"/>
            <rFont val="Tahoma"/>
            <family val="2"/>
          </rPr>
          <t xml:space="preserve">$ 7.504,00 Rectorado
</t>
        </r>
        <r>
          <rPr>
            <sz val="9"/>
            <color rgb="FF000000"/>
            <rFont val="Tahoma"/>
            <family val="2"/>
          </rPr>
          <t xml:space="preserve">
</t>
        </r>
        <r>
          <rPr>
            <sz val="9"/>
            <color rgb="FF000000"/>
            <rFont val="Tahoma"/>
            <family val="2"/>
          </rPr>
          <t>Se incrementó $ 1.771,84, según Memorando N</t>
        </r>
        <r>
          <rPr>
            <sz val="9"/>
            <color rgb="FF000000"/>
            <rFont val="Tahoma"/>
            <family val="2"/>
          </rPr>
          <t>°</t>
        </r>
        <r>
          <rPr>
            <sz val="9"/>
            <color rgb="FF000000"/>
            <rFont val="Tahoma"/>
            <family val="2"/>
          </rPr>
          <t xml:space="preserve"> UTMACH-DADM-2023-0013-M del 16/01/23 Se agrega a TICS.
</t>
        </r>
        <r>
          <rPr>
            <sz val="9"/>
            <color rgb="FF000000"/>
            <rFont val="Tahoma"/>
            <family val="2"/>
          </rPr>
          <t xml:space="preserve">
</t>
        </r>
        <r>
          <rPr>
            <sz val="9"/>
            <color rgb="FF000000"/>
            <rFont val="Tahoma"/>
            <family val="2"/>
          </rPr>
          <t>Se incrementó $ 45.920,00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$ 61.245,25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$3.500,00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incrementó $38.449,60 a FCE por cuadre de fuentes
</t>
        </r>
        <r>
          <rPr>
            <sz val="9"/>
            <color rgb="FF000000"/>
            <rFont val="Tahoma"/>
            <family val="2"/>
          </rPr>
          <t xml:space="preserve">
</t>
        </r>
        <r>
          <rPr>
            <sz val="9"/>
            <color rgb="FF000000"/>
            <rFont val="Tahoma"/>
            <family val="2"/>
          </rPr>
          <t xml:space="preserve">Se incrementó $10.080 a DIDI para cubrir cartera de Proyectos de investigación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10"/>
            <color rgb="FF000000"/>
            <rFont val="Arial"/>
            <family val="2"/>
          </rPr>
          <t xml:space="preserve">Se incrementa $ 30.329,60 en el POA de DIDI para financiamiento de la cartera de proyecto 2023, conforme pedido del memo nro. UTMACH-DIDI-2023-0466-M
</t>
        </r>
        <r>
          <rPr>
            <sz val="10"/>
            <color rgb="FF000000"/>
            <rFont val="Arial"/>
            <family val="2"/>
          </rPr>
          <t xml:space="preserve">
</t>
        </r>
        <r>
          <rPr>
            <sz val="10"/>
            <color rgb="FF000000"/>
            <rFont val="Arial"/>
            <family val="2"/>
          </rPr>
          <t>Se aumenta $ 500,00 en el POA de la FCA para atender memo nro. FCA-D-2023-0571-M</t>
        </r>
        <r>
          <rPr>
            <sz val="9"/>
            <color rgb="FF000000"/>
            <rFont val="Arial"/>
            <family val="2"/>
          </rPr>
          <t xml:space="preserve">
</t>
        </r>
        <r>
          <rPr>
            <sz val="9"/>
            <color rgb="FF000000"/>
            <rFont val="Tahoma"/>
            <family val="2"/>
          </rPr>
          <t xml:space="preserve">
</t>
        </r>
        <r>
          <rPr>
            <sz val="9"/>
            <color rgb="FF000000"/>
            <rFont val="Tahoma"/>
            <family val="2"/>
          </rPr>
          <t xml:space="preserve">Se incrementa $ 8587,38 en el POA de DTIC para atender memo nro. </t>
        </r>
        <r>
          <rPr>
            <sz val="10"/>
            <color rgb="FF000000"/>
            <rFont val="Calibri"/>
            <family val="2"/>
          </rPr>
          <t>UTMACH-DTIC-2023-0224-M.</t>
        </r>
      </text>
    </comment>
    <comment ref="F254" authorId="1" shapeId="0" xr:uid="{61EBF4DB-BEE7-CB4D-95FB-8E5734A3C6E8}">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$ 9.559,07 según memo N</t>
        </r>
        <r>
          <rPr>
            <sz val="9"/>
            <color rgb="FF000000"/>
            <rFont val="Tahoma"/>
            <family val="2"/>
          </rPr>
          <t>°</t>
        </r>
        <r>
          <rPr>
            <sz val="9"/>
            <color rgb="FF000000"/>
            <rFont val="Tahoma"/>
            <family val="2"/>
          </rPr>
          <t xml:space="preserve"> 8 FCE-D-2023-0238-M_14032023
</t>
        </r>
        <r>
          <rPr>
            <sz val="9"/>
            <color rgb="FF000000"/>
            <rFont val="Tahoma"/>
            <family val="2"/>
          </rPr>
          <t xml:space="preserve">
</t>
        </r>
        <r>
          <rPr>
            <sz val="9"/>
            <color rgb="FF000000"/>
            <rFont val="Tahoma"/>
            <family val="2"/>
          </rPr>
          <t xml:space="preserve">Se redujo $7.504 para cubrir solicitud de memo N CGR-2023-0180-M
</t>
        </r>
        <r>
          <rPr>
            <sz val="9"/>
            <color rgb="FF000000"/>
            <rFont val="Tahoma"/>
            <family val="2"/>
          </rPr>
          <t xml:space="preserve">
</t>
        </r>
        <r>
          <rPr>
            <sz val="9"/>
            <color rgb="FF000000"/>
            <rFont val="Tahoma"/>
            <family val="2"/>
          </rPr>
          <t xml:space="preserve">Por seguimiento y en virtud de oficio Nro. MEF-SP-2023-0501 para atender Memo Nro. 0399 de DADM:
</t>
        </r>
        <r>
          <rPr>
            <sz val="9"/>
            <color rgb="FF000000"/>
            <rFont val="Tahoma"/>
            <family val="2"/>
          </rPr>
          <t xml:space="preserve">
</t>
        </r>
        <r>
          <rPr>
            <sz val="9"/>
            <color rgb="FF000000"/>
            <rFont val="Tahoma"/>
            <family val="2"/>
          </rPr>
          <t xml:space="preserve">-05/06: Se redujo $2.081,43 según reunión mantenida con VIVP 
</t>
        </r>
        <r>
          <rPr>
            <sz val="9"/>
            <color rgb="FF000000"/>
            <rFont val="Tahoma"/>
            <family val="2"/>
          </rPr>
          <t xml:space="preserve">
</t>
        </r>
        <r>
          <rPr>
            <sz val="9"/>
            <color rgb="FF000000"/>
            <rFont val="Tahoma"/>
            <family val="2"/>
          </rPr>
          <t xml:space="preserve">- Se reduce $33.488 según reunión mantenida con TICS
</t>
        </r>
        <r>
          <rPr>
            <sz val="9"/>
            <color rgb="FF000000"/>
            <rFont val="Tahoma"/>
            <family val="2"/>
          </rPr>
          <t xml:space="preserve">
</t>
        </r>
        <r>
          <rPr>
            <sz val="9"/>
            <color rgb="FF000000"/>
            <rFont val="Tahoma"/>
            <family val="2"/>
          </rPr>
          <t xml:space="preserve">- Se redujo $16.587,2 según seguimiento DIDI
</t>
        </r>
        <r>
          <rPr>
            <sz val="9"/>
            <color rgb="FF000000"/>
            <rFont val="Tahoma"/>
            <family val="2"/>
          </rPr>
          <t xml:space="preserve">
</t>
        </r>
        <r>
          <rPr>
            <sz val="9"/>
            <color rgb="FF000000"/>
            <rFont val="Tahoma"/>
            <family val="2"/>
          </rPr>
          <t xml:space="preserve">- Se redujo $5,81 por cuadre de grupo 83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$ 21.336,00+</t>
        </r>
        <r>
          <rPr>
            <b/>
            <sz val="9"/>
            <color rgb="FF000000"/>
            <rFont val="Tahoma"/>
            <family val="2"/>
          </rPr>
          <t xml:space="preserve">512,00 SERVIDOR NAS+1.782,22 SCANER+189,84 COMPU SALA ESPEJO - </t>
        </r>
        <r>
          <rPr>
            <sz val="9"/>
            <color rgb="FF000000"/>
            <rFont val="Tahoma"/>
            <family val="2"/>
          </rPr>
          <t xml:space="preserve">DTIC por efecto de informe de seguimiento.
</t>
        </r>
        <r>
          <rPr>
            <sz val="9"/>
            <color rgb="FF000000"/>
            <rFont val="Tahoma"/>
            <family val="2"/>
          </rPr>
          <t xml:space="preserve">
</t>
        </r>
        <r>
          <rPr>
            <sz val="9"/>
            <color rgb="FF000000"/>
            <rFont val="Tahoma"/>
            <family val="2"/>
          </rPr>
          <t xml:space="preserve">Se redujo $ 833,76 FCS por efecto de informe de seguimiento.
</t>
        </r>
        <r>
          <rPr>
            <sz val="9"/>
            <color rgb="FF000000"/>
            <rFont val="Tahoma"/>
            <family val="2"/>
          </rPr>
          <t xml:space="preserve">
</t>
        </r>
        <r>
          <rPr>
            <sz val="9"/>
            <color rgb="FF000000"/>
            <rFont val="Tahoma"/>
            <family val="2"/>
          </rPr>
          <t xml:space="preserve">Se redujo $ 138,96 FCS por efecto de informe de seguimiento.
</t>
        </r>
        <r>
          <rPr>
            <sz val="9"/>
            <color rgb="FF000000"/>
            <rFont val="Tahoma"/>
            <family val="2"/>
          </rPr>
          <t xml:space="preserve">
</t>
        </r>
        <r>
          <rPr>
            <sz val="9"/>
            <color rgb="FF000000"/>
            <rFont val="Tahoma"/>
            <family val="2"/>
          </rPr>
          <t xml:space="preserve">Se redujo $ 159,00 FCS por efecto de informe de seguimiento.
</t>
        </r>
        <r>
          <rPr>
            <sz val="9"/>
            <color rgb="FF000000"/>
            <rFont val="Tahoma"/>
            <family val="2"/>
          </rPr>
          <t xml:space="preserve">
</t>
        </r>
        <r>
          <rPr>
            <sz val="9"/>
            <color rgb="FF000000"/>
            <rFont val="Tahoma"/>
            <family val="2"/>
          </rPr>
          <t xml:space="preserve">Se reduce $ 2.800,00 del POA de DTIC para atender memo nro. </t>
        </r>
        <r>
          <rPr>
            <sz val="10"/>
            <color rgb="FF000000"/>
            <rFont val="Calibri"/>
            <family val="2"/>
          </rPr>
          <t>UTMACH-DTIC-2023-0224-M.</t>
        </r>
      </text>
    </comment>
    <comment ref="E255" authorId="5" shapeId="0" xr:uid="{479F60AC-B7D7-CA45-8C88-AB1340E2EA79}">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$ 414.919,06 Py de Red Lan DTIC</t>
        </r>
      </text>
    </comment>
    <comment ref="F255" authorId="4" shapeId="0" xr:uid="{1A360739-2504-074E-916C-83DDB1983F6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$ 414.919,06 en virtud del proyecto de inversión de gestión documental DTIC.</t>
        </r>
      </text>
    </comment>
    <comment ref="E257" authorId="3" shapeId="0" xr:uid="{21A83C12-671C-914A-8BEA-5E64E200F832}">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incrementa $13.133,00 en atención al memo nro 083 DIDI-BG</t>
        </r>
      </text>
    </comment>
    <comment ref="E258" authorId="2" shapeId="0" xr:uid="{6A6FB138-A930-A14B-B0F5-1C918BC5B4C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 según Memorando N</t>
        </r>
        <r>
          <rPr>
            <sz val="9"/>
            <color rgb="FF000000"/>
            <rFont val="Tahoma"/>
            <family val="2"/>
          </rPr>
          <t>°</t>
        </r>
        <r>
          <rPr>
            <sz val="9"/>
            <color rgb="FF000000"/>
            <rFont val="Tahoma"/>
            <family val="2"/>
          </rPr>
          <t xml:space="preserve"> UTMACH-DIDI-2023-0053-M_02/02/2023.</t>
        </r>
      </text>
    </comment>
    <comment ref="F258" authorId="0" shapeId="0" xr:uid="{85EBCF16-165B-A846-AE4F-F997519219F7}">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t>
        </r>
        <r>
          <rPr>
            <b/>
            <sz val="10"/>
            <color rgb="FF000000"/>
            <rFont val="Arial"/>
            <family val="2"/>
          </rPr>
          <t>2.800,00</t>
        </r>
        <r>
          <rPr>
            <sz val="10"/>
            <color rgb="FF000000"/>
            <rFont val="Arial"/>
            <family val="2"/>
          </rPr>
          <t xml:space="preserve"> en el POA de DIDI para financiamiento de la cartera de proyecto 2023, conforme pedido del memo nro. UTMACH-DIDI-2023-0466-M
</t>
        </r>
      </text>
    </comment>
    <comment ref="F264" authorId="2" shapeId="0" xr:uid="{4B2311C6-7BC1-0B4D-B12D-390273B79B8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$ 8.960,00 Vic. de Investigación
</t>
        </r>
        <r>
          <rPr>
            <sz val="9"/>
            <color rgb="FF000000"/>
            <rFont val="Tahoma"/>
            <family val="2"/>
          </rPr>
          <t xml:space="preserve">según adjunto de Vic. Investigación en e-mail enviado el 03/02/2023
</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$9.640,00 Dircom conforme a la reunión con fecha 01/06 con la Directora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$ 15.000,00 DIRCOM por efecto de informe de seguimiento.</t>
        </r>
      </text>
    </comment>
    <comment ref="F265" authorId="4" shapeId="0" xr:uid="{632287FA-B38F-9F4A-9931-F9BB5E7A4AB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$ 817,00 DIPOS por efecto de informe de seguimiento. (Cert. N</t>
        </r>
        <r>
          <rPr>
            <sz val="9"/>
            <color rgb="FF000000"/>
            <rFont val="Tahoma"/>
            <family val="2"/>
          </rPr>
          <t>°</t>
        </r>
        <r>
          <rPr>
            <sz val="9"/>
            <color rgb="FF000000"/>
            <rFont val="Tahoma"/>
            <family val="2"/>
          </rPr>
          <t xml:space="preserve"> 161)</t>
        </r>
      </text>
    </comment>
    <comment ref="F266" authorId="1" shapeId="0" xr:uid="{BAF166D5-BE99-944D-996D-83CAB312CD6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$ 1.344,00, según memo N</t>
        </r>
        <r>
          <rPr>
            <sz val="9"/>
            <color rgb="FF000000"/>
            <rFont val="Tahoma"/>
            <family val="2"/>
          </rPr>
          <t>°</t>
        </r>
        <r>
          <rPr>
            <sz val="9"/>
            <color rgb="FF000000"/>
            <rFont val="Tahoma"/>
            <family val="2"/>
          </rPr>
          <t xml:space="preserve"> DVIN-2023-0106-M_17032023</t>
        </r>
      </text>
    </comment>
    <comment ref="F267" authorId="1" shapeId="0" xr:uid="{3BD1104E-C6DE-AC46-B4E1-ADBA907E42BF}">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F268" authorId="1" shapeId="0" xr:uid="{C202BDF8-4CD8-1843-AC8E-0609DE31BBF4}">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$ 2.121,28, según memo N</t>
        </r>
        <r>
          <rPr>
            <sz val="9"/>
            <color rgb="FF000000"/>
            <rFont val="Tahoma"/>
            <family val="2"/>
          </rPr>
          <t>°</t>
        </r>
        <r>
          <rPr>
            <sz val="9"/>
            <color rgb="FF000000"/>
            <rFont val="Tahoma"/>
            <family val="2"/>
          </rPr>
          <t xml:space="preserve"> DVIN-2023-0106-M_17032023</t>
        </r>
      </text>
    </comment>
    <comment ref="F269" authorId="1" shapeId="0" xr:uid="{4B7D215F-CF91-B74D-83F5-2088077799FE}">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del POA $ 5.600,00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
</t>
        </r>
        <r>
          <rPr>
            <sz val="9"/>
            <color rgb="FF000000"/>
            <rFont val="Tahoma"/>
            <family val="2"/>
          </rPr>
          <t xml:space="preserve">
</t>
        </r>
        <r>
          <rPr>
            <sz val="9"/>
            <color rgb="FF000000"/>
            <rFont val="Tahoma"/>
            <family val="2"/>
          </rPr>
          <t>Se redujo $795,65 a FCS en reunión de seguimiento y para unificar en el programa 83</t>
        </r>
      </text>
    </comment>
    <comment ref="E270" authorId="2" shapeId="0" xr:uid="{C371314C-EB80-0D4F-89A8-2D9A13AD53F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$ 2.352,00 FCQS</t>
        </r>
      </text>
    </comment>
    <comment ref="F271" authorId="2" shapeId="0" xr:uid="{C6C9B492-0E13-B540-B844-4DC54AEB409B}">
      <text>
        <r>
          <rPr>
            <b/>
            <sz val="9"/>
            <color rgb="FF000000"/>
            <rFont val="Tahoma"/>
            <family val="34"/>
          </rPr>
          <t xml:space="preserve">HP:
</t>
        </r>
        <r>
          <rPr>
            <b/>
            <sz val="9"/>
            <color rgb="FF000000"/>
            <rFont val="Tahoma"/>
            <family val="34"/>
          </rPr>
          <t>Reforma 3:</t>
        </r>
        <r>
          <rPr>
            <sz val="9"/>
            <color rgb="FF000000"/>
            <rFont val="Tahoma"/>
            <family val="34"/>
          </rPr>
          <t xml:space="preserve">
</t>
        </r>
        <r>
          <rPr>
            <sz val="9"/>
            <color rgb="FF000000"/>
            <rFont val="Tahoma"/>
            <family val="34"/>
          </rPr>
          <t xml:space="preserve">Se redujo $22.400,00 a FCA en reunión de seguimiento y en virtud de oficio Nro. MEF-SP-2023-0501 para atender Memo Nro. 0399 de DADM.
</t>
        </r>
      </text>
    </comment>
    <comment ref="E272" authorId="1" shapeId="0" xr:uid="{06569E34-491E-D343-8D5A-E7E8955C541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$ 18.120,00 según memo N</t>
        </r>
        <r>
          <rPr>
            <sz val="9"/>
            <color rgb="FF000000"/>
            <rFont val="Tahoma"/>
            <family val="2"/>
          </rPr>
          <t>°</t>
        </r>
        <r>
          <rPr>
            <sz val="9"/>
            <color rgb="FF000000"/>
            <rFont val="Tahoma"/>
            <family val="2"/>
          </rPr>
          <t xml:space="preserve"> UTMACH-DEC-2023-0147-M_05062023</t>
        </r>
      </text>
    </comment>
    <comment ref="F272" authorId="2" shapeId="0" xr:uid="{29A27452-58C8-FD41-92A0-086C60218ABD}">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2"/>
          </rPr>
          <t xml:space="preserve">06/06: Se redujo $20.000 a DTH por seguimiento y en virtud de oficio Nro. MEF-SP-2023-0501 para atender Memo Nro. 0399 de DADM, y en atención al memo nro 0764 DTH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DTH por efecto de informe de seguimiento.</t>
        </r>
      </text>
    </comment>
    <comment ref="F273" authorId="2" shapeId="0" xr:uid="{B14EA26A-46B2-3C48-8481-4A58DF4EA0A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$ 20.160,00 de acuerdo al 1er POA 2023 de la FCE presentado (por no estar desagregado).</t>
        </r>
      </text>
    </comment>
    <comment ref="E274" authorId="1" shapeId="0" xr:uid="{FDE3210B-FA19-FE4C-A1AE-91146F9A27E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$ 2.859,53+5.600,00-150,00 según memo N</t>
        </r>
        <r>
          <rPr>
            <sz val="9"/>
            <color rgb="FF000000"/>
            <rFont val="Tahoma"/>
            <family val="2"/>
          </rPr>
          <t>°</t>
        </r>
        <r>
          <rPr>
            <sz val="9"/>
            <color rgb="FF000000"/>
            <rFont val="Tahoma"/>
            <family val="2"/>
          </rPr>
          <t xml:space="preserve"> DVIN-2023-0106-M_17032023</t>
        </r>
      </text>
    </comment>
    <comment ref="F274" authorId="1" shapeId="0" xr:uid="{E3764975-CC7D-A34A-AC1E-4F9D6DDAA5F4}">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$ 17920 a DVIN según reunión de seguimiento y en virtud de oficio Nro. MEF-SP-2023-0501 para atender Memo Nro. 0399 de DADM.</t>
        </r>
      </text>
    </comment>
    <comment ref="F275" authorId="2" shapeId="0" xr:uid="{E4355E35-3533-4345-A32C-288A871F3A5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$ 6.800,00 Dir. Educ. Continua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$ 10.000,00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E276" authorId="0" shapeId="0" xr:uid="{F56F8394-3BE3-FC44-B042-29CE67E4F07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Incremento de $ 4.000,00 en el POA de DV para atender memo nro. </t>
        </r>
        <r>
          <rPr>
            <sz val="10"/>
            <color rgb="FF000000"/>
            <rFont val="Calibri"/>
            <family val="2"/>
          </rPr>
          <t>UTMACH-DVIN-2023-0406-M.</t>
        </r>
      </text>
    </comment>
    <comment ref="F276" authorId="3" shapeId="0" xr:uid="{2415BB9C-F396-FD4D-AF6B-171480360457}">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$250,00 por cuanto en el memo 0460 FCS se prescinde de la compra del hardware.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reduce $ 1398,86 en el POA de VIVP en atención del memo nro. VINVIP-2023-0220-M</t>
        </r>
      </text>
    </comment>
    <comment ref="E277" authorId="0" shapeId="0" xr:uid="{91DAD940-1C2D-5146-9AB9-86B31C92D303}">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aumenta $ 3.300,00 en el POA del DV para atender memo nro. </t>
        </r>
        <r>
          <rPr>
            <sz val="10"/>
            <color rgb="FF000000"/>
            <rFont val="Arial"/>
            <family val="2"/>
            <scheme val="minor"/>
          </rPr>
          <t>UTMACH-DVIN-2023-0406-M.</t>
        </r>
      </text>
    </comment>
    <comment ref="F277" authorId="1" shapeId="0" xr:uid="{66C58B13-5DC5-094C-87A3-A246AD1C1B97}">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F278" authorId="1" shapeId="0" xr:uid="{E90F6BDA-6C64-5D40-AB6A-6D5D90C12167}">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F279" authorId="1" shapeId="0" xr:uid="{BC9786D2-DA4E-D94B-BFFD-B37EB149AED4}">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$ 536,00 según memo N</t>
        </r>
        <r>
          <rPr>
            <sz val="9"/>
            <color rgb="FF000000"/>
            <rFont val="Tahoma"/>
            <family val="2"/>
          </rPr>
          <t>°</t>
        </r>
        <r>
          <rPr>
            <sz val="9"/>
            <color rgb="FF000000"/>
            <rFont val="Tahoma"/>
            <family val="2"/>
          </rPr>
          <t xml:space="preserve"> N</t>
        </r>
        <r>
          <rPr>
            <sz val="9"/>
            <color rgb="FF000000"/>
            <rFont val="Tahoma"/>
            <family val="2"/>
          </rPr>
          <t>°</t>
        </r>
        <r>
          <rPr>
            <sz val="9"/>
            <color rgb="FF000000"/>
            <rFont val="Tahoma"/>
            <family val="2"/>
          </rPr>
          <t xml:space="preserve"> UTMACH-DEC-2023-0147-M_05062023</t>
        </r>
      </text>
    </comment>
    <comment ref="E280" authorId="0" shapeId="0" xr:uid="{DD03F9B0-2776-4143-AF16-1B915FEF0DA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$ 925.12 en el POA de DV para atender el pedido del memo nro. </t>
        </r>
        <r>
          <rPr>
            <sz val="10"/>
            <color rgb="FF000000"/>
            <rFont val="Arial"/>
            <family val="2"/>
            <scheme val="minor"/>
          </rPr>
          <t>UTMACH-DVIN-2023-0406-M.</t>
        </r>
      </text>
    </comment>
    <comment ref="F280" authorId="3" shapeId="0" xr:uid="{5FB679A5-0749-DB48-A490-95B473D4566A}">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$61,09 FCS proceso ejecutado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 FCS por efecto de informe de seguimiento.</t>
        </r>
      </text>
    </comment>
    <comment ref="F281" authorId="2" shapeId="0" xr:uid="{F525A047-3EC5-8B40-B441-22D6562C29E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$ 1.261,38 Dir. Educ. Continua</t>
        </r>
      </text>
    </comment>
    <comment ref="F283" authorId="2" shapeId="0" xr:uid="{2D414872-9CDC-0245-99C7-F6935B8C90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$ 26.096,00 FCQS</t>
        </r>
      </text>
    </comment>
    <comment ref="E284" authorId="1" shapeId="0" xr:uid="{404F5078-1B2A-0645-B6ED-36BB3CBE985A}">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icrementó $ 3.382,40, según memo N</t>
        </r>
        <r>
          <rPr>
            <sz val="9"/>
            <color rgb="FF000000"/>
            <rFont val="Tahoma"/>
            <family val="2"/>
          </rPr>
          <t>°</t>
        </r>
        <r>
          <rPr>
            <sz val="9"/>
            <color rgb="FF000000"/>
            <rFont val="Tahoma"/>
            <family val="2"/>
          </rPr>
          <t xml:space="preserve"> DVIN-2023-0106-M_17032023</t>
        </r>
      </text>
    </comment>
    <comment ref="F284" authorId="3" shapeId="0" xr:uid="{6FC71251-B651-FD47-9566-FCFBC21B8D5E}">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redujo $1.344,00 a FCA en reunión de seguimiento y en virtud de oficio Nro. MEF-SP-2023-0501 para atender Memo Nro. 0399 de DADM.</t>
        </r>
      </text>
    </comment>
    <comment ref="E285" authorId="2" shapeId="0" xr:uid="{879712AE-A898-F041-A6DB-13F891A6CCD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$ 162,40 FCQS</t>
        </r>
      </text>
    </comment>
    <comment ref="E286" authorId="2" shapeId="0" xr:uid="{4FCBBD54-4DA6-4E41-AFAD-51CF29DE36F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$ 619,36 FCQS
</t>
        </r>
      </text>
    </comment>
    <comment ref="E287" authorId="2" shapeId="0" xr:uid="{DB69251A-A43B-BF4A-A89E-73611F13B58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2:se incrementó $ 5.600,00 FCQS
</t>
        </r>
      </text>
    </comment>
    <comment ref="F288" authorId="4" shapeId="0" xr:uid="{FE8044B7-01CD-794C-A88B-00856F2ECDE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$ 41,11 FCS por efecto de informe de seguimiento.</t>
        </r>
      </text>
    </comment>
    <comment ref="F289" authorId="2" shapeId="0" xr:uid="{0FF5DE1F-88D7-FF45-A561-4C15BE2F35B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$ 21.280,00 DBUAC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$ 15.879,05, según memo N</t>
        </r>
        <r>
          <rPr>
            <sz val="9"/>
            <color rgb="FF000000"/>
            <rFont val="Tahoma"/>
            <family val="2"/>
          </rPr>
          <t>°</t>
        </r>
        <r>
          <rPr>
            <sz val="9"/>
            <color rgb="FF000000"/>
            <rFont val="Tahoma"/>
            <family val="2"/>
          </rPr>
          <t xml:space="preserve"> DBUAC-2023-0124-M_03032023</t>
        </r>
      </text>
    </comment>
    <comment ref="F291" authorId="1" shapeId="0" xr:uid="{D65CEE60-CA15-C84F-A1D1-DB9F5969D03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$ 1.037,14, según memo N</t>
        </r>
        <r>
          <rPr>
            <sz val="9"/>
            <color rgb="FF000000"/>
            <rFont val="Tahoma"/>
            <family val="2"/>
          </rPr>
          <t>°</t>
        </r>
        <r>
          <rPr>
            <sz val="9"/>
            <color rgb="FF000000"/>
            <rFont val="Tahoma"/>
            <family val="2"/>
          </rPr>
          <t xml:space="preserve"> DVIN-2023-0106-M_17032023</t>
        </r>
      </text>
    </comment>
    <comment ref="E294" authorId="0" shapeId="0" xr:uid="{4C6D644A-D9EE-E343-862D-1B48A432B429}">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Incremento de $ 70.000 para la 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 en el POA de FCE</t>
        </r>
      </text>
    </comment>
    <comment ref="E295" authorId="0" shapeId="0" xr:uid="{5DA67D49-09AC-7746-BBC7-466C2B53EB38}">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incrementa $804,20 para atender memo nro. UTMACH-FCS-D-2023-0831-M</t>
        </r>
      </text>
    </comment>
    <comment ref="E296" authorId="5" shapeId="0" xr:uid="{8F4C1909-3482-7044-A980-B7EF8F7AFA7A}">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$ 14.739,77 conforme archivo POA 2023.
</t>
        </r>
        <r>
          <rPr>
            <sz val="9"/>
            <color rgb="FF000000"/>
            <rFont val="Tahoma"/>
            <family val="2"/>
          </rPr>
          <t xml:space="preserve">
</t>
        </r>
        <r>
          <rPr>
            <sz val="9"/>
            <color rgb="FF000000"/>
            <rFont val="Tahoma"/>
            <family val="2"/>
          </rPr>
          <t>Se incrementó $ 5.107,94 FCQS</t>
        </r>
      </text>
    </comment>
    <comment ref="F296" authorId="1" shapeId="0" xr:uid="{69DA0DD3-0DF0-4140-8FC2-404B5B2AFF63}">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$ 2.132,48,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$ 301,20 DBUAC por efecto de informe de seguimiento. (Cert. N</t>
        </r>
        <r>
          <rPr>
            <sz val="9"/>
            <color rgb="FF000000"/>
            <rFont val="Tahoma"/>
            <family val="2"/>
          </rPr>
          <t>°</t>
        </r>
        <r>
          <rPr>
            <sz val="9"/>
            <color rgb="FF000000"/>
            <rFont val="Tahoma"/>
            <family val="2"/>
          </rPr>
          <t xml:space="preserve"> 214 y 201)</t>
        </r>
      </text>
    </comment>
    <comment ref="E297" authorId="3" shapeId="0" xr:uid="{462625F0-7F90-CC47-807F-90ACA2806790}">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incrementó $ 8.042,47+134,40 según memo N 0604 FCQS_25052023
</t>
        </r>
        <r>
          <rPr>
            <sz val="9"/>
            <color rgb="FF000000"/>
            <rFont val="Tahoma"/>
            <family val="2"/>
          </rPr>
          <t xml:space="preserve">
</t>
        </r>
        <r>
          <rPr>
            <sz val="8"/>
            <color rgb="FF000000"/>
            <rFont val="Arial"/>
            <family val="2"/>
            <scheme val="minor"/>
          </rPr>
          <t xml:space="preserve">Reforma nro. 004:
</t>
        </r>
        <r>
          <rPr>
            <sz val="8"/>
            <color rgb="FF000000"/>
            <rFont val="Arial"/>
            <family val="2"/>
            <scheme val="minor"/>
          </rPr>
          <t xml:space="preserve">
</t>
        </r>
        <r>
          <rPr>
            <sz val="8"/>
            <color rgb="FF000000"/>
            <rFont val="Arial"/>
            <family val="2"/>
            <scheme val="minor"/>
          </rPr>
          <t>Se incrementa $ 260,96 en atención al memo nro. FCQS-D-2023-0960-M.</t>
        </r>
        <r>
          <rPr>
            <sz val="8"/>
            <color rgb="FF000000"/>
            <rFont val="Arial"/>
            <family val="2"/>
            <scheme val="minor"/>
          </rPr>
          <t xml:space="preserve">
</t>
        </r>
      </text>
    </comment>
    <comment ref="F297" authorId="0" shapeId="0" xr:uid="{6842C78F-3D5C-1145-8C0F-A973AEBEBE74}">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reduce $ 2.442,47 en atención al memo nro. FCQS-D-2023-0905-M.</t>
        </r>
      </text>
    </comment>
    <comment ref="E298" authorId="5" shapeId="0" xr:uid="{19A76167-6A50-6040-8A24-8E6AD33669BB}">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incrementó $ 20.678,10 conforme archivo POA 2023.
</t>
        </r>
        <r>
          <rPr>
            <sz val="8"/>
            <color rgb="FF000000"/>
            <rFont val="Tahoma"/>
            <family val="34"/>
          </rPr>
          <t xml:space="preserve">
</t>
        </r>
        <r>
          <rPr>
            <sz val="8"/>
            <color rgb="FF000000"/>
            <rFont val="Tahoma"/>
            <family val="34"/>
          </rPr>
          <t xml:space="preserve">Se incrementó $ 5.308,80 por contrato de año anterior para adquisición de proyectores de imagen. TICS
</t>
        </r>
        <r>
          <rPr>
            <sz val="8"/>
            <color rgb="FF000000"/>
            <rFont val="Tahoma"/>
            <family val="34"/>
          </rPr>
          <t xml:space="preserve">
</t>
        </r>
        <r>
          <rPr>
            <sz val="8"/>
            <color rgb="FF000000"/>
            <rFont val="Tahoma"/>
            <family val="34"/>
          </rPr>
          <t xml:space="preserve">Se incrementó $ 9.924,07 FCQS
</t>
        </r>
        <r>
          <rPr>
            <sz val="8"/>
            <color rgb="FF000000"/>
            <rFont val="Tahoma"/>
            <family val="34"/>
          </rPr>
          <t xml:space="preserve">
</t>
        </r>
        <r>
          <rPr>
            <b/>
            <sz val="8"/>
            <color rgb="FF000000"/>
            <rFont val="Tahoma"/>
            <family val="34"/>
          </rPr>
          <t>Reforma N</t>
        </r>
        <r>
          <rPr>
            <b/>
            <sz val="8"/>
            <color rgb="FF000000"/>
            <rFont val="Tahoma"/>
            <family val="34"/>
          </rPr>
          <t>°</t>
        </r>
        <r>
          <rPr>
            <b/>
            <sz val="8"/>
            <color rgb="FF000000"/>
            <rFont val="Tahoma"/>
            <family val="34"/>
          </rPr>
          <t xml:space="preserve"> 3:
</t>
        </r>
        <r>
          <rPr>
            <sz val="8"/>
            <color rgb="FF000000"/>
            <rFont val="Tahoma"/>
            <family val="34"/>
          </rPr>
          <t>Se incrementó $ 2.265,62, según memo N</t>
        </r>
        <r>
          <rPr>
            <sz val="8"/>
            <color rgb="FF000000"/>
            <rFont val="Tahoma"/>
            <family val="34"/>
          </rPr>
          <t>°</t>
        </r>
        <r>
          <rPr>
            <sz val="8"/>
            <color rgb="FF000000"/>
            <rFont val="Tahoma"/>
            <family val="34"/>
          </rPr>
          <t xml:space="preserve"> DVIN-2023-0106-M_17032023
</t>
        </r>
        <r>
          <rPr>
            <sz val="8"/>
            <color rgb="FF000000"/>
            <rFont val="Tahoma"/>
            <family val="34"/>
          </rPr>
          <t xml:space="preserve">Se incrementó $1.568,00 por atención de memo N 231 DVIN.         
</t>
        </r>
        <r>
          <rPr>
            <sz val="8"/>
            <color rgb="FF000000"/>
            <rFont val="Tahoma"/>
            <family val="34"/>
          </rPr>
          <t xml:space="preserve">    El incremento total de DVIN  = $4.005,12
</t>
        </r>
        <r>
          <rPr>
            <sz val="8"/>
            <color rgb="FF000000"/>
            <rFont val="Tahoma"/>
            <family val="34"/>
          </rPr>
          <t xml:space="preserve">
</t>
        </r>
        <r>
          <rPr>
            <sz val="8"/>
            <color rgb="FF000000"/>
            <rFont val="Tahoma"/>
            <family val="34"/>
          </rPr>
          <t>Se incrementó $ 15.879,05, según memo N</t>
        </r>
        <r>
          <rPr>
            <sz val="8"/>
            <color rgb="FF000000"/>
            <rFont val="Tahoma"/>
            <family val="34"/>
          </rPr>
          <t>°</t>
        </r>
        <r>
          <rPr>
            <sz val="8"/>
            <color rgb="FF000000"/>
            <rFont val="Tahoma"/>
            <family val="34"/>
          </rPr>
          <t xml:space="preserve"> DBUAC-2023-0124-M_03032023
</t>
        </r>
        <r>
          <rPr>
            <sz val="8"/>
            <color rgb="FF000000"/>
            <rFont val="Tahoma"/>
            <family val="34"/>
          </rPr>
          <t xml:space="preserve">
</t>
        </r>
        <r>
          <rPr>
            <sz val="8"/>
            <color rgb="FF000000"/>
            <rFont val="Tahoma"/>
            <family val="34"/>
          </rPr>
          <t xml:space="preserve">Se incrementó $12.549,71 por cuadre de financiamiento del POA
</t>
        </r>
        <r>
          <rPr>
            <sz val="8"/>
            <color rgb="FF000000"/>
            <rFont val="Tahoma"/>
            <family val="34"/>
          </rPr>
          <t xml:space="preserve">
</t>
        </r>
        <r>
          <rPr>
            <sz val="8"/>
            <color rgb="FF000000"/>
            <rFont val="Tahoma"/>
            <family val="34"/>
          </rPr>
          <t xml:space="preserve">Reforma nro. 004
</t>
        </r>
        <r>
          <rPr>
            <sz val="8"/>
            <color rgb="FF000000"/>
            <rFont val="Tahoma"/>
            <family val="34"/>
          </rPr>
          <t xml:space="preserve">
</t>
        </r>
        <r>
          <rPr>
            <sz val="8"/>
            <color rgb="FF000000"/>
            <rFont val="Arial"/>
            <family val="2"/>
          </rPr>
          <t xml:space="preserve">Se aumenta $ 4.032,00 en el POA de DV en atención al memo nro. DVIN-2023-0363
</t>
        </r>
        <r>
          <rPr>
            <sz val="8"/>
            <color rgb="FF000000"/>
            <rFont val="Arial"/>
            <family val="2"/>
          </rPr>
          <t xml:space="preserve">
</t>
        </r>
        <r>
          <rPr>
            <sz val="8"/>
            <color rgb="FF000000"/>
            <rFont val="Arial"/>
            <family val="2"/>
          </rPr>
          <t>Se aumenta $ 10,21 en el POA de FCQS para atender memo nro. FCQS-D-2023-0905-M</t>
        </r>
      </text>
    </comment>
    <comment ref="F298" authorId="3" shapeId="0" xr:uid="{6FC86A2A-B5F3-0741-A0A8-474AADD3A0E1}">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$1.568 + $4009,60 = $5.577,60 según memo N FCS 460
</t>
        </r>
        <r>
          <rPr>
            <sz val="9"/>
            <color rgb="FF000000"/>
            <rFont val="Tahoma"/>
            <family val="2"/>
          </rPr>
          <t xml:space="preserve">
</t>
        </r>
        <r>
          <rPr>
            <sz val="9"/>
            <color rgb="FF000000"/>
            <rFont val="Tahoma"/>
            <family val="2"/>
          </rPr>
          <t xml:space="preserve">Se reduce $3.528,00 según memo DEC 075
</t>
        </r>
        <r>
          <rPr>
            <sz val="9"/>
            <color rgb="FF000000"/>
            <rFont val="Tahoma"/>
            <family val="2"/>
          </rPr>
          <t xml:space="preserve">
</t>
        </r>
        <r>
          <rPr>
            <sz val="9"/>
            <color rgb="FF000000"/>
            <rFont val="Tahoma"/>
            <family val="2"/>
          </rPr>
          <t xml:space="preserve">Se redujo $1.904,87+3.136,00+3.136,00= $8.176,87 según memo N 0604 FCQS_25052023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$ 373,00 FCS por efecto de informe de seguimiento (Cert. N</t>
        </r>
        <r>
          <rPr>
            <sz val="9"/>
            <color rgb="FF000000"/>
            <rFont val="Tahoma"/>
            <family val="2"/>
          </rPr>
          <t>°</t>
        </r>
        <r>
          <rPr>
            <sz val="9"/>
            <color rgb="FF000000"/>
            <rFont val="Tahoma"/>
            <family val="2"/>
          </rPr>
          <t xml:space="preserve"> 262).
</t>
        </r>
        <r>
          <rPr>
            <sz val="9"/>
            <color rgb="FF000000"/>
            <rFont val="Tahoma"/>
            <family val="2"/>
          </rPr>
          <t xml:space="preserve">
</t>
        </r>
        <r>
          <rPr>
            <sz val="10"/>
            <color rgb="FF000000"/>
            <rFont val="Arial"/>
            <family val="2"/>
          </rPr>
          <t>Se reduce $ 1.344,00 en el POA de DV en atención al memo nro. DVIN-2023-0363</t>
        </r>
        <r>
          <rPr>
            <sz val="9"/>
            <color rgb="FF000000"/>
            <rFont val="Arial"/>
            <family val="2"/>
          </rPr>
          <t xml:space="preserve">
</t>
        </r>
        <r>
          <rPr>
            <sz val="9"/>
            <color rgb="FF000000"/>
            <rFont val="Tahoma"/>
            <family val="2"/>
          </rPr>
          <t xml:space="preserve">
</t>
        </r>
        <r>
          <rPr>
            <sz val="8"/>
            <color rgb="FF000000"/>
            <rFont val="Arial"/>
            <family val="2"/>
          </rPr>
          <t xml:space="preserve">Se reduce $ 260,93 (memo nro. FCQS-D-2023-0960) + $ 72,80 + $ 126,02 + $ 293,48 + $ 164,24 en atención al memo nro. FCQS-D-2023-0905-M.
</t>
        </r>
      </text>
    </comment>
    <comment ref="E299" authorId="5" shapeId="0" xr:uid="{D3B68390-727C-6340-9488-C44435A01ED9}">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$ 21.446,90 conforme archivo POA 2023.
</t>
        </r>
        <r>
          <rPr>
            <sz val="9"/>
            <color rgb="FF000000"/>
            <rFont val="Tahoma"/>
            <family val="2"/>
          </rPr>
          <t xml:space="preserve">
</t>
        </r>
        <r>
          <rPr>
            <sz val="9"/>
            <color rgb="FF000000"/>
            <rFont val="Tahoma"/>
            <family val="2"/>
          </rPr>
          <t xml:space="preserve">Se incrementó $ 336,01 FCQS
</t>
        </r>
        <r>
          <rPr>
            <sz val="9"/>
            <color rgb="FF000000"/>
            <rFont val="Tahoma"/>
            <family val="2"/>
          </rPr>
          <t xml:space="preserve">
</t>
        </r>
        <r>
          <rPr>
            <sz val="9"/>
            <color rgb="FF000000"/>
            <rFont val="Tahoma"/>
            <family val="2"/>
          </rPr>
          <t xml:space="preserve">Reforma 3:
</t>
        </r>
        <r>
          <rPr>
            <sz val="9"/>
            <color rgb="FF000000"/>
            <rFont val="Tahoma"/>
            <family val="2"/>
          </rPr>
          <t xml:space="preserve">Se incrementó $26.880,00 por atención de memo N 231 DVIN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8"/>
            <color rgb="FF000000"/>
            <rFont val="Arial"/>
            <family val="2"/>
          </rPr>
          <t xml:space="preserve">Se aumenta $ 1.344,00 en el POA de DV en atención al memo nro. DVIN-2023-0363
</t>
        </r>
      </text>
    </comment>
    <comment ref="F299" authorId="1" shapeId="0" xr:uid="{290829B9-8742-E344-8481-65A901181DC3}">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$ 133,14,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sz val="9"/>
            <color rgb="FF000000"/>
            <rFont val="Tahoma"/>
            <family val="2"/>
          </rPr>
          <t xml:space="preserve">Se redujo $1800,02 según memo N FCS-2023-0460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$ 840,00+318,00 FCS por efecto de informe de seguimiento.
</t>
        </r>
        <r>
          <rPr>
            <sz val="9"/>
            <color rgb="FF000000"/>
            <rFont val="Tahoma"/>
            <family val="2"/>
          </rPr>
          <t xml:space="preserve">
</t>
        </r>
        <r>
          <rPr>
            <sz val="9"/>
            <color rgb="FF000000"/>
            <rFont val="Tahoma"/>
            <family val="2"/>
          </rPr>
          <t xml:space="preserve">Se redujo $ 48,00 FCA por efecto de informe de seguimiento.
</t>
        </r>
        <r>
          <rPr>
            <sz val="9"/>
            <color rgb="FF000000"/>
            <rFont val="Tahoma"/>
            <family val="2"/>
          </rPr>
          <t xml:space="preserve">
</t>
        </r>
        <r>
          <rPr>
            <sz val="9"/>
            <color rgb="FF000000"/>
            <rFont val="Tahoma"/>
            <family val="2"/>
          </rPr>
          <t>Se reduce $4.032,00 en el POA de DV en atención al memo nro. DVIN-2023-0363</t>
        </r>
      </text>
    </comment>
    <comment ref="E300" authorId="2" shapeId="0" xr:uid="{CB8A228E-4C5F-A647-8259-69E6ECE8832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$ 5.600,00 FCQS</t>
        </r>
      </text>
    </comment>
    <comment ref="F300" authorId="0" shapeId="0" xr:uid="{3B7EB2EE-976F-954B-9B58-3B9933302AF0}">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Arial"/>
            <family val="2"/>
            <scheme val="minor"/>
          </rPr>
          <t xml:space="preserve">Reforma nro. 004:
</t>
        </r>
        <r>
          <rPr>
            <sz val="8"/>
            <color rgb="FF000000"/>
            <rFont val="Arial"/>
            <family val="2"/>
            <scheme val="minor"/>
          </rPr>
          <t xml:space="preserve">
</t>
        </r>
        <r>
          <rPr>
            <sz val="8"/>
            <color rgb="FF000000"/>
            <rFont val="Arial"/>
            <family val="2"/>
            <scheme val="minor"/>
          </rPr>
          <t>Se reduce $ 482,23 en atención al memo nro. FCQS-D-2023-0905-M.</t>
        </r>
        <r>
          <rPr>
            <sz val="8"/>
            <color rgb="FF000000"/>
            <rFont val="Arial"/>
            <family val="2"/>
            <scheme val="minor"/>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HP</author>
    <author>LENOVO</author>
    <author>Microsoft Office User</author>
    <author>Valeria Ramon Capa</author>
    <author>Admin</author>
    <author>Eunice Basilio</author>
  </authors>
  <commentList>
    <comment ref="D8" authorId="0" shapeId="0" xr:uid="{AD5D609E-E472-A14C-9014-2C1BEB5C8855}">
      <text>
        <r>
          <rPr>
            <b/>
            <sz val="9"/>
            <color rgb="FF000000"/>
            <rFont val="Tahoma"/>
            <family val="2"/>
          </rPr>
          <t>HP:
Reforma N° 2:</t>
        </r>
        <r>
          <rPr>
            <sz val="9"/>
            <color rgb="FF000000"/>
            <rFont val="Tahoma"/>
            <family val="2"/>
          </rPr>
          <t xml:space="preserve">
Se incrementó 11.154,42 (sin IVA) para Repotenciación de la Línea de Media Tensión 13200 VAC, en el Campus principal de la UTMACH. - UTMACH EP.
</t>
        </r>
        <r>
          <rPr>
            <b/>
            <sz val="9"/>
            <color rgb="FF000000"/>
            <rFont val="Tahoma"/>
            <family val="2"/>
          </rPr>
          <t>Reforma nro. 004:</t>
        </r>
        <r>
          <rPr>
            <sz val="9"/>
            <color rgb="FF000000"/>
            <rFont val="Tahoma"/>
            <family val="2"/>
          </rPr>
          <t xml:space="preserve">
Incorporación de ingreso por $ 12.399,18 del convenio del MIES.</t>
        </r>
      </text>
    </comment>
    <comment ref="D9" authorId="0" shapeId="0" xr:uid="{F8AAE033-45A3-254F-BA25-A0F083105EB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11.154,42 (sin IVA) para Repotenciación de la Línea de Media Tensión 13200 VAC, en el Campus principal de la UTMACH. - UTMACH EP</t>
        </r>
      </text>
    </comment>
    <comment ref="E15" authorId="1" shapeId="0" xr:uid="{8273078A-803C-A64B-87DD-DC413F1A3FA8}">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 xml:space="preserve">Se reduce $ 30.000,00 para financiar Décimo Tercer Sueldo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reduce $ 30.000,00 para financiar segundo plan de jubilación de la UTMACH, previsto a planificarse en septiembre.</t>
        </r>
        <r>
          <rPr>
            <sz val="9"/>
            <color rgb="FF000000"/>
            <rFont val="Arial"/>
            <family val="2"/>
          </rPr>
          <t xml:space="preserve">
</t>
        </r>
      </text>
    </comment>
    <comment ref="E16" authorId="1" shapeId="0" xr:uid="{1AE8F0C6-9EEE-2B40-BC8E-DA6E36385186}">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 xml:space="preserve">Se reduce $ 20.000,00 para financiar Décimo Tercer Sueldo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reduce $ 60.000,00 para financiar segundo plan de jubilación de la UTMACH, previsto a planificarse en septiembre.</t>
        </r>
        <r>
          <rPr>
            <sz val="9"/>
            <color rgb="FF000000"/>
            <rFont val="Arial"/>
            <family val="2"/>
          </rPr>
          <t xml:space="preserve">
</t>
        </r>
      </text>
    </comment>
    <comment ref="E17" authorId="2" shapeId="0" xr:uid="{7AFAD60F-E90C-1943-AE12-DA0051721EEA}">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$ 10.000,00 para financiar segundo plan de jubilación de la UTMACH, previsto a planificarse en septiembre.
</t>
        </r>
      </text>
    </comment>
    <comment ref="E18" authorId="1" shapeId="0" xr:uid="{0418B7C5-1078-6746-83D8-82BE6F9075A0}">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reduce $2.000,00 para cubrir vacaciones.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Calibri"/>
            <family val="2"/>
          </rPr>
          <t>Se reduce $ 10.000,00 para financiar segundo plan de jubilación de la UTMACH, previsto a planificarse en septiembre.</t>
        </r>
        <r>
          <rPr>
            <sz val="9"/>
            <color rgb="FF000000"/>
            <rFont val="Calibri"/>
            <family val="2"/>
          </rPr>
          <t xml:space="preserve">
</t>
        </r>
      </text>
    </comment>
    <comment ref="E19" authorId="1" shapeId="0" xr:uid="{7F3E6729-E6D4-DC43-8AC4-A98DC6BE5C6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reduce $2.000,00 para cubrir vacaciones.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text>
    </comment>
    <comment ref="D20" authorId="2" shapeId="0" xr:uid="{2E4FF9BB-E3C2-BF49-BF41-19EF14B1694B}">
      <text>
        <r>
          <rPr>
            <b/>
            <sz val="10"/>
            <color rgb="FF000000"/>
            <rFont val="Tahoma"/>
            <family val="2"/>
          </rPr>
          <t xml:space="preserve">Microsoft Office User:
</t>
        </r>
        <r>
          <rPr>
            <b/>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$ 7.000 para financiar indemnizaciones 
</t>
        </r>
        <r>
          <rPr>
            <sz val="10"/>
            <color rgb="FF000000"/>
            <rFont val="Arial"/>
            <family val="2"/>
          </rPr>
          <t xml:space="preserve">por renuncia voluntaria, conforme lo indicado en la tabla 4 del </t>
        </r>
        <r>
          <rPr>
            <sz val="10"/>
            <color rgb="FF000000"/>
            <rFont val="Calibri"/>
            <family val="2"/>
          </rPr>
          <t>Memorando nro. UTMACH-DTH-2023-1164-M</t>
        </r>
      </text>
    </comment>
    <comment ref="D21" authorId="2" shapeId="0" xr:uid="{85D9CBD7-625C-BF48-8A86-084CFAEDF73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incrementa $ 7.000 para financiar indemnizaciones por renuncia voluntaria, conforme lo indicado en la tabla 4 del Memorando nro. UTMACH-DTH-2023-1164-M
</t>
        </r>
      </text>
    </comment>
    <comment ref="D22" authorId="2" shapeId="0" xr:uid="{FC73C55C-AC33-FF46-94AA-1D9FD392FC2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Calibri"/>
            <family val="2"/>
          </rPr>
          <t xml:space="preserve">Reforma nro. 004:
</t>
        </r>
        <r>
          <rPr>
            <sz val="8"/>
            <color rgb="FF000000"/>
            <rFont val="Calibri"/>
            <family val="2"/>
          </rPr>
          <t xml:space="preserve">Se incrementa $ 7.000 para financiar indemnizaciones por renuncia voluntaria, conforme lo indicado en la tabla 4 del Memorando nro. UTMACH-DTH-2023-1164-M
</t>
        </r>
      </text>
    </comment>
    <comment ref="D23" authorId="0" shapeId="0" xr:uid="{EB838630-173F-0E47-B3A2-2F5C534220A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$ 28.000,00 por contrato año anterior para adquisición de SIMCARD DBU</t>
        </r>
      </text>
    </comment>
    <comment ref="E23" authorId="3" shapeId="0" xr:uid="{2E5D1BC4-8ADB-BD45-8EC0-5A578ADC91A4}">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redujo $2.000,00 a DBUAC en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$ 23.313,24 DBUAC por efecto de informe de seguimiento, por cuanto no se ha solictado el pago a la presente fecha y no se ha dado información por la parte requirente.</t>
        </r>
      </text>
    </comment>
    <comment ref="D24" authorId="2" shapeId="0" xr:uid="{E0BA5D36-09DF-D248-B41A-DBB07933FAD9}">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incrementa $ 9.000,00 en el POA de DADM por atención del memo nro. DF-2023-0282-M.</t>
        </r>
      </text>
    </comment>
    <comment ref="E24" authorId="0" shapeId="0" xr:uid="{D9BF58FA-C19B-744E-9B1E-B514060EAC8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$ 28.000,00 por adquisición de SIMCARD DBU, contrato que ya estaba en el POA.
</t>
        </r>
        <r>
          <rPr>
            <sz val="9"/>
            <color rgb="FF000000"/>
            <rFont val="Tahoma"/>
            <family val="2"/>
          </rPr>
          <t xml:space="preserve">
</t>
        </r>
        <r>
          <rPr>
            <sz val="9"/>
            <color rgb="FF000000"/>
            <rFont val="Tahoma"/>
            <family val="2"/>
          </rPr>
          <t>Se redujo $ 14.000,00 para cubrir liquidaciones por juicios en la partida N</t>
        </r>
        <r>
          <rPr>
            <sz val="9"/>
            <color rgb="FF000000"/>
            <rFont val="Tahoma"/>
            <family val="2"/>
          </rPr>
          <t>°</t>
        </r>
        <r>
          <rPr>
            <sz val="9"/>
            <color rgb="FF000000"/>
            <rFont val="Tahoma"/>
            <family val="2"/>
          </rPr>
          <t xml:space="preserve"> 990101 0701 003 en el programa 82</t>
        </r>
      </text>
    </comment>
    <comment ref="D25" authorId="1" shapeId="0" xr:uid="{B8CB7F19-0E81-3A47-9713-414FAF6000D5}">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t>
        </r>
      </text>
    </comment>
    <comment ref="E25" authorId="0" shapeId="0" xr:uid="{191DF08B-BC74-CA47-A65B-6560EFB9566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$ 1.000,00 para cubrir liquidaciones por juicios en la partida N</t>
        </r>
        <r>
          <rPr>
            <sz val="9"/>
            <color rgb="FF000000"/>
            <rFont val="Tahoma"/>
            <family val="2"/>
          </rPr>
          <t>°</t>
        </r>
        <r>
          <rPr>
            <sz val="9"/>
            <color rgb="FF000000"/>
            <rFont val="Tahoma"/>
            <family val="2"/>
          </rPr>
          <t xml:space="preserve"> 990101 0701 003 en el programa 82
</t>
        </r>
        <r>
          <rPr>
            <sz val="9"/>
            <color rgb="FF000000"/>
            <rFont val="Tahoma"/>
            <family val="2"/>
          </rPr>
          <t xml:space="preserve">
</t>
        </r>
        <r>
          <rPr>
            <sz val="9"/>
            <color rgb="FF000000"/>
            <rFont val="Tahoma"/>
            <family val="2"/>
          </rPr>
          <t xml:space="preserve">Reforma nro. 4:
</t>
        </r>
        <r>
          <rPr>
            <sz val="9"/>
            <color rgb="FF000000"/>
            <rFont val="Tahoma"/>
            <family val="2"/>
          </rPr>
          <t>Se reduce $ 2.160,00 en el POA de SG para atender el memo nro. SG-2023-0213-M.</t>
        </r>
      </text>
    </comment>
    <comment ref="D26" authorId="0" shapeId="0" xr:uid="{1CBA6281-7723-254C-9635-04058417D43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$ 15.000,00 DIRCOM por efecto de informe de seguimiento.</t>
        </r>
      </text>
    </comment>
    <comment ref="D27" authorId="1" shapeId="0" xr:uid="{E5921013-3C5A-9D42-80EB-2484352E276A}">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$ 26.320,00+3.139,70, según memo N</t>
        </r>
        <r>
          <rPr>
            <sz val="9"/>
            <color rgb="FF000000"/>
            <rFont val="Tahoma"/>
            <family val="34"/>
          </rPr>
          <t>°</t>
        </r>
        <r>
          <rPr>
            <sz val="9"/>
            <color rgb="FF000000"/>
            <rFont val="Tahoma"/>
            <family val="34"/>
          </rPr>
          <t xml:space="preserve"> DBUAC-2023-0124-M_03032023, reducción de (13.160,00-200) a DBUAC por atención de Memo N 0399 de DADM y en virtud del seguimiento 
</t>
        </r>
        <r>
          <rPr>
            <sz val="9"/>
            <color rgb="FF000000"/>
            <rFont val="Tahoma"/>
            <family val="34"/>
          </rPr>
          <t xml:space="preserve">
</t>
        </r>
        <r>
          <rPr>
            <sz val="9"/>
            <color rgb="FF000000"/>
            <rFont val="Tahoma"/>
            <family val="34"/>
          </rPr>
          <t>-Se incrementó $ 100,00 según memo N</t>
        </r>
        <r>
          <rPr>
            <sz val="9"/>
            <color rgb="FF000000"/>
            <rFont val="Tahoma"/>
            <family val="34"/>
          </rPr>
          <t>°</t>
        </r>
        <r>
          <rPr>
            <sz val="9"/>
            <color rgb="FF000000"/>
            <rFont val="Tahoma"/>
            <family val="34"/>
          </rPr>
          <t xml:space="preserve"> DADM-2023-0335-M_16052023
</t>
        </r>
        <r>
          <rPr>
            <sz val="9"/>
            <color rgb="FF000000"/>
            <rFont val="Tahoma"/>
            <family val="34"/>
          </rPr>
          <t xml:space="preserve">
</t>
        </r>
        <r>
          <rPr>
            <sz val="9"/>
            <color rgb="FF000000"/>
            <rFont val="Tahoma"/>
            <family val="34"/>
          </rPr>
          <t xml:space="preserve">-Se incrementó $3.144,06 según memo Nro DF-UT-2023-0116-M_10042023
</t>
        </r>
        <r>
          <rPr>
            <sz val="9"/>
            <color rgb="FF000000"/>
            <rFont val="Tahoma"/>
            <family val="34"/>
          </rPr>
          <t xml:space="preserve">
</t>
        </r>
        <r>
          <rPr>
            <sz val="9"/>
            <color rgb="FF000000"/>
            <rFont val="Tahoma"/>
            <family val="34"/>
          </rPr>
          <t xml:space="preserve">Reforma nro. 004:
</t>
        </r>
        <r>
          <rPr>
            <sz val="9"/>
            <color rgb="FF000000"/>
            <rFont val="Tahoma"/>
            <family val="34"/>
          </rPr>
          <t xml:space="preserve">
</t>
        </r>
        <r>
          <rPr>
            <sz val="9"/>
            <color rgb="FF000000"/>
            <rFont val="Tahoma"/>
            <family val="34"/>
          </rPr>
          <t>Se incrementa $ 388,16 en el POA de SG para atender el memo nro. SG-2023-0213-M</t>
        </r>
      </text>
    </comment>
    <comment ref="E27" authorId="3" shapeId="0" xr:uid="{90F07AFD-F6E1-9D4F-9A4D-9AB2501E2751}">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
</t>
        </r>
        <r>
          <rPr>
            <sz val="9"/>
            <color rgb="FF000000"/>
            <rFont val="Tahoma"/>
            <family val="2"/>
          </rPr>
          <t xml:space="preserve">Se reduce $234,08 por memo VADM 382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$ 820,00 Procuraduria Gral. por efecto de informe de seguimiento.
</t>
        </r>
        <r>
          <rPr>
            <sz val="9"/>
            <color rgb="FF000000"/>
            <rFont val="Tahoma"/>
            <family val="2"/>
          </rPr>
          <t xml:space="preserve">
</t>
        </r>
        <r>
          <rPr>
            <sz val="9"/>
            <color rgb="FF000000"/>
            <rFont val="Tahoma"/>
            <family val="2"/>
          </rPr>
          <t>Se redujo $ 1.269,00 y $ 2.033,88 (Certif. N</t>
        </r>
        <r>
          <rPr>
            <sz val="9"/>
            <color rgb="FF000000"/>
            <rFont val="Tahoma"/>
            <family val="2"/>
          </rPr>
          <t>°</t>
        </r>
        <r>
          <rPr>
            <sz val="9"/>
            <color rgb="FF000000"/>
            <rFont val="Tahoma"/>
            <family val="2"/>
          </rPr>
          <t xml:space="preserve"> 174) DIRCOM por efecto de informe de seguimiento.
</t>
        </r>
        <r>
          <rPr>
            <sz val="9"/>
            <color rgb="FF000000"/>
            <rFont val="Tahoma"/>
            <family val="2"/>
          </rPr>
          <t xml:space="preserve">
</t>
        </r>
        <r>
          <rPr>
            <sz val="9"/>
            <color rgb="FF000000"/>
            <rFont val="Tahoma"/>
            <family val="2"/>
          </rPr>
          <t>Se redujo $ 100,90 DBUAC por efecto de informe de seguimiento. (Cert. N</t>
        </r>
        <r>
          <rPr>
            <sz val="9"/>
            <color rgb="FF000000"/>
            <rFont val="Tahoma"/>
            <family val="2"/>
          </rPr>
          <t>°</t>
        </r>
        <r>
          <rPr>
            <sz val="9"/>
            <color rgb="FF000000"/>
            <rFont val="Tahoma"/>
            <family val="2"/>
          </rPr>
          <t xml:space="preserve"> 331)</t>
        </r>
      </text>
    </comment>
    <comment ref="D28" authorId="2" shapeId="0" xr:uid="{53DE2F01-EAD2-0B40-B09E-F33405392F6B}">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$ 3.000,00 por efectos de seguimiento y reunión de coordinación.</t>
        </r>
      </text>
    </comment>
    <comment ref="D29" authorId="3" shapeId="0" xr:uid="{28E8B662-B6FB-EB41-8333-57FA4B083B3D}">
      <text>
        <r>
          <rPr>
            <b/>
            <sz val="9"/>
            <color rgb="FF000000"/>
            <rFont val="Tahoma"/>
            <family val="2"/>
          </rPr>
          <t>Valeria Ramon Capa:</t>
        </r>
        <r>
          <rPr>
            <sz val="10"/>
            <color rgb="FF000000"/>
            <rFont val="Tahoma"/>
            <family val="2"/>
          </rPr>
          <t xml:space="preserve">
</t>
        </r>
        <r>
          <rPr>
            <sz val="9"/>
            <color rgb="FF000000"/>
            <rFont val="Tahoma"/>
            <family val="2"/>
          </rPr>
          <t xml:space="preserve">Reforma N 3:
</t>
        </r>
        <r>
          <rPr>
            <sz val="9"/>
            <color rgb="FF000000"/>
            <rFont val="Tahoma"/>
            <family val="2"/>
          </rPr>
          <t>Se incrementó $34.000 por cambio de fuente de 003 a 002 en DirCom</t>
        </r>
      </text>
    </comment>
    <comment ref="E29" authorId="4" shapeId="0" xr:uid="{8154565F-9088-4A40-80A4-731DF399E45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DIRCOM por efecto de informe de seguimiento.</t>
        </r>
      </text>
    </comment>
    <comment ref="D30" authorId="0" shapeId="0" xr:uid="{07D72A35-B907-CC44-90A7-AB4ACB3462A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$ 194.032,61, según Oficio N</t>
        </r>
        <r>
          <rPr>
            <sz val="9"/>
            <color rgb="FF000000"/>
            <rFont val="Tahoma"/>
            <family val="2"/>
          </rPr>
          <t>°</t>
        </r>
        <r>
          <rPr>
            <sz val="9"/>
            <color rgb="FF000000"/>
            <rFont val="Tahoma"/>
            <family val="2"/>
          </rPr>
          <t xml:space="preserve"> UTMACH-DADM-2023-0016-OF del 10/01/2023
</t>
        </r>
        <r>
          <rPr>
            <sz val="9"/>
            <color rgb="FF000000"/>
            <rFont val="Tahoma"/>
            <family val="2"/>
          </rPr>
          <t xml:space="preserve">
</t>
        </r>
        <r>
          <rPr>
            <b/>
            <sz val="9"/>
            <color rgb="FF000000"/>
            <rFont val="Tahoma"/>
            <family val="2"/>
          </rPr>
          <t xml:space="preserve">Reforma N 3: 
</t>
        </r>
        <r>
          <rPr>
            <sz val="9"/>
            <color rgb="FF000000"/>
            <rFont val="Tahoma"/>
            <family val="2"/>
          </rPr>
          <t>Se incrementó $190.089,58 según memo N</t>
        </r>
        <r>
          <rPr>
            <sz val="9"/>
            <color rgb="FF000000"/>
            <rFont val="Tahoma"/>
            <family val="2"/>
          </rPr>
          <t>°</t>
        </r>
        <r>
          <rPr>
            <sz val="9"/>
            <color rgb="FF000000"/>
            <rFont val="Tahoma"/>
            <family val="2"/>
          </rPr>
          <t xml:space="preserve"> VADM 382</t>
        </r>
      </text>
    </comment>
    <comment ref="E30" authorId="3" shapeId="0" xr:uid="{DC42DEA5-DE14-C843-B470-519420678320}">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Se reduce $6.000,00 a Dadm por cuadre de fuentes
</t>
        </r>
        <r>
          <rPr>
            <sz val="10"/>
            <color rgb="FF000000"/>
            <rFont val="Tahoma"/>
            <family val="2"/>
          </rPr>
          <t xml:space="preserve">
</t>
        </r>
        <r>
          <rPr>
            <b/>
            <sz val="10"/>
            <color rgb="FF000000"/>
            <rFont val="Tahoma"/>
            <family val="2"/>
          </rPr>
          <t xml:space="preserve">Reforma nro. 004
</t>
        </r>
        <r>
          <rPr>
            <sz val="10"/>
            <color rgb="FF000000"/>
            <rFont val="Tahoma"/>
            <family val="2"/>
          </rPr>
          <t xml:space="preserve">
</t>
        </r>
        <r>
          <rPr>
            <sz val="10"/>
            <color rgb="FF000000"/>
            <rFont val="Tahoma"/>
            <family val="2"/>
          </rPr>
          <t>Se reduce $128.000,00 por efectos de modificación de compromiso presupuestario para que se planifique en el 2024 las planillas que corresponden a ese año, dentro del POA de DADM (</t>
        </r>
        <r>
          <rPr>
            <sz val="10"/>
            <color rgb="FF000000"/>
            <rFont val="Arial"/>
            <family val="2"/>
          </rPr>
          <t>Memorando nro. UTMACH-DPLAN-2023-0230-M)</t>
        </r>
      </text>
    </comment>
    <comment ref="D31" authorId="0" shapeId="0" xr:uid="{551FF5A2-8FAD-864C-AF9C-0014EBF439D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$ 31.207,68 para el servicio de limpieza en atención memo nro. UTMACH-DADM-2023-0645, en el POA de DADM.</t>
        </r>
      </text>
    </comment>
    <comment ref="D32" authorId="2" shapeId="0" xr:uid="{B270F763-E807-1945-BC63-2ED72E48D39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incrementó $ 20,16 en el POA de DFIN para atender pedido del memorando nro. UTMACH-DF-2023-0264-M.</t>
        </r>
      </text>
    </comment>
    <comment ref="E32" authorId="3" shapeId="0" xr:uid="{22F5C539-E70B-BE49-8640-AE6B71519068}">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redujo $8.780,04 a DBUAC en reunión de seguimiento y en virtud de oficio Nro. MEF-SP-2023-0501 para atender Memo Nro. 0399 de DADM.</t>
        </r>
      </text>
    </comment>
    <comment ref="D33" authorId="1" shapeId="0" xr:uid="{FA23F51A-A09F-B04D-AFCE-DFD611869FC5}">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Se incrementó $ 6.000,00 según memo N</t>
        </r>
        <r>
          <rPr>
            <sz val="9"/>
            <color rgb="FF000000"/>
            <rFont val="Tahoma"/>
            <family val="2"/>
          </rPr>
          <t>°</t>
        </r>
        <r>
          <rPr>
            <sz val="9"/>
            <color rgb="FF000000"/>
            <rFont val="Tahoma"/>
            <family val="2"/>
          </rPr>
          <t xml:space="preserve"> DADM-2023-0364-M_24052023</t>
        </r>
      </text>
    </comment>
    <comment ref="E33" authorId="4" shapeId="0" xr:uid="{7044D333-E299-D447-A603-C5430DE2EE7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 DADM por efecto de informe de seguimiento.</t>
        </r>
      </text>
    </comment>
    <comment ref="D34" authorId="1" shapeId="0" xr:uid="{B7A5D75D-6A3F-3544-A7B8-EEA899F1209C}">
      <text>
        <r>
          <rPr>
            <b/>
            <sz val="9"/>
            <color rgb="FF000000"/>
            <rFont val="Tahoma"/>
            <family val="2"/>
          </rPr>
          <t>LENOVO:</t>
        </r>
        <r>
          <rPr>
            <sz val="9"/>
            <color rgb="FF000000"/>
            <rFont val="Tahoma"/>
            <family val="2"/>
          </rPr>
          <t xml:space="preserve">
</t>
        </r>
        <r>
          <rPr>
            <sz val="9"/>
            <color rgb="FF000000"/>
            <rFont val="Tahoma"/>
            <family val="2"/>
          </rPr>
          <t>Se incrementó $ 4.000,00 según memo N</t>
        </r>
        <r>
          <rPr>
            <sz val="9"/>
            <color rgb="FF000000"/>
            <rFont val="Tahoma"/>
            <family val="2"/>
          </rPr>
          <t>°</t>
        </r>
        <r>
          <rPr>
            <sz val="9"/>
            <color rgb="FF000000"/>
            <rFont val="Tahoma"/>
            <family val="2"/>
          </rPr>
          <t xml:space="preserve"> DADM-2023-0364-M_24052023</t>
        </r>
      </text>
    </comment>
    <comment ref="E34" authorId="4" shapeId="0" xr:uid="{E17F21B0-2064-9244-9E85-F92A1257E6B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DADM por efecto de informe de seguimiento.</t>
        </r>
      </text>
    </comment>
    <comment ref="D35" authorId="3" shapeId="0" xr:uid="{665FA992-4D6F-C549-8CF2-785A1A17B41F}">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incrementó $8.801,91 por atención de Memo N UTMACH-DAC-2023-0133-M</t>
        </r>
      </text>
    </comment>
    <comment ref="E35" authorId="4" shapeId="0" xr:uid="{0265F557-5100-2B46-AC73-072EE6ECEEF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$ 8.801,91 DAC por efecto de informe de seguimiento.</t>
        </r>
      </text>
    </comment>
    <comment ref="D36" authorId="0" shapeId="0" xr:uid="{DD360FF1-6104-5B4E-B87D-519EF68AF49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$ 78.060,00 Dir. Administrativa que pasó de fuente 3 a fuente 2
</t>
        </r>
        <r>
          <rPr>
            <sz val="9"/>
            <color rgb="FF000000"/>
            <rFont val="Tahoma"/>
            <family val="2"/>
          </rPr>
          <t xml:space="preserve">
</t>
        </r>
        <r>
          <rPr>
            <b/>
            <sz val="9"/>
            <color rgb="FF000000"/>
            <rFont val="Tahoma"/>
            <family val="2"/>
          </rPr>
          <t>Reforma N 3:</t>
        </r>
        <r>
          <rPr>
            <sz val="9"/>
            <color rgb="FF000000"/>
            <rFont val="Tahoma"/>
            <family val="2"/>
          </rPr>
          <t xml:space="preserve">
</t>
        </r>
        <r>
          <rPr>
            <sz val="9"/>
            <color rgb="FF000000"/>
            <rFont val="Tahoma"/>
            <family val="2"/>
          </rPr>
          <t xml:space="preserve">Se incrementó $581,76 Dir.adm por cuadre de fuente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9"/>
            <color rgb="FF000000"/>
            <rFont val="Tahoma"/>
            <family val="2"/>
          </rPr>
          <t>Aumento de $ 17.997,61 para atender pedido de adecuación de baterías sanitarias de la FCE para sumar a un solo proceso para adecuaciones varias que constan en estudio previo de la Unidad de Obras, incluidas las baterias sanitarias de la FCE.</t>
        </r>
      </text>
    </comment>
    <comment ref="D37" authorId="0" shapeId="0" xr:uid="{EF78832C-307D-D74E-88E3-F603907BB59E}">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incrementó $ 7.500,00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Se incrementó $ 1.550,00, según Memorando N</t>
        </r>
        <r>
          <rPr>
            <sz val="9"/>
            <color rgb="FF000000"/>
            <rFont val="Tahoma"/>
            <family val="2"/>
          </rPr>
          <t>°</t>
        </r>
        <r>
          <rPr>
            <sz val="9"/>
            <color rgb="FF000000"/>
            <rFont val="Tahoma"/>
            <family val="2"/>
          </rPr>
          <t xml:space="preserve"> UTMACH-DBUAC-2023-0012-M del 12/01/2023. 
</t>
        </r>
        <r>
          <rPr>
            <sz val="9"/>
            <color rgb="FF000000"/>
            <rFont val="Tahoma"/>
            <family val="2"/>
          </rPr>
          <t xml:space="preserve">
</t>
        </r>
        <r>
          <rPr>
            <sz val="9"/>
            <color rgb="FF000000"/>
            <rFont val="Tahoma"/>
            <family val="2"/>
          </rPr>
          <t xml:space="preserve">Se incrementó $ 5.000,00 para adecuación de la DPLAN.
</t>
        </r>
        <r>
          <rPr>
            <sz val="9"/>
            <color rgb="FF000000"/>
            <rFont val="Tahoma"/>
            <family val="2"/>
          </rPr>
          <t xml:space="preserve">
</t>
        </r>
        <r>
          <rPr>
            <sz val="9"/>
            <color rgb="FF000000"/>
            <rFont val="Tahoma"/>
            <family val="2"/>
          </rPr>
          <t xml:space="preserve">Se incrementó $ 56.000,00+219200,27 para adecuaciones y reparación de infraestructura y seguridad de ingresos peatonales y vehiculares. Vic. Administrativo. Vic. Administrativo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$ 400,00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sz val="9"/>
            <color rgb="FF000000"/>
            <rFont val="Tahoma"/>
            <family val="2"/>
          </rPr>
          <t xml:space="preserve">Se incremento $1.500,00 según memo N UTMACH-DPLAN-UPES -2023- 014M </t>
        </r>
      </text>
    </comment>
    <comment ref="E37" authorId="0" shapeId="0" xr:uid="{5EE7AA73-67C1-0B4D-935A-B9F680C57512}">
      <text>
        <r>
          <rPr>
            <b/>
            <sz val="8"/>
            <color rgb="FF000000"/>
            <rFont val="Tahoma"/>
            <family val="34"/>
          </rPr>
          <t>HP:</t>
        </r>
        <r>
          <rPr>
            <sz val="8"/>
            <color rgb="FF000000"/>
            <rFont val="Tahoma"/>
            <family val="34"/>
          </rPr>
          <t xml:space="preserve">
</t>
        </r>
        <r>
          <rPr>
            <b/>
            <sz val="8"/>
            <color rgb="FF000000"/>
            <rFont val="Tahoma"/>
            <family val="2"/>
          </rPr>
          <t>Reforma N</t>
        </r>
        <r>
          <rPr>
            <b/>
            <sz val="8"/>
            <color rgb="FF000000"/>
            <rFont val="Tahoma"/>
            <family val="2"/>
          </rPr>
          <t>°</t>
        </r>
        <r>
          <rPr>
            <b/>
            <sz val="8"/>
            <color rgb="FF000000"/>
            <rFont val="Tahoma"/>
            <family val="2"/>
          </rPr>
          <t xml:space="preserve"> 2:</t>
        </r>
        <r>
          <rPr>
            <sz val="8"/>
            <color rgb="FF000000"/>
            <rFont val="Tahoma"/>
            <family val="34"/>
          </rPr>
          <t xml:space="preserve">
</t>
        </r>
        <r>
          <rPr>
            <sz val="8"/>
            <color rgb="FF000000"/>
            <rFont val="Tahoma"/>
            <family val="34"/>
          </rPr>
          <t xml:space="preserve">Se redujo $ 18.037,80 Rectorado
</t>
        </r>
        <r>
          <rPr>
            <sz val="8"/>
            <color rgb="FF000000"/>
            <rFont val="Tahoma"/>
            <family val="34"/>
          </rPr>
          <t xml:space="preserve">Se redujo $ 110.026,38 Vic. Académico
</t>
        </r>
        <r>
          <rPr>
            <sz val="8"/>
            <color rgb="FF000000"/>
            <rFont val="Tahoma"/>
            <family val="34"/>
          </rPr>
          <t xml:space="preserve">Se redujo $ 78.060,00 Dir. Administrativa que pasó a fuente 2
</t>
        </r>
        <r>
          <rPr>
            <sz val="8"/>
            <color rgb="FF000000"/>
            <rFont val="Tahoma"/>
            <family val="34"/>
          </rPr>
          <t xml:space="preserve">
</t>
        </r>
        <r>
          <rPr>
            <b/>
            <sz val="8"/>
            <color rgb="FF000000"/>
            <rFont val="Tahoma"/>
            <family val="34"/>
          </rPr>
          <t xml:space="preserve">Reforma N 3: 
</t>
        </r>
        <r>
          <rPr>
            <sz val="8"/>
            <color rgb="FF000000"/>
            <rFont val="Tahoma"/>
            <family val="34"/>
          </rPr>
          <t xml:space="preserve">- Se redujo $165.173,78 según memo N  VADM 382.
</t>
        </r>
        <r>
          <rPr>
            <sz val="8"/>
            <color rgb="FF000000"/>
            <rFont val="Tahoma"/>
            <family val="34"/>
          </rPr>
          <t xml:space="preserve">- 06/06 se redujo $ 2.240 según reunión mantenida con TICS y en virtud de oficio Nro. MEF-SP-2023-0501 para atender Memo Nro.0399 de DADM.
</t>
        </r>
        <r>
          <rPr>
            <sz val="8"/>
            <color rgb="FF000000"/>
            <rFont val="Tahoma"/>
            <family val="34"/>
          </rPr>
          <t xml:space="preserve">-Se redujo $ 6.720,11 por cambio de fuente de DAC
</t>
        </r>
        <r>
          <rPr>
            <sz val="8"/>
            <color rgb="FF000000"/>
            <rFont val="Tahoma"/>
            <family val="34"/>
          </rPr>
          <t xml:space="preserve">
</t>
        </r>
        <r>
          <rPr>
            <b/>
            <sz val="8"/>
            <color rgb="FF000000"/>
            <rFont val="Tahoma"/>
            <family val="2"/>
          </rPr>
          <t>Reforma N</t>
        </r>
        <r>
          <rPr>
            <b/>
            <sz val="8"/>
            <color rgb="FF000000"/>
            <rFont val="Tahoma"/>
            <family val="2"/>
          </rPr>
          <t>°</t>
        </r>
        <r>
          <rPr>
            <b/>
            <sz val="8"/>
            <color rgb="FF000000"/>
            <rFont val="Tahoma"/>
            <family val="2"/>
          </rPr>
          <t xml:space="preserve"> 4:</t>
        </r>
        <r>
          <rPr>
            <sz val="8"/>
            <color rgb="FF000000"/>
            <rFont val="Tahoma"/>
            <family val="34"/>
          </rPr>
          <t xml:space="preserve">
</t>
        </r>
        <r>
          <rPr>
            <sz val="8"/>
            <color rgb="FF000000"/>
            <rFont val="Tahoma"/>
            <family val="34"/>
          </rPr>
          <t xml:space="preserve">Se reduce $ 4.393,87 Rectorado por efecto de informe de seguimiento.
</t>
        </r>
        <r>
          <rPr>
            <sz val="8"/>
            <color rgb="FF000000"/>
            <rFont val="Tahoma"/>
            <family val="34"/>
          </rPr>
          <t xml:space="preserve">
</t>
        </r>
        <r>
          <rPr>
            <sz val="8"/>
            <color rgb="FF000000"/>
            <rFont val="Tahoma"/>
            <family val="34"/>
          </rPr>
          <t xml:space="preserve">Se redujo $ 449,00 Secretaría General por efecto de informe de seguimiento.
</t>
        </r>
        <r>
          <rPr>
            <sz val="8"/>
            <color rgb="FF000000"/>
            <rFont val="Tahoma"/>
            <family val="34"/>
          </rPr>
          <t xml:space="preserve">
</t>
        </r>
        <r>
          <rPr>
            <sz val="8"/>
            <color rgb="FF000000"/>
            <rFont val="Tahoma"/>
            <family val="34"/>
          </rPr>
          <t>Se redujo $ 6.500,00 DPLAN por efecto de informe de seguimiento.</t>
        </r>
      </text>
    </comment>
    <comment ref="D38" authorId="5" shapeId="0" xr:uid="{00E23BA9-D209-A843-A6C5-4F7981850254}">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conforme archivo POA 2023:
</t>
        </r>
        <r>
          <rPr>
            <sz val="9"/>
            <color rgb="FF000000"/>
            <rFont val="Tahoma"/>
            <family val="2"/>
          </rPr>
          <t xml:space="preserve">$ 15.000,00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$ 340,00 según memo N</t>
        </r>
        <r>
          <rPr>
            <sz val="9"/>
            <color rgb="FF000000"/>
            <rFont val="Tahoma"/>
            <family val="2"/>
          </rPr>
          <t>°</t>
        </r>
        <r>
          <rPr>
            <sz val="9"/>
            <color rgb="FF000000"/>
            <rFont val="Tahoma"/>
            <family val="2"/>
          </rPr>
          <t xml:space="preserve"> UTMACH-DADM-2023-0335-M_16052023</t>
        </r>
      </text>
    </comment>
    <comment ref="E38" authorId="4" shapeId="0" xr:uid="{8365CCB0-6AF4-7D40-9173-E574E1B3954A}">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$ 1.947,00 DADM por efecto de informe de seguimiento.</t>
        </r>
      </text>
    </comment>
    <comment ref="D39" authorId="0" shapeId="0" xr:uid="{0327D3D9-237C-8243-9549-CC44D275DF02}">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incrementó solo $ 7.000,00 según Oficio N</t>
        </r>
        <r>
          <rPr>
            <sz val="9"/>
            <color rgb="FF000000"/>
            <rFont val="Tahoma"/>
            <family val="2"/>
          </rPr>
          <t>°</t>
        </r>
        <r>
          <rPr>
            <sz val="9"/>
            <color rgb="FF000000"/>
            <rFont val="Tahoma"/>
            <family val="2"/>
          </rPr>
          <t xml:space="preserve"> UTMACH-DADM-UOIFM-2022-555-OF del 29/12/2022.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$ 250,00 según memo N</t>
        </r>
        <r>
          <rPr>
            <sz val="9"/>
            <color rgb="FF000000"/>
            <rFont val="Tahoma"/>
            <family val="2"/>
          </rPr>
          <t>°</t>
        </r>
        <r>
          <rPr>
            <sz val="9"/>
            <color rgb="FF000000"/>
            <rFont val="Tahoma"/>
            <family val="2"/>
          </rPr>
          <t xml:space="preserve"> UTMACH-DADM-2023-0335-M_16052023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$ 2.184,00 DIRCOM, según N</t>
        </r>
        <r>
          <rPr>
            <sz val="9"/>
            <color rgb="FF000000"/>
            <rFont val="Tahoma"/>
            <family val="2"/>
          </rPr>
          <t>°</t>
        </r>
        <r>
          <rPr>
            <sz val="9"/>
            <color rgb="FF000000"/>
            <rFont val="Tahoma"/>
            <family val="2"/>
          </rPr>
          <t xml:space="preserve"> DIRCOM-2023-0135-M para mantenimiento de la imprenta.</t>
        </r>
      </text>
    </comment>
    <comment ref="E39" authorId="0" shapeId="0" xr:uid="{1AA928C3-772A-E847-9811-EDC934D2FE65}">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redujo $ 92.610,11 para pasar a la partida N</t>
        </r>
        <r>
          <rPr>
            <sz val="9"/>
            <color rgb="FF000000"/>
            <rFont val="Tahoma"/>
            <family val="2"/>
          </rPr>
          <t>°</t>
        </r>
        <r>
          <rPr>
            <sz val="9"/>
            <color rgb="FF000000"/>
            <rFont val="Tahoma"/>
            <family val="2"/>
          </rPr>
          <t xml:space="preserve"> 990101 0701 003 Obligaciones de Ejercicios Anteriores en Personal en el prog. 01 y 82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$ 7.619,55 Unidad de Obras por efecto de informe de seguimiento.</t>
        </r>
      </text>
    </comment>
    <comment ref="E40" authorId="3" shapeId="0" xr:uid="{4B09ECB6-6635-F54E-96FB-A5A2518826CB}">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10"/>
            <color rgb="FF000000"/>
            <rFont val="Tahoma"/>
            <family val="2"/>
          </rPr>
          <t xml:space="preserve">
</t>
        </r>
        <r>
          <rPr>
            <sz val="10"/>
            <color rgb="FF000000"/>
            <rFont val="Tahoma"/>
            <family val="2"/>
          </rPr>
          <t xml:space="preserve">Se reduce $3097,14 a Dadm por cuadre de fuente
</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4:</t>
        </r>
        <r>
          <rPr>
            <sz val="10"/>
            <color rgb="FF000000"/>
            <rFont val="Tahoma"/>
            <family val="2"/>
          </rPr>
          <t xml:space="preserve">
</t>
        </r>
        <r>
          <rPr>
            <sz val="10"/>
            <color rgb="FF000000"/>
            <rFont val="Tahoma"/>
            <family val="2"/>
          </rPr>
          <t>Se redujo $ 2.500,00 DADM por efecto de informe de seguimiento.</t>
        </r>
      </text>
    </comment>
    <comment ref="D41" authorId="3" shapeId="0" xr:uid="{F1C01009-F140-0E42-B9AC-6A260F38AA45}">
      <text>
        <r>
          <rPr>
            <b/>
            <sz val="10"/>
            <color rgb="FF000000"/>
            <rFont val="Tahoma"/>
            <family val="2"/>
          </rPr>
          <t>Valeria Ramon Capa:</t>
        </r>
        <r>
          <rPr>
            <sz val="10"/>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 xml:space="preserve">Se incrementó  $17.474,61 para estudio de obra de infraestructura conforme reunión de seguimiento con Rectorado.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$ 136.405,46 para estudios especializados por efecto del sismo, Dir. Administrativa.</t>
        </r>
      </text>
    </comment>
    <comment ref="E41" authorId="4" shapeId="0" xr:uid="{61746404-D77F-F04B-9204-D267E101EB49}">
      <text>
        <r>
          <rPr>
            <b/>
            <sz val="9"/>
            <color rgb="FF000000"/>
            <rFont val="Tahoma"/>
            <family val="2"/>
          </rPr>
          <t>Admin:</t>
        </r>
        <r>
          <rPr>
            <sz val="9"/>
            <color rgb="FF000000"/>
            <rFont val="Tahoma"/>
            <family val="2"/>
          </rPr>
          <t xml:space="preserve">
</t>
        </r>
        <r>
          <rPr>
            <sz val="9"/>
            <color rgb="FF000000"/>
            <rFont val="Tahoma"/>
            <family val="2"/>
          </rPr>
          <t>Se redujo $ 1.974,61 DPLAN por efecto de informe de seguimiento.</t>
        </r>
      </text>
    </comment>
    <comment ref="D42" authorId="2" shapeId="0" xr:uid="{CBE98305-1A48-854A-B3E8-98C175B30553}">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8"/>
            <color rgb="FF000000"/>
            <rFont val="Calibri"/>
            <family val="2"/>
          </rPr>
          <t>Se incrementó $ 67.200,00, según memo N</t>
        </r>
        <r>
          <rPr>
            <sz val="8"/>
            <color rgb="FF000000"/>
            <rFont val="Calibri"/>
            <family val="2"/>
          </rPr>
          <t>°</t>
        </r>
        <r>
          <rPr>
            <sz val="8"/>
            <color rgb="FF000000"/>
            <rFont val="Calibri"/>
            <family val="2"/>
          </rPr>
          <t xml:space="preserve"> UTMACH-DADM-2023-0648-M (Alcance al M_0645)_29072023.
</t>
        </r>
        <r>
          <rPr>
            <sz val="8"/>
            <color rgb="FF000000"/>
            <rFont val="Calibri"/>
            <family val="2"/>
          </rPr>
          <t xml:space="preserve">
</t>
        </r>
        <r>
          <rPr>
            <sz val="8"/>
            <color rgb="FF000000"/>
            <rFont val="Calibri"/>
            <family val="2"/>
          </rPr>
          <t>Se incrementó $ 16.800,00, según memo N</t>
        </r>
        <r>
          <rPr>
            <sz val="8"/>
            <color rgb="FF000000"/>
            <rFont val="Calibri"/>
            <family val="2"/>
          </rPr>
          <t>°</t>
        </r>
        <r>
          <rPr>
            <sz val="8"/>
            <color rgb="FF000000"/>
            <rFont val="Calibri"/>
            <family val="2"/>
          </rPr>
          <t xml:space="preserve"> UTMACH-DADM-UOIFM-2023-0213-M_29072023, para los Estudios, Diseño y Construcción del Espacio Cultural Universitario (Concha Acústica) DPLAN
</t>
        </r>
      </text>
    </comment>
    <comment ref="E42" authorId="0" shapeId="0" xr:uid="{38F5612C-AE5C-3542-AC78-AD36B6DA6A7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D43" authorId="3" shapeId="0" xr:uid="{99C7C775-A179-314B-8969-ABB9BBE5EC4E}">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$7056 según Memo N CGR-2023-0180-M</t>
        </r>
      </text>
    </comment>
    <comment ref="E43" authorId="4" shapeId="0" xr:uid="{5CC57F0E-9D45-2449-A11E-E090CAD1313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$ 756,00 Rectorado por saldo no ejecutado, Certificación N</t>
        </r>
        <r>
          <rPr>
            <sz val="9"/>
            <color rgb="FF000000"/>
            <rFont val="Tahoma"/>
            <family val="2"/>
          </rPr>
          <t>°</t>
        </r>
        <r>
          <rPr>
            <sz val="9"/>
            <color rgb="FF000000"/>
            <rFont val="Tahoma"/>
            <family val="2"/>
          </rPr>
          <t xml:space="preserve"> 255</t>
        </r>
      </text>
    </comment>
    <comment ref="D44" authorId="2" shapeId="0" xr:uid="{80BBB1E2-1D5C-7240-8814-D945202C094A}">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aumenta $ 1315,45 en el POA de DTH para atender memo nro. DTAH-2023-1017-M, considerando el saldo de $ 96,55 en la partida.
</t>
        </r>
        <r>
          <rPr>
            <sz val="10"/>
            <color rgb="FF000000"/>
            <rFont val="Tahoma"/>
            <family val="2"/>
          </rPr>
          <t xml:space="preserve">
</t>
        </r>
        <r>
          <rPr>
            <sz val="10"/>
            <color rgb="FF000000"/>
            <rFont val="Tahoma"/>
            <family val="2"/>
          </rPr>
          <t>Se aumenta $ 8.000,00 + $ 7.156,55 en el POA de DTH para atender memo nro. DTH-2023-1131-M.</t>
        </r>
      </text>
    </comment>
    <comment ref="E44" authorId="5" shapeId="0" xr:uid="{41283633-D560-BF42-B16E-9C77DEDF3EC4}">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$ 284.523,80 conforme archivo POA 2023.
</t>
        </r>
        <r>
          <rPr>
            <b/>
            <sz val="9"/>
            <color rgb="FF000000"/>
            <rFont val="Tahoma"/>
            <family val="2"/>
          </rPr>
          <t xml:space="preserve">Reforma N 3:
</t>
        </r>
        <r>
          <rPr>
            <sz val="9"/>
            <color rgb="FF000000"/>
            <rFont val="Tahoma"/>
            <family val="2"/>
          </rPr>
          <t xml:space="preserve">Se redujo $3.848,46, no se encuentra asignado en POA
</t>
        </r>
      </text>
    </comment>
    <comment ref="D45" authorId="5" shapeId="0" xr:uid="{5A17BEC7-8BB5-3C4B-B75B-FBC1A347BAAD}">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$ 12.060,16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t>
        </r>
        <r>
          <rPr>
            <sz val="10"/>
            <color rgb="FF000000"/>
            <rFont val="Arial"/>
            <family val="2"/>
          </rPr>
          <t xml:space="preserve">1.881,60 en el POA de DTIC para la atención del memo nro. XXXXXX. </t>
        </r>
      </text>
    </comment>
    <comment ref="D46" authorId="3" shapeId="0" xr:uid="{73BD4A1F-7823-1A49-BDA6-E6903E6F4D1A}">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incrementó $6.000 por atención a memo nro 0764 DTH</t>
        </r>
      </text>
    </comment>
    <comment ref="E46" authorId="0" shapeId="0" xr:uid="{A9B04578-3199-AB4F-BACA-D9DBDCFC8A0E}">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$ 90.884,73, se sacó del POA 2023 de la DTH ítem Para sumar a la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$ 6.000,00 DTH por efecto de informe de seguimiento.</t>
        </r>
      </text>
    </comment>
    <comment ref="D47" authorId="2" shapeId="0" xr:uid="{CDA0EFDD-F306-BA4C-84B5-DA36218E3E3C}">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$ 2.500,00 para atender pedido del memo nro. </t>
        </r>
        <r>
          <rPr>
            <sz val="10"/>
            <color rgb="FF000000"/>
            <rFont val="Calibri"/>
            <family val="2"/>
          </rPr>
          <t>UTMACH-DADM-2023-0651-M.</t>
        </r>
      </text>
    </comment>
    <comment ref="D48" authorId="1" shapeId="0" xr:uid="{B0C0599B-0048-F645-BD61-8FBB51C5896C}">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$ 250,00 según memo N</t>
        </r>
        <r>
          <rPr>
            <sz val="9"/>
            <color rgb="FF000000"/>
            <rFont val="Tahoma"/>
            <family val="2"/>
          </rPr>
          <t>°</t>
        </r>
        <r>
          <rPr>
            <sz val="9"/>
            <color rgb="FF000000"/>
            <rFont val="Tahoma"/>
            <family val="2"/>
          </rPr>
          <t xml:space="preserve"> DADM-2023-0335-M_16052023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$ 2.184,00 según memo nro. DADM-2023-0645-M.</t>
        </r>
      </text>
    </comment>
    <comment ref="E48" authorId="4" shapeId="0" xr:uid="{3DAD0C48-A1B7-8B48-A613-EC227B902D1A}">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reduce $ 672,00 Rectorado por efecto de informe de seguimiento.</t>
        </r>
      </text>
    </comment>
    <comment ref="D49" authorId="0" shapeId="0" xr:uid="{445B24A2-69B3-C848-B2FE-6BD06C50CAE0}">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 </t>
        </r>
      </text>
    </comment>
    <comment ref="D50" authorId="3" shapeId="0" xr:uid="{A89F2C28-FA26-234B-9CC6-C53B3AD370DB}">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$8.000 en virtud de memo nro 0764 DTH</t>
        </r>
      </text>
    </comment>
    <comment ref="E50" authorId="4" shapeId="0" xr:uid="{0AB6240B-3593-1C46-A39B-6F5F10E481E6}">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$ 3.660,23 DTH por efecto de informe de seguimiento.
</t>
        </r>
        <r>
          <rPr>
            <sz val="9"/>
            <color rgb="FF000000"/>
            <rFont val="Tahoma"/>
            <family val="2"/>
          </rPr>
          <t xml:space="preserve">
</t>
        </r>
        <r>
          <rPr>
            <sz val="9"/>
            <color rgb="FF000000"/>
            <rFont val="Tahoma"/>
            <family val="2"/>
          </rPr>
          <t>Se redujo $ 3.264,00 DTH por efecto de informe de seguimiento.</t>
        </r>
      </text>
    </comment>
    <comment ref="E51" authorId="0" shapeId="0" xr:uid="{90075E07-4255-9040-8B0C-20341CDD7F96}">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$ 37.040,00 para pasar a la partida de combustible.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DADM por efecto de informe de seguimiento.</t>
        </r>
      </text>
    </comment>
    <comment ref="D52" authorId="5" shapeId="0" xr:uid="{7905CE24-E6B4-3C4A-AC93-97898AAD7EA7}">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 según memo N</t>
        </r>
        <r>
          <rPr>
            <sz val="9"/>
            <color rgb="FF000000"/>
            <rFont val="Tahoma"/>
            <family val="2"/>
          </rPr>
          <t>°</t>
        </r>
        <r>
          <rPr>
            <sz val="9"/>
            <color rgb="FF000000"/>
            <rFont val="Tahoma"/>
            <family val="2"/>
          </rPr>
          <t xml:space="preserve"> DTIC-2023-0088-M_04052023</t>
        </r>
      </text>
    </comment>
    <comment ref="E52" authorId="4" shapeId="0" xr:uid="{5E13D964-50D6-9641-B49F-17A912BBADF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$ 3,22 DTIC por efecto de informe de seguimiento.</t>
        </r>
      </text>
    </comment>
    <comment ref="D53" authorId="0" shapeId="0" xr:uid="{E740EB1B-CF8C-A641-8BB8-C37E5DC295D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rincrementó 16.800,00 Dir Adm
</t>
        </r>
        <r>
          <rPr>
            <sz val="9"/>
            <color rgb="FF000000"/>
            <rFont val="Tahoma"/>
            <family val="2"/>
          </rPr>
          <t>77,28 DAC que pasó de fuente 3 a fuente 2</t>
        </r>
      </text>
    </comment>
    <comment ref="E53" authorId="1" shapeId="0" xr:uid="{D1DA1C56-1F90-924C-B452-6E2733439F7A}">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 xml:space="preserve">Se redujo $ 61,09 en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$ 3.000,00 DADM por efecto de informe de seguimiento.</t>
        </r>
      </text>
    </comment>
    <comment ref="E54" authorId="0" shapeId="0" xr:uid="{BA1B2395-48A3-EB4D-98C6-5574816443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16.800,00 Dir Adm
</t>
        </r>
        <r>
          <rPr>
            <sz val="9"/>
            <color rgb="FF000000"/>
            <rFont val="Tahoma"/>
            <family val="2"/>
          </rPr>
          <t>77,28 DAC que pasan a fuente 2</t>
        </r>
      </text>
    </comment>
    <comment ref="D55" authorId="3" shapeId="0" xr:uid="{D7324AE0-B90F-4D40-BFAA-B1A2900CA254}">
      <text>
        <r>
          <rPr>
            <b/>
            <sz val="7"/>
            <color rgb="FF000000"/>
            <rFont val="Tahoma"/>
            <family val="2"/>
          </rPr>
          <t>Valeria Ramon Capa:</t>
        </r>
        <r>
          <rPr>
            <sz val="7"/>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incrementó $ 250,00 según memo N</t>
        </r>
        <r>
          <rPr>
            <sz val="9"/>
            <color rgb="FF000000"/>
            <rFont val="Tahoma"/>
            <family val="34"/>
          </rPr>
          <t>°</t>
        </r>
        <r>
          <rPr>
            <sz val="9"/>
            <color rgb="FF000000"/>
            <rFont val="Tahoma"/>
            <family val="34"/>
          </rPr>
          <t xml:space="preserve"> DADM-2023-0335-M_16052023
</t>
        </r>
      </text>
    </comment>
    <comment ref="E55" authorId="4" shapeId="0" xr:uid="{D88EF180-5B02-8147-B9E7-1FC93428027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$ 2.000,00 DADM por efecto de informe de seguimiento.</t>
        </r>
      </text>
    </comment>
    <comment ref="E56" authorId="0" shapeId="0" xr:uid="{FD6BB553-CE67-7F42-8188-0053BB3AABE8}">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$ 10.000,00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$ 26.320,00, según memo N</t>
        </r>
        <r>
          <rPr>
            <sz val="9"/>
            <color rgb="FF000000"/>
            <rFont val="Tahoma"/>
            <family val="2"/>
          </rPr>
          <t>°</t>
        </r>
        <r>
          <rPr>
            <sz val="9"/>
            <color rgb="FF000000"/>
            <rFont val="Tahoma"/>
            <family val="2"/>
          </rPr>
          <t xml:space="preserve"> DBUAC-2023-0124-M_03032023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$ 1.400,00 DADM por efecto de informe de seguimiento.</t>
        </r>
      </text>
    </comment>
    <comment ref="D57" authorId="2" shapeId="0" xr:uid="{C4F545F7-6AA5-B342-8C35-B70C3B93EF5A}">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 xml:space="preserve">Se incrementa $ 49.108,37 para atender memo nro. DUAC-2023-0656-M. </t>
        </r>
      </text>
    </comment>
    <comment ref="E57" authorId="3" shapeId="0" xr:uid="{F4C1C47A-052A-6D4A-8932-2D07E8FCD859}">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Reducción de $7.000 a DTH por memo nro 0764_06062023</t>
        </r>
      </text>
    </comment>
    <comment ref="D58" authorId="0" shapeId="0" xr:uid="{F29FEDD9-CE33-364F-873A-C0B0D93C29C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$ 4.500,00 según Oficio N</t>
        </r>
        <r>
          <rPr>
            <sz val="9"/>
            <color rgb="FF000000"/>
            <rFont val="Tahoma"/>
            <family val="2"/>
          </rPr>
          <t>°</t>
        </r>
        <r>
          <rPr>
            <sz val="9"/>
            <color rgb="FF000000"/>
            <rFont val="Tahoma"/>
            <family val="2"/>
          </rPr>
          <t xml:space="preserve"> UTMACH-DADM-UOIFM-2022-555-OF del 29/12/2022.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$ 300,00 según memo N</t>
        </r>
        <r>
          <rPr>
            <sz val="9"/>
            <color rgb="FF000000"/>
            <rFont val="Tahoma"/>
            <family val="2"/>
          </rPr>
          <t>°</t>
        </r>
        <r>
          <rPr>
            <sz val="9"/>
            <color rgb="FF000000"/>
            <rFont val="Tahoma"/>
            <family val="2"/>
          </rPr>
          <t xml:space="preserve"> DADM-2023-0335-M_16052023</t>
        </r>
      </text>
    </comment>
    <comment ref="E58" authorId="4" shapeId="0" xr:uid="{7350F813-071D-0C45-AE96-4A0EC61CA86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$ 61,67 Vic. Académico por efecto de informe de seguimiento.
</t>
        </r>
        <r>
          <rPr>
            <sz val="9"/>
            <color rgb="FF000000"/>
            <rFont val="Tahoma"/>
            <family val="2"/>
          </rPr>
          <t xml:space="preserve">
</t>
        </r>
        <r>
          <rPr>
            <sz val="9"/>
            <color rgb="FF000000"/>
            <rFont val="Tahoma"/>
            <family val="2"/>
          </rPr>
          <t>Se redujo $ 7.156,55 en el POA de DADM por efecto del seguimiento.</t>
        </r>
      </text>
    </comment>
    <comment ref="D59" authorId="5" shapeId="0" xr:uid="{5372923F-CF0C-F24D-83FF-7B2046AF0FCD}">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$ 10.197,60 según memo N</t>
        </r>
        <r>
          <rPr>
            <sz val="9"/>
            <color rgb="FF000000"/>
            <rFont val="Tahoma"/>
            <family val="2"/>
          </rPr>
          <t>°</t>
        </r>
        <r>
          <rPr>
            <sz val="9"/>
            <color rgb="FF000000"/>
            <rFont val="Tahoma"/>
            <family val="2"/>
          </rPr>
          <t xml:space="preserve"> DTIC-2023-0088-M_04052023
</t>
        </r>
      </text>
    </comment>
    <comment ref="E59" authorId="4" shapeId="0" xr:uid="{0E37911F-4E54-3443-8442-5D91F962BB4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$ 2.160,45 DTIC por efecto de informe de seguimiento.</t>
        </r>
      </text>
    </comment>
    <comment ref="E60" authorId="0" shapeId="0" xr:uid="{8A8D91ED-A0CA-044B-8D2F-DCB7D4739FD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$ 34.363,67 del POA DBU por tener los ítems con precios mayores de $ 100.00.
</t>
        </r>
        <r>
          <rPr>
            <sz val="9"/>
            <color rgb="FF000000"/>
            <rFont val="Tahoma"/>
            <family val="2"/>
          </rPr>
          <t xml:space="preserve">Se redujo $ 56.000,00 para la readecuación de las entradas de la UTMACH. Vic. Administrativo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$ 896,00 DIRCOM por efecto de informe de seguimiento.</t>
        </r>
      </text>
    </comment>
    <comment ref="D61" authorId="2" shapeId="0" xr:uid="{A1D603CA-CE4E-9D4A-8DE7-5E575F4548E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$ 1.828,02 en el POAD de DADM para atender memo nro. </t>
        </r>
        <r>
          <rPr>
            <sz val="10"/>
            <color rgb="FF000000"/>
            <rFont val="Arial"/>
            <family val="2"/>
            <scheme val="minor"/>
          </rPr>
          <t>UTMACH-DADM-2023-0651-M</t>
        </r>
      </text>
    </comment>
    <comment ref="E61" authorId="4" shapeId="0" xr:uid="{FD1B0288-0D1A-B142-AC9A-C777AED44A6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$ 18,08 DAC por efecto de informe de seguimiento.</t>
        </r>
      </text>
    </comment>
    <comment ref="D62" authorId="2" shapeId="0" xr:uid="{43D3C27F-83D2-E74E-8064-56027A144DB6}">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$ 280,00 en el POA de DTIC para atender el memo nro. </t>
        </r>
        <r>
          <rPr>
            <sz val="10"/>
            <color rgb="FF000000"/>
            <rFont val="Calibri"/>
            <family val="2"/>
          </rPr>
          <t>UTMACH-DTIC-2023-0224-M</t>
        </r>
        <r>
          <rPr>
            <sz val="10"/>
            <color rgb="FF000000"/>
            <rFont val="Tahoma"/>
            <family val="2"/>
          </rPr>
          <t>.</t>
        </r>
      </text>
    </comment>
    <comment ref="E62" authorId="4" shapeId="0" xr:uid="{84D78553-4B3F-8943-A971-84ECDFE14EB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$ 564,68 Rectorado por saldo no ejecutado.
</t>
        </r>
        <r>
          <rPr>
            <sz val="9"/>
            <color rgb="FF000000"/>
            <rFont val="Tahoma"/>
            <family val="2"/>
          </rPr>
          <t xml:space="preserve">
</t>
        </r>
        <r>
          <rPr>
            <sz val="9"/>
            <color rgb="FF000000"/>
            <rFont val="Tahoma"/>
            <family val="2"/>
          </rPr>
          <t>Se redujo $ 72,75 DAC por efecto de informe de seguimiento. (Cert. N</t>
        </r>
        <r>
          <rPr>
            <sz val="9"/>
            <color rgb="FF000000"/>
            <rFont val="Tahoma"/>
            <family val="2"/>
          </rPr>
          <t>°</t>
        </r>
        <r>
          <rPr>
            <sz val="9"/>
            <color rgb="FF000000"/>
            <rFont val="Tahoma"/>
            <family val="2"/>
          </rPr>
          <t xml:space="preserve"> 169)</t>
        </r>
      </text>
    </comment>
    <comment ref="D63" authorId="2" shapeId="0" xr:uid="{55ABF1F2-19CF-194E-B5E9-22C3347293CF}">
      <text>
        <r>
          <rPr>
            <b/>
            <sz val="10"/>
            <color rgb="FF000000"/>
            <rFont val="Tahoma"/>
            <family val="2"/>
          </rPr>
          <t>Microsoft Office User:</t>
        </r>
        <r>
          <rPr>
            <sz val="10"/>
            <color rgb="FF000000"/>
            <rFont val="Tahoma"/>
            <family val="2"/>
          </rPr>
          <t xml:space="preserve">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incrementa $ 2.520,22 para atender pedido del memo nro. DADM-2023-065-M.</t>
        </r>
      </text>
    </comment>
    <comment ref="D64" authorId="1" shapeId="0" xr:uid="{7BD64EA4-795E-8846-9589-C8C327344A5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$ 200,00 según memo N</t>
        </r>
        <r>
          <rPr>
            <sz val="9"/>
            <color rgb="FF000000"/>
            <rFont val="Tahoma"/>
            <family val="2"/>
          </rPr>
          <t>°</t>
        </r>
        <r>
          <rPr>
            <sz val="9"/>
            <color rgb="FF000000"/>
            <rFont val="Tahoma"/>
            <family val="2"/>
          </rPr>
          <t xml:space="preserve"> DADM-2023-0335-M_16052023</t>
        </r>
      </text>
    </comment>
    <comment ref="E64" authorId="4" shapeId="0" xr:uid="{ECFFEAA2-24D8-0E4E-8897-C60C5948FC8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$ 949,98 DADM por efecto de informe de seguimiento.</t>
        </r>
      </text>
    </comment>
    <comment ref="D65" authorId="3" shapeId="0" xr:uid="{926A3FD5-4BF2-CC49-BB0D-A7E612E3A7E8}">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$151.520,00 a DADM por Memo N 0399_01062023</t>
        </r>
      </text>
    </comment>
    <comment ref="E65" authorId="4" shapeId="0" xr:uid="{3D634C8F-3464-384F-882F-36E488B6316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$ 170.000,00 DADM por efecto de informe de seguimiento, los mismos que quedan pendientes de asignar cuando se recaude el valor programado en la fuente 002.</t>
        </r>
      </text>
    </comment>
    <comment ref="D66" authorId="0" shapeId="0" xr:uid="{A46E6521-0806-B24D-93B6-DE508069F20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$ 5.080,00 que es de la partida N</t>
        </r>
        <r>
          <rPr>
            <sz val="9"/>
            <color rgb="FF000000"/>
            <rFont val="Tahoma"/>
            <family val="2"/>
          </rPr>
          <t>°</t>
        </r>
        <r>
          <rPr>
            <sz val="9"/>
            <color rgb="FF000000"/>
            <rFont val="Tahoma"/>
            <family val="2"/>
          </rPr>
          <t xml:space="preserve"> 530239 0701 003 Membrecías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$ 170,00 según memo N</t>
        </r>
        <r>
          <rPr>
            <sz val="9"/>
            <color rgb="FF000000"/>
            <rFont val="Tahoma"/>
            <family val="2"/>
          </rPr>
          <t>°</t>
        </r>
        <r>
          <rPr>
            <sz val="9"/>
            <color rgb="FF000000"/>
            <rFont val="Tahoma"/>
            <family val="2"/>
          </rPr>
          <t xml:space="preserve"> DADM-2023-0335-M_16052023</t>
        </r>
      </text>
    </comment>
    <comment ref="E66" authorId="3" shapeId="0" xr:uid="{9C45F194-9AF9-6640-8488-D3AF8AD7AA66}">
      <text>
        <r>
          <rPr>
            <b/>
            <sz val="10"/>
            <color rgb="FF000000"/>
            <rFont val="Tahoma"/>
            <family val="2"/>
          </rPr>
          <t>Valeria Ramon Capa:</t>
        </r>
        <r>
          <rPr>
            <sz val="10"/>
            <color rgb="FF000000"/>
            <rFont val="Tahoma"/>
            <family val="2"/>
          </rPr>
          <t xml:space="preserve">
</t>
        </r>
        <r>
          <rPr>
            <sz val="10"/>
            <color rgb="FF000000"/>
            <rFont val="Tahoma"/>
            <family val="2"/>
          </rPr>
          <t xml:space="preserve">Reforma 3:
</t>
        </r>
        <r>
          <rPr>
            <sz val="10"/>
            <color rgb="FF000000"/>
            <rFont val="Tahoma"/>
            <family val="2"/>
          </rPr>
          <t xml:space="preserve">Se reduce $370 a PG por cuadre de grupo 57
</t>
        </r>
        <r>
          <rPr>
            <sz val="10"/>
            <color rgb="FF000000"/>
            <rFont val="Tahoma"/>
            <family val="2"/>
          </rPr>
          <t xml:space="preserve">
</t>
        </r>
        <r>
          <rPr>
            <sz val="10"/>
            <color rgb="FF000000"/>
            <rFont val="Tahoma"/>
            <family val="2"/>
          </rPr>
          <t>Reforma N</t>
        </r>
        <r>
          <rPr>
            <sz val="10"/>
            <color rgb="FF000000"/>
            <rFont val="Tahoma"/>
            <family val="2"/>
          </rPr>
          <t>°</t>
        </r>
        <r>
          <rPr>
            <sz val="10"/>
            <color rgb="FF000000"/>
            <rFont val="Tahoma"/>
            <family val="2"/>
          </rPr>
          <t xml:space="preserve"> 4:
</t>
        </r>
        <r>
          <rPr>
            <sz val="10"/>
            <color rgb="FF000000"/>
            <rFont val="Tahoma"/>
            <family val="2"/>
          </rPr>
          <t>Se redujo $ 3.710,00 Procuraduria Gral. por efecto de informe de seguimiento.</t>
        </r>
      </text>
    </comment>
    <comment ref="D67" authorId="0" shapeId="0" xr:uid="{FB959805-37DE-E74B-A5F0-25215D7DDD9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para devolución de valores a estudiantes. Dir. Financiera.</t>
        </r>
      </text>
    </comment>
    <comment ref="E67" authorId="4" shapeId="0" xr:uid="{A40E76AD-FF74-5B48-8EEF-007849054BA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$ 500,00 Dir. Financiera por efecto de informe de seguimiento.</t>
        </r>
      </text>
    </comment>
    <comment ref="E68" authorId="5" shapeId="0" xr:uid="{4B23E408-FCAA-3B42-837F-B9B3C960E74B}">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conforme archivo POA 2023.
</t>
        </r>
        <r>
          <rPr>
            <sz val="9"/>
            <color rgb="FF000000"/>
            <rFont val="Tahoma"/>
            <family val="2"/>
          </rPr>
          <t xml:space="preserve">Se redujo $ 137.214,99, porque se sacó del POA 2023 de la DTH ítem para sumar a esta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t>
        </r>
        <r>
          <rPr>
            <sz val="10"/>
            <color rgb="FF000000"/>
            <rFont val="Arial"/>
            <family val="2"/>
            <scheme val="minor"/>
          </rPr>
          <t xml:space="preserve">203.797,63 </t>
        </r>
        <r>
          <rPr>
            <sz val="9"/>
            <color rgb="FF000000"/>
            <rFont val="Tahoma"/>
            <family val="2"/>
          </rPr>
          <t xml:space="preserve"> DTH por efecto de informe de seguimiento.</t>
        </r>
      </text>
    </comment>
    <comment ref="D69" authorId="5" shapeId="0" xr:uid="{00CA6C59-902C-0043-BD9F-879CFA11E026}">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conforme archivo POA 2023:
</t>
        </r>
        <r>
          <rPr>
            <sz val="9"/>
            <color rgb="FF000000"/>
            <rFont val="Tahoma"/>
            <family val="2"/>
          </rPr>
          <t xml:space="preserve">$ 24.400,68 Dir. Administrativa
</t>
        </r>
        <r>
          <rPr>
            <sz val="9"/>
            <color rgb="FF000000"/>
            <rFont val="Tahoma"/>
            <family val="2"/>
          </rPr>
          <t xml:space="preserve">$ 761,38 Secretaría General
</t>
        </r>
        <r>
          <rPr>
            <sz val="9"/>
            <color rgb="FF000000"/>
            <rFont val="Tahoma"/>
            <family val="2"/>
          </rPr>
          <t xml:space="preserve">$ 2.893,16 Dir. Posgrado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$ 1.607,43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 xml:space="preserve">Se incrementó a DPLAN $87,78 por cuadre de fuente 
</t>
        </r>
        <r>
          <rPr>
            <sz val="9"/>
            <color rgb="FF000000"/>
            <rFont val="Tahoma"/>
            <family val="2"/>
          </rPr>
          <t xml:space="preserve">
</t>
        </r>
        <r>
          <rPr>
            <sz val="9"/>
            <color rgb="FF000000"/>
            <rFont val="Tahoma"/>
            <family val="2"/>
          </rPr>
          <t xml:space="preserve">Se incrementa $ 159,85 en el POA de DPOS para atender memo nro. DIPOS-2023-0237-M
</t>
        </r>
        <r>
          <rPr>
            <sz val="9"/>
            <color rgb="FF000000"/>
            <rFont val="Tahoma"/>
            <family val="2"/>
          </rPr>
          <t xml:space="preserve">
</t>
        </r>
        <r>
          <rPr>
            <sz val="9"/>
            <color rgb="FF000000"/>
            <rFont val="Tahoma"/>
            <family val="2"/>
          </rPr>
          <t xml:space="preserve">Se incrementa $ 2.660,50 en el POA de DADM para atender memo nro. </t>
        </r>
        <r>
          <rPr>
            <sz val="9"/>
            <color rgb="FF000000"/>
            <rFont val="Calibri"/>
            <family val="2"/>
          </rPr>
          <t>UTMACH-DADM-2023-0656-M</t>
        </r>
      </text>
    </comment>
    <comment ref="E69" authorId="3" shapeId="0" xr:uid="{981565F6-7600-DC4A-A8CE-E8267D9DFAEE}">
      <text>
        <r>
          <rPr>
            <b/>
            <sz val="9"/>
            <color rgb="FF000000"/>
            <rFont val="Tahoma"/>
            <family val="34"/>
          </rPr>
          <t>Valeria Ramon Capa:</t>
        </r>
        <r>
          <rPr>
            <sz val="9"/>
            <color rgb="FF000000"/>
            <rFont val="Tahoma"/>
            <family val="34"/>
          </rPr>
          <t xml:space="preserve">
</t>
        </r>
        <r>
          <rPr>
            <b/>
            <sz val="9"/>
            <color rgb="FF000000"/>
            <rFont val="Tahoma"/>
            <family val="34"/>
          </rPr>
          <t xml:space="preserve">Reforma 3:
</t>
        </r>
        <r>
          <rPr>
            <sz val="9"/>
            <color rgb="FF000000"/>
            <rFont val="Tahoma"/>
            <family val="34"/>
          </rPr>
          <t>Se reduce $632,58 según memo N</t>
        </r>
        <r>
          <rPr>
            <sz val="9"/>
            <color rgb="FF000000"/>
            <rFont val="Tahoma"/>
            <family val="34"/>
          </rPr>
          <t>°</t>
        </r>
        <r>
          <rPr>
            <sz val="9"/>
            <color rgb="FF000000"/>
            <rFont val="Tahoma"/>
            <family val="34"/>
          </rPr>
          <t xml:space="preserve"> UTMACH-DIPOS-2023-0160-M_19052023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 xml:space="preserve">Se redujo $ 81,58 Secretaría General por efecto de informe de seguimiento.
</t>
        </r>
        <r>
          <rPr>
            <sz val="9"/>
            <color rgb="FF000000"/>
            <rFont val="Tahoma"/>
            <family val="34"/>
          </rPr>
          <t xml:space="preserve">
</t>
        </r>
        <r>
          <rPr>
            <sz val="9"/>
            <color rgb="FF000000"/>
            <rFont val="Tahoma"/>
            <family val="34"/>
          </rPr>
          <t xml:space="preserve">Se redujo $ 87,78 DPLAN por efecto de informe de seguimiento.
</t>
        </r>
        <r>
          <rPr>
            <sz val="9"/>
            <color rgb="FF000000"/>
            <rFont val="Tahoma"/>
            <family val="34"/>
          </rPr>
          <t xml:space="preserve">
</t>
        </r>
        <r>
          <rPr>
            <sz val="9"/>
            <color rgb="FF000000"/>
            <rFont val="Tahoma"/>
            <family val="34"/>
          </rPr>
          <t>Se redujo $ 621,20 DIPOS por efecto de informe de seguimiento. (Cert. N</t>
        </r>
        <r>
          <rPr>
            <sz val="9"/>
            <color rgb="FF000000"/>
            <rFont val="Tahoma"/>
            <family val="34"/>
          </rPr>
          <t>°</t>
        </r>
        <r>
          <rPr>
            <sz val="9"/>
            <color rgb="FF000000"/>
            <rFont val="Tahoma"/>
            <family val="34"/>
          </rPr>
          <t xml:space="preserve"> 147)
</t>
        </r>
        <r>
          <rPr>
            <sz val="9"/>
            <color rgb="FF000000"/>
            <rFont val="Tahoma"/>
            <family val="34"/>
          </rPr>
          <t xml:space="preserve">
</t>
        </r>
        <r>
          <rPr>
            <sz val="9"/>
            <color rgb="FF000000"/>
            <rFont val="Tahoma"/>
            <family val="34"/>
          </rPr>
          <t>Se redujo $ 530,00 DIPOS por efecto de informe de seguimiento. (Cert. N</t>
        </r>
        <r>
          <rPr>
            <sz val="9"/>
            <color rgb="FF000000"/>
            <rFont val="Tahoma"/>
            <family val="34"/>
          </rPr>
          <t>°</t>
        </r>
        <r>
          <rPr>
            <sz val="9"/>
            <color rgb="FF000000"/>
            <rFont val="Tahoma"/>
            <family val="34"/>
          </rPr>
          <t xml:space="preserve"> 147)
</t>
        </r>
        <r>
          <rPr>
            <sz val="9"/>
            <color rgb="FF000000"/>
            <rFont val="Tahoma"/>
            <family val="34"/>
          </rPr>
          <t xml:space="preserve">
</t>
        </r>
        <r>
          <rPr>
            <sz val="9"/>
            <color rgb="FF000000"/>
            <rFont val="Tahoma"/>
            <family val="34"/>
          </rPr>
          <t>Se redujo $ 182,16 DTIC por efecto de informe de seguimiento. (Cert. N</t>
        </r>
        <r>
          <rPr>
            <sz val="9"/>
            <color rgb="FF000000"/>
            <rFont val="Tahoma"/>
            <family val="34"/>
          </rPr>
          <t>°</t>
        </r>
        <r>
          <rPr>
            <sz val="9"/>
            <color rgb="FF000000"/>
            <rFont val="Tahoma"/>
            <family val="34"/>
          </rPr>
          <t xml:space="preserve"> 265)
</t>
        </r>
        <r>
          <rPr>
            <sz val="9"/>
            <color rgb="FF000000"/>
            <rFont val="Tahoma"/>
            <family val="34"/>
          </rPr>
          <t xml:space="preserve">
</t>
        </r>
        <r>
          <rPr>
            <sz val="9"/>
            <color rgb="FF000000"/>
            <rFont val="Tahoma"/>
            <family val="34"/>
          </rPr>
          <t>Se redujo $ 2.125,00 DADM por efecto de informe de seguimiento.</t>
        </r>
      </text>
    </comment>
    <comment ref="D70" authorId="0" shapeId="0" xr:uid="{B8F8F055-70EB-4F4F-BBF3-3EAE1231C4AF}">
      <text>
        <r>
          <rPr>
            <b/>
            <sz val="9"/>
            <color rgb="FF000000"/>
            <rFont val="Tahoma"/>
            <family val="2"/>
          </rPr>
          <t>HP:</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2:
</t>
        </r>
        <r>
          <rPr>
            <sz val="9"/>
            <color rgb="FF000000"/>
            <rFont val="Tahoma"/>
            <family val="34"/>
          </rPr>
          <t xml:space="preserve">Se incrementó $ 39.500,00 para adquisición de aires acondicionados PULLA HNOS Dir Adm
</t>
        </r>
        <r>
          <rPr>
            <sz val="9"/>
            <color rgb="FF000000"/>
            <rFont val="Tahoma"/>
            <family val="34"/>
          </rPr>
          <t xml:space="preserve">$ 2.940,00 por contrato de año anterior para adquisición de proyectores de imagen. TICS
</t>
        </r>
        <r>
          <rPr>
            <sz val="9"/>
            <color rgb="FF000000"/>
            <rFont val="Tahoma"/>
            <family val="34"/>
          </rPr>
          <t xml:space="preserve">
</t>
        </r>
        <r>
          <rPr>
            <sz val="8"/>
            <color rgb="FF000000"/>
            <rFont val="Calibri"/>
            <family val="2"/>
          </rPr>
          <t xml:space="preserve">Reforma nro. 004:
</t>
        </r>
        <r>
          <rPr>
            <sz val="8"/>
            <color rgb="FF000000"/>
            <rFont val="Calibri"/>
            <family val="2"/>
          </rPr>
          <t xml:space="preserve">Se incrementa $ 313,60 en el POA de VAC para atender memo nro. VACAD-2023-0354-M
</t>
        </r>
      </text>
    </comment>
    <comment ref="E70" authorId="2" shapeId="0" xr:uid="{CF757A12-93D2-8E41-8DF1-26E5BFD4A914}">
      <text>
        <r>
          <rPr>
            <b/>
            <sz val="10"/>
            <color rgb="FF000000"/>
            <rFont val="Tahoma"/>
            <family val="2"/>
          </rPr>
          <t>Microsoft Office User:</t>
        </r>
        <r>
          <rPr>
            <sz val="10"/>
            <color rgb="FF000000"/>
            <rFont val="Tahoma"/>
            <family val="2"/>
          </rPr>
          <t xml:space="preserve">
</t>
        </r>
      </text>
    </comment>
    <comment ref="D71" authorId="5" shapeId="0" xr:uid="{B5FA900E-E8E3-4C43-AD2D-596976DE350F}">
      <text>
        <r>
          <rPr>
            <b/>
            <sz val="8"/>
            <color rgb="FF000000"/>
            <rFont val="Tahoma"/>
            <family val="2"/>
          </rPr>
          <t>Eunice Basilio:</t>
        </r>
        <r>
          <rPr>
            <sz val="8"/>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2:
</t>
        </r>
        <r>
          <rPr>
            <sz val="8"/>
            <color rgb="FF000000"/>
            <rFont val="Tahoma"/>
            <family val="2"/>
          </rPr>
          <t xml:space="preserve">Se incrementó conforme archivo POA 2023:
</t>
        </r>
        <r>
          <rPr>
            <sz val="8"/>
            <color rgb="FF000000"/>
            <rFont val="Tahoma"/>
            <family val="2"/>
          </rPr>
          <t xml:space="preserve">$ 19.554,08 DIRCOM
</t>
        </r>
        <r>
          <rPr>
            <sz val="8"/>
            <color rgb="FF000000"/>
            <rFont val="Tahoma"/>
            <family val="2"/>
          </rPr>
          <t xml:space="preserve">$ 3.360,00 Secretaría General
</t>
        </r>
        <r>
          <rPr>
            <sz val="8"/>
            <color rgb="FF000000"/>
            <rFont val="Tahoma"/>
            <family val="2"/>
          </rPr>
          <t xml:space="preserve">$ 2.882,88 Dir. Aseguramiento de la Calidad
</t>
        </r>
        <r>
          <rPr>
            <sz val="8"/>
            <color rgb="FF000000"/>
            <rFont val="Tahoma"/>
            <family val="2"/>
          </rPr>
          <t xml:space="preserve">$ 53.704,13 DTIC
</t>
        </r>
        <r>
          <rPr>
            <sz val="8"/>
            <color rgb="FF000000"/>
            <rFont val="Tahoma"/>
            <family val="2"/>
          </rPr>
          <t xml:space="preserve">$ 360,00 Dir. Financiera
</t>
        </r>
        <r>
          <rPr>
            <sz val="8"/>
            <color rgb="FF000000"/>
            <rFont val="Tahoma"/>
            <family val="2"/>
          </rPr>
          <t xml:space="preserve">$ 70.954,075 DBUAC
</t>
        </r>
        <r>
          <rPr>
            <sz val="8"/>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3:
</t>
        </r>
        <r>
          <rPr>
            <sz val="8"/>
            <color rgb="FF000000"/>
            <rFont val="Tahoma"/>
            <family val="2"/>
          </rPr>
          <t>Se incrementó $ 8.999,20, según memo N</t>
        </r>
        <r>
          <rPr>
            <sz val="8"/>
            <color rgb="FF000000"/>
            <rFont val="Tahoma"/>
            <family val="2"/>
          </rPr>
          <t>°</t>
        </r>
        <r>
          <rPr>
            <sz val="8"/>
            <color rgb="FF000000"/>
            <rFont val="Tahoma"/>
            <family val="2"/>
          </rPr>
          <t xml:space="preserve"> DBUAC-2023-0124-M_03032023
</t>
        </r>
        <r>
          <rPr>
            <sz val="8"/>
            <color rgb="FF000000"/>
            <rFont val="Tahoma"/>
            <family val="2"/>
          </rPr>
          <t xml:space="preserve">
</t>
        </r>
        <r>
          <rPr>
            <sz val="8"/>
            <color rgb="FF000000"/>
            <rFont val="Tahoma"/>
            <family val="2"/>
          </rPr>
          <t xml:space="preserve">Se incrementó $2.000,01 para compra de montacarga de Unidad de Bienes (reasignación)
</t>
        </r>
        <r>
          <rPr>
            <sz val="8"/>
            <color rgb="FF000000"/>
            <rFont val="Tahoma"/>
            <family val="2"/>
          </rPr>
          <t xml:space="preserve">
</t>
        </r>
        <r>
          <rPr>
            <sz val="8"/>
            <color rgb="FF000000"/>
            <rFont val="Tahoma"/>
            <family val="2"/>
          </rPr>
          <t>Se incrementó $ 13.686,40, según memo N</t>
        </r>
        <r>
          <rPr>
            <sz val="8"/>
            <color rgb="FF000000"/>
            <rFont val="Tahoma"/>
            <family val="2"/>
          </rPr>
          <t>°</t>
        </r>
        <r>
          <rPr>
            <sz val="8"/>
            <color rgb="FF000000"/>
            <rFont val="Tahoma"/>
            <family val="2"/>
          </rPr>
          <t xml:space="preserve"> DBUAC-2023-0318-M_22052023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 xml:space="preserve">Se incrementa $ 6.888,00 para atender memo nro. DADM-2023-0645-M.
</t>
        </r>
        <r>
          <rPr>
            <sz val="8"/>
            <color rgb="FF000000"/>
            <rFont val="Tahoma"/>
            <family val="2"/>
          </rPr>
          <t xml:space="preserve">
</t>
        </r>
        <r>
          <rPr>
            <sz val="8"/>
            <color rgb="FF000000"/>
            <rFont val="Arial"/>
            <family val="2"/>
            <scheme val="minor"/>
          </rPr>
          <t>Se incrementa $ 51.788,80 en el POA de DBUAC para atender memo nro. DBUAC-2023-0597-M.</t>
        </r>
        <r>
          <rPr>
            <sz val="8"/>
            <color rgb="FF000000"/>
            <rFont val="Arial"/>
            <family val="2"/>
            <scheme val="minor"/>
          </rPr>
          <t xml:space="preserve">
</t>
        </r>
        <r>
          <rPr>
            <sz val="8"/>
            <color rgb="FF000000"/>
            <rFont val="Tahoma"/>
            <family val="2"/>
          </rPr>
          <t xml:space="preserve">
</t>
        </r>
        <r>
          <rPr>
            <sz val="8"/>
            <color rgb="FF000000"/>
            <rFont val="Arial"/>
            <family val="2"/>
            <scheme val="minor"/>
          </rPr>
          <t xml:space="preserve">Se incrementa $ 2251,20 + 4631,75 en el POA de DADM en atención al </t>
        </r>
        <r>
          <rPr>
            <sz val="8"/>
            <color rgb="FF000000"/>
            <rFont val="Arial"/>
            <family val="2"/>
            <scheme val="minor"/>
          </rPr>
          <t xml:space="preserve">Memorando nro. UTMACH-DADM-UCP-2023-1143-M.
</t>
        </r>
      </text>
    </comment>
    <comment ref="E71" authorId="4" shapeId="0" xr:uid="{9BDEA231-BC96-8340-B4EA-3C5C1F8A303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$ 2.135,00 Unidad dee Gestión Documental y Archivo por efecto de informe de seguimiento (Certif. N</t>
        </r>
        <r>
          <rPr>
            <sz val="9"/>
            <color rgb="FF000000"/>
            <rFont val="Tahoma"/>
            <family val="2"/>
          </rPr>
          <t>°</t>
        </r>
        <r>
          <rPr>
            <sz val="9"/>
            <color rgb="FF000000"/>
            <rFont val="Tahoma"/>
            <family val="2"/>
          </rPr>
          <t xml:space="preserve"> 159)
</t>
        </r>
        <r>
          <rPr>
            <sz val="9"/>
            <color rgb="FF000000"/>
            <rFont val="Tahoma"/>
            <family val="2"/>
          </rPr>
          <t xml:space="preserve">
</t>
        </r>
        <r>
          <rPr>
            <sz val="9"/>
            <color rgb="FF000000"/>
            <rFont val="Tahoma"/>
            <family val="2"/>
          </rPr>
          <t xml:space="preserve">Se redujo $ 4.940,53 DBUAC por efecto de informe de seguimiento.
</t>
        </r>
        <r>
          <rPr>
            <sz val="9"/>
            <color rgb="FF000000"/>
            <rFont val="Tahoma"/>
            <family val="2"/>
          </rPr>
          <t xml:space="preserve">
</t>
        </r>
        <r>
          <rPr>
            <sz val="9"/>
            <color rgb="FF000000"/>
            <rFont val="Tahoma"/>
            <family val="2"/>
          </rPr>
          <t>Se redujo $ 136,90 DAC por efecto de informe de seguimiento (Cert. N</t>
        </r>
        <r>
          <rPr>
            <sz val="9"/>
            <color rgb="FF000000"/>
            <rFont val="Tahoma"/>
            <family val="2"/>
          </rPr>
          <t>°</t>
        </r>
        <r>
          <rPr>
            <sz val="9"/>
            <color rgb="FF000000"/>
            <rFont val="Tahoma"/>
            <family val="2"/>
          </rPr>
          <t xml:space="preserve"> 235 dispensador y N</t>
        </r>
        <r>
          <rPr>
            <sz val="9"/>
            <color rgb="FF000000"/>
            <rFont val="Tahoma"/>
            <family val="2"/>
          </rPr>
          <t>°</t>
        </r>
        <r>
          <rPr>
            <sz val="9"/>
            <color rgb="FF000000"/>
            <rFont val="Tahoma"/>
            <family val="2"/>
          </rPr>
          <t xml:space="preserve"> 152 proyector).
</t>
        </r>
        <r>
          <rPr>
            <sz val="9"/>
            <color rgb="FF000000"/>
            <rFont val="Tahoma"/>
            <family val="2"/>
          </rPr>
          <t xml:space="preserve">
</t>
        </r>
        <r>
          <rPr>
            <sz val="9"/>
            <color rgb="FF000000"/>
            <rFont val="Tahoma"/>
            <family val="2"/>
          </rPr>
          <t>Se redujo $ 589,26 Unidad de Control de Bienes por efecto de informe de seguimiento.</t>
        </r>
      </text>
    </comment>
    <comment ref="D72" authorId="2" shapeId="0" xr:uid="{D5CAD2FA-03EF-2544-8DD1-B3D8F667BFF4}">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$ 6.300,00 en el POA de DADM para atender memo nro. </t>
        </r>
        <r>
          <rPr>
            <sz val="10"/>
            <color rgb="FF000000"/>
            <rFont val="Arial"/>
            <family val="2"/>
            <scheme val="minor"/>
          </rPr>
          <t>UTMACH-DADM-2023-0651-M.</t>
        </r>
      </text>
    </comment>
    <comment ref="D73" authorId="0" shapeId="0" xr:uid="{04CA10A8-2108-2546-9126-2EE6207F5CC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$ 81.952,06 DBUAC Tablet
</t>
        </r>
        <r>
          <rPr>
            <sz val="9"/>
            <color rgb="FF000000"/>
            <rFont val="Tahoma"/>
            <family val="2"/>
          </rPr>
          <t xml:space="preserve">
</t>
        </r>
        <r>
          <rPr>
            <sz val="9"/>
            <color rgb="FF000000"/>
            <rFont val="Tahoma"/>
            <family val="2"/>
          </rPr>
          <t xml:space="preserve">Reforma N 3:
</t>
        </r>
        <r>
          <rPr>
            <sz val="9"/>
            <color rgb="FF000000"/>
            <rFont val="Tahoma"/>
            <family val="2"/>
          </rPr>
          <t>Se incrementó $1.644,63 DPLAN-UPES por reunión de seguimiento</t>
        </r>
      </text>
    </comment>
    <comment ref="E73" authorId="4" shapeId="0" xr:uid="{5C65131E-AE37-EF48-9C18-EAB7813799CF}">
      <text>
        <r>
          <rPr>
            <b/>
            <sz val="9"/>
            <color rgb="FF000000"/>
            <rFont val="Tahoma"/>
            <family val="2"/>
          </rPr>
          <t>Admin:</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$ 8.250,99 DBUAC por efecto de informe de seguimiento. (Cert. N</t>
        </r>
        <r>
          <rPr>
            <sz val="9"/>
            <color rgb="FF000000"/>
            <rFont val="Tahoma"/>
            <family val="2"/>
          </rPr>
          <t>°</t>
        </r>
        <r>
          <rPr>
            <sz val="9"/>
            <color rgb="FF000000"/>
            <rFont val="Tahoma"/>
            <family val="2"/>
          </rPr>
          <t xml:space="preserve"> 303)</t>
        </r>
      </text>
    </comment>
    <comment ref="D74" authorId="5" shapeId="0" xr:uid="{D2ECFA6C-9EA9-A34B-A812-B8CBA7CC9230}">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t>
        </r>
        <r>
          <rPr>
            <sz val="9"/>
            <color rgb="FF000000"/>
            <rFont val="Tahoma"/>
            <family val="2"/>
          </rPr>
          <t xml:space="preserve">$ 6.548,35 Rectorado
</t>
        </r>
        <r>
          <rPr>
            <sz val="9"/>
            <color rgb="FF000000"/>
            <rFont val="Tahoma"/>
            <family val="2"/>
          </rPr>
          <t xml:space="preserve">$ 3.920,00 DIRCOM
</t>
        </r>
        <r>
          <rPr>
            <sz val="9"/>
            <color rgb="FF000000"/>
            <rFont val="Tahoma"/>
            <family val="2"/>
          </rPr>
          <t xml:space="preserve">$ 1.868,16 Secretaría General
</t>
        </r>
        <r>
          <rPr>
            <sz val="9"/>
            <color rgb="FF000000"/>
            <rFont val="Tahoma"/>
            <family val="2"/>
          </rPr>
          <t xml:space="preserve">$ 2.934,40 Dirección de Aseguramiento de la Calidad
</t>
        </r>
        <r>
          <rPr>
            <sz val="9"/>
            <color rgb="FF000000"/>
            <rFont val="Tahoma"/>
            <family val="2"/>
          </rPr>
          <t xml:space="preserve">conforme archivo POA 2023.
</t>
        </r>
        <r>
          <rPr>
            <sz val="9"/>
            <color rgb="FF000000"/>
            <rFont val="Tahoma"/>
            <family val="2"/>
          </rPr>
          <t xml:space="preserve">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$ 1.008,00 según memo N</t>
        </r>
        <r>
          <rPr>
            <sz val="9"/>
            <color rgb="FF000000"/>
            <rFont val="Tahoma"/>
            <family val="2"/>
          </rPr>
          <t>°</t>
        </r>
        <r>
          <rPr>
            <sz val="9"/>
            <color rgb="FF000000"/>
            <rFont val="Tahoma"/>
            <family val="2"/>
          </rPr>
          <t xml:space="preserve"> UTMACH-DAC-2023-0056-M_24032023
</t>
        </r>
        <r>
          <rPr>
            <sz val="9"/>
            <color rgb="FF000000"/>
            <rFont val="Tahoma"/>
            <family val="2"/>
          </rPr>
          <t xml:space="preserve">UTMACH-DAC-2023-0059-M_27032023 (Alcance M_0056)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$ 81,10 para atender pedido del memo nro. SG-2023-0194-M, en el POA de SG
</t>
        </r>
        <r>
          <rPr>
            <sz val="9"/>
            <color rgb="FF000000"/>
            <rFont val="Tahoma"/>
            <family val="2"/>
          </rPr>
          <t xml:space="preserve">
</t>
        </r>
        <r>
          <rPr>
            <sz val="9"/>
            <color rgb="FF000000"/>
            <rFont val="Tahoma"/>
            <family val="2"/>
          </rPr>
          <t xml:space="preserve">Se incrementa $ 1.771,84 para atender pedido del memo nro. SG-2023-0213-M
</t>
        </r>
        <r>
          <rPr>
            <sz val="9"/>
            <color rgb="FF000000"/>
            <rFont val="Tahoma"/>
            <family val="2"/>
          </rPr>
          <t xml:space="preserve">
</t>
        </r>
        <r>
          <rPr>
            <sz val="9"/>
            <color rgb="FF000000"/>
            <rFont val="Tahoma"/>
            <family val="2"/>
          </rPr>
          <t xml:space="preserve">Se incrementa $ 3.801,28 para atender el pedido del memo nro. </t>
        </r>
        <r>
          <rPr>
            <sz val="10"/>
            <color rgb="FF000000"/>
            <rFont val="Calibri"/>
            <family val="2"/>
          </rPr>
          <t>UTMACH-DADM-2023-0656-M</t>
        </r>
        <r>
          <rPr>
            <sz val="9"/>
            <color rgb="FF000000"/>
            <rFont val="Calibri"/>
            <family val="2"/>
          </rPr>
          <t xml:space="preserve">
</t>
        </r>
      </text>
    </comment>
    <comment ref="E74" authorId="4" shapeId="0" xr:uid="{99DC65B1-BA8F-9541-882B-31F203BACA4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$ 836,81 DIRCOM por efecto de informe de seguimiento.
</t>
        </r>
        <r>
          <rPr>
            <sz val="9"/>
            <color rgb="FF000000"/>
            <rFont val="Tahoma"/>
            <family val="2"/>
          </rPr>
          <t xml:space="preserve">
</t>
        </r>
        <r>
          <rPr>
            <sz val="9"/>
            <color rgb="FF000000"/>
            <rFont val="Tahoma"/>
            <family val="2"/>
          </rPr>
          <t>Se redujo $ 572,00 + $ 1.254,40 en el POA de DAC por efecto de informe de seguimiento y atención memo nro. DAC-2023-0221-M.</t>
        </r>
      </text>
    </comment>
    <comment ref="D75" authorId="0" shapeId="0" xr:uid="{A8C6F40C-6705-FA45-ABB2-57485AB8C9D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$ 16.000,00 para liquidaciones personal administrativo, trabajadores, pago de alimentación, transporte, cargas familiares, antigüedad.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$ 10.000,00 atendiendo al memo N</t>
        </r>
        <r>
          <rPr>
            <sz val="9"/>
            <color rgb="FF000000"/>
            <rFont val="Tahoma"/>
            <family val="2"/>
          </rPr>
          <t>°</t>
        </r>
        <r>
          <rPr>
            <sz val="9"/>
            <color rgb="FF000000"/>
            <rFont val="Tahoma"/>
            <family val="2"/>
          </rPr>
          <t xml:space="preserve"> UTMACH-DF-2023-0197-M_20052023</t>
        </r>
      </text>
    </comment>
    <comment ref="E75" authorId="4" shapeId="0" xr:uid="{198AF11C-F9D4-7940-867C-921BD7D77B7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$ 4.000,00 Dir. Financiera por efecto de informe de seguimiento.</t>
        </r>
      </text>
    </comment>
    <comment ref="E81" authorId="1" shapeId="0" xr:uid="{84F37E09-FFFF-414C-9FFB-CB12B8DCCA0A}">
      <text>
        <r>
          <rPr>
            <b/>
            <sz val="9"/>
            <color rgb="FF000000"/>
            <rFont val="Tahoma"/>
            <family val="2"/>
          </rPr>
          <t xml:space="preserve">LENOVO:
</t>
        </r>
        <r>
          <rPr>
            <sz val="9"/>
            <color rgb="FF000000"/>
            <rFont val="Tahoma"/>
            <family val="2"/>
          </rPr>
          <t xml:space="preserve">
</t>
        </r>
        <r>
          <rPr>
            <b/>
            <sz val="9"/>
            <color rgb="FF000000"/>
            <rFont val="Tahoma"/>
            <family val="2"/>
          </rPr>
          <t xml:space="preserve">Reforma 3:
</t>
        </r>
        <r>
          <rPr>
            <sz val="9"/>
            <color rgb="FF000000"/>
            <rFont val="Tahoma"/>
            <family val="2"/>
          </rPr>
          <t xml:space="preserve">
</t>
        </r>
        <r>
          <rPr>
            <sz val="9"/>
            <color rgb="FF000000"/>
            <rFont val="Tahoma"/>
            <family val="2"/>
          </rPr>
          <t xml:space="preserve">Se reduce $ 40.000,00 para financiar Décimo Tercer Sueldo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9"/>
            <color rgb="FF000000"/>
            <rFont val="Tahoma"/>
            <family val="2"/>
          </rPr>
          <t xml:space="preserve">Se reduce $ 262.000,00 para financiar la partida de servicios personales por contrato, por efectos del seguimiento presupuestario.
</t>
        </r>
        <r>
          <rPr>
            <sz val="9"/>
            <color rgb="FF000000"/>
            <rFont val="Tahoma"/>
            <family val="2"/>
          </rPr>
          <t xml:space="preserve">
</t>
        </r>
        <r>
          <rPr>
            <sz val="9"/>
            <color rgb="FF000000"/>
            <rFont val="Tahoma"/>
            <family val="2"/>
          </rPr>
          <t xml:space="preserve">Se reduce $ 6.000,00 para financiar partida de décimo cuarto sueldo, por efectos del seguimiento presupuestario.
</t>
        </r>
        <r>
          <rPr>
            <sz val="9"/>
            <color rgb="FF000000"/>
            <rFont val="Tahoma"/>
            <family val="2"/>
          </rPr>
          <t xml:space="preserve">
</t>
        </r>
        <r>
          <rPr>
            <sz val="9"/>
            <color rgb="FF000000"/>
            <rFont val="Tahoma"/>
            <family val="2"/>
          </rPr>
          <t>Se reduce $ 30.000,00 para financiar segundo plan de jubilación de la UTMACH, previsto a planificarse en septiembre.</t>
        </r>
      </text>
    </comment>
    <comment ref="D82" authorId="2" shapeId="0" xr:uid="{88CA67E3-7638-274E-BAB7-64EE4A8F5C26}">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incrementa $ 6.000,00 para financiar partida de décimo cuarto sueldo, por efectos del seguimiento presupuestario.</t>
        </r>
      </text>
    </comment>
    <comment ref="D83" authorId="2" shapeId="0" xr:uid="{A7572A57-C797-0E4E-BF68-F6BFCD13FC9C}">
      <text>
        <r>
          <rPr>
            <b/>
            <sz val="10"/>
            <color rgb="FF000000"/>
            <rFont val="Tahoma"/>
            <family val="2"/>
          </rPr>
          <t xml:space="preserve">Microsoft Office User:
</t>
        </r>
        <r>
          <rPr>
            <b/>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$ 262.000,00 para financiar la partida de servicios personales por contrato, por efectos del seguimiento presupuestario.
</t>
        </r>
      </text>
    </comment>
    <comment ref="D84" authorId="3" shapeId="0" xr:uid="{2F77460A-3904-614C-969D-C31761C87F0F}">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incrementa $1.509,87 según memo N</t>
        </r>
        <r>
          <rPr>
            <sz val="9"/>
            <color rgb="FF000000"/>
            <rFont val="Tahoma"/>
            <family val="2"/>
          </rPr>
          <t>°</t>
        </r>
        <r>
          <rPr>
            <sz val="9"/>
            <color rgb="FF000000"/>
            <rFont val="Tahoma"/>
            <family val="2"/>
          </rPr>
          <t xml:space="preserve"> UTMACH-DIPOS-2023-0160-M_19052023</t>
        </r>
      </text>
    </comment>
    <comment ref="E84" authorId="4" shapeId="0" xr:uid="{FF6B3922-75ED-0349-948A-37BD6827979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$ 1.209,87 DIPOS por efecto de informe de seguimiento.</t>
        </r>
      </text>
    </comment>
    <comment ref="E85" authorId="4" shapeId="0" xr:uid="{5BAD14C1-7F85-5344-96B8-B185BC93AAE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$ 2.410,40 DIPOS por efecto de informe de seguimiento.
</t>
        </r>
        <r>
          <rPr>
            <sz val="9"/>
            <color rgb="FF000000"/>
            <rFont val="Tahoma"/>
            <family val="2"/>
          </rPr>
          <t xml:space="preserve">
</t>
        </r>
        <r>
          <rPr>
            <sz val="9"/>
            <color rgb="FF000000"/>
            <rFont val="Tahoma"/>
            <family val="2"/>
          </rPr>
          <t>Se redujo $ 1.000,16 Dir. Formación Profesional por efecto de informe de seguimiento.</t>
        </r>
      </text>
    </comment>
    <comment ref="D86" authorId="0" shapeId="0" xr:uid="{071A046B-DD4E-E647-BD5D-54479BDAE1C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$ 5.040,00 FCQS</t>
        </r>
      </text>
    </comment>
    <comment ref="E86" authorId="4" shapeId="0" xr:uid="{AA4A42DC-FB87-1D45-B27C-3A3673A3297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$ 540,00 FCQS según informe de seguimiento.</t>
        </r>
      </text>
    </comment>
    <comment ref="D87" authorId="0" shapeId="0" xr:uid="{7AE70BBF-99E4-2F40-851A-7FDBAA50491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83.935,78 para Dir. Administrativa
</t>
        </r>
        <r>
          <rPr>
            <sz val="9"/>
            <color rgb="FF000000"/>
            <rFont val="Tahoma"/>
            <family val="2"/>
          </rPr>
          <t xml:space="preserve">Se eliminó porque no se puede cruzar del grupo 84 al grupo 53.
</t>
        </r>
        <r>
          <rPr>
            <sz val="9"/>
            <color rgb="FF000000"/>
            <rFont val="Tahoma"/>
            <family val="2"/>
          </rPr>
          <t xml:space="preserve">
</t>
        </r>
        <r>
          <rPr>
            <sz val="9"/>
            <color rgb="FF000000"/>
            <rFont val="Tahoma"/>
            <family val="2"/>
          </rPr>
          <t xml:space="preserve">Se incrementó $ 14.752,06 por saldo positivo y cuadre final de la fuente 1.
</t>
        </r>
        <r>
          <rPr>
            <sz val="9"/>
            <color rgb="FF000000"/>
            <rFont val="Tahoma"/>
            <family val="2"/>
          </rPr>
          <t xml:space="preserve">
</t>
        </r>
        <r>
          <rPr>
            <sz val="9"/>
            <color rgb="FF000000"/>
            <rFont val="Tahoma"/>
            <family val="2"/>
          </rPr>
          <t xml:space="preserve">Cómo quedó en el POA:
</t>
        </r>
        <r>
          <rPr>
            <sz val="9"/>
            <color rgb="FF000000"/>
            <rFont val="Tahoma"/>
            <family val="2"/>
          </rPr>
          <t xml:space="preserve">711.513,00 DIR ADMINISTRATIVA
</t>
        </r>
        <r>
          <rPr>
            <sz val="9"/>
            <color rgb="FF000000"/>
            <rFont val="Tahoma"/>
            <family val="2"/>
          </rPr>
          <t xml:space="preserve">
</t>
        </r>
        <r>
          <rPr>
            <sz val="9"/>
            <color rgb="FF000000"/>
            <rFont val="Tahoma"/>
            <family val="2"/>
          </rPr>
          <t xml:space="preserve">Se incrementó 5.448,78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E87" authorId="0" shapeId="0" xr:uid="{CF47BB0A-B007-1C4A-BD31-1709CBEEBD9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t>
        </r>
        <r>
          <rPr>
            <sz val="9"/>
            <color rgb="FF000000"/>
            <rFont val="Tahoma"/>
            <family val="2"/>
          </rPr>
          <t xml:space="preserve">$ 6.720,00 Dir. Aseguramiento de la Calidad.
</t>
        </r>
        <r>
          <rPr>
            <sz val="9"/>
            <color rgb="FF000000"/>
            <rFont val="Tahoma"/>
            <family val="2"/>
          </rPr>
          <t xml:space="preserve">$ 6.720,00 FIC
</t>
        </r>
        <r>
          <rPr>
            <sz val="9"/>
            <color rgb="FF000000"/>
            <rFont val="Tahoma"/>
            <family val="34"/>
          </rPr>
          <t xml:space="preserve">
</t>
        </r>
        <r>
          <rPr>
            <b/>
            <sz val="9"/>
            <color rgb="FF000000"/>
            <rFont val="Tahoma"/>
            <family val="34"/>
          </rPr>
          <t>Reforma 3:</t>
        </r>
        <r>
          <rPr>
            <sz val="9"/>
            <color rgb="FF000000"/>
            <rFont val="Tahoma"/>
            <family val="34"/>
          </rPr>
          <t xml:space="preserve">
</t>
        </r>
        <r>
          <rPr>
            <sz val="9"/>
            <color rgb="FF000000"/>
            <rFont val="Tahoma"/>
            <family val="34"/>
          </rPr>
          <t>Se redujo $1.365,00 por atención de Memo N</t>
        </r>
        <r>
          <rPr>
            <sz val="9"/>
            <color rgb="FF000000"/>
            <rFont val="Tahoma"/>
            <family val="34"/>
          </rPr>
          <t>°</t>
        </r>
        <r>
          <rPr>
            <sz val="9"/>
            <color rgb="FF000000"/>
            <rFont val="Tahoma"/>
            <family val="34"/>
          </rPr>
          <t xml:space="preserve"> UTMACH-DAC-2023-0133-M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 xml:space="preserve">Se reduce $ 711.513,00 por cambio de partida de inversión del </t>
        </r>
        <r>
          <rPr>
            <sz val="10"/>
            <color rgb="FF000000"/>
            <rFont val="Arial"/>
            <family val="2"/>
          </rPr>
          <t>Proyecto de Inversión " Adecuación de infraestructura y equipamiento Universidad Técnica de Machala"</t>
        </r>
        <r>
          <rPr>
            <sz val="9"/>
            <color rgb="FF000000"/>
            <rFont val="Arial"/>
            <family val="2"/>
          </rPr>
          <t xml:space="preserve"> </t>
        </r>
      </text>
    </comment>
    <comment ref="D88" authorId="0" shapeId="0" xr:uid="{E192868D-1F06-F44C-865B-510B735C723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$ 77.722,59 DBUAC</t>
        </r>
      </text>
    </comment>
    <comment ref="E88" authorId="4" shapeId="0" xr:uid="{E0FCD4EE-3FF8-2D42-A07C-F26A382CD92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t>
        </r>
      </text>
    </comment>
    <comment ref="D89" authorId="0" shapeId="0" xr:uid="{496496D4-F666-F844-8326-96C25ED325F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t>
        </r>
        <r>
          <rPr>
            <b/>
            <sz val="9"/>
            <color rgb="FF000000"/>
            <rFont val="Tahoma"/>
            <family val="2"/>
          </rPr>
          <t>$ 5.666,86</t>
        </r>
        <r>
          <rPr>
            <sz val="9"/>
            <color rgb="FF000000"/>
            <rFont val="Tahoma"/>
            <family val="2"/>
          </rPr>
          <t xml:space="preserve"> para adecuación de Sala de Docentes de la Carrera de Enfermería en la FCQS. UTMACH EP EMPRESA PUBLICA
</t>
        </r>
        <r>
          <rPr>
            <sz val="9"/>
            <color rgb="FF000000"/>
            <rFont val="Tahoma"/>
            <family val="2"/>
          </rPr>
          <t xml:space="preserve">
</t>
        </r>
        <r>
          <rPr>
            <sz val="9"/>
            <color rgb="FF000000"/>
            <rFont val="Tahoma"/>
            <family val="2"/>
          </rPr>
          <t>Se incrementó $ 44.380,00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$ 250.000,00 para DBUAC Adecuación de espacios de bienestar deportivos.
</t>
        </r>
        <r>
          <rPr>
            <sz val="9"/>
            <color rgb="FF000000"/>
            <rFont val="Tahoma"/>
            <family val="2"/>
          </rPr>
          <t xml:space="preserve">Se eliminó porque no se puede cruzar de la 84 al grupo 53.
</t>
        </r>
        <r>
          <rPr>
            <sz val="9"/>
            <color rgb="FF000000"/>
            <rFont val="Tahoma"/>
            <family val="2"/>
          </rPr>
          <t xml:space="preserve">Se incrementó $ 123.677,98 para DBUAC Adecuación de espacios de bienestar deportivos.
</t>
        </r>
        <r>
          <rPr>
            <sz val="9"/>
            <color rgb="FF000000"/>
            <rFont val="Tahoma"/>
            <family val="2"/>
          </rPr>
          <t xml:space="preserve">Por saldo a favor y cuadre final de la fuente 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$ 3.224,44 según memo N</t>
        </r>
        <r>
          <rPr>
            <sz val="9"/>
            <color rgb="FF000000"/>
            <rFont val="Tahoma"/>
            <family val="2"/>
          </rPr>
          <t>°</t>
        </r>
        <r>
          <rPr>
            <sz val="9"/>
            <color rgb="FF000000"/>
            <rFont val="Tahoma"/>
            <family val="2"/>
          </rPr>
          <t xml:space="preserve"> FIC-D-2023-0217-M_09052023 (por cuadre de fuente)
</t>
        </r>
      </text>
    </comment>
    <comment ref="E89" authorId="3" shapeId="0" xr:uid="{EEFEA913-E185-5E42-BD33-8A18D1D0982E}">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 xml:space="preserve">Se redujo $ 44.380,00 FCS en reunión de seguimiento y en virtud de oficio Nro. MEF-SP-2023-0501 para atender Memo Nro. 0399 de DADM.
</t>
        </r>
        <r>
          <rPr>
            <sz val="9"/>
            <color rgb="FF000000"/>
            <rFont val="Tahoma"/>
            <family val="2"/>
          </rPr>
          <t xml:space="preserve">
</t>
        </r>
        <r>
          <rPr>
            <sz val="10"/>
            <color rgb="FF000000"/>
            <rFont val="Arial"/>
            <family val="2"/>
          </rPr>
          <t xml:space="preserve">Reforma nro. 004:
</t>
        </r>
        <r>
          <rPr>
            <sz val="10"/>
            <color rgb="FF000000"/>
            <rFont val="Arial"/>
            <family val="2"/>
          </rPr>
          <t xml:space="preserve">Se redujo $ 123.677,98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 en la misma partida con fuente 001.
</t>
        </r>
      </text>
    </comment>
    <comment ref="D90" authorId="4" shapeId="0" xr:uid="{597A5BD0-8210-2342-AC75-EAC77AEAC31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$ 50.000,00 según memo N</t>
        </r>
        <r>
          <rPr>
            <sz val="9"/>
            <color rgb="FF000000"/>
            <rFont val="Tahoma"/>
            <family val="2"/>
          </rPr>
          <t>°</t>
        </r>
        <r>
          <rPr>
            <sz val="9"/>
            <color rgb="FF000000"/>
            <rFont val="Tahoma"/>
            <family val="2"/>
          </rPr>
          <t xml:space="preserve"> UTMACH-FCA-D-2023-0571-M_28072023 para Estudios especializados para la construcción del bloque de laboratorios de la FCA.</t>
        </r>
      </text>
    </comment>
    <comment ref="E90" authorId="0" shapeId="0" xr:uid="{E3B8D2F3-E608-7D47-AD3B-E9E170B9AA0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$ 5.000,00 para adecuación de la DPLAN.
</t>
        </r>
        <r>
          <rPr>
            <sz val="9"/>
            <color rgb="FF000000"/>
            <rFont val="Tahoma"/>
            <family val="2"/>
          </rPr>
          <t xml:space="preserve">
</t>
        </r>
        <r>
          <rPr>
            <sz val="9"/>
            <color rgb="FF000000"/>
            <rFont val="Tahoma"/>
            <family val="2"/>
          </rPr>
          <t xml:space="preserve">Se redujo $ 8.960,00 por indicar
</t>
        </r>
        <r>
          <rPr>
            <sz val="9"/>
            <color rgb="FF000000"/>
            <rFont val="Tahoma"/>
            <family val="2"/>
          </rPr>
          <t xml:space="preserve">
</t>
        </r>
        <r>
          <rPr>
            <sz val="9"/>
            <color rgb="FF000000"/>
            <rFont val="Tahoma"/>
            <family val="2"/>
          </rPr>
          <t xml:space="preserve">Se redujo $ 600,84 Dir. Académica
</t>
        </r>
        <r>
          <rPr>
            <sz val="9"/>
            <color rgb="FF000000"/>
            <rFont val="Tahoma"/>
            <family val="2"/>
          </rPr>
          <t xml:space="preserve">
</t>
        </r>
        <r>
          <rPr>
            <b/>
            <sz val="9"/>
            <color rgb="FF000000"/>
            <rFont val="Tahoma"/>
            <family val="2"/>
          </rPr>
          <t xml:space="preserve">Reforma 3:
</t>
        </r>
        <r>
          <rPr>
            <b/>
            <sz val="9"/>
            <color rgb="FF000000"/>
            <rFont val="Tahoma"/>
            <family val="2"/>
          </rPr>
          <t xml:space="preserve">
</t>
        </r>
        <r>
          <rPr>
            <sz val="9"/>
            <color rgb="FF000000"/>
            <rFont val="Tahoma"/>
            <family val="2"/>
          </rPr>
          <t xml:space="preserve">Se redujo $31.807,16 Dir.Académica por Memo nro DACAD-2023-0133 </t>
        </r>
        <r>
          <rPr>
            <sz val="10"/>
            <color rgb="FF000000"/>
            <rFont val="Courier"/>
            <family val="1"/>
          </rPr>
          <t xml:space="preserve">y en virtud de oficio Nro. MEF-SP-2023-0501 para atender Memo Nro. 0399 de DADM.
</t>
        </r>
      </text>
    </comment>
    <comment ref="D91" authorId="0" shapeId="0" xr:uid="{FE30D992-381B-8347-8CC7-5D2BDD20FCC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$ 20.000,00 Vic. Académico</t>
        </r>
      </text>
    </comment>
    <comment ref="E91" authorId="3" shapeId="0" xr:uid="{DD39278E-90E9-AF46-B5EB-B259EA3C5B8E}">
      <text>
        <r>
          <rPr>
            <b/>
            <sz val="9"/>
            <color rgb="FF000000"/>
            <rFont val="Tahoma"/>
            <family val="34"/>
          </rPr>
          <t>Valeria Ramon Capa:</t>
        </r>
        <r>
          <rPr>
            <sz val="9"/>
            <color rgb="FF000000"/>
            <rFont val="Tahoma"/>
            <family val="34"/>
          </rPr>
          <t xml:space="preserve">
</t>
        </r>
        <r>
          <rPr>
            <b/>
            <sz val="9"/>
            <color rgb="FF000000"/>
            <rFont val="Tahoma"/>
            <family val="2"/>
          </rPr>
          <t>Reforma 3:</t>
        </r>
        <r>
          <rPr>
            <sz val="9"/>
            <color rgb="FF000000"/>
            <rFont val="Tahoma"/>
            <family val="34"/>
          </rPr>
          <t xml:space="preserve">
</t>
        </r>
        <r>
          <rPr>
            <sz val="9"/>
            <color rgb="FF000000"/>
            <rFont val="Tahoma"/>
            <family val="34"/>
          </rPr>
          <t xml:space="preserve">Se redujo $30.000,00 a Vic. Académico por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$ 5.714,28 Vic. Académico por efecto de informe de seguimiento.</t>
        </r>
      </text>
    </comment>
    <comment ref="D92" authorId="0" shapeId="0" xr:uid="{6F0424AA-8A3A-1544-8C91-71272A8E240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$ 34.151,28 Dir. Formación Profesional</t>
        </r>
      </text>
    </comment>
    <comment ref="E92" authorId="1" shapeId="0" xr:uid="{2D1B738C-022A-444D-A1A9-2E0B5D09513C}">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$ 35.211,30 Dir. Formación Profesional por efecto de informe de seguimiento.</t>
        </r>
      </text>
    </comment>
    <comment ref="D93" authorId="3" shapeId="0" xr:uid="{5462A418-DBC5-7E4F-954E-C5B1481DF84B}">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Se incrementa $157,34 por distribución de fondo de caja chica de la FCA - correo 13062023</t>
        </r>
      </text>
    </comment>
    <comment ref="E93" authorId="0" shapeId="0" xr:uid="{FEF53D7B-F3D0-A644-B4E8-02E07AECB81D}">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$ 7.260,96 FCS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$ 1.194,00 FCA por efecto de informe de seguimiento (Certi. N</t>
        </r>
        <r>
          <rPr>
            <sz val="9"/>
            <color rgb="FF000000"/>
            <rFont val="Tahoma"/>
            <family val="2"/>
          </rPr>
          <t>°</t>
        </r>
        <r>
          <rPr>
            <sz val="9"/>
            <color rgb="FF000000"/>
            <rFont val="Tahoma"/>
            <family val="2"/>
          </rPr>
          <t xml:space="preserve"> 259).</t>
        </r>
      </text>
    </comment>
    <comment ref="D94" authorId="2" shapeId="0" xr:uid="{58212160-0EB8-E84E-AA73-1AE496F6AEC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$ 64.443,90 en el POA de DADM para atender memo nro. </t>
        </r>
        <r>
          <rPr>
            <sz val="10"/>
            <color rgb="FF000000"/>
            <rFont val="Arial"/>
            <family val="2"/>
          </rPr>
          <t>UTMACH-DADM-2023-0725-M.</t>
        </r>
      </text>
    </comment>
    <comment ref="D95" authorId="0" shapeId="0" xr:uid="{F6183525-1B34-E54C-8A97-D2416EC0FF3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E95" authorId="3" shapeId="0" xr:uid="{B33B86EB-2AF0-0F43-A3C1-8530C241CB1D}">
      <text>
        <r>
          <rPr>
            <b/>
            <sz val="10"/>
            <color rgb="FF000000"/>
            <rFont val="Tahoma"/>
            <family val="2"/>
          </rPr>
          <t>Valeria Ramon Capa:</t>
        </r>
        <r>
          <rPr>
            <sz val="10"/>
            <color rgb="FF000000"/>
            <rFont val="Tahoma"/>
            <family val="2"/>
          </rPr>
          <t xml:space="preserve">
</t>
        </r>
        <r>
          <rPr>
            <b/>
            <sz val="10"/>
            <color rgb="FF000000"/>
            <rFont val="Tahoma"/>
            <family val="2"/>
          </rPr>
          <t xml:space="preserve">Reforma 3: 
</t>
        </r>
        <r>
          <rPr>
            <sz val="9"/>
            <color rgb="FF000000"/>
            <rFont val="Tahoma"/>
            <family val="34"/>
          </rPr>
          <t xml:space="preserve">Se reduce $2.280 a FCS por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$ 229,32 FCE según informe de seguimiento.</t>
        </r>
      </text>
    </comment>
    <comment ref="E96" authorId="4" shapeId="0" xr:uid="{4EF4043E-D65C-924F-A36C-A9CD57279B33}">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$ 56,80 FCA por efecto de informe de seguimiento (Cert. N</t>
        </r>
        <r>
          <rPr>
            <sz val="9"/>
            <color rgb="FF000000"/>
            <rFont val="Tahoma"/>
            <family val="2"/>
          </rPr>
          <t>°</t>
        </r>
        <r>
          <rPr>
            <sz val="9"/>
            <color rgb="FF000000"/>
            <rFont val="Tahoma"/>
            <family val="2"/>
          </rPr>
          <t xml:space="preserve"> 202).</t>
        </r>
      </text>
    </comment>
    <comment ref="D97" authorId="0" shapeId="0" xr:uid="{7ED580D2-6677-114B-A358-DC64387F40F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$ 10.164,16, según Memorando N</t>
        </r>
        <r>
          <rPr>
            <sz val="9"/>
            <color rgb="FF000000"/>
            <rFont val="Tahoma"/>
            <family val="2"/>
          </rPr>
          <t>°</t>
        </r>
        <r>
          <rPr>
            <sz val="9"/>
            <color rgb="FF000000"/>
            <rFont val="Tahoma"/>
            <family val="2"/>
          </rPr>
          <t xml:space="preserve"> UTMACH-DBUAC-2023-0009-M del 10/01/2023</t>
        </r>
      </text>
    </comment>
    <comment ref="E97" authorId="4" shapeId="0" xr:uid="{18A9CDFF-9A3B-2540-B9FB-6B30708A5256}">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seguimiento.(Cert. N</t>
        </r>
        <r>
          <rPr>
            <sz val="9"/>
            <color rgb="FF000000"/>
            <rFont val="Tahoma"/>
            <family val="2"/>
          </rPr>
          <t>°</t>
        </r>
        <r>
          <rPr>
            <sz val="9"/>
            <color rgb="FF000000"/>
            <rFont val="Tahoma"/>
            <family val="2"/>
          </rPr>
          <t xml:space="preserve"> 149)</t>
        </r>
      </text>
    </comment>
    <comment ref="D98" authorId="2" shapeId="0" xr:uid="{ED371195-609C-5247-9C33-70F07A80B703}">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$ 28.840,00 para la fiscalización de la ejecución del </t>
        </r>
        <r>
          <rPr>
            <sz val="10"/>
            <color rgb="FF000000"/>
            <rFont val="Arial"/>
            <family val="2"/>
          </rPr>
          <t>Proyecto de Inversión " Adecuación de infraestructura y equipamiento Universidad Técnica de Machala", en el POA de DADM.</t>
        </r>
      </text>
    </comment>
    <comment ref="D99" authorId="4" shapeId="0" xr:uid="{5BABCC74-073B-014B-96CB-72024C0043E2}">
      <text>
        <r>
          <rPr>
            <b/>
            <sz val="9"/>
            <color rgb="FF000000"/>
            <rFont val="Tahoma"/>
            <family val="2"/>
          </rPr>
          <t>Admin:</t>
        </r>
        <r>
          <rPr>
            <sz val="9"/>
            <color rgb="FF000000"/>
            <rFont val="Tahoma"/>
            <family val="2"/>
          </rPr>
          <t xml:space="preserve">
</t>
        </r>
        <r>
          <rPr>
            <sz val="8"/>
            <color rgb="FF000000"/>
            <rFont val="Tahoma"/>
            <family val="2"/>
          </rPr>
          <t>Reforma N</t>
        </r>
        <r>
          <rPr>
            <sz val="8"/>
            <color rgb="FF000000"/>
            <rFont val="Tahoma"/>
            <family val="2"/>
          </rPr>
          <t>°</t>
        </r>
        <r>
          <rPr>
            <sz val="8"/>
            <color rgb="FF000000"/>
            <rFont val="Tahoma"/>
            <family val="2"/>
          </rPr>
          <t xml:space="preserve"> 4:
</t>
        </r>
        <r>
          <rPr>
            <sz val="8"/>
            <color rgb="FF000000"/>
            <rFont val="Tahoma"/>
            <family val="2"/>
          </rPr>
          <t xml:space="preserve">Se incrementa $ 639.186,31 por cambio de partida del </t>
        </r>
        <r>
          <rPr>
            <sz val="8"/>
            <color rgb="FF000000"/>
            <rFont val="Arial"/>
            <family val="2"/>
          </rPr>
          <t>Proyecto de Inversión " Adecuación de infraestructura y equipamiento Universidad Técnica de Machala", en el POA de DADM</t>
        </r>
      </text>
    </comment>
    <comment ref="D100" authorId="1" shapeId="0" xr:uid="{EB0B7EFD-E77A-4045-BA82-3566468169CC}">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$ 1.052,80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Se incrementó $87,40 según memo DAC N 133_30052023 </t>
        </r>
      </text>
    </comment>
    <comment ref="E100" authorId="2" shapeId="0" xr:uid="{B4562A7A-2D8C-5C4C-A7FF-22CD980BBD7A}">
      <text>
        <r>
          <rPr>
            <b/>
            <sz val="10"/>
            <color rgb="FF000000"/>
            <rFont val="Tahoma"/>
            <family val="2"/>
          </rPr>
          <t>Microsoft Office User:</t>
        </r>
        <r>
          <rPr>
            <sz val="10"/>
            <color rgb="FF000000"/>
            <rFont val="Tahoma"/>
            <family val="2"/>
          </rPr>
          <t xml:space="preserve">
</t>
        </r>
        <r>
          <rPr>
            <sz val="8"/>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reduce $ 87,40 en atención al memo nro. DAC-2023-0221-M.</t>
        </r>
      </text>
    </comment>
    <comment ref="D101" authorId="1" shapeId="0" xr:uid="{A33F5D83-CDF3-2245-A2F2-E7B7046D7625}">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$ 800,00 según memo N</t>
        </r>
        <r>
          <rPr>
            <sz val="9"/>
            <color rgb="FF000000"/>
            <rFont val="Tahoma"/>
            <family val="2"/>
          </rPr>
          <t>°</t>
        </r>
        <r>
          <rPr>
            <sz val="9"/>
            <color rgb="FF000000"/>
            <rFont val="Tahoma"/>
            <family val="2"/>
          </rPr>
          <t xml:space="preserve"> FIC-D-2023-0217-M_09052023</t>
        </r>
      </text>
    </comment>
    <comment ref="E101" authorId="0" shapeId="0" xr:uid="{91424C8B-CB69-4B4A-97DE-69274768CA53}">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$ 1.176.733,21 para Py Inversión FIC.
</t>
        </r>
        <r>
          <rPr>
            <sz val="9"/>
            <color rgb="FF000000"/>
            <rFont val="Tahoma"/>
            <family val="2"/>
          </rPr>
          <t xml:space="preserve">El saldo de  $ 2.000.000,00 para Py construcción e implementación del CRAI Dir. Administrativa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$ 2.000.000,00 para Py construcción e implementación del CRAI Dir. Administrativa+81.527,83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reduce $ 2.075.957,83 por cambio de programa presupuestario del 82 al 83 del proyecto del CRAI</t>
        </r>
      </text>
    </comment>
    <comment ref="D102" authorId="0" shapeId="0" xr:uid="{957F68D6-D744-D342-8A31-250AE6D1659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$ 1.700,00 para lentes de cámara por disposición del Director DPLAN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5.709,60 FCS
</t>
        </r>
        <r>
          <rPr>
            <sz val="9"/>
            <color rgb="FF000000"/>
            <rFont val="Tahoma"/>
            <family val="2"/>
          </rPr>
          <t xml:space="preserve">2.251,20 DTIC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$ 1097,60 en el POA DPOS para atender el memo DIPOS-2023-237-M.</t>
        </r>
      </text>
    </comment>
    <comment ref="E102" authorId="0" shapeId="0" xr:uid="{BAC4A3D7-82C0-1645-8529-2DF32D69A816}">
      <text>
        <r>
          <rPr>
            <b/>
            <sz val="9"/>
            <color rgb="FF000000"/>
            <rFont val="Tahoma"/>
            <family val="2"/>
          </rPr>
          <t>HP:</t>
        </r>
        <r>
          <rPr>
            <sz val="9"/>
            <color rgb="FF000000"/>
            <rFont val="Tahoma"/>
            <family val="2"/>
          </rPr>
          <t xml:space="preserve">
</t>
        </r>
        <r>
          <rPr>
            <sz val="8"/>
            <color rgb="FF000000"/>
            <rFont val="+mn-lt"/>
            <charset val="1"/>
          </rPr>
          <t>Reforma N</t>
        </r>
        <r>
          <rPr>
            <sz val="8"/>
            <color rgb="FF000000"/>
            <rFont val="Tahoma"/>
            <family val="2"/>
          </rPr>
          <t>°</t>
        </r>
        <r>
          <rPr>
            <sz val="8"/>
            <color rgb="FF000000"/>
            <rFont val="+mn-lt"/>
            <charset val="1"/>
          </rPr>
          <t xml:space="preserve"> 2:
</t>
        </r>
        <r>
          <rPr>
            <sz val="8"/>
            <color rgb="FF000000"/>
            <rFont val="+mn-lt"/>
            <charset val="1"/>
          </rPr>
          <t xml:space="preserve">Se redujo $ 22.296,96 Vic. Académico
</t>
        </r>
        <r>
          <rPr>
            <sz val="8"/>
            <color rgb="FF000000"/>
            <rFont val="+mn-lt"/>
            <charset val="1"/>
          </rPr>
          <t xml:space="preserve">$ 949.040,38-62852,68
</t>
        </r>
        <r>
          <rPr>
            <sz val="8"/>
            <color rgb="FF000000"/>
            <rFont val="+mn-lt"/>
            <charset val="1"/>
          </rPr>
          <t xml:space="preserve">
</t>
        </r>
        <r>
          <rPr>
            <b/>
            <sz val="8"/>
            <color rgb="FF000000"/>
            <rFont val="+mn-lt"/>
            <charset val="1"/>
          </rPr>
          <t>Reforma N</t>
        </r>
        <r>
          <rPr>
            <b/>
            <sz val="8"/>
            <color rgb="FF000000"/>
            <rFont val="Tahoma"/>
            <family val="2"/>
          </rPr>
          <t>°</t>
        </r>
        <r>
          <rPr>
            <b/>
            <sz val="8"/>
            <color rgb="FF000000"/>
            <rFont val="+mn-lt"/>
            <charset val="1"/>
          </rPr>
          <t xml:space="preserve"> 3:
</t>
        </r>
        <r>
          <rPr>
            <sz val="8"/>
            <color rgb="FF000000"/>
            <rFont val="+mn-lt"/>
            <charset val="1"/>
          </rPr>
          <t>Se redujo $ 62.852,68 según memo N</t>
        </r>
        <r>
          <rPr>
            <sz val="8"/>
            <color rgb="FF000000"/>
            <rFont val="Tahoma"/>
            <family val="2"/>
          </rPr>
          <t>°</t>
        </r>
        <r>
          <rPr>
            <sz val="8"/>
            <color rgb="FF000000"/>
            <rFont val="+mn-lt"/>
            <charset val="1"/>
          </rPr>
          <t xml:space="preserve"> DTIC-2023-0088-M_04052023
</t>
        </r>
        <r>
          <rPr>
            <sz val="8"/>
            <color rgb="FF000000"/>
            <rFont val="+mn-lt"/>
            <charset val="1"/>
          </rPr>
          <t xml:space="preserve">
</t>
        </r>
        <r>
          <rPr>
            <sz val="8"/>
            <color rgb="FF000000"/>
            <rFont val="+mn-lt"/>
            <charset val="1"/>
          </rPr>
          <t>Se redujo $ 4.384,60 según memo N</t>
        </r>
        <r>
          <rPr>
            <sz val="8"/>
            <color rgb="FF000000"/>
            <rFont val="Tahoma"/>
            <family val="2"/>
          </rPr>
          <t>°</t>
        </r>
        <r>
          <rPr>
            <sz val="8"/>
            <color rgb="FF000000"/>
            <rFont val="+mn-lt"/>
            <charset val="1"/>
          </rPr>
          <t xml:space="preserve"> FCS-D-2023-0460-M_23052023
</t>
        </r>
        <r>
          <rPr>
            <sz val="8"/>
            <color rgb="FF000000"/>
            <rFont val="+mn-lt"/>
            <charset val="1"/>
          </rPr>
          <t xml:space="preserve">
</t>
        </r>
        <r>
          <rPr>
            <sz val="8"/>
            <color rgb="FF000000"/>
            <rFont val="+mn-lt"/>
            <charset val="1"/>
          </rPr>
          <t>Se redujo $ 13.686,40, para atender memo N</t>
        </r>
        <r>
          <rPr>
            <sz val="8"/>
            <color rgb="FF000000"/>
            <rFont val="+mn-lt"/>
            <charset val="1"/>
          </rPr>
          <t>°</t>
        </r>
        <r>
          <rPr>
            <sz val="8"/>
            <color rgb="FF000000"/>
            <rFont val="+mn-lt"/>
            <charset val="1"/>
          </rPr>
          <t xml:space="preserve"> DBUAC-2023-0318-M_22052023
</t>
        </r>
        <r>
          <rPr>
            <sz val="8"/>
            <color rgb="FF000000"/>
            <rFont val="+mn-lt"/>
            <charset val="1"/>
          </rPr>
          <t xml:space="preserve">
</t>
        </r>
        <r>
          <rPr>
            <sz val="8"/>
            <color rgb="FF000000"/>
            <rFont val="+mn-lt"/>
            <charset val="1"/>
          </rPr>
          <t xml:space="preserve">Se redujo $ 13.405,61+6.776,00 para atender memo N 0604 FCQS_25052023
</t>
        </r>
        <r>
          <rPr>
            <sz val="8"/>
            <color rgb="FF000000"/>
            <rFont val="+mn-lt"/>
            <charset val="1"/>
          </rPr>
          <t xml:space="preserve">
</t>
        </r>
        <r>
          <rPr>
            <sz val="8"/>
            <color rgb="FF000000"/>
            <rFont val="+mn-lt"/>
            <charset val="1"/>
          </rPr>
          <t>Se redujo $ 15.879,05 para atender memo N</t>
        </r>
        <r>
          <rPr>
            <sz val="8"/>
            <color rgb="FF000000"/>
            <rFont val="+mn-lt"/>
            <charset val="1"/>
          </rPr>
          <t>°</t>
        </r>
        <r>
          <rPr>
            <sz val="8"/>
            <color rgb="FF000000"/>
            <rFont val="+mn-lt"/>
            <charset val="1"/>
          </rPr>
          <t xml:space="preserve"> DBUAC-2023-0124-M_03032023
</t>
        </r>
        <r>
          <rPr>
            <sz val="8"/>
            <color rgb="FF000000"/>
            <rFont val="+mn-lt"/>
            <charset val="1"/>
          </rPr>
          <t xml:space="preserve">
</t>
        </r>
        <r>
          <rPr>
            <sz val="8"/>
            <color rgb="FF000000"/>
            <rFont val="+mn-lt"/>
            <charset val="1"/>
          </rPr>
          <t xml:space="preserve">Se redujo $1620 por cuadre de fuente
</t>
        </r>
        <r>
          <rPr>
            <sz val="8"/>
            <color rgb="FF000000"/>
            <rFont val="+mn-lt"/>
            <charset val="1"/>
          </rPr>
          <t xml:space="preserve">
</t>
        </r>
        <r>
          <rPr>
            <sz val="8"/>
            <color rgb="FF000000"/>
            <rFont val="+mn-lt"/>
            <charset val="1"/>
          </rPr>
          <t xml:space="preserve">Se redujo $ 39.637,92 para cartera de proyectos de inversión 2023 - 83 840104 003
</t>
        </r>
        <r>
          <rPr>
            <sz val="8"/>
            <color rgb="FF000000"/>
            <rFont val="+mn-lt"/>
            <charset val="1"/>
          </rPr>
          <t xml:space="preserve">
</t>
        </r>
        <r>
          <rPr>
            <sz val="8"/>
            <color rgb="FF000000"/>
            <rFont val="+mn-lt"/>
            <charset val="1"/>
          </rPr>
          <t xml:space="preserve">Se redujo $10.080,00 para cartera de proyectos de inversión 2023 - 83 840107 003
</t>
        </r>
        <r>
          <rPr>
            <sz val="8"/>
            <color rgb="FF000000"/>
            <rFont val="+mn-lt"/>
            <charset val="1"/>
          </rPr>
          <t xml:space="preserve">
</t>
        </r>
        <r>
          <rPr>
            <sz val="8"/>
            <color rgb="FF000000"/>
            <rFont val="+mn-lt"/>
            <charset val="1"/>
          </rPr>
          <t xml:space="preserve">Se reduce $5.824 para reestablecer computadoras en TICS
</t>
        </r>
        <r>
          <rPr>
            <sz val="8"/>
            <color rgb="FF000000"/>
            <rFont val="+mn-lt"/>
            <charset val="1"/>
          </rPr>
          <t xml:space="preserve">
</t>
        </r>
        <r>
          <rPr>
            <sz val="8"/>
            <color rgb="FF000000"/>
            <rFont val="+mn-lt"/>
            <charset val="1"/>
          </rPr>
          <t xml:space="preserve">Se reduce $268,73 por cuadre de fuente 
</t>
        </r>
        <r>
          <rPr>
            <sz val="8"/>
            <color rgb="FF000000"/>
            <rFont val="+mn-lt"/>
            <charset val="1"/>
          </rPr>
          <t xml:space="preserve">
</t>
        </r>
        <r>
          <rPr>
            <sz val="8"/>
            <color rgb="FF000000"/>
            <rFont val="+mn-lt"/>
            <charset val="1"/>
          </rPr>
          <t xml:space="preserve">Reforma Nro. 004:
</t>
        </r>
        <r>
          <rPr>
            <sz val="8"/>
            <color rgb="FF000000"/>
            <rFont val="+mn-lt"/>
            <charset val="1"/>
          </rPr>
          <t xml:space="preserve">
</t>
        </r>
        <r>
          <rPr>
            <sz val="8"/>
            <color rgb="FF000000"/>
            <rFont val="+mn-lt"/>
            <charset val="1"/>
          </rPr>
          <t xml:space="preserve">Se reduce $ 2251,20 en el POA de DTIC y se trasladan al POa de DADM en atención al </t>
        </r>
        <r>
          <rPr>
            <sz val="8"/>
            <color rgb="FF000000"/>
            <rFont val="+mn-lt"/>
            <charset val="1"/>
          </rPr>
          <t>Memorando nro. UTMACH-DADM-UCP-2023-1143-M.</t>
        </r>
      </text>
    </comment>
    <comment ref="D103" authorId="5" shapeId="0" xr:uid="{F21D18D5-EEF8-0744-851E-ABBBEB8CE5A8}">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$ 2.897,97 conforme archivo POA 2023.
</t>
        </r>
        <r>
          <rPr>
            <sz val="9"/>
            <color rgb="FF000000"/>
            <rFont val="Tahoma"/>
            <family val="2"/>
          </rPr>
          <t xml:space="preserve">
</t>
        </r>
        <r>
          <rPr>
            <sz val="9"/>
            <color rgb="FF000000"/>
            <rFont val="Tahoma"/>
            <family val="2"/>
          </rPr>
          <t xml:space="preserve">Se incrementó $ 8.505,49 de acuerdo al POA 2023 de la FCE presentado.
</t>
        </r>
        <r>
          <rPr>
            <sz val="9"/>
            <color rgb="FF000000"/>
            <rFont val="Tahoma"/>
            <family val="2"/>
          </rPr>
          <t xml:space="preserve">
</t>
        </r>
        <r>
          <rPr>
            <sz val="9"/>
            <color rgb="FF000000"/>
            <rFont val="Tahoma"/>
            <family val="2"/>
          </rPr>
          <t xml:space="preserve">En el POA quedó:
</t>
        </r>
        <r>
          <rPr>
            <sz val="9"/>
            <color rgb="FF000000"/>
            <rFont val="Tahoma"/>
            <family val="2"/>
          </rPr>
          <t xml:space="preserve">1.867,77 DIPOS
</t>
        </r>
        <r>
          <rPr>
            <sz val="9"/>
            <color rgb="FF000000"/>
            <rFont val="Tahoma"/>
            <family val="2"/>
          </rPr>
          <t xml:space="preserve">1.030,20 FCA
</t>
        </r>
        <r>
          <rPr>
            <sz val="9"/>
            <color rgb="FF000000"/>
            <rFont val="Tahoma"/>
            <family val="2"/>
          </rPr>
          <t xml:space="preserve">8.505,49 FCE
</t>
        </r>
        <r>
          <rPr>
            <sz val="9"/>
            <color rgb="FF000000"/>
            <rFont val="Tahoma"/>
            <family val="2"/>
          </rPr>
          <t xml:space="preserve">1.310,60 FCQS
</t>
        </r>
        <r>
          <rPr>
            <sz val="9"/>
            <color rgb="FF000000"/>
            <rFont val="Tahoma"/>
            <family val="2"/>
          </rPr>
          <t xml:space="preserve">
</t>
        </r>
        <r>
          <rPr>
            <b/>
            <sz val="9"/>
            <color rgb="FF000000"/>
            <rFont val="Tahoma"/>
            <family val="2"/>
          </rPr>
          <t xml:space="preserve">Reforma N 3:
</t>
        </r>
        <r>
          <rPr>
            <sz val="9"/>
            <color rgb="FF000000"/>
            <rFont val="Tahoma"/>
            <family val="2"/>
          </rPr>
          <t>Se incrementó $1.146,32 según memo N</t>
        </r>
        <r>
          <rPr>
            <sz val="9"/>
            <color rgb="FF000000"/>
            <rFont val="Tahoma"/>
            <family val="2"/>
          </rPr>
          <t>°</t>
        </r>
        <r>
          <rPr>
            <sz val="9"/>
            <color rgb="FF000000"/>
            <rFont val="Tahoma"/>
            <family val="2"/>
          </rPr>
          <t xml:space="preserve"> UTMACH-DIPOS-2023-0160-M_19052023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incrementó $ 500,00 según memo N</t>
        </r>
        <r>
          <rPr>
            <sz val="9"/>
            <color rgb="FF000000"/>
            <rFont val="Tahoma"/>
            <family val="2"/>
          </rPr>
          <t>°</t>
        </r>
        <r>
          <rPr>
            <sz val="9"/>
            <color rgb="FF000000"/>
            <rFont val="Tahoma"/>
            <family val="2"/>
          </rPr>
          <t xml:space="preserve"> UTMACH-FCA-D-2023-0571-M_28072023 para compra de scaner.</t>
        </r>
      </text>
    </comment>
    <comment ref="E103" authorId="3" shapeId="0" xr:uid="{36B9AD27-5B20-3241-B48A-69F7C491D137}">
      <text>
        <r>
          <rPr>
            <b/>
            <sz val="8"/>
            <color rgb="FF000000"/>
            <rFont val="Tahoma"/>
            <family val="2"/>
          </rPr>
          <t>Valeria Ramon Capa:</t>
        </r>
        <r>
          <rPr>
            <sz val="8"/>
            <color rgb="FF000000"/>
            <rFont val="Tahoma"/>
            <family val="2"/>
          </rPr>
          <t xml:space="preserve">
</t>
        </r>
        <r>
          <rPr>
            <b/>
            <sz val="9"/>
            <color rgb="FF000000"/>
            <rFont val="Tahoma"/>
            <family val="2"/>
          </rPr>
          <t xml:space="preserve">Reforma 3:
</t>
        </r>
        <r>
          <rPr>
            <sz val="9"/>
            <color rgb="FF000000"/>
            <rFont val="Tahoma"/>
            <family val="2"/>
          </rPr>
          <t>Se reduce $380,46 y $133,28 según memo N</t>
        </r>
        <r>
          <rPr>
            <sz val="9"/>
            <color rgb="FF000000"/>
            <rFont val="Tahoma"/>
            <family val="2"/>
          </rPr>
          <t>°</t>
        </r>
        <r>
          <rPr>
            <sz val="9"/>
            <color rgb="FF000000"/>
            <rFont val="Tahoma"/>
            <family val="2"/>
          </rPr>
          <t xml:space="preserve"> UTMACH-DIPOS-2023-0160-M_19052023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$ 1.930,27 FCE según informe de seguimiento.
</t>
        </r>
        <r>
          <rPr>
            <sz val="9"/>
            <color rgb="FF000000"/>
            <rFont val="Tahoma"/>
            <family val="2"/>
          </rPr>
          <t xml:space="preserve">
</t>
        </r>
        <r>
          <rPr>
            <sz val="9"/>
            <color rgb="FF000000"/>
            <rFont val="Tahoma"/>
            <family val="2"/>
          </rPr>
          <t>Se redujo $ 1097,60 en el POA de DPOS para atender pedido del memo DIPOS-2023-237-M</t>
        </r>
      </text>
    </comment>
    <comment ref="D104" authorId="2" shapeId="0" xr:uid="{2A4CF16A-C2E3-224E-A57F-9249FB68AC6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Incremento de $ </t>
        </r>
        <r>
          <rPr>
            <b/>
            <sz val="10"/>
            <color rgb="FF000000"/>
            <rFont val="Calibri"/>
            <family val="2"/>
          </rPr>
          <t xml:space="preserve">369,966.00 </t>
        </r>
        <r>
          <rPr>
            <sz val="10"/>
            <color rgb="FF000000"/>
            <rFont val="Arial"/>
            <family val="2"/>
          </rPr>
          <t xml:space="preserve">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t>
        </r>
        <r>
          <rPr>
            <sz val="10"/>
            <color rgb="FF000000"/>
            <rFont val="Calibri"/>
            <family val="2"/>
          </rPr>
          <t>Memorando nro. UTMACH-DADM-UOIFM-2023-0240-M.</t>
        </r>
      </text>
    </comment>
    <comment ref="D105" authorId="0" shapeId="0" xr:uid="{8EAADDA5-8C08-EE4D-99F0-130C5274E0F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$ 75.610,11 que vino de la la partida N</t>
        </r>
        <r>
          <rPr>
            <sz val="9"/>
            <color rgb="FF000000"/>
            <rFont val="Tahoma"/>
            <family val="2"/>
          </rPr>
          <t>°</t>
        </r>
        <r>
          <rPr>
            <sz val="9"/>
            <color rgb="FF000000"/>
            <rFont val="Tahoma"/>
            <family val="2"/>
          </rPr>
          <t xml:space="preserve"> 990101 0701 003 Obligaciones de Ejercicios Anteriores en Personal del programa 01.
</t>
        </r>
        <r>
          <rPr>
            <sz val="9"/>
            <color rgb="FF000000"/>
            <rFont val="Tahoma"/>
            <family val="2"/>
          </rPr>
          <t xml:space="preserve">
</t>
        </r>
        <r>
          <rPr>
            <sz val="9"/>
            <color rgb="FF000000"/>
            <rFont val="Tahoma"/>
            <family val="2"/>
          </rPr>
          <t xml:space="preserve">Se incrementó $ 40.000,00 para liquidaciones de haberes, trabajadores y ex servidores.
</t>
        </r>
        <r>
          <rPr>
            <sz val="9"/>
            <color rgb="FF000000"/>
            <rFont val="Tahoma"/>
            <family val="2"/>
          </rPr>
          <t xml:space="preserve">Se incrementó $ 10.000,00 para liquidaciones de docentes.
</t>
        </r>
        <r>
          <rPr>
            <sz val="9"/>
            <color rgb="FF000000"/>
            <rFont val="Tahoma"/>
            <family val="2"/>
          </rPr>
          <t xml:space="preserve">$ 13.000,00 para pago a VASQUEZ FLORES JOSE ALBERTO
</t>
        </r>
        <r>
          <rPr>
            <sz val="9"/>
            <color rgb="FF000000"/>
            <rFont val="Tahoma"/>
            <family val="2"/>
          </rPr>
          <t xml:space="preserve">$ 6.000,00 para pago a BURGOS BURGOS JHON
</t>
        </r>
        <r>
          <rPr>
            <sz val="9"/>
            <color rgb="FF000000"/>
            <rFont val="Tahoma"/>
            <family val="2"/>
          </rPr>
          <t xml:space="preserve">
</t>
        </r>
        <r>
          <rPr>
            <sz val="9"/>
            <color rgb="FF000000"/>
            <rFont val="Tahoma"/>
            <family val="2"/>
          </rPr>
          <t>Se incrementó $ 5000+15.000,00 para cubrir liquidaciones por juicios en la partida N</t>
        </r>
        <r>
          <rPr>
            <sz val="9"/>
            <color rgb="FF000000"/>
            <rFont val="Tahoma"/>
            <family val="2"/>
          </rPr>
          <t>°</t>
        </r>
        <r>
          <rPr>
            <sz val="9"/>
            <color rgb="FF000000"/>
            <rFont val="Tahoma"/>
            <family val="2"/>
          </rPr>
          <t xml:space="preserve"> 990101 0701 003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$ 60.000,00 atendiendo al memo N</t>
        </r>
        <r>
          <rPr>
            <sz val="9"/>
            <color rgb="FF000000"/>
            <rFont val="Tahoma"/>
            <family val="2"/>
          </rPr>
          <t>°</t>
        </r>
        <r>
          <rPr>
            <sz val="9"/>
            <color rgb="FF000000"/>
            <rFont val="Tahoma"/>
            <family val="2"/>
          </rPr>
          <t xml:space="preserve"> UTMACH-DF-2023-0197-M_20052023
</t>
        </r>
        <r>
          <rPr>
            <sz val="9"/>
            <color rgb="FF000000"/>
            <rFont val="Tahoma"/>
            <family val="2"/>
          </rPr>
          <t xml:space="preserve">Se incrementó $50.000,00 a Dfin para cubrir necesidad por juicio, notificado verbalmente por parte del Procurador a Dirección Financiera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$ 4.000,00 para financiar pago de docentes que podrían terminar sus licencias sin remuneración</t>
        </r>
      </text>
    </comment>
    <comment ref="D111" authorId="2" shapeId="0" xr:uid="{B594845E-7748-2B44-8E6E-6A9A537EEE04}">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$ 1898,86 en el POA de VIVP en atención parcial al memo nro. VINVIP-2023-0220-M
</t>
        </r>
        <r>
          <rPr>
            <sz val="10"/>
            <color rgb="FF000000"/>
            <rFont val="Tahoma"/>
            <family val="2"/>
          </rPr>
          <t xml:space="preserve">
</t>
        </r>
        <r>
          <rPr>
            <sz val="10"/>
            <color rgb="FF000000"/>
            <rFont val="Tahoma"/>
            <family val="2"/>
          </rPr>
          <t xml:space="preserve">Se incrementa $ 2.000,00 para atender </t>
        </r>
        <r>
          <rPr>
            <sz val="10"/>
            <color rgb="FF000000"/>
            <rFont val="Calibri"/>
            <family val="2"/>
          </rPr>
          <t>Memorando nro. UTMACH-FCS-D-2023-0916-M.</t>
        </r>
      </text>
    </comment>
    <comment ref="E111" authorId="0" shapeId="0" xr:uid="{04BC2B6C-B008-CC49-8C8C-BAF1ABC81C6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$ 33.600,00 de acuerdo al 1er POA 2023 de la FCE presentado (por no estar desagregado).
</t>
        </r>
        <r>
          <rPr>
            <sz val="9"/>
            <color rgb="FF000000"/>
            <rFont val="Tahoma"/>
            <family val="2"/>
          </rPr>
          <t xml:space="preserve">
</t>
        </r>
        <r>
          <rPr>
            <sz val="9"/>
            <color rgb="FF000000"/>
            <rFont val="Tahoma"/>
            <family val="2"/>
          </rPr>
          <t xml:space="preserve">Se redujo $ 4.800,00 según adjunto de Vic. Investigación en e-mail enviado el 03/02/2023
</t>
        </r>
        <r>
          <rPr>
            <sz val="9"/>
            <color rgb="FF000000"/>
            <rFont val="Tahoma"/>
            <family val="2"/>
          </rPr>
          <t xml:space="preserve">
</t>
        </r>
        <r>
          <rPr>
            <sz val="9"/>
            <color rgb="FF000000"/>
            <rFont val="Tahoma"/>
            <family val="2"/>
          </rPr>
          <t xml:space="preserve">Se redujo $ 1.120,00 FIC
</t>
        </r>
        <r>
          <rPr>
            <sz val="9"/>
            <color rgb="FF000000"/>
            <rFont val="Tahoma"/>
            <family val="2"/>
          </rPr>
          <t xml:space="preserve">
</t>
        </r>
        <r>
          <rPr>
            <sz val="9"/>
            <color rgb="FF000000"/>
            <rFont val="Tahoma"/>
            <family val="2"/>
          </rPr>
          <t xml:space="preserve">Se redujo $ 33.600,00 FCQS
</t>
        </r>
        <r>
          <rPr>
            <sz val="9"/>
            <color rgb="FF000000"/>
            <rFont val="Tahoma"/>
            <family val="2"/>
          </rPr>
          <t xml:space="preserve">
</t>
        </r>
        <r>
          <rPr>
            <sz val="9"/>
            <color rgb="FF000000"/>
            <rFont val="Tahoma"/>
            <family val="2"/>
          </rPr>
          <t xml:space="preserve">En el POA quedó asi:
</t>
        </r>
        <r>
          <rPr>
            <sz val="9"/>
            <color rgb="FF000000"/>
            <rFont val="Tahoma"/>
            <family val="2"/>
          </rPr>
          <t xml:space="preserve">2.480,00 Vic. Investigación
</t>
        </r>
        <r>
          <rPr>
            <sz val="9"/>
            <color rgb="FF000000"/>
            <rFont val="Tahoma"/>
            <family val="2"/>
          </rPr>
          <t xml:space="preserve">168.000,00 DIDI
</t>
        </r>
        <r>
          <rPr>
            <sz val="9"/>
            <color rgb="FF000000"/>
            <rFont val="Tahoma"/>
            <family val="2"/>
          </rPr>
          <t xml:space="preserve">2.240,00 FCA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$2.240,00 a FCA en reunión de seguimiento y en virtud de oficio Nro. MEF-SP-2023-0501 para atender Memo Nro. 0399 de DADM.
</t>
        </r>
        <r>
          <rPr>
            <sz val="9"/>
            <color rgb="FF000000"/>
            <rFont val="Tahoma"/>
            <family val="34"/>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34"/>
          </rPr>
          <t xml:space="preserve">
</t>
        </r>
        <r>
          <rPr>
            <sz val="9"/>
            <color rgb="FF000000"/>
            <rFont val="Tahoma"/>
            <family val="34"/>
          </rPr>
          <t>Se redujo $ 9.959,98 DIDI por efecto de informe de seguimiento.</t>
        </r>
      </text>
    </comment>
    <comment ref="D112" authorId="3" shapeId="0" xr:uid="{CD729363-4532-7741-B9FC-E0A06A62C585}">
      <text>
        <r>
          <rPr>
            <b/>
            <sz val="9"/>
            <color rgb="FF000000"/>
            <rFont val="Tahoma"/>
            <family val="2"/>
          </rPr>
          <t xml:space="preserve">Valeria Ramon Capa: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
</t>
        </r>
        <r>
          <rPr>
            <sz val="9"/>
            <color rgb="FF000000"/>
            <rFont val="Tahoma"/>
            <family val="2"/>
          </rPr>
          <t xml:space="preserve">Se incrementa $ 2.352,00 en el POA del VIVP para atender el memo nro. VINVIP-2023-0220-M
</t>
        </r>
        <r>
          <rPr>
            <sz val="9"/>
            <color rgb="FF000000"/>
            <rFont val="Tahoma"/>
            <family val="2"/>
          </rPr>
          <t xml:space="preserve">
</t>
        </r>
        <r>
          <rPr>
            <sz val="9"/>
            <color rgb="FF000000"/>
            <rFont val="Tahoma"/>
            <family val="2"/>
          </rPr>
          <t>Se incrementa $ 5.000,00 en el POA de DIDI para financiamiento de la cartera de proyecto 2023</t>
        </r>
      </text>
    </comment>
    <comment ref="E112" authorId="3" shapeId="0" xr:uid="{42BD5F1F-DBE2-9F48-B7C8-3F09ED75D4F1}">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D113" authorId="2" shapeId="0" xr:uid="{F08521BF-196F-674E-8D88-EA7A3D6D3D4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$ 2.200,00 en el POA de DIDI para financiamiento de la cartera de proyecto 2023
</t>
        </r>
        <r>
          <rPr>
            <sz val="10"/>
            <color rgb="FF000000"/>
            <rFont val="Tahoma"/>
            <family val="2"/>
          </rPr>
          <t xml:space="preserve">
</t>
        </r>
        <r>
          <rPr>
            <sz val="10"/>
            <color rgb="FF000000"/>
            <rFont val="Tahoma"/>
            <family val="2"/>
          </rPr>
          <t xml:space="preserve">Se incrementa $ 1.000,00 para atender el memo nro. DF-UPSTO-2023-0786-M
</t>
        </r>
      </text>
    </comment>
    <comment ref="E113" authorId="4" shapeId="0" xr:uid="{8B484086-2FDC-0D4B-9C7F-2B3D7AD8DF6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$ 94,00 VIVP por efecto de informe de seguimiento.</t>
        </r>
      </text>
    </comment>
    <comment ref="D114" authorId="3" shapeId="0" xr:uid="{E60B4890-6579-DE48-94F3-697C448074CC}">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incrementa $108.473,73 a FCS por cambio de fuente y en atención a FCS-D-2023-0460-M
</t>
        </r>
        <r>
          <rPr>
            <sz val="9"/>
            <color rgb="FF000000"/>
            <rFont val="Tahoma"/>
            <family val="2"/>
          </rPr>
          <t>-Se incrementa $25.760,00 movimiento de partida para egreso de forma adecuada en FCA</t>
        </r>
      </text>
    </comment>
    <comment ref="E114" authorId="0" shapeId="0" xr:uid="{00790143-5538-5245-8486-6CDD37EAFD63}">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reduce $ 24.512,00 FCS
</t>
        </r>
        <r>
          <rPr>
            <sz val="9"/>
            <color rgb="FF000000"/>
            <rFont val="Tahoma"/>
            <family val="2"/>
          </rPr>
          <t xml:space="preserve">$ 29.680,00 Rectorado
</t>
        </r>
        <r>
          <rPr>
            <sz val="9"/>
            <color rgb="FF000000"/>
            <rFont val="Tahoma"/>
            <family val="2"/>
          </rPr>
          <t xml:space="preserve">25.440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16.800,00 FCA
</t>
        </r>
        <r>
          <rPr>
            <sz val="9"/>
            <color rgb="FF000000"/>
            <rFont val="Tahoma"/>
            <family val="2"/>
          </rPr>
          <t xml:space="preserve">24.559,17 FCE
</t>
        </r>
        <r>
          <rPr>
            <b/>
            <sz val="9"/>
            <color rgb="FF000000"/>
            <rFont val="Tahoma"/>
            <family val="2"/>
          </rPr>
          <t xml:space="preserve">
</t>
        </r>
        <r>
          <rPr>
            <b/>
            <sz val="9"/>
            <color rgb="FF000000"/>
            <rFont val="Tahoma"/>
            <family val="2"/>
          </rPr>
          <t xml:space="preserve">Reforma N 3:
</t>
        </r>
        <r>
          <rPr>
            <sz val="9"/>
            <color rgb="FF000000"/>
            <rFont val="Tahoma"/>
            <family val="2"/>
          </rPr>
          <t xml:space="preserve">Se reduce $38.921,22 FCE por cuanto las reparaciones de edificaciones las realizará la aseguradora.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$ 104.473,73 FCS.
</t>
        </r>
        <r>
          <rPr>
            <sz val="9"/>
            <color rgb="FF000000"/>
            <rFont val="Tahoma"/>
            <family val="2"/>
          </rPr>
          <t xml:space="preserve">
</t>
        </r>
        <r>
          <rPr>
            <sz val="9"/>
            <color rgb="FF000000"/>
            <rFont val="Tahoma"/>
            <family val="2"/>
          </rPr>
          <t xml:space="preserve">Se redujo $ 210,00 FCA por efecto de informe de seguimiento.
</t>
        </r>
        <r>
          <rPr>
            <sz val="9"/>
            <color rgb="FF000000"/>
            <rFont val="Tahoma"/>
            <family val="2"/>
          </rPr>
          <t xml:space="preserve">
</t>
        </r>
        <r>
          <rPr>
            <sz val="9"/>
            <color rgb="FF000000"/>
            <rFont val="Tahoma"/>
            <family val="2"/>
          </rPr>
          <t>Se redujo $ 25.570 en el POA de FCA para atender el memo nro. FCA-D-2023-0593-M.</t>
        </r>
      </text>
    </comment>
    <comment ref="D115" authorId="3" shapeId="0" xr:uid="{CDD66172-9543-2E4C-BA3E-F3192FF34992}">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$ 31.960,45 en el POA de FCA para atender el memo nro. FCA-D-2023-0617-M.</t>
        </r>
      </text>
    </comment>
    <comment ref="E115" authorId="3" shapeId="0" xr:uid="{3D67EBA0-3761-0C44-80FE-9AB8A77B03E1}">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D116" authorId="0" shapeId="0" xr:uid="{3B8A8813-BF27-5245-A147-4C715D130E51}">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$ 13.648,02 FCQS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E116" authorId="3" shapeId="0" xr:uid="{9BDC4718-FB29-8449-B57B-F7E5E0FFE397}">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9"/>
            <color rgb="FF000000"/>
            <rFont val="Tahoma"/>
            <family val="2"/>
          </rPr>
          <t xml:space="preserve">Se reduce $13.648,00 a FCQS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$ 651,45 FIC por efecto de informe de seguimiento (Cert. N</t>
        </r>
        <r>
          <rPr>
            <sz val="9"/>
            <color rgb="FF000000"/>
            <rFont val="Tahoma"/>
            <family val="2"/>
          </rPr>
          <t>°</t>
        </r>
        <r>
          <rPr>
            <sz val="9"/>
            <color rgb="FF000000"/>
            <rFont val="Tahoma"/>
            <family val="2"/>
          </rPr>
          <t xml:space="preserve"> 274).</t>
        </r>
      </text>
    </comment>
    <comment ref="D117" authorId="0" shapeId="0" xr:uid="{4F8A5224-2F8E-7446-92EF-6B82FE48396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incrementa $ 5.860,96 en el POA de DIDI para financiamiento de la cartera de proyecto 2023</t>
        </r>
      </text>
    </comment>
    <comment ref="E117" authorId="0" shapeId="0" xr:uid="{E7C3D7C0-2A36-F148-B084-F3D71FAE62DD}">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$ 1.250,00 para Py Inversión FIC, que en el POA estaba en esta fuente de financiamiento 3
</t>
        </r>
        <r>
          <rPr>
            <sz val="9"/>
            <color rgb="FF000000"/>
            <rFont val="Tahoma"/>
            <family val="2"/>
          </rPr>
          <t xml:space="preserve">
</t>
        </r>
        <r>
          <rPr>
            <sz val="9"/>
            <color rgb="FF000000"/>
            <rFont val="Tahoma"/>
            <family val="2"/>
          </rPr>
          <t xml:space="preserve">Se redujo $ 22.400,00 de acuerdo al 1er POA 2023 de la FCE presentado (por no estar desagregado).
</t>
        </r>
        <r>
          <rPr>
            <sz val="9"/>
            <color rgb="FF000000"/>
            <rFont val="Tahoma"/>
            <family val="2"/>
          </rPr>
          <t xml:space="preserve">
</t>
        </r>
        <r>
          <rPr>
            <sz val="9"/>
            <color rgb="FF000000"/>
            <rFont val="Tahoma"/>
            <family val="2"/>
          </rPr>
          <t xml:space="preserve">Se redujo $ 18.703,99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10.208,48 DIDI
</t>
        </r>
        <r>
          <rPr>
            <sz val="9"/>
            <color rgb="FF000000"/>
            <rFont val="Tahoma"/>
            <family val="2"/>
          </rPr>
          <t xml:space="preserve">12.768,00 FCA
</t>
        </r>
        <r>
          <rPr>
            <sz val="9"/>
            <color rgb="FF000000"/>
            <rFont val="Tahoma"/>
            <family val="2"/>
          </rPr>
          <t xml:space="preserve">3.696,00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$ 10.208,48 DIDI por efecto de informe de seguimiento.</t>
        </r>
      </text>
    </comment>
    <comment ref="D118" authorId="2" shapeId="0" xr:uid="{F477A8C9-768F-9947-AC98-A44E52238A5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$ 2.800,00 en el POA de DIDI para financiamiento de la cartera de proyecto 2023
</t>
        </r>
      </text>
    </comment>
    <comment ref="E118" authorId="4" shapeId="0" xr:uid="{139904D7-FA22-8347-960D-985B972942A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$ 1.680,00 DIDI por efecto de informe de seguimiento.</t>
        </r>
      </text>
    </comment>
    <comment ref="D119" authorId="5" shapeId="0" xr:uid="{673AC57D-B51E-614E-97CA-05275F7DFEAD}">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E119" authorId="4" shapeId="0" xr:uid="{0ED2934B-C4E7-2445-9E83-94AFADF6AD12}">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$ 1.953,10 DTIC por efecto de informe de seguimiento.</t>
        </r>
      </text>
    </comment>
    <comment ref="D120" authorId="0" shapeId="0" xr:uid="{5AC30A1E-7A1D-F248-AADB-64C42D8B6F8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$ 5.544,00 de acuerdo al POA 2023 de la FCE presentado.
</t>
        </r>
        <r>
          <rPr>
            <sz val="9"/>
            <color rgb="FF000000"/>
            <rFont val="Tahoma"/>
            <family val="2"/>
          </rPr>
          <t xml:space="preserve">
</t>
        </r>
        <r>
          <rPr>
            <sz val="9"/>
            <color rgb="FF000000"/>
            <rFont val="Arial"/>
            <family val="2"/>
          </rPr>
          <t xml:space="preserve">Se incrementa $ 2.000,00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Reforma nro. 004:
</t>
        </r>
        <r>
          <rPr>
            <sz val="9"/>
            <color rgb="FF000000"/>
            <rFont val="Arial"/>
            <family val="2"/>
          </rPr>
          <t xml:space="preserve">
</t>
        </r>
        <r>
          <rPr>
            <sz val="9"/>
            <color rgb="FF000000"/>
            <rFont val="Arial"/>
            <family val="2"/>
          </rPr>
          <t xml:space="preserve">Se aumenta $ 7056,00 + $ </t>
        </r>
        <r>
          <rPr>
            <sz val="10"/>
            <color rgb="FF000000"/>
            <rFont val="Arial"/>
            <family val="2"/>
          </rPr>
          <t xml:space="preserve">4.360,68 + $ </t>
        </r>
        <r>
          <rPr>
            <b/>
            <sz val="10"/>
            <color rgb="FF000000"/>
            <rFont val="Arial"/>
            <family val="2"/>
          </rPr>
          <t xml:space="preserve">5.738,00 </t>
        </r>
        <r>
          <rPr>
            <sz val="9"/>
            <color rgb="FF000000"/>
            <rFont val="Arial"/>
            <family val="2"/>
          </rPr>
          <t xml:space="preserve"> en POA de DTIC en atención al memo nro. </t>
        </r>
        <r>
          <rPr>
            <sz val="10"/>
            <color rgb="FF000000"/>
            <rFont val="Calibri"/>
            <family val="2"/>
          </rPr>
          <t>UTMACH-DTIC-2023-0224-M.</t>
        </r>
      </text>
    </comment>
    <comment ref="E120" authorId="0" shapeId="0" xr:uid="{1ACDB1FA-B763-5D43-891B-03BFFBD59A00}">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redujo $ 3.500,00 según Memorando N</t>
        </r>
        <r>
          <rPr>
            <sz val="9"/>
            <color rgb="FF000000"/>
            <rFont val="Tahoma"/>
            <family val="2"/>
          </rPr>
          <t>°</t>
        </r>
        <r>
          <rPr>
            <sz val="9"/>
            <color rgb="FF000000"/>
            <rFont val="Tahoma"/>
            <family val="2"/>
          </rPr>
          <t xml:space="preserve"> UTMACH-DIDI-2023-0053-M_02/02/2023.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$ 11.200,00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$ 360,00 DIDI por efecto de informe de seguimiento.
</t>
        </r>
        <r>
          <rPr>
            <sz val="9"/>
            <color rgb="FF000000"/>
            <rFont val="Tahoma"/>
            <family val="2"/>
          </rPr>
          <t xml:space="preserve">
</t>
        </r>
        <r>
          <rPr>
            <sz val="9"/>
            <color rgb="FF000000"/>
            <rFont val="Tahoma"/>
            <family val="2"/>
          </rPr>
          <t xml:space="preserve">Se redujo $ 6.765,28 DTIC por efecto de informe de seguimiento.
</t>
        </r>
        <r>
          <rPr>
            <sz val="9"/>
            <color rgb="FF000000"/>
            <rFont val="Tahoma"/>
            <family val="2"/>
          </rPr>
          <t xml:space="preserve">
</t>
        </r>
        <r>
          <rPr>
            <sz val="9"/>
            <color rgb="FF000000"/>
            <rFont val="Tahoma"/>
            <family val="2"/>
          </rPr>
          <t xml:space="preserve">Se reduce $ 2.352,00 en el POA de VIVP en atención al memo nro. VINVIP-2023-0220-M
</t>
        </r>
        <r>
          <rPr>
            <sz val="9"/>
            <color rgb="FF000000"/>
            <rFont val="Tahoma"/>
            <family val="2"/>
          </rPr>
          <t xml:space="preserve">
</t>
        </r>
        <r>
          <rPr>
            <sz val="9"/>
            <color rgb="FF000000"/>
            <rFont val="Tahoma"/>
            <family val="2"/>
          </rPr>
          <t xml:space="preserve">Se reduce $ 1184,96 en el POA de DTIC en atención al memo nro. </t>
        </r>
        <r>
          <rPr>
            <sz val="10"/>
            <color rgb="FF000000"/>
            <rFont val="Arial"/>
            <family val="2"/>
            <scheme val="minor"/>
          </rPr>
          <t xml:space="preserve">UTMACH-DTIC-2023-0224-M.
</t>
        </r>
        <r>
          <rPr>
            <sz val="9"/>
            <color rgb="FF000000"/>
            <rFont val="Tahoma"/>
            <family val="2"/>
          </rPr>
          <t xml:space="preserve">
</t>
        </r>
        <r>
          <rPr>
            <sz val="9"/>
            <color rgb="FF000000"/>
            <rFont val="Tahoma"/>
            <family val="2"/>
          </rPr>
          <t xml:space="preserve">Se reduce $ 12732,16 en el POA de DTIC en atención al memo nro. </t>
        </r>
        <r>
          <rPr>
            <sz val="10"/>
            <color rgb="FF000000"/>
            <rFont val="Arial"/>
            <family val="2"/>
            <scheme val="minor"/>
          </rPr>
          <t>UTMACH-DTIC-2023-0224-M.</t>
        </r>
      </text>
    </comment>
    <comment ref="E121" authorId="1" shapeId="0" xr:uid="{2CFAB582-5BA1-A144-9E8A-AD4D9BD8AC6E}">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$ 530,00 según memo N</t>
        </r>
        <r>
          <rPr>
            <sz val="9"/>
            <color rgb="FF000000"/>
            <rFont val="Tahoma"/>
            <family val="2"/>
          </rPr>
          <t>°</t>
        </r>
        <r>
          <rPr>
            <sz val="9"/>
            <color rgb="FF000000"/>
            <rFont val="Tahoma"/>
            <family val="2"/>
          </rPr>
          <t xml:space="preserve"> DIDI-2023-0223-M_04052023
</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$ 590,00 DIDI por efecto de informe de seguimiento.</t>
        </r>
      </text>
    </comment>
    <comment ref="D122" authorId="0" shapeId="0" xr:uid="{97732839-33EE-5342-A12A-0B6260DEC59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Arial"/>
            <family val="2"/>
          </rPr>
          <t xml:space="preserve">Se incrementa $ 2.500,00 en el POA de DIDI para financiamiento de la cartera de proyecto 2023, conforme pedido del memo nro. UTMACH-DIDI-2023-0466-M
</t>
        </r>
      </text>
    </comment>
    <comment ref="E122" authorId="0" shapeId="0" xr:uid="{3E9F73BD-0D06-B246-8508-9D9B62C4593B}">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$ 7.400,00 FCA
</t>
        </r>
        <r>
          <rPr>
            <sz val="9"/>
            <color rgb="FF000000"/>
            <rFont val="Tahoma"/>
            <family val="2"/>
          </rPr>
          <t xml:space="preserve">$ 6.000,00 FCS
</t>
        </r>
        <r>
          <rPr>
            <sz val="9"/>
            <color rgb="FF000000"/>
            <rFont val="Tahoma"/>
            <family val="2"/>
          </rPr>
          <t xml:space="preserve">$ 4.000,00 FIC
</t>
        </r>
        <r>
          <rPr>
            <sz val="9"/>
            <color rgb="FF000000"/>
            <rFont val="Tahoma"/>
            <family val="2"/>
          </rPr>
          <t xml:space="preserve">
</t>
        </r>
        <r>
          <rPr>
            <sz val="9"/>
            <color rgb="FF000000"/>
            <rFont val="Tahoma"/>
            <family val="2"/>
          </rPr>
          <t xml:space="preserve">Se redujo $ 56.000,00 de acuerdo al 1er POA 2023 de la FCE presentado (por no estar desagregado).
</t>
        </r>
        <r>
          <rPr>
            <sz val="9"/>
            <color rgb="FF000000"/>
            <rFont val="Tahoma"/>
            <family val="2"/>
          </rPr>
          <t xml:space="preserve">
</t>
        </r>
        <r>
          <rPr>
            <sz val="9"/>
            <color rgb="FF000000"/>
            <rFont val="Tahoma"/>
            <family val="2"/>
          </rPr>
          <t xml:space="preserve">Se redujo $ 39.092,51
</t>
        </r>
        <r>
          <rPr>
            <sz val="9"/>
            <color rgb="FF000000"/>
            <rFont val="Tahoma"/>
            <family val="2"/>
          </rPr>
          <t xml:space="preserve">
</t>
        </r>
        <r>
          <rPr>
            <sz val="9"/>
            <color rgb="FF000000"/>
            <rFont val="Tahoma"/>
            <family val="2"/>
          </rPr>
          <t xml:space="preserve">En el POA quedó:
</t>
        </r>
        <r>
          <rPr>
            <sz val="9"/>
            <color rgb="FF000000"/>
            <rFont val="Tahoma"/>
            <family val="2"/>
          </rPr>
          <t xml:space="preserve">8.360,00 DIDI
</t>
        </r>
        <r>
          <rPr>
            <sz val="9"/>
            <color rgb="FF000000"/>
            <rFont val="Tahoma"/>
            <family val="2"/>
          </rPr>
          <t xml:space="preserve">15.000,00 FCA
</t>
        </r>
        <r>
          <rPr>
            <sz val="9"/>
            <color rgb="FF000000"/>
            <rFont val="Tahoma"/>
            <family val="2"/>
          </rPr>
          <t xml:space="preserve">28.107,49 FCQS
</t>
        </r>
        <r>
          <rPr>
            <sz val="9"/>
            <color rgb="FF000000"/>
            <rFont val="Tahoma"/>
            <family val="2"/>
          </rPr>
          <t xml:space="preserve">10.800,00 FCS
</t>
        </r>
        <r>
          <rPr>
            <sz val="9"/>
            <color rgb="FF000000"/>
            <rFont val="Tahoma"/>
            <family val="2"/>
          </rPr>
          <t xml:space="preserve">6.080,00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 xml:space="preserve">Se redujo $ 10.800,00 a FCS según reunión de seguimiento y en virtud de oficio Nro. MEF-SP-2023-0501 para atender Memo Nro. 0399 de DADM.
</t>
        </r>
        <r>
          <rPr>
            <sz val="9"/>
            <color rgb="FF000000"/>
            <rFont val="Tahoma"/>
            <family val="2"/>
          </rPr>
          <t xml:space="preserve">
</t>
        </r>
        <r>
          <rPr>
            <sz val="9"/>
            <color rgb="FF000000"/>
            <rFont val="Tahoma"/>
            <family val="2"/>
          </rPr>
          <t xml:space="preserve">Se redujo $ 15.848,08+6.776,00 según memo N 0604 FCQS_25052023
</t>
        </r>
        <r>
          <rPr>
            <sz val="9"/>
            <color rgb="FF000000"/>
            <rFont val="Tahoma"/>
            <family val="2"/>
          </rPr>
          <t xml:space="preserve">
</t>
        </r>
        <r>
          <rPr>
            <sz val="9"/>
            <color rgb="FF000000"/>
            <rFont val="Tahoma"/>
            <family val="2"/>
          </rPr>
          <t>Se redujo $6.080,00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$ 8.360,00 DIDI por efecto de informe de seguimiento.
</t>
        </r>
        <r>
          <rPr>
            <sz val="9"/>
            <color rgb="FF000000"/>
            <rFont val="Tahoma"/>
            <family val="2"/>
          </rPr>
          <t xml:space="preserve">
</t>
        </r>
        <r>
          <rPr>
            <sz val="9"/>
            <color rgb="FF000000"/>
            <rFont val="Tahoma"/>
            <family val="2"/>
          </rPr>
          <t>Se redujo $ 4.190,00 FCA por efecto de informe de seguimiento.</t>
        </r>
      </text>
    </comment>
    <comment ref="E123" authorId="0" shapeId="0" xr:uid="{11149BB9-F262-9749-A441-357ED62010B2}">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$ 394,63 para Py Inversión FIC.
</t>
        </r>
        <r>
          <rPr>
            <sz val="9"/>
            <color rgb="FF000000"/>
            <rFont val="Tahoma"/>
            <family val="2"/>
          </rPr>
          <t xml:space="preserve">$ 0,75 POR DIFERENCIA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$ 2.240,00 DIDI por efecto de informe de seguimiento.</t>
        </r>
      </text>
    </comment>
    <comment ref="D124" authorId="0" shapeId="0" xr:uid="{902DBB4F-0D61-5145-8999-1C1BBF5B183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E124" authorId="2" shapeId="0" xr:uid="{A4F2FA57-2EB0-DC4D-B09E-11DCEAE8EB16}">
      <text>
        <r>
          <rPr>
            <b/>
            <sz val="10"/>
            <color rgb="FF000000"/>
            <rFont val="Tahoma"/>
            <family val="2"/>
          </rPr>
          <t xml:space="preserve">Microsoft Office User:
</t>
        </r>
        <r>
          <rPr>
            <b/>
            <sz val="10"/>
            <color rgb="FF000000"/>
            <rFont val="Tahoma"/>
            <family val="2"/>
          </rPr>
          <t xml:space="preserve">
</t>
        </r>
        <r>
          <rPr>
            <b/>
            <sz val="10"/>
            <color rgb="FF000000"/>
            <rFont val="Tahoma"/>
            <family val="2"/>
          </rPr>
          <t xml:space="preserve">Reforma nro. 004:
</t>
        </r>
        <r>
          <rPr>
            <b/>
            <sz val="10"/>
            <color rgb="FF000000"/>
            <rFont val="Tahoma"/>
            <family val="2"/>
          </rPr>
          <t xml:space="preserve">
</t>
        </r>
        <r>
          <rPr>
            <sz val="9"/>
            <color rgb="FF000000"/>
            <rFont val="Tahoma"/>
            <family val="2"/>
          </rPr>
          <t xml:space="preserve">Se reduce $ 1680,00 en el POA de DIDI para atender memo nro. DIDI-2023-0468-M
</t>
        </r>
        <r>
          <rPr>
            <sz val="9"/>
            <color rgb="FF000000"/>
            <rFont val="Tahoma"/>
            <family val="2"/>
          </rPr>
          <t xml:space="preserve">
</t>
        </r>
      </text>
    </comment>
    <comment ref="D125" authorId="0" shapeId="0" xr:uid="{7F7FCFE1-7D17-E844-852D-0119604E9BF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t>
        </r>
        <r>
          <rPr>
            <sz val="9"/>
            <color rgb="FF000000"/>
            <rFont val="Arial"/>
            <family val="2"/>
          </rPr>
          <t xml:space="preserve">1,662.50 en el POA de DTIC para atender memo nro. </t>
        </r>
        <r>
          <rPr>
            <sz val="10"/>
            <color rgb="FF000000"/>
            <rFont val="Arial"/>
            <family val="2"/>
            <scheme val="minor"/>
          </rPr>
          <t>UTMACH-DTIC-2023-0224-M.</t>
        </r>
      </text>
    </comment>
    <comment ref="E125" authorId="3" shapeId="0" xr:uid="{D6E0ECBC-8309-404B-B9C5-A16ACFADBA2E}">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D126" authorId="2" shapeId="0" xr:uid="{DD675CE9-F14B-4A4A-9E2B-1D875F63FC9B}">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incrimenta $ 26.116,86 en el POA de DIDI para atender memo nro. VINVIP-2023-0213-M</t>
        </r>
      </text>
    </comment>
    <comment ref="E126" authorId="1" shapeId="0" xr:uid="{87025413-A3FF-DB41-92C2-2FBA8BFBD0D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D127" authorId="0" shapeId="0" xr:uid="{B46E7D0F-12CD-F248-8818-2DBB5214FE0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Servicio de implementación de una red wifi TELCONET DTIC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$ 316.079,06 en virtud del proyecto de inversión DTIC.</t>
        </r>
      </text>
    </comment>
    <comment ref="D128" authorId="2" shapeId="0" xr:uid="{AB0F7981-EBB3-574D-BDDA-0883E406ED52}">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incrementó $ 62.540,30 para anticipo de contrato de fiscalización de la obra de construcción del CRAI, en el POA de DADM.</t>
        </r>
      </text>
    </comment>
    <comment ref="D129" authorId="4" shapeId="0" xr:uid="{A7CC312D-88FC-CD4E-9E80-C193D1E80F7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incrementa $ 1.563.507,51 por cambio de programa presupuestario del 82 al 83 del proyecto del CRAI</t>
        </r>
      </text>
    </comment>
    <comment ref="D130" authorId="0" shapeId="0" xr:uid="{8D0706CC-7B36-104C-A55B-206C8A82F9C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$ 6.843,20 de acuerdo al POA 2023 de la FCE presentado.</t>
        </r>
      </text>
    </comment>
    <comment ref="E130" authorId="4" shapeId="0" xr:uid="{F51DC213-E258-6646-8932-E5474F301B8A}">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$ 756,08 FCE según informe de seguimiento.</t>
        </r>
      </text>
    </comment>
    <comment ref="D131" authorId="0" shapeId="0" xr:uid="{EB8D64B3-6E5A-9641-BC7B-6EF7023EC1A2}">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$ 3.495,00 por contrato del año anterior para adquisición de un estereomicroscopio para la ejecución de un proyecto de investigación de la FCQS - NARVAEZ SOLUCIONES INTEGRALES - NSI CIA.LTDA. - DIDI
</t>
        </r>
        <r>
          <rPr>
            <sz val="9"/>
            <color rgb="FF000000"/>
            <rFont val="Tahoma"/>
            <family val="2"/>
          </rPr>
          <t xml:space="preserve">
</t>
        </r>
        <r>
          <rPr>
            <sz val="9"/>
            <color rgb="FF000000"/>
            <rFont val="Tahoma"/>
            <family val="2"/>
          </rPr>
          <t xml:space="preserve">$ 8.692,25 por contrato de año anterior para adquisición de proyectores de imagen. TICS.
</t>
        </r>
        <r>
          <rPr>
            <sz val="9"/>
            <color rgb="FF000000"/>
            <rFont val="Tahoma"/>
            <family val="2"/>
          </rPr>
          <t xml:space="preserve">
</t>
        </r>
        <r>
          <rPr>
            <sz val="9"/>
            <color rgb="FF000000"/>
            <rFont val="Tahoma"/>
            <family val="2"/>
          </rPr>
          <t xml:space="preserve">$ 53.725,18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$ 13.192,00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incrementa $ 776,00 + $112,00 + $ 24.700,00 (televisores) en atención al memo nro. FCQS-D-2023-0905-M.
</t>
        </r>
        <r>
          <rPr>
            <sz val="8"/>
            <color rgb="FF000000"/>
            <rFont val="Calibri"/>
            <family val="2"/>
          </rPr>
          <t xml:space="preserve">
</t>
        </r>
        <r>
          <rPr>
            <sz val="8"/>
            <color rgb="FF000000"/>
            <rFont val="Calibri"/>
            <family val="2"/>
          </rPr>
          <t>Se incrementa $ 29.760 en el POA de FCA según el memo nro. FCA-D-2023-0593-M.</t>
        </r>
      </text>
    </comment>
    <comment ref="E131" authorId="3" shapeId="0" xr:uid="{A3BFFB24-560E-354C-8087-D3C88F6F3672}">
      <text>
        <r>
          <rPr>
            <b/>
            <sz val="9"/>
            <color rgb="FF000000"/>
            <rFont val="Tahoma"/>
            <family val="34"/>
          </rPr>
          <t>Valeria Ramon Capa:</t>
        </r>
        <r>
          <rPr>
            <sz val="9"/>
            <color rgb="FF000000"/>
            <rFont val="Tahoma"/>
            <family val="34"/>
          </rPr>
          <t xml:space="preserve">
</t>
        </r>
        <r>
          <rPr>
            <sz val="9"/>
            <color rgb="FF000000"/>
            <rFont val="Tahoma"/>
            <family val="34"/>
          </rPr>
          <t xml:space="preserve">Reforma 3:
</t>
        </r>
        <r>
          <rPr>
            <sz val="9"/>
            <color rgb="FF000000"/>
            <rFont val="Tahoma"/>
            <family val="34"/>
          </rPr>
          <t xml:space="preserve">-06/06 Se reduce $10.192 por reunión mantenida con TICS por seguimiento y en virtud de oficio Nro. MEF-SP-2023-0501 para atender Memo Nro. 0399 de DADM.
</t>
        </r>
        <r>
          <rPr>
            <sz val="9"/>
            <color rgb="FF000000"/>
            <rFont val="Tahoma"/>
            <family val="34"/>
          </rPr>
          <t xml:space="preserve">
</t>
        </r>
        <r>
          <rPr>
            <sz val="9"/>
            <color rgb="FF000000"/>
            <rFont val="Tahoma"/>
            <family val="34"/>
          </rPr>
          <t xml:space="preserve">-Se redujo $5.600,00+134,40 según memo N 0604 FCQS_25052023
</t>
        </r>
        <r>
          <rPr>
            <sz val="9"/>
            <color rgb="FF000000"/>
            <rFont val="Tahoma"/>
            <family val="34"/>
          </rPr>
          <t xml:space="preserve">
</t>
        </r>
        <r>
          <rPr>
            <sz val="9"/>
            <color rgb="FF000000"/>
            <rFont val="Tahoma"/>
            <family val="34"/>
          </rPr>
          <t xml:space="preserve">-Se reduce $14280 a FCQS por seguimiento y en virtud de oficio Nro. MEF-SP-2023-0501 para atender Memo Nro. 0399 de DADM.
</t>
        </r>
        <r>
          <rPr>
            <sz val="9"/>
            <color rgb="FF000000"/>
            <rFont val="Tahoma"/>
            <family val="34"/>
          </rPr>
          <t xml:space="preserve">
</t>
        </r>
        <r>
          <rPr>
            <sz val="8"/>
            <color rgb="FF000000"/>
            <rFont val="Calibri"/>
            <family val="2"/>
          </rPr>
          <t xml:space="preserve">Reforma nro. 004:
</t>
        </r>
        <r>
          <rPr>
            <sz val="8"/>
            <color rgb="FF000000"/>
            <rFont val="Calibri"/>
            <family val="2"/>
          </rPr>
          <t xml:space="preserve">
</t>
        </r>
        <r>
          <rPr>
            <sz val="8"/>
            <color rgb="FF000000"/>
            <rFont val="Calibri"/>
            <family val="2"/>
          </rPr>
          <t xml:space="preserve">Se reduce $ 745,74 + $108,80 + $ 1.691,20 + $ 1.915,20   + $ 1.915,20 + $500,00 + $1.120,00 + $ 6.057,97 en atención al memo nro. FCQS-D-2023-0905-M.
</t>
        </r>
      </text>
    </comment>
    <comment ref="D132" authorId="0" shapeId="0" xr:uid="{82829E45-7FC7-4645-928E-58DC0391ED5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$ 9.325,25 por contrato de año anterior para adquisición de proyectores de imagen. TICS.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$ 28.605,92 en el POA de FCS para atender el memo nro. </t>
        </r>
        <r>
          <rPr>
            <sz val="10"/>
            <color rgb="FF000000"/>
            <rFont val="Calibri"/>
            <family val="2"/>
          </rPr>
          <t xml:space="preserve">UTMACH-FCS-D-2023-0831-M. </t>
        </r>
      </text>
    </comment>
    <comment ref="D133" authorId="5" shapeId="0" xr:uid="{7219AD72-5005-D84C-9831-073C7D5F131D}">
      <text>
        <r>
          <rPr>
            <b/>
            <sz val="7"/>
            <color rgb="FF000000"/>
            <rFont val="Tahoma"/>
            <family val="2"/>
          </rPr>
          <t>Eunice Basilio:</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2:</t>
        </r>
        <r>
          <rPr>
            <sz val="7"/>
            <color rgb="FF000000"/>
            <rFont val="Tahoma"/>
            <family val="2"/>
          </rPr>
          <t xml:space="preserve">
</t>
        </r>
        <r>
          <rPr>
            <sz val="7"/>
            <color rgb="FF000000"/>
            <rFont val="Tahoma"/>
            <family val="2"/>
          </rPr>
          <t xml:space="preserve">Se incrementó $ 211.328,52 conforme archivo POA 2023.
</t>
        </r>
        <r>
          <rPr>
            <sz val="7"/>
            <color rgb="FF000000"/>
            <rFont val="Tahoma"/>
            <family val="2"/>
          </rPr>
          <t xml:space="preserve">$ 4.278,40 Vic. de Investigación, Vinculación y Posgrado
</t>
        </r>
        <r>
          <rPr>
            <sz val="7"/>
            <color rgb="FF000000"/>
            <rFont val="Tahoma"/>
            <family val="2"/>
          </rPr>
          <t xml:space="preserve">$ 134.551,20 DIDI (con el incremento de abajo)
</t>
        </r>
        <r>
          <rPr>
            <sz val="7"/>
            <color rgb="FF000000"/>
            <rFont val="Tahoma"/>
            <family val="2"/>
          </rPr>
          <t xml:space="preserve">$ 59.062,12 + 22.400,00 FCA
</t>
        </r>
        <r>
          <rPr>
            <sz val="7"/>
            <color rgb="FF000000"/>
            <rFont val="Tahoma"/>
            <family val="2"/>
          </rPr>
          <t xml:space="preserve">$ 12.028,80 + 18043,20 FCS
</t>
        </r>
        <r>
          <rPr>
            <sz val="7"/>
            <color rgb="FF000000"/>
            <rFont val="Tahoma"/>
            <family val="2"/>
          </rPr>
          <t xml:space="preserve">$ 400,00 Rectorado
</t>
        </r>
        <r>
          <rPr>
            <sz val="7"/>
            <color rgb="FF000000"/>
            <rFont val="Tahoma"/>
            <family val="2"/>
          </rPr>
          <t xml:space="preserve">$ 1.008,00 + 30.889,60 + 1.929,57 FCQS
</t>
        </r>
        <r>
          <rPr>
            <sz val="7"/>
            <color rgb="FF000000"/>
            <rFont val="Tahoma"/>
            <family val="2"/>
          </rPr>
          <t xml:space="preserve">$ 15.120,00 FIC
</t>
        </r>
        <r>
          <rPr>
            <sz val="7"/>
            <color rgb="FFFF0000"/>
            <rFont val="Tahoma"/>
            <family val="2"/>
          </rPr>
          <t xml:space="preserve">
</t>
        </r>
        <r>
          <rPr>
            <sz val="7"/>
            <color rgb="FF000000"/>
            <rFont val="Tahoma"/>
            <family val="2"/>
          </rPr>
          <t>Se redujo $ 132.871,20 según Memorando N</t>
        </r>
        <r>
          <rPr>
            <sz val="7"/>
            <color rgb="FF000000"/>
            <rFont val="Tahoma"/>
            <family val="2"/>
          </rPr>
          <t>°</t>
        </r>
        <r>
          <rPr>
            <sz val="7"/>
            <color rgb="FF000000"/>
            <rFont val="Tahoma"/>
            <family val="2"/>
          </rPr>
          <t xml:space="preserve"> UTMACH-DIDI-2023-0053-M_02/02/2023.
</t>
        </r>
        <r>
          <rPr>
            <sz val="7"/>
            <color rgb="FF000000"/>
            <rFont val="Tahoma"/>
            <family val="2"/>
          </rPr>
          <t xml:space="preserve">
</t>
        </r>
        <r>
          <rPr>
            <sz val="7"/>
            <color rgb="FF000000"/>
            <rFont val="Tahoma"/>
            <family val="2"/>
          </rPr>
          <t xml:space="preserve">Se incrementó $ 8.480,00 según adjunto de Vic. Investigación en e-mail enviado el 03/02/2023
</t>
        </r>
        <r>
          <rPr>
            <sz val="7"/>
            <color rgb="FF000000"/>
            <rFont val="Tahoma"/>
            <family val="2"/>
          </rPr>
          <t xml:space="preserve">
</t>
        </r>
        <r>
          <rPr>
            <b/>
            <sz val="7"/>
            <color rgb="FF000000"/>
            <rFont val="Tahoma"/>
            <family val="2"/>
          </rPr>
          <t>Reforma N</t>
        </r>
        <r>
          <rPr>
            <b/>
            <sz val="7"/>
            <color rgb="FF000000"/>
            <rFont val="Tahoma"/>
            <family val="2"/>
          </rPr>
          <t>°</t>
        </r>
        <r>
          <rPr>
            <b/>
            <sz val="7"/>
            <color rgb="FF000000"/>
            <rFont val="Tahoma"/>
            <family val="2"/>
          </rPr>
          <t xml:space="preserve"> 3:
</t>
        </r>
        <r>
          <rPr>
            <sz val="7"/>
            <color rgb="FF000000"/>
            <rFont val="Tahoma"/>
            <family val="2"/>
          </rPr>
          <t>Se incrementó $ 9.559,07 según memo N</t>
        </r>
        <r>
          <rPr>
            <sz val="7"/>
            <color rgb="FF000000"/>
            <rFont val="Tahoma"/>
            <family val="2"/>
          </rPr>
          <t>°</t>
        </r>
        <r>
          <rPr>
            <sz val="7"/>
            <color rgb="FF000000"/>
            <rFont val="Tahoma"/>
            <family val="2"/>
          </rPr>
          <t xml:space="preserve"> 8 FCE-D-2023-0238-M_14032023
</t>
        </r>
        <r>
          <rPr>
            <sz val="7"/>
            <color rgb="FF000000"/>
            <rFont val="Tahoma"/>
            <family val="2"/>
          </rPr>
          <t xml:space="preserve">
</t>
        </r>
        <r>
          <rPr>
            <sz val="7"/>
            <color rgb="FF000000"/>
            <rFont val="Tahoma"/>
            <family val="2"/>
          </rPr>
          <t xml:space="preserve">05/06: Se incrementó $5000 a FCA por reunión de seguimiento
</t>
        </r>
        <r>
          <rPr>
            <sz val="7"/>
            <color rgb="FF000000"/>
            <rFont val="Tahoma"/>
            <family val="2"/>
          </rPr>
          <t xml:space="preserve">
</t>
        </r>
        <r>
          <rPr>
            <sz val="7"/>
            <color rgb="FF000000"/>
            <rFont val="Tahoma"/>
            <family val="2"/>
          </rPr>
          <t xml:space="preserve">Se incrementó $ 1.904,87+3.136,00+3.136,00 según memo N 0604 FCQS_25052023
</t>
        </r>
        <r>
          <rPr>
            <sz val="7"/>
            <color rgb="FF000000"/>
            <rFont val="Tahoma"/>
            <family val="2"/>
          </rPr>
          <t xml:space="preserve">
</t>
        </r>
        <r>
          <rPr>
            <sz val="7"/>
            <color rgb="FF000000"/>
            <rFont val="Tahoma"/>
            <family val="2"/>
          </rPr>
          <t xml:space="preserve">Se incrementó 923,41 en FCA por cuadre de grupo 84
</t>
        </r>
        <r>
          <rPr>
            <sz val="7"/>
            <color rgb="FF000000"/>
            <rFont val="Tahoma"/>
            <family val="2"/>
          </rPr>
          <t xml:space="preserve">
</t>
        </r>
        <r>
          <rPr>
            <sz val="7"/>
            <color rgb="FF000000"/>
            <rFont val="Tahoma"/>
            <family val="2"/>
          </rPr>
          <t>Se incrementó $11.620,00 por memo N</t>
        </r>
        <r>
          <rPr>
            <sz val="7"/>
            <color rgb="FF000000"/>
            <rFont val="Tahoma"/>
            <family val="2"/>
          </rPr>
          <t>°</t>
        </r>
        <r>
          <rPr>
            <sz val="7"/>
            <color rgb="FF000000"/>
            <rFont val="Tahoma"/>
            <family val="2"/>
          </rPr>
          <t xml:space="preserve"> UTMACH-FIC-D-2023-0312-M_18052023
</t>
        </r>
        <r>
          <rPr>
            <sz val="7"/>
            <color rgb="FF000000"/>
            <rFont val="Tahoma"/>
            <family val="2"/>
          </rPr>
          <t xml:space="preserve">
</t>
        </r>
        <r>
          <rPr>
            <sz val="7"/>
            <color rgb="FF000000"/>
            <rFont val="Tahoma"/>
            <family val="2"/>
          </rPr>
          <t xml:space="preserve">Se incrementó $ 13.405,61+6.776,00 según memo N 0604 FCQS_25052023
</t>
        </r>
        <r>
          <rPr>
            <sz val="7"/>
            <color rgb="FF000000"/>
            <rFont val="Tahoma"/>
            <family val="2"/>
          </rPr>
          <t xml:space="preserve">
</t>
        </r>
        <r>
          <rPr>
            <sz val="7"/>
            <color rgb="FF000000"/>
            <rFont val="Tahoma"/>
            <family val="2"/>
          </rPr>
          <t xml:space="preserve">Se incrementó en DIDI $ 39.637,92 - ($3.158,13 por cuadre de fuente) para cartera de proyectos de inversión 2023
</t>
        </r>
        <r>
          <rPr>
            <sz val="7"/>
            <color rgb="FF000000"/>
            <rFont val="Tahoma"/>
            <family val="2"/>
          </rPr>
          <t xml:space="preserve">
</t>
        </r>
        <r>
          <rPr>
            <b/>
            <sz val="7"/>
            <color rgb="FF000000"/>
            <rFont val="Tahoma"/>
            <family val="2"/>
          </rPr>
          <t xml:space="preserve">Reforman nro. 004:
</t>
        </r>
        <r>
          <rPr>
            <sz val="7"/>
            <color rgb="FF000000"/>
            <rFont val="Tahoma"/>
            <family val="2"/>
          </rPr>
          <t xml:space="preserve">
</t>
        </r>
        <r>
          <rPr>
            <sz val="7"/>
            <color rgb="FF000000"/>
            <rFont val="Arial"/>
            <family val="2"/>
          </rPr>
          <t xml:space="preserve">Se incrementa $ 27.791,68 en el POA de DIDI para financiamiento de la cartera de proyecto 2023, conforme pedido del memo nro. UTMACH-DIDI-2023-0466-M
</t>
        </r>
        <r>
          <rPr>
            <sz val="7"/>
            <color rgb="FF000000"/>
            <rFont val="Arial"/>
            <family val="2"/>
          </rPr>
          <t xml:space="preserve">
</t>
        </r>
        <r>
          <rPr>
            <sz val="7"/>
            <color rgb="FF000000"/>
            <rFont val="Arial"/>
            <family val="2"/>
          </rPr>
          <t xml:space="preserve">Se incrementa $ 2,576.00 en el POA de DIDI para financiamiento de la cartera de proyecto 2023, conforme pedido del memo nro. UTMACH-DIDI-2023-0468-M 
</t>
        </r>
        <r>
          <rPr>
            <sz val="7"/>
            <color rgb="FF000000"/>
            <rFont val="Arial"/>
            <family val="2"/>
          </rPr>
          <t xml:space="preserve">
</t>
        </r>
        <r>
          <rPr>
            <sz val="7"/>
            <color rgb="FF000000"/>
            <rFont val="Arial"/>
            <family val="2"/>
          </rPr>
          <t xml:space="preserve">
</t>
        </r>
      </text>
    </comment>
    <comment ref="E133" authorId="3" shapeId="0" xr:uid="{B34D978D-E1E8-6F4C-A2C9-E995719221C4}">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$15.120,00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reduce $758,4 a VIVP por reunión de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$ 62,50+120,00 Rectorado por saldo no ejecutado.
</t>
        </r>
        <r>
          <rPr>
            <sz val="9"/>
            <color rgb="FF000000"/>
            <rFont val="Tahoma"/>
            <family val="2"/>
          </rPr>
          <t xml:space="preserve">
</t>
        </r>
        <r>
          <rPr>
            <sz val="9"/>
            <color rgb="FF000000"/>
            <rFont val="Tahoma"/>
            <family val="2"/>
          </rPr>
          <t xml:space="preserve">Se redujo $ 4.000,00 FCA por efecto de informe de seguimiento y atención al memo nro. FCA-D-2023-0593-M.
</t>
        </r>
        <r>
          <rPr>
            <sz val="9"/>
            <color rgb="FF000000"/>
            <rFont val="Tahoma"/>
            <family val="2"/>
          </rPr>
          <t xml:space="preserve">
</t>
        </r>
        <r>
          <rPr>
            <sz val="9"/>
            <color rgb="FF000000"/>
            <rFont val="Tahoma"/>
            <family val="2"/>
          </rPr>
          <t xml:space="preserve">Se redujo $ 4.320,00 FCA por efecto de informe de seguimiento.
</t>
        </r>
        <r>
          <rPr>
            <sz val="9"/>
            <color rgb="FF000000"/>
            <rFont val="Tahoma"/>
            <family val="2"/>
          </rPr>
          <t xml:space="preserve">
</t>
        </r>
        <r>
          <rPr>
            <sz val="9"/>
            <color rgb="FF000000"/>
            <rFont val="Arial"/>
            <family val="2"/>
          </rPr>
          <t xml:space="preserve">Se reduce $ </t>
        </r>
        <r>
          <rPr>
            <b/>
            <sz val="9"/>
            <color rgb="FF000000"/>
            <rFont val="Arial"/>
            <family val="2"/>
          </rPr>
          <t>12,762.40</t>
        </r>
        <r>
          <rPr>
            <sz val="9"/>
            <color rgb="FF000000"/>
            <rFont val="Arial"/>
            <family val="2"/>
          </rPr>
          <t xml:space="preserve">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Se reduce $ 500,00 en el POA de FCA para atender memo nro. FCA-D-2023-0571-M.
</t>
        </r>
        <r>
          <rPr>
            <sz val="9"/>
            <color rgb="FF000000"/>
            <rFont val="Arial"/>
            <family val="2"/>
          </rPr>
          <t xml:space="preserve">
</t>
        </r>
        <r>
          <rPr>
            <sz val="8"/>
            <color rgb="FF000000"/>
            <rFont val="Calibri"/>
            <family val="2"/>
          </rPr>
          <t xml:space="preserve">Se reduce $ 3.255,54 + $ 1.456,87 + $ 1.691,20 + $ 1.691,20 en atención al memo nro. FCQS-D-2023-0905-M.
</t>
        </r>
        <r>
          <rPr>
            <sz val="8"/>
            <color rgb="FF000000"/>
            <rFont val="Calibri"/>
            <family val="2"/>
          </rPr>
          <t xml:space="preserve">
</t>
        </r>
        <r>
          <rPr>
            <sz val="8"/>
            <color rgb="FF000000"/>
            <rFont val="Arial"/>
            <family val="2"/>
            <scheme val="minor"/>
          </rPr>
          <t xml:space="preserve">Se reduce $ 4.631,75 en el POA de FIC y se trasladan al POa de DADM en atención al </t>
        </r>
        <r>
          <rPr>
            <sz val="8"/>
            <color rgb="FF000000"/>
            <rFont val="Arial"/>
            <family val="2"/>
            <scheme val="minor"/>
          </rPr>
          <t xml:space="preserve">Memorando nro. UTMACH-DADM-UCP-2023-1143-M.
</t>
        </r>
      </text>
    </comment>
    <comment ref="D134" authorId="2" shapeId="0" xr:uid="{71D0D693-DF3D-0746-BEE0-CCA32F1B5EAC}">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$ 119.296,80 en el POA de DTIC para atender el memo nro. DTIC-2023-224-M.	</t>
        </r>
      </text>
    </comment>
    <comment ref="D135" authorId="5" shapeId="0" xr:uid="{C80A9A02-094A-654B-87E2-F2EB59319C1D}">
      <text>
        <r>
          <rPr>
            <b/>
            <sz val="9"/>
            <color rgb="FF000000"/>
            <rFont val="Tahoma"/>
            <family val="2"/>
          </rPr>
          <t>Eunice Basilio: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conforme archivo POA 2023:
</t>
        </r>
        <r>
          <rPr>
            <sz val="9"/>
            <color rgb="FF000000"/>
            <rFont val="Tahoma"/>
            <family val="2"/>
          </rPr>
          <t xml:space="preserve">$ 13.523,26 Vic. Investigación
</t>
        </r>
        <r>
          <rPr>
            <sz val="9"/>
            <color rgb="FF000000"/>
            <rFont val="Tahoma"/>
            <family val="2"/>
          </rPr>
          <t xml:space="preserve">$ 2.240,00 DIDI
</t>
        </r>
        <r>
          <rPr>
            <sz val="9"/>
            <color rgb="FF000000"/>
            <rFont val="Tahoma"/>
            <family val="2"/>
          </rPr>
          <t xml:space="preserve">$ 123.516,00 DTIC + 18.037,80
</t>
        </r>
        <r>
          <rPr>
            <sz val="9"/>
            <color rgb="FF000000"/>
            <rFont val="Tahoma"/>
            <family val="2"/>
          </rPr>
          <t xml:space="preserve">$ 65.044,00 FCE
</t>
        </r>
        <r>
          <rPr>
            <sz val="9"/>
            <color rgb="FF000000"/>
            <rFont val="Tahoma"/>
            <family val="2"/>
          </rPr>
          <t xml:space="preserve">$ 11.150,72  FCS
</t>
        </r>
        <r>
          <rPr>
            <sz val="9"/>
            <color rgb="FF000000"/>
            <rFont val="Tahoma"/>
            <family val="2"/>
          </rPr>
          <t xml:space="preserve">$ 7.504,00 Rectorado
</t>
        </r>
        <r>
          <rPr>
            <sz val="9"/>
            <color rgb="FF000000"/>
            <rFont val="Tahoma"/>
            <family val="2"/>
          </rPr>
          <t xml:space="preserve">
</t>
        </r>
        <r>
          <rPr>
            <sz val="9"/>
            <color rgb="FF000000"/>
            <rFont val="Tahoma"/>
            <family val="2"/>
          </rPr>
          <t>Se incrementó $ 1.771,84, según Memorando N</t>
        </r>
        <r>
          <rPr>
            <sz val="9"/>
            <color rgb="FF000000"/>
            <rFont val="Tahoma"/>
            <family val="2"/>
          </rPr>
          <t>°</t>
        </r>
        <r>
          <rPr>
            <sz val="9"/>
            <color rgb="FF000000"/>
            <rFont val="Tahoma"/>
            <family val="2"/>
          </rPr>
          <t xml:space="preserve"> UTMACH-DADM-2023-0013-M del 16/01/23 Se agrega a TICS.
</t>
        </r>
        <r>
          <rPr>
            <sz val="9"/>
            <color rgb="FF000000"/>
            <rFont val="Tahoma"/>
            <family val="2"/>
          </rPr>
          <t xml:space="preserve">
</t>
        </r>
        <r>
          <rPr>
            <sz val="9"/>
            <color rgb="FF000000"/>
            <rFont val="Tahoma"/>
            <family val="2"/>
          </rPr>
          <t>Se incrementó $ 45.920,00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incrementó $ 61.245,25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$3.500,00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incrementó $38.449,60 a FCE por cuadre de fuentes
</t>
        </r>
        <r>
          <rPr>
            <sz val="9"/>
            <color rgb="FF000000"/>
            <rFont val="Tahoma"/>
            <family val="2"/>
          </rPr>
          <t xml:space="preserve">
</t>
        </r>
        <r>
          <rPr>
            <sz val="9"/>
            <color rgb="FF000000"/>
            <rFont val="Tahoma"/>
            <family val="2"/>
          </rPr>
          <t xml:space="preserve">Se incrementó $10.080 a DIDI para cubrir cartera de Proyectos de investigación
</t>
        </r>
        <r>
          <rPr>
            <sz val="9"/>
            <color rgb="FF000000"/>
            <rFont val="Tahoma"/>
            <family val="2"/>
          </rPr>
          <t xml:space="preserve">
</t>
        </r>
        <r>
          <rPr>
            <b/>
            <sz val="9"/>
            <color rgb="FF000000"/>
            <rFont val="Tahoma"/>
            <family val="2"/>
          </rPr>
          <t xml:space="preserve">Reforma nro. 004:
</t>
        </r>
        <r>
          <rPr>
            <sz val="9"/>
            <color rgb="FF000000"/>
            <rFont val="Tahoma"/>
            <family val="2"/>
          </rPr>
          <t xml:space="preserve">
</t>
        </r>
        <r>
          <rPr>
            <sz val="10"/>
            <color rgb="FF000000"/>
            <rFont val="Arial"/>
            <family val="2"/>
          </rPr>
          <t xml:space="preserve">Se incrementa $ 30.329,60 en el POA de DIDI para financiamiento de la cartera de proyecto 2023, conforme pedido del memo nro. UTMACH-DIDI-2023-0466-M
</t>
        </r>
        <r>
          <rPr>
            <sz val="10"/>
            <color rgb="FF000000"/>
            <rFont val="Arial"/>
            <family val="2"/>
          </rPr>
          <t xml:space="preserve">
</t>
        </r>
        <r>
          <rPr>
            <sz val="10"/>
            <color rgb="FF000000"/>
            <rFont val="Arial"/>
            <family val="2"/>
          </rPr>
          <t>Se aumenta $ 500,00 en el POA de la FCA para atender memo nro. FCA-D-2023-0571-M</t>
        </r>
        <r>
          <rPr>
            <sz val="9"/>
            <color rgb="FF000000"/>
            <rFont val="Arial"/>
            <family val="2"/>
          </rPr>
          <t xml:space="preserve">
</t>
        </r>
        <r>
          <rPr>
            <sz val="9"/>
            <color rgb="FF000000"/>
            <rFont val="Tahoma"/>
            <family val="2"/>
          </rPr>
          <t xml:space="preserve">
</t>
        </r>
        <r>
          <rPr>
            <sz val="9"/>
            <color rgb="FF000000"/>
            <rFont val="Tahoma"/>
            <family val="2"/>
          </rPr>
          <t xml:space="preserve">Se incrementa $ 8587,38 en el POA de DTIC para atender memo nro. </t>
        </r>
        <r>
          <rPr>
            <sz val="10"/>
            <color rgb="FF000000"/>
            <rFont val="Calibri"/>
            <family val="2"/>
          </rPr>
          <t>UTMACH-DTIC-2023-0224-M.</t>
        </r>
      </text>
    </comment>
    <comment ref="E135" authorId="1" shapeId="0" xr:uid="{6F367DBD-48BE-5842-BF49-FAE6A2E93E9A}">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$ 9.559,07 según memo N</t>
        </r>
        <r>
          <rPr>
            <sz val="9"/>
            <color rgb="FF000000"/>
            <rFont val="Tahoma"/>
            <family val="2"/>
          </rPr>
          <t>°</t>
        </r>
        <r>
          <rPr>
            <sz val="9"/>
            <color rgb="FF000000"/>
            <rFont val="Tahoma"/>
            <family val="2"/>
          </rPr>
          <t xml:space="preserve"> 8 FCE-D-2023-0238-M_14032023
</t>
        </r>
        <r>
          <rPr>
            <sz val="9"/>
            <color rgb="FF000000"/>
            <rFont val="Tahoma"/>
            <family val="2"/>
          </rPr>
          <t xml:space="preserve">
</t>
        </r>
        <r>
          <rPr>
            <sz val="9"/>
            <color rgb="FF000000"/>
            <rFont val="Tahoma"/>
            <family val="2"/>
          </rPr>
          <t xml:space="preserve">Se redujo $7.504 para cubrir solicitud de memo N CGR-2023-0180-M
</t>
        </r>
        <r>
          <rPr>
            <sz val="9"/>
            <color rgb="FF000000"/>
            <rFont val="Tahoma"/>
            <family val="2"/>
          </rPr>
          <t xml:space="preserve">
</t>
        </r>
        <r>
          <rPr>
            <sz val="9"/>
            <color rgb="FF000000"/>
            <rFont val="Tahoma"/>
            <family val="2"/>
          </rPr>
          <t xml:space="preserve">Por seguimiento y en virtud de oficio Nro. MEF-SP-2023-0501 para atender Memo Nro. 0399 de DADM:
</t>
        </r>
        <r>
          <rPr>
            <sz val="9"/>
            <color rgb="FF000000"/>
            <rFont val="Tahoma"/>
            <family val="2"/>
          </rPr>
          <t xml:space="preserve">
</t>
        </r>
        <r>
          <rPr>
            <sz val="9"/>
            <color rgb="FF000000"/>
            <rFont val="Tahoma"/>
            <family val="2"/>
          </rPr>
          <t xml:space="preserve">-05/06: Se redujo $2.081,43 según reunión mantenida con VIVP 
</t>
        </r>
        <r>
          <rPr>
            <sz val="9"/>
            <color rgb="FF000000"/>
            <rFont val="Tahoma"/>
            <family val="2"/>
          </rPr>
          <t xml:space="preserve">
</t>
        </r>
        <r>
          <rPr>
            <sz val="9"/>
            <color rgb="FF000000"/>
            <rFont val="Tahoma"/>
            <family val="2"/>
          </rPr>
          <t xml:space="preserve">- Se reduce $33.488 según reunión mantenida con TICS
</t>
        </r>
        <r>
          <rPr>
            <sz val="9"/>
            <color rgb="FF000000"/>
            <rFont val="Tahoma"/>
            <family val="2"/>
          </rPr>
          <t xml:space="preserve">
</t>
        </r>
        <r>
          <rPr>
            <sz val="9"/>
            <color rgb="FF000000"/>
            <rFont val="Tahoma"/>
            <family val="2"/>
          </rPr>
          <t xml:space="preserve">- Se redujo $16.587,2 según seguimiento DIDI
</t>
        </r>
        <r>
          <rPr>
            <sz val="9"/>
            <color rgb="FF000000"/>
            <rFont val="Tahoma"/>
            <family val="2"/>
          </rPr>
          <t xml:space="preserve">
</t>
        </r>
        <r>
          <rPr>
            <sz val="9"/>
            <color rgb="FF000000"/>
            <rFont val="Tahoma"/>
            <family val="2"/>
          </rPr>
          <t xml:space="preserve">- Se redujo $5,81 por cuadre de grupo 83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$ 21.336,00+</t>
        </r>
        <r>
          <rPr>
            <b/>
            <sz val="9"/>
            <color rgb="FF000000"/>
            <rFont val="Tahoma"/>
            <family val="2"/>
          </rPr>
          <t xml:space="preserve">512,00 SERVIDOR NAS+1.782,22 SCANER+189,84 COMPU SALA ESPEJO - </t>
        </r>
        <r>
          <rPr>
            <sz val="9"/>
            <color rgb="FF000000"/>
            <rFont val="Tahoma"/>
            <family val="2"/>
          </rPr>
          <t xml:space="preserve">DTIC por efecto de informe de seguimiento.
</t>
        </r>
        <r>
          <rPr>
            <sz val="9"/>
            <color rgb="FF000000"/>
            <rFont val="Tahoma"/>
            <family val="2"/>
          </rPr>
          <t xml:space="preserve">
</t>
        </r>
        <r>
          <rPr>
            <sz val="9"/>
            <color rgb="FF000000"/>
            <rFont val="Tahoma"/>
            <family val="2"/>
          </rPr>
          <t xml:space="preserve">Se redujo $ 833,76 FCS por efecto de informe de seguimiento.
</t>
        </r>
        <r>
          <rPr>
            <sz val="9"/>
            <color rgb="FF000000"/>
            <rFont val="Tahoma"/>
            <family val="2"/>
          </rPr>
          <t xml:space="preserve">
</t>
        </r>
        <r>
          <rPr>
            <sz val="9"/>
            <color rgb="FF000000"/>
            <rFont val="Tahoma"/>
            <family val="2"/>
          </rPr>
          <t xml:space="preserve">Se redujo $ 138,96 FCS por efecto de informe de seguimiento.
</t>
        </r>
        <r>
          <rPr>
            <sz val="9"/>
            <color rgb="FF000000"/>
            <rFont val="Tahoma"/>
            <family val="2"/>
          </rPr>
          <t xml:space="preserve">
</t>
        </r>
        <r>
          <rPr>
            <sz val="9"/>
            <color rgb="FF000000"/>
            <rFont val="Tahoma"/>
            <family val="2"/>
          </rPr>
          <t xml:space="preserve">Se redujo $ 159,00 FCS por efecto de informe de seguimiento.
</t>
        </r>
        <r>
          <rPr>
            <sz val="9"/>
            <color rgb="FF000000"/>
            <rFont val="Tahoma"/>
            <family val="2"/>
          </rPr>
          <t xml:space="preserve">
</t>
        </r>
        <r>
          <rPr>
            <sz val="9"/>
            <color rgb="FF000000"/>
            <rFont val="Tahoma"/>
            <family val="2"/>
          </rPr>
          <t xml:space="preserve">Se reduce $ 2.800,00 del POA de DTIC para atender memo nro. </t>
        </r>
        <r>
          <rPr>
            <sz val="10"/>
            <color rgb="FF000000"/>
            <rFont val="Calibri"/>
            <family val="2"/>
          </rPr>
          <t>UTMACH-DTIC-2023-0224-M.</t>
        </r>
      </text>
    </comment>
    <comment ref="D136" authorId="5" shapeId="0" xr:uid="{0D662658-B2D1-AB42-927F-A4FABC7C9621}">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$ 414.919,06 Py de Red Lan DTIC</t>
        </r>
      </text>
    </comment>
    <comment ref="E136" authorId="4" shapeId="0" xr:uid="{E236463E-23A6-9C4E-B00E-34C86A906D3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$ 414.919,06 en virtud del proyecto de inversión de gestión documental DTIC.</t>
        </r>
      </text>
    </comment>
    <comment ref="D137" authorId="0" shapeId="0" xr:uid="{2D436EA7-7643-F344-89A6-72FDE741957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 según Memorando N</t>
        </r>
        <r>
          <rPr>
            <sz val="9"/>
            <color rgb="FF000000"/>
            <rFont val="Tahoma"/>
            <family val="2"/>
          </rPr>
          <t>°</t>
        </r>
        <r>
          <rPr>
            <sz val="9"/>
            <color rgb="FF000000"/>
            <rFont val="Tahoma"/>
            <family val="2"/>
          </rPr>
          <t xml:space="preserve"> UTMACH-DIDI-2023-0053-M_02/02/2023.</t>
        </r>
      </text>
    </comment>
    <comment ref="E137" authorId="2" shapeId="0" xr:uid="{2C1066C8-13CA-E442-93FD-A45F8CECD83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t>
        </r>
        <r>
          <rPr>
            <b/>
            <sz val="10"/>
            <color rgb="FF000000"/>
            <rFont val="Arial"/>
            <family val="2"/>
          </rPr>
          <t>2.800,00</t>
        </r>
        <r>
          <rPr>
            <sz val="10"/>
            <color rgb="FF000000"/>
            <rFont val="Arial"/>
            <family val="2"/>
          </rPr>
          <t xml:space="preserve"> en el POA de DIDI para financiamiento de la cartera de proyecto 2023, conforme pedido del memo nro. UTMACH-DIDI-2023-0466-M
</t>
        </r>
      </text>
    </comment>
    <comment ref="E143" authorId="0" shapeId="0" xr:uid="{616130EA-C1E1-EE4F-A1DE-809F9A361BE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$ 8.960,00 Vic. de Investigación
</t>
        </r>
        <r>
          <rPr>
            <sz val="9"/>
            <color rgb="FF000000"/>
            <rFont val="Tahoma"/>
            <family val="2"/>
          </rPr>
          <t xml:space="preserve">según adjunto de Vic. Investigación en e-mail enviado el 03/02/2023
</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$9.640,00 Dircom conforme a la reunión con fecha 01/06 con la Directora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$ 15.000,00 DIRCOM por efecto de informe de seguimiento.</t>
        </r>
      </text>
    </comment>
    <comment ref="E144" authorId="4" shapeId="0" xr:uid="{A73C60F4-F696-3640-9404-6C7644C32D0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$ 817,00 DIPOS por efecto de informe de seguimiento. (Cert. N</t>
        </r>
        <r>
          <rPr>
            <sz val="9"/>
            <color rgb="FF000000"/>
            <rFont val="Tahoma"/>
            <family val="2"/>
          </rPr>
          <t>°</t>
        </r>
        <r>
          <rPr>
            <sz val="9"/>
            <color rgb="FF000000"/>
            <rFont val="Tahoma"/>
            <family val="2"/>
          </rPr>
          <t xml:space="preserve"> 161)</t>
        </r>
      </text>
    </comment>
    <comment ref="D145" authorId="1" shapeId="0" xr:uid="{FA7987BF-E26A-1C4E-989A-BADB65A05878}">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$ 18.120,00 según memo N</t>
        </r>
        <r>
          <rPr>
            <sz val="9"/>
            <color rgb="FF000000"/>
            <rFont val="Tahoma"/>
            <family val="2"/>
          </rPr>
          <t>°</t>
        </r>
        <r>
          <rPr>
            <sz val="9"/>
            <color rgb="FF000000"/>
            <rFont val="Tahoma"/>
            <family val="2"/>
          </rPr>
          <t xml:space="preserve"> UTMACH-DEC-2023-0147-M_05062023</t>
        </r>
      </text>
    </comment>
    <comment ref="E145" authorId="0" shapeId="0" xr:uid="{EDD75199-97A5-A649-BF0F-1290E9D2253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2"/>
          </rPr>
          <t xml:space="preserve">06/06: Se redujo $20.000 a DTH por seguimiento y en virtud de oficio Nro. MEF-SP-2023-0501 para atender Memo Nro. 0399 de DADM, y en atención al memo nro 0764 DTH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DTH por efecto de informe de seguimiento.</t>
        </r>
      </text>
    </comment>
    <comment ref="D146" authorId="2" shapeId="0" xr:uid="{426204F2-0D4F-8E48-AF31-004E6FDC4EA4}">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Incremento de $ 4.000,00 en el POA de DV para atender memo nro. </t>
        </r>
        <r>
          <rPr>
            <sz val="10"/>
            <color rgb="FF000000"/>
            <rFont val="Calibri"/>
            <family val="2"/>
          </rPr>
          <t>UTMACH-DVIN-2023-0406-M.</t>
        </r>
      </text>
    </comment>
    <comment ref="E146" authorId="3" shapeId="0" xr:uid="{547A3143-26B6-0B4E-9630-7740C27DB20F}">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$250,00 por cuanto en el memo 0460 FCS se prescinde de la compra del hardware.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reduce $ 1398,86 en el POA de VIVP en atención del memo nro. VINVIP-2023-0220-M</t>
        </r>
      </text>
    </comment>
    <comment ref="D147" authorId="2" shapeId="0" xr:uid="{6146A2C8-12A9-014C-A89B-DF7616B9FC91}">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aumenta $ 3.300,00 en el POA del DV para atender memo nro. </t>
        </r>
        <r>
          <rPr>
            <sz val="10"/>
            <color rgb="FF000000"/>
            <rFont val="Arial"/>
            <family val="2"/>
            <scheme val="minor"/>
          </rPr>
          <t>UTMACH-DVIN-2023-0406-M.</t>
        </r>
      </text>
    </comment>
    <comment ref="E147" authorId="1" shapeId="0" xr:uid="{33E95E14-BD84-1641-93BD-CD80E15A635F}">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$ 3.584,00, según memo N</t>
        </r>
        <r>
          <rPr>
            <sz val="9"/>
            <color rgb="FF000000"/>
            <rFont val="Tahoma"/>
            <family val="2"/>
          </rPr>
          <t>°</t>
        </r>
        <r>
          <rPr>
            <sz val="9"/>
            <color rgb="FF000000"/>
            <rFont val="Tahoma"/>
            <family val="2"/>
          </rPr>
          <t xml:space="preserve"> DVIN-2023-0106-M_17032023</t>
        </r>
      </text>
    </comment>
    <comment ref="D148" authorId="2" shapeId="0" xr:uid="{B41BCEEF-EDD5-9744-A63C-485062E7B0C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 xml:space="preserve">Se incrementa $ 925.12 en el POA de DV para atender el pedido del memo nro. </t>
        </r>
        <r>
          <rPr>
            <sz val="10"/>
            <color rgb="FF000000"/>
            <rFont val="Arial"/>
            <family val="2"/>
            <scheme val="minor"/>
          </rPr>
          <t>UTMACH-DVIN-2023-0406-M.</t>
        </r>
      </text>
    </comment>
    <comment ref="E148" authorId="3" shapeId="0" xr:uid="{742E285F-162D-F74A-B12D-C8F461B67D82}">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$61,09 FCS proceso ejecutado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 FCS por efecto de informe de seguimiento.</t>
        </r>
      </text>
    </comment>
    <comment ref="E149" authorId="4" shapeId="0" xr:uid="{06CAF4FC-9622-E341-937C-C0190E34AD8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$ 41,11 FCS por efecto de informe de seguimiento.</t>
        </r>
      </text>
    </comment>
    <comment ref="D150" authorId="2" shapeId="0" xr:uid="{6FD2B88A-1CBB-4845-A205-5C1661920AC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Incremento de $ 70.000 para la 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 en el POA de FCE</t>
        </r>
      </text>
    </comment>
    <comment ref="D151" authorId="2" shapeId="0" xr:uid="{A52938DA-4B82-A54F-87CB-32DC6E9B63FF}">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Tahoma"/>
            <family val="2"/>
          </rPr>
          <t xml:space="preserve">Reforma nro. 004
</t>
        </r>
        <r>
          <rPr>
            <sz val="8"/>
            <color rgb="FF000000"/>
            <rFont val="Tahoma"/>
            <family val="2"/>
          </rPr>
          <t xml:space="preserve">
</t>
        </r>
        <r>
          <rPr>
            <sz val="8"/>
            <color rgb="FF000000"/>
            <rFont val="Tahoma"/>
            <family val="2"/>
          </rPr>
          <t>Se incrementa $804,20 para atender memo nro. UTMACH-FCS-D-2023-0831-M</t>
        </r>
      </text>
    </comment>
    <comment ref="D152" authorId="5" shapeId="0" xr:uid="{B3D64139-DC74-EA42-AFA5-8C2E3335CE78}">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$ 14.739,77 conforme archivo POA 2023.
</t>
        </r>
        <r>
          <rPr>
            <sz val="9"/>
            <color rgb="FF000000"/>
            <rFont val="Tahoma"/>
            <family val="2"/>
          </rPr>
          <t xml:space="preserve">
</t>
        </r>
        <r>
          <rPr>
            <sz val="9"/>
            <color rgb="FF000000"/>
            <rFont val="Tahoma"/>
            <family val="2"/>
          </rPr>
          <t>Se incrementó $ 5.107,94 FCQS</t>
        </r>
      </text>
    </comment>
    <comment ref="E152" authorId="1" shapeId="0" xr:uid="{6C67EB46-1C5A-CA40-8074-D48989508878}">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$ 2.132,48,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$ 301,20 DBUAC por efecto de informe de seguimiento. (Cert. N</t>
        </r>
        <r>
          <rPr>
            <sz val="9"/>
            <color rgb="FF000000"/>
            <rFont val="Tahoma"/>
            <family val="2"/>
          </rPr>
          <t>°</t>
        </r>
        <r>
          <rPr>
            <sz val="9"/>
            <color rgb="FF000000"/>
            <rFont val="Tahoma"/>
            <family val="2"/>
          </rPr>
          <t xml:space="preserve"> 214 y 201)</t>
        </r>
      </text>
    </comment>
    <comment ref="D153" authorId="3" shapeId="0" xr:uid="{DC90A1FA-2B35-6E42-AF6E-A33BF89B4444}">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 xml:space="preserve">Se incrementó $ 8.042,47+134,40 según memo N 0604 FCQS_25052023
</t>
        </r>
        <r>
          <rPr>
            <sz val="9"/>
            <color rgb="FF000000"/>
            <rFont val="Tahoma"/>
            <family val="2"/>
          </rPr>
          <t xml:space="preserve">
</t>
        </r>
        <r>
          <rPr>
            <sz val="8"/>
            <color rgb="FF000000"/>
            <rFont val="Arial"/>
            <family val="2"/>
            <scheme val="minor"/>
          </rPr>
          <t xml:space="preserve">Reforma nro. 004:
</t>
        </r>
        <r>
          <rPr>
            <sz val="8"/>
            <color rgb="FF000000"/>
            <rFont val="Arial"/>
            <family val="2"/>
            <scheme val="minor"/>
          </rPr>
          <t xml:space="preserve">
</t>
        </r>
        <r>
          <rPr>
            <sz val="8"/>
            <color rgb="FF000000"/>
            <rFont val="Arial"/>
            <family val="2"/>
            <scheme val="minor"/>
          </rPr>
          <t>Se incrementa $ 260,96 en atención al memo nro. FCQS-D-2023-0960-M.</t>
        </r>
        <r>
          <rPr>
            <sz val="8"/>
            <color rgb="FF000000"/>
            <rFont val="Arial"/>
            <family val="2"/>
            <scheme val="minor"/>
          </rPr>
          <t xml:space="preserve">
</t>
        </r>
      </text>
    </comment>
    <comment ref="E153" authorId="2" shapeId="0" xr:uid="{E2D11812-9ED0-9A44-95F9-FA791AD1E3F8}">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Se reduce $ 2.442,47 en atención al memo nro. FCQS-D-2023-0905-M.</t>
        </r>
      </text>
    </comment>
    <comment ref="D154" authorId="5" shapeId="0" xr:uid="{4FA08C48-098C-554B-97FE-05E6667B5465}">
      <text>
        <r>
          <rPr>
            <b/>
            <sz val="9"/>
            <color rgb="FF000000"/>
            <rFont val="Tahoma"/>
            <family val="2"/>
          </rPr>
          <t>Eunice Basilio:</t>
        </r>
        <r>
          <rPr>
            <sz val="9"/>
            <color rgb="FF000000"/>
            <rFont val="Tahoma"/>
            <family val="2"/>
          </rPr>
          <t xml:space="preserve">
</t>
        </r>
        <r>
          <rPr>
            <sz val="8"/>
            <color rgb="FF000000"/>
            <rFont val="Tahoma"/>
            <family val="34"/>
          </rPr>
          <t>Reforma N</t>
        </r>
        <r>
          <rPr>
            <sz val="8"/>
            <color rgb="FF000000"/>
            <rFont val="Tahoma"/>
            <family val="34"/>
          </rPr>
          <t>°</t>
        </r>
        <r>
          <rPr>
            <sz val="8"/>
            <color rgb="FF000000"/>
            <rFont val="Tahoma"/>
            <family val="34"/>
          </rPr>
          <t xml:space="preserve"> 2:
</t>
        </r>
        <r>
          <rPr>
            <sz val="8"/>
            <color rgb="FF000000"/>
            <rFont val="Tahoma"/>
            <family val="34"/>
          </rPr>
          <t xml:space="preserve">Se incrementó $ 20.678,10 conforme archivo POA 2023.
</t>
        </r>
        <r>
          <rPr>
            <sz val="8"/>
            <color rgb="FF000000"/>
            <rFont val="Tahoma"/>
            <family val="34"/>
          </rPr>
          <t xml:space="preserve">
</t>
        </r>
        <r>
          <rPr>
            <sz val="8"/>
            <color rgb="FF000000"/>
            <rFont val="Tahoma"/>
            <family val="34"/>
          </rPr>
          <t xml:space="preserve">Se incrementó $ 5.308,80 por contrato de año anterior para adquisición de proyectores de imagen. TICS
</t>
        </r>
        <r>
          <rPr>
            <sz val="8"/>
            <color rgb="FF000000"/>
            <rFont val="Tahoma"/>
            <family val="34"/>
          </rPr>
          <t xml:space="preserve">
</t>
        </r>
        <r>
          <rPr>
            <sz val="8"/>
            <color rgb="FF000000"/>
            <rFont val="Tahoma"/>
            <family val="34"/>
          </rPr>
          <t xml:space="preserve">Se incrementó $ 9.924,07 FCQS
</t>
        </r>
        <r>
          <rPr>
            <sz val="8"/>
            <color rgb="FF000000"/>
            <rFont val="Tahoma"/>
            <family val="34"/>
          </rPr>
          <t xml:space="preserve">
</t>
        </r>
        <r>
          <rPr>
            <b/>
            <sz val="8"/>
            <color rgb="FF000000"/>
            <rFont val="Tahoma"/>
            <family val="34"/>
          </rPr>
          <t>Reforma N</t>
        </r>
        <r>
          <rPr>
            <b/>
            <sz val="8"/>
            <color rgb="FF000000"/>
            <rFont val="Tahoma"/>
            <family val="34"/>
          </rPr>
          <t>°</t>
        </r>
        <r>
          <rPr>
            <b/>
            <sz val="8"/>
            <color rgb="FF000000"/>
            <rFont val="Tahoma"/>
            <family val="34"/>
          </rPr>
          <t xml:space="preserve"> 3:
</t>
        </r>
        <r>
          <rPr>
            <sz val="8"/>
            <color rgb="FF000000"/>
            <rFont val="Tahoma"/>
            <family val="34"/>
          </rPr>
          <t>Se incrementó $ 2.265,62, según memo N</t>
        </r>
        <r>
          <rPr>
            <sz val="8"/>
            <color rgb="FF000000"/>
            <rFont val="Tahoma"/>
            <family val="34"/>
          </rPr>
          <t>°</t>
        </r>
        <r>
          <rPr>
            <sz val="8"/>
            <color rgb="FF000000"/>
            <rFont val="Tahoma"/>
            <family val="34"/>
          </rPr>
          <t xml:space="preserve"> DVIN-2023-0106-M_17032023
</t>
        </r>
        <r>
          <rPr>
            <sz val="8"/>
            <color rgb="FF000000"/>
            <rFont val="Tahoma"/>
            <family val="34"/>
          </rPr>
          <t xml:space="preserve">Se incrementó $1.568,00 por atención de memo N 231 DVIN.         
</t>
        </r>
        <r>
          <rPr>
            <sz val="8"/>
            <color rgb="FF000000"/>
            <rFont val="Tahoma"/>
            <family val="34"/>
          </rPr>
          <t xml:space="preserve">    El incremento total de DVIN  = $4.005,12
</t>
        </r>
        <r>
          <rPr>
            <sz val="8"/>
            <color rgb="FF000000"/>
            <rFont val="Tahoma"/>
            <family val="34"/>
          </rPr>
          <t xml:space="preserve">
</t>
        </r>
        <r>
          <rPr>
            <sz val="8"/>
            <color rgb="FF000000"/>
            <rFont val="Tahoma"/>
            <family val="34"/>
          </rPr>
          <t>Se incrementó $ 15.879,05, según memo N</t>
        </r>
        <r>
          <rPr>
            <sz val="8"/>
            <color rgb="FF000000"/>
            <rFont val="Tahoma"/>
            <family val="34"/>
          </rPr>
          <t>°</t>
        </r>
        <r>
          <rPr>
            <sz val="8"/>
            <color rgb="FF000000"/>
            <rFont val="Tahoma"/>
            <family val="34"/>
          </rPr>
          <t xml:space="preserve"> DBUAC-2023-0124-M_03032023
</t>
        </r>
        <r>
          <rPr>
            <sz val="8"/>
            <color rgb="FF000000"/>
            <rFont val="Tahoma"/>
            <family val="34"/>
          </rPr>
          <t xml:space="preserve">
</t>
        </r>
        <r>
          <rPr>
            <sz val="8"/>
            <color rgb="FF000000"/>
            <rFont val="Tahoma"/>
            <family val="34"/>
          </rPr>
          <t xml:space="preserve">Se incrementó $12.549,71 por cuadre de financiamiento del POA
</t>
        </r>
        <r>
          <rPr>
            <sz val="8"/>
            <color rgb="FF000000"/>
            <rFont val="Tahoma"/>
            <family val="34"/>
          </rPr>
          <t xml:space="preserve">
</t>
        </r>
        <r>
          <rPr>
            <sz val="8"/>
            <color rgb="FF000000"/>
            <rFont val="Tahoma"/>
            <family val="34"/>
          </rPr>
          <t xml:space="preserve">Reforma nro. 004
</t>
        </r>
        <r>
          <rPr>
            <sz val="8"/>
            <color rgb="FF000000"/>
            <rFont val="Tahoma"/>
            <family val="34"/>
          </rPr>
          <t xml:space="preserve">
</t>
        </r>
        <r>
          <rPr>
            <sz val="8"/>
            <color rgb="FF000000"/>
            <rFont val="Arial"/>
            <family val="2"/>
          </rPr>
          <t xml:space="preserve">Se aumenta $ 4.032,00 en el POA de DV en atención al memo nro. DVIN-2023-0363
</t>
        </r>
        <r>
          <rPr>
            <sz val="8"/>
            <color rgb="FF000000"/>
            <rFont val="Arial"/>
            <family val="2"/>
          </rPr>
          <t xml:space="preserve">
</t>
        </r>
        <r>
          <rPr>
            <sz val="8"/>
            <color rgb="FF000000"/>
            <rFont val="Arial"/>
            <family val="2"/>
          </rPr>
          <t>Se aumenta $ 10,21 en el POA de FCQS para atender memo nro. FCQS-D-2023-0905-M</t>
        </r>
      </text>
    </comment>
    <comment ref="E154" authorId="3" shapeId="0" xr:uid="{9FDFF683-6313-504F-A3BB-A3CD682A8DA8}">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 xml:space="preserve">Se reduce $1.568 + $4009,60 = $5.577,60 según memo N FCS 460
</t>
        </r>
        <r>
          <rPr>
            <sz val="9"/>
            <color rgb="FF000000"/>
            <rFont val="Tahoma"/>
            <family val="2"/>
          </rPr>
          <t xml:space="preserve">
</t>
        </r>
        <r>
          <rPr>
            <sz val="9"/>
            <color rgb="FF000000"/>
            <rFont val="Tahoma"/>
            <family val="2"/>
          </rPr>
          <t xml:space="preserve">Se reduce $3.528,00 según memo DEC 075
</t>
        </r>
        <r>
          <rPr>
            <sz val="9"/>
            <color rgb="FF000000"/>
            <rFont val="Tahoma"/>
            <family val="2"/>
          </rPr>
          <t xml:space="preserve">
</t>
        </r>
        <r>
          <rPr>
            <sz val="9"/>
            <color rgb="FF000000"/>
            <rFont val="Tahoma"/>
            <family val="2"/>
          </rPr>
          <t xml:space="preserve">Se redujo $1.904,87+3.136,00+3.136,00= $8.176,87 según memo N 0604 FCQS_25052023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$ 373,00 FCS por efecto de informe de seguimiento (Cert. N</t>
        </r>
        <r>
          <rPr>
            <sz val="9"/>
            <color rgb="FF000000"/>
            <rFont val="Tahoma"/>
            <family val="2"/>
          </rPr>
          <t>°</t>
        </r>
        <r>
          <rPr>
            <sz val="9"/>
            <color rgb="FF000000"/>
            <rFont val="Tahoma"/>
            <family val="2"/>
          </rPr>
          <t xml:space="preserve"> 262).
</t>
        </r>
        <r>
          <rPr>
            <sz val="9"/>
            <color rgb="FF000000"/>
            <rFont val="Tahoma"/>
            <family val="2"/>
          </rPr>
          <t xml:space="preserve">
</t>
        </r>
        <r>
          <rPr>
            <sz val="10"/>
            <color rgb="FF000000"/>
            <rFont val="Arial"/>
            <family val="2"/>
          </rPr>
          <t>Se reduce $ 1.344,00 en el POA de DV en atención al memo nro. DVIN-2023-0363</t>
        </r>
        <r>
          <rPr>
            <sz val="9"/>
            <color rgb="FF000000"/>
            <rFont val="Arial"/>
            <family val="2"/>
          </rPr>
          <t xml:space="preserve">
</t>
        </r>
        <r>
          <rPr>
            <sz val="9"/>
            <color rgb="FF000000"/>
            <rFont val="Tahoma"/>
            <family val="2"/>
          </rPr>
          <t xml:space="preserve">
</t>
        </r>
        <r>
          <rPr>
            <sz val="8"/>
            <color rgb="FF000000"/>
            <rFont val="Arial"/>
            <family val="2"/>
          </rPr>
          <t xml:space="preserve">Se reduce $ 260,93 (memo nro. FCQS-D-2023-0960) + $ 72,80 + $ 126,02 + $ 293,48 + $ 164,24 en atención al memo nro. FCQS-D-2023-0905-M.
</t>
        </r>
      </text>
    </comment>
    <comment ref="D155" authorId="5" shapeId="0" xr:uid="{7BE9BD80-7D4E-ED45-96FC-A18CC35A6913}">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$ 21.446,90 conforme archivo POA 2023.
</t>
        </r>
        <r>
          <rPr>
            <sz val="9"/>
            <color rgb="FF000000"/>
            <rFont val="Tahoma"/>
            <family val="2"/>
          </rPr>
          <t xml:space="preserve">
</t>
        </r>
        <r>
          <rPr>
            <sz val="9"/>
            <color rgb="FF000000"/>
            <rFont val="Tahoma"/>
            <family val="2"/>
          </rPr>
          <t xml:space="preserve">Se incrementó $ 336,01 FCQS
</t>
        </r>
        <r>
          <rPr>
            <sz val="9"/>
            <color rgb="FF000000"/>
            <rFont val="Tahoma"/>
            <family val="2"/>
          </rPr>
          <t xml:space="preserve">
</t>
        </r>
        <r>
          <rPr>
            <sz val="9"/>
            <color rgb="FF000000"/>
            <rFont val="Tahoma"/>
            <family val="2"/>
          </rPr>
          <t xml:space="preserve">Reforma 3:
</t>
        </r>
        <r>
          <rPr>
            <sz val="9"/>
            <color rgb="FF000000"/>
            <rFont val="Tahoma"/>
            <family val="2"/>
          </rPr>
          <t xml:space="preserve">Se incrementó $26.880,00 por atención de memo N 231 DVIN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8"/>
            <color rgb="FF000000"/>
            <rFont val="Arial"/>
            <family val="2"/>
          </rPr>
          <t xml:space="preserve">Se aumenta $ 1.344,00 en el POA de DV en atención al memo nro. DVIN-2023-0363
</t>
        </r>
      </text>
    </comment>
    <comment ref="E155" authorId="1" shapeId="0" xr:uid="{3D161604-A5A3-EA40-ACE2-ED302F8C635C}">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$ 133,14, según memo N</t>
        </r>
        <r>
          <rPr>
            <sz val="9"/>
            <color rgb="FF000000"/>
            <rFont val="Tahoma"/>
            <family val="2"/>
          </rPr>
          <t>°</t>
        </r>
        <r>
          <rPr>
            <sz val="9"/>
            <color rgb="FF000000"/>
            <rFont val="Tahoma"/>
            <family val="2"/>
          </rPr>
          <t xml:space="preserve"> DVIN-2023-0106-M_17032023
</t>
        </r>
        <r>
          <rPr>
            <sz val="9"/>
            <color rgb="FF000000"/>
            <rFont val="Tahoma"/>
            <family val="2"/>
          </rPr>
          <t xml:space="preserve">
</t>
        </r>
        <r>
          <rPr>
            <sz val="9"/>
            <color rgb="FF000000"/>
            <rFont val="Tahoma"/>
            <family val="2"/>
          </rPr>
          <t xml:space="preserve">Se redujo $1800,02 según memo N FCS-2023-0460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$ 840,00+318,00 FCS por efecto de informe de seguimiento.
</t>
        </r>
        <r>
          <rPr>
            <sz val="9"/>
            <color rgb="FF000000"/>
            <rFont val="Tahoma"/>
            <family val="2"/>
          </rPr>
          <t xml:space="preserve">
</t>
        </r>
        <r>
          <rPr>
            <sz val="9"/>
            <color rgb="FF000000"/>
            <rFont val="Tahoma"/>
            <family val="2"/>
          </rPr>
          <t xml:space="preserve">Se redujo $ 48,00 FCA por efecto de informe de seguimiento.
</t>
        </r>
        <r>
          <rPr>
            <sz val="9"/>
            <color rgb="FF000000"/>
            <rFont val="Tahoma"/>
            <family val="2"/>
          </rPr>
          <t xml:space="preserve">
</t>
        </r>
        <r>
          <rPr>
            <sz val="9"/>
            <color rgb="FF000000"/>
            <rFont val="Tahoma"/>
            <family val="2"/>
          </rPr>
          <t>Se reduce $4.032,00 en el POA de DV en atención al memo nro. DVIN-2023-0363</t>
        </r>
      </text>
    </comment>
    <comment ref="D156" authorId="0" shapeId="0" xr:uid="{3A6C8129-347E-D147-A5FD-76B966C06A8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$ 5.600,00 FCQS</t>
        </r>
      </text>
    </comment>
    <comment ref="E156" authorId="2" shapeId="0" xr:uid="{295E6E16-1DD5-A64F-A7F1-765661772065}">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8"/>
            <color rgb="FF000000"/>
            <rFont val="Arial"/>
            <family val="2"/>
            <scheme val="minor"/>
          </rPr>
          <t xml:space="preserve">Reforma nro. 004:
</t>
        </r>
        <r>
          <rPr>
            <sz val="8"/>
            <color rgb="FF000000"/>
            <rFont val="Arial"/>
            <family val="2"/>
            <scheme val="minor"/>
          </rPr>
          <t xml:space="preserve">
</t>
        </r>
        <r>
          <rPr>
            <sz val="8"/>
            <color rgb="FF000000"/>
            <rFont val="Arial"/>
            <family val="2"/>
            <scheme val="minor"/>
          </rPr>
          <t>Se reduce $ 482,23 en atención al memo nro. FCQS-D-2023-0905-M.</t>
        </r>
        <r>
          <rPr>
            <sz val="8"/>
            <color rgb="FF000000"/>
            <rFont val="Arial"/>
            <family val="2"/>
            <scheme val="minor"/>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Admin</author>
    <author>HP</author>
    <author>Valeria Ramon Capa</author>
    <author>Eunice Basilio</author>
    <author>Dirección Financiera</author>
  </authors>
  <commentList>
    <comment ref="E9" authorId="0" shapeId="0" xr:uid="{9F1959D8-765B-4B00-AD21-B21415F0B7E9}">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Incorporación de ingreso por $ 12.399,18 del convenio del MIES.</t>
        </r>
      </text>
    </comment>
    <comment ref="F26" authorId="1" shapeId="0" xr:uid="{816AC70A-FC89-4656-92E1-1E0A0AFE8F0F}">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$ 30.000,00 para financiar Décimo Tercer Sueldo
</t>
        </r>
        <r>
          <rPr>
            <b/>
            <sz val="9"/>
            <color rgb="FF000000"/>
            <rFont val="Tahoma"/>
            <family val="2"/>
          </rPr>
          <t>Reforma N° 4:</t>
        </r>
        <r>
          <rPr>
            <sz val="9"/>
            <color rgb="FF000000"/>
            <rFont val="Tahoma"/>
            <family val="2"/>
          </rPr>
          <t xml:space="preserve">
Se reduce $ 30.000,00 para financiar segundo plan de jubilación de la UTMACH, previsto a planificarse en septiembre.</t>
        </r>
      </text>
    </comment>
    <comment ref="F27" authorId="1" shapeId="0" xr:uid="{FBEAF624-3900-4420-A418-D6E1BE265642}">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$ 20.000,00 para financiar Décimo Tercer Sueldo
</t>
        </r>
        <r>
          <rPr>
            <b/>
            <sz val="9"/>
            <color rgb="FF000000"/>
            <rFont val="Tahoma"/>
            <family val="2"/>
          </rPr>
          <t>Reforma N° 4:</t>
        </r>
        <r>
          <rPr>
            <sz val="9"/>
            <color rgb="FF000000"/>
            <rFont val="Tahoma"/>
            <family val="2"/>
          </rPr>
          <t xml:space="preserve">
Se reduce $ 60.000,00 para financiar segundo plan de jubilación de la UTMACH, previsto a planificarse en septiembre.</t>
        </r>
      </text>
    </comment>
    <comment ref="F30" authorId="1" shapeId="0" xr:uid="{DF66C968-ABB6-4136-9804-9885A41DB231}">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$ 10.000,00 para financiar Décimo Tercer Sueldo</t>
        </r>
      </text>
    </comment>
    <comment ref="F36" authorId="0" shapeId="0" xr:uid="{5EC25D34-C3C1-4881-8D69-E19C9C14AAF8}">
      <text>
        <r>
          <rPr>
            <b/>
            <sz val="9"/>
            <color rgb="FF000000"/>
            <rFont val="Tahoma"/>
            <family val="2"/>
          </rPr>
          <t>Microsoft Office User:</t>
        </r>
        <r>
          <rPr>
            <sz val="9"/>
            <color rgb="FF000000"/>
            <rFont val="Tahoma"/>
            <family val="2"/>
          </rPr>
          <t xml:space="preserve">
Reforma N° 4:
Se reduce $ 10.000,00 para financiar segundo plan de jubilación de la UTMACH, previsto a planificarse en septiembre.
</t>
        </r>
      </text>
    </comment>
    <comment ref="F39" authorId="1" shapeId="0" xr:uid="{3B19E128-F931-4EAB-AD24-6916ED6465E9}">
      <text>
        <r>
          <rPr>
            <b/>
            <sz val="9"/>
            <color rgb="FF000000"/>
            <rFont val="Tahoma"/>
            <family val="2"/>
          </rPr>
          <t>LENOVO:</t>
        </r>
        <r>
          <rPr>
            <sz val="9"/>
            <color rgb="FF000000"/>
            <rFont val="Tahoma"/>
            <family val="2"/>
          </rPr>
          <t xml:space="preserve">
Reforma N° 3:
Se reduce $2.000,00 para cubrir vacaciones.
Reforma N° 4:
</t>
        </r>
        <r>
          <rPr>
            <sz val="10"/>
            <color rgb="FF000000"/>
            <rFont val="Calibri"/>
            <family val="2"/>
          </rPr>
          <t>Se reduce $ 10.000,00 para financiar segundo plan de jubilación de la UTMACH, previsto a planificarse en septiembre.</t>
        </r>
        <r>
          <rPr>
            <sz val="9"/>
            <color rgb="FF000000"/>
            <rFont val="Calibri"/>
            <family val="2"/>
          </rPr>
          <t xml:space="preserve">
</t>
        </r>
      </text>
    </comment>
    <comment ref="F40" authorId="1" shapeId="0" xr:uid="{E597013E-2DF9-4B53-865F-C1DD011246B4}">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$2.000,00 para cubrir vacaciones.
</t>
        </r>
        <r>
          <rPr>
            <b/>
            <sz val="9"/>
            <color rgb="FF000000"/>
            <rFont val="Tahoma"/>
            <family val="2"/>
          </rPr>
          <t>Reforma N° 4:</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r>
          <rPr>
            <b/>
            <sz val="9"/>
            <color rgb="FF000000"/>
            <rFont val="Calibri"/>
            <family val="2"/>
          </rPr>
          <t>Reforma N° 5:</t>
        </r>
        <r>
          <rPr>
            <sz val="9"/>
            <color rgb="FF000000"/>
            <rFont val="Calibri"/>
            <family val="2"/>
          </rPr>
          <t xml:space="preserve">
Se incrementó $ 2.650,25 según memo N° UTMACH-DR-UREM-2023-0328-M_19/09/2023.</t>
        </r>
      </text>
    </comment>
    <comment ref="E41" authorId="0" shapeId="0" xr:uid="{3D0CA30E-47D9-4424-8D9E-9DA1C90FDC50}">
      <text>
        <r>
          <rPr>
            <b/>
            <sz val="9"/>
            <color rgb="FF000000"/>
            <rFont val="Tahoma"/>
            <family val="2"/>
          </rPr>
          <t xml:space="preserve">Microsoft Office User:
</t>
        </r>
        <r>
          <rPr>
            <sz val="9"/>
            <color rgb="FF000000"/>
            <rFont val="Tahoma"/>
            <family val="2"/>
          </rPr>
          <t>Reforma N° 4:
Se incrementa $ 7.000 para financiar indemnizaciones 
por renuncia voluntaria, conforme lo indicado en la tabla 4 del Memorando nro. UTMACH-DTH-2023-1164-M.</t>
        </r>
      </text>
    </comment>
    <comment ref="F41" authorId="2" shapeId="0" xr:uid="{233ADC51-0084-46ED-A519-8A9F34DCA69B}">
      <text>
        <r>
          <rPr>
            <b/>
            <sz val="9"/>
            <color indexed="81"/>
            <rFont val="Tahoma"/>
            <family val="2"/>
          </rPr>
          <t>Admin:</t>
        </r>
        <r>
          <rPr>
            <sz val="9"/>
            <color indexed="81"/>
            <rFont val="Tahoma"/>
            <family val="2"/>
          </rPr>
          <t xml:space="preserve">
Reforma N° 5:
Se incrementó $ 1.249,75 según memo N° UTMACH-DR-UREM-2023-0328-M_19/09/2023.</t>
        </r>
      </text>
    </comment>
    <comment ref="E42" authorId="0" shapeId="0" xr:uid="{7F59DED3-13F8-4D10-A942-241BA2633A65}">
      <text>
        <r>
          <rPr>
            <b/>
            <sz val="9"/>
            <color rgb="FF000000"/>
            <rFont val="Tahoma"/>
            <family val="2"/>
          </rPr>
          <t>Microsoft Office User:</t>
        </r>
        <r>
          <rPr>
            <sz val="9"/>
            <color rgb="FF000000"/>
            <rFont val="Tahoma"/>
            <family val="2"/>
          </rPr>
          <t xml:space="preserve">
Reforma N° 4:
Se incrementa $ 7.000 para financiar indemnizaciones por renuncia voluntaria, conforme lo indicado en la tabla 4 del Memorando nro. UTMACH-DTH-2023-1164-M.</t>
        </r>
      </text>
    </comment>
    <comment ref="F42" authorId="2" shapeId="0" xr:uid="{DBF29393-E830-4363-AC01-95652ECDD8DB}">
      <text>
        <r>
          <rPr>
            <b/>
            <sz val="9"/>
            <color indexed="81"/>
            <rFont val="Tahoma"/>
            <charset val="1"/>
          </rPr>
          <t>Admin:</t>
        </r>
        <r>
          <rPr>
            <sz val="9"/>
            <color indexed="81"/>
            <rFont val="Tahoma"/>
            <charset val="1"/>
          </rPr>
          <t xml:space="preserve">
</t>
        </r>
      </text>
    </comment>
    <comment ref="E44" authorId="0" shapeId="0" xr:uid="{E1B18FE1-DE92-46B1-981A-893FA150E541}">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5:</t>
        </r>
        <r>
          <rPr>
            <sz val="9"/>
            <color rgb="FF000000"/>
            <rFont val="Tahoma"/>
            <family val="2"/>
          </rPr>
          <t xml:space="preserve">
Se incrementó $ 3.900,00 según memo N° UTMACH-DR-UREM-2023-0328-M_19/09/2023.</t>
        </r>
      </text>
    </comment>
    <comment ref="E45" authorId="2" shapeId="0" xr:uid="{2DEAA8A2-9F47-4E72-9025-C3CABF28F514}">
      <text>
        <r>
          <rPr>
            <b/>
            <sz val="9"/>
            <color indexed="81"/>
            <rFont val="Tahoma"/>
            <family val="2"/>
          </rPr>
          <t>Admin:</t>
        </r>
        <r>
          <rPr>
            <sz val="9"/>
            <color indexed="81"/>
            <rFont val="Tahoma"/>
            <family val="2"/>
          </rPr>
          <t xml:space="preserve">
Reforma N° 5:
Se incrementó $ 11.000,00.</t>
        </r>
      </text>
    </comment>
    <comment ref="E46" authorId="2" shapeId="0" xr:uid="{278EFA0C-3A4D-449C-B131-6B5FD93F29FD}">
      <text>
        <r>
          <rPr>
            <b/>
            <sz val="9"/>
            <color indexed="81"/>
            <rFont val="Tahoma"/>
            <family val="2"/>
          </rPr>
          <t>Admin:</t>
        </r>
        <r>
          <rPr>
            <sz val="9"/>
            <color indexed="81"/>
            <rFont val="Tahoma"/>
            <family val="2"/>
          </rPr>
          <t xml:space="preserve">
Reforma N° 5:
Se incrementó $ 41.149,68.</t>
        </r>
      </text>
    </comment>
    <comment ref="E47" authorId="2" shapeId="0" xr:uid="{19CD9BF3-2108-415C-82EA-4B5848E98866}">
      <text>
        <r>
          <rPr>
            <b/>
            <sz val="9"/>
            <color indexed="81"/>
            <rFont val="Tahoma"/>
            <family val="2"/>
          </rPr>
          <t>Admin:</t>
        </r>
        <r>
          <rPr>
            <sz val="9"/>
            <color indexed="81"/>
            <rFont val="Tahoma"/>
            <family val="2"/>
          </rPr>
          <t xml:space="preserve">
Reforma N° 5:
Se incrementó $ 3.857,37</t>
        </r>
      </text>
    </comment>
    <comment ref="E48" authorId="3" shapeId="0" xr:uid="{D8DCF8F1-22E5-489C-8EAC-71CBC89A2B81}">
      <text>
        <r>
          <rPr>
            <b/>
            <sz val="9"/>
            <color rgb="FF000000"/>
            <rFont val="Tahoma"/>
            <family val="2"/>
          </rPr>
          <t>HP:</t>
        </r>
        <r>
          <rPr>
            <sz val="9"/>
            <color rgb="FF000000"/>
            <rFont val="Tahoma"/>
            <family val="2"/>
          </rPr>
          <t xml:space="preserve">
Reforma N° 2:
Se incrementó $ 28.000,00 por contrato año anterior para adquisición de SIMCARD DBU.</t>
        </r>
      </text>
    </comment>
    <comment ref="F48" authorId="4" shapeId="0" xr:uid="{E703C29E-0932-438C-A675-269D4721EBEE}">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$2.000,00 a DBUAC en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$ 23.313,24 DBUAC por efecto de informe de seguimiento, por cuanto no se ha solictado el pago a la presente fecha y no se ha dado información por la parte requirente.
</t>
        </r>
      </text>
    </comment>
    <comment ref="E49" authorId="0" shapeId="0" xr:uid="{CE67027D-B664-4D6F-A0D6-8938109D3AFB}">
      <text>
        <r>
          <rPr>
            <b/>
            <sz val="9"/>
            <color rgb="FF000000"/>
            <rFont val="Tahoma"/>
            <family val="2"/>
          </rPr>
          <t>Microsoft Office User:</t>
        </r>
        <r>
          <rPr>
            <sz val="9"/>
            <color rgb="FF000000"/>
            <rFont val="Tahoma"/>
            <family val="2"/>
          </rPr>
          <t xml:space="preserve">
Reforma N° 4:
Se incrementa $ 9.000,00 en el POA de DADM por atención del memo nro. DF-2023-0282-M.</t>
        </r>
      </text>
    </comment>
    <comment ref="F49" authorId="3" shapeId="0" xr:uid="{8A29A77B-E016-4402-9503-5B76F1189B8A}">
      <text>
        <r>
          <rPr>
            <b/>
            <sz val="9"/>
            <color rgb="FF000000"/>
            <rFont val="Tahoma"/>
            <family val="2"/>
          </rPr>
          <t>HP:</t>
        </r>
        <r>
          <rPr>
            <sz val="9"/>
            <color rgb="FF000000"/>
            <rFont val="Tahoma"/>
            <family val="2"/>
          </rPr>
          <t xml:space="preserve">
Reforma N° 2:
Se redujo $ 28.000,00 por adquisición de SIMCARD DBU, contrato que ya estaba en el POA.
Se redujo $ 14.000,00 para cubrir liquidaciones por juicios en la partida N° 990101 0701 003 en el programa 82.
Reforma N° 5:
Se reduce $ 2.800,00.</t>
        </r>
      </text>
    </comment>
    <comment ref="E50" authorId="1" shapeId="0" xr:uid="{F117DC25-82AB-4D91-A3C6-AD7952CC26AB}">
      <text>
        <r>
          <rPr>
            <b/>
            <sz val="9"/>
            <color rgb="FF000000"/>
            <rFont val="Tahoma"/>
            <family val="2"/>
          </rPr>
          <t>LENOVO:</t>
        </r>
        <r>
          <rPr>
            <sz val="9"/>
            <color rgb="FF000000"/>
            <rFont val="Tahoma"/>
            <family val="2"/>
          </rPr>
          <t xml:space="preserve">
Reforma N° 3:
Se incrementó $ 250,00 según memo N° DADM-2023-0335-M_16052023.</t>
        </r>
      </text>
    </comment>
    <comment ref="F50" authorId="3" shapeId="0" xr:uid="{FEE9448A-020D-4014-8615-FBD4B79C0A2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$ 1.000,00 para cubrir liquidaciones por juicios en la partida N° 990101 0701 003 en el programa 82
</t>
        </r>
        <r>
          <rPr>
            <b/>
            <sz val="9"/>
            <color rgb="FF000000"/>
            <rFont val="Tahoma"/>
            <family val="2"/>
          </rPr>
          <t>Reforma N° 4:</t>
        </r>
        <r>
          <rPr>
            <sz val="9"/>
            <color rgb="FF000000"/>
            <rFont val="Tahoma"/>
            <family val="2"/>
          </rPr>
          <t xml:space="preserve">
Se reduce $ 2.160,00 en el POA de SG para atender el memo nro. SG-2023-0213-M.</t>
        </r>
      </text>
    </comment>
    <comment ref="E51" authorId="4" shapeId="0" xr:uid="{34CBBABE-240B-471D-9027-9F1E2EF91A45}">
      <text>
        <r>
          <rPr>
            <b/>
            <sz val="10"/>
            <color rgb="FF000000"/>
            <rFont val="Tahoma"/>
            <family val="2"/>
          </rPr>
          <t>Valeria Ramon Capa:</t>
        </r>
        <r>
          <rPr>
            <sz val="10"/>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$2.509,82 por cuadre de fuente de 003 a fuente 002.</t>
        </r>
      </text>
    </comment>
    <comment ref="F51" authorId="2" shapeId="0" xr:uid="{4C6AFCFD-BD81-4403-9A28-AD7F86C0A1C9}">
      <text>
        <r>
          <rPr>
            <b/>
            <sz val="9"/>
            <color indexed="81"/>
            <rFont val="Tahoma"/>
            <charset val="1"/>
          </rPr>
          <t>Admin:</t>
        </r>
        <r>
          <rPr>
            <sz val="9"/>
            <color indexed="81"/>
            <rFont val="Tahoma"/>
            <charset val="1"/>
          </rPr>
          <t xml:space="preserve">
Reforma N° 5:
Se redujo $ 1.209,82 por ser saldo no ejecutado (IVA), DTH.</t>
        </r>
      </text>
    </comment>
    <comment ref="F52" authorId="4" shapeId="0" xr:uid="{A2C07295-07E3-4AD5-B252-528AB81EC86A}">
      <text>
        <r>
          <rPr>
            <b/>
            <sz val="9"/>
            <color rgb="FF000000"/>
            <rFont val="Tahoma"/>
            <family val="2"/>
          </rPr>
          <t>Valeria Ramon Capa:</t>
        </r>
        <r>
          <rPr>
            <sz val="9"/>
            <color rgb="FF000000"/>
            <rFont val="Tahoma"/>
            <family val="2"/>
          </rPr>
          <t xml:space="preserve">
Reforma N° 3:
Se reduce $2.564,80 por cuadre de fuente de 003 a fuente 002.</t>
        </r>
      </text>
    </comment>
    <comment ref="E53" authorId="3" shapeId="0" xr:uid="{3C81997C-55E9-4386-A1AD-7183618C7F2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text>
    </comment>
    <comment ref="F53" authorId="2" shapeId="0" xr:uid="{4A334728-8AA7-4A0D-B316-1216C3A479BC}">
      <text>
        <r>
          <rPr>
            <b/>
            <sz val="9"/>
            <color indexed="81"/>
            <rFont val="Tahoma"/>
            <family val="2"/>
          </rPr>
          <t>Admin:</t>
        </r>
        <r>
          <rPr>
            <sz val="9"/>
            <color indexed="81"/>
            <rFont val="Tahoma"/>
            <family val="2"/>
          </rPr>
          <t xml:space="preserve">
Reforma N° 5:
Se redujo $ 1.292,40 por ser saldo no ejecutado, DBUAC.</t>
        </r>
      </text>
    </comment>
    <comment ref="E54" authorId="3" shapeId="0" xr:uid="{62742079-9E51-4518-8350-8D3EC8BE53E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$ 15.000,00 DIRCOM por efecto de informe de seguimiento.</t>
        </r>
      </text>
    </comment>
    <comment ref="E55" authorId="1" shapeId="0" xr:uid="{5D6DC8B2-2EF7-4ABF-9BA5-095280243C98}">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34"/>
          </rPr>
          <t xml:space="preserve">
-Se incrementó $ 26.320,00+3.139,70, según memo N° DBUAC-2023-0124-M_03032023, reducción de (13.160,00-200) a DBUAC por atención de Memo N 0399 de DADM y en virtud del seguimiento 
-Se incrementó $ 100,00 según memo N° DADM-2023-0335-M_16052023
-Se incrementó $3.144,06 según memo Nro DF-UT-2023-0116-M_10042023
</t>
        </r>
        <r>
          <rPr>
            <b/>
            <sz val="9"/>
            <color rgb="FF000000"/>
            <rFont val="Tahoma"/>
            <family val="2"/>
          </rPr>
          <t>Reforma N° 4:</t>
        </r>
        <r>
          <rPr>
            <sz val="9"/>
            <color rgb="FF000000"/>
            <rFont val="Tahoma"/>
            <family val="34"/>
          </rPr>
          <t xml:space="preserve">
Se incrementa $ 388,16 en el POA de SG para atender el memo nro. SG-2023-0213-M</t>
        </r>
      </text>
    </comment>
    <comment ref="F55" authorId="4" shapeId="0" xr:uid="{875EF708-5DF5-4509-8E7E-5D449A02A7FB}">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$234,08 por memo VADM 382.
</t>
        </r>
        <r>
          <rPr>
            <b/>
            <sz val="9"/>
            <color rgb="FF000000"/>
            <rFont val="Tahoma"/>
            <family val="2"/>
          </rPr>
          <t>Reforma N° 4:</t>
        </r>
        <r>
          <rPr>
            <sz val="9"/>
            <color rgb="FF000000"/>
            <rFont val="Tahoma"/>
            <family val="2"/>
          </rPr>
          <t xml:space="preserve">
Se redujo $ 820,00 Procuraduria Gral. por efecto de informe de seguimiento.
Se redujo $ 1.269,00 y $ 2.033,88 (Certif. N° 174) DIRCOM por efecto de informe de seguimiento.
Se redujo $ 100,90 DBUAC por efecto de informe de seguimiento. (Cert. N° 331).</t>
        </r>
      </text>
    </comment>
    <comment ref="E56" authorId="0" shapeId="0" xr:uid="{C819796C-4BFC-4422-9DE7-FC2044B27AFB}">
      <text>
        <r>
          <rPr>
            <b/>
            <sz val="10"/>
            <color rgb="FF000000"/>
            <rFont val="Tahoma"/>
            <family val="2"/>
          </rPr>
          <t>Microsoft Office User:</t>
        </r>
        <r>
          <rPr>
            <sz val="10"/>
            <color rgb="FF000000"/>
            <rFont val="Tahoma"/>
            <family val="2"/>
          </rPr>
          <t xml:space="preserve">
</t>
        </r>
        <r>
          <rPr>
            <sz val="9"/>
            <color rgb="FF000000"/>
            <rFont val="Tahoma"/>
            <family val="2"/>
          </rPr>
          <t>Reforma N° 4:
Se incrementa $ 3.000,00 por efectos de seguimiento y reunión de coordinación.</t>
        </r>
      </text>
    </comment>
    <comment ref="F56" authorId="2" shapeId="0" xr:uid="{D4D80727-6C83-4AA7-A767-9A7E5C98BD5E}">
      <text>
        <r>
          <rPr>
            <b/>
            <sz val="9"/>
            <color indexed="81"/>
            <rFont val="Tahoma"/>
            <family val="2"/>
          </rPr>
          <t>Admin:</t>
        </r>
        <r>
          <rPr>
            <sz val="9"/>
            <color indexed="81"/>
            <rFont val="Tahoma"/>
            <family val="2"/>
          </rPr>
          <t xml:space="preserve">
Reforma N° 5:
Se redujo $ 376,06 por ser saldo no ejecutado, DIRCOM.</t>
        </r>
      </text>
    </comment>
    <comment ref="E57" authorId="4" shapeId="0" xr:uid="{34C6E110-843B-4419-BCC2-CA15E9C9B624}">
      <text>
        <r>
          <rPr>
            <b/>
            <sz val="9"/>
            <color rgb="FF000000"/>
            <rFont val="Tahoma"/>
            <family val="2"/>
          </rPr>
          <t>Valeria Ramon Capa:</t>
        </r>
        <r>
          <rPr>
            <sz val="10"/>
            <color rgb="FF000000"/>
            <rFont val="Tahoma"/>
            <family val="2"/>
          </rPr>
          <t xml:space="preserve">
</t>
        </r>
        <r>
          <rPr>
            <sz val="9"/>
            <color rgb="FF000000"/>
            <rFont val="Tahoma"/>
            <family val="2"/>
          </rPr>
          <t>Reforma N° 3:
Se incrementó $34.000 por cambio de fuente de 003 a 002 en DirCom.</t>
        </r>
      </text>
    </comment>
    <comment ref="F57" authorId="2" shapeId="0" xr:uid="{0B90C8B5-EF78-4C45-996B-198A720CA98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DIRCOM por efecto de informe de seguimiento.</t>
        </r>
      </text>
    </comment>
    <comment ref="F58" authorId="4" shapeId="0" xr:uid="{FD0FECF3-7CDF-45F1-BA91-3A9F1BF88190}">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$11.920,00 a DirCom por seguimiento y en virtud de oficio Nro. MEF-SP-2023-0501 para atender Memo Nro. 0399 de DADM.
Se reduce $34000 por cambio de fuente a 002.
</t>
        </r>
        <r>
          <rPr>
            <b/>
            <sz val="9"/>
            <color rgb="FF000000"/>
            <rFont val="Tahoma"/>
            <family val="2"/>
          </rPr>
          <t>Reforma N° 5:</t>
        </r>
        <r>
          <rPr>
            <sz val="9"/>
            <color rgb="FF000000"/>
            <rFont val="Tahoma"/>
            <family val="2"/>
          </rPr>
          <t xml:space="preserve">
Se redujo $ 300,00 por ser saldo no ejecutado, Dir. Financiera (Coactivas).</t>
        </r>
      </text>
    </comment>
    <comment ref="E59" authorId="3" shapeId="0" xr:uid="{F55831BD-6519-47E1-9E6D-F5363BCE310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$ 194.032,61, según Oficio N° UTMACH-DADM-2023-0016-OF del 10/01/2023.
</t>
        </r>
        <r>
          <rPr>
            <b/>
            <sz val="9"/>
            <color rgb="FF000000"/>
            <rFont val="Tahoma"/>
            <family val="2"/>
          </rPr>
          <t xml:space="preserve">Reforma N° 3: 
</t>
        </r>
        <r>
          <rPr>
            <sz val="9"/>
            <color rgb="FF000000"/>
            <rFont val="Tahoma"/>
            <family val="2"/>
          </rPr>
          <t>Se incrementó $190.089,58 según memo N° VADM 382.</t>
        </r>
      </text>
    </comment>
    <comment ref="F59" authorId="4" shapeId="0" xr:uid="{BA4B4F52-E9B7-41E8-BBAB-D34FEEE6DFB2}">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$6.000,00 a Dadm por cuadre de fuentes.
</t>
        </r>
        <r>
          <rPr>
            <b/>
            <sz val="9"/>
            <color rgb="FF000000"/>
            <rFont val="Tahoma"/>
            <family val="2"/>
          </rPr>
          <t xml:space="preserve">Reforma N° 4:
</t>
        </r>
        <r>
          <rPr>
            <sz val="9"/>
            <color rgb="FF000000"/>
            <rFont val="Tahoma"/>
            <family val="2"/>
          </rPr>
          <t xml:space="preserve">Se reduce $128.000,00 por efectos de modificación de compromiso presupuestario para que se planifique en el 2024 las planillas que corresponden a ese año, dentro del POA de DADM (Memorando nro. UTMACH-DPLAN-2023-0230-M).
</t>
        </r>
        <r>
          <rPr>
            <b/>
            <sz val="9"/>
            <color rgb="FF000000"/>
            <rFont val="Tahoma"/>
            <family val="2"/>
          </rPr>
          <t>Reforma N° 5:</t>
        </r>
        <r>
          <rPr>
            <sz val="9"/>
            <color rgb="FF000000"/>
            <rFont val="Tahoma"/>
            <family val="2"/>
          </rPr>
          <t xml:space="preserve">
Se reduce $ 182.685,07 del proyecto Implementación de sistema tecnológico de control de acceso vehicular y peatonal, que se actualizará para ejecutarlo el otro año.</t>
        </r>
      </text>
    </comment>
    <comment ref="E60" authorId="3" shapeId="0" xr:uid="{B2661A22-9464-43DD-81B1-2E1C5716D06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$ 1.292,40, según Memorando N° UTMACH-DBUAC-2023-0012-M del 12/01/2023. 
</t>
        </r>
        <r>
          <rPr>
            <b/>
            <sz val="9"/>
            <color rgb="FF000000"/>
            <rFont val="Tahoma"/>
            <family val="2"/>
          </rPr>
          <t>Reforma N° 4:</t>
        </r>
        <r>
          <rPr>
            <sz val="9"/>
            <color rgb="FF000000"/>
            <rFont val="Tahoma"/>
            <family val="2"/>
          </rPr>
          <t xml:space="preserve">
Se incrementa $ 31.207,68 para el servicio de limpieza en atención memo nro. UTMACH-DADM-2023-0645, en el POA de DADM.</t>
        </r>
      </text>
    </comment>
    <comment ref="F60" authorId="2" shapeId="0" xr:uid="{5327D086-FF7C-4E47-B8F0-F23F701406D9}">
      <text>
        <r>
          <rPr>
            <b/>
            <sz val="9"/>
            <color indexed="81"/>
            <rFont val="Tahoma"/>
            <family val="2"/>
          </rPr>
          <t>Admin:</t>
        </r>
        <r>
          <rPr>
            <sz val="9"/>
            <color indexed="81"/>
            <rFont val="Tahoma"/>
            <family val="2"/>
          </rPr>
          <t xml:space="preserve">
Reforma N° 5:
Se redujo $ 6.826,68 por ser saldo no ejecutado, Dir. Adm. Analizar según memo N° -DADM-2023-1003-M.</t>
        </r>
      </text>
    </comment>
    <comment ref="E61" authorId="0" shapeId="0" xr:uid="{D6D5E28E-A836-42E1-ADF7-C3C201C638D4}">
      <text>
        <r>
          <rPr>
            <b/>
            <sz val="9"/>
            <color rgb="FF000000"/>
            <rFont val="Tahoma"/>
            <family val="2"/>
          </rPr>
          <t>Microsoft Office User:</t>
        </r>
        <r>
          <rPr>
            <sz val="9"/>
            <color rgb="FF000000"/>
            <rFont val="Tahoma"/>
            <family val="2"/>
          </rPr>
          <t xml:space="preserve">
Reforma N° 4:
Se incrementó $ 20,16 en el POA de DFIN para atender pedido del memorando nro. UTMACH-DF-2023-0264-M.</t>
        </r>
      </text>
    </comment>
    <comment ref="F61" authorId="4" shapeId="0" xr:uid="{2FB96603-56AF-449E-A7BF-3726A4A81848}">
      <text>
        <r>
          <rPr>
            <b/>
            <sz val="9"/>
            <color rgb="FF000000"/>
            <rFont val="Tahoma"/>
            <family val="2"/>
          </rPr>
          <t>Valeria Ramon Capa:</t>
        </r>
        <r>
          <rPr>
            <sz val="9"/>
            <color rgb="FF000000"/>
            <rFont val="Tahoma"/>
            <family val="2"/>
          </rPr>
          <t xml:space="preserve">
Reforma N° 3:</t>
        </r>
        <r>
          <rPr>
            <b/>
            <sz val="9"/>
            <color rgb="FF000000"/>
            <rFont val="Tahoma"/>
            <family val="2"/>
          </rPr>
          <t xml:space="preserve">
</t>
        </r>
        <r>
          <rPr>
            <sz val="9"/>
            <color rgb="FF000000"/>
            <rFont val="Tahoma"/>
            <family val="2"/>
          </rPr>
          <t>Se redujo $8.780,04 a DBUAC en reunión de seguimiento y en virtud de oficio Nro. MEF-SP-2023-0501 para atender Memo Nro. 0399 de DADM.</t>
        </r>
      </text>
    </comment>
    <comment ref="E62" authorId="3" shapeId="0" xr:uid="{0A98290E-95A6-4120-A8AC-3F0E06E8F59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$ 29.226,24, según Memorando N</t>
        </r>
        <r>
          <rPr>
            <sz val="9"/>
            <color rgb="FF000000"/>
            <rFont val="Tahoma"/>
            <family val="2"/>
          </rPr>
          <t>°</t>
        </r>
        <r>
          <rPr>
            <sz val="9"/>
            <color rgb="FF000000"/>
            <rFont val="Tahoma"/>
            <family val="2"/>
          </rPr>
          <t xml:space="preserve"> UTMACH-DBUAC-2023-0012-M del 12/01/2023.</t>
        </r>
      </text>
    </comment>
    <comment ref="F62" authorId="4" shapeId="0" xr:uid="{524E260D-290F-4356-8658-4602757D1FA3}">
      <text>
        <r>
          <rPr>
            <b/>
            <sz val="9"/>
            <color rgb="FF000000"/>
            <rFont val="Tahoma"/>
            <family val="2"/>
          </rPr>
          <t>Valeria Ramon Capa:</t>
        </r>
        <r>
          <rPr>
            <sz val="9"/>
            <color rgb="FF000000"/>
            <rFont val="Tahoma"/>
            <family val="2"/>
          </rPr>
          <t xml:space="preserve">
Reforma N° 3:</t>
        </r>
        <r>
          <rPr>
            <b/>
            <sz val="9"/>
            <color rgb="FF000000"/>
            <rFont val="Tahoma"/>
            <family val="2"/>
          </rPr>
          <t xml:space="preserve">
</t>
        </r>
        <r>
          <rPr>
            <sz val="9"/>
            <color rgb="FF000000"/>
            <rFont val="Tahoma"/>
            <family val="2"/>
          </rPr>
          <t>Se redujo $8.780,04 a DBUAC en reunión de seguimiento y en virtud de oficio Nro. MEF-SP-2023-0501 para atender Memo Nro. 0399 de DADM.</t>
        </r>
      </text>
    </comment>
    <comment ref="F63" authorId="3" shapeId="0" xr:uid="{40102C30-211E-4358-B468-D1E7F63A3C5A}">
      <text>
        <r>
          <rPr>
            <b/>
            <sz val="9"/>
            <color rgb="FF000000"/>
            <rFont val="Tahoma"/>
            <family val="2"/>
          </rPr>
          <t>HP:</t>
        </r>
        <r>
          <rPr>
            <sz val="9"/>
            <color rgb="FF000000"/>
            <rFont val="Tahoma"/>
            <family val="2"/>
          </rPr>
          <t xml:space="preserve">
Reforma N° 2:
Se redujo $ 10.080,00 para pasar a Costas Judiciales.</t>
        </r>
      </text>
    </comment>
    <comment ref="E65" authorId="3" shapeId="0" xr:uid="{52A8FC07-FF01-43BB-8944-F719231B5F96}">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$ 37.040,00 por separación de partidas. Dir. Administrativa.</t>
        </r>
      </text>
    </comment>
    <comment ref="F65" authorId="2" shapeId="0" xr:uid="{48A0AFAC-66AF-4695-9572-F0B0F68947FE}">
      <text>
        <r>
          <rPr>
            <b/>
            <sz val="9"/>
            <color indexed="81"/>
            <rFont val="Tahoma"/>
            <family val="2"/>
          </rPr>
          <t>Admin:</t>
        </r>
        <r>
          <rPr>
            <sz val="9"/>
            <color indexed="81"/>
            <rFont val="Tahoma"/>
            <family val="2"/>
          </rPr>
          <t xml:space="preserve">
Reforma N° 5:
Se redujo $ 7.000,00 por ser saldo no ejecutado, Dir. Adm.</t>
        </r>
      </text>
    </comment>
    <comment ref="E66" authorId="1" shapeId="0" xr:uid="{49EDB816-516F-4BA1-B292-F8664ECCDCB9}">
      <text>
        <r>
          <rPr>
            <b/>
            <sz val="9"/>
            <color rgb="FF000000"/>
            <rFont val="Tahoma"/>
            <family val="2"/>
          </rPr>
          <t>LENOVO:</t>
        </r>
        <r>
          <rPr>
            <sz val="9"/>
            <color rgb="FF000000"/>
            <rFont val="Tahoma"/>
            <family val="2"/>
          </rPr>
          <t xml:space="preserve">
Reforma N° 3:
Se incrementó $ 300,00 según memo N° DADM-2023-0335-M_16052023.
Se incrementó $ 6.000,00 según memo N° DADM-2023-0364-M_24052023.</t>
        </r>
      </text>
    </comment>
    <comment ref="F66" authorId="2" shapeId="0" xr:uid="{3583385E-5ED4-4191-BBAB-1E95FE499BD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 DADM por efecto de informe de seguimiento.</t>
        </r>
      </text>
    </comment>
    <comment ref="E67" authorId="1" shapeId="0" xr:uid="{748E532A-E98F-46CE-9085-7421B9843EE9}">
      <text>
        <r>
          <rPr>
            <b/>
            <sz val="9"/>
            <color rgb="FF000000"/>
            <rFont val="Tahoma"/>
            <family val="2"/>
          </rPr>
          <t>LENOVO:</t>
        </r>
        <r>
          <rPr>
            <sz val="9"/>
            <color rgb="FF000000"/>
            <rFont val="Tahoma"/>
            <family val="2"/>
          </rPr>
          <t xml:space="preserve">
Reforma N° 3:
Se incrementó $ 4.000,00 según memo N° DADM-2023-0364-M_24052023.</t>
        </r>
      </text>
    </comment>
    <comment ref="F67" authorId="2" shapeId="0" xr:uid="{CC7E85B6-98ED-4852-BECB-ACA80F19EAB1}">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DADM por efecto de informe de seguimiento.</t>
        </r>
      </text>
    </comment>
    <comment ref="E68" authorId="1" shapeId="0" xr:uid="{D61DCD72-3969-4B77-AAA4-440AC112A69F}">
      <text>
        <r>
          <rPr>
            <b/>
            <sz val="9"/>
            <color rgb="FF000000"/>
            <rFont val="Tahoma"/>
            <family val="2"/>
          </rPr>
          <t>LENOVO:</t>
        </r>
        <r>
          <rPr>
            <sz val="9"/>
            <color rgb="FF000000"/>
            <rFont val="Tahoma"/>
            <family val="2"/>
          </rPr>
          <t xml:space="preserve">
Reforma N° 3:
Se incrementó $ 10.000,00 según memo N° DADM-2023-0364-M_24052023.</t>
        </r>
      </text>
    </comment>
    <comment ref="E70" authorId="4" shapeId="0" xr:uid="{2E8590D0-880C-4982-B960-CCCE60063E45}">
      <text>
        <r>
          <rPr>
            <b/>
            <sz val="9"/>
            <color rgb="FF000000"/>
            <rFont val="Tahoma"/>
            <family val="2"/>
          </rPr>
          <t>Valeria Ramon Capa:</t>
        </r>
        <r>
          <rPr>
            <sz val="9"/>
            <color rgb="FF000000"/>
            <rFont val="Tahoma"/>
            <family val="2"/>
          </rPr>
          <t xml:space="preserve">
Reforma N° 3:
Se incrementó $8.801,91 por atención de Memo N UTMACH-DAC-2023-0133-M.</t>
        </r>
      </text>
    </comment>
    <comment ref="F70" authorId="2" shapeId="0" xr:uid="{0758CD5B-DEB1-4515-82B8-ACEA6B373E0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$ 8.801,91 DAC por efecto de informe de seguimiento.</t>
        </r>
      </text>
    </comment>
    <comment ref="E71" authorId="4" shapeId="0" xr:uid="{D65DF168-6276-47DC-BFA5-85B663C6D31B}">
      <text>
        <r>
          <rPr>
            <b/>
            <sz val="8"/>
            <color rgb="FF000000"/>
            <rFont val="Tahoma"/>
            <family val="2"/>
          </rPr>
          <t>Valeria Ramon Capa:</t>
        </r>
        <r>
          <rPr>
            <sz val="8"/>
            <color rgb="FF000000"/>
            <rFont val="Tahoma"/>
            <family val="2"/>
          </rPr>
          <t xml:space="preserve">
</t>
        </r>
        <r>
          <rPr>
            <sz val="9"/>
            <color rgb="FF000000"/>
            <rFont val="Tahoma"/>
            <family val="2"/>
          </rPr>
          <t>Reforma N° 3:</t>
        </r>
        <r>
          <rPr>
            <b/>
            <sz val="9"/>
            <color rgb="FF000000"/>
            <rFont val="Tahoma"/>
            <family val="34"/>
          </rPr>
          <t xml:space="preserve">
</t>
        </r>
        <r>
          <rPr>
            <sz val="9"/>
            <color rgb="FF000000"/>
            <rFont val="Tahoma"/>
            <family val="34"/>
          </rPr>
          <t>Se incrementó $ 4.879,98 según memos N°  CGR-2023-0165-M y N°  R-2023-0255-M.</t>
        </r>
      </text>
    </comment>
    <comment ref="E72" authorId="4" shapeId="0" xr:uid="{32F37BC1-A2F0-41D2-9E07-A53BC3F8E145}">
      <text>
        <r>
          <rPr>
            <b/>
            <sz val="9"/>
            <color rgb="FF000000"/>
            <rFont val="Tahoma"/>
            <family val="2"/>
          </rPr>
          <t xml:space="preserve">Valeria Ramon Capa:
</t>
        </r>
        <r>
          <rPr>
            <sz val="9"/>
            <color rgb="FF000000"/>
            <rFont val="Tahoma"/>
            <family val="2"/>
          </rPr>
          <t xml:space="preserve">Reforma N° 3: </t>
        </r>
        <r>
          <rPr>
            <b/>
            <sz val="10"/>
            <color rgb="FF000000"/>
            <rFont val="Tahoma"/>
            <family val="2"/>
          </rPr>
          <t xml:space="preserve">
</t>
        </r>
        <r>
          <rPr>
            <sz val="9"/>
            <color rgb="FF000000"/>
            <rFont val="Tahoma"/>
            <family val="2"/>
          </rPr>
          <t>Solicitud de incremento de $2000 TICS y en reunión mantenida con TICS indicaron ya no tener necesidad.</t>
        </r>
      </text>
    </comment>
    <comment ref="E73" authorId="3" shapeId="0" xr:uid="{831ADC9C-5DD0-4047-98B7-2D87B94F164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$ 78.060,00 Dir. Administrativa que pasó de fuente 3 a fuente 2.
</t>
        </r>
        <r>
          <rPr>
            <b/>
            <sz val="9"/>
            <color rgb="FF000000"/>
            <rFont val="Tahoma"/>
            <family val="2"/>
          </rPr>
          <t>Reforma N° 3:</t>
        </r>
        <r>
          <rPr>
            <sz val="9"/>
            <color rgb="FF000000"/>
            <rFont val="Tahoma"/>
            <family val="2"/>
          </rPr>
          <t xml:space="preserve">
Se incrementó $581,76 Dir.adm por cuadre de fuente.
</t>
        </r>
        <r>
          <rPr>
            <b/>
            <sz val="9"/>
            <color rgb="FF000000"/>
            <rFont val="Tahoma"/>
            <family val="2"/>
          </rPr>
          <t xml:space="preserve">Reforma N° 4:
</t>
        </r>
        <r>
          <rPr>
            <sz val="9"/>
            <color rgb="FF000000"/>
            <rFont val="Tahoma"/>
            <family val="2"/>
          </rPr>
          <t>Aumento de $ 17.997,61 para atender pedido de adecuación de baterías sanitarias de la FCE para sumar a un solo proceso para adecuaciones varias que constan en estudio previo de la Unidad de Obras, incluidas las baterias sanitarias de la FCE.</t>
        </r>
      </text>
    </comment>
    <comment ref="F73" authorId="2" shapeId="0" xr:uid="{DFCA0FF3-7C02-4D5A-A32C-E49B992E3DE3}">
      <text>
        <r>
          <rPr>
            <b/>
            <sz val="9"/>
            <color indexed="81"/>
            <rFont val="Tahoma"/>
            <charset val="1"/>
          </rPr>
          <t>Admin:</t>
        </r>
        <r>
          <rPr>
            <sz val="9"/>
            <color indexed="81"/>
            <rFont val="Tahoma"/>
            <charset val="1"/>
          </rPr>
          <t xml:space="preserve">
Reforma N° 5:
Se redujo $3,11+6.407,54 por ser saldo no ejecutado (IVA), Dir. Adm.</t>
        </r>
      </text>
    </comment>
    <comment ref="E74" authorId="3" shapeId="0" xr:uid="{9ABF7EAE-BAF5-4277-9E44-5816E2756BB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$ 7.500,00 según Oficio N° UTMACH-DADM-UOIFM-2022-555-OF del 29/12/2022.
Se incrementó $ 1.550,00, según Memorando N° UTMACH-DBUAC-2023-0012-M del 12/01/2023. 
Se incrementó $ 5.000,00 para adecuación de la DPLAN.
Se incrementó $ 56.000,00+219200,27 para adecuaciones y reparación de infraestructura y seguridad de ingresos peatonales y vehiculares. Vic. Administrativo. Vic. Administrativo.
</t>
        </r>
        <r>
          <rPr>
            <b/>
            <sz val="9"/>
            <color rgb="FF000000"/>
            <rFont val="Tahoma"/>
            <family val="2"/>
          </rPr>
          <t>Reforma N° 3:</t>
        </r>
        <r>
          <rPr>
            <sz val="9"/>
            <color rgb="FF000000"/>
            <rFont val="Tahoma"/>
            <family val="2"/>
          </rPr>
          <t xml:space="preserve">
Se incrementó $ 400,00 según memo N° UTMACH-DADM-2023-0335-M_16052023.
Se incremento $1.500,00 según memo N UTMACH-DPLAN-UPES -2023- 014M.</t>
        </r>
      </text>
    </comment>
    <comment ref="F74" authorId="3" shapeId="0" xr:uid="{7FD5AAEE-A4BA-4340-BA7F-4D7E4C0AEBB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$ 18.037,80 Rectorado
Se redujo $ 110.026,38 Vic. Académico
Se redujo $ 78.060,00 Dir. Administrativa que pasó a fuente 2
</t>
        </r>
        <r>
          <rPr>
            <b/>
            <sz val="9"/>
            <color rgb="FF000000"/>
            <rFont val="Tahoma"/>
            <family val="2"/>
          </rPr>
          <t xml:space="preserve">Reforma N 3: 
</t>
        </r>
        <r>
          <rPr>
            <sz val="9"/>
            <color rgb="FF000000"/>
            <rFont val="Tahoma"/>
            <family val="2"/>
          </rPr>
          <t xml:space="preserve">- Se redujo $165.173,78 según memo N  VADM 382.
- 06/06 se redujo $ 2.240 según reunión mantenida con TICS y en virtud de oficio Nro. MEF-SP-2023-0501 para atender Memo Nro.0399 de DADM.
-Se redujo $ 6.720,11 por cambio de fuente de DAC
</t>
        </r>
        <r>
          <rPr>
            <b/>
            <sz val="9"/>
            <color rgb="FF000000"/>
            <rFont val="Tahoma"/>
            <family val="2"/>
          </rPr>
          <t>Reforma N° 4:</t>
        </r>
        <r>
          <rPr>
            <sz val="9"/>
            <color rgb="FF000000"/>
            <rFont val="Tahoma"/>
            <family val="2"/>
          </rPr>
          <t xml:space="preserve">
Se reduce $ 4.393,87 Rectorado por efecto de informe de seguimiento.
Se redujo $ 449,00 Secretaría General por efecto de informe de seguimiento.
Se redujo $ 6.500,00 DPLAN por efecto de informe de seguimiento.</t>
        </r>
      </text>
    </comment>
    <comment ref="E75" authorId="5" shapeId="0" xr:uid="{6FAC6F0B-2E2E-467B-B38B-06A48F6482F7}">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$ 15.000,00 Dir. Administrativa.
</t>
        </r>
        <r>
          <rPr>
            <b/>
            <sz val="9"/>
            <color rgb="FF000000"/>
            <rFont val="Tahoma"/>
            <family val="2"/>
          </rPr>
          <t>Reforma N° 3:</t>
        </r>
        <r>
          <rPr>
            <sz val="9"/>
            <color rgb="FF000000"/>
            <rFont val="Tahoma"/>
            <family val="2"/>
          </rPr>
          <t xml:space="preserve">
Se incrementó $ 340,00 según memo N° UTMACH-DADM-2023-0335-M_16052023.</t>
        </r>
      </text>
    </comment>
    <comment ref="F75" authorId="2" shapeId="0" xr:uid="{BD1AE815-A181-4686-8514-2CFFCD3C806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$ 1.947,00 DADM por efecto de informe de seguimiento.</t>
        </r>
      </text>
    </comment>
    <comment ref="E76" authorId="3" shapeId="0" xr:uid="{CEC14299-9765-4BD0-B687-DE4A867E9BD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solo $ 7.000,00 según Oficio N° UTMACH-DADM-UOIFM-2022-555-OF del 29/12/2022.
</t>
        </r>
        <r>
          <rPr>
            <b/>
            <sz val="9"/>
            <color rgb="FF000000"/>
            <rFont val="Tahoma"/>
            <family val="2"/>
          </rPr>
          <t xml:space="preserve">
Reforma N° 3:</t>
        </r>
        <r>
          <rPr>
            <sz val="9"/>
            <color rgb="FF000000"/>
            <rFont val="Tahoma"/>
            <family val="2"/>
          </rPr>
          <t xml:space="preserve">
Se incrementó $ 250,00 según memo N° UTMACH-DADM-2023-0335-M_16052023.
</t>
        </r>
        <r>
          <rPr>
            <b/>
            <sz val="9"/>
            <color rgb="FF000000"/>
            <rFont val="Tahoma"/>
            <family val="2"/>
          </rPr>
          <t>Reforma N° 4:</t>
        </r>
        <r>
          <rPr>
            <sz val="9"/>
            <color rgb="FF000000"/>
            <rFont val="Tahoma"/>
            <family val="2"/>
          </rPr>
          <t xml:space="preserve">
Se incrementó $ 2.184,00 DIRCOM, según N° DIRCOM-2023-0135-M para mantenimiento de la imprenta.</t>
        </r>
      </text>
    </comment>
    <comment ref="F76" authorId="3" shapeId="0" xr:uid="{86026D66-9A3E-4F10-BF8E-00EFC084027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$ 92.610,11 para pasar a la partida N° 990101 0701 003 Obligaciones de Ejercicios Anteriores en Personal en el prog. 01 y 82.
</t>
        </r>
        <r>
          <rPr>
            <b/>
            <sz val="9"/>
            <color rgb="FF000000"/>
            <rFont val="Tahoma"/>
            <family val="2"/>
          </rPr>
          <t>Reforma N° 4:</t>
        </r>
        <r>
          <rPr>
            <sz val="9"/>
            <color rgb="FF000000"/>
            <rFont val="Tahoma"/>
            <family val="2"/>
          </rPr>
          <t xml:space="preserve">
Se redujo $ 7.619,55 Unidad de Obras por efecto de informe de seguimiento.</t>
        </r>
      </text>
    </comment>
    <comment ref="E77" authorId="3" shapeId="0" xr:uid="{45EB02F5-54FC-41AF-AA96-57C08839DD07}">
      <text>
        <r>
          <rPr>
            <b/>
            <sz val="9"/>
            <color rgb="FF000000"/>
            <rFont val="Tahoma"/>
            <family val="2"/>
          </rPr>
          <t>HP:</t>
        </r>
        <r>
          <rPr>
            <sz val="9"/>
            <color rgb="FF000000"/>
            <rFont val="Tahoma"/>
            <family val="2"/>
          </rPr>
          <t xml:space="preserve">
Reforma N° 2:
$ 2.124,58 mantenimiento de vehículo KIA KMOTOR Dir Adm.
$ 3.984,61 mantenimiento de vehículos GUALPA RAMIREZ Dir Adm.</t>
        </r>
      </text>
    </comment>
    <comment ref="F78" authorId="4" shapeId="0" xr:uid="{C262CB73-AE16-49C7-B960-5164F448DC41}">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$3097,14 a Dadm por cuadre de fuente
</t>
        </r>
        <r>
          <rPr>
            <b/>
            <sz val="9"/>
            <color rgb="FF000000"/>
            <rFont val="Tahoma"/>
            <family val="2"/>
          </rPr>
          <t>Reforma N° 4:</t>
        </r>
        <r>
          <rPr>
            <sz val="9"/>
            <color rgb="FF000000"/>
            <rFont val="Tahoma"/>
            <family val="2"/>
          </rPr>
          <t xml:space="preserve">
Se redujo $ 2.500,00 DADM por efecto de informe de seguimiento.
</t>
        </r>
        <r>
          <rPr>
            <b/>
            <sz val="9"/>
            <color rgb="FF000000"/>
            <rFont val="Tahoma"/>
            <family val="2"/>
          </rPr>
          <t>Reforma N° 5:</t>
        </r>
        <r>
          <rPr>
            <sz val="9"/>
            <color rgb="FF000000"/>
            <rFont val="Tahoma"/>
            <family val="2"/>
          </rPr>
          <t xml:space="preserve">
Se redujo $ 6.000,00 por adjudicación del contrato por un valor menor al planificado, Dir. Adm.</t>
        </r>
      </text>
    </comment>
    <comment ref="E79" authorId="5" shapeId="0" xr:uid="{A23D48B1-55B4-4718-8B0C-6B15E964C107}">
      <text>
        <r>
          <rPr>
            <b/>
            <sz val="9"/>
            <color rgb="FF000000"/>
            <rFont val="Tahoma"/>
            <family val="2"/>
          </rPr>
          <t>Eunice Basilio:</t>
        </r>
        <r>
          <rPr>
            <sz val="9"/>
            <color rgb="FF000000"/>
            <rFont val="Tahoma"/>
            <family val="2"/>
          </rPr>
          <t xml:space="preserve">
Reforma N° 3:
Se incrementó $ 200,00 según memo N° DADM-2023-0335-M_16052023.</t>
        </r>
      </text>
    </comment>
    <comment ref="E80" authorId="4" shapeId="0" xr:uid="{25AE95BA-299C-4BF6-832E-823A56535C58}">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$17.474,61 para estudio de obra de infraestructura conforme reunión de seguimiento con Rectorado.
</t>
        </r>
        <r>
          <rPr>
            <b/>
            <sz val="9"/>
            <color rgb="FF000000"/>
            <rFont val="Tahoma"/>
            <family val="2"/>
          </rPr>
          <t>Reforma N° 4:</t>
        </r>
        <r>
          <rPr>
            <sz val="9"/>
            <color rgb="FF000000"/>
            <rFont val="Tahoma"/>
            <family val="2"/>
          </rPr>
          <t xml:space="preserve">
Se incrementó $ 136.405,46 para estudios especializados por efecto del sismo, Dir. Administrativa.</t>
        </r>
      </text>
    </comment>
    <comment ref="F80" authorId="2" shapeId="0" xr:uid="{581A1A20-714D-4266-8AE9-7A015A575690}">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$ 1.974,61 DPLAN por efecto de informe de seguimiento.
</t>
        </r>
        <r>
          <rPr>
            <b/>
            <sz val="9"/>
            <color rgb="FF000000"/>
            <rFont val="Tahoma"/>
            <family val="2"/>
          </rPr>
          <t>Reforma N° 5:</t>
        </r>
        <r>
          <rPr>
            <sz val="9"/>
            <color rgb="FF000000"/>
            <rFont val="Tahoma"/>
            <family val="2"/>
          </rPr>
          <t xml:space="preserve">
Se redujo $ 14.614,87 por ser saldo no ejecutado, Dir. Adm.</t>
        </r>
      </text>
    </comment>
    <comment ref="E81" authorId="0" shapeId="0" xr:uid="{E401E8B0-9F51-44D0-BA41-D07685D872AE}">
      <text>
        <r>
          <rPr>
            <b/>
            <sz val="9"/>
            <color rgb="FF000000"/>
            <rFont val="Tahoma"/>
            <family val="2"/>
          </rPr>
          <t>Microsoft Office User:</t>
        </r>
        <r>
          <rPr>
            <sz val="9"/>
            <color rgb="FF000000"/>
            <rFont val="Tahoma"/>
            <family val="2"/>
          </rPr>
          <t xml:space="preserve">
Reforma N° 4:
Se incrementó $ 67.200,00, según memo N° UTMACH-DADM-2023-0648-M (Alcance al M_0645)_29072023.
Se incrementó $ 16.800,00, según memo N° UTMACH-DADM-UOIFM-2023-0213-M_29072023, para los Estudios, Diseño y Construcción del Espacio Cultural Universitario (Concha Acústica) DPLAN.</t>
        </r>
      </text>
    </comment>
    <comment ref="F81" authorId="3" shapeId="0" xr:uid="{832AA8C8-7695-4D71-AD0D-35990D8EE7F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 xml:space="preserve">Se redujo $31.807,16 Dir.Académica por Memo nro DACAD-2023-0133 y en virtud de oficio Nro. MEF-SP-2023-0501 para atender Memo Nro. 0399 de DADM.
</t>
        </r>
        <r>
          <rPr>
            <b/>
            <sz val="9"/>
            <color rgb="FF000000"/>
            <rFont val="Tahoma"/>
            <family val="2"/>
          </rPr>
          <t>Reforma N° 5:</t>
        </r>
        <r>
          <rPr>
            <sz val="9"/>
            <color rgb="FF000000"/>
            <rFont val="Tahoma"/>
            <family val="2"/>
          </rPr>
          <t xml:space="preserve">
Se redujo $ 9.000,00 por ser saldo no ejecutado, DPLAN y Dir. Adm.</t>
        </r>
      </text>
    </comment>
    <comment ref="E82" authorId="4" shapeId="0" xr:uid="{33C067F4-994A-420D-A302-971F681A4CE2}">
      <text>
        <r>
          <rPr>
            <b/>
            <sz val="9"/>
            <color rgb="FF000000"/>
            <rFont val="Tahoma"/>
            <family val="2"/>
          </rPr>
          <t>Valeria Ramon Capa:</t>
        </r>
        <r>
          <rPr>
            <sz val="9"/>
            <color rgb="FF000000"/>
            <rFont val="Tahoma"/>
            <family val="2"/>
          </rPr>
          <t xml:space="preserve">
Reforma N° 3: 
Se incrementó $7056 según Memo N CGR-2023-0180-M.</t>
        </r>
      </text>
    </comment>
    <comment ref="F82" authorId="2" shapeId="0" xr:uid="{DE96114D-61D6-4B63-B3AF-F679C7FF5EBE}">
      <text>
        <r>
          <rPr>
            <b/>
            <sz val="9"/>
            <color rgb="FF000000"/>
            <rFont val="Tahoma"/>
            <family val="2"/>
          </rPr>
          <t>Admin:</t>
        </r>
        <r>
          <rPr>
            <sz val="9"/>
            <color rgb="FF000000"/>
            <rFont val="Tahoma"/>
            <family val="2"/>
          </rPr>
          <t xml:space="preserve">
Reforma N° 4:
Se redujo $ 756,00 Rectorado por saldo no ejecutado, Certificación N° 255.</t>
        </r>
      </text>
    </comment>
    <comment ref="F83" authorId="4" shapeId="0" xr:uid="{0FF5C4B4-90FF-4B8F-B9CE-AAA60380C046}">
      <text>
        <r>
          <rPr>
            <b/>
            <sz val="10"/>
            <color rgb="FF000000"/>
            <rFont val="Tahoma"/>
            <family val="2"/>
          </rPr>
          <t xml:space="preserve">Valeria Ramon Capa:
</t>
        </r>
        <r>
          <rPr>
            <sz val="9"/>
            <color rgb="FF000000"/>
            <rFont val="Tahoma"/>
            <family val="34"/>
          </rPr>
          <t>Reforma N° 3:
Se reduce $30.016,00 a Secretaría General por seguimiento y en virtud de oficio Nro. MEF-SP-2023-0501 para atender Memo Nro. 0399 de DADM.</t>
        </r>
      </text>
    </comment>
    <comment ref="E84" authorId="0" shapeId="0" xr:uid="{F3E0CE3E-CDC3-40CD-A2EC-DABF34F4C2EA}">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aumenta $ 1315,45 en el POA de DTH para atender memo nro. DTAH-2023-1017-M, considerando el saldo de $ 96,55 en la partida.
Se aumenta $ 8.000,00 + $ 7.156,55 en el POA de DTH para atender memo nro. DTH-2023-1131-M.
</t>
        </r>
        <r>
          <rPr>
            <b/>
            <sz val="9"/>
            <color rgb="FF000000"/>
            <rFont val="Tahoma"/>
            <family val="2"/>
          </rPr>
          <t>Reforma N° 5:</t>
        </r>
        <r>
          <rPr>
            <sz val="9"/>
            <color rgb="FF000000"/>
            <rFont val="Tahoma"/>
            <family val="2"/>
          </rPr>
          <t xml:space="preserve">
Se incrementó $ 16.472,00 según memo N° UTMACH-DF-UPSTO-2023-1079-M_27092023.</t>
        </r>
      </text>
    </comment>
    <comment ref="F84" authorId="5" shapeId="0" xr:uid="{0D1B64C4-4111-4C5E-9D26-355AE825752F}">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$ 284.523,80 conforme archivo POA 2023.
</t>
        </r>
        <r>
          <rPr>
            <b/>
            <sz val="9"/>
            <color rgb="FF000000"/>
            <rFont val="Tahoma"/>
            <family val="2"/>
          </rPr>
          <t xml:space="preserve">Reforma N° 3:
</t>
        </r>
        <r>
          <rPr>
            <sz val="9"/>
            <color rgb="FF000000"/>
            <rFont val="Tahoma"/>
            <family val="2"/>
          </rPr>
          <t>Se redujo $3.848,46, no se encuentra asignado en POA.</t>
        </r>
      </text>
    </comment>
    <comment ref="E85" authorId="5" shapeId="0" xr:uid="{DF8201CD-70C9-4698-9922-3132B377DB1F}">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$ 12.060,16 según memo N° DTIC-2023-0088-M_04052023
</t>
        </r>
        <r>
          <rPr>
            <b/>
            <sz val="9"/>
            <color rgb="FF000000"/>
            <rFont val="Tahoma"/>
            <family val="2"/>
          </rPr>
          <t>Reforma N° 4:</t>
        </r>
        <r>
          <rPr>
            <sz val="9"/>
            <color rgb="FF000000"/>
            <rFont val="Tahoma"/>
            <family val="2"/>
          </rPr>
          <t xml:space="preserve">
Se incrementa $ 1.881,60 en el POA de DTIC para la atención del memo nro. XXXXXX. </t>
        </r>
      </text>
    </comment>
    <comment ref="F85" authorId="2" shapeId="0" xr:uid="{3C55412C-CB6E-4D7B-94B1-8379E0849ED6}">
      <text>
        <r>
          <rPr>
            <b/>
            <sz val="9"/>
            <color indexed="81"/>
            <rFont val="Tahoma"/>
            <family val="2"/>
          </rPr>
          <t>Admin:</t>
        </r>
        <r>
          <rPr>
            <sz val="9"/>
            <color indexed="81"/>
            <rFont val="Tahoma"/>
            <family val="2"/>
          </rPr>
          <t xml:space="preserve">
Reforma N° 5:
Se redujo $ 2.887,36 por ser saldo no ejecutado, DTICS.</t>
        </r>
      </text>
    </comment>
    <comment ref="E86" authorId="4" shapeId="0" xr:uid="{10CE4CFB-5964-4808-BD17-D0099F77D9F6}">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Se incrementó $ 6.000,00 por atención a memo nro 0764 DTH.</t>
        </r>
      </text>
    </comment>
    <comment ref="F86" authorId="3" shapeId="0" xr:uid="{EE8146E4-93EA-48D7-A0B6-2AB08FB3817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$ 90.884,73, se sacó del POA 2023 de la DTH ítem Para sumar a la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$ 6.000,00 DTH por efecto de informe de seguimiento.</t>
        </r>
      </text>
    </comment>
    <comment ref="E87" authorId="0" shapeId="0" xr:uid="{13B2C4EC-D73F-48FD-BEB9-6A1CE247E563}">
      <text>
        <r>
          <rPr>
            <b/>
            <sz val="9"/>
            <color rgb="FF000000"/>
            <rFont val="Tahoma"/>
            <family val="2"/>
          </rPr>
          <t>Microsoft Office User:</t>
        </r>
        <r>
          <rPr>
            <sz val="9"/>
            <color rgb="FF000000"/>
            <rFont val="Tahoma"/>
            <family val="2"/>
          </rPr>
          <t xml:space="preserve">
Reforma N° 4:
Se incrementa $ 2.500,00 para atender pedido del memo nro. UTMACH-DADM-2023-0651-M.</t>
        </r>
      </text>
    </comment>
    <comment ref="F88" authorId="1" shapeId="0" xr:uid="{76B4BDED-468A-4876-BFC0-7E1B6A55E139}">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E89" authorId="1" shapeId="0" xr:uid="{5487301F-41BA-4CF8-AF13-6608E14E04AD}">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$ 250,00 según memo N° DADM-2023-0335-M_16052023.
</t>
        </r>
        <r>
          <rPr>
            <b/>
            <sz val="9"/>
            <color rgb="FF000000"/>
            <rFont val="Tahoma"/>
            <family val="2"/>
          </rPr>
          <t>Reforma N° 4:</t>
        </r>
        <r>
          <rPr>
            <sz val="9"/>
            <color rgb="FF000000"/>
            <rFont val="Tahoma"/>
            <family val="2"/>
          </rPr>
          <t xml:space="preserve">
Se incrementa $ 2.184,00 según memo nro. DADM-2023-0645-M.
</t>
        </r>
        <r>
          <rPr>
            <b/>
            <sz val="9"/>
            <color rgb="FF000000"/>
            <rFont val="Tahoma"/>
            <family val="2"/>
          </rPr>
          <t>Reforma N° 5:</t>
        </r>
        <r>
          <rPr>
            <sz val="9"/>
            <color rgb="FF000000"/>
            <rFont val="Tahoma"/>
            <family val="2"/>
          </rPr>
          <t xml:space="preserve">
Se incrementó 1.420,03 según memo N° UTMACH-DF-UPSTO-2023-1079-M_27092023.</t>
        </r>
      </text>
    </comment>
    <comment ref="F89" authorId="2" shapeId="0" xr:uid="{C0D6E5F4-3C8C-4446-BA4C-7778CC27907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reduce $ 672,00 Rectorado por efecto de informe de seguimiento.</t>
        </r>
      </text>
    </comment>
    <comment ref="E90" authorId="3" shapeId="0" xr:uid="{BC65B610-D83B-4E4D-B7F0-F9F4B266BC0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t>
        </r>
      </text>
    </comment>
    <comment ref="F90" authorId="2" shapeId="0" xr:uid="{BF70F171-E517-4050-96BE-BFE16E68BB0C}">
      <text>
        <r>
          <rPr>
            <b/>
            <sz val="9"/>
            <color indexed="81"/>
            <rFont val="Tahoma"/>
            <family val="2"/>
          </rPr>
          <t>Admin:</t>
        </r>
        <r>
          <rPr>
            <sz val="9"/>
            <color indexed="81"/>
            <rFont val="Tahoma"/>
            <family val="2"/>
          </rPr>
          <t xml:space="preserve">
Reforma N° 5:
Se redujo $ 88,09 por ser saldo no ejecutado, DBUAC.</t>
        </r>
      </text>
    </comment>
    <comment ref="E91" authorId="4" shapeId="0" xr:uid="{01466EFF-2E7B-41AA-9BF9-C5D3A01553B9}">
      <text>
        <r>
          <rPr>
            <b/>
            <sz val="9"/>
            <color rgb="FF000000"/>
            <rFont val="Tahoma"/>
            <family val="2"/>
          </rPr>
          <t>Valeria Ramon Capa:</t>
        </r>
        <r>
          <rPr>
            <sz val="9"/>
            <color rgb="FF000000"/>
            <rFont val="Tahoma"/>
            <family val="2"/>
          </rPr>
          <t xml:space="preserve">
Reforma N° 3: 
Se incrementó $8.000 en virtud de memo nro 0764 DTH.</t>
        </r>
      </text>
    </comment>
    <comment ref="F91" authorId="2" shapeId="0" xr:uid="{636FFE0C-05B0-44EC-8A47-32D0243A80E5}">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$ 3.660,23 DTH por efecto de informe de seguimiento.
Se redujo $ 3.264,00 DTH por efecto de informe de seguimiento.
</t>
        </r>
        <r>
          <rPr>
            <b/>
            <sz val="9"/>
            <color rgb="FF000000"/>
            <rFont val="Tahoma"/>
            <family val="2"/>
          </rPr>
          <t>Reforma N° 5:</t>
        </r>
        <r>
          <rPr>
            <sz val="9"/>
            <color rgb="FF000000"/>
            <rFont val="Tahoma"/>
            <family val="2"/>
          </rPr>
          <t xml:space="preserve">
Se redujo $ 6.145,54 por ser saldo no ejecutado, DTH.</t>
        </r>
      </text>
    </comment>
    <comment ref="F92" authorId="3" shapeId="0" xr:uid="{1D08A11A-F911-48A5-BB7B-346C57478DF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$ 37.040,00 para pasar a la partida de combustible.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DADM por efecto de informe de seguimiento.</t>
        </r>
      </text>
    </comment>
    <comment ref="E93" authorId="5" shapeId="0" xr:uid="{BD472682-5ABE-4F06-B5EA-40CDDB40429D}">
      <text>
        <r>
          <rPr>
            <b/>
            <sz val="9"/>
            <color rgb="FF000000"/>
            <rFont val="Tahoma"/>
            <family val="2"/>
          </rPr>
          <t>Eunice Basilio:</t>
        </r>
        <r>
          <rPr>
            <sz val="9"/>
            <color rgb="FF000000"/>
            <rFont val="Tahoma"/>
            <family val="2"/>
          </rPr>
          <t xml:space="preserve">
Reforma N° 3:
Se incrementó $ 30,00 según memo N° DTIC-2023-0088-M_04052023.</t>
        </r>
      </text>
    </comment>
    <comment ref="F93" authorId="2" shapeId="0" xr:uid="{11E02EAD-8A3B-410B-8B22-2A450490024D}">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$ 3,22 DTIC por efecto de informe de seguimiento.
</t>
        </r>
        <r>
          <rPr>
            <b/>
            <sz val="9"/>
            <color rgb="FF000000"/>
            <rFont val="Tahoma"/>
            <family val="2"/>
          </rPr>
          <t>Reforma N° 5:</t>
        </r>
        <r>
          <rPr>
            <sz val="9"/>
            <color rgb="FF000000"/>
            <rFont val="Tahoma"/>
            <family val="2"/>
          </rPr>
          <t xml:space="preserve">
Se redujo $ 5,66 por ser saldo no ejecutado, DTIC.</t>
        </r>
      </text>
    </comment>
    <comment ref="E94" authorId="3" shapeId="0" xr:uid="{60AD98A9-D7AA-421C-9CD3-DBE0A10254CD}">
      <text>
        <r>
          <rPr>
            <b/>
            <sz val="9"/>
            <color rgb="FF000000"/>
            <rFont val="Tahoma"/>
            <family val="2"/>
          </rPr>
          <t>HP:</t>
        </r>
        <r>
          <rPr>
            <sz val="9"/>
            <color rgb="FF000000"/>
            <rFont val="Tahoma"/>
            <family val="2"/>
          </rPr>
          <t xml:space="preserve">
Reforma N° 2:
Se rincrementó 16.800,00 Dir Adm
77,28 DAC que pasó de fuente 3 a fuente 2.</t>
        </r>
      </text>
    </comment>
    <comment ref="F94" authorId="1" shapeId="0" xr:uid="{F8F97175-182F-4993-AD17-0E8218B90DF5}">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$ 61,09 en Dir. Administrativa.
</t>
        </r>
        <r>
          <rPr>
            <b/>
            <sz val="9"/>
            <color rgb="FF000000"/>
            <rFont val="Tahoma"/>
            <family val="2"/>
          </rPr>
          <t>Reforma N° 4:</t>
        </r>
        <r>
          <rPr>
            <sz val="9"/>
            <color rgb="FF000000"/>
            <rFont val="Tahoma"/>
            <family val="2"/>
          </rPr>
          <t xml:space="preserve">
Se redujo $ 3.000,00 DADM por efecto de informe de seguimiento.</t>
        </r>
      </text>
    </comment>
    <comment ref="F95" authorId="3" shapeId="0" xr:uid="{439C136F-543F-4439-A0E1-B201343E6114}">
      <text>
        <r>
          <rPr>
            <b/>
            <sz val="9"/>
            <color rgb="FF000000"/>
            <rFont val="Tahoma"/>
            <family val="2"/>
          </rPr>
          <t>HP:</t>
        </r>
        <r>
          <rPr>
            <sz val="9"/>
            <color rgb="FF000000"/>
            <rFont val="Tahoma"/>
            <family val="2"/>
          </rPr>
          <t xml:space="preserve">
Reforma N° 2:
Se redujo 16.800,00 Dir Adm
77,28 DAC que pasan a fuente 2.</t>
        </r>
      </text>
    </comment>
    <comment ref="E96" authorId="4" shapeId="0" xr:uid="{B2172A92-4375-46DC-8D60-D90C0C287D53}">
      <text>
        <r>
          <rPr>
            <b/>
            <sz val="7"/>
            <color rgb="FF000000"/>
            <rFont val="Tahoma"/>
            <family val="2"/>
          </rPr>
          <t>Valeria Ramon Capa:</t>
        </r>
        <r>
          <rPr>
            <sz val="7"/>
            <color rgb="FF000000"/>
            <rFont val="Tahoma"/>
            <family val="2"/>
          </rPr>
          <t xml:space="preserve">
</t>
        </r>
        <r>
          <rPr>
            <sz val="9"/>
            <color rgb="FF000000"/>
            <rFont val="Tahoma"/>
            <family val="34"/>
          </rPr>
          <t>Reforma N° 3:
Se incrementó $ 250,00 según memo N° DADM-2023-0335-M_16052023.</t>
        </r>
      </text>
    </comment>
    <comment ref="F96" authorId="2" shapeId="0" xr:uid="{6502E2AB-DF09-4E77-96F7-E8F00A7513DA}">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$ 2.000,00 DADM por efecto de informe de seguimiento.</t>
        </r>
      </text>
    </comment>
    <comment ref="F97" authorId="3" shapeId="0" xr:uid="{A4999265-E9EC-4CAC-8DA2-095552AB381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$ 10.000,00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$ 26.320,00, según memo N</t>
        </r>
        <r>
          <rPr>
            <sz val="9"/>
            <color rgb="FF000000"/>
            <rFont val="Tahoma"/>
            <family val="2"/>
          </rPr>
          <t>°</t>
        </r>
        <r>
          <rPr>
            <sz val="9"/>
            <color rgb="FF000000"/>
            <rFont val="Tahoma"/>
            <family val="2"/>
          </rPr>
          <t xml:space="preserve"> DBUAC-2023-0124-M_03032023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$ 1.400,00 DADM por efecto de informe de seguimiento.</t>
        </r>
      </text>
    </comment>
    <comment ref="E98" authorId="2" shapeId="0" xr:uid="{940356F9-CC19-4480-B4D2-59A8F8AC6D8D}">
      <text>
        <r>
          <rPr>
            <b/>
            <sz val="9"/>
            <color indexed="81"/>
            <rFont val="Tahoma"/>
            <family val="2"/>
          </rPr>
          <t>Admin:</t>
        </r>
        <r>
          <rPr>
            <sz val="9"/>
            <color indexed="81"/>
            <rFont val="Tahoma"/>
            <family val="2"/>
          </rPr>
          <t xml:space="preserve">
Reforma N° 5:
Se incrementó $ 49.108,37 según memo N° UTMACH-DF-UPSTO-2023-1079-M_27/09/2023.</t>
        </r>
      </text>
    </comment>
    <comment ref="E99" authorId="0" shapeId="0" xr:uid="{6468AAF8-B38C-402C-84C0-F19270A36D1E}">
      <text>
        <r>
          <rPr>
            <b/>
            <sz val="9"/>
            <color rgb="FF000000"/>
            <rFont val="Tahoma"/>
            <family val="2"/>
          </rPr>
          <t>Microsoft Office User:</t>
        </r>
        <r>
          <rPr>
            <sz val="9"/>
            <color rgb="FF000000"/>
            <rFont val="Tahoma"/>
            <family val="2"/>
          </rPr>
          <t xml:space="preserve">
Reforma N° 4:
Se incrementa $ 49.108,37 para atender memo nro. DUAC-2023-0656-M.</t>
        </r>
      </text>
    </comment>
    <comment ref="F99" authorId="4" shapeId="0" xr:uid="{01DB92E7-E946-4EA0-A632-9EF681D3CB24}">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Reducción de $7.000 a DTH por memo nro 0764_06062023.
</t>
        </r>
        <r>
          <rPr>
            <b/>
            <sz val="9"/>
            <color rgb="FF000000"/>
            <rFont val="Tahoma"/>
            <family val="2"/>
          </rPr>
          <t>Reforma N° 5:</t>
        </r>
        <r>
          <rPr>
            <sz val="9"/>
            <color rgb="FF000000"/>
            <rFont val="Tahoma"/>
            <family val="2"/>
          </rPr>
          <t xml:space="preserve">
Se redujo $ 1.593,10 por ser saldo no ejecutado, USSRT.</t>
        </r>
      </text>
    </comment>
    <comment ref="E100" authorId="5" shapeId="0" xr:uid="{1FC7073E-4825-4DE1-BC23-E413B1F889CE}">
      <text>
        <r>
          <rPr>
            <b/>
            <sz val="9"/>
            <color rgb="FF000000"/>
            <rFont val="Tahoma"/>
            <family val="2"/>
          </rPr>
          <t>Eunice Basilio:</t>
        </r>
        <r>
          <rPr>
            <sz val="9"/>
            <color rgb="FF000000"/>
            <rFont val="Tahoma"/>
            <family val="2"/>
          </rPr>
          <t xml:space="preserve">
Reforma N° 3:
Se incrementó $ 600,00 según memo N° DTIC-2023-0088-M_04052023.</t>
        </r>
      </text>
    </comment>
    <comment ref="F100" authorId="2" shapeId="0" xr:uid="{8D411752-E98B-481A-8C7C-89B9C97D012A}">
      <text>
        <r>
          <rPr>
            <b/>
            <sz val="9"/>
            <color indexed="81"/>
            <rFont val="Tahoma"/>
            <family val="2"/>
          </rPr>
          <t>Admin:</t>
        </r>
        <r>
          <rPr>
            <sz val="9"/>
            <color indexed="81"/>
            <rFont val="Tahoma"/>
            <family val="2"/>
          </rPr>
          <t xml:space="preserve">
Reforma N° 5:
Se redujo $ 600,00 por ser saldo no ejecutado, DTICS.</t>
        </r>
      </text>
    </comment>
    <comment ref="E101" authorId="3" shapeId="0" xr:uid="{879014D0-FE9B-43E3-8D44-B96171E1FD7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$ 4.500,00 según Oficio N° UTMACH-DADM-UOIFM-2022-555-OF del 29/12/2022.
</t>
        </r>
        <r>
          <rPr>
            <b/>
            <sz val="9"/>
            <color rgb="FF000000"/>
            <rFont val="Tahoma"/>
            <family val="2"/>
          </rPr>
          <t>Reforma N° 3:</t>
        </r>
        <r>
          <rPr>
            <sz val="9"/>
            <color rgb="FF000000"/>
            <rFont val="Tahoma"/>
            <family val="2"/>
          </rPr>
          <t xml:space="preserve">
Se incrementó $ 300,00 según memo N° DADM-2023-0335-M_16052023.</t>
        </r>
      </text>
    </comment>
    <comment ref="F101" authorId="2" shapeId="0" xr:uid="{FBCBB520-CF6C-4719-84BC-9D83EBFEBE5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$ 61,67 Vic. Académico por efecto de informe de seguimiento.
</t>
        </r>
        <r>
          <rPr>
            <sz val="9"/>
            <color rgb="FF000000"/>
            <rFont val="Tahoma"/>
            <family val="2"/>
          </rPr>
          <t xml:space="preserve">
</t>
        </r>
        <r>
          <rPr>
            <sz val="9"/>
            <color rgb="FF000000"/>
            <rFont val="Tahoma"/>
            <family val="2"/>
          </rPr>
          <t>Se redujo $ 7.156,55 en el POA de DADM por efecto del seguimiento.</t>
        </r>
      </text>
    </comment>
    <comment ref="E102" authorId="3" shapeId="0" xr:uid="{32A42E61-A7DA-4831-8589-7793D75117E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$ 1.333,44, según Memorando N</t>
        </r>
        <r>
          <rPr>
            <sz val="9"/>
            <color rgb="FF000000"/>
            <rFont val="Tahoma"/>
            <family val="2"/>
          </rPr>
          <t>°</t>
        </r>
        <r>
          <rPr>
            <sz val="9"/>
            <color rgb="FF000000"/>
            <rFont val="Tahoma"/>
            <family val="2"/>
          </rPr>
          <t xml:space="preserve"> UTMACH-DBUAC-2023-0012-M del 12/01/2023.</t>
        </r>
      </text>
    </comment>
    <comment ref="E103" authorId="5" shapeId="0" xr:uid="{F3BE1B45-284C-4B13-BE6D-6083CB585625}">
      <text>
        <r>
          <rPr>
            <b/>
            <sz val="9"/>
            <color rgb="FF000000"/>
            <rFont val="Tahoma"/>
            <family val="2"/>
          </rPr>
          <t>Eunice Basilio:</t>
        </r>
        <r>
          <rPr>
            <sz val="9"/>
            <color rgb="FF000000"/>
            <rFont val="Tahoma"/>
            <family val="2"/>
          </rPr>
          <t xml:space="preserve">
Reforma N° 3:
Se incrementó $ 10.197,60 según memo N° DTIC-2023-0088-M_04052023.</t>
        </r>
      </text>
    </comment>
    <comment ref="F103" authorId="2" shapeId="0" xr:uid="{6F0E9904-DBA7-43E7-A00D-64A7A5EE9E25}">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$ 2.160,45 DTIC por efecto de informe de seguimiento.
</t>
        </r>
        <r>
          <rPr>
            <b/>
            <sz val="9"/>
            <color rgb="FF000000"/>
            <rFont val="Tahoma"/>
            <family val="2"/>
          </rPr>
          <t>Reforma N° 5:</t>
        </r>
        <r>
          <rPr>
            <sz val="9"/>
            <color rgb="FF000000"/>
            <rFont val="Tahoma"/>
            <family val="2"/>
          </rPr>
          <t xml:space="preserve">
Se redujo $ 580,87 por ser saldo no ejecutado, DTICS.</t>
        </r>
      </text>
    </comment>
    <comment ref="E104" authorId="1" shapeId="0" xr:uid="{5083211A-5702-45FB-8A84-A55DF5BA6944}">
      <text>
        <r>
          <rPr>
            <b/>
            <sz val="9"/>
            <color rgb="FF000000"/>
            <rFont val="Tahoma"/>
            <family val="2"/>
          </rPr>
          <t>LENOVO:</t>
        </r>
        <r>
          <rPr>
            <sz val="9"/>
            <color rgb="FF000000"/>
            <rFont val="Tahoma"/>
            <family val="2"/>
          </rPr>
          <t xml:space="preserve">
Reforma N° 3:
Se incrementó $ 400,00 según memo N° DADM-2023-0335-M_16052023.</t>
        </r>
      </text>
    </comment>
    <comment ref="E105" authorId="1" shapeId="0" xr:uid="{61C9A994-30A5-41BF-A7A1-FB7F06F346D7}">
      <text>
        <r>
          <rPr>
            <b/>
            <sz val="9"/>
            <color rgb="FF000000"/>
            <rFont val="Tahoma"/>
            <family val="2"/>
          </rPr>
          <t>LENOVO:</t>
        </r>
        <r>
          <rPr>
            <sz val="9"/>
            <color rgb="FF000000"/>
            <rFont val="Tahoma"/>
            <family val="2"/>
          </rPr>
          <t xml:space="preserve">
Reforma N° 3:
Se incrementó $ 100,00 según memo N° DADM-2023-0335-M_16052023.</t>
        </r>
      </text>
    </comment>
    <comment ref="E106" authorId="3" shapeId="0" xr:uid="{9FFD3C2E-5760-4EED-8C2F-2329BCFF30C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40.000,00 para Uniformes Personal LOSEP DTH.
</t>
        </r>
        <r>
          <rPr>
            <b/>
            <sz val="9"/>
            <color rgb="FF000000"/>
            <rFont val="Tahoma"/>
            <family val="2"/>
          </rPr>
          <t xml:space="preserve">Reforma N° 3:
</t>
        </r>
        <r>
          <rPr>
            <sz val="9"/>
            <color rgb="FF000000"/>
            <rFont val="Tahoma"/>
            <family val="2"/>
          </rPr>
          <t>Se incrementó $2.000 a DTH por memo nro 0764_06062023.</t>
        </r>
      </text>
    </comment>
    <comment ref="E107" authorId="3" shapeId="0" xr:uid="{697A6827-0601-43EC-AE99-F796D9128FB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40.000,00 para Uniformes Personal LOSEP DTH.
</t>
        </r>
        <r>
          <rPr>
            <b/>
            <sz val="9"/>
            <color rgb="FF000000"/>
            <rFont val="Tahoma"/>
            <family val="2"/>
          </rPr>
          <t xml:space="preserve">Reforma N° 3:
</t>
        </r>
        <r>
          <rPr>
            <sz val="9"/>
            <color rgb="FF000000"/>
            <rFont val="Tahoma"/>
            <family val="2"/>
          </rPr>
          <t>Se incrementó $5.000,00 a DTH por memo nro 0764_06062023.</t>
        </r>
      </text>
    </comment>
    <comment ref="F108" authorId="3" shapeId="0" xr:uid="{62C24296-D969-4CCA-8BFB-62BFF8F1753F}">
      <text>
        <r>
          <rPr>
            <b/>
            <sz val="9"/>
            <color rgb="FF000000"/>
            <rFont val="Tahoma"/>
            <family val="2"/>
          </rPr>
          <t>HP:</t>
        </r>
        <r>
          <rPr>
            <sz val="9"/>
            <color rgb="FF000000"/>
            <rFont val="Tahoma"/>
            <family val="2"/>
          </rPr>
          <t xml:space="preserve">
Reforma N° 2:
Se redujo 2.340,60.</t>
        </r>
      </text>
    </comment>
    <comment ref="F109" authorId="3" shapeId="0" xr:uid="{E6DA0850-F104-45DF-B08F-BB0BCB7CD047}">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$ 34.363,67 del POA DBU por tener los ítems con precios mayores de $ 100.00.
Se redujo $ 56.000,00 para la readecuación de las entradas de la UTMACH. Vic. Administrativo.
</t>
        </r>
        <r>
          <rPr>
            <b/>
            <sz val="9"/>
            <color rgb="FF000000"/>
            <rFont val="Tahoma"/>
            <family val="2"/>
          </rPr>
          <t>Reforma N° 4:</t>
        </r>
        <r>
          <rPr>
            <sz val="9"/>
            <color rgb="FF000000"/>
            <rFont val="Tahoma"/>
            <family val="2"/>
          </rPr>
          <t xml:space="preserve">
Se redujo $ 896,00 DIRCOM por efecto de informe de seguimiento.</t>
        </r>
      </text>
    </comment>
    <comment ref="E110" authorId="0" shapeId="0" xr:uid="{DD39EDB5-2394-4657-A009-0FB806851DDF}">
      <text>
        <r>
          <rPr>
            <b/>
            <sz val="9"/>
            <color rgb="FF000000"/>
            <rFont val="Tahoma"/>
            <family val="2"/>
          </rPr>
          <t>Microsoft Office User:</t>
        </r>
        <r>
          <rPr>
            <sz val="9"/>
            <color rgb="FF000000"/>
            <rFont val="Tahoma"/>
            <family val="2"/>
          </rPr>
          <t xml:space="preserve">
Reforma N° 4:
Se incrementa $ 1.828,02 en el POAD de DADM para atender memo nro. UTMACH-DADM-2023-0651-M.</t>
        </r>
      </text>
    </comment>
    <comment ref="F110" authorId="2" shapeId="0" xr:uid="{E44978E2-7435-4635-80F3-303F50E162C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$ 18,08 DAC por efecto de informe de seguimiento.</t>
        </r>
      </text>
    </comment>
    <comment ref="E111" authorId="0" shapeId="0" xr:uid="{4939EE29-28CF-4375-A2A7-6981970BE3A9}">
      <text>
        <r>
          <rPr>
            <b/>
            <sz val="9"/>
            <color rgb="FF000000"/>
            <rFont val="Tahoma"/>
            <family val="2"/>
          </rPr>
          <t>Microsoft Office User:</t>
        </r>
        <r>
          <rPr>
            <sz val="9"/>
            <color rgb="FF000000"/>
            <rFont val="Tahoma"/>
            <family val="2"/>
          </rPr>
          <t xml:space="preserve">
Reforma N° 4:
Se incrementa $ 280,00 en el POA de DTIC para atender el memo nro. UTMACH-DTIC-2023-0224-M.</t>
        </r>
      </text>
    </comment>
    <comment ref="F111" authorId="2" shapeId="0" xr:uid="{291067B1-8036-438E-BC5E-488D9792DD60}">
      <text>
        <r>
          <rPr>
            <b/>
            <sz val="9"/>
            <color rgb="FF000000"/>
            <rFont val="Tahoma"/>
            <family val="2"/>
          </rPr>
          <t>Admin:</t>
        </r>
        <r>
          <rPr>
            <sz val="9"/>
            <color rgb="FF000000"/>
            <rFont val="Tahoma"/>
            <family val="2"/>
          </rPr>
          <t xml:space="preserve">
Reforma N° 4:
Se redujo $ 564,68 Rectorado por saldo no ejecutado.
Se redujo $ 72,75 DAC por efecto de informe de seguimiento. (Cert. N° 169).</t>
        </r>
      </text>
    </comment>
    <comment ref="F112" authorId="1" shapeId="0" xr:uid="{79692F73-B5EE-4FCC-8B6A-C921FBB9C8D9}">
      <text>
        <r>
          <rPr>
            <b/>
            <sz val="9"/>
            <color rgb="FF000000"/>
            <rFont val="Tahoma"/>
            <family val="2"/>
          </rPr>
          <t>LENOVO:</t>
        </r>
        <r>
          <rPr>
            <sz val="9"/>
            <color rgb="FF000000"/>
            <rFont val="Tahoma"/>
            <family val="2"/>
          </rPr>
          <t xml:space="preserve">
</t>
        </r>
        <r>
          <rPr>
            <sz val="9"/>
            <color rgb="FF000000"/>
            <rFont val="Tahoma"/>
            <family val="34"/>
          </rPr>
          <t>Reforma N</t>
        </r>
        <r>
          <rPr>
            <sz val="9"/>
            <color rgb="FF000000"/>
            <rFont val="Tahoma"/>
            <family val="34"/>
          </rPr>
          <t>°</t>
        </r>
        <r>
          <rPr>
            <sz val="9"/>
            <color rgb="FF000000"/>
            <rFont val="Tahoma"/>
            <family val="34"/>
          </rPr>
          <t xml:space="preserve"> 3:
</t>
        </r>
        <r>
          <rPr>
            <sz val="9"/>
            <color rgb="FF000000"/>
            <rFont val="Tahoma"/>
            <family val="34"/>
          </rPr>
          <t>Se redujo $ 4.457,60 a DBUAC por seguimiento y en virtud de oficio Nro. MEF-SP-2023-0501 para atender Memo Nro. 0399 de DADM.</t>
        </r>
      </text>
    </comment>
    <comment ref="F113" authorId="1" shapeId="0" xr:uid="{8578E5A6-129F-465D-8094-535D76440390}">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 xml:space="preserve">Se redujo $ 3.360,00 según memo N° UTMACH-DADM-2023-0335-M_16052023, no se atendió materiales de oficina.
30/05 se redujo lo restante $ 40 por seguimiento y en virtud de oficio Nro. MEF-SP-2023-0501 para atender Memo Nro. 0399 de DADM.
</t>
        </r>
        <r>
          <rPr>
            <b/>
            <sz val="9"/>
            <color rgb="FF000000"/>
            <rFont val="Tahoma"/>
            <family val="2"/>
          </rPr>
          <t>Reforma N° 5:</t>
        </r>
        <r>
          <rPr>
            <sz val="9"/>
            <color rgb="FF000000"/>
            <rFont val="Tahoma"/>
            <family val="34"/>
          </rPr>
          <t xml:space="preserve">
Se redujo $ 200,00 por ser saldo no ejecutado, Dir. Adm.</t>
        </r>
      </text>
    </comment>
    <comment ref="E114" authorId="0" shapeId="0" xr:uid="{C929B978-5EAB-4C9E-BFB5-B20908CF3C14}">
      <text>
        <r>
          <rPr>
            <b/>
            <sz val="9"/>
            <color rgb="FF000000"/>
            <rFont val="Tahoma"/>
            <family val="2"/>
          </rPr>
          <t>Microsoft Office User:</t>
        </r>
        <r>
          <rPr>
            <sz val="9"/>
            <color rgb="FF000000"/>
            <rFont val="Tahoma"/>
            <family val="2"/>
          </rPr>
          <t xml:space="preserve">
Reforma N° 4:
Se incrementa $ 2.520,22 para atender pedido del memo nro. DADM-2023-065-M.</t>
        </r>
      </text>
    </comment>
    <comment ref="E115" authorId="1" shapeId="0" xr:uid="{1D5FEF33-0722-408C-906A-14B94986B3C4}">
      <text>
        <r>
          <rPr>
            <b/>
            <sz val="9"/>
            <color rgb="FF000000"/>
            <rFont val="Tahoma"/>
            <family val="2"/>
          </rPr>
          <t>LENOVO:</t>
        </r>
        <r>
          <rPr>
            <sz val="9"/>
            <color rgb="FF000000"/>
            <rFont val="Tahoma"/>
            <family val="2"/>
          </rPr>
          <t xml:space="preserve">
Reforma N° 3:
Se incrementó $ 200,00 según memo N° DADM-2023-0335-M_16052023.</t>
        </r>
      </text>
    </comment>
    <comment ref="F115" authorId="2" shapeId="0" xr:uid="{070BEB0A-4770-42AF-8DA7-FBD1E63B94F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$ 949,98 DADM por efecto de informe de seguimiento.</t>
        </r>
      </text>
    </comment>
    <comment ref="F116" authorId="2" shapeId="0" xr:uid="{F393175A-9617-42C3-BE28-8B8D8B1A6708}">
      <text>
        <r>
          <rPr>
            <b/>
            <sz val="9"/>
            <color indexed="81"/>
            <rFont val="Tahoma"/>
            <family val="2"/>
          </rPr>
          <t>Admin:</t>
        </r>
        <r>
          <rPr>
            <sz val="9"/>
            <color indexed="81"/>
            <rFont val="Tahoma"/>
            <family val="2"/>
          </rPr>
          <t xml:space="preserve">
Reforma N° 5:
Se redujo $ 860,69 por ser saldo no ejecutado, DTH.</t>
        </r>
      </text>
    </comment>
    <comment ref="E117" authorId="4" shapeId="0" xr:uid="{5FBE9BB3-F30F-4479-BB14-042EC0A3A4C7}">
      <text>
        <r>
          <rPr>
            <b/>
            <sz val="9"/>
            <color rgb="FF000000"/>
            <rFont val="Tahoma"/>
            <family val="2"/>
          </rPr>
          <t>Valeria Ramon Capa:</t>
        </r>
        <r>
          <rPr>
            <sz val="9"/>
            <color rgb="FF000000"/>
            <rFont val="Tahoma"/>
            <family val="2"/>
          </rPr>
          <t xml:space="preserve">
Reforma N° 3:
Se incrementa $151.520,00 a DADM por Memo N 0399_01062023.</t>
        </r>
      </text>
    </comment>
    <comment ref="F117" authorId="2" shapeId="0" xr:uid="{9FD2F815-FCE9-4A95-A178-660D3C03C78F}">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$ 170.000,00 DADM por efecto de informe de seguimiento, los mismos que quedan pendientes de asignar cuando se recaude el valor programado en la fuente 002.
</t>
        </r>
        <r>
          <rPr>
            <b/>
            <sz val="9"/>
            <color rgb="FF000000"/>
            <rFont val="Tahoma"/>
            <family val="2"/>
          </rPr>
          <t>Reforma N° 5:</t>
        </r>
        <r>
          <rPr>
            <sz val="9"/>
            <color rgb="FF000000"/>
            <rFont val="Tahoma"/>
            <family val="2"/>
          </rPr>
          <t xml:space="preserve">
Se redujo $ 9.840,00 por ser saldo no ejecutado (IVA), Dir. Adm.</t>
        </r>
      </text>
    </comment>
    <comment ref="F118" authorId="2" shapeId="0" xr:uid="{9E679E5C-7C4A-4666-A0B9-BF6AE3C86C60}">
      <text>
        <r>
          <rPr>
            <b/>
            <sz val="9"/>
            <color indexed="81"/>
            <rFont val="Tahoma"/>
            <family val="2"/>
          </rPr>
          <t>Admin:</t>
        </r>
        <r>
          <rPr>
            <sz val="9"/>
            <color indexed="81"/>
            <rFont val="Tahoma"/>
            <family val="2"/>
          </rPr>
          <t xml:space="preserve">
Reforma N° 5:
Se redujo $ 9.819,45 por ser saldo no ejecutado, Dir. Adm.</t>
        </r>
      </text>
    </comment>
    <comment ref="E120" authorId="3" shapeId="0" xr:uid="{D55AE054-D6B0-4C34-ADE5-01038BF81C8A}">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$ 5.080,00 que es de la partida N° 530239 0701 003 Membrecías.
</t>
        </r>
        <r>
          <rPr>
            <b/>
            <sz val="9"/>
            <color rgb="FF000000"/>
            <rFont val="Tahoma"/>
            <family val="2"/>
          </rPr>
          <t>Reforma N° 3:</t>
        </r>
        <r>
          <rPr>
            <sz val="9"/>
            <color rgb="FF000000"/>
            <rFont val="Tahoma"/>
            <family val="2"/>
          </rPr>
          <t xml:space="preserve">
Se incrementó $ 170,00 según memo N° DADM-2023-0335-M_16052023.</t>
        </r>
      </text>
    </comment>
    <comment ref="F120" authorId="4" shapeId="0" xr:uid="{7650557F-3A83-4634-BE1A-6260BA939962}">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$370 a PG por cuadre de grupo 57
</t>
        </r>
        <r>
          <rPr>
            <b/>
            <sz val="9"/>
            <color rgb="FF000000"/>
            <rFont val="Tahoma"/>
            <family val="2"/>
          </rPr>
          <t>Reforma N° 4:</t>
        </r>
        <r>
          <rPr>
            <sz val="9"/>
            <color rgb="FF000000"/>
            <rFont val="Tahoma"/>
            <family val="2"/>
          </rPr>
          <t xml:space="preserve">
Se redujo $ 3.710,00 Procuraduria Gral. por efecto de informe de seguimiento.</t>
        </r>
      </text>
    </comment>
    <comment ref="E121" authorId="3" shapeId="0" xr:uid="{6754FE5F-9CDE-45A4-AFE6-F9C208526194}">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para devolución de valores a estudiantes. Dir. Financiera.</t>
        </r>
      </text>
    </comment>
    <comment ref="F121" authorId="2" shapeId="0" xr:uid="{D776F9C6-3C95-40CD-8B76-E005F41EF24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$ 500,00 Dir. Financiera por efecto de informe de seguimiento.</t>
        </r>
      </text>
    </comment>
    <comment ref="F123" authorId="5" shapeId="0" xr:uid="{BA2F4094-A054-4863-8E18-9020C8606376}">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conforme archivo POA 2023.
Se redujo $ 137.214,99, porque se sacó del POA 2023 de la DTH ítem para sumar a esta partida 580209 "A Jubilados Patronales"
</t>
        </r>
        <r>
          <rPr>
            <b/>
            <sz val="9"/>
            <color rgb="FF000000"/>
            <rFont val="Tahoma"/>
            <family val="2"/>
          </rPr>
          <t>Reforma N° 4:</t>
        </r>
        <r>
          <rPr>
            <sz val="9"/>
            <color rgb="FF000000"/>
            <rFont val="Tahoma"/>
            <family val="2"/>
          </rPr>
          <t xml:space="preserve">
Se redujo $ </t>
        </r>
        <r>
          <rPr>
            <sz val="10"/>
            <color rgb="FF000000"/>
            <rFont val="Arial"/>
            <family val="2"/>
            <scheme val="minor"/>
          </rPr>
          <t xml:space="preserve">203.797,63 </t>
        </r>
        <r>
          <rPr>
            <sz val="9"/>
            <color rgb="FF000000"/>
            <rFont val="Tahoma"/>
            <family val="2"/>
          </rPr>
          <t xml:space="preserve"> DTH por efecto de informe de seguimiento.
</t>
        </r>
        <r>
          <rPr>
            <b/>
            <sz val="9"/>
            <color rgb="FF000000"/>
            <rFont val="Tahoma"/>
            <family val="2"/>
          </rPr>
          <t>Reforma N° 5:</t>
        </r>
        <r>
          <rPr>
            <sz val="9"/>
            <color rgb="FF000000"/>
            <rFont val="Tahoma"/>
            <family val="2"/>
          </rPr>
          <t xml:space="preserve">
Se redujo $ 8,869,75, proyecto de jubilados.
Se redujo $ 49.108,37 según memo N° UTMACH-DF-UPSTO-2023-1079-M_27/09/2023.</t>
        </r>
      </text>
    </comment>
    <comment ref="B124" authorId="3" shapeId="0" xr:uid="{ED29E99B-99DF-4828-AD55-E2493239C4C5}">
      <text>
        <r>
          <rPr>
            <b/>
            <sz val="9"/>
            <color rgb="FF000000"/>
            <rFont val="Tahoma"/>
            <family val="2"/>
          </rPr>
          <t>HP:</t>
        </r>
        <r>
          <rPr>
            <sz val="9"/>
            <color rgb="FF000000"/>
            <rFont val="Tahoma"/>
            <family val="2"/>
          </rPr>
          <t xml:space="preserve">
</t>
        </r>
        <r>
          <rPr>
            <sz val="9"/>
            <color rgb="FF000000"/>
            <rFont val="Tahoma"/>
            <family val="2"/>
          </rPr>
          <t>Valores de proyectos de inversión</t>
        </r>
      </text>
    </comment>
    <comment ref="E125" authorId="3" shapeId="0" xr:uid="{0EB8177F-5330-467B-96E9-08CA0F32AD5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$ 423.188,30 py de jubilados que consta en la 84 en el POA 2023 de la DTH.
Se incrementó el saldo $ 18.470,34 y se lo sumó al py de jubilados DTH.
</t>
        </r>
      </text>
    </comment>
    <comment ref="E126" authorId="3" shapeId="0" xr:uid="{59ED0DD9-242A-4731-B3DD-78AFB5022DC6}">
      <text>
        <r>
          <rPr>
            <b/>
            <sz val="9"/>
            <color rgb="FF000000"/>
            <rFont val="Tahoma"/>
            <family val="2"/>
          </rPr>
          <t>HP:</t>
        </r>
        <r>
          <rPr>
            <sz val="9"/>
            <color rgb="FF000000"/>
            <rFont val="Tahoma"/>
            <family val="2"/>
          </rPr>
          <t xml:space="preserve">
Reforma N° 2:
Servicio de seguridad privada COMUNIDAD FAMILIAR SEGURA COMFASEG Dir Administrativa.</t>
        </r>
      </text>
    </comment>
    <comment ref="E127" authorId="2" shapeId="0" xr:uid="{6DDC04C5-5217-4178-889A-890FBA7F313A}">
      <text>
        <r>
          <rPr>
            <b/>
            <sz val="9"/>
            <color indexed="81"/>
            <rFont val="Tahoma"/>
            <family val="2"/>
          </rPr>
          <t>Admin:</t>
        </r>
        <r>
          <rPr>
            <sz val="9"/>
            <color indexed="81"/>
            <rFont val="Tahoma"/>
            <family val="2"/>
          </rPr>
          <t xml:space="preserve">
Reforma N° 5:
Se incrementó $ 2.103,75, proyecto de jubilados.</t>
        </r>
      </text>
    </comment>
    <comment ref="E128" authorId="2" shapeId="0" xr:uid="{0344AD30-CAB0-42F4-A8F0-C0B9BA24D88A}">
      <text>
        <r>
          <rPr>
            <b/>
            <sz val="9"/>
            <color indexed="81"/>
            <rFont val="Tahoma"/>
            <family val="2"/>
          </rPr>
          <t>Admin:</t>
        </r>
        <r>
          <rPr>
            <sz val="9"/>
            <color indexed="81"/>
            <rFont val="Tahoma"/>
            <family val="2"/>
          </rPr>
          <t xml:space="preserve">
Reforma N° 5:
Se incrementó $ 332.808,45, proyecto de jubilados.</t>
        </r>
      </text>
    </comment>
    <comment ref="E129" authorId="2" shapeId="0" xr:uid="{BDA3352A-BF14-4C6D-833C-DB9B7F8DC135}">
      <text>
        <r>
          <rPr>
            <b/>
            <sz val="9"/>
            <color indexed="81"/>
            <rFont val="Tahoma"/>
            <family val="2"/>
          </rPr>
          <t>Admin:</t>
        </r>
        <r>
          <rPr>
            <sz val="9"/>
            <color indexed="81"/>
            <rFont val="Tahoma"/>
            <family val="2"/>
          </rPr>
          <t xml:space="preserve">
Reforma N° 5:
Se incrementó $ 4.575,00, proyecto de jubilados.</t>
        </r>
      </text>
    </comment>
    <comment ref="E130" authorId="2" shapeId="0" xr:uid="{18DA50A2-8F79-4509-906F-2A8C83F613C5}">
      <text>
        <r>
          <rPr>
            <b/>
            <sz val="9"/>
            <color indexed="81"/>
            <rFont val="Tahoma"/>
            <family val="2"/>
          </rPr>
          <t>Admin:</t>
        </r>
        <r>
          <rPr>
            <sz val="9"/>
            <color indexed="81"/>
            <rFont val="Tahoma"/>
            <family val="2"/>
          </rPr>
          <t xml:space="preserve">
Reforma N° 5:
Se incrementó $ 124.804,87, proyecto de jubilados.</t>
        </r>
      </text>
    </comment>
    <comment ref="E131" authorId="2" shapeId="0" xr:uid="{5700A72B-35BF-4F9A-82AB-2C439051A5CA}">
      <text>
        <r>
          <rPr>
            <b/>
            <sz val="9"/>
            <color indexed="81"/>
            <rFont val="Tahoma"/>
            <family val="2"/>
          </rPr>
          <t>Admin:</t>
        </r>
        <r>
          <rPr>
            <sz val="9"/>
            <color indexed="81"/>
            <rFont val="Tahoma"/>
            <family val="2"/>
          </rPr>
          <t xml:space="preserve">
Reforma N° 5:
Se incrementó $ 53.100,00, proyecto de jubilados.</t>
        </r>
      </text>
    </comment>
    <comment ref="E132" authorId="3" shapeId="0" xr:uid="{73DF57D3-1E5E-44B6-B286-EDB7D1F2D6FF}">
      <text>
        <r>
          <rPr>
            <b/>
            <sz val="9"/>
            <color rgb="FF000000"/>
            <rFont val="Tahoma"/>
            <family val="2"/>
          </rPr>
          <t>HP:</t>
        </r>
        <r>
          <rPr>
            <sz val="9"/>
            <color rgb="FF000000"/>
            <rFont val="Tahoma"/>
            <family val="2"/>
          </rPr>
          <t xml:space="preserve">
Reforma N° 2:
Se incrementó $ 545,00 para pago de órdenes compra de 1 archivador aéreo, 2 mesa de centro por los valores $90,00 y $396,00 sin incluir el IVA, respectivamente, según Oficio N° UTMACH-ADM-CENTRAL-EMP-2023-0048-OF_16/01/2023.
Dir. Administrativa.</t>
        </r>
      </text>
    </comment>
    <comment ref="F132" authorId="2" shapeId="0" xr:uid="{541B58D6-4AFA-4E9F-B28A-940880E885CF}">
      <text>
        <r>
          <rPr>
            <b/>
            <sz val="9"/>
            <color indexed="81"/>
            <rFont val="Tahoma"/>
            <family val="2"/>
          </rPr>
          <t>Admin:</t>
        </r>
        <r>
          <rPr>
            <sz val="9"/>
            <color indexed="81"/>
            <rFont val="Tahoma"/>
            <family val="2"/>
          </rPr>
          <t xml:space="preserve">
Reforma N° 5:
Se redujo $ 59,00 por ser saldo no ejecutado, Dir. Adm.</t>
        </r>
      </text>
    </comment>
    <comment ref="E133" authorId="5" shapeId="0" xr:uid="{4E456096-E583-4985-99C0-F4338E85D341}">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$ 24.400,68 Dir. Administrativa
$ 761,38 Secretaría General
$ 2.893,16 Dir. Posgrado
</t>
        </r>
        <r>
          <rPr>
            <b/>
            <sz val="9"/>
            <color rgb="FF000000"/>
            <rFont val="Tahoma"/>
            <family val="2"/>
          </rPr>
          <t>Reforma N° 3:</t>
        </r>
        <r>
          <rPr>
            <sz val="9"/>
            <color rgb="FF000000"/>
            <rFont val="Tahoma"/>
            <family val="2"/>
          </rPr>
          <t xml:space="preserve">
Se incrementó $ 1.607,43 según memo N° DTIC-2023-0088-M_04052023
Se incrementó a DPLAN $87,78 por cuadre de fuente 
Se incrementa $ 159,85 en el POA de DPOS para atender memo nro. DIPOS-2023-0237-M
Se incrementa $ 2.660,50 en el POA de DADM para atender memo nro. </t>
        </r>
        <r>
          <rPr>
            <sz val="9"/>
            <color rgb="FF000000"/>
            <rFont val="Calibri"/>
            <family val="2"/>
          </rPr>
          <t>UTMACH-DADM-2023-0656-M</t>
        </r>
      </text>
    </comment>
    <comment ref="F133" authorId="4" shapeId="0" xr:uid="{3AA0C166-2504-440E-8322-0BF475BD011F}">
      <text>
        <r>
          <rPr>
            <b/>
            <sz val="9"/>
            <color rgb="FF000000"/>
            <rFont val="Tahoma"/>
            <family val="34"/>
          </rPr>
          <t>Valeria Ramon Capa:</t>
        </r>
        <r>
          <rPr>
            <sz val="9"/>
            <color rgb="FF000000"/>
            <rFont val="Tahoma"/>
            <family val="34"/>
          </rPr>
          <t xml:space="preserve">
</t>
        </r>
        <r>
          <rPr>
            <b/>
            <sz val="9"/>
            <color rgb="FF000000"/>
            <rFont val="Tahoma"/>
            <family val="34"/>
          </rPr>
          <t xml:space="preserve">Reforma N° 3:
</t>
        </r>
        <r>
          <rPr>
            <sz val="9"/>
            <color rgb="FF000000"/>
            <rFont val="Tahoma"/>
            <family val="34"/>
          </rPr>
          <t xml:space="preserve">Se reduce $632,58 según memo N° UTMACH-DIPOS-2023-0160-M_19052023
</t>
        </r>
        <r>
          <rPr>
            <b/>
            <sz val="9"/>
            <color rgb="FF000000"/>
            <rFont val="Tahoma"/>
            <family val="2"/>
          </rPr>
          <t>Reforma N° 4:</t>
        </r>
        <r>
          <rPr>
            <sz val="9"/>
            <color rgb="FF000000"/>
            <rFont val="Tahoma"/>
            <family val="34"/>
          </rPr>
          <t xml:space="preserve">
Se redujo $ 81,58 Secretaría General por efecto de informe de seguimiento.
Se redujo $ 87,78 DPLAN por efecto de informe de seguimiento.
Se redujo $ 621,20 DIPOS por efecto de informe de seguimiento. (Cert. N° 147)
Se redujo $ 530,00 DIPOS por efecto de informe de seguimiento. (Cert. N° 147)
Se redujo $ 182,16 DTIC por efecto de informe de seguimiento. (Cert. N° 265)
Se redujo $ 2.125,00 DADM por efecto de informe de seguimiento.</t>
        </r>
      </text>
    </comment>
    <comment ref="E134" authorId="3" shapeId="0" xr:uid="{D138BC3D-FC0B-495E-87BC-2989292B4E7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$ 39.500,00 para adquisición de aires acondicionados PULLA HNOS Dir Adm
$ 2.940,00 por contrato de año anterior para adquisición de proyectores de imagen. TICS
</t>
        </r>
        <r>
          <rPr>
            <b/>
            <sz val="9"/>
            <color rgb="FF000000"/>
            <rFont val="Tahoma"/>
            <family val="2"/>
          </rPr>
          <t>Reforma N° 4:</t>
        </r>
        <r>
          <rPr>
            <sz val="9"/>
            <color rgb="FF000000"/>
            <rFont val="Tahoma"/>
            <family val="2"/>
          </rPr>
          <t xml:space="preserve">
Se incrementa $ 313,60 en el POA de VAC para atender memo nro. VACAD-2023-0354-M.</t>
        </r>
      </text>
    </comment>
    <comment ref="F134" authorId="0" shapeId="0" xr:uid="{6C549194-D79B-4E79-8AB3-E6C1CAB9C55F}">
      <text>
        <r>
          <rPr>
            <b/>
            <sz val="9"/>
            <color rgb="FF000000"/>
            <rFont val="Tahoma"/>
            <family val="2"/>
          </rPr>
          <t>Microsoft Office User:</t>
        </r>
        <r>
          <rPr>
            <sz val="9"/>
            <color rgb="FF000000"/>
            <rFont val="Tahoma"/>
            <family val="2"/>
          </rPr>
          <t xml:space="preserve">
Reforma N° 5:
Se redujo $ 315,00 por ser saldo no ejecutado (IVA), DTICS.</t>
        </r>
      </text>
    </comment>
    <comment ref="E135" authorId="5" shapeId="0" xr:uid="{C4C2C794-87C0-4E47-8ED4-4E3DE0B7E55F}">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$ 19.554,08 DIRCOM
$ 3.360,00 Secretaría General
$ 2.882,88 Dir. Aseguramiento de la Calidad
$ 53.704,13 DTIC
$ 360,00 Dir. Financiera
$ 70.954,075 DBUAC
</t>
        </r>
        <r>
          <rPr>
            <b/>
            <sz val="9"/>
            <color rgb="FF000000"/>
            <rFont val="Tahoma"/>
            <family val="2"/>
          </rPr>
          <t>Reforma N° 3:</t>
        </r>
        <r>
          <rPr>
            <sz val="9"/>
            <color rgb="FF000000"/>
            <rFont val="Tahoma"/>
            <family val="2"/>
          </rPr>
          <t xml:space="preserve">
Se incrementó $ 8.999,20, según memo N° DBUAC-2023-0124-M_03032023
Se incrementó $2.000,01 para compra de montacarga de Unidad de Bienes (reasignación)
Se incrementó $ 13.686,40, según memo N° DBUAC-2023-0318-M_22052023
</t>
        </r>
        <r>
          <rPr>
            <b/>
            <sz val="9"/>
            <color rgb="FF000000"/>
            <rFont val="Tahoma"/>
            <family val="2"/>
          </rPr>
          <t>Reforma N° 4:</t>
        </r>
        <r>
          <rPr>
            <sz val="9"/>
            <color rgb="FF000000"/>
            <rFont val="Tahoma"/>
            <family val="2"/>
          </rPr>
          <t xml:space="preserve">
Se incrementa $ 6.888,00 para atender memo nro. DADM-2023-0645-M.
Se incrementa $ 51.788,80 en el POA de DBUAC para atender memo nro. DBUAC-2023-0597-M.
Se incrementa $ 2251,20 + 4631,75 en el POA de DADM en atención al Memorando nro. UTMACH-DADM-UCP-2023-1143-M.</t>
        </r>
      </text>
    </comment>
    <comment ref="F135" authorId="2" shapeId="0" xr:uid="{8ECC9C95-2360-4B08-937A-14C71E76DCF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$ 2.135,00 Unidad dee Gestión Documental y Archivo por efecto de informe de seguimiento (Certif. N</t>
        </r>
        <r>
          <rPr>
            <sz val="9"/>
            <color rgb="FF000000"/>
            <rFont val="Tahoma"/>
            <family val="2"/>
          </rPr>
          <t>°</t>
        </r>
        <r>
          <rPr>
            <sz val="9"/>
            <color rgb="FF000000"/>
            <rFont val="Tahoma"/>
            <family val="2"/>
          </rPr>
          <t xml:space="preserve"> 159)
</t>
        </r>
        <r>
          <rPr>
            <sz val="9"/>
            <color rgb="FF000000"/>
            <rFont val="Tahoma"/>
            <family val="2"/>
          </rPr>
          <t xml:space="preserve">
</t>
        </r>
        <r>
          <rPr>
            <sz val="9"/>
            <color rgb="FF000000"/>
            <rFont val="Tahoma"/>
            <family val="2"/>
          </rPr>
          <t xml:space="preserve">Se redujo $ 4.940,53 DBUAC por efecto de informe de seguimiento.
</t>
        </r>
        <r>
          <rPr>
            <sz val="9"/>
            <color rgb="FF000000"/>
            <rFont val="Tahoma"/>
            <family val="2"/>
          </rPr>
          <t xml:space="preserve">
</t>
        </r>
        <r>
          <rPr>
            <sz val="9"/>
            <color rgb="FF000000"/>
            <rFont val="Tahoma"/>
            <family val="2"/>
          </rPr>
          <t>Se redujo $ 136,90 DAC por efecto de informe de seguimiento (Cert. N</t>
        </r>
        <r>
          <rPr>
            <sz val="9"/>
            <color rgb="FF000000"/>
            <rFont val="Tahoma"/>
            <family val="2"/>
          </rPr>
          <t>°</t>
        </r>
        <r>
          <rPr>
            <sz val="9"/>
            <color rgb="FF000000"/>
            <rFont val="Tahoma"/>
            <family val="2"/>
          </rPr>
          <t xml:space="preserve"> 235 dispensador y N</t>
        </r>
        <r>
          <rPr>
            <sz val="9"/>
            <color rgb="FF000000"/>
            <rFont val="Tahoma"/>
            <family val="2"/>
          </rPr>
          <t>°</t>
        </r>
        <r>
          <rPr>
            <sz val="9"/>
            <color rgb="FF000000"/>
            <rFont val="Tahoma"/>
            <family val="2"/>
          </rPr>
          <t xml:space="preserve"> 152 proyector).
</t>
        </r>
        <r>
          <rPr>
            <sz val="9"/>
            <color rgb="FF000000"/>
            <rFont val="Tahoma"/>
            <family val="2"/>
          </rPr>
          <t xml:space="preserve">
</t>
        </r>
        <r>
          <rPr>
            <sz val="9"/>
            <color rgb="FF000000"/>
            <rFont val="Tahoma"/>
            <family val="2"/>
          </rPr>
          <t>Se redujo $ 589,26 Unidad de Control de Bienes por efecto de informe de seguimiento.</t>
        </r>
      </text>
    </comment>
    <comment ref="E136" authorId="3" shapeId="0" xr:uid="{9F411129-8384-484F-9EE4-6453DFCF0538}">
      <text>
        <r>
          <rPr>
            <b/>
            <sz val="9"/>
            <color rgb="FF000000"/>
            <rFont val="Tahoma"/>
            <family val="2"/>
          </rPr>
          <t>HP:</t>
        </r>
        <r>
          <rPr>
            <sz val="9"/>
            <color rgb="FF000000"/>
            <rFont val="Tahoma"/>
            <family val="2"/>
          </rPr>
          <t xml:space="preserve">
Reforma N° 2:
Se incrementó $ 42.311,18 para pago de contrato de año anterior por adquisición de cámaras de videovigilancia. UTMACH EP
Dir. Administrativa.</t>
        </r>
      </text>
    </comment>
    <comment ref="F136" authorId="2" shapeId="0" xr:uid="{24EEC4BF-A515-4552-A3E8-D4A8400DCB67}">
      <text>
        <r>
          <rPr>
            <b/>
            <sz val="9"/>
            <color indexed="81"/>
            <rFont val="Tahoma"/>
            <family val="2"/>
          </rPr>
          <t>Admin:</t>
        </r>
        <r>
          <rPr>
            <sz val="9"/>
            <color indexed="81"/>
            <rFont val="Tahoma"/>
            <family val="2"/>
          </rPr>
          <t xml:space="preserve">
</t>
        </r>
        <r>
          <rPr>
            <b/>
            <sz val="9"/>
            <color indexed="81"/>
            <rFont val="Tahoma"/>
            <family val="2"/>
          </rPr>
          <t>Reforma N° 5:
Se reduce $ 8.579,64 por ser saldo no ejecutado (IVA), Dir. Adm.</t>
        </r>
      </text>
    </comment>
    <comment ref="E139" authorId="0" shapeId="0" xr:uid="{712C0E2B-E0A4-41FC-95B8-10E4CB543310}">
      <text>
        <r>
          <rPr>
            <b/>
            <sz val="9"/>
            <color rgb="FF000000"/>
            <rFont val="Tahoma"/>
            <family val="2"/>
          </rPr>
          <t>Microsoft Office User:</t>
        </r>
        <r>
          <rPr>
            <sz val="9"/>
            <color rgb="FF000000"/>
            <rFont val="Tahoma"/>
            <family val="2"/>
          </rPr>
          <t xml:space="preserve">
Reforma N° 4:
Se incrementa $ 6.300,00 en el POA de DADM para atender memo nro. UTMACH-DADM-2023-0651-M.</t>
        </r>
      </text>
    </comment>
    <comment ref="E140" authorId="3" shapeId="0" xr:uid="{EB58A57C-68CF-43F9-AB64-57AE02EECDE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$ 81.952,06 DBUAC Tablet.
</t>
        </r>
        <r>
          <rPr>
            <b/>
            <sz val="9"/>
            <color rgb="FF000000"/>
            <rFont val="Tahoma"/>
            <family val="2"/>
          </rPr>
          <t>Reforma N° 3:</t>
        </r>
        <r>
          <rPr>
            <sz val="9"/>
            <color rgb="FF000000"/>
            <rFont val="Tahoma"/>
            <family val="2"/>
          </rPr>
          <t xml:space="preserve">
Se incrementó $1.644,63 DPLAN-UPES por reunión de seguimiento.</t>
        </r>
      </text>
    </comment>
    <comment ref="F140" authorId="2" shapeId="0" xr:uid="{640C204D-BD17-4BE4-82B3-E269A82E69C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$ 8.250,99 DBUAC por efecto de informe de seguimiento. (Cert. N</t>
        </r>
        <r>
          <rPr>
            <sz val="9"/>
            <color rgb="FF000000"/>
            <rFont val="Tahoma"/>
            <family val="2"/>
          </rPr>
          <t>°</t>
        </r>
        <r>
          <rPr>
            <sz val="9"/>
            <color rgb="FF000000"/>
            <rFont val="Tahoma"/>
            <family val="2"/>
          </rPr>
          <t xml:space="preserve"> 303)</t>
        </r>
      </text>
    </comment>
    <comment ref="E141" authorId="5" shapeId="0" xr:uid="{E9C03C79-4FF8-4D0D-B625-B31D2CFFBE31}">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$ 6.548,35 Rectorado
$ 3.920,00 DIRCOM
$ 1.868,16 Secretaría General
$ 2.934,40 Dirección de Aseguramiento de la Calidad
conforme archivo POA 2023.
</t>
        </r>
        <r>
          <rPr>
            <b/>
            <sz val="9"/>
            <color rgb="FF000000"/>
            <rFont val="Tahoma"/>
            <family val="2"/>
          </rPr>
          <t>Reforma N° 3:</t>
        </r>
        <r>
          <rPr>
            <sz val="9"/>
            <color rgb="FF000000"/>
            <rFont val="Tahoma"/>
            <family val="2"/>
          </rPr>
          <t xml:space="preserve">
Se incrementa $ 1.008,00 según memo N° UTMACH-DAC-2023-0056-M_24032023
UTMACH-DAC-2023-0059-M_27032023 (Alcance M_0056)
</t>
        </r>
        <r>
          <rPr>
            <b/>
            <sz val="9"/>
            <color rgb="FF000000"/>
            <rFont val="Tahoma"/>
            <family val="2"/>
          </rPr>
          <t>Reforma N° 4:</t>
        </r>
        <r>
          <rPr>
            <sz val="9"/>
            <color rgb="FF000000"/>
            <rFont val="Tahoma"/>
            <family val="2"/>
          </rPr>
          <t xml:space="preserve">
Se incrementa $ 81,10 para atender pedido del memo nro. SG-2023-0194-M, en el POA de SG
Se incrementa $ 1.771,84 para atender pedido del memo nro. SG-2023-0213-M
Se incrementa $ 3.801,28 para atender el pedido del memo nro. </t>
        </r>
        <r>
          <rPr>
            <sz val="10"/>
            <color rgb="FF000000"/>
            <rFont val="Calibri"/>
            <family val="2"/>
          </rPr>
          <t>UTMACH-DADM-2023-0656-M</t>
        </r>
        <r>
          <rPr>
            <sz val="9"/>
            <color rgb="FF000000"/>
            <rFont val="Calibri"/>
            <family val="2"/>
          </rPr>
          <t xml:space="preserve">
</t>
        </r>
        <r>
          <rPr>
            <b/>
            <sz val="9"/>
            <color rgb="FF000000"/>
            <rFont val="Calibri"/>
            <family val="2"/>
          </rPr>
          <t>Reforma N° 5:</t>
        </r>
        <r>
          <rPr>
            <sz val="9"/>
            <color rgb="FF000000"/>
            <rFont val="Calibri"/>
            <family val="2"/>
          </rPr>
          <t xml:space="preserve">
Se incrementó $ 10.313,89 según memo N° UTMACH-DTIC-2023-0310-M
(Alcance al M_0301) del 04/10/2023.</t>
        </r>
      </text>
    </comment>
    <comment ref="F141" authorId="2" shapeId="0" xr:uid="{21E0B552-526A-4E39-A38E-48DAB5D9B4B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$ 836,81 DIRCOM por efecto de informe de seguimiento.
</t>
        </r>
        <r>
          <rPr>
            <sz val="9"/>
            <color rgb="FF000000"/>
            <rFont val="Tahoma"/>
            <family val="2"/>
          </rPr>
          <t xml:space="preserve">
</t>
        </r>
        <r>
          <rPr>
            <sz val="9"/>
            <color rgb="FF000000"/>
            <rFont val="Tahoma"/>
            <family val="2"/>
          </rPr>
          <t>Se redujo $ 572,00 + $ 1.254,40 en el POA de DAC por efecto de informe de seguimiento y atención memo nro. DAC-2023-0221-M.</t>
        </r>
      </text>
    </comment>
    <comment ref="E142" authorId="3" shapeId="0" xr:uid="{DBB0FC84-C93D-405D-B73A-B5D7B23B4448}">
      <text>
        <r>
          <rPr>
            <b/>
            <sz val="9"/>
            <color rgb="FF000000"/>
            <rFont val="Tahoma"/>
            <family val="2"/>
          </rPr>
          <t>HP:</t>
        </r>
        <r>
          <rPr>
            <sz val="9"/>
            <color rgb="FF000000"/>
            <rFont val="Tahoma"/>
            <family val="2"/>
          </rPr>
          <t xml:space="preserve">
Reforma N° 2:
Se incrementó $ 4.518,00 para pago de contrato de año anterior por adquisición de cámaras de videovigilancia. UTMACH EP
Dir. Administrativa.</t>
        </r>
      </text>
    </comment>
    <comment ref="F142" authorId="3" shapeId="0" xr:uid="{223D8638-76CB-47F9-8ACA-1B2ED4A91C7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$ 414.919,06 para Py Red Lan.
Se redujo $ 423.188,30 py de jubilados que consta en la 84 en el POA 2023 de la DTH.
Se redujo el saldo $ 18.470,34 y se lo sumó al py de jubilados DTH.
</t>
        </r>
        <r>
          <rPr>
            <b/>
            <sz val="9"/>
            <color rgb="FF000000"/>
            <rFont val="Tahoma"/>
            <family val="2"/>
          </rPr>
          <t>Reforma N° 5:
Se redujo $ 18.470,34 por reprogrmación de saldo, DPLAN.</t>
        </r>
      </text>
    </comment>
    <comment ref="G142" authorId="4" shapeId="0" xr:uid="{7A2D7C7A-B183-4504-B8E8-B4CB738A2EC9}">
      <text>
        <r>
          <rPr>
            <b/>
            <sz val="10"/>
            <color rgb="FF000000"/>
            <rFont val="Tahoma"/>
            <family val="2"/>
          </rPr>
          <t>Valeria Ramon Capa:</t>
        </r>
        <r>
          <rPr>
            <sz val="10"/>
            <color rgb="FF000000"/>
            <rFont val="Tahoma"/>
            <family val="2"/>
          </rPr>
          <t xml:space="preserve">
</t>
        </r>
      </text>
    </comment>
    <comment ref="E144" authorId="5" shapeId="0" xr:uid="{3A513901-CD24-4517-B142-791D6420B97D}">
      <text>
        <r>
          <rPr>
            <b/>
            <sz val="9"/>
            <color rgb="FF000000"/>
            <rFont val="Tahoma"/>
            <family val="2"/>
          </rPr>
          <t>Eunice Basilio:</t>
        </r>
        <r>
          <rPr>
            <sz val="9"/>
            <color rgb="FF000000"/>
            <rFont val="Tahoma"/>
            <family val="2"/>
          </rPr>
          <t xml:space="preserve">
Reforma N° 2:
Se incrementó $ 8.999,20 conforme archivo POA 2023 DBU.</t>
        </r>
      </text>
    </comment>
    <comment ref="F144" authorId="1" shapeId="0" xr:uid="{28E35587-7E3D-42CB-BABE-AA55A57C4C6E}">
      <text>
        <r>
          <rPr>
            <b/>
            <sz val="9"/>
            <color rgb="FF000000"/>
            <rFont val="Tahoma"/>
            <family val="2"/>
          </rPr>
          <t>LENOVO:</t>
        </r>
        <r>
          <rPr>
            <sz val="9"/>
            <color rgb="FF000000"/>
            <rFont val="Tahoma"/>
            <family val="2"/>
          </rPr>
          <t xml:space="preserve">
Reforma N° 3:
Se redujo $ 8.999,20, según memo N° DBUAC-2023-0124-M_03032023.</t>
        </r>
      </text>
    </comment>
    <comment ref="E145" authorId="3" shapeId="0" xr:uid="{6BC61E67-2915-4E01-A6B4-47F962C7EA9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$ 16.000,00 para liquidaciones personal administrativo, trabajadores, pago de alimentación, transporte, cargas familiares, antigüedad.
</t>
        </r>
        <r>
          <rPr>
            <b/>
            <sz val="9"/>
            <color rgb="FF000000"/>
            <rFont val="Tahoma"/>
            <family val="2"/>
          </rPr>
          <t>Reforma N° 3:</t>
        </r>
        <r>
          <rPr>
            <sz val="9"/>
            <color rgb="FF000000"/>
            <rFont val="Tahoma"/>
            <family val="2"/>
          </rPr>
          <t xml:space="preserve">
Se incrementó $ 10.000,00 atendiendo al memo N° UTMACH-DF-2023-0197-M_20052023.</t>
        </r>
      </text>
    </comment>
    <comment ref="F145" authorId="2" shapeId="0" xr:uid="{444EAF7C-3F2E-4B65-A3D7-EF24875A784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$ 4.000,00 Dir. Financiera por efecto de informe de seguimiento.</t>
        </r>
      </text>
    </comment>
    <comment ref="G147" authorId="4" shapeId="0" xr:uid="{73801DE8-D387-4C6A-8D8E-1F676004DA8A}">
      <text>
        <r>
          <rPr>
            <b/>
            <sz val="10"/>
            <color rgb="FF000000"/>
            <rFont val="Tahoma"/>
            <family val="2"/>
          </rPr>
          <t>Valeria Ramon Capa:</t>
        </r>
        <r>
          <rPr>
            <sz val="10"/>
            <color rgb="FF000000"/>
            <rFont val="Tahoma"/>
            <family val="2"/>
          </rPr>
          <t xml:space="preserve">
</t>
        </r>
        <r>
          <rPr>
            <sz val="10"/>
            <color rgb="FF000000"/>
            <rFont val="Tahoma"/>
            <family val="2"/>
          </rPr>
          <t>POA</t>
        </r>
      </text>
    </comment>
    <comment ref="F151" authorId="1" shapeId="0" xr:uid="{DBF67C55-CD4E-4ABB-A9C3-A9CE6F09E807}">
      <text>
        <r>
          <rPr>
            <b/>
            <sz val="9"/>
            <color rgb="FF000000"/>
            <rFont val="Tahoma"/>
            <family val="2"/>
          </rPr>
          <t xml:space="preserve">LENOVO:
Reforma N° 3:
</t>
        </r>
        <r>
          <rPr>
            <sz val="9"/>
            <color rgb="FF000000"/>
            <rFont val="Tahoma"/>
            <family val="2"/>
          </rPr>
          <t xml:space="preserve">Se reduce $ 40.000,00 para financiar Décimo Tercer Sueldo
</t>
        </r>
        <r>
          <rPr>
            <b/>
            <sz val="9"/>
            <color rgb="FF000000"/>
            <rFont val="Tahoma"/>
            <family val="2"/>
          </rPr>
          <t xml:space="preserve">Reforma N° 4:
</t>
        </r>
        <r>
          <rPr>
            <sz val="9"/>
            <color rgb="FF000000"/>
            <rFont val="Tahoma"/>
            <family val="2"/>
          </rPr>
          <t>Se reduce $ 262.000,00 para financiar la partida de servicios personales por contrato, por efectos del seguimiento presupuestario.
Se reduce $ 6.000,00 para financiar partida de décimo cuarto sueldo, por efectos del seguimiento presupuestario.
Se reduce $ 30.000,00 para financiar segundo plan de jubilación de la UTMACH, previsto a planificarse en septiembre.</t>
        </r>
      </text>
    </comment>
    <comment ref="K151" authorId="6" shapeId="0" xr:uid="{233C4742-31C9-4360-BB32-A01BF9B8B74E}">
      <text>
        <r>
          <rPr>
            <b/>
            <sz val="9"/>
            <color rgb="FF000000"/>
            <rFont val="Tahoma"/>
            <family val="2"/>
          </rPr>
          <t>Dirección Financiera:</t>
        </r>
        <r>
          <rPr>
            <sz val="9"/>
            <color rgb="FF000000"/>
            <rFont val="Tahoma"/>
            <family val="2"/>
          </rPr>
          <t xml:space="preserve">
</t>
        </r>
        <r>
          <rPr>
            <sz val="9"/>
            <color rgb="FF000000"/>
            <rFont val="Tahoma"/>
            <family val="2"/>
          </rPr>
          <t>500000 para concursos y promociones</t>
        </r>
      </text>
    </comment>
    <comment ref="E152" authorId="1" shapeId="0" xr:uid="{3F10C7DC-2089-4967-ADA1-353E88CEC370}">
      <text>
        <r>
          <rPr>
            <b/>
            <sz val="9"/>
            <color rgb="FF000000"/>
            <rFont val="Tahoma"/>
            <family val="2"/>
          </rPr>
          <t>LENOVO:</t>
        </r>
        <r>
          <rPr>
            <sz val="9"/>
            <color rgb="FF000000"/>
            <rFont val="Tahoma"/>
            <family val="2"/>
          </rPr>
          <t xml:space="preserve">
Reforma N° 3:
Se incrementó $ 100.000,00 para financiar Décimo Tercer Sueldo.</t>
        </r>
      </text>
    </comment>
    <comment ref="E153" authorId="0" shapeId="0" xr:uid="{FFE801BC-D0BF-45D2-879C-FA13D50009D3}">
      <text>
        <r>
          <rPr>
            <b/>
            <sz val="9"/>
            <color rgb="FF000000"/>
            <rFont val="Tahoma"/>
            <family val="2"/>
          </rPr>
          <t>Microsoft Office User:</t>
        </r>
        <r>
          <rPr>
            <sz val="9"/>
            <color rgb="FF000000"/>
            <rFont val="Tahoma"/>
            <family val="2"/>
          </rPr>
          <t xml:space="preserve">
Reforma N° 4:
Se incrementa $ 6.000,00 para financiar partida de décimo cuarto sueldo, por efectos del seguimiento presupuestario.</t>
        </r>
      </text>
    </comment>
    <comment ref="E154" authorId="0" shapeId="0" xr:uid="{7DDEE3E7-C5AF-414D-A041-7B9DA0F2ADCF}">
      <text>
        <r>
          <rPr>
            <b/>
            <sz val="9"/>
            <color rgb="FF000000"/>
            <rFont val="Tahoma"/>
            <family val="2"/>
          </rPr>
          <t xml:space="preserve">Microsoft Office User:
Reforma N° 4:
</t>
        </r>
        <r>
          <rPr>
            <sz val="9"/>
            <color rgb="FF000000"/>
            <rFont val="Tahoma"/>
            <family val="2"/>
          </rPr>
          <t>Se incrementa $ 262.000,00 para financiar la partida de servicios personales por contrato, por efectos del seguimiento presupuestario.</t>
        </r>
      </text>
    </comment>
    <comment ref="E157" authorId="1" shapeId="0" xr:uid="{BF5B7CFD-9E70-44A3-840E-32C12BA8251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$4.000,00</t>
        </r>
      </text>
    </comment>
    <comment ref="E158" authorId="4" shapeId="0" xr:uid="{660A3A98-2794-47A3-B9A2-322E0E328211}">
      <text>
        <r>
          <rPr>
            <b/>
            <sz val="8"/>
            <color rgb="FF000000"/>
            <rFont val="Tahoma"/>
            <family val="2"/>
          </rPr>
          <t>Valeria Ramon Capa:</t>
        </r>
        <r>
          <rPr>
            <sz val="8"/>
            <color rgb="FF000000"/>
            <rFont val="Tahoma"/>
            <family val="2"/>
          </rPr>
          <t xml:space="preserve">
</t>
        </r>
        <r>
          <rPr>
            <b/>
            <sz val="9"/>
            <color rgb="FF000000"/>
            <rFont val="Tahoma"/>
            <family val="2"/>
          </rPr>
          <t xml:space="preserve">Reforma N° 3:
</t>
        </r>
        <r>
          <rPr>
            <sz val="9"/>
            <color rgb="FF000000"/>
            <rFont val="Tahoma"/>
            <family val="2"/>
          </rPr>
          <t>Se incrementa $1.509,87 según memo N° UTMACH-DIPOS-2023-0160-M_19052023.</t>
        </r>
      </text>
    </comment>
    <comment ref="F158" authorId="2" shapeId="0" xr:uid="{9D79C84C-AAFA-40D5-810A-4B6DEE4EDEFB}">
      <text>
        <r>
          <rPr>
            <b/>
            <sz val="9"/>
            <color rgb="FF000000"/>
            <rFont val="Tahoma"/>
            <family val="2"/>
          </rPr>
          <t>Admin:</t>
        </r>
        <r>
          <rPr>
            <sz val="9"/>
            <color rgb="FF000000"/>
            <rFont val="Tahoma"/>
            <family val="2"/>
          </rPr>
          <t xml:space="preserve">
Reforma N° 4:
Se redujo $ 1.209,87 DIPOS por efecto de informe de seguimiento.</t>
        </r>
      </text>
    </comment>
    <comment ref="F159" authorId="2" shapeId="0" xr:uid="{A2A2AC58-3928-40A5-BC2C-88022F5A2BC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$ 2.410,40 DIPOS por efecto de informe de seguimiento.
</t>
        </r>
        <r>
          <rPr>
            <sz val="9"/>
            <color rgb="FF000000"/>
            <rFont val="Tahoma"/>
            <family val="2"/>
          </rPr>
          <t xml:space="preserve">
</t>
        </r>
        <r>
          <rPr>
            <sz val="9"/>
            <color rgb="FF000000"/>
            <rFont val="Tahoma"/>
            <family val="2"/>
          </rPr>
          <t>Se redujo $ 1.000,16 Dir. Formación Profesional por efecto de informe de seguimiento.</t>
        </r>
      </text>
    </comment>
    <comment ref="E160" authorId="3" shapeId="0" xr:uid="{D3C88310-B7D5-4252-BD89-30868F3FF5F2}">
      <text>
        <r>
          <rPr>
            <b/>
            <sz val="9"/>
            <color rgb="FF000000"/>
            <rFont val="Tahoma"/>
            <family val="2"/>
          </rPr>
          <t>HP:</t>
        </r>
        <r>
          <rPr>
            <sz val="9"/>
            <color rgb="FF000000"/>
            <rFont val="Tahoma"/>
            <family val="2"/>
          </rPr>
          <t xml:space="preserve">
Reforma N° 2:
Se incrementó $ 5.040,00 FCQS.</t>
        </r>
      </text>
    </comment>
    <comment ref="F160" authorId="2" shapeId="0" xr:uid="{D49DEC9B-DFE4-4989-AD1C-2A3B671900B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$ 540,00 FCQS según informe de seguimiento.</t>
        </r>
      </text>
    </comment>
    <comment ref="E161" authorId="3" shapeId="0" xr:uid="{7DDA1F88-A4CF-40DF-9125-C38A82C3C9A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83.935,78 para Dir. Administrativa
Se eliminó porque no se puede cruzar del grupo 84 al grupo 53.
Se incrementó $ 14.752,06 por saldo positivo y cuadre final de la fuente 1.
Cómo quedó en el POA:
711.513,00 DIR ADMINISTRATIVA
Se incrementó 5.448,78
</t>
        </r>
        <r>
          <rPr>
            <b/>
            <sz val="9"/>
            <color rgb="FF000000"/>
            <rFont val="Tahoma"/>
            <family val="2"/>
          </rPr>
          <t>Reforma N° 4:</t>
        </r>
        <r>
          <rPr>
            <sz val="9"/>
            <color rgb="FF000000"/>
            <rFont val="Tahoma"/>
            <family val="2"/>
          </rPr>
          <t xml:space="preserve">
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F161" authorId="3" shapeId="0" xr:uid="{DD258C02-81C9-4BAD-A1A5-7BD1773A4297}">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$ 6.720,00 Dir. Aseguramiento de la Calidad.
$ 6.720,00 FIC
</t>
        </r>
        <r>
          <rPr>
            <b/>
            <sz val="9"/>
            <color rgb="FF000000"/>
            <rFont val="Tahoma"/>
            <family val="2"/>
          </rPr>
          <t>Reforma N° 3:</t>
        </r>
        <r>
          <rPr>
            <sz val="9"/>
            <color rgb="FF000000"/>
            <rFont val="Tahoma"/>
            <family val="2"/>
          </rPr>
          <t xml:space="preserve">
Se redujo $1.365,00 por atención de Memo N° UTMACH-DAC-2023-0133-M
</t>
        </r>
        <r>
          <rPr>
            <b/>
            <sz val="9"/>
            <color rgb="FF000000"/>
            <rFont val="Tahoma"/>
            <family val="2"/>
          </rPr>
          <t>Reforma N° 4:</t>
        </r>
        <r>
          <rPr>
            <sz val="9"/>
            <color rgb="FF000000"/>
            <rFont val="Tahoma"/>
            <family val="2"/>
          </rPr>
          <t xml:space="preserve">
Se reduce $ 711.513,00 por cambio de partida de inversión del Proyecto de Inversión " Adecuación de infraestructura y equipamiento Universidad Técnica de Machala".
</t>
        </r>
        <r>
          <rPr>
            <b/>
            <sz val="9"/>
            <color rgb="FF000000"/>
            <rFont val="Tahoma"/>
            <family val="2"/>
          </rPr>
          <t>Reforma N° 5:</t>
        </r>
        <r>
          <rPr>
            <sz val="9"/>
            <color rgb="FF000000"/>
            <rFont val="Tahoma"/>
            <family val="2"/>
          </rPr>
          <t xml:space="preserve">
Se redujo $ 2.550,00 según memo N° DAC-2023-0275-M_14092023.
Se redujo $ 520,10 por ser saldo no ejecutado, DAC.
Se redujo $ 43.678,14 por ser saldo no ejecutado, DBUAC.</t>
        </r>
      </text>
    </comment>
    <comment ref="E162" authorId="3" shapeId="0" xr:uid="{ED9F6A5F-62A7-497F-8162-E43F439A8BB2}">
      <text>
        <r>
          <rPr>
            <b/>
            <sz val="9"/>
            <color rgb="FF000000"/>
            <rFont val="Tahoma"/>
            <family val="2"/>
          </rPr>
          <t>HP:</t>
        </r>
        <r>
          <rPr>
            <sz val="9"/>
            <color rgb="FF000000"/>
            <rFont val="Tahoma"/>
            <family val="2"/>
          </rPr>
          <t xml:space="preserve">
Reforma N° 2:
Se incrementó $ 77.722,59 DBUAC.</t>
        </r>
      </text>
    </comment>
    <comment ref="F162" authorId="2" shapeId="0" xr:uid="{7966EFB9-A1FA-4666-9732-85DECF0E167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t>
        </r>
      </text>
    </comment>
    <comment ref="E163" authorId="3" shapeId="0" xr:uid="{C0FBD2FF-C270-4CF4-A1E4-7B3D3CA9E08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$ 5.666,86 para adecuación de Sala de Docentes de la Carrera de Enfermería en la FCQS. UTMACH EP EMPRESA PUBLICA
Se incrementó $ 44.380,00 según Memorando N° FCS-D-2023-0062-M del 23/01/2023.
Se incrementó $ 250.000,00 para DBUAC Adecuación de espacios de bienestar deportivos.
Se eliminó porque no se puede cruzar de la 84 al grupo 53.
Se incrementó $ 123.677,98 para DBUAC Adecuación de espacios de bienestar deportivos.
Por saldo a favor y cuadre final de la fuente 3.
</t>
        </r>
        <r>
          <rPr>
            <b/>
            <sz val="9"/>
            <color rgb="FF000000"/>
            <rFont val="Tahoma"/>
            <family val="2"/>
          </rPr>
          <t>Reforma N° 3:</t>
        </r>
        <r>
          <rPr>
            <sz val="9"/>
            <color rgb="FF000000"/>
            <rFont val="Tahoma"/>
            <family val="2"/>
          </rPr>
          <t xml:space="preserve">
Se incrementó $ 3.224,44 según memo N° FIC-D-2023-0217-M_09052023 (por cuadre de fuente).</t>
        </r>
      </text>
    </comment>
    <comment ref="F163" authorId="4" shapeId="0" xr:uid="{48CAF370-9FA9-4BF8-BF77-24D362420A67}">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redujo $ 44.380,00 FCS en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$ 123.677,98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 en la misma partida con fuente 001.
</t>
        </r>
      </text>
    </comment>
    <comment ref="F164" authorId="3" shapeId="0" xr:uid="{A5F8A029-ED2C-40B3-A958-FED6DA82B18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$ 9.200,00 Dir. Administrativa.
</t>
        </r>
        <r>
          <rPr>
            <b/>
            <sz val="9"/>
            <color rgb="FF000000"/>
            <rFont val="Tahoma"/>
            <family val="2"/>
          </rPr>
          <t>Reforma N° 3:</t>
        </r>
        <r>
          <rPr>
            <sz val="9"/>
            <color rgb="FF000000"/>
            <rFont val="Tahoma"/>
            <family val="2"/>
          </rPr>
          <t xml:space="preserve">
Se reduce $ 4.024,45 según memo N° FIC-D-2023-0217-M_09052023.</t>
        </r>
      </text>
    </comment>
    <comment ref="E165" authorId="2" shapeId="0" xr:uid="{405A4D3C-DA8A-4D1E-82F4-72FE5862466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$ 50.000,00 según memo N</t>
        </r>
        <r>
          <rPr>
            <sz val="9"/>
            <color rgb="FF000000"/>
            <rFont val="Tahoma"/>
            <family val="2"/>
          </rPr>
          <t>°</t>
        </r>
        <r>
          <rPr>
            <sz val="9"/>
            <color rgb="FF000000"/>
            <rFont val="Tahoma"/>
            <family val="2"/>
          </rPr>
          <t xml:space="preserve"> UTMACH-FCA-D-2023-0571-M_28072023 para Estudios especializados para la construcción del bloque de laboratorios de la FCA.</t>
        </r>
      </text>
    </comment>
    <comment ref="F165" authorId="3" shapeId="0" xr:uid="{353184E3-995A-4620-9527-0422FF4F46C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Se redujo $31.807,16 Dir.Académica por Memo nro DACAD-2023-0133 y en virtud de oficio Nro. MEF-SP-2023-0501 para atender Memo Nro. 0399 de DADM.</t>
        </r>
      </text>
    </comment>
    <comment ref="F166" authorId="5" shapeId="0" xr:uid="{F1556C0D-5C9B-4D44-AFAE-560B256FE1F1}">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$ 3.590,15 para cubrir contratos de años anteriores y disponibilidades de nuevas necesidades.
</t>
        </r>
        <r>
          <rPr>
            <b/>
            <sz val="9"/>
            <color rgb="FF000000"/>
            <rFont val="Tahoma"/>
            <family val="2"/>
          </rPr>
          <t xml:space="preserve">Reforma N° 3:
</t>
        </r>
        <r>
          <rPr>
            <sz val="9"/>
            <color rgb="FF000000"/>
            <rFont val="Tahoma"/>
            <family val="2"/>
          </rPr>
          <t>Se redujo $20.000 DTH por seguimiento y en virtud de oficio Nro. MEF-SP-2023-0501 para atender Memo Nro. 0399 de DADM.
Se redujo $6.456,36 a DTH por cuadre de fuente.</t>
        </r>
      </text>
    </comment>
    <comment ref="E167" authorId="3" shapeId="0" xr:uid="{8A0BBBBD-8F0D-4145-B797-F9C2DFBA1C7A}">
      <text>
        <r>
          <rPr>
            <b/>
            <sz val="9"/>
            <color rgb="FF000000"/>
            <rFont val="Tahoma"/>
            <family val="2"/>
          </rPr>
          <t>HP:</t>
        </r>
        <r>
          <rPr>
            <sz val="9"/>
            <color rgb="FF000000"/>
            <rFont val="Tahoma"/>
            <family val="2"/>
          </rPr>
          <t xml:space="preserve">
Reforma N° 2:
Se incrementó $ 20.000,00 Vic. Académico.</t>
        </r>
      </text>
    </comment>
    <comment ref="F167" authorId="4" shapeId="0" xr:uid="{0E594FD5-9BFB-4A1B-ABED-8906D0D18545}">
      <text>
        <r>
          <rPr>
            <b/>
            <sz val="9"/>
            <color rgb="FF000000"/>
            <rFont val="Tahoma"/>
            <family val="34"/>
          </rPr>
          <t>Valeria Ramon Capa:</t>
        </r>
        <r>
          <rPr>
            <sz val="9"/>
            <color rgb="FF000000"/>
            <rFont val="Tahoma"/>
            <family val="34"/>
          </rPr>
          <t xml:space="preserve">
</t>
        </r>
        <r>
          <rPr>
            <b/>
            <sz val="9"/>
            <color rgb="FF000000"/>
            <rFont val="Tahoma"/>
            <family val="2"/>
          </rPr>
          <t>Reforma N° 3:</t>
        </r>
        <r>
          <rPr>
            <sz val="9"/>
            <color rgb="FF000000"/>
            <rFont val="Tahoma"/>
            <family val="34"/>
          </rPr>
          <t xml:space="preserve">
Se redujo $30.000,00 a Vic. Académico por seguimiento y en virtud de oficio Nro. MEF-SP-2023-0501 para atender Memo Nro. 0399 de DADM.
</t>
        </r>
        <r>
          <rPr>
            <b/>
            <sz val="9"/>
            <color rgb="FF000000"/>
            <rFont val="Tahoma"/>
            <family val="2"/>
          </rPr>
          <t>Reforma N° 4:</t>
        </r>
        <r>
          <rPr>
            <sz val="9"/>
            <color rgb="FF000000"/>
            <rFont val="Tahoma"/>
            <family val="34"/>
          </rPr>
          <t xml:space="preserve">
Se redujo $ 5.714,28 Vic. Académico por efecto de informe de seguimiento.</t>
        </r>
      </text>
    </comment>
    <comment ref="F168" authorId="3" shapeId="0" xr:uid="{BED08FE4-297B-4019-868E-5EB39C800369}">
      <text>
        <r>
          <rPr>
            <b/>
            <sz val="9"/>
            <color rgb="FF000000"/>
            <rFont val="Tahoma"/>
            <family val="2"/>
          </rPr>
          <t>HP:</t>
        </r>
        <r>
          <rPr>
            <sz val="9"/>
            <color rgb="FF000000"/>
            <rFont val="Tahoma"/>
            <family val="2"/>
          </rPr>
          <t xml:space="preserve">
Reforma N° 2:
Se redujo $ 22.400,00 Vic. Académico.</t>
        </r>
      </text>
    </comment>
    <comment ref="E169" authorId="3" shapeId="0" xr:uid="{F6E8A8D5-C004-46DC-A695-7A6E8E88E979}">
      <text>
        <r>
          <rPr>
            <b/>
            <sz val="9"/>
            <color rgb="FF000000"/>
            <rFont val="Tahoma"/>
            <family val="2"/>
          </rPr>
          <t>HP:</t>
        </r>
        <r>
          <rPr>
            <sz val="9"/>
            <color rgb="FF000000"/>
            <rFont val="Tahoma"/>
            <family val="2"/>
          </rPr>
          <t xml:space="preserve">
Reforma N° 2:
Se incrementó $ 34.151,28 Dir. Formación Profesional.</t>
        </r>
      </text>
    </comment>
    <comment ref="F169" authorId="1" shapeId="0" xr:uid="{4570D957-9950-4270-A3AD-D37AE0AC24ED}">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$ 35.211,30 Dir. Formación Profesional por efecto de informe de seguimiento.</t>
        </r>
      </text>
    </comment>
    <comment ref="E170" authorId="5" shapeId="0" xr:uid="{C04229E0-B34F-4877-A953-F0D09F6F7089}">
      <text>
        <r>
          <rPr>
            <b/>
            <sz val="9"/>
            <color rgb="FF000000"/>
            <rFont val="Tahoma"/>
            <family val="2"/>
          </rPr>
          <t>Eunice Basilio:</t>
        </r>
        <r>
          <rPr>
            <sz val="9"/>
            <color rgb="FF000000"/>
            <rFont val="Tahoma"/>
            <family val="2"/>
          </rPr>
          <t xml:space="preserve">
Reforma N° 3:
Se incrementó $ 4.000,00-0,63 según memo N° DTIC-2023-0088-M_04052023.</t>
        </r>
      </text>
    </comment>
    <comment ref="F170" authorId="3" shapeId="0" xr:uid="{F4587DFE-CDD5-4AD5-93B1-34158B94BAC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$ 10.640,00 DTIC.
</t>
        </r>
        <r>
          <rPr>
            <b/>
            <sz val="9"/>
            <color rgb="FF000000"/>
            <rFont val="Tahoma"/>
            <family val="2"/>
          </rPr>
          <t>Reforma N° 3:</t>
        </r>
        <r>
          <rPr>
            <sz val="9"/>
            <color rgb="FF000000"/>
            <rFont val="Tahoma"/>
            <family val="2"/>
          </rPr>
          <t xml:space="preserve">
Se redujo $ 4.352,39 según memo N° DTIC-2023-0088-M_04052023.
</t>
        </r>
        <r>
          <rPr>
            <b/>
            <sz val="9"/>
            <color rgb="FF000000"/>
            <rFont val="Tahoma"/>
            <family val="2"/>
          </rPr>
          <t>Reforma N° 5:</t>
        </r>
        <r>
          <rPr>
            <sz val="9"/>
            <color rgb="FF000000"/>
            <rFont val="Tahoma"/>
            <family val="2"/>
          </rPr>
          <t xml:space="preserve">
Se redujo $ 2.068,40 por ser saldo no ejecutado, DTICS.</t>
        </r>
      </text>
    </comment>
    <comment ref="E171" authorId="4" shapeId="0" xr:uid="{8D207D8C-D293-406D-AC04-4993EFAA71F9}">
      <text>
        <r>
          <rPr>
            <b/>
            <sz val="9"/>
            <color rgb="FF000000"/>
            <rFont val="Tahoma"/>
            <family val="2"/>
          </rPr>
          <t xml:space="preserve">Valeria Ramon Capa:
</t>
        </r>
        <r>
          <rPr>
            <sz val="9"/>
            <color rgb="FF000000"/>
            <rFont val="Tahoma"/>
            <family val="2"/>
          </rPr>
          <t>Reforma N° 3:
Se incrementa $157,33 de fondo de caja chica de FCA.</t>
        </r>
      </text>
    </comment>
    <comment ref="F172" authorId="4" shapeId="0" xr:uid="{D27E8BBE-C4B6-4F62-AA74-13E08AA43566}">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$1.509,87 según memo N° UTMACH-DIPOS-2023-0160-M_19052023.</t>
        </r>
      </text>
    </comment>
    <comment ref="E173" authorId="4" shapeId="0" xr:uid="{AC2D406E-759F-4B88-B47A-9DD91C1A3675}">
      <text>
        <r>
          <rPr>
            <b/>
            <sz val="9"/>
            <color rgb="FF000000"/>
            <rFont val="Tahoma"/>
            <family val="2"/>
          </rPr>
          <t>Valeria Ramon Capa:</t>
        </r>
        <r>
          <rPr>
            <sz val="9"/>
            <color rgb="FF000000"/>
            <rFont val="Tahoma"/>
            <family val="2"/>
          </rPr>
          <t xml:space="preserve">
Reforma N° 3:
Se incrementa $157,34 por distribución de fondo de caja chica de la FCA - correo 13062023.</t>
        </r>
      </text>
    </comment>
    <comment ref="F173" authorId="3" shapeId="0" xr:uid="{61AA9289-DF53-40B4-A648-8DD9A310529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$ 7.260,96 FCS.
</t>
        </r>
        <r>
          <rPr>
            <b/>
            <sz val="9"/>
            <color rgb="FF000000"/>
            <rFont val="Tahoma"/>
            <family val="2"/>
          </rPr>
          <t>Reforma N° 4:</t>
        </r>
        <r>
          <rPr>
            <sz val="9"/>
            <color rgb="FF000000"/>
            <rFont val="Tahoma"/>
            <family val="2"/>
          </rPr>
          <t xml:space="preserve">
Se redujo $ 1.194,00 FCA por efecto de informe de seguimiento (Certi. N° 259).</t>
        </r>
      </text>
    </comment>
    <comment ref="E174" authorId="4" shapeId="0" xr:uid="{B618CF47-CF42-4C32-A1B4-6065B2F1C115}">
      <text>
        <r>
          <rPr>
            <b/>
            <sz val="9"/>
            <color rgb="FF000000"/>
            <rFont val="Tahoma"/>
            <family val="2"/>
          </rPr>
          <t xml:space="preserve">Valeria Ramon Capa:
</t>
        </r>
        <r>
          <rPr>
            <sz val="9"/>
            <color rgb="FF000000"/>
            <rFont val="Tahoma"/>
            <family val="2"/>
          </rPr>
          <t>Reforma N° 3:
Se incrementa $157,33 por distribución de fondo de caja chica de la FCA - correo 13062023.</t>
        </r>
      </text>
    </comment>
    <comment ref="F174" authorId="1" shapeId="0" xr:uid="{0B4DBE55-C1AF-4A11-BBDF-372A012B39AB}">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$ 327,68 según memo N° FCA-D-2023-0249-M_05052023.
</t>
        </r>
        <r>
          <rPr>
            <b/>
            <sz val="9"/>
            <color rgb="FF000000"/>
            <rFont val="Tahoma"/>
            <family val="2"/>
          </rPr>
          <t>Reforma N° 5:</t>
        </r>
        <r>
          <rPr>
            <sz val="9"/>
            <color rgb="FF000000"/>
            <rFont val="Tahoma"/>
            <family val="2"/>
          </rPr>
          <t xml:space="preserve">
Se redujo $ 18,17 por ser saldo no ejecutado, FCA.</t>
        </r>
      </text>
    </comment>
    <comment ref="E175" authorId="2" shapeId="0" xr:uid="{06BF657C-6E07-4DDB-9468-E641A660EBAD}">
      <text>
        <r>
          <rPr>
            <b/>
            <sz val="9"/>
            <color indexed="81"/>
            <rFont val="Tahoma"/>
            <family val="2"/>
          </rPr>
          <t>Admin:</t>
        </r>
        <r>
          <rPr>
            <sz val="9"/>
            <color indexed="81"/>
            <rFont val="Tahoma"/>
            <family val="2"/>
          </rPr>
          <t xml:space="preserve">
Reforma N° 5:
Se incrementa $ 1.996,00 según memo N° DAC-2023-0275-M_14092023.</t>
        </r>
      </text>
    </comment>
    <comment ref="E176" authorId="0" shapeId="0" xr:uid="{F564A3BD-C6F3-4C24-9A9F-D06EB4973072}">
      <text>
        <r>
          <rPr>
            <b/>
            <sz val="9"/>
            <color rgb="FF000000"/>
            <rFont val="Tahoma"/>
            <family val="2"/>
          </rPr>
          <t>Microsoft Office User:</t>
        </r>
        <r>
          <rPr>
            <sz val="9"/>
            <color rgb="FF000000"/>
            <rFont val="Tahoma"/>
            <family val="2"/>
          </rPr>
          <t xml:space="preserve">
Reforma N° 4:
Se incrementa $ 64.443,90 en el POA de DADM para atender memo nro. UTMACH-DADM-2023-0725-M.</t>
        </r>
      </text>
    </comment>
    <comment ref="F176" authorId="2" shapeId="0" xr:uid="{452C18AB-0C79-42F4-9C97-E5E6F05368C0}">
      <text>
        <r>
          <rPr>
            <b/>
            <sz val="9"/>
            <color indexed="81"/>
            <rFont val="Tahoma"/>
            <family val="2"/>
          </rPr>
          <t>Admin:</t>
        </r>
        <r>
          <rPr>
            <sz val="9"/>
            <color indexed="81"/>
            <rFont val="Tahoma"/>
            <family val="2"/>
          </rPr>
          <t xml:space="preserve">
Reforma N° 5:
Se redujo $ 6.904,70 por ser saldo no ejecutado (IVA), Dir. Adm.</t>
        </r>
      </text>
    </comment>
    <comment ref="E177" authorId="3" shapeId="0" xr:uid="{D78E410C-E5E2-4F6F-B7FC-46DB0EB5DE2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F177" authorId="4" shapeId="0" xr:uid="{36420F17-F06B-432D-8B7A-271673F21E63}">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$2.280 a FCS por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$ 229,32 FCE según informe de seguimiento.</t>
        </r>
      </text>
    </comment>
    <comment ref="F178" authorId="2" shapeId="0" xr:uid="{28A01D7F-29C6-4C79-95D0-7E9F13F80A0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$ 56,80 FCA por efecto de informe de seguimiento (Cert. N</t>
        </r>
        <r>
          <rPr>
            <sz val="9"/>
            <color rgb="FF000000"/>
            <rFont val="Tahoma"/>
            <family val="2"/>
          </rPr>
          <t>°</t>
        </r>
        <r>
          <rPr>
            <sz val="9"/>
            <color rgb="FF000000"/>
            <rFont val="Tahoma"/>
            <family val="2"/>
          </rPr>
          <t xml:space="preserve"> 202).</t>
        </r>
      </text>
    </comment>
    <comment ref="F179" authorId="2" shapeId="0" xr:uid="{B85CF988-6507-4B78-905F-63FD5E4410B6}">
      <text>
        <r>
          <rPr>
            <b/>
            <sz val="9"/>
            <color indexed="81"/>
            <rFont val="Tahoma"/>
            <family val="2"/>
          </rPr>
          <t>Admin:</t>
        </r>
        <r>
          <rPr>
            <sz val="9"/>
            <color indexed="81"/>
            <rFont val="Tahoma"/>
            <family val="2"/>
          </rPr>
          <t xml:space="preserve">
Reforma N° 5:
Se redujo $ 67,00 por ser saldo no ejecutado, FCA.</t>
        </r>
      </text>
    </comment>
    <comment ref="E180" authorId="3" shapeId="0" xr:uid="{55F5C0ED-4EAA-41BE-9671-2BA1D6B8D4E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$ 231,46 de acuerdo al POA 2023 de la FCE presentado.</t>
        </r>
      </text>
    </comment>
    <comment ref="F180" authorId="2" shapeId="0" xr:uid="{86C5DDA6-F6A1-4E17-B0BD-ACC71D345D0E}">
      <text>
        <r>
          <rPr>
            <b/>
            <sz val="9"/>
            <color indexed="81"/>
            <rFont val="Tahoma"/>
            <family val="2"/>
          </rPr>
          <t>Admin:</t>
        </r>
        <r>
          <rPr>
            <sz val="9"/>
            <color indexed="81"/>
            <rFont val="Tahoma"/>
            <family val="2"/>
          </rPr>
          <t xml:space="preserve">
Reforma N° 5:
Se redujo $ 105,24 por ser saldo no ejecutado, FCA.</t>
        </r>
      </text>
    </comment>
    <comment ref="F181" authorId="1" shapeId="0" xr:uid="{3E8F07F0-BCCF-4296-8422-5C1964508868}">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$ 2.755,31 según memo N</t>
        </r>
        <r>
          <rPr>
            <sz val="9"/>
            <color rgb="FF000000"/>
            <rFont val="Tahoma"/>
            <family val="2"/>
          </rPr>
          <t>°</t>
        </r>
        <r>
          <rPr>
            <sz val="9"/>
            <color rgb="FF000000"/>
            <rFont val="Tahoma"/>
            <family val="2"/>
          </rPr>
          <t xml:space="preserve"> FCS-D-2023-0460-M_23052023 y reunión de seguimiento de seguimiento, en virtud de oficio Nro. MEF-SP-2023-0501 para atender Memo Nro. 0399 de DADM.</t>
        </r>
      </text>
    </comment>
    <comment ref="F182" authorId="4" shapeId="0" xr:uid="{DC70B759-C1FE-4CDE-A7BB-F73169CCCD4E}">
      <text>
        <r>
          <rPr>
            <b/>
            <sz val="9"/>
            <color rgb="FF000000"/>
            <rFont val="Tahoma"/>
            <family val="2"/>
          </rPr>
          <t>Valeria Ramon Capa:</t>
        </r>
        <r>
          <rPr>
            <sz val="9"/>
            <color rgb="FF000000"/>
            <rFont val="Tahoma"/>
            <family val="2"/>
          </rPr>
          <t xml:space="preserve">
Reforma N 3:
Se reduce $472 por solicitud de FCA vía Correo 12062023.</t>
        </r>
      </text>
    </comment>
    <comment ref="E183" authorId="3" shapeId="0" xr:uid="{3DD544DA-169D-48F7-840D-79C4B73EE8E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$ 10.164,16, según Memorando N° UTMACH-DBUAC-2023-0009-M del 10/01/2023
</t>
        </r>
        <r>
          <rPr>
            <b/>
            <sz val="9"/>
            <color rgb="FF000000"/>
            <rFont val="Tahoma"/>
            <family val="2"/>
          </rPr>
          <t>Reforma N° 5:</t>
        </r>
        <r>
          <rPr>
            <sz val="9"/>
            <color rgb="FF000000"/>
            <rFont val="Tahoma"/>
            <family val="2"/>
          </rPr>
          <t xml:space="preserve">
Se incrementó $ 10.000,00 según memo N° DBUAC-2023-0792-M_18092023.</t>
        </r>
      </text>
    </comment>
    <comment ref="F183" authorId="2" shapeId="0" xr:uid="{06F2BA5B-0F40-4C58-898B-B71C80B6C108}">
      <text>
        <r>
          <rPr>
            <b/>
            <sz val="9"/>
            <color rgb="FF000000"/>
            <rFont val="Tahoma"/>
            <family val="2"/>
          </rPr>
          <t>Admin:</t>
        </r>
        <r>
          <rPr>
            <sz val="9"/>
            <color rgb="FF000000"/>
            <rFont val="Tahoma"/>
            <family val="2"/>
          </rPr>
          <t xml:space="preserve">
Reforma N° 4:
Se redujo $ 77.722,59 DBUAC por efecto de informe de seguimiento. (Cert. N° 149).</t>
        </r>
      </text>
    </comment>
    <comment ref="E184" authorId="3" shapeId="0" xr:uid="{F6A2C390-D8C5-4938-8E74-A991A7CBA0FE}">
      <text>
        <r>
          <rPr>
            <b/>
            <sz val="9"/>
            <color rgb="FF000000"/>
            <rFont val="Tahoma"/>
            <family val="2"/>
          </rPr>
          <t>HP:</t>
        </r>
        <r>
          <rPr>
            <sz val="9"/>
            <color rgb="FF000000"/>
            <rFont val="Tahoma"/>
            <family val="2"/>
          </rPr>
          <t xml:space="preserve">
Reforma N° 2:
Se incrementó $ 118.070,00 según Oficio N° UTMACH-DBUAC-2023-0006-M del 06/En/2023, solo se atendió INCREMENTO NECESARIO PARA PAO 2023 -1 (5 MESES).</t>
        </r>
      </text>
    </comment>
    <comment ref="E186" authorId="3" shapeId="0" xr:uid="{F9552C47-7461-40D1-95EE-55979553C5D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$ 33.214,12 para Repotenciación de la Línea de Media Tensión 13200 VAC, en el Campus principal de la UTMACH. - UTMACH EP.</t>
        </r>
      </text>
    </comment>
    <comment ref="D187" authorId="4" shapeId="0" xr:uid="{613D0CD3-8CB4-47B4-8CB5-BCFE4A7D4159}">
      <text>
        <r>
          <rPr>
            <b/>
            <sz val="9"/>
            <color rgb="FF000000"/>
            <rFont val="Tahoma"/>
            <family val="2"/>
          </rPr>
          <t>Valeria Ramon Capa:</t>
        </r>
        <r>
          <rPr>
            <sz val="9"/>
            <color rgb="FF000000"/>
            <rFont val="Tahoma"/>
            <family val="2"/>
          </rPr>
          <t xml:space="preserve">
Este valor consta en el POA de Dirección Administrativa.</t>
        </r>
      </text>
    </comment>
    <comment ref="E188" authorId="0" shapeId="0" xr:uid="{0C1A8500-9F78-4B84-A26A-6C712174E0B3}">
      <text>
        <r>
          <rPr>
            <b/>
            <sz val="9"/>
            <color rgb="FF000000"/>
            <rFont val="Tahoma"/>
            <family val="2"/>
          </rPr>
          <t>Microsoft Office User:</t>
        </r>
        <r>
          <rPr>
            <sz val="9"/>
            <color rgb="FF000000"/>
            <rFont val="Tahoma"/>
            <family val="2"/>
          </rPr>
          <t xml:space="preserve">
Reforma N° 4:
Se incrementa $ 28.840,00 para la fiscalización de la ejecución del Proyecto de Inversión " Adecuación de infraestructura y equipamiento Universidad Técnica de Machala", en el POA de DADM.</t>
        </r>
      </text>
    </comment>
    <comment ref="E190" authorId="2" shapeId="0" xr:uid="{90FDF129-AFF2-4448-87FC-D62AA361A431}">
      <text>
        <r>
          <rPr>
            <b/>
            <sz val="9"/>
            <color rgb="FF000000"/>
            <rFont val="Tahoma"/>
            <family val="2"/>
          </rPr>
          <t>Admin:</t>
        </r>
        <r>
          <rPr>
            <sz val="9"/>
            <color rgb="FF000000"/>
            <rFont val="Tahoma"/>
            <family val="2"/>
          </rPr>
          <t xml:space="preserve">
Reforma N° 4:
Se incrementa $ 639.186,31 por cambio de partida del Proyecto de Inversión " Adecuación de infraestructura y equipamiento Universidad Técnica de Machala", en el POA de DADM.</t>
        </r>
      </text>
    </comment>
    <comment ref="F190" authorId="2" shapeId="0" xr:uid="{66BF3582-2179-4078-96D3-4DD9B755D3B3}">
      <text>
        <r>
          <rPr>
            <b/>
            <sz val="9"/>
            <color indexed="81"/>
            <rFont val="Tahoma"/>
            <family val="2"/>
          </rPr>
          <t>Admin:</t>
        </r>
        <r>
          <rPr>
            <sz val="9"/>
            <color indexed="81"/>
            <rFont val="Tahoma"/>
            <family val="2"/>
          </rPr>
          <t xml:space="preserve">
Reforma N° 5:
Se redujo $ 68484,25 por ser saldo no ejecutado, Dir. Adm.</t>
        </r>
      </text>
    </comment>
    <comment ref="E191" authorId="1" shapeId="0" xr:uid="{0605A47A-69B6-4AC7-B08A-4B312C0A0016}">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$ 1.052,80 según memo N° FCS-D-2023-0460-M_23052023.
Se incrementó $87,40 según memo DAC N 133_30052023.
</t>
        </r>
        <r>
          <rPr>
            <b/>
            <sz val="9"/>
            <color rgb="FF000000"/>
            <rFont val="Tahoma"/>
            <family val="2"/>
          </rPr>
          <t>Reforma N° 5:</t>
        </r>
        <r>
          <rPr>
            <sz val="9"/>
            <color rgb="FF000000"/>
            <rFont val="Tahoma"/>
            <family val="2"/>
          </rPr>
          <t xml:space="preserve">
Se incrementa $ 1.996,00 según memo N° DAC-2023-0275-M_14092023.</t>
        </r>
      </text>
    </comment>
    <comment ref="F191" authorId="0" shapeId="0" xr:uid="{65E028DB-1399-4C16-8B64-DAC1FB453354}">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reduce $ 87,40 en atención al memo nro. DAC-2023-0221-M.
</t>
        </r>
        <r>
          <rPr>
            <b/>
            <sz val="9"/>
            <color rgb="FF000000"/>
            <rFont val="Tahoma"/>
            <family val="2"/>
          </rPr>
          <t>Reforma N° 5:</t>
        </r>
        <r>
          <rPr>
            <sz val="9"/>
            <color rgb="FF000000"/>
            <rFont val="Tahoma"/>
            <family val="2"/>
          </rPr>
          <t xml:space="preserve">
Se redujo $ 192,80 por ser saldo no ejecutado, FCS.</t>
        </r>
      </text>
    </comment>
    <comment ref="E192" authorId="3" shapeId="0" xr:uid="{FD1BA17F-3FEB-4BD8-85D5-A0E35D69C7C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$ 7.320,00 según Memorando N° FCS-D-2023-0062-M del 23/01/2023.
</t>
        </r>
        <r>
          <rPr>
            <b/>
            <sz val="9"/>
            <color rgb="FF000000"/>
            <rFont val="Tahoma"/>
            <family val="2"/>
          </rPr>
          <t>Reforma N° 3</t>
        </r>
        <r>
          <rPr>
            <sz val="9"/>
            <color rgb="FF000000"/>
            <rFont val="Tahoma"/>
            <family val="2"/>
          </rPr>
          <t>:
Se incrementó $ 11.505,18 según memo N° FCS-D-2023-0460-M_23052023 y reunión de seguimiento.</t>
        </r>
      </text>
    </comment>
    <comment ref="F192" authorId="4" shapeId="0" xr:uid="{8D5744E7-61F2-491E-99E2-89C325A5F3D0}">
      <text>
        <r>
          <rPr>
            <b/>
            <sz val="9"/>
            <color rgb="FF000000"/>
            <rFont val="Tahoma"/>
            <family val="2"/>
          </rPr>
          <t>Valeria Ramon Capa:</t>
        </r>
        <r>
          <rPr>
            <sz val="9"/>
            <color rgb="FF000000"/>
            <rFont val="Tahoma"/>
            <family val="2"/>
          </rPr>
          <t xml:space="preserve">
Reforma N° 3:
Se reduce $4.000,00 a FCS por seguimiento y en virtud de oficio Nro. MEF-SP-2023-0501 para atender Memo Nro. 0399 de DADM.</t>
        </r>
      </text>
    </comment>
    <comment ref="E193" authorId="1" shapeId="0" xr:uid="{82505F2F-339A-415D-8FA1-B880999F4C78}">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$ 800,00 según memo N° FIC-D-2023-0217-M_09052023.
</t>
        </r>
        <r>
          <rPr>
            <b/>
            <sz val="9"/>
            <color rgb="FF000000"/>
            <rFont val="Tahoma"/>
            <family val="2"/>
          </rPr>
          <t>Reforma N° 5:</t>
        </r>
        <r>
          <rPr>
            <sz val="9"/>
            <color rgb="FF000000"/>
            <rFont val="Tahoma"/>
            <family val="2"/>
          </rPr>
          <t xml:space="preserve">
Se incrementó $ 714,29 según memo N° DPLAN-2023-0260-M_18092023 (FIC).
Se incrementó $ 334.912,20 para py Jubilados.</t>
        </r>
      </text>
    </comment>
    <comment ref="F193" authorId="3" shapeId="0" xr:uid="{8A7C0DEC-8C91-4097-A7D1-2F9A3D045D8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$ 1.176.733,21 para Py Inversión FIC.
El saldo de  $ 2.000.000,00 para Py construcción e implementación del CRAI Dir. Administrativa
En el POA quedó así:
$ 2.000.000,00 para Py construcción e implementación del CRAI Dir. Administrativa+81.527,83
</t>
        </r>
        <r>
          <rPr>
            <b/>
            <sz val="9"/>
            <color rgb="FF000000"/>
            <rFont val="Tahoma"/>
            <family val="2"/>
          </rPr>
          <t>Reforma N° 4:</t>
        </r>
        <r>
          <rPr>
            <sz val="9"/>
            <color rgb="FF000000"/>
            <rFont val="Tahoma"/>
            <family val="2"/>
          </rPr>
          <t xml:space="preserve">
Se reduce $ 2.075.957,83 por cambio de programa presupuestario del 82 al 83 del proyecto del CRAI.</t>
        </r>
      </text>
    </comment>
    <comment ref="E194" authorId="3" shapeId="0" xr:uid="{8617D9BB-7809-41A6-984C-A3DD2F1E4D21}">
      <text>
        <r>
          <rPr>
            <sz val="12"/>
            <color theme="1"/>
            <rFont val="Arial"/>
            <family val="2"/>
            <scheme val="minor"/>
          </rPr>
          <t>HP:
Reforma N° 2:
Se incrementó $ 1.700,00 para lentes de cámara por disposición del Director DPLAN
En el POA quedó así:
5.709,60 FCS
2.251,20 DTIC
Reforma N° 4:
Se incrementa $ 1097,60 en el POA DPOS para atender el memo DIPOS-2023-237-M.
Reforma N° 5:
Se incrementó $ 182.479,87 para py Jubilados.</t>
        </r>
      </text>
    </comment>
    <comment ref="F194" authorId="3" shapeId="0" xr:uid="{606C32E3-1653-4EB1-86A3-A3B271812A2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$ 22.296,96 Vic. Académico
$ 949.040,38-62852,68
</t>
        </r>
        <r>
          <rPr>
            <b/>
            <sz val="9"/>
            <color rgb="FF000000"/>
            <rFont val="Tahoma"/>
            <family val="2"/>
          </rPr>
          <t xml:space="preserve">Reforma N° 3:
</t>
        </r>
        <r>
          <rPr>
            <sz val="9"/>
            <color rgb="FF000000"/>
            <rFont val="Tahoma"/>
            <family val="2"/>
          </rPr>
          <t xml:space="preserve">Se redujo $ 62.852,68 según memo N° DTIC-2023-0088-M_04052023
Se redujo $ 4.384,60 según memo N° FCS-D-2023-0460-M_23052023
Se redujo $ 13.686,40, para atender memo N° DBUAC-2023-0318-M_22052023
Se redujo $ 13.405,61+6.776,00 para atender memo N 0604 FCQS_25052023
Se redujo $ 15.879,05 para atender memo N° DBUAC-2023-0124-M_03032023
Se redujo $1620 por cuadre de fuente
Se redujo $ 39.637,92 para cartera de proyectos de inversión 2023 - 83 840104 003
Se redujo $10.080,00 para cartera de proyectos de inversión 2023 - 83 840107 003
Se reduce $5.824 para reestablecer computadoras en TICS
Se reduce $268,73 por cuadre de fuente 
</t>
        </r>
        <r>
          <rPr>
            <b/>
            <sz val="9"/>
            <color rgb="FF000000"/>
            <rFont val="Tahoma"/>
            <family val="2"/>
          </rPr>
          <t>Reforma N° 4:</t>
        </r>
        <r>
          <rPr>
            <sz val="9"/>
            <color rgb="FF000000"/>
            <rFont val="Tahoma"/>
            <family val="2"/>
          </rPr>
          <t xml:space="preserve">
Se reduce $ 2251,20 en el POA de DTIC y se trasladan al POa de DADM en atención al Memorando nro. UTMACH-DADM-UCP-2023-1143-M.</t>
        </r>
      </text>
    </comment>
    <comment ref="E195" authorId="3" shapeId="0" xr:uid="{5A17C0F8-E236-45E4-9CE7-4AE2AA3094B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$ 41.623,28 para pago de contrato de año anterior por adquisición e instalación de equipos de climatización. Dir. Administrativa.</t>
        </r>
      </text>
    </comment>
    <comment ref="F195" authorId="2" shapeId="0" xr:uid="{28E5C24C-BE6C-4B97-928A-9B76C249C963}">
      <text>
        <r>
          <rPr>
            <b/>
            <sz val="9"/>
            <color indexed="81"/>
            <rFont val="Tahoma"/>
            <family val="2"/>
          </rPr>
          <t>Admin:</t>
        </r>
        <r>
          <rPr>
            <sz val="9"/>
            <color indexed="81"/>
            <rFont val="Tahoma"/>
            <family val="2"/>
          </rPr>
          <t xml:space="preserve">
Reforma N° 5:
Se redujo $ 4.459,63 por ser saldo no ejecutado, Dir. Adm.</t>
        </r>
      </text>
    </comment>
    <comment ref="E196" authorId="3" shapeId="0" xr:uid="{8B2B9851-175A-44E6-B92A-E6B0EBED6155}">
      <text>
        <r>
          <rPr>
            <b/>
            <sz val="9"/>
            <color rgb="FF000000"/>
            <rFont val="Tahoma"/>
            <family val="2"/>
          </rPr>
          <t>HP:</t>
        </r>
        <r>
          <rPr>
            <sz val="9"/>
            <color rgb="FF000000"/>
            <rFont val="Tahoma"/>
            <family val="2"/>
          </rPr>
          <t xml:space="preserve">
Reforma N° 2:
Se incrementó 13.831,48 para Repotenciación de la Línea de Media Tensión 13200 VAC, en el Campus principal de la UTMACH. - UTMACH EP.</t>
        </r>
      </text>
    </comment>
    <comment ref="D197" authorId="4" shapeId="0" xr:uid="{59FF725F-08A3-4BDD-8793-204811FF9358}">
      <text>
        <r>
          <rPr>
            <b/>
            <sz val="9"/>
            <color rgb="FF000000"/>
            <rFont val="Tahoma"/>
            <family val="2"/>
          </rPr>
          <t>Valeria Ramon Capa:</t>
        </r>
        <r>
          <rPr>
            <sz val="9"/>
            <color rgb="FF000000"/>
            <rFont val="Tahoma"/>
            <family val="2"/>
          </rPr>
          <t xml:space="preserve">
Este valor consta en el POA de Dirección Administrativa.</t>
        </r>
      </text>
    </comment>
    <comment ref="E198" authorId="5" shapeId="0" xr:uid="{5FBD484D-3EE2-4A10-8C84-F6A8BC6C1EF4}">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$ 2.897,97 conforme archivo POA 2023.
Se incrementó $ 8.505,49 de acuerdo al POA 2023 de la FCE presentado.
En el POA quedó:
1.867,77 DIPOS
1.030,20 FCA
8.505,49 FCE
1.310,60 FCQS
</t>
        </r>
        <r>
          <rPr>
            <b/>
            <sz val="9"/>
            <color rgb="FF000000"/>
            <rFont val="Tahoma"/>
            <family val="2"/>
          </rPr>
          <t xml:space="preserve">Reforma N° 3:
</t>
        </r>
        <r>
          <rPr>
            <sz val="9"/>
            <color rgb="FF000000"/>
            <rFont val="Tahoma"/>
            <family val="2"/>
          </rPr>
          <t xml:space="preserve">Se incrementó $1.146,32 según memo N° UTMACH-DIPOS-2023-0160-M_19052023.
</t>
        </r>
        <r>
          <rPr>
            <b/>
            <sz val="9"/>
            <color rgb="FF000000"/>
            <rFont val="Tahoma"/>
            <family val="2"/>
          </rPr>
          <t>Reforma N° 4:</t>
        </r>
        <r>
          <rPr>
            <sz val="9"/>
            <color rgb="FF000000"/>
            <rFont val="Tahoma"/>
            <family val="2"/>
          </rPr>
          <t xml:space="preserve">
Se incrementó $ 500,00 según memo N° UTMACH-FCA-D-2023-0571-M_28072023 para compra de scaner.</t>
        </r>
      </text>
    </comment>
    <comment ref="F198" authorId="4" shapeId="0" xr:uid="{36367CDF-4058-4A58-9616-1AEA2B91A972}">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$380,46 y $133,28 según memo N° UTMACH-DIPOS-2023-0160-M_19052023.
</t>
        </r>
        <r>
          <rPr>
            <b/>
            <sz val="9"/>
            <color rgb="FF000000"/>
            <rFont val="Tahoma"/>
            <family val="2"/>
          </rPr>
          <t>Reforma N° 4:</t>
        </r>
        <r>
          <rPr>
            <sz val="9"/>
            <color rgb="FF000000"/>
            <rFont val="Tahoma"/>
            <family val="2"/>
          </rPr>
          <t xml:space="preserve">
Se redujo $ 1.930,27 FCE según informe de seguimiento.
Se redujo $ 1097,60 en el POA de DPOS para atender pedido del memo DIPOS-2023-237-M.</t>
        </r>
      </text>
    </comment>
    <comment ref="E199" authorId="0" shapeId="0" xr:uid="{B1461C50-CB49-4993-86F3-9F3CA1A6D2CA}">
      <text>
        <r>
          <rPr>
            <b/>
            <sz val="9"/>
            <color rgb="FF000000"/>
            <rFont val="Tahoma"/>
            <family val="2"/>
          </rPr>
          <t>Microsoft Office User:</t>
        </r>
        <r>
          <rPr>
            <sz val="9"/>
            <color rgb="FF000000"/>
            <rFont val="Tahoma"/>
            <family val="2"/>
          </rPr>
          <t xml:space="preserve">
Reforma N° 4:
Incremento de $ 369,966.00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Memorando nro. UTMACH-DADM-UOIFM-2023-0240-M.</t>
        </r>
      </text>
    </comment>
    <comment ref="F199" authorId="2" shapeId="0" xr:uid="{666005CF-CBEE-43FC-B87C-698D3D495793}">
      <text>
        <r>
          <rPr>
            <b/>
            <sz val="9"/>
            <color indexed="81"/>
            <rFont val="Tahoma"/>
            <family val="2"/>
          </rPr>
          <t>Admin:</t>
        </r>
        <r>
          <rPr>
            <sz val="9"/>
            <color indexed="81"/>
            <rFont val="Tahoma"/>
            <family val="2"/>
          </rPr>
          <t xml:space="preserve">
Reforma N° 5:
Se redujo $ 39.643,00 por ser saldo no ejecutado, FCS.</t>
        </r>
      </text>
    </comment>
    <comment ref="E200" authorId="3" shapeId="0" xr:uid="{CD74C0EE-6F8E-4B62-930E-669410827EF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$ 75.610,11 que vino de la la partida N° 990101 0701 003 Obligaciones de Ejercicios Anteriores en Personal del programa 01.
Se incrementó $ 40.000,00 para liquidaciones de haberes, trabajadores y ex servidores.
Se incrementó $ 10.000,00 para liquidaciones de docentes.
$ 13.000,00 para pago a VASQUEZ FLORES JOSE ALBERTO
$ 6.000,00 para pago a BURGOS BURGOS JHON
Se incrementó $ 5000+15.000,00 para cubrir liquidaciones por juicios en la partida N° 990101 0701 003
</t>
        </r>
        <r>
          <rPr>
            <b/>
            <sz val="9"/>
            <color rgb="FF000000"/>
            <rFont val="Tahoma"/>
            <family val="2"/>
          </rPr>
          <t xml:space="preserve">Reforma N° 3:
</t>
        </r>
        <r>
          <rPr>
            <sz val="9"/>
            <color rgb="FF000000"/>
            <rFont val="Tahoma"/>
            <family val="2"/>
          </rPr>
          <t xml:space="preserve">Se incrementó $ 60.000,00 atendiendo al memo N° UTMACH-DF-2023-0197-M_20052023.
Se incrementó $50.000,00 a Dfin para cubrir necesidad por juicio, notificado verbalmente por parte del Procurador a Dirección Financiera.
</t>
        </r>
        <r>
          <rPr>
            <b/>
            <sz val="9"/>
            <color rgb="FF000000"/>
            <rFont val="Tahoma"/>
            <family val="2"/>
          </rPr>
          <t>Reforma N° 4:</t>
        </r>
        <r>
          <rPr>
            <sz val="9"/>
            <color rgb="FF000000"/>
            <rFont val="Tahoma"/>
            <family val="2"/>
          </rPr>
          <t xml:space="preserve">
Se incrementa $ 4.000,00 para financiar pago de docentes que podrían terminar sus licencias sin remuneración.</t>
        </r>
      </text>
    </comment>
    <comment ref="E206" authorId="3" shapeId="0" xr:uid="{60D543F2-68C3-43B1-866E-ADA7241A0AC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$ 8.609,16 por contrato año anterior por servicio de implementación de una Red Wifi - TELCONET - TIC
</t>
        </r>
        <r>
          <rPr>
            <sz val="9"/>
            <color rgb="FF000000"/>
            <rFont val="Tahoma"/>
            <family val="2"/>
          </rPr>
          <t>$ 59.717,94 Servicio de internet CEDIA TIC</t>
        </r>
      </text>
    </comment>
    <comment ref="F206" authorId="5" shapeId="0" xr:uid="{0ACA1AA2-F67E-4AA4-98BC-E9F425072AFF}">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$ 49.750,97 según memo N</t>
        </r>
        <r>
          <rPr>
            <sz val="9"/>
            <color rgb="FF000000"/>
            <rFont val="Tahoma"/>
            <family val="2"/>
          </rPr>
          <t>°</t>
        </r>
        <r>
          <rPr>
            <sz val="9"/>
            <color rgb="FF000000"/>
            <rFont val="Tahoma"/>
            <family val="2"/>
          </rPr>
          <t xml:space="preserve"> DTIC-2023-0088-M_04052023</t>
        </r>
      </text>
    </comment>
    <comment ref="E207" authorId="0" shapeId="0" xr:uid="{AD6C3BF1-600C-4039-A954-4524387755F6}">
      <text>
        <r>
          <rPr>
            <b/>
            <sz val="10"/>
            <color rgb="FF000000"/>
            <rFont val="Tahoma"/>
            <family val="2"/>
          </rPr>
          <t>Microsoft Office User:</t>
        </r>
        <r>
          <rPr>
            <sz val="10"/>
            <color rgb="FF000000"/>
            <rFont val="Tahoma"/>
            <family val="2"/>
          </rPr>
          <t xml:space="preserve">
Reforma N° 4:
Se incrementa $ 1898,86 en el POA de VIVP en atención parcial al memo nro. VINVIP-2023-0220-M.
Se incrementa $ 2.000,00 para atender </t>
        </r>
        <r>
          <rPr>
            <sz val="10"/>
            <color rgb="FF000000"/>
            <rFont val="Calibri"/>
            <family val="2"/>
          </rPr>
          <t>Memorando nro. UTMACH-FCS-D-2023-0916-M.</t>
        </r>
      </text>
    </comment>
    <comment ref="F207" authorId="3" shapeId="0" xr:uid="{6826C4FF-2D6C-43FA-AA93-6A36713482D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
</t>
        </r>
        <r>
          <rPr>
            <b/>
            <sz val="9"/>
            <color rgb="FF000000"/>
            <rFont val="Tahoma"/>
            <family val="34"/>
          </rPr>
          <t>Reforma 3:</t>
        </r>
        <r>
          <rPr>
            <sz val="9"/>
            <color rgb="FF000000"/>
            <rFont val="Tahoma"/>
            <family val="34"/>
          </rPr>
          <t xml:space="preserve">
Se redujo $2.240,00 a FCA en reunión de seguimiento y en virtud de oficio Nro. MEF-SP-2023-0501 para atender Memo Nro. 0399 de DADM.
</t>
        </r>
        <r>
          <rPr>
            <b/>
            <sz val="9"/>
            <color rgb="FF000000"/>
            <rFont val="Tahoma"/>
            <family val="2"/>
          </rPr>
          <t>Reforma N° 4:</t>
        </r>
        <r>
          <rPr>
            <sz val="9"/>
            <color rgb="FF000000"/>
            <rFont val="Tahoma"/>
            <family val="34"/>
          </rPr>
          <t xml:space="preserve">
Se redujo $ 9.959,98 DIDI por efecto de informe de seguimiento.
</t>
        </r>
        <r>
          <rPr>
            <b/>
            <sz val="9"/>
            <color rgb="FF000000"/>
            <rFont val="Tahoma"/>
            <family val="2"/>
          </rPr>
          <t>Reforma N° 5:</t>
        </r>
        <r>
          <rPr>
            <sz val="9"/>
            <color rgb="FF000000"/>
            <rFont val="Tahoma"/>
            <family val="34"/>
          </rPr>
          <t xml:space="preserve">
Se redujo $ 960,40 (Lib.Steps)+1.128,00 (OVID ESPAÑOL) CP N° 429 por ser saldo no ejecutado, DIDI.</t>
        </r>
      </text>
    </comment>
    <comment ref="E208" authorId="4" shapeId="0" xr:uid="{C265DB10-A1C6-47C4-8872-BBC06C0F8304}">
      <text>
        <r>
          <rPr>
            <b/>
            <sz val="9"/>
            <color rgb="FF000000"/>
            <rFont val="Tahoma"/>
            <family val="2"/>
          </rPr>
          <t xml:space="preserve">Valeria Ramon Capa: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incrementa $ 2.352,00 en el POA del VIVP para atender el memo nro. VINVIP-2023-0220-M
</t>
        </r>
        <r>
          <rPr>
            <sz val="9"/>
            <color rgb="FF000000"/>
            <rFont val="Tahoma"/>
            <family val="2"/>
          </rPr>
          <t xml:space="preserve">
</t>
        </r>
        <r>
          <rPr>
            <sz val="9"/>
            <color rgb="FF000000"/>
            <rFont val="Tahoma"/>
            <family val="2"/>
          </rPr>
          <t>Se incrementa $ 5.000,00 en el POA de DIDI para financiamiento de la cartera de proyecto 2023</t>
        </r>
      </text>
    </comment>
    <comment ref="F208" authorId="4" shapeId="0" xr:uid="{A40F06CF-7C28-4951-A122-411FBCE29F74}">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09" authorId="3" shapeId="0" xr:uid="{941E7309-AB2D-433C-B50C-D8529D3A485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$ 25.066,04 por contrato año anterior, para Renovación de garantías extendidas y soporte de fábrica para los equipos que conforman la Plataforma Flexpod - AKEA - DTIC</t>
        </r>
      </text>
    </comment>
    <comment ref="D210" authorId="4" shapeId="0" xr:uid="{E611002D-CDC4-440C-8CE6-E67814DA6240}">
      <text>
        <r>
          <rPr>
            <b/>
            <sz val="9"/>
            <color rgb="FF000000"/>
            <rFont val="Tahoma"/>
            <family val="2"/>
          </rPr>
          <t>Valeria Ramon Capa:</t>
        </r>
        <r>
          <rPr>
            <sz val="9"/>
            <color rgb="FF000000"/>
            <rFont val="Tahoma"/>
            <family val="2"/>
          </rPr>
          <t xml:space="preserve">
Este valor se encuentra en el POA de TICS.</t>
        </r>
      </text>
    </comment>
    <comment ref="E211" authorId="3" shapeId="0" xr:uid="{F6F3C871-E216-4791-A8C6-9ED7E641CDA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según Memorando N</t>
        </r>
        <r>
          <rPr>
            <sz val="9"/>
            <color rgb="FF000000"/>
            <rFont val="Tahoma"/>
            <family val="2"/>
          </rPr>
          <t>°</t>
        </r>
        <r>
          <rPr>
            <sz val="9"/>
            <color rgb="FF000000"/>
            <rFont val="Tahoma"/>
            <family val="2"/>
          </rPr>
          <t xml:space="preserve"> UTMACH-DIDI-2023-0053-M_02/02/2023.</t>
        </r>
      </text>
    </comment>
    <comment ref="E212" authorId="4" shapeId="0" xr:uid="{D1C623FF-3019-4F81-B1A9-589A052888AC}">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F212" authorId="2" shapeId="0" xr:uid="{61524C08-E707-41CE-B822-C68761337368}">
      <text>
        <r>
          <rPr>
            <b/>
            <sz val="9"/>
            <color indexed="81"/>
            <rFont val="Tahoma"/>
            <family val="2"/>
          </rPr>
          <t>Admin:</t>
        </r>
        <r>
          <rPr>
            <sz val="9"/>
            <color indexed="81"/>
            <rFont val="Tahoma"/>
            <family val="2"/>
          </rPr>
          <t xml:space="preserve">
Reforma N° 5:
Se redujo $ 972,40 por ser saldo no ejecutado, VIVP.</t>
        </r>
      </text>
    </comment>
    <comment ref="E213" authorId="3" shapeId="0" xr:uid="{B1C7B471-79E2-443A-BC12-F9FA2FD569C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$ 10.000,00 según Memorando N</t>
        </r>
        <r>
          <rPr>
            <sz val="9"/>
            <color rgb="FF000000"/>
            <rFont val="Tahoma"/>
            <family val="2"/>
          </rPr>
          <t>°</t>
        </r>
        <r>
          <rPr>
            <sz val="9"/>
            <color rgb="FF000000"/>
            <rFont val="Tahoma"/>
            <family val="2"/>
          </rPr>
          <t xml:space="preserve"> UTMACH-DIDI-2023-0053-M_02/02/2023.</t>
        </r>
      </text>
    </comment>
    <comment ref="E215" authorId="0" shapeId="0" xr:uid="{15A64DE3-4A77-49D0-8E20-6165720FFE8C}">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$ 2.200,00 en el POA de DIDI para financiamiento de la cartera de proyecto 2023
</t>
        </r>
        <r>
          <rPr>
            <sz val="10"/>
            <color rgb="FF000000"/>
            <rFont val="Tahoma"/>
            <family val="2"/>
          </rPr>
          <t xml:space="preserve">
</t>
        </r>
        <r>
          <rPr>
            <sz val="10"/>
            <color rgb="FF000000"/>
            <rFont val="Tahoma"/>
            <family val="2"/>
          </rPr>
          <t xml:space="preserve">Se incrementa $ 1.000,00 para atender el memo nro. DF-UPSTO-2023-0786-M
</t>
        </r>
      </text>
    </comment>
    <comment ref="F215" authorId="2" shapeId="0" xr:uid="{0FABA796-2E77-4086-BFDC-F526939C142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$ 94,00 VIVP por efecto de informe de seguimiento.</t>
        </r>
      </text>
    </comment>
    <comment ref="E216" authorId="3" shapeId="0" xr:uid="{4903F42A-D56B-40F6-8E29-A24B62438F7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E217" authorId="4" shapeId="0" xr:uid="{49A3468E-D58A-4AAC-8A56-B8400949750C}">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incrementa $108.473,73 a FCS por cambio de fuente y en atención a FCS-D-2023-0460-M
-Se incrementa $25.760,00 movimiento de partida para egreso de forma adecuada en FCA.
</t>
        </r>
        <r>
          <rPr>
            <b/>
            <sz val="9"/>
            <color rgb="FF000000"/>
            <rFont val="Tahoma"/>
            <family val="2"/>
          </rPr>
          <t>Reforma N° 5:</t>
        </r>
        <r>
          <rPr>
            <sz val="9"/>
            <color rgb="FF000000"/>
            <rFont val="Tahoma"/>
            <family val="2"/>
          </rPr>
          <t xml:space="preserve">
Se incrementó 6.265,65 según CEP N° 387.</t>
        </r>
      </text>
    </comment>
    <comment ref="F217" authorId="3" shapeId="0" xr:uid="{90D2CD89-27CF-4AAA-BEE6-3F690329FE9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reduce $ 24.512,00 FCS
$ 29.680,00 Rectorado
25.440
En el POA quedó así:
16.800,00 FCA
24.559,17 FCE
</t>
        </r>
        <r>
          <rPr>
            <b/>
            <sz val="9"/>
            <color rgb="FF000000"/>
            <rFont val="Tahoma"/>
            <family val="2"/>
          </rPr>
          <t xml:space="preserve">
Reforma N 3:
</t>
        </r>
        <r>
          <rPr>
            <sz val="9"/>
            <color rgb="FF000000"/>
            <rFont val="Tahoma"/>
            <family val="2"/>
          </rPr>
          <t xml:space="preserve">Se reduce $38.921,22 FCE por cuanto las reparaciones de edificaciones las realizará la aseguradora.
</t>
        </r>
        <r>
          <rPr>
            <b/>
            <sz val="9"/>
            <color rgb="FF000000"/>
            <rFont val="Tahoma"/>
            <family val="2"/>
          </rPr>
          <t>Reforma N° 4:</t>
        </r>
        <r>
          <rPr>
            <sz val="9"/>
            <color rgb="FF000000"/>
            <rFont val="Tahoma"/>
            <family val="2"/>
          </rPr>
          <t xml:space="preserve">
Se redujo $ 104.473,73 FCS.
Se redujo $ 210,00 FCA por efecto de informe de seguimiento.
Se redujo $ 25.570 en el POA de FCA para atender el memo nro. FCA-D-2023-0593-M.</t>
        </r>
      </text>
    </comment>
    <comment ref="E218" authorId="4" shapeId="0" xr:uid="{4221C664-968A-42A6-BFBB-C1E30CCAC98F}">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$ 31.960,45 en el POA de FCA para atender el memo nro. FCA-D-2023-0617-M.</t>
        </r>
      </text>
    </comment>
    <comment ref="F218" authorId="4" shapeId="0" xr:uid="{D83C17DF-D8A5-46B3-BBBC-9C2F167DD7B4}">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19" authorId="3" shapeId="0" xr:uid="{70EE01B3-5788-4B88-B863-A4133AE75FC2}">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$ 13.648,02 FCQS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F219" authorId="4" shapeId="0" xr:uid="{0B59BD86-DAF5-4852-9329-943BCC0147D6}">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9"/>
            <color rgb="FF000000"/>
            <rFont val="Tahoma"/>
            <family val="2"/>
          </rPr>
          <t xml:space="preserve">Se reduce $13.648,00 a FCQS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$ 651,45 FIC por efecto de informe de seguimiento (Cert. N</t>
        </r>
        <r>
          <rPr>
            <sz val="9"/>
            <color rgb="FF000000"/>
            <rFont val="Tahoma"/>
            <family val="2"/>
          </rPr>
          <t>°</t>
        </r>
        <r>
          <rPr>
            <sz val="9"/>
            <color rgb="FF000000"/>
            <rFont val="Tahoma"/>
            <family val="2"/>
          </rPr>
          <t xml:space="preserve"> 274).</t>
        </r>
      </text>
    </comment>
    <comment ref="E220" authorId="3" shapeId="0" xr:uid="{E004B1AE-86D7-4956-A423-A81600B661C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incrementa $ 5.860,96 en el POA de DIDI para financiamiento de la cartera de proyecto 2023</t>
        </r>
      </text>
    </comment>
    <comment ref="F220" authorId="3" shapeId="0" xr:uid="{A4750997-4565-4C99-9EE1-B3D4D112097B}">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$ 1.250,00 para Py Inversión FIC, que en el POA estaba en esta fuente de financiamiento 3
</t>
        </r>
        <r>
          <rPr>
            <sz val="9"/>
            <color rgb="FF000000"/>
            <rFont val="Tahoma"/>
            <family val="2"/>
          </rPr>
          <t xml:space="preserve">
</t>
        </r>
        <r>
          <rPr>
            <sz val="9"/>
            <color rgb="FF000000"/>
            <rFont val="Tahoma"/>
            <family val="2"/>
          </rPr>
          <t xml:space="preserve">Se redujo $ 22.400,00 de acuerdo al 1er POA 2023 de la FCE presentado (por no estar desagregado).
</t>
        </r>
        <r>
          <rPr>
            <sz val="9"/>
            <color rgb="FF000000"/>
            <rFont val="Tahoma"/>
            <family val="2"/>
          </rPr>
          <t xml:space="preserve">
</t>
        </r>
        <r>
          <rPr>
            <sz val="9"/>
            <color rgb="FF000000"/>
            <rFont val="Tahoma"/>
            <family val="2"/>
          </rPr>
          <t xml:space="preserve">Se redujo $ 18.703,99
</t>
        </r>
        <r>
          <rPr>
            <sz val="9"/>
            <color rgb="FF000000"/>
            <rFont val="Tahoma"/>
            <family val="2"/>
          </rPr>
          <t xml:space="preserve">
</t>
        </r>
        <r>
          <rPr>
            <sz val="9"/>
            <color rgb="FF000000"/>
            <rFont val="Tahoma"/>
            <family val="2"/>
          </rPr>
          <t xml:space="preserve">En el POA quedó así:
</t>
        </r>
        <r>
          <rPr>
            <sz val="9"/>
            <color rgb="FF000000"/>
            <rFont val="Tahoma"/>
            <family val="2"/>
          </rPr>
          <t xml:space="preserve">10.208,48 DIDI
</t>
        </r>
        <r>
          <rPr>
            <sz val="9"/>
            <color rgb="FF000000"/>
            <rFont val="Tahoma"/>
            <family val="2"/>
          </rPr>
          <t xml:space="preserve">12.768,00 FCA
</t>
        </r>
        <r>
          <rPr>
            <sz val="9"/>
            <color rgb="FF000000"/>
            <rFont val="Tahoma"/>
            <family val="2"/>
          </rPr>
          <t xml:space="preserve">3.696,00 FCQS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$ 10.208,48 DIDI por efecto de informe de seguimiento.</t>
        </r>
      </text>
    </comment>
    <comment ref="F221" authorId="4" shapeId="0" xr:uid="{8D9C0176-6897-4E7F-9604-DF1942D86B96}">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Se reduce $25.760,00 movimiento de partida para egreso de forma adecuada en FCA </t>
        </r>
      </text>
    </comment>
    <comment ref="F222" authorId="3" shapeId="0" xr:uid="{A8717F03-B5E2-42F3-8201-E954185C51A1}">
      <text>
        <r>
          <rPr>
            <b/>
            <sz val="9"/>
            <color rgb="FF000000"/>
            <rFont val="Tahoma"/>
            <family val="2"/>
          </rPr>
          <t xml:space="preserve">HP: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$ 25.064,00 por disposición del Director del DPLAN
</t>
        </r>
        <r>
          <rPr>
            <sz val="9"/>
            <color rgb="FF000000"/>
            <rFont val="Tahoma"/>
            <family val="2"/>
          </rPr>
          <t xml:space="preserve">
</t>
        </r>
        <r>
          <rPr>
            <b/>
            <sz val="9"/>
            <color rgb="FF000000"/>
            <rFont val="Tahoma"/>
            <family val="2"/>
          </rPr>
          <t xml:space="preserve">Reforma 3:
</t>
        </r>
        <r>
          <rPr>
            <sz val="9"/>
            <color rgb="FF000000"/>
            <rFont val="Tahoma"/>
            <family val="34"/>
          </rPr>
          <t>06/06: Se redujo $17.500 a DTH por reunión de seguimiento y en virtud de oficio Nro. MEF-SP-2023-0501 para atender Memo Nro. 0399 de DADM</t>
        </r>
        <r>
          <rPr>
            <sz val="10"/>
            <color rgb="FF000000"/>
            <rFont val="Tahoma"/>
            <family val="34"/>
          </rPr>
          <t xml:space="preserve"> y en atención al memo 0764 DTH</t>
        </r>
      </text>
    </comment>
    <comment ref="E223" authorId="0" shapeId="0" xr:uid="{7202BC52-700B-4077-9BA6-E1FAE6B2F5A4}">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incrementa $ 2.800,00 en el POA de DIDI para financiamiento de la cartera de proyecto 2023
</t>
        </r>
      </text>
    </comment>
    <comment ref="F223" authorId="2" shapeId="0" xr:uid="{C399B63B-169B-4AF0-8F9B-9D372D0BFDD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$ 1.680,00 DIDI por efecto de informe de seguimiento.</t>
        </r>
      </text>
    </comment>
    <comment ref="E224" authorId="3" shapeId="0" xr:uid="{B54A8428-6AD3-4CE6-BCD8-D6EF509CA06B}">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$ 4.800,00 según adjunto de Vic. Investigación en e-mail enviado el 03/02/2023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F224" authorId="4" shapeId="0" xr:uid="{5C03E3E5-661F-467A-9FC1-BA517F16EAA1}">
      <text>
        <r>
          <rPr>
            <b/>
            <sz val="9"/>
            <color rgb="FF000000"/>
            <rFont val="Tahoma"/>
            <family val="34"/>
          </rPr>
          <t>Valeria Ramon Capa:</t>
        </r>
        <r>
          <rPr>
            <sz val="9"/>
            <color rgb="FF000000"/>
            <rFont val="Tahoma"/>
            <family val="34"/>
          </rPr>
          <t xml:space="preserve">
</t>
        </r>
        <r>
          <rPr>
            <b/>
            <sz val="9"/>
            <color rgb="FF000000"/>
            <rFont val="Tahoma"/>
            <family val="34"/>
          </rPr>
          <t>Reforma N° 3:</t>
        </r>
        <r>
          <rPr>
            <sz val="9"/>
            <color rgb="FF000000"/>
            <rFont val="Tahoma"/>
            <family val="34"/>
          </rPr>
          <t xml:space="preserve">
Se redujo $4.800,00 a Vic. Investigación por seguimiento y en virtud de oficio Nro. MEF-SP-2023-0501 para atender Memo Nro. 0399 de DADM.
</t>
        </r>
        <r>
          <rPr>
            <b/>
            <sz val="9"/>
            <color rgb="FF000000"/>
            <rFont val="Tahoma"/>
            <family val="2"/>
          </rPr>
          <t>Reforma N° 5:</t>
        </r>
        <r>
          <rPr>
            <sz val="9"/>
            <color rgb="FF000000"/>
            <rFont val="Tahoma"/>
            <family val="34"/>
          </rPr>
          <t xml:space="preserve">
Se redujo $ 948,23 por ser saldo no ejecutado, VIVP.</t>
        </r>
      </text>
    </comment>
    <comment ref="E225" authorId="3" shapeId="0" xr:uid="{283F8B21-F00A-491B-B962-F86A567F6BA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$ 480,00 según adjunto de Vic. Investigación en e-mail enviado el 03/02/2023</t>
        </r>
      </text>
    </comment>
    <comment ref="F225" authorId="3" shapeId="0" xr:uid="{5484FD43-7234-406F-80C8-947D8B00414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$ 12.320,00 Vic. Investigación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$480,00-150,00 a Vic. Investigación en reunión de seguimiento y en virtud de oficio Nro. MEF-SP-2023-0501 para atender Memo Nro. 0399 de DADM.
</t>
        </r>
      </text>
    </comment>
    <comment ref="E226" authorId="5" shapeId="0" xr:uid="{1C3E4BC0-09C8-43B3-AC7A-0D800C114B18}">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F226" authorId="2" shapeId="0" xr:uid="{014B3EA1-0825-4DAC-9DD0-3734DD0EB312}">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$ 1.953,10 DTIC por efecto de informe de seguimiento.
</t>
        </r>
        <r>
          <rPr>
            <b/>
            <sz val="9"/>
            <color rgb="FF000000"/>
            <rFont val="Tahoma"/>
            <family val="2"/>
          </rPr>
          <t>Reforma N° 5:</t>
        </r>
        <r>
          <rPr>
            <sz val="9"/>
            <color rgb="FF000000"/>
            <rFont val="Tahoma"/>
            <family val="2"/>
          </rPr>
          <t xml:space="preserve">
Se redujo $ 2.100,00 seguimiento procesos de compras públicas, DIDI y $ 285,39 DTICS.</t>
        </r>
      </text>
    </comment>
    <comment ref="E227" authorId="3" shapeId="0" xr:uid="{2C37158F-01F9-4A34-9F0F-BCE7E330E1D9}">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$ 5.544,00 de acuerdo al POA 2023 de la FCE presentado.
</t>
        </r>
        <r>
          <rPr>
            <sz val="9"/>
            <color rgb="FF000000"/>
            <rFont val="Tahoma"/>
            <family val="2"/>
          </rPr>
          <t xml:space="preserve">
</t>
        </r>
        <r>
          <rPr>
            <sz val="9"/>
            <color rgb="FF000000"/>
            <rFont val="Arial"/>
            <family val="2"/>
          </rPr>
          <t xml:space="preserve">Se incrementa $ 2.000,00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Reforma nro. 004:
</t>
        </r>
        <r>
          <rPr>
            <sz val="9"/>
            <color rgb="FF000000"/>
            <rFont val="Arial"/>
            <family val="2"/>
          </rPr>
          <t xml:space="preserve">
</t>
        </r>
        <r>
          <rPr>
            <sz val="9"/>
            <color rgb="FF000000"/>
            <rFont val="Arial"/>
            <family val="2"/>
          </rPr>
          <t xml:space="preserve">Se aumenta $ 7056,00 + $ </t>
        </r>
        <r>
          <rPr>
            <sz val="10"/>
            <color rgb="FF000000"/>
            <rFont val="Arial"/>
            <family val="2"/>
          </rPr>
          <t xml:space="preserve">4.360,68 + $ </t>
        </r>
        <r>
          <rPr>
            <b/>
            <sz val="10"/>
            <color rgb="FF000000"/>
            <rFont val="Arial"/>
            <family val="2"/>
          </rPr>
          <t xml:space="preserve">5.738,00 </t>
        </r>
        <r>
          <rPr>
            <sz val="9"/>
            <color rgb="FF000000"/>
            <rFont val="Arial"/>
            <family val="2"/>
          </rPr>
          <t xml:space="preserve"> en POA de DTIC en atención al memo nro. </t>
        </r>
        <r>
          <rPr>
            <sz val="10"/>
            <color rgb="FF000000"/>
            <rFont val="Calibri"/>
            <family val="2"/>
          </rPr>
          <t>UTMACH-DTIC-2023-0224-M.</t>
        </r>
      </text>
    </comment>
    <comment ref="F227" authorId="3" shapeId="0" xr:uid="{4059E961-80FE-41C5-B3A2-DE4ECBFC585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Se redujo $ 3.500,00 según Memorando N</t>
        </r>
        <r>
          <rPr>
            <sz val="9"/>
            <color rgb="FF000000"/>
            <rFont val="Tahoma"/>
            <family val="2"/>
          </rPr>
          <t>°</t>
        </r>
        <r>
          <rPr>
            <sz val="9"/>
            <color rgb="FF000000"/>
            <rFont val="Tahoma"/>
            <family val="2"/>
          </rPr>
          <t xml:space="preserve"> UTMACH-DIDI-2023-0053-M_02/02/2023.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$ 11.200,00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$ 360,00 DIDI por efecto de informe de seguimiento.
</t>
        </r>
        <r>
          <rPr>
            <sz val="9"/>
            <color rgb="FF000000"/>
            <rFont val="Tahoma"/>
            <family val="2"/>
          </rPr>
          <t xml:space="preserve">
</t>
        </r>
        <r>
          <rPr>
            <sz val="9"/>
            <color rgb="FF000000"/>
            <rFont val="Tahoma"/>
            <family val="2"/>
          </rPr>
          <t xml:space="preserve">Se redujo $ 6.765,28 DTIC por efecto de informe de seguimiento.
</t>
        </r>
        <r>
          <rPr>
            <sz val="9"/>
            <color rgb="FF000000"/>
            <rFont val="Tahoma"/>
            <family val="2"/>
          </rPr>
          <t xml:space="preserve">
</t>
        </r>
        <r>
          <rPr>
            <sz val="9"/>
            <color rgb="FF000000"/>
            <rFont val="Tahoma"/>
            <family val="2"/>
          </rPr>
          <t xml:space="preserve">Se reduce $ 2.352,00 en el POA de VIVP en atención al memo nro. VINVIP-2023-0220-M
</t>
        </r>
        <r>
          <rPr>
            <sz val="9"/>
            <color rgb="FF000000"/>
            <rFont val="Tahoma"/>
            <family val="2"/>
          </rPr>
          <t xml:space="preserve">
</t>
        </r>
        <r>
          <rPr>
            <sz val="9"/>
            <color rgb="FF000000"/>
            <rFont val="Tahoma"/>
            <family val="2"/>
          </rPr>
          <t xml:space="preserve">Se reduce $ 1184,96 en el POA de DTIC en atención al memo nro. </t>
        </r>
        <r>
          <rPr>
            <sz val="10"/>
            <color rgb="FF000000"/>
            <rFont val="Arial"/>
            <family val="2"/>
            <scheme val="minor"/>
          </rPr>
          <t xml:space="preserve">UTMACH-DTIC-2023-0224-M.
</t>
        </r>
        <r>
          <rPr>
            <sz val="9"/>
            <color rgb="FF000000"/>
            <rFont val="Tahoma"/>
            <family val="2"/>
          </rPr>
          <t xml:space="preserve">
</t>
        </r>
        <r>
          <rPr>
            <sz val="9"/>
            <color rgb="FF000000"/>
            <rFont val="Tahoma"/>
            <family val="2"/>
          </rPr>
          <t xml:space="preserve">Se reduce $ 12732,16 en el POA de DTIC en atención al memo nro. </t>
        </r>
        <r>
          <rPr>
            <sz val="10"/>
            <color rgb="FF000000"/>
            <rFont val="Arial"/>
            <family val="2"/>
            <scheme val="minor"/>
          </rPr>
          <t>UTMACH-DTIC-2023-0224-M.</t>
        </r>
      </text>
    </comment>
    <comment ref="E228" authorId="3" shapeId="0" xr:uid="{85A1BB93-3ED4-4131-8E99-A3D64FAAD2F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 FCQS</t>
        </r>
      </text>
    </comment>
    <comment ref="F229" authorId="1" shapeId="0" xr:uid="{6701A673-23B0-498D-A63F-EF7E21385BF6}">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$ 530,00 según memo N° DIDI-2023-0223-M_04052023
</t>
        </r>
        <r>
          <rPr>
            <b/>
            <sz val="9"/>
            <color rgb="FF000000"/>
            <rFont val="Tahoma"/>
            <family val="2"/>
          </rPr>
          <t>Reforma N° 4:</t>
        </r>
        <r>
          <rPr>
            <sz val="9"/>
            <color rgb="FF000000"/>
            <rFont val="Tahoma"/>
            <family val="2"/>
          </rPr>
          <t xml:space="preserve">
Se redujo $ 590,00 DIDI por efecto de informe de seguimiento.
</t>
        </r>
        <r>
          <rPr>
            <b/>
            <sz val="9"/>
            <color rgb="FF000000"/>
            <rFont val="Tahoma"/>
            <family val="2"/>
          </rPr>
          <t>Reforma N° 5:</t>
        </r>
        <r>
          <rPr>
            <sz val="9"/>
            <color rgb="FF000000"/>
            <rFont val="Tahoma"/>
            <family val="2"/>
          </rPr>
          <t xml:space="preserve">
Se redujo $ 473,76 por ser saldo no ejecutado, FCA.</t>
        </r>
      </text>
    </comment>
    <comment ref="F230" authorId="4" shapeId="0" xr:uid="{086CE64D-7044-47CC-8015-59237798ACEC}">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E232" authorId="3" shapeId="0" xr:uid="{523D87AD-2410-4F50-82D1-A5B4DA07FA9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$ 620,58 FCQS</t>
        </r>
      </text>
    </comment>
    <comment ref="E233" authorId="3" shapeId="0" xr:uid="{2972389C-CF3C-4E7C-B06A-2273F1A5D07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$ 672,00 FCQS</t>
        </r>
      </text>
    </comment>
    <comment ref="E235" authorId="3" shapeId="0" xr:uid="{1B3CAC44-7B7B-4DFB-877C-78AB0F6FC1C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Arial"/>
            <family val="2"/>
          </rPr>
          <t xml:space="preserve">Se incrementa $ 2.500,00 en el POA de DIDI para financiamiento de la cartera de proyecto 2023, conforme pedido del memo nro. UTMACH-DIDI-2023-0466-M
</t>
        </r>
      </text>
    </comment>
    <comment ref="F235" authorId="3" shapeId="0" xr:uid="{687A5797-1264-4BDF-8974-7E1F634451BC}">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$ 7.400,00 FCA
</t>
        </r>
        <r>
          <rPr>
            <sz val="9"/>
            <color rgb="FF000000"/>
            <rFont val="Tahoma"/>
            <family val="2"/>
          </rPr>
          <t xml:space="preserve">$ 6.000,00 FCS
</t>
        </r>
        <r>
          <rPr>
            <sz val="9"/>
            <color rgb="FF000000"/>
            <rFont val="Tahoma"/>
            <family val="2"/>
          </rPr>
          <t xml:space="preserve">$ 4.000,00 FIC
</t>
        </r>
        <r>
          <rPr>
            <sz val="9"/>
            <color rgb="FF000000"/>
            <rFont val="Tahoma"/>
            <family val="2"/>
          </rPr>
          <t xml:space="preserve">
</t>
        </r>
        <r>
          <rPr>
            <sz val="9"/>
            <color rgb="FF000000"/>
            <rFont val="Tahoma"/>
            <family val="2"/>
          </rPr>
          <t xml:space="preserve">Se redujo $ 56.000,00 de acuerdo al 1er POA 2023 de la FCE presentado (por no estar desagregado).
</t>
        </r>
        <r>
          <rPr>
            <sz val="9"/>
            <color rgb="FF000000"/>
            <rFont val="Tahoma"/>
            <family val="2"/>
          </rPr>
          <t xml:space="preserve">
</t>
        </r>
        <r>
          <rPr>
            <sz val="9"/>
            <color rgb="FF000000"/>
            <rFont val="Tahoma"/>
            <family val="2"/>
          </rPr>
          <t xml:space="preserve">Se redujo $ 39.092,51
</t>
        </r>
        <r>
          <rPr>
            <sz val="9"/>
            <color rgb="FF000000"/>
            <rFont val="Tahoma"/>
            <family val="2"/>
          </rPr>
          <t xml:space="preserve">
</t>
        </r>
        <r>
          <rPr>
            <sz val="9"/>
            <color rgb="FF000000"/>
            <rFont val="Tahoma"/>
            <family val="2"/>
          </rPr>
          <t xml:space="preserve">En el POA quedó:
</t>
        </r>
        <r>
          <rPr>
            <sz val="9"/>
            <color rgb="FF000000"/>
            <rFont val="Tahoma"/>
            <family val="2"/>
          </rPr>
          <t xml:space="preserve">8.360,00 DIDI
</t>
        </r>
        <r>
          <rPr>
            <sz val="9"/>
            <color rgb="FF000000"/>
            <rFont val="Tahoma"/>
            <family val="2"/>
          </rPr>
          <t xml:space="preserve">15.000,00 FCA
</t>
        </r>
        <r>
          <rPr>
            <sz val="9"/>
            <color rgb="FF000000"/>
            <rFont val="Tahoma"/>
            <family val="2"/>
          </rPr>
          <t xml:space="preserve">28.107,49 FCQS
</t>
        </r>
        <r>
          <rPr>
            <sz val="9"/>
            <color rgb="FF000000"/>
            <rFont val="Tahoma"/>
            <family val="2"/>
          </rPr>
          <t xml:space="preserve">10.800,00 FCS
</t>
        </r>
        <r>
          <rPr>
            <sz val="9"/>
            <color rgb="FF000000"/>
            <rFont val="Tahoma"/>
            <family val="2"/>
          </rPr>
          <t xml:space="preserve">6.080,00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 xml:space="preserve">Se redujo $ 10.800,00 a FCS según reunión de seguimiento y en virtud de oficio Nro. MEF-SP-2023-0501 para atender Memo Nro. 0399 de DADM.
</t>
        </r>
        <r>
          <rPr>
            <sz val="9"/>
            <color rgb="FF000000"/>
            <rFont val="Tahoma"/>
            <family val="2"/>
          </rPr>
          <t xml:space="preserve">
</t>
        </r>
        <r>
          <rPr>
            <sz val="9"/>
            <color rgb="FF000000"/>
            <rFont val="Tahoma"/>
            <family val="2"/>
          </rPr>
          <t xml:space="preserve">Se redujo $ 15.848,08+6.776,00 según memo N 0604 FCQS_25052023
</t>
        </r>
        <r>
          <rPr>
            <sz val="9"/>
            <color rgb="FF000000"/>
            <rFont val="Tahoma"/>
            <family val="2"/>
          </rPr>
          <t xml:space="preserve">
</t>
        </r>
        <r>
          <rPr>
            <sz val="9"/>
            <color rgb="FF000000"/>
            <rFont val="Tahoma"/>
            <family val="2"/>
          </rPr>
          <t>Se redujo $6.080,00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$ 8.360,00 DIDI por efecto de informe de seguimiento.
</t>
        </r>
        <r>
          <rPr>
            <sz val="9"/>
            <color rgb="FF000000"/>
            <rFont val="Tahoma"/>
            <family val="2"/>
          </rPr>
          <t xml:space="preserve">
</t>
        </r>
        <r>
          <rPr>
            <sz val="9"/>
            <color rgb="FF000000"/>
            <rFont val="Tahoma"/>
            <family val="2"/>
          </rPr>
          <t>Se redujo $ 4.190,00 FCA por efecto de informe de seguimiento.</t>
        </r>
      </text>
    </comment>
    <comment ref="F236" authorId="3" shapeId="0" xr:uid="{B927B021-BD06-47EB-B69E-04F4EDBD5DCF}">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$ 394,63 para Py Inversión FIC.
</t>
        </r>
        <r>
          <rPr>
            <sz val="9"/>
            <color rgb="FF000000"/>
            <rFont val="Tahoma"/>
            <family val="2"/>
          </rPr>
          <t xml:space="preserve">$ 0,75 POR DIFERENCIA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$ 2.240,00 DIDI por efecto de informe de seguimiento.</t>
        </r>
      </text>
    </comment>
    <comment ref="E237" authorId="3" shapeId="0" xr:uid="{8105B3E4-6A86-470F-BB2D-750AE54D6DC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F237" authorId="0" shapeId="0" xr:uid="{9C5A2C5C-5A8C-4BAA-9337-306AC34F54E6}">
      <text>
        <r>
          <rPr>
            <b/>
            <sz val="10"/>
            <color rgb="FF000000"/>
            <rFont val="Tahoma"/>
            <family val="2"/>
          </rPr>
          <t xml:space="preserve">Microsoft Office User:
</t>
        </r>
        <r>
          <rPr>
            <b/>
            <sz val="10"/>
            <color rgb="FF000000"/>
            <rFont val="Tahoma"/>
            <family val="2"/>
          </rPr>
          <t xml:space="preserve">
</t>
        </r>
        <r>
          <rPr>
            <b/>
            <sz val="10"/>
            <color rgb="FF000000"/>
            <rFont val="Tahoma"/>
            <family val="2"/>
          </rPr>
          <t xml:space="preserve">Reforma nro. 004:
</t>
        </r>
        <r>
          <rPr>
            <b/>
            <sz val="10"/>
            <color rgb="FF000000"/>
            <rFont val="Tahoma"/>
            <family val="2"/>
          </rPr>
          <t xml:space="preserve">
</t>
        </r>
        <r>
          <rPr>
            <sz val="9"/>
            <color rgb="FF000000"/>
            <rFont val="Tahoma"/>
            <family val="2"/>
          </rPr>
          <t xml:space="preserve">Se reduce $ 1680,00 en el POA de DIDI para atender memo nro. DIDI-2023-0468-M
</t>
        </r>
        <r>
          <rPr>
            <sz val="9"/>
            <color rgb="FF000000"/>
            <rFont val="Tahoma"/>
            <family val="2"/>
          </rPr>
          <t xml:space="preserve">
</t>
        </r>
      </text>
    </comment>
    <comment ref="E238" authorId="1" shapeId="0" xr:uid="{C7227B2C-951E-40AD-B9AF-12A8B17C2EF6}">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F238" authorId="2" shapeId="0" xr:uid="{021507E4-B9C1-4FA1-8CC8-9EFA99E960DD}">
      <text>
        <r>
          <rPr>
            <b/>
            <sz val="9"/>
            <color indexed="81"/>
            <rFont val="Tahoma"/>
            <family val="2"/>
          </rPr>
          <t>Admin:</t>
        </r>
        <r>
          <rPr>
            <sz val="9"/>
            <color indexed="81"/>
            <rFont val="Tahoma"/>
            <family val="2"/>
          </rPr>
          <t xml:space="preserve">
Reforma N° 5:
Se redujo $ 85,76 por ser saldo no ejecutado, DTICS.</t>
        </r>
      </text>
    </comment>
    <comment ref="E239" authorId="3" shapeId="0" xr:uid="{7FE2B5DF-84CC-4F6D-AEF5-4690469AEBF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$ 2.000,00 según Memorando N</t>
        </r>
        <r>
          <rPr>
            <sz val="9"/>
            <color rgb="FF000000"/>
            <rFont val="Tahoma"/>
            <family val="2"/>
          </rPr>
          <t>°</t>
        </r>
        <r>
          <rPr>
            <sz val="9"/>
            <color rgb="FF000000"/>
            <rFont val="Tahoma"/>
            <family val="2"/>
          </rPr>
          <t xml:space="preserve"> UTMACH-DIDI-2023-0053-M_02/02/2023.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 xml:space="preserve">Se incrementa $ </t>
        </r>
        <r>
          <rPr>
            <sz val="9"/>
            <color rgb="FF000000"/>
            <rFont val="Arial"/>
            <family val="2"/>
          </rPr>
          <t xml:space="preserve">1,662.50 en el POA de DTIC para atender memo nro. </t>
        </r>
        <r>
          <rPr>
            <sz val="10"/>
            <color rgb="FF000000"/>
            <rFont val="Arial"/>
            <family val="2"/>
            <scheme val="minor"/>
          </rPr>
          <t>UTMACH-DTIC-2023-0224-M.</t>
        </r>
      </text>
    </comment>
    <comment ref="F239" authorId="4" shapeId="0" xr:uid="{A7154FDA-4F75-45B5-B172-3C3EF9390AB2}">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E240" authorId="3" shapeId="0" xr:uid="{97034175-3897-46A9-AF26-BEAEC7D948FD}">
      <text>
        <r>
          <rPr>
            <b/>
            <sz val="9"/>
            <color rgb="FF000000"/>
            <rFont val="Tahoma"/>
            <family val="2"/>
          </rPr>
          <t>HP:</t>
        </r>
        <r>
          <rPr>
            <sz val="9"/>
            <color rgb="FF000000"/>
            <rFont val="Tahoma"/>
            <family val="2"/>
          </rPr>
          <t xml:space="preserve">
Reforma N° 1:
Se incrementó $ 22.000,00 según Memorando N° UTMACH-DIDI-2023-0053-M_02/02/2023 y UTMACH-DIDI-2023-0042-M_31/01/2023.</t>
        </r>
      </text>
    </comment>
    <comment ref="F240" authorId="4" shapeId="0" xr:uid="{4F6C8EC9-B245-4EAF-84AA-C3CC17F9BCF8}">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reduce $13.133,00 en atención al memo nro 083 DIDI-BG</t>
        </r>
      </text>
    </comment>
    <comment ref="E241" authorId="3" shapeId="0" xr:uid="{82A0D1A5-0D63-427B-954F-23364F5ABD4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$ 3.500,00 según Memorando N</t>
        </r>
        <r>
          <rPr>
            <sz val="9"/>
            <color rgb="FF000000"/>
            <rFont val="Tahoma"/>
            <family val="2"/>
          </rPr>
          <t>°</t>
        </r>
        <r>
          <rPr>
            <sz val="9"/>
            <color rgb="FF000000"/>
            <rFont val="Tahoma"/>
            <family val="2"/>
          </rPr>
          <t xml:space="preserve"> UTMACH-DIDI-2023-0053-M_02/02/2023.</t>
        </r>
      </text>
    </comment>
    <comment ref="E242" authorId="0" shapeId="0" xr:uid="{969AC7E8-F40A-4A8F-BF6B-60CA3703E35F}">
      <text>
        <r>
          <rPr>
            <b/>
            <sz val="9"/>
            <color rgb="FF000000"/>
            <rFont val="Tahoma"/>
            <family val="2"/>
          </rPr>
          <t>Microsoft Office User:</t>
        </r>
        <r>
          <rPr>
            <sz val="9"/>
            <color rgb="FF000000"/>
            <rFont val="Tahoma"/>
            <family val="2"/>
          </rPr>
          <t xml:space="preserve">
Reforma N° 4:
Se incrimenta $ 26.116,86 en el POA de DIDI para atender memo nro. VINVIP-2023-0213-M.</t>
        </r>
      </text>
    </comment>
    <comment ref="F242" authorId="1" shapeId="0" xr:uid="{52AB15E9-EA84-4FCA-8248-2555445E9C0A}">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E243" authorId="3" shapeId="0" xr:uid="{329AECDF-92C3-448A-9DF5-C8EEF20FE127}">
      <text>
        <r>
          <rPr>
            <b/>
            <sz val="9"/>
            <color rgb="FF000000"/>
            <rFont val="Tahoma"/>
            <family val="2"/>
          </rPr>
          <t>HP:</t>
        </r>
        <r>
          <rPr>
            <sz val="9"/>
            <color rgb="FF000000"/>
            <rFont val="Tahoma"/>
            <family val="2"/>
          </rPr>
          <t xml:space="preserve">
Reforma N° 2:
Se incrementó $1.250,00 Py de Inversión FIC.</t>
        </r>
      </text>
    </comment>
    <comment ref="F243" authorId="1" shapeId="0" xr:uid="{11BE94B8-B1E7-4365-BFA0-C6BB129CC14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$ 1.250,00 según memo N</t>
        </r>
        <r>
          <rPr>
            <sz val="9"/>
            <color rgb="FF000000"/>
            <rFont val="Tahoma"/>
            <family val="2"/>
          </rPr>
          <t>°</t>
        </r>
        <r>
          <rPr>
            <sz val="9"/>
            <color rgb="FF000000"/>
            <rFont val="Tahoma"/>
            <family val="2"/>
          </rPr>
          <t xml:space="preserve"> FIC-D-2023-0209-M_05052023.</t>
        </r>
      </text>
    </comment>
    <comment ref="E244" authorId="3" shapeId="0" xr:uid="{A11013BE-3662-452C-BC89-DA8E6AA203BE}">
      <text>
        <r>
          <rPr>
            <b/>
            <sz val="9"/>
            <color rgb="FF000000"/>
            <rFont val="Tahoma"/>
            <family val="2"/>
          </rPr>
          <t>HP:</t>
        </r>
        <r>
          <rPr>
            <sz val="9"/>
            <color rgb="FF000000"/>
            <rFont val="Tahoma"/>
            <family val="2"/>
          </rPr>
          <t xml:space="preserve">
Reforma N° 2:
Se incrementó $ 26.785,71 para Servicio de Consultoría CRAI - LOAYZA AGUILAR KAROL.</t>
        </r>
      </text>
    </comment>
    <comment ref="D245" authorId="4" shapeId="0" xr:uid="{75ECEA36-9C63-4A04-912E-4A564963F9C0}">
      <text>
        <r>
          <rPr>
            <b/>
            <sz val="9"/>
            <color rgb="FF000000"/>
            <rFont val="Tahoma"/>
            <family val="2"/>
          </rPr>
          <t>Valeria Ramon Capa:</t>
        </r>
        <r>
          <rPr>
            <sz val="9"/>
            <color rgb="FF000000"/>
            <rFont val="Tahoma"/>
            <family val="2"/>
          </rPr>
          <t xml:space="preserve">
Este valor se encuentra en el POA de Dplan.</t>
        </r>
      </text>
    </comment>
    <comment ref="E246" authorId="3" shapeId="0" xr:uid="{30DABA4A-99C8-4D00-A66E-73F0E820CD18}">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Servicio de implementación de una red wifi TELCONET DTIC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$ 316.079,06 en virtud del proyecto de inversión DTIC.</t>
        </r>
      </text>
    </comment>
    <comment ref="E247" authorId="0" shapeId="0" xr:uid="{8D3EA81B-9C24-49B7-8522-456E3A58F2E6}">
      <text>
        <r>
          <rPr>
            <b/>
            <sz val="9"/>
            <color rgb="FF000000"/>
            <rFont val="Tahoma"/>
            <family val="2"/>
          </rPr>
          <t>Microsoft Office User:</t>
        </r>
        <r>
          <rPr>
            <sz val="9"/>
            <color rgb="FF000000"/>
            <rFont val="Tahoma"/>
            <family val="2"/>
          </rPr>
          <t xml:space="preserve">
Reforma N° 4:
Se incrementó $ 62.540,30 para anticipo de contrato de fiscalización de la obra de construcción del CRAI, en el POA de DADM.</t>
        </r>
      </text>
    </comment>
    <comment ref="F248" authorId="1" shapeId="0" xr:uid="{BA02E14D-BE8E-4DD0-97AF-52ED4AA45031}">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$ 394,63 según memo N</t>
        </r>
        <r>
          <rPr>
            <sz val="9"/>
            <color rgb="FF000000"/>
            <rFont val="Tahoma"/>
            <family val="2"/>
          </rPr>
          <t>°</t>
        </r>
        <r>
          <rPr>
            <sz val="9"/>
            <color rgb="FF000000"/>
            <rFont val="Tahoma"/>
            <family val="2"/>
          </rPr>
          <t xml:space="preserve"> FIC-D-2023-0209-M_05052023.</t>
        </r>
      </text>
    </comment>
    <comment ref="E249" authorId="2" shapeId="0" xr:uid="{4154E409-30AC-4AC9-8A4D-5AD38DB418A8}">
      <text>
        <r>
          <rPr>
            <b/>
            <sz val="9"/>
            <color rgb="FF000000"/>
            <rFont val="Tahoma"/>
            <family val="2"/>
          </rPr>
          <t>Admin:</t>
        </r>
        <r>
          <rPr>
            <sz val="9"/>
            <color rgb="FF000000"/>
            <rFont val="Tahoma"/>
            <family val="2"/>
          </rPr>
          <t xml:space="preserve">
Reforma N° 4:
Se incrementa $ 1.563.507,51 por cambio de programa presupuestario del 82 al 83 del proyecto del CRAI.</t>
        </r>
      </text>
    </comment>
    <comment ref="E250" authorId="3" shapeId="0" xr:uid="{DA32436A-6AD5-48C6-B361-4C0B4734B420}">
      <text>
        <r>
          <rPr>
            <b/>
            <sz val="9"/>
            <color rgb="FF000000"/>
            <rFont val="Tahoma"/>
            <family val="2"/>
          </rPr>
          <t>HP:</t>
        </r>
        <r>
          <rPr>
            <sz val="9"/>
            <color rgb="FF000000"/>
            <rFont val="Tahoma"/>
            <family val="2"/>
          </rPr>
          <t xml:space="preserve">
Reforma N° 2:
Se incrementó $ 2.250,00 contrato año anterior. Adquisición de silla para cubículos ANDRANGO QUIMBIAMBA FCA.</t>
        </r>
      </text>
    </comment>
    <comment ref="E251" authorId="3" shapeId="0" xr:uid="{A6BE89C2-7C1F-43B1-BEE3-BF2460E44C4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$ 6.843,20 de acuerdo al POA 2023 de la FCE presentado.</t>
        </r>
      </text>
    </comment>
    <comment ref="F251" authorId="2" shapeId="0" xr:uid="{7F43A7FD-F025-4D70-80BD-C9AE1C46FE7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$ 756,08 FCE según informe de seguimiento.</t>
        </r>
      </text>
    </comment>
    <comment ref="E252" authorId="3" shapeId="0" xr:uid="{F24CB790-527D-49C3-B36A-5F27F43FFC5F}">
      <text>
        <r>
          <rPr>
            <b/>
            <sz val="9"/>
            <color rgb="FF000000"/>
            <rFont val="Tahoma"/>
            <family val="2"/>
          </rPr>
          <t>HP:</t>
        </r>
        <r>
          <rPr>
            <sz val="9"/>
            <color rgb="FF000000"/>
            <rFont val="Tahoma"/>
            <family val="2"/>
          </rPr>
          <t xml:space="preserve">
Reforma N° 2:
Se incrementó $ 6.370,00 Py de Inversión FIC.</t>
        </r>
      </text>
    </comment>
    <comment ref="F252" authorId="1" shapeId="0" xr:uid="{2573B9A5-4A6D-45B5-9E3C-79D6253BAF1E}">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$ 6.370,00 según memo N</t>
        </r>
        <r>
          <rPr>
            <sz val="9"/>
            <color rgb="FF000000"/>
            <rFont val="Tahoma"/>
            <family val="2"/>
          </rPr>
          <t>°</t>
        </r>
        <r>
          <rPr>
            <sz val="9"/>
            <color rgb="FF000000"/>
            <rFont val="Tahoma"/>
            <family val="2"/>
          </rPr>
          <t xml:space="preserve"> FIC-D-2023-0209-M_05052023.</t>
        </r>
      </text>
    </comment>
    <comment ref="E253" authorId="3" shapeId="0" xr:uid="{1DA50C31-D942-4AC9-8FD6-F711FA99AAD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
</t>
        </r>
        <r>
          <rPr>
            <b/>
            <sz val="9"/>
            <color rgb="FF000000"/>
            <rFont val="Tahoma"/>
            <family val="2"/>
          </rPr>
          <t>Reforma N° 3:</t>
        </r>
        <r>
          <rPr>
            <sz val="9"/>
            <color rgb="FF000000"/>
            <rFont val="Tahoma"/>
            <family val="2"/>
          </rPr>
          <t xml:space="preserve">
Se incrementó $ 13.192,00 según memo N° DTIC-2023-0088-M_04052023
</t>
        </r>
        <r>
          <rPr>
            <b/>
            <sz val="9"/>
            <color rgb="FF000000"/>
            <rFont val="Tahoma"/>
            <family val="2"/>
          </rPr>
          <t>Reforma N° 4:</t>
        </r>
        <r>
          <rPr>
            <sz val="9"/>
            <color rgb="FF000000"/>
            <rFont val="Tahoma"/>
            <family val="2"/>
          </rPr>
          <t xml:space="preserve">
Se incrementa $ 776,00 + $112,00 + $ 24.700,00 (televisores) en atención al memo nro. FCQS-D-2023-0905-M.
Se incrementa $ 29.760 en el POA de FCA según el memo nro. FCA-D-2023-0593-M.</t>
        </r>
      </text>
    </comment>
    <comment ref="F253" authorId="4" shapeId="0" xr:uid="{658652E8-5035-47AA-B813-424B92A42240}">
      <text>
        <r>
          <rPr>
            <b/>
            <sz val="9"/>
            <color rgb="FF000000"/>
            <rFont val="Tahoma"/>
            <family val="34"/>
          </rPr>
          <t>Valeria Ramon Capa:</t>
        </r>
        <r>
          <rPr>
            <sz val="9"/>
            <color rgb="FF000000"/>
            <rFont val="Tahoma"/>
            <family val="34"/>
          </rPr>
          <t xml:space="preserve">
</t>
        </r>
        <r>
          <rPr>
            <b/>
            <sz val="9"/>
            <color rgb="FF000000"/>
            <rFont val="Tahoma"/>
            <family val="2"/>
          </rPr>
          <t>Reforma N° 3:</t>
        </r>
        <r>
          <rPr>
            <sz val="9"/>
            <color rgb="FF000000"/>
            <rFont val="Tahoma"/>
            <family val="34"/>
          </rPr>
          <t xml:space="preserve">
-06/06 Se reduce $10.192 por reunión mantenida con TICS por seguimiento y en virtud de oficio Nro. MEF-SP-2023-0501 para atender Memo Nro. 0399 de DADM.
-Se redujo $5.600,00+134,40 según memo N 0604 FCQS_25052023
-Se reduce $14280 a FCQS por seguimiento y en virtud de oficio Nro. MEF-SP-2023-0501 para atender Memo Nro. 0399 de DADM.
</t>
        </r>
        <r>
          <rPr>
            <sz val="9"/>
            <color rgb="FF000000"/>
            <rFont val="Tahoma"/>
            <family val="2"/>
          </rPr>
          <t xml:space="preserve">
</t>
        </r>
        <r>
          <rPr>
            <b/>
            <sz val="9"/>
            <color rgb="FF000000"/>
            <rFont val="Tahoma"/>
            <family val="2"/>
          </rPr>
          <t>Reforma N° 4:</t>
        </r>
        <r>
          <rPr>
            <sz val="9"/>
            <color rgb="FF000000"/>
            <rFont val="Tahoma"/>
            <family val="2"/>
          </rPr>
          <t xml:space="preserve">
Se reduce $ 745,74 + $108,80 + $ 1.691,20 + $ 1.915,20   + $ 1.915,20 + $500,00 + $1.120,00 + $ 6.057,97 en atención al memo nro. FCQS-D-2023-0905-M.
</t>
        </r>
        <r>
          <rPr>
            <b/>
            <sz val="9"/>
            <color rgb="FF000000"/>
            <rFont val="Tahoma"/>
            <family val="2"/>
          </rPr>
          <t>Reforma N° 5:</t>
        </r>
        <r>
          <rPr>
            <sz val="9"/>
            <color rgb="FF000000"/>
            <rFont val="Tahoma"/>
            <family val="2"/>
          </rPr>
          <t xml:space="preserve">
Se redujo $ 3.000,00 por ser saldo no ejecutado, DTICS.
Se redujo $ 280,10 (CEP N° 341) por ser saldo no ejecutado, FCQS.
Se redujo $ 149,74 (CP N° 347) por ser saldo no ejecutado, FCQS.</t>
        </r>
      </text>
    </comment>
    <comment ref="E254" authorId="3" shapeId="0" xr:uid="{3A45B07B-ED97-493D-9ABA-70600415132C}">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$ 924.169,72 Py de Inversión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F254" authorId="2" shapeId="0" xr:uid="{98DBB9C7-86D9-4308-9135-DDC92EF7A424}">
      <text>
        <r>
          <rPr>
            <b/>
            <sz val="9"/>
            <color indexed="81"/>
            <rFont val="Tahoma"/>
            <family val="2"/>
          </rPr>
          <t>Admin:</t>
        </r>
        <r>
          <rPr>
            <sz val="9"/>
            <color indexed="81"/>
            <rFont val="Tahoma"/>
            <family val="2"/>
          </rPr>
          <t xml:space="preserve">
Reforma N° 5:
Se redujo $ 30.694,38 por ser saldo no ejecutado, FIC.
Se redujo $ 7.756,64 por ser saldo no ejecutado, FIC.
Se redujo $ 69.433,23 por ser saldo no ejecutado, FIC.</t>
        </r>
      </text>
    </comment>
    <comment ref="E255" authorId="3" shapeId="0" xr:uid="{312DA729-CF2B-42D9-9158-1B7E51E75347}">
      <text>
        <r>
          <rPr>
            <b/>
            <sz val="9"/>
            <color rgb="FF000000"/>
            <rFont val="Tahoma"/>
            <family val="2"/>
          </rPr>
          <t>HP:</t>
        </r>
        <r>
          <rPr>
            <sz val="9"/>
            <color rgb="FF000000"/>
            <rFont val="Tahoma"/>
            <family val="2"/>
          </rPr>
          <t xml:space="preserve">
Reforma N° 2:
Se incrementó $ 9.325,25 por contrato de año anterior para adquisición de proyectores de imagen. TICS.
Reforma N° 4:
Se incrementa $ 28.605,92 en el POA de FCS para atender el memo nro. </t>
        </r>
        <r>
          <rPr>
            <sz val="10"/>
            <color rgb="FF000000"/>
            <rFont val="Calibri"/>
            <family val="2"/>
          </rPr>
          <t xml:space="preserve">UTMACH-FCS-D-2023-0831-M. </t>
        </r>
      </text>
    </comment>
    <comment ref="F255" authorId="2" shapeId="0" xr:uid="{317B8A72-E7B2-4BFB-B70B-AE324FFA195E}">
      <text>
        <r>
          <rPr>
            <b/>
            <sz val="9"/>
            <color indexed="81"/>
            <rFont val="Tahoma"/>
            <family val="2"/>
          </rPr>
          <t>Admin:</t>
        </r>
        <r>
          <rPr>
            <sz val="9"/>
            <color indexed="81"/>
            <rFont val="Tahoma"/>
            <family val="2"/>
          </rPr>
          <t xml:space="preserve">
Reforma N° 5:
Se redujo $ 1.680,80 IVA de un contrato del año anterior, DTICS.</t>
        </r>
      </text>
    </comment>
    <comment ref="E256" authorId="5" shapeId="0" xr:uid="{5BBDC8F0-4653-4A3B-8EC0-4AF74AFE68D8}">
      <text>
        <r>
          <rPr>
            <b/>
            <sz val="7"/>
            <color rgb="FF000000"/>
            <rFont val="Tahoma"/>
            <family val="2"/>
          </rPr>
          <t>Eunice Basilio:</t>
        </r>
        <r>
          <rPr>
            <sz val="7"/>
            <color rgb="FF000000"/>
            <rFont val="Tahoma"/>
            <family val="2"/>
          </rPr>
          <t xml:space="preserve">
</t>
        </r>
        <r>
          <rPr>
            <b/>
            <sz val="7"/>
            <color rgb="FF000000"/>
            <rFont val="Tahoma"/>
            <family val="2"/>
          </rPr>
          <t>Reforma N° 2:</t>
        </r>
        <r>
          <rPr>
            <sz val="7"/>
            <color rgb="FF000000"/>
            <rFont val="Tahoma"/>
            <family val="2"/>
          </rPr>
          <t xml:space="preserve">
Se incrementó $ 211.328,52 conforme archivo POA 2023.
$ 4.278,40 Vic. de Investigación, Vinculación y Posgrado
$ 134.551,20 DIDI (con el incremento de abajo)
$ 59.062,12 + 22.400,00 FCA
$ 12.028,80 + 18043,20 FCS
$ 400,00 Rectorado
$ 1.008,00 + 30.889,60 + 1.929,57 FCQS
$ 15.120,00 FIC
</t>
        </r>
        <r>
          <rPr>
            <sz val="7"/>
            <color rgb="FFFF0000"/>
            <rFont val="Tahoma"/>
            <family val="2"/>
          </rPr>
          <t xml:space="preserve">
</t>
        </r>
        <r>
          <rPr>
            <sz val="7"/>
            <color rgb="FF000000"/>
            <rFont val="Tahoma"/>
            <family val="2"/>
          </rPr>
          <t xml:space="preserve">Se redujo $ 132.871,20 según Memorando N° UTMACH-DIDI-2023-0053-M_02/02/2023.
Se incrementó $ 8.480,00 según adjunto de Vic. Investigación en e-mail enviado el 03/02/2023
</t>
        </r>
        <r>
          <rPr>
            <b/>
            <sz val="7"/>
            <color rgb="FF000000"/>
            <rFont val="Tahoma"/>
            <family val="2"/>
          </rPr>
          <t xml:space="preserve">Reforma N° 3:
</t>
        </r>
        <r>
          <rPr>
            <sz val="7"/>
            <color rgb="FF000000"/>
            <rFont val="Tahoma"/>
            <family val="2"/>
          </rPr>
          <t xml:space="preserve">Se incrementó $ 9.559,07 según memo N° 8 FCE-D-2023-0238-M_14032023
05/06: Se incrementó $5000 a FCA por reunión de seguimiento
Se incrementó $ 1.904,87+3.136,00+3.136,00 según memo N 0604 FCQS_25052023
Se incrementó 923,41 en FCA por cuadre de grupo 84
Se incrementó $11.620,00 por memo N° UTMACH-FIC-D-2023-0312-M_18052023
Se incrementó $ 13.405,61+6.776,00 según memo N 0604 FCQS_25052023
Se incrementó en DIDI $ 39.637,92 - ($3.158,13 por cuadre de fuente) para cartera de proyectos de inversión 2023
</t>
        </r>
        <r>
          <rPr>
            <b/>
            <sz val="7"/>
            <color rgb="FF000000"/>
            <rFont val="Tahoma"/>
            <family val="2"/>
          </rPr>
          <t xml:space="preserve">Reforman N° 4:
</t>
        </r>
        <r>
          <rPr>
            <sz val="7"/>
            <color rgb="FF000000"/>
            <rFont val="Arial"/>
            <family val="2"/>
          </rPr>
          <t>Se incrementa $ 27.791,68 en el POA de DIDI para financiamiento de la cartera de proyecto 2023, conforme pedido del memo nro. UTMACH-DIDI-2023-0466-M.
Se incrementa $ 2,576.00 en el POA de DIDI para financiamiento de la cartera de proyecto 2023, conforme pedido del memo nro. UTMACH-DIDI-2023-0468-M.</t>
        </r>
      </text>
    </comment>
    <comment ref="F256" authorId="4" shapeId="0" xr:uid="{0C786C2A-2878-4293-AA9E-732C39A75D62}">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$15.120,00 por memo N</t>
        </r>
        <r>
          <rPr>
            <sz val="9"/>
            <color rgb="FF000000"/>
            <rFont val="Tahoma"/>
            <family val="2"/>
          </rPr>
          <t>°</t>
        </r>
        <r>
          <rPr>
            <sz val="9"/>
            <color rgb="FF000000"/>
            <rFont val="Tahoma"/>
            <family val="2"/>
          </rPr>
          <t xml:space="preserve"> UTMACH-FIC-D-2023-0312-M_18052023
</t>
        </r>
        <r>
          <rPr>
            <sz val="9"/>
            <color rgb="FF000000"/>
            <rFont val="Tahoma"/>
            <family val="2"/>
          </rPr>
          <t xml:space="preserve">
</t>
        </r>
        <r>
          <rPr>
            <sz val="9"/>
            <color rgb="FF000000"/>
            <rFont val="Tahoma"/>
            <family val="2"/>
          </rPr>
          <t xml:space="preserve">Se reduce $758,4 a VIVP por reunión de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 xml:space="preserve">Se redujo $ 62,50+120,00 Rectorado por saldo no ejecutado.
</t>
        </r>
        <r>
          <rPr>
            <sz val="9"/>
            <color rgb="FF000000"/>
            <rFont val="Tahoma"/>
            <family val="2"/>
          </rPr>
          <t xml:space="preserve">
</t>
        </r>
        <r>
          <rPr>
            <sz val="9"/>
            <color rgb="FF000000"/>
            <rFont val="Tahoma"/>
            <family val="2"/>
          </rPr>
          <t xml:space="preserve">Se redujo $ 4.000,00 FCA por efecto de informe de seguimiento y atención al memo nro. FCA-D-2023-0593-M.
</t>
        </r>
        <r>
          <rPr>
            <sz val="9"/>
            <color rgb="FF000000"/>
            <rFont val="Tahoma"/>
            <family val="2"/>
          </rPr>
          <t xml:space="preserve">
</t>
        </r>
        <r>
          <rPr>
            <sz val="9"/>
            <color rgb="FF000000"/>
            <rFont val="Tahoma"/>
            <family val="2"/>
          </rPr>
          <t xml:space="preserve">Se redujo $ 4.320,00 FCA por efecto de informe de seguimiento.
</t>
        </r>
        <r>
          <rPr>
            <sz val="9"/>
            <color rgb="FF000000"/>
            <rFont val="Tahoma"/>
            <family val="2"/>
          </rPr>
          <t xml:space="preserve">
</t>
        </r>
        <r>
          <rPr>
            <sz val="9"/>
            <color rgb="FF000000"/>
            <rFont val="Arial"/>
            <family val="2"/>
          </rPr>
          <t xml:space="preserve">Se reduce $ </t>
        </r>
        <r>
          <rPr>
            <b/>
            <sz val="9"/>
            <color rgb="FF000000"/>
            <rFont val="Arial"/>
            <family val="2"/>
          </rPr>
          <t>12,762.40</t>
        </r>
        <r>
          <rPr>
            <sz val="9"/>
            <color rgb="FF000000"/>
            <rFont val="Arial"/>
            <family val="2"/>
          </rPr>
          <t xml:space="preserve"> en el POA de DIDI para financiamiento de la cartera de proyecto 2023, conforme pedido del memo nro. UTMACH-DIDI-2023-0466-M
</t>
        </r>
        <r>
          <rPr>
            <sz val="9"/>
            <color rgb="FF000000"/>
            <rFont val="Arial"/>
            <family val="2"/>
          </rPr>
          <t xml:space="preserve">
</t>
        </r>
        <r>
          <rPr>
            <sz val="9"/>
            <color rgb="FF000000"/>
            <rFont val="Arial"/>
            <family val="2"/>
          </rPr>
          <t xml:space="preserve">Se reduce $ 500,00 en el POA de FCA para atender memo nro. FCA-D-2023-0571-M.
</t>
        </r>
        <r>
          <rPr>
            <sz val="9"/>
            <color rgb="FF000000"/>
            <rFont val="Arial"/>
            <family val="2"/>
          </rPr>
          <t xml:space="preserve">
</t>
        </r>
        <r>
          <rPr>
            <sz val="8"/>
            <color rgb="FF000000"/>
            <rFont val="Calibri"/>
            <family val="2"/>
          </rPr>
          <t xml:space="preserve">Se reduce $ 3.255,54 + $ 1.456,87 + $ 1.691,20 + $ 1.691,20 en atención al memo nro. FCQS-D-2023-0905-M.
</t>
        </r>
        <r>
          <rPr>
            <sz val="8"/>
            <color rgb="FF000000"/>
            <rFont val="Calibri"/>
            <family val="2"/>
          </rPr>
          <t xml:space="preserve">
</t>
        </r>
        <r>
          <rPr>
            <sz val="8"/>
            <color rgb="FF000000"/>
            <rFont val="Arial"/>
            <family val="2"/>
            <scheme val="minor"/>
          </rPr>
          <t xml:space="preserve">Se reduce $ 4.631,75 en el POA de FIC y se trasladan al POa de DADM en atención al </t>
        </r>
        <r>
          <rPr>
            <sz val="8"/>
            <color rgb="FF000000"/>
            <rFont val="Arial"/>
            <family val="2"/>
            <scheme val="minor"/>
          </rPr>
          <t xml:space="preserve">Memorando nro. UTMACH-DADM-UCP-2023-1143-M.
</t>
        </r>
      </text>
    </comment>
    <comment ref="E258" authorId="3" shapeId="0" xr:uid="{4E57AFD0-96A9-40B4-88F6-4C5E5AC8891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$ 1.344,10 FCQS.
</t>
        </r>
        <r>
          <rPr>
            <b/>
            <sz val="9"/>
            <color rgb="FF000000"/>
            <rFont val="Tahoma"/>
            <family val="2"/>
          </rPr>
          <t>Reforma N° 3:</t>
        </r>
        <r>
          <rPr>
            <sz val="9"/>
            <color rgb="FF000000"/>
            <rFont val="Tahoma"/>
            <family val="2"/>
          </rPr>
          <t xml:space="preserve">
Se incrementó $ 6.338,72 según memo N° DTIC-2023-0088-M_04052023.</t>
        </r>
      </text>
    </comment>
    <comment ref="F258" authorId="4" shapeId="0" xr:uid="{9BA2370B-E8A7-4AD0-BB6F-36AFDEAA691B}">
      <text>
        <r>
          <rPr>
            <b/>
            <sz val="9"/>
            <color rgb="FF000000"/>
            <rFont val="Tahoma"/>
            <family val="2"/>
          </rPr>
          <t>Valeria Ramon Capa:</t>
        </r>
        <r>
          <rPr>
            <sz val="9"/>
            <color rgb="FF000000"/>
            <rFont val="Tahoma"/>
            <family val="2"/>
          </rPr>
          <t xml:space="preserve">
</t>
        </r>
        <r>
          <rPr>
            <b/>
            <sz val="9"/>
            <color rgb="FF000000"/>
            <rFont val="Tahoma"/>
            <family val="2"/>
          </rPr>
          <t>reforma 3:</t>
        </r>
        <r>
          <rPr>
            <sz val="9"/>
            <color rgb="FF000000"/>
            <rFont val="Tahoma"/>
            <family val="2"/>
          </rPr>
          <t xml:space="preserve">
Se reduce $1.086,02 por reunión de seguimiento con TICS y en virtud de oficio Nro. MEF-SP-2023-0501 para atender Memo Nro. 0399 de DADM.
</t>
        </r>
        <r>
          <rPr>
            <b/>
            <sz val="9"/>
            <color rgb="FF000000"/>
            <rFont val="Tahoma"/>
            <family val="2"/>
          </rPr>
          <t>Reforma N° 5:</t>
        </r>
        <r>
          <rPr>
            <sz val="9"/>
            <color rgb="FF000000"/>
            <rFont val="Tahoma"/>
            <family val="2"/>
          </rPr>
          <t xml:space="preserve">
Se redujo $ 91,12 por ser saldo no ejecutado, FCQS.</t>
        </r>
      </text>
    </comment>
    <comment ref="E259" authorId="3" shapeId="0" xr:uid="{125D6D86-631F-4C8A-A4F7-7E001AE458BA}">
      <text>
        <r>
          <rPr>
            <b/>
            <sz val="9"/>
            <color rgb="FF000000"/>
            <rFont val="Tahoma"/>
            <family val="2"/>
          </rPr>
          <t>HP:</t>
        </r>
        <r>
          <rPr>
            <sz val="9"/>
            <color rgb="FF000000"/>
            <rFont val="Tahoma"/>
            <family val="2"/>
          </rPr>
          <t xml:space="preserve">
Reforma N° 2:
Se incrementó $ 244.548,86 Py de Inversión FIC.</t>
        </r>
      </text>
    </comment>
    <comment ref="F259" authorId="1" shapeId="0" xr:uid="{CF267C4A-FA08-4B79-A2C1-FE401AC3B42A}">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$ 74.735,30 según memo N° FIC-D-2023-0209-M_05052023.
</t>
        </r>
        <r>
          <rPr>
            <b/>
            <sz val="9"/>
            <color rgb="FF000000"/>
            <rFont val="Tahoma"/>
            <family val="2"/>
          </rPr>
          <t>Reforma N° 5:</t>
        </r>
        <r>
          <rPr>
            <sz val="9"/>
            <color rgb="FF000000"/>
            <rFont val="Tahoma"/>
            <family val="2"/>
          </rPr>
          <t xml:space="preserve">
Se redujo $ 36.925,56 por ser saldo no ejecutado, FIC.</t>
        </r>
      </text>
    </comment>
    <comment ref="E260" authorId="0" shapeId="0" xr:uid="{36F0F6F7-FE7F-475C-907F-C3ACEF277027}">
      <text>
        <r>
          <rPr>
            <b/>
            <sz val="9"/>
            <color rgb="FF000000"/>
            <rFont val="Tahoma"/>
            <family val="2"/>
          </rPr>
          <t>Microsoft Office User:</t>
        </r>
        <r>
          <rPr>
            <sz val="9"/>
            <color rgb="FF000000"/>
            <rFont val="Tahoma"/>
            <family val="2"/>
          </rPr>
          <t xml:space="preserve">
Reforma N° 4:
Se incrementa $ 119.296,80 en el POA de DTIC para atender el memo nro. DTIC-2023-224-M.	</t>
        </r>
      </text>
    </comment>
    <comment ref="F260" authorId="2" shapeId="0" xr:uid="{92089607-1768-4A55-8D9D-AF6159CCBD42}">
      <text>
        <r>
          <rPr>
            <b/>
            <sz val="9"/>
            <color indexed="81"/>
            <rFont val="Tahoma"/>
            <family val="2"/>
          </rPr>
          <t>Admin:</t>
        </r>
        <r>
          <rPr>
            <sz val="9"/>
            <color indexed="81"/>
            <rFont val="Tahoma"/>
            <family val="2"/>
          </rPr>
          <t xml:space="preserve">
Reforma N° 5:
Se redujo $ 13.537,80 por ser saldo no ejecutado, Dir. Adm.</t>
        </r>
      </text>
    </comment>
    <comment ref="E261" authorId="5" shapeId="0" xr:uid="{1976E12F-E676-461E-A531-14D6EDCBAB39}">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$ 13.523,26 Vic. Investigación
$ 2.240,00 DIDI
$ 123.516,00 DTIC + 18.037,80
$ 65.044,00 FCE
$ 11.150,72  FCS
$ 7.504,00 Rectorado
Se incrementó $ 1.771,84, según Memorando N° UTMACH-DADM-2023-0013-M del 16/01/23 Se agrega a TICS.
Se incrementó $ 45.920,00 según Memorando N° UTMACH-DIDI-2023-0053-M_02/02/2023.
</t>
        </r>
        <r>
          <rPr>
            <b/>
            <sz val="9"/>
            <color rgb="FF000000"/>
            <rFont val="Tahoma"/>
            <family val="2"/>
          </rPr>
          <t xml:space="preserve">Reforma N° 3:
</t>
        </r>
        <r>
          <rPr>
            <sz val="9"/>
            <color rgb="FF000000"/>
            <rFont val="Tahoma"/>
            <family val="2"/>
          </rPr>
          <t xml:space="preserve">Se incrementó $ 61.245,25 según memo N° DTIC-2023-0088-M_04052023
Se incrementó $3.500,00 por memo N° UTMACH-FIC-D-2023-0312-M_18052023
Se incrementó $38.449,60 a FCE por cuadre de fuentes
Se incrementó $10.080 a DIDI para cubrir cartera de Proyectos de investigación
</t>
        </r>
        <r>
          <rPr>
            <b/>
            <sz val="9"/>
            <color rgb="FF000000"/>
            <rFont val="Tahoma"/>
            <family val="2"/>
          </rPr>
          <t xml:space="preserve">Reforma N°4:
</t>
        </r>
        <r>
          <rPr>
            <sz val="9"/>
            <color rgb="FF000000"/>
            <rFont val="Tahoma"/>
            <family val="2"/>
          </rPr>
          <t>Se incrementa $ 30.329,60 en el POA de DIDI para financiamiento de la cartera de proyecto 2023, conforme pedido del memo nro. UTMACH-DIDI-2023-0466-M.
Se aumenta $ 500,00 en el POA de la FCA para atender memo nro. FCA-D-2023-0571-M.
Se incrementa $ 8587,38 en el POA de DTIC para atender memo nro. UTMACH-DTIC-2023-0224-M.</t>
        </r>
      </text>
    </comment>
    <comment ref="F261" authorId="1" shapeId="0" xr:uid="{4575FC27-3CA9-47CA-A402-F367F30C9017}">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
</t>
        </r>
        <r>
          <rPr>
            <sz val="9"/>
            <color rgb="FF000000"/>
            <rFont val="Tahoma"/>
            <family val="2"/>
          </rPr>
          <t>Se redujo $ 9.559,07 según memo N</t>
        </r>
        <r>
          <rPr>
            <sz val="9"/>
            <color rgb="FF000000"/>
            <rFont val="Tahoma"/>
            <family val="2"/>
          </rPr>
          <t>°</t>
        </r>
        <r>
          <rPr>
            <sz val="9"/>
            <color rgb="FF000000"/>
            <rFont val="Tahoma"/>
            <family val="2"/>
          </rPr>
          <t xml:space="preserve"> 8 FCE-D-2023-0238-M_14032023
</t>
        </r>
        <r>
          <rPr>
            <sz val="9"/>
            <color rgb="FF000000"/>
            <rFont val="Tahoma"/>
            <family val="2"/>
          </rPr>
          <t xml:space="preserve">
</t>
        </r>
        <r>
          <rPr>
            <sz val="9"/>
            <color rgb="FF000000"/>
            <rFont val="Tahoma"/>
            <family val="2"/>
          </rPr>
          <t xml:space="preserve">Se redujo $7.504 para cubrir solicitud de memo N CGR-2023-0180-M
</t>
        </r>
        <r>
          <rPr>
            <sz val="9"/>
            <color rgb="FF000000"/>
            <rFont val="Tahoma"/>
            <family val="2"/>
          </rPr>
          <t xml:space="preserve">
</t>
        </r>
        <r>
          <rPr>
            <sz val="9"/>
            <color rgb="FF000000"/>
            <rFont val="Tahoma"/>
            <family val="2"/>
          </rPr>
          <t xml:space="preserve">Por seguimiento y en virtud de oficio Nro. MEF-SP-2023-0501 para atender Memo Nro. 0399 de DADM:
</t>
        </r>
        <r>
          <rPr>
            <sz val="9"/>
            <color rgb="FF000000"/>
            <rFont val="Tahoma"/>
            <family val="2"/>
          </rPr>
          <t xml:space="preserve">
</t>
        </r>
        <r>
          <rPr>
            <sz val="9"/>
            <color rgb="FF000000"/>
            <rFont val="Tahoma"/>
            <family val="2"/>
          </rPr>
          <t xml:space="preserve">-05/06: Se redujo $2.081,43 según reunión mantenida con VIVP 
</t>
        </r>
        <r>
          <rPr>
            <sz val="9"/>
            <color rgb="FF000000"/>
            <rFont val="Tahoma"/>
            <family val="2"/>
          </rPr>
          <t xml:space="preserve">
</t>
        </r>
        <r>
          <rPr>
            <sz val="9"/>
            <color rgb="FF000000"/>
            <rFont val="Tahoma"/>
            <family val="2"/>
          </rPr>
          <t xml:space="preserve">- Se reduce $33.488 según reunión mantenida con TICS
</t>
        </r>
        <r>
          <rPr>
            <sz val="9"/>
            <color rgb="FF000000"/>
            <rFont val="Tahoma"/>
            <family val="2"/>
          </rPr>
          <t xml:space="preserve">
</t>
        </r>
        <r>
          <rPr>
            <sz val="9"/>
            <color rgb="FF000000"/>
            <rFont val="Tahoma"/>
            <family val="2"/>
          </rPr>
          <t xml:space="preserve">- Se redujo $16.587,2 según seguimiento DIDI
</t>
        </r>
        <r>
          <rPr>
            <sz val="9"/>
            <color rgb="FF000000"/>
            <rFont val="Tahoma"/>
            <family val="2"/>
          </rPr>
          <t xml:space="preserve">
</t>
        </r>
        <r>
          <rPr>
            <sz val="9"/>
            <color rgb="FF000000"/>
            <rFont val="Tahoma"/>
            <family val="2"/>
          </rPr>
          <t xml:space="preserve">- Se redujo $5,81 por cuadre de grupo 83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$ 21.336,00+</t>
        </r>
        <r>
          <rPr>
            <b/>
            <sz val="9"/>
            <color rgb="FF000000"/>
            <rFont val="Tahoma"/>
            <family val="2"/>
          </rPr>
          <t xml:space="preserve">512,00 SERVIDOR NAS+1.782,22 SCANER+189,84 COMPU SALA ESPEJO - </t>
        </r>
        <r>
          <rPr>
            <sz val="9"/>
            <color rgb="FF000000"/>
            <rFont val="Tahoma"/>
            <family val="2"/>
          </rPr>
          <t xml:space="preserve">DTIC por efecto de informe de seguimiento.
</t>
        </r>
        <r>
          <rPr>
            <sz val="9"/>
            <color rgb="FF000000"/>
            <rFont val="Tahoma"/>
            <family val="2"/>
          </rPr>
          <t xml:space="preserve">
</t>
        </r>
        <r>
          <rPr>
            <sz val="9"/>
            <color rgb="FF000000"/>
            <rFont val="Tahoma"/>
            <family val="2"/>
          </rPr>
          <t xml:space="preserve">Se redujo $ 833,76 FCS por efecto de informe de seguimiento.
</t>
        </r>
        <r>
          <rPr>
            <sz val="9"/>
            <color rgb="FF000000"/>
            <rFont val="Tahoma"/>
            <family val="2"/>
          </rPr>
          <t xml:space="preserve">
</t>
        </r>
        <r>
          <rPr>
            <sz val="9"/>
            <color rgb="FF000000"/>
            <rFont val="Tahoma"/>
            <family val="2"/>
          </rPr>
          <t xml:space="preserve">Se redujo $ 138,96 FCS por efecto de informe de seguimiento.
</t>
        </r>
        <r>
          <rPr>
            <sz val="9"/>
            <color rgb="FF000000"/>
            <rFont val="Tahoma"/>
            <family val="2"/>
          </rPr>
          <t xml:space="preserve">
</t>
        </r>
        <r>
          <rPr>
            <sz val="9"/>
            <color rgb="FF000000"/>
            <rFont val="Tahoma"/>
            <family val="2"/>
          </rPr>
          <t xml:space="preserve">Se redujo $ 159,00 FCS por efecto de informe de seguimiento.
</t>
        </r>
        <r>
          <rPr>
            <sz val="9"/>
            <color rgb="FF000000"/>
            <rFont val="Tahoma"/>
            <family val="2"/>
          </rPr>
          <t xml:space="preserve">
</t>
        </r>
        <r>
          <rPr>
            <sz val="9"/>
            <color rgb="FF000000"/>
            <rFont val="Tahoma"/>
            <family val="2"/>
          </rPr>
          <t xml:space="preserve">Se reduce $ 2.800,00 del POA de DTIC para atender memo nro. </t>
        </r>
        <r>
          <rPr>
            <sz val="10"/>
            <color rgb="FF000000"/>
            <rFont val="Calibri"/>
            <family val="2"/>
          </rPr>
          <t>UTMACH-DTIC-2023-0224-M.</t>
        </r>
      </text>
    </comment>
    <comment ref="E262" authorId="5" shapeId="0" xr:uid="{BD8D1E96-166E-4ED1-8DED-F0052636A61C}">
      <text>
        <r>
          <rPr>
            <b/>
            <sz val="9"/>
            <color rgb="FF000000"/>
            <rFont val="Tahoma"/>
            <family val="2"/>
          </rPr>
          <t>Eunice Basilio:</t>
        </r>
        <r>
          <rPr>
            <sz val="9"/>
            <color rgb="FF000000"/>
            <rFont val="Tahoma"/>
            <family val="2"/>
          </rPr>
          <t xml:space="preserve">
Reforma N° 2:
Se incrementó $ 414.919,06 Py de Red Lan DTIC.</t>
        </r>
      </text>
    </comment>
    <comment ref="F262" authorId="2" shapeId="0" xr:uid="{B8B8973C-87E7-4D18-9DF0-A9AABACDE61B}">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$ 414.919,06 en virtud del proyecto de inversión de gestión documental DTIC.</t>
        </r>
      </text>
    </comment>
    <comment ref="E264" authorId="4" shapeId="0" xr:uid="{2808BCC3-1D6E-43A9-804C-AD658EEFCD2F}">
      <text>
        <r>
          <rPr>
            <b/>
            <sz val="9"/>
            <color rgb="FF000000"/>
            <rFont val="Tahoma"/>
            <family val="2"/>
          </rPr>
          <t xml:space="preserve">Valeria Ramon Capa:
</t>
        </r>
        <r>
          <rPr>
            <sz val="9"/>
            <color rgb="FF000000"/>
            <rFont val="Tahoma"/>
            <family val="2"/>
          </rPr>
          <t>Reforma N° 3:
Se incrementa $13.133,00 en atención al memo nro 083 DIDI-BG</t>
        </r>
      </text>
    </comment>
    <comment ref="E265" authorId="3" shapeId="0" xr:uid="{DAF39CA2-4788-44B5-8220-6EFE9BF01B8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 según Memorando N</t>
        </r>
        <r>
          <rPr>
            <sz val="9"/>
            <color rgb="FF000000"/>
            <rFont val="Tahoma"/>
            <family val="2"/>
          </rPr>
          <t>°</t>
        </r>
        <r>
          <rPr>
            <sz val="9"/>
            <color rgb="FF000000"/>
            <rFont val="Tahoma"/>
            <family val="2"/>
          </rPr>
          <t xml:space="preserve"> UTMACH-DIDI-2023-0053-M_02/02/2023.</t>
        </r>
      </text>
    </comment>
    <comment ref="F265" authorId="0" shapeId="0" xr:uid="{E12D4E96-843D-4925-9639-3AE62FAAC76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t>
        </r>
        <r>
          <rPr>
            <b/>
            <sz val="10"/>
            <color rgb="FF000000"/>
            <rFont val="Arial"/>
            <family val="2"/>
          </rPr>
          <t>2.800,00</t>
        </r>
        <r>
          <rPr>
            <sz val="10"/>
            <color rgb="FF000000"/>
            <rFont val="Arial"/>
            <family val="2"/>
          </rPr>
          <t xml:space="preserve"> en el POA de DIDI para financiamiento de la cartera de proyecto 2023, conforme pedido del memo nro. UTMACH-DIDI-2023-0466-M
</t>
        </r>
      </text>
    </comment>
    <comment ref="F271" authorId="3" shapeId="0" xr:uid="{05718987-B58F-4016-A1C7-EDCD5754784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$ 8.960,00 Vic. de Investigación
según adjunto de Vic. Investigación en e-mail enviado el 03/02/2023.
</t>
        </r>
        <r>
          <rPr>
            <b/>
            <sz val="9"/>
            <color rgb="FF000000"/>
            <rFont val="Tahoma"/>
            <family val="2"/>
          </rPr>
          <t xml:space="preserve">Reforma N° 3:
</t>
        </r>
        <r>
          <rPr>
            <sz val="9"/>
            <color rgb="FF000000"/>
            <rFont val="Tahoma"/>
            <family val="2"/>
          </rPr>
          <t xml:space="preserve">Se redujo $9.640,00 Dircom conforme a la reunión con fecha 01/06 con la Directora por seguimiento y en virtud de oficio Nro. MEF-SP-2023-0501 para atender Memo Nro. 0399 de DADM.
</t>
        </r>
        <r>
          <rPr>
            <b/>
            <sz val="9"/>
            <color rgb="FF000000"/>
            <rFont val="Tahoma"/>
            <family val="2"/>
          </rPr>
          <t>Reforma N° 4:</t>
        </r>
        <r>
          <rPr>
            <sz val="9"/>
            <color rgb="FF000000"/>
            <rFont val="Tahoma"/>
            <family val="2"/>
          </rPr>
          <t xml:space="preserve">
Se redujo $ 15.000,00 DIRCOM por efecto de informe de seguimiento.</t>
        </r>
      </text>
    </comment>
    <comment ref="F272" authorId="2" shapeId="0" xr:uid="{95EC5B81-A84A-43DC-AD8E-8CFFF51DD1B1}">
      <text>
        <r>
          <rPr>
            <b/>
            <sz val="9"/>
            <color rgb="FF000000"/>
            <rFont val="Tahoma"/>
            <family val="2"/>
          </rPr>
          <t>Admin:</t>
        </r>
        <r>
          <rPr>
            <sz val="9"/>
            <color rgb="FF000000"/>
            <rFont val="Tahoma"/>
            <family val="2"/>
          </rPr>
          <t xml:space="preserve">
Reforma N° 4:
Se redujo $ 817,00 DIPOS por efecto de informe de seguimiento. (Cert. N° 161).</t>
        </r>
      </text>
    </comment>
    <comment ref="F273" authorId="1" shapeId="0" xr:uid="{541291B4-8B0E-4336-B617-10E7D483D050}">
      <text>
        <r>
          <rPr>
            <b/>
            <sz val="9"/>
            <color rgb="FF000000"/>
            <rFont val="Tahoma"/>
            <family val="2"/>
          </rPr>
          <t>LENOVO:</t>
        </r>
        <r>
          <rPr>
            <sz val="9"/>
            <color rgb="FF000000"/>
            <rFont val="Tahoma"/>
            <family val="2"/>
          </rPr>
          <t xml:space="preserve">
Reforma N° 3:
Se redujo $ 1.344,00, según memo N° DVIN-2023-0106-M_17032023.</t>
        </r>
      </text>
    </comment>
    <comment ref="F274" authorId="1" shapeId="0" xr:uid="{939C3BB6-ACDA-4EB8-BD85-A0DFF3F0D631}">
      <text>
        <r>
          <rPr>
            <b/>
            <sz val="9"/>
            <color rgb="FF000000"/>
            <rFont val="Tahoma"/>
            <family val="2"/>
          </rPr>
          <t>LENOVO:</t>
        </r>
        <r>
          <rPr>
            <sz val="9"/>
            <color rgb="FF000000"/>
            <rFont val="Tahoma"/>
            <family val="2"/>
          </rPr>
          <t xml:space="preserve">
Reforma N° 3:
Se redujo $ 3.584,00, según memo N° DVIN-2023-0106-M_17032023.</t>
        </r>
      </text>
    </comment>
    <comment ref="F275" authorId="1" shapeId="0" xr:uid="{AA7463EC-976D-4429-9F69-F3ADF1EEC435}">
      <text>
        <r>
          <rPr>
            <b/>
            <sz val="9"/>
            <color rgb="FF000000"/>
            <rFont val="Tahoma"/>
            <family val="2"/>
          </rPr>
          <t>LENOVO:</t>
        </r>
        <r>
          <rPr>
            <sz val="9"/>
            <color rgb="FF000000"/>
            <rFont val="Tahoma"/>
            <family val="2"/>
          </rPr>
          <t xml:space="preserve">
Reforma N° 3:
Se redujo $ 2.121,28, según memo N° DVIN-2023-0106-M_17032023.</t>
        </r>
      </text>
    </comment>
    <comment ref="F276" authorId="1" shapeId="0" xr:uid="{AC915C3E-BA1A-4C6D-B6D3-0623D6080943}">
      <text>
        <r>
          <rPr>
            <b/>
            <sz val="9"/>
            <color rgb="FF000000"/>
            <rFont val="Tahoma"/>
            <family val="2"/>
          </rPr>
          <t>LENOVO:</t>
        </r>
        <r>
          <rPr>
            <sz val="9"/>
            <color rgb="FF000000"/>
            <rFont val="Tahoma"/>
            <family val="2"/>
          </rPr>
          <t xml:space="preserve">
Reforma N° 3:
Se redujo del POA $ 5.600,00 según memo N° N° UTMACH-DEC-2023-0147-M_05062023.
Se redujo $795,65 a FCS en reunión de seguimiento y para unificar en el programa 83.</t>
        </r>
      </text>
    </comment>
    <comment ref="E277" authorId="3" shapeId="0" xr:uid="{6896FD43-ED3D-49B7-AA29-643CDAD55749}">
      <text>
        <r>
          <rPr>
            <b/>
            <sz val="9"/>
            <color rgb="FF000000"/>
            <rFont val="Tahoma"/>
            <family val="2"/>
          </rPr>
          <t>HP:</t>
        </r>
        <r>
          <rPr>
            <sz val="9"/>
            <color rgb="FF000000"/>
            <rFont val="Tahoma"/>
            <family val="2"/>
          </rPr>
          <t xml:space="preserve">
Reforma N° 2:
Se incrementó $ 2.352,00 FCQS.</t>
        </r>
      </text>
    </comment>
    <comment ref="F277" authorId="2" shapeId="0" xr:uid="{DDA171CC-8FF1-48BE-904B-85A5021ADB92}">
      <text>
        <r>
          <rPr>
            <b/>
            <sz val="9"/>
            <color indexed="81"/>
            <rFont val="Tahoma"/>
            <family val="2"/>
          </rPr>
          <t>Admin:</t>
        </r>
        <r>
          <rPr>
            <sz val="9"/>
            <color indexed="81"/>
            <rFont val="Tahoma"/>
            <family val="2"/>
          </rPr>
          <t xml:space="preserve">
Reforma N° 5:
Se reduce $ 352,00 por ser saldo no ejecutado (IVA), FCQS.</t>
        </r>
      </text>
    </comment>
    <comment ref="F278" authorId="3" shapeId="0" xr:uid="{ADD84E0F-A8D3-4AB9-86BC-7B7FD1BD5602}">
      <text>
        <r>
          <rPr>
            <b/>
            <sz val="9"/>
            <color rgb="FF000000"/>
            <rFont val="Tahoma"/>
            <family val="34"/>
          </rPr>
          <t xml:space="preserve">HP:
</t>
        </r>
        <r>
          <rPr>
            <sz val="9"/>
            <color rgb="FF000000"/>
            <rFont val="Tahoma"/>
            <family val="2"/>
          </rPr>
          <t>Reforma N° 3:</t>
        </r>
        <r>
          <rPr>
            <sz val="9"/>
            <color rgb="FF000000"/>
            <rFont val="Tahoma"/>
            <family val="34"/>
          </rPr>
          <t xml:space="preserve">
Se redujo $22.400,00 a FCA en reunión de seguimiento y en virtud de oficio Nro. MEF-SP-2023-0501 para atender Memo Nro. 0399 de DADM.</t>
        </r>
      </text>
    </comment>
    <comment ref="E279" authorId="1" shapeId="0" xr:uid="{1D43E83A-268D-4A4B-8400-1D1F08E7439F}">
      <text>
        <r>
          <rPr>
            <b/>
            <sz val="9"/>
            <color rgb="FF000000"/>
            <rFont val="Tahoma"/>
            <family val="2"/>
          </rPr>
          <t>LENOVO:</t>
        </r>
        <r>
          <rPr>
            <sz val="9"/>
            <color rgb="FF000000"/>
            <rFont val="Tahoma"/>
            <family val="2"/>
          </rPr>
          <t xml:space="preserve">
Reforma N° 3:
Se incrementó $ 18.120,00 según memo N° UTMACH-DEC-2023-0147-M_05062023.</t>
        </r>
      </text>
    </comment>
    <comment ref="F279" authorId="3" shapeId="0" xr:uid="{0046D1F2-53E3-47F7-BFBC-703391BCE24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$ 25.064,00 por disposición del Director del DPLAN.
</t>
        </r>
        <r>
          <rPr>
            <b/>
            <sz val="9"/>
            <color rgb="FF000000"/>
            <rFont val="Tahoma"/>
            <family val="2"/>
          </rPr>
          <t xml:space="preserve">Reforma N° 3:
</t>
        </r>
        <r>
          <rPr>
            <sz val="9"/>
            <color rgb="FF000000"/>
            <rFont val="Tahoma"/>
            <family val="2"/>
          </rPr>
          <t xml:space="preserve">06/06: Se redujo $20.000 a DTH por seguimiento y en virtud de oficio Nro. MEF-SP-2023-0501 para atender Memo Nro. 0399 de DADM, y en atención al memo nro 0764 DTH.
</t>
        </r>
        <r>
          <rPr>
            <b/>
            <sz val="9"/>
            <color rgb="FF000000"/>
            <rFont val="Tahoma"/>
            <family val="2"/>
          </rPr>
          <t>Reforma N° 4:</t>
        </r>
        <r>
          <rPr>
            <sz val="9"/>
            <color rgb="FF000000"/>
            <rFont val="Tahoma"/>
            <family val="2"/>
          </rPr>
          <t xml:space="preserve">
Se redujo $ 5.000,00 DTH por efecto de informe de seguimiento.</t>
        </r>
      </text>
    </comment>
    <comment ref="F280" authorId="3" shapeId="0" xr:uid="{62AC0E2A-C54F-49E8-B0DB-3AC5874682D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$ 20.160,00 de acuerdo al 1er POA 2023 de la FCE presentado (por no estar desagregado).</t>
        </r>
      </text>
    </comment>
    <comment ref="E281" authorId="1" shapeId="0" xr:uid="{C61ADCF6-447C-4C59-A987-7CDBB6CCF078}">
      <text>
        <r>
          <rPr>
            <b/>
            <sz val="9"/>
            <color rgb="FF000000"/>
            <rFont val="Tahoma"/>
            <family val="2"/>
          </rPr>
          <t>LENOVO:</t>
        </r>
        <r>
          <rPr>
            <sz val="9"/>
            <color rgb="FF000000"/>
            <rFont val="Tahoma"/>
            <family val="2"/>
          </rPr>
          <t xml:space="preserve">
Reforma N° 3:
Se incrementó $ 2.859,53+5.600,00-150,00 según memo N° DVIN-2023-0106-M_17032023.</t>
        </r>
      </text>
    </comment>
    <comment ref="F281" authorId="1" shapeId="0" xr:uid="{2B2AD91B-7308-4D36-868F-B25E80B8DA97}">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$ 17.920,00 a DVIN según reunión de seguimiento y en virtud de oficio Nro. MEF-SP-2023-0501 para atender Memo Nro. 0399 de DADM.
</t>
        </r>
        <r>
          <rPr>
            <b/>
            <sz val="9"/>
            <color rgb="FF000000"/>
            <rFont val="Tahoma"/>
            <family val="2"/>
          </rPr>
          <t>Reforma N° 5:</t>
        </r>
        <r>
          <rPr>
            <sz val="9"/>
            <color rgb="FF000000"/>
            <rFont val="Tahoma"/>
            <family val="2"/>
          </rPr>
          <t xml:space="preserve">
Se reduce $ 899,71 por ser saldo no ejecutado (IVA), Dir. Vinc.</t>
        </r>
      </text>
    </comment>
    <comment ref="F282" authorId="3" shapeId="0" xr:uid="{02D26BEB-D282-4C8E-AE12-DDC59F2DDE0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$ 6.800,00 Dir. Educ. Continua.
</t>
        </r>
        <r>
          <rPr>
            <b/>
            <sz val="9"/>
            <color rgb="FF000000"/>
            <rFont val="Tahoma"/>
            <family val="2"/>
          </rPr>
          <t>Reforma N° 3:</t>
        </r>
        <r>
          <rPr>
            <sz val="9"/>
            <color rgb="FF000000"/>
            <rFont val="Tahoma"/>
            <family val="2"/>
          </rPr>
          <t xml:space="preserve">
Se redujo $ 10.000,00 según memo N° N° UTMACH-DEC-2023-0147-M_05062023.</t>
        </r>
      </text>
    </comment>
    <comment ref="E283" authorId="0" shapeId="0" xr:uid="{7751B60B-CFA9-4864-A0A6-A33E0D87040D}">
      <text>
        <r>
          <rPr>
            <b/>
            <sz val="9"/>
            <color rgb="FF000000"/>
            <rFont val="Tahoma"/>
            <family val="2"/>
          </rPr>
          <t>Microsoft Office User:</t>
        </r>
        <r>
          <rPr>
            <sz val="9"/>
            <color rgb="FF000000"/>
            <rFont val="Tahoma"/>
            <family val="2"/>
          </rPr>
          <t xml:space="preserve">
Reforma N° 4:
Incremento de $ 4.000,00 en el POA de DV para atender memo nro. UTMACH-DVIN-2023-0406-M.</t>
        </r>
      </text>
    </comment>
    <comment ref="F283" authorId="4" shapeId="0" xr:uid="{3B022314-7FAB-4655-BD9B-DACEDF6F3E9A}">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$m250,00 por cuanto en el memo 0460 FCS se prescinde de la compra del hardware.
</t>
        </r>
        <r>
          <rPr>
            <b/>
            <sz val="9"/>
            <color rgb="FF000000"/>
            <rFont val="Tahoma"/>
            <family val="2"/>
          </rPr>
          <t>Reforma N° 4:</t>
        </r>
        <r>
          <rPr>
            <sz val="9"/>
            <color rgb="FF000000"/>
            <rFont val="Tahoma"/>
            <family val="2"/>
          </rPr>
          <t xml:space="preserve">
Se reduce $ 1398,86 en el POA de VIVP en atención del memo nro. VINVIP-2023-0220-M.</t>
        </r>
      </text>
    </comment>
    <comment ref="E284" authorId="0" shapeId="0" xr:uid="{81AB5AD4-663B-43F7-83CB-8D27B819765F}">
      <text>
        <r>
          <rPr>
            <b/>
            <sz val="9"/>
            <color rgb="FF000000"/>
            <rFont val="Tahoma"/>
            <family val="2"/>
          </rPr>
          <t>Microsoft Office User:</t>
        </r>
        <r>
          <rPr>
            <sz val="9"/>
            <color rgb="FF000000"/>
            <rFont val="Tahoma"/>
            <family val="2"/>
          </rPr>
          <t xml:space="preserve">
Reforma N° 4:
Se aumenta $ 3.300,00 en el POA del DV para atender memo nro. UTMACH-DVIN-2023-0406-M.</t>
        </r>
      </text>
    </comment>
    <comment ref="F284" authorId="1" shapeId="0" xr:uid="{D599FC7E-45AF-493D-8125-9155EC0F642F}">
      <text>
        <r>
          <rPr>
            <b/>
            <sz val="9"/>
            <color rgb="FF000000"/>
            <rFont val="Tahoma"/>
            <family val="2"/>
          </rPr>
          <t>LENOVO:</t>
        </r>
        <r>
          <rPr>
            <sz val="9"/>
            <color rgb="FF000000"/>
            <rFont val="Tahoma"/>
            <family val="2"/>
          </rPr>
          <t xml:space="preserve">
Reforma N° 3:
Se redujo $ 3.584,00, según memo N° DVIN-2023-0106-M_17032023.</t>
        </r>
      </text>
    </comment>
    <comment ref="F285" authorId="1" shapeId="0" xr:uid="{C39A6412-38E4-4A5C-AE44-B669F7EF8414}">
      <text>
        <r>
          <rPr>
            <b/>
            <sz val="9"/>
            <color rgb="FF000000"/>
            <rFont val="Tahoma"/>
            <family val="2"/>
          </rPr>
          <t>LENOVO:</t>
        </r>
        <r>
          <rPr>
            <sz val="9"/>
            <color rgb="FF000000"/>
            <rFont val="Tahoma"/>
            <family val="2"/>
          </rPr>
          <t xml:space="preserve">
Reforma N° 3:
Se redujo $ 3.584,00, según memo N° DVIN-2023-0106-M_17032023.</t>
        </r>
      </text>
    </comment>
    <comment ref="F286" authorId="1" shapeId="0" xr:uid="{B444CC9E-966D-4745-BB4C-D7584778AC3E}">
      <text>
        <r>
          <rPr>
            <b/>
            <sz val="9"/>
            <color rgb="FF000000"/>
            <rFont val="Tahoma"/>
            <family val="2"/>
          </rPr>
          <t>LENOVO:</t>
        </r>
        <r>
          <rPr>
            <sz val="9"/>
            <color rgb="FF000000"/>
            <rFont val="Tahoma"/>
            <family val="2"/>
          </rPr>
          <t xml:space="preserve">
Reforma N° 3:
Se redujo $ 536,00 según memo N° N° UTMACH-DEC-2023-0147-M_05062023.</t>
        </r>
      </text>
    </comment>
    <comment ref="E287" authorId="0" shapeId="0" xr:uid="{F311F241-096F-4B46-8347-DA3DD4965696}">
      <text>
        <r>
          <rPr>
            <b/>
            <sz val="9"/>
            <color rgb="FF000000"/>
            <rFont val="Tahoma"/>
            <family val="2"/>
          </rPr>
          <t>Microsoft Office User:</t>
        </r>
        <r>
          <rPr>
            <sz val="9"/>
            <color rgb="FF000000"/>
            <rFont val="Tahoma"/>
            <family val="2"/>
          </rPr>
          <t xml:space="preserve">
Reforma N° 4:
Se incrementa $ 925.12 en el POA de DV para atender el pedido del memo nro. UTMACH-DVIN-2023-0406-M.</t>
        </r>
      </text>
    </comment>
    <comment ref="F287" authorId="4" shapeId="0" xr:uid="{CFD437DF-5124-474A-9EEA-28779D151F04}">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$61,09 FCS proceso ejecutado.
</t>
        </r>
        <r>
          <rPr>
            <b/>
            <sz val="9"/>
            <color rgb="FF000000"/>
            <rFont val="Tahoma"/>
            <family val="2"/>
          </rPr>
          <t>Reforma N° 4:</t>
        </r>
        <r>
          <rPr>
            <sz val="9"/>
            <color rgb="FF000000"/>
            <rFont val="Tahoma"/>
            <family val="2"/>
          </rPr>
          <t xml:space="preserve">
Se redujo $ 60,00 FCS por efecto de informe de seguimiento.</t>
        </r>
      </text>
    </comment>
    <comment ref="F288" authorId="3" shapeId="0" xr:uid="{07434284-0D95-4DB4-AAE2-1E72D7DCCE0D}">
      <text>
        <r>
          <rPr>
            <b/>
            <sz val="9"/>
            <color rgb="FF000000"/>
            <rFont val="Tahoma"/>
            <family val="2"/>
          </rPr>
          <t>HP:</t>
        </r>
        <r>
          <rPr>
            <sz val="9"/>
            <color rgb="FF000000"/>
            <rFont val="Tahoma"/>
            <family val="2"/>
          </rPr>
          <t xml:space="preserve">
Reforma N° 2:
Se redujo $ 1.261,38 Dir. Educ. Continua.</t>
        </r>
      </text>
    </comment>
    <comment ref="F290" authorId="3" shapeId="0" xr:uid="{095B1E2A-20B2-4D7A-B30C-762E4F541DD5}">
      <text>
        <r>
          <rPr>
            <b/>
            <sz val="9"/>
            <color rgb="FF000000"/>
            <rFont val="Tahoma"/>
            <family val="2"/>
          </rPr>
          <t>HP:</t>
        </r>
        <r>
          <rPr>
            <sz val="9"/>
            <color rgb="FF000000"/>
            <rFont val="Tahoma"/>
            <family val="2"/>
          </rPr>
          <t xml:space="preserve">
Reforma N° 2:
Se redujo $ 26.096,00 FCQS.</t>
        </r>
      </text>
    </comment>
    <comment ref="E291" authorId="1" shapeId="0" xr:uid="{53D92041-84FB-4249-A6E5-6C1BF885551B}">
      <text>
        <r>
          <rPr>
            <b/>
            <sz val="9"/>
            <color rgb="FF000000"/>
            <rFont val="Tahoma"/>
            <family val="2"/>
          </rPr>
          <t>LENOVO:</t>
        </r>
        <r>
          <rPr>
            <sz val="9"/>
            <color rgb="FF000000"/>
            <rFont val="Tahoma"/>
            <family val="2"/>
          </rPr>
          <t xml:space="preserve">
Reforma N° 3:
Se icrementó $ 3.382,40, según memo N° DVIN-2023-0106-M_17032023.</t>
        </r>
      </text>
    </comment>
    <comment ref="F291" authorId="4" shapeId="0" xr:uid="{69F03690-E707-4819-B0A8-70A6A2D82BC1}">
      <text>
        <r>
          <rPr>
            <b/>
            <sz val="9"/>
            <color rgb="FF000000"/>
            <rFont val="Tahoma"/>
            <family val="2"/>
          </rPr>
          <t>Valeria Ramon Capa:</t>
        </r>
        <r>
          <rPr>
            <sz val="9"/>
            <color rgb="FF000000"/>
            <rFont val="Tahoma"/>
            <family val="2"/>
          </rPr>
          <t xml:space="preserve">
Reforma N° 3:
Se redujo $1.344,00 a FCA en reunión de seguimiento y en virtud de oficio Nro. MEF-SP-2023-0501 para atender Memo Nro. 0399 de DADM.</t>
        </r>
      </text>
    </comment>
    <comment ref="E292" authorId="3" shapeId="0" xr:uid="{B00D5836-8185-4701-8A19-48EC515CD4D2}">
      <text>
        <r>
          <rPr>
            <b/>
            <sz val="9"/>
            <color rgb="FF000000"/>
            <rFont val="Tahoma"/>
            <family val="2"/>
          </rPr>
          <t>HP:</t>
        </r>
        <r>
          <rPr>
            <sz val="9"/>
            <color rgb="FF000000"/>
            <rFont val="Tahoma"/>
            <family val="2"/>
          </rPr>
          <t xml:space="preserve">
Reforma N° 2:
Se incrementó $ 162,40 FCQS.</t>
        </r>
      </text>
    </comment>
    <comment ref="E293" authorId="3" shapeId="0" xr:uid="{A8E93C5D-FC49-407C-B829-DC4D2F28CE36}">
      <text>
        <r>
          <rPr>
            <b/>
            <sz val="9"/>
            <color rgb="FF000000"/>
            <rFont val="Tahoma"/>
            <family val="2"/>
          </rPr>
          <t>HP:</t>
        </r>
        <r>
          <rPr>
            <sz val="9"/>
            <color rgb="FF000000"/>
            <rFont val="Tahoma"/>
            <family val="2"/>
          </rPr>
          <t xml:space="preserve">
Reforma N° 2:
Se incrementó $ 619,36 FCQS.</t>
        </r>
      </text>
    </comment>
    <comment ref="E294" authorId="3" shapeId="0" xr:uid="{743959E8-0659-4036-88FB-853748D258BF}">
      <text>
        <r>
          <rPr>
            <b/>
            <sz val="9"/>
            <color rgb="FF000000"/>
            <rFont val="Tahoma"/>
            <family val="2"/>
          </rPr>
          <t>HP:</t>
        </r>
        <r>
          <rPr>
            <sz val="9"/>
            <color rgb="FF000000"/>
            <rFont val="Tahoma"/>
            <family val="2"/>
          </rPr>
          <t xml:space="preserve">
Reforma N° 2:
Se incrementó $ 5.600,00 FCQS.</t>
        </r>
      </text>
    </comment>
    <comment ref="F295" authorId="2" shapeId="0" xr:uid="{DE719608-37A3-4368-AACF-568EB3720D9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$ 41,11 FCS por efecto de informe de seguimiento.</t>
        </r>
      </text>
    </comment>
    <comment ref="F296" authorId="3" shapeId="0" xr:uid="{F7EE8A75-7248-47FC-B472-089725DCC137}">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$ 21.280,00 DBUAC.
</t>
        </r>
        <r>
          <rPr>
            <b/>
            <sz val="9"/>
            <color rgb="FF000000"/>
            <rFont val="Tahoma"/>
            <family val="2"/>
          </rPr>
          <t>Reforma N° 3:</t>
        </r>
        <r>
          <rPr>
            <sz val="9"/>
            <color rgb="FF000000"/>
            <rFont val="Tahoma"/>
            <family val="2"/>
          </rPr>
          <t xml:space="preserve">
Se redujo $ 15.879,05, según memo N° DBUAC-2023-0124-M_03032023.</t>
        </r>
      </text>
    </comment>
    <comment ref="F298" authorId="1" shapeId="0" xr:uid="{E8C94972-1DB3-41BB-BE71-094E864F711B}">
      <text>
        <r>
          <rPr>
            <b/>
            <sz val="9"/>
            <color rgb="FF000000"/>
            <rFont val="Tahoma"/>
            <family val="2"/>
          </rPr>
          <t>LENOVO:</t>
        </r>
        <r>
          <rPr>
            <sz val="9"/>
            <color rgb="FF000000"/>
            <rFont val="Tahoma"/>
            <family val="2"/>
          </rPr>
          <t xml:space="preserve">
Reforma N° 3:
Se redujo $ 1.037,14, según memo N° DVIN-2023-0106-M_17032023.</t>
        </r>
      </text>
    </comment>
    <comment ref="E301" authorId="0" shapeId="0" xr:uid="{200B69B9-D559-4BAE-B6E7-5EF6E61AFB29}">
      <text>
        <r>
          <rPr>
            <b/>
            <sz val="9"/>
            <color rgb="FF000000"/>
            <rFont val="Tahoma"/>
            <family val="2"/>
          </rPr>
          <t>Microsoft Office User:</t>
        </r>
        <r>
          <rPr>
            <sz val="9"/>
            <color rgb="FF000000"/>
            <rFont val="Tahoma"/>
            <family val="2"/>
          </rPr>
          <t xml:space="preserve">
Reforma N° 4:
Incremento de $ 70.000 para la 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 en el POA de FCE.</t>
        </r>
      </text>
    </comment>
    <comment ref="E302" authorId="0" shapeId="0" xr:uid="{7BB5CF24-25FB-45C2-8879-B4247F77DA99}">
      <text>
        <r>
          <rPr>
            <b/>
            <sz val="10"/>
            <color rgb="FF000000"/>
            <rFont val="Tahoma"/>
            <family val="2"/>
          </rPr>
          <t>Microsoft Office User:</t>
        </r>
        <r>
          <rPr>
            <sz val="10"/>
            <color rgb="FF000000"/>
            <rFont val="Tahoma"/>
            <family val="2"/>
          </rPr>
          <t xml:space="preserve">
</t>
        </r>
        <r>
          <rPr>
            <sz val="8"/>
            <color rgb="FF000000"/>
            <rFont val="Tahoma"/>
            <family val="2"/>
          </rPr>
          <t>Reforma N° 4:
Se incrementa $804,20 para atender memo nro. UTMACH-FCS-D-2023-0831-M.</t>
        </r>
      </text>
    </comment>
    <comment ref="E303" authorId="5" shapeId="0" xr:uid="{16D3F2D2-E390-40C8-A2DD-DEB940A9AB86}">
      <text>
        <r>
          <rPr>
            <b/>
            <sz val="9"/>
            <color rgb="FF000000"/>
            <rFont val="Tahoma"/>
            <family val="2"/>
          </rPr>
          <t>Eunice Basilio:</t>
        </r>
        <r>
          <rPr>
            <sz val="9"/>
            <color rgb="FF000000"/>
            <rFont val="Tahoma"/>
            <family val="2"/>
          </rPr>
          <t xml:space="preserve">
Reforma N° 2:
Se incrementó $ 14.739,77 conforme archivo POA 2023.
Se incrementó $ 5.107,94 FCQS.</t>
        </r>
      </text>
    </comment>
    <comment ref="F303" authorId="1" shapeId="0" xr:uid="{E1B31F7D-BB3D-409D-A0F6-786251457C5A}">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$ 2.132,48, según memo N° DVIN-2023-0106-M_17032023.
</t>
        </r>
        <r>
          <rPr>
            <b/>
            <sz val="9"/>
            <color rgb="FF000000"/>
            <rFont val="Tahoma"/>
            <family val="2"/>
          </rPr>
          <t>Reforma N° 4:</t>
        </r>
        <r>
          <rPr>
            <sz val="9"/>
            <color rgb="FF000000"/>
            <rFont val="Tahoma"/>
            <family val="2"/>
          </rPr>
          <t xml:space="preserve">
Se redujo $ 301,20 DBUAC por efecto de informe de seguimiento. (Cert. N° 214 y 201).</t>
        </r>
      </text>
    </comment>
    <comment ref="E304" authorId="4" shapeId="0" xr:uid="{D911CAE6-10FA-4AB5-9468-F49FC71A1CDA}">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$ 8.042,47+134,40 según memo N 0604 FCQS_25052023
</t>
        </r>
        <r>
          <rPr>
            <b/>
            <sz val="9"/>
            <color rgb="FF000000"/>
            <rFont val="Tahoma"/>
            <family val="2"/>
          </rPr>
          <t>Reforma N° 4:</t>
        </r>
        <r>
          <rPr>
            <sz val="9"/>
            <color rgb="FF000000"/>
            <rFont val="Tahoma"/>
            <family val="2"/>
          </rPr>
          <t xml:space="preserve">
Se incrementa $ 260,96 en atención al memo nro. FCQS-D-2023-0960-M.</t>
        </r>
      </text>
    </comment>
    <comment ref="F304" authorId="0" shapeId="0" xr:uid="{02625A45-17D9-4613-98C3-96FFB6B4A7E5}">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reduce $ 2.442,47 en atención al memo nro. FCQS-D-2023-0905-M.
</t>
        </r>
        <r>
          <rPr>
            <b/>
            <sz val="9"/>
            <color rgb="FF000000"/>
            <rFont val="Tahoma"/>
            <family val="2"/>
          </rPr>
          <t>Reforma N° 5:</t>
        </r>
        <r>
          <rPr>
            <sz val="9"/>
            <color rgb="FF000000"/>
            <rFont val="Tahoma"/>
            <family val="2"/>
          </rPr>
          <t xml:space="preserve">
Se redujo $ 309,67 por ser saldo no ejecutado, (maniquí para cuidado básico del paciente) FCQS.</t>
        </r>
      </text>
    </comment>
    <comment ref="E305" authorId="5" shapeId="0" xr:uid="{AB1D7E65-F4AC-411D-A384-DDE2BF6943AF}">
      <text>
        <r>
          <rPr>
            <b/>
            <sz val="9"/>
            <color rgb="FF000000"/>
            <rFont val="Tahoma"/>
            <family val="2"/>
          </rPr>
          <t>Eunice Basilio:</t>
        </r>
        <r>
          <rPr>
            <sz val="9"/>
            <color rgb="FF000000"/>
            <rFont val="Tahoma"/>
            <family val="2"/>
          </rPr>
          <t xml:space="preserve">
</t>
        </r>
        <r>
          <rPr>
            <b/>
            <sz val="8"/>
            <color rgb="FF000000"/>
            <rFont val="Tahoma"/>
            <family val="2"/>
          </rPr>
          <t>Reforma N° 2:</t>
        </r>
        <r>
          <rPr>
            <sz val="8"/>
            <color rgb="FF000000"/>
            <rFont val="Tahoma"/>
            <family val="34"/>
          </rPr>
          <t xml:space="preserve">
Se incrementó $ 20.678,10 conforme archivo POA 2023.
Se incrementó $ 5.308,80 por contrato de año anterior para adquisición de proyectores de imagen. TICS.
Se incrementó $ 9.924,07 FCQS.
</t>
        </r>
        <r>
          <rPr>
            <b/>
            <sz val="8"/>
            <color rgb="FF000000"/>
            <rFont val="Tahoma"/>
            <family val="34"/>
          </rPr>
          <t xml:space="preserve">Reforma N° 3:
</t>
        </r>
        <r>
          <rPr>
            <sz val="8"/>
            <color rgb="FF000000"/>
            <rFont val="Tahoma"/>
            <family val="34"/>
          </rPr>
          <t xml:space="preserve">Se incrementó $ 2.265,62, según memo N° DVIN-2023-0106-M_17032023.
Se incrementó $1.568,00 por atención de memo N 231 DVIN.         
El incremento total de DVIN  = $4.005,12
Se incrementó $ 15.879,05, según memo N° DBUAC-2023-0124-M_03032023.
Se incrementó $12.549,71 por cuadre de financiamiento del POA.
</t>
        </r>
        <r>
          <rPr>
            <b/>
            <sz val="8"/>
            <color rgb="FF000000"/>
            <rFont val="Tahoma"/>
            <family val="2"/>
          </rPr>
          <t>Reforma N° 4:</t>
        </r>
        <r>
          <rPr>
            <sz val="8"/>
            <color rgb="FF000000"/>
            <rFont val="Tahoma"/>
            <family val="34"/>
          </rPr>
          <t xml:space="preserve">
</t>
        </r>
        <r>
          <rPr>
            <sz val="8"/>
            <color rgb="FF000000"/>
            <rFont val="Arial"/>
            <family val="2"/>
          </rPr>
          <t>Se aumenta $ 4.032,00 en el POA de DV en atención al memo nro. DVIN-2023-0363.
Se aumenta $ 10,21 en el POA de FCQS para atender memo nro. FCQS-D-2023-0905-M.</t>
        </r>
      </text>
    </comment>
    <comment ref="F305" authorId="4" shapeId="0" xr:uid="{0F712AA6-7AD0-4A41-AA61-A92873729F63}">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$1.568 + $4009,60 = $5.577,60 según memo N FCS 460.
Se reduce $3.528,00 según memo DEC 075.
Se redujo $1.904,87+3.136,00+3.136,00= $8.176,87 según memo N 0604 FCQS_25052023.
</t>
        </r>
        <r>
          <rPr>
            <b/>
            <sz val="9"/>
            <color rgb="FF000000"/>
            <rFont val="Tahoma"/>
            <family val="2"/>
          </rPr>
          <t>Reforma N° 4:</t>
        </r>
        <r>
          <rPr>
            <sz val="9"/>
            <color rgb="FF000000"/>
            <rFont val="Tahoma"/>
            <family val="2"/>
          </rPr>
          <t xml:space="preserve">
Se redujo $ 373,00 FCS por efecto de informe de seguimiento (Cert. N° 262).
Se reduce $ 1.344,00 en el POA de DV en atención al memo nro. DVIN-2023-0363.
Se reduce $ 260,93 (memo nro. FCQS-D-2023-0960) + $ 72,80 + $ 126,02 + $ 293,48 + $ 164,24 en atención al memo nro. FCQS-D-2023-0905-M.</t>
        </r>
      </text>
    </comment>
    <comment ref="E306" authorId="5" shapeId="0" xr:uid="{192CF01C-E487-4045-A20B-10A0EF7994E9}">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$ 21.446,90 conforme archivo POA 2023.
Se incrementó $ 336,01 FCQS.
</t>
        </r>
        <r>
          <rPr>
            <b/>
            <sz val="9"/>
            <color rgb="FF000000"/>
            <rFont val="Tahoma"/>
            <family val="2"/>
          </rPr>
          <t>Reforma N° 3:</t>
        </r>
        <r>
          <rPr>
            <sz val="9"/>
            <color rgb="FF000000"/>
            <rFont val="Tahoma"/>
            <family val="2"/>
          </rPr>
          <t xml:space="preserve">
Se incrementó $26.880,00 por atención de memo N 231 DVIN.
</t>
        </r>
        <r>
          <rPr>
            <b/>
            <sz val="9"/>
            <color rgb="FF000000"/>
            <rFont val="Tahoma"/>
            <family val="2"/>
          </rPr>
          <t>Reforma N° 4:</t>
        </r>
        <r>
          <rPr>
            <sz val="9"/>
            <color rgb="FF000000"/>
            <rFont val="Tahoma"/>
            <family val="2"/>
          </rPr>
          <t xml:space="preserve">
Se aumenta $ 1.344,00 en el POA de DV en atención al memo nro. DVIN-2023-0363.</t>
        </r>
      </text>
    </comment>
    <comment ref="F306" authorId="1" shapeId="0" xr:uid="{EF0513B3-49AF-4623-BFA9-2E83021D2620}">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$ 133,14, según memo N° DVIN-2023-0106-M_17032023.
Se redujo $1800,02 según memo N FCS-2023-0460.
</t>
        </r>
        <r>
          <rPr>
            <b/>
            <sz val="9"/>
            <color rgb="FF000000"/>
            <rFont val="Tahoma"/>
            <family val="2"/>
          </rPr>
          <t>Reforma N° 4:</t>
        </r>
        <r>
          <rPr>
            <sz val="9"/>
            <color rgb="FF000000"/>
            <rFont val="Tahoma"/>
            <family val="2"/>
          </rPr>
          <t xml:space="preserve">
Se redujo $ 840,00+318,00 FCS por efecto de informe de seguimiento.
Se redujo $ 48,00 FCA por efecto de informe de seguimiento.
Se reduce $4.032,00 en el POA de DV en atención al memo nro. DVIN-2023-0363.</t>
        </r>
      </text>
    </comment>
    <comment ref="E307" authorId="3" shapeId="0" xr:uid="{E6287029-6196-4210-A38B-BFCE1B239E8B}">
      <text>
        <r>
          <rPr>
            <b/>
            <sz val="9"/>
            <color rgb="FF000000"/>
            <rFont val="Tahoma"/>
            <family val="2"/>
          </rPr>
          <t>HP:</t>
        </r>
        <r>
          <rPr>
            <sz val="9"/>
            <color rgb="FF000000"/>
            <rFont val="Tahoma"/>
            <family val="2"/>
          </rPr>
          <t xml:space="preserve">
Reforma N° 2:
Se incrementó $ 5.600,00 FCQS.</t>
        </r>
      </text>
    </comment>
    <comment ref="F307" authorId="0" shapeId="0" xr:uid="{82274361-75EE-4E05-B92D-5340F9629A1B}">
      <text>
        <r>
          <rPr>
            <b/>
            <sz val="9"/>
            <color rgb="FF000000"/>
            <rFont val="Tahoma"/>
            <family val="2"/>
          </rPr>
          <t>Microsoft Office User:</t>
        </r>
        <r>
          <rPr>
            <sz val="9"/>
            <color rgb="FF000000"/>
            <rFont val="Tahoma"/>
            <family val="2"/>
          </rPr>
          <t xml:space="preserve">
Reforma N° 4:
Se reduce $ 482,23 en atención al memo nro. FCQS-D-2023-0905-M.</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LENOVO</author>
    <author>Microsoft Office User</author>
    <author>Admin</author>
    <author>HP</author>
    <author>Valeria Ramon Capa</author>
    <author>Eunice Basilio</author>
  </authors>
  <commentList>
    <comment ref="E7" authorId="0" shapeId="0" xr:uid="{B605FBEA-85E8-487D-B339-DDD86868C6BB}">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$2.000,00 para cubrir vacaciones.
</t>
        </r>
        <r>
          <rPr>
            <b/>
            <sz val="9"/>
            <color rgb="FF000000"/>
            <rFont val="Tahoma"/>
            <family val="2"/>
          </rPr>
          <t>Reforma N° 4:</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r>
          <rPr>
            <b/>
            <sz val="9"/>
            <color rgb="FF000000"/>
            <rFont val="Calibri"/>
            <family val="2"/>
          </rPr>
          <t>Reforma N° 5:</t>
        </r>
        <r>
          <rPr>
            <sz val="9"/>
            <color rgb="FF000000"/>
            <rFont val="Calibri"/>
            <family val="2"/>
          </rPr>
          <t xml:space="preserve">
Se incrementó $ 2.650,25 según memo N° UTMACH-DR-UREM-2023-0328-M_19/09/2023.</t>
        </r>
      </text>
    </comment>
    <comment ref="D8" authorId="1" shapeId="0" xr:uid="{19B81D8F-FD37-4C44-A2F2-49DCAB4C8E3A}">
      <text>
        <r>
          <rPr>
            <b/>
            <sz val="9"/>
            <color rgb="FF000000"/>
            <rFont val="Tahoma"/>
            <family val="2"/>
          </rPr>
          <t xml:space="preserve">Microsoft Office User:
</t>
        </r>
        <r>
          <rPr>
            <sz val="9"/>
            <color rgb="FF000000"/>
            <rFont val="Tahoma"/>
            <family val="2"/>
          </rPr>
          <t>Reforma N° 4:
Se incrementa $ 7.000 para financiar indemnizaciones 
por renuncia voluntaria, conforme lo indicado en la tabla 4 del Memorando nro. UTMACH-DTH-2023-1164-M.</t>
        </r>
      </text>
    </comment>
    <comment ref="E8" authorId="2" shapeId="0" xr:uid="{379FAD0C-AFBA-46A8-9380-604B66A18EB5}">
      <text>
        <r>
          <rPr>
            <b/>
            <sz val="9"/>
            <color indexed="81"/>
            <rFont val="Tahoma"/>
            <family val="2"/>
          </rPr>
          <t>Admin:</t>
        </r>
        <r>
          <rPr>
            <sz val="9"/>
            <color indexed="81"/>
            <rFont val="Tahoma"/>
            <family val="2"/>
          </rPr>
          <t xml:space="preserve">
Reforma N° 5:
Se incrementó $ 1.249,75 según memo N° UTMACH-DR-UREM-2023-0328-M_19/09/2023.</t>
        </r>
      </text>
    </comment>
    <comment ref="D9" authorId="1" shapeId="0" xr:uid="{1EC1D2D7-2D10-403E-84AF-20EC8C09BBC5}">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5:</t>
        </r>
        <r>
          <rPr>
            <sz val="9"/>
            <color rgb="FF000000"/>
            <rFont val="Tahoma"/>
            <family val="2"/>
          </rPr>
          <t xml:space="preserve">
Se incrementó $ 3.900,00 según memo N° UTMACH-DR-UREM-2023-0328-M_19/09/2023.</t>
        </r>
      </text>
    </comment>
    <comment ref="D10" authorId="2" shapeId="0" xr:uid="{EA1998C0-3AC8-4F57-954D-6A19880CFD61}">
      <text>
        <r>
          <rPr>
            <b/>
            <sz val="9"/>
            <color indexed="81"/>
            <rFont val="Tahoma"/>
            <family val="2"/>
          </rPr>
          <t>Admin:</t>
        </r>
        <r>
          <rPr>
            <sz val="9"/>
            <color indexed="81"/>
            <rFont val="Tahoma"/>
            <family val="2"/>
          </rPr>
          <t xml:space="preserve">
Reforma N° 5:
Se incrementó $ 11.000,00.</t>
        </r>
      </text>
    </comment>
    <comment ref="D11" authorId="2" shapeId="0" xr:uid="{F22B49DF-2622-43D4-B768-8594BE043CE0}">
      <text>
        <r>
          <rPr>
            <b/>
            <sz val="9"/>
            <color indexed="81"/>
            <rFont val="Tahoma"/>
            <family val="2"/>
          </rPr>
          <t>Admin:</t>
        </r>
        <r>
          <rPr>
            <sz val="9"/>
            <color indexed="81"/>
            <rFont val="Tahoma"/>
            <family val="2"/>
          </rPr>
          <t xml:space="preserve">
Reforma N° 5:
Se incrementó $ 41.149,68.</t>
        </r>
      </text>
    </comment>
    <comment ref="D12" authorId="2" shapeId="0" xr:uid="{E8FD3000-ED9B-4265-A5D3-114416904A46}">
      <text>
        <r>
          <rPr>
            <b/>
            <sz val="9"/>
            <color indexed="81"/>
            <rFont val="Tahoma"/>
            <family val="2"/>
          </rPr>
          <t>Admin:</t>
        </r>
        <r>
          <rPr>
            <sz val="9"/>
            <color indexed="81"/>
            <rFont val="Tahoma"/>
            <family val="2"/>
          </rPr>
          <t xml:space="preserve">
Reforma N° 5:
Se incrementó $ 3.857,37</t>
        </r>
      </text>
    </comment>
    <comment ref="D13" authorId="1" shapeId="0" xr:uid="{90856F73-8039-47D8-A10A-364B03C247A2}">
      <text>
        <r>
          <rPr>
            <b/>
            <sz val="9"/>
            <color rgb="FF000000"/>
            <rFont val="Tahoma"/>
            <family val="2"/>
          </rPr>
          <t>Microsoft Office User:</t>
        </r>
        <r>
          <rPr>
            <sz val="9"/>
            <color rgb="FF000000"/>
            <rFont val="Tahoma"/>
            <family val="2"/>
          </rPr>
          <t xml:space="preserve">
Reforma N° 4:
Se incrementa $ 9.000,00 en el POA de DADM por atención del memo nro. DF-2023-0282-M.</t>
        </r>
      </text>
    </comment>
    <comment ref="E13" authorId="3" shapeId="0" xr:uid="{8FA271E2-BC20-4432-A924-BCB7C4062CF8}">
      <text>
        <r>
          <rPr>
            <b/>
            <sz val="9"/>
            <color rgb="FF000000"/>
            <rFont val="Tahoma"/>
            <family val="2"/>
          </rPr>
          <t>HP:</t>
        </r>
        <r>
          <rPr>
            <sz val="9"/>
            <color rgb="FF000000"/>
            <rFont val="Tahoma"/>
            <family val="2"/>
          </rPr>
          <t xml:space="preserve">
Reforma N° 2:
Se redujo $ 28.000,00 por adquisición de SIMCARD DBU, contrato que ya estaba en el POA.
Se redujo $ 14.000,00 para cubrir liquidaciones por juicios en la partida N° 990101 0701 003 en el programa 82.
Reforma N° 5:
Se reduce $ 2.800,00.</t>
        </r>
      </text>
    </comment>
    <comment ref="D14" authorId="4" shapeId="0" xr:uid="{E9581DED-E649-4DA9-B1A5-D999398A948C}">
      <text>
        <r>
          <rPr>
            <b/>
            <sz val="10"/>
            <color rgb="FF000000"/>
            <rFont val="Tahoma"/>
            <family val="2"/>
          </rPr>
          <t>Valeria Ramon Capa:</t>
        </r>
        <r>
          <rPr>
            <sz val="10"/>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$2.509,82 por cuadre de fuente de 003 a fuente 002.</t>
        </r>
      </text>
    </comment>
    <comment ref="E14" authorId="2" shapeId="0" xr:uid="{A62BF0A4-EEFF-4FE5-883B-893A0F35F85B}">
      <text>
        <r>
          <rPr>
            <b/>
            <sz val="9"/>
            <color indexed="81"/>
            <rFont val="Tahoma"/>
            <charset val="1"/>
          </rPr>
          <t>Admin:</t>
        </r>
        <r>
          <rPr>
            <sz val="9"/>
            <color indexed="81"/>
            <rFont val="Tahoma"/>
            <charset val="1"/>
          </rPr>
          <t xml:space="preserve">
Reforma N° 5:
Se redujo $ 1.209,82 por ser saldo no ejecutado (IVA), DTH.</t>
        </r>
      </text>
    </comment>
    <comment ref="D15" authorId="3" shapeId="0" xr:uid="{39B070FB-2100-461C-ADB4-9EB792E19F8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$ 1.292,40, según Memorando N</t>
        </r>
        <r>
          <rPr>
            <sz val="9"/>
            <color rgb="FF000000"/>
            <rFont val="Tahoma"/>
            <family val="2"/>
          </rPr>
          <t>°</t>
        </r>
        <r>
          <rPr>
            <sz val="9"/>
            <color rgb="FF000000"/>
            <rFont val="Tahoma"/>
            <family val="2"/>
          </rPr>
          <t xml:space="preserve"> UTMACH-DBUAC-2023-0012-M del 12/01/2023. </t>
        </r>
      </text>
    </comment>
    <comment ref="E15" authorId="2" shapeId="0" xr:uid="{5147B437-2838-4B0E-9058-26DD3EC32F91}">
      <text>
        <r>
          <rPr>
            <b/>
            <sz val="9"/>
            <color indexed="81"/>
            <rFont val="Tahoma"/>
            <family val="2"/>
          </rPr>
          <t>Admin:</t>
        </r>
        <r>
          <rPr>
            <sz val="9"/>
            <color indexed="81"/>
            <rFont val="Tahoma"/>
            <family val="2"/>
          </rPr>
          <t xml:space="preserve">
Reforma N° 5:
Se redujo $ 1.292,40 por ser saldo no ejecutado, DBUAC.</t>
        </r>
      </text>
    </comment>
    <comment ref="D16" authorId="1" shapeId="0" xr:uid="{395DE589-0557-4C69-A5FE-44A08907CED9}">
      <text>
        <r>
          <rPr>
            <b/>
            <sz val="10"/>
            <color rgb="FF000000"/>
            <rFont val="Tahoma"/>
            <family val="2"/>
          </rPr>
          <t>Microsoft Office User:</t>
        </r>
        <r>
          <rPr>
            <sz val="10"/>
            <color rgb="FF000000"/>
            <rFont val="Tahoma"/>
            <family val="2"/>
          </rPr>
          <t xml:space="preserve">
</t>
        </r>
        <r>
          <rPr>
            <sz val="9"/>
            <color rgb="FF000000"/>
            <rFont val="Tahoma"/>
            <family val="2"/>
          </rPr>
          <t>Reforma N° 4:
Se incrementa $ 3.000,00 por efectos de seguimiento y reunión de coordinación.</t>
        </r>
      </text>
    </comment>
    <comment ref="E16" authorId="2" shapeId="0" xr:uid="{CFFC8BDA-81D9-448A-9748-BE185E4317B1}">
      <text>
        <r>
          <rPr>
            <b/>
            <sz val="9"/>
            <color indexed="81"/>
            <rFont val="Tahoma"/>
            <family val="2"/>
          </rPr>
          <t>Admin:</t>
        </r>
        <r>
          <rPr>
            <sz val="9"/>
            <color indexed="81"/>
            <rFont val="Tahoma"/>
            <family val="2"/>
          </rPr>
          <t xml:space="preserve">
Reforma N° 5:
Se redujo $ 376,06 por ser saldo no ejecutado, DIRCOM.</t>
        </r>
      </text>
    </comment>
    <comment ref="E17" authorId="4" shapeId="0" xr:uid="{BD5099A0-F0EE-458F-A780-B3A603453452}">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$11.920,00 a DirCom por seguimiento y en virtud de oficio Nro. MEF-SP-2023-0501 para atender Memo Nro. 0399 de DADM.
Se reduce $34000 por cambio de fuente a 002.
</t>
        </r>
        <r>
          <rPr>
            <b/>
            <sz val="9"/>
            <color rgb="FF000000"/>
            <rFont val="Tahoma"/>
            <family val="2"/>
          </rPr>
          <t>Reforma N° 5:</t>
        </r>
        <r>
          <rPr>
            <sz val="9"/>
            <color rgb="FF000000"/>
            <rFont val="Tahoma"/>
            <family val="2"/>
          </rPr>
          <t xml:space="preserve">
Se redujo $ 300,00 por ser saldo no ejecutado, Dir. Financiera (Coactivas).</t>
        </r>
      </text>
    </comment>
    <comment ref="D18" authorId="3" shapeId="0" xr:uid="{5B0D4CED-6E44-4639-8191-785553D665B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$ 194.032,61, según Oficio N° UTMACH-DADM-2023-0016-OF del 10/01/2023.
</t>
        </r>
        <r>
          <rPr>
            <b/>
            <sz val="9"/>
            <color rgb="FF000000"/>
            <rFont val="Tahoma"/>
            <family val="2"/>
          </rPr>
          <t xml:space="preserve">Reforma N° 3: 
</t>
        </r>
        <r>
          <rPr>
            <sz val="9"/>
            <color rgb="FF000000"/>
            <rFont val="Tahoma"/>
            <family val="2"/>
          </rPr>
          <t>Se incrementó $190.089,58 según memo N° VADM 382.</t>
        </r>
      </text>
    </comment>
    <comment ref="E18" authorId="4" shapeId="0" xr:uid="{41D9A2F0-87BD-4088-99BD-B4339AF859E3}">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$6.000,00 a Dadm por cuadre de fuentes.
</t>
        </r>
        <r>
          <rPr>
            <b/>
            <sz val="9"/>
            <color rgb="FF000000"/>
            <rFont val="Tahoma"/>
            <family val="2"/>
          </rPr>
          <t xml:space="preserve">Reforma N° 4:
</t>
        </r>
        <r>
          <rPr>
            <sz val="9"/>
            <color rgb="FF000000"/>
            <rFont val="Tahoma"/>
            <family val="2"/>
          </rPr>
          <t xml:space="preserve">Se reduce $128.000,00 por efectos de modificación de compromiso presupuestario para que se planifique en el 2024 las planillas que corresponden a ese año, dentro del POA de DADM (Memorando nro. UTMACH-DPLAN-2023-0230-M).
</t>
        </r>
        <r>
          <rPr>
            <b/>
            <sz val="9"/>
            <color rgb="FF000000"/>
            <rFont val="Tahoma"/>
            <family val="2"/>
          </rPr>
          <t>Reforma N° 5:</t>
        </r>
        <r>
          <rPr>
            <sz val="9"/>
            <color rgb="FF000000"/>
            <rFont val="Tahoma"/>
            <family val="2"/>
          </rPr>
          <t xml:space="preserve">
Se reduce $ 182.685,07 del proyecto Implementación de sistema tecnológico de control de acceso vehicular y peatonal, que se actualizará para ejecutarlo el otro año.</t>
        </r>
      </text>
    </comment>
    <comment ref="D19" authorId="3" shapeId="0" xr:uid="{ECB20CCC-BCD3-4CC3-BE03-DD2085144B3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$ 1.292,40, según Memorando N° UTMACH-DBUAC-2023-0012-M del 12/01/2023. 
</t>
        </r>
        <r>
          <rPr>
            <b/>
            <sz val="9"/>
            <color rgb="FF000000"/>
            <rFont val="Tahoma"/>
            <family val="2"/>
          </rPr>
          <t>Reforma N° 4:</t>
        </r>
        <r>
          <rPr>
            <sz val="9"/>
            <color rgb="FF000000"/>
            <rFont val="Tahoma"/>
            <family val="2"/>
          </rPr>
          <t xml:space="preserve">
Se incrementa $ 31.207,68 para el servicio de limpieza en atención memo nro. UTMACH-DADM-2023-0645, en el POA de DADM.</t>
        </r>
      </text>
    </comment>
    <comment ref="E19" authorId="2" shapeId="0" xr:uid="{67FE81E7-F090-445B-B65A-524C23272BC8}">
      <text>
        <r>
          <rPr>
            <b/>
            <sz val="9"/>
            <color indexed="81"/>
            <rFont val="Tahoma"/>
            <family val="2"/>
          </rPr>
          <t>Admin:</t>
        </r>
        <r>
          <rPr>
            <sz val="9"/>
            <color indexed="81"/>
            <rFont val="Tahoma"/>
            <family val="2"/>
          </rPr>
          <t xml:space="preserve">
Reforma N° 5:
Se redujo $ 6.826,68 por ser saldo no ejecutado, Dir. Adm. Analizar según memo N° -DADM-2023-1003-M.</t>
        </r>
      </text>
    </comment>
    <comment ref="D20" authorId="3" shapeId="0" xr:uid="{5A87DF4F-96B5-4043-835E-33B1E6F8AE8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$ 37.040,00 por separación de partidas. Dir. Administrativa.</t>
        </r>
      </text>
    </comment>
    <comment ref="E20" authorId="2" shapeId="0" xr:uid="{ED85DB14-FF05-4912-9BBF-5F1C667706F7}">
      <text>
        <r>
          <rPr>
            <b/>
            <sz val="9"/>
            <color indexed="81"/>
            <rFont val="Tahoma"/>
            <family val="2"/>
          </rPr>
          <t>Admin:</t>
        </r>
        <r>
          <rPr>
            <sz val="9"/>
            <color indexed="81"/>
            <rFont val="Tahoma"/>
            <family val="2"/>
          </rPr>
          <t xml:space="preserve">
Reforma N° 5:
Se redujo $ 7.000,00 por ser saldo no ejecutado, Dir. Adm.</t>
        </r>
      </text>
    </comment>
    <comment ref="D21" authorId="3" shapeId="0" xr:uid="{B19944C9-E3D0-4A15-8C98-8EAA84399A17}">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$ 78.060,00 Dir. Administrativa que pasó de fuente 3 a fuente 2.
</t>
        </r>
        <r>
          <rPr>
            <b/>
            <sz val="9"/>
            <color rgb="FF000000"/>
            <rFont val="Tahoma"/>
            <family val="2"/>
          </rPr>
          <t>Reforma N° 3:</t>
        </r>
        <r>
          <rPr>
            <sz val="9"/>
            <color rgb="FF000000"/>
            <rFont val="Tahoma"/>
            <family val="2"/>
          </rPr>
          <t xml:space="preserve">
Se incrementó $581,76 Dir.adm por cuadre de fuente.
</t>
        </r>
        <r>
          <rPr>
            <b/>
            <sz val="9"/>
            <color rgb="FF000000"/>
            <rFont val="Tahoma"/>
            <family val="2"/>
          </rPr>
          <t xml:space="preserve">Reforma N° 4:
</t>
        </r>
        <r>
          <rPr>
            <sz val="9"/>
            <color rgb="FF000000"/>
            <rFont val="Tahoma"/>
            <family val="2"/>
          </rPr>
          <t>Aumento de $ 17.997,61 para atender pedido de adecuación de baterías sanitarias de la FCE para sumar a un solo proceso para adecuaciones varias que constan en estudio previo de la Unidad de Obras, incluidas las baterias sanitarias de la FCE.</t>
        </r>
      </text>
    </comment>
    <comment ref="E21" authorId="2" shapeId="0" xr:uid="{59A945E2-6AE5-4C0D-84DE-9521291A93F0}">
      <text>
        <r>
          <rPr>
            <b/>
            <sz val="9"/>
            <color indexed="81"/>
            <rFont val="Tahoma"/>
            <charset val="1"/>
          </rPr>
          <t>Admin:</t>
        </r>
        <r>
          <rPr>
            <sz val="9"/>
            <color indexed="81"/>
            <rFont val="Tahoma"/>
            <charset val="1"/>
          </rPr>
          <t xml:space="preserve">
Reforma N° 5:
Se redujo $3,11+6.407,54 por ser saldo no ejecutado (IVA), Dir. Adm.</t>
        </r>
      </text>
    </comment>
    <comment ref="E22" authorId="4" shapeId="0" xr:uid="{702CDCC3-5F7E-40AB-9CD4-988AC0115C66}">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$3097,14 a Dadm por cuadre de fuente
</t>
        </r>
        <r>
          <rPr>
            <b/>
            <sz val="9"/>
            <color rgb="FF000000"/>
            <rFont val="Tahoma"/>
            <family val="2"/>
          </rPr>
          <t>Reforma N° 4:</t>
        </r>
        <r>
          <rPr>
            <sz val="9"/>
            <color rgb="FF000000"/>
            <rFont val="Tahoma"/>
            <family val="2"/>
          </rPr>
          <t xml:space="preserve">
Se redujo $ 2.500,00 DADM por efecto de informe de seguimiento.
</t>
        </r>
        <r>
          <rPr>
            <b/>
            <sz val="9"/>
            <color rgb="FF000000"/>
            <rFont val="Tahoma"/>
            <family val="2"/>
          </rPr>
          <t>Reforma N° 5:</t>
        </r>
        <r>
          <rPr>
            <sz val="9"/>
            <color rgb="FF000000"/>
            <rFont val="Tahoma"/>
            <family val="2"/>
          </rPr>
          <t xml:space="preserve">
Se redujo $ 6.000,00 por adjudicación del contrato por un valor menor al planificado, Dir. Adm.</t>
        </r>
      </text>
    </comment>
    <comment ref="D23" authorId="4" shapeId="0" xr:uid="{A1EC78F2-1681-496D-90A7-BA8CE87971D8}">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$17.474,61 para estudio de obra de infraestructura conforme reunión de seguimiento con Rectorado.
</t>
        </r>
        <r>
          <rPr>
            <b/>
            <sz val="9"/>
            <color rgb="FF000000"/>
            <rFont val="Tahoma"/>
            <family val="2"/>
          </rPr>
          <t>Reforma N° 4:</t>
        </r>
        <r>
          <rPr>
            <sz val="9"/>
            <color rgb="FF000000"/>
            <rFont val="Tahoma"/>
            <family val="2"/>
          </rPr>
          <t xml:space="preserve">
Se incrementó $ 136.405,46 para estudios especializados por efecto del sismo, Dir. Administrativa.</t>
        </r>
      </text>
    </comment>
    <comment ref="E23" authorId="2" shapeId="0" xr:uid="{783672F0-BC57-470D-9FFB-C679D349D15B}">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$ 1.974,61 DPLAN por efecto de informe de seguimiento.
</t>
        </r>
        <r>
          <rPr>
            <b/>
            <sz val="9"/>
            <color rgb="FF000000"/>
            <rFont val="Tahoma"/>
            <family val="2"/>
          </rPr>
          <t>Reforma N° 5:</t>
        </r>
        <r>
          <rPr>
            <sz val="9"/>
            <color rgb="FF000000"/>
            <rFont val="Tahoma"/>
            <family val="2"/>
          </rPr>
          <t xml:space="preserve">
Se redujo $ 14.614,87 por ser saldo no ejecutado, Dir. Adm.</t>
        </r>
      </text>
    </comment>
    <comment ref="D24" authorId="1" shapeId="0" xr:uid="{661BE8A2-3A4E-42A9-89D6-7D604A5F57EF}">
      <text>
        <r>
          <rPr>
            <b/>
            <sz val="9"/>
            <color rgb="FF000000"/>
            <rFont val="Tahoma"/>
            <family val="2"/>
          </rPr>
          <t>Microsoft Office User:</t>
        </r>
        <r>
          <rPr>
            <sz val="9"/>
            <color rgb="FF000000"/>
            <rFont val="Tahoma"/>
            <family val="2"/>
          </rPr>
          <t xml:space="preserve">
Reforma N° 4:
Se incrementó $ 67.200,00, según memo N° UTMACH-DADM-2023-0648-M (Alcance al M_0645)_29072023.
Se incrementó $ 16.800,00, según memo N° UTMACH-DADM-UOIFM-2023-0213-M_29072023, para los Estudios, Diseño y Construcción del Espacio Cultural Universitario (Concha Acústica) DPLAN.</t>
        </r>
      </text>
    </comment>
    <comment ref="E24" authorId="3" shapeId="0" xr:uid="{75C68D52-A5DD-442F-A522-8E571E4FE4E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 xml:space="preserve">Se redujo $31.807,16 Dir.Académica por Memo nro DACAD-2023-0133 y en virtud de oficio Nro. MEF-SP-2023-0501 para atender Memo Nro. 0399 de DADM.
</t>
        </r>
        <r>
          <rPr>
            <b/>
            <sz val="9"/>
            <color rgb="FF000000"/>
            <rFont val="Tahoma"/>
            <family val="2"/>
          </rPr>
          <t>Reforma N° 5:</t>
        </r>
        <r>
          <rPr>
            <sz val="9"/>
            <color rgb="FF000000"/>
            <rFont val="Tahoma"/>
            <family val="2"/>
          </rPr>
          <t xml:space="preserve">
Se redujo $ 9.000,00 por ser saldo no ejecutado, DPLAN y Dir. Adm.</t>
        </r>
      </text>
    </comment>
    <comment ref="D25" authorId="1" shapeId="0" xr:uid="{95E0B295-9C66-4F53-8ABC-E92CBBCCB73C}">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aumenta $ 1315,45 en el POA de DTH para atender memo nro. DTAH-2023-1017-M, considerando el saldo de $ 96,55 en la partida.
Se aumenta $ 8.000,00 + $ 7.156,55 en el POA de DTH para atender memo nro. DTH-2023-1131-M.
</t>
        </r>
        <r>
          <rPr>
            <b/>
            <sz val="9"/>
            <color rgb="FF000000"/>
            <rFont val="Tahoma"/>
            <family val="2"/>
          </rPr>
          <t>Reforma N° 5:</t>
        </r>
        <r>
          <rPr>
            <sz val="9"/>
            <color rgb="FF000000"/>
            <rFont val="Tahoma"/>
            <family val="2"/>
          </rPr>
          <t xml:space="preserve">
Se incrementó $ 16.472,00 según memo N° UTMACH-DF-UPSTO-2023-1079-M_27092023.</t>
        </r>
      </text>
    </comment>
    <comment ref="E25" authorId="5" shapeId="0" xr:uid="{0AB782E6-FF58-42BE-8DF9-FE45BE3747A6}">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$ 284.523,80 conforme archivo POA 2023.
</t>
        </r>
        <r>
          <rPr>
            <b/>
            <sz val="9"/>
            <color rgb="FF000000"/>
            <rFont val="Tahoma"/>
            <family val="2"/>
          </rPr>
          <t xml:space="preserve">Reforma N° 3:
</t>
        </r>
        <r>
          <rPr>
            <sz val="9"/>
            <color rgb="FF000000"/>
            <rFont val="Tahoma"/>
            <family val="2"/>
          </rPr>
          <t>Se redujo $3.848,46, no se encuentra asignado en POA.</t>
        </r>
      </text>
    </comment>
    <comment ref="D26" authorId="5" shapeId="0" xr:uid="{79212F96-0684-4517-82BD-C18A594B01EA}">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$ 12.060,16 según memo N° DTIC-2023-0088-M_04052023
</t>
        </r>
        <r>
          <rPr>
            <b/>
            <sz val="9"/>
            <color rgb="FF000000"/>
            <rFont val="Tahoma"/>
            <family val="2"/>
          </rPr>
          <t>Reforma N° 4:</t>
        </r>
        <r>
          <rPr>
            <sz val="9"/>
            <color rgb="FF000000"/>
            <rFont val="Tahoma"/>
            <family val="2"/>
          </rPr>
          <t xml:space="preserve">
Se incrementa $ 1.881,60 en el POA de DTIC para la atención del memo nro. XXXXXX. </t>
        </r>
      </text>
    </comment>
    <comment ref="E26" authorId="2" shapeId="0" xr:uid="{D49E420D-DE5F-4406-8A9D-02D798EECB4E}">
      <text>
        <r>
          <rPr>
            <b/>
            <sz val="9"/>
            <color indexed="81"/>
            <rFont val="Tahoma"/>
            <family val="2"/>
          </rPr>
          <t>Admin:</t>
        </r>
        <r>
          <rPr>
            <sz val="9"/>
            <color indexed="81"/>
            <rFont val="Tahoma"/>
            <family val="2"/>
          </rPr>
          <t xml:space="preserve">
Reforma N° 5:
Se redujo $ 2.887,36 por ser saldo no ejecutado, DTICS.</t>
        </r>
      </text>
    </comment>
    <comment ref="D27" authorId="0" shapeId="0" xr:uid="{7B96DFD8-3B76-495E-B2C1-266D08261036}">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$ 250,00 según memo N° DADM-2023-0335-M_16052023.
</t>
        </r>
        <r>
          <rPr>
            <b/>
            <sz val="9"/>
            <color rgb="FF000000"/>
            <rFont val="Tahoma"/>
            <family val="2"/>
          </rPr>
          <t>Reforma N° 4:</t>
        </r>
        <r>
          <rPr>
            <sz val="9"/>
            <color rgb="FF000000"/>
            <rFont val="Tahoma"/>
            <family val="2"/>
          </rPr>
          <t xml:space="preserve">
Se incrementa $ 2.184,00 según memo nro. DADM-2023-0645-M.
</t>
        </r>
        <r>
          <rPr>
            <b/>
            <sz val="9"/>
            <color rgb="FF000000"/>
            <rFont val="Tahoma"/>
            <family val="2"/>
          </rPr>
          <t>Reforma N° 5:</t>
        </r>
        <r>
          <rPr>
            <sz val="9"/>
            <color rgb="FF000000"/>
            <rFont val="Tahoma"/>
            <family val="2"/>
          </rPr>
          <t xml:space="preserve">
Se incrementó 1.420,03 según memo N° UTMACH-DF-UPSTO-2023-1079-M_27092023.</t>
        </r>
      </text>
    </comment>
    <comment ref="E27" authorId="2" shapeId="0" xr:uid="{18D940A5-EE8E-4741-93A2-B35FC4B8095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reduce $ 672,00 Rectorado por efecto de informe de seguimiento.</t>
        </r>
      </text>
    </comment>
    <comment ref="D28" authorId="3" shapeId="0" xr:uid="{C874A05A-9F9C-44FD-A42A-5D043AC5ED5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t>
        </r>
      </text>
    </comment>
    <comment ref="E28" authorId="2" shapeId="0" xr:uid="{C3E26A41-D6F3-42FE-8DDA-27CB3E4153AE}">
      <text>
        <r>
          <rPr>
            <b/>
            <sz val="9"/>
            <color indexed="81"/>
            <rFont val="Tahoma"/>
            <family val="2"/>
          </rPr>
          <t>Admin:</t>
        </r>
        <r>
          <rPr>
            <sz val="9"/>
            <color indexed="81"/>
            <rFont val="Tahoma"/>
            <family val="2"/>
          </rPr>
          <t xml:space="preserve">
Reforma N° 5:
Se redujo $ 88,09 por ser saldo no ejecutado, DBUAC.</t>
        </r>
      </text>
    </comment>
    <comment ref="D29" authorId="4" shapeId="0" xr:uid="{ACABA062-62EF-4565-87EE-46AB763A4E1C}">
      <text>
        <r>
          <rPr>
            <b/>
            <sz val="9"/>
            <color rgb="FF000000"/>
            <rFont val="Tahoma"/>
            <family val="2"/>
          </rPr>
          <t>Valeria Ramon Capa:</t>
        </r>
        <r>
          <rPr>
            <sz val="9"/>
            <color rgb="FF000000"/>
            <rFont val="Tahoma"/>
            <family val="2"/>
          </rPr>
          <t xml:space="preserve">
Reforma N° 3: 
Se incrementó $8.000 en virtud de memo nro 0764 DTH.</t>
        </r>
      </text>
    </comment>
    <comment ref="E29" authorId="2" shapeId="0" xr:uid="{DA44E12B-7C50-4DC4-811E-340C6E20647A}">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$ 3.660,23 DTH por efecto de informe de seguimiento.
Se redujo $ 3.264,00 DTH por efecto de informe de seguimiento.
</t>
        </r>
        <r>
          <rPr>
            <b/>
            <sz val="9"/>
            <color rgb="FF000000"/>
            <rFont val="Tahoma"/>
            <family val="2"/>
          </rPr>
          <t>Reforma N° 5:</t>
        </r>
        <r>
          <rPr>
            <sz val="9"/>
            <color rgb="FF000000"/>
            <rFont val="Tahoma"/>
            <family val="2"/>
          </rPr>
          <t xml:space="preserve">
Se redujo $ 6.145,54 por ser saldo no ejecutado, DTH.</t>
        </r>
      </text>
    </comment>
    <comment ref="D30" authorId="5" shapeId="0" xr:uid="{4E576D3E-C237-432F-B3EC-6C638537F81D}">
      <text>
        <r>
          <rPr>
            <b/>
            <sz val="9"/>
            <color rgb="FF000000"/>
            <rFont val="Tahoma"/>
            <family val="2"/>
          </rPr>
          <t>Eunice Basilio:</t>
        </r>
        <r>
          <rPr>
            <sz val="9"/>
            <color rgb="FF000000"/>
            <rFont val="Tahoma"/>
            <family val="2"/>
          </rPr>
          <t xml:space="preserve">
Reforma N° 3:
Se incrementó $ 30,00 según memo N° DTIC-2023-0088-M_04052023.</t>
        </r>
      </text>
    </comment>
    <comment ref="E30" authorId="2" shapeId="0" xr:uid="{E668D281-E6E1-4D04-A2AF-6C19525273AA}">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$ 3,22 DTIC por efecto de informe de seguimiento.
</t>
        </r>
        <r>
          <rPr>
            <b/>
            <sz val="9"/>
            <color rgb="FF000000"/>
            <rFont val="Tahoma"/>
            <family val="2"/>
          </rPr>
          <t>Reforma N° 5:</t>
        </r>
        <r>
          <rPr>
            <sz val="9"/>
            <color rgb="FF000000"/>
            <rFont val="Tahoma"/>
            <family val="2"/>
          </rPr>
          <t xml:space="preserve">
Se redujo $ 5,66 por ser saldo no ejecutado, DTIC.</t>
        </r>
      </text>
    </comment>
    <comment ref="D31" authorId="2" shapeId="0" xr:uid="{A137BC9A-4B97-4094-8D8F-FD0F26A5EFBA}">
      <text>
        <r>
          <rPr>
            <b/>
            <sz val="9"/>
            <color indexed="81"/>
            <rFont val="Tahoma"/>
            <family val="2"/>
          </rPr>
          <t>Admin:</t>
        </r>
        <r>
          <rPr>
            <sz val="9"/>
            <color indexed="81"/>
            <rFont val="Tahoma"/>
            <family val="2"/>
          </rPr>
          <t xml:space="preserve">
Reforma N° 5:
Se incrementó $ 49.108,37 según memo N° UTMACH-DF-UPSTO-2023-1079-M_27/09/2023.</t>
        </r>
      </text>
    </comment>
    <comment ref="D32" authorId="1" shapeId="0" xr:uid="{F3FAC378-3C94-4EB0-8DF0-7A0CAF0F5F52}">
      <text>
        <r>
          <rPr>
            <b/>
            <sz val="9"/>
            <color rgb="FF000000"/>
            <rFont val="Tahoma"/>
            <family val="2"/>
          </rPr>
          <t>Microsoft Office User:</t>
        </r>
        <r>
          <rPr>
            <sz val="9"/>
            <color rgb="FF000000"/>
            <rFont val="Tahoma"/>
            <family val="2"/>
          </rPr>
          <t xml:space="preserve">
Reforma N° 4:
Se incrementa $ 49.108,37 para atender memo nro. DUAC-2023-0656-M.</t>
        </r>
      </text>
    </comment>
    <comment ref="E32" authorId="4" shapeId="0" xr:uid="{69302FF2-21D8-457F-ABBC-19BDE6490FA9}">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Reducción de $7.000 a DTH por memo nro 0764_06062023.
</t>
        </r>
        <r>
          <rPr>
            <b/>
            <sz val="9"/>
            <color rgb="FF000000"/>
            <rFont val="Tahoma"/>
            <family val="2"/>
          </rPr>
          <t>Reforma N° 5:</t>
        </r>
        <r>
          <rPr>
            <sz val="9"/>
            <color rgb="FF000000"/>
            <rFont val="Tahoma"/>
            <family val="2"/>
          </rPr>
          <t xml:space="preserve">
Se redujo $ 1.593,10 por ser saldo no ejecutado, USSRT.</t>
        </r>
      </text>
    </comment>
    <comment ref="D33" authorId="5" shapeId="0" xr:uid="{67BB5B06-2D1F-43F9-B292-8006A673D0DF}">
      <text>
        <r>
          <rPr>
            <b/>
            <sz val="9"/>
            <color rgb="FF000000"/>
            <rFont val="Tahoma"/>
            <family val="2"/>
          </rPr>
          <t>Eunice Basilio:</t>
        </r>
        <r>
          <rPr>
            <sz val="9"/>
            <color rgb="FF000000"/>
            <rFont val="Tahoma"/>
            <family val="2"/>
          </rPr>
          <t xml:space="preserve">
Reforma N° 3:
Se incrementó $ 600,00 según memo N° DTIC-2023-0088-M_04052023.</t>
        </r>
      </text>
    </comment>
    <comment ref="E33" authorId="2" shapeId="0" xr:uid="{636A67A7-7E09-4EF1-B9F6-FF6EA81095B0}">
      <text>
        <r>
          <rPr>
            <b/>
            <sz val="9"/>
            <color indexed="81"/>
            <rFont val="Tahoma"/>
            <family val="2"/>
          </rPr>
          <t>Admin:</t>
        </r>
        <r>
          <rPr>
            <sz val="9"/>
            <color indexed="81"/>
            <rFont val="Tahoma"/>
            <family val="2"/>
          </rPr>
          <t xml:space="preserve">
Reforma N° 5:
Se redujo $ 600,00 por ser saldo no ejecutado, DTICS.</t>
        </r>
      </text>
    </comment>
    <comment ref="D34" authorId="5" shapeId="0" xr:uid="{6D955FD2-D08B-4C38-8F99-4513362738F0}">
      <text>
        <r>
          <rPr>
            <b/>
            <sz val="9"/>
            <color rgb="FF000000"/>
            <rFont val="Tahoma"/>
            <family val="2"/>
          </rPr>
          <t>Eunice Basilio:</t>
        </r>
        <r>
          <rPr>
            <sz val="9"/>
            <color rgb="FF000000"/>
            <rFont val="Tahoma"/>
            <family val="2"/>
          </rPr>
          <t xml:space="preserve">
Reforma N° 3:
Se incrementó $ 10.197,60 según memo N° DTIC-2023-0088-M_04052023.</t>
        </r>
      </text>
    </comment>
    <comment ref="E34" authorId="2" shapeId="0" xr:uid="{7448BAEE-EA54-48EA-A4A5-D960370C5C96}">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$ 2.160,45 DTIC por efecto de informe de seguimiento.
</t>
        </r>
        <r>
          <rPr>
            <b/>
            <sz val="9"/>
            <color rgb="FF000000"/>
            <rFont val="Tahoma"/>
            <family val="2"/>
          </rPr>
          <t>Reforma N° 5:</t>
        </r>
        <r>
          <rPr>
            <sz val="9"/>
            <color rgb="FF000000"/>
            <rFont val="Tahoma"/>
            <family val="2"/>
          </rPr>
          <t xml:space="preserve">
Se redujo $ 580,87 por ser saldo no ejecutado, DTICS.</t>
        </r>
      </text>
    </comment>
    <comment ref="E35" authorId="0" shapeId="0" xr:uid="{928E0930-8BDA-4C18-9D29-BD15CAE1D1FC}">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 xml:space="preserve">Se redujo $ 3.360,00 según memo N° UTMACH-DADM-2023-0335-M_16052023, no se atendió materiales de oficina.
30/05 se redujo lo restante $ 40 por seguimiento y en virtud de oficio Nro. MEF-SP-2023-0501 para atender Memo Nro. 0399 de DADM.
</t>
        </r>
        <r>
          <rPr>
            <b/>
            <sz val="9"/>
            <color rgb="FF000000"/>
            <rFont val="Tahoma"/>
            <family val="2"/>
          </rPr>
          <t>Reforma N° 5:</t>
        </r>
        <r>
          <rPr>
            <sz val="9"/>
            <color rgb="FF000000"/>
            <rFont val="Tahoma"/>
            <family val="34"/>
          </rPr>
          <t xml:space="preserve">
Se redujo $ 200,00 por ser saldo no ejecutado, Dir. Adm.</t>
        </r>
      </text>
    </comment>
    <comment ref="E36" authorId="2" shapeId="0" xr:uid="{BBCB4D38-D17C-4C9C-BD6B-6FADBEB52E20}">
      <text>
        <r>
          <rPr>
            <b/>
            <sz val="9"/>
            <color indexed="81"/>
            <rFont val="Tahoma"/>
            <family val="2"/>
          </rPr>
          <t>Admin:</t>
        </r>
        <r>
          <rPr>
            <sz val="9"/>
            <color indexed="81"/>
            <rFont val="Tahoma"/>
            <family val="2"/>
          </rPr>
          <t xml:space="preserve">
Reforma N° 5:
Se redujo $ 860,69 por ser saldo no ejecutado, DTH.</t>
        </r>
      </text>
    </comment>
    <comment ref="D37" authorId="4" shapeId="0" xr:uid="{185D6267-1AF2-4474-8B90-CD52ED0544DF}">
      <text>
        <r>
          <rPr>
            <b/>
            <sz val="9"/>
            <color rgb="FF000000"/>
            <rFont val="Tahoma"/>
            <family val="2"/>
          </rPr>
          <t>Valeria Ramon Capa:</t>
        </r>
        <r>
          <rPr>
            <sz val="9"/>
            <color rgb="FF000000"/>
            <rFont val="Tahoma"/>
            <family val="2"/>
          </rPr>
          <t xml:space="preserve">
Reforma N° 3:
Se incrementa $151.520,00 a DADM por Memo N 0399_01062023.</t>
        </r>
      </text>
    </comment>
    <comment ref="E37" authorId="2" shapeId="0" xr:uid="{D1289070-F993-464E-B0EA-4EBF5CB57919}">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$ 170.000,00 DADM por efecto de informe de seguimiento, los mismos que quedan pendientes de asignar cuando se recaude el valor programado en la fuente 002.
</t>
        </r>
        <r>
          <rPr>
            <b/>
            <sz val="9"/>
            <color rgb="FF000000"/>
            <rFont val="Tahoma"/>
            <family val="2"/>
          </rPr>
          <t>Reforma N° 5:</t>
        </r>
        <r>
          <rPr>
            <sz val="9"/>
            <color rgb="FF000000"/>
            <rFont val="Tahoma"/>
            <family val="2"/>
          </rPr>
          <t xml:space="preserve">
Se redujo $ 9.840,00 por ser saldo no ejecutado (IVA), Dir. Adm.</t>
        </r>
      </text>
    </comment>
    <comment ref="E38" authorId="2" shapeId="0" xr:uid="{4C7786FF-2B0A-47CB-8A11-906AEA91CBF5}">
      <text>
        <r>
          <rPr>
            <b/>
            <sz val="9"/>
            <color indexed="81"/>
            <rFont val="Tahoma"/>
            <family val="2"/>
          </rPr>
          <t>Admin:</t>
        </r>
        <r>
          <rPr>
            <sz val="9"/>
            <color indexed="81"/>
            <rFont val="Tahoma"/>
            <family val="2"/>
          </rPr>
          <t xml:space="preserve">
Reforma N° 5:
Se redujo $ 9.819,45 por ser saldo no ejecutado, Dir. Adm.</t>
        </r>
      </text>
    </comment>
    <comment ref="E39" authorId="5" shapeId="0" xr:uid="{BA8873BC-4A4F-4020-BD16-27FACDC6523B}">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conforme archivo POA 2023.
Se redujo $ 137.214,99, porque se sacó del POA 2023 de la DTH ítem para sumar a esta partida 580209 "A Jubilados Patronales"
</t>
        </r>
        <r>
          <rPr>
            <b/>
            <sz val="9"/>
            <color rgb="FF000000"/>
            <rFont val="Tahoma"/>
            <family val="2"/>
          </rPr>
          <t>Reforma N° 4:</t>
        </r>
        <r>
          <rPr>
            <sz val="9"/>
            <color rgb="FF000000"/>
            <rFont val="Tahoma"/>
            <family val="2"/>
          </rPr>
          <t xml:space="preserve">
Se redujo $ </t>
        </r>
        <r>
          <rPr>
            <sz val="10"/>
            <color rgb="FF000000"/>
            <rFont val="Arial"/>
            <family val="2"/>
            <scheme val="minor"/>
          </rPr>
          <t xml:space="preserve">203.797,63 </t>
        </r>
        <r>
          <rPr>
            <sz val="9"/>
            <color rgb="FF000000"/>
            <rFont val="Tahoma"/>
            <family val="2"/>
          </rPr>
          <t xml:space="preserve"> DTH por efecto de informe de seguimiento.
</t>
        </r>
        <r>
          <rPr>
            <b/>
            <sz val="9"/>
            <color rgb="FF000000"/>
            <rFont val="Tahoma"/>
            <family val="2"/>
          </rPr>
          <t>Reforma N° 5:</t>
        </r>
        <r>
          <rPr>
            <sz val="9"/>
            <color rgb="FF000000"/>
            <rFont val="Tahoma"/>
            <family val="2"/>
          </rPr>
          <t xml:space="preserve">
Se redujo $ 8,869,75, proyecto de jubilados.
Se redujo $ 49.108,37 según memo N° UTMACH-DF-UPSTO-2023-1079-M_27/09/2023.</t>
        </r>
      </text>
    </comment>
    <comment ref="D40" authorId="3" shapeId="0" xr:uid="{17327EA5-414A-49C2-8915-44E8A39A08DD}">
      <text>
        <r>
          <rPr>
            <b/>
            <sz val="9"/>
            <color rgb="FF000000"/>
            <rFont val="Tahoma"/>
            <family val="2"/>
          </rPr>
          <t>HP:</t>
        </r>
        <r>
          <rPr>
            <sz val="9"/>
            <color rgb="FF000000"/>
            <rFont val="Tahoma"/>
            <family val="2"/>
          </rPr>
          <t xml:space="preserve">
Reforma N° 2:
Se incrementó $ 545,00 para pago de órdenes compra de 1 archivador aéreo, 2 mesa de centro por los valores $90,00 y $396,00 sin incluir el IVA, respectivamente, según Oficio N° UTMACH-ADM-CENTRAL-EMP-2023-0048-OF_16/01/2023.
Dir. Administrativa.</t>
        </r>
      </text>
    </comment>
    <comment ref="E40" authorId="2" shapeId="0" xr:uid="{8C25F408-9246-4770-94C5-F90EDB0BD6F9}">
      <text>
        <r>
          <rPr>
            <b/>
            <sz val="9"/>
            <color indexed="81"/>
            <rFont val="Tahoma"/>
            <family val="2"/>
          </rPr>
          <t>Admin:</t>
        </r>
        <r>
          <rPr>
            <sz val="9"/>
            <color indexed="81"/>
            <rFont val="Tahoma"/>
            <family val="2"/>
          </rPr>
          <t xml:space="preserve">
Reforma N° 5:
Se redujo $ 59,00 por ser saldo no ejecutado, Dir. Adm.</t>
        </r>
      </text>
    </comment>
    <comment ref="D41" authorId="3" shapeId="0" xr:uid="{7CC4974E-8D0C-4091-B0F8-BFAF7E280E8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$ 39.500,00 para adquisición de aires acondicionados PULLA HNOS Dir Adm
$ 2.940,00 por contrato de año anterior para adquisición de proyectores de imagen. TICS
</t>
        </r>
        <r>
          <rPr>
            <b/>
            <sz val="9"/>
            <color rgb="FF000000"/>
            <rFont val="Tahoma"/>
            <family val="2"/>
          </rPr>
          <t>Reforma N° 4:</t>
        </r>
        <r>
          <rPr>
            <sz val="9"/>
            <color rgb="FF000000"/>
            <rFont val="Tahoma"/>
            <family val="2"/>
          </rPr>
          <t xml:space="preserve">
Se incrementa $ 313,60 en el POA de VAC para atender memo nro. VACAD-2023-0354-M.</t>
        </r>
      </text>
    </comment>
    <comment ref="E41" authorId="1" shapeId="0" xr:uid="{5043B456-C150-40D0-9614-7782B236411E}">
      <text>
        <r>
          <rPr>
            <b/>
            <sz val="9"/>
            <color rgb="FF000000"/>
            <rFont val="Tahoma"/>
            <family val="2"/>
          </rPr>
          <t>Microsoft Office User:</t>
        </r>
        <r>
          <rPr>
            <sz val="9"/>
            <color rgb="FF000000"/>
            <rFont val="Tahoma"/>
            <family val="2"/>
          </rPr>
          <t xml:space="preserve">
Reforma N° 5:
Se redujo $ 315,00 por ser saldo no ejecutado (IVA), DTICS.</t>
        </r>
      </text>
    </comment>
    <comment ref="D42" authorId="5" shapeId="0" xr:uid="{15283DFC-2A1C-4D00-814E-1450A325FC73}">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$ 6.548,35 Rectorado
$ 3.920,00 DIRCOM
$ 1.868,16 Secretaría General
$ 2.934,40 Dirección de Aseguramiento de la Calidad
conforme archivo POA 2023.
</t>
        </r>
        <r>
          <rPr>
            <b/>
            <sz val="9"/>
            <color rgb="FF000000"/>
            <rFont val="Tahoma"/>
            <family val="2"/>
          </rPr>
          <t>Reforma N° 3:</t>
        </r>
        <r>
          <rPr>
            <sz val="9"/>
            <color rgb="FF000000"/>
            <rFont val="Tahoma"/>
            <family val="2"/>
          </rPr>
          <t xml:space="preserve">
Se incrementa $ 1.008,00 según memo N° UTMACH-DAC-2023-0056-M_24032023
UTMACH-DAC-2023-0059-M_27032023 (Alcance M_0056)
</t>
        </r>
        <r>
          <rPr>
            <b/>
            <sz val="9"/>
            <color rgb="FF000000"/>
            <rFont val="Tahoma"/>
            <family val="2"/>
          </rPr>
          <t>Reforma N° 4:</t>
        </r>
        <r>
          <rPr>
            <sz val="9"/>
            <color rgb="FF000000"/>
            <rFont val="Tahoma"/>
            <family val="2"/>
          </rPr>
          <t xml:space="preserve">
Se incrementa $ 81,10 para atender pedido del memo nro. SG-2023-0194-M, en el POA de SG
Se incrementa $ 1.771,84 para atender pedido del memo nro. SG-2023-0213-M
Se incrementa $ 3.801,28 para atender el pedido del memo nro. </t>
        </r>
        <r>
          <rPr>
            <sz val="10"/>
            <color rgb="FF000000"/>
            <rFont val="Calibri"/>
            <family val="2"/>
          </rPr>
          <t>UTMACH-DADM-2023-0656-M</t>
        </r>
        <r>
          <rPr>
            <sz val="9"/>
            <color rgb="FF000000"/>
            <rFont val="Calibri"/>
            <family val="2"/>
          </rPr>
          <t xml:space="preserve">
</t>
        </r>
        <r>
          <rPr>
            <b/>
            <sz val="9"/>
            <color rgb="FF000000"/>
            <rFont val="Calibri"/>
            <family val="2"/>
          </rPr>
          <t>Reforma N° 5:</t>
        </r>
        <r>
          <rPr>
            <sz val="9"/>
            <color rgb="FF000000"/>
            <rFont val="Calibri"/>
            <family val="2"/>
          </rPr>
          <t xml:space="preserve">
Se incrementó $ 10.313,89 según memo N° UTMACH-DTIC-2023-0310-M
(Alcance al M_0301) del 04/10/2023.</t>
        </r>
      </text>
    </comment>
    <comment ref="E42" authorId="2" shapeId="0" xr:uid="{DA29B386-3095-4840-BF3C-B27919764B2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$ 836,81 DIRCOM por efecto de informe de seguimiento.
</t>
        </r>
        <r>
          <rPr>
            <sz val="9"/>
            <color rgb="FF000000"/>
            <rFont val="Tahoma"/>
            <family val="2"/>
          </rPr>
          <t xml:space="preserve">
</t>
        </r>
        <r>
          <rPr>
            <sz val="9"/>
            <color rgb="FF000000"/>
            <rFont val="Tahoma"/>
            <family val="2"/>
          </rPr>
          <t>Se redujo $ 572,00 + $ 1.254,40 en el POA de DAC por efecto de informe de seguimiento y atención memo nro. DAC-2023-0221-M.</t>
        </r>
      </text>
    </comment>
    <comment ref="D48" authorId="3" shapeId="0" xr:uid="{B0402C34-E13A-4E42-9DF5-674D5115526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83.935,78 para Dir. Administrativa
Se eliminó porque no se puede cruzar del grupo 84 al grupo 53.
Se incrementó $ 14.752,06 por saldo positivo y cuadre final de la fuente 1.
Cómo quedó en el POA:
711.513,00 DIR ADMINISTRATIVA
Se incrementó 5.448,78
</t>
        </r>
        <r>
          <rPr>
            <b/>
            <sz val="9"/>
            <color rgb="FF000000"/>
            <rFont val="Tahoma"/>
            <family val="2"/>
          </rPr>
          <t>Reforma N° 4:</t>
        </r>
        <r>
          <rPr>
            <sz val="9"/>
            <color rgb="FF000000"/>
            <rFont val="Tahoma"/>
            <family val="2"/>
          </rPr>
          <t xml:space="preserve">
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E48" authorId="3" shapeId="0" xr:uid="{C7882737-A4BE-449F-8537-7ECB7AD22B6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$ 6.720,00 Dir. Aseguramiento de la Calidad.
$ 6.720,00 FIC
</t>
        </r>
        <r>
          <rPr>
            <b/>
            <sz val="9"/>
            <color rgb="FF000000"/>
            <rFont val="Tahoma"/>
            <family val="2"/>
          </rPr>
          <t>Reforma N° 3:</t>
        </r>
        <r>
          <rPr>
            <sz val="9"/>
            <color rgb="FF000000"/>
            <rFont val="Tahoma"/>
            <family val="2"/>
          </rPr>
          <t xml:space="preserve">
Se redujo $1.365,00 por atención de Memo N° UTMACH-DAC-2023-0133-M
</t>
        </r>
        <r>
          <rPr>
            <b/>
            <sz val="9"/>
            <color rgb="FF000000"/>
            <rFont val="Tahoma"/>
            <family val="2"/>
          </rPr>
          <t>Reforma N° 4:</t>
        </r>
        <r>
          <rPr>
            <sz val="9"/>
            <color rgb="FF000000"/>
            <rFont val="Tahoma"/>
            <family val="2"/>
          </rPr>
          <t xml:space="preserve">
Se reduce $ 711.513,00 por cambio de partida de inversión del Proyecto de Inversión " Adecuación de infraestructura y equipamiento Universidad Técnica de Machala".
</t>
        </r>
        <r>
          <rPr>
            <b/>
            <sz val="9"/>
            <color rgb="FF000000"/>
            <rFont val="Tahoma"/>
            <family val="2"/>
          </rPr>
          <t>Reforma N° 5:</t>
        </r>
        <r>
          <rPr>
            <sz val="9"/>
            <color rgb="FF000000"/>
            <rFont val="Tahoma"/>
            <family val="2"/>
          </rPr>
          <t xml:space="preserve">
Se redujo $ 2.550,00 según memo N° DAC-2023-0275-M_14092023.
Se redujo $ 520,10 por ser saldo no ejecutado, DAC.
Se redujo $ 43.678,14 por ser saldo no ejecutado, DBUAC.</t>
        </r>
      </text>
    </comment>
    <comment ref="D49" authorId="5" shapeId="0" xr:uid="{961BF993-5FDA-4DC1-9EF4-7DC5C08D543A}">
      <text>
        <r>
          <rPr>
            <b/>
            <sz val="9"/>
            <color rgb="FF000000"/>
            <rFont val="Tahoma"/>
            <family val="2"/>
          </rPr>
          <t>Eunice Basilio:</t>
        </r>
        <r>
          <rPr>
            <sz val="9"/>
            <color rgb="FF000000"/>
            <rFont val="Tahoma"/>
            <family val="2"/>
          </rPr>
          <t xml:space="preserve">
Reforma N° 3:
Se incrementó $ 4.000,00-0,63 según memo N° DTIC-2023-0088-M_04052023.</t>
        </r>
      </text>
    </comment>
    <comment ref="E49" authorId="3" shapeId="0" xr:uid="{DE9F9F29-AADF-4F9C-BD99-28CEB414993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$ 10.640,00 DTIC.
</t>
        </r>
        <r>
          <rPr>
            <b/>
            <sz val="9"/>
            <color rgb="FF000000"/>
            <rFont val="Tahoma"/>
            <family val="2"/>
          </rPr>
          <t>Reforma N° 3:</t>
        </r>
        <r>
          <rPr>
            <sz val="9"/>
            <color rgb="FF000000"/>
            <rFont val="Tahoma"/>
            <family val="2"/>
          </rPr>
          <t xml:space="preserve">
Se redujo $ 4.352,39 según memo N° DTIC-2023-0088-M_04052023.
</t>
        </r>
        <r>
          <rPr>
            <b/>
            <sz val="9"/>
            <color rgb="FF000000"/>
            <rFont val="Tahoma"/>
            <family val="2"/>
          </rPr>
          <t>Reforma N° 5:</t>
        </r>
        <r>
          <rPr>
            <sz val="9"/>
            <color rgb="FF000000"/>
            <rFont val="Tahoma"/>
            <family val="2"/>
          </rPr>
          <t xml:space="preserve">
Se redujo $ 2.068,40 por ser saldo no ejecutado, DTICS.</t>
        </r>
      </text>
    </comment>
    <comment ref="D50" authorId="4" shapeId="0" xr:uid="{C92E3F1A-E356-4796-A661-55DBAD027CD5}">
      <text>
        <r>
          <rPr>
            <b/>
            <sz val="9"/>
            <color rgb="FF000000"/>
            <rFont val="Tahoma"/>
            <family val="2"/>
          </rPr>
          <t xml:space="preserve">Valeria Ramon Capa:
</t>
        </r>
        <r>
          <rPr>
            <sz val="9"/>
            <color rgb="FF000000"/>
            <rFont val="Tahoma"/>
            <family val="2"/>
          </rPr>
          <t>Reforma N° 3:
Se incrementa $157,33 por distribución de fondo de caja chica de la FCA - correo 13062023.</t>
        </r>
      </text>
    </comment>
    <comment ref="E50" authorId="0" shapeId="0" xr:uid="{4D2272D1-5EA6-4F59-9D32-82F7A49BEF2F}">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$ 327,68 según memo N° FCA-D-2023-0249-M_05052023.
</t>
        </r>
        <r>
          <rPr>
            <b/>
            <sz val="9"/>
            <color rgb="FF000000"/>
            <rFont val="Tahoma"/>
            <family val="2"/>
          </rPr>
          <t>Reforma N° 5:</t>
        </r>
        <r>
          <rPr>
            <sz val="9"/>
            <color rgb="FF000000"/>
            <rFont val="Tahoma"/>
            <family val="2"/>
          </rPr>
          <t xml:space="preserve">
Se redujo $ 18,17 por ser saldo no ejecutado, FCA.</t>
        </r>
      </text>
    </comment>
    <comment ref="D51" authorId="2" shapeId="0" xr:uid="{5B4A79AC-743E-425F-A108-775A7040C55D}">
      <text>
        <r>
          <rPr>
            <b/>
            <sz val="9"/>
            <color indexed="81"/>
            <rFont val="Tahoma"/>
            <family val="2"/>
          </rPr>
          <t>Admin:</t>
        </r>
        <r>
          <rPr>
            <sz val="9"/>
            <color indexed="81"/>
            <rFont val="Tahoma"/>
            <family val="2"/>
          </rPr>
          <t xml:space="preserve">
Reforma N° 5:
Se incrementa $ 1.996,00 según memo N° DAC-2023-0275-M_14092023.</t>
        </r>
      </text>
    </comment>
    <comment ref="D52" authorId="1" shapeId="0" xr:uid="{C4E1F897-A13A-4604-945C-944CF2FA8249}">
      <text>
        <r>
          <rPr>
            <b/>
            <sz val="9"/>
            <color rgb="FF000000"/>
            <rFont val="Tahoma"/>
            <family val="2"/>
          </rPr>
          <t>Microsoft Office User:</t>
        </r>
        <r>
          <rPr>
            <sz val="9"/>
            <color rgb="FF000000"/>
            <rFont val="Tahoma"/>
            <family val="2"/>
          </rPr>
          <t xml:space="preserve">
Reforma N° 4:
Se incrementa $ 64.443,90 en el POA de DADM para atender memo nro. UTMACH-DADM-2023-0725-M.</t>
        </r>
      </text>
    </comment>
    <comment ref="E52" authorId="2" shapeId="0" xr:uid="{A75E073A-2010-4C49-ABF3-29D1CBB0888C}">
      <text>
        <r>
          <rPr>
            <b/>
            <sz val="9"/>
            <color indexed="81"/>
            <rFont val="Tahoma"/>
            <family val="2"/>
          </rPr>
          <t>Admin:</t>
        </r>
        <r>
          <rPr>
            <sz val="9"/>
            <color indexed="81"/>
            <rFont val="Tahoma"/>
            <family val="2"/>
          </rPr>
          <t xml:space="preserve">
Reforma N° 5:
Se redujo $ 6.904,70 por ser saldo no ejecutado (IVA), Dir. Adm.</t>
        </r>
      </text>
    </comment>
    <comment ref="E53" authorId="2" shapeId="0" xr:uid="{2893F666-2CA9-47CE-9F4B-48B23F0A78E9}">
      <text>
        <r>
          <rPr>
            <b/>
            <sz val="9"/>
            <color indexed="81"/>
            <rFont val="Tahoma"/>
            <family val="2"/>
          </rPr>
          <t>Admin:</t>
        </r>
        <r>
          <rPr>
            <sz val="9"/>
            <color indexed="81"/>
            <rFont val="Tahoma"/>
            <family val="2"/>
          </rPr>
          <t xml:space="preserve">
Reforma N° 5:
Se redujo $ 67,00 por ser saldo no ejecutado, FCA.</t>
        </r>
      </text>
    </comment>
    <comment ref="D54" authorId="3" shapeId="0" xr:uid="{87FE2943-3AF3-4079-A6AF-8D95DA9B33A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$ 231,46 de acuerdo al POA 2023 de la FCE presentado.</t>
        </r>
      </text>
    </comment>
    <comment ref="E54" authorId="2" shapeId="0" xr:uid="{FAA15200-DBAE-45E8-8D34-D4D7A4E7B1AB}">
      <text>
        <r>
          <rPr>
            <b/>
            <sz val="9"/>
            <color indexed="81"/>
            <rFont val="Tahoma"/>
            <family val="2"/>
          </rPr>
          <t>Admin:</t>
        </r>
        <r>
          <rPr>
            <sz val="9"/>
            <color indexed="81"/>
            <rFont val="Tahoma"/>
            <family val="2"/>
          </rPr>
          <t xml:space="preserve">
Reforma N° 5:
Se redujo $ 105,24 por ser saldo no ejecutado, FCA.</t>
        </r>
      </text>
    </comment>
    <comment ref="D55" authorId="3" shapeId="0" xr:uid="{02363646-4E99-4527-AC3E-26D34BC3B9B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$ 10.164,16, según Memorando N° UTMACH-DBUAC-2023-0009-M del 10/01/2023
</t>
        </r>
        <r>
          <rPr>
            <b/>
            <sz val="9"/>
            <color rgb="FF000000"/>
            <rFont val="Tahoma"/>
            <family val="2"/>
          </rPr>
          <t>Reforma N° 5:</t>
        </r>
        <r>
          <rPr>
            <sz val="9"/>
            <color rgb="FF000000"/>
            <rFont val="Tahoma"/>
            <family val="2"/>
          </rPr>
          <t xml:space="preserve">
Se incrementó $ 10.000,00 según memo N° DBUAC-2023-0792-M_18092023.</t>
        </r>
      </text>
    </comment>
    <comment ref="E55" authorId="2" shapeId="0" xr:uid="{C0CADE70-2F11-4D9C-84E4-39D83FAFBBC5}">
      <text>
        <r>
          <rPr>
            <b/>
            <sz val="9"/>
            <color rgb="FF000000"/>
            <rFont val="Tahoma"/>
            <family val="2"/>
          </rPr>
          <t>Admin:</t>
        </r>
        <r>
          <rPr>
            <sz val="9"/>
            <color rgb="FF000000"/>
            <rFont val="Tahoma"/>
            <family val="2"/>
          </rPr>
          <t xml:space="preserve">
Reforma N° 4:
Se redujo $ 77.722,59 DBUAC por efecto de informe de seguimiento. (Cert. N° 149).</t>
        </r>
      </text>
    </comment>
    <comment ref="D56" authorId="2" shapeId="0" xr:uid="{78F386F5-6985-4F6A-AC8C-C02C2384FEF7}">
      <text>
        <r>
          <rPr>
            <b/>
            <sz val="9"/>
            <color rgb="FF000000"/>
            <rFont val="Tahoma"/>
            <family val="2"/>
          </rPr>
          <t>Admin:</t>
        </r>
        <r>
          <rPr>
            <sz val="9"/>
            <color rgb="FF000000"/>
            <rFont val="Tahoma"/>
            <family val="2"/>
          </rPr>
          <t xml:space="preserve">
Reforma N° 4:
Se incrementa $ 639.186,31 por cambio de partida del Proyecto de Inversión " Adecuación de infraestructura y equipamiento Universidad Técnica de Machala", en el POA de DADM.</t>
        </r>
      </text>
    </comment>
    <comment ref="E56" authorId="2" shapeId="0" xr:uid="{42008101-93A8-40DB-970D-091257DE669B}">
      <text>
        <r>
          <rPr>
            <b/>
            <sz val="9"/>
            <color indexed="81"/>
            <rFont val="Tahoma"/>
            <family val="2"/>
          </rPr>
          <t>Admin:</t>
        </r>
        <r>
          <rPr>
            <sz val="9"/>
            <color indexed="81"/>
            <rFont val="Tahoma"/>
            <family val="2"/>
          </rPr>
          <t xml:space="preserve">
Reforma N° 5:
Se redujo $ 68484,25 por ser saldo no ejecutado, Dir. Adm.</t>
        </r>
      </text>
    </comment>
    <comment ref="D57" authorId="0" shapeId="0" xr:uid="{A18AD523-AC35-45D0-86F0-CACDCE9558AA}">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$ 1.052,80 según memo N° FCS-D-2023-0460-M_23052023.
Se incrementó $87,40 según memo DAC N 133_30052023.
</t>
        </r>
        <r>
          <rPr>
            <b/>
            <sz val="9"/>
            <color rgb="FF000000"/>
            <rFont val="Tahoma"/>
            <family val="2"/>
          </rPr>
          <t>Reforma N° 5:</t>
        </r>
        <r>
          <rPr>
            <sz val="9"/>
            <color rgb="FF000000"/>
            <rFont val="Tahoma"/>
            <family val="2"/>
          </rPr>
          <t xml:space="preserve">
Se incrementa $ 1.996,00 según memo N° DAC-2023-0275-M_14092023.</t>
        </r>
      </text>
    </comment>
    <comment ref="E57" authorId="1" shapeId="0" xr:uid="{46B2A465-6578-4725-851C-B75D5153A606}">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reduce $ 87,40 en atención al memo nro. DAC-2023-0221-M.
</t>
        </r>
        <r>
          <rPr>
            <b/>
            <sz val="9"/>
            <color rgb="FF000000"/>
            <rFont val="Tahoma"/>
            <family val="2"/>
          </rPr>
          <t>Reforma N° 5:</t>
        </r>
        <r>
          <rPr>
            <sz val="9"/>
            <color rgb="FF000000"/>
            <rFont val="Tahoma"/>
            <family val="2"/>
          </rPr>
          <t xml:space="preserve">
Se redujo $ 192,80 por ser saldo no ejecutado, FCS.</t>
        </r>
      </text>
    </comment>
    <comment ref="D58" authorId="3" shapeId="0" xr:uid="{4F31B8DF-5673-4CB0-AE7E-EC52CCBCBB25}">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$ 7.320,00 según Memorando N° FCS-D-2023-0062-M del 23/01/2023.
</t>
        </r>
        <r>
          <rPr>
            <b/>
            <sz val="9"/>
            <color rgb="FF000000"/>
            <rFont val="Tahoma"/>
            <family val="2"/>
          </rPr>
          <t>Reforma N° 3</t>
        </r>
        <r>
          <rPr>
            <sz val="9"/>
            <color rgb="FF000000"/>
            <rFont val="Tahoma"/>
            <family val="2"/>
          </rPr>
          <t>:
Se incrementó $ 11.505,18 según memo N° FCS-D-2023-0460-M_23052023 y reunión de seguimiento.</t>
        </r>
      </text>
    </comment>
    <comment ref="E58" authorId="4" shapeId="0" xr:uid="{2D5DF75A-D02D-431D-8C5C-A019E3512A63}">
      <text>
        <r>
          <rPr>
            <b/>
            <sz val="9"/>
            <color rgb="FF000000"/>
            <rFont val="Tahoma"/>
            <family val="2"/>
          </rPr>
          <t>Valeria Ramon Capa:</t>
        </r>
        <r>
          <rPr>
            <sz val="9"/>
            <color rgb="FF000000"/>
            <rFont val="Tahoma"/>
            <family val="2"/>
          </rPr>
          <t xml:space="preserve">
Reforma N° 3:
Se reduce $4.000,00 a FCS por seguimiento y en virtud de oficio Nro. MEF-SP-2023-0501 para atender Memo Nro. 0399 de DADM.</t>
        </r>
      </text>
    </comment>
    <comment ref="D59" authorId="0" shapeId="0" xr:uid="{046BF06B-1D4A-446B-8769-1D6ABA70F299}">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$ 800,00 según memo N° FIC-D-2023-0217-M_09052023.
</t>
        </r>
        <r>
          <rPr>
            <b/>
            <sz val="9"/>
            <color rgb="FF000000"/>
            <rFont val="Tahoma"/>
            <family val="2"/>
          </rPr>
          <t>Reforma N° 5:</t>
        </r>
        <r>
          <rPr>
            <sz val="9"/>
            <color rgb="FF000000"/>
            <rFont val="Tahoma"/>
            <family val="2"/>
          </rPr>
          <t xml:space="preserve">
Se incrementó $ 714,29 según memo N° DPLAN-2023-0260-M_18092023 (FIC).
Se incrementó $ 334.912,20 para py Jubilados.</t>
        </r>
      </text>
    </comment>
    <comment ref="E59" authorId="3" shapeId="0" xr:uid="{883BCF41-8D83-4499-8F58-46C0D19CD2E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$ 1.176.733,21 para Py Inversión FIC.
El saldo de  $ 2.000.000,00 para Py construcción e implementación del CRAI Dir. Administrativa
En el POA quedó así:
$ 2.000.000,00 para Py construcción e implementación del CRAI Dir. Administrativa+81.527,83
</t>
        </r>
        <r>
          <rPr>
            <b/>
            <sz val="9"/>
            <color rgb="FF000000"/>
            <rFont val="Tahoma"/>
            <family val="2"/>
          </rPr>
          <t>Reforma N° 4:</t>
        </r>
        <r>
          <rPr>
            <sz val="9"/>
            <color rgb="FF000000"/>
            <rFont val="Tahoma"/>
            <family val="2"/>
          </rPr>
          <t xml:space="preserve">
Se reduce $ 2.075.957,83 por cambio de programa presupuestario del 82 al 83 del proyecto del CRAI.</t>
        </r>
      </text>
    </comment>
    <comment ref="D60" authorId="3" shapeId="0" xr:uid="{9D8A57C5-8483-45D5-B14A-FA397B90A3B7}">
      <text>
        <r>
          <rPr>
            <sz val="12"/>
            <color theme="1"/>
            <rFont val="Arial"/>
            <family val="2"/>
            <scheme val="minor"/>
          </rPr>
          <t>HP:
Reforma N° 2:
Se incrementó $ 1.700,00 para lentes de cámara por disposición del Director DPLAN
En el POA quedó así:
5.709,60 FCS
2.251,20 DTIC
Reforma N° 4:
Se incrementa $ 1097,60 en el POA DPOS para atender el memo DIPOS-2023-237-M.
Reforma N° 5:
Se incrementó $ 182.479,87 para py Jubilados.</t>
        </r>
      </text>
    </comment>
    <comment ref="D61" authorId="3" shapeId="0" xr:uid="{D1FC7D7F-D1A5-4CF6-B760-A36F195F4B5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$ 41.623,28 para pago de contrato de año anterior por adquisición e instalación de equipos de climatización. Dir. Administrativa.</t>
        </r>
      </text>
    </comment>
    <comment ref="E61" authorId="2" shapeId="0" xr:uid="{B4BBC333-FFA7-4DA4-A2C2-2FE10B57A07F}">
      <text>
        <r>
          <rPr>
            <b/>
            <sz val="9"/>
            <color indexed="81"/>
            <rFont val="Tahoma"/>
            <family val="2"/>
          </rPr>
          <t>Admin:</t>
        </r>
        <r>
          <rPr>
            <sz val="9"/>
            <color indexed="81"/>
            <rFont val="Tahoma"/>
            <family val="2"/>
          </rPr>
          <t xml:space="preserve">
Reforma N° 5:
Se redujo $ 4.459,63 por ser saldo no ejecutado, Dir. Adm.</t>
        </r>
      </text>
    </comment>
    <comment ref="D62" authorId="1" shapeId="0" xr:uid="{F71C6725-5B74-4C92-9979-0FC4C33A6F9A}">
      <text>
        <r>
          <rPr>
            <b/>
            <sz val="9"/>
            <color rgb="FF000000"/>
            <rFont val="Tahoma"/>
            <family val="2"/>
          </rPr>
          <t>Microsoft Office User:</t>
        </r>
        <r>
          <rPr>
            <sz val="9"/>
            <color rgb="FF000000"/>
            <rFont val="Tahoma"/>
            <family val="2"/>
          </rPr>
          <t xml:space="preserve">
Reforma N° 4:
Incremento de $ 369,966.00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Memorando nro. UTMACH-DADM-UOIFM-2023-0240-M.</t>
        </r>
      </text>
    </comment>
    <comment ref="E62" authorId="2" shapeId="0" xr:uid="{81BA2E27-DF72-4B93-9A5D-9282F190532E}">
      <text>
        <r>
          <rPr>
            <b/>
            <sz val="9"/>
            <color indexed="81"/>
            <rFont val="Tahoma"/>
            <family val="2"/>
          </rPr>
          <t>Admin:</t>
        </r>
        <r>
          <rPr>
            <sz val="9"/>
            <color indexed="81"/>
            <rFont val="Tahoma"/>
            <family val="2"/>
          </rPr>
          <t xml:space="preserve">
Reforma N° 5:
Se redujo $ 39.643,00 por ser saldo no ejecutado, FCS.</t>
        </r>
      </text>
    </comment>
    <comment ref="D68" authorId="1" shapeId="0" xr:uid="{435C887D-6A40-45CF-9EA1-6A0561A8925D}">
      <text>
        <r>
          <rPr>
            <b/>
            <sz val="10"/>
            <color rgb="FF000000"/>
            <rFont val="Tahoma"/>
            <family val="2"/>
          </rPr>
          <t>Microsoft Office User:</t>
        </r>
        <r>
          <rPr>
            <sz val="10"/>
            <color rgb="FF000000"/>
            <rFont val="Tahoma"/>
            <family val="2"/>
          </rPr>
          <t xml:space="preserve">
Reforma N° 4:
Se incrementa $ 1898,86 en el POA de VIVP en atención parcial al memo nro. VINVIP-2023-0220-M.
Se incrementa $ 2.000,00 para atender </t>
        </r>
        <r>
          <rPr>
            <sz val="10"/>
            <color rgb="FF000000"/>
            <rFont val="Calibri"/>
            <family val="2"/>
          </rPr>
          <t>Memorando nro. UTMACH-FCS-D-2023-0916-M.</t>
        </r>
      </text>
    </comment>
    <comment ref="E68" authorId="3" shapeId="0" xr:uid="{8F130CEE-C3DD-4D0D-A2EF-55E2B31358C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
</t>
        </r>
        <r>
          <rPr>
            <b/>
            <sz val="9"/>
            <color rgb="FF000000"/>
            <rFont val="Tahoma"/>
            <family val="34"/>
          </rPr>
          <t>Reforma 3:</t>
        </r>
        <r>
          <rPr>
            <sz val="9"/>
            <color rgb="FF000000"/>
            <rFont val="Tahoma"/>
            <family val="34"/>
          </rPr>
          <t xml:space="preserve">
Se redujo $2.240,00 a FCA en reunión de seguimiento y en virtud de oficio Nro. MEF-SP-2023-0501 para atender Memo Nro. 0399 de DADM.
</t>
        </r>
        <r>
          <rPr>
            <b/>
            <sz val="9"/>
            <color rgb="FF000000"/>
            <rFont val="Tahoma"/>
            <family val="2"/>
          </rPr>
          <t>Reforma N° 4:</t>
        </r>
        <r>
          <rPr>
            <sz val="9"/>
            <color rgb="FF000000"/>
            <rFont val="Tahoma"/>
            <family val="34"/>
          </rPr>
          <t xml:space="preserve">
Se redujo $ 9.959,98 DIDI por efecto de informe de seguimiento.
</t>
        </r>
        <r>
          <rPr>
            <b/>
            <sz val="9"/>
            <color rgb="FF000000"/>
            <rFont val="Tahoma"/>
            <family val="2"/>
          </rPr>
          <t>Reforma N° 5:</t>
        </r>
        <r>
          <rPr>
            <sz val="9"/>
            <color rgb="FF000000"/>
            <rFont val="Tahoma"/>
            <family val="34"/>
          </rPr>
          <t xml:space="preserve">
Se redujo $ 960,40 (Lib.Steps)+1.128,00 (OVID ESPAÑOL) CP N° 429 por ser saldo no ejecutado, DIDI.</t>
        </r>
      </text>
    </comment>
    <comment ref="D69" authorId="4" shapeId="0" xr:uid="{F449E2BF-65AD-4D33-A4F1-D2B046DFE73E}">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E69" authorId="2" shapeId="0" xr:uid="{6F1D0FDD-952F-439D-8EB8-8995E1CEE9D0}">
      <text>
        <r>
          <rPr>
            <b/>
            <sz val="9"/>
            <color indexed="81"/>
            <rFont val="Tahoma"/>
            <family val="2"/>
          </rPr>
          <t>Admin:</t>
        </r>
        <r>
          <rPr>
            <sz val="9"/>
            <color indexed="81"/>
            <rFont val="Tahoma"/>
            <family val="2"/>
          </rPr>
          <t xml:space="preserve">
Reforma N° 5:
Se redujo $ 972,40 por ser saldo no ejecutado, VIVP.</t>
        </r>
      </text>
    </comment>
    <comment ref="D70" authorId="4" shapeId="0" xr:uid="{7F1E20A9-6360-409B-BAE0-FCCA0FC34AE5}">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incrementa $108.473,73 a FCS por cambio de fuente y en atención a FCS-D-2023-0460-M
-Se incrementa $25.760,00 movimiento de partida para egreso de forma adecuada en FCA.
</t>
        </r>
        <r>
          <rPr>
            <b/>
            <sz val="9"/>
            <color rgb="FF000000"/>
            <rFont val="Tahoma"/>
            <family val="2"/>
          </rPr>
          <t>Reforma N° 5:</t>
        </r>
        <r>
          <rPr>
            <sz val="9"/>
            <color rgb="FF000000"/>
            <rFont val="Tahoma"/>
            <family val="2"/>
          </rPr>
          <t xml:space="preserve">
Se incrementó 6.265,65 según CEP N° 387.</t>
        </r>
      </text>
    </comment>
    <comment ref="E70" authorId="3" shapeId="0" xr:uid="{91D0B27B-9531-4265-97A8-6110ACD6F7B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reduce $ 24.512,00 FCS
$ 29.680,00 Rectorado
25.440
En el POA quedó así:
16.800,00 FCA
24.559,17 FCE
</t>
        </r>
        <r>
          <rPr>
            <b/>
            <sz val="9"/>
            <color rgb="FF000000"/>
            <rFont val="Tahoma"/>
            <family val="2"/>
          </rPr>
          <t xml:space="preserve">
Reforma N 3:
</t>
        </r>
        <r>
          <rPr>
            <sz val="9"/>
            <color rgb="FF000000"/>
            <rFont val="Tahoma"/>
            <family val="2"/>
          </rPr>
          <t xml:space="preserve">Se reduce $38.921,22 FCE por cuanto las reparaciones de edificaciones las realizará la aseguradora.
</t>
        </r>
        <r>
          <rPr>
            <b/>
            <sz val="9"/>
            <color rgb="FF000000"/>
            <rFont val="Tahoma"/>
            <family val="2"/>
          </rPr>
          <t>Reforma N° 4:</t>
        </r>
        <r>
          <rPr>
            <sz val="9"/>
            <color rgb="FF000000"/>
            <rFont val="Tahoma"/>
            <family val="2"/>
          </rPr>
          <t xml:space="preserve">
Se redujo $ 104.473,73 FCS.
Se redujo $ 210,00 FCA por efecto de informe de seguimiento.
Se redujo $ 25.570 en el POA de FCA para atender el memo nro. FCA-D-2023-0593-M.</t>
        </r>
      </text>
    </comment>
    <comment ref="D71" authorId="3" shapeId="0" xr:uid="{23E5F776-B519-4072-A2CE-22322BDEC84A}">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$ 4.800,00 según adjunto de Vic. Investigación en e-mail enviado el 03/02/2023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E71" authorId="4" shapeId="0" xr:uid="{5B8D5559-8747-47AA-B833-FAA4E32A5EE2}">
      <text>
        <r>
          <rPr>
            <b/>
            <sz val="9"/>
            <color rgb="FF000000"/>
            <rFont val="Tahoma"/>
            <family val="34"/>
          </rPr>
          <t>Valeria Ramon Capa:</t>
        </r>
        <r>
          <rPr>
            <sz val="9"/>
            <color rgb="FF000000"/>
            <rFont val="Tahoma"/>
            <family val="34"/>
          </rPr>
          <t xml:space="preserve">
</t>
        </r>
        <r>
          <rPr>
            <b/>
            <sz val="9"/>
            <color rgb="FF000000"/>
            <rFont val="Tahoma"/>
            <family val="34"/>
          </rPr>
          <t>Reforma N° 3:</t>
        </r>
        <r>
          <rPr>
            <sz val="9"/>
            <color rgb="FF000000"/>
            <rFont val="Tahoma"/>
            <family val="34"/>
          </rPr>
          <t xml:space="preserve">
Se redujo $4.800,00 a Vic. Investigación por seguimiento y en virtud de oficio Nro. MEF-SP-2023-0501 para atender Memo Nro. 0399 de DADM.
</t>
        </r>
        <r>
          <rPr>
            <b/>
            <sz val="9"/>
            <color rgb="FF000000"/>
            <rFont val="Tahoma"/>
            <family val="2"/>
          </rPr>
          <t>Reforma N° 5:</t>
        </r>
        <r>
          <rPr>
            <sz val="9"/>
            <color rgb="FF000000"/>
            <rFont val="Tahoma"/>
            <family val="34"/>
          </rPr>
          <t xml:space="preserve">
Se redujo $ 948,23 por ser saldo no ejecutado, VIVP.</t>
        </r>
      </text>
    </comment>
    <comment ref="D72" authorId="5" shapeId="0" xr:uid="{A0377ACF-F5E9-45A3-9D9B-DE19FB4B8E0E}">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E72" authorId="2" shapeId="0" xr:uid="{92B2B345-2A31-44EA-9723-BA2ED2F5CF4C}">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$ 1.953,10 DTIC por efecto de informe de seguimiento.
</t>
        </r>
        <r>
          <rPr>
            <b/>
            <sz val="9"/>
            <color rgb="FF000000"/>
            <rFont val="Tahoma"/>
            <family val="2"/>
          </rPr>
          <t>Reforma N° 5:</t>
        </r>
        <r>
          <rPr>
            <sz val="9"/>
            <color rgb="FF000000"/>
            <rFont val="Tahoma"/>
            <family val="2"/>
          </rPr>
          <t xml:space="preserve">
Se redujo $ 2.100,00 seguimiento procesos de compras públicas, DIDI y $ 285,39 DTICS.</t>
        </r>
      </text>
    </comment>
    <comment ref="E73" authorId="0" shapeId="0" xr:uid="{01420231-F684-4D63-951D-FA126FA0357D}">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$ 530,00 según memo N° DIDI-2023-0223-M_04052023
</t>
        </r>
        <r>
          <rPr>
            <b/>
            <sz val="9"/>
            <color rgb="FF000000"/>
            <rFont val="Tahoma"/>
            <family val="2"/>
          </rPr>
          <t>Reforma N° 4:</t>
        </r>
        <r>
          <rPr>
            <sz val="9"/>
            <color rgb="FF000000"/>
            <rFont val="Tahoma"/>
            <family val="2"/>
          </rPr>
          <t xml:space="preserve">
Se redujo $ 590,00 DIDI por efecto de informe de seguimiento.
</t>
        </r>
        <r>
          <rPr>
            <b/>
            <sz val="9"/>
            <color rgb="FF000000"/>
            <rFont val="Tahoma"/>
            <family val="2"/>
          </rPr>
          <t>Reforma N° 5:</t>
        </r>
        <r>
          <rPr>
            <sz val="9"/>
            <color rgb="FF000000"/>
            <rFont val="Tahoma"/>
            <family val="2"/>
          </rPr>
          <t xml:space="preserve">
Se redujo $ 473,76 por ser saldo no ejecutado, FCA.</t>
        </r>
      </text>
    </comment>
    <comment ref="D74" authorId="0" shapeId="0" xr:uid="{B4810EC3-710D-47A1-9DCA-B420B3F686B7}">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E74" authorId="2" shapeId="0" xr:uid="{71DAF40F-3741-4076-9988-4C80203A33B2}">
      <text>
        <r>
          <rPr>
            <b/>
            <sz val="9"/>
            <color indexed="81"/>
            <rFont val="Tahoma"/>
            <family val="2"/>
          </rPr>
          <t>Admin:</t>
        </r>
        <r>
          <rPr>
            <sz val="9"/>
            <color indexed="81"/>
            <rFont val="Tahoma"/>
            <family val="2"/>
          </rPr>
          <t xml:space="preserve">
Reforma N° 5:
Se redujo $ 85,76 por ser saldo no ejecutado, DTICS.</t>
        </r>
      </text>
    </comment>
    <comment ref="D75" authorId="3" shapeId="0" xr:uid="{EF6C1DEF-10EA-4FD3-8A9D-2B461DB56FB7}">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
</t>
        </r>
        <r>
          <rPr>
            <b/>
            <sz val="9"/>
            <color rgb="FF000000"/>
            <rFont val="Tahoma"/>
            <family val="2"/>
          </rPr>
          <t>Reforma N° 3:</t>
        </r>
        <r>
          <rPr>
            <sz val="9"/>
            <color rgb="FF000000"/>
            <rFont val="Tahoma"/>
            <family val="2"/>
          </rPr>
          <t xml:space="preserve">
Se incrementó $ 13.192,00 según memo N° DTIC-2023-0088-M_04052023
</t>
        </r>
        <r>
          <rPr>
            <b/>
            <sz val="9"/>
            <color rgb="FF000000"/>
            <rFont val="Tahoma"/>
            <family val="2"/>
          </rPr>
          <t>Reforma N° 4:</t>
        </r>
        <r>
          <rPr>
            <sz val="9"/>
            <color rgb="FF000000"/>
            <rFont val="Tahoma"/>
            <family val="2"/>
          </rPr>
          <t xml:space="preserve">
Se incrementa $ 776,00 + $112,00 + $ 24.700,00 (televisores) en atención al memo nro. FCQS-D-2023-0905-M.
Se incrementa $ 29.760 en el POA de FCA según el memo nro. FCA-D-2023-0593-M.</t>
        </r>
      </text>
    </comment>
    <comment ref="E75" authorId="4" shapeId="0" xr:uid="{1EE37221-12B8-425A-8BB5-122FD36778EE}">
      <text>
        <r>
          <rPr>
            <b/>
            <sz val="9"/>
            <color rgb="FF000000"/>
            <rFont val="Tahoma"/>
            <family val="34"/>
          </rPr>
          <t>Valeria Ramon Capa:</t>
        </r>
        <r>
          <rPr>
            <sz val="9"/>
            <color rgb="FF000000"/>
            <rFont val="Tahoma"/>
            <family val="34"/>
          </rPr>
          <t xml:space="preserve">
</t>
        </r>
        <r>
          <rPr>
            <b/>
            <sz val="9"/>
            <color rgb="FF000000"/>
            <rFont val="Tahoma"/>
            <family val="2"/>
          </rPr>
          <t>Reforma N° 3:</t>
        </r>
        <r>
          <rPr>
            <sz val="9"/>
            <color rgb="FF000000"/>
            <rFont val="Tahoma"/>
            <family val="34"/>
          </rPr>
          <t xml:space="preserve">
-06/06 Se reduce $10.192 por reunión mantenida con TICS por seguimiento y en virtud de oficio Nro. MEF-SP-2023-0501 para atender Memo Nro. 0399 de DADM.
-Se redujo $5.600,00+134,40 según memo N 0604 FCQS_25052023
-Se reduce $14280 a FCQS por seguimiento y en virtud de oficio Nro. MEF-SP-2023-0501 para atender Memo Nro. 0399 de DADM.
</t>
        </r>
        <r>
          <rPr>
            <sz val="9"/>
            <color rgb="FF000000"/>
            <rFont val="Tahoma"/>
            <family val="2"/>
          </rPr>
          <t xml:space="preserve">
</t>
        </r>
        <r>
          <rPr>
            <b/>
            <sz val="9"/>
            <color rgb="FF000000"/>
            <rFont val="Tahoma"/>
            <family val="2"/>
          </rPr>
          <t>Reforma N° 4:</t>
        </r>
        <r>
          <rPr>
            <sz val="9"/>
            <color rgb="FF000000"/>
            <rFont val="Tahoma"/>
            <family val="2"/>
          </rPr>
          <t xml:space="preserve">
Se reduce $ 745,74 + $108,80 + $ 1.691,20 + $ 1.915,20   + $ 1.915,20 + $500,00 + $1.120,00 + $ 6.057,97 en atención al memo nro. FCQS-D-2023-0905-M.
</t>
        </r>
        <r>
          <rPr>
            <b/>
            <sz val="9"/>
            <color rgb="FF000000"/>
            <rFont val="Tahoma"/>
            <family val="2"/>
          </rPr>
          <t>Reforma N° 5:</t>
        </r>
        <r>
          <rPr>
            <sz val="9"/>
            <color rgb="FF000000"/>
            <rFont val="Tahoma"/>
            <family val="2"/>
          </rPr>
          <t xml:space="preserve">
Se redujo $ 3.000,00 por ser saldo no ejecutado, DTICS.
Se redujo $ 280,10 (CEP N° 341) por ser saldo no ejecutado, FCQS.
Se redujo $ 149,74 (CP N° 347) por ser saldo no ejecutado, FCQS.</t>
        </r>
      </text>
    </comment>
    <comment ref="D76" authorId="3" shapeId="0" xr:uid="{71822116-5625-477A-837C-BA2512A5848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$ 924.169,72 Py de Inversión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E76" authorId="2" shapeId="0" xr:uid="{FA1BCB84-05EF-4023-81B8-C877FA613E4D}">
      <text>
        <r>
          <rPr>
            <b/>
            <sz val="9"/>
            <color indexed="81"/>
            <rFont val="Tahoma"/>
            <family val="2"/>
          </rPr>
          <t>Admin:</t>
        </r>
        <r>
          <rPr>
            <sz val="9"/>
            <color indexed="81"/>
            <rFont val="Tahoma"/>
            <family val="2"/>
          </rPr>
          <t xml:space="preserve">
Reforma N° 5:
Se redujo $ 30.694,38 por ser saldo no ejecutado, FIC.
Se redujo $ 7.756,64 por ser saldo no ejecutado, FIC.
Se redujo $ 69.433,23 por ser saldo no ejecutado, FIC.</t>
        </r>
      </text>
    </comment>
    <comment ref="D77" authorId="3" shapeId="0" xr:uid="{0D81CE12-2E17-48A4-89DF-03011ED32445}">
      <text>
        <r>
          <rPr>
            <b/>
            <sz val="9"/>
            <color rgb="FF000000"/>
            <rFont val="Tahoma"/>
            <family val="2"/>
          </rPr>
          <t>HP:</t>
        </r>
        <r>
          <rPr>
            <sz val="9"/>
            <color rgb="FF000000"/>
            <rFont val="Tahoma"/>
            <family val="2"/>
          </rPr>
          <t xml:space="preserve">
Reforma N° 2:
Se incrementó $ 9.325,25 por contrato de año anterior para adquisición de proyectores de imagen. TICS.
Reforma N° 4:
Se incrementa $ 28.605,92 en el POA de FCS para atender el memo nro. </t>
        </r>
        <r>
          <rPr>
            <sz val="10"/>
            <color rgb="FF000000"/>
            <rFont val="Calibri"/>
            <family val="2"/>
          </rPr>
          <t xml:space="preserve">UTMACH-FCS-D-2023-0831-M. </t>
        </r>
      </text>
    </comment>
    <comment ref="E77" authorId="2" shapeId="0" xr:uid="{B37B57CD-85DA-4893-84CC-FDE169B93AB7}">
      <text>
        <r>
          <rPr>
            <b/>
            <sz val="9"/>
            <color indexed="81"/>
            <rFont val="Tahoma"/>
            <family val="2"/>
          </rPr>
          <t>Admin:</t>
        </r>
        <r>
          <rPr>
            <sz val="9"/>
            <color indexed="81"/>
            <rFont val="Tahoma"/>
            <family val="2"/>
          </rPr>
          <t xml:space="preserve">
Reforma N° 5:
Se redujo $ 1.680,80 IVA de un contrato del año anterior, DTICS.</t>
        </r>
      </text>
    </comment>
    <comment ref="D78" authorId="3" shapeId="0" xr:uid="{09E6224F-837C-4D57-BA2D-7EF92C4E97B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$ 1.344,10 FCQS.
</t>
        </r>
        <r>
          <rPr>
            <b/>
            <sz val="9"/>
            <color rgb="FF000000"/>
            <rFont val="Tahoma"/>
            <family val="2"/>
          </rPr>
          <t>Reforma N° 3:</t>
        </r>
        <r>
          <rPr>
            <sz val="9"/>
            <color rgb="FF000000"/>
            <rFont val="Tahoma"/>
            <family val="2"/>
          </rPr>
          <t xml:space="preserve">
Se incrementó $ 6.338,72 según memo N° DTIC-2023-0088-M_04052023.</t>
        </r>
      </text>
    </comment>
    <comment ref="E78" authorId="4" shapeId="0" xr:uid="{A06D26AF-64A5-495C-9E99-485ED0611C50}">
      <text>
        <r>
          <rPr>
            <b/>
            <sz val="9"/>
            <color rgb="FF000000"/>
            <rFont val="Tahoma"/>
            <family val="2"/>
          </rPr>
          <t>Valeria Ramon Capa:</t>
        </r>
        <r>
          <rPr>
            <sz val="9"/>
            <color rgb="FF000000"/>
            <rFont val="Tahoma"/>
            <family val="2"/>
          </rPr>
          <t xml:space="preserve">
</t>
        </r>
        <r>
          <rPr>
            <b/>
            <sz val="9"/>
            <color rgb="FF000000"/>
            <rFont val="Tahoma"/>
            <family val="2"/>
          </rPr>
          <t>reforma 3:</t>
        </r>
        <r>
          <rPr>
            <sz val="9"/>
            <color rgb="FF000000"/>
            <rFont val="Tahoma"/>
            <family val="2"/>
          </rPr>
          <t xml:space="preserve">
Se reduce $1.086,02 por reunión de seguimiento con TICS y en virtud de oficio Nro. MEF-SP-2023-0501 para atender Memo Nro. 0399 de DADM.
</t>
        </r>
        <r>
          <rPr>
            <b/>
            <sz val="9"/>
            <color rgb="FF000000"/>
            <rFont val="Tahoma"/>
            <family val="2"/>
          </rPr>
          <t>Reforma N° 5:</t>
        </r>
        <r>
          <rPr>
            <sz val="9"/>
            <color rgb="FF000000"/>
            <rFont val="Tahoma"/>
            <family val="2"/>
          </rPr>
          <t xml:space="preserve">
Se redujo $ 91,12 por ser saldo no ejecutado, FCQS.</t>
        </r>
      </text>
    </comment>
    <comment ref="D79" authorId="3" shapeId="0" xr:uid="{10E79A77-F626-4756-82AF-7BDF827D46C4}">
      <text>
        <r>
          <rPr>
            <b/>
            <sz val="9"/>
            <color rgb="FF000000"/>
            <rFont val="Tahoma"/>
            <family val="2"/>
          </rPr>
          <t>HP:</t>
        </r>
        <r>
          <rPr>
            <sz val="9"/>
            <color rgb="FF000000"/>
            <rFont val="Tahoma"/>
            <family val="2"/>
          </rPr>
          <t xml:space="preserve">
Reforma N° 2:
Se incrementó $ 244.548,86 Py de Inversión FIC.</t>
        </r>
      </text>
    </comment>
    <comment ref="E79" authorId="0" shapeId="0" xr:uid="{EC014D0B-AC96-4C87-866F-85AE0CC47545}">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$ 74.735,30 según memo N° FIC-D-2023-0209-M_05052023.
</t>
        </r>
        <r>
          <rPr>
            <b/>
            <sz val="9"/>
            <color rgb="FF000000"/>
            <rFont val="Tahoma"/>
            <family val="2"/>
          </rPr>
          <t>Reforma N° 5:</t>
        </r>
        <r>
          <rPr>
            <sz val="9"/>
            <color rgb="FF000000"/>
            <rFont val="Tahoma"/>
            <family val="2"/>
          </rPr>
          <t xml:space="preserve">
Se redujo $ 36.925,56 por ser saldo no ejecutado, FIC.</t>
        </r>
      </text>
    </comment>
    <comment ref="D80" authorId="1" shapeId="0" xr:uid="{6DD13ADA-3DA8-4FCF-868E-F64021BA96DA}">
      <text>
        <r>
          <rPr>
            <b/>
            <sz val="9"/>
            <color rgb="FF000000"/>
            <rFont val="Tahoma"/>
            <family val="2"/>
          </rPr>
          <t>Microsoft Office User:</t>
        </r>
        <r>
          <rPr>
            <sz val="9"/>
            <color rgb="FF000000"/>
            <rFont val="Tahoma"/>
            <family val="2"/>
          </rPr>
          <t xml:space="preserve">
Reforma N° 4:
Se incrementa $ 119.296,80 en el POA de DTIC para atender el memo nro. DTIC-2023-224-M.	</t>
        </r>
      </text>
    </comment>
    <comment ref="E80" authorId="2" shapeId="0" xr:uid="{3A7229EE-11DF-417E-A6F9-C96FC7F44B8B}">
      <text>
        <r>
          <rPr>
            <b/>
            <sz val="9"/>
            <color indexed="81"/>
            <rFont val="Tahoma"/>
            <family val="2"/>
          </rPr>
          <t>Admin:</t>
        </r>
        <r>
          <rPr>
            <sz val="9"/>
            <color indexed="81"/>
            <rFont val="Tahoma"/>
            <family val="2"/>
          </rPr>
          <t xml:space="preserve">
Reforma N° 5:
Se redujo $ 13.537,80 por ser saldo no ejecutado, Dir. Adm.</t>
        </r>
      </text>
    </comment>
    <comment ref="D86" authorId="3" shapeId="0" xr:uid="{306146D1-3EE0-4BB3-8712-319616695EB0}">
      <text>
        <r>
          <rPr>
            <b/>
            <sz val="9"/>
            <color rgb="FF000000"/>
            <rFont val="Tahoma"/>
            <family val="2"/>
          </rPr>
          <t>HP:</t>
        </r>
        <r>
          <rPr>
            <sz val="9"/>
            <color rgb="FF000000"/>
            <rFont val="Tahoma"/>
            <family val="2"/>
          </rPr>
          <t xml:space="preserve">
Reforma N° 2:
Se incrementó $ 2.352,00 FCQS.</t>
        </r>
      </text>
    </comment>
    <comment ref="E86" authorId="2" shapeId="0" xr:uid="{B88BD4F4-B7D7-4AB6-AC53-72085B0E0C0E}">
      <text>
        <r>
          <rPr>
            <b/>
            <sz val="9"/>
            <color indexed="81"/>
            <rFont val="Tahoma"/>
            <family val="2"/>
          </rPr>
          <t>Admin:</t>
        </r>
        <r>
          <rPr>
            <sz val="9"/>
            <color indexed="81"/>
            <rFont val="Tahoma"/>
            <family val="2"/>
          </rPr>
          <t xml:space="preserve">
Reforma N° 5:
Se reduce $ 352,00 por ser saldo no ejecutado (IVA), FCQS.</t>
        </r>
      </text>
    </comment>
    <comment ref="D87" authorId="0" shapeId="0" xr:uid="{34C3D8EC-CFC8-4D1B-B1FB-F65C49C2CD77}">
      <text>
        <r>
          <rPr>
            <b/>
            <sz val="9"/>
            <color rgb="FF000000"/>
            <rFont val="Tahoma"/>
            <family val="2"/>
          </rPr>
          <t>LENOVO:</t>
        </r>
        <r>
          <rPr>
            <sz val="9"/>
            <color rgb="FF000000"/>
            <rFont val="Tahoma"/>
            <family val="2"/>
          </rPr>
          <t xml:space="preserve">
Reforma N° 3:
Se incrementó $ 2.859,53+5.600,00-150,00 según memo N° DVIN-2023-0106-M_17032023.</t>
        </r>
      </text>
    </comment>
    <comment ref="E87" authorId="0" shapeId="0" xr:uid="{0A8ADDCB-0E93-4791-92ED-405E3423A508}">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$ 17.920,00 a DVIN según reunión de seguimiento y en virtud de oficio Nro. MEF-SP-2023-0501 para atender Memo Nro. 0399 de DADM.
</t>
        </r>
        <r>
          <rPr>
            <b/>
            <sz val="9"/>
            <color rgb="FF000000"/>
            <rFont val="Tahoma"/>
            <family val="2"/>
          </rPr>
          <t>Reforma N° 5:</t>
        </r>
        <r>
          <rPr>
            <sz val="9"/>
            <color rgb="FF000000"/>
            <rFont val="Tahoma"/>
            <family val="2"/>
          </rPr>
          <t xml:space="preserve">
Se reduce $ 899,71 por ser saldo no ejecutado (IVA), Dir. Vinc.</t>
        </r>
      </text>
    </comment>
    <comment ref="D88" authorId="4" shapeId="0" xr:uid="{2B5B2300-BF68-4DBF-A03B-4407717CA569}">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$ 8.042,47+134,40 según memo N 0604 FCQS_25052023
</t>
        </r>
        <r>
          <rPr>
            <b/>
            <sz val="9"/>
            <color rgb="FF000000"/>
            <rFont val="Tahoma"/>
            <family val="2"/>
          </rPr>
          <t>Reforma N° 4:</t>
        </r>
        <r>
          <rPr>
            <sz val="9"/>
            <color rgb="FF000000"/>
            <rFont val="Tahoma"/>
            <family val="2"/>
          </rPr>
          <t xml:space="preserve">
Se incrementa $ 260,96 en atención al memo nro. FCQS-D-2023-0960-M.</t>
        </r>
      </text>
    </comment>
    <comment ref="E88" authorId="1" shapeId="0" xr:uid="{13882DBA-7F46-4F8C-A996-3FDC3927424D}">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reduce $ 2.442,47 en atención al memo nro. FCQS-D-2023-0905-M.
</t>
        </r>
        <r>
          <rPr>
            <b/>
            <sz val="9"/>
            <color rgb="FF000000"/>
            <rFont val="Tahoma"/>
            <family val="2"/>
          </rPr>
          <t>Reforma N° 5:</t>
        </r>
        <r>
          <rPr>
            <sz val="9"/>
            <color rgb="FF000000"/>
            <rFont val="Tahoma"/>
            <family val="2"/>
          </rPr>
          <t xml:space="preserve">
Se redujo $ 309,67 por ser saldo no ejecutado, (maniquí para cuidado básico del paciente) FCQS.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Admin</author>
    <author>HP</author>
    <author>Valeria Ramon Capa</author>
    <author>Eunice Basilio</author>
    <author>Fanny Eunice Basilio Banchon</author>
    <author>Dirección Financiera</author>
  </authors>
  <commentList>
    <comment ref="E9" authorId="0" shapeId="0" xr:uid="{8F1269B0-1BC1-4185-9EAD-682DC9F3A2BE}">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Tahoma"/>
            <family val="2"/>
          </rPr>
          <t>Incorporación de ingreso por $ 12.399,18 del convenio del MIES.</t>
        </r>
      </text>
    </comment>
    <comment ref="F26" authorId="1" shapeId="0" xr:uid="{DFAADD82-7F3E-4005-908D-F2CD0FFDCFCD}">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$ 30.000,00 para financiar Décimo Tercer Sueldo
</t>
        </r>
        <r>
          <rPr>
            <b/>
            <sz val="9"/>
            <color rgb="FF000000"/>
            <rFont val="Tahoma"/>
            <family val="2"/>
          </rPr>
          <t>Reforma N° 4:</t>
        </r>
        <r>
          <rPr>
            <sz val="9"/>
            <color rgb="FF000000"/>
            <rFont val="Tahoma"/>
            <family val="2"/>
          </rPr>
          <t xml:space="preserve">
Se reduce $ 30.000,00 para financiar segundo plan de jubilación de la UTMACH, previsto a planificarse en septiembre.
</t>
        </r>
        <r>
          <rPr>
            <b/>
            <sz val="9"/>
            <color rgb="FF000000"/>
            <rFont val="Tahoma"/>
            <family val="2"/>
          </rPr>
          <t>Reforma N° 6:</t>
        </r>
        <r>
          <rPr>
            <sz val="9"/>
            <color rgb="FF000000"/>
            <rFont val="Tahoma"/>
            <family val="2"/>
          </rPr>
          <t xml:space="preserve">
Se redujo $ 8.686,24 para plan de jubilados</t>
        </r>
      </text>
    </comment>
    <comment ref="F27" authorId="1" shapeId="0" xr:uid="{8FBC56F8-F749-4683-B020-E7E15DC8C549}">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$ 20.000,00 para financiar Décimo Tercer Sueldo
</t>
        </r>
        <r>
          <rPr>
            <b/>
            <sz val="9"/>
            <color rgb="FF000000"/>
            <rFont val="Tahoma"/>
            <family val="2"/>
          </rPr>
          <t>Reforma N° 4:</t>
        </r>
        <r>
          <rPr>
            <sz val="9"/>
            <color rgb="FF000000"/>
            <rFont val="Tahoma"/>
            <family val="2"/>
          </rPr>
          <t xml:space="preserve">
Se reduce $ 60.000,00 para financiar segundo plan de jubilación de la UTMACH, previsto a planificarse en septiembre.</t>
        </r>
      </text>
    </comment>
    <comment ref="F30" authorId="1" shapeId="0" xr:uid="{D76A6501-09B3-4813-8383-0AE7C9B2AC92}">
      <text>
        <r>
          <rPr>
            <b/>
            <sz val="9"/>
            <color rgb="FF000000"/>
            <rFont val="Tahoma"/>
            <family val="2"/>
          </rPr>
          <t>LENOVO:</t>
        </r>
        <r>
          <rPr>
            <sz val="9"/>
            <color rgb="FF000000"/>
            <rFont val="Tahoma"/>
            <family val="2"/>
          </rPr>
          <t xml:space="preserve">
</t>
        </r>
        <r>
          <rPr>
            <sz val="9"/>
            <color rgb="FF000000"/>
            <rFont val="Tahoma"/>
            <family val="2"/>
          </rPr>
          <t xml:space="preserve">Reforma 3:
</t>
        </r>
        <r>
          <rPr>
            <sz val="9"/>
            <color rgb="FF000000"/>
            <rFont val="Tahoma"/>
            <family val="2"/>
          </rPr>
          <t>Se reduce $ 10.000,00 para financiar Décimo Tercer Sueldo</t>
        </r>
      </text>
    </comment>
    <comment ref="F36" authorId="0" shapeId="0" xr:uid="{F860FFFC-DBA4-49FE-B41C-D9A93F49CC3A}">
      <text>
        <r>
          <rPr>
            <b/>
            <sz val="9"/>
            <color rgb="FF000000"/>
            <rFont val="Tahoma"/>
            <family val="2"/>
          </rPr>
          <t>Microsoft Office User:</t>
        </r>
        <r>
          <rPr>
            <sz val="9"/>
            <color rgb="FF000000"/>
            <rFont val="Tahoma"/>
            <family val="2"/>
          </rPr>
          <t xml:space="preserve">
Reforma N° 4:
Se reduce $ 10.000,00 para financiar segundo plan de jubilación de la UTMACH, previsto a planificarse en septiembre.
</t>
        </r>
      </text>
    </comment>
    <comment ref="F39" authorId="1" shapeId="0" xr:uid="{C5A968A7-F010-495F-BF20-C09CC5C6DEAC}">
      <text>
        <r>
          <rPr>
            <b/>
            <sz val="9"/>
            <color rgb="FF000000"/>
            <rFont val="Tahoma"/>
            <family val="2"/>
          </rPr>
          <t>LENOVO:</t>
        </r>
        <r>
          <rPr>
            <sz val="9"/>
            <color rgb="FF000000"/>
            <rFont val="Tahoma"/>
            <family val="2"/>
          </rPr>
          <t xml:space="preserve">
Reforma N° 3:
Se reduce $2.000,00 para cubrir vacaciones.
Reforma N° 4:
</t>
        </r>
        <r>
          <rPr>
            <sz val="10"/>
            <color rgb="FF000000"/>
            <rFont val="Calibri"/>
            <family val="2"/>
          </rPr>
          <t>Se reduce $ 10.000,00 para financiar segundo plan de jubilación de la UTMACH, previsto a planificarse en septiembre.</t>
        </r>
        <r>
          <rPr>
            <sz val="9"/>
            <color rgb="FF000000"/>
            <rFont val="Calibri"/>
            <family val="2"/>
          </rPr>
          <t xml:space="preserve">
</t>
        </r>
      </text>
    </comment>
    <comment ref="F40" authorId="1" shapeId="0" xr:uid="{9875774F-ABAB-4EED-8F07-8A48D3A64AA0}">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$2.000,00 para cubrir vacaciones.
</t>
        </r>
        <r>
          <rPr>
            <b/>
            <sz val="9"/>
            <color rgb="FF000000"/>
            <rFont val="Tahoma"/>
            <family val="2"/>
          </rPr>
          <t>Reforma N° 4:</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r>
          <rPr>
            <b/>
            <sz val="9"/>
            <color rgb="FF000000"/>
            <rFont val="Calibri"/>
            <family val="2"/>
          </rPr>
          <t>Reforma N° 5:</t>
        </r>
        <r>
          <rPr>
            <sz val="9"/>
            <color rgb="FF000000"/>
            <rFont val="Calibri"/>
            <family val="2"/>
          </rPr>
          <t xml:space="preserve">
Se incrementó $ 2.650,25 según memo N° UTMACH-DR-UREM-2023-0328-M_19/09/2023.
</t>
        </r>
        <r>
          <rPr>
            <b/>
            <sz val="9"/>
            <color rgb="FF000000"/>
            <rFont val="Calibri"/>
            <family val="2"/>
          </rPr>
          <t>Reforma N°6</t>
        </r>
        <r>
          <rPr>
            <sz val="9"/>
            <color rgb="FF000000"/>
            <rFont val="Calibri"/>
            <family val="2"/>
          </rPr>
          <t>:
Se redujo $1.000,00 a DTH para partida de vacaciones para cubrir liquidaciones de personal administrativo</t>
        </r>
      </text>
    </comment>
    <comment ref="E41" authorId="0" shapeId="0" xr:uid="{45C5AE06-FA47-4946-B01A-FCB8690AF60C}">
      <text>
        <r>
          <rPr>
            <b/>
            <sz val="9"/>
            <color rgb="FF000000"/>
            <rFont val="Tahoma"/>
            <family val="2"/>
          </rPr>
          <t>Microsoft Office User:
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6:</t>
        </r>
        <r>
          <rPr>
            <sz val="9"/>
            <color rgb="FF000000"/>
            <rFont val="Tahoma"/>
            <family val="2"/>
          </rPr>
          <t xml:space="preserve">
Se incrementó 6.678,75 para py de de jubilados.</t>
        </r>
      </text>
    </comment>
    <comment ref="F41" authorId="2" shapeId="0" xr:uid="{D925E939-15D5-47C7-8404-25B7F95294F3}">
      <text>
        <r>
          <rPr>
            <b/>
            <sz val="9"/>
            <color indexed="81"/>
            <rFont val="Tahoma"/>
            <family val="2"/>
          </rPr>
          <t>Admin:</t>
        </r>
        <r>
          <rPr>
            <sz val="9"/>
            <color indexed="81"/>
            <rFont val="Tahoma"/>
            <family val="2"/>
          </rPr>
          <t xml:space="preserve">
Reforma N° 5:
Se incrementó $ 1.249,75 según memo N° UTMACH-DR-UREM-2023-0328-M_19/09/2023.</t>
        </r>
      </text>
    </comment>
    <comment ref="E42" authorId="0" shapeId="0" xr:uid="{63240642-2061-4188-A07F-66CE08EC630D}">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6:</t>
        </r>
        <r>
          <rPr>
            <sz val="9"/>
            <color rgb="FF000000"/>
            <rFont val="Tahoma"/>
            <family val="2"/>
          </rPr>
          <t xml:space="preserve">
Se incrementó $ 126.488,63 para py de de jubilados.
Se incrementó $ 23.686,24 para plan de jubilados
</t>
        </r>
      </text>
    </comment>
    <comment ref="F42" authorId="2" shapeId="0" xr:uid="{35B9B537-BC55-411D-B6D8-77E22D437DBA}">
      <text>
        <r>
          <rPr>
            <b/>
            <sz val="9"/>
            <color indexed="81"/>
            <rFont val="Tahoma"/>
            <charset val="1"/>
          </rPr>
          <t>Admin:</t>
        </r>
        <r>
          <rPr>
            <sz val="9"/>
            <color indexed="81"/>
            <rFont val="Tahoma"/>
            <charset val="1"/>
          </rPr>
          <t xml:space="preserve">
</t>
        </r>
      </text>
    </comment>
    <comment ref="E43" authorId="2" shapeId="0" xr:uid="{545C282D-8490-4077-90B5-73D9263ED0D1}">
      <text>
        <r>
          <rPr>
            <b/>
            <sz val="9"/>
            <color indexed="81"/>
            <rFont val="Tahoma"/>
            <charset val="1"/>
          </rPr>
          <t>Admin:</t>
        </r>
        <r>
          <rPr>
            <sz val="9"/>
            <color indexed="81"/>
            <rFont val="Tahoma"/>
            <charset val="1"/>
          </rPr>
          <t xml:space="preserve">
</t>
        </r>
        <r>
          <rPr>
            <b/>
            <sz val="9"/>
            <color indexed="81"/>
            <rFont val="Tahoma"/>
            <family val="2"/>
          </rPr>
          <t xml:space="preserve">Reforma N°6:
</t>
        </r>
        <r>
          <rPr>
            <sz val="9"/>
            <color indexed="81"/>
            <rFont val="Tahoma"/>
            <family val="2"/>
          </rPr>
          <t>Se incrementó $1.000,00 a DTH para cubrir liquidaciones de personal administrativo</t>
        </r>
      </text>
    </comment>
    <comment ref="E44" authorId="0" shapeId="0" xr:uid="{FBD09108-FE44-40A3-A76E-30AE536BB4F9}">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5:</t>
        </r>
        <r>
          <rPr>
            <sz val="9"/>
            <color rgb="FF000000"/>
            <rFont val="Tahoma"/>
            <family val="2"/>
          </rPr>
          <t xml:space="preserve">
Se incrementó $ 3.900,00 según memo N° UTMACH-DR-UREM-2023-0328-M_19/09/2023.</t>
        </r>
      </text>
    </comment>
    <comment ref="E45" authorId="2" shapeId="0" xr:uid="{91D9475F-D04F-45B8-AA02-E100F6DA8029}">
      <text>
        <r>
          <rPr>
            <b/>
            <sz val="9"/>
            <color indexed="81"/>
            <rFont val="Tahoma"/>
            <family val="2"/>
          </rPr>
          <t>Admin:</t>
        </r>
        <r>
          <rPr>
            <sz val="9"/>
            <color indexed="81"/>
            <rFont val="Tahoma"/>
            <family val="2"/>
          </rPr>
          <t xml:space="preserve">
Reforma N° 6:
Se incrementó 53.100,00 para py de de jubilados.</t>
        </r>
      </text>
    </comment>
    <comment ref="E46" authorId="2" shapeId="0" xr:uid="{8DE4A272-1B0F-42FB-AA1E-9176066AFA97}">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incrementó $ 11.000,00.
</t>
        </r>
        <r>
          <rPr>
            <b/>
            <sz val="9"/>
            <color indexed="81"/>
            <rFont val="Tahoma"/>
            <family val="2"/>
          </rPr>
          <t>Reforma N° 6:</t>
        </r>
        <r>
          <rPr>
            <sz val="9"/>
            <color indexed="81"/>
            <rFont val="Tahoma"/>
            <family val="2"/>
          </rPr>
          <t xml:space="preserve">
Se incrementó $ 5.000,00</t>
        </r>
      </text>
    </comment>
    <comment ref="E47" authorId="2" shapeId="0" xr:uid="{6840B6B9-A81A-4644-B660-F91F31AFD931}">
      <text>
        <r>
          <rPr>
            <b/>
            <sz val="9"/>
            <color indexed="81"/>
            <rFont val="Tahoma"/>
            <family val="2"/>
          </rPr>
          <t>Admin:</t>
        </r>
        <r>
          <rPr>
            <sz val="9"/>
            <color indexed="81"/>
            <rFont val="Tahoma"/>
            <family val="2"/>
          </rPr>
          <t xml:space="preserve">
Reforma N° 5:
Se incrementó $ 41.149,68.</t>
        </r>
      </text>
    </comment>
    <comment ref="E48" authorId="2" shapeId="0" xr:uid="{7A125C06-99F9-4837-AEE6-B3246F572292}">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incrementó $ 3.857,37
</t>
        </r>
        <r>
          <rPr>
            <b/>
            <sz val="9"/>
            <color indexed="81"/>
            <rFont val="Tahoma"/>
            <family val="2"/>
          </rPr>
          <t>Reforma N° 6:</t>
        </r>
        <r>
          <rPr>
            <sz val="9"/>
            <color indexed="81"/>
            <rFont val="Tahoma"/>
            <family val="2"/>
          </rPr>
          <t xml:space="preserve">
Se incrementó $ 16.000,00</t>
        </r>
      </text>
    </comment>
    <comment ref="E49" authorId="3" shapeId="0" xr:uid="{C5E91547-A5B1-49C1-88D5-8CDADD300D41}">
      <text>
        <r>
          <rPr>
            <b/>
            <sz val="9"/>
            <color rgb="FF000000"/>
            <rFont val="Tahoma"/>
            <family val="2"/>
          </rPr>
          <t>HP:</t>
        </r>
        <r>
          <rPr>
            <sz val="9"/>
            <color rgb="FF000000"/>
            <rFont val="Tahoma"/>
            <family val="2"/>
          </rPr>
          <t xml:space="preserve">
Reforma N° 2:
Se incrementó $ 28.000,00 por contrato año anterior para adquisición de SIMCARD DBU.</t>
        </r>
      </text>
    </comment>
    <comment ref="F49" authorId="4" shapeId="0" xr:uid="{2EFB5F20-B382-4C92-A072-E87F83816FD8}">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$2.000,00 a DBUAC en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$ 23.313,24 DBUAC por efecto de informe de seguimiento, por cuanto no se ha solictado el pago a la presente fecha y no se ha dado información por la parte requirente.
</t>
        </r>
      </text>
    </comment>
    <comment ref="E50" authorId="0" shapeId="0" xr:uid="{069515F9-EE79-47A5-A140-C960C184F9B5}">
      <text>
        <r>
          <rPr>
            <b/>
            <sz val="9"/>
            <color rgb="FF000000"/>
            <rFont val="Tahoma"/>
            <family val="2"/>
          </rPr>
          <t>Microsoft Office User:</t>
        </r>
        <r>
          <rPr>
            <sz val="9"/>
            <color rgb="FF000000"/>
            <rFont val="Tahoma"/>
            <family val="2"/>
          </rPr>
          <t xml:space="preserve">
Reforma N° 4:
Se incrementa $ 9.000,00 en el POA de DADM por atención del memo nro. DF-2023-0282-M.</t>
        </r>
      </text>
    </comment>
    <comment ref="F50" authorId="3" shapeId="0" xr:uid="{E6C87606-5187-44B8-ACB5-723605B54B7C}">
      <text>
        <r>
          <rPr>
            <b/>
            <sz val="9"/>
            <color rgb="FF000000"/>
            <rFont val="Tahoma"/>
            <family val="2"/>
          </rPr>
          <t>HP:</t>
        </r>
        <r>
          <rPr>
            <sz val="9"/>
            <color rgb="FF000000"/>
            <rFont val="Tahoma"/>
            <family val="2"/>
          </rPr>
          <t xml:space="preserve">
Reforma N° 2:
Se redujo $ 28.000,00 por adquisición de SIMCARD DBU, contrato que ya estaba en el POA.
Se redujo $ 14.000,00 para cubrir liquidaciones por juicios en la partida N° 990101 0701 003 en el programa 82.
Reforma N° 5:
Se reduce $ 2.800,00.</t>
        </r>
      </text>
    </comment>
    <comment ref="E51" authorId="1" shapeId="0" xr:uid="{F1475BA8-BF5B-446E-9598-1D4C010D8452}">
      <text>
        <r>
          <rPr>
            <b/>
            <sz val="9"/>
            <color rgb="FF000000"/>
            <rFont val="Tahoma"/>
            <family val="2"/>
          </rPr>
          <t>LENOVO:</t>
        </r>
        <r>
          <rPr>
            <sz val="9"/>
            <color rgb="FF000000"/>
            <rFont val="Tahoma"/>
            <family val="2"/>
          </rPr>
          <t xml:space="preserve">
Reforma N° 3:
Se incrementó $ 250,00 según memo N° DADM-2023-0335-M_16052023.</t>
        </r>
      </text>
    </comment>
    <comment ref="F51" authorId="3" shapeId="0" xr:uid="{91C8ED0B-DD32-4E4F-92CD-4C8CC5DC22F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$ 1.000,00 para cubrir liquidaciones por juicios en la partida N° 990101 0701 003 en el programa 82
</t>
        </r>
        <r>
          <rPr>
            <b/>
            <sz val="9"/>
            <color rgb="FF000000"/>
            <rFont val="Tahoma"/>
            <family val="2"/>
          </rPr>
          <t>Reforma N° 4:</t>
        </r>
        <r>
          <rPr>
            <sz val="9"/>
            <color rgb="FF000000"/>
            <rFont val="Tahoma"/>
            <family val="2"/>
          </rPr>
          <t xml:space="preserve">
Se reduce $ 2.160,00 en el POA de SG para atender el memo nro. SG-2023-0213-M.</t>
        </r>
      </text>
    </comment>
    <comment ref="E52" authorId="4" shapeId="0" xr:uid="{B725BF70-235D-4CD4-A643-9626C3800172}">
      <text>
        <r>
          <rPr>
            <b/>
            <sz val="10"/>
            <color rgb="FF000000"/>
            <rFont val="Tahoma"/>
            <family val="2"/>
          </rPr>
          <t>Valeria Ramon Capa:</t>
        </r>
        <r>
          <rPr>
            <sz val="10"/>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incrementa $2.509,82 por cuadre de fuente de 003 a fuente 002.</t>
        </r>
      </text>
    </comment>
    <comment ref="F52" authorId="2" shapeId="0" xr:uid="{1DD88292-FA83-4347-853D-B4764F6B1B38}">
      <text>
        <r>
          <rPr>
            <b/>
            <sz val="9"/>
            <color indexed="81"/>
            <rFont val="Tahoma"/>
            <charset val="1"/>
          </rPr>
          <t>Admin:</t>
        </r>
        <r>
          <rPr>
            <sz val="9"/>
            <color indexed="81"/>
            <rFont val="Tahoma"/>
            <charset val="1"/>
          </rPr>
          <t xml:space="preserve">
Reforma N° 5:
Se redujo $ 1.209,82 por ser saldo no ejecutado (IVA), DTH.</t>
        </r>
      </text>
    </comment>
    <comment ref="F53" authorId="4" shapeId="0" xr:uid="{05B74D5B-E5CE-4B19-A546-64E715C48C4F}">
      <text>
        <r>
          <rPr>
            <b/>
            <sz val="9"/>
            <color rgb="FF000000"/>
            <rFont val="Tahoma"/>
            <family val="2"/>
          </rPr>
          <t>Valeria Ramon Capa:</t>
        </r>
        <r>
          <rPr>
            <sz val="9"/>
            <color rgb="FF000000"/>
            <rFont val="Tahoma"/>
            <family val="2"/>
          </rPr>
          <t xml:space="preserve">
Reforma N° 3:
Se reduce $2.564,80 por cuadre de fuente de 003 a fuente 002.</t>
        </r>
      </text>
    </comment>
    <comment ref="E54" authorId="3" shapeId="0" xr:uid="{8131C5C8-4778-410A-B8B8-5432A318F96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$ 1.292,40, según Memorando N° UTMACH-DBUAC-2023-0012-M del 12/01/2023. 
</t>
        </r>
        <r>
          <rPr>
            <b/>
            <sz val="9"/>
            <color rgb="FF000000"/>
            <rFont val="Tahoma"/>
            <family val="2"/>
          </rPr>
          <t>Reforma N° 6:</t>
        </r>
        <r>
          <rPr>
            <sz val="9"/>
            <color rgb="FF000000"/>
            <rFont val="Tahoma"/>
            <family val="2"/>
          </rPr>
          <t xml:space="preserve">
Se incrementó $ 1.292,40 por ser saldo no ejecutado, DBUAC (señalética).</t>
        </r>
      </text>
    </comment>
    <comment ref="F54" authorId="2" shapeId="0" xr:uid="{2084369D-A34C-4C50-9BC5-3262AE41D021}">
      <text>
        <r>
          <rPr>
            <b/>
            <sz val="9"/>
            <color indexed="81"/>
            <rFont val="Tahoma"/>
            <family val="2"/>
          </rPr>
          <t>Admin:</t>
        </r>
        <r>
          <rPr>
            <sz val="9"/>
            <color indexed="81"/>
            <rFont val="Tahoma"/>
            <family val="2"/>
          </rPr>
          <t xml:space="preserve">
Reforma N° 5:
Se redujo $ 1.292,40 por ser saldo no ejecutado, DBUAC.</t>
        </r>
      </text>
    </comment>
    <comment ref="E55" authorId="3" shapeId="0" xr:uid="{104F6822-4ED9-4352-8FE9-289459CB9FBA}">
      <text>
        <r>
          <rPr>
            <b/>
            <sz val="9"/>
            <color rgb="FF000000"/>
            <rFont val="Tahoma"/>
            <family val="2"/>
          </rPr>
          <t>HP:</t>
        </r>
        <r>
          <rPr>
            <sz val="9"/>
            <color rgb="FF000000"/>
            <rFont val="Tahoma"/>
            <family val="2"/>
          </rPr>
          <t xml:space="preserve">
</t>
        </r>
        <r>
          <rPr>
            <b/>
            <sz val="9"/>
            <color rgb="FF000000"/>
            <rFont val="Tahoma"/>
            <family val="2"/>
          </rPr>
          <t>Reforma N° 4:</t>
        </r>
        <r>
          <rPr>
            <sz val="9"/>
            <color rgb="FF000000"/>
            <rFont val="Tahoma"/>
            <family val="2"/>
          </rPr>
          <t xml:space="preserve">
Se incrementó $ 15.000,00 DIRCOM por efecto de informe de seguimiento.
</t>
        </r>
        <r>
          <rPr>
            <b/>
            <sz val="9"/>
            <color rgb="FF000000"/>
            <rFont val="Tahoma"/>
            <family val="2"/>
          </rPr>
          <t>Reforma N° 6:</t>
        </r>
        <r>
          <rPr>
            <sz val="9"/>
            <color rgb="FF000000"/>
            <rFont val="Tahoma"/>
            <family val="2"/>
          </rPr>
          <t xml:space="preserve">
Se incrementó $ 6.300,00 para impresión de folletos del PEDI, DPLAN.</t>
        </r>
      </text>
    </comment>
    <comment ref="F55" authorId="2" shapeId="0" xr:uid="{92D7BD23-7C9A-45CD-B450-0957759E9768}">
      <text>
        <r>
          <rPr>
            <b/>
            <sz val="9"/>
            <color indexed="81"/>
            <rFont val="Tahoma"/>
            <family val="2"/>
          </rPr>
          <t>Admin:</t>
        </r>
        <r>
          <rPr>
            <sz val="9"/>
            <color indexed="81"/>
            <rFont val="Tahoma"/>
            <family val="2"/>
          </rPr>
          <t xml:space="preserve">
Reforma N° 6:
Se redujo $ 964,29 (UTMACH-DIRCOM-2023-0176-M_11102023)</t>
        </r>
      </text>
    </comment>
    <comment ref="E56" authorId="1" shapeId="0" xr:uid="{3ADC8F84-560F-44A6-82DA-9781B92FC80E}">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34"/>
          </rPr>
          <t xml:space="preserve">
-Se incrementó $ 26.320,00+3.139,70, según memo N° DBUAC-2023-0124-M_03032023, reducción de (13.160,00-200) a DBUAC por atención de Memo N 0399 de DADM y en virtud del seguimiento 
-Se incrementó $ 100,00 según memo N° DADM-2023-0335-M_16052023
-Se incrementó $3.144,06 según memo Nro DF-UT-2023-0116-M_10042023
</t>
        </r>
        <r>
          <rPr>
            <b/>
            <sz val="9"/>
            <color rgb="FF000000"/>
            <rFont val="Tahoma"/>
            <family val="2"/>
          </rPr>
          <t>Reforma N° 4:</t>
        </r>
        <r>
          <rPr>
            <sz val="9"/>
            <color rgb="FF000000"/>
            <rFont val="Tahoma"/>
            <family val="34"/>
          </rPr>
          <t xml:space="preserve">
Se incrementa $ 388,16 en el POA de SG para atender el memo nro. SG-2023-0213-M</t>
        </r>
      </text>
    </comment>
    <comment ref="F56" authorId="4" shapeId="0" xr:uid="{42FEE9B2-C4C1-4BC8-A59D-33E028D8EB4E}">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$234,08 por memo VADM 382.
</t>
        </r>
        <r>
          <rPr>
            <b/>
            <sz val="9"/>
            <color rgb="FF000000"/>
            <rFont val="Tahoma"/>
            <family val="2"/>
          </rPr>
          <t>Reforma N° 4:</t>
        </r>
        <r>
          <rPr>
            <sz val="9"/>
            <color rgb="FF000000"/>
            <rFont val="Tahoma"/>
            <family val="2"/>
          </rPr>
          <t xml:space="preserve">
Se redujo $ 820,00 Procuraduria Gral. por efecto de informe de seguimiento.
Se redujo $ 1.269,00 y $ 2.033,88 (Certif. N° 174) DIRCOM por efecto de informe de seguimiento.
Se redujo $ 100,90 DBUAC por efecto de informe de seguimiento. (Cert. N° 331).</t>
        </r>
      </text>
    </comment>
    <comment ref="E57" authorId="0" shapeId="0" xr:uid="{13AFCF08-A569-44ED-A5E9-AD4562CD15BD}">
      <text>
        <r>
          <rPr>
            <b/>
            <sz val="10"/>
            <color rgb="FF000000"/>
            <rFont val="Tahoma"/>
            <family val="2"/>
          </rPr>
          <t>Microsoft Office User:</t>
        </r>
        <r>
          <rPr>
            <sz val="10"/>
            <color rgb="FF000000"/>
            <rFont val="Tahoma"/>
            <family val="2"/>
          </rPr>
          <t xml:space="preserve">
</t>
        </r>
        <r>
          <rPr>
            <sz val="9"/>
            <color rgb="FF000000"/>
            <rFont val="Tahoma"/>
            <family val="2"/>
          </rPr>
          <t>Reforma N° 4:
Se incrementa $ 3.000,00 por efectos de seguimiento y reunión de coordinación.</t>
        </r>
      </text>
    </comment>
    <comment ref="F57" authorId="2" shapeId="0" xr:uid="{672CDBBD-99BF-47DA-9A33-785824D4EE48}">
      <text>
        <r>
          <rPr>
            <b/>
            <sz val="9"/>
            <color indexed="81"/>
            <rFont val="Tahoma"/>
            <family val="2"/>
          </rPr>
          <t>Admin:</t>
        </r>
        <r>
          <rPr>
            <sz val="9"/>
            <color indexed="81"/>
            <rFont val="Tahoma"/>
            <family val="2"/>
          </rPr>
          <t xml:space="preserve">
Reforma N° 5:
Se redujo $ 376,06 por ser saldo no ejecutado, DIRCOM.</t>
        </r>
      </text>
    </comment>
    <comment ref="E58" authorId="4" shapeId="0" xr:uid="{2AF0DFAF-B3D0-40D8-9A32-263F37BE52BE}">
      <text>
        <r>
          <rPr>
            <b/>
            <sz val="9"/>
            <color rgb="FF000000"/>
            <rFont val="Tahoma"/>
            <family val="2"/>
          </rPr>
          <t>Valeria Ramon Capa:</t>
        </r>
        <r>
          <rPr>
            <sz val="10"/>
            <color rgb="FF000000"/>
            <rFont val="Tahoma"/>
            <family val="2"/>
          </rPr>
          <t xml:space="preserve">
</t>
        </r>
        <r>
          <rPr>
            <sz val="9"/>
            <color rgb="FF000000"/>
            <rFont val="Tahoma"/>
            <family val="2"/>
          </rPr>
          <t>Reforma N° 3:
Se incrementó $34.000 por cambio de fuente de 003 a 002 en DirCom.</t>
        </r>
      </text>
    </comment>
    <comment ref="F58" authorId="2" shapeId="0" xr:uid="{56CD85D7-0D6C-4E83-8FFC-5A10E97C338C}">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$ 6.000,00 DIRCOM por efecto de informe de seguimiento.
</t>
        </r>
        <r>
          <rPr>
            <b/>
            <sz val="9"/>
            <color rgb="FF000000"/>
            <rFont val="Tahoma"/>
            <family val="2"/>
          </rPr>
          <t>Reforma N° 6:</t>
        </r>
        <r>
          <rPr>
            <sz val="9"/>
            <color rgb="FF000000"/>
            <rFont val="Tahoma"/>
            <family val="2"/>
          </rPr>
          <t xml:space="preserve">
Se redujo $ 14.732,14 (UTMACH-DIRCOM-2023-0178-M_16102023), se incrementó $ 3.000,00 según memo N° DIRCOM-2023-0175-M_10/10/2023.</t>
        </r>
      </text>
    </comment>
    <comment ref="F59" authorId="4" shapeId="0" xr:uid="{23A152F2-32A9-4636-9C1B-059E4DF2FC96}">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$11.920,00 a DirCom por seguimiento y en virtud de oficio Nro. MEF-SP-2023-0501 para atender Memo Nro. 0399 de DADM.
Se reduce $34000 por cambio de fuente a 002.
</t>
        </r>
        <r>
          <rPr>
            <b/>
            <sz val="9"/>
            <color rgb="FF000000"/>
            <rFont val="Tahoma"/>
            <family val="2"/>
          </rPr>
          <t>Reforma N° 5:</t>
        </r>
        <r>
          <rPr>
            <sz val="9"/>
            <color rgb="FF000000"/>
            <rFont val="Tahoma"/>
            <family val="2"/>
          </rPr>
          <t xml:space="preserve">
Se redujo $ 300,00 por ser saldo no ejecutado, Dir. Financiera (Coactivas).</t>
        </r>
      </text>
    </comment>
    <comment ref="E60" authorId="3" shapeId="0" xr:uid="{3C4E33A3-E734-448D-924F-C58796D3151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$ 194.032,61, según Oficio N° UTMACH-DADM-2023-0016-OF del 10/01/2023.
</t>
        </r>
        <r>
          <rPr>
            <b/>
            <sz val="9"/>
            <color rgb="FF000000"/>
            <rFont val="Tahoma"/>
            <family val="2"/>
          </rPr>
          <t xml:space="preserve">Reforma N° 3: 
</t>
        </r>
        <r>
          <rPr>
            <sz val="9"/>
            <color rgb="FF000000"/>
            <rFont val="Tahoma"/>
            <family val="2"/>
          </rPr>
          <t>Se incrementó $190.089,58 según memo N° VADM 382.</t>
        </r>
      </text>
    </comment>
    <comment ref="F60" authorId="4" shapeId="0" xr:uid="{2D098F1A-187C-4AB2-948F-9DDCA87D6469}">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$6.000,00 a Dadm por cuadre de fuentes.
</t>
        </r>
        <r>
          <rPr>
            <b/>
            <sz val="9"/>
            <color rgb="FF000000"/>
            <rFont val="Tahoma"/>
            <family val="2"/>
          </rPr>
          <t xml:space="preserve">Reforma N° 4:
</t>
        </r>
        <r>
          <rPr>
            <sz val="9"/>
            <color rgb="FF000000"/>
            <rFont val="Tahoma"/>
            <family val="2"/>
          </rPr>
          <t xml:space="preserve">Se reduce $128.000,00 por efectos de modificación de compromiso presupuestario para que se planifique en el 2024 las planillas que corresponden a ese año, dentro del POA de DADM (Memorando nro. UTMACH-DPLAN-2023-0230-M).
</t>
        </r>
        <r>
          <rPr>
            <b/>
            <sz val="9"/>
            <color rgb="FF000000"/>
            <rFont val="Tahoma"/>
            <family val="2"/>
          </rPr>
          <t>Reforma N° 5:</t>
        </r>
        <r>
          <rPr>
            <sz val="9"/>
            <color rgb="FF000000"/>
            <rFont val="Tahoma"/>
            <family val="2"/>
          </rPr>
          <t xml:space="preserve">
Se reduce $ 182.685,07 del proyecto Implementación de sistema tecnológico de control de acceso vehicular y peatonal, que se actualizará para ejecutarlo el otro año.
</t>
        </r>
        <r>
          <rPr>
            <b/>
            <sz val="9"/>
            <color rgb="FF000000"/>
            <rFont val="Tahoma"/>
            <family val="2"/>
          </rPr>
          <t>Reforma N° 6:</t>
        </r>
        <r>
          <rPr>
            <sz val="9"/>
            <color rgb="FF000000"/>
            <rFont val="Tahoma"/>
            <family val="2"/>
          </rPr>
          <t xml:space="preserve">
Se redujo $ 131.300,82 para py de jubilados.</t>
        </r>
      </text>
    </comment>
    <comment ref="E61" authorId="3" shapeId="0" xr:uid="{FE2C48B8-55BC-49B8-8AE4-34A65B65EB10}">
      <text>
        <r>
          <rPr>
            <sz val="12"/>
            <color theme="1"/>
            <rFont val="Arial"/>
            <family val="2"/>
            <scheme val="minor"/>
          </rPr>
          <t>HP:
Reforma N° 2:
Se incrementó $ 1.292,40, según Memorando N° UTMACH-DBUAC-2023-0012-M del 12/01/2023. 
Reforma N° 4:
Se incrementa $ 31.207,68 para el servicio de limpieza en atención memo nro. UTMACH-DADM-2023-0645, en el POA de DADM.
Reforma N° 6:
Se incrementó $ 6.300,00 para servicio de recolección de aguas residuales. Dir. Adm.</t>
        </r>
      </text>
    </comment>
    <comment ref="F61" authorId="2" shapeId="0" xr:uid="{0721EAD7-7E05-4457-9500-1E2C820ED5C3}">
      <text>
        <r>
          <rPr>
            <b/>
            <sz val="9"/>
            <color indexed="81"/>
            <rFont val="Tahoma"/>
            <family val="2"/>
          </rPr>
          <t>Admin:</t>
        </r>
        <r>
          <rPr>
            <sz val="9"/>
            <color indexed="81"/>
            <rFont val="Tahoma"/>
            <family val="2"/>
          </rPr>
          <t xml:space="preserve">
Reforma N° 5:
Se redujo $ 6.826,68 por ser saldo no ejecutado, Dir. Adm. Analizar según memo N° -DADM-2023-1003-M.</t>
        </r>
      </text>
    </comment>
    <comment ref="E62" authorId="0" shapeId="0" xr:uid="{81E67E88-BB76-430B-AEB9-DCE5F2BB1574}">
      <text>
        <r>
          <rPr>
            <b/>
            <sz val="9"/>
            <color rgb="FF000000"/>
            <rFont val="Tahoma"/>
            <family val="2"/>
          </rPr>
          <t>Microsoft Office User:</t>
        </r>
        <r>
          <rPr>
            <sz val="9"/>
            <color rgb="FF000000"/>
            <rFont val="Tahoma"/>
            <family val="2"/>
          </rPr>
          <t xml:space="preserve">
Reforma N° 4:
Se incrementó $ 20,16 en el POA de DFIN para atender pedido del memorando nro. UTMACH-DF-2023-0264-M.</t>
        </r>
      </text>
    </comment>
    <comment ref="F62" authorId="4" shapeId="0" xr:uid="{02C890D2-AC75-4BAC-9CEB-F69958E83D28}">
      <text>
        <r>
          <rPr>
            <b/>
            <sz val="9"/>
            <color rgb="FF000000"/>
            <rFont val="Tahoma"/>
            <family val="2"/>
          </rPr>
          <t>Valeria Ramon Capa:</t>
        </r>
        <r>
          <rPr>
            <sz val="9"/>
            <color rgb="FF000000"/>
            <rFont val="Tahoma"/>
            <family val="2"/>
          </rPr>
          <t xml:space="preserve">
Reforma N° 3:</t>
        </r>
        <r>
          <rPr>
            <b/>
            <sz val="9"/>
            <color rgb="FF000000"/>
            <rFont val="Tahoma"/>
            <family val="2"/>
          </rPr>
          <t xml:space="preserve">
</t>
        </r>
        <r>
          <rPr>
            <sz val="9"/>
            <color rgb="FF000000"/>
            <rFont val="Tahoma"/>
            <family val="2"/>
          </rPr>
          <t>Se redujo $8.780,04 a DBUAC en reunión de seguimiento y en virtud de oficio Nro. MEF-SP-2023-0501 para atender Memo Nro. 0399 de DADM.</t>
        </r>
      </text>
    </comment>
    <comment ref="E63" authorId="3" shapeId="0" xr:uid="{816B70C2-70CB-4559-B2A9-E8F9A2388547}">
      <text>
        <r>
          <rPr>
            <sz val="12"/>
            <color theme="1"/>
            <rFont val="Arial"/>
            <family val="2"/>
            <scheme val="minor"/>
          </rPr>
          <t>HP:
Reforma N° 2:
Se incrementó $ 29.226,24, según Memorando N° UTMACH-DBUAC-2023-0012-M del 12/01/2023.
Reforma N°6:
Se incrementó $2580 a DBUAC para prorroga de contrato de servicio de alimentacion</t>
        </r>
      </text>
    </comment>
    <comment ref="F63" authorId="4" shapeId="0" xr:uid="{00D4A156-F759-45EE-A6CC-D761A1CEE92A}">
      <text>
        <r>
          <rPr>
            <b/>
            <sz val="9"/>
            <color rgb="FF000000"/>
            <rFont val="Tahoma"/>
            <family val="2"/>
          </rPr>
          <t>Valeria Ramon Capa:</t>
        </r>
        <r>
          <rPr>
            <sz val="9"/>
            <color rgb="FF000000"/>
            <rFont val="Tahoma"/>
            <family val="2"/>
          </rPr>
          <t xml:space="preserve">
Reforma N° 3:</t>
        </r>
        <r>
          <rPr>
            <b/>
            <sz val="9"/>
            <color rgb="FF000000"/>
            <rFont val="Tahoma"/>
            <family val="2"/>
          </rPr>
          <t xml:space="preserve">
</t>
        </r>
        <r>
          <rPr>
            <sz val="9"/>
            <color rgb="FF000000"/>
            <rFont val="Tahoma"/>
            <family val="2"/>
          </rPr>
          <t>Se redujo $8.780,04 a DBUAC en reunión de seguimiento y en virtud de oficio Nro. MEF-SP-2023-0501 para atender Memo Nro. 0399 de DADM.</t>
        </r>
      </text>
    </comment>
    <comment ref="F64" authorId="3" shapeId="0" xr:uid="{916E2C2D-A480-4E6A-8A33-7EDE64F5B5E2}">
      <text>
        <r>
          <rPr>
            <b/>
            <sz val="9"/>
            <color rgb="FF000000"/>
            <rFont val="Tahoma"/>
            <family val="2"/>
          </rPr>
          <t>HP:</t>
        </r>
        <r>
          <rPr>
            <sz val="9"/>
            <color rgb="FF000000"/>
            <rFont val="Tahoma"/>
            <family val="2"/>
          </rPr>
          <t xml:space="preserve">
Reforma N° 2:
Se redujo $ 10.080,00 para pasar a Costas Judiciales.</t>
        </r>
      </text>
    </comment>
    <comment ref="F65" authorId="2" shapeId="0" xr:uid="{04885987-E125-4317-91E9-57A34D1B6870}">
      <text>
        <r>
          <rPr>
            <b/>
            <sz val="9"/>
            <color indexed="81"/>
            <rFont val="Tahoma"/>
            <family val="2"/>
          </rPr>
          <t>Admin:</t>
        </r>
        <r>
          <rPr>
            <sz val="9"/>
            <color indexed="81"/>
            <rFont val="Tahoma"/>
            <family val="2"/>
          </rPr>
          <t xml:space="preserve">
Reforma N° 6:
Se redujo $ 7.844,68 valor IVA.</t>
        </r>
      </text>
    </comment>
    <comment ref="E66" authorId="3" shapeId="0" xr:uid="{0E2E86CD-5753-4252-8EAF-B225B8680FC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$ 37.040,00 por separación de partidas. Dir. Administrativa.</t>
        </r>
      </text>
    </comment>
    <comment ref="F66" authorId="2" shapeId="0" xr:uid="{BF4243D1-7957-44CF-BEA3-E10252F58944}">
      <text>
        <r>
          <rPr>
            <b/>
            <sz val="9"/>
            <color indexed="81"/>
            <rFont val="Tahoma"/>
            <family val="2"/>
          </rPr>
          <t>Admin:</t>
        </r>
        <r>
          <rPr>
            <sz val="9"/>
            <color indexed="81"/>
            <rFont val="Tahoma"/>
            <family val="2"/>
          </rPr>
          <t xml:space="preserve">
Reforma N° 5:
Se redujo $ 7.000,00 por ser saldo no ejecutado, Dir. Adm.</t>
        </r>
      </text>
    </comment>
    <comment ref="E67" authorId="1" shapeId="0" xr:uid="{81AB267D-E46F-4D88-98DF-840D52C1876B}">
      <text>
        <r>
          <rPr>
            <b/>
            <sz val="9"/>
            <color rgb="FF000000"/>
            <rFont val="Tahoma"/>
            <family val="2"/>
          </rPr>
          <t>LENOVO:</t>
        </r>
        <r>
          <rPr>
            <sz val="9"/>
            <color rgb="FF000000"/>
            <rFont val="Tahoma"/>
            <family val="2"/>
          </rPr>
          <t xml:space="preserve">
Reforma N° 3:
Se incrementó $ 300,00 según memo N° DADM-2023-0335-M_16052023.
Se incrementó $ 6.000,00 según memo N° DADM-2023-0364-M_24052023.</t>
        </r>
      </text>
    </comment>
    <comment ref="F67" authorId="2" shapeId="0" xr:uid="{D4F7D063-ED34-484D-8E1F-D4DA42D4CB2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 DADM por efecto de informe de seguimiento.</t>
        </r>
      </text>
    </comment>
    <comment ref="E68" authorId="1" shapeId="0" xr:uid="{BED8B632-125E-4E3B-AED3-DFB8D631A220}">
      <text>
        <r>
          <rPr>
            <b/>
            <sz val="9"/>
            <color rgb="FF000000"/>
            <rFont val="Tahoma"/>
            <family val="2"/>
          </rPr>
          <t>LENOVO:</t>
        </r>
        <r>
          <rPr>
            <sz val="9"/>
            <color rgb="FF000000"/>
            <rFont val="Tahoma"/>
            <family val="2"/>
          </rPr>
          <t xml:space="preserve">
Reforma N° 3:
Se incrementó $ 4.000,00 según memo N° DADM-2023-0364-M_24052023.</t>
        </r>
      </text>
    </comment>
    <comment ref="F68" authorId="2" shapeId="0" xr:uid="{12D24741-3C29-4C17-BCE7-5A16731B889D}">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$ 6.000,00 DADM por efecto de informe de seguimiento.</t>
        </r>
      </text>
    </comment>
    <comment ref="E69" authorId="1" shapeId="0" xr:uid="{F960031F-ACE6-4D41-AE2E-EDEF3E513CD8}">
      <text>
        <r>
          <rPr>
            <b/>
            <sz val="9"/>
            <color rgb="FF000000"/>
            <rFont val="Tahoma"/>
            <family val="2"/>
          </rPr>
          <t>LENOVO:</t>
        </r>
        <r>
          <rPr>
            <sz val="9"/>
            <color rgb="FF000000"/>
            <rFont val="Tahoma"/>
            <family val="2"/>
          </rPr>
          <t xml:space="preserve">
Reforma N° 3:
Se incrementó $ 10.000,00 según memo N° DADM-2023-0364-M_24052023.</t>
        </r>
      </text>
    </comment>
    <comment ref="E71" authorId="4" shapeId="0" xr:uid="{03EBF153-6A92-4F3F-9026-585F3F356F6D}">
      <text>
        <r>
          <rPr>
            <b/>
            <sz val="9"/>
            <color rgb="FF000000"/>
            <rFont val="Tahoma"/>
            <family val="2"/>
          </rPr>
          <t>Valeria Ramon Capa:</t>
        </r>
        <r>
          <rPr>
            <sz val="9"/>
            <color rgb="FF000000"/>
            <rFont val="Tahoma"/>
            <family val="2"/>
          </rPr>
          <t xml:space="preserve">
Reforma N° 3:
Se incrementó $8.801,91 por atención de Memo N UTMACH-DAC-2023-0133-M.</t>
        </r>
      </text>
    </comment>
    <comment ref="F71" authorId="2" shapeId="0" xr:uid="{BC7B2EA5-E6EA-48AC-BAF8-5C0C38BA85C3}">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$ 8.801,91 DAC por efecto de informe de seguimiento.</t>
        </r>
      </text>
    </comment>
    <comment ref="E72" authorId="4" shapeId="0" xr:uid="{34708D69-F305-4AA8-B85B-5C9C0E8607EA}">
      <text>
        <r>
          <rPr>
            <b/>
            <sz val="8"/>
            <color rgb="FF000000"/>
            <rFont val="Tahoma"/>
            <family val="2"/>
          </rPr>
          <t>Valeria Ramon Capa:</t>
        </r>
        <r>
          <rPr>
            <sz val="8"/>
            <color rgb="FF000000"/>
            <rFont val="Tahoma"/>
            <family val="2"/>
          </rPr>
          <t xml:space="preserve">
</t>
        </r>
        <r>
          <rPr>
            <sz val="9"/>
            <color rgb="FF000000"/>
            <rFont val="Tahoma"/>
            <family val="2"/>
          </rPr>
          <t>Reforma N° 3:</t>
        </r>
        <r>
          <rPr>
            <b/>
            <sz val="9"/>
            <color rgb="FF000000"/>
            <rFont val="Tahoma"/>
            <family val="34"/>
          </rPr>
          <t xml:space="preserve">
</t>
        </r>
        <r>
          <rPr>
            <sz val="9"/>
            <color rgb="FF000000"/>
            <rFont val="Tahoma"/>
            <family val="34"/>
          </rPr>
          <t>Se incrementó $ 4.879,98 según memos N°  CGR-2023-0165-M y N°  R-2023-0255-M.</t>
        </r>
      </text>
    </comment>
    <comment ref="E73" authorId="4" shapeId="0" xr:uid="{FDEA8D18-AB7B-4E8B-9018-C464E68DAFCB}">
      <text>
        <r>
          <rPr>
            <sz val="12"/>
            <color theme="1"/>
            <rFont val="Arial"/>
            <family val="2"/>
            <scheme val="minor"/>
          </rPr>
          <t>Valeria Ramon Capa:
Reforma N° 3: 
Solicitud de incremento de $2000 TICS y en reunión mantenida con TICS indicaron ya no tener necesidad.
Reforma N° 6:
Se incrementó $ 70.203,71 para la mantenimiento y reparación del coliseo y gimnasio universitario, DBUAC.</t>
        </r>
      </text>
    </comment>
    <comment ref="E74" authorId="3" shapeId="0" xr:uid="{8F5754B6-D060-42E7-9F36-310E5BEF276E}">
      <text>
        <r>
          <rPr>
            <sz val="12"/>
            <color theme="1"/>
            <rFont val="Arial"/>
            <family val="2"/>
            <scheme val="minor"/>
          </rPr>
          <t>HP:
Reforma N° 2:
Se redujo $ 78.060,00 Dir. Administrativa que pasó de fuente 3 a fuente 2.
Reforma N° 3:
Se incrementó $581,76 Dir.adm por cuadre de fuente.
Reforma N° 4:
Aumento de $ 17.997,61 para atender pedido de adecuación de baterías sanitarias de la FCE para sumar a un solo proceso para adecuaciones varias que constan en estudio previo de la Unidad de Obras, incluidas las baterias sanitarias de la FCE.
Reforma N° 6:
Se incrementó $ 7.543,88 para el mantenimiento y reparación del coliseo y gimnasio universitario, DBUAC.</t>
        </r>
      </text>
    </comment>
    <comment ref="F74" authorId="2" shapeId="0" xr:uid="{92837C16-B086-415A-A71B-E2753BCFA46B}">
      <text>
        <r>
          <rPr>
            <b/>
            <sz val="9"/>
            <color indexed="81"/>
            <rFont val="Tahoma"/>
            <charset val="1"/>
          </rPr>
          <t>Admin:</t>
        </r>
        <r>
          <rPr>
            <sz val="9"/>
            <color indexed="81"/>
            <rFont val="Tahoma"/>
            <charset val="1"/>
          </rPr>
          <t xml:space="preserve">
Reforma N° 5:
Se redujo $3,11+6.407,54 por ser saldo no ejecutado (IVA), Dir. Adm.</t>
        </r>
      </text>
    </comment>
    <comment ref="E75" authorId="3" shapeId="0" xr:uid="{9BCFB695-2A04-4E21-905F-2FE098BD3848}">
      <text>
        <r>
          <rPr>
            <sz val="12"/>
            <color theme="1"/>
            <rFont val="Arial"/>
            <family val="2"/>
            <scheme val="minor"/>
          </rPr>
          <t>HP:
Reforma N° 2:
Se incrementó $ 7.500,00 según Oficio N° UTMACH-DADM-UOIFM-2022-555-OF del 29/12/2022.
Se incrementó $ 1.550,00, según Memorando N° UTMACH-DBUAC-2023-0012-M del 12/01/2023. 
Se incrementó $ 5.000,00 para adecuación de la DPLAN.
Se incrementó $ 56.000,00+219200,27 para adecuaciones y reparación de infraestructura y seguridad de ingresos peatonales y vehiculares. Vic. Administrativo. Vic. Administrativo.
Reforma N° 3:
Se incrementó $ 400,00 según memo N° UTMACH-DADM-2023-0335-M_16052023.
Se incremento $1.500,00 según memo N UTMACH-DPLAN-UPES -2023- 014M.
Reforma N° 6:
Se incrementó $ 83.275,51 para el mantenimiento y reparación del coliseo y gimnasio universitario, DBUAC.</t>
        </r>
      </text>
    </comment>
    <comment ref="F75" authorId="3" shapeId="0" xr:uid="{1D7E25E7-A6BA-4449-8842-EE5EBDC8CA7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$ 18.037,80 Rectorado
Se redujo $ 110.026,38 Vic. Académico
Se redujo $ 78.060,00 Dir. Administrativa que pasó a fuente 2
</t>
        </r>
        <r>
          <rPr>
            <b/>
            <sz val="9"/>
            <color rgb="FF000000"/>
            <rFont val="Tahoma"/>
            <family val="2"/>
          </rPr>
          <t xml:space="preserve">Reforma N 3: 
</t>
        </r>
        <r>
          <rPr>
            <sz val="9"/>
            <color rgb="FF000000"/>
            <rFont val="Tahoma"/>
            <family val="2"/>
          </rPr>
          <t xml:space="preserve">- Se redujo $165.173,78 según memo N  VADM 382.
- 06/06 se redujo $ 2.240 según reunión mantenida con TICS y en virtud de oficio Nro. MEF-SP-2023-0501 para atender Memo Nro.0399 de DADM.
-Se redujo $ 6.720,11 por cambio de fuente de DAC
</t>
        </r>
        <r>
          <rPr>
            <b/>
            <sz val="9"/>
            <color rgb="FF000000"/>
            <rFont val="Tahoma"/>
            <family val="2"/>
          </rPr>
          <t>Reforma N° 4:</t>
        </r>
        <r>
          <rPr>
            <sz val="9"/>
            <color rgb="FF000000"/>
            <rFont val="Tahoma"/>
            <family val="2"/>
          </rPr>
          <t xml:space="preserve">
Se reduce $ 4.393,87 Rectorado por efecto de informe de seguimiento.
Se redujo $ 449,00 Secretaría General por efecto de informe de seguimiento.
Se redujo $ 6.500,00 DPLAN por efecto de informe de seguimiento.
</t>
        </r>
        <r>
          <rPr>
            <b/>
            <sz val="9"/>
            <color rgb="FF000000"/>
            <rFont val="Tahoma"/>
            <family val="2"/>
          </rPr>
          <t>Reforma N° 6:</t>
        </r>
        <r>
          <rPr>
            <sz val="9"/>
            <color rgb="FF000000"/>
            <rFont val="Tahoma"/>
            <family val="2"/>
          </rPr>
          <t xml:space="preserve">
Se redujo $ 1.550,00 DBUAC
Se redujo $ 60,00 Secretaría General</t>
        </r>
      </text>
    </comment>
    <comment ref="E76" authorId="5" shapeId="0" xr:uid="{F29A4CFF-5DC9-45D6-A12F-EDABCE0AC4DE}">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$ 15.000,00 Dir. Administrativa.
</t>
        </r>
        <r>
          <rPr>
            <b/>
            <sz val="9"/>
            <color rgb="FF000000"/>
            <rFont val="Tahoma"/>
            <family val="2"/>
          </rPr>
          <t>Reforma N° 3:</t>
        </r>
        <r>
          <rPr>
            <sz val="9"/>
            <color rgb="FF000000"/>
            <rFont val="Tahoma"/>
            <family val="2"/>
          </rPr>
          <t xml:space="preserve">
Se incrementó $ 340,00 según memo N° UTMACH-DADM-2023-0335-M_16052023.</t>
        </r>
      </text>
    </comment>
    <comment ref="F76" authorId="2" shapeId="0" xr:uid="{197DC45B-D631-4CA4-A57D-7CDB1165236B}">
      <text>
        <r>
          <rPr>
            <b/>
            <sz val="9"/>
            <color rgb="FF000000"/>
            <rFont val="Tahoma"/>
            <family val="2"/>
          </rPr>
          <t>Admin:</t>
        </r>
        <r>
          <rPr>
            <sz val="9"/>
            <color rgb="FF000000"/>
            <rFont val="Tahoma"/>
            <family val="2"/>
          </rPr>
          <t xml:space="preserve">
Reforma N° 4:
Se redujo $ 1.947,00 DADM por efecto de informe de seguimiento.
Reforma N° 6:
Se redujo $ 0,14</t>
        </r>
      </text>
    </comment>
    <comment ref="C77" authorId="2" shapeId="0" xr:uid="{6B0332A6-2920-4365-9217-67FA29A52CCF}">
      <text>
        <r>
          <rPr>
            <b/>
            <sz val="9"/>
            <color indexed="81"/>
            <rFont val="Tahoma"/>
            <family val="2"/>
          </rPr>
          <t>Admin:</t>
        </r>
        <r>
          <rPr>
            <sz val="9"/>
            <color indexed="81"/>
            <rFont val="Tahoma"/>
            <family val="2"/>
          </rPr>
          <t xml:space="preserve">
Imprenta</t>
        </r>
      </text>
    </comment>
    <comment ref="E77" authorId="3" shapeId="0" xr:uid="{B3A999B4-4A33-4AB1-91EF-860BE1FDE6B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solo $ 7.000,00 según Oficio N° UTMACH-DADM-UOIFM-2022-555-OF del 29/12/2022.
</t>
        </r>
        <r>
          <rPr>
            <b/>
            <sz val="9"/>
            <color rgb="FF000000"/>
            <rFont val="Tahoma"/>
            <family val="2"/>
          </rPr>
          <t xml:space="preserve">
Reforma N° 3:</t>
        </r>
        <r>
          <rPr>
            <sz val="9"/>
            <color rgb="FF000000"/>
            <rFont val="Tahoma"/>
            <family val="2"/>
          </rPr>
          <t xml:space="preserve">
Se incrementó $ 250,00 según memo N° UTMACH-DADM-2023-0335-M_16052023.
</t>
        </r>
        <r>
          <rPr>
            <b/>
            <sz val="9"/>
            <color rgb="FF000000"/>
            <rFont val="Tahoma"/>
            <family val="2"/>
          </rPr>
          <t>Reforma N° 4:</t>
        </r>
        <r>
          <rPr>
            <sz val="9"/>
            <color rgb="FF000000"/>
            <rFont val="Tahoma"/>
            <family val="2"/>
          </rPr>
          <t xml:space="preserve">
Se incrementó $ 2.184,00 DIRCOM, según N° DIRCOM-2023-0135-M para mantenimiento de la imprenta.</t>
        </r>
      </text>
    </comment>
    <comment ref="F77" authorId="3" shapeId="0" xr:uid="{E7009440-1361-4AA3-A73A-805D25595D2A}">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$ 92.610,11 para pasar a la partida N° 990101 0701 003 Obligaciones de Ejercicios Anteriores en Personal en el prog. 01 y 82.
</t>
        </r>
        <r>
          <rPr>
            <b/>
            <sz val="9"/>
            <color rgb="FF000000"/>
            <rFont val="Tahoma"/>
            <family val="2"/>
          </rPr>
          <t>Reforma N° 4:</t>
        </r>
        <r>
          <rPr>
            <sz val="9"/>
            <color rgb="FF000000"/>
            <rFont val="Tahoma"/>
            <family val="2"/>
          </rPr>
          <t xml:space="preserve">
Se redujo $ 7.619,55 Unidad de Obras por efecto de informe de seguimiento.</t>
        </r>
      </text>
    </comment>
    <comment ref="E78" authorId="3" shapeId="0" xr:uid="{3FD6B7D9-3A13-49FD-8713-69FACDC083BB}">
      <text>
        <r>
          <rPr>
            <b/>
            <sz val="9"/>
            <color rgb="FF000000"/>
            <rFont val="Tahoma"/>
            <family val="2"/>
          </rPr>
          <t>HP:</t>
        </r>
        <r>
          <rPr>
            <sz val="9"/>
            <color rgb="FF000000"/>
            <rFont val="Tahoma"/>
            <family val="2"/>
          </rPr>
          <t xml:space="preserve">
Reforma N° 2:
$ 2.124,58 mantenimiento de vehículo KIA KMOTOR Dir Adm.
$ 3.984,61 mantenimiento de vehículos GUALPA RAMIREZ Dir Adm.</t>
        </r>
      </text>
    </comment>
    <comment ref="F79" authorId="4" shapeId="0" xr:uid="{D2D222C5-F9DD-4D88-9EB6-64B310439DA2}">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$3097,14 a Dadm por cuadre de fuente
</t>
        </r>
        <r>
          <rPr>
            <b/>
            <sz val="9"/>
            <color rgb="FF000000"/>
            <rFont val="Tahoma"/>
            <family val="2"/>
          </rPr>
          <t>Reforma N° 4:</t>
        </r>
        <r>
          <rPr>
            <sz val="9"/>
            <color rgb="FF000000"/>
            <rFont val="Tahoma"/>
            <family val="2"/>
          </rPr>
          <t xml:space="preserve">
Se redujo $ 2.500,00 DADM por efecto de informe de seguimiento.
</t>
        </r>
        <r>
          <rPr>
            <b/>
            <sz val="9"/>
            <color rgb="FF000000"/>
            <rFont val="Tahoma"/>
            <family val="2"/>
          </rPr>
          <t>Reforma N° 5:</t>
        </r>
        <r>
          <rPr>
            <sz val="9"/>
            <color rgb="FF000000"/>
            <rFont val="Tahoma"/>
            <family val="2"/>
          </rPr>
          <t xml:space="preserve">
Se redujo $ 6.000,00 por adjudicación del contrato por un valor menor al planificado, Dir. Adm.
Reforma N° 6:
Se redujo $ 45,24 Dir. Adm.</t>
        </r>
      </text>
    </comment>
    <comment ref="E80" authorId="5" shapeId="0" xr:uid="{F03C031F-1E9A-4AFA-8999-2A66764B16B0}">
      <text>
        <r>
          <rPr>
            <b/>
            <sz val="9"/>
            <color rgb="FF000000"/>
            <rFont val="Tahoma"/>
            <family val="2"/>
          </rPr>
          <t>Eunice Basilio:</t>
        </r>
        <r>
          <rPr>
            <sz val="9"/>
            <color rgb="FF000000"/>
            <rFont val="Tahoma"/>
            <family val="2"/>
          </rPr>
          <t xml:space="preserve">
Reforma N° 3:
Se incrementó $ 200,00 según memo N° DADM-2023-0335-M_16052023.</t>
        </r>
      </text>
    </comment>
    <comment ref="E81" authorId="2" shapeId="0" xr:uid="{EDC4C3E1-733A-46C1-A22F-212C4462D17F}">
      <text>
        <r>
          <rPr>
            <b/>
            <sz val="9"/>
            <color indexed="81"/>
            <rFont val="Tahoma"/>
            <family val="2"/>
          </rPr>
          <t>Admin:</t>
        </r>
        <r>
          <rPr>
            <sz val="9"/>
            <color indexed="81"/>
            <rFont val="Tahoma"/>
            <family val="2"/>
          </rPr>
          <t xml:space="preserve">
Reforma N° 6:
Se incrementa $6.300,00 para dar mantenimiento al monumento de los próceres.</t>
        </r>
      </text>
    </comment>
    <comment ref="E82" authorId="4" shapeId="0" xr:uid="{BF9B72F1-1347-4074-9C33-6FB576F167B5}">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$17.474,61 para estudio de obra de infraestructura conforme reunión de seguimiento con Rectorado.
</t>
        </r>
        <r>
          <rPr>
            <b/>
            <sz val="9"/>
            <color rgb="FF000000"/>
            <rFont val="Tahoma"/>
            <family val="2"/>
          </rPr>
          <t>Reforma N° 4:</t>
        </r>
        <r>
          <rPr>
            <sz val="9"/>
            <color rgb="FF000000"/>
            <rFont val="Tahoma"/>
            <family val="2"/>
          </rPr>
          <t xml:space="preserve">
Se incrementó $ 136.405,46 para estudios especializados por efecto del sismo, Dir. Administrativa.</t>
        </r>
      </text>
    </comment>
    <comment ref="F82" authorId="2" shapeId="0" xr:uid="{51A276FC-5C65-4CF2-8906-09DDF675B95C}">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$ 1.974,61 DPLAN por efecto de informe de seguimiento.
</t>
        </r>
        <r>
          <rPr>
            <b/>
            <sz val="9"/>
            <color rgb="FF000000"/>
            <rFont val="Tahoma"/>
            <family val="2"/>
          </rPr>
          <t>Reforma N° 5:</t>
        </r>
        <r>
          <rPr>
            <sz val="9"/>
            <color rgb="FF000000"/>
            <rFont val="Tahoma"/>
            <family val="2"/>
          </rPr>
          <t xml:space="preserve">
Se redujo $ 14.614,87 por ser saldo no ejecutado, Dir. Adm.</t>
        </r>
      </text>
    </comment>
    <comment ref="E83" authorId="0" shapeId="0" xr:uid="{E62E6716-F8D6-4501-AC26-42782D351599}">
      <text>
        <r>
          <rPr>
            <b/>
            <sz val="9"/>
            <color rgb="FF000000"/>
            <rFont val="Tahoma"/>
            <family val="2"/>
          </rPr>
          <t>Microsoft Office User:</t>
        </r>
        <r>
          <rPr>
            <sz val="9"/>
            <color rgb="FF000000"/>
            <rFont val="Tahoma"/>
            <family val="2"/>
          </rPr>
          <t xml:space="preserve">
Reforma N° 4:
Se incrementó $ 67.200,00, según memo N° UTMACH-DADM-2023-0648-M (Alcance al M_0645)_29072023.
Se incrementó $ 16.800,00, según memo N° UTMACH-DADM-UOIFM-2023-0213-M_29072023, para los Estudios, Diseño y Construcción del Espacio Cultural Universitario (Concha Acústica) DPLAN.</t>
        </r>
      </text>
    </comment>
    <comment ref="F83" authorId="3" shapeId="0" xr:uid="{6B819451-163C-4903-87CB-9F7F2ADEC99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 xml:space="preserve">Se redujo $31.807,16 Dir.Académica por Memo nro DACAD-2023-0133 y en virtud de oficio Nro. MEF-SP-2023-0501 para atender Memo Nro. 0399 de DADM.
</t>
        </r>
        <r>
          <rPr>
            <b/>
            <sz val="9"/>
            <color rgb="FF000000"/>
            <rFont val="Tahoma"/>
            <family val="2"/>
          </rPr>
          <t>Reforma N° 5:</t>
        </r>
        <r>
          <rPr>
            <sz val="9"/>
            <color rgb="FF000000"/>
            <rFont val="Tahoma"/>
            <family val="2"/>
          </rPr>
          <t xml:space="preserve">
Se redujo $ 9.000,00 por ser saldo no ejecutado, DPLAN y Dir. Adm.</t>
        </r>
      </text>
    </comment>
    <comment ref="E84" authorId="4" shapeId="0" xr:uid="{D5C9163C-059D-4E4F-B856-DCC5BF0AD642}">
      <text>
        <r>
          <rPr>
            <b/>
            <sz val="9"/>
            <color rgb="FF000000"/>
            <rFont val="Tahoma"/>
            <family val="2"/>
          </rPr>
          <t>Valeria Ramon Capa:</t>
        </r>
        <r>
          <rPr>
            <sz val="9"/>
            <color rgb="FF000000"/>
            <rFont val="Tahoma"/>
            <family val="2"/>
          </rPr>
          <t xml:space="preserve">
Reforma N° 3: 
Se incrementó $7056 según Memo N CGR-2023-0180-M.</t>
        </r>
      </text>
    </comment>
    <comment ref="F84" authorId="2" shapeId="0" xr:uid="{50008AEA-FBAC-4E15-BE51-43C9A1C1C19A}">
      <text>
        <r>
          <rPr>
            <b/>
            <sz val="9"/>
            <color rgb="FF000000"/>
            <rFont val="Tahoma"/>
            <family val="2"/>
          </rPr>
          <t>Admin:</t>
        </r>
        <r>
          <rPr>
            <sz val="9"/>
            <color rgb="FF000000"/>
            <rFont val="Tahoma"/>
            <family val="2"/>
          </rPr>
          <t xml:space="preserve">
Reforma N° 4:
Se redujo $ 756,00 Rectorado por saldo no ejecutado, Certificación N° 255.</t>
        </r>
      </text>
    </comment>
    <comment ref="F85" authorId="4" shapeId="0" xr:uid="{A347AF28-31FD-43EC-BD06-970F6088539C}">
      <text>
        <r>
          <rPr>
            <b/>
            <sz val="10"/>
            <color rgb="FF000000"/>
            <rFont val="Tahoma"/>
            <family val="2"/>
          </rPr>
          <t xml:space="preserve">Valeria Ramon Capa:
</t>
        </r>
        <r>
          <rPr>
            <sz val="9"/>
            <color rgb="FF000000"/>
            <rFont val="Tahoma"/>
            <family val="34"/>
          </rPr>
          <t>Reforma N° 3:
Se reduce $30.016,00 a Secretaría General por seguimiento y en virtud de oficio Nro. MEF-SP-2023-0501 para atender Memo Nro. 0399 de DADM.</t>
        </r>
      </text>
    </comment>
    <comment ref="E86" authorId="0" shapeId="0" xr:uid="{BC5AD27E-2208-4466-993C-8F4E93EE5738}">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aumenta $ 1315,45 en el POA de DTH para atender memo nro. DTAH-2023-1017-M, considerando el saldo de $ 96,55 en la partida.
Se aumenta $ 8.000,00 + $ 7.156,55 en el POA de DTH para atender memo nro. DTH-2023-1131-M.
</t>
        </r>
        <r>
          <rPr>
            <b/>
            <sz val="9"/>
            <color rgb="FF000000"/>
            <rFont val="Tahoma"/>
            <family val="2"/>
          </rPr>
          <t>Reforma N° 5:</t>
        </r>
        <r>
          <rPr>
            <sz val="9"/>
            <color rgb="FF000000"/>
            <rFont val="Tahoma"/>
            <family val="2"/>
          </rPr>
          <t xml:space="preserve">
Se incrementó $ 16.472,00 según memo N° UTMACH-DF-UPSTO-2023-1079-M_27092023.</t>
        </r>
      </text>
    </comment>
    <comment ref="F86" authorId="5" shapeId="0" xr:uid="{30BC65DA-1728-4EBC-9C00-5E075F5BFD79}">
      <text>
        <r>
          <rPr>
            <sz val="12"/>
            <color theme="1"/>
            <rFont val="Arial"/>
            <family val="2"/>
            <scheme val="minor"/>
          </rPr>
          <t>Eunice Basilio:
Reforma N° 2:
Se redujo $ 284.523,80 conforme archivo POA 2023.
Reforma N° 3:
Se redujo $3.848,46, no se encuentra asignado en POA.
Reforma N° 6:
Se redujo $761,33+260,00 a DTH por ser valor no ejecutado en virtud de seguimiento.</t>
        </r>
      </text>
    </comment>
    <comment ref="E87" authorId="5" shapeId="0" xr:uid="{215757EA-415C-44DF-A2FB-F9B7ABCBEC6D}">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$ 12.060,16 según memo N° DTIC-2023-0088-M_04052023
</t>
        </r>
        <r>
          <rPr>
            <b/>
            <sz val="9"/>
            <color rgb="FF000000"/>
            <rFont val="Tahoma"/>
            <family val="2"/>
          </rPr>
          <t>Reforma N° 4:</t>
        </r>
        <r>
          <rPr>
            <sz val="9"/>
            <color rgb="FF000000"/>
            <rFont val="Tahoma"/>
            <family val="2"/>
          </rPr>
          <t xml:space="preserve">
Se incrementa $ 1.881,60 en el POA de DTIC para la atención del memo nro. XXXXXX. </t>
        </r>
      </text>
    </comment>
    <comment ref="F87" authorId="2" shapeId="0" xr:uid="{4AD62ECC-3DE4-4E24-BE7E-9D83CBEEEBE8}">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redujo $ 2.887,36 por ser saldo no ejecutado, DTICS.
</t>
        </r>
        <r>
          <rPr>
            <b/>
            <sz val="9"/>
            <color indexed="81"/>
            <rFont val="Tahoma"/>
            <family val="2"/>
          </rPr>
          <t>Reforma N° 6:</t>
        </r>
        <r>
          <rPr>
            <sz val="9"/>
            <color indexed="81"/>
            <rFont val="Tahoma"/>
            <family val="2"/>
          </rPr>
          <t xml:space="preserve">
Se redujo $ 1.184,40 DTIC</t>
        </r>
      </text>
    </comment>
    <comment ref="E88" authorId="4" shapeId="0" xr:uid="{6B19861B-A195-47B7-B729-B2B78398939B}">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incrementó $ 6.000,00 por atención a memo nro 0764 DTH.
</t>
        </r>
        <r>
          <rPr>
            <b/>
            <sz val="9"/>
            <color rgb="FF000000"/>
            <rFont val="Tahoma"/>
            <family val="2"/>
          </rPr>
          <t>Reforma N° 6:</t>
        </r>
        <r>
          <rPr>
            <sz val="9"/>
            <color rgb="FF000000"/>
            <rFont val="Tahoma"/>
            <family val="2"/>
          </rPr>
          <t xml:space="preserve">
Se incrementó $ 5.000,00 según memo N° DTH-2023-1495-M_10/10/2023.</t>
        </r>
      </text>
    </comment>
    <comment ref="F88" authorId="3" shapeId="0" xr:uid="{0EA0D48C-309B-4209-B7EB-C8162AB6C5AE}">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$ 90.884,73, se sacó del POA 2023 de la DTH ítem Para sumar a la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$ 6.000,00 DTH por efecto de informe de seguimiento.</t>
        </r>
      </text>
    </comment>
    <comment ref="E89" authorId="0" shapeId="0" xr:uid="{020F3D98-A0FC-46C2-9266-DCA70A99911A}">
      <text>
        <r>
          <rPr>
            <b/>
            <sz val="9"/>
            <color rgb="FF000000"/>
            <rFont val="Tahoma"/>
            <family val="2"/>
          </rPr>
          <t>Microsoft Office User:</t>
        </r>
        <r>
          <rPr>
            <sz val="9"/>
            <color rgb="FF000000"/>
            <rFont val="Tahoma"/>
            <family val="2"/>
          </rPr>
          <t xml:space="preserve">
Reforma N° 4:
Se incrementa $ 2.500,00 para atender pedido del memo nro. UTMACH-DADM-2023-0651-M.</t>
        </r>
      </text>
    </comment>
    <comment ref="F89" authorId="2" shapeId="0" xr:uid="{ADA39EFB-84AD-45E8-B68E-6F06211D2B58}">
      <text>
        <r>
          <rPr>
            <b/>
            <sz val="9"/>
            <color indexed="81"/>
            <rFont val="Tahoma"/>
            <family val="2"/>
          </rPr>
          <t>Admin:</t>
        </r>
        <r>
          <rPr>
            <sz val="9"/>
            <color indexed="81"/>
            <rFont val="Tahoma"/>
            <family val="2"/>
          </rPr>
          <t xml:space="preserve">
Reforma N° 5:
Se redujo $ 267,86 Dir. Adm. (Cert. P N° 520)</t>
        </r>
      </text>
    </comment>
    <comment ref="F90" authorId="1" shapeId="0" xr:uid="{55F54901-74FE-4530-A72F-B1003814D1E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$ 1.008,00 según memo N</t>
        </r>
        <r>
          <rPr>
            <sz val="9"/>
            <color rgb="FF000000"/>
            <rFont val="Tahoma"/>
            <family val="2"/>
          </rPr>
          <t>°</t>
        </r>
        <r>
          <rPr>
            <sz val="9"/>
            <color rgb="FF000000"/>
            <rFont val="Tahoma"/>
            <family val="2"/>
          </rPr>
          <t xml:space="preserve"> UTMACH-DAC-2023-0056-M_24032023
</t>
        </r>
        <r>
          <rPr>
            <sz val="9"/>
            <color rgb="FF000000"/>
            <rFont val="Tahoma"/>
            <family val="2"/>
          </rPr>
          <t>UTMACH-DAC-2023-0059-M_27032023 (Alcance M_0056)</t>
        </r>
      </text>
    </comment>
    <comment ref="E91" authorId="1" shapeId="0" xr:uid="{A03A8AF5-8FE6-472C-AC15-8C47B98FE901}">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$ 250,00 según memo N° DADM-2023-0335-M_16052023.
</t>
        </r>
        <r>
          <rPr>
            <b/>
            <sz val="9"/>
            <color rgb="FF000000"/>
            <rFont val="Tahoma"/>
            <family val="2"/>
          </rPr>
          <t>Reforma N° 4:</t>
        </r>
        <r>
          <rPr>
            <sz val="9"/>
            <color rgb="FF000000"/>
            <rFont val="Tahoma"/>
            <family val="2"/>
          </rPr>
          <t xml:space="preserve">
Se incrementa $ 2.184,00 según memo nro. DADM-2023-0645-M.
</t>
        </r>
        <r>
          <rPr>
            <b/>
            <sz val="9"/>
            <color rgb="FF000000"/>
            <rFont val="Tahoma"/>
            <family val="2"/>
          </rPr>
          <t>Reforma N° 5:</t>
        </r>
        <r>
          <rPr>
            <sz val="9"/>
            <color rgb="FF000000"/>
            <rFont val="Tahoma"/>
            <family val="2"/>
          </rPr>
          <t xml:space="preserve">
Se incrementó 1.420,03 según memo N° UTMACH-DF-UPSTO-2023-1079-M_27092023.</t>
        </r>
      </text>
    </comment>
    <comment ref="F91" authorId="2" shapeId="0" xr:uid="{1278E623-E516-4D9E-94A9-816CB1CFCF09}">
      <text>
        <r>
          <rPr>
            <b/>
            <sz val="9"/>
            <color rgb="FF000000"/>
            <rFont val="Tahoma"/>
            <family val="2"/>
          </rPr>
          <t>Admin:
Reforma N° 4:</t>
        </r>
        <r>
          <rPr>
            <sz val="9"/>
            <color rgb="FF000000"/>
            <rFont val="Tahoma"/>
            <family val="2"/>
          </rPr>
          <t xml:space="preserve">
Se reduce $ 672,00 Rectorado por efecto de informe de seguimiento.
</t>
        </r>
        <r>
          <rPr>
            <b/>
            <sz val="9"/>
            <color rgb="FF000000"/>
            <rFont val="Tahoma"/>
            <family val="2"/>
          </rPr>
          <t>Reforma N° 6:</t>
        </r>
        <r>
          <rPr>
            <sz val="9"/>
            <color rgb="FF000000"/>
            <rFont val="Tahoma"/>
            <family val="2"/>
          </rPr>
          <t xml:space="preserve">
Se redujo $ 2.184,00 Dir. Adm.</t>
        </r>
      </text>
    </comment>
    <comment ref="E92" authorId="3" shapeId="0" xr:uid="{68F640C7-D501-48E9-84B3-80F19066C38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$ 287,08, según Memorando N</t>
        </r>
        <r>
          <rPr>
            <sz val="9"/>
            <color rgb="FF000000"/>
            <rFont val="Tahoma"/>
            <family val="2"/>
          </rPr>
          <t>°</t>
        </r>
        <r>
          <rPr>
            <sz val="9"/>
            <color rgb="FF000000"/>
            <rFont val="Tahoma"/>
            <family val="2"/>
          </rPr>
          <t xml:space="preserve"> UTMACH-DBUAC-2023-0012-M del 12/01/2023.</t>
        </r>
      </text>
    </comment>
    <comment ref="F92" authorId="2" shapeId="0" xr:uid="{19BFA11F-AE20-4C56-8948-09115C41BC83}">
      <text>
        <r>
          <rPr>
            <b/>
            <sz val="9"/>
            <color indexed="81"/>
            <rFont val="Tahoma"/>
            <family val="2"/>
          </rPr>
          <t>Admin:</t>
        </r>
        <r>
          <rPr>
            <sz val="9"/>
            <color indexed="81"/>
            <rFont val="Tahoma"/>
            <family val="2"/>
          </rPr>
          <t xml:space="preserve">
Reforma N° 5:
Se redujo $ 88,09 por ser saldo no ejecutado, DBUAC.</t>
        </r>
      </text>
    </comment>
    <comment ref="E93" authorId="4" shapeId="0" xr:uid="{C0ABBAD2-403B-4ECC-B516-DFAE6FDD70ED}">
      <text>
        <r>
          <rPr>
            <b/>
            <sz val="9"/>
            <color rgb="FF000000"/>
            <rFont val="Tahoma"/>
            <family val="2"/>
          </rPr>
          <t>Valeria Ramon Capa:</t>
        </r>
        <r>
          <rPr>
            <sz val="9"/>
            <color rgb="FF000000"/>
            <rFont val="Tahoma"/>
            <family val="2"/>
          </rPr>
          <t xml:space="preserve">
Reforma N° 3: 
Se incrementó $8.000 en virtud de memo nro 0764 DTH.</t>
        </r>
      </text>
    </comment>
    <comment ref="F93" authorId="2" shapeId="0" xr:uid="{68EF6E99-1071-4C1F-89DC-B5D3783845E0}">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$ 3.660,23 DTH por efecto de informe de seguimiento.
Se redujo $ 3.264,00 DTH por efecto de informe de seguimiento.
</t>
        </r>
        <r>
          <rPr>
            <b/>
            <sz val="9"/>
            <color rgb="FF000000"/>
            <rFont val="Tahoma"/>
            <family val="2"/>
          </rPr>
          <t>Reforma N° 5:</t>
        </r>
        <r>
          <rPr>
            <sz val="9"/>
            <color rgb="FF000000"/>
            <rFont val="Tahoma"/>
            <family val="2"/>
          </rPr>
          <t xml:space="preserve">
Se redujo $ 6.145,54 por ser saldo no ejecutado, DTH.</t>
        </r>
      </text>
    </comment>
    <comment ref="F94" authorId="3" shapeId="0" xr:uid="{5BE02EB6-E6C3-42BA-B69F-687AB6C6BC74}">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$ 37.040,00 para pasar a la partida de combustible. Dir. Administrativa.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$ 5.000,00 DADM por efecto de informe de seguimiento.</t>
        </r>
      </text>
    </comment>
    <comment ref="E95" authorId="5" shapeId="0" xr:uid="{0E5545A1-66D3-4AC0-81CD-5F241A6A5D24}">
      <text>
        <r>
          <rPr>
            <b/>
            <sz val="9"/>
            <color rgb="FF000000"/>
            <rFont val="Tahoma"/>
            <family val="2"/>
          </rPr>
          <t>Eunice Basilio:</t>
        </r>
        <r>
          <rPr>
            <sz val="9"/>
            <color rgb="FF000000"/>
            <rFont val="Tahoma"/>
            <family val="2"/>
          </rPr>
          <t xml:space="preserve">
Reforma N° 3:
Se incrementó $ 30,00 según memo N° DTIC-2023-0088-M_04052023.</t>
        </r>
      </text>
    </comment>
    <comment ref="F95" authorId="2" shapeId="0" xr:uid="{01A55FCE-E303-4B7A-B59D-2EBE445F546A}">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$ 3,22 DTIC por efecto de informe de seguimiento.
</t>
        </r>
        <r>
          <rPr>
            <b/>
            <sz val="9"/>
            <color rgb="FF000000"/>
            <rFont val="Tahoma"/>
            <family val="2"/>
          </rPr>
          <t>Reforma N° 5:</t>
        </r>
        <r>
          <rPr>
            <sz val="9"/>
            <color rgb="FF000000"/>
            <rFont val="Tahoma"/>
            <family val="2"/>
          </rPr>
          <t xml:space="preserve">
Se redujo $ 5,66 por ser saldo no ejecutado, DTIC.</t>
        </r>
      </text>
    </comment>
    <comment ref="E96" authorId="3" shapeId="0" xr:uid="{D9BED16A-886D-42CE-81BE-288818307834}">
      <text>
        <r>
          <rPr>
            <b/>
            <sz val="9"/>
            <color rgb="FF000000"/>
            <rFont val="Tahoma"/>
            <family val="2"/>
          </rPr>
          <t>HP:</t>
        </r>
        <r>
          <rPr>
            <sz val="9"/>
            <color rgb="FF000000"/>
            <rFont val="Tahoma"/>
            <family val="2"/>
          </rPr>
          <t xml:space="preserve">
Reforma N° 2:
Se rincrementó 16.800,00 Dir Adm
77,28 DAC que pasó de fuente 3 a fuente 2.</t>
        </r>
      </text>
    </comment>
    <comment ref="F96" authorId="1" shapeId="0" xr:uid="{30B60EDE-F8B7-4B97-9E7B-21903EA19A23}">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$ 61,09 en Dir. Administrativa.
</t>
        </r>
        <r>
          <rPr>
            <b/>
            <sz val="9"/>
            <color rgb="FF000000"/>
            <rFont val="Tahoma"/>
            <family val="2"/>
          </rPr>
          <t>Reforma N° 4:</t>
        </r>
        <r>
          <rPr>
            <sz val="9"/>
            <color rgb="FF000000"/>
            <rFont val="Tahoma"/>
            <family val="2"/>
          </rPr>
          <t xml:space="preserve">
Se redujo $ 3.000,00 DADM por efecto de informe de seguimiento.
</t>
        </r>
        <r>
          <rPr>
            <b/>
            <sz val="9"/>
            <color rgb="FF000000"/>
            <rFont val="Tahoma"/>
            <family val="2"/>
          </rPr>
          <t>Reforma N° 6:</t>
        </r>
        <r>
          <rPr>
            <sz val="9"/>
            <color rgb="FF000000"/>
            <rFont val="Tahoma"/>
            <family val="2"/>
          </rPr>
          <t xml:space="preserve">
Se redujo $ 388,64 Dir. Adm.</t>
        </r>
      </text>
    </comment>
    <comment ref="F97" authorId="3" shapeId="0" xr:uid="{56956033-62DF-401C-8C10-5B89484D1E0E}">
      <text>
        <r>
          <rPr>
            <b/>
            <sz val="9"/>
            <color rgb="FF000000"/>
            <rFont val="Tahoma"/>
            <family val="2"/>
          </rPr>
          <t>HP:</t>
        </r>
        <r>
          <rPr>
            <sz val="9"/>
            <color rgb="FF000000"/>
            <rFont val="Tahoma"/>
            <family val="2"/>
          </rPr>
          <t xml:space="preserve">
Reforma N° 2:
Se redujo 16.800,00 Dir Adm
77,28 DAC que pasan a fuente 2.</t>
        </r>
      </text>
    </comment>
    <comment ref="E98" authorId="4" shapeId="0" xr:uid="{AC22B2F7-EC05-4C2C-9DB3-60002F8494F4}">
      <text>
        <r>
          <rPr>
            <b/>
            <sz val="7"/>
            <color rgb="FF000000"/>
            <rFont val="Tahoma"/>
            <family val="2"/>
          </rPr>
          <t>Valeria Ramon Capa:</t>
        </r>
        <r>
          <rPr>
            <sz val="7"/>
            <color rgb="FF000000"/>
            <rFont val="Tahoma"/>
            <family val="2"/>
          </rPr>
          <t xml:space="preserve">
</t>
        </r>
        <r>
          <rPr>
            <sz val="9"/>
            <color rgb="FF000000"/>
            <rFont val="Tahoma"/>
            <family val="34"/>
          </rPr>
          <t>Reforma N° 3:
Se incrementó $ 250,00 según memo N° DADM-2023-0335-M_16052023.</t>
        </r>
      </text>
    </comment>
    <comment ref="F98" authorId="2" shapeId="0" xr:uid="{A159DABB-804E-414A-861F-3DC8D22075B2}">
      <text>
        <r>
          <rPr>
            <sz val="9"/>
            <color rgb="FF000000"/>
            <rFont val="Tahoma"/>
            <family val="2"/>
          </rPr>
          <t>Admin:
Reforma N° 4:
Se redujo $ 2.000,00 DADM por efecto de informe de seguimiento.
Reforma N° 6:
Se redujo $ 125,51 Dir. Adm.</t>
        </r>
      </text>
    </comment>
    <comment ref="E99" authorId="2" shapeId="0" xr:uid="{26A9282D-00C1-4165-848F-96A58F6ABDD8}">
      <text>
        <r>
          <rPr>
            <b/>
            <sz val="9"/>
            <color indexed="81"/>
            <rFont val="Tahoma"/>
            <charset val="1"/>
          </rPr>
          <t>Admin:</t>
        </r>
        <r>
          <rPr>
            <sz val="9"/>
            <color indexed="81"/>
            <rFont val="Tahoma"/>
            <charset val="1"/>
          </rPr>
          <t xml:space="preserve">
Reforma N° 6:
Se incrementó $ 800,00 según memo N° UTMACH-DBUAC-2023-0792-M_18/09/2023.
Se incrementó $ 6.053,60 según memo N° DIRCOM-2023-0163-M_21/09/2023.</t>
        </r>
      </text>
    </comment>
    <comment ref="F99" authorId="3" shapeId="0" xr:uid="{50599AED-D0DB-46AF-8C71-CDF23B1A6CB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$ 10.000,00 Dir. Administrativa
</t>
        </r>
        <r>
          <rPr>
            <b/>
            <sz val="9"/>
            <color rgb="FF000000"/>
            <rFont val="Tahoma"/>
            <family val="2"/>
          </rPr>
          <t>Reforma N° 3:</t>
        </r>
        <r>
          <rPr>
            <sz val="9"/>
            <color rgb="FF000000"/>
            <rFont val="Tahoma"/>
            <family val="2"/>
          </rPr>
          <t xml:space="preserve">
Se redujo $ 26.320,00, según memo N° DBUAC-2023-0124-M_03032023
</t>
        </r>
        <r>
          <rPr>
            <b/>
            <sz val="9"/>
            <color rgb="FF000000"/>
            <rFont val="Tahoma"/>
            <family val="2"/>
          </rPr>
          <t>Reforma N° 4:</t>
        </r>
        <r>
          <rPr>
            <sz val="9"/>
            <color rgb="FF000000"/>
            <rFont val="Tahoma"/>
            <family val="2"/>
          </rPr>
          <t xml:space="preserve">
Se redujo $ 1.400,00 DADM por efecto de informe de seguimiento.
</t>
        </r>
        <r>
          <rPr>
            <b/>
            <sz val="9"/>
            <color rgb="FF000000"/>
            <rFont val="Tahoma"/>
            <family val="2"/>
          </rPr>
          <t>Reforma N° 6:</t>
        </r>
        <r>
          <rPr>
            <sz val="9"/>
            <color rgb="FF000000"/>
            <rFont val="Tahoma"/>
            <family val="2"/>
          </rPr>
          <t xml:space="preserve">
Se redujo $ 82,22 Dir. Adm.</t>
        </r>
      </text>
    </comment>
    <comment ref="E100" authorId="2" shapeId="0" xr:uid="{E4C97C71-D093-4136-84C4-F542BAAC2698}">
      <text>
        <r>
          <rPr>
            <b/>
            <sz val="9"/>
            <color indexed="81"/>
            <rFont val="Tahoma"/>
            <family val="2"/>
          </rPr>
          <t>Admin:</t>
        </r>
        <r>
          <rPr>
            <sz val="9"/>
            <color indexed="81"/>
            <rFont val="Tahoma"/>
            <family val="2"/>
          </rPr>
          <t xml:space="preserve">
Reforma N° 5:
Se incrementó $ 49.108,37 según memo N° UTMACH-DF-UPSTO-2023-1079-M_27/09/2023.</t>
        </r>
      </text>
    </comment>
    <comment ref="E101" authorId="0" shapeId="0" xr:uid="{184ACFFD-11BE-4006-B27C-952064A82838}">
      <text>
        <r>
          <rPr>
            <b/>
            <sz val="9"/>
            <color rgb="FF000000"/>
            <rFont val="Tahoma"/>
            <family val="2"/>
          </rPr>
          <t>Microsoft Office User:</t>
        </r>
        <r>
          <rPr>
            <sz val="9"/>
            <color rgb="FF000000"/>
            <rFont val="Tahoma"/>
            <family val="2"/>
          </rPr>
          <t xml:space="preserve">
Reforma N° 4:
Se incrementa $ 49.108,37 para atender memo nro. DUAC-2023-0656-M.</t>
        </r>
      </text>
    </comment>
    <comment ref="F101" authorId="4" shapeId="0" xr:uid="{F8D2FC1E-ED47-4B9E-88A6-97B867AFF218}">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Reducción de $7.000 a DTH por memo nro 0764_06062023.
</t>
        </r>
        <r>
          <rPr>
            <b/>
            <sz val="9"/>
            <color rgb="FF000000"/>
            <rFont val="Tahoma"/>
            <family val="2"/>
          </rPr>
          <t>Reforma N° 5:</t>
        </r>
        <r>
          <rPr>
            <sz val="9"/>
            <color rgb="FF000000"/>
            <rFont val="Tahoma"/>
            <family val="2"/>
          </rPr>
          <t xml:space="preserve">
Se redujo $ 1.593,10 por ser saldo no ejecutado, USSRT.</t>
        </r>
      </text>
    </comment>
    <comment ref="E102" authorId="5" shapeId="0" xr:uid="{69272A75-CE15-43C7-9BB3-AB29FE580EB2}">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$ 600,00 según memo N° DTIC-2023-0088-M_04052023.
</t>
        </r>
        <r>
          <rPr>
            <b/>
            <sz val="9"/>
            <color rgb="FF000000"/>
            <rFont val="Tahoma"/>
            <family val="2"/>
          </rPr>
          <t>Reforma N° 6:</t>
        </r>
        <r>
          <rPr>
            <sz val="9"/>
            <color rgb="FF000000"/>
            <rFont val="Tahoma"/>
            <family val="2"/>
          </rPr>
          <t xml:space="preserve">
Se incrementó $ 600,00 según memo N° DTIC-2023-0348-M_19/10/2023.</t>
        </r>
      </text>
    </comment>
    <comment ref="F102" authorId="2" shapeId="0" xr:uid="{65B29D8C-FFB9-44E2-A061-7BD1BAC8AF20}">
      <text>
        <r>
          <rPr>
            <b/>
            <sz val="9"/>
            <color indexed="81"/>
            <rFont val="Tahoma"/>
            <family val="2"/>
          </rPr>
          <t>Admin:</t>
        </r>
        <r>
          <rPr>
            <sz val="9"/>
            <color indexed="81"/>
            <rFont val="Tahoma"/>
            <family val="2"/>
          </rPr>
          <t xml:space="preserve">
Reforma N° 5:
Se redujo $ 600,00 por ser saldo no ejecutado, DTICS.</t>
        </r>
      </text>
    </comment>
    <comment ref="E103" authorId="3" shapeId="0" xr:uid="{8FAE8EEC-D7CC-4873-85B0-CDCC8341B59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$ 4.500,00 según Oficio N° UTMACH-DADM-UOIFM-2022-555-OF del 29/12/2022.
</t>
        </r>
        <r>
          <rPr>
            <b/>
            <sz val="9"/>
            <color rgb="FF000000"/>
            <rFont val="Tahoma"/>
            <family val="2"/>
          </rPr>
          <t>Reforma N° 3:</t>
        </r>
        <r>
          <rPr>
            <sz val="9"/>
            <color rgb="FF000000"/>
            <rFont val="Tahoma"/>
            <family val="2"/>
          </rPr>
          <t xml:space="preserve">
Se incrementó $ 300,00 según memo N° DADM-2023-0335-M_16052023.</t>
        </r>
      </text>
    </comment>
    <comment ref="F103" authorId="2" shapeId="0" xr:uid="{C4E18068-4230-4502-A204-443AA3787754}">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$ 61,67 Vic. Académico por efecto de informe de seguimiento.
Se redujo $ 7.156,55 en el POA de DADM por efecto del seguimiento.
</t>
        </r>
        <r>
          <rPr>
            <b/>
            <sz val="9"/>
            <color rgb="FF000000"/>
            <rFont val="Tahoma"/>
            <family val="2"/>
          </rPr>
          <t>Reforma N° 6:</t>
        </r>
        <r>
          <rPr>
            <sz val="9"/>
            <color rgb="FF000000"/>
            <rFont val="Tahoma"/>
            <family val="2"/>
          </rPr>
          <t xml:space="preserve">
Se redujo $ 4,55 + 5.788,89 Dir. Adm. (Cert. P N° 382).
</t>
        </r>
      </text>
    </comment>
    <comment ref="E104" authorId="3" shapeId="0" xr:uid="{1A42D9BA-EAB5-4878-813F-C4D77D08017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$ 1.333,44, según Memorando N</t>
        </r>
        <r>
          <rPr>
            <sz val="9"/>
            <color rgb="FF000000"/>
            <rFont val="Tahoma"/>
            <family val="2"/>
          </rPr>
          <t>°</t>
        </r>
        <r>
          <rPr>
            <sz val="9"/>
            <color rgb="FF000000"/>
            <rFont val="Tahoma"/>
            <family val="2"/>
          </rPr>
          <t xml:space="preserve"> UTMACH-DBUAC-2023-0012-M del 12/01/2023.</t>
        </r>
      </text>
    </comment>
    <comment ref="F104" authorId="2" shapeId="0" xr:uid="{45580D38-1C3D-4A16-BE51-20EF3770DD28}">
      <text>
        <r>
          <rPr>
            <b/>
            <sz val="9"/>
            <color indexed="81"/>
            <rFont val="Tahoma"/>
            <family val="2"/>
          </rPr>
          <t>Admin:</t>
        </r>
        <r>
          <rPr>
            <sz val="9"/>
            <color indexed="81"/>
            <rFont val="Tahoma"/>
            <family val="2"/>
          </rPr>
          <t xml:space="preserve">
Reforma N° 6:
Se redujo $ 1.711,88 DBUAC.</t>
        </r>
      </text>
    </comment>
    <comment ref="E105" authorId="5" shapeId="0" xr:uid="{15E4FBB7-368A-4697-987E-F18C24C2E32C}">
      <text>
        <r>
          <rPr>
            <b/>
            <sz val="9"/>
            <color rgb="FF000000"/>
            <rFont val="Tahoma"/>
            <family val="2"/>
          </rPr>
          <t>Eunice Basilio:</t>
        </r>
        <r>
          <rPr>
            <sz val="9"/>
            <color rgb="FF000000"/>
            <rFont val="Tahoma"/>
            <family val="2"/>
          </rPr>
          <t xml:space="preserve">
Reforma N° 3:
Se incrementó $ 10.197,60 según memo N° DTIC-2023-0088-M_04052023.</t>
        </r>
      </text>
    </comment>
    <comment ref="F105" authorId="2" shapeId="0" xr:uid="{C0C92589-1973-421B-9FD0-23B4D87C474E}">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$ 2.160,45 DTIC por efecto de informe de seguimiento.
</t>
        </r>
        <r>
          <rPr>
            <b/>
            <sz val="9"/>
            <color rgb="FF000000"/>
            <rFont val="Tahoma"/>
            <family val="2"/>
          </rPr>
          <t>Reforma N° 5:</t>
        </r>
        <r>
          <rPr>
            <sz val="9"/>
            <color rgb="FF000000"/>
            <rFont val="Tahoma"/>
            <family val="2"/>
          </rPr>
          <t xml:space="preserve">
Se redujo $ 580,87 por ser saldo no ejecutado, DTICS.
</t>
        </r>
        <r>
          <rPr>
            <b/>
            <sz val="9"/>
            <color rgb="FF000000"/>
            <rFont val="Tahoma"/>
            <family val="2"/>
          </rPr>
          <t>Reforma N° 6:</t>
        </r>
        <r>
          <rPr>
            <sz val="9"/>
            <color rgb="FF000000"/>
            <rFont val="Tahoma"/>
            <family val="2"/>
          </rPr>
          <t xml:space="preserve">
Se redujo $ 1,206,51 DTIC (Cert. P N° 499)</t>
        </r>
      </text>
    </comment>
    <comment ref="E106" authorId="1" shapeId="0" xr:uid="{F77A4F6A-60C9-4590-884F-72DCF04FE654}">
      <text>
        <r>
          <rPr>
            <b/>
            <sz val="9"/>
            <color rgb="FF000000"/>
            <rFont val="Tahoma"/>
            <family val="2"/>
          </rPr>
          <t>LENOVO:</t>
        </r>
        <r>
          <rPr>
            <sz val="9"/>
            <color rgb="FF000000"/>
            <rFont val="Tahoma"/>
            <family val="2"/>
          </rPr>
          <t xml:space="preserve">
Reforma N° 3:
Se incrementó $ 400,00 según memo N° DADM-2023-0335-M_16052023.</t>
        </r>
      </text>
    </comment>
    <comment ref="F106" authorId="2" shapeId="0" xr:uid="{3245793E-7D47-4DA5-AF36-ADDD3374C39D}">
      <text>
        <r>
          <rPr>
            <b/>
            <sz val="9"/>
            <color indexed="81"/>
            <rFont val="Tahoma"/>
            <family val="2"/>
          </rPr>
          <t>Admin:</t>
        </r>
        <r>
          <rPr>
            <sz val="9"/>
            <color indexed="81"/>
            <rFont val="Tahoma"/>
            <family val="2"/>
          </rPr>
          <t xml:space="preserve">
Reforma N° 6:
Se redujo $ 435,48 UOIU</t>
        </r>
      </text>
    </comment>
    <comment ref="E107" authorId="1" shapeId="0" xr:uid="{99042E79-6954-4FEF-8FE4-72C8EC0D708B}">
      <text>
        <r>
          <rPr>
            <b/>
            <sz val="9"/>
            <color rgb="FF000000"/>
            <rFont val="Tahoma"/>
            <family val="2"/>
          </rPr>
          <t>LENOVO:</t>
        </r>
        <r>
          <rPr>
            <sz val="9"/>
            <color rgb="FF000000"/>
            <rFont val="Tahoma"/>
            <family val="2"/>
          </rPr>
          <t xml:space="preserve">
Reforma N° 3:
Se incrementó $ 100,00 según memo N° DADM-2023-0335-M_16052023.</t>
        </r>
      </text>
    </comment>
    <comment ref="E108" authorId="3" shapeId="0" xr:uid="{4B816153-A028-416B-8AFF-3399E87A37F9}">
      <text>
        <r>
          <rPr>
            <b/>
            <sz val="9"/>
            <color rgb="FF000000"/>
            <rFont val="Tahoma"/>
            <family val="2"/>
          </rPr>
          <t>HP:</t>
        </r>
        <r>
          <rPr>
            <sz val="9"/>
            <color rgb="FF000000"/>
            <rFont val="Tahoma"/>
            <family val="2"/>
          </rPr>
          <t xml:space="preserve">
</t>
        </r>
        <r>
          <rPr>
            <b/>
            <sz val="9"/>
            <color rgb="FF000000"/>
            <rFont val="Tahoma"/>
            <family val="2"/>
          </rPr>
          <t xml:space="preserve">Reforma N° 3:
</t>
        </r>
        <r>
          <rPr>
            <sz val="9"/>
            <color rgb="FF000000"/>
            <rFont val="Tahoma"/>
            <family val="2"/>
          </rPr>
          <t>Se incrementó $2.000 a DTH por memo nro 0764_06062023.</t>
        </r>
      </text>
    </comment>
    <comment ref="E109" authorId="3" shapeId="0" xr:uid="{6418C65E-56BF-48F2-8380-3DB34FD2776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40.000,00 para Uniformes Personal LOSEP DTH.
</t>
        </r>
        <r>
          <rPr>
            <b/>
            <sz val="9"/>
            <color rgb="FF000000"/>
            <rFont val="Tahoma"/>
            <family val="2"/>
          </rPr>
          <t xml:space="preserve">Reforma N° 3:
</t>
        </r>
        <r>
          <rPr>
            <sz val="9"/>
            <color rgb="FF000000"/>
            <rFont val="Tahoma"/>
            <family val="2"/>
          </rPr>
          <t>Se incrementó $5.000,00 a DTH por memo nro 0764_06062023.</t>
        </r>
      </text>
    </comment>
    <comment ref="F110" authorId="3" shapeId="0" xr:uid="{F9FB752A-730C-4CAB-B5D6-CD9E70C5D42E}">
      <text>
        <r>
          <rPr>
            <b/>
            <sz val="9"/>
            <color rgb="FF000000"/>
            <rFont val="Tahoma"/>
            <family val="2"/>
          </rPr>
          <t>HP:</t>
        </r>
        <r>
          <rPr>
            <sz val="9"/>
            <color rgb="FF000000"/>
            <rFont val="Tahoma"/>
            <family val="2"/>
          </rPr>
          <t xml:space="preserve">
Reforma N° 2:
Se redujo 2.340,60.</t>
        </r>
      </text>
    </comment>
    <comment ref="F111" authorId="3" shapeId="0" xr:uid="{FA96EECE-B0E7-4900-AB53-9F5F61C1FBB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$ 34.363,67 del POA DBU por tener los ítems con precios mayores de $ 100.00.
Se redujo $ 56.000,00 para la readecuación de las entradas de la UTMACH. Vic. Administrativo.
</t>
        </r>
        <r>
          <rPr>
            <b/>
            <sz val="9"/>
            <color rgb="FF000000"/>
            <rFont val="Tahoma"/>
            <family val="2"/>
          </rPr>
          <t>Reforma N° 4:</t>
        </r>
        <r>
          <rPr>
            <sz val="9"/>
            <color rgb="FF000000"/>
            <rFont val="Tahoma"/>
            <family val="2"/>
          </rPr>
          <t xml:space="preserve">
Se redujo $ 896,00 DIRCOM por efecto de informe de seguimiento.
</t>
        </r>
        <r>
          <rPr>
            <b/>
            <sz val="9"/>
            <color rgb="FF000000"/>
            <rFont val="Tahoma"/>
            <family val="2"/>
          </rPr>
          <t xml:space="preserve">
Reforma N° 6:</t>
        </r>
        <r>
          <rPr>
            <sz val="9"/>
            <color rgb="FF000000"/>
            <rFont val="Tahoma"/>
            <family val="2"/>
          </rPr>
          <t xml:space="preserve">
Se redujo $ 750,22 Dir. Adm.</t>
        </r>
      </text>
    </comment>
    <comment ref="E112" authorId="0" shapeId="0" xr:uid="{2CE37AE0-8B78-48D9-A1D1-BCF8A8E0BEA6}">
      <text>
        <r>
          <rPr>
            <b/>
            <sz val="9"/>
            <color rgb="FF000000"/>
            <rFont val="Tahoma"/>
            <family val="2"/>
          </rPr>
          <t>Microsoft Office User:</t>
        </r>
        <r>
          <rPr>
            <sz val="9"/>
            <color rgb="FF000000"/>
            <rFont val="Tahoma"/>
            <family val="2"/>
          </rPr>
          <t xml:space="preserve">
Reforma N° 4:
Se incrementa $ 1.828,02 en el POAD de DADM para atender memo nro. UTMACH-DADM-2023-0651-M.</t>
        </r>
      </text>
    </comment>
    <comment ref="F112" authorId="2" shapeId="0" xr:uid="{4591EC8F-9E8F-4E93-BE4B-66ADAB95984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$ 18,08 DAC por efecto de informe de seguimiento.</t>
        </r>
      </text>
    </comment>
    <comment ref="E113" authorId="0" shapeId="0" xr:uid="{52DBE25D-1884-4FD7-9397-62917F7E6DD7}">
      <text>
        <r>
          <rPr>
            <b/>
            <sz val="9"/>
            <color rgb="FF000000"/>
            <rFont val="Tahoma"/>
            <family val="2"/>
          </rPr>
          <t>Microsoft Office User:</t>
        </r>
        <r>
          <rPr>
            <sz val="9"/>
            <color rgb="FF000000"/>
            <rFont val="Tahoma"/>
            <family val="2"/>
          </rPr>
          <t xml:space="preserve">
Reforma N° 4:
Se incrementa $ 280,00 en el POA de DTIC para atender el memo nro. UTMACH-DTIC-2023-0224-M.</t>
        </r>
      </text>
    </comment>
    <comment ref="F113" authorId="2" shapeId="0" xr:uid="{AC97D740-E2ED-45CF-9A32-8AC4923A0A32}">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$ 564,68 Rectorado por saldo no ejecutado.
Se redujo $ 72,75 DAC por efecto de informe de seguimiento. (Cert. N° 169).
</t>
        </r>
        <r>
          <rPr>
            <b/>
            <sz val="9"/>
            <color rgb="FF000000"/>
            <rFont val="Tahoma"/>
            <family val="2"/>
          </rPr>
          <t>Reforma N° 6:</t>
        </r>
        <r>
          <rPr>
            <sz val="9"/>
            <color rgb="FF000000"/>
            <rFont val="Tahoma"/>
            <family val="2"/>
          </rPr>
          <t xml:space="preserve">
Se redujo $ 367,12 DAC
Se redujo $ 100,40 Dir. Adm.</t>
        </r>
      </text>
    </comment>
    <comment ref="F114" authorId="1" shapeId="0" xr:uid="{039C2327-4681-46A0-94C4-246419AF9140}">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34"/>
          </rPr>
          <t xml:space="preserve">
Se redujo $ 4.457,60 a DBUAC por seguimiento y en virtud de oficio Nro. MEF-SP-2023-0501 para atender Memo Nro. 0399 de DADM.
</t>
        </r>
        <r>
          <rPr>
            <b/>
            <sz val="9"/>
            <color rgb="FF000000"/>
            <rFont val="Tahoma"/>
            <family val="2"/>
          </rPr>
          <t>Reforma N° 6:</t>
        </r>
        <r>
          <rPr>
            <sz val="9"/>
            <color rgb="FF000000"/>
            <rFont val="Tahoma"/>
            <family val="34"/>
          </rPr>
          <t xml:space="preserve">
Se redujo $ 703,30 DBUAC</t>
        </r>
      </text>
    </comment>
    <comment ref="F115" authorId="1" shapeId="0" xr:uid="{7F94DA44-AA3A-4454-B359-6DD8568C7B45}">
      <text>
        <r>
          <rPr>
            <b/>
            <sz val="9"/>
            <color rgb="FF000000"/>
            <rFont val="Tahoma"/>
            <family val="2"/>
          </rPr>
          <t>LENOVO:</t>
        </r>
        <r>
          <rPr>
            <sz val="9"/>
            <color rgb="FF000000"/>
            <rFont val="Tahoma"/>
            <family val="2"/>
          </rPr>
          <t xml:space="preserve">
</t>
        </r>
        <r>
          <rPr>
            <b/>
            <sz val="9"/>
            <color rgb="FF000000"/>
            <rFont val="Tahoma"/>
            <family val="34"/>
          </rPr>
          <t xml:space="preserve">Reforma 3:
</t>
        </r>
        <r>
          <rPr>
            <sz val="9"/>
            <color rgb="FF000000"/>
            <rFont val="Tahoma"/>
            <family val="34"/>
          </rPr>
          <t xml:space="preserve">Se redujo $ 3.360,00 según memo N° UTMACH-DADM-2023-0335-M_16052023, no se atendió materiales de oficina.
30/05 se redujo lo restante $ 40 por seguimiento y en virtud de oficio Nro. MEF-SP-2023-0501 para atender Memo Nro. 0399 de DADM.
</t>
        </r>
        <r>
          <rPr>
            <b/>
            <sz val="9"/>
            <color rgb="FF000000"/>
            <rFont val="Tahoma"/>
            <family val="2"/>
          </rPr>
          <t>Reforma N° 5:</t>
        </r>
        <r>
          <rPr>
            <sz val="9"/>
            <color rgb="FF000000"/>
            <rFont val="Tahoma"/>
            <family val="34"/>
          </rPr>
          <t xml:space="preserve">
Se redujo $ 200,00 por ser saldo no ejecutado, Dir. Adm.</t>
        </r>
      </text>
    </comment>
    <comment ref="E116" authorId="6" shapeId="0" xr:uid="{AB6D7BC9-9559-47D4-8D5B-85138C27C0CF}">
      <text>
        <r>
          <rPr>
            <sz val="12"/>
            <color theme="1"/>
            <rFont val="Arial"/>
            <family val="2"/>
            <scheme val="minor"/>
          </rPr>
          <t>Fanny Eunice Basilio Banchon:
Reforma N° 6:
Se incrementó $ 4.000,00 para preaprobaciones de estudios del proyecto de medicina y artes plásticas. DPLAN.</t>
        </r>
      </text>
    </comment>
    <comment ref="E117" authorId="0" shapeId="0" xr:uid="{DB2032B5-B358-459C-9812-824A95BA6C3A}">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$ 2.520,22 para atender pedido del memo nro. DADM-2023-065-M.
</t>
        </r>
        <r>
          <rPr>
            <b/>
            <sz val="9"/>
            <color rgb="FF000000"/>
            <rFont val="Tahoma"/>
            <family val="2"/>
          </rPr>
          <t>Reforma N° 6:</t>
        </r>
        <r>
          <rPr>
            <sz val="9"/>
            <color rgb="FF000000"/>
            <rFont val="Tahoma"/>
            <family val="2"/>
          </rPr>
          <t xml:space="preserve">
Se incrementó $ 22.150,00 para permisos de construcción y ampliación de las carreras de Medicina y Artes Plásticas.</t>
        </r>
      </text>
    </comment>
    <comment ref="F117" authorId="2" shapeId="0" xr:uid="{0F5106B1-6A1C-4D35-BBD6-4790B6D67EB7}">
      <text>
        <r>
          <rPr>
            <b/>
            <sz val="9"/>
            <color indexed="81"/>
            <rFont val="Tahoma"/>
            <family val="2"/>
          </rPr>
          <t>Admin:</t>
        </r>
      </text>
    </comment>
    <comment ref="E118" authorId="1" shapeId="0" xr:uid="{F55BF9A0-1A7D-4502-B606-965E70DB4EAC}">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$ 200,00 según memo N° DADM-2023-0335-M_16052023.
</t>
        </r>
        <r>
          <rPr>
            <b/>
            <sz val="9"/>
            <color rgb="FF000000"/>
            <rFont val="Tahoma"/>
            <family val="2"/>
          </rPr>
          <t>Reforma N° 6:</t>
        </r>
        <r>
          <rPr>
            <sz val="9"/>
            <color rgb="FF000000"/>
            <rFont val="Tahoma"/>
            <family val="2"/>
          </rPr>
          <t xml:space="preserve">
Se incrementó $ 46.300,00 para permisos de construcción del CRAI.</t>
        </r>
      </text>
    </comment>
    <comment ref="F118" authorId="2" shapeId="0" xr:uid="{CF4C4507-6DEF-4C79-B9E2-F45A83A2F07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$ 949,98 DADM por efecto de informe de seguimiento.</t>
        </r>
      </text>
    </comment>
    <comment ref="F119" authorId="2" shapeId="0" xr:uid="{EB0CDCE8-2AEB-451F-9B3C-C9668455617D}">
      <text>
        <r>
          <rPr>
            <b/>
            <sz val="9"/>
            <color indexed="81"/>
            <rFont val="Tahoma"/>
            <family val="2"/>
          </rPr>
          <t>Admin:</t>
        </r>
        <r>
          <rPr>
            <sz val="9"/>
            <color indexed="81"/>
            <rFont val="Tahoma"/>
            <family val="2"/>
          </rPr>
          <t xml:space="preserve">
Reforma N° 5:
Se redujo $ 860,69 por ser saldo no ejecutado, DTH.</t>
        </r>
      </text>
    </comment>
    <comment ref="E120" authorId="4" shapeId="0" xr:uid="{F71E92FC-8349-4A56-9049-3199945D13FB}">
      <text>
        <r>
          <rPr>
            <b/>
            <sz val="9"/>
            <color rgb="FF000000"/>
            <rFont val="Tahoma"/>
            <family val="2"/>
          </rPr>
          <t>Valeria Ramon Capa:</t>
        </r>
        <r>
          <rPr>
            <sz val="9"/>
            <color rgb="FF000000"/>
            <rFont val="Tahoma"/>
            <family val="2"/>
          </rPr>
          <t xml:space="preserve">
Reforma N° 3:
Se incrementa $151.520,00 a DADM por Memo N 0399_01062023.</t>
        </r>
      </text>
    </comment>
    <comment ref="F120" authorId="2" shapeId="0" xr:uid="{5F43CEC5-8C2F-41DE-8F86-0E730083EAA9}">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$ 170.000,00 DADM por efecto de informe de seguimiento, los mismos que quedan pendientes de asignar cuando se recaude el valor programado en la fuente 002.
</t>
        </r>
        <r>
          <rPr>
            <b/>
            <sz val="9"/>
            <color rgb="FF000000"/>
            <rFont val="Tahoma"/>
            <family val="2"/>
          </rPr>
          <t>Reforma N° 5:</t>
        </r>
        <r>
          <rPr>
            <sz val="9"/>
            <color rgb="FF000000"/>
            <rFont val="Tahoma"/>
            <family val="2"/>
          </rPr>
          <t xml:space="preserve">
Se redujo $ 9.840,00 por ser saldo no ejecutado (IVA), Dir. Adm.</t>
        </r>
      </text>
    </comment>
    <comment ref="F121" authorId="2" shapeId="0" xr:uid="{96004C6C-4F79-4D29-ABA8-E0FEA3CD6ACB}">
      <text>
        <r>
          <rPr>
            <sz val="12"/>
            <color theme="1"/>
            <rFont val="Arial"/>
            <family val="2"/>
            <scheme val="minor"/>
          </rPr>
          <t>Admin:
Reforma N° 5:
Se redujo $ 9.819,45 por ser saldo no ejecutado, Dir. Adm.
Reforma N° 6:
Se redujo $ 3.058,67 por ser saldo no ejecutado, Dir. Adm. Certificacion 433</t>
        </r>
      </text>
    </comment>
    <comment ref="F122" authorId="2" shapeId="0" xr:uid="{DFCBD842-9399-4ADC-9C3D-5FED228DC7E9}">
      <text>
        <r>
          <rPr>
            <b/>
            <sz val="9"/>
            <color indexed="81"/>
            <rFont val="Tahoma"/>
            <family val="2"/>
          </rPr>
          <t>Admin:</t>
        </r>
        <r>
          <rPr>
            <sz val="9"/>
            <color indexed="81"/>
            <rFont val="Tahoma"/>
            <family val="2"/>
          </rPr>
          <t xml:space="preserve">
Reforma N° 6:
Se redujo $ 70,00 por ser saldo no ejecutado, Dir. Fin. </t>
        </r>
      </text>
    </comment>
    <comment ref="E123" authorId="3" shapeId="0" xr:uid="{BBC5A563-E20A-47DD-883D-0FA534CEDBE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$ 5.080,00 que es de la partida N° 530239 0701 003 Membrecías.
</t>
        </r>
        <r>
          <rPr>
            <b/>
            <sz val="9"/>
            <color rgb="FF000000"/>
            <rFont val="Tahoma"/>
            <family val="2"/>
          </rPr>
          <t>Reforma N° 3:</t>
        </r>
        <r>
          <rPr>
            <sz val="9"/>
            <color rgb="FF000000"/>
            <rFont val="Tahoma"/>
            <family val="2"/>
          </rPr>
          <t xml:space="preserve">
Se incrementó $ 170,00 según memo N° DADM-2023-0335-M_16052023.
</t>
        </r>
        <r>
          <rPr>
            <b/>
            <sz val="9"/>
            <color rgb="FF000000"/>
            <rFont val="Tahoma"/>
            <family val="2"/>
          </rPr>
          <t>Reforma N° 6:</t>
        </r>
        <r>
          <rPr>
            <sz val="9"/>
            <color rgb="FF000000"/>
            <rFont val="Tahoma"/>
            <family val="2"/>
          </rPr>
          <t xml:space="preserve">
Se incrementó $ 2.000,00 para pago de notaría por registro de arreglo de vía.</t>
        </r>
      </text>
    </comment>
    <comment ref="F123" authorId="4" shapeId="0" xr:uid="{9BA7EB97-0189-4A15-AE03-5B45C8F4C9BB}">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$370 a PG por cuadre de grupo 57
</t>
        </r>
        <r>
          <rPr>
            <b/>
            <sz val="9"/>
            <color rgb="FF000000"/>
            <rFont val="Tahoma"/>
            <family val="2"/>
          </rPr>
          <t>Reforma N° 4:</t>
        </r>
        <r>
          <rPr>
            <sz val="9"/>
            <color rgb="FF000000"/>
            <rFont val="Tahoma"/>
            <family val="2"/>
          </rPr>
          <t xml:space="preserve">
Se redujo $ 3.710,00 Procuraduria Gral. por efecto de informe de seguimiento.</t>
        </r>
      </text>
    </comment>
    <comment ref="E124" authorId="2" shapeId="0" xr:uid="{8E2814A7-4F68-442D-B7F4-6598718A698F}">
      <text>
        <r>
          <rPr>
            <b/>
            <sz val="9"/>
            <color indexed="81"/>
            <rFont val="Tahoma"/>
            <family val="2"/>
          </rPr>
          <t>Admin:</t>
        </r>
        <r>
          <rPr>
            <sz val="9"/>
            <color indexed="81"/>
            <rFont val="Tahoma"/>
            <family val="2"/>
          </rPr>
          <t xml:space="preserve">
Reforma N° 6:
Se incrementó $ 3.440,00 a Dir. Financiera, según memo N° UTMACH-DF-UREM-2023-0369 (Alcance al M_0367)_18/10/2023.
Se incrementó $ 1.560,00 por sentencia del docente Colón Velásquez. Dir. Financiera.</t>
        </r>
      </text>
    </comment>
    <comment ref="E125" authorId="3" shapeId="0" xr:uid="{E5002613-B92A-42FB-A900-C084DB6B3F9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$ 1.000,00 para devolución de valores a estudiantes. Dir. Financiera.
</t>
        </r>
        <r>
          <rPr>
            <b/>
            <sz val="9"/>
            <color rgb="FF000000"/>
            <rFont val="Tahoma"/>
            <family val="2"/>
          </rPr>
          <t>Reforma N° 6:</t>
        </r>
        <r>
          <rPr>
            <sz val="9"/>
            <color rgb="FF000000"/>
            <rFont val="Tahoma"/>
            <family val="2"/>
          </rPr>
          <t xml:space="preserve">
Se incrementó $ 1.000,00 para devolución de valores a estudiantes. Dir. Financiera, según memo N° UTMACH-PG-2023-0573-M_17/10/2023.</t>
        </r>
      </text>
    </comment>
    <comment ref="F125" authorId="2" shapeId="0" xr:uid="{0FEF5B13-D9C8-4154-8EDA-9294DF3F3379}">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$ 500,00 Dir. Financiera por efecto de informe de seguimiento.</t>
        </r>
      </text>
    </comment>
    <comment ref="F127" authorId="5" shapeId="0" xr:uid="{F9FFC58F-9314-46F9-8B7E-025B3AD0D88B}">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conforme archivo POA 2023.
Se redujo $ 137.214,99, porque se sacó del POA 2023 de la DTH ítem para sumar a esta partida 580209 "A Jubilados Patronales"
</t>
        </r>
        <r>
          <rPr>
            <b/>
            <sz val="9"/>
            <color rgb="FF000000"/>
            <rFont val="Tahoma"/>
            <family val="2"/>
          </rPr>
          <t>Reforma N° 4:</t>
        </r>
        <r>
          <rPr>
            <sz val="9"/>
            <color rgb="FF000000"/>
            <rFont val="Tahoma"/>
            <family val="2"/>
          </rPr>
          <t xml:space="preserve">
Se redujo $ </t>
        </r>
        <r>
          <rPr>
            <sz val="10"/>
            <color rgb="FF000000"/>
            <rFont val="Arial"/>
            <family val="2"/>
            <scheme val="minor"/>
          </rPr>
          <t xml:space="preserve">203.797,63 </t>
        </r>
        <r>
          <rPr>
            <sz val="9"/>
            <color rgb="FF000000"/>
            <rFont val="Tahoma"/>
            <family val="2"/>
          </rPr>
          <t xml:space="preserve"> DTH por efecto de informe de seguimiento.
</t>
        </r>
        <r>
          <rPr>
            <b/>
            <sz val="9"/>
            <color rgb="FF000000"/>
            <rFont val="Tahoma"/>
            <family val="2"/>
          </rPr>
          <t>Reforma N° 6:</t>
        </r>
        <r>
          <rPr>
            <sz val="9"/>
            <color rgb="FF000000"/>
            <rFont val="Tahoma"/>
            <family val="2"/>
          </rPr>
          <t xml:space="preserve">
Se redujo $ 8,869,75, proyecto de jubilados.
Se redujo $ 49.108,37 según memo N° UTMACH-DF-UPSTO-2023-1079-M_27/09/2023.</t>
        </r>
      </text>
    </comment>
    <comment ref="B128" authorId="3" shapeId="0" xr:uid="{2BB8C8E3-323E-4CEF-AD8E-9A183D250594}">
      <text>
        <r>
          <rPr>
            <b/>
            <sz val="9"/>
            <color rgb="FF000000"/>
            <rFont val="Tahoma"/>
            <family val="2"/>
          </rPr>
          <t>HP:</t>
        </r>
        <r>
          <rPr>
            <sz val="9"/>
            <color rgb="FF000000"/>
            <rFont val="Tahoma"/>
            <family val="2"/>
          </rPr>
          <t xml:space="preserve">
</t>
        </r>
        <r>
          <rPr>
            <sz val="9"/>
            <color rgb="FF000000"/>
            <rFont val="Tahoma"/>
            <family val="2"/>
          </rPr>
          <t>Valores de proyectos de inversión</t>
        </r>
      </text>
    </comment>
    <comment ref="E128" authorId="6" shapeId="0" xr:uid="{0449A803-5037-45CE-BDC2-641D6074E881}">
      <text>
        <r>
          <rPr>
            <sz val="12"/>
            <color theme="1"/>
            <rFont val="Arial"/>
            <family val="2"/>
            <scheme val="minor"/>
          </rPr>
          <t>Fanny Eunice Basilio Banchon:
Reforma N° 6:
Se incrementó $ 10.271,70 según tabla N° 2 del py de jubilados.</t>
        </r>
      </text>
    </comment>
    <comment ref="E129" authorId="3" shapeId="0" xr:uid="{B2514A51-0BF6-4A74-807E-E3ACF61D212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$ 423.188,30 py de jubilados que consta en la 84 en el POA 2023 de la DTH.
Se incrementó el saldo $ 18.470,34 y se lo sumó al py de jubilados DTH.
</t>
        </r>
      </text>
    </comment>
    <comment ref="F129" authorId="6" shapeId="0" xr:uid="{5A0EB99E-EEBE-41F7-8659-086072EF3C4E}">
      <text>
        <r>
          <rPr>
            <sz val="12"/>
            <color theme="1"/>
            <rFont val="Arial"/>
            <family val="2"/>
            <scheme val="minor"/>
          </rPr>
          <t>Fanny Eunice Basilio Banchon:
Reforma N° 6:
Se redujo $ 10.271,70 según tabla N° 2 del py de jubilados.</t>
        </r>
      </text>
    </comment>
    <comment ref="E130" authorId="6" shapeId="0" xr:uid="{68A88182-AEE2-425E-8F31-5A4C244EE00F}">
      <text>
        <r>
          <rPr>
            <sz val="8"/>
            <color theme="1"/>
            <rFont val="Arial"/>
            <family val="2"/>
            <scheme val="minor"/>
          </rPr>
          <t>Fanny Eunice Basilio Banchon:
Reforma N° 6:
Se incrementó 68.673,74+50.050,95-23.686,24 para py de jubilados.</t>
        </r>
      </text>
    </comment>
    <comment ref="E131" authorId="2" shapeId="0" xr:uid="{8354BC92-5087-454D-953E-2A3945333188}">
      <text>
        <r>
          <rPr>
            <b/>
            <sz val="9"/>
            <color indexed="81"/>
            <rFont val="Tahoma"/>
            <family val="2"/>
          </rPr>
          <t>Admin:</t>
        </r>
        <r>
          <rPr>
            <sz val="9"/>
            <color indexed="81"/>
            <rFont val="Tahoma"/>
            <family val="2"/>
          </rPr>
          <t xml:space="preserve">
Reforma N° 5:
Se incrementó $ 2.103,75, proyecto de jubilados.</t>
        </r>
      </text>
    </comment>
    <comment ref="E132" authorId="2" shapeId="0" xr:uid="{3F0D5D5C-FC26-41D3-9BD2-7A42DC3D902E}">
      <text>
        <r>
          <rPr>
            <sz val="9"/>
            <color theme="1"/>
            <rFont val="Arial"/>
            <family val="2"/>
            <scheme val="minor"/>
          </rPr>
          <t>Admin:
Reforma N° 5:
Se incrementó $ 332.808,45, proyecto de jubilados.
Reforma N° 6:
Se incrementó $ 212.400,00, proyecto de jubilados.</t>
        </r>
      </text>
    </comment>
    <comment ref="E133" authorId="2" shapeId="0" xr:uid="{FEB97D2C-B989-402D-B2BC-21703EFF5348}">
      <text>
        <r>
          <rPr>
            <sz val="9"/>
            <color theme="1"/>
            <rFont val="Arial"/>
            <family val="2"/>
            <scheme val="minor"/>
          </rPr>
          <t>Admin:
Reforma N° 5:
Se incrementó $ 4.575,00, proyecto de jubilados.</t>
        </r>
      </text>
    </comment>
    <comment ref="E134" authorId="2" shapeId="0" xr:uid="{F04DBC1C-C0BD-40E1-901B-AF66FDF191ED}">
      <text>
        <r>
          <rPr>
            <sz val="9"/>
            <color theme="1"/>
            <rFont val="Tahoma"/>
            <family val="2"/>
          </rPr>
          <t>Admin:
Reforma N° 5:
Se incrementó $ 124.804,87+83.201,58 proyecto de jubilados.</t>
        </r>
      </text>
    </comment>
    <comment ref="E135" authorId="3" shapeId="0" xr:uid="{A6052980-A4B3-402E-AA97-E97F95BBD432}">
      <text>
        <r>
          <rPr>
            <b/>
            <sz val="9"/>
            <color rgb="FF000000"/>
            <rFont val="Tahoma"/>
            <family val="2"/>
          </rPr>
          <t>HP:</t>
        </r>
        <r>
          <rPr>
            <sz val="9"/>
            <color rgb="FF000000"/>
            <rFont val="Tahoma"/>
            <family val="2"/>
          </rPr>
          <t xml:space="preserve">
Reforma N° 2:
Servicio de seguridad privada COMUNIDAD FAMILIAR SEGURA COMFASEG Dir Administrativa.</t>
        </r>
      </text>
    </comment>
    <comment ref="E136" authorId="3" shapeId="0" xr:uid="{859A0EC6-B231-4617-B79C-B363C71E383F}">
      <text>
        <r>
          <rPr>
            <sz val="12"/>
            <color theme="1"/>
            <rFont val="Arial"/>
            <family val="2"/>
            <scheme val="minor"/>
          </rPr>
          <t>HP:
Reforma N° 2:
Se incrementó $ 545,00 para pago de órdenes compra de 1 archivador aéreo, 2 mesa de centro por los valores $90,00 y $396,00 sin incluir el IVA, respectivamente, según Oficio N° UTMACH-ADM-CENTRAL-EMP-2023-0048-OF_16/01/2023.
Dir. Administrativa.
Reforma N° 6:
Se incrementó $ 358,50 para compra de mobiliario, DPLAN.</t>
        </r>
      </text>
    </comment>
    <comment ref="F136" authorId="2" shapeId="0" xr:uid="{A5BB29E6-9C95-4B5A-8382-ABEACC7ECBDA}">
      <text>
        <r>
          <rPr>
            <b/>
            <sz val="9"/>
            <color indexed="81"/>
            <rFont val="Tahoma"/>
            <family val="2"/>
          </rPr>
          <t>Admin:</t>
        </r>
        <r>
          <rPr>
            <sz val="9"/>
            <color indexed="81"/>
            <rFont val="Tahoma"/>
            <family val="2"/>
          </rPr>
          <t xml:space="preserve">
Reforma N° 5:
Se redujo $ 59,00 por ser saldo no ejecutado, Dir. Adm.</t>
        </r>
      </text>
    </comment>
    <comment ref="E137" authorId="6" shapeId="0" xr:uid="{919CFBE7-F66C-4299-8402-A03D86407303}">
      <text>
        <r>
          <rPr>
            <sz val="12"/>
            <color theme="1"/>
            <rFont val="Arial"/>
            <family val="2"/>
            <scheme val="minor"/>
          </rPr>
          <t>Fanny Eunice Basilio Banchon:
Reforma N° 6:
Se incrementó $ 388,97+90,00 para compra de mobiliario, DPLAN.</t>
        </r>
      </text>
    </comment>
    <comment ref="E138" authorId="5" shapeId="0" xr:uid="{F6C76D28-EB88-4F9B-A71F-26BBB96EE888}">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$ 24.400,68 Dir. Administrativa
$ 761,38 Secretaría General
$ 2.893,16 Dir. Posgrado
</t>
        </r>
        <r>
          <rPr>
            <b/>
            <sz val="9"/>
            <color rgb="FF000000"/>
            <rFont val="Tahoma"/>
            <family val="2"/>
          </rPr>
          <t>Reforma N° 3:</t>
        </r>
        <r>
          <rPr>
            <sz val="9"/>
            <color rgb="FF000000"/>
            <rFont val="Tahoma"/>
            <family val="2"/>
          </rPr>
          <t xml:space="preserve">
Se incrementó $ 1.607,43 según memo N° DTIC-2023-0088-M_04052023
Se incrementó a DPLAN $87,78 por cuadre de fuente 
Se incrementa $ 159,85 en el POA de DPOS para atender memo nro. DIPOS-2023-0237-M
Se incrementa $ 2.660,50 en el POA de DADM para atender memo nro. UTMACH-DADM-2023-0656-M</t>
        </r>
      </text>
    </comment>
    <comment ref="F138" authorId="4" shapeId="0" xr:uid="{61AA3841-3C31-4B34-9B86-C22EF9474DD4}">
      <text>
        <r>
          <rPr>
            <b/>
            <sz val="9"/>
            <color rgb="FF000000"/>
            <rFont val="Tahoma"/>
            <family val="34"/>
          </rPr>
          <t>Valeria Ramon Capa:</t>
        </r>
        <r>
          <rPr>
            <sz val="9"/>
            <color rgb="FF000000"/>
            <rFont val="Tahoma"/>
            <family val="34"/>
          </rPr>
          <t xml:space="preserve">
</t>
        </r>
        <r>
          <rPr>
            <b/>
            <sz val="9"/>
            <color rgb="FF000000"/>
            <rFont val="Tahoma"/>
            <family val="34"/>
          </rPr>
          <t xml:space="preserve">Reforma N° 3:
</t>
        </r>
        <r>
          <rPr>
            <sz val="9"/>
            <color rgb="FF000000"/>
            <rFont val="Tahoma"/>
            <family val="34"/>
          </rPr>
          <t xml:space="preserve">Se reduce $632,58 según memo N° UTMACH-DIPOS-2023-0160-M_19052023
</t>
        </r>
        <r>
          <rPr>
            <b/>
            <sz val="9"/>
            <color rgb="FF000000"/>
            <rFont val="Tahoma"/>
            <family val="2"/>
          </rPr>
          <t>Reforma N° 4:</t>
        </r>
        <r>
          <rPr>
            <sz val="9"/>
            <color rgb="FF000000"/>
            <rFont val="Tahoma"/>
            <family val="34"/>
          </rPr>
          <t xml:space="preserve">
Se redujo $ 81,58 Secretaría General por efecto de informe de seguimiento.
Se redujo $ 87,78 DPLAN por efecto de informe de seguimiento.
Se redujo $ 621,20 DIPOS por efecto de informe de seguimiento. (Cert. N° 147)
Se redujo $ 530,00 DIPOS por efecto de informe de seguimiento. (Cert. N° 147)
Se redujo $ 182,16 DTIC por efecto de informe de seguimiento. (Cert. N° 265)
Se redujo $ 2.125,00 DADM por efecto de informe de seguimiento.
</t>
        </r>
        <r>
          <rPr>
            <b/>
            <sz val="9"/>
            <color rgb="FF000000"/>
            <rFont val="Tahoma"/>
            <family val="2"/>
          </rPr>
          <t>Reforma N° 6:</t>
        </r>
        <r>
          <rPr>
            <sz val="9"/>
            <color rgb="FF000000"/>
            <rFont val="Tahoma"/>
            <family val="34"/>
          </rPr>
          <t xml:space="preserve">
Se redujo $ 1.737,73 DADM por efecto de informe de seguimiento, valor no ejecutado.
</t>
        </r>
      </text>
    </comment>
    <comment ref="E139" authorId="6" shapeId="0" xr:uid="{A25132C7-1E14-4AE8-9C0C-298988EB3288}">
      <text>
        <r>
          <rPr>
            <sz val="12"/>
            <color theme="1"/>
            <rFont val="Arial"/>
            <family val="2"/>
            <scheme val="minor"/>
          </rPr>
          <t>Fanny Eunice Basilio Banchon:
Reforma N° 6:
Se incrementó $ 770,34 para compra de mobiliario, DPLAN.</t>
        </r>
      </text>
    </comment>
    <comment ref="E140" authorId="3" shapeId="0" xr:uid="{88ADAE8F-64CA-4A91-A4D4-A41B6DFFDB7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$ 39.500,00 para adquisición de aires acondicionados PULLA HNOS Dir Adm
$ 2.940,00 por contrato de año anterior para adquisición de proyectores de imagen. TICS
</t>
        </r>
        <r>
          <rPr>
            <b/>
            <sz val="9"/>
            <color rgb="FF000000"/>
            <rFont val="Tahoma"/>
            <family val="2"/>
          </rPr>
          <t>Reforma N° 4:</t>
        </r>
        <r>
          <rPr>
            <sz val="9"/>
            <color rgb="FF000000"/>
            <rFont val="Tahoma"/>
            <family val="2"/>
          </rPr>
          <t xml:space="preserve">
Se incrementa $ 313,60 en el POA de VAC para atender memo N° VACAD-2023-0354-M.
</t>
        </r>
        <r>
          <rPr>
            <b/>
            <sz val="9"/>
            <color rgb="FF000000"/>
            <rFont val="Tahoma"/>
            <family val="2"/>
          </rPr>
          <t>Reforma N° 6:</t>
        </r>
        <r>
          <rPr>
            <sz val="9"/>
            <color rgb="FF000000"/>
            <rFont val="Tahoma"/>
            <family val="2"/>
          </rPr>
          <t xml:space="preserve">
Se incrementó $ 320,00 según memo N° DADM-UCP-2023-1464-M_29/09/2023.</t>
        </r>
      </text>
    </comment>
    <comment ref="F140" authorId="0" shapeId="0" xr:uid="{A63F32B1-2C0D-4CC1-9CC1-F8D4EA4961D3}">
      <text>
        <r>
          <rPr>
            <b/>
            <sz val="9"/>
            <color rgb="FF000000"/>
            <rFont val="Tahoma"/>
            <family val="2"/>
          </rPr>
          <t>Microsoft Office User:</t>
        </r>
        <r>
          <rPr>
            <sz val="9"/>
            <color rgb="FF000000"/>
            <rFont val="Tahoma"/>
            <family val="2"/>
          </rPr>
          <t xml:space="preserve">
Reforma N° 6:
Se redujo $ 315,00 por ser saldo no ejecutado (IVA), DTICS.</t>
        </r>
      </text>
    </comment>
    <comment ref="E141" authorId="5" shapeId="0" xr:uid="{CF408E7E-9E78-47A0-9417-D64AC985E01B}">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$ 19.554,08 DIRCOM
$ 3.360,00 Secretaría General
$ 2.882,88 Dir. Aseguramiento de la Calidad
$ 53.704,13 DTIC
$ 360,00 Dir. Financiera
$ 70.954,075 DBUAC
</t>
        </r>
        <r>
          <rPr>
            <b/>
            <sz val="9"/>
            <color rgb="FF000000"/>
            <rFont val="Tahoma"/>
            <family val="2"/>
          </rPr>
          <t>Reforma N° 3:</t>
        </r>
        <r>
          <rPr>
            <sz val="9"/>
            <color rgb="FF000000"/>
            <rFont val="Tahoma"/>
            <family val="2"/>
          </rPr>
          <t xml:space="preserve">
Se incrementó $ 8.999,20, según memo N° DBUAC-2023-0124-M_03032023
Se incrementó $2.000,01 para compra de montacarga de Unidad de Bienes (reasignación)
Se incrementó $ 13.686,40, según memo N° DBUAC-2023-0318-M_22052023
</t>
        </r>
        <r>
          <rPr>
            <b/>
            <sz val="9"/>
            <color rgb="FF000000"/>
            <rFont val="Tahoma"/>
            <family val="2"/>
          </rPr>
          <t>Reforma N° 4:</t>
        </r>
        <r>
          <rPr>
            <sz val="9"/>
            <color rgb="FF000000"/>
            <rFont val="Tahoma"/>
            <family val="2"/>
          </rPr>
          <t xml:space="preserve">
Se incrementa $ 6.888,00 para atender memo nro. DADM-2023-0645-M.
Se incrementa $ 51.788,80 en el POA de DBUAC para atender memo nro. DBUAC-2023-0597-M.
Se incrementa $ 2251,20 + 4631,75 en el POA de DADM en atención al Memorando nro. UTMACH-DADM-UCP-2023-1143-M.</t>
        </r>
      </text>
    </comment>
    <comment ref="F141" authorId="2" shapeId="0" xr:uid="{828F8862-B980-42F1-8BB3-D8690B319422}">
      <text>
        <r>
          <rPr>
            <b/>
            <sz val="9"/>
            <color rgb="FF000000"/>
            <rFont val="Tahoma"/>
            <family val="2"/>
          </rPr>
          <t>Admin:</t>
        </r>
        <r>
          <rPr>
            <sz val="9"/>
            <color rgb="FF000000"/>
            <rFont val="Tahoma"/>
            <family val="2"/>
          </rPr>
          <t xml:space="preserve">
Reforma N° 4:
Se redujo $ 2.135,00 Unidad dee Gestión Documental y Archivo por efecto de informe de seguimiento (Certif. N° 159)
Se redujo $ 4.940,53 DBUAC por efecto de informe de seguimiento.
Se redujo $ 136,90 DAC por efecto de informe de seguimiento (Cert. N° 235 dispensador y N° 152 proyector).
Se redujo $ 589,26 Unidad de Control de Bienes por efecto de informe de seguimiento.
Reforma N° 6:
Se redujo $ 4565,08 por ser saldo no ejecutado (IVA) certificacion 373, DIRCOM.
Se redujo $ 5.548,80 por ser saldo no ejecutado (IVA), DBUAC.
Se redujo $ 1.466,40 por ser saldo no ejecutado (IVA) certificación 392 , DBUAC.
Se redujo $ 738,00 por ser saldo no ejecutado (IVA) certificación 501, DADM.
</t>
        </r>
      </text>
    </comment>
    <comment ref="E142" authorId="3" shapeId="0" xr:uid="{644A85E6-833A-44DE-AF7A-1F651ABAE5DE}">
      <text>
        <r>
          <rPr>
            <b/>
            <sz val="9"/>
            <color rgb="FF000000"/>
            <rFont val="Tahoma"/>
            <family val="2"/>
          </rPr>
          <t>HP:</t>
        </r>
        <r>
          <rPr>
            <sz val="9"/>
            <color rgb="FF000000"/>
            <rFont val="Tahoma"/>
            <family val="2"/>
          </rPr>
          <t xml:space="preserve">
Reforma N° 2:
Se incrementó $ 42.311,18 para pago de contrato de año anterior por adquisición de cámaras de videovigilancia. UTMACH EP
Dir. Administrativa.</t>
        </r>
      </text>
    </comment>
    <comment ref="F142" authorId="2" shapeId="0" xr:uid="{C88D7A88-4BF6-4700-B8E1-A4DB9C9ED1DF}">
      <text>
        <r>
          <rPr>
            <b/>
            <sz val="9"/>
            <color indexed="81"/>
            <rFont val="Tahoma"/>
            <family val="2"/>
          </rPr>
          <t>Admin:</t>
        </r>
        <r>
          <rPr>
            <sz val="9"/>
            <color indexed="81"/>
            <rFont val="Tahoma"/>
            <family val="2"/>
          </rPr>
          <t xml:space="preserve">
</t>
        </r>
        <r>
          <rPr>
            <b/>
            <sz val="9"/>
            <color indexed="81"/>
            <rFont val="Tahoma"/>
            <family val="2"/>
          </rPr>
          <t xml:space="preserve">Reforma N° 6:
</t>
        </r>
        <r>
          <rPr>
            <sz val="9"/>
            <color indexed="81"/>
            <rFont val="Tahoma"/>
            <family val="2"/>
          </rPr>
          <t>Se reduce $ 8.579,64 por ser saldo no ejecutado (IVA), Dir. Adm.</t>
        </r>
      </text>
    </comment>
    <comment ref="E145" authorId="0" shapeId="0" xr:uid="{1B63418A-1D71-4320-B722-4AFE8513F2C7}">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$ 6.300,00 en el POA de DADM para atender memo nro. UTMACH-DADM-2023-0651-M.</t>
        </r>
      </text>
    </comment>
    <comment ref="E146" authorId="3" shapeId="0" xr:uid="{49CD026B-700D-4BF0-A70F-37C6B092DEE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$ 81.952,06 DBUAC Tablet.
</t>
        </r>
        <r>
          <rPr>
            <b/>
            <sz val="9"/>
            <color rgb="FF000000"/>
            <rFont val="Tahoma"/>
            <family val="2"/>
          </rPr>
          <t>Reforma N° 3:</t>
        </r>
        <r>
          <rPr>
            <sz val="9"/>
            <color rgb="FF000000"/>
            <rFont val="Tahoma"/>
            <family val="2"/>
          </rPr>
          <t xml:space="preserve">
Se incrementó $1.644,63 DPLAN-UPES por reunión de seguimiento.</t>
        </r>
      </text>
    </comment>
    <comment ref="F146" authorId="2" shapeId="0" xr:uid="{E109A1E8-1B81-45A0-85F8-967D8251F8D3}">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$ 8.250,99 DBUAC por efecto de informe de seguimiento. (Cert. N</t>
        </r>
        <r>
          <rPr>
            <sz val="9"/>
            <color rgb="FF000000"/>
            <rFont val="Tahoma"/>
            <family val="2"/>
          </rPr>
          <t>°</t>
        </r>
        <r>
          <rPr>
            <sz val="9"/>
            <color rgb="FF000000"/>
            <rFont val="Tahoma"/>
            <family val="2"/>
          </rPr>
          <t xml:space="preserve"> 303)</t>
        </r>
      </text>
    </comment>
    <comment ref="E147" authorId="2" shapeId="0" xr:uid="{DD141627-4434-4334-9B3F-FD9D32B1F300}">
      <text>
        <r>
          <rPr>
            <b/>
            <sz val="9"/>
            <color indexed="81"/>
            <rFont val="Tahoma"/>
            <charset val="1"/>
          </rPr>
          <t>Admin:</t>
        </r>
        <r>
          <rPr>
            <sz val="9"/>
            <color indexed="81"/>
            <rFont val="Tahoma"/>
            <charset val="1"/>
          </rPr>
          <t xml:space="preserve">
Reforma N° 6:
Se incrementó $ 700,00 según memo N° UTMACH-DADM-2023-0979-M_18/09/2023
Se incrementó $ 180,00 según memo N° DADM-UCP-2023-1464-M_29/09/2023.</t>
        </r>
      </text>
    </comment>
    <comment ref="E148" authorId="5" shapeId="0" xr:uid="{AED42774-8C02-441B-B330-3E740DFD3DE3}">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$ 6.548,35 Rectorado
$ 3.920,00 DIRCOM
$ 1.868,16 Secretaría General
$ 2.934,40 Dirección de Aseguramiento de la Calidad
conforme archivo POA 2023.
</t>
        </r>
        <r>
          <rPr>
            <b/>
            <sz val="9"/>
            <color rgb="FF000000"/>
            <rFont val="Tahoma"/>
            <family val="2"/>
          </rPr>
          <t>Reforma N° 3:</t>
        </r>
        <r>
          <rPr>
            <sz val="9"/>
            <color rgb="FF000000"/>
            <rFont val="Tahoma"/>
            <family val="2"/>
          </rPr>
          <t xml:space="preserve">
Se incrementa $ 1.008,00 según memo N° UTMACH-DAC-2023-0056-M_24032023
UTMACH-DAC-2023-0059-M_27032023 (Alcance M_0056)
</t>
        </r>
        <r>
          <rPr>
            <b/>
            <sz val="9"/>
            <color rgb="FF000000"/>
            <rFont val="Tahoma"/>
            <family val="2"/>
          </rPr>
          <t>Reforma N° 4:</t>
        </r>
        <r>
          <rPr>
            <sz val="9"/>
            <color rgb="FF000000"/>
            <rFont val="Tahoma"/>
            <family val="2"/>
          </rPr>
          <t xml:space="preserve">
Se incrementa $ 81,10 para atender pedido del memo nro. SG-2023-0194-M, en el POA de SG
Se incrementa $ 1.771,84 para atender pedido del memo nro. SG-2023-0213-M
Se incrementa $ 3.801,28 para atender el pedido del memo nro. </t>
        </r>
        <r>
          <rPr>
            <sz val="10"/>
            <color rgb="FF000000"/>
            <rFont val="Calibri"/>
            <family val="2"/>
          </rPr>
          <t>UTMACH-DADM-2023-0656-M</t>
        </r>
        <r>
          <rPr>
            <sz val="9"/>
            <color rgb="FF000000"/>
            <rFont val="Calibri"/>
            <family val="2"/>
          </rPr>
          <t xml:space="preserve">
</t>
        </r>
        <r>
          <rPr>
            <b/>
            <sz val="9"/>
            <color rgb="FF000000"/>
            <rFont val="Calibri"/>
            <family val="2"/>
          </rPr>
          <t>Reforma N° 5:</t>
        </r>
        <r>
          <rPr>
            <sz val="9"/>
            <color rgb="FF000000"/>
            <rFont val="Calibri"/>
            <family val="2"/>
          </rPr>
          <t xml:space="preserve">
Se incrementó $ 10.313,89 según memo N° UTMACH-DTIC-2023-0310-M
(Alcance al M_0301) del 04/10/2023.</t>
        </r>
      </text>
    </comment>
    <comment ref="F148" authorId="2" shapeId="0" xr:uid="{5A34D317-20DD-4342-A556-F8B84BE07A11}">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redujo $ 836,81 DIRCOM por efecto de informe de seguimiento.
</t>
        </r>
        <r>
          <rPr>
            <sz val="9"/>
            <color rgb="FF000000"/>
            <rFont val="Tahoma"/>
            <family val="2"/>
          </rPr>
          <t xml:space="preserve">
</t>
        </r>
        <r>
          <rPr>
            <sz val="9"/>
            <color rgb="FF000000"/>
            <rFont val="Tahoma"/>
            <family val="2"/>
          </rPr>
          <t>Se redujo $ 572,00 + $ 1.254,40 en el POA de DAC por efecto de informe de seguimiento y atención memo nro. DAC-2023-0221-M.</t>
        </r>
      </text>
    </comment>
    <comment ref="E149" authorId="3" shapeId="0" xr:uid="{E452E61F-166A-46E9-8308-EBA505418729}">
      <text>
        <r>
          <rPr>
            <b/>
            <sz val="9"/>
            <color rgb="FF000000"/>
            <rFont val="Tahoma"/>
            <family val="2"/>
          </rPr>
          <t>HP:</t>
        </r>
        <r>
          <rPr>
            <sz val="9"/>
            <color rgb="FF000000"/>
            <rFont val="Tahoma"/>
            <family val="2"/>
          </rPr>
          <t xml:space="preserve">
Reforma N° 2:
Se incrementó $ 4.518,00 para pago de contrato de año anterior por adquisición de cámaras de videovigilancia. UTMACH EP
Dir. Administrativa.</t>
        </r>
      </text>
    </comment>
    <comment ref="F149" authorId="3" shapeId="0" xr:uid="{6444594B-8C5B-4CCC-9C58-4F6D7692ADB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$ 414.919,06 para Py Red Lan.
Se redujo $ 423.188,30 py de jubilados que consta en la 84 en el POA 2023 de la DTH.
Se redujo el saldo $ 18.470,34 y se lo sumó al py de jubilados DTH.
</t>
        </r>
        <r>
          <rPr>
            <b/>
            <sz val="9"/>
            <color rgb="FF000000"/>
            <rFont val="Tahoma"/>
            <family val="2"/>
          </rPr>
          <t>Reforma N 6:</t>
        </r>
        <r>
          <rPr>
            <sz val="9"/>
            <color rgb="FF000000"/>
            <rFont val="Tahoma"/>
            <family val="2"/>
          </rPr>
          <t xml:space="preserve">
Se redujo $ 18.470,34 por reprogramación de saldo, DPLAN.</t>
        </r>
      </text>
    </comment>
    <comment ref="G149" authorId="4" shapeId="0" xr:uid="{172204E6-B2A7-48EF-AF59-147392F718D8}">
      <text>
        <r>
          <rPr>
            <b/>
            <sz val="10"/>
            <color rgb="FF000000"/>
            <rFont val="Tahoma"/>
            <family val="2"/>
          </rPr>
          <t>Valeria Ramon Capa:</t>
        </r>
        <r>
          <rPr>
            <sz val="10"/>
            <color rgb="FF000000"/>
            <rFont val="Tahoma"/>
            <family val="2"/>
          </rPr>
          <t xml:space="preserve">
</t>
        </r>
      </text>
    </comment>
    <comment ref="E151" authorId="6" shapeId="0" xr:uid="{BD0DD983-3E6A-499F-9A2C-5BFAEA25B0DA}">
      <text>
        <r>
          <rPr>
            <sz val="12"/>
            <color theme="1"/>
            <rFont val="Arial"/>
            <family val="2"/>
            <scheme val="minor"/>
          </rPr>
          <t>Fanny Eunice Basilio Banchon:
Reforma N° 6:
Se incrementó $ 2.520,00 según memo N° DBUAC-2023-0972-M_24/10/2023</t>
        </r>
      </text>
    </comment>
    <comment ref="E152" authorId="5" shapeId="0" xr:uid="{427F842C-9968-4C0A-81AC-B017F535BF17}">
      <text>
        <r>
          <rPr>
            <b/>
            <sz val="9"/>
            <color rgb="FF000000"/>
            <rFont val="Tahoma"/>
            <family val="2"/>
          </rPr>
          <t>Eunice Basilio:</t>
        </r>
        <r>
          <rPr>
            <sz val="9"/>
            <color rgb="FF000000"/>
            <rFont val="Tahoma"/>
            <family val="2"/>
          </rPr>
          <t xml:space="preserve">
Reforma N° 2:
Se incrementó $ 8.999,20 conforme archivo POA 2023 DBU.</t>
        </r>
      </text>
    </comment>
    <comment ref="F152" authorId="1" shapeId="0" xr:uid="{E5A94690-84F7-4279-94A8-FE911D79A10D}">
      <text>
        <r>
          <rPr>
            <b/>
            <sz val="9"/>
            <color rgb="FF000000"/>
            <rFont val="Tahoma"/>
            <family val="2"/>
          </rPr>
          <t>LENOVO:</t>
        </r>
        <r>
          <rPr>
            <sz val="9"/>
            <color rgb="FF000000"/>
            <rFont val="Tahoma"/>
            <family val="2"/>
          </rPr>
          <t xml:space="preserve">
Reforma N° 3:
Se redujo $ 8.999,20, según memo N° DBUAC-2023-0124-M_03032023.</t>
        </r>
      </text>
    </comment>
    <comment ref="E153" authorId="3" shapeId="0" xr:uid="{6CD420B5-A9C0-47EA-91B4-F1C5B3864D65}">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$ 16.000,00 para liquidaciones personal administrativo, trabajadores, pago de alimentación, transporte, cargas familiares, antigüedad.
</t>
        </r>
        <r>
          <rPr>
            <b/>
            <sz val="9"/>
            <color rgb="FF000000"/>
            <rFont val="Tahoma"/>
            <family val="2"/>
          </rPr>
          <t>Reforma N° 3:</t>
        </r>
        <r>
          <rPr>
            <sz val="9"/>
            <color rgb="FF000000"/>
            <rFont val="Tahoma"/>
            <family val="2"/>
          </rPr>
          <t xml:space="preserve">
Se incrementó $ 10.000,00 atendiendo al memo N° UTMACH-DF-2023-0197-M_20052023.
</t>
        </r>
        <r>
          <rPr>
            <b/>
            <sz val="9"/>
            <color rgb="FF000000"/>
            <rFont val="Tahoma"/>
            <family val="2"/>
          </rPr>
          <t xml:space="preserve">
Reforma N° 6:</t>
        </r>
        <r>
          <rPr>
            <sz val="9"/>
            <color rgb="FF000000"/>
            <rFont val="Tahoma"/>
            <family val="2"/>
          </rPr>
          <t xml:space="preserve">
Se incrementó $ 1.000,00 a DFIN</t>
        </r>
      </text>
    </comment>
    <comment ref="F153" authorId="2" shapeId="0" xr:uid="{04934A35-B91C-4300-8F4D-944B47E02A6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$ 4.000,00 Dir. Financiera por efecto de informe de seguimiento.</t>
        </r>
      </text>
    </comment>
    <comment ref="G155" authorId="4" shapeId="0" xr:uid="{7E1C3289-9AD7-4AA4-AD54-6960ED320D0B}">
      <text>
        <r>
          <rPr>
            <b/>
            <sz val="10"/>
            <color rgb="FF000000"/>
            <rFont val="Tahoma"/>
            <family val="2"/>
          </rPr>
          <t>Valeria Ramon Capa:</t>
        </r>
        <r>
          <rPr>
            <sz val="10"/>
            <color rgb="FF000000"/>
            <rFont val="Tahoma"/>
            <family val="2"/>
          </rPr>
          <t xml:space="preserve">
</t>
        </r>
        <r>
          <rPr>
            <sz val="10"/>
            <color rgb="FF000000"/>
            <rFont val="Tahoma"/>
            <family val="2"/>
          </rPr>
          <t>POA</t>
        </r>
      </text>
    </comment>
    <comment ref="F159" authorId="1" shapeId="0" xr:uid="{610BC771-6D97-491F-BDAF-1AB411D3D48E}">
      <text>
        <r>
          <rPr>
            <b/>
            <sz val="9"/>
            <color rgb="FF000000"/>
            <rFont val="Tahoma"/>
            <family val="2"/>
          </rPr>
          <t xml:space="preserve">LENOVO:
Reforma N° 3:
</t>
        </r>
        <r>
          <rPr>
            <sz val="9"/>
            <color rgb="FF000000"/>
            <rFont val="Tahoma"/>
            <family val="2"/>
          </rPr>
          <t xml:space="preserve">Se reduce $ 40.000,00 para financiar Décimo Tercer Sueldo
</t>
        </r>
        <r>
          <rPr>
            <b/>
            <sz val="9"/>
            <color rgb="FF000000"/>
            <rFont val="Tahoma"/>
            <family val="2"/>
          </rPr>
          <t xml:space="preserve">Reforma N° 4:
</t>
        </r>
        <r>
          <rPr>
            <sz val="9"/>
            <color rgb="FF000000"/>
            <rFont val="Tahoma"/>
            <family val="2"/>
          </rPr>
          <t>Se reduce $ 262.000,00 para financiar la partida de servicios personales por contrato, por efectos del seguimiento presupuestario.
Se reduce $ 6.000,00 para financiar partida de décimo cuarto sueldo, por efectos del seguimiento presupuestario.
Se reduce $ 30.000,00 para financiar segundo plan de jubilación de la UTMACH, previsto a planificarse en septiembre.</t>
        </r>
      </text>
    </comment>
    <comment ref="K159" authorId="7" shapeId="0" xr:uid="{B49A6D2D-1FF4-4C65-AF26-534CC3FAE1CD}">
      <text>
        <r>
          <rPr>
            <b/>
            <sz val="9"/>
            <color rgb="FF000000"/>
            <rFont val="Tahoma"/>
            <family val="2"/>
          </rPr>
          <t>Dirección Financiera:</t>
        </r>
        <r>
          <rPr>
            <sz val="9"/>
            <color rgb="FF000000"/>
            <rFont val="Tahoma"/>
            <family val="2"/>
          </rPr>
          <t xml:space="preserve">
</t>
        </r>
        <r>
          <rPr>
            <sz val="9"/>
            <color rgb="FF000000"/>
            <rFont val="Tahoma"/>
            <family val="2"/>
          </rPr>
          <t>500000 para concursos y promociones</t>
        </r>
      </text>
    </comment>
    <comment ref="E160" authorId="1" shapeId="0" xr:uid="{C9210687-A5AC-4B92-A2C9-66D298CADC19}">
      <text>
        <r>
          <rPr>
            <b/>
            <sz val="9"/>
            <color rgb="FF000000"/>
            <rFont val="Tahoma"/>
            <family val="2"/>
          </rPr>
          <t>LENOVO:</t>
        </r>
        <r>
          <rPr>
            <sz val="9"/>
            <color rgb="FF000000"/>
            <rFont val="Tahoma"/>
            <family val="2"/>
          </rPr>
          <t xml:space="preserve">
Reforma N° 3:
Se incrementó $ 100.000,00 para financiar Décimo Tercer Sueldo.</t>
        </r>
      </text>
    </comment>
    <comment ref="E161" authorId="0" shapeId="0" xr:uid="{3A9376D1-2C34-4928-A581-D2D7151105A2}">
      <text>
        <r>
          <rPr>
            <b/>
            <sz val="9"/>
            <color rgb="FF000000"/>
            <rFont val="Tahoma"/>
            <family val="2"/>
          </rPr>
          <t>Microsoft Office User:</t>
        </r>
        <r>
          <rPr>
            <sz val="9"/>
            <color rgb="FF000000"/>
            <rFont val="Tahoma"/>
            <family val="2"/>
          </rPr>
          <t xml:space="preserve">
Reforma N° 4:
Se incrementa $ 6.000,00 para financiar partida de décimo cuarto sueldo, por efectos del seguimiento presupuestario.</t>
        </r>
      </text>
    </comment>
    <comment ref="E162" authorId="0" shapeId="0" xr:uid="{038949EB-B2C6-4116-9B2D-E8EFE91FFEDF}">
      <text>
        <r>
          <rPr>
            <b/>
            <sz val="9"/>
            <color rgb="FF000000"/>
            <rFont val="Tahoma"/>
            <family val="2"/>
          </rPr>
          <t xml:space="preserve">Microsoft Office User:
Reforma N° 4:
</t>
        </r>
        <r>
          <rPr>
            <sz val="9"/>
            <color rgb="FF000000"/>
            <rFont val="Tahoma"/>
            <family val="2"/>
          </rPr>
          <t>Se incrementa $ 262.000,00 para financiar la partida de servicios personales por contrato, por efectos del seguimiento presupuestario.</t>
        </r>
      </text>
    </comment>
    <comment ref="F162" authorId="2" shapeId="0" xr:uid="{A6937D09-D392-4EE5-8EE7-E64B04757D75}">
      <text>
        <r>
          <rPr>
            <b/>
            <sz val="9"/>
            <color indexed="81"/>
            <rFont val="Tahoma"/>
            <family val="2"/>
          </rPr>
          <t>Admin:</t>
        </r>
        <r>
          <rPr>
            <sz val="9"/>
            <color indexed="81"/>
            <rFont val="Tahoma"/>
            <family val="2"/>
          </rPr>
          <t xml:space="preserve">
Reforma N° 6:
Se redujo 150.000,00 para py de de jubilados.</t>
        </r>
      </text>
    </comment>
    <comment ref="F163" authorId="2" shapeId="0" xr:uid="{7541F5FE-5744-467E-9000-E3D851AAA5B3}">
      <text>
        <r>
          <rPr>
            <b/>
            <sz val="9"/>
            <color indexed="81"/>
            <rFont val="Tahoma"/>
            <family val="2"/>
          </rPr>
          <t>Admin:</t>
        </r>
        <r>
          <rPr>
            <sz val="9"/>
            <color indexed="81"/>
            <rFont val="Tahoma"/>
            <family val="2"/>
          </rPr>
          <t xml:space="preserve">
Reforma N° 6:
Se redujo $ 15.000,00 para plan de jubilados</t>
        </r>
      </text>
    </comment>
    <comment ref="F164" authorId="2" shapeId="0" xr:uid="{D00E6041-D759-49F1-9C6C-88E2C35EF45A}">
      <text>
        <r>
          <rPr>
            <b/>
            <sz val="9"/>
            <color indexed="81"/>
            <rFont val="Tahoma"/>
            <family val="2"/>
          </rPr>
          <t>Admin:</t>
        </r>
        <r>
          <rPr>
            <sz val="9"/>
            <color indexed="81"/>
            <rFont val="Tahoma"/>
            <family val="2"/>
          </rPr>
          <t xml:space="preserve">
Reforma N° 6:
Se reduce $4.000,00 a DTH.
Se redujo $ 36.267,38 para py de jubilados.</t>
        </r>
      </text>
    </comment>
    <comment ref="E165" authorId="1" shapeId="0" xr:uid="{82E5AFDC-8138-4AE5-BAFC-B016936D1A7A}">
      <text>
        <r>
          <rPr>
            <b/>
            <sz val="9"/>
            <color rgb="FF000000"/>
            <rFont val="Tahoma"/>
            <family val="2"/>
          </rPr>
          <t>LENOVO:</t>
        </r>
        <r>
          <rPr>
            <sz val="9"/>
            <color rgb="FF000000"/>
            <rFont val="Tahoma"/>
            <family val="2"/>
          </rPr>
          <t xml:space="preserve">
Reforma N° 3:
Se incrementó $4.000,00
Reforma N° 6:
Se incrementó $4.000,00 a DTH</t>
        </r>
      </text>
    </comment>
    <comment ref="E166" authorId="4" shapeId="0" xr:uid="{F111D7C0-D47C-4986-BAF8-A01B60798441}">
      <text>
        <r>
          <rPr>
            <b/>
            <sz val="8"/>
            <color rgb="FF000000"/>
            <rFont val="Tahoma"/>
            <family val="2"/>
          </rPr>
          <t>Valeria Ramon Capa:</t>
        </r>
        <r>
          <rPr>
            <sz val="8"/>
            <color rgb="FF000000"/>
            <rFont val="Tahoma"/>
            <family val="2"/>
          </rPr>
          <t xml:space="preserve">
</t>
        </r>
        <r>
          <rPr>
            <b/>
            <sz val="9"/>
            <color rgb="FF000000"/>
            <rFont val="Tahoma"/>
            <family val="2"/>
          </rPr>
          <t xml:space="preserve">Reforma N° 3:
</t>
        </r>
        <r>
          <rPr>
            <sz val="9"/>
            <color rgb="FF000000"/>
            <rFont val="Tahoma"/>
            <family val="2"/>
          </rPr>
          <t>Se incrementa $1.509,87 según memo N° UTMACH-DIPOS-2023-0160-M_19052023.</t>
        </r>
      </text>
    </comment>
    <comment ref="F166" authorId="2" shapeId="0" xr:uid="{C90B3960-8CCD-4E7D-A77C-6D68761C3D9A}">
      <text>
        <r>
          <rPr>
            <b/>
            <sz val="9"/>
            <color rgb="FF000000"/>
            <rFont val="Tahoma"/>
            <family val="2"/>
          </rPr>
          <t>Admin:</t>
        </r>
        <r>
          <rPr>
            <sz val="9"/>
            <color rgb="FF000000"/>
            <rFont val="Tahoma"/>
            <family val="2"/>
          </rPr>
          <t xml:space="preserve">
Reforma N° 4:
Se redujo $ 1.209,87 DIPOS por efecto de informe de seguimiento.</t>
        </r>
      </text>
    </comment>
    <comment ref="F167" authorId="2" shapeId="0" xr:uid="{F19869D6-8DF6-49C3-BAC4-42A315D194D0}">
      <text>
        <r>
          <rPr>
            <b/>
            <sz val="9"/>
            <color rgb="FF000000"/>
            <rFont val="Tahoma"/>
            <family val="2"/>
          </rPr>
          <t>Admin:</t>
        </r>
        <r>
          <rPr>
            <sz val="9"/>
            <color rgb="FF000000"/>
            <rFont val="Tahoma"/>
            <family val="2"/>
          </rPr>
          <t xml:space="preserve">
Reforma N° 4:
Se redujo $ 2.410,40 DIPOS por efecto de informe de seguimiento.
Se redujo $ 1.000,16 Dir. Formación Profesional por efecto de informe de seguimiento.
Reforma N° 6:
Se redujo $ 300 a DIPOS por efecto de informe de seguimiento.</t>
        </r>
      </text>
    </comment>
    <comment ref="E168" authorId="3" shapeId="0" xr:uid="{0B9DFE31-0F91-4949-A665-C902DAA1E6FC}">
      <text>
        <r>
          <rPr>
            <b/>
            <sz val="9"/>
            <color rgb="FF000000"/>
            <rFont val="Tahoma"/>
            <family val="2"/>
          </rPr>
          <t>HP:</t>
        </r>
        <r>
          <rPr>
            <sz val="9"/>
            <color rgb="FF000000"/>
            <rFont val="Tahoma"/>
            <family val="2"/>
          </rPr>
          <t xml:space="preserve">
Reforma N° 2:
Se incrementó $ 5.040,00 FCQS.</t>
        </r>
      </text>
    </comment>
    <comment ref="F168" authorId="2" shapeId="0" xr:uid="{50FC4255-B1CD-42CD-AA84-6D3EEC92C884}">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$ 540,00 FCQS según informe de seguimiento.</t>
        </r>
      </text>
    </comment>
    <comment ref="E169" authorId="3" shapeId="0" xr:uid="{18AAE4FD-BC74-44C5-B4B1-E096BC002CF5}">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83.935,78 para Dir. Administrativa
Se eliminó porque no se puede cruzar del grupo 84 al grupo 53.
Se incrementó $ 14.752,06 por saldo positivo y cuadre final de la fuente 1.
Cómo quedó en el POA:
711.513,00 DIR ADMINISTRATIVA
Se incrementó 5.448,78
</t>
        </r>
        <r>
          <rPr>
            <b/>
            <sz val="9"/>
            <color rgb="FF000000"/>
            <rFont val="Tahoma"/>
            <family val="2"/>
          </rPr>
          <t>Reforma N° 4:</t>
        </r>
        <r>
          <rPr>
            <sz val="9"/>
            <color rgb="FF000000"/>
            <rFont val="Tahoma"/>
            <family val="2"/>
          </rPr>
          <t xml:space="preserve">
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F169" authorId="3" shapeId="0" xr:uid="{EC2B63DF-4958-4D3D-81FA-0FCF2EB9406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$ 6.720,00 Dir. Aseguramiento de la Calidad.
$ 6.720,00 FIC
</t>
        </r>
        <r>
          <rPr>
            <b/>
            <sz val="9"/>
            <color rgb="FF000000"/>
            <rFont val="Tahoma"/>
            <family val="2"/>
          </rPr>
          <t>Reforma N° 3:</t>
        </r>
        <r>
          <rPr>
            <sz val="9"/>
            <color rgb="FF000000"/>
            <rFont val="Tahoma"/>
            <family val="2"/>
          </rPr>
          <t xml:space="preserve">
Se redujo $1.365,00 por atención de Memo N° UTMACH-DAC-2023-0133-M
</t>
        </r>
        <r>
          <rPr>
            <b/>
            <sz val="9"/>
            <color rgb="FF000000"/>
            <rFont val="Tahoma"/>
            <family val="2"/>
          </rPr>
          <t>Reforma N° 4:</t>
        </r>
        <r>
          <rPr>
            <sz val="9"/>
            <color rgb="FF000000"/>
            <rFont val="Tahoma"/>
            <family val="2"/>
          </rPr>
          <t xml:space="preserve">
Se reduce $ 711.513,00 por cambio de partida de inversión del Proyecto de Inversión " Adecuación de infraestructura y equipamiento Universidad Técnica de Machala".
</t>
        </r>
        <r>
          <rPr>
            <b/>
            <sz val="9"/>
            <color rgb="FF000000"/>
            <rFont val="Tahoma"/>
            <family val="2"/>
          </rPr>
          <t>Reforma N° 6:</t>
        </r>
        <r>
          <rPr>
            <sz val="9"/>
            <color rgb="FF000000"/>
            <rFont val="Tahoma"/>
            <family val="2"/>
          </rPr>
          <t xml:space="preserve">
Se redujo $ 2.550,00 según memo N° DAC-2023-0275-M_14092023.
Se redujo $ 520,10 por ser saldo no ejecutado, DAC.
Se redujo $ 15.095,55 por ser saldo no ejecutado, DBUAC.</t>
        </r>
      </text>
    </comment>
    <comment ref="E170" authorId="3" shapeId="0" xr:uid="{4F2E9180-8C4E-40CB-8EA9-4F373D6B0C0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$ 77.722,59 DBUAC.
</t>
        </r>
      </text>
    </comment>
    <comment ref="F170" authorId="2" shapeId="0" xr:uid="{3CFAF14D-584F-47D2-A278-C2F5568C6CF8}">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$ 77.722,59 DBUAC por efecto de informe de seguimiento.</t>
        </r>
      </text>
    </comment>
    <comment ref="E171" authorId="3" shapeId="0" xr:uid="{282EE051-13B0-4B78-82F1-9C7971DA8C8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$ 5.666,86 para adecuación de Sala de Docentes de la Carrera de Enfermería en la FCQS. UTMACH EP EMPRESA PUBLICA
Se incrementó $ 44.380,00 según Memorando N° FCS-D-2023-0062-M del 23/01/2023.
Se incrementó $ 250.000,00 para DBUAC Adecuación de espacios de bienestar deportivos.
Se eliminó porque no se puede cruzar de la 84 al grupo 53.
Se incrementó $ 123.677,98 para DBUAC Adecuación de espacios de bienestar deportivos.
Por saldo a favor y cuadre final de la fuente 3.
</t>
        </r>
        <r>
          <rPr>
            <b/>
            <sz val="9"/>
            <color rgb="FF000000"/>
            <rFont val="Tahoma"/>
            <family val="2"/>
          </rPr>
          <t>Reforma N° 3:</t>
        </r>
        <r>
          <rPr>
            <sz val="9"/>
            <color rgb="FF000000"/>
            <rFont val="Tahoma"/>
            <family val="2"/>
          </rPr>
          <t xml:space="preserve">
Se incrementó $ 3.224,44 según memo N° FIC-D-2023-0217-M_09052023 (por cuadre de fuente).</t>
        </r>
      </text>
    </comment>
    <comment ref="F171" authorId="4" shapeId="0" xr:uid="{41D42EF3-D22E-4188-928A-A70CE7AF7980}">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redujo $ 44.380,00 FCS en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$ 123.677,98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 en la misma partida con fuente 001.
Reforma N° 6:
Se redujo $ 607.17 a FCQS
Se redujo $ 345.47 a FIC
</t>
        </r>
      </text>
    </comment>
    <comment ref="F172" authorId="3" shapeId="0" xr:uid="{22E52F21-35DE-4DC4-8C49-8445B8278A5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$ 9.200,00 Dir. Administrativa.
</t>
        </r>
        <r>
          <rPr>
            <b/>
            <sz val="9"/>
            <color rgb="FF000000"/>
            <rFont val="Tahoma"/>
            <family val="2"/>
          </rPr>
          <t>Reforma N° 3:</t>
        </r>
        <r>
          <rPr>
            <sz val="9"/>
            <color rgb="FF000000"/>
            <rFont val="Tahoma"/>
            <family val="2"/>
          </rPr>
          <t xml:space="preserve">
Se reduce $ 4.024,45 según memo N° FIC-D-2023-0217-M_09052023.
Reforma N° 6:
Se redujo $ 128,00 a Dir. Administrativa por valor no ejecutado</t>
        </r>
      </text>
    </comment>
    <comment ref="E173" authorId="2" shapeId="0" xr:uid="{490B5E8D-AC76-485C-8C2E-4C6027415BE6}">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$ 50.000,00 según memo N</t>
        </r>
        <r>
          <rPr>
            <sz val="9"/>
            <color rgb="FF000000"/>
            <rFont val="Tahoma"/>
            <family val="2"/>
          </rPr>
          <t>°</t>
        </r>
        <r>
          <rPr>
            <sz val="9"/>
            <color rgb="FF000000"/>
            <rFont val="Tahoma"/>
            <family val="2"/>
          </rPr>
          <t xml:space="preserve"> UTMACH-FCA-D-2023-0571-M_28072023 para Estudios especializados para la construcción del bloque de laboratorios de la FCA.</t>
        </r>
      </text>
    </comment>
    <comment ref="F173" authorId="3" shapeId="0" xr:uid="{0B4ED6F9-B2A0-4D82-B872-E6BDF915A6B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Se redujo $31.807,16 Dir.Académica por Memo nro DACAD-2023-0133 y en virtud de oficio Nro. MEF-SP-2023-0501 para atender Memo Nro. 0399 de DADM.
Reforma N° 6:
Se redujo $45.000,55 FCA por necesidad emergente</t>
        </r>
      </text>
    </comment>
    <comment ref="F174" authorId="5" shapeId="0" xr:uid="{58B2D170-769C-41A7-B45A-C8C54A05E606}">
      <text>
        <r>
          <rPr>
            <sz val="12"/>
            <color theme="1"/>
            <rFont val="Arial"/>
            <family val="2"/>
            <scheme val="minor"/>
          </rPr>
          <t>Eunice Basilio:
Reforma N° 2:
Se redujo $ 3.590,15 para cubrir contratos de años anteriores y disponibilidades de nuevas necesidades.
Reforma N° 3:
Se redujo $20.000 DTH por seguimiento y en virtud de oficio Nro. MEF-SP-2023-0501 para atender Memo Nro. 0399 de DADM.
Se redujo $6.456,36 a DTH por cuadre de fuente.
Reforma N° 6:
Se redujo $ 4.000,00 para preaprobaciones de estudios del proyecto de medicina y artes plásticas. DPLAN.</t>
        </r>
      </text>
    </comment>
    <comment ref="E175" authorId="3" shapeId="0" xr:uid="{07064031-5403-45C6-84C2-777A369F4AAE}">
      <text>
        <r>
          <rPr>
            <b/>
            <sz val="9"/>
            <color rgb="FF000000"/>
            <rFont val="Tahoma"/>
            <family val="2"/>
          </rPr>
          <t>HP:</t>
        </r>
        <r>
          <rPr>
            <sz val="9"/>
            <color rgb="FF000000"/>
            <rFont val="Tahoma"/>
            <family val="2"/>
          </rPr>
          <t xml:space="preserve">
Reforma N° 2:
Se incrementó $ 20.000,00 Vic. Académico.</t>
        </r>
      </text>
    </comment>
    <comment ref="F175" authorId="4" shapeId="0" xr:uid="{12D41697-EC6F-4157-8CB7-E162ADC408AC}">
      <text>
        <r>
          <rPr>
            <b/>
            <sz val="9"/>
            <color rgb="FF000000"/>
            <rFont val="Tahoma"/>
            <family val="34"/>
          </rPr>
          <t>Valeria Ramon Capa:</t>
        </r>
        <r>
          <rPr>
            <sz val="9"/>
            <color rgb="FF000000"/>
            <rFont val="Tahoma"/>
            <family val="34"/>
          </rPr>
          <t xml:space="preserve">
</t>
        </r>
        <r>
          <rPr>
            <b/>
            <sz val="9"/>
            <color rgb="FF000000"/>
            <rFont val="Tahoma"/>
            <family val="2"/>
          </rPr>
          <t>Reforma N° 3:</t>
        </r>
        <r>
          <rPr>
            <sz val="9"/>
            <color rgb="FF000000"/>
            <rFont val="Tahoma"/>
            <family val="34"/>
          </rPr>
          <t xml:space="preserve">
Se redujo $30.000,00 a Vic. Académico por seguimiento y en virtud de oficio Nro. MEF-SP-2023-0501 para atender Memo Nro. 0399 de DADM.
</t>
        </r>
        <r>
          <rPr>
            <b/>
            <sz val="9"/>
            <color rgb="FF000000"/>
            <rFont val="Tahoma"/>
            <family val="2"/>
          </rPr>
          <t>Reforma N° 4:</t>
        </r>
        <r>
          <rPr>
            <sz val="9"/>
            <color rgb="FF000000"/>
            <rFont val="Tahoma"/>
            <family val="34"/>
          </rPr>
          <t xml:space="preserve">
Se redujo $ 5.714,28 Vic. Académico por efecto de informe de seguimiento.</t>
        </r>
      </text>
    </comment>
    <comment ref="F176" authorId="3" shapeId="0" xr:uid="{805ACBEF-EE78-4A10-B018-157735F7071C}">
      <text>
        <r>
          <rPr>
            <b/>
            <sz val="9"/>
            <color rgb="FF000000"/>
            <rFont val="Tahoma"/>
            <family val="2"/>
          </rPr>
          <t>HP:</t>
        </r>
        <r>
          <rPr>
            <sz val="9"/>
            <color rgb="FF000000"/>
            <rFont val="Tahoma"/>
            <family val="2"/>
          </rPr>
          <t xml:space="preserve">
Reforma N° 2:
Se redujo $ 22.400,00 Vic. Académico.</t>
        </r>
      </text>
    </comment>
    <comment ref="E177" authorId="3" shapeId="0" xr:uid="{DCB96659-E86F-4CF4-849B-50D4A7D97973}">
      <text>
        <r>
          <rPr>
            <b/>
            <sz val="9"/>
            <color rgb="FF000000"/>
            <rFont val="Tahoma"/>
            <family val="2"/>
          </rPr>
          <t>HP:</t>
        </r>
        <r>
          <rPr>
            <sz val="9"/>
            <color rgb="FF000000"/>
            <rFont val="Tahoma"/>
            <family val="2"/>
          </rPr>
          <t xml:space="preserve">
Reforma N° 2:
Se incrementó $ 34.151,28 Dir. Formación Profesional.</t>
        </r>
      </text>
    </comment>
    <comment ref="F177" authorId="1" shapeId="0" xr:uid="{C4EC1C89-1BA9-4E0A-A47A-F09B8D5EEF37}">
      <text>
        <r>
          <rPr>
            <b/>
            <sz val="9"/>
            <color rgb="FF000000"/>
            <rFont val="Tahoma"/>
            <family val="2"/>
          </rPr>
          <t>LENOVO:</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redujo $12.000,00 según Memo N</t>
        </r>
        <r>
          <rPr>
            <sz val="9"/>
            <color rgb="FF000000"/>
            <rFont val="Tahoma"/>
            <family val="2"/>
          </rPr>
          <t>°</t>
        </r>
        <r>
          <rPr>
            <sz val="9"/>
            <color rgb="FF000000"/>
            <rFont val="Tahoma"/>
            <family val="2"/>
          </rPr>
          <t xml:space="preserve"> UTMACH-DIDI-BG-2023-0058-M_05052023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$ 35.211,30 Dir. Formación Profesional por efecto de informe de seguimiento.</t>
        </r>
      </text>
    </comment>
    <comment ref="E178" authorId="5" shapeId="0" xr:uid="{3CCE84EE-7B0B-4CD1-8363-1F477AF6DBE5}">
      <text>
        <r>
          <rPr>
            <b/>
            <sz val="9"/>
            <color rgb="FF000000"/>
            <rFont val="Tahoma"/>
            <family val="2"/>
          </rPr>
          <t>Eunice Basilio:</t>
        </r>
        <r>
          <rPr>
            <sz val="9"/>
            <color rgb="FF000000"/>
            <rFont val="Tahoma"/>
            <family val="2"/>
          </rPr>
          <t xml:space="preserve">
Reforma N° 3:
Se incrementó $ 4.000,00-0,63 según memo N° DTIC-2023-0088-M_04052023.</t>
        </r>
      </text>
    </comment>
    <comment ref="F178" authorId="3" shapeId="0" xr:uid="{7BDC2DB6-264D-46AA-BEE3-22AE7505CC3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$ 10.640,00 DTIC.
</t>
        </r>
        <r>
          <rPr>
            <b/>
            <sz val="9"/>
            <color rgb="FF000000"/>
            <rFont val="Tahoma"/>
            <family val="2"/>
          </rPr>
          <t>Reforma N° 3:</t>
        </r>
        <r>
          <rPr>
            <sz val="9"/>
            <color rgb="FF000000"/>
            <rFont val="Tahoma"/>
            <family val="2"/>
          </rPr>
          <t xml:space="preserve">
Se redujo $ 4.352,39 según memo N° DTIC-2023-0088-M_04052023.
</t>
        </r>
        <r>
          <rPr>
            <b/>
            <sz val="9"/>
            <color rgb="FF000000"/>
            <rFont val="Tahoma"/>
            <family val="2"/>
          </rPr>
          <t>Reforma N° 5:</t>
        </r>
        <r>
          <rPr>
            <sz val="9"/>
            <color rgb="FF000000"/>
            <rFont val="Tahoma"/>
            <family val="2"/>
          </rPr>
          <t xml:space="preserve">
Se redujo $ 2.068,40 por ser saldo no ejecutado, DTICS.
</t>
        </r>
        <r>
          <rPr>
            <b/>
            <sz val="9"/>
            <color rgb="FF000000"/>
            <rFont val="Tahoma"/>
            <family val="2"/>
          </rPr>
          <t xml:space="preserve">
Reforma N° 6:</t>
        </r>
        <r>
          <rPr>
            <sz val="9"/>
            <color rgb="FF000000"/>
            <rFont val="Tahoma"/>
            <family val="2"/>
          </rPr>
          <t xml:space="preserve">
Se redujo $ 500,27 por ser saldo no ejecutado, DTICS.</t>
        </r>
      </text>
    </comment>
    <comment ref="E179" authorId="4" shapeId="0" xr:uid="{CC5F7AF8-6113-4863-A310-9D8758FB0ECF}">
      <text>
        <r>
          <rPr>
            <b/>
            <sz val="9"/>
            <color rgb="FF000000"/>
            <rFont val="Tahoma"/>
            <family val="2"/>
          </rPr>
          <t xml:space="preserve">Valeria Ramon Capa:
</t>
        </r>
        <r>
          <rPr>
            <sz val="9"/>
            <color rgb="FF000000"/>
            <rFont val="Tahoma"/>
            <family val="2"/>
          </rPr>
          <t>Reforma N° 3:
Se incrementa $157,33 de fondo de caja chica de FCA.</t>
        </r>
      </text>
    </comment>
    <comment ref="F180" authorId="4" shapeId="0" xr:uid="{997B5F82-BF0C-4817-83E8-CC32CAFB0715}">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$1.509,87 según memo N° UTMACH-DIPOS-2023-0160-M_19052023.</t>
        </r>
      </text>
    </comment>
    <comment ref="E181" authorId="4" shapeId="0" xr:uid="{A4E39B4B-8F94-401C-AE98-391664C6DB72}">
      <text>
        <r>
          <rPr>
            <b/>
            <sz val="9"/>
            <color rgb="FF000000"/>
            <rFont val="Tahoma"/>
            <family val="2"/>
          </rPr>
          <t>Valeria Ramon Capa:</t>
        </r>
        <r>
          <rPr>
            <sz val="9"/>
            <color rgb="FF000000"/>
            <rFont val="Tahoma"/>
            <family val="2"/>
          </rPr>
          <t xml:space="preserve">
Reforma N° 3:
Se incrementa $157,34 por distribución de fondo de caja chica de la FCA - correo 13062023.</t>
        </r>
      </text>
    </comment>
    <comment ref="F181" authorId="3" shapeId="0" xr:uid="{156DBEC5-010A-448F-ABD4-83F33AFD2B5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$ 7.260,96 FCS.
</t>
        </r>
        <r>
          <rPr>
            <b/>
            <sz val="9"/>
            <color rgb="FF000000"/>
            <rFont val="Tahoma"/>
            <family val="2"/>
          </rPr>
          <t>Reforma N° 4:</t>
        </r>
        <r>
          <rPr>
            <sz val="9"/>
            <color rgb="FF000000"/>
            <rFont val="Tahoma"/>
            <family val="2"/>
          </rPr>
          <t xml:space="preserve">
Se redujo $ 1.194,00 FCA por efecto de informe de seguimiento (Certi. N° 259).</t>
        </r>
      </text>
    </comment>
    <comment ref="E182" authorId="4" shapeId="0" xr:uid="{87BFEDF3-3940-4395-9AFD-6619CEAC19F3}">
      <text>
        <r>
          <rPr>
            <b/>
            <sz val="9"/>
            <color rgb="FF000000"/>
            <rFont val="Tahoma"/>
            <family val="2"/>
          </rPr>
          <t xml:space="preserve">Valeria Ramon Capa:
</t>
        </r>
        <r>
          <rPr>
            <sz val="9"/>
            <color rgb="FF000000"/>
            <rFont val="Tahoma"/>
            <family val="2"/>
          </rPr>
          <t>Reforma N° 3:
Se incrementa $157,33 por distribución de fondo de caja chica de la FCA - correo 13062023.</t>
        </r>
      </text>
    </comment>
    <comment ref="F182" authorId="1" shapeId="0" xr:uid="{385E7C42-9CD0-4B43-AE55-AF521AF9D037}">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$ 327,68 según memo N° FCA-D-2023-0249-M_05052023.
</t>
        </r>
        <r>
          <rPr>
            <b/>
            <sz val="9"/>
            <color rgb="FF000000"/>
            <rFont val="Tahoma"/>
            <family val="2"/>
          </rPr>
          <t>Reforma N° 5:</t>
        </r>
        <r>
          <rPr>
            <sz val="9"/>
            <color rgb="FF000000"/>
            <rFont val="Tahoma"/>
            <family val="2"/>
          </rPr>
          <t xml:space="preserve">
Se redujo $ 18,17 por ser saldo no ejecutado, FCA.</t>
        </r>
      </text>
    </comment>
    <comment ref="E183" authorId="2" shapeId="0" xr:uid="{B850A94B-1269-4DD5-B2F3-26E2152BC238}">
      <text>
        <r>
          <rPr>
            <b/>
            <sz val="9"/>
            <color indexed="81"/>
            <rFont val="Tahoma"/>
            <family val="2"/>
          </rPr>
          <t>Admin:</t>
        </r>
        <r>
          <rPr>
            <sz val="9"/>
            <color indexed="81"/>
            <rFont val="Tahoma"/>
            <family val="2"/>
          </rPr>
          <t xml:space="preserve">
Reforma N° 5:
Se incrementa $ 1.996,00 según memo N° DAC-2023-0275-M_14092023.</t>
        </r>
      </text>
    </comment>
    <comment ref="E184" authorId="0" shapeId="0" xr:uid="{C88D4ACD-BD2D-496D-BE54-D8C7A1351ACA}">
      <text>
        <r>
          <rPr>
            <b/>
            <sz val="9"/>
            <color rgb="FF000000"/>
            <rFont val="Tahoma"/>
            <family val="2"/>
          </rPr>
          <t>Microsoft Office User:</t>
        </r>
        <r>
          <rPr>
            <sz val="9"/>
            <color rgb="FF000000"/>
            <rFont val="Tahoma"/>
            <family val="2"/>
          </rPr>
          <t xml:space="preserve">
Reforma N° 4:
Se incrementa $ 64.443,90 en el POA de DADM para atender memo nro. UTMACH-DADM-2023-0725-M.</t>
        </r>
      </text>
    </comment>
    <comment ref="F184" authorId="2" shapeId="0" xr:uid="{68E2811D-9609-4F02-B4ED-F81FB8D42CCC}">
      <text>
        <r>
          <rPr>
            <b/>
            <sz val="9"/>
            <color indexed="81"/>
            <rFont val="Tahoma"/>
            <family val="2"/>
          </rPr>
          <t>Admin:</t>
        </r>
        <r>
          <rPr>
            <sz val="9"/>
            <color indexed="81"/>
            <rFont val="Tahoma"/>
            <family val="2"/>
          </rPr>
          <t xml:space="preserve">
Reforma N° 5:
Se redujo $ 6.904,70 por ser saldo no ejecutado (IVA), Dir. Adm.</t>
        </r>
      </text>
    </comment>
    <comment ref="E185" authorId="3" shapeId="0" xr:uid="{BA0A2AFC-BD7E-416C-92D0-FBD5E3E3B18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F185" authorId="4" shapeId="0" xr:uid="{71BF08C2-D2C4-48FC-A499-7F2272ED3ABA}">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$2.280 a FCS por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$ 229,32 FCE según informe de seguimiento.
Reforma N° 6:
Se redujo $ 151,45 FCS certificacion 301 saldo IVA.</t>
        </r>
      </text>
    </comment>
    <comment ref="F186" authorId="2" shapeId="0" xr:uid="{9F314A68-9EF8-4D08-8746-1843A3461645}">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$ 56,80 FCA por efecto de informe de seguimiento (Cert. N</t>
        </r>
        <r>
          <rPr>
            <sz val="9"/>
            <color rgb="FF000000"/>
            <rFont val="Tahoma"/>
            <family val="2"/>
          </rPr>
          <t>°</t>
        </r>
        <r>
          <rPr>
            <sz val="9"/>
            <color rgb="FF000000"/>
            <rFont val="Tahoma"/>
            <family val="2"/>
          </rPr>
          <t xml:space="preserve"> 202).</t>
        </r>
      </text>
    </comment>
    <comment ref="F187" authorId="2" shapeId="0" xr:uid="{5165CD06-B9F7-4737-8AA1-4CD61D052B48}">
      <text>
        <r>
          <rPr>
            <b/>
            <sz val="9"/>
            <color indexed="81"/>
            <rFont val="Tahoma"/>
            <family val="2"/>
          </rPr>
          <t>Admin:</t>
        </r>
        <r>
          <rPr>
            <sz val="9"/>
            <color indexed="81"/>
            <rFont val="Tahoma"/>
            <family val="2"/>
          </rPr>
          <t xml:space="preserve">
Reforma N° 5:
Se redujo $ 67,00 por ser saldo no ejecutado, FCA.</t>
        </r>
      </text>
    </comment>
    <comment ref="E188" authorId="3" shapeId="0" xr:uid="{343190FE-53B6-42EA-A4FB-4574CC2E182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$ 231,46 de acuerdo al POA 2023 de la FCE presentado.</t>
        </r>
      </text>
    </comment>
    <comment ref="F188" authorId="2" shapeId="0" xr:uid="{A123E127-198E-4AC1-9FCA-32E4E8C441B0}">
      <text>
        <r>
          <rPr>
            <b/>
            <sz val="9"/>
            <color indexed="81"/>
            <rFont val="Tahoma"/>
            <family val="2"/>
          </rPr>
          <t>Admin:</t>
        </r>
        <r>
          <rPr>
            <sz val="9"/>
            <color indexed="81"/>
            <rFont val="Tahoma"/>
            <family val="2"/>
          </rPr>
          <t xml:space="preserve">
Reforma N° 5:
Se redujo $ 105,24 por ser saldo no ejecutado, FCA.</t>
        </r>
      </text>
    </comment>
    <comment ref="F189" authorId="1" shapeId="0" xr:uid="{FF72A153-0463-43A8-810A-91C9EDB01CB8}">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$ 2.755,31 según memo N</t>
        </r>
        <r>
          <rPr>
            <sz val="9"/>
            <color rgb="FF000000"/>
            <rFont val="Tahoma"/>
            <family val="2"/>
          </rPr>
          <t>°</t>
        </r>
        <r>
          <rPr>
            <sz val="9"/>
            <color rgb="FF000000"/>
            <rFont val="Tahoma"/>
            <family val="2"/>
          </rPr>
          <t xml:space="preserve"> FCS-D-2023-0460-M_23052023 y reunión de seguimiento de seguimiento, en virtud de oficio Nro. MEF-SP-2023-0501 para atender Memo Nro. 0399 de DADM.</t>
        </r>
      </text>
    </comment>
    <comment ref="F190" authorId="4" shapeId="0" xr:uid="{23B4A339-BD24-4C4B-A50A-146549966492}">
      <text>
        <r>
          <rPr>
            <b/>
            <sz val="9"/>
            <color rgb="FF000000"/>
            <rFont val="Tahoma"/>
            <family val="2"/>
          </rPr>
          <t>Valeria Ramon Capa:</t>
        </r>
        <r>
          <rPr>
            <sz val="9"/>
            <color rgb="FF000000"/>
            <rFont val="Tahoma"/>
            <family val="2"/>
          </rPr>
          <t xml:space="preserve">
Reforma N 3:
Se reduce $472 por solicitud de FCA vía Correo 12062023.
Reforma N 6:
Se reduce $200 por liquidacion de fondo</t>
        </r>
      </text>
    </comment>
    <comment ref="E191" authorId="3" shapeId="0" xr:uid="{51E8E522-703A-42B8-BAC8-32BD0E859C2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$ 10.164,16, según Memorando N° UTMACH-DBUAC-2023-0009-M del 10/01/2023
</t>
        </r>
        <r>
          <rPr>
            <b/>
            <sz val="9"/>
            <color rgb="FF000000"/>
            <rFont val="Tahoma"/>
            <family val="2"/>
          </rPr>
          <t>Reforma N° 5:</t>
        </r>
        <r>
          <rPr>
            <sz val="9"/>
            <color rgb="FF000000"/>
            <rFont val="Tahoma"/>
            <family val="2"/>
          </rPr>
          <t xml:space="preserve">
Se incrementó $ 10.000,00 según memo N° DBUAC-2023-0792-M_18092023.</t>
        </r>
      </text>
    </comment>
    <comment ref="F191" authorId="2" shapeId="0" xr:uid="{E1D2A2A9-D84D-41AE-B5E6-BFD89DA05B89}">
      <text>
        <r>
          <rPr>
            <b/>
            <sz val="9"/>
            <color rgb="FF000000"/>
            <rFont val="Tahoma"/>
            <family val="2"/>
          </rPr>
          <t>Admin:</t>
        </r>
        <r>
          <rPr>
            <sz val="9"/>
            <color rgb="FF000000"/>
            <rFont val="Tahoma"/>
            <family val="2"/>
          </rPr>
          <t xml:space="preserve">
Reforma N° 4:
Se redujo $ 77.722,59 DBUAC por efecto de informe de seguimiento. (Cert. N° 149).
Reforma N° 6:
Se redujo $ 718.22 DBUAC IVA. (Cert. N° ).</t>
        </r>
      </text>
    </comment>
    <comment ref="E192" authorId="3" shapeId="0" xr:uid="{D765835D-6FE0-479C-8A5F-57A1AC0AB3DB}">
      <text>
        <r>
          <rPr>
            <b/>
            <sz val="9"/>
            <color rgb="FF000000"/>
            <rFont val="Tahoma"/>
            <family val="2"/>
          </rPr>
          <t>HP:</t>
        </r>
        <r>
          <rPr>
            <sz val="9"/>
            <color rgb="FF000000"/>
            <rFont val="Tahoma"/>
            <family val="2"/>
          </rPr>
          <t xml:space="preserve">
Reforma N° 2:
Se incrementó $ 118.070,00 según Oficio N° UTMACH-DBUAC-2023-0006-M del 06/En/2023, solo se atendió INCREMENTO NECESARIO PARA PAO 2023 -1 (5 MESES).</t>
        </r>
      </text>
    </comment>
    <comment ref="E194" authorId="3" shapeId="0" xr:uid="{E4529202-8518-4FD2-AEF9-F6365F0FFCA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$ 33.214,12 para Repotenciación de la Línea de Media Tensión 13200 VAC, en el Campus principal de la UTMACH. - UTMACH EP.</t>
        </r>
      </text>
    </comment>
    <comment ref="F194" authorId="2" shapeId="0" xr:uid="{B026320B-3D65-43E8-B6D0-8408B8725C1A}">
      <text>
        <r>
          <rPr>
            <b/>
            <sz val="9"/>
            <color indexed="81"/>
            <rFont val="Tahoma"/>
            <family val="2"/>
          </rPr>
          <t>Admin:
Reforma N 6:</t>
        </r>
        <r>
          <rPr>
            <sz val="9"/>
            <color indexed="81"/>
            <rFont val="Tahoma"/>
            <family val="2"/>
          </rPr>
          <t xml:space="preserve">
Se reduce $6.428,54 saldo IVA-3.161,83 py jubilados</t>
        </r>
      </text>
    </comment>
    <comment ref="D195" authorId="4" shapeId="0" xr:uid="{8C24BD0F-926A-485C-8C50-B567C7432CFF}">
      <text>
        <r>
          <rPr>
            <b/>
            <sz val="9"/>
            <color rgb="FF000000"/>
            <rFont val="Tahoma"/>
            <family val="2"/>
          </rPr>
          <t>Valeria Ramon Capa:</t>
        </r>
        <r>
          <rPr>
            <sz val="9"/>
            <color rgb="FF000000"/>
            <rFont val="Tahoma"/>
            <family val="2"/>
          </rPr>
          <t xml:space="preserve">
Este valor consta en el POA de Dirección Administrativa.</t>
        </r>
      </text>
    </comment>
    <comment ref="E196" authorId="0" shapeId="0" xr:uid="{C2F6D30F-4D52-458B-813E-9670A0E234E7}">
      <text>
        <r>
          <rPr>
            <b/>
            <sz val="9"/>
            <color rgb="FF000000"/>
            <rFont val="Tahoma"/>
            <family val="2"/>
          </rPr>
          <t>Microsoft Office User:</t>
        </r>
        <r>
          <rPr>
            <sz val="9"/>
            <color rgb="FF000000"/>
            <rFont val="Tahoma"/>
            <family val="2"/>
          </rPr>
          <t xml:space="preserve">
Reforma N° 4:
Se incrementa $ 28.840,00 para la fiscalización de la ejecución del Proyecto de Inversión " Adecuación de infraestructura y equipamiento Universidad Técnica de Machala", en el POA de DADM.</t>
        </r>
      </text>
    </comment>
    <comment ref="E198" authorId="2" shapeId="0" xr:uid="{051D6EFA-4D49-48D7-9F25-37920B14ACD5}">
      <text>
        <r>
          <rPr>
            <b/>
            <sz val="9"/>
            <color rgb="FF000000"/>
            <rFont val="Tahoma"/>
            <family val="2"/>
          </rPr>
          <t>Admin:</t>
        </r>
        <r>
          <rPr>
            <sz val="9"/>
            <color rgb="FF000000"/>
            <rFont val="Tahoma"/>
            <family val="2"/>
          </rPr>
          <t xml:space="preserve">
Reforma N° 4:
Se incrementa $ 639.186,31 por cambio de partida del Proyecto de Inversión " Adecuación de infraestructura y equipamiento Universidad Técnica de Machala", en el POA de DADM.</t>
        </r>
      </text>
    </comment>
    <comment ref="F198" authorId="2" shapeId="0" xr:uid="{304B2FD4-C090-4E9E-ABAD-897F1F5D362E}">
      <text>
        <r>
          <rPr>
            <b/>
            <sz val="9"/>
            <color indexed="81"/>
            <rFont val="Tahoma"/>
            <family val="2"/>
          </rPr>
          <t>Admin:</t>
        </r>
        <r>
          <rPr>
            <sz val="9"/>
            <color indexed="81"/>
            <rFont val="Tahoma"/>
            <family val="2"/>
          </rPr>
          <t xml:space="preserve">
Reforma N° 6:
Se redujo $ 67.590,19 por ser saldo no ejecutado, Dir. Adm.</t>
        </r>
      </text>
    </comment>
    <comment ref="E199" authorId="1" shapeId="0" xr:uid="{9F4081AA-6E56-44FA-9BF3-8F65A2ABA010}">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$ 1.052,80 según memo N° FCS-D-2023-0460-M_23052023.
Se incrementó $87,40 según memo DAC N 133_30052023.
</t>
        </r>
        <r>
          <rPr>
            <b/>
            <sz val="9"/>
            <color rgb="FF000000"/>
            <rFont val="Tahoma"/>
            <family val="2"/>
          </rPr>
          <t>Reforma N° 5:</t>
        </r>
        <r>
          <rPr>
            <sz val="9"/>
            <color rgb="FF000000"/>
            <rFont val="Tahoma"/>
            <family val="2"/>
          </rPr>
          <t xml:space="preserve">
Se incrementa $ 1.996,00 según memo N° DAC-2023-0275-M_14092023.</t>
        </r>
      </text>
    </comment>
    <comment ref="F199" authorId="0" shapeId="0" xr:uid="{2EB8C583-654A-47ED-BE9B-195C2E5062BE}">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reduce $ 87,40 en atención al memo nro. DAC-2023-0221-M.
</t>
        </r>
        <r>
          <rPr>
            <b/>
            <sz val="9"/>
            <color rgb="FF000000"/>
            <rFont val="Tahoma"/>
            <family val="2"/>
          </rPr>
          <t>Reforma N° 5:</t>
        </r>
        <r>
          <rPr>
            <sz val="9"/>
            <color rgb="FF000000"/>
            <rFont val="Tahoma"/>
            <family val="2"/>
          </rPr>
          <t xml:space="preserve">
Se redujo $ 192,80 por ser saldo no ejecutado, FCS.</t>
        </r>
      </text>
    </comment>
    <comment ref="E200" authorId="3" shapeId="0" xr:uid="{6877F41F-E82B-43E1-B1B5-9EBA586CF37A}">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$ 7.320,00 según Memorando N° FCS-D-2023-0062-M del 23/01/2023.
</t>
        </r>
        <r>
          <rPr>
            <b/>
            <sz val="9"/>
            <color rgb="FF000000"/>
            <rFont val="Tahoma"/>
            <family val="2"/>
          </rPr>
          <t>Reforma N° 3</t>
        </r>
        <r>
          <rPr>
            <sz val="9"/>
            <color rgb="FF000000"/>
            <rFont val="Tahoma"/>
            <family val="2"/>
          </rPr>
          <t>:
Se incrementó $ 11.505,18 según memo N° FCS-D-2023-0460-M_23052023 y reunión de seguimiento.</t>
        </r>
      </text>
    </comment>
    <comment ref="F200" authorId="4" shapeId="0" xr:uid="{1CDD98B1-336B-4EF4-BC57-B828DF9A07C0}">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$4.000,00 a FCS por seguimiento y en virtud de oficio Nro. MEF-SP-2023-0501 para atender Memo Nro. 0399 de DADM.
</t>
        </r>
        <r>
          <rPr>
            <b/>
            <sz val="9"/>
            <color rgb="FF000000"/>
            <rFont val="Tahoma"/>
            <family val="2"/>
          </rPr>
          <t>Reforma N° 6:</t>
        </r>
        <r>
          <rPr>
            <sz val="9"/>
            <color rgb="FF000000"/>
            <rFont val="Tahoma"/>
            <family val="2"/>
          </rPr>
          <t xml:space="preserve">
Se reduce $1.866,56 a FCS por saldo no ejecutado IVA</t>
        </r>
      </text>
    </comment>
    <comment ref="E201" authorId="1" shapeId="0" xr:uid="{ADEE851B-4EC2-4234-A3CB-131C53A9D2EA}">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$ 800,00 según memo N° FIC-D-2023-0217-M_09052023.
</t>
        </r>
        <r>
          <rPr>
            <b/>
            <sz val="9"/>
            <color rgb="FF000000"/>
            <rFont val="Tahoma"/>
            <family val="2"/>
          </rPr>
          <t>Reforma N° 5:</t>
        </r>
        <r>
          <rPr>
            <sz val="9"/>
            <color rgb="FF000000"/>
            <rFont val="Tahoma"/>
            <family val="2"/>
          </rPr>
          <t xml:space="preserve">
Se incrementó $ 714,29 según memo N° DPLAN-2023-0260-M_18092023 (FIC).</t>
        </r>
      </text>
    </comment>
    <comment ref="F201" authorId="3" shapeId="0" xr:uid="{83F80DA5-EE19-4E04-88A1-8C1458A0FA3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$ 1.176.733,21 para Py Inversión FIC.
El saldo de  $ 2.000.000,00 para Py construcción e implementación del CRAI Dir. Administrativa
En el POA quedó así:
$ 2.000.000,00 para Py construcción e implementación del CRAI Dir. Administrativa+81.527,83
</t>
        </r>
        <r>
          <rPr>
            <b/>
            <sz val="9"/>
            <color rgb="FF000000"/>
            <rFont val="Tahoma"/>
            <family val="2"/>
          </rPr>
          <t>Reforma N° 4:</t>
        </r>
        <r>
          <rPr>
            <sz val="9"/>
            <color rgb="FF000000"/>
            <rFont val="Tahoma"/>
            <family val="2"/>
          </rPr>
          <t xml:space="preserve">
Se reduce $ 2.075.957,83 por cambio de programa presupuestario del 82 al 83 del proyecto del CRAI.</t>
        </r>
      </text>
    </comment>
    <comment ref="E202" authorId="3" shapeId="0" xr:uid="{3419502B-A513-44BC-8DE8-F0CC1D66CC43}">
      <text>
        <r>
          <rPr>
            <sz val="9"/>
            <color theme="1"/>
            <rFont val="Arial"/>
            <family val="2"/>
            <scheme val="minor"/>
          </rPr>
          <t>HP:
Reforma N° 2:
Se incrementó $ 1.700,00 para lentes de cámara por disposición del Director DPLAN
En el POA quedó así:
5.709,60 FCS
2.251,20 DTIC
Reforma N° 4:
Se incrementa $ 1097,60 en el POA DPOS para atender el memo DIPOS-2023-237-M.</t>
        </r>
      </text>
    </comment>
    <comment ref="F202" authorId="3" shapeId="0" xr:uid="{4C602AE2-05E8-4B37-BFE9-3151C7A9C57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$ 22.296,96 Vic. Académico
$ 949.040,38-62852,68
</t>
        </r>
        <r>
          <rPr>
            <b/>
            <sz val="9"/>
            <color rgb="FF000000"/>
            <rFont val="Tahoma"/>
            <family val="2"/>
          </rPr>
          <t xml:space="preserve">Reforma N° 3:
</t>
        </r>
        <r>
          <rPr>
            <sz val="9"/>
            <color rgb="FF000000"/>
            <rFont val="Tahoma"/>
            <family val="2"/>
          </rPr>
          <t xml:space="preserve">Se redujo $ 62.852,68 según memo N° DTIC-2023-0088-M_04052023
Se redujo $ 4.384,60 según memo N° FCS-D-2023-0460-M_23052023
Se redujo $ 13.686,40, para atender memo N° DBUAC-2023-0318-M_22052023
Se redujo $ 13.405,61+6.776,00 para atender memo N 0604 FCQS_25052023
Se redujo $ 15.879,05 para atender memo N° DBUAC-2023-0124-M_03032023
Se redujo $1620 por cuadre de fuente
Se redujo $ 39.637,92 para cartera de proyectos de inversión 2023 - 83 840104 003
Se redujo $10.080,00 para cartera de proyectos de inversión 2023 - 83 840107 003
Se reduce $5.824 para reestablecer computadoras en TICS
Se reduce $268,73 por cuadre de fuente 
</t>
        </r>
        <r>
          <rPr>
            <b/>
            <sz val="9"/>
            <color rgb="FF000000"/>
            <rFont val="Tahoma"/>
            <family val="2"/>
          </rPr>
          <t>Reforma N° 4:</t>
        </r>
        <r>
          <rPr>
            <sz val="9"/>
            <color rgb="FF000000"/>
            <rFont val="Tahoma"/>
            <family val="2"/>
          </rPr>
          <t xml:space="preserve">
Se reduce $ 2251,20 en el POA de DTIC y se trasladan al POa de DADM en atención al Memorando nro. UTMACH-DADM-UCP-2023-1143-M.
Reforma N° 6:
Se reduce $ 117,60 a DPOS por ser IVA.</t>
        </r>
      </text>
    </comment>
    <comment ref="E203" authorId="3" shapeId="0" xr:uid="{F4CB5814-7B3B-4389-8F60-D846349890C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$ 41.623,28 para pago de contrato de año anterior por adquisición e instalación de equipos de climatización. Dir. Administrativa.</t>
        </r>
      </text>
    </comment>
    <comment ref="E204" authorId="3" shapeId="0" xr:uid="{AC9C96BF-1854-434E-A9F7-2BD074F143C2}">
      <text>
        <r>
          <rPr>
            <b/>
            <sz val="9"/>
            <color rgb="FF000000"/>
            <rFont val="Tahoma"/>
            <family val="2"/>
          </rPr>
          <t>HP:</t>
        </r>
        <r>
          <rPr>
            <sz val="9"/>
            <color rgb="FF000000"/>
            <rFont val="Tahoma"/>
            <family val="2"/>
          </rPr>
          <t xml:space="preserve">
Reforma N° 2:
Se incrementó 13.831,48 para Repotenciación de la Línea de Media Tensión 13200 VAC, en el Campus principal de la UTMACH. - UTMACH EP.</t>
        </r>
      </text>
    </comment>
    <comment ref="F204" authorId="2" shapeId="0" xr:uid="{6A93ACCF-91F4-4A88-A513-0B78B8228016}">
      <text>
        <r>
          <rPr>
            <b/>
            <sz val="9"/>
            <color indexed="81"/>
            <rFont val="Tahoma"/>
            <family val="2"/>
          </rPr>
          <t xml:space="preserve">Admin:
Reforma N 6:
</t>
        </r>
        <r>
          <rPr>
            <sz val="9"/>
            <color indexed="81"/>
            <rFont val="Tahoma"/>
            <family val="2"/>
          </rPr>
          <t>Se reduce $13.541,15 por ser IVA.</t>
        </r>
      </text>
    </comment>
    <comment ref="D205" authorId="4" shapeId="0" xr:uid="{1947B9DE-5F9A-46B0-B4DB-009B0CBED185}">
      <text>
        <r>
          <rPr>
            <b/>
            <sz val="9"/>
            <color rgb="FF000000"/>
            <rFont val="Tahoma"/>
            <family val="2"/>
          </rPr>
          <t>Valeria Ramon Capa:</t>
        </r>
        <r>
          <rPr>
            <sz val="9"/>
            <color rgb="FF000000"/>
            <rFont val="Tahoma"/>
            <family val="2"/>
          </rPr>
          <t xml:space="preserve">
Este valor consta en el POA de Dirección Administrativa.</t>
        </r>
      </text>
    </comment>
    <comment ref="E206" authorId="5" shapeId="0" xr:uid="{B40C27C2-4181-4B59-BE39-5756082429BA}">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$ 2.897,97 conforme archivo POA 2023.
Se incrementó $ 8.505,49 de acuerdo al POA 2023 de la FCE presentado.
En el POA quedó:
1.867,77 DIPOS
1.030,20 FCA
8.505,49 FCE
1.310,60 FCQS
</t>
        </r>
        <r>
          <rPr>
            <b/>
            <sz val="9"/>
            <color rgb="FF000000"/>
            <rFont val="Tahoma"/>
            <family val="2"/>
          </rPr>
          <t xml:space="preserve">Reforma N° 3:
</t>
        </r>
        <r>
          <rPr>
            <sz val="9"/>
            <color rgb="FF000000"/>
            <rFont val="Tahoma"/>
            <family val="2"/>
          </rPr>
          <t xml:space="preserve">Se incrementó $1.146,32 según memo N° UTMACH-DIPOS-2023-0160-M_19052023.
</t>
        </r>
        <r>
          <rPr>
            <b/>
            <sz val="9"/>
            <color rgb="FF000000"/>
            <rFont val="Tahoma"/>
            <family val="2"/>
          </rPr>
          <t>Reforma N° 4:</t>
        </r>
        <r>
          <rPr>
            <sz val="9"/>
            <color rgb="FF000000"/>
            <rFont val="Tahoma"/>
            <family val="2"/>
          </rPr>
          <t xml:space="preserve">
Se incrementó $ 500,00 según memo N° UTMACH-FCA-D-2023-0571-M_28072023 para compra de scaner.</t>
        </r>
      </text>
    </comment>
    <comment ref="F206" authorId="4" shapeId="0" xr:uid="{18006168-0333-46A7-80A0-5A509E3A7D1A}">
      <text>
        <r>
          <rPr>
            <sz val="12"/>
            <color theme="1"/>
            <rFont val="Arial"/>
            <family val="2"/>
            <scheme val="minor"/>
          </rPr>
          <t>Valeria Ramon Capa:
Reforma N° 3:
Se reduce $380,46 y $133,28 según memo N° UTMACH-DIPOS-2023-0160-M_19052023.
Reforma N° 4:
Se redujo $ 1.930,27 FCE según informe de seguimiento.
Se redujo $ 1097,60 en el POA de DPOS para atender pedido del memo DIPOS-2023-237-M.
Reforma N° 6:
Se redujo $ 422,75-146,08 DPOS de saldo no ejecutado IVA</t>
        </r>
      </text>
    </comment>
    <comment ref="E207" authorId="0" shapeId="0" xr:uid="{E4B461FA-E984-41BC-B318-BC60612EF18A}">
      <text>
        <r>
          <rPr>
            <b/>
            <sz val="9"/>
            <color rgb="FF000000"/>
            <rFont val="Tahoma"/>
            <family val="2"/>
          </rPr>
          <t>Microsoft Office User:</t>
        </r>
        <r>
          <rPr>
            <sz val="9"/>
            <color rgb="FF000000"/>
            <rFont val="Tahoma"/>
            <family val="2"/>
          </rPr>
          <t xml:space="preserve">
Reforma N° 4:
Incremento de $ 369,966.00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Memorando nro. UTMACH-DADM-UOIFM-2023-0240-M.</t>
        </r>
      </text>
    </comment>
    <comment ref="F207" authorId="2" shapeId="0" xr:uid="{6C44B977-DFEF-4A7D-90CE-970DFD7FC90B}">
      <text>
        <r>
          <rPr>
            <sz val="12"/>
            <color theme="1"/>
            <rFont val="Arial"/>
            <family val="2"/>
            <scheme val="minor"/>
          </rPr>
          <t>Admin:
Reforma N° 6:
Se redujo $ 40.307,59 por ser saldo no ejecutado, FCS.</t>
        </r>
      </text>
    </comment>
    <comment ref="E208" authorId="3" shapeId="0" xr:uid="{F030F855-D9E9-46D9-980A-46F14FCDEEDF}">
      <text>
        <r>
          <rPr>
            <sz val="9"/>
            <color theme="1"/>
            <rFont val="Tahoma"/>
            <family val="2"/>
          </rPr>
          <t xml:space="preserve">HP:
</t>
        </r>
        <r>
          <rPr>
            <b/>
            <sz val="9"/>
            <color theme="1"/>
            <rFont val="Tahoma"/>
            <family val="2"/>
          </rPr>
          <t>Reforma N° 2:</t>
        </r>
        <r>
          <rPr>
            <sz val="9"/>
            <color theme="1"/>
            <rFont val="Tahoma"/>
            <family val="2"/>
          </rPr>
          <t xml:space="preserve">
Se incrementó $ 75.610,11 que vino de la la partida N° 990101 0701 003 Obligaciones de Ejercicios Anteriores en Personal del programa 01.
Se incrementó $ 40.000,00 para liquidaciones de haberes, trabajadores y ex servidores.
Se incrementó $ 10.000,00 para liquidaciones de docentes.
$ 13.000,00 para pago a VASQUEZ FLORES JOSE ALBERTO
$ 6.000,00 para pago a BURGOS BURGOS JHON
Se incrementó $ 5000+15.000,00 para cubrir liquidaciones por juicios en la partida N° 990101 0701 003
</t>
        </r>
        <r>
          <rPr>
            <b/>
            <sz val="9"/>
            <color theme="1"/>
            <rFont val="Tahoma"/>
            <family val="2"/>
          </rPr>
          <t>Reforma N° 3:</t>
        </r>
        <r>
          <rPr>
            <sz val="9"/>
            <color theme="1"/>
            <rFont val="Tahoma"/>
            <family val="2"/>
          </rPr>
          <t xml:space="preserve">
Se incrementó $ 60.000,00 atendiendo al memo N° UTMACH-DF-2023-0197-M_20052023.
Se incrementó $50.000,00 a Dfin para cubrir necesidad por juicio, notificado verbalmente por parte del Procurador a Dirección Financiera.
</t>
        </r>
        <r>
          <rPr>
            <b/>
            <sz val="9"/>
            <color theme="1"/>
            <rFont val="Tahoma"/>
            <family val="2"/>
          </rPr>
          <t>Reforma N° 4:</t>
        </r>
        <r>
          <rPr>
            <sz val="9"/>
            <color theme="1"/>
            <rFont val="Tahoma"/>
            <family val="2"/>
          </rPr>
          <t xml:space="preserve">
Se incrementa $ 4.000,00 para financiar pago de docentes que podrían terminar sus licencias sin remuneración.
</t>
        </r>
        <r>
          <rPr>
            <b/>
            <sz val="9"/>
            <color theme="1"/>
            <rFont val="Tahoma"/>
            <family val="2"/>
          </rPr>
          <t>Reforma N° 6:</t>
        </r>
        <r>
          <rPr>
            <sz val="9"/>
            <color theme="1"/>
            <rFont val="Tahoma"/>
            <family val="2"/>
          </rPr>
          <t xml:space="preserve">
Se incrementa $ 21.152,00 para liquidaciones de docentes.
Se incrementó $ 15.000,00 por sentencia del docente Colón Velásquez. Dir. Financiera.</t>
        </r>
      </text>
    </comment>
    <comment ref="E214" authorId="3" shapeId="0" xr:uid="{5CC131FB-E8A9-4E87-BF43-C349BE2ED99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incrementó $ 8.609,16 por contrato año anterior por servicio de implementación de una Red Wifi - TELCONET - TIC
</t>
        </r>
        <r>
          <rPr>
            <sz val="9"/>
            <color rgb="FF000000"/>
            <rFont val="Tahoma"/>
            <family val="2"/>
          </rPr>
          <t>$ 59.717,94 Servicio de internet CEDIA TIC</t>
        </r>
      </text>
    </comment>
    <comment ref="F214" authorId="5" shapeId="0" xr:uid="{793AC91C-5E8E-4B23-B7CD-D5C5CD3426AE}">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$ 49.750,97 según memo N</t>
        </r>
        <r>
          <rPr>
            <sz val="9"/>
            <color rgb="FF000000"/>
            <rFont val="Tahoma"/>
            <family val="2"/>
          </rPr>
          <t>°</t>
        </r>
        <r>
          <rPr>
            <sz val="9"/>
            <color rgb="FF000000"/>
            <rFont val="Tahoma"/>
            <family val="2"/>
          </rPr>
          <t xml:space="preserve"> DTIC-2023-0088-M_04052023</t>
        </r>
      </text>
    </comment>
    <comment ref="E215" authorId="0" shapeId="0" xr:uid="{83E0C2F4-F799-4E73-9DA2-4CDB6D9072AD}">
      <text>
        <r>
          <rPr>
            <b/>
            <sz val="10"/>
            <color rgb="FF000000"/>
            <rFont val="Tahoma"/>
            <family val="2"/>
          </rPr>
          <t>Microsoft Office User:</t>
        </r>
        <r>
          <rPr>
            <sz val="10"/>
            <color rgb="FF000000"/>
            <rFont val="Tahoma"/>
            <family val="2"/>
          </rPr>
          <t xml:space="preserve">
Reforma N° 4:
Se incrementa $ 1898,86 en el POA de VIVP en atención parcial al memo nro. VINVIP-2023-0220-M.
Se incrementa $ 2.000,00 para atender Memorando nro. UTMACH-FCS-D-2023-0916-M.</t>
        </r>
      </text>
    </comment>
    <comment ref="F215" authorId="3" shapeId="0" xr:uid="{F28BA0C0-9B71-40CE-8D4A-425CB9F8D34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
</t>
        </r>
        <r>
          <rPr>
            <b/>
            <sz val="9"/>
            <color rgb="FF000000"/>
            <rFont val="Tahoma"/>
            <family val="34"/>
          </rPr>
          <t>Reforma 3:</t>
        </r>
        <r>
          <rPr>
            <sz val="9"/>
            <color rgb="FF000000"/>
            <rFont val="Tahoma"/>
            <family val="34"/>
          </rPr>
          <t xml:space="preserve">
Se redujo $2.240,00 a FCA en reunión de seguimiento y en virtud de oficio Nro. MEF-SP-2023-0501 para atender Memo Nro. 0399 de DADM.
</t>
        </r>
        <r>
          <rPr>
            <b/>
            <sz val="9"/>
            <color rgb="FF000000"/>
            <rFont val="Tahoma"/>
            <family val="2"/>
          </rPr>
          <t>Reforma N° 4:</t>
        </r>
        <r>
          <rPr>
            <sz val="9"/>
            <color rgb="FF000000"/>
            <rFont val="Tahoma"/>
            <family val="34"/>
          </rPr>
          <t xml:space="preserve">
Se redujo $ 9.959,98 DIDI por efecto de informe de seguimiento.
</t>
        </r>
        <r>
          <rPr>
            <b/>
            <sz val="9"/>
            <color rgb="FF000000"/>
            <rFont val="Tahoma"/>
            <family val="2"/>
          </rPr>
          <t>Reforma N° 5:</t>
        </r>
        <r>
          <rPr>
            <sz val="9"/>
            <color rgb="FF000000"/>
            <rFont val="Tahoma"/>
            <family val="34"/>
          </rPr>
          <t xml:space="preserve">
Se redujo $ 960,40 (Lib.Steps)+1.128,00 (OVID ESPAÑOL) CP N° 429 por ser saldo no ejecutado, DIDI.
</t>
        </r>
        <r>
          <rPr>
            <b/>
            <sz val="9"/>
            <color rgb="FF000000"/>
            <rFont val="Tahoma"/>
            <family val="2"/>
          </rPr>
          <t xml:space="preserve">
Reforma N° 6:</t>
        </r>
        <r>
          <rPr>
            <sz val="9"/>
            <color rgb="FF000000"/>
            <rFont val="Tahoma"/>
            <family val="34"/>
          </rPr>
          <t xml:space="preserve">
Se redujo $ 4.212,42 DIDI, según seguimiento a la ejecución.</t>
        </r>
      </text>
    </comment>
    <comment ref="E216" authorId="4" shapeId="0" xr:uid="{37BD0D01-2902-4816-86A3-3059B562AEB9}">
      <text>
        <r>
          <rPr>
            <b/>
            <sz val="9"/>
            <color rgb="FF000000"/>
            <rFont val="Tahoma"/>
            <family val="2"/>
          </rPr>
          <t xml:space="preserve">Valeria Ramon Capa: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 xml:space="preserve">Se incrementa $ 2.352,00 en el POA del VIVP para atender el memo nro. VINVIP-2023-0220-M
</t>
        </r>
        <r>
          <rPr>
            <sz val="9"/>
            <color rgb="FF000000"/>
            <rFont val="Tahoma"/>
            <family val="2"/>
          </rPr>
          <t xml:space="preserve">
</t>
        </r>
        <r>
          <rPr>
            <sz val="9"/>
            <color rgb="FF000000"/>
            <rFont val="Tahoma"/>
            <family val="2"/>
          </rPr>
          <t>Se incrementa $ 5.000,00 en el POA de DIDI para financiamiento de la cartera de proyecto 2023</t>
        </r>
      </text>
    </comment>
    <comment ref="F216" authorId="4" shapeId="0" xr:uid="{56006047-75E5-4D57-AEC9-34A094A2A6A2}">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17" authorId="3" shapeId="0" xr:uid="{6B647826-E382-44FB-A385-E647D1BA9E2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$ 25.066,04 por contrato año anterior, para Renovación de garantías extendidas y soporte de fábrica para los equipos que conforman la Plataforma Flexpod - AKEA - DTIC</t>
        </r>
      </text>
    </comment>
    <comment ref="D218" authorId="4" shapeId="0" xr:uid="{858215EC-E529-471B-8898-7C24E391FDBB}">
      <text>
        <r>
          <rPr>
            <b/>
            <sz val="9"/>
            <color rgb="FF000000"/>
            <rFont val="Tahoma"/>
            <family val="2"/>
          </rPr>
          <t>Valeria Ramon Capa:</t>
        </r>
        <r>
          <rPr>
            <sz val="9"/>
            <color rgb="FF000000"/>
            <rFont val="Tahoma"/>
            <family val="2"/>
          </rPr>
          <t xml:space="preserve">
Este valor se encuentra en el POA de TICS.</t>
        </r>
      </text>
    </comment>
    <comment ref="E219" authorId="2" shapeId="0" xr:uid="{32299667-F8B5-450B-80EB-F7D6EDBA0BE5}">
      <text>
        <r>
          <rPr>
            <b/>
            <sz val="9"/>
            <color indexed="81"/>
            <rFont val="Tahoma"/>
            <family val="2"/>
          </rPr>
          <t>Admin:</t>
        </r>
        <r>
          <rPr>
            <sz val="9"/>
            <color indexed="81"/>
            <rFont val="Tahoma"/>
            <family val="2"/>
          </rPr>
          <t xml:space="preserve">
Reforma N° 6:
Se incrementó $ 1.500,00, según memo N° FCE-D-2023-0996-M_25/09/2023.</t>
        </r>
      </text>
    </comment>
    <comment ref="E220" authorId="3" shapeId="0" xr:uid="{92AA0759-9A5E-4A02-AFC1-EFD8EF26EFB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según Memorando N</t>
        </r>
        <r>
          <rPr>
            <sz val="9"/>
            <color rgb="FF000000"/>
            <rFont val="Tahoma"/>
            <family val="2"/>
          </rPr>
          <t>°</t>
        </r>
        <r>
          <rPr>
            <sz val="9"/>
            <color rgb="FF000000"/>
            <rFont val="Tahoma"/>
            <family val="2"/>
          </rPr>
          <t xml:space="preserve"> UTMACH-DIDI-2023-0053-M_02/02/2023.</t>
        </r>
      </text>
    </comment>
    <comment ref="F220" authorId="2" shapeId="0" xr:uid="{CF878811-B0BD-4EF0-A5DF-B7AACEE740DF}">
      <text>
        <r>
          <rPr>
            <b/>
            <sz val="9"/>
            <color indexed="81"/>
            <rFont val="Tahoma"/>
            <family val="2"/>
          </rPr>
          <t>Admin:</t>
        </r>
        <r>
          <rPr>
            <sz val="9"/>
            <color indexed="81"/>
            <rFont val="Tahoma"/>
            <family val="2"/>
          </rPr>
          <t xml:space="preserve">
Reforma N° 6:
Se redujo $ 500,00 DIDI, según seguimiento a la ejecución.</t>
        </r>
      </text>
    </comment>
    <comment ref="E221" authorId="4" shapeId="0" xr:uid="{432B632E-9504-4B42-9A6D-6638F12D9C60}">
      <text>
        <r>
          <rPr>
            <b/>
            <sz val="9"/>
            <color rgb="FF000000"/>
            <rFont val="Tahoma"/>
            <family val="2"/>
          </rPr>
          <t>Valeria Ramon Capa:</t>
        </r>
        <r>
          <rPr>
            <sz val="9"/>
            <color rgb="FF000000"/>
            <rFont val="Tahoma"/>
            <family val="2"/>
          </rPr>
          <t xml:space="preserve">
</t>
        </r>
        <r>
          <rPr>
            <sz val="9"/>
            <color rgb="FF000000"/>
            <rFont val="Tahoma"/>
            <family val="2"/>
          </rPr>
          <t xml:space="preserve">Reforma 3: 
</t>
        </r>
        <r>
          <rPr>
            <sz val="9"/>
            <color rgb="FF000000"/>
            <rFont val="Tahoma"/>
            <family val="2"/>
          </rPr>
          <t>Se incrementó $9.500 VIVP en virtud de reunion de seguimiento</t>
        </r>
      </text>
    </comment>
    <comment ref="F221" authorId="2" shapeId="0" xr:uid="{D62448D5-0C6A-4FAA-A31C-A05135C5FE90}">
      <text>
        <r>
          <rPr>
            <b/>
            <sz val="9"/>
            <color indexed="81"/>
            <rFont val="Tahoma"/>
            <family val="2"/>
          </rPr>
          <t>Admin:</t>
        </r>
        <r>
          <rPr>
            <sz val="9"/>
            <color indexed="81"/>
            <rFont val="Tahoma"/>
            <family val="2"/>
          </rPr>
          <t xml:space="preserve">
Reforma N° 5:
Se redujo $ 972,40 por ser saldo no ejecutado, VIVP.</t>
        </r>
      </text>
    </comment>
    <comment ref="E222" authorId="3" shapeId="0" xr:uid="{AAFA7912-BE71-4370-A5A6-61B734D27A6A}">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$ 10.000,00 según Memorando N</t>
        </r>
        <r>
          <rPr>
            <sz val="9"/>
            <color rgb="FF000000"/>
            <rFont val="Tahoma"/>
            <family val="2"/>
          </rPr>
          <t>°</t>
        </r>
        <r>
          <rPr>
            <sz val="9"/>
            <color rgb="FF000000"/>
            <rFont val="Tahoma"/>
            <family val="2"/>
          </rPr>
          <t xml:space="preserve"> UTMACH-DIDI-2023-0053-M_02/02/2023.</t>
        </r>
      </text>
    </comment>
    <comment ref="F222" authorId="2" shapeId="0" xr:uid="{4486950A-AF2F-407F-8122-8461E07E5D5C}">
      <text>
        <r>
          <rPr>
            <b/>
            <sz val="9"/>
            <color indexed="81"/>
            <rFont val="Tahoma"/>
            <family val="2"/>
          </rPr>
          <t>Admin:</t>
        </r>
        <r>
          <rPr>
            <sz val="9"/>
            <color indexed="81"/>
            <rFont val="Tahoma"/>
            <family val="2"/>
          </rPr>
          <t xml:space="preserve">
Reforma N° 6:
Se redujo $ 48,13 DIDI, según seguimiento a la ejecución.</t>
        </r>
      </text>
    </comment>
    <comment ref="E223" authorId="2" shapeId="0" xr:uid="{6812C87F-FFB6-4104-83D7-86945628577E}">
      <text>
        <r>
          <rPr>
            <b/>
            <sz val="9"/>
            <color indexed="81"/>
            <rFont val="Tahoma"/>
            <family val="2"/>
          </rPr>
          <t>Admin:</t>
        </r>
        <r>
          <rPr>
            <sz val="9"/>
            <color indexed="81"/>
            <rFont val="Tahoma"/>
            <family val="2"/>
          </rPr>
          <t xml:space="preserve">
Reforma N° 6:
Se incrementó $ 800,00 según memo N° DIDI-2023-0642-M_02/10/2023.</t>
        </r>
      </text>
    </comment>
    <comment ref="E224" authorId="0" shapeId="0" xr:uid="{58360462-EEA0-4F57-8ED1-B6B42FBFF240}">
      <text>
        <r>
          <rPr>
            <b/>
            <sz val="10"/>
            <color rgb="FF000000"/>
            <rFont val="Tahoma"/>
            <family val="2"/>
          </rPr>
          <t>Microsoft Office User:</t>
        </r>
        <r>
          <rPr>
            <sz val="10"/>
            <color rgb="FF000000"/>
            <rFont val="Tahoma"/>
            <family val="2"/>
          </rPr>
          <t xml:space="preserve">
</t>
        </r>
        <r>
          <rPr>
            <b/>
            <sz val="10"/>
            <color rgb="FF000000"/>
            <rFont val="Tahoma"/>
            <family val="2"/>
          </rPr>
          <t>Reforma N° 4:</t>
        </r>
        <r>
          <rPr>
            <sz val="10"/>
            <color rgb="FF000000"/>
            <rFont val="Tahoma"/>
            <family val="2"/>
          </rPr>
          <t xml:space="preserve">
</t>
        </r>
        <r>
          <rPr>
            <sz val="10"/>
            <color rgb="FF000000"/>
            <rFont val="Arial"/>
            <family val="2"/>
          </rPr>
          <t xml:space="preserve">Se incrementa $ 2.200,00 en el POA de DIDI para financiamiento de la cartera de proyecto 2023.
</t>
        </r>
        <r>
          <rPr>
            <sz val="10"/>
            <color rgb="FF000000"/>
            <rFont val="Tahoma"/>
            <family val="2"/>
          </rPr>
          <t xml:space="preserve">
Se incrementa $ 1.000,00 para atender el memo nro. DF-UPSTO-2023-0786-M.</t>
        </r>
        <r>
          <rPr>
            <sz val="10"/>
            <color rgb="FF000000"/>
            <rFont val="Tahoma"/>
            <family val="2"/>
          </rPr>
          <t xml:space="preserve">
</t>
        </r>
      </text>
    </comment>
    <comment ref="F224" authorId="2" shapeId="0" xr:uid="{4B633977-F379-4962-90B6-1C0FA2A1BDC1}">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$ 94,00 VIVP por efecto de informe de seguimiento.</t>
        </r>
      </text>
    </comment>
    <comment ref="E225" authorId="3" shapeId="0" xr:uid="{BE3A1944-DF06-4E82-80F9-9BA33D64BE0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$ 5.000,00 según Memorando N</t>
        </r>
        <r>
          <rPr>
            <sz val="9"/>
            <color rgb="FF000000"/>
            <rFont val="Tahoma"/>
            <family val="2"/>
          </rPr>
          <t>°</t>
        </r>
        <r>
          <rPr>
            <sz val="9"/>
            <color rgb="FF000000"/>
            <rFont val="Tahoma"/>
            <family val="2"/>
          </rPr>
          <t xml:space="preserve"> UTMACH-DIDI-2023-0053-M_02/02/2023.</t>
        </r>
      </text>
    </comment>
    <comment ref="E226" authorId="4" shapeId="0" xr:uid="{61A691B7-A92B-48E6-AC1C-955BDE3E65AC}">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incrementa $108.473,73 a FCS por cambio de fuente y en atención a FCS-D-2023-0460-M
-Se incrementa $25.760,00 movimiento de partida para egreso de forma adecuada en FCA.
</t>
        </r>
        <r>
          <rPr>
            <b/>
            <sz val="9"/>
            <color rgb="FF000000"/>
            <rFont val="Tahoma"/>
            <family val="2"/>
          </rPr>
          <t>Reforma N° 5:</t>
        </r>
        <r>
          <rPr>
            <sz val="9"/>
            <color rgb="FF000000"/>
            <rFont val="Tahoma"/>
            <family val="2"/>
          </rPr>
          <t xml:space="preserve">
Se incrementó 6.265,65 según CEP N° 387.</t>
        </r>
      </text>
    </comment>
    <comment ref="F226" authorId="3" shapeId="0" xr:uid="{F3F521CB-B033-4CC4-B386-B566CDEDB72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reduce $ 24.512,00 FCS
$ 29.680,00 Rectorado
25.440
En el POA quedó así:
16.800,00 FCA
24.559,17 FCE
</t>
        </r>
        <r>
          <rPr>
            <b/>
            <sz val="9"/>
            <color rgb="FF000000"/>
            <rFont val="Tahoma"/>
            <family val="2"/>
          </rPr>
          <t xml:space="preserve">
Reforma N 3:
</t>
        </r>
        <r>
          <rPr>
            <sz val="9"/>
            <color rgb="FF000000"/>
            <rFont val="Tahoma"/>
            <family val="2"/>
          </rPr>
          <t xml:space="preserve">Se reduce $38.921,22 FCE por cuanto las reparaciones de edificaciones las realizará la aseguradora.
</t>
        </r>
        <r>
          <rPr>
            <b/>
            <sz val="9"/>
            <color rgb="FF000000"/>
            <rFont val="Tahoma"/>
            <family val="2"/>
          </rPr>
          <t>Reforma N° 4:</t>
        </r>
        <r>
          <rPr>
            <sz val="9"/>
            <color rgb="FF000000"/>
            <rFont val="Tahoma"/>
            <family val="2"/>
          </rPr>
          <t xml:space="preserve">
Se redujo $ 104.473,73 FCS.
Se redujo $ 210,00 FCA por efecto de informe de seguimiento.
Se redujo $ 25.570 en el POA de FCA para atender el memo nro. FCA-D-2023-0593-M.</t>
        </r>
      </text>
    </comment>
    <comment ref="E227" authorId="4" shapeId="0" xr:uid="{D4C36D83-7F70-4D69-A505-2AD6BCFCE01C}">
      <text>
        <r>
          <rPr>
            <b/>
            <sz val="9"/>
            <color rgb="FF000000"/>
            <rFont val="Tahoma"/>
            <family val="2"/>
          </rPr>
          <t>Valeria Ramon Capa:</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$ 32.800,00 + 27.200 según memo N</t>
        </r>
        <r>
          <rPr>
            <sz val="9"/>
            <color rgb="FF000000"/>
            <rFont val="Tahoma"/>
            <family val="2"/>
          </rPr>
          <t>°</t>
        </r>
        <r>
          <rPr>
            <sz val="9"/>
            <color rgb="FF000000"/>
            <rFont val="Tahoma"/>
            <family val="2"/>
          </rPr>
          <t xml:space="preserve"> FCS-D-2023-0460-M_23052023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9"/>
            <color rgb="FF000000"/>
            <rFont val="Tahoma"/>
            <family val="2"/>
          </rPr>
          <t>Se incrementa $ 31.960,45 en el POA de FCA para atender el memo nro. FCA-D-2023-0617-M.</t>
        </r>
      </text>
    </comment>
    <comment ref="F227" authorId="4" shapeId="0" xr:uid="{A9FB98C7-4638-48AE-A585-B2406989277B}">
      <text>
        <r>
          <rPr>
            <b/>
            <sz val="9"/>
            <color rgb="FF000000"/>
            <rFont val="Tahoma"/>
            <family val="2"/>
          </rPr>
          <t>Valeria Ramon Capa:</t>
        </r>
        <r>
          <rPr>
            <sz val="9"/>
            <color rgb="FF000000"/>
            <rFont val="Tahoma"/>
            <family val="2"/>
          </rPr>
          <t xml:space="preserve">
</t>
        </r>
        <r>
          <rPr>
            <sz val="9"/>
            <color rgb="FF000000"/>
            <rFont val="Tahoma"/>
            <family val="2"/>
          </rPr>
          <t xml:space="preserve">Reforma N 3:
</t>
        </r>
        <r>
          <rPr>
            <sz val="9"/>
            <color rgb="FF000000"/>
            <rFont val="Tahoma"/>
            <family val="2"/>
          </rPr>
          <t>Se reduce $100.000,00 a FCS por cambio de fuente y en atención a FCS-D-2023-0460-M</t>
        </r>
      </text>
    </comment>
    <comment ref="E228" authorId="3" shapeId="0" xr:uid="{E8B98917-0E3B-4341-BF89-5BB51F1D85E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$ 13.648,02 FCQS
</t>
        </r>
        <r>
          <rPr>
            <b/>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$ 6,080,00 según Memo N</t>
        </r>
        <r>
          <rPr>
            <sz val="9"/>
            <color rgb="FF000000"/>
            <rFont val="Tahoma"/>
            <family val="2"/>
          </rPr>
          <t>°</t>
        </r>
        <r>
          <rPr>
            <sz val="9"/>
            <color rgb="FF000000"/>
            <rFont val="Tahoma"/>
            <family val="2"/>
          </rPr>
          <t xml:space="preserve"> UTMACH-FIC-D-2023-0312-M_18052023 (por cambio de fuente)</t>
        </r>
      </text>
    </comment>
    <comment ref="F228" authorId="4" shapeId="0" xr:uid="{F9B108B6-C1E7-4ADF-8FB3-53A356C06707}">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9"/>
            <color rgb="FF000000"/>
            <rFont val="Tahoma"/>
            <family val="2"/>
          </rPr>
          <t xml:space="preserve">Se reduce $13.648,00 a FCQS por seguimiento y en virtud de oficio Nro. MEF-SP-2023-0501 para atender Memo Nro. 0399 de DADM.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$ 651,45 FIC por efecto de informe de seguimiento (Cert. N</t>
        </r>
        <r>
          <rPr>
            <sz val="9"/>
            <color rgb="FF000000"/>
            <rFont val="Tahoma"/>
            <family val="2"/>
          </rPr>
          <t>°</t>
        </r>
        <r>
          <rPr>
            <sz val="9"/>
            <color rgb="FF000000"/>
            <rFont val="Tahoma"/>
            <family val="2"/>
          </rPr>
          <t xml:space="preserve"> 274).</t>
        </r>
      </text>
    </comment>
    <comment ref="E229" authorId="3" shapeId="0" xr:uid="{392DD3ED-2519-4524-BFEE-ACFC32859BC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incrementa $ 5.860,96 en el POA de DIDI para financiamiento de la cartera de proyecto 2023</t>
        </r>
      </text>
    </comment>
    <comment ref="F229" authorId="3" shapeId="0" xr:uid="{493FCEA2-1C6C-4FEF-BB4F-F2A9D850B4D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$ 1.250,00 para Py Inversión FIC, que en el POA estaba en esta fuente de financiamiento 3
Se redujo $ 22.400,00 de acuerdo al 1er POA 2023 de la FCE presentado (por no estar desagregado).
Se redujo $ 18.703,99
En el POA quedó así:
10.208,48 DIDI
12.768,00 FCA
3.696,00 FCQS
</t>
        </r>
        <r>
          <rPr>
            <b/>
            <sz val="9"/>
            <color rgb="FF000000"/>
            <rFont val="Tahoma"/>
            <family val="2"/>
          </rPr>
          <t>Reforma N° 4:</t>
        </r>
        <r>
          <rPr>
            <sz val="9"/>
            <color rgb="FF000000"/>
            <rFont val="Tahoma"/>
            <family val="2"/>
          </rPr>
          <t xml:space="preserve">
Se redujo $ 10.208,48 DIDI por efecto de informe de seguimiento.
</t>
        </r>
        <r>
          <rPr>
            <b/>
            <sz val="9"/>
            <color rgb="FF000000"/>
            <rFont val="Tahoma"/>
            <family val="2"/>
          </rPr>
          <t>Reforma N° 6:</t>
        </r>
        <r>
          <rPr>
            <sz val="9"/>
            <color rgb="FF000000"/>
            <rFont val="Tahoma"/>
            <family val="2"/>
          </rPr>
          <t xml:space="preserve">
Se redujo $ 1.320,00 FCA (CP N° 462), según seguimiento a la ejecución.
Se redujo $ 3.696,00 FCQS, según seguimiento a la ejecución.
Se redujo $ 800,00 según memo N° DIDI-2023-0642-M_02/10/2023.
Se redujo $ 448,00 según memo N° FCA-D-2023-0775-M_04/10/2023.</t>
        </r>
      </text>
    </comment>
    <comment ref="F230" authorId="4" shapeId="0" xr:uid="{9240EE27-70DE-4619-9B50-2355F105FC3F}">
      <text>
        <r>
          <rPr>
            <b/>
            <sz val="10"/>
            <color rgb="FF000000"/>
            <rFont val="Tahoma"/>
            <family val="2"/>
          </rPr>
          <t>Valeria Ramon Capa:</t>
        </r>
        <r>
          <rPr>
            <sz val="10"/>
            <color rgb="FF000000"/>
            <rFont val="Tahoma"/>
            <family val="2"/>
          </rPr>
          <t xml:space="preserve">
</t>
        </r>
        <r>
          <rPr>
            <sz val="10"/>
            <color rgb="FF000000"/>
            <rFont val="Tahoma"/>
            <family val="2"/>
          </rPr>
          <t xml:space="preserve">Reforma N 3: 
</t>
        </r>
        <r>
          <rPr>
            <sz val="10"/>
            <color rgb="FF000000"/>
            <rFont val="Tahoma"/>
            <family val="2"/>
          </rPr>
          <t xml:space="preserve">Se reduce $25.760,00 movimiento de partida para egreso de forma adecuada en FCA </t>
        </r>
      </text>
    </comment>
    <comment ref="F231" authorId="3" shapeId="0" xr:uid="{53C91BAA-75DB-4EE1-A152-0F15AA1A621A}">
      <text>
        <r>
          <rPr>
            <b/>
            <sz val="10"/>
            <color rgb="FF000000"/>
            <rFont val="Tahoma"/>
            <family val="2"/>
          </rPr>
          <t>HP:
Reforma N° 2:</t>
        </r>
        <r>
          <rPr>
            <sz val="10"/>
            <color rgb="FF000000"/>
            <rFont val="Tahoma"/>
            <family val="2"/>
          </rPr>
          <t xml:space="preserve">
Se redujo $ 25.064,00 por disposición del Director del DPLAN
</t>
        </r>
        <r>
          <rPr>
            <b/>
            <sz val="10"/>
            <color rgb="FF000000"/>
            <rFont val="Tahoma"/>
            <family val="2"/>
          </rPr>
          <t xml:space="preserve">Reforma N° 3:
</t>
        </r>
        <r>
          <rPr>
            <sz val="10"/>
            <color rgb="FF000000"/>
            <rFont val="Tahoma"/>
            <family val="2"/>
          </rPr>
          <t xml:space="preserve">06/06: Se redujo $17.500 a DTH por reunión de seguimiento y en virtud de oficio Nro. MEF-SP-2023-0501 para atender Memo Nro. 0399 de DADM y en atención al memo 0764 DTH
</t>
        </r>
        <r>
          <rPr>
            <b/>
            <sz val="10"/>
            <color rgb="FF000000"/>
            <rFont val="Tahoma"/>
            <family val="2"/>
          </rPr>
          <t xml:space="preserve">
Reforma N° 6:</t>
        </r>
        <r>
          <rPr>
            <sz val="10"/>
            <color rgb="FF000000"/>
            <rFont val="Tahoma"/>
            <family val="2"/>
          </rPr>
          <t xml:space="preserve">
Se redujo $ 5.100,00 DIDI (CP N° 139), según seguimiento a la ejecución.</t>
        </r>
      </text>
    </comment>
    <comment ref="E232" authorId="0" shapeId="0" xr:uid="{15D194FF-FC4D-4C8D-8D17-4ED5C57CA681}">
      <text>
        <r>
          <rPr>
            <b/>
            <sz val="10"/>
            <color rgb="FF000000"/>
            <rFont val="Tahoma"/>
            <family val="2"/>
          </rPr>
          <t>Microsoft Office User:</t>
        </r>
        <r>
          <rPr>
            <sz val="10"/>
            <color rgb="FF000000"/>
            <rFont val="Tahoma"/>
            <family val="2"/>
          </rPr>
          <t xml:space="preserve">
Reforma N° 4:
</t>
        </r>
        <r>
          <rPr>
            <sz val="10"/>
            <color rgb="FF000000"/>
            <rFont val="Arial"/>
            <family val="2"/>
          </rPr>
          <t>Se incrementa $ 2.800,00 en el POA de DIDI para financiamiento de la cartera de proyecto 2023.</t>
        </r>
      </text>
    </comment>
    <comment ref="F232" authorId="2" shapeId="0" xr:uid="{2EC5E764-F53E-46C7-BEED-C79702B4DEB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$ 1.680,00 DIDI por efecto de informe de seguimiento.</t>
        </r>
      </text>
    </comment>
    <comment ref="E233" authorId="3" shapeId="0" xr:uid="{3C0D0A6E-90D9-4E1C-BDB4-C209F84708F4}">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$ 4.800,00 según adjunto de Vic. Investigación en e-mail enviado el 03/02/2023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$ 18.004,61-3561,64 a VIC según memo N</t>
        </r>
        <r>
          <rPr>
            <sz val="9"/>
            <color rgb="FF000000"/>
            <rFont val="Tahoma"/>
            <family val="2"/>
          </rPr>
          <t>°</t>
        </r>
        <r>
          <rPr>
            <sz val="9"/>
            <color rgb="FF000000"/>
            <rFont val="Tahoma"/>
            <family val="2"/>
          </rPr>
          <t xml:space="preserve"> DIDI-2023-0223-M_04052023</t>
        </r>
      </text>
    </comment>
    <comment ref="F233" authorId="4" shapeId="0" xr:uid="{6783B43A-52EB-4AF4-8DD1-5760EAE8E7C7}">
      <text>
        <r>
          <rPr>
            <b/>
            <sz val="9"/>
            <color rgb="FF000000"/>
            <rFont val="Tahoma"/>
            <family val="34"/>
          </rPr>
          <t>Valeria Ramon Capa:</t>
        </r>
        <r>
          <rPr>
            <sz val="9"/>
            <color rgb="FF000000"/>
            <rFont val="Tahoma"/>
            <family val="34"/>
          </rPr>
          <t xml:space="preserve">
</t>
        </r>
        <r>
          <rPr>
            <b/>
            <sz val="9"/>
            <color rgb="FF000000"/>
            <rFont val="Tahoma"/>
            <family val="34"/>
          </rPr>
          <t>Reforma N° 3:</t>
        </r>
        <r>
          <rPr>
            <sz val="9"/>
            <color rgb="FF000000"/>
            <rFont val="Tahoma"/>
            <family val="34"/>
          </rPr>
          <t xml:space="preserve">
Se redujo $4.800,00 a Vic. Investigación por seguimiento y en virtud de oficio Nro. MEF-SP-2023-0501 para atender Memo Nro. 0399 de DADM.
</t>
        </r>
        <r>
          <rPr>
            <b/>
            <sz val="9"/>
            <color rgb="FF000000"/>
            <rFont val="Tahoma"/>
            <family val="2"/>
          </rPr>
          <t>Reforma N° 5:</t>
        </r>
        <r>
          <rPr>
            <sz val="9"/>
            <color rgb="FF000000"/>
            <rFont val="Tahoma"/>
            <family val="34"/>
          </rPr>
          <t xml:space="preserve">
Se redujo $ 948,23 por ser saldo no ejecutado, VIVP.</t>
        </r>
      </text>
    </comment>
    <comment ref="E234" authorId="3" shapeId="0" xr:uid="{C9EB7FB2-D267-4529-882C-2FEE9CDE08B3}">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$ 480,00 según adjunto de Vic. Investigación en e-mail enviado el 03/02/2023</t>
        </r>
      </text>
    </comment>
    <comment ref="F234" authorId="3" shapeId="0" xr:uid="{30D1BE86-7DA0-46D0-874E-2AA5E17346E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 xml:space="preserve">Se redujo $ 12.320,00 Vic. Investigación
</t>
        </r>
        <r>
          <rPr>
            <sz val="9"/>
            <color rgb="FF000000"/>
            <rFont val="Tahoma"/>
            <family val="2"/>
          </rPr>
          <t xml:space="preserve">
</t>
        </r>
        <r>
          <rPr>
            <b/>
            <sz val="9"/>
            <color rgb="FF000000"/>
            <rFont val="Tahoma"/>
            <family val="34"/>
          </rPr>
          <t>Reforma 3:</t>
        </r>
        <r>
          <rPr>
            <sz val="9"/>
            <color rgb="FF000000"/>
            <rFont val="Tahoma"/>
            <family val="34"/>
          </rPr>
          <t xml:space="preserve">
</t>
        </r>
        <r>
          <rPr>
            <sz val="9"/>
            <color rgb="FF000000"/>
            <rFont val="Tahoma"/>
            <family val="34"/>
          </rPr>
          <t xml:space="preserve">Se redujo $480,00-150,00 a Vic. Investigación en reunión de seguimiento y en virtud de oficio Nro. MEF-SP-2023-0501 para atender Memo Nro. 0399 de DADM.
</t>
        </r>
      </text>
    </comment>
    <comment ref="E235" authorId="5" shapeId="0" xr:uid="{9B572B37-C580-4B43-87E1-6114242C5607}">
      <text>
        <r>
          <rPr>
            <b/>
            <sz val="9"/>
            <color rgb="FF000000"/>
            <rFont val="Tahoma"/>
            <family val="2"/>
          </rPr>
          <t>Eunice Basilio: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$ 4.885,51 según memo N</t>
        </r>
        <r>
          <rPr>
            <sz val="9"/>
            <color rgb="FF000000"/>
            <rFont val="Tahoma"/>
            <family val="2"/>
          </rPr>
          <t>°</t>
        </r>
        <r>
          <rPr>
            <sz val="9"/>
            <color rgb="FF000000"/>
            <rFont val="Tahoma"/>
            <family val="2"/>
          </rPr>
          <t xml:space="preserve"> DTIC-2023-0088-M_04052023
</t>
        </r>
        <r>
          <rPr>
            <sz val="9"/>
            <color rgb="FF000000"/>
            <rFont val="Tahoma"/>
            <family val="2"/>
          </rPr>
          <t xml:space="preserve">
</t>
        </r>
        <r>
          <rPr>
            <sz val="9"/>
            <color rgb="FF000000"/>
            <rFont val="Tahoma"/>
            <family val="2"/>
          </rPr>
          <t>Se incrementó $ 12.000,00 según Memo N</t>
        </r>
        <r>
          <rPr>
            <sz val="9"/>
            <color rgb="FF000000"/>
            <rFont val="Tahoma"/>
            <family val="2"/>
          </rPr>
          <t>°</t>
        </r>
        <r>
          <rPr>
            <sz val="9"/>
            <color rgb="FF000000"/>
            <rFont val="Tahoma"/>
            <family val="2"/>
          </rPr>
          <t xml:space="preserve"> UTMACH-DIDI-BG-2023-0058-M_05052023</t>
        </r>
      </text>
    </comment>
    <comment ref="F235" authorId="2" shapeId="0" xr:uid="{32E309FE-E4F2-44BB-92AC-BD4D76C46F93}">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$ 1.953,10 DTIC por efecto de informe de seguimiento.
</t>
        </r>
        <r>
          <rPr>
            <b/>
            <sz val="9"/>
            <color rgb="FF000000"/>
            <rFont val="Tahoma"/>
            <family val="2"/>
          </rPr>
          <t>Reforma N° 5:</t>
        </r>
        <r>
          <rPr>
            <sz val="9"/>
            <color rgb="FF000000"/>
            <rFont val="Tahoma"/>
            <family val="2"/>
          </rPr>
          <t xml:space="preserve">
Se redujo $ 2.100,00 seguimiento procesos de compras públicas, DIDI y $ 285,39 DTICS.</t>
        </r>
      </text>
    </comment>
    <comment ref="E236" authorId="3" shapeId="0" xr:uid="{FEAC13C7-FF86-4ABD-8461-CA732BEE932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$ 5.544,00 de acuerdo al POA 2023 de la FCE presentado.
</t>
        </r>
        <r>
          <rPr>
            <sz val="9"/>
            <color rgb="FF000000"/>
            <rFont val="Arial"/>
            <family val="2"/>
          </rPr>
          <t xml:space="preserve">Se incrementa $ 2.000,00 en el POA de DIDI para financiamiento de la cartera de proyecto 2023, conforme pedido del memo nro. UTMACH-DIDI-2023-0466-M
</t>
        </r>
        <r>
          <rPr>
            <b/>
            <sz val="9"/>
            <color rgb="FF000000"/>
            <rFont val="Arial"/>
            <family val="2"/>
          </rPr>
          <t>Reforma N° 4:</t>
        </r>
        <r>
          <rPr>
            <sz val="9"/>
            <color rgb="FF000000"/>
            <rFont val="Arial"/>
            <family val="2"/>
          </rPr>
          <t xml:space="preserve">
Se aumenta $ 7056,00 + $ </t>
        </r>
        <r>
          <rPr>
            <sz val="10"/>
            <color rgb="FF000000"/>
            <rFont val="Arial"/>
            <family val="2"/>
          </rPr>
          <t xml:space="preserve">4.360,68 + $ </t>
        </r>
        <r>
          <rPr>
            <b/>
            <sz val="10"/>
            <color rgb="FF000000"/>
            <rFont val="Arial"/>
            <family val="2"/>
          </rPr>
          <t xml:space="preserve">5.738,00 </t>
        </r>
        <r>
          <rPr>
            <sz val="9"/>
            <color rgb="FF000000"/>
            <rFont val="Arial"/>
            <family val="2"/>
          </rPr>
          <t xml:space="preserve"> en POA de DTIC en atención al memo nro. </t>
        </r>
        <r>
          <rPr>
            <sz val="10"/>
            <color rgb="FF000000"/>
            <rFont val="Calibri"/>
            <family val="2"/>
          </rPr>
          <t xml:space="preserve">UTMACH-DTIC-2023-0224-M.
</t>
        </r>
        <r>
          <rPr>
            <b/>
            <sz val="10"/>
            <color rgb="FF000000"/>
            <rFont val="Calibri"/>
            <family val="2"/>
          </rPr>
          <t>Reforma N° 6:</t>
        </r>
        <r>
          <rPr>
            <sz val="10"/>
            <color rgb="FF000000"/>
            <rFont val="Calibri"/>
            <family val="2"/>
          </rPr>
          <t xml:space="preserve">
Seincrementó $ 956,00, según memo N° FCE-D-2023-0996-M_25/09/2023.</t>
        </r>
      </text>
    </comment>
    <comment ref="F236" authorId="3" shapeId="0" xr:uid="{1F6EF399-1829-4EEC-8B02-F62BD89D068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$ 3.500,00 según Memorando N° UTMACH-DIDI-2023-0053-M_02/02/2023.
</t>
        </r>
        <r>
          <rPr>
            <b/>
            <sz val="9"/>
            <color rgb="FF000000"/>
            <rFont val="Tahoma"/>
            <family val="2"/>
          </rPr>
          <t xml:space="preserve">
Reforma N° 3:</t>
        </r>
        <r>
          <rPr>
            <sz val="9"/>
            <color rgb="FF000000"/>
            <rFont val="Tahoma"/>
            <family val="2"/>
          </rPr>
          <t xml:space="preserve">
Se redujo $ 11.200,00 según memo N° FCS-D-2023-0460-M_23052023
</t>
        </r>
        <r>
          <rPr>
            <b/>
            <sz val="9"/>
            <color rgb="FF000000"/>
            <rFont val="Tahoma"/>
            <family val="2"/>
          </rPr>
          <t>Reforma N° 4:</t>
        </r>
        <r>
          <rPr>
            <sz val="9"/>
            <color rgb="FF000000"/>
            <rFont val="Tahoma"/>
            <family val="2"/>
          </rPr>
          <t xml:space="preserve">
Se redujo $ 360,00 DIDI por efecto de informe de seguimiento.
Se redujo $ 6.765,28 DTIC por efecto de informe de seguimiento.
Se reduce $ 2.352,00 en el POA de VIVP en atención al memo nro. VINVIP-2023-0220-M
Se reduce $ 1184,96 en el POA de DTIC en atención al memo nro. </t>
        </r>
        <r>
          <rPr>
            <sz val="10"/>
            <color rgb="FF000000"/>
            <rFont val="Arial"/>
            <family val="2"/>
            <scheme val="minor"/>
          </rPr>
          <t xml:space="preserve">UTMACH-DTIC-2023-0224-M.
</t>
        </r>
        <r>
          <rPr>
            <sz val="9"/>
            <color rgb="FF000000"/>
            <rFont val="Tahoma"/>
            <family val="2"/>
          </rPr>
          <t xml:space="preserve">
Se reduce $ 12732,16 en el POA de DTIC en atención al memo nro. </t>
        </r>
        <r>
          <rPr>
            <sz val="10"/>
            <color rgb="FF000000"/>
            <rFont val="Arial"/>
            <family val="2"/>
            <scheme val="minor"/>
          </rPr>
          <t xml:space="preserve">UTMACH-DTIC-2023-0224-M.
</t>
        </r>
        <r>
          <rPr>
            <b/>
            <sz val="10"/>
            <color rgb="FF000000"/>
            <rFont val="Arial"/>
            <family val="2"/>
            <scheme val="minor"/>
          </rPr>
          <t>Reforma N° 6:</t>
        </r>
        <r>
          <rPr>
            <sz val="10"/>
            <color rgb="FF000000"/>
            <rFont val="Arial"/>
            <family val="2"/>
            <scheme val="minor"/>
          </rPr>
          <t xml:space="preserve">
Se redujo $ 1.080,00 DIDI, según seguimiento a la ejecución.</t>
        </r>
      </text>
    </comment>
    <comment ref="E237" authorId="3" shapeId="0" xr:uid="{2624AAB9-47B2-4C8A-A17A-861B66747B2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 FCQS</t>
        </r>
      </text>
    </comment>
    <comment ref="F237" authorId="2" shapeId="0" xr:uid="{5718C50D-8533-48C2-9F16-FD54B6659089}">
      <text>
        <r>
          <rPr>
            <b/>
            <sz val="9"/>
            <color indexed="81"/>
            <rFont val="Tahoma"/>
            <family val="2"/>
          </rPr>
          <t>Admin:</t>
        </r>
        <r>
          <rPr>
            <sz val="9"/>
            <color indexed="81"/>
            <rFont val="Tahoma"/>
            <family val="2"/>
          </rPr>
          <t xml:space="preserve">
Reforma N° 6:
Se redujo $ 56,00 según memo N° FCQS-D-2023-1267-M_23102023.</t>
        </r>
      </text>
    </comment>
    <comment ref="F238" authorId="1" shapeId="0" xr:uid="{3D738AE3-BC9F-455F-A7EC-342DA6548465}">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$ 530,00 según memo N° DIDI-2023-0223-M_04052023
</t>
        </r>
        <r>
          <rPr>
            <b/>
            <sz val="9"/>
            <color rgb="FF000000"/>
            <rFont val="Tahoma"/>
            <family val="2"/>
          </rPr>
          <t>Reforma N° 4:</t>
        </r>
        <r>
          <rPr>
            <sz val="9"/>
            <color rgb="FF000000"/>
            <rFont val="Tahoma"/>
            <family val="2"/>
          </rPr>
          <t xml:space="preserve">
Se redujo $ 590,00 DIDI por efecto de informe de seguimiento.
</t>
        </r>
        <r>
          <rPr>
            <b/>
            <sz val="9"/>
            <color rgb="FF000000"/>
            <rFont val="Tahoma"/>
            <family val="2"/>
          </rPr>
          <t>Reforma N° 5:</t>
        </r>
        <r>
          <rPr>
            <sz val="9"/>
            <color rgb="FF000000"/>
            <rFont val="Tahoma"/>
            <family val="2"/>
          </rPr>
          <t xml:space="preserve">
Se redujo $ 473,76 por ser saldo no ejecutado, FCA.</t>
        </r>
      </text>
    </comment>
    <comment ref="E239" authorId="2" shapeId="0" xr:uid="{F691CCB4-C73E-4FFE-BF49-ADF987B79263}">
      <text>
        <r>
          <rPr>
            <b/>
            <sz val="9"/>
            <color indexed="81"/>
            <rFont val="Tahoma"/>
            <family val="2"/>
          </rPr>
          <t>Admin:</t>
        </r>
        <r>
          <rPr>
            <sz val="9"/>
            <color indexed="81"/>
            <rFont val="Tahoma"/>
            <family val="2"/>
          </rPr>
          <t xml:space="preserve">
Reforma N° 6:
Se incrementó $ 318,18 según memo N° FCQS-D-2023-1267-M_23102023.</t>
        </r>
      </text>
    </comment>
    <comment ref="E240" authorId="2" shapeId="0" xr:uid="{5CBC891D-7846-4ABA-A819-BD1DC29319D3}">
      <text>
        <r>
          <rPr>
            <b/>
            <sz val="9"/>
            <color indexed="81"/>
            <rFont val="Tahoma"/>
            <family val="2"/>
          </rPr>
          <t>Admin:</t>
        </r>
        <r>
          <rPr>
            <sz val="9"/>
            <color indexed="81"/>
            <rFont val="Tahoma"/>
            <family val="2"/>
          </rPr>
          <t xml:space="preserve">
Reforma N° 6:
Se incrementó $ 318,18 según memo N° FCQS-D-2023-1267-M_23102023.</t>
        </r>
      </text>
    </comment>
    <comment ref="F240" authorId="4" shapeId="0" xr:uid="{A707C5D2-7CFD-4ED1-8A0D-9EAD2BDB30A3}">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E242" authorId="3" shapeId="0" xr:uid="{9905BB69-2341-4B52-AFBC-BBAFF8EDE9A7}">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$ 620,58 FCQS</t>
        </r>
      </text>
    </comment>
    <comment ref="F242" authorId="2" shapeId="0" xr:uid="{5D77FA72-B5D5-4A2D-AA05-602AF405F558}">
      <text>
        <r>
          <rPr>
            <b/>
            <sz val="9"/>
            <color indexed="81"/>
            <rFont val="Tahoma"/>
            <family val="2"/>
          </rPr>
          <t>Admin:</t>
        </r>
        <r>
          <rPr>
            <sz val="9"/>
            <color indexed="81"/>
            <rFont val="Tahoma"/>
            <family val="2"/>
          </rPr>
          <t xml:space="preserve">
Reforma N° 6:
Se redujo $ 318,18 según memo N° FCQS-D-2023-1267-M_23102023.</t>
        </r>
      </text>
    </comment>
    <comment ref="E243" authorId="3" shapeId="0" xr:uid="{CA054D79-43CB-498C-8CD1-3E471107C915}">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$ 672,00 FCQS</t>
        </r>
      </text>
    </comment>
    <comment ref="F244" authorId="2" shapeId="0" xr:uid="{BEF8BD27-1443-4B72-A2BE-81A5B1CC2112}">
      <text>
        <r>
          <rPr>
            <b/>
            <sz val="9"/>
            <color indexed="81"/>
            <rFont val="Tahoma"/>
            <family val="2"/>
          </rPr>
          <t>Admin:</t>
        </r>
        <r>
          <rPr>
            <sz val="9"/>
            <color indexed="81"/>
            <rFont val="Tahoma"/>
            <family val="2"/>
          </rPr>
          <t xml:space="preserve">
Reforma N° 6:
Se redujo $ 20,89 FCA, según seguimiento a la ejecución.</t>
        </r>
      </text>
    </comment>
    <comment ref="E245" authorId="3" shapeId="0" xr:uid="{E63FA508-82AD-4A3A-A0F5-69CD5D4C729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$ 5.000,00 según Memorando N° UTMACH-DIDI-2023-0053-M_02/02/2023.
</t>
        </r>
        <r>
          <rPr>
            <b/>
            <sz val="9"/>
            <color rgb="FF000000"/>
            <rFont val="Tahoma"/>
            <family val="2"/>
          </rPr>
          <t>Reforma N° 4:</t>
        </r>
        <r>
          <rPr>
            <sz val="9"/>
            <color rgb="FF000000"/>
            <rFont val="Tahoma"/>
            <family val="2"/>
          </rPr>
          <t xml:space="preserve">
</t>
        </r>
        <r>
          <rPr>
            <sz val="9"/>
            <color rgb="FF000000"/>
            <rFont val="Arial"/>
            <family val="2"/>
          </rPr>
          <t>Se incrementa $ 2.500,00 en el POA de DIDI para financiamiento de la cartera de proyecto 2023, conforme pedido del memo nro. UTMACH-DIDI-2023-0466-M.</t>
        </r>
      </text>
    </comment>
    <comment ref="F245" authorId="3" shapeId="0" xr:uid="{A912E539-049B-469B-92CB-DE33B761D29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$ 7.400,00 FCA
$ 6.000,00 FCS
$ 4.000,00 FIC
Se redujo $ 56.000,00 de acuerdo al 1er POA 2023 de la FCE presentado (por no estar desagregado).
Se redujo $ 39.092,51
En el POA quedó:
8.360,00 DIDI
15.000,00 FCA
28.107,49 FCQS
10.800,00 FCS
6.080,00 FIC
</t>
        </r>
        <r>
          <rPr>
            <b/>
            <sz val="9"/>
            <color rgb="FF000000"/>
            <rFont val="Tahoma"/>
            <family val="2"/>
          </rPr>
          <t xml:space="preserve">Reforma N° 3:
</t>
        </r>
        <r>
          <rPr>
            <sz val="9"/>
            <color rgb="FF000000"/>
            <rFont val="Tahoma"/>
            <family val="2"/>
          </rPr>
          <t xml:space="preserve">Se redujo $ 10.800,00 a FCS según reunión de seguimiento y en virtud de oficio Nro. MEF-SP-2023-0501 para atender Memo Nro. 0399 de DADM.
Se redujo $ 15.848,08+6.776,00 según memo N 0604 FCQS_25052023
Se redujo $6.080,00 por memo N° UTMACH-FIC-D-2023-0312-M_18052023
</t>
        </r>
        <r>
          <rPr>
            <b/>
            <sz val="9"/>
            <color rgb="FF000000"/>
            <rFont val="Tahoma"/>
            <family val="2"/>
          </rPr>
          <t>Reforma N° 4:</t>
        </r>
        <r>
          <rPr>
            <sz val="9"/>
            <color rgb="FF000000"/>
            <rFont val="Tahoma"/>
            <family val="2"/>
          </rPr>
          <t xml:space="preserve">
Se redujo $ 8.360,00 DIDI por efecto de informe de seguimiento.
Se redujo $ 4.190,00 FCA por efecto de informe de seguimiento.
</t>
        </r>
        <r>
          <rPr>
            <b/>
            <sz val="9"/>
            <color rgb="FF000000"/>
            <rFont val="Tahoma"/>
            <family val="2"/>
          </rPr>
          <t>Reforma N° 6:</t>
        </r>
        <r>
          <rPr>
            <sz val="9"/>
            <color rgb="FF000000"/>
            <rFont val="Tahoma"/>
            <family val="2"/>
          </rPr>
          <t xml:space="preserve">
Se redujo $ 364,76+2.137,00+49,41 FCQS, según seguimiento a la ejecución.
Se redujo $ 10.477,00 FCA (CP N° 352), según seguimiento a la ejecución.</t>
        </r>
      </text>
    </comment>
    <comment ref="E246" authorId="2" shapeId="0" xr:uid="{055E9C27-6658-4496-8102-093000C0D827}">
      <text>
        <r>
          <rPr>
            <b/>
            <sz val="9"/>
            <color indexed="81"/>
            <rFont val="Tahoma"/>
            <family val="2"/>
          </rPr>
          <t>Admin:</t>
        </r>
        <r>
          <rPr>
            <sz val="9"/>
            <color indexed="81"/>
            <rFont val="Tahoma"/>
            <family val="2"/>
          </rPr>
          <t xml:space="preserve">
Reforma N° 6:
Se incrementó $ 371,76,00 según memo N° FCA-D-2023-0775-M_04/10/2023.</t>
        </r>
      </text>
    </comment>
    <comment ref="F247" authorId="3" shapeId="0" xr:uid="{2A5B9C86-E7F4-4FA0-B4D8-0337386852B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$ 394,63 para Py Inversión FIC.
$ 0,75 POR DIFERENCIA
</t>
        </r>
        <r>
          <rPr>
            <b/>
            <sz val="9"/>
            <color rgb="FF000000"/>
            <rFont val="Tahoma"/>
            <family val="2"/>
          </rPr>
          <t>Reforma N° 4:</t>
        </r>
        <r>
          <rPr>
            <sz val="9"/>
            <color rgb="FF000000"/>
            <rFont val="Tahoma"/>
            <family val="2"/>
          </rPr>
          <t xml:space="preserve">
Se redujo $ 2.240,00 DIDI por efecto de informe de seguimiento.
</t>
        </r>
        <r>
          <rPr>
            <b/>
            <sz val="9"/>
            <color rgb="FF000000"/>
            <rFont val="Tahoma"/>
            <family val="2"/>
          </rPr>
          <t>Reforma N° 6:</t>
        </r>
        <r>
          <rPr>
            <sz val="9"/>
            <color rgb="FF000000"/>
            <rFont val="Tahoma"/>
            <family val="2"/>
          </rPr>
          <t xml:space="preserve">
Se redujo $ 67,20 FCA, según seguimiento a la ejecución.</t>
        </r>
      </text>
    </comment>
    <comment ref="E248" authorId="3" shapeId="0" xr:uid="{F2337E94-2BCA-413B-A03A-E79AA3FBA4B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F248" authorId="0" shapeId="0" xr:uid="{0EE9ACE3-4CC3-4CC7-ACF5-83A295A863BE}">
      <text>
        <r>
          <rPr>
            <b/>
            <sz val="10"/>
            <color rgb="FF000000"/>
            <rFont val="Tahoma"/>
            <family val="2"/>
          </rPr>
          <t xml:space="preserve">Microsoft Office User:
Reforma N° 4:
</t>
        </r>
        <r>
          <rPr>
            <sz val="9"/>
            <color rgb="FF000000"/>
            <rFont val="Tahoma"/>
            <family val="2"/>
          </rPr>
          <t xml:space="preserve">Se reduce $ 1680,00 en el POA de DIDI para atender memo nro. DIDI-2023-0468-M
</t>
        </r>
        <r>
          <rPr>
            <b/>
            <sz val="9"/>
            <color rgb="FF000000"/>
            <rFont val="Tahoma"/>
            <family val="2"/>
          </rPr>
          <t>Reforma N° 6:</t>
        </r>
        <r>
          <rPr>
            <sz val="9"/>
            <color rgb="FF000000"/>
            <rFont val="Tahoma"/>
            <family val="2"/>
          </rPr>
          <t xml:space="preserve">
Se redujo $ 39,20 FCQS, según seguimiento a la ejecución.</t>
        </r>
      </text>
    </comment>
    <comment ref="E249" authorId="1" shapeId="0" xr:uid="{FF42B726-104E-495F-87A9-E352956C198F}">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F249" authorId="2" shapeId="0" xr:uid="{6BED9F1D-AD96-417D-9164-416F44253F24}">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redujo $ 85,76 por ser saldo no ejecutado, DTICS.
</t>
        </r>
        <r>
          <rPr>
            <b/>
            <sz val="9"/>
            <color indexed="81"/>
            <rFont val="Tahoma"/>
            <family val="2"/>
          </rPr>
          <t>Reforma N° 6:</t>
        </r>
        <r>
          <rPr>
            <sz val="9"/>
            <color indexed="81"/>
            <rFont val="Tahoma"/>
            <family val="2"/>
          </rPr>
          <t xml:space="preserve">
Se redujo $ 902,52 FCA, según seguimiento a la ejecución.</t>
        </r>
      </text>
    </comment>
    <comment ref="E250" authorId="3" shapeId="0" xr:uid="{3B3F2188-B5E4-424D-9EE2-B11687FA13A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$ 2.000,00 según Memorando N° UTMACH-DIDI-2023-0053-M_02/02/2023.
</t>
        </r>
        <r>
          <rPr>
            <b/>
            <sz val="9"/>
            <color rgb="FF000000"/>
            <rFont val="Tahoma"/>
            <family val="2"/>
          </rPr>
          <t>Reforma N° 4:</t>
        </r>
        <r>
          <rPr>
            <sz val="9"/>
            <color rgb="FF000000"/>
            <rFont val="Tahoma"/>
            <family val="2"/>
          </rPr>
          <t xml:space="preserve">
Se incrementa $ </t>
        </r>
        <r>
          <rPr>
            <sz val="9"/>
            <color rgb="FF000000"/>
            <rFont val="Arial"/>
            <family val="2"/>
          </rPr>
          <t xml:space="preserve">1,662.50 en el POA de DTIC para atender memo nro. </t>
        </r>
        <r>
          <rPr>
            <sz val="10"/>
            <color rgb="FF000000"/>
            <rFont val="Arial"/>
            <family val="2"/>
            <scheme val="minor"/>
          </rPr>
          <t>UTMACH-DTIC-2023-0224-M.</t>
        </r>
      </text>
    </comment>
    <comment ref="F250" authorId="4" shapeId="0" xr:uid="{D575664D-BD94-4C2E-A83C-A93B5B55A16E}">
      <text>
        <r>
          <rPr>
            <b/>
            <sz val="10"/>
            <color rgb="FF000000"/>
            <rFont val="Tahoma"/>
            <family val="2"/>
          </rPr>
          <t>Valeria Ramon Capa:</t>
        </r>
        <r>
          <rPr>
            <sz val="10"/>
            <color rgb="FF000000"/>
            <rFont val="Tahoma"/>
            <family val="2"/>
          </rPr>
          <t xml:space="preserve">
</t>
        </r>
        <r>
          <rPr>
            <b/>
            <sz val="10"/>
            <color rgb="FF000000"/>
            <rFont val="Tahoma"/>
            <family val="2"/>
          </rPr>
          <t>Reforma N</t>
        </r>
        <r>
          <rPr>
            <b/>
            <sz val="10"/>
            <color rgb="FF000000"/>
            <rFont val="Tahoma"/>
            <family val="2"/>
          </rPr>
          <t>°</t>
        </r>
        <r>
          <rPr>
            <b/>
            <sz val="10"/>
            <color rgb="FF000000"/>
            <rFont val="Tahoma"/>
            <family val="2"/>
          </rPr>
          <t xml:space="preserve"> 3:</t>
        </r>
        <r>
          <rPr>
            <sz val="10"/>
            <color rgb="FF000000"/>
            <rFont val="Tahoma"/>
            <family val="2"/>
          </rPr>
          <t xml:space="preserve">
</t>
        </r>
        <r>
          <rPr>
            <sz val="10"/>
            <color rgb="FF000000"/>
            <rFont val="Tahoma"/>
            <family val="2"/>
          </rPr>
          <t>Se redujo $ 2784,04 según memo N</t>
        </r>
        <r>
          <rPr>
            <sz val="10"/>
            <color rgb="FF000000"/>
            <rFont val="Tahoma"/>
            <family val="2"/>
          </rPr>
          <t>°</t>
        </r>
        <r>
          <rPr>
            <sz val="10"/>
            <color rgb="FF000000"/>
            <rFont val="Tahoma"/>
            <family val="2"/>
          </rPr>
          <t xml:space="preserve"> FCA-D-2023-0249-M_05052023.</t>
        </r>
      </text>
    </comment>
    <comment ref="E251" authorId="3" shapeId="0" xr:uid="{BFB27F3B-442A-4C30-B573-F964A0AE8113}">
      <text>
        <r>
          <rPr>
            <b/>
            <sz val="9"/>
            <color rgb="FF000000"/>
            <rFont val="Tahoma"/>
            <family val="2"/>
          </rPr>
          <t>HP:</t>
        </r>
        <r>
          <rPr>
            <sz val="9"/>
            <color rgb="FF000000"/>
            <rFont val="Tahoma"/>
            <family val="2"/>
          </rPr>
          <t xml:space="preserve">
Reforma N° 1:
Se incrementó $ 22.000,00 según Memorando N° UTMACH-DIDI-2023-0053-M_02/02/2023 y UTMACH-DIDI-2023-0042-M_31/01/2023.</t>
        </r>
      </text>
    </comment>
    <comment ref="F251" authorId="4" shapeId="0" xr:uid="{73FEE275-4EEA-4C07-9AC5-F952D777E79E}">
      <text>
        <r>
          <rPr>
            <b/>
            <sz val="10"/>
            <color rgb="FF000000"/>
            <rFont val="Tahoma"/>
            <family val="2"/>
          </rPr>
          <t xml:space="preserve">Valeria Ramon Capa:
</t>
        </r>
        <r>
          <rPr>
            <sz val="10"/>
            <color rgb="FF000000"/>
            <rFont val="Tahoma"/>
            <family val="2"/>
          </rPr>
          <t xml:space="preserve">Reforma N 3:
</t>
        </r>
        <r>
          <rPr>
            <sz val="10"/>
            <color rgb="FF000000"/>
            <rFont val="Tahoma"/>
            <family val="2"/>
          </rPr>
          <t>Se reduce $13.133,00 en atención al memo nro 083 DIDI-BG</t>
        </r>
      </text>
    </comment>
    <comment ref="E252" authorId="3" shapeId="0" xr:uid="{6E9FE430-2366-4BD4-B2EF-C313C94171EF}">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$ 3.500,00 según Memorando N</t>
        </r>
        <r>
          <rPr>
            <sz val="9"/>
            <color rgb="FF000000"/>
            <rFont val="Tahoma"/>
            <family val="2"/>
          </rPr>
          <t>°</t>
        </r>
        <r>
          <rPr>
            <sz val="9"/>
            <color rgb="FF000000"/>
            <rFont val="Tahoma"/>
            <family val="2"/>
          </rPr>
          <t xml:space="preserve"> UTMACH-DIDI-2023-0053-M_02/02/2023.</t>
        </r>
      </text>
    </comment>
    <comment ref="F252" authorId="2" shapeId="0" xr:uid="{E3CFC343-D7C6-4512-AA26-8B873DEA05A7}">
      <text>
        <r>
          <rPr>
            <b/>
            <sz val="9"/>
            <color indexed="81"/>
            <rFont val="Tahoma"/>
            <family val="2"/>
          </rPr>
          <t>Admin:</t>
        </r>
        <r>
          <rPr>
            <sz val="9"/>
            <color indexed="81"/>
            <rFont val="Tahoma"/>
            <family val="2"/>
          </rPr>
          <t xml:space="preserve">
Reforma N° 6:
Se redujo $ 3.500,00 DIDI, según seguimiento a la ejecución.</t>
        </r>
      </text>
    </comment>
    <comment ref="E253" authorId="0" shapeId="0" xr:uid="{217FC546-5A0E-43A5-87D9-1ECF0FCFB7F1}">
      <text>
        <r>
          <rPr>
            <b/>
            <sz val="9"/>
            <color rgb="FF000000"/>
            <rFont val="Tahoma"/>
            <family val="2"/>
          </rPr>
          <t>Microsoft Office User:</t>
        </r>
        <r>
          <rPr>
            <sz val="9"/>
            <color rgb="FF000000"/>
            <rFont val="Tahoma"/>
            <family val="2"/>
          </rPr>
          <t xml:space="preserve">
Reforma N° 4:
Se incrimenta $ 26.116,86 en el POA de DIDI para atender memo nro. VINVIP-2023-0213-M.</t>
        </r>
      </text>
    </comment>
    <comment ref="F253" authorId="1" shapeId="0" xr:uid="{51F4A071-FB47-4494-9B64-692373417972}">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$ 17.474,61 según memo N</t>
        </r>
        <r>
          <rPr>
            <sz val="9"/>
            <color rgb="FF000000"/>
            <rFont val="Tahoma"/>
            <family val="2"/>
          </rPr>
          <t>°</t>
        </r>
        <r>
          <rPr>
            <sz val="9"/>
            <color rgb="FF000000"/>
            <rFont val="Tahoma"/>
            <family val="2"/>
          </rPr>
          <t xml:space="preserve"> DIDI-2023-0223-M_04052023</t>
        </r>
      </text>
    </comment>
    <comment ref="E254" authorId="3" shapeId="0" xr:uid="{DD1442D5-0871-496F-B3CD-C29522187F6C}">
      <text>
        <r>
          <rPr>
            <b/>
            <sz val="9"/>
            <color rgb="FF000000"/>
            <rFont val="Tahoma"/>
            <family val="2"/>
          </rPr>
          <t>HP:</t>
        </r>
        <r>
          <rPr>
            <sz val="9"/>
            <color rgb="FF000000"/>
            <rFont val="Tahoma"/>
            <family val="2"/>
          </rPr>
          <t xml:space="preserve">
Reforma N° 2:
Se incrementó $1.250,00 Py de Inversión FIC.</t>
        </r>
      </text>
    </comment>
    <comment ref="F254" authorId="1" shapeId="0" xr:uid="{5D024955-C617-4899-915B-ABDF482B999D}">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$ 1.250,00 según memo N</t>
        </r>
        <r>
          <rPr>
            <sz val="9"/>
            <color rgb="FF000000"/>
            <rFont val="Tahoma"/>
            <family val="2"/>
          </rPr>
          <t>°</t>
        </r>
        <r>
          <rPr>
            <sz val="9"/>
            <color rgb="FF000000"/>
            <rFont val="Tahoma"/>
            <family val="2"/>
          </rPr>
          <t xml:space="preserve"> FIC-D-2023-0209-M_05052023.</t>
        </r>
      </text>
    </comment>
    <comment ref="E255" authorId="3" shapeId="0" xr:uid="{C534C678-D54E-4308-965D-8919F24431E6}">
      <text>
        <r>
          <rPr>
            <b/>
            <sz val="9"/>
            <color rgb="FF000000"/>
            <rFont val="Tahoma"/>
            <family val="2"/>
          </rPr>
          <t>HP:</t>
        </r>
        <r>
          <rPr>
            <sz val="9"/>
            <color rgb="FF000000"/>
            <rFont val="Tahoma"/>
            <family val="2"/>
          </rPr>
          <t xml:space="preserve">
Reforma N° 2:
Se incrementó $ 26.785,71 para Servicio de Consultoría CRAI - LOAYZA AGUILAR KAROL.</t>
        </r>
      </text>
    </comment>
    <comment ref="D256" authorId="4" shapeId="0" xr:uid="{2EAE50E7-DB5B-4E86-93FA-47BC94C7C727}">
      <text>
        <r>
          <rPr>
            <b/>
            <sz val="9"/>
            <color rgb="FF000000"/>
            <rFont val="Tahoma"/>
            <family val="2"/>
          </rPr>
          <t>Valeria Ramon Capa:</t>
        </r>
        <r>
          <rPr>
            <sz val="9"/>
            <color rgb="FF000000"/>
            <rFont val="Tahoma"/>
            <family val="2"/>
          </rPr>
          <t xml:space="preserve">
Este valor se encuentra en el POA de Dplan.</t>
        </r>
      </text>
    </comment>
    <comment ref="E257" authorId="3" shapeId="0" xr:uid="{5CF5BA8E-82BD-46EB-95D9-55CE70C42DF3}">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Servicio de implementación de una red wifi TELCONET DTIC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$ 316.079,06 en virtud del proyecto de inversión DTIC.</t>
        </r>
      </text>
    </comment>
    <comment ref="E258" authorId="0" shapeId="0" xr:uid="{44D7C18A-772F-4F07-8732-0A7BE9701208}">
      <text>
        <r>
          <rPr>
            <b/>
            <sz val="9"/>
            <color rgb="FF000000"/>
            <rFont val="Tahoma"/>
            <family val="2"/>
          </rPr>
          <t>Microsoft Office User:</t>
        </r>
        <r>
          <rPr>
            <sz val="9"/>
            <color rgb="FF000000"/>
            <rFont val="Tahoma"/>
            <family val="2"/>
          </rPr>
          <t xml:space="preserve">
Reforma N° 4:
Se incrementó $ 62.540,30 para anticipo de contrato de fiscalización de la obra de construcción del CRAI, en el POA de DADM.</t>
        </r>
      </text>
    </comment>
    <comment ref="F259" authorId="1" shapeId="0" xr:uid="{E9B1B72E-70A1-47A3-A7AC-A031415F71CC}">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$ 394,63 según memo N</t>
        </r>
        <r>
          <rPr>
            <sz val="9"/>
            <color rgb="FF000000"/>
            <rFont val="Tahoma"/>
            <family val="2"/>
          </rPr>
          <t>°</t>
        </r>
        <r>
          <rPr>
            <sz val="9"/>
            <color rgb="FF000000"/>
            <rFont val="Tahoma"/>
            <family val="2"/>
          </rPr>
          <t xml:space="preserve"> FIC-D-2023-0209-M_05052023.</t>
        </r>
      </text>
    </comment>
    <comment ref="E260" authorId="2" shapeId="0" xr:uid="{872FC11B-2EF6-4C77-B3A7-D9B63B5883CD}">
      <text>
        <r>
          <rPr>
            <b/>
            <sz val="9"/>
            <color rgb="FF000000"/>
            <rFont val="Tahoma"/>
            <family val="2"/>
          </rPr>
          <t>Admin:</t>
        </r>
        <r>
          <rPr>
            <sz val="9"/>
            <color rgb="FF000000"/>
            <rFont val="Tahoma"/>
            <family val="2"/>
          </rPr>
          <t xml:space="preserve">
Reforma N° 4:
Se incrementa $ 1.563.507,51 por cambio de programa presupuestario del 82 al 83 del proyecto del CRAI.</t>
        </r>
      </text>
    </comment>
    <comment ref="E261" authorId="3" shapeId="0" xr:uid="{77D4FE17-2175-4601-B174-F4C65A36A0D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$ 2.250,00 contrato año anterior. Adquisición de silla para cubículos ANDRANGO QUIMBIAMBA FCA.
</t>
        </r>
        <r>
          <rPr>
            <b/>
            <sz val="9"/>
            <color rgb="FF000000"/>
            <rFont val="Tahoma"/>
            <family val="2"/>
          </rPr>
          <t>Reforma N° 6:</t>
        </r>
        <r>
          <rPr>
            <sz val="9"/>
            <color rgb="FF000000"/>
            <rFont val="Tahoma"/>
            <family val="2"/>
          </rPr>
          <t xml:space="preserve">
Se incrementó $ 550,00 según memo N° FCA-D-2023-0775-M_04/10/2023.</t>
        </r>
      </text>
    </comment>
    <comment ref="E262" authorId="3" shapeId="0" xr:uid="{710C3263-512E-4FB4-9534-C3545DF0EDA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$ 6.843,20 de acuerdo al POA 2023 de la FCE presentado.</t>
        </r>
      </text>
    </comment>
    <comment ref="F262" authorId="2" shapeId="0" xr:uid="{6FF42371-62BD-4CC9-A982-B82A68BB4BA7}">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$ 756,08 FCE según informe de seguimiento.</t>
        </r>
      </text>
    </comment>
    <comment ref="E263" authorId="3" shapeId="0" xr:uid="{AA492E6A-4837-4432-81AD-A30BE8291DAC}">
      <text>
        <r>
          <rPr>
            <b/>
            <sz val="9"/>
            <color rgb="FF000000"/>
            <rFont val="Tahoma"/>
            <family val="2"/>
          </rPr>
          <t>HP:</t>
        </r>
        <r>
          <rPr>
            <sz val="9"/>
            <color rgb="FF000000"/>
            <rFont val="Tahoma"/>
            <family val="2"/>
          </rPr>
          <t xml:space="preserve">
Reforma N° 2:
Se incrementó $ 6.370,00 Py de Inversión FIC.</t>
        </r>
      </text>
    </comment>
    <comment ref="F263" authorId="1" shapeId="0" xr:uid="{35D30500-6F76-485A-B7A1-365F637EA5F1}">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redujo $ 6.370,00 según memo N</t>
        </r>
        <r>
          <rPr>
            <sz val="9"/>
            <color rgb="FF000000"/>
            <rFont val="Tahoma"/>
            <family val="2"/>
          </rPr>
          <t>°</t>
        </r>
        <r>
          <rPr>
            <sz val="9"/>
            <color rgb="FF000000"/>
            <rFont val="Tahoma"/>
            <family val="2"/>
          </rPr>
          <t xml:space="preserve"> FIC-D-2023-0209-M_05052023.</t>
        </r>
      </text>
    </comment>
    <comment ref="E264" authorId="3" shapeId="0" xr:uid="{F95EADBD-0F15-43AE-8016-6C38457D72C7}">
      <text>
        <r>
          <rPr>
            <sz val="12"/>
            <color theme="1"/>
            <rFont val="Arial"/>
            <family val="2"/>
            <scheme val="minor"/>
          </rPr>
          <t>HP:
Reforma N° 2: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
Reforma N° 3:
Se incrementó $ 13.192,00 según memo N° DTIC-2023-0088-M_04052023
Reforma N° 4:
Se incrementa $ 776,00 + $112,00 + $ 24.700,00 (televisores) en atención al memo nro. FCQS-D-2023-0905-M.
Se incrementa $ 29.760 en el POA de FCA según el memo nro. FCA-D-2023-0593-M.
Reforma N° 6:
Se incrementó $ 5.500,00 según memo N° DTIC-2023-0348-M_19/10/2023.
Se incrementó $ 37.400,00 según memo N° FCA-D-2023-0815-M_13/10/2023.</t>
        </r>
      </text>
    </comment>
    <comment ref="F264" authorId="4" shapeId="0" xr:uid="{0E0C3F45-7699-4474-B61C-F56107A1040D}">
      <text>
        <r>
          <rPr>
            <sz val="12"/>
            <color theme="1"/>
            <rFont val="Arial"/>
            <family val="2"/>
            <scheme val="minor"/>
          </rPr>
          <t>Valeria Ramon Capa:
Reforma N° 3:
-06/06 Se reduce $10.192 por reunión mantenida con TICS por seguimiento y en virtud de oficio Nro. MEF-SP-2023-0501 para atender Memo Nro. 0399 de DADM.
-Se redujo $5.600,00+134,40 según memo N 0604 FCQS_25052023
-Se reduce $14280 a FCQS por seguimiento y en virtud de oficio Nro. MEF-SP-2023-0501 para atender Memo Nro. 0399 de DADM.
Reforma N° 4:
Se reduce $ 745,74 + $108,80 + $ 1.691,20 + $ 1.915,20   + $ 1.915,20 + $500,00 + $1.120,00 + $ 6.057,97 en atención al memo nro. FCQS-D-2023-0905-M.
Reforma N° 5:
Se redujo $ 3.000,00 por ser saldo no ejecutado, DTICS.
Se redujo $ 280,10 (CEP N° 341) por ser saldo no ejecutado, FCQS.
Se redujo $ 149,74 (CP N° 347) por ser saldo no ejecutado, FCQS.
Reforma N° 6:
Se redujo $ 2.722,00 a FCQS (certificación 538) 
Se redujo $ 1.371,74 para py de jubilados.
Se redujo $ 1.335,41 para cubrir $ 2.000,00 para las pantallas interactivas.</t>
        </r>
      </text>
    </comment>
    <comment ref="E265" authorId="3" shapeId="0" xr:uid="{544FA313-07DB-4E90-AE74-6709B3BC96C6}">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$ 924.169,72 Py de Inversión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F265" authorId="2" shapeId="0" xr:uid="{8B82933B-05C1-4C20-9211-018C58511B87}">
      <text>
        <r>
          <rPr>
            <b/>
            <sz val="9"/>
            <color indexed="81"/>
            <rFont val="Tahoma"/>
            <family val="2"/>
          </rPr>
          <t>Admin:</t>
        </r>
        <r>
          <rPr>
            <sz val="9"/>
            <color indexed="81"/>
            <rFont val="Tahoma"/>
            <family val="2"/>
          </rPr>
          <t xml:space="preserve">
</t>
        </r>
        <r>
          <rPr>
            <b/>
            <sz val="9"/>
            <color indexed="81"/>
            <rFont val="Tahoma"/>
            <family val="2"/>
          </rPr>
          <t>Reforma N° 6:</t>
        </r>
        <r>
          <rPr>
            <sz val="9"/>
            <color indexed="81"/>
            <rFont val="Tahoma"/>
            <family val="2"/>
          </rPr>
          <t xml:space="preserve">
Se redujo $ 30.694,38 por ser saldo no ejecutado, FIC.
Se redujo $ 7.756,64 por ser saldo no ejecutado, FIC.
Se redujo $ 69.433,23 por ser saldo no ejecutado, FIC.</t>
        </r>
      </text>
    </comment>
    <comment ref="E266" authorId="3" shapeId="0" xr:uid="{F5815F8B-F04C-43B5-822F-4FDFDAC22751}">
      <text>
        <r>
          <rPr>
            <sz val="12"/>
            <color theme="1"/>
            <rFont val="Arial"/>
            <family val="2"/>
            <scheme val="minor"/>
          </rPr>
          <t>HP:
Reforma N° 2:
Se incrementó $ 9.325,25 por contrato de año anterior para adquisición de proyectores de imagen. TICS.
Reforma N° 4:
Se incrementa $ 28.605,92 en el POA de FCS para atender el memo nro. UTMACH-FCS-D-2023-0831-M.
Reforma N° 6:
Se incrementó $ 11.800,00 según memo N° FCA-D-2023-0815-M_13/10/2023.</t>
        </r>
      </text>
    </comment>
    <comment ref="F266" authorId="2" shapeId="0" xr:uid="{100A1A2A-4A31-45DB-93E7-02E6872D4F10}">
      <text>
        <r>
          <rPr>
            <b/>
            <sz val="9"/>
            <color indexed="81"/>
            <rFont val="Tahoma"/>
            <family val="2"/>
          </rPr>
          <t>Admin:</t>
        </r>
        <r>
          <rPr>
            <sz val="9"/>
            <color indexed="81"/>
            <rFont val="Tahoma"/>
            <family val="2"/>
          </rPr>
          <t xml:space="preserve">
Reforma N° 5:
Se redujo $ 1.680,80 IVA de un contrato del año anterior, DTICS.</t>
        </r>
      </text>
    </comment>
    <comment ref="E267" authorId="5" shapeId="0" xr:uid="{A8DF3718-EEDF-4EB8-ACF4-4116A25DB130}">
      <text>
        <r>
          <rPr>
            <sz val="12"/>
            <color theme="1"/>
            <rFont val="Arial"/>
            <family val="2"/>
            <scheme val="minor"/>
          </rPr>
          <t>Eunice Basilio:
Reforma N° 2:
Se incrementó $ 211.328,52 conforme archivo POA 2023.
$ 4.278,40 Vic. de Investigación, Vinculación y Posgrado
$ 134.551,20 DIDI (con el incremento de abajo)
$ 59.062,12 + 22.400,00 FCA
$ 12.028,80 + 18043,20 FCS
$ 400,00 Rectorado
$ 1.008,00 + 30.889,60 + 1.929,57 FCQS
$ 15.120,00 FIC
Se redujo $ 132.871,20 según Memorando N° UTMACH-DIDI-2023-0053-M_02/02/2023.
Se incrementó $ 8.480,00 según adjunto de Vic. Investigación en e-mail enviado el 03/02/2023
Reforma N° 3:
Se incrementó $ 9.559,07 según memo N° 8 FCE-D-2023-0238-M_14032023
05/06: Se incrementó $5000 a FCA por reunión de seguimiento
Se incrementó $ 1.904,87+3.136,00+3.136,00 según memo N 0604 FCQS_25052023
Se incrementó 923,41 en FCA por cuadre de grupo 84
Se incrementó $11.620,00 por memo N° UTMACH-FIC-D-2023-0312-M_18052023
Se incrementó $ 13.405,61+6.776,00 según memo N 0604 FCQS_25052023
Se incrementó en DIDI $ 39.637,92 - ($3.158,13 por cuadre de fuente) para cartera de proyectos de inversión 2023
Reforman N° 4:
Se incrementa $ 27.791,68 en el POA de DIDI para financiamiento de la cartera de proyecto 2023, conforme pedido del memo nro. UTMACH-DIDI-2023-0466-M.
Se incrementa $ 2,576.00 en el POA de DIDI para financiamiento de la cartera de proyecto 2023, conforme pedido del memo nro. UTMACH-DIDI-2023-0468-M.
Reforma N° 6:
Se incrementó $ 23.600,00 según memo N° FCA-D-2023-0815-M_13/10/2023.</t>
        </r>
      </text>
    </comment>
    <comment ref="F267" authorId="4" shapeId="0" xr:uid="{F299BA76-B44C-4324-ABF5-B1B574EDACA3}">
      <text>
        <r>
          <rPr>
            <sz val="12"/>
            <color theme="1"/>
            <rFont val="Arial"/>
            <family val="2"/>
            <scheme val="minor"/>
          </rPr>
          <t>Valeria Ramon Capa:
Reforma 3:
Se reduce $15.120,00 por memo N° UTMACH-FIC-D-2023-0312-M_18052023
Se reduce $758,4 a VIVP por reunión de seguimiento y en virtud de oficio Nro. MEF-SP-2023-0501 para atender Memo Nro. 0399 de DADM.
Reforma N° 4:
Se redujo $ 62,50+120,00 Rectorado por saldo no ejecutado.
Se redujo $ 4.000,00 FCA por efecto de informe de seguimiento y atención al memo nro. FCA-D-2023-0593-M.
Se redujo $ 4.320,00 FCA por efecto de informe de seguimiento.
Se reduce $ 12,762.40 en el POA de DIDI para financiamiento de la cartera de proyecto 2023, conforme pedido del memo nro. UTMACH-DIDI-2023-0466-M
Se reduce $ 500,00 en el POA de FCA para atender memo nro. FCA-D-2023-0571-M.
Se reduce $ 3.255,54 + $ 1.456,87 + $ 1.691,20 + $ 1.691,20 en atención al memo nro. FCQS-D-2023-0905-M.
Se reduce $ 4.631,75 en el POA de FIC y se trasladan al POa de DADM en atención al Memorando nro. UTMACH-DADM-UCP-2023-1143-M.
Reforma N° 6:
Se redujo $ 1.290,00 VIVP (Certificación nro 481).
Se redujo $ 1.054,07 FCE (Certificación nro 484)
Se redujo $ 1.087,51 FCQS (Certificación nro 341)
Se redujo $ 4.625,57 FCS (certificación nro 307)
Se redujo $ 25,446,43 FCS compra de TV por haberse declarado desierto por dos ocasiones.</t>
        </r>
      </text>
    </comment>
    <comment ref="E268" authorId="6" shapeId="0" xr:uid="{701F08FF-A57F-43C7-A0A0-59316C3939A7}">
      <text>
        <r>
          <rPr>
            <sz val="12"/>
            <color theme="1"/>
            <rFont val="Arial"/>
            <family val="2"/>
            <scheme val="minor"/>
          </rPr>
          <t>Fanny Eunice Basilio Banchon:
Reforma N° 6:
Se incrementó $ 17.700,00 según memo N° FCA-D-2023-0815-M_13/10/2023.</t>
        </r>
      </text>
    </comment>
    <comment ref="E270" authorId="3" shapeId="0" xr:uid="{8323EAE9-5195-4A26-A2E4-9DFEF0C96FC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$ 1.344,10 FCQS.
</t>
        </r>
        <r>
          <rPr>
            <b/>
            <sz val="9"/>
            <color rgb="FF000000"/>
            <rFont val="Tahoma"/>
            <family val="2"/>
          </rPr>
          <t>Reforma N° 3:</t>
        </r>
        <r>
          <rPr>
            <sz val="9"/>
            <color rgb="FF000000"/>
            <rFont val="Tahoma"/>
            <family val="2"/>
          </rPr>
          <t xml:space="preserve">
Se incrementó $ 6.338,72 según memo N° DTIC-2023-0088-M_04052023.</t>
        </r>
      </text>
    </comment>
    <comment ref="F270" authorId="4" shapeId="0" xr:uid="{5D90F540-E978-4943-98D5-7B83F2F8BABB}">
      <text>
        <r>
          <rPr>
            <b/>
            <sz val="9"/>
            <color rgb="FF000000"/>
            <rFont val="Tahoma"/>
            <family val="2"/>
          </rPr>
          <t>Valeria Ramon Capa:</t>
        </r>
        <r>
          <rPr>
            <sz val="9"/>
            <color rgb="FF000000"/>
            <rFont val="Tahoma"/>
            <family val="2"/>
          </rPr>
          <t xml:space="preserve">
</t>
        </r>
        <r>
          <rPr>
            <b/>
            <sz val="9"/>
            <color rgb="FF000000"/>
            <rFont val="Tahoma"/>
            <family val="2"/>
          </rPr>
          <t>reforma 3:</t>
        </r>
        <r>
          <rPr>
            <sz val="9"/>
            <color rgb="FF000000"/>
            <rFont val="Tahoma"/>
            <family val="2"/>
          </rPr>
          <t xml:space="preserve">
Se reduce $1.086,02 por reunión de seguimiento con TICS y en virtud de oficio Nro. MEF-SP-2023-0501 para atender Memo Nro. 0399 de DADM.
</t>
        </r>
        <r>
          <rPr>
            <b/>
            <sz val="9"/>
            <color rgb="FF000000"/>
            <rFont val="Tahoma"/>
            <family val="2"/>
          </rPr>
          <t>Reforma N° 5:</t>
        </r>
        <r>
          <rPr>
            <sz val="9"/>
            <color rgb="FF000000"/>
            <rFont val="Tahoma"/>
            <family val="2"/>
          </rPr>
          <t xml:space="preserve">
Se redujo $ 91,12 por ser saldo no ejecutado, FCQS.</t>
        </r>
      </text>
    </comment>
    <comment ref="E271" authorId="3" shapeId="0" xr:uid="{978C5A67-E4EC-4F83-B7B9-BF790C2DB01F}">
      <text>
        <r>
          <rPr>
            <b/>
            <sz val="9"/>
            <color rgb="FF000000"/>
            <rFont val="Tahoma"/>
            <family val="2"/>
          </rPr>
          <t>HP:</t>
        </r>
        <r>
          <rPr>
            <sz val="9"/>
            <color rgb="FF000000"/>
            <rFont val="Tahoma"/>
            <family val="2"/>
          </rPr>
          <t xml:space="preserve">
Reforma N° 2:
Se incrementó $ 244.548,86 Py de Inversión FIC.</t>
        </r>
      </text>
    </comment>
    <comment ref="F271" authorId="1" shapeId="0" xr:uid="{CB023557-ACA4-42CC-8191-D7C67348DC0F}">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$ 74.735,30 según memo N° FIC-D-2023-0209-M_05052023.
</t>
        </r>
        <r>
          <rPr>
            <b/>
            <sz val="9"/>
            <color rgb="FF000000"/>
            <rFont val="Tahoma"/>
            <family val="2"/>
          </rPr>
          <t>Reforma N° 6:</t>
        </r>
        <r>
          <rPr>
            <sz val="9"/>
            <color rgb="FF000000"/>
            <rFont val="Tahoma"/>
            <family val="2"/>
          </rPr>
          <t xml:space="preserve">
Se redujo $ 36.925,56 por ser saldo no ejecutado, FIC.</t>
        </r>
      </text>
    </comment>
    <comment ref="E272" authorId="0" shapeId="0" xr:uid="{C1E71808-8BAD-4002-BF02-0358AE541F51}">
      <text>
        <r>
          <rPr>
            <b/>
            <sz val="9"/>
            <color rgb="FF000000"/>
            <rFont val="Tahoma"/>
            <family val="2"/>
          </rPr>
          <t>Microsoft Office User:</t>
        </r>
        <r>
          <rPr>
            <sz val="9"/>
            <color rgb="FF000000"/>
            <rFont val="Tahoma"/>
            <family val="2"/>
          </rPr>
          <t xml:space="preserve">
Reforma N° 4:
Se incrementa $ 119.296,80 en el POA de DTIC para atender el memo nro. DTIC-2023-224-M.	</t>
        </r>
      </text>
    </comment>
    <comment ref="F272" authorId="2" shapeId="0" xr:uid="{FDA477D2-BE74-468B-BFAC-8586B513327F}">
      <text>
        <r>
          <rPr>
            <b/>
            <sz val="9"/>
            <color indexed="81"/>
            <rFont val="Tahoma"/>
            <family val="2"/>
          </rPr>
          <t>Admin:</t>
        </r>
        <r>
          <rPr>
            <sz val="9"/>
            <color indexed="81"/>
            <rFont val="Tahoma"/>
            <family val="2"/>
          </rPr>
          <t xml:space="preserve">
</t>
        </r>
        <r>
          <rPr>
            <b/>
            <sz val="9"/>
            <color indexed="81"/>
            <rFont val="Tahoma"/>
            <family val="2"/>
          </rPr>
          <t>Reforma N° 6:</t>
        </r>
        <r>
          <rPr>
            <sz val="9"/>
            <color indexed="81"/>
            <rFont val="Tahoma"/>
            <family val="2"/>
          </rPr>
          <t xml:space="preserve">
Se redujo $ 13.537,80 por ser saldo no ejecutado, Dir. Adm.</t>
        </r>
      </text>
    </comment>
    <comment ref="E273" authorId="5" shapeId="0" xr:uid="{423E1D32-C8A2-445B-9E79-0AF8BB65DD07}">
      <text>
        <r>
          <rPr>
            <sz val="12"/>
            <color theme="1"/>
            <rFont val="Arial"/>
            <family val="2"/>
            <scheme val="minor"/>
          </rPr>
          <t>Eunice Basilio:
Reforma N° 2:
Se incrementó conforme archivo POA 2023:
$ 13.523,26 Vic. Investigación
$ 2.240,00 DIDI
$ 123.516,00 DTIC + 18.037,80
$ 65.044,00 FCE
$ 11.150,72  FCS
$ 7.504,00 Rectorado
Se incrementó $ 1.771,84, según Memorando N° UTMACH-DADM-2023-0013-M del 16/01/23 Se agrega a TICS.
Se incrementó $ 45.920,00 según Memorando N° UTMACH-DIDI-2023-0053-M_02/02/2023.
Reforma N° 3:
Se incrementó $ 61.245,25 según memo N° DTIC-2023-0088-M_04052023
Se incrementó $3.500,00 por memo N° UTMACH-FIC-D-2023-0312-M_18052023
Se incrementó $38.449,60 a FCE por cuadre de fuentes
Se incrementó $10.080 a DIDI para cubrir cartera de Proyectos de investigación
Reforma N°4:
Se incrementa $ 30.329,60 en el POA de DIDI para financiamiento de la cartera de proyecto 2023, conforme pedido del memo nro. UTMACH-DIDI-2023-0466-M.
Se aumenta $ 500,00 en el POA de la FCA para atender memo nro. FCA-D-2023-0571-M.
Se incrementa $ 8587,38 en el POA de DTIC para atender memo nro. UTMACH-DTIC-2023-0224-M.
Reforma N° 6:
Se incrementó $ 30.470,00, solo para 20 computadoras y 3 impresoras, según memo N° FCE-D-2023-0996-M_29/09/2023.</t>
        </r>
      </text>
    </comment>
    <comment ref="F273" authorId="1" shapeId="0" xr:uid="{3A61F6D2-9AA4-4A94-BABC-AD4F453BE5B0}">
      <text>
        <r>
          <rPr>
            <b/>
            <sz val="9"/>
            <color rgb="FF000000"/>
            <rFont val="Tahoma"/>
            <family val="2"/>
          </rPr>
          <t>LENOVO:</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$ 9.559,07 según memo N° 8 FCE-D-2023-0238-M_14032023
Se redujo $7.504 para cubrir solicitud de memo N CGR-2023-0180-M
Por seguimiento y en virtud de oficio Nro. MEF-SP-2023-0501 para atender Memo Nro. 0399 de DADM:
-05/06: Se redujo $2.081,43 según reunión mantenida con VIVP 
- Se reduce $33.488 según reunión mantenida con TICS
- Se redujo $16.587,2 según seguimiento DIDI
- Se redujo $5,81 por cuadre de grupo 83
</t>
        </r>
        <r>
          <rPr>
            <b/>
            <sz val="9"/>
            <color rgb="FF000000"/>
            <rFont val="Tahoma"/>
            <family val="2"/>
          </rPr>
          <t>Reforma N° 4:</t>
        </r>
        <r>
          <rPr>
            <sz val="9"/>
            <color rgb="FF000000"/>
            <rFont val="Tahoma"/>
            <family val="2"/>
          </rPr>
          <t xml:space="preserve">
Se redujo $ 21.336,00+</t>
        </r>
        <r>
          <rPr>
            <b/>
            <sz val="9"/>
            <color rgb="FF000000"/>
            <rFont val="Tahoma"/>
            <family val="2"/>
          </rPr>
          <t xml:space="preserve">512,00 SERVIDOR NAS+1.782,22 SCANER+189,84 COMPU SALA ESPEJO - </t>
        </r>
        <r>
          <rPr>
            <sz val="9"/>
            <color rgb="FF000000"/>
            <rFont val="Tahoma"/>
            <family val="2"/>
          </rPr>
          <t xml:space="preserve">DTIC por efecto de informe de seguimiento.
Se redujo $ 833,76 FCS por efecto de informe de seguimiento.
Se redujo $ 138,96 FCS por efecto de informe de seguimiento.
Se redujo $ 159,00 FCS por efecto de informe de seguimiento.
Se reduce $ 2.800,00 del POA de DTIC para atender memo nro. </t>
        </r>
        <r>
          <rPr>
            <sz val="10"/>
            <color rgb="FF000000"/>
            <rFont val="Calibri"/>
            <family val="2"/>
          </rPr>
          <t xml:space="preserve">UTMACH-DTIC-2023-0224-M.
</t>
        </r>
        <r>
          <rPr>
            <b/>
            <sz val="10"/>
            <color rgb="FF000000"/>
            <rFont val="Calibri"/>
            <family val="2"/>
          </rPr>
          <t>Reforma N° 6:</t>
        </r>
        <r>
          <rPr>
            <sz val="10"/>
            <color rgb="FF000000"/>
            <rFont val="Calibri"/>
            <family val="2"/>
          </rPr>
          <t xml:space="preserve">
Se redujo $ 199,00 a FCS (IVA- Certificación nro 143)
Se redujo $ 761,60 DIDI valor no ejecutado.</t>
        </r>
      </text>
    </comment>
    <comment ref="E274" authorId="5" shapeId="0" xr:uid="{3886E1C1-0CE9-4056-849A-46802C1F01AA}">
      <text>
        <r>
          <rPr>
            <b/>
            <sz val="9"/>
            <color rgb="FF000000"/>
            <rFont val="Tahoma"/>
            <family val="2"/>
          </rPr>
          <t>Eunice Basilio:</t>
        </r>
        <r>
          <rPr>
            <sz val="9"/>
            <color rgb="FF000000"/>
            <rFont val="Tahoma"/>
            <family val="2"/>
          </rPr>
          <t xml:space="preserve">
Reforma N° 2:
Se incrementó $ 414.919,06 Py de Red Lan DTIC.</t>
        </r>
      </text>
    </comment>
    <comment ref="F274" authorId="2" shapeId="0" xr:uid="{40DAC0B9-99B0-4821-9A7E-D23C1055FBCF}">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$ 414.919,06 en virtud del proyecto de inversión de gestión documental DTIC.</t>
        </r>
      </text>
    </comment>
    <comment ref="E276" authorId="4" shapeId="0" xr:uid="{57CF600A-4B74-4DBE-95CB-23B5AF9468D8}">
      <text>
        <r>
          <rPr>
            <b/>
            <sz val="9"/>
            <color rgb="FF000000"/>
            <rFont val="Tahoma"/>
            <family val="2"/>
          </rPr>
          <t xml:space="preserve">Valeria Ramon Capa:
</t>
        </r>
        <r>
          <rPr>
            <sz val="9"/>
            <color rgb="FF000000"/>
            <rFont val="Tahoma"/>
            <family val="2"/>
          </rPr>
          <t>Reforma N° 3:
Se incrementa $13.133,00 en atención al memo nro 083 DIDI-BG</t>
        </r>
      </text>
    </comment>
    <comment ref="E277" authorId="3" shapeId="0" xr:uid="{B1CB602E-ECCB-42A8-9E0D-F17269B35A8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$ 2.800,00 según Memorando N</t>
        </r>
        <r>
          <rPr>
            <sz val="9"/>
            <color rgb="FF000000"/>
            <rFont val="Tahoma"/>
            <family val="2"/>
          </rPr>
          <t>°</t>
        </r>
        <r>
          <rPr>
            <sz val="9"/>
            <color rgb="FF000000"/>
            <rFont val="Tahoma"/>
            <family val="2"/>
          </rPr>
          <t xml:space="preserve"> UTMACH-DIDI-2023-0053-M_02/02/2023.</t>
        </r>
      </text>
    </comment>
    <comment ref="F277" authorId="0" shapeId="0" xr:uid="{FD7BB31E-B041-4A2E-BA83-39A2261EF936}">
      <text>
        <r>
          <rPr>
            <b/>
            <sz val="10"/>
            <color rgb="FF000000"/>
            <rFont val="Tahoma"/>
            <family val="2"/>
          </rPr>
          <t>Microsoft Office User:</t>
        </r>
        <r>
          <rPr>
            <sz val="10"/>
            <color rgb="FF000000"/>
            <rFont val="Tahoma"/>
            <family val="2"/>
          </rPr>
          <t xml:space="preserve">
</t>
        </r>
        <r>
          <rPr>
            <sz val="10"/>
            <color rgb="FF000000"/>
            <rFont val="Tahoma"/>
            <family val="2"/>
          </rPr>
          <t xml:space="preserve">
</t>
        </r>
        <r>
          <rPr>
            <sz val="10"/>
            <color rgb="FF000000"/>
            <rFont val="Tahoma"/>
            <family val="2"/>
          </rPr>
          <t xml:space="preserve">Reforma nro. 004
</t>
        </r>
        <r>
          <rPr>
            <sz val="10"/>
            <color rgb="FF000000"/>
            <rFont val="Tahoma"/>
            <family val="2"/>
          </rPr>
          <t xml:space="preserve">
</t>
        </r>
        <r>
          <rPr>
            <sz val="10"/>
            <color rgb="FF000000"/>
            <rFont val="Arial"/>
            <family val="2"/>
          </rPr>
          <t xml:space="preserve">Se reduce $ </t>
        </r>
        <r>
          <rPr>
            <b/>
            <sz val="10"/>
            <color rgb="FF000000"/>
            <rFont val="Arial"/>
            <family val="2"/>
          </rPr>
          <t>2.800,00</t>
        </r>
        <r>
          <rPr>
            <sz val="10"/>
            <color rgb="FF000000"/>
            <rFont val="Arial"/>
            <family val="2"/>
          </rPr>
          <t xml:space="preserve"> en el POA de DIDI para financiamiento de la cartera de proyecto 2023, conforme pedido del memo nro. UTMACH-DIDI-2023-0466-M
</t>
        </r>
      </text>
    </comment>
    <comment ref="F283" authorId="3" shapeId="0" xr:uid="{D1E3C2B4-B63D-4075-BF0D-D710FAE82195}">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$ 8.960,00 Vic. de Investigación
según adjunto de Vic. Investigación en e-mail enviado el 03/02/2023.
</t>
        </r>
        <r>
          <rPr>
            <b/>
            <sz val="9"/>
            <color rgb="FF000000"/>
            <rFont val="Tahoma"/>
            <family val="2"/>
          </rPr>
          <t xml:space="preserve">Reforma N° 3:
</t>
        </r>
        <r>
          <rPr>
            <sz val="9"/>
            <color rgb="FF000000"/>
            <rFont val="Tahoma"/>
            <family val="2"/>
          </rPr>
          <t xml:space="preserve">Se redujo $9.640,00 Dircom conforme a la reunión con fecha 01/06 con la Directora por seguimiento y en virtud de oficio Nro. MEF-SP-2023-0501 para atender Memo Nro. 0399 de DADM.
</t>
        </r>
        <r>
          <rPr>
            <b/>
            <sz val="9"/>
            <color rgb="FF000000"/>
            <rFont val="Tahoma"/>
            <family val="2"/>
          </rPr>
          <t>Reforma N° 4:</t>
        </r>
        <r>
          <rPr>
            <sz val="9"/>
            <color rgb="FF000000"/>
            <rFont val="Tahoma"/>
            <family val="2"/>
          </rPr>
          <t xml:space="preserve">
Se redujo $ 15.000,00 DIRCOM por efecto de informe de seguimiento.</t>
        </r>
      </text>
    </comment>
    <comment ref="F284" authorId="2" shapeId="0" xr:uid="{B8ABD64D-9669-4779-87D4-374829EFC4CE}">
      <text>
        <r>
          <rPr>
            <b/>
            <sz val="9"/>
            <color rgb="FF000000"/>
            <rFont val="Tahoma"/>
            <family val="2"/>
          </rPr>
          <t>Admin:</t>
        </r>
        <r>
          <rPr>
            <sz val="9"/>
            <color rgb="FF000000"/>
            <rFont val="Tahoma"/>
            <family val="2"/>
          </rPr>
          <t xml:space="preserve">
Reforma N° 4:
Se redujo $ 817,00 DIPOS por efecto de informe de seguimiento. (Cert. N° 161).
</t>
        </r>
        <r>
          <rPr>
            <b/>
            <sz val="9"/>
            <color rgb="FF000000"/>
            <rFont val="Tahoma"/>
            <family val="2"/>
          </rPr>
          <t>Reforma N° 6:</t>
        </r>
        <r>
          <rPr>
            <sz val="9"/>
            <color rgb="FF000000"/>
            <rFont val="Tahoma"/>
            <family val="2"/>
          </rPr>
          <t xml:space="preserve">
Se redujo $ 277,91 DVIN (Cert. N° 368).</t>
        </r>
      </text>
    </comment>
    <comment ref="F285" authorId="1" shapeId="0" xr:uid="{B0EC64F7-8802-493E-B722-3CC28EE148D8}">
      <text>
        <r>
          <rPr>
            <b/>
            <sz val="9"/>
            <color rgb="FF000000"/>
            <rFont val="Tahoma"/>
            <family val="2"/>
          </rPr>
          <t>LENOVO:</t>
        </r>
        <r>
          <rPr>
            <sz val="9"/>
            <color rgb="FF000000"/>
            <rFont val="Tahoma"/>
            <family val="2"/>
          </rPr>
          <t xml:space="preserve">
Reforma N° 3:
Se redujo $ 1.344,00, según memo N° DVIN-2023-0106-M_17032023.</t>
        </r>
      </text>
    </comment>
    <comment ref="F286" authorId="1" shapeId="0" xr:uid="{C04D8736-A5A7-4280-B94B-30CC1C8E5600}">
      <text>
        <r>
          <rPr>
            <b/>
            <sz val="9"/>
            <color rgb="FF000000"/>
            <rFont val="Tahoma"/>
            <family val="2"/>
          </rPr>
          <t>LENOVO:</t>
        </r>
        <r>
          <rPr>
            <sz val="9"/>
            <color rgb="FF000000"/>
            <rFont val="Tahoma"/>
            <family val="2"/>
          </rPr>
          <t xml:space="preserve">
Reforma N° 3:
Se redujo $ 3.584,00, según memo N° DVIN-2023-0106-M_17032023.</t>
        </r>
      </text>
    </comment>
    <comment ref="F287" authorId="1" shapeId="0" xr:uid="{776C0F81-4926-4CA0-9CA1-CF044E6D0E62}">
      <text>
        <r>
          <rPr>
            <b/>
            <sz val="9"/>
            <color rgb="FF000000"/>
            <rFont val="Tahoma"/>
            <family val="2"/>
          </rPr>
          <t>LENOVO:</t>
        </r>
        <r>
          <rPr>
            <sz val="9"/>
            <color rgb="FF000000"/>
            <rFont val="Tahoma"/>
            <family val="2"/>
          </rPr>
          <t xml:space="preserve">
Reforma N° 3:
Se redujo $ 2.121,28, según memo N° DVIN-2023-0106-M_17032023.</t>
        </r>
      </text>
    </comment>
    <comment ref="F288" authorId="1" shapeId="0" xr:uid="{FD977A5A-6AE2-4791-847D-0DF72FD274BE}">
      <text>
        <r>
          <rPr>
            <b/>
            <sz val="9"/>
            <color rgb="FF000000"/>
            <rFont val="Tahoma"/>
            <family val="2"/>
          </rPr>
          <t>LENOVO:</t>
        </r>
        <r>
          <rPr>
            <sz val="9"/>
            <color rgb="FF000000"/>
            <rFont val="Tahoma"/>
            <family val="2"/>
          </rPr>
          <t xml:space="preserve">
Reforma N° 3:
Se redujo del POA $ 5.600,00 según memo N° N° UTMACH-DEC-2023-0147-M_05062023.
Se redujo $795,65 a FCS en reunión de seguimiento y para unificar en el programa 83.</t>
        </r>
      </text>
    </comment>
    <comment ref="E289" authorId="3" shapeId="0" xr:uid="{AF44E452-5EEF-492B-BDFD-0AC019C3762C}">
      <text>
        <r>
          <rPr>
            <b/>
            <sz val="9"/>
            <color rgb="FF000000"/>
            <rFont val="Tahoma"/>
            <family val="2"/>
          </rPr>
          <t>HP:</t>
        </r>
        <r>
          <rPr>
            <sz val="9"/>
            <color rgb="FF000000"/>
            <rFont val="Tahoma"/>
            <family val="2"/>
          </rPr>
          <t xml:space="preserve">
Reforma N° 2:
Se incrementó $ 2.352,00 FCQS.</t>
        </r>
      </text>
    </comment>
    <comment ref="F289" authorId="2" shapeId="0" xr:uid="{10F3F4E4-95C8-4BC1-802F-ABDB1F33E674}">
      <text>
        <r>
          <rPr>
            <b/>
            <sz val="9"/>
            <color indexed="81"/>
            <rFont val="Tahoma"/>
            <family val="2"/>
          </rPr>
          <t>Admin:</t>
        </r>
        <r>
          <rPr>
            <sz val="9"/>
            <color indexed="81"/>
            <rFont val="Tahoma"/>
            <family val="2"/>
          </rPr>
          <t xml:space="preserve">
Reforma N° 5:
Se reduce $ 352,00 por ser saldo no ejecutado (IVA), FCQS.</t>
        </r>
      </text>
    </comment>
    <comment ref="F290" authorId="3" shapeId="0" xr:uid="{B0CF85C0-A933-4AD8-8774-C6F32E159B64}">
      <text>
        <r>
          <rPr>
            <b/>
            <sz val="9"/>
            <color rgb="FF000000"/>
            <rFont val="Tahoma"/>
            <family val="34"/>
          </rPr>
          <t xml:space="preserve">HP:
</t>
        </r>
        <r>
          <rPr>
            <sz val="9"/>
            <color rgb="FF000000"/>
            <rFont val="Tahoma"/>
            <family val="2"/>
          </rPr>
          <t>Reforma N° 3:</t>
        </r>
        <r>
          <rPr>
            <sz val="9"/>
            <color rgb="FF000000"/>
            <rFont val="Tahoma"/>
            <family val="34"/>
          </rPr>
          <t xml:space="preserve">
Se redujo $22.400,00 a FCA en reunión de seguimiento y en virtud de oficio Nro. MEF-SP-2023-0501 para atender Memo Nro. 0399 de DADM.</t>
        </r>
      </text>
    </comment>
    <comment ref="E291" authorId="1" shapeId="0" xr:uid="{AD69DF36-634D-4FE3-94BE-98A738176E59}">
      <text>
        <r>
          <rPr>
            <b/>
            <sz val="9"/>
            <color rgb="FF000000"/>
            <rFont val="Tahoma"/>
            <family val="2"/>
          </rPr>
          <t>LENOVO:</t>
        </r>
        <r>
          <rPr>
            <sz val="9"/>
            <color rgb="FF000000"/>
            <rFont val="Tahoma"/>
            <family val="2"/>
          </rPr>
          <t xml:space="preserve">
Reforma N° 3:
Se incrementó $ 18.120,00 según memo N° UTMACH-DEC-2023-0147-M_05062023.</t>
        </r>
      </text>
    </comment>
    <comment ref="F291" authorId="3" shapeId="0" xr:uid="{AD40F62C-3F72-4400-843C-D2418FB5E765}">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$ 25.064,00 por disposición del Director del DPLAN.
</t>
        </r>
        <r>
          <rPr>
            <b/>
            <sz val="9"/>
            <color rgb="FF000000"/>
            <rFont val="Tahoma"/>
            <family val="2"/>
          </rPr>
          <t xml:space="preserve">Reforma N° 3:
</t>
        </r>
        <r>
          <rPr>
            <sz val="9"/>
            <color rgb="FF000000"/>
            <rFont val="Tahoma"/>
            <family val="2"/>
          </rPr>
          <t xml:space="preserve">06/06: Se redujo $20.000 a DTH por seguimiento y en virtud de oficio Nro. MEF-SP-2023-0501 para atender Memo Nro. 0399 de DADM, y en atención al memo nro 0764 DTH.
</t>
        </r>
        <r>
          <rPr>
            <b/>
            <sz val="9"/>
            <color rgb="FF000000"/>
            <rFont val="Tahoma"/>
            <family val="2"/>
          </rPr>
          <t>Reforma N° 4:</t>
        </r>
        <r>
          <rPr>
            <sz val="9"/>
            <color rgb="FF000000"/>
            <rFont val="Tahoma"/>
            <family val="2"/>
          </rPr>
          <t xml:space="preserve">
Se redujo $ 5.000,00 DTH por efecto de informe de seguimiento.</t>
        </r>
      </text>
    </comment>
    <comment ref="F292" authorId="3" shapeId="0" xr:uid="{B73A0A09-946A-4662-945B-34BDB48F3E62}">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redujo $ 20.160,00 de acuerdo al 1er POA 2023 de la FCE presentado (por no estar desagregado).</t>
        </r>
      </text>
    </comment>
    <comment ref="E293" authorId="1" shapeId="0" xr:uid="{64F1FCED-C10F-4261-B9D4-E0D831EA4AD4}">
      <text>
        <r>
          <rPr>
            <b/>
            <sz val="9"/>
            <color rgb="FF000000"/>
            <rFont val="Tahoma"/>
            <family val="2"/>
          </rPr>
          <t>LENOVO:</t>
        </r>
        <r>
          <rPr>
            <sz val="9"/>
            <color rgb="FF000000"/>
            <rFont val="Tahoma"/>
            <family val="2"/>
          </rPr>
          <t xml:space="preserve">
Reforma N° 3:
Se incrementó $ 2.859,53+5.600,00-150,00 según memo N° DVIN-2023-0106-M_17032023.</t>
        </r>
      </text>
    </comment>
    <comment ref="F293" authorId="1" shapeId="0" xr:uid="{5D07FB09-7211-496A-9EEC-E23E16D284B7}">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$ 17.920,00 a DVIN según reunión de seguimiento y en virtud de oficio Nro. MEF-SP-2023-0501 para atender Memo Nro. 0399 de DADM.
</t>
        </r>
        <r>
          <rPr>
            <b/>
            <sz val="9"/>
            <color rgb="FF000000"/>
            <rFont val="Tahoma"/>
            <family val="2"/>
          </rPr>
          <t>Reforma N° 5:</t>
        </r>
        <r>
          <rPr>
            <sz val="9"/>
            <color rgb="FF000000"/>
            <rFont val="Tahoma"/>
            <family val="2"/>
          </rPr>
          <t xml:space="preserve">
Se reduce $ 899,71 por ser saldo no ejecutado (IVA), Dir. Vinc.</t>
        </r>
      </text>
    </comment>
    <comment ref="F294" authorId="3" shapeId="0" xr:uid="{85E39807-2E2C-4646-BB3A-85134FBCD34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$ 6.800,00 Dir. Educ. Continua.
</t>
        </r>
        <r>
          <rPr>
            <b/>
            <sz val="9"/>
            <color rgb="FF000000"/>
            <rFont val="Tahoma"/>
            <family val="2"/>
          </rPr>
          <t>Reforma N° 3:</t>
        </r>
        <r>
          <rPr>
            <sz val="9"/>
            <color rgb="FF000000"/>
            <rFont val="Tahoma"/>
            <family val="2"/>
          </rPr>
          <t xml:space="preserve">
Se redujo $ 10.000,00 según memo N° N° UTMACH-DEC-2023-0147-M_05062023.</t>
        </r>
      </text>
    </comment>
    <comment ref="E295" authorId="0" shapeId="0" xr:uid="{24055F67-97D1-4614-B68D-0BE0334E82DA}">
      <text>
        <r>
          <rPr>
            <b/>
            <sz val="9"/>
            <color rgb="FF000000"/>
            <rFont val="Tahoma"/>
            <family val="2"/>
          </rPr>
          <t>Microsoft Office User:</t>
        </r>
        <r>
          <rPr>
            <sz val="9"/>
            <color rgb="FF000000"/>
            <rFont val="Tahoma"/>
            <family val="2"/>
          </rPr>
          <t xml:space="preserve">
Reforma N° 4:
Incremento de $ 4.000,00 en el POA de DV para atender memo nro. UTMACH-DVIN-2023-0406-M.</t>
        </r>
      </text>
    </comment>
    <comment ref="F295" authorId="4" shapeId="0" xr:uid="{A43DBB4B-4B44-4D5B-A599-3815158734BD}">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$m250,00 por cuanto en el memo 0460 FCS se prescinde de la compra del hardware.
</t>
        </r>
        <r>
          <rPr>
            <b/>
            <sz val="9"/>
            <color rgb="FF000000"/>
            <rFont val="Tahoma"/>
            <family val="2"/>
          </rPr>
          <t>Reforma N° 4:</t>
        </r>
        <r>
          <rPr>
            <sz val="9"/>
            <color rgb="FF000000"/>
            <rFont val="Tahoma"/>
            <family val="2"/>
          </rPr>
          <t xml:space="preserve">
Se reduce $ 1398,86 en el POA de VIVP en atención del memo nro. VINVIP-2023-0220-M.</t>
        </r>
      </text>
    </comment>
    <comment ref="E296" authorId="0" shapeId="0" xr:uid="{EF271184-7F3B-4581-B652-2D1CFE8F1FB4}">
      <text>
        <r>
          <rPr>
            <b/>
            <sz val="9"/>
            <color rgb="FF000000"/>
            <rFont val="Tahoma"/>
            <family val="2"/>
          </rPr>
          <t>Microsoft Office User:</t>
        </r>
        <r>
          <rPr>
            <sz val="9"/>
            <color rgb="FF000000"/>
            <rFont val="Tahoma"/>
            <family val="2"/>
          </rPr>
          <t xml:space="preserve">
Reforma N° 4:
Se aumenta $ 3.300,00 en el POA del DV para atender memo nro. UTMACH-DVIN-2023-0406-M.</t>
        </r>
      </text>
    </comment>
    <comment ref="F296" authorId="1" shapeId="0" xr:uid="{E768633F-21E4-40E1-8C3F-75CD6724C5AA}">
      <text>
        <r>
          <rPr>
            <b/>
            <sz val="9"/>
            <color rgb="FF000000"/>
            <rFont val="Tahoma"/>
            <family val="2"/>
          </rPr>
          <t>LENOVO:</t>
        </r>
        <r>
          <rPr>
            <sz val="9"/>
            <color rgb="FF000000"/>
            <rFont val="Tahoma"/>
            <family val="2"/>
          </rPr>
          <t xml:space="preserve">
Reforma N° 3:
Se redujo $ 3.584,00, según memo N° DVIN-2023-0106-M_17032023.</t>
        </r>
      </text>
    </comment>
    <comment ref="F297" authorId="1" shapeId="0" xr:uid="{91C1ABFF-A328-4F59-8CFA-86DFBAE44E5A}">
      <text>
        <r>
          <rPr>
            <b/>
            <sz val="9"/>
            <color rgb="FF000000"/>
            <rFont val="Tahoma"/>
            <family val="2"/>
          </rPr>
          <t>LENOVO:</t>
        </r>
        <r>
          <rPr>
            <sz val="9"/>
            <color rgb="FF000000"/>
            <rFont val="Tahoma"/>
            <family val="2"/>
          </rPr>
          <t xml:space="preserve">
Reforma N° 3:
Se redujo $ 3.584,00, según memo N° DVIN-2023-0106-M_17032023.</t>
        </r>
      </text>
    </comment>
    <comment ref="F298" authorId="1" shapeId="0" xr:uid="{BA1E4BA4-7921-4F14-809C-8003331802B7}">
      <text>
        <r>
          <rPr>
            <b/>
            <sz val="9"/>
            <color rgb="FF000000"/>
            <rFont val="Tahoma"/>
            <family val="2"/>
          </rPr>
          <t>LENOVO:</t>
        </r>
        <r>
          <rPr>
            <sz val="9"/>
            <color rgb="FF000000"/>
            <rFont val="Tahoma"/>
            <family val="2"/>
          </rPr>
          <t xml:space="preserve">
Reforma N° 3:
Se redujo $ 536,00 según memo N° N° UTMACH-DEC-2023-0147-M_05062023.</t>
        </r>
      </text>
    </comment>
    <comment ref="E299" authorId="0" shapeId="0" xr:uid="{45C71DEB-E700-4958-8578-4E7BBCDB176C}">
      <text>
        <r>
          <rPr>
            <b/>
            <sz val="9"/>
            <color rgb="FF000000"/>
            <rFont val="Tahoma"/>
            <family val="2"/>
          </rPr>
          <t>Microsoft Office User:</t>
        </r>
        <r>
          <rPr>
            <sz val="9"/>
            <color rgb="FF000000"/>
            <rFont val="Tahoma"/>
            <family val="2"/>
          </rPr>
          <t xml:space="preserve">
Reforma N° 4:
Se incrementa $ 925.12 en el POA de DV para atender el pedido del memo nro. UTMACH-DVIN-2023-0406-M.</t>
        </r>
      </text>
    </comment>
    <comment ref="F299" authorId="4" shapeId="0" xr:uid="{63DA78A6-A8C9-4BA4-84DD-21B6E3947729}">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$61,09 FCS proceso ejecutado.
</t>
        </r>
        <r>
          <rPr>
            <b/>
            <sz val="9"/>
            <color rgb="FF000000"/>
            <rFont val="Tahoma"/>
            <family val="2"/>
          </rPr>
          <t>Reforma N° 4:</t>
        </r>
        <r>
          <rPr>
            <sz val="9"/>
            <color rgb="FF000000"/>
            <rFont val="Tahoma"/>
            <family val="2"/>
          </rPr>
          <t xml:space="preserve">
Se redujo $ 60,00 FCS por efecto de informe de seguimiento.</t>
        </r>
      </text>
    </comment>
    <comment ref="F300" authorId="3" shapeId="0" xr:uid="{3D046C0E-606D-4F96-BD2B-76FF1172543B}">
      <text>
        <r>
          <rPr>
            <b/>
            <sz val="9"/>
            <color rgb="FF000000"/>
            <rFont val="Tahoma"/>
            <family val="2"/>
          </rPr>
          <t>HP:</t>
        </r>
        <r>
          <rPr>
            <sz val="9"/>
            <color rgb="FF000000"/>
            <rFont val="Tahoma"/>
            <family val="2"/>
          </rPr>
          <t xml:space="preserve">
Reforma N° 2:
Se redujo $ 1.261,38 Dir. Educ. Continua.</t>
        </r>
      </text>
    </comment>
    <comment ref="F301" authorId="2" shapeId="0" xr:uid="{644CC465-395B-44D9-8BC4-8AA1204A587A}">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$896,23 a DEC (Cert n°473)</t>
        </r>
      </text>
    </comment>
    <comment ref="F302" authorId="3" shapeId="0" xr:uid="{6E05A138-1DBC-4B35-9FE9-79594E10C914}">
      <text>
        <r>
          <rPr>
            <b/>
            <sz val="9"/>
            <color rgb="FF000000"/>
            <rFont val="Tahoma"/>
            <family val="2"/>
          </rPr>
          <t>HP:</t>
        </r>
        <r>
          <rPr>
            <sz val="9"/>
            <color rgb="FF000000"/>
            <rFont val="Tahoma"/>
            <family val="2"/>
          </rPr>
          <t xml:space="preserve">
Reforma N° 2:
Se redujo $ 26.096,00 FCQS.</t>
        </r>
      </text>
    </comment>
    <comment ref="E303" authorId="1" shapeId="0" xr:uid="{0D302692-6A7A-4FD4-BA6C-99FCC4648638}">
      <text>
        <r>
          <rPr>
            <sz val="12"/>
            <color theme="1"/>
            <rFont val="Arial"/>
            <family val="2"/>
            <scheme val="minor"/>
          </rPr>
          <t>LENOVO:
Reforma N° 3:
Se icrementó $ 3.382,40, según memo N° DVIN-2023-0106-M_17032023.
Reforma N° 6:
Se incrementó $ 781,76 según memo N° FCQS-D-2023-1267-M_23102023.</t>
        </r>
      </text>
    </comment>
    <comment ref="F303" authorId="4" shapeId="0" xr:uid="{065DE804-8FD6-4891-8076-E1304DB13EE6}">
      <text>
        <r>
          <rPr>
            <b/>
            <sz val="9"/>
            <color rgb="FF000000"/>
            <rFont val="Tahoma"/>
            <family val="2"/>
          </rPr>
          <t>Valeria Ramon Capa:</t>
        </r>
        <r>
          <rPr>
            <sz val="9"/>
            <color rgb="FF000000"/>
            <rFont val="Tahoma"/>
            <family val="2"/>
          </rPr>
          <t xml:space="preserve">
Reforma N° 3:
Se redujo $1.344,00 a FCA en reunión de seguimiento y en virtud de oficio Nro. MEF-SP-2023-0501 para atender Memo Nro. 0399 de DADM.</t>
        </r>
      </text>
    </comment>
    <comment ref="E304" authorId="3" shapeId="0" xr:uid="{CA7D759A-1515-4B43-9AE2-87136249313A}">
      <text>
        <r>
          <rPr>
            <b/>
            <sz val="9"/>
            <color rgb="FF000000"/>
            <rFont val="Tahoma"/>
            <family val="2"/>
          </rPr>
          <t>HP:</t>
        </r>
        <r>
          <rPr>
            <sz val="9"/>
            <color rgb="FF000000"/>
            <rFont val="Tahoma"/>
            <family val="2"/>
          </rPr>
          <t xml:space="preserve">
Reforma N° 2:
Se incrementó $ 162,40 FCQS.</t>
        </r>
      </text>
    </comment>
    <comment ref="F304" authorId="2" shapeId="0" xr:uid="{93C5B6D6-D4B5-4A72-A8B8-2DC3AE504DDD}">
      <text>
        <r>
          <rPr>
            <b/>
            <sz val="9"/>
            <color indexed="81"/>
            <rFont val="Tahoma"/>
            <family val="2"/>
          </rPr>
          <t>Admin:</t>
        </r>
        <r>
          <rPr>
            <sz val="9"/>
            <color indexed="81"/>
            <rFont val="Tahoma"/>
            <family val="2"/>
          </rPr>
          <t xml:space="preserve">
Reforma N° 6:
Se redujo $ 162,40 según memo N° FCQS-D-2023-1267-M_23102023.</t>
        </r>
      </text>
    </comment>
    <comment ref="E305" authorId="3" shapeId="0" xr:uid="{7F309FF5-4BDD-41B1-BDAD-4208274C14B4}">
      <text>
        <r>
          <rPr>
            <b/>
            <sz val="9"/>
            <color rgb="FF000000"/>
            <rFont val="Tahoma"/>
            <family val="2"/>
          </rPr>
          <t>HP:</t>
        </r>
        <r>
          <rPr>
            <sz val="9"/>
            <color rgb="FF000000"/>
            <rFont val="Tahoma"/>
            <family val="2"/>
          </rPr>
          <t xml:space="preserve">
Reforma N° 2:
Se incrementó $ 619,36 FCQS.</t>
        </r>
      </text>
    </comment>
    <comment ref="F305" authorId="2" shapeId="0" xr:uid="{1C1A172C-A13C-4D89-AB0B-8D4D742DBC2C}">
      <text>
        <r>
          <rPr>
            <b/>
            <sz val="9"/>
            <color indexed="81"/>
            <rFont val="Tahoma"/>
            <family val="2"/>
          </rPr>
          <t>Admin:</t>
        </r>
        <r>
          <rPr>
            <sz val="9"/>
            <color indexed="81"/>
            <rFont val="Tahoma"/>
            <family val="2"/>
          </rPr>
          <t xml:space="preserve">
Reforma N° 6:</t>
        </r>
        <r>
          <rPr>
            <b/>
            <sz val="9"/>
            <color indexed="81"/>
            <rFont val="Tahoma"/>
            <family val="2"/>
          </rPr>
          <t xml:space="preserve">
</t>
        </r>
        <r>
          <rPr>
            <sz val="9"/>
            <color indexed="81"/>
            <rFont val="Tahoma"/>
            <family val="2"/>
          </rPr>
          <t>Se redujo $ 619,36 según memo N° FCQS-D-2023-1267-M_23102023.</t>
        </r>
      </text>
    </comment>
    <comment ref="E306" authorId="3" shapeId="0" xr:uid="{9F1AEE08-A12B-4732-BC1B-CDB19FA412EF}">
      <text>
        <r>
          <rPr>
            <b/>
            <sz val="9"/>
            <color rgb="FF000000"/>
            <rFont val="Tahoma"/>
            <family val="2"/>
          </rPr>
          <t>HP:</t>
        </r>
        <r>
          <rPr>
            <sz val="9"/>
            <color rgb="FF000000"/>
            <rFont val="Tahoma"/>
            <family val="2"/>
          </rPr>
          <t xml:space="preserve">
Reforma N° 2:
Se incrementó $ 5.600,00 FCQS.</t>
        </r>
      </text>
    </comment>
    <comment ref="F307" authorId="2" shapeId="0" xr:uid="{DDFEFE91-38E6-4AC7-9DF1-29B226BE54D3}">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$ 41,11 FCS por efecto de informe de seguimiento.</t>
        </r>
      </text>
    </comment>
    <comment ref="F308" authorId="3" shapeId="0" xr:uid="{59860B09-1A2A-4C0A-9C91-146699EBB98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$ 21.280,00 DBUAC.
</t>
        </r>
        <r>
          <rPr>
            <b/>
            <sz val="9"/>
            <color rgb="FF000000"/>
            <rFont val="Tahoma"/>
            <family val="2"/>
          </rPr>
          <t>Reforma N° 3:</t>
        </r>
        <r>
          <rPr>
            <sz val="9"/>
            <color rgb="FF000000"/>
            <rFont val="Tahoma"/>
            <family val="2"/>
          </rPr>
          <t xml:space="preserve">
Se redujo $ 15.879,05, según memo N° DBUAC-2023-0124-M_03032023.</t>
        </r>
      </text>
    </comment>
    <comment ref="F310" authorId="1" shapeId="0" xr:uid="{2056DE02-6C2A-488A-A2AA-E3EAFD302AAC}">
      <text>
        <r>
          <rPr>
            <b/>
            <sz val="9"/>
            <color rgb="FF000000"/>
            <rFont val="Tahoma"/>
            <family val="2"/>
          </rPr>
          <t>LENOVO:</t>
        </r>
        <r>
          <rPr>
            <sz val="9"/>
            <color rgb="FF000000"/>
            <rFont val="Tahoma"/>
            <family val="2"/>
          </rPr>
          <t xml:space="preserve">
Reforma N° 3:
Se redujo $ 1.037,14, según memo N° DVIN-2023-0106-M_17032023.</t>
        </r>
      </text>
    </comment>
    <comment ref="E313" authorId="0" shapeId="0" xr:uid="{DE4C4833-17CF-4EBF-916F-DE667FEC42EE}">
      <text>
        <r>
          <rPr>
            <b/>
            <sz val="9"/>
            <color rgb="FF000000"/>
            <rFont val="Tahoma"/>
            <family val="2"/>
          </rPr>
          <t>Microsoft Office User:</t>
        </r>
        <r>
          <rPr>
            <sz val="9"/>
            <color rgb="FF000000"/>
            <rFont val="Tahoma"/>
            <family val="2"/>
          </rPr>
          <t xml:space="preserve">
Reforma N° 4:
Incremento de $ 70.000 para la 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 en el POA de FCE.</t>
        </r>
      </text>
    </comment>
    <comment ref="F313" authorId="2" shapeId="0" xr:uid="{DEBBA682-E8D6-4A24-984E-B91AA9D8704A}">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$ 69.650,95 a FCE por reforma de proyecto</t>
        </r>
      </text>
    </comment>
    <comment ref="E314" authorId="0" shapeId="0" xr:uid="{AA245AFD-2DD8-4E2A-93EA-36F3946B8A8F}">
      <text>
        <r>
          <rPr>
            <b/>
            <sz val="10"/>
            <color rgb="FF000000"/>
            <rFont val="Tahoma"/>
            <family val="2"/>
          </rPr>
          <t>Microsoft Office User:</t>
        </r>
        <r>
          <rPr>
            <sz val="10"/>
            <color rgb="FF000000"/>
            <rFont val="Tahoma"/>
            <family val="2"/>
          </rPr>
          <t xml:space="preserve">
</t>
        </r>
        <r>
          <rPr>
            <sz val="8"/>
            <color rgb="FF000000"/>
            <rFont val="Tahoma"/>
            <family val="2"/>
          </rPr>
          <t>Reforma N° 4:
Se incrementa $804,20 para atender memo nro. UTMACH-FCS-D-2023-0831-M.</t>
        </r>
      </text>
    </comment>
    <comment ref="F314" authorId="2" shapeId="0" xr:uid="{2EB05989-C121-4425-B67A-ADA6B672957A}">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$86,17 a FCS (cert N°503)</t>
        </r>
      </text>
    </comment>
    <comment ref="E315" authorId="5" shapeId="0" xr:uid="{8B16F625-EB21-4233-82A5-FDC4C98B17AF}">
      <text>
        <r>
          <rPr>
            <b/>
            <sz val="9"/>
            <color rgb="FF000000"/>
            <rFont val="Tahoma"/>
            <family val="2"/>
          </rPr>
          <t>Eunice Basilio:</t>
        </r>
        <r>
          <rPr>
            <sz val="9"/>
            <color rgb="FF000000"/>
            <rFont val="Tahoma"/>
            <family val="2"/>
          </rPr>
          <t xml:space="preserve">
Reforma N° 2:
Se incrementó $ 14.739,77 conforme archivo POA 2023.
Se incrementó $ 5.107,94 FCQS.</t>
        </r>
      </text>
    </comment>
    <comment ref="F315" authorId="1" shapeId="0" xr:uid="{16629249-504D-4D40-BCDD-03E48FE95601}">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$ 2.132,48, según memo N° DVIN-2023-0106-M_17032023.
</t>
        </r>
        <r>
          <rPr>
            <b/>
            <sz val="9"/>
            <color rgb="FF000000"/>
            <rFont val="Tahoma"/>
            <family val="2"/>
          </rPr>
          <t>Reforma N° 4:</t>
        </r>
        <r>
          <rPr>
            <sz val="9"/>
            <color rgb="FF000000"/>
            <rFont val="Tahoma"/>
            <family val="2"/>
          </rPr>
          <t xml:space="preserve">
Se redujo $ 301,20 DBUAC por efecto de informe de seguimiento. (Cert. N° 214 y 201).
</t>
        </r>
        <r>
          <rPr>
            <b/>
            <sz val="9"/>
            <color rgb="FF000000"/>
            <rFont val="Tahoma"/>
            <family val="2"/>
          </rPr>
          <t>Reforma N° 6</t>
        </r>
        <r>
          <rPr>
            <sz val="9"/>
            <color rgb="FF000000"/>
            <rFont val="Tahoma"/>
            <family val="2"/>
          </rPr>
          <t>:
Se redujo $ 552,42 FCQS  (IVA - Cert. N° 405).
Se redujo $ 236,56 FCS (IVA Cert N° 351)</t>
        </r>
      </text>
    </comment>
    <comment ref="E316" authorId="4" shapeId="0" xr:uid="{2F3F4BBE-E529-4A99-9E80-D08A3C2BDD07}">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$ 8.042,47+134,40 según memo N 0604 FCQS_25052023
</t>
        </r>
        <r>
          <rPr>
            <b/>
            <sz val="9"/>
            <color rgb="FF000000"/>
            <rFont val="Tahoma"/>
            <family val="2"/>
          </rPr>
          <t>Reforma N° 4:</t>
        </r>
        <r>
          <rPr>
            <sz val="9"/>
            <color rgb="FF000000"/>
            <rFont val="Tahoma"/>
            <family val="2"/>
          </rPr>
          <t xml:space="preserve">
Se incrementa $ 260,96 en atención al memo nro. FCQS-D-2023-0960-M.</t>
        </r>
      </text>
    </comment>
    <comment ref="F316" authorId="0" shapeId="0" xr:uid="{1350FC45-A70C-447B-9F51-80684396560C}">
      <text>
        <r>
          <rPr>
            <sz val="12"/>
            <color theme="1"/>
            <rFont val="Arial"/>
            <family val="2"/>
            <scheme val="minor"/>
          </rPr>
          <t xml:space="preserve">Microsoft Office User:
Reforma N° 4:
Se reduce $ 2.442,47 en atención al memo nro. FCQS-D-2023-0905-M.
Reforma N° 5:
Se redujo $ 309,67 por ser saldo no ejecutado, (maniquí para cuidado básico del paciente) FCQS.
Reforma N° 6:
Se redujo $ 41,76 FCQS,IVA (Cert. N°512)
</t>
        </r>
      </text>
    </comment>
    <comment ref="E317" authorId="5" shapeId="0" xr:uid="{16D9D00F-95D2-473D-AC90-7A0998A70A3C}">
      <text>
        <r>
          <rPr>
            <b/>
            <sz val="9"/>
            <color rgb="FF000000"/>
            <rFont val="Tahoma"/>
            <family val="2"/>
          </rPr>
          <t>Eunice Basilio:</t>
        </r>
        <r>
          <rPr>
            <sz val="9"/>
            <color rgb="FF000000"/>
            <rFont val="Tahoma"/>
            <family val="2"/>
          </rPr>
          <t xml:space="preserve">
</t>
        </r>
        <r>
          <rPr>
            <b/>
            <sz val="8"/>
            <color rgb="FF000000"/>
            <rFont val="Tahoma"/>
            <family val="2"/>
          </rPr>
          <t>Reforma N° 2:</t>
        </r>
        <r>
          <rPr>
            <sz val="8"/>
            <color rgb="FF000000"/>
            <rFont val="Tahoma"/>
            <family val="34"/>
          </rPr>
          <t xml:space="preserve">
Se incrementó $ 20.678,10 conforme archivo POA 2023.
Se incrementó $ 5.308,80 por contrato de año anterior para adquisición de proyectores de imagen. TICS.
Se incrementó $ 9.924,07 FCQS.
</t>
        </r>
        <r>
          <rPr>
            <b/>
            <sz val="8"/>
            <color rgb="FF000000"/>
            <rFont val="Tahoma"/>
            <family val="34"/>
          </rPr>
          <t xml:space="preserve">Reforma N° 3:
</t>
        </r>
        <r>
          <rPr>
            <sz val="8"/>
            <color rgb="FF000000"/>
            <rFont val="Tahoma"/>
            <family val="34"/>
          </rPr>
          <t xml:space="preserve">Se incrementó $ 2.265,62, según memo N° DVIN-2023-0106-M_17032023.
Se incrementó $1.568,00 por atención de memo N 231 DVIN.         
El incremento total de DVIN  = $4.005,12
Se incrementó $ 15.879,05, según memo N° DBUAC-2023-0124-M_03032023.
Se incrementó $12.549,71 por cuadre de financiamiento del POA.
</t>
        </r>
        <r>
          <rPr>
            <b/>
            <sz val="8"/>
            <color rgb="FF000000"/>
            <rFont val="Tahoma"/>
            <family val="2"/>
          </rPr>
          <t>Reforma N° 4:</t>
        </r>
        <r>
          <rPr>
            <sz val="8"/>
            <color rgb="FF000000"/>
            <rFont val="Tahoma"/>
            <family val="34"/>
          </rPr>
          <t xml:space="preserve">
</t>
        </r>
        <r>
          <rPr>
            <sz val="8"/>
            <color rgb="FF000000"/>
            <rFont val="Arial"/>
            <family val="2"/>
          </rPr>
          <t>Se aumenta $ 4.032,00 en el POA de DV en atención al memo nro. DVIN-2023-0363.
Se aumenta $ 10,21 en el POA de FCQS para atender memo nro. FCQS-D-2023-0905-M.</t>
        </r>
      </text>
    </comment>
    <comment ref="F317" authorId="4" shapeId="0" xr:uid="{2D42BA07-FE04-4F64-B03F-07892067FC5A}">
      <text>
        <r>
          <rPr>
            <sz val="12"/>
            <color theme="1"/>
            <rFont val="Arial"/>
            <family val="2"/>
            <scheme val="minor"/>
          </rPr>
          <t>Valeria Ramon Capa:
Reforma N° 3: 
Se reduce $1.568 + $4009,60 = $5.577,60 según memo N FCS 460.
Se reduce $3.528,00 según memo DEC 075.
Se redujo $1.904,87+3.136,00+3.136,00= $8.176,87 según memo N 0604 FCQS_25052023.
Reforma N° 4:
Se redujo $ 373,00 FCS por efecto de informe de seguimiento (Cert. N° 262).
Se reduce $ 1.344,00 en el POA de DV en atención al memo nro. DVIN-2023-0363.
Se reduce $ 260,93 (memo nro. FCQS-D-2023-0960) + $ 72,80 + $ 126,02 + $ 293,48 + $ 164,24 en atención al memo nro. FCQS-D-2023-0905-M.
Reforma N° 6:
Se redujo $ 1.207,00 DVIN por ser IVA (Cert. N° 422).</t>
        </r>
      </text>
    </comment>
    <comment ref="E318" authorId="5" shapeId="0" xr:uid="{BB2B4359-EDAB-43CA-962A-951B45C6D510}">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$ 21.446,90 conforme archivo POA 2023.
Se incrementó $ 336,01 FCQS.
</t>
        </r>
        <r>
          <rPr>
            <b/>
            <sz val="9"/>
            <color rgb="FF000000"/>
            <rFont val="Tahoma"/>
            <family val="2"/>
          </rPr>
          <t>Reforma N° 3:</t>
        </r>
        <r>
          <rPr>
            <sz val="9"/>
            <color rgb="FF000000"/>
            <rFont val="Tahoma"/>
            <family val="2"/>
          </rPr>
          <t xml:space="preserve">
Se incrementó $26.880,00 por atención de memo N 231 DVIN.
</t>
        </r>
        <r>
          <rPr>
            <b/>
            <sz val="9"/>
            <color rgb="FF000000"/>
            <rFont val="Tahoma"/>
            <family val="2"/>
          </rPr>
          <t>Reforma N° 4:</t>
        </r>
        <r>
          <rPr>
            <sz val="9"/>
            <color rgb="FF000000"/>
            <rFont val="Tahoma"/>
            <family val="2"/>
          </rPr>
          <t xml:space="preserve">
Se aumenta $ 1.344,00 en el POA de DV en atención al memo nro. DVIN-2023-0363.</t>
        </r>
      </text>
    </comment>
    <comment ref="F318" authorId="1" shapeId="0" xr:uid="{E4764319-9A55-4810-A369-835A542D5170}">
      <text>
        <r>
          <rPr>
            <sz val="12"/>
            <color theme="1"/>
            <rFont val="Arial"/>
            <family val="2"/>
            <scheme val="minor"/>
          </rPr>
          <t>LENOVO:
Reforma N° 3:
Se redujo $ 133,14, según memo N° DVIN-2023-0106-M_17032023.
Se redujo $1800,02 según memo N FCS-2023-0460.
Reforma N° 4:
Se redujo $ 840,00+318,00 FCS por efecto de informe de seguimiento.
Se redujo $ 48,00 FCA por efecto de informe de seguimiento.
Se reduce $4.032,00 en el POA de DV en atención al memo nro. DVIN-2023-0363.
Reforma N° 6:
Se redujo $ 1.293,00 DEC (IVA - Cert. N°466)</t>
        </r>
      </text>
    </comment>
    <comment ref="E319" authorId="3" shapeId="0" xr:uid="{9C3369DD-C62A-4EAE-9D68-FA517B8C21B5}">
      <text>
        <r>
          <rPr>
            <b/>
            <sz val="9"/>
            <color rgb="FF000000"/>
            <rFont val="Tahoma"/>
            <family val="2"/>
          </rPr>
          <t>HP:</t>
        </r>
        <r>
          <rPr>
            <sz val="9"/>
            <color rgb="FF000000"/>
            <rFont val="Tahoma"/>
            <family val="2"/>
          </rPr>
          <t xml:space="preserve">
Reforma N° 2:
Se incrementó $ 5.600,00 FCQS.</t>
        </r>
      </text>
    </comment>
    <comment ref="F319" authorId="0" shapeId="0" xr:uid="{3CD89B63-C0CF-4BB7-8EF4-8F8742DC808C}">
      <text>
        <r>
          <rPr>
            <b/>
            <sz val="9"/>
            <color rgb="FF000000"/>
            <rFont val="Tahoma"/>
            <family val="2"/>
          </rPr>
          <t>Microsoft Office User:</t>
        </r>
        <r>
          <rPr>
            <sz val="9"/>
            <color rgb="FF000000"/>
            <rFont val="Tahoma"/>
            <family val="2"/>
          </rPr>
          <t xml:space="preserve">
Reforma N° 4:
Se reduce $ 482,23 en atención al memo nro. FCQS-D-2023-0905-M.</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LENOVO</author>
    <author>Microsoft Office User</author>
    <author>Admin</author>
    <author>HP</author>
    <author>Valeria Ramon Capa</author>
    <author>Eunice Basilio</author>
    <author>Fanny Eunice Basilio Banchon</author>
  </authors>
  <commentList>
    <comment ref="E7" authorId="0" shapeId="0" xr:uid="{A80901DC-58B2-4E3F-A031-C0AB160F7714}">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$ 30.000,00 para financiar Décimo Tercer Sueldo
</t>
        </r>
        <r>
          <rPr>
            <b/>
            <sz val="9"/>
            <color rgb="FF000000"/>
            <rFont val="Tahoma"/>
            <family val="2"/>
          </rPr>
          <t>Reforma N° 4:</t>
        </r>
        <r>
          <rPr>
            <sz val="9"/>
            <color rgb="FF000000"/>
            <rFont val="Tahoma"/>
            <family val="2"/>
          </rPr>
          <t xml:space="preserve">
Se reduce $ 30.000,00 para financiar segundo plan de jubilación de la UTMACH, previsto a planificarse en septiembre.
</t>
        </r>
        <r>
          <rPr>
            <b/>
            <sz val="9"/>
            <color rgb="FF000000"/>
            <rFont val="Tahoma"/>
            <family val="2"/>
          </rPr>
          <t>Reforma N° 6:</t>
        </r>
        <r>
          <rPr>
            <sz val="9"/>
            <color rgb="FF000000"/>
            <rFont val="Tahoma"/>
            <family val="2"/>
          </rPr>
          <t xml:space="preserve">
Se redujo $ 8.686,24 para plan de jubilados</t>
        </r>
      </text>
    </comment>
    <comment ref="E8" authorId="0" shapeId="0" xr:uid="{6AF6DDE3-20F2-450B-B22E-10F259E72409}">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reduce $2.000,00 para cubrir vacaciones.
</t>
        </r>
        <r>
          <rPr>
            <b/>
            <sz val="9"/>
            <color rgb="FF000000"/>
            <rFont val="Tahoma"/>
            <family val="2"/>
          </rPr>
          <t>Reforma N° 4:</t>
        </r>
        <r>
          <rPr>
            <sz val="9"/>
            <color rgb="FF000000"/>
            <rFont val="Tahoma"/>
            <family val="2"/>
          </rPr>
          <t xml:space="preserve">
</t>
        </r>
        <r>
          <rPr>
            <sz val="10"/>
            <color rgb="FF000000"/>
            <rFont val="Calibri"/>
            <family val="2"/>
          </rPr>
          <t>Se reduce $ 16.000,00 para financiar segundo plan de jubilación de la UTMACH, previsto a planificarse en septiembre.</t>
        </r>
        <r>
          <rPr>
            <sz val="9"/>
            <color rgb="FF000000"/>
            <rFont val="Calibri"/>
            <family val="2"/>
          </rPr>
          <t xml:space="preserve">
</t>
        </r>
        <r>
          <rPr>
            <b/>
            <sz val="9"/>
            <color rgb="FF000000"/>
            <rFont val="Calibri"/>
            <family val="2"/>
          </rPr>
          <t>Reforma N° 5:</t>
        </r>
        <r>
          <rPr>
            <sz val="9"/>
            <color rgb="FF000000"/>
            <rFont val="Calibri"/>
            <family val="2"/>
          </rPr>
          <t xml:space="preserve">
Se incrementó $ 2.650,25 según memo N° UTMACH-DR-UREM-2023-0328-M_19/09/2023.
</t>
        </r>
        <r>
          <rPr>
            <b/>
            <sz val="9"/>
            <color rgb="FF000000"/>
            <rFont val="Calibri"/>
            <family val="2"/>
          </rPr>
          <t>Reforma N°6</t>
        </r>
        <r>
          <rPr>
            <sz val="9"/>
            <color rgb="FF000000"/>
            <rFont val="Calibri"/>
            <family val="2"/>
          </rPr>
          <t>:
Se redujo $1.000,00 a DTH para partida de vacaciones para cubrir liquidaciones de personal administrativo</t>
        </r>
      </text>
    </comment>
    <comment ref="D9" authorId="1" shapeId="0" xr:uid="{A1906FE9-B0B5-42EE-B2C8-B43400F863AA}">
      <text>
        <r>
          <rPr>
            <b/>
            <sz val="9"/>
            <color rgb="FF000000"/>
            <rFont val="Tahoma"/>
            <family val="2"/>
          </rPr>
          <t>Microsoft Office User:
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6:</t>
        </r>
        <r>
          <rPr>
            <sz val="9"/>
            <color rgb="FF000000"/>
            <rFont val="Tahoma"/>
            <family val="2"/>
          </rPr>
          <t xml:space="preserve">
Se incrementó 6.678,75 para py de de jubilados.</t>
        </r>
      </text>
    </comment>
    <comment ref="E9" authorId="2" shapeId="0" xr:uid="{B55F55DE-5872-4080-A04E-4A8326AF92EC}">
      <text>
        <r>
          <rPr>
            <b/>
            <sz val="9"/>
            <color indexed="81"/>
            <rFont val="Tahoma"/>
            <family val="2"/>
          </rPr>
          <t>Admin:</t>
        </r>
        <r>
          <rPr>
            <sz val="9"/>
            <color indexed="81"/>
            <rFont val="Tahoma"/>
            <family val="2"/>
          </rPr>
          <t xml:space="preserve">
Reforma N° 5:
Se incrementó $ 1.249,75 según memo N° UTMACH-DR-UREM-2023-0328-M_19/09/2023.</t>
        </r>
      </text>
    </comment>
    <comment ref="D10" authorId="1" shapeId="0" xr:uid="{37FDB6E8-B44B-4948-AD00-14A988F83A20}">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$ 7.000 para financiar indemnizaciones por renuncia voluntaria, conforme lo indicado en la tabla 4 del Memorando nro. UTMACH-DTH-2023-1164-M.
</t>
        </r>
        <r>
          <rPr>
            <b/>
            <sz val="9"/>
            <color rgb="FF000000"/>
            <rFont val="Tahoma"/>
            <family val="2"/>
          </rPr>
          <t>Reforma N° 6:</t>
        </r>
        <r>
          <rPr>
            <sz val="9"/>
            <color rgb="FF000000"/>
            <rFont val="Tahoma"/>
            <family val="2"/>
          </rPr>
          <t xml:space="preserve">
Se incrementó $ 126.488,63 para py de de jubilados.
Se incrementó $ 23.686,24 para plan de jubilados
</t>
        </r>
      </text>
    </comment>
    <comment ref="E10" authorId="2" shapeId="0" xr:uid="{6DE22C11-F466-4DFF-83E6-ADA55F2ECB76}">
      <text>
        <r>
          <rPr>
            <b/>
            <sz val="9"/>
            <color indexed="81"/>
            <rFont val="Tahoma"/>
            <charset val="1"/>
          </rPr>
          <t>Admin:</t>
        </r>
        <r>
          <rPr>
            <sz val="9"/>
            <color indexed="81"/>
            <rFont val="Tahoma"/>
            <charset val="1"/>
          </rPr>
          <t xml:space="preserve">
</t>
        </r>
      </text>
    </comment>
    <comment ref="D11" authorId="2" shapeId="0" xr:uid="{281B33B4-120F-4728-84E2-6A297968D9DF}">
      <text>
        <r>
          <rPr>
            <b/>
            <sz val="9"/>
            <color indexed="81"/>
            <rFont val="Tahoma"/>
            <charset val="1"/>
          </rPr>
          <t>Admin:</t>
        </r>
        <r>
          <rPr>
            <sz val="9"/>
            <color indexed="81"/>
            <rFont val="Tahoma"/>
            <charset val="1"/>
          </rPr>
          <t xml:space="preserve">
</t>
        </r>
        <r>
          <rPr>
            <b/>
            <sz val="9"/>
            <color indexed="81"/>
            <rFont val="Tahoma"/>
            <family val="2"/>
          </rPr>
          <t xml:space="preserve">Reforma N°6:
</t>
        </r>
        <r>
          <rPr>
            <sz val="9"/>
            <color indexed="81"/>
            <rFont val="Tahoma"/>
            <family val="2"/>
          </rPr>
          <t>Se incrementó $1.000,00 a DTH para cubrir liquidaciones de personal administrativo</t>
        </r>
      </text>
    </comment>
    <comment ref="D12" authorId="2" shapeId="0" xr:uid="{7EE93D77-7B33-4C28-9E21-4DF6E2458E5D}">
      <text>
        <r>
          <rPr>
            <b/>
            <sz val="9"/>
            <color indexed="81"/>
            <rFont val="Tahoma"/>
            <family val="2"/>
          </rPr>
          <t>Admin:</t>
        </r>
        <r>
          <rPr>
            <sz val="9"/>
            <color indexed="81"/>
            <rFont val="Tahoma"/>
            <family val="2"/>
          </rPr>
          <t xml:space="preserve">
Reforma N° 6:
Se incrementó 53.100,00 para py de de jubilados.</t>
        </r>
      </text>
    </comment>
    <comment ref="D13" authorId="2" shapeId="0" xr:uid="{7CED24A9-1C9F-42C4-A398-BD5FEC2097B8}">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incrementó $ 11.000,00.
</t>
        </r>
        <r>
          <rPr>
            <b/>
            <sz val="9"/>
            <color indexed="81"/>
            <rFont val="Tahoma"/>
            <family val="2"/>
          </rPr>
          <t>Reforma N° 6:</t>
        </r>
        <r>
          <rPr>
            <sz val="9"/>
            <color indexed="81"/>
            <rFont val="Tahoma"/>
            <family val="2"/>
          </rPr>
          <t xml:space="preserve">
Se incrementó $ 5.000,00</t>
        </r>
      </text>
    </comment>
    <comment ref="D14" authorId="2" shapeId="0" xr:uid="{1BC0879F-B063-4127-BBF5-9E643193F59C}">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incrementó $ 3.857,37
</t>
        </r>
        <r>
          <rPr>
            <b/>
            <sz val="9"/>
            <color indexed="81"/>
            <rFont val="Tahoma"/>
            <family val="2"/>
          </rPr>
          <t>Reforma N° 6:</t>
        </r>
        <r>
          <rPr>
            <sz val="9"/>
            <color indexed="81"/>
            <rFont val="Tahoma"/>
            <family val="2"/>
          </rPr>
          <t xml:space="preserve">
Se incrementó $ 16.000,00</t>
        </r>
      </text>
    </comment>
    <comment ref="D15" authorId="3" shapeId="0" xr:uid="{BE8257C5-7DEA-496A-8D20-403ACD044BC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$ 1.292,40, según Memorando N° UTMACH-DBUAC-2023-0012-M del 12/01/2023. 
</t>
        </r>
        <r>
          <rPr>
            <b/>
            <sz val="9"/>
            <color rgb="FF000000"/>
            <rFont val="Tahoma"/>
            <family val="2"/>
          </rPr>
          <t>Reforma N° 6:</t>
        </r>
        <r>
          <rPr>
            <sz val="9"/>
            <color rgb="FF000000"/>
            <rFont val="Tahoma"/>
            <family val="2"/>
          </rPr>
          <t xml:space="preserve">
Se incrementó $ 1.292,40 por ser saldo no ejecutado, DBUAC (señalética).</t>
        </r>
      </text>
    </comment>
    <comment ref="E15" authorId="2" shapeId="0" xr:uid="{E21E2222-A57A-47EB-B880-F965CC625322}">
      <text>
        <r>
          <rPr>
            <b/>
            <sz val="9"/>
            <color indexed="81"/>
            <rFont val="Tahoma"/>
            <family val="2"/>
          </rPr>
          <t>Admin:</t>
        </r>
        <r>
          <rPr>
            <sz val="9"/>
            <color indexed="81"/>
            <rFont val="Tahoma"/>
            <family val="2"/>
          </rPr>
          <t xml:space="preserve">
Reforma N° 5:
Se redujo $ 1.292,40 por ser saldo no ejecutado, DBUAC.</t>
        </r>
      </text>
    </comment>
    <comment ref="D16" authorId="3" shapeId="0" xr:uid="{CC4F8E67-371C-4A71-B042-40DEB8EF7C2B}">
      <text>
        <r>
          <rPr>
            <b/>
            <sz val="9"/>
            <color rgb="FF000000"/>
            <rFont val="Tahoma"/>
            <family val="2"/>
          </rPr>
          <t>HP:</t>
        </r>
        <r>
          <rPr>
            <sz val="9"/>
            <color rgb="FF000000"/>
            <rFont val="Tahoma"/>
            <family val="2"/>
          </rPr>
          <t xml:space="preserve">
</t>
        </r>
        <r>
          <rPr>
            <b/>
            <sz val="9"/>
            <color rgb="FF000000"/>
            <rFont val="Tahoma"/>
            <family val="2"/>
          </rPr>
          <t>Reforma N° 4:</t>
        </r>
        <r>
          <rPr>
            <sz val="9"/>
            <color rgb="FF000000"/>
            <rFont val="Tahoma"/>
            <family val="2"/>
          </rPr>
          <t xml:space="preserve">
Se incrementó $ 15.000,00 DIRCOM por efecto de informe de seguimiento.
</t>
        </r>
        <r>
          <rPr>
            <b/>
            <sz val="9"/>
            <color rgb="FF000000"/>
            <rFont val="Tahoma"/>
            <family val="2"/>
          </rPr>
          <t>Reforma N° 6:</t>
        </r>
        <r>
          <rPr>
            <sz val="9"/>
            <color rgb="FF000000"/>
            <rFont val="Tahoma"/>
            <family val="2"/>
          </rPr>
          <t xml:space="preserve">
Se incrementó $ 6.300,00 para impresión de folletos del PEDI, DPLAN.</t>
        </r>
      </text>
    </comment>
    <comment ref="E16" authorId="2" shapeId="0" xr:uid="{4D42B99E-A48B-4C30-ADBC-F0D75DAB241B}">
      <text>
        <r>
          <rPr>
            <b/>
            <sz val="9"/>
            <color indexed="81"/>
            <rFont val="Tahoma"/>
            <family val="2"/>
          </rPr>
          <t>Admin:</t>
        </r>
        <r>
          <rPr>
            <sz val="9"/>
            <color indexed="81"/>
            <rFont val="Tahoma"/>
            <family val="2"/>
          </rPr>
          <t xml:space="preserve">
Reforma N° 6:
Se redujo $ 964,29 (UTMACH-DIRCOM-2023-0176-M_11102023)</t>
        </r>
      </text>
    </comment>
    <comment ref="D17" authorId="4" shapeId="0" xr:uid="{3E7F4A9B-ADA6-4452-9E4A-A465E71BFEA7}">
      <text>
        <r>
          <rPr>
            <b/>
            <sz val="9"/>
            <color rgb="FF000000"/>
            <rFont val="Tahoma"/>
            <family val="2"/>
          </rPr>
          <t>Valeria Ramon Capa:</t>
        </r>
        <r>
          <rPr>
            <sz val="10"/>
            <color rgb="FF000000"/>
            <rFont val="Tahoma"/>
            <family val="2"/>
          </rPr>
          <t xml:space="preserve">
</t>
        </r>
        <r>
          <rPr>
            <sz val="9"/>
            <color rgb="FF000000"/>
            <rFont val="Tahoma"/>
            <family val="2"/>
          </rPr>
          <t>Reforma N° 3:
Se incrementó $34.000 por cambio de fuente de 003 a 002 en DirCom.</t>
        </r>
      </text>
    </comment>
    <comment ref="E17" authorId="2" shapeId="0" xr:uid="{4AAA0381-02EA-4CF8-A634-C04C64B4B851}">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$ 6.000,00 DIRCOM por efecto de informe de seguimiento.
</t>
        </r>
        <r>
          <rPr>
            <b/>
            <sz val="9"/>
            <color rgb="FF000000"/>
            <rFont val="Tahoma"/>
            <family val="2"/>
          </rPr>
          <t>Reforma N° 6:</t>
        </r>
        <r>
          <rPr>
            <sz val="9"/>
            <color rgb="FF000000"/>
            <rFont val="Tahoma"/>
            <family val="2"/>
          </rPr>
          <t xml:space="preserve">
Se redujo $ 14.732,14 (UTMACH-DIRCOM-2023-0178-M_16102023), se incrementó $ 3.000,00 según memo N° DIRCOM-2023-0175-M_10/10/2023.</t>
        </r>
      </text>
    </comment>
    <comment ref="D18" authorId="3" shapeId="0" xr:uid="{F0BEC0D4-F720-4AAB-8A1D-FF7894A91F4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$ 194.032,61, según Oficio N° UTMACH-DADM-2023-0016-OF del 10/01/2023.
</t>
        </r>
        <r>
          <rPr>
            <b/>
            <sz val="9"/>
            <color rgb="FF000000"/>
            <rFont val="Tahoma"/>
            <family val="2"/>
          </rPr>
          <t xml:space="preserve">Reforma N° 3: 
</t>
        </r>
        <r>
          <rPr>
            <sz val="9"/>
            <color rgb="FF000000"/>
            <rFont val="Tahoma"/>
            <family val="2"/>
          </rPr>
          <t>Se incrementó $190.089,58 según memo N° VADM 382.</t>
        </r>
      </text>
    </comment>
    <comment ref="E18" authorId="4" shapeId="0" xr:uid="{6732B47C-F26C-4F90-9D04-B2198FF55E15}">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$6.000,00 a Dadm por cuadre de fuentes.
</t>
        </r>
        <r>
          <rPr>
            <b/>
            <sz val="9"/>
            <color rgb="FF000000"/>
            <rFont val="Tahoma"/>
            <family val="2"/>
          </rPr>
          <t xml:space="preserve">Reforma N° 4:
</t>
        </r>
        <r>
          <rPr>
            <sz val="9"/>
            <color rgb="FF000000"/>
            <rFont val="Tahoma"/>
            <family val="2"/>
          </rPr>
          <t xml:space="preserve">Se reduce $128.000,00 por efectos de modificación de compromiso presupuestario para que se planifique en el 2024 las planillas que corresponden a ese año, dentro del POA de DADM (Memorando nro. UTMACH-DPLAN-2023-0230-M).
</t>
        </r>
        <r>
          <rPr>
            <b/>
            <sz val="9"/>
            <color rgb="FF000000"/>
            <rFont val="Tahoma"/>
            <family val="2"/>
          </rPr>
          <t>Reforma N° 5:</t>
        </r>
        <r>
          <rPr>
            <sz val="9"/>
            <color rgb="FF000000"/>
            <rFont val="Tahoma"/>
            <family val="2"/>
          </rPr>
          <t xml:space="preserve">
Se reduce $ 182.685,07 del proyecto Implementación de sistema tecnológico de control de acceso vehicular y peatonal, que se actualizará para ejecutarlo el otro año.
</t>
        </r>
        <r>
          <rPr>
            <b/>
            <sz val="9"/>
            <color rgb="FF000000"/>
            <rFont val="Tahoma"/>
            <family val="2"/>
          </rPr>
          <t>Reforma N° 6:</t>
        </r>
        <r>
          <rPr>
            <sz val="9"/>
            <color rgb="FF000000"/>
            <rFont val="Tahoma"/>
            <family val="2"/>
          </rPr>
          <t xml:space="preserve">
Se redujo $ 131.300,82 para py de jubilados.</t>
        </r>
      </text>
    </comment>
    <comment ref="D19" authorId="3" shapeId="0" xr:uid="{AA9916C1-D055-43E0-A570-F20F1128D846}">
      <text>
        <r>
          <rPr>
            <sz val="12"/>
            <color theme="1"/>
            <rFont val="Arial"/>
            <family val="2"/>
            <scheme val="minor"/>
          </rPr>
          <t>HP:
Reforma N° 2:
Se incrementó $ 1.292,40, según Memorando N° UTMACH-DBUAC-2023-0012-M del 12/01/2023. 
Reforma N° 4:
Se incrementa $ 31.207,68 para el servicio de limpieza en atención memo nro. UTMACH-DADM-2023-0645, en el POA de DADM.
Reforma N° 6:
Se incrementó $ 6.300,00 para servicio de recolección de aguas residuales. Dir. Adm.</t>
        </r>
      </text>
    </comment>
    <comment ref="E19" authorId="2" shapeId="0" xr:uid="{65C837ED-0F69-4FF2-AF95-08E16960C0DC}">
      <text>
        <r>
          <rPr>
            <b/>
            <sz val="9"/>
            <color indexed="81"/>
            <rFont val="Tahoma"/>
            <family val="2"/>
          </rPr>
          <t>Admin:</t>
        </r>
        <r>
          <rPr>
            <sz val="9"/>
            <color indexed="81"/>
            <rFont val="Tahoma"/>
            <family val="2"/>
          </rPr>
          <t xml:space="preserve">
Reforma N° 5:
Se redujo $ 6.826,68 por ser saldo no ejecutado, Dir. Adm. Analizar según memo N° -DADM-2023-1003-M.</t>
        </r>
      </text>
    </comment>
    <comment ref="D20" authorId="3" shapeId="0" xr:uid="{0EEC8A2A-CE4F-4DDD-AA6A-856E16F3561D}">
      <text>
        <r>
          <rPr>
            <sz val="12"/>
            <color theme="1"/>
            <rFont val="Arial"/>
            <family val="2"/>
            <scheme val="minor"/>
          </rPr>
          <t>HP:
Reforma N° 2:
Se incrementó $ 29.226,24, según Memorando N° UTMACH-DBUAC-2023-0012-M del 12/01/2023.
Reforma N°6:
Se incrementó $2580 a DBUAC para prorroga de contrato de servicio de alimentacion</t>
        </r>
      </text>
    </comment>
    <comment ref="E20" authorId="4" shapeId="0" xr:uid="{8A340629-EE0A-43E0-8720-AB9022D4C4E7}">
      <text>
        <r>
          <rPr>
            <b/>
            <sz val="9"/>
            <color rgb="FF000000"/>
            <rFont val="Tahoma"/>
            <family val="2"/>
          </rPr>
          <t>Valeria Ramon Capa:</t>
        </r>
        <r>
          <rPr>
            <sz val="9"/>
            <color rgb="FF000000"/>
            <rFont val="Tahoma"/>
            <family val="2"/>
          </rPr>
          <t xml:space="preserve">
Reforma N° 3:</t>
        </r>
        <r>
          <rPr>
            <b/>
            <sz val="9"/>
            <color rgb="FF000000"/>
            <rFont val="Tahoma"/>
            <family val="2"/>
          </rPr>
          <t xml:space="preserve">
</t>
        </r>
        <r>
          <rPr>
            <sz val="9"/>
            <color rgb="FF000000"/>
            <rFont val="Tahoma"/>
            <family val="2"/>
          </rPr>
          <t>Se redujo $8.780,04 a DBUAC en reunión de seguimiento y en virtud de oficio Nro. MEF-SP-2023-0501 para atender Memo Nro. 0399 de DADM.</t>
        </r>
      </text>
    </comment>
    <comment ref="E21" authorId="2" shapeId="0" xr:uid="{1410E1B6-BE9E-4AE1-B67A-AC84C57C2844}">
      <text>
        <r>
          <rPr>
            <b/>
            <sz val="9"/>
            <color indexed="81"/>
            <rFont val="Tahoma"/>
            <family val="2"/>
          </rPr>
          <t>Admin:</t>
        </r>
        <r>
          <rPr>
            <sz val="9"/>
            <color indexed="81"/>
            <rFont val="Tahoma"/>
            <family val="2"/>
          </rPr>
          <t xml:space="preserve">
Reforma N° 6:
Se redujo $ 7.844,68 valor IVA.</t>
        </r>
      </text>
    </comment>
    <comment ref="D22" authorId="4" shapeId="0" xr:uid="{66AF1823-77F4-44FF-83CD-72D689E925E4}">
      <text>
        <r>
          <rPr>
            <sz val="12"/>
            <color theme="1"/>
            <rFont val="Arial"/>
            <family val="2"/>
            <scheme val="minor"/>
          </rPr>
          <t>Valeria Ramon Capa:
Reforma N° 3: 
Solicitud de incremento de $2000 TICS y en reunión mantenida con TICS indicaron ya no tener necesidad.
Reforma N° 6:
Se incrementó $ 70.203,71 para la mantenimiento y reparación del coliseo y gimnasio universitario, DBUAC.</t>
        </r>
      </text>
    </comment>
    <comment ref="D23" authorId="3" shapeId="0" xr:uid="{59CB370B-A20D-496A-9433-4E45BC22D264}">
      <text>
        <r>
          <rPr>
            <sz val="12"/>
            <color theme="1"/>
            <rFont val="Arial"/>
            <family val="2"/>
            <scheme val="minor"/>
          </rPr>
          <t>HP:
Reforma N° 2:
Se redujo $ 78.060,00 Dir. Administrativa que pasó de fuente 3 a fuente 2.
Reforma N° 3:
Se incrementó $581,76 Dir.adm por cuadre de fuente.
Reforma N° 4:
Aumento de $ 17.997,61 para atender pedido de adecuación de baterías sanitarias de la FCE para sumar a un solo proceso para adecuaciones varias que constan en estudio previo de la Unidad de Obras, incluidas las baterias sanitarias de la FCE.
Reforma N° 6:
Se incrementó $ 7.543,88 para el mantenimiento y reparación del coliseo y gimnasio universitario, DBUAC.</t>
        </r>
      </text>
    </comment>
    <comment ref="E23" authorId="2" shapeId="0" xr:uid="{EE1DFE1E-0F7E-4565-ABF2-F895B4967E0E}">
      <text>
        <r>
          <rPr>
            <b/>
            <sz val="9"/>
            <color indexed="81"/>
            <rFont val="Tahoma"/>
            <charset val="1"/>
          </rPr>
          <t>Admin:</t>
        </r>
        <r>
          <rPr>
            <sz val="9"/>
            <color indexed="81"/>
            <rFont val="Tahoma"/>
            <charset val="1"/>
          </rPr>
          <t xml:space="preserve">
Reforma N° 5:
Se redujo $3,11+6.407,54 por ser saldo no ejecutado (IVA), Dir. Adm.</t>
        </r>
      </text>
    </comment>
    <comment ref="D24" authorId="3" shapeId="0" xr:uid="{E9B3FF77-7514-4F32-904D-A22E64655A00}">
      <text>
        <r>
          <rPr>
            <sz val="12"/>
            <color theme="1"/>
            <rFont val="Arial"/>
            <family val="2"/>
            <scheme val="minor"/>
          </rPr>
          <t>HP:
Reforma N° 2:
Se incrementó $ 7.500,00 según Oficio N° UTMACH-DADM-UOIFM-2022-555-OF del 29/12/2022.
Se incrementó $ 1.550,00, según Memorando N° UTMACH-DBUAC-2023-0012-M del 12/01/2023. 
Se incrementó $ 5.000,00 para adecuación de la DPLAN.
Se incrementó $ 56.000,00+219200,27 para adecuaciones y reparación de infraestructura y seguridad de ingresos peatonales y vehiculares. Vic. Administrativo. Vic. Administrativo.
Reforma N° 3:
Se incrementó $ 400,00 según memo N° UTMACH-DADM-2023-0335-M_16052023.
Se incremento $1.500,00 según memo N UTMACH-DPLAN-UPES -2023- 014M.
Reforma N° 6:
Se incrementó $ 83.275,51 para el mantenimiento y reparación del coliseo y gimnasio universitario, DBUAC.</t>
        </r>
      </text>
    </comment>
    <comment ref="E24" authorId="3" shapeId="0" xr:uid="{8A2710C5-E3A7-4389-9D92-3D91E417900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$ 18.037,80 Rectorado
Se redujo $ 110.026,38 Vic. Académico
Se redujo $ 78.060,00 Dir. Administrativa que pasó a fuente 2
</t>
        </r>
        <r>
          <rPr>
            <b/>
            <sz val="9"/>
            <color rgb="FF000000"/>
            <rFont val="Tahoma"/>
            <family val="2"/>
          </rPr>
          <t xml:space="preserve">Reforma N 3: 
</t>
        </r>
        <r>
          <rPr>
            <sz val="9"/>
            <color rgb="FF000000"/>
            <rFont val="Tahoma"/>
            <family val="2"/>
          </rPr>
          <t xml:space="preserve">- Se redujo $165.173,78 según memo N  VADM 382.
- 06/06 se redujo $ 2.240 según reunión mantenida con TICS y en virtud de oficio Nro. MEF-SP-2023-0501 para atender Memo Nro.0399 de DADM.
-Se redujo $ 6.720,11 por cambio de fuente de DAC
</t>
        </r>
        <r>
          <rPr>
            <b/>
            <sz val="9"/>
            <color rgb="FF000000"/>
            <rFont val="Tahoma"/>
            <family val="2"/>
          </rPr>
          <t>Reforma N° 4:</t>
        </r>
        <r>
          <rPr>
            <sz val="9"/>
            <color rgb="FF000000"/>
            <rFont val="Tahoma"/>
            <family val="2"/>
          </rPr>
          <t xml:space="preserve">
Se reduce $ 4.393,87 Rectorado por efecto de informe de seguimiento.
Se redujo $ 449,00 Secretaría General por efecto de informe de seguimiento.
Se redujo $ 6.500,00 DPLAN por efecto de informe de seguimiento.
</t>
        </r>
        <r>
          <rPr>
            <b/>
            <sz val="9"/>
            <color rgb="FF000000"/>
            <rFont val="Tahoma"/>
            <family val="2"/>
          </rPr>
          <t>Reforma N° 6:</t>
        </r>
        <r>
          <rPr>
            <sz val="9"/>
            <color rgb="FF000000"/>
            <rFont val="Tahoma"/>
            <family val="2"/>
          </rPr>
          <t xml:space="preserve">
Se redujo $ 1.550,00 DBUAC
Se redujo $ 60,00 Secretaría General</t>
        </r>
      </text>
    </comment>
    <comment ref="D25" authorId="5" shapeId="0" xr:uid="{3B6BDD52-C49F-46D5-92A5-172C8A348DEF}">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$ 15.000,00 Dir. Administrativa.
</t>
        </r>
        <r>
          <rPr>
            <b/>
            <sz val="9"/>
            <color rgb="FF000000"/>
            <rFont val="Tahoma"/>
            <family val="2"/>
          </rPr>
          <t>Reforma N° 3:</t>
        </r>
        <r>
          <rPr>
            <sz val="9"/>
            <color rgb="FF000000"/>
            <rFont val="Tahoma"/>
            <family val="2"/>
          </rPr>
          <t xml:space="preserve">
Se incrementó $ 340,00 según memo N° UTMACH-DADM-2023-0335-M_16052023.</t>
        </r>
      </text>
    </comment>
    <comment ref="E25" authorId="2" shapeId="0" xr:uid="{71B595E4-CCB9-4889-8D5A-02F97EFFD476}">
      <text>
        <r>
          <rPr>
            <b/>
            <sz val="9"/>
            <color rgb="FF000000"/>
            <rFont val="Tahoma"/>
            <family val="2"/>
          </rPr>
          <t>Admin:</t>
        </r>
        <r>
          <rPr>
            <sz val="9"/>
            <color rgb="FF000000"/>
            <rFont val="Tahoma"/>
            <family val="2"/>
          </rPr>
          <t xml:space="preserve">
Reforma N° 4:
Se redujo $ 1.947,00 DADM por efecto de informe de seguimiento.
Reforma N° 6:
Se redujo $ 0,14</t>
        </r>
      </text>
    </comment>
    <comment ref="E26" authorId="4" shapeId="0" xr:uid="{C2E370BF-19AC-441C-A0D0-F25E9DC681AB}">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
Se reduce $3097,14 a Dadm por cuadre de fuente
</t>
        </r>
        <r>
          <rPr>
            <b/>
            <sz val="9"/>
            <color rgb="FF000000"/>
            <rFont val="Tahoma"/>
            <family val="2"/>
          </rPr>
          <t>Reforma N° 4:</t>
        </r>
        <r>
          <rPr>
            <sz val="9"/>
            <color rgb="FF000000"/>
            <rFont val="Tahoma"/>
            <family val="2"/>
          </rPr>
          <t xml:space="preserve">
Se redujo $ 2.500,00 DADM por efecto de informe de seguimiento.
</t>
        </r>
        <r>
          <rPr>
            <b/>
            <sz val="9"/>
            <color rgb="FF000000"/>
            <rFont val="Tahoma"/>
            <family val="2"/>
          </rPr>
          <t>Reforma N° 5:</t>
        </r>
        <r>
          <rPr>
            <sz val="9"/>
            <color rgb="FF000000"/>
            <rFont val="Tahoma"/>
            <family val="2"/>
          </rPr>
          <t xml:space="preserve">
Se redujo $ 6.000,00 por adjudicación del contrato por un valor menor al planificado, Dir. Adm.
Reforma N° 6:
Se redujo $ 45,24 Dir. Adm.</t>
        </r>
      </text>
    </comment>
    <comment ref="D27" authorId="2" shapeId="0" xr:uid="{D7658019-4944-477D-A32B-D222F695A4AC}">
      <text>
        <r>
          <rPr>
            <b/>
            <sz val="9"/>
            <color indexed="81"/>
            <rFont val="Tahoma"/>
            <family val="2"/>
          </rPr>
          <t>Admin:</t>
        </r>
        <r>
          <rPr>
            <sz val="9"/>
            <color indexed="81"/>
            <rFont val="Tahoma"/>
            <family val="2"/>
          </rPr>
          <t xml:space="preserve">
Reforma N° 6:
Se incrementa $6.300,00 para dar mantenimiento al monumento de los próceres.</t>
        </r>
      </text>
    </comment>
    <comment ref="D28" authorId="1" shapeId="0" xr:uid="{5E1464F7-A43F-47D8-9A84-40F01C5F2FBD}">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aumenta $ 1315,45 en el POA de DTH para atender memo nro. DTAH-2023-1017-M, considerando el saldo de $ 96,55 en la partida.
Se aumenta $ 8.000,00 + $ 7.156,55 en el POA de DTH para atender memo nro. DTH-2023-1131-M.
</t>
        </r>
        <r>
          <rPr>
            <b/>
            <sz val="9"/>
            <color rgb="FF000000"/>
            <rFont val="Tahoma"/>
            <family val="2"/>
          </rPr>
          <t>Reforma N° 5:</t>
        </r>
        <r>
          <rPr>
            <sz val="9"/>
            <color rgb="FF000000"/>
            <rFont val="Tahoma"/>
            <family val="2"/>
          </rPr>
          <t xml:space="preserve">
Se incrementó $ 16.472,00 según memo N° UTMACH-DF-UPSTO-2023-1079-M_27092023.</t>
        </r>
      </text>
    </comment>
    <comment ref="E28" authorId="5" shapeId="0" xr:uid="{D3AC18D4-06C0-4819-B516-96E3BEC10441}">
      <text>
        <r>
          <rPr>
            <sz val="12"/>
            <color theme="1"/>
            <rFont val="Arial"/>
            <family val="2"/>
            <scheme val="minor"/>
          </rPr>
          <t>Eunice Basilio:
Reforma N° 2:
Se redujo $ 284.523,80 conforme archivo POA 2023.
Reforma N° 3:
Se redujo $3.848,46, no se encuentra asignado en POA.
Reforma N° 6:
Se redujo $761,33+260,00 a DTH por ser valor no ejecutado en virtud de seguimiento.</t>
        </r>
      </text>
    </comment>
    <comment ref="D29" authorId="5" shapeId="0" xr:uid="{AA8421ED-4A08-4B50-A10C-38F04DFE30C7}">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$ 12.060,16 según memo N° DTIC-2023-0088-M_04052023
</t>
        </r>
        <r>
          <rPr>
            <b/>
            <sz val="9"/>
            <color rgb="FF000000"/>
            <rFont val="Tahoma"/>
            <family val="2"/>
          </rPr>
          <t>Reforma N° 4:</t>
        </r>
        <r>
          <rPr>
            <sz val="9"/>
            <color rgb="FF000000"/>
            <rFont val="Tahoma"/>
            <family val="2"/>
          </rPr>
          <t xml:space="preserve">
Se incrementa $ 1.881,60 en el POA de DTIC para la atención del memo nro. XXXXXX. </t>
        </r>
      </text>
    </comment>
    <comment ref="E29" authorId="2" shapeId="0" xr:uid="{8B5AED7D-1335-48C8-BB90-BEEA80035EB0}">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redujo $ 2.887,36 por ser saldo no ejecutado, DTICS.
</t>
        </r>
        <r>
          <rPr>
            <b/>
            <sz val="9"/>
            <color indexed="81"/>
            <rFont val="Tahoma"/>
            <family val="2"/>
          </rPr>
          <t>Reforma N° 6:</t>
        </r>
        <r>
          <rPr>
            <sz val="9"/>
            <color indexed="81"/>
            <rFont val="Tahoma"/>
            <family val="2"/>
          </rPr>
          <t xml:space="preserve">
Se redujo $ 1.184,40 DTIC</t>
        </r>
      </text>
    </comment>
    <comment ref="D30" authorId="4" shapeId="0" xr:uid="{ADA1D971-1553-4925-9C1A-6530E03E67BD}">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incrementó $ 6.000,00 por atención a memo nro 0764 DTH.
</t>
        </r>
        <r>
          <rPr>
            <b/>
            <sz val="9"/>
            <color rgb="FF000000"/>
            <rFont val="Tahoma"/>
            <family val="2"/>
          </rPr>
          <t>Reforma N° 6:</t>
        </r>
        <r>
          <rPr>
            <sz val="9"/>
            <color rgb="FF000000"/>
            <rFont val="Tahoma"/>
            <family val="2"/>
          </rPr>
          <t xml:space="preserve">
Se incrementó $ 5.000,00 según memo N° DTH-2023-1495-M_10/10/2023.</t>
        </r>
      </text>
    </comment>
    <comment ref="E30" authorId="3" shapeId="0" xr:uid="{B3BBDBF4-E16E-4312-9B34-3362AE036F87}">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redujo $ 90.884,73, se sacó del POA 2023 de la DTH ítem Para sumar a la partida 580209 "A Jubilados Patronales"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4:</t>
        </r>
        <r>
          <rPr>
            <sz val="9"/>
            <color rgb="FF000000"/>
            <rFont val="Tahoma"/>
            <family val="2"/>
          </rPr>
          <t xml:space="preserve">
</t>
        </r>
        <r>
          <rPr>
            <sz val="9"/>
            <color rgb="FF000000"/>
            <rFont val="Tahoma"/>
            <family val="2"/>
          </rPr>
          <t>Se redujo $ 6.000,00 DTH por efecto de informe de seguimiento.</t>
        </r>
      </text>
    </comment>
    <comment ref="D31" authorId="1" shapeId="0" xr:uid="{033E8DC8-9F29-419E-9CC8-DE8E7CD19916}">
      <text>
        <r>
          <rPr>
            <b/>
            <sz val="9"/>
            <color rgb="FF000000"/>
            <rFont val="Tahoma"/>
            <family val="2"/>
          </rPr>
          <t>Microsoft Office User:</t>
        </r>
        <r>
          <rPr>
            <sz val="9"/>
            <color rgb="FF000000"/>
            <rFont val="Tahoma"/>
            <family val="2"/>
          </rPr>
          <t xml:space="preserve">
Reforma N° 4:
Se incrementa $ 2.500,00 para atender pedido del memo nro. UTMACH-DADM-2023-0651-M.</t>
        </r>
      </text>
    </comment>
    <comment ref="E31" authorId="2" shapeId="0" xr:uid="{0F365829-D5A0-4759-9B5C-4789DBB35977}">
      <text>
        <r>
          <rPr>
            <b/>
            <sz val="9"/>
            <color indexed="81"/>
            <rFont val="Tahoma"/>
            <family val="2"/>
          </rPr>
          <t>Admin:</t>
        </r>
        <r>
          <rPr>
            <sz val="9"/>
            <color indexed="81"/>
            <rFont val="Tahoma"/>
            <family val="2"/>
          </rPr>
          <t xml:space="preserve">
Reforma N° 5:
Se redujo $ 267,86 Dir. Adm. (Cert. P N° 520)</t>
        </r>
      </text>
    </comment>
    <comment ref="D32" authorId="0" shapeId="0" xr:uid="{DF49FE18-113C-48BD-8716-3CC3E5D84107}">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$ 250,00 según memo N° DADM-2023-0335-M_16052023.
</t>
        </r>
        <r>
          <rPr>
            <b/>
            <sz val="9"/>
            <color rgb="FF000000"/>
            <rFont val="Tahoma"/>
            <family val="2"/>
          </rPr>
          <t>Reforma N° 4:</t>
        </r>
        <r>
          <rPr>
            <sz val="9"/>
            <color rgb="FF000000"/>
            <rFont val="Tahoma"/>
            <family val="2"/>
          </rPr>
          <t xml:space="preserve">
Se incrementa $ 2.184,00 según memo nro. DADM-2023-0645-M.
</t>
        </r>
        <r>
          <rPr>
            <b/>
            <sz val="9"/>
            <color rgb="FF000000"/>
            <rFont val="Tahoma"/>
            <family val="2"/>
          </rPr>
          <t>Reforma N° 5:</t>
        </r>
        <r>
          <rPr>
            <sz val="9"/>
            <color rgb="FF000000"/>
            <rFont val="Tahoma"/>
            <family val="2"/>
          </rPr>
          <t xml:space="preserve">
Se incrementó 1.420,03 según memo N° UTMACH-DF-UPSTO-2023-1079-M_27092023.</t>
        </r>
      </text>
    </comment>
    <comment ref="E32" authorId="2" shapeId="0" xr:uid="{1E78486B-EBE5-4D7B-9452-FC0652ECBEAD}">
      <text>
        <r>
          <rPr>
            <b/>
            <sz val="9"/>
            <color rgb="FF000000"/>
            <rFont val="Tahoma"/>
            <family val="2"/>
          </rPr>
          <t>Admin:
Reforma N° 4:</t>
        </r>
        <r>
          <rPr>
            <sz val="9"/>
            <color rgb="FF000000"/>
            <rFont val="Tahoma"/>
            <family val="2"/>
          </rPr>
          <t xml:space="preserve">
Se reduce $ 672,00 Rectorado por efecto de informe de seguimiento.
</t>
        </r>
        <r>
          <rPr>
            <b/>
            <sz val="9"/>
            <color rgb="FF000000"/>
            <rFont val="Tahoma"/>
            <family val="2"/>
          </rPr>
          <t>Reforma N° 6:</t>
        </r>
        <r>
          <rPr>
            <sz val="9"/>
            <color rgb="FF000000"/>
            <rFont val="Tahoma"/>
            <family val="2"/>
          </rPr>
          <t xml:space="preserve">
Se redujo $ 2.184,00 Dir. Adm.</t>
        </r>
      </text>
    </comment>
    <comment ref="D33" authorId="3" shapeId="0" xr:uid="{C5FA1183-F613-400E-A73E-76DDA70D4FB3}">
      <text>
        <r>
          <rPr>
            <b/>
            <sz val="9"/>
            <color rgb="FF000000"/>
            <rFont val="Tahoma"/>
            <family val="2"/>
          </rPr>
          <t>HP:</t>
        </r>
        <r>
          <rPr>
            <sz val="9"/>
            <color rgb="FF000000"/>
            <rFont val="Tahoma"/>
            <family val="2"/>
          </rPr>
          <t xml:space="preserve">
Reforma N° 2:
Se rincrementó 16.800,00 Dir Adm
77,28 DAC que pasó de fuente 3 a fuente 2.</t>
        </r>
      </text>
    </comment>
    <comment ref="E33" authorId="0" shapeId="0" xr:uid="{0C4E267E-80D9-4F70-80B2-88CFB35736E3}">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$ 61,09 en Dir. Administrativa.
</t>
        </r>
        <r>
          <rPr>
            <b/>
            <sz val="9"/>
            <color rgb="FF000000"/>
            <rFont val="Tahoma"/>
            <family val="2"/>
          </rPr>
          <t>Reforma N° 4:</t>
        </r>
        <r>
          <rPr>
            <sz val="9"/>
            <color rgb="FF000000"/>
            <rFont val="Tahoma"/>
            <family val="2"/>
          </rPr>
          <t xml:space="preserve">
Se redujo $ 3.000,00 DADM por efecto de informe de seguimiento.
</t>
        </r>
        <r>
          <rPr>
            <b/>
            <sz val="9"/>
            <color rgb="FF000000"/>
            <rFont val="Tahoma"/>
            <family val="2"/>
          </rPr>
          <t>Reforma N° 6:</t>
        </r>
        <r>
          <rPr>
            <sz val="9"/>
            <color rgb="FF000000"/>
            <rFont val="Tahoma"/>
            <family val="2"/>
          </rPr>
          <t xml:space="preserve">
Se redujo $ 388,64 Dir. Adm.</t>
        </r>
      </text>
    </comment>
    <comment ref="D34" authorId="4" shapeId="0" xr:uid="{437A02A5-35BD-4949-8CB7-2EB6A04ED9C9}">
      <text>
        <r>
          <rPr>
            <b/>
            <sz val="7"/>
            <color rgb="FF000000"/>
            <rFont val="Tahoma"/>
            <family val="2"/>
          </rPr>
          <t>Valeria Ramon Capa:</t>
        </r>
        <r>
          <rPr>
            <sz val="7"/>
            <color rgb="FF000000"/>
            <rFont val="Tahoma"/>
            <family val="2"/>
          </rPr>
          <t xml:space="preserve">
</t>
        </r>
        <r>
          <rPr>
            <sz val="9"/>
            <color rgb="FF000000"/>
            <rFont val="Tahoma"/>
            <family val="34"/>
          </rPr>
          <t>Reforma N° 3:
Se incrementó $ 250,00 según memo N° DADM-2023-0335-M_16052023.</t>
        </r>
      </text>
    </comment>
    <comment ref="E34" authorId="2" shapeId="0" xr:uid="{082FC5C9-6525-4AFB-9EE9-BC3F8790B716}">
      <text>
        <r>
          <rPr>
            <sz val="9"/>
            <color rgb="FF000000"/>
            <rFont val="Tahoma"/>
            <family val="2"/>
          </rPr>
          <t>Admin:
Reforma N° 4:
Se redujo $ 2.000,00 DADM por efecto de informe de seguimiento.
Reforma N° 6:
Se redujo $ 125,51 Dir. Adm.</t>
        </r>
      </text>
    </comment>
    <comment ref="D35" authorId="2" shapeId="0" xr:uid="{722E9214-047B-4CA5-848B-98878FF5F98C}">
      <text>
        <r>
          <rPr>
            <b/>
            <sz val="9"/>
            <color indexed="81"/>
            <rFont val="Tahoma"/>
            <charset val="1"/>
          </rPr>
          <t>Admin:</t>
        </r>
        <r>
          <rPr>
            <sz val="9"/>
            <color indexed="81"/>
            <rFont val="Tahoma"/>
            <charset val="1"/>
          </rPr>
          <t xml:space="preserve">
Reforma N° 6:
Se incrementó $ 800,00 según memo N° UTMACH-DBUAC-2023-0792-M_18/09/2023.
Se incrementó $ 6.053,60 según memo N° DIRCOM-2023-0163-M_21/09/2023.</t>
        </r>
      </text>
    </comment>
    <comment ref="E35" authorId="3" shapeId="0" xr:uid="{77E8628E-0412-4CD6-BC68-786AD574F5F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$ 10.000,00 Dir. Administrativa
</t>
        </r>
        <r>
          <rPr>
            <b/>
            <sz val="9"/>
            <color rgb="FF000000"/>
            <rFont val="Tahoma"/>
            <family val="2"/>
          </rPr>
          <t>Reforma N° 3:</t>
        </r>
        <r>
          <rPr>
            <sz val="9"/>
            <color rgb="FF000000"/>
            <rFont val="Tahoma"/>
            <family val="2"/>
          </rPr>
          <t xml:space="preserve">
Se redujo $ 26.320,00, según memo N° DBUAC-2023-0124-M_03032023
</t>
        </r>
        <r>
          <rPr>
            <b/>
            <sz val="9"/>
            <color rgb="FF000000"/>
            <rFont val="Tahoma"/>
            <family val="2"/>
          </rPr>
          <t>Reforma N° 4:</t>
        </r>
        <r>
          <rPr>
            <sz val="9"/>
            <color rgb="FF000000"/>
            <rFont val="Tahoma"/>
            <family val="2"/>
          </rPr>
          <t xml:space="preserve">
Se redujo $ 1.400,00 DADM por efecto de informe de seguimiento.
</t>
        </r>
        <r>
          <rPr>
            <b/>
            <sz val="9"/>
            <color rgb="FF000000"/>
            <rFont val="Tahoma"/>
            <family val="2"/>
          </rPr>
          <t>Reforma N° 6:</t>
        </r>
        <r>
          <rPr>
            <sz val="9"/>
            <color rgb="FF000000"/>
            <rFont val="Tahoma"/>
            <family val="2"/>
          </rPr>
          <t xml:space="preserve">
Se redujo $ 82,22 Dir. Adm.</t>
        </r>
      </text>
    </comment>
    <comment ref="D36" authorId="5" shapeId="0" xr:uid="{65810C94-BDC3-4C23-9322-D58F7DC5361A}">
      <text>
        <r>
          <rPr>
            <b/>
            <sz val="9"/>
            <color rgb="FF000000"/>
            <rFont val="Tahoma"/>
            <family val="2"/>
          </rPr>
          <t>Eunice Basilio:</t>
        </r>
        <r>
          <rPr>
            <sz val="9"/>
            <color rgb="FF000000"/>
            <rFont val="Tahoma"/>
            <family val="2"/>
          </rPr>
          <t xml:space="preserve">
</t>
        </r>
        <r>
          <rPr>
            <b/>
            <sz val="9"/>
            <color rgb="FF000000"/>
            <rFont val="Tahoma"/>
            <family val="2"/>
          </rPr>
          <t>Reforma N° 3:</t>
        </r>
        <r>
          <rPr>
            <sz val="9"/>
            <color rgb="FF000000"/>
            <rFont val="Tahoma"/>
            <family val="2"/>
          </rPr>
          <t xml:space="preserve">
Se incrementó $ 600,00 según memo N° DTIC-2023-0088-M_04052023.
</t>
        </r>
        <r>
          <rPr>
            <b/>
            <sz val="9"/>
            <color rgb="FF000000"/>
            <rFont val="Tahoma"/>
            <family val="2"/>
          </rPr>
          <t>Reforma N° 6:</t>
        </r>
        <r>
          <rPr>
            <sz val="9"/>
            <color rgb="FF000000"/>
            <rFont val="Tahoma"/>
            <family val="2"/>
          </rPr>
          <t xml:space="preserve">
Se incrementó $ 600,00 según memo N° DTIC-2023-0348-M_19/10/2023.</t>
        </r>
      </text>
    </comment>
    <comment ref="E36" authorId="2" shapeId="0" xr:uid="{D27D5D5E-0714-4E53-8D66-F5955E9D0703}">
      <text>
        <r>
          <rPr>
            <b/>
            <sz val="9"/>
            <color indexed="81"/>
            <rFont val="Tahoma"/>
            <family val="2"/>
          </rPr>
          <t>Admin:</t>
        </r>
        <r>
          <rPr>
            <sz val="9"/>
            <color indexed="81"/>
            <rFont val="Tahoma"/>
            <family val="2"/>
          </rPr>
          <t xml:space="preserve">
Reforma N° 5:
Se redujo $ 600,00 por ser saldo no ejecutado, DTICS.</t>
        </r>
      </text>
    </comment>
    <comment ref="D37" authorId="3" shapeId="0" xr:uid="{590E6D19-269B-493B-A736-C52F4926D2AC}">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$ 4.500,00 según Oficio N° UTMACH-DADM-UOIFM-2022-555-OF del 29/12/2022.
</t>
        </r>
        <r>
          <rPr>
            <b/>
            <sz val="9"/>
            <color rgb="FF000000"/>
            <rFont val="Tahoma"/>
            <family val="2"/>
          </rPr>
          <t>Reforma N° 3:</t>
        </r>
        <r>
          <rPr>
            <sz val="9"/>
            <color rgb="FF000000"/>
            <rFont val="Tahoma"/>
            <family val="2"/>
          </rPr>
          <t xml:space="preserve">
Se incrementó $ 300,00 según memo N° DADM-2023-0335-M_16052023.</t>
        </r>
      </text>
    </comment>
    <comment ref="E37" authorId="2" shapeId="0" xr:uid="{BE7514D8-9C7A-422E-895F-FCCC1FD91B0E}">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$ 61,67 Vic. Académico por efecto de informe de seguimiento.
Se redujo $ 7.156,55 en el POA de DADM por efecto del seguimiento.
</t>
        </r>
        <r>
          <rPr>
            <b/>
            <sz val="9"/>
            <color rgb="FF000000"/>
            <rFont val="Tahoma"/>
            <family val="2"/>
          </rPr>
          <t>Reforma N° 6:</t>
        </r>
        <r>
          <rPr>
            <sz val="9"/>
            <color rgb="FF000000"/>
            <rFont val="Tahoma"/>
            <family val="2"/>
          </rPr>
          <t xml:space="preserve">
Se redujo $ 4,55 + 5.788,89 Dir. Adm. (Cert. P N° 382).
</t>
        </r>
      </text>
    </comment>
    <comment ref="D38" authorId="3" shapeId="0" xr:uid="{D7BE1875-3CD4-453A-B6C1-93A166990EE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$ 1.333,44, según Memorando N</t>
        </r>
        <r>
          <rPr>
            <sz val="9"/>
            <color rgb="FF000000"/>
            <rFont val="Tahoma"/>
            <family val="2"/>
          </rPr>
          <t>°</t>
        </r>
        <r>
          <rPr>
            <sz val="9"/>
            <color rgb="FF000000"/>
            <rFont val="Tahoma"/>
            <family val="2"/>
          </rPr>
          <t xml:space="preserve"> UTMACH-DBUAC-2023-0012-M del 12/01/2023.</t>
        </r>
      </text>
    </comment>
    <comment ref="E38" authorId="2" shapeId="0" xr:uid="{8BCCEB28-22B3-4494-ACE8-A3B033CA28B3}">
      <text>
        <r>
          <rPr>
            <b/>
            <sz val="9"/>
            <color indexed="81"/>
            <rFont val="Tahoma"/>
            <family val="2"/>
          </rPr>
          <t>Admin:</t>
        </r>
        <r>
          <rPr>
            <sz val="9"/>
            <color indexed="81"/>
            <rFont val="Tahoma"/>
            <family val="2"/>
          </rPr>
          <t xml:space="preserve">
Reforma N° 6:
Se redujo $ 1.711,88 DBUAC.</t>
        </r>
      </text>
    </comment>
    <comment ref="D39" authorId="5" shapeId="0" xr:uid="{6A0C0DA0-81AE-443A-97B0-0EB42BDA5CAD}">
      <text>
        <r>
          <rPr>
            <b/>
            <sz val="9"/>
            <color rgb="FF000000"/>
            <rFont val="Tahoma"/>
            <family val="2"/>
          </rPr>
          <t>Eunice Basilio:</t>
        </r>
        <r>
          <rPr>
            <sz val="9"/>
            <color rgb="FF000000"/>
            <rFont val="Tahoma"/>
            <family val="2"/>
          </rPr>
          <t xml:space="preserve">
Reforma N° 3:
Se incrementó $ 10.197,60 según memo N° DTIC-2023-0088-M_04052023.</t>
        </r>
      </text>
    </comment>
    <comment ref="E39" authorId="2" shapeId="0" xr:uid="{0E4A7755-1ED8-40F4-A899-2C2814828DE3}">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$ 2.160,45 DTIC por efecto de informe de seguimiento.
</t>
        </r>
        <r>
          <rPr>
            <b/>
            <sz val="9"/>
            <color rgb="FF000000"/>
            <rFont val="Tahoma"/>
            <family val="2"/>
          </rPr>
          <t>Reforma N° 5:</t>
        </r>
        <r>
          <rPr>
            <sz val="9"/>
            <color rgb="FF000000"/>
            <rFont val="Tahoma"/>
            <family val="2"/>
          </rPr>
          <t xml:space="preserve">
Se redujo $ 580,87 por ser saldo no ejecutado, DTICS.
</t>
        </r>
        <r>
          <rPr>
            <b/>
            <sz val="9"/>
            <color rgb="FF000000"/>
            <rFont val="Tahoma"/>
            <family val="2"/>
          </rPr>
          <t>Reforma N° 6:</t>
        </r>
        <r>
          <rPr>
            <sz val="9"/>
            <color rgb="FF000000"/>
            <rFont val="Tahoma"/>
            <family val="2"/>
          </rPr>
          <t xml:space="preserve">
Se redujo $ 1,206,51 DTIC (Cert. P N° 499)</t>
        </r>
      </text>
    </comment>
    <comment ref="D40" authorId="0" shapeId="0" xr:uid="{786D21DB-BBAA-407A-9A2E-F16E5D84518B}">
      <text>
        <r>
          <rPr>
            <b/>
            <sz val="9"/>
            <color rgb="FF000000"/>
            <rFont val="Tahoma"/>
            <family val="2"/>
          </rPr>
          <t>LENOVO:</t>
        </r>
        <r>
          <rPr>
            <sz val="9"/>
            <color rgb="FF000000"/>
            <rFont val="Tahoma"/>
            <family val="2"/>
          </rPr>
          <t xml:space="preserve">
Reforma N° 3:
Se incrementó $ 400,00 según memo N° DADM-2023-0335-M_16052023.</t>
        </r>
      </text>
    </comment>
    <comment ref="E40" authorId="2" shapeId="0" xr:uid="{58094387-FD27-4D15-B127-9E1C416EFC44}">
      <text>
        <r>
          <rPr>
            <b/>
            <sz val="9"/>
            <color indexed="81"/>
            <rFont val="Tahoma"/>
            <family val="2"/>
          </rPr>
          <t>Admin:</t>
        </r>
        <r>
          <rPr>
            <sz val="9"/>
            <color indexed="81"/>
            <rFont val="Tahoma"/>
            <family val="2"/>
          </rPr>
          <t xml:space="preserve">
Reforma N° 6:
Se redujo $ 435,48 UOIU</t>
        </r>
      </text>
    </comment>
    <comment ref="E41" authorId="3" shapeId="0" xr:uid="{0BED7959-EB96-4A66-BB55-5A7082B0D15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$ 34.363,67 del POA DBU por tener los ítems con precios mayores de $ 100.00.
Se redujo $ 56.000,00 para la readecuación de las entradas de la UTMACH. Vic. Administrativo.
</t>
        </r>
        <r>
          <rPr>
            <b/>
            <sz val="9"/>
            <color rgb="FF000000"/>
            <rFont val="Tahoma"/>
            <family val="2"/>
          </rPr>
          <t>Reforma N° 4:</t>
        </r>
        <r>
          <rPr>
            <sz val="9"/>
            <color rgb="FF000000"/>
            <rFont val="Tahoma"/>
            <family val="2"/>
          </rPr>
          <t xml:space="preserve">
Se redujo $ 896,00 DIRCOM por efecto de informe de seguimiento.
</t>
        </r>
        <r>
          <rPr>
            <b/>
            <sz val="9"/>
            <color rgb="FF000000"/>
            <rFont val="Tahoma"/>
            <family val="2"/>
          </rPr>
          <t xml:space="preserve">
Reforma N° 6:</t>
        </r>
        <r>
          <rPr>
            <sz val="9"/>
            <color rgb="FF000000"/>
            <rFont val="Tahoma"/>
            <family val="2"/>
          </rPr>
          <t xml:space="preserve">
Se redujo $ 750,22 Dir. Adm.</t>
        </r>
      </text>
    </comment>
    <comment ref="D42" authorId="1" shapeId="0" xr:uid="{2BB4FD8A-785F-4D13-9C72-BF09AB2EE6A1}">
      <text>
        <r>
          <rPr>
            <b/>
            <sz val="9"/>
            <color rgb="FF000000"/>
            <rFont val="Tahoma"/>
            <family val="2"/>
          </rPr>
          <t>Microsoft Office User:</t>
        </r>
        <r>
          <rPr>
            <sz val="9"/>
            <color rgb="FF000000"/>
            <rFont val="Tahoma"/>
            <family val="2"/>
          </rPr>
          <t xml:space="preserve">
Reforma N° 4:
Se incrementa $ 280,00 en el POA de DTIC para atender el memo nro. UTMACH-DTIC-2023-0224-M.</t>
        </r>
      </text>
    </comment>
    <comment ref="E42" authorId="2" shapeId="0" xr:uid="{307005BF-0DAA-4103-A61C-963EEF1BB5DA}">
      <text>
        <r>
          <rPr>
            <b/>
            <sz val="9"/>
            <color rgb="FF000000"/>
            <rFont val="Tahoma"/>
            <family val="2"/>
          </rPr>
          <t>Admin:</t>
        </r>
        <r>
          <rPr>
            <sz val="9"/>
            <color rgb="FF000000"/>
            <rFont val="Tahoma"/>
            <family val="2"/>
          </rPr>
          <t xml:space="preserve">
</t>
        </r>
        <r>
          <rPr>
            <b/>
            <sz val="9"/>
            <color rgb="FF000000"/>
            <rFont val="Tahoma"/>
            <family val="2"/>
          </rPr>
          <t>Reforma N° 4:</t>
        </r>
        <r>
          <rPr>
            <sz val="9"/>
            <color rgb="FF000000"/>
            <rFont val="Tahoma"/>
            <family val="2"/>
          </rPr>
          <t xml:space="preserve">
Se redujo $ 564,68 Rectorado por saldo no ejecutado.
Se redujo $ 72,75 DAC por efecto de informe de seguimiento. (Cert. N° 169).
</t>
        </r>
        <r>
          <rPr>
            <b/>
            <sz val="9"/>
            <color rgb="FF000000"/>
            <rFont val="Tahoma"/>
            <family val="2"/>
          </rPr>
          <t>Reforma N° 6:</t>
        </r>
        <r>
          <rPr>
            <sz val="9"/>
            <color rgb="FF000000"/>
            <rFont val="Tahoma"/>
            <family val="2"/>
          </rPr>
          <t xml:space="preserve">
Se redujo $ 367,12 DAC
Se redujo $ 100,40 Dir. Adm.</t>
        </r>
      </text>
    </comment>
    <comment ref="E43" authorId="0" shapeId="0" xr:uid="{B42E6E41-9459-4EE1-951F-F562941A188F}">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34"/>
          </rPr>
          <t xml:space="preserve">
Se redujo $ 4.457,60 a DBUAC por seguimiento y en virtud de oficio Nro. MEF-SP-2023-0501 para atender Memo Nro. 0399 de DADM.
</t>
        </r>
        <r>
          <rPr>
            <b/>
            <sz val="9"/>
            <color rgb="FF000000"/>
            <rFont val="Tahoma"/>
            <family val="2"/>
          </rPr>
          <t>Reforma N° 6:</t>
        </r>
        <r>
          <rPr>
            <sz val="9"/>
            <color rgb="FF000000"/>
            <rFont val="Tahoma"/>
            <family val="34"/>
          </rPr>
          <t xml:space="preserve">
Se redujo $ 703,30 DBUAC</t>
        </r>
      </text>
    </comment>
    <comment ref="D44" authorId="6" shapeId="0" xr:uid="{168C91A4-EEC3-4153-A54A-EF91A5D28382}">
      <text>
        <r>
          <rPr>
            <sz val="12"/>
            <color theme="1"/>
            <rFont val="Arial"/>
            <family val="2"/>
            <scheme val="minor"/>
          </rPr>
          <t>Fanny Eunice Basilio Banchon:
Reforma N° 6:
Se incrementó $ 4.000,00 para preaprobaciones de estudios del proyecto de medicina y artes plásticas. DPLAN.</t>
        </r>
      </text>
    </comment>
    <comment ref="D45" authorId="1" shapeId="0" xr:uid="{9A5D009B-8BAA-473E-9C52-A45984EFB2E5}">
      <text>
        <r>
          <rPr>
            <b/>
            <sz val="9"/>
            <color rgb="FF000000"/>
            <rFont val="Tahoma"/>
            <family val="2"/>
          </rPr>
          <t>Microsoft Office User:</t>
        </r>
        <r>
          <rPr>
            <sz val="9"/>
            <color rgb="FF000000"/>
            <rFont val="Tahoma"/>
            <family val="2"/>
          </rPr>
          <t xml:space="preserve">
</t>
        </r>
        <r>
          <rPr>
            <b/>
            <sz val="9"/>
            <color rgb="FF000000"/>
            <rFont val="Tahoma"/>
            <family val="2"/>
          </rPr>
          <t>Reforma N° 4:</t>
        </r>
        <r>
          <rPr>
            <sz val="9"/>
            <color rgb="FF000000"/>
            <rFont val="Tahoma"/>
            <family val="2"/>
          </rPr>
          <t xml:space="preserve">
Se incrementa $ 2.520,22 para atender pedido del memo nro. DADM-2023-065-M.
</t>
        </r>
        <r>
          <rPr>
            <b/>
            <sz val="9"/>
            <color rgb="FF000000"/>
            <rFont val="Tahoma"/>
            <family val="2"/>
          </rPr>
          <t>Reforma N° 6:</t>
        </r>
        <r>
          <rPr>
            <sz val="9"/>
            <color rgb="FF000000"/>
            <rFont val="Tahoma"/>
            <family val="2"/>
          </rPr>
          <t xml:space="preserve">
Se incrementó $ 22.150,00 para permisos de construcción y ampliación de las carreras de Medicina y Artes Plásticas.</t>
        </r>
      </text>
    </comment>
    <comment ref="E45" authorId="2" shapeId="0" xr:uid="{2056432A-7AD8-4693-B489-EF571F4B8DD9}">
      <text>
        <r>
          <rPr>
            <b/>
            <sz val="9"/>
            <color indexed="81"/>
            <rFont val="Tahoma"/>
            <family val="2"/>
          </rPr>
          <t>Admin:</t>
        </r>
      </text>
    </comment>
    <comment ref="D46" authorId="0" shapeId="0" xr:uid="{F3C938FE-777B-4C55-BD85-4295394E8B63}">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incrementó $ 200,00 según memo N° DADM-2023-0335-M_16052023.
</t>
        </r>
        <r>
          <rPr>
            <b/>
            <sz val="9"/>
            <color rgb="FF000000"/>
            <rFont val="Tahoma"/>
            <family val="2"/>
          </rPr>
          <t>Reforma N° 6:</t>
        </r>
        <r>
          <rPr>
            <sz val="9"/>
            <color rgb="FF000000"/>
            <rFont val="Tahoma"/>
            <family val="2"/>
          </rPr>
          <t xml:space="preserve">
Se incrementó $ 46.300,00 para permisos de construcción del CRAI.</t>
        </r>
      </text>
    </comment>
    <comment ref="E46" authorId="2" shapeId="0" xr:uid="{5F4B1943-12E8-40A5-B56E-55E72D2C983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$ 949,98 DADM por efecto de informe de seguimiento.</t>
        </r>
      </text>
    </comment>
    <comment ref="E47" authorId="2" shapeId="0" xr:uid="{DE14AB0C-1AEF-4548-8FA3-DD7F2D2C7F21}">
      <text>
        <r>
          <rPr>
            <sz val="12"/>
            <color theme="1"/>
            <rFont val="Arial"/>
            <family val="2"/>
            <scheme val="minor"/>
          </rPr>
          <t>Admin:
Reforma N° 5:
Se redujo $ 9.819,45 por ser saldo no ejecutado, Dir. Adm.
Reforma N° 6:
Se redujo $ 3.058,67 por ser saldo no ejecutado, Dir. Adm. Certificacion 433</t>
        </r>
      </text>
    </comment>
    <comment ref="E48" authorId="2" shapeId="0" xr:uid="{5E061EB7-80FF-461E-B93B-EFF636F26C30}">
      <text>
        <r>
          <rPr>
            <b/>
            <sz val="9"/>
            <color indexed="81"/>
            <rFont val="Tahoma"/>
            <family val="2"/>
          </rPr>
          <t>Admin:</t>
        </r>
        <r>
          <rPr>
            <sz val="9"/>
            <color indexed="81"/>
            <rFont val="Tahoma"/>
            <family val="2"/>
          </rPr>
          <t xml:space="preserve">
Reforma N° 6:
Se redujo $ 70,00 por ser saldo no ejecutado, Dir. Fin. </t>
        </r>
      </text>
    </comment>
    <comment ref="D49" authorId="3" shapeId="0" xr:uid="{38E2C66A-95AA-4589-B0EF-4533DCF0CA7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$ 5.080,00 que es de la partida N° 530239 0701 003 Membrecías.
</t>
        </r>
        <r>
          <rPr>
            <b/>
            <sz val="9"/>
            <color rgb="FF000000"/>
            <rFont val="Tahoma"/>
            <family val="2"/>
          </rPr>
          <t>Reforma N° 3:</t>
        </r>
        <r>
          <rPr>
            <sz val="9"/>
            <color rgb="FF000000"/>
            <rFont val="Tahoma"/>
            <family val="2"/>
          </rPr>
          <t xml:space="preserve">
Se incrementó $ 170,00 según memo N° DADM-2023-0335-M_16052023.
</t>
        </r>
        <r>
          <rPr>
            <b/>
            <sz val="9"/>
            <color rgb="FF000000"/>
            <rFont val="Tahoma"/>
            <family val="2"/>
          </rPr>
          <t>Reforma N° 6:</t>
        </r>
        <r>
          <rPr>
            <sz val="9"/>
            <color rgb="FF000000"/>
            <rFont val="Tahoma"/>
            <family val="2"/>
          </rPr>
          <t xml:space="preserve">
Se incrementó $ 2.000,00 para pago de notaría por registro de arreglo de vía.</t>
        </r>
      </text>
    </comment>
    <comment ref="E49" authorId="4" shapeId="0" xr:uid="{D2719A93-4BA3-47D1-A913-287D57F4A65B}">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$370 a PG por cuadre de grupo 57
</t>
        </r>
        <r>
          <rPr>
            <b/>
            <sz val="9"/>
            <color rgb="FF000000"/>
            <rFont val="Tahoma"/>
            <family val="2"/>
          </rPr>
          <t>Reforma N° 4:</t>
        </r>
        <r>
          <rPr>
            <sz val="9"/>
            <color rgb="FF000000"/>
            <rFont val="Tahoma"/>
            <family val="2"/>
          </rPr>
          <t xml:space="preserve">
Se redujo $ 3.710,00 Procuraduria Gral. por efecto de informe de seguimiento.</t>
        </r>
      </text>
    </comment>
    <comment ref="D50" authorId="2" shapeId="0" xr:uid="{B98ED24E-3E22-4144-8A59-44AE97F2C979}">
      <text>
        <r>
          <rPr>
            <b/>
            <sz val="9"/>
            <color indexed="81"/>
            <rFont val="Tahoma"/>
            <family val="2"/>
          </rPr>
          <t>Admin:</t>
        </r>
        <r>
          <rPr>
            <sz val="9"/>
            <color indexed="81"/>
            <rFont val="Tahoma"/>
            <family val="2"/>
          </rPr>
          <t xml:space="preserve">
Reforma N° 6:
Se incrementó $ 3.440,00 a Dir. Financiera, según memo N° UTMACH-DF-UREM-2023-0369 (Alcance al M_0367)_18/10/2023.
Se incrementó $ 1.560,00 por sentencia del docente Colón Velásquez. Dir. Financiera.</t>
        </r>
      </text>
    </comment>
    <comment ref="D51" authorId="3" shapeId="0" xr:uid="{0FD0EDD1-F38A-4879-942E-70962550CA11}">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$ 1.000,00 para devolución de valores a estudiantes. Dir. Financiera.
</t>
        </r>
        <r>
          <rPr>
            <b/>
            <sz val="9"/>
            <color rgb="FF000000"/>
            <rFont val="Tahoma"/>
            <family val="2"/>
          </rPr>
          <t>Reforma N° 6:</t>
        </r>
        <r>
          <rPr>
            <sz val="9"/>
            <color rgb="FF000000"/>
            <rFont val="Tahoma"/>
            <family val="2"/>
          </rPr>
          <t xml:space="preserve">
Se incrementó $ 1.000,00 para devolución de valores a estudiantes. Dir. Financiera, según memo N° UTMACH-PG-2023-0573-M_17/10/2023.</t>
        </r>
      </text>
    </comment>
    <comment ref="E51" authorId="2" shapeId="0" xr:uid="{73455094-FB37-4B20-89DF-6BC696AFEC40}">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$ 500,00 Dir. Financiera por efecto de informe de seguimiento.</t>
        </r>
      </text>
    </comment>
    <comment ref="E52" authorId="5" shapeId="0" xr:uid="{27BB4718-34A7-4E8B-B635-503FE871C18A}">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redujo conforme archivo POA 2023.
Se redujo $ 137.214,99, porque se sacó del POA 2023 de la DTH ítem para sumar a esta partida 580209 "A Jubilados Patronales"
</t>
        </r>
        <r>
          <rPr>
            <b/>
            <sz val="9"/>
            <color rgb="FF000000"/>
            <rFont val="Tahoma"/>
            <family val="2"/>
          </rPr>
          <t>Reforma N° 4:</t>
        </r>
        <r>
          <rPr>
            <sz val="9"/>
            <color rgb="FF000000"/>
            <rFont val="Tahoma"/>
            <family val="2"/>
          </rPr>
          <t xml:space="preserve">
Se redujo $ </t>
        </r>
        <r>
          <rPr>
            <sz val="10"/>
            <color rgb="FF000000"/>
            <rFont val="Arial"/>
            <family val="2"/>
            <scheme val="minor"/>
          </rPr>
          <t xml:space="preserve">203.797,63 </t>
        </r>
        <r>
          <rPr>
            <sz val="9"/>
            <color rgb="FF000000"/>
            <rFont val="Tahoma"/>
            <family val="2"/>
          </rPr>
          <t xml:space="preserve"> DTH por efecto de informe de seguimiento.
</t>
        </r>
        <r>
          <rPr>
            <b/>
            <sz val="9"/>
            <color rgb="FF000000"/>
            <rFont val="Tahoma"/>
            <family val="2"/>
          </rPr>
          <t>Reforma N° 6:</t>
        </r>
        <r>
          <rPr>
            <sz val="9"/>
            <color rgb="FF000000"/>
            <rFont val="Tahoma"/>
            <family val="2"/>
          </rPr>
          <t xml:space="preserve">
Se redujo $ 8,869,75, proyecto de jubilados.
Se redujo $ 49.108,37 según memo N° UTMACH-DF-UPSTO-2023-1079-M_27/09/2023.</t>
        </r>
      </text>
    </comment>
    <comment ref="B53" authorId="3" shapeId="0" xr:uid="{7DD3A0EF-931A-4EA3-94C3-3F921F964AC9}">
      <text>
        <r>
          <rPr>
            <b/>
            <sz val="9"/>
            <color rgb="FF000000"/>
            <rFont val="Tahoma"/>
            <family val="2"/>
          </rPr>
          <t>HP:</t>
        </r>
        <r>
          <rPr>
            <sz val="9"/>
            <color rgb="FF000000"/>
            <rFont val="Tahoma"/>
            <family val="2"/>
          </rPr>
          <t xml:space="preserve">
</t>
        </r>
        <r>
          <rPr>
            <sz val="9"/>
            <color rgb="FF000000"/>
            <rFont val="Tahoma"/>
            <family val="2"/>
          </rPr>
          <t>Valores de proyectos de inversión</t>
        </r>
      </text>
    </comment>
    <comment ref="D53" authorId="6" shapeId="0" xr:uid="{B7CC8FA7-92E4-40A1-B9F9-CEF0802EC027}">
      <text>
        <r>
          <rPr>
            <sz val="12"/>
            <color theme="1"/>
            <rFont val="Arial"/>
            <family val="2"/>
            <scheme val="minor"/>
          </rPr>
          <t>Fanny Eunice Basilio Banchon:
Reforma N° 6:
Se incrementó $ 10.271,70 según tabla N° 2 del py de jubilados.</t>
        </r>
      </text>
    </comment>
    <comment ref="D54" authorId="3" shapeId="0" xr:uid="{2A2AE947-8E9D-4845-BFE0-8AC3596F930B}">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$ 423.188,30 py de jubilados que consta en la 84 en el POA 2023 de la DTH.
Se incrementó el saldo $ 18.470,34 y se lo sumó al py de jubilados DTH.
</t>
        </r>
      </text>
    </comment>
    <comment ref="E54" authorId="6" shapeId="0" xr:uid="{952F6085-F5F1-496C-816D-49D24471B2CD}">
      <text>
        <r>
          <rPr>
            <sz val="12"/>
            <color theme="1"/>
            <rFont val="Arial"/>
            <family val="2"/>
            <scheme val="minor"/>
          </rPr>
          <t>Fanny Eunice Basilio Banchon:
Reforma N° 6:
Se redujo $ 10.271,70 según tabla N° 2 del py de jubilados.</t>
        </r>
      </text>
    </comment>
    <comment ref="D55" authorId="6" shapeId="0" xr:uid="{2C4C8D4D-8598-4819-8069-319540A77EB7}">
      <text>
        <r>
          <rPr>
            <sz val="8"/>
            <color theme="1"/>
            <rFont val="Arial"/>
            <family val="2"/>
            <scheme val="minor"/>
          </rPr>
          <t>Fanny Eunice Basilio Banchon:
Reforma N° 6:
Se incrementó 68.673,74+50.050,95-23.686,24 para py de jubilados.</t>
        </r>
      </text>
    </comment>
    <comment ref="D56" authorId="2" shapeId="0" xr:uid="{F136AC86-AEFF-477E-97D9-6FADB1E4CB12}">
      <text>
        <r>
          <rPr>
            <sz val="9"/>
            <color theme="1"/>
            <rFont val="Arial"/>
            <family val="2"/>
            <scheme val="minor"/>
          </rPr>
          <t>Admin:
Reforma N° 5:
Se incrementó $ 332.808,45, proyecto de jubilados.
Reforma N° 6:
Se incrementó $ 212.400,00, proyecto de jubilados.</t>
        </r>
      </text>
    </comment>
    <comment ref="D57" authorId="3" shapeId="0" xr:uid="{274D1EBF-D595-453B-8650-1E2EAF6472FA}">
      <text>
        <r>
          <rPr>
            <sz val="12"/>
            <color theme="1"/>
            <rFont val="Arial"/>
            <family val="2"/>
            <scheme val="minor"/>
          </rPr>
          <t>HP:
Reforma N° 2:
Se incrementó $ 545,00 para pago de órdenes compra de 1 archivador aéreo, 2 mesa de centro por los valores $90,00 y $396,00 sin incluir el IVA, respectivamente, según Oficio N° UTMACH-ADM-CENTRAL-EMP-2023-0048-OF_16/01/2023.
Dir. Administrativa.
Reforma N° 6:
Se incrementó $ 358,50 para compra de mobiliario, DPLAN.</t>
        </r>
      </text>
    </comment>
    <comment ref="E57" authorId="2" shapeId="0" xr:uid="{C4347F8B-5FF1-4EEB-BAD5-FF7F1547E392}">
      <text>
        <r>
          <rPr>
            <b/>
            <sz val="9"/>
            <color indexed="81"/>
            <rFont val="Tahoma"/>
            <family val="2"/>
          </rPr>
          <t>Admin:</t>
        </r>
        <r>
          <rPr>
            <sz val="9"/>
            <color indexed="81"/>
            <rFont val="Tahoma"/>
            <family val="2"/>
          </rPr>
          <t xml:space="preserve">
Reforma N° 5:
Se redujo $ 59,00 por ser saldo no ejecutado, Dir. Adm.</t>
        </r>
      </text>
    </comment>
    <comment ref="D58" authorId="6" shapeId="0" xr:uid="{82F615D5-E1B4-4F6B-8F78-A251D7DBAC0A}">
      <text>
        <r>
          <rPr>
            <sz val="12"/>
            <color theme="1"/>
            <rFont val="Arial"/>
            <family val="2"/>
            <scheme val="minor"/>
          </rPr>
          <t>Fanny Eunice Basilio Banchon:
Reforma N° 6:
Se incrementó $ 388,97 para compra de mobiliario, DPLAN.</t>
        </r>
      </text>
    </comment>
    <comment ref="D59" authorId="5" shapeId="0" xr:uid="{EA58D9E9-9C9F-404D-9A59-BBEC457A2CC7}">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$ 24.400,68 Dir. Administrativa
$ 761,38 Secretaría General
$ 2.893,16 Dir. Posgrado
</t>
        </r>
        <r>
          <rPr>
            <b/>
            <sz val="9"/>
            <color rgb="FF000000"/>
            <rFont val="Tahoma"/>
            <family val="2"/>
          </rPr>
          <t>Reforma N° 3:</t>
        </r>
        <r>
          <rPr>
            <sz val="9"/>
            <color rgb="FF000000"/>
            <rFont val="Tahoma"/>
            <family val="2"/>
          </rPr>
          <t xml:space="preserve">
Se incrementó $ 1.607,43 según memo N° DTIC-2023-0088-M_04052023
Se incrementó a DPLAN $87,78 por cuadre de fuente 
Se incrementa $ 159,85 en el POA de DPOS para atender memo nro. DIPOS-2023-0237-M
Se incrementa $ 2.660,50 en el POA de DADM para atender memo nro. UTMACH-DADM-2023-0656-M</t>
        </r>
      </text>
    </comment>
    <comment ref="E59" authorId="4" shapeId="0" xr:uid="{B47E3AE6-D519-4972-8D1B-DB6C6EFC68E8}">
      <text>
        <r>
          <rPr>
            <b/>
            <sz val="9"/>
            <color rgb="FF000000"/>
            <rFont val="Tahoma"/>
            <family val="34"/>
          </rPr>
          <t>Valeria Ramon Capa:</t>
        </r>
        <r>
          <rPr>
            <sz val="9"/>
            <color rgb="FF000000"/>
            <rFont val="Tahoma"/>
            <family val="34"/>
          </rPr>
          <t xml:space="preserve">
</t>
        </r>
        <r>
          <rPr>
            <b/>
            <sz val="9"/>
            <color rgb="FF000000"/>
            <rFont val="Tahoma"/>
            <family val="34"/>
          </rPr>
          <t xml:space="preserve">Reforma N° 3:
</t>
        </r>
        <r>
          <rPr>
            <sz val="9"/>
            <color rgb="FF000000"/>
            <rFont val="Tahoma"/>
            <family val="34"/>
          </rPr>
          <t xml:space="preserve">Se reduce $632,58 según memo N° UTMACH-DIPOS-2023-0160-M_19052023
</t>
        </r>
        <r>
          <rPr>
            <b/>
            <sz val="9"/>
            <color rgb="FF000000"/>
            <rFont val="Tahoma"/>
            <family val="2"/>
          </rPr>
          <t>Reforma N° 4:</t>
        </r>
        <r>
          <rPr>
            <sz val="9"/>
            <color rgb="FF000000"/>
            <rFont val="Tahoma"/>
            <family val="34"/>
          </rPr>
          <t xml:space="preserve">
Se redujo $ 81,58 Secretaría General por efecto de informe de seguimiento.
Se redujo $ 87,78 DPLAN por efecto de informe de seguimiento.
Se redujo $ 621,20 DIPOS por efecto de informe de seguimiento. (Cert. N° 147)
Se redujo $ 530,00 DIPOS por efecto de informe de seguimiento. (Cert. N° 147)
Se redujo $ 182,16 DTIC por efecto de informe de seguimiento. (Cert. N° 265)
Se redujo $ 2.125,00 DADM por efecto de informe de seguimiento.
</t>
        </r>
        <r>
          <rPr>
            <b/>
            <sz val="9"/>
            <color rgb="FF000000"/>
            <rFont val="Tahoma"/>
            <family val="2"/>
          </rPr>
          <t>Reforma N° 6:</t>
        </r>
        <r>
          <rPr>
            <sz val="9"/>
            <color rgb="FF000000"/>
            <rFont val="Tahoma"/>
            <family val="34"/>
          </rPr>
          <t xml:space="preserve">
Se redujo $ 1.737,73 DADM por efecto de informe de seguimiento, valor no ejecutado.
</t>
        </r>
      </text>
    </comment>
    <comment ref="D60" authorId="6" shapeId="0" xr:uid="{C02F0570-2253-4C0F-916D-23E49B6975F3}">
      <text>
        <r>
          <rPr>
            <sz val="12"/>
            <color theme="1"/>
            <rFont val="Arial"/>
            <family val="2"/>
            <scheme val="minor"/>
          </rPr>
          <t>Fanny Eunice Basilio Banchon:
Reforma N° 6:
Se incrementó $ 770,34 para compra de mobiliario, DPLAN.</t>
        </r>
      </text>
    </comment>
    <comment ref="D61" authorId="3" shapeId="0" xr:uid="{DB143D1C-7146-44C1-853E-0B20067648F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$ 39.500,00 para adquisición de aires acondicionados PULLA HNOS Dir Adm
$ 2.940,00 por contrato de año anterior para adquisición de proyectores de imagen. TICS
</t>
        </r>
        <r>
          <rPr>
            <b/>
            <sz val="9"/>
            <color rgb="FF000000"/>
            <rFont val="Tahoma"/>
            <family val="2"/>
          </rPr>
          <t>Reforma N° 4:</t>
        </r>
        <r>
          <rPr>
            <sz val="9"/>
            <color rgb="FF000000"/>
            <rFont val="Tahoma"/>
            <family val="2"/>
          </rPr>
          <t xml:space="preserve">
Se incrementa $ 313,60 en el POA de VAC para atender memo N° VACAD-2023-0354-M.
</t>
        </r>
        <r>
          <rPr>
            <b/>
            <sz val="9"/>
            <color rgb="FF000000"/>
            <rFont val="Tahoma"/>
            <family val="2"/>
          </rPr>
          <t>Reforma N° 6:</t>
        </r>
        <r>
          <rPr>
            <sz val="9"/>
            <color rgb="FF000000"/>
            <rFont val="Tahoma"/>
            <family val="2"/>
          </rPr>
          <t xml:space="preserve">
Se incrementó $ 320,00 según memo N° DADM-UCP-2023-1464-M_29/09/2023.</t>
        </r>
      </text>
    </comment>
    <comment ref="E61" authorId="1" shapeId="0" xr:uid="{3C7BCEA4-CC03-4853-9532-2E4E466340E9}">
      <text>
        <r>
          <rPr>
            <b/>
            <sz val="9"/>
            <color rgb="FF000000"/>
            <rFont val="Tahoma"/>
            <family val="2"/>
          </rPr>
          <t>Microsoft Office User:</t>
        </r>
        <r>
          <rPr>
            <sz val="9"/>
            <color rgb="FF000000"/>
            <rFont val="Tahoma"/>
            <family val="2"/>
          </rPr>
          <t xml:space="preserve">
Reforma N° 6:
Se redujo $ 315,00 por ser saldo no ejecutado (IVA), DTICS.</t>
        </r>
      </text>
    </comment>
    <comment ref="D62" authorId="5" shapeId="0" xr:uid="{89E29DE9-FC1A-4234-AA81-6E17F8BFE9CA}">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conforme archivo POA 2023:
$ 19.554,08 DIRCOM
$ 3.360,00 Secretaría General
$ 2.882,88 Dir. Aseguramiento de la Calidad
$ 53.704,13 DTIC
$ 360,00 Dir. Financiera
$ 70.954,075 DBUAC
</t>
        </r>
        <r>
          <rPr>
            <b/>
            <sz val="9"/>
            <color rgb="FF000000"/>
            <rFont val="Tahoma"/>
            <family val="2"/>
          </rPr>
          <t>Reforma N° 3:</t>
        </r>
        <r>
          <rPr>
            <sz val="9"/>
            <color rgb="FF000000"/>
            <rFont val="Tahoma"/>
            <family val="2"/>
          </rPr>
          <t xml:space="preserve">
Se incrementó $ 8.999,20, según memo N° DBUAC-2023-0124-M_03032023
Se incrementó $2.000,01 para compra de montacarga de Unidad de Bienes (reasignación)
Se incrementó $ 13.686,40, según memo N° DBUAC-2023-0318-M_22052023
</t>
        </r>
        <r>
          <rPr>
            <b/>
            <sz val="9"/>
            <color rgb="FF000000"/>
            <rFont val="Tahoma"/>
            <family val="2"/>
          </rPr>
          <t>Reforma N° 4:</t>
        </r>
        <r>
          <rPr>
            <sz val="9"/>
            <color rgb="FF000000"/>
            <rFont val="Tahoma"/>
            <family val="2"/>
          </rPr>
          <t xml:space="preserve">
Se incrementa $ 6.888,00 para atender memo nro. DADM-2023-0645-M.
Se incrementa $ 51.788,80 en el POA de DBUAC para atender memo nro. DBUAC-2023-0597-M.
Se incrementa $ 2251,20 + 4631,75 en el POA de DADM en atención al Memorando nro. UTMACH-DADM-UCP-2023-1143-M.</t>
        </r>
      </text>
    </comment>
    <comment ref="E62" authorId="2" shapeId="0" xr:uid="{F80DFBDD-5FE5-4DBB-9D67-1D071B8B37FA}">
      <text>
        <r>
          <rPr>
            <b/>
            <sz val="9"/>
            <color rgb="FF000000"/>
            <rFont val="Tahoma"/>
            <family val="2"/>
          </rPr>
          <t>Admin:</t>
        </r>
        <r>
          <rPr>
            <sz val="9"/>
            <color rgb="FF000000"/>
            <rFont val="Tahoma"/>
            <family val="2"/>
          </rPr>
          <t xml:space="preserve">
Reforma N° 4:
Se redujo $ 2.135,00 Unidad dee Gestión Documental y Archivo por efecto de informe de seguimiento (Certif. N° 159)
Se redujo $ 4.940,53 DBUAC por efecto de informe de seguimiento.
Se redujo $ 136,90 DAC por efecto de informe de seguimiento (Cert. N° 235 dispensador y N° 152 proyector).
Se redujo $ 589,26 Unidad de Control de Bienes por efecto de informe de seguimiento.
Reforma N° 6:
Se redujo $ 4565,08 por ser saldo no ejecutado (IVA) certificacion 373, DIRCOM.
Se redujo $ 5.548,80 por ser saldo no ejecutado (IVA), DBUAC.
Se redujo $ 1.466,40 por ser saldo no ejecutado (IVA) certificación 392 , DBUAC.
Se redujo $ 738,00 por ser saldo no ejecutado (IVA) certificación 501, DADM.
</t>
        </r>
      </text>
    </comment>
    <comment ref="D63" authorId="3" shapeId="0" xr:uid="{79FD9770-85CA-4BCE-B4A8-FC215FF27E0E}">
      <text>
        <r>
          <rPr>
            <b/>
            <sz val="9"/>
            <color rgb="FF000000"/>
            <rFont val="Tahoma"/>
            <family val="2"/>
          </rPr>
          <t>HP:</t>
        </r>
        <r>
          <rPr>
            <sz val="9"/>
            <color rgb="FF000000"/>
            <rFont val="Tahoma"/>
            <family val="2"/>
          </rPr>
          <t xml:space="preserve">
Reforma N° 2:
Se incrementó $ 42.311,18 para pago de contrato de año anterior por adquisición de cámaras de videovigilancia. UTMACH EP
Dir. Administrativa.</t>
        </r>
      </text>
    </comment>
    <comment ref="E63" authorId="2" shapeId="0" xr:uid="{294F7985-25B4-4F8E-B7C3-AEF4FFAE7AA8}">
      <text>
        <r>
          <rPr>
            <b/>
            <sz val="9"/>
            <color indexed="81"/>
            <rFont val="Tahoma"/>
            <family val="2"/>
          </rPr>
          <t>Admin:</t>
        </r>
        <r>
          <rPr>
            <sz val="9"/>
            <color indexed="81"/>
            <rFont val="Tahoma"/>
            <family val="2"/>
          </rPr>
          <t xml:space="preserve">
</t>
        </r>
        <r>
          <rPr>
            <b/>
            <sz val="9"/>
            <color indexed="81"/>
            <rFont val="Tahoma"/>
            <family val="2"/>
          </rPr>
          <t xml:space="preserve">Reforma N° 6:
</t>
        </r>
        <r>
          <rPr>
            <sz val="9"/>
            <color indexed="81"/>
            <rFont val="Tahoma"/>
            <family val="2"/>
          </rPr>
          <t>Se reduce $ 8.579,64 por ser saldo no ejecutado (IVA), Dir. Adm.</t>
        </r>
      </text>
    </comment>
    <comment ref="D64" authorId="2" shapeId="0" xr:uid="{164A2B48-14DD-48E1-B86B-7C11388C9A16}">
      <text>
        <r>
          <rPr>
            <b/>
            <sz val="9"/>
            <color indexed="81"/>
            <rFont val="Tahoma"/>
            <charset val="1"/>
          </rPr>
          <t>Admin:</t>
        </r>
        <r>
          <rPr>
            <sz val="9"/>
            <color indexed="81"/>
            <rFont val="Tahoma"/>
            <charset val="1"/>
          </rPr>
          <t xml:space="preserve">
Reforma N° 6:
Se incrementó $ 700,00 según memo N° UTMACH-DADM-2023-0979-M_18/09/2023
Se incrementó $ 180,00 según memo N° DADM-UCP-2023-1464-M_29/09/2023.</t>
        </r>
      </text>
    </comment>
    <comment ref="D65" authorId="3" shapeId="0" xr:uid="{53140DE5-1840-4603-9025-C8124E41A2DA}">
      <text>
        <r>
          <rPr>
            <b/>
            <sz val="9"/>
            <color rgb="FF000000"/>
            <rFont val="Tahoma"/>
            <family val="2"/>
          </rPr>
          <t>HP:</t>
        </r>
        <r>
          <rPr>
            <sz val="9"/>
            <color rgb="FF000000"/>
            <rFont val="Tahoma"/>
            <family val="2"/>
          </rPr>
          <t xml:space="preserve">
Reforma N° 2:
Se incrementó $ 4.518,00 para pago de contrato de año anterior por adquisición de cámaras de videovigilancia. UTMACH EP
Dir. Administrativa.</t>
        </r>
      </text>
    </comment>
    <comment ref="E65" authorId="3" shapeId="0" xr:uid="{05B46F42-5A1F-4CDB-8C77-A0CABDE57E29}">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$ 414.919,06 para Py Red Lan.
Se redujo $ 423.188,30 py de jubilados que consta en la 84 en el POA 2023 de la DTH.
Se redujo el saldo $ 18.470,34 y se lo sumó al py de jubilados DTH.
</t>
        </r>
        <r>
          <rPr>
            <b/>
            <sz val="9"/>
            <color rgb="FF000000"/>
            <rFont val="Tahoma"/>
            <family val="2"/>
          </rPr>
          <t>Reforma N 6:</t>
        </r>
        <r>
          <rPr>
            <sz val="9"/>
            <color rgb="FF000000"/>
            <rFont val="Tahoma"/>
            <family val="2"/>
          </rPr>
          <t xml:space="preserve">
Se redujo $ 18.470,34 por reprogramación de saldo, DPLAN.</t>
        </r>
      </text>
    </comment>
    <comment ref="D66" authorId="6" shapeId="0" xr:uid="{468C8FBA-C877-4AEE-9A32-04C2BCADC6F0}">
      <text>
        <r>
          <rPr>
            <sz val="12"/>
            <color theme="1"/>
            <rFont val="Arial"/>
            <family val="2"/>
            <scheme val="minor"/>
          </rPr>
          <t>Fanny Eunice Basilio Banchon:
Reforma N° 6:
Se incrementó $ 2.520,00 según memo N° DBUAC-2023-0972-M_24/10/2023</t>
        </r>
      </text>
    </comment>
    <comment ref="D67" authorId="3" shapeId="0" xr:uid="{DDF12E8D-D55E-4087-8612-18990D21A99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$ 16.000,00 para liquidaciones personal administrativo, trabajadores, pago de alimentación, transporte, cargas familiares, antigüedad.
</t>
        </r>
        <r>
          <rPr>
            <b/>
            <sz val="9"/>
            <color rgb="FF000000"/>
            <rFont val="Tahoma"/>
            <family val="2"/>
          </rPr>
          <t>Reforma N° 3:</t>
        </r>
        <r>
          <rPr>
            <sz val="9"/>
            <color rgb="FF000000"/>
            <rFont val="Tahoma"/>
            <family val="2"/>
          </rPr>
          <t xml:space="preserve">
Se incrementó $ 10.000,00 atendiendo al memo N° UTMACH-DF-2023-0197-M_20052023.
</t>
        </r>
        <r>
          <rPr>
            <b/>
            <sz val="9"/>
            <color rgb="FF000000"/>
            <rFont val="Tahoma"/>
            <family val="2"/>
          </rPr>
          <t xml:space="preserve">
Reforma N° 6:</t>
        </r>
        <r>
          <rPr>
            <sz val="9"/>
            <color rgb="FF000000"/>
            <rFont val="Tahoma"/>
            <family val="2"/>
          </rPr>
          <t xml:space="preserve">
Se incrementó $ 1.000,00 a DFIN</t>
        </r>
      </text>
    </comment>
    <comment ref="E67" authorId="2" shapeId="0" xr:uid="{978A7750-62C5-4AC3-AD49-8A46D5F6464E}">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redujo $ 4.000,00 Dir. Financiera por efecto de informe de seguimiento.</t>
        </r>
      </text>
    </comment>
    <comment ref="D73" authorId="1" shapeId="0" xr:uid="{1E516D00-D752-4FC1-8C7E-9385A780C5EC}">
      <text>
        <r>
          <rPr>
            <b/>
            <sz val="9"/>
            <color rgb="FF000000"/>
            <rFont val="Tahoma"/>
            <family val="2"/>
          </rPr>
          <t xml:space="preserve">Microsoft Office User:
Reforma N° 4:
</t>
        </r>
        <r>
          <rPr>
            <sz val="9"/>
            <color rgb="FF000000"/>
            <rFont val="Tahoma"/>
            <family val="2"/>
          </rPr>
          <t>Se incrementa $ 262.000,00 para financiar la partida de servicios personales por contrato, por efectos del seguimiento presupuestario.</t>
        </r>
      </text>
    </comment>
    <comment ref="E73" authorId="2" shapeId="0" xr:uid="{523B439D-FBD2-47A8-BADF-AEDE5B08722A}">
      <text>
        <r>
          <rPr>
            <b/>
            <sz val="9"/>
            <color indexed="81"/>
            <rFont val="Tahoma"/>
            <family val="2"/>
          </rPr>
          <t>Admin:</t>
        </r>
        <r>
          <rPr>
            <sz val="9"/>
            <color indexed="81"/>
            <rFont val="Tahoma"/>
            <family val="2"/>
          </rPr>
          <t xml:space="preserve">
Reforma N° 6:
Se redujo 150.000,00 para py de de jubilados.</t>
        </r>
      </text>
    </comment>
    <comment ref="E74" authorId="2" shapeId="0" xr:uid="{CDE6CF96-B514-4BD3-A9BB-A98A7104D03F}">
      <text>
        <r>
          <rPr>
            <b/>
            <sz val="9"/>
            <color indexed="81"/>
            <rFont val="Tahoma"/>
            <family val="2"/>
          </rPr>
          <t>Admin:</t>
        </r>
        <r>
          <rPr>
            <sz val="9"/>
            <color indexed="81"/>
            <rFont val="Tahoma"/>
            <family val="2"/>
          </rPr>
          <t xml:space="preserve">
Reforma N° 6:
Se redujo $ 15.000,00 para plan de jubilados</t>
        </r>
      </text>
    </comment>
    <comment ref="E75" authorId="2" shapeId="0" xr:uid="{777150DB-8274-4104-B885-E7B8F7651BC6}">
      <text>
        <r>
          <rPr>
            <b/>
            <sz val="9"/>
            <color indexed="81"/>
            <rFont val="Tahoma"/>
            <family val="2"/>
          </rPr>
          <t>Admin:</t>
        </r>
        <r>
          <rPr>
            <sz val="9"/>
            <color indexed="81"/>
            <rFont val="Tahoma"/>
            <family val="2"/>
          </rPr>
          <t xml:space="preserve">
Reforma N° 6:
Se reduce $4.000,00 a DTH.
Se redujo $ 36.267,38 para py de jubilados.</t>
        </r>
      </text>
    </comment>
    <comment ref="D76" authorId="0" shapeId="0" xr:uid="{3AD818B1-9156-49CF-B7E1-9617FA5AAA3A}">
      <text>
        <r>
          <rPr>
            <b/>
            <sz val="9"/>
            <color rgb="FF000000"/>
            <rFont val="Tahoma"/>
            <family val="2"/>
          </rPr>
          <t>LENOVO:</t>
        </r>
        <r>
          <rPr>
            <sz val="9"/>
            <color rgb="FF000000"/>
            <rFont val="Tahoma"/>
            <family val="2"/>
          </rPr>
          <t xml:space="preserve">
Reforma N° 3:
Se incrementó $4.000,00
Reforma N° 6:
Se incrementó $4.000,00 a DTH</t>
        </r>
      </text>
    </comment>
    <comment ref="E77" authorId="2" shapeId="0" xr:uid="{95835BB8-1372-44DC-8986-4A4ADA7A971D}">
      <text>
        <r>
          <rPr>
            <b/>
            <sz val="9"/>
            <color rgb="FF000000"/>
            <rFont val="Tahoma"/>
            <family val="2"/>
          </rPr>
          <t>Admin:</t>
        </r>
        <r>
          <rPr>
            <sz val="9"/>
            <color rgb="FF000000"/>
            <rFont val="Tahoma"/>
            <family val="2"/>
          </rPr>
          <t xml:space="preserve">
Reforma N° 4:
Se redujo $ 2.410,40 DIPOS por efecto de informe de seguimiento.
Se redujo $ 1.000,16 Dir. Formación Profesional por efecto de informe de seguimiento.
Reforma N° 6:
Se redujo $ 300 a DIPOS por efecto de informe de seguimiento.</t>
        </r>
      </text>
    </comment>
    <comment ref="D78" authorId="3" shapeId="0" xr:uid="{818D88AF-45FA-4D12-A3F3-287832723BE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83.935,78 para Dir. Administrativa
Se eliminó porque no se puede cruzar del grupo 84 al grupo 53.
Se incrementó $ 14.752,06 por saldo positivo y cuadre final de la fuente 1.
Cómo quedó en el POA:
711.513,00 DIR ADMINISTRATIVA
Se incrementó 5.448,78
</t>
        </r>
        <r>
          <rPr>
            <b/>
            <sz val="9"/>
            <color rgb="FF000000"/>
            <rFont val="Tahoma"/>
            <family val="2"/>
          </rPr>
          <t>Reforma N° 4:</t>
        </r>
        <r>
          <rPr>
            <sz val="9"/>
            <color rgb="FF000000"/>
            <rFont val="Tahoma"/>
            <family val="2"/>
          </rPr>
          <t xml:space="preserve">
Se incrementó $407.662,62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(memo nro. FCS-D-2023-0863-M), 3) Salón Auditorio de la Facultad de Ciencias Agropecuarias (memo nro. FCA-D-2023-0593-M), y, 4) del Centro Médico Universitario.</t>
        </r>
      </text>
    </comment>
    <comment ref="E78" authorId="3" shapeId="0" xr:uid="{8D03B9EE-ACAC-47DF-AB2A-D4110742543A}">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$ 6.720,00 Dir. Aseguramiento de la Calidad.
$ 6.720,00 FIC
</t>
        </r>
        <r>
          <rPr>
            <b/>
            <sz val="9"/>
            <color rgb="FF000000"/>
            <rFont val="Tahoma"/>
            <family val="2"/>
          </rPr>
          <t>Reforma N° 3:</t>
        </r>
        <r>
          <rPr>
            <sz val="9"/>
            <color rgb="FF000000"/>
            <rFont val="Tahoma"/>
            <family val="2"/>
          </rPr>
          <t xml:space="preserve">
Se redujo $1.365,00 por atención de Memo N° UTMACH-DAC-2023-0133-M
</t>
        </r>
        <r>
          <rPr>
            <b/>
            <sz val="9"/>
            <color rgb="FF000000"/>
            <rFont val="Tahoma"/>
            <family val="2"/>
          </rPr>
          <t>Reforma N° 4:</t>
        </r>
        <r>
          <rPr>
            <sz val="9"/>
            <color rgb="FF000000"/>
            <rFont val="Tahoma"/>
            <family val="2"/>
          </rPr>
          <t xml:space="preserve">
Se reduce $ 711.513,00 por cambio de partida de inversión del Proyecto de Inversión " Adecuación de infraestructura y equipamiento Universidad Técnica de Machala".
</t>
        </r>
        <r>
          <rPr>
            <b/>
            <sz val="9"/>
            <color rgb="FF000000"/>
            <rFont val="Tahoma"/>
            <family val="2"/>
          </rPr>
          <t>Reforma N° 6:</t>
        </r>
        <r>
          <rPr>
            <sz val="9"/>
            <color rgb="FF000000"/>
            <rFont val="Tahoma"/>
            <family val="2"/>
          </rPr>
          <t xml:space="preserve">
Se redujo $ 2.550,00 según memo N° DAC-2023-0275-M_14092023.
Se redujo $ 520,10 por ser saldo no ejecutado, DAC.
Se redujo $ 15.095,55 por ser saldo no ejecutado, DBUAC.</t>
        </r>
      </text>
    </comment>
    <comment ref="D79" authorId="3" shapeId="0" xr:uid="{76D7BEAC-F9BF-4313-8B79-BE8CA1736C32}">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$ 5.666,86 para adecuación de Sala de Docentes de la Carrera de Enfermería en la FCQS. UTMACH EP EMPRESA PUBLICA
Se incrementó $ 44.380,00 según Memorando N° FCS-D-2023-0062-M del 23/01/2023.
Se incrementó $ 250.000,00 para DBUAC Adecuación de espacios de bienestar deportivos.
Se eliminó porque no se puede cruzar de la 84 al grupo 53.
Se incrementó $ 123.677,98 para DBUAC Adecuación de espacios de bienestar deportivos.
Por saldo a favor y cuadre final de la fuente 3.
</t>
        </r>
        <r>
          <rPr>
            <b/>
            <sz val="9"/>
            <color rgb="FF000000"/>
            <rFont val="Tahoma"/>
            <family val="2"/>
          </rPr>
          <t>Reforma N° 3:</t>
        </r>
        <r>
          <rPr>
            <sz val="9"/>
            <color rgb="FF000000"/>
            <rFont val="Tahoma"/>
            <family val="2"/>
          </rPr>
          <t xml:space="preserve">
Se incrementó $ 3.224,44 según memo N° FIC-D-2023-0217-M_09052023 (por cuadre de fuente).</t>
        </r>
      </text>
    </comment>
    <comment ref="E79" authorId="4" shapeId="0" xr:uid="{99F28970-F516-49C1-BDFD-F52292199C78}">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redujo $ 44.380,00 FCS en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$ 123.677,98 para la unificación de todas las obras de adecuación de espacios físicos en el POA de la DBUAC: 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 en la misma partida con fuente 001.
Reforma N° 6:
Se redujo $ 607.17 a FCQS
Se redujo $ 345.47 a FIC
</t>
        </r>
      </text>
    </comment>
    <comment ref="E80" authorId="3" shapeId="0" xr:uid="{3EF7A466-0F96-4170-8DDF-14DAF0835D5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$ 9.200,00 Dir. Administrativa.
</t>
        </r>
        <r>
          <rPr>
            <b/>
            <sz val="9"/>
            <color rgb="FF000000"/>
            <rFont val="Tahoma"/>
            <family val="2"/>
          </rPr>
          <t>Reforma N° 3:</t>
        </r>
        <r>
          <rPr>
            <sz val="9"/>
            <color rgb="FF000000"/>
            <rFont val="Tahoma"/>
            <family val="2"/>
          </rPr>
          <t xml:space="preserve">
Se reduce $ 4.024,45 según memo N° FIC-D-2023-0217-M_09052023.
Reforma N° 6:
Se redujo $ 128,00 a Dir. Administrativa por valor no ejecutado</t>
        </r>
      </text>
    </comment>
    <comment ref="D81" authorId="2" shapeId="0" xr:uid="{857AA8F7-BEEA-49FA-9269-E6FCB8C3D20C}">
      <text>
        <r>
          <rPr>
            <b/>
            <sz val="9"/>
            <color rgb="FF000000"/>
            <rFont val="Tahoma"/>
            <family val="2"/>
          </rPr>
          <t>Admin:</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4:
</t>
        </r>
        <r>
          <rPr>
            <sz val="9"/>
            <color rgb="FF000000"/>
            <rFont val="Tahoma"/>
            <family val="2"/>
          </rPr>
          <t>Se incrementó $ 50.000,00 según memo N</t>
        </r>
        <r>
          <rPr>
            <sz val="9"/>
            <color rgb="FF000000"/>
            <rFont val="Tahoma"/>
            <family val="2"/>
          </rPr>
          <t>°</t>
        </r>
        <r>
          <rPr>
            <sz val="9"/>
            <color rgb="FF000000"/>
            <rFont val="Tahoma"/>
            <family val="2"/>
          </rPr>
          <t xml:space="preserve"> UTMACH-FCA-D-2023-0571-M_28072023 para Estudios especializados para la construcción del bloque de laboratorios de la FCA.</t>
        </r>
      </text>
    </comment>
    <comment ref="E81" authorId="3" shapeId="0" xr:uid="{48BB8512-9BF8-44BB-A66B-6EF2CBF15ECE}">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$ 5.000,00 para adecuación de la DPLAN.
Se redujo $ 8.960,00 por indicar
Se redujo $ 600,84 Dir. Académica
</t>
        </r>
        <r>
          <rPr>
            <b/>
            <sz val="9"/>
            <color rgb="FF000000"/>
            <rFont val="Tahoma"/>
            <family val="2"/>
          </rPr>
          <t xml:space="preserve">Reforma N° 3:
</t>
        </r>
        <r>
          <rPr>
            <sz val="9"/>
            <color rgb="FF000000"/>
            <rFont val="Tahoma"/>
            <family val="2"/>
          </rPr>
          <t>Se redujo $31.807,16 Dir.Académica por Memo nro DACAD-2023-0133 y en virtud de oficio Nro. MEF-SP-2023-0501 para atender Memo Nro. 0399 de DADM.
Reforma N° 6:
Se redujo $45.000,55 FCA por necesidad emergente</t>
        </r>
      </text>
    </comment>
    <comment ref="E82" authorId="5" shapeId="0" xr:uid="{7561106A-10D5-457C-8EE5-CF661E74C0E7}">
      <text>
        <r>
          <rPr>
            <sz val="12"/>
            <color theme="1"/>
            <rFont val="Arial"/>
            <family val="2"/>
            <scheme val="minor"/>
          </rPr>
          <t>Eunice Basilio:
Reforma N° 2:
Se redujo $ 3.590,15 para cubrir contratos de años anteriores y disponibilidades de nuevas necesidades.
Reforma N° 3:
Se redujo $20.000 DTH por seguimiento y en virtud de oficio Nro. MEF-SP-2023-0501 para atender Memo Nro. 0399 de DADM.
Se redujo $6.456,36 a DTH por cuadre de fuente.
Reforma N° 6:
Se redujo $ 4.000,00 para preaprobaciones de estudios del proyecto de medicina y artes plásticas. DPLAN.</t>
        </r>
      </text>
    </comment>
    <comment ref="D83" authorId="5" shapeId="0" xr:uid="{F61620A1-B1B6-44D8-8034-E17A2FAEA249}">
      <text>
        <r>
          <rPr>
            <b/>
            <sz val="9"/>
            <color rgb="FF000000"/>
            <rFont val="Tahoma"/>
            <family val="2"/>
          </rPr>
          <t>Eunice Basilio:</t>
        </r>
        <r>
          <rPr>
            <sz val="9"/>
            <color rgb="FF000000"/>
            <rFont val="Tahoma"/>
            <family val="2"/>
          </rPr>
          <t xml:space="preserve">
Reforma N° 3:
Se incrementó $ 4.000,00-0,63 según memo N° DTIC-2023-0088-M_04052023.</t>
        </r>
      </text>
    </comment>
    <comment ref="E83" authorId="3" shapeId="0" xr:uid="{38C85846-0B59-4B53-AC82-AE416077A77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$ 10.640,00 DTIC.
</t>
        </r>
        <r>
          <rPr>
            <b/>
            <sz val="9"/>
            <color rgb="FF000000"/>
            <rFont val="Tahoma"/>
            <family val="2"/>
          </rPr>
          <t>Reforma N° 3:</t>
        </r>
        <r>
          <rPr>
            <sz val="9"/>
            <color rgb="FF000000"/>
            <rFont val="Tahoma"/>
            <family val="2"/>
          </rPr>
          <t xml:space="preserve">
Se redujo $ 4.352,39 según memo N° DTIC-2023-0088-M_04052023.
</t>
        </r>
        <r>
          <rPr>
            <b/>
            <sz val="9"/>
            <color rgb="FF000000"/>
            <rFont val="Tahoma"/>
            <family val="2"/>
          </rPr>
          <t>Reforma N° 5:</t>
        </r>
        <r>
          <rPr>
            <sz val="9"/>
            <color rgb="FF000000"/>
            <rFont val="Tahoma"/>
            <family val="2"/>
          </rPr>
          <t xml:space="preserve">
Se redujo $ 2.068,40 por ser saldo no ejecutado, DTICS.
</t>
        </r>
        <r>
          <rPr>
            <b/>
            <sz val="9"/>
            <color rgb="FF000000"/>
            <rFont val="Tahoma"/>
            <family val="2"/>
          </rPr>
          <t xml:space="preserve">
Reforma N° 6:</t>
        </r>
        <r>
          <rPr>
            <sz val="9"/>
            <color rgb="FF000000"/>
            <rFont val="Tahoma"/>
            <family val="2"/>
          </rPr>
          <t xml:space="preserve">
Se redujo $ 500,27 por ser saldo no ejecutado, DTICS.</t>
        </r>
      </text>
    </comment>
    <comment ref="D84" authorId="3" shapeId="0" xr:uid="{4AB152C1-327C-43F8-9DD8-36B13E40A30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$ 3.300,00 según Memorando N</t>
        </r>
        <r>
          <rPr>
            <sz val="9"/>
            <color rgb="FF000000"/>
            <rFont val="Tahoma"/>
            <family val="2"/>
          </rPr>
          <t>°</t>
        </r>
        <r>
          <rPr>
            <sz val="9"/>
            <color rgb="FF000000"/>
            <rFont val="Tahoma"/>
            <family val="2"/>
          </rPr>
          <t xml:space="preserve"> FCS-D-2023-0062-M del 23/01/2023.
</t>
        </r>
        <r>
          <rPr>
            <sz val="9"/>
            <color rgb="FF000000"/>
            <rFont val="Tahoma"/>
            <family val="2"/>
          </rPr>
          <t xml:space="preserve">
</t>
        </r>
        <r>
          <rPr>
            <sz val="9"/>
            <color rgb="FF000000"/>
            <rFont val="Tahoma"/>
            <family val="2"/>
          </rPr>
          <t>Se incrementó $ 1.747,20 de acuerdo al POA 2023 de la FCE presentado.</t>
        </r>
      </text>
    </comment>
    <comment ref="E84" authorId="4" shapeId="0" xr:uid="{F960ACEE-1002-4182-A6AB-6E425A0FA344}">
      <text>
        <r>
          <rPr>
            <b/>
            <sz val="9"/>
            <color rgb="FF000000"/>
            <rFont val="Tahoma"/>
            <family val="2"/>
          </rPr>
          <t>Valeria Ramon Capa:</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reduce $2.280 a FCS por reunión de seguimiento y en virtud de oficio Nro. MEF-SP-2023-0501 para atender Memo Nro. 0399 de DADM.
</t>
        </r>
        <r>
          <rPr>
            <b/>
            <sz val="9"/>
            <color rgb="FF000000"/>
            <rFont val="Tahoma"/>
            <family val="2"/>
          </rPr>
          <t>Reforma N° 4:</t>
        </r>
        <r>
          <rPr>
            <sz val="9"/>
            <color rgb="FF000000"/>
            <rFont val="Tahoma"/>
            <family val="2"/>
          </rPr>
          <t xml:space="preserve">
Se redujo $ 229,32 FCE según informe de seguimiento.
Reforma N° 6:
Se redujo $ 151,45 FCS certificacion 301 saldo IVA.</t>
        </r>
      </text>
    </comment>
    <comment ref="E85" authorId="4" shapeId="0" xr:uid="{FC6F9C30-57A4-4D0A-AA10-4E8465C68A69}">
      <text>
        <r>
          <rPr>
            <b/>
            <sz val="9"/>
            <color rgb="FF000000"/>
            <rFont val="Tahoma"/>
            <family val="2"/>
          </rPr>
          <t>Valeria Ramon Capa:</t>
        </r>
        <r>
          <rPr>
            <sz val="9"/>
            <color rgb="FF000000"/>
            <rFont val="Tahoma"/>
            <family val="2"/>
          </rPr>
          <t xml:space="preserve">
Reforma N 3:
Se reduce $472 por solicitud de FCA vía Correo 12062023.
Reforma N 6:
Se reduce $200 por liquidacion de fondo</t>
        </r>
      </text>
    </comment>
    <comment ref="D86" authorId="3" shapeId="0" xr:uid="{CFC9C6CD-47DB-4EBD-A821-69D372D15DE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$ 10.164,16, según Memorando N° UTMACH-DBUAC-2023-0009-M del 10/01/2023
</t>
        </r>
        <r>
          <rPr>
            <b/>
            <sz val="9"/>
            <color rgb="FF000000"/>
            <rFont val="Tahoma"/>
            <family val="2"/>
          </rPr>
          <t>Reforma N° 5:</t>
        </r>
        <r>
          <rPr>
            <sz val="9"/>
            <color rgb="FF000000"/>
            <rFont val="Tahoma"/>
            <family val="2"/>
          </rPr>
          <t xml:space="preserve">
Se incrementó $ 10.000,00 según memo N° DBUAC-2023-0792-M_18092023.</t>
        </r>
      </text>
    </comment>
    <comment ref="E86" authorId="2" shapeId="0" xr:uid="{3B1F1A37-BBC9-48E3-A5AC-7D43D367825A}">
      <text>
        <r>
          <rPr>
            <b/>
            <sz val="9"/>
            <color rgb="FF000000"/>
            <rFont val="Tahoma"/>
            <family val="2"/>
          </rPr>
          <t>Admin:</t>
        </r>
        <r>
          <rPr>
            <sz val="9"/>
            <color rgb="FF000000"/>
            <rFont val="Tahoma"/>
            <family val="2"/>
          </rPr>
          <t xml:space="preserve">
Reforma N° 4:
Se redujo $ 77.722,59 DBUAC por efecto de informe de seguimiento. (Cert. N° 149).
Reforma N° 6:
Se redujo $ 718.22 DBUAC IVA. (Cert. N° ).</t>
        </r>
      </text>
    </comment>
    <comment ref="D87" authorId="3" shapeId="0" xr:uid="{136B8E10-1E79-438F-8824-17863A54EEDB}">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$ 33.214,12 para Repotenciación de la Línea de Media Tensión 13200 VAC, en el Campus principal de la UTMACH. - UTMACH EP.</t>
        </r>
      </text>
    </comment>
    <comment ref="E87" authorId="2" shapeId="0" xr:uid="{508450C8-AF0D-425D-885A-E5517A3D6730}">
      <text>
        <r>
          <rPr>
            <b/>
            <sz val="9"/>
            <color indexed="81"/>
            <rFont val="Tahoma"/>
            <family val="2"/>
          </rPr>
          <t>Admin:
Reforma N 6:</t>
        </r>
        <r>
          <rPr>
            <sz val="9"/>
            <color indexed="81"/>
            <rFont val="Tahoma"/>
            <family val="2"/>
          </rPr>
          <t xml:space="preserve">
Se reduce $6.428,54 saldo IVA-3.161,83 py jubilados</t>
        </r>
      </text>
    </comment>
    <comment ref="D88" authorId="2" shapeId="0" xr:uid="{3D508D30-032C-4A34-9428-0B9083460086}">
      <text>
        <r>
          <rPr>
            <b/>
            <sz val="9"/>
            <color rgb="FF000000"/>
            <rFont val="Tahoma"/>
            <family val="2"/>
          </rPr>
          <t>Admin:</t>
        </r>
        <r>
          <rPr>
            <sz val="9"/>
            <color rgb="FF000000"/>
            <rFont val="Tahoma"/>
            <family val="2"/>
          </rPr>
          <t xml:space="preserve">
Reforma N° 4:
Se incrementa $ 639.186,31 por cambio de partida del Proyecto de Inversión " Adecuación de infraestructura y equipamiento Universidad Técnica de Machala", en el POA de DADM.</t>
        </r>
      </text>
    </comment>
    <comment ref="E88" authorId="2" shapeId="0" xr:uid="{CFB8D459-E3CE-4014-A1E5-241DCED765D4}">
      <text>
        <r>
          <rPr>
            <b/>
            <sz val="9"/>
            <color indexed="81"/>
            <rFont val="Tahoma"/>
            <family val="2"/>
          </rPr>
          <t>Admin:</t>
        </r>
        <r>
          <rPr>
            <sz val="9"/>
            <color indexed="81"/>
            <rFont val="Tahoma"/>
            <family val="2"/>
          </rPr>
          <t xml:space="preserve">
Reforma N° 6:
Se redujo $ 67.590,19 por ser saldo no ejecutado, Dir. Adm.</t>
        </r>
      </text>
    </comment>
    <comment ref="D89" authorId="3" shapeId="0" xr:uid="{CFC250E9-DC59-4846-883E-062573FF7484}">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$ 7.320,00 según Memorando N° FCS-D-2023-0062-M del 23/01/2023.
</t>
        </r>
        <r>
          <rPr>
            <b/>
            <sz val="9"/>
            <color rgb="FF000000"/>
            <rFont val="Tahoma"/>
            <family val="2"/>
          </rPr>
          <t>Reforma N° 3</t>
        </r>
        <r>
          <rPr>
            <sz val="9"/>
            <color rgb="FF000000"/>
            <rFont val="Tahoma"/>
            <family val="2"/>
          </rPr>
          <t>:
Se incrementó $ 11.505,18 según memo N° FCS-D-2023-0460-M_23052023 y reunión de seguimiento.</t>
        </r>
      </text>
    </comment>
    <comment ref="E89" authorId="4" shapeId="0" xr:uid="{A5D194A9-489B-4990-B4D3-FF3337F8634C}">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reduce $4.000,00 a FCS por seguimiento y en virtud de oficio Nro. MEF-SP-2023-0501 para atender Memo Nro. 0399 de DADM.
</t>
        </r>
        <r>
          <rPr>
            <b/>
            <sz val="9"/>
            <color rgb="FF000000"/>
            <rFont val="Tahoma"/>
            <family val="2"/>
          </rPr>
          <t>Reforma N° 6:</t>
        </r>
        <r>
          <rPr>
            <sz val="9"/>
            <color rgb="FF000000"/>
            <rFont val="Tahoma"/>
            <family val="2"/>
          </rPr>
          <t xml:space="preserve">
Se reduce $1.866,56 a FCS por saldo no ejecutado IVA</t>
        </r>
      </text>
    </comment>
    <comment ref="D90" authorId="3" shapeId="0" xr:uid="{1D98BC6C-5044-4996-8BBF-B5CC2699E693}">
      <text>
        <r>
          <rPr>
            <sz val="9"/>
            <color theme="1"/>
            <rFont val="Arial"/>
            <family val="2"/>
            <scheme val="minor"/>
          </rPr>
          <t>HP:
Reforma N° 2:
Se incrementó $ 1.700,00 para lentes de cámara por disposición del Director DPLAN
En el POA quedó así:
5.709,60 FCS
2.251,20 DTIC
Reforma N° 4:
Se incrementa $ 1097,60 en el POA DPOS para atender el memo DIPOS-2023-237-M.</t>
        </r>
      </text>
    </comment>
    <comment ref="E90" authorId="3" shapeId="0" xr:uid="{FCD62470-18FC-4A1F-B173-94F244DFC068}">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$ 22.296,96 Vic. Académico
$ 949.040,38-62852,68
</t>
        </r>
        <r>
          <rPr>
            <b/>
            <sz val="9"/>
            <color rgb="FF000000"/>
            <rFont val="Tahoma"/>
            <family val="2"/>
          </rPr>
          <t xml:space="preserve">Reforma N° 3:
</t>
        </r>
        <r>
          <rPr>
            <sz val="9"/>
            <color rgb="FF000000"/>
            <rFont val="Tahoma"/>
            <family val="2"/>
          </rPr>
          <t xml:space="preserve">Se redujo $ 62.852,68 según memo N° DTIC-2023-0088-M_04052023
Se redujo $ 4.384,60 según memo N° FCS-D-2023-0460-M_23052023
Se redujo $ 13.686,40, para atender memo N° DBUAC-2023-0318-M_22052023
Se redujo $ 13.405,61+6.776,00 para atender memo N 0604 FCQS_25052023
Se redujo $ 15.879,05 para atender memo N° DBUAC-2023-0124-M_03032023
Se redujo $1620 por cuadre de fuente
Se redujo $ 39.637,92 para cartera de proyectos de inversión 2023 - 83 840104 003
Se redujo $10.080,00 para cartera de proyectos de inversión 2023 - 83 840107 003
Se reduce $5.824 para reestablecer computadoras en TICS
Se reduce $268,73 por cuadre de fuente 
</t>
        </r>
        <r>
          <rPr>
            <b/>
            <sz val="9"/>
            <color rgb="FF000000"/>
            <rFont val="Tahoma"/>
            <family val="2"/>
          </rPr>
          <t>Reforma N° 4:</t>
        </r>
        <r>
          <rPr>
            <sz val="9"/>
            <color rgb="FF000000"/>
            <rFont val="Tahoma"/>
            <family val="2"/>
          </rPr>
          <t xml:space="preserve">
Se reduce $ 2251,20 en el POA de DTIC y se trasladan al POa de DADM en atención al Memorando nro. UTMACH-DADM-UCP-2023-1143-M.
Reforma N° 6:
Se reduce $ 117,60 a DPOS por ser IVA.</t>
        </r>
      </text>
    </comment>
    <comment ref="D91" authorId="3" shapeId="0" xr:uid="{53D3483E-4AEC-494F-8D6D-B891A1923087}">
      <text>
        <r>
          <rPr>
            <b/>
            <sz val="9"/>
            <color rgb="FF000000"/>
            <rFont val="Tahoma"/>
            <family val="2"/>
          </rPr>
          <t>HP:</t>
        </r>
        <r>
          <rPr>
            <sz val="9"/>
            <color rgb="FF000000"/>
            <rFont val="Tahoma"/>
            <family val="2"/>
          </rPr>
          <t xml:space="preserve">
Reforma N° 2:
Se incrementó 13.831,48 para Repotenciación de la Línea de Media Tensión 13200 VAC, en el Campus principal de la UTMACH. - UTMACH EP.</t>
        </r>
      </text>
    </comment>
    <comment ref="E91" authorId="2" shapeId="0" xr:uid="{04D1C8B0-9F45-4339-B0A8-6FE25D6C353D}">
      <text>
        <r>
          <rPr>
            <b/>
            <sz val="9"/>
            <color indexed="81"/>
            <rFont val="Tahoma"/>
            <family val="2"/>
          </rPr>
          <t xml:space="preserve">Admin:
Reforma N 6:
</t>
        </r>
        <r>
          <rPr>
            <sz val="9"/>
            <color indexed="81"/>
            <rFont val="Tahoma"/>
            <family val="2"/>
          </rPr>
          <t>Se reduce $13.541,15 por ser IVA.</t>
        </r>
      </text>
    </comment>
    <comment ref="D92" authorId="5" shapeId="0" xr:uid="{11455846-A7D3-49AE-B52D-FD6C176F5836}">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$ 2.897,97 conforme archivo POA 2023.
Se incrementó $ 8.505,49 de acuerdo al POA 2023 de la FCE presentado.
En el POA quedó:
1.867,77 DIPOS
1.030,20 FCA
8.505,49 FCE
1.310,60 FCQS
</t>
        </r>
        <r>
          <rPr>
            <b/>
            <sz val="9"/>
            <color rgb="FF000000"/>
            <rFont val="Tahoma"/>
            <family val="2"/>
          </rPr>
          <t xml:space="preserve">Reforma N° 3:
</t>
        </r>
        <r>
          <rPr>
            <sz val="9"/>
            <color rgb="FF000000"/>
            <rFont val="Tahoma"/>
            <family val="2"/>
          </rPr>
          <t xml:space="preserve">Se incrementó $1.146,32 según memo N° UTMACH-DIPOS-2023-0160-M_19052023.
</t>
        </r>
        <r>
          <rPr>
            <b/>
            <sz val="9"/>
            <color rgb="FF000000"/>
            <rFont val="Tahoma"/>
            <family val="2"/>
          </rPr>
          <t>Reforma N° 4:</t>
        </r>
        <r>
          <rPr>
            <sz val="9"/>
            <color rgb="FF000000"/>
            <rFont val="Tahoma"/>
            <family val="2"/>
          </rPr>
          <t xml:space="preserve">
Se incrementó $ 500,00 según memo N° UTMACH-FCA-D-2023-0571-M_28072023 para compra de scaner.</t>
        </r>
      </text>
    </comment>
    <comment ref="E92" authorId="4" shapeId="0" xr:uid="{AAFC5280-4ABC-474D-8779-8E29A052D63E}">
      <text>
        <r>
          <rPr>
            <sz val="12"/>
            <color theme="1"/>
            <rFont val="Arial"/>
            <family val="2"/>
            <scheme val="minor"/>
          </rPr>
          <t>Valeria Ramon Capa:
Reforma N° 3:
Se reduce $380,46 y $133,28 según memo N° UTMACH-DIPOS-2023-0160-M_19052023.
Reforma N° 4:
Se redujo $ 1.930,27 FCE según informe de seguimiento.
Se redujo $ 1097,60 en el POA de DPOS para atender pedido del memo DIPOS-2023-237-M.
Reforma N° 6:
Se redujo $ 422,75-146,08 DPOS de saldo no ejecutado IVA</t>
        </r>
      </text>
    </comment>
    <comment ref="D93" authorId="1" shapeId="0" xr:uid="{72DDDCC3-2BAB-456B-AEA9-CE7F84758783}">
      <text>
        <r>
          <rPr>
            <b/>
            <sz val="9"/>
            <color rgb="FF000000"/>
            <rFont val="Tahoma"/>
            <family val="2"/>
          </rPr>
          <t>Microsoft Office User:</t>
        </r>
        <r>
          <rPr>
            <sz val="9"/>
            <color rgb="FF000000"/>
            <rFont val="Tahoma"/>
            <family val="2"/>
          </rPr>
          <t xml:space="preserve">
Reforma N° 4:
Incremento de $ 369,966.00 Adquisición de aulas prefabricadas para suplir el déficit de espacios físicos para las actividades académicas y administrativas producido por el sismo del 18 de marzo de 2023 en las Facultades de Ciencias Sociales, Ciencias Empresariales y Ciencias Agropecuarias, en FCS, solicitado por la DADM mediante Memorando nro. UTMACH-DADM-UOIFM-2023-0240-M.</t>
        </r>
      </text>
    </comment>
    <comment ref="E93" authorId="2" shapeId="0" xr:uid="{396C6262-EC67-4BC8-9BF5-5DF54DF12F53}">
      <text>
        <r>
          <rPr>
            <sz val="12"/>
            <color theme="1"/>
            <rFont val="Arial"/>
            <family val="2"/>
            <scheme val="minor"/>
          </rPr>
          <t>Admin:
Reforma N° 6:
Se redujo $ 40.307,59 por ser saldo no ejecutado, FCS.</t>
        </r>
      </text>
    </comment>
    <comment ref="D94" authorId="3" shapeId="0" xr:uid="{E20FD650-1C60-404D-B7A3-DDDF5A157CB2}">
      <text>
        <r>
          <rPr>
            <sz val="9"/>
            <color theme="1"/>
            <rFont val="Tahoma"/>
            <family val="2"/>
          </rPr>
          <t xml:space="preserve">HP:
</t>
        </r>
        <r>
          <rPr>
            <b/>
            <sz val="9"/>
            <color theme="1"/>
            <rFont val="Tahoma"/>
            <family val="2"/>
          </rPr>
          <t>Reforma N° 2:</t>
        </r>
        <r>
          <rPr>
            <sz val="9"/>
            <color theme="1"/>
            <rFont val="Tahoma"/>
            <family val="2"/>
          </rPr>
          <t xml:space="preserve">
Se incrementó $ 75.610,11 que vino de la la partida N° 990101 0701 003 Obligaciones de Ejercicios Anteriores en Personal del programa 01.
Se incrementó $ 40.000,00 para liquidaciones de haberes, trabajadores y ex servidores.
Se incrementó $ 10.000,00 para liquidaciones de docentes.
$ 13.000,00 para pago a VASQUEZ FLORES JOSE ALBERTO
$ 6.000,00 para pago a BURGOS BURGOS JHON
Se incrementó $ 5000+15.000,00 para cubrir liquidaciones por juicios en la partida N° 990101 0701 003
</t>
        </r>
        <r>
          <rPr>
            <b/>
            <sz val="9"/>
            <color theme="1"/>
            <rFont val="Tahoma"/>
            <family val="2"/>
          </rPr>
          <t>Reforma N° 3:</t>
        </r>
        <r>
          <rPr>
            <sz val="9"/>
            <color theme="1"/>
            <rFont val="Tahoma"/>
            <family val="2"/>
          </rPr>
          <t xml:space="preserve">
Se incrementó $ 60.000,00 atendiendo al memo N° UTMACH-DF-2023-0197-M_20052023.
Se incrementó $50.000,00 a Dfin para cubrir necesidad por juicio, notificado verbalmente por parte del Procurador a Dirección Financiera.
</t>
        </r>
        <r>
          <rPr>
            <b/>
            <sz val="9"/>
            <color theme="1"/>
            <rFont val="Tahoma"/>
            <family val="2"/>
          </rPr>
          <t>Reforma N° 4:</t>
        </r>
        <r>
          <rPr>
            <sz val="9"/>
            <color theme="1"/>
            <rFont val="Tahoma"/>
            <family val="2"/>
          </rPr>
          <t xml:space="preserve">
Se incrementa $ 4.000,00 para financiar pago de docentes que podrían terminar sus licencias sin remuneración.
</t>
        </r>
        <r>
          <rPr>
            <b/>
            <sz val="9"/>
            <color theme="1"/>
            <rFont val="Tahoma"/>
            <family val="2"/>
          </rPr>
          <t>Reforma N° 6:</t>
        </r>
        <r>
          <rPr>
            <sz val="9"/>
            <color theme="1"/>
            <rFont val="Tahoma"/>
            <family val="2"/>
          </rPr>
          <t xml:space="preserve">
Se incrementa $ 21.152,00 para liquidaciones de docentes.
Se incrementó $ 15.000,00 por sentencia del docente Colón Velásquez. Dir. Financiera.</t>
        </r>
      </text>
    </comment>
    <comment ref="D100" authorId="1" shapeId="0" xr:uid="{6981E707-5066-471D-B644-326A4D6B1985}">
      <text>
        <r>
          <rPr>
            <b/>
            <sz val="10"/>
            <color rgb="FF000000"/>
            <rFont val="Tahoma"/>
            <family val="2"/>
          </rPr>
          <t>Microsoft Office User:</t>
        </r>
        <r>
          <rPr>
            <sz val="10"/>
            <color rgb="FF000000"/>
            <rFont val="Tahoma"/>
            <family val="2"/>
          </rPr>
          <t xml:space="preserve">
Reforma N° 4:
Se incrementa $ 1898,86 en el POA de VIVP en atención parcial al memo nro. VINVIP-2023-0220-M.
Se incrementa $ 2.000,00 para atender Memorando nro. UTMACH-FCS-D-2023-0916-M.</t>
        </r>
      </text>
    </comment>
    <comment ref="E100" authorId="3" shapeId="0" xr:uid="{D1CA6C28-A9DE-4E41-970B-36318FD39D1F}">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$ 33.600,00 de acuerdo al 1er POA 2023 de la FCE presentado (por no estar desagregado).
Se redujo $ 4.800,00 según adjunto de Vic. Investigación en e-mail enviado el 03/02/2023
Se redujo $ 1.120,00 FIC
Se redujo $ 33.600,00 FCQS
En el POA quedó asi:
2.480,00 Vic. Investigación
168.000,00 DIDI
2.240,00 FCA
</t>
        </r>
        <r>
          <rPr>
            <b/>
            <sz val="9"/>
            <color rgb="FF000000"/>
            <rFont val="Tahoma"/>
            <family val="34"/>
          </rPr>
          <t>Reforma 3:</t>
        </r>
        <r>
          <rPr>
            <sz val="9"/>
            <color rgb="FF000000"/>
            <rFont val="Tahoma"/>
            <family val="34"/>
          </rPr>
          <t xml:space="preserve">
Se redujo $2.240,00 a FCA en reunión de seguimiento y en virtud de oficio Nro. MEF-SP-2023-0501 para atender Memo Nro. 0399 de DADM.
</t>
        </r>
        <r>
          <rPr>
            <b/>
            <sz val="9"/>
            <color rgb="FF000000"/>
            <rFont val="Tahoma"/>
            <family val="2"/>
          </rPr>
          <t>Reforma N° 4:</t>
        </r>
        <r>
          <rPr>
            <sz val="9"/>
            <color rgb="FF000000"/>
            <rFont val="Tahoma"/>
            <family val="34"/>
          </rPr>
          <t xml:space="preserve">
Se redujo $ 9.959,98 DIDI por efecto de informe de seguimiento.
</t>
        </r>
        <r>
          <rPr>
            <b/>
            <sz val="9"/>
            <color rgb="FF000000"/>
            <rFont val="Tahoma"/>
            <family val="2"/>
          </rPr>
          <t>Reforma N° 5:</t>
        </r>
        <r>
          <rPr>
            <sz val="9"/>
            <color rgb="FF000000"/>
            <rFont val="Tahoma"/>
            <family val="34"/>
          </rPr>
          <t xml:space="preserve">
Se redujo $ 960,40 (Lib.Steps)+1.128,00 (OVID ESPAÑOL) CP N° 429 por ser saldo no ejecutado, DIDI.
</t>
        </r>
        <r>
          <rPr>
            <b/>
            <sz val="9"/>
            <color rgb="FF000000"/>
            <rFont val="Tahoma"/>
            <family val="2"/>
          </rPr>
          <t xml:space="preserve">
Reforma N° 6:</t>
        </r>
        <r>
          <rPr>
            <sz val="9"/>
            <color rgb="FF000000"/>
            <rFont val="Tahoma"/>
            <family val="34"/>
          </rPr>
          <t xml:space="preserve">
Se redujo $ 4.212,42 DIDI, según seguimiento a la ejecución.</t>
        </r>
      </text>
    </comment>
    <comment ref="D101" authorId="2" shapeId="0" xr:uid="{9735838C-A1D3-4CDC-805E-52E6057CF6F4}">
      <text>
        <r>
          <rPr>
            <b/>
            <sz val="9"/>
            <color indexed="81"/>
            <rFont val="Tahoma"/>
            <family val="2"/>
          </rPr>
          <t>Admin:</t>
        </r>
        <r>
          <rPr>
            <sz val="9"/>
            <color indexed="81"/>
            <rFont val="Tahoma"/>
            <family val="2"/>
          </rPr>
          <t xml:space="preserve">
Reforma N° 6:
Se incrementó $ 1.500,00, según memo N° FCE-D-2023-0996-M_25/09/2023.</t>
        </r>
      </text>
    </comment>
    <comment ref="D102" authorId="3" shapeId="0" xr:uid="{F823EFAF-A673-4A8D-B467-771501EFFEF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 según Memorando N</t>
        </r>
        <r>
          <rPr>
            <sz val="9"/>
            <color rgb="FF000000"/>
            <rFont val="Tahoma"/>
            <family val="2"/>
          </rPr>
          <t>°</t>
        </r>
        <r>
          <rPr>
            <sz val="9"/>
            <color rgb="FF000000"/>
            <rFont val="Tahoma"/>
            <family val="2"/>
          </rPr>
          <t xml:space="preserve"> UTMACH-DIDI-2023-0053-M_02/02/2023.</t>
        </r>
      </text>
    </comment>
    <comment ref="E102" authorId="2" shapeId="0" xr:uid="{AD6320E4-081F-4310-A705-83F75A24E8A9}">
      <text>
        <r>
          <rPr>
            <b/>
            <sz val="9"/>
            <color indexed="81"/>
            <rFont val="Tahoma"/>
            <family val="2"/>
          </rPr>
          <t>Admin:</t>
        </r>
        <r>
          <rPr>
            <sz val="9"/>
            <color indexed="81"/>
            <rFont val="Tahoma"/>
            <family val="2"/>
          </rPr>
          <t xml:space="preserve">
Reforma N° 6:
Se redujo $ 500,00 DIDI, según seguimiento a la ejecución.</t>
        </r>
      </text>
    </comment>
    <comment ref="D103" authorId="3" shapeId="0" xr:uid="{508C3CC4-51D2-403F-87E2-A963512989D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$ 10.000,00 según Memorando N</t>
        </r>
        <r>
          <rPr>
            <sz val="9"/>
            <color rgb="FF000000"/>
            <rFont val="Tahoma"/>
            <family val="2"/>
          </rPr>
          <t>°</t>
        </r>
        <r>
          <rPr>
            <sz val="9"/>
            <color rgb="FF000000"/>
            <rFont val="Tahoma"/>
            <family val="2"/>
          </rPr>
          <t xml:space="preserve"> UTMACH-DIDI-2023-0053-M_02/02/2023.</t>
        </r>
      </text>
    </comment>
    <comment ref="E103" authorId="2" shapeId="0" xr:uid="{B7D28A50-9AD0-411C-A300-9A85F9485EB2}">
      <text>
        <r>
          <rPr>
            <b/>
            <sz val="9"/>
            <color indexed="81"/>
            <rFont val="Tahoma"/>
            <family val="2"/>
          </rPr>
          <t>Admin:</t>
        </r>
        <r>
          <rPr>
            <sz val="9"/>
            <color indexed="81"/>
            <rFont val="Tahoma"/>
            <family val="2"/>
          </rPr>
          <t xml:space="preserve">
Reforma N° 6:
Se redujo $ 48,13 DIDI, según seguimiento a la ejecución.</t>
        </r>
      </text>
    </comment>
    <comment ref="D104" authorId="2" shapeId="0" xr:uid="{F96AE72C-F8AF-4F5C-A473-F8468F96FC50}">
      <text>
        <r>
          <rPr>
            <b/>
            <sz val="9"/>
            <color indexed="81"/>
            <rFont val="Tahoma"/>
            <family val="2"/>
          </rPr>
          <t>Admin:</t>
        </r>
        <r>
          <rPr>
            <sz val="9"/>
            <color indexed="81"/>
            <rFont val="Tahoma"/>
            <family val="2"/>
          </rPr>
          <t xml:space="preserve">
Reforma N° 6:
Se incrementó $ 800,00 según memo N° DIDI-2023-0642-M_02/10/2023.</t>
        </r>
      </text>
    </comment>
    <comment ref="D105" authorId="3" shapeId="0" xr:uid="{6BE66FA1-589F-40E7-94E2-2108AB5EF69E}">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$ 10.208,47 según Memorando N</t>
        </r>
        <r>
          <rPr>
            <sz val="9"/>
            <color rgb="FF000000"/>
            <rFont val="Tahoma"/>
            <family val="2"/>
          </rPr>
          <t>°</t>
        </r>
        <r>
          <rPr>
            <sz val="9"/>
            <color rgb="FF000000"/>
            <rFont val="Tahoma"/>
            <family val="2"/>
          </rPr>
          <t xml:space="preserve"> UTMACH-DIDI-2023-0053-M_02/02/2023. (solo eso se atendió)
</t>
        </r>
        <r>
          <rPr>
            <sz val="9"/>
            <color rgb="FF000000"/>
            <rFont val="Tahoma"/>
            <family val="2"/>
          </rPr>
          <t xml:space="preserve">
</t>
        </r>
        <r>
          <rPr>
            <sz val="9"/>
            <color rgb="FF000000"/>
            <rFont val="Tahoma"/>
            <family val="2"/>
          </rPr>
          <t xml:space="preserve">Reforma nro. 004:
</t>
        </r>
        <r>
          <rPr>
            <sz val="9"/>
            <color rgb="FF000000"/>
            <rFont val="Tahoma"/>
            <family val="2"/>
          </rPr>
          <t xml:space="preserve">
</t>
        </r>
        <r>
          <rPr>
            <sz val="10"/>
            <color rgb="FF000000"/>
            <rFont val="Arial"/>
            <family val="2"/>
          </rPr>
          <t>Se incrementa $ 5.860,96 en el POA de DIDI para financiamiento de la cartera de proyecto 2023</t>
        </r>
      </text>
    </comment>
    <comment ref="E105" authorId="3" shapeId="0" xr:uid="{9699C002-4362-4C13-A269-9468FC32F4E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$ 1.250,00 para Py Inversión FIC, que en el POA estaba en esta fuente de financiamiento 3
Se redujo $ 22.400,00 de acuerdo al 1er POA 2023 de la FCE presentado (por no estar desagregado).
Se redujo $ 18.703,99
En el POA quedó así:
10.208,48 DIDI
12.768,00 FCA
3.696,00 FCQS
</t>
        </r>
        <r>
          <rPr>
            <b/>
            <sz val="9"/>
            <color rgb="FF000000"/>
            <rFont val="Tahoma"/>
            <family val="2"/>
          </rPr>
          <t>Reforma N° 4:</t>
        </r>
        <r>
          <rPr>
            <sz val="9"/>
            <color rgb="FF000000"/>
            <rFont val="Tahoma"/>
            <family val="2"/>
          </rPr>
          <t xml:space="preserve">
Se redujo $ 10.208,48 DIDI por efecto de informe de seguimiento.
</t>
        </r>
        <r>
          <rPr>
            <b/>
            <sz val="9"/>
            <color rgb="FF000000"/>
            <rFont val="Tahoma"/>
            <family val="2"/>
          </rPr>
          <t>Reforma N° 6:</t>
        </r>
        <r>
          <rPr>
            <sz val="9"/>
            <color rgb="FF000000"/>
            <rFont val="Tahoma"/>
            <family val="2"/>
          </rPr>
          <t xml:space="preserve">
Se redujo $ 1.320,00 FCA (CP N° 462), según seguimiento a la ejecución.
Se redujo $ 3.696,00 FCQS, según seguimiento a la ejecución.
Se redujo $ 800,00 según memo N° DIDI-2023-0642-M_02/10/2023.
Se redujo $ 448,00 según memo N° FCA-D-2023-0775-M_04/10/2023.</t>
        </r>
      </text>
    </comment>
    <comment ref="E106" authorId="3" shapeId="0" xr:uid="{A33A6E99-FFDC-43B0-8666-8168F3C04557}">
      <text>
        <r>
          <rPr>
            <b/>
            <sz val="10"/>
            <color rgb="FF000000"/>
            <rFont val="Tahoma"/>
            <family val="2"/>
          </rPr>
          <t>HP:
Reforma N° 2:</t>
        </r>
        <r>
          <rPr>
            <sz val="10"/>
            <color rgb="FF000000"/>
            <rFont val="Tahoma"/>
            <family val="2"/>
          </rPr>
          <t xml:space="preserve">
Se redujo $ 25.064,00 por disposición del Director del DPLAN
</t>
        </r>
        <r>
          <rPr>
            <b/>
            <sz val="10"/>
            <color rgb="FF000000"/>
            <rFont val="Tahoma"/>
            <family val="2"/>
          </rPr>
          <t xml:space="preserve">Reforma N° 3:
</t>
        </r>
        <r>
          <rPr>
            <sz val="10"/>
            <color rgb="FF000000"/>
            <rFont val="Tahoma"/>
            <family val="2"/>
          </rPr>
          <t xml:space="preserve">06/06: Se redujo $17.500 a DTH por reunión de seguimiento y en virtud de oficio Nro. MEF-SP-2023-0501 para atender Memo Nro. 0399 de DADM y en atención al memo 0764 DTH
</t>
        </r>
        <r>
          <rPr>
            <b/>
            <sz val="10"/>
            <color rgb="FF000000"/>
            <rFont val="Tahoma"/>
            <family val="2"/>
          </rPr>
          <t xml:space="preserve">
Reforma N° 6:</t>
        </r>
        <r>
          <rPr>
            <sz val="10"/>
            <color rgb="FF000000"/>
            <rFont val="Tahoma"/>
            <family val="2"/>
          </rPr>
          <t xml:space="preserve">
Se redujo $ 5.100,00 DIDI (CP N° 139), según seguimiento a la ejecución.</t>
        </r>
      </text>
    </comment>
    <comment ref="D107" authorId="3" shapeId="0" xr:uid="{3B096DE1-E96C-4436-91AE-32154DA06FDD}">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$ 5.544,00 de acuerdo al POA 2023 de la FCE presentado.
</t>
        </r>
        <r>
          <rPr>
            <sz val="9"/>
            <color rgb="FF000000"/>
            <rFont val="Arial"/>
            <family val="2"/>
          </rPr>
          <t xml:space="preserve">Se incrementa $ 2.000,00 en el POA de DIDI para financiamiento de la cartera de proyecto 2023, conforme pedido del memo nro. UTMACH-DIDI-2023-0466-M
</t>
        </r>
        <r>
          <rPr>
            <b/>
            <sz val="9"/>
            <color rgb="FF000000"/>
            <rFont val="Arial"/>
            <family val="2"/>
          </rPr>
          <t>Reforma N° 4:</t>
        </r>
        <r>
          <rPr>
            <sz val="9"/>
            <color rgb="FF000000"/>
            <rFont val="Arial"/>
            <family val="2"/>
          </rPr>
          <t xml:space="preserve">
Se aumenta $ 7056,00 + $ </t>
        </r>
        <r>
          <rPr>
            <sz val="10"/>
            <color rgb="FF000000"/>
            <rFont val="Arial"/>
            <family val="2"/>
          </rPr>
          <t xml:space="preserve">4.360,68 + $ </t>
        </r>
        <r>
          <rPr>
            <b/>
            <sz val="10"/>
            <color rgb="FF000000"/>
            <rFont val="Arial"/>
            <family val="2"/>
          </rPr>
          <t xml:space="preserve">5.738,00 </t>
        </r>
        <r>
          <rPr>
            <sz val="9"/>
            <color rgb="FF000000"/>
            <rFont val="Arial"/>
            <family val="2"/>
          </rPr>
          <t xml:space="preserve"> en POA de DTIC en atención al memo nro. </t>
        </r>
        <r>
          <rPr>
            <sz val="10"/>
            <color rgb="FF000000"/>
            <rFont val="Calibri"/>
            <family val="2"/>
          </rPr>
          <t xml:space="preserve">UTMACH-DTIC-2023-0224-M.
</t>
        </r>
        <r>
          <rPr>
            <b/>
            <sz val="10"/>
            <color rgb="FF000000"/>
            <rFont val="Calibri"/>
            <family val="2"/>
          </rPr>
          <t>Reforma N° 6:</t>
        </r>
        <r>
          <rPr>
            <sz val="10"/>
            <color rgb="FF000000"/>
            <rFont val="Calibri"/>
            <family val="2"/>
          </rPr>
          <t xml:space="preserve">
Seincrementó $ 956,00, según memo N° FCE-D-2023-0996-M_25/09/2023.</t>
        </r>
      </text>
    </comment>
    <comment ref="E107" authorId="3" shapeId="0" xr:uid="{9C4230EC-3F37-4CC3-B84C-F65DE70775A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$ 3.500,00 según Memorando N° UTMACH-DIDI-2023-0053-M_02/02/2023.
</t>
        </r>
        <r>
          <rPr>
            <b/>
            <sz val="9"/>
            <color rgb="FF000000"/>
            <rFont val="Tahoma"/>
            <family val="2"/>
          </rPr>
          <t xml:space="preserve">
Reforma N° 3:</t>
        </r>
        <r>
          <rPr>
            <sz val="9"/>
            <color rgb="FF000000"/>
            <rFont val="Tahoma"/>
            <family val="2"/>
          </rPr>
          <t xml:space="preserve">
Se redujo $ 11.200,00 según memo N° FCS-D-2023-0460-M_23052023
</t>
        </r>
        <r>
          <rPr>
            <b/>
            <sz val="9"/>
            <color rgb="FF000000"/>
            <rFont val="Tahoma"/>
            <family val="2"/>
          </rPr>
          <t>Reforma N° 4:</t>
        </r>
        <r>
          <rPr>
            <sz val="9"/>
            <color rgb="FF000000"/>
            <rFont val="Tahoma"/>
            <family val="2"/>
          </rPr>
          <t xml:space="preserve">
Se redujo $ 360,00 DIDI por efecto de informe de seguimiento.
Se redujo $ 6.765,28 DTIC por efecto de informe de seguimiento.
Se reduce $ 2.352,00 en el POA de VIVP en atención al memo nro. VINVIP-2023-0220-M
Se reduce $ 1184,96 en el POA de DTIC en atención al memo nro. </t>
        </r>
        <r>
          <rPr>
            <sz val="10"/>
            <color rgb="FF000000"/>
            <rFont val="Arial"/>
            <family val="2"/>
            <scheme val="minor"/>
          </rPr>
          <t xml:space="preserve">UTMACH-DTIC-2023-0224-M.
</t>
        </r>
        <r>
          <rPr>
            <sz val="9"/>
            <color rgb="FF000000"/>
            <rFont val="Tahoma"/>
            <family val="2"/>
          </rPr>
          <t xml:space="preserve">
Se reduce $ 12732,16 en el POA de DTIC en atención al memo nro. </t>
        </r>
        <r>
          <rPr>
            <sz val="10"/>
            <color rgb="FF000000"/>
            <rFont val="Arial"/>
            <family val="2"/>
            <scheme val="minor"/>
          </rPr>
          <t xml:space="preserve">UTMACH-DTIC-2023-0224-M.
</t>
        </r>
        <r>
          <rPr>
            <b/>
            <sz val="10"/>
            <color rgb="FF000000"/>
            <rFont val="Arial"/>
            <family val="2"/>
            <scheme val="minor"/>
          </rPr>
          <t>Reforma N° 6:</t>
        </r>
        <r>
          <rPr>
            <sz val="10"/>
            <color rgb="FF000000"/>
            <rFont val="Arial"/>
            <family val="2"/>
            <scheme val="minor"/>
          </rPr>
          <t xml:space="preserve">
Se redujo $ 1.080,00 DIDI, según seguimiento a la ejecución.</t>
        </r>
      </text>
    </comment>
    <comment ref="D108" authorId="3" shapeId="0" xr:uid="{D29900D3-F580-4321-A4BF-9887098E19FC}">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$ 56,00 FCQS</t>
        </r>
      </text>
    </comment>
    <comment ref="E108" authorId="2" shapeId="0" xr:uid="{FCF829D3-A1E4-4692-BFAB-76AF84060D87}">
      <text>
        <r>
          <rPr>
            <b/>
            <sz val="9"/>
            <color indexed="81"/>
            <rFont val="Tahoma"/>
            <family val="2"/>
          </rPr>
          <t>Admin:</t>
        </r>
        <r>
          <rPr>
            <sz val="9"/>
            <color indexed="81"/>
            <rFont val="Tahoma"/>
            <family val="2"/>
          </rPr>
          <t xml:space="preserve">
Reforma N° 6:
Se redujo $ 56,00 según memo N° FCQS-D-2023-1267-M_23102023.</t>
        </r>
      </text>
    </comment>
    <comment ref="D109" authorId="2" shapeId="0" xr:uid="{EFEFE9FD-FE36-4379-9D89-13CC47BE8F05}">
      <text>
        <r>
          <rPr>
            <b/>
            <sz val="9"/>
            <color indexed="81"/>
            <rFont val="Tahoma"/>
            <family val="2"/>
          </rPr>
          <t>Admin:</t>
        </r>
        <r>
          <rPr>
            <sz val="9"/>
            <color indexed="81"/>
            <rFont val="Tahoma"/>
            <family val="2"/>
          </rPr>
          <t xml:space="preserve">
Reforma N° 6:
Se incrementó $ 318,18 según memo N° FCQS-D-2023-1267-M_23102023.</t>
        </r>
      </text>
    </comment>
    <comment ref="D110" authorId="2" shapeId="0" xr:uid="{A4D03362-5443-4519-A874-4817BEDC7FF5}">
      <text>
        <r>
          <rPr>
            <b/>
            <sz val="9"/>
            <color indexed="81"/>
            <rFont val="Tahoma"/>
            <family val="2"/>
          </rPr>
          <t>Admin:</t>
        </r>
        <r>
          <rPr>
            <sz val="9"/>
            <color indexed="81"/>
            <rFont val="Tahoma"/>
            <family val="2"/>
          </rPr>
          <t xml:space="preserve">
Reforma N° 6:
Se incrementó $ 318,18 según memo N° FCQS-D-2023-1267-M_23102023.</t>
        </r>
      </text>
    </comment>
    <comment ref="E110" authorId="4" shapeId="0" xr:uid="{700108F1-76DE-4C5B-9F70-7C01CEA3B686}">
      <text>
        <r>
          <rPr>
            <b/>
            <sz val="9"/>
            <color rgb="FF000000"/>
            <rFont val="Tahoma"/>
            <family val="2"/>
          </rPr>
          <t>Valeria Ramon Capa:</t>
        </r>
        <r>
          <rPr>
            <sz val="9"/>
            <color rgb="FF000000"/>
            <rFont val="Tahoma"/>
            <family val="2"/>
          </rPr>
          <t xml:space="preserve">
</t>
        </r>
        <r>
          <rPr>
            <b/>
            <sz val="9"/>
            <color rgb="FF000000"/>
            <rFont val="Tahoma"/>
            <family val="2"/>
          </rPr>
          <t xml:space="preserve">Reforma 3: 
</t>
        </r>
        <r>
          <rPr>
            <sz val="9"/>
            <color rgb="FF000000"/>
            <rFont val="Tahoma"/>
            <family val="2"/>
          </rPr>
          <t>Se reduce 301,96 de retención del IVA por ejecución de proceso de FCS</t>
        </r>
      </text>
    </comment>
    <comment ref="D111" authorId="3" shapeId="0" xr:uid="{6FD8B99C-1C4A-454E-BDCE-5DBCF4478DA8}">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$ 620,58 FCQS</t>
        </r>
      </text>
    </comment>
    <comment ref="E111" authorId="2" shapeId="0" xr:uid="{62F963ED-E760-4142-A781-06A34E914650}">
      <text>
        <r>
          <rPr>
            <b/>
            <sz val="9"/>
            <color indexed="81"/>
            <rFont val="Tahoma"/>
            <family val="2"/>
          </rPr>
          <t>Admin:</t>
        </r>
        <r>
          <rPr>
            <sz val="9"/>
            <color indexed="81"/>
            <rFont val="Tahoma"/>
            <family val="2"/>
          </rPr>
          <t xml:space="preserve">
Reforma N° 6:
Se redujo $ 318,18 según memo N° FCQS-D-2023-1267-M_23102023.</t>
        </r>
      </text>
    </comment>
    <comment ref="E112" authorId="2" shapeId="0" xr:uid="{AF33DB71-0EF8-463A-856C-3E7974D41BE8}">
      <text>
        <r>
          <rPr>
            <b/>
            <sz val="9"/>
            <color indexed="81"/>
            <rFont val="Tahoma"/>
            <family val="2"/>
          </rPr>
          <t>Admin:</t>
        </r>
        <r>
          <rPr>
            <sz val="9"/>
            <color indexed="81"/>
            <rFont val="Tahoma"/>
            <family val="2"/>
          </rPr>
          <t xml:space="preserve">
Reforma N° 6:
Se redujo $ 20,89 FCA, según seguimiento a la ejecución.</t>
        </r>
      </text>
    </comment>
    <comment ref="D113" authorId="3" shapeId="0" xr:uid="{5653F8FD-FFB5-41A4-90AB-BBA8B966F713}">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$ 5.000,00 según Memorando N° UTMACH-DIDI-2023-0053-M_02/02/2023.
</t>
        </r>
        <r>
          <rPr>
            <b/>
            <sz val="9"/>
            <color rgb="FF000000"/>
            <rFont val="Tahoma"/>
            <family val="2"/>
          </rPr>
          <t>Reforma N° 4:</t>
        </r>
        <r>
          <rPr>
            <sz val="9"/>
            <color rgb="FF000000"/>
            <rFont val="Tahoma"/>
            <family val="2"/>
          </rPr>
          <t xml:space="preserve">
</t>
        </r>
        <r>
          <rPr>
            <sz val="9"/>
            <color rgb="FF000000"/>
            <rFont val="Arial"/>
            <family val="2"/>
          </rPr>
          <t>Se incrementa $ 2.500,00 en el POA de DIDI para financiamiento de la cartera de proyecto 2023, conforme pedido del memo nro. UTMACH-DIDI-2023-0466-M.</t>
        </r>
      </text>
    </comment>
    <comment ref="E113" authorId="3" shapeId="0" xr:uid="{F558833C-E472-454B-9E0A-06244F52261A}">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redujo $ 7.400,00 FCA
$ 6.000,00 FCS
$ 4.000,00 FIC
Se redujo $ 56.000,00 de acuerdo al 1er POA 2023 de la FCE presentado (por no estar desagregado).
Se redujo $ 39.092,51
En el POA quedó:
8.360,00 DIDI
15.000,00 FCA
28.107,49 FCQS
10.800,00 FCS
6.080,00 FIC
</t>
        </r>
        <r>
          <rPr>
            <b/>
            <sz val="9"/>
            <color rgb="FF000000"/>
            <rFont val="Tahoma"/>
            <family val="2"/>
          </rPr>
          <t xml:space="preserve">Reforma N° 3:
</t>
        </r>
        <r>
          <rPr>
            <sz val="9"/>
            <color rgb="FF000000"/>
            <rFont val="Tahoma"/>
            <family val="2"/>
          </rPr>
          <t xml:space="preserve">Se redujo $ 10.800,00 a FCS según reunión de seguimiento y en virtud de oficio Nro. MEF-SP-2023-0501 para atender Memo Nro. 0399 de DADM.
Se redujo $ 15.848,08+6.776,00 según memo N 0604 FCQS_25052023
Se redujo $6.080,00 por memo N° UTMACH-FIC-D-2023-0312-M_18052023
</t>
        </r>
        <r>
          <rPr>
            <b/>
            <sz val="9"/>
            <color rgb="FF000000"/>
            <rFont val="Tahoma"/>
            <family val="2"/>
          </rPr>
          <t>Reforma N° 4:</t>
        </r>
        <r>
          <rPr>
            <sz val="9"/>
            <color rgb="FF000000"/>
            <rFont val="Tahoma"/>
            <family val="2"/>
          </rPr>
          <t xml:space="preserve">
Se redujo $ 8.360,00 DIDI por efecto de informe de seguimiento.
Se redujo $ 4.190,00 FCA por efecto de informe de seguimiento.
</t>
        </r>
        <r>
          <rPr>
            <b/>
            <sz val="9"/>
            <color rgb="FF000000"/>
            <rFont val="Tahoma"/>
            <family val="2"/>
          </rPr>
          <t>Reforma N° 6:</t>
        </r>
        <r>
          <rPr>
            <sz val="9"/>
            <color rgb="FF000000"/>
            <rFont val="Tahoma"/>
            <family val="2"/>
          </rPr>
          <t xml:space="preserve">
Se redujo $ 364,76+2.137,00+49,41 FCQS, según seguimiento a la ejecución.
Se redujo $ 10.477,00 FCA (CP N° 352), según seguimiento a la ejecución.</t>
        </r>
      </text>
    </comment>
    <comment ref="D114" authorId="2" shapeId="0" xr:uid="{C39EEBCF-6E24-4DAF-B1F9-DB8B5169CAF0}">
      <text>
        <r>
          <rPr>
            <b/>
            <sz val="9"/>
            <color indexed="81"/>
            <rFont val="Tahoma"/>
            <family val="2"/>
          </rPr>
          <t>Admin:</t>
        </r>
        <r>
          <rPr>
            <sz val="9"/>
            <color indexed="81"/>
            <rFont val="Tahoma"/>
            <family val="2"/>
          </rPr>
          <t xml:space="preserve">
Reforma N° 6:
Se incrementó $ 371,76,00 según memo N° FCA-D-2023-0775-M_04/10/2023.</t>
        </r>
      </text>
    </comment>
    <comment ref="E115" authorId="3" shapeId="0" xr:uid="{9F4FD9AA-4DF1-420C-8453-D6287D898330}">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$ 394,63 para Py Inversión FIC.
$ 0,75 POR DIFERENCIA
</t>
        </r>
        <r>
          <rPr>
            <b/>
            <sz val="9"/>
            <color rgb="FF000000"/>
            <rFont val="Tahoma"/>
            <family val="2"/>
          </rPr>
          <t>Reforma N° 4:</t>
        </r>
        <r>
          <rPr>
            <sz val="9"/>
            <color rgb="FF000000"/>
            <rFont val="Tahoma"/>
            <family val="2"/>
          </rPr>
          <t xml:space="preserve">
Se redujo $ 2.240,00 DIDI por efecto de informe de seguimiento.
</t>
        </r>
        <r>
          <rPr>
            <b/>
            <sz val="9"/>
            <color rgb="FF000000"/>
            <rFont val="Tahoma"/>
            <family val="2"/>
          </rPr>
          <t>Reforma N° 6:</t>
        </r>
        <r>
          <rPr>
            <sz val="9"/>
            <color rgb="FF000000"/>
            <rFont val="Tahoma"/>
            <family val="2"/>
          </rPr>
          <t xml:space="preserve">
Se redujo $ 67,20 FCA, según seguimiento a la ejecución.</t>
        </r>
      </text>
    </comment>
    <comment ref="D116" authorId="3" shapeId="0" xr:uid="{A3785BEF-65B8-4DED-BB09-0C49BBBF87BD}">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$ 39,20 FCQS</t>
        </r>
      </text>
    </comment>
    <comment ref="E116" authorId="1" shapeId="0" xr:uid="{2DED77B4-046D-4DBB-BEDD-AA9304FAF0D9}">
      <text>
        <r>
          <rPr>
            <b/>
            <sz val="10"/>
            <color rgb="FF000000"/>
            <rFont val="Tahoma"/>
            <family val="2"/>
          </rPr>
          <t xml:space="preserve">Microsoft Office User:
Reforma N° 4:
</t>
        </r>
        <r>
          <rPr>
            <sz val="9"/>
            <color rgb="FF000000"/>
            <rFont val="Tahoma"/>
            <family val="2"/>
          </rPr>
          <t xml:space="preserve">Se reduce $ 1680,00 en el POA de DIDI para atender memo nro. DIDI-2023-0468-M
</t>
        </r>
        <r>
          <rPr>
            <b/>
            <sz val="9"/>
            <color rgb="FF000000"/>
            <rFont val="Tahoma"/>
            <family val="2"/>
          </rPr>
          <t>Reforma N° 6:</t>
        </r>
        <r>
          <rPr>
            <sz val="9"/>
            <color rgb="FF000000"/>
            <rFont val="Tahoma"/>
            <family val="2"/>
          </rPr>
          <t xml:space="preserve">
Se redujo $ 39,20 FCQS, según seguimiento a la ejecución.</t>
        </r>
      </text>
    </comment>
    <comment ref="D117" authorId="0" shapeId="0" xr:uid="{B855D2F3-3057-4162-9A2B-ED9191C20003}">
      <text>
        <r>
          <rPr>
            <b/>
            <sz val="9"/>
            <color rgb="FF000000"/>
            <rFont val="Tahoma"/>
            <family val="2"/>
          </rPr>
          <t>LENOVO:</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3:
</t>
        </r>
        <r>
          <rPr>
            <sz val="9"/>
            <color rgb="FF000000"/>
            <rFont val="Tahoma"/>
            <family val="2"/>
          </rPr>
          <t>Se incrementó $ 2784,04 según memo N</t>
        </r>
        <r>
          <rPr>
            <sz val="9"/>
            <color rgb="FF000000"/>
            <rFont val="Tahoma"/>
            <family val="2"/>
          </rPr>
          <t>°</t>
        </r>
        <r>
          <rPr>
            <sz val="9"/>
            <color rgb="FF000000"/>
            <rFont val="Tahoma"/>
            <family val="2"/>
          </rPr>
          <t xml:space="preserve"> FCA-D-2023-0249-M_05052023.
</t>
        </r>
        <r>
          <rPr>
            <sz val="9"/>
            <color rgb="FF000000"/>
            <rFont val="Tahoma"/>
            <family val="2"/>
          </rPr>
          <t xml:space="preserve">
</t>
        </r>
        <r>
          <rPr>
            <sz val="9"/>
            <color rgb="FF000000"/>
            <rFont val="Tahoma"/>
            <family val="2"/>
          </rPr>
          <t>Se incrementó $ 800,00 según memo N</t>
        </r>
        <r>
          <rPr>
            <sz val="9"/>
            <color rgb="FF000000"/>
            <rFont val="Tahoma"/>
            <family val="2"/>
          </rPr>
          <t>°</t>
        </r>
        <r>
          <rPr>
            <sz val="9"/>
            <color rgb="FF000000"/>
            <rFont val="Tahoma"/>
            <family val="2"/>
          </rPr>
          <t xml:space="preserve"> DTIC-2023-0088-M_04052023</t>
        </r>
      </text>
    </comment>
    <comment ref="E117" authorId="2" shapeId="0" xr:uid="{E22E7A43-E125-4AE9-8656-7EB59556E601}">
      <text>
        <r>
          <rPr>
            <b/>
            <sz val="9"/>
            <color indexed="81"/>
            <rFont val="Tahoma"/>
            <family val="2"/>
          </rPr>
          <t>Admin:</t>
        </r>
        <r>
          <rPr>
            <sz val="9"/>
            <color indexed="81"/>
            <rFont val="Tahoma"/>
            <family val="2"/>
          </rPr>
          <t xml:space="preserve">
</t>
        </r>
        <r>
          <rPr>
            <b/>
            <sz val="9"/>
            <color indexed="81"/>
            <rFont val="Tahoma"/>
            <family val="2"/>
          </rPr>
          <t>Reforma N° 5:</t>
        </r>
        <r>
          <rPr>
            <sz val="9"/>
            <color indexed="81"/>
            <rFont val="Tahoma"/>
            <family val="2"/>
          </rPr>
          <t xml:space="preserve">
Se redujo $ 85,76 por ser saldo no ejecutado, DTICS.
</t>
        </r>
        <r>
          <rPr>
            <b/>
            <sz val="9"/>
            <color indexed="81"/>
            <rFont val="Tahoma"/>
            <family val="2"/>
          </rPr>
          <t>Reforma N° 6:</t>
        </r>
        <r>
          <rPr>
            <sz val="9"/>
            <color indexed="81"/>
            <rFont val="Tahoma"/>
            <family val="2"/>
          </rPr>
          <t xml:space="preserve">
Se redujo $ 902,52 FCA, según seguimiento a la ejecución.</t>
        </r>
      </text>
    </comment>
    <comment ref="D118" authorId="3" shapeId="0" xr:uid="{7D7FD425-BE97-4A69-8D55-A26FF3C74021}">
      <text>
        <r>
          <rPr>
            <b/>
            <sz val="9"/>
            <color rgb="FF000000"/>
            <rFont val="Tahoma"/>
            <family val="2"/>
          </rPr>
          <t>HP:</t>
        </r>
        <r>
          <rPr>
            <sz val="9"/>
            <color rgb="FF000000"/>
            <rFont val="Tahoma"/>
            <family val="2"/>
          </rPr>
          <t xml:space="preserve">
</t>
        </r>
        <r>
          <rPr>
            <sz val="9"/>
            <color rgb="FF000000"/>
            <rFont val="Tahoma"/>
            <family val="2"/>
          </rPr>
          <t>Reforma N</t>
        </r>
        <r>
          <rPr>
            <sz val="9"/>
            <color rgb="FF000000"/>
            <rFont val="Tahoma"/>
            <family val="2"/>
          </rPr>
          <t>°</t>
        </r>
        <r>
          <rPr>
            <sz val="9"/>
            <color rgb="FF000000"/>
            <rFont val="Tahoma"/>
            <family val="2"/>
          </rPr>
          <t xml:space="preserve"> 2:
</t>
        </r>
        <r>
          <rPr>
            <sz val="9"/>
            <color rgb="FF000000"/>
            <rFont val="Tahoma"/>
            <family val="2"/>
          </rPr>
          <t>Se incrementó $ 3.500,00 según Memorando N</t>
        </r>
        <r>
          <rPr>
            <sz val="9"/>
            <color rgb="FF000000"/>
            <rFont val="Tahoma"/>
            <family val="2"/>
          </rPr>
          <t>°</t>
        </r>
        <r>
          <rPr>
            <sz val="9"/>
            <color rgb="FF000000"/>
            <rFont val="Tahoma"/>
            <family val="2"/>
          </rPr>
          <t xml:space="preserve"> UTMACH-DIDI-2023-0053-M_02/02/2023.</t>
        </r>
      </text>
    </comment>
    <comment ref="E118" authorId="2" shapeId="0" xr:uid="{6DDD5D58-26F6-4F9D-ABBC-EAFFF5641D88}">
      <text>
        <r>
          <rPr>
            <b/>
            <sz val="9"/>
            <color indexed="81"/>
            <rFont val="Tahoma"/>
            <family val="2"/>
          </rPr>
          <t>Admin:</t>
        </r>
        <r>
          <rPr>
            <sz val="9"/>
            <color indexed="81"/>
            <rFont val="Tahoma"/>
            <family val="2"/>
          </rPr>
          <t xml:space="preserve">
Reforma N° 6:
Se redujo $ 3.500,00 DIDI, según seguimiento a la ejecución.</t>
        </r>
      </text>
    </comment>
    <comment ref="D119" authorId="3" shapeId="0" xr:uid="{1257B431-48BE-4C1A-A5C2-C60B7C762AC6}">
      <text>
        <r>
          <rPr>
            <b/>
            <sz val="9"/>
            <color rgb="FF000000"/>
            <rFont val="Tahoma"/>
            <family val="2"/>
          </rPr>
          <t>HP:</t>
        </r>
        <r>
          <rPr>
            <sz val="9"/>
            <color rgb="FF000000"/>
            <rFont val="Tahoma"/>
            <family val="2"/>
          </rPr>
          <t xml:space="preserve">
</t>
        </r>
        <r>
          <rPr>
            <b/>
            <sz val="9"/>
            <color rgb="FF000000"/>
            <rFont val="Tahoma"/>
            <family val="2"/>
          </rPr>
          <t>Reforma N° 2:</t>
        </r>
        <r>
          <rPr>
            <sz val="9"/>
            <color rgb="FF000000"/>
            <rFont val="Tahoma"/>
            <family val="2"/>
          </rPr>
          <t xml:space="preserve">
Se incrementó $ 2.250,00 contrato año anterior. Adquisición de silla para cubículos ANDRANGO QUIMBIAMBA FCA.
</t>
        </r>
        <r>
          <rPr>
            <b/>
            <sz val="9"/>
            <color rgb="FF000000"/>
            <rFont val="Tahoma"/>
            <family val="2"/>
          </rPr>
          <t>Reforma N° 6:</t>
        </r>
        <r>
          <rPr>
            <sz val="9"/>
            <color rgb="FF000000"/>
            <rFont val="Tahoma"/>
            <family val="2"/>
          </rPr>
          <t xml:space="preserve">
Se incrementó $ 550,00 según memo N° FCA-D-2023-0775-M_04/10/2023.</t>
        </r>
      </text>
    </comment>
    <comment ref="D120" authorId="3" shapeId="0" xr:uid="{58FCB84A-7E50-46DF-A83A-D7A0D578088A}">
      <text>
        <r>
          <rPr>
            <sz val="12"/>
            <color theme="1"/>
            <rFont val="Arial"/>
            <family val="2"/>
            <scheme val="minor"/>
          </rPr>
          <t>HP:
Reforma N° 2:
Se incrementó $ 3.495,00 por contrato del año anterior para adquisición de un estereomicroscopio para la ejecución de un proyecto de investigación de la FCQS - NARVAEZ SOLUCIONES INTEGRALES - NSI CIA.LTDA. - DIDI
$ 8.692,25 por contrato de año anterior para adquisición de proyectores de imagen. TICS.
$ 53.725,18 FCQS
Reforma N° 3:
Se incrementó $ 13.192,00 según memo N° DTIC-2023-0088-M_04052023
Reforma N° 4:
Se incrementa $ 776,00 + $112,00 + $ 24.700,00 (televisores) en atención al memo nro. FCQS-D-2023-0905-M.
Se incrementa $ 29.760 en el POA de FCA según el memo nro. FCA-D-2023-0593-M.
Reforma N° 6:
Se incrementó $ 5.500,00 según memo N° DTIC-2023-0348-M_19/10/2023.
Se incrementó $ 37.400,00 según memo N° FCA-D-2023-0815-M_13/10/2023.</t>
        </r>
      </text>
    </comment>
    <comment ref="E120" authorId="4" shapeId="0" xr:uid="{80C322D9-DB77-41C1-8C62-DB92DBB8050C}">
      <text>
        <r>
          <rPr>
            <sz val="12"/>
            <color theme="1"/>
            <rFont val="Arial"/>
            <family val="2"/>
            <scheme val="minor"/>
          </rPr>
          <t>Valeria Ramon Capa:
Reforma N° 3:
-06/06 Se reduce $10.192 por reunión mantenida con TICS por seguimiento y en virtud de oficio Nro. MEF-SP-2023-0501 para atender Memo Nro. 0399 de DADM.
-Se redujo $5.600,00+134,40 según memo N 0604 FCQS_25052023
-Se reduce $14280 a FCQS por seguimiento y en virtud de oficio Nro. MEF-SP-2023-0501 para atender Memo Nro. 0399 de DADM.
Reforma N° 4:
Se reduce $ 745,74 + $108,80 + $ 1.691,20 + $ 1.915,20   + $ 1.915,20 + $500,00 + $1.120,00 + $ 6.057,97 en atención al memo nro. FCQS-D-2023-0905-M.
Reforma N° 5:
Se redujo $ 3.000,00 por ser saldo no ejecutado, DTICS.
Se redujo $ 280,10 (CEP N° 341) por ser saldo no ejecutado, FCQS.
Se redujo $ 149,74 (CP N° 347) por ser saldo no ejecutado, FCQS.
Reforma N° 6:
Se redujo $ 2.722,00 a FCQS (certificación 538) 
Se redujo $ 1.371,74 para py de jubilados.
Se redujo $ 1.335,41 para cubrir $ 2.000,00 para las pantallas interactivas.</t>
        </r>
      </text>
    </comment>
    <comment ref="D121" authorId="3" shapeId="0" xr:uid="{612EBEC9-681E-4F2B-BEE9-C86FE63DF919}">
      <text>
        <r>
          <rPr>
            <b/>
            <sz val="9"/>
            <color rgb="FF000000"/>
            <rFont val="Tahoma"/>
            <family val="2"/>
          </rPr>
          <t>HP:</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2:</t>
        </r>
        <r>
          <rPr>
            <sz val="9"/>
            <color rgb="FF000000"/>
            <rFont val="Tahoma"/>
            <family val="2"/>
          </rPr>
          <t xml:space="preserve">
</t>
        </r>
        <r>
          <rPr>
            <sz val="9"/>
            <color rgb="FF000000"/>
            <rFont val="Tahoma"/>
            <family val="2"/>
          </rPr>
          <t xml:space="preserve">Se incrementó $ 924.169,72 Py de Inversión FIC
</t>
        </r>
        <r>
          <rPr>
            <sz val="9"/>
            <color rgb="FF000000"/>
            <rFont val="Tahoma"/>
            <family val="2"/>
          </rPr>
          <t xml:space="preserve">
</t>
        </r>
        <r>
          <rPr>
            <b/>
            <sz val="9"/>
            <color rgb="FF000000"/>
            <rFont val="Tahoma"/>
            <family val="2"/>
          </rPr>
          <t>Reforma N</t>
        </r>
        <r>
          <rPr>
            <b/>
            <sz val="9"/>
            <color rgb="FF000000"/>
            <rFont val="Tahoma"/>
            <family val="2"/>
          </rPr>
          <t>°</t>
        </r>
        <r>
          <rPr>
            <b/>
            <sz val="9"/>
            <color rgb="FF000000"/>
            <rFont val="Tahoma"/>
            <family val="2"/>
          </rPr>
          <t xml:space="preserve"> 3:</t>
        </r>
        <r>
          <rPr>
            <sz val="9"/>
            <color rgb="FF000000"/>
            <rFont val="Tahoma"/>
            <family val="2"/>
          </rPr>
          <t xml:space="preserve">
</t>
        </r>
        <r>
          <rPr>
            <sz val="9"/>
            <color rgb="FF000000"/>
            <rFont val="Tahoma"/>
            <family val="2"/>
          </rPr>
          <t>Se incrementó $ 82.749,93 según memo N</t>
        </r>
        <r>
          <rPr>
            <sz val="9"/>
            <color rgb="FF000000"/>
            <rFont val="Tahoma"/>
            <family val="2"/>
          </rPr>
          <t>°</t>
        </r>
        <r>
          <rPr>
            <sz val="9"/>
            <color rgb="FF000000"/>
            <rFont val="Tahoma"/>
            <family val="2"/>
          </rPr>
          <t xml:space="preserve"> FIC-D-2023-0209-M_05052023.</t>
        </r>
      </text>
    </comment>
    <comment ref="E121" authorId="2" shapeId="0" xr:uid="{3CFA37F7-BF9E-4E49-A0BB-D3A198DF264D}">
      <text>
        <r>
          <rPr>
            <b/>
            <sz val="9"/>
            <color indexed="81"/>
            <rFont val="Tahoma"/>
            <family val="2"/>
          </rPr>
          <t>Admin:</t>
        </r>
        <r>
          <rPr>
            <sz val="9"/>
            <color indexed="81"/>
            <rFont val="Tahoma"/>
            <family val="2"/>
          </rPr>
          <t xml:space="preserve">
</t>
        </r>
        <r>
          <rPr>
            <b/>
            <sz val="9"/>
            <color indexed="81"/>
            <rFont val="Tahoma"/>
            <family val="2"/>
          </rPr>
          <t>Reforma N° 6:</t>
        </r>
        <r>
          <rPr>
            <sz val="9"/>
            <color indexed="81"/>
            <rFont val="Tahoma"/>
            <family val="2"/>
          </rPr>
          <t xml:space="preserve">
Se redujo $ 30.694,38 por ser saldo no ejecutado, FIC.
Se redujo $ 7.756,64 por ser saldo no ejecutado, FIC.
Se redujo $ 69.433,23 por ser saldo no ejecutado, FIC.</t>
        </r>
      </text>
    </comment>
    <comment ref="D122" authorId="3" shapeId="0" xr:uid="{24F74FFB-5BCF-415E-87A9-0E984FC67029}">
      <text>
        <r>
          <rPr>
            <sz val="12"/>
            <color theme="1"/>
            <rFont val="Arial"/>
            <family val="2"/>
            <scheme val="minor"/>
          </rPr>
          <t>HP:
Reforma N° 2:
Se incrementó $ 9.325,25 por contrato de año anterior para adquisición de proyectores de imagen. TICS.
Reforma N° 4:
Se incrementa $ 28.605,92 en el POA de FCS para atender el memo nro. UTMACH-FCS-D-2023-0831-M.
Reforma N° 6:
Se incrementó $ 11.800,00 según memo N° FCA-D-2023-0815-M_13/10/2023.</t>
        </r>
      </text>
    </comment>
    <comment ref="E122" authorId="2" shapeId="0" xr:uid="{00776CFF-70BD-4956-B3E6-66C3DAAF9F95}">
      <text>
        <r>
          <rPr>
            <b/>
            <sz val="9"/>
            <color indexed="81"/>
            <rFont val="Tahoma"/>
            <family val="2"/>
          </rPr>
          <t>Admin:</t>
        </r>
        <r>
          <rPr>
            <sz val="9"/>
            <color indexed="81"/>
            <rFont val="Tahoma"/>
            <family val="2"/>
          </rPr>
          <t xml:space="preserve">
Reforma N° 5:
Se redujo $ 1.680,80 IVA de un contrato del año anterior, DTICS.</t>
        </r>
      </text>
    </comment>
    <comment ref="D123" authorId="5" shapeId="0" xr:uid="{18C9319A-6A8A-427D-9076-9E69DDE34C38}">
      <text>
        <r>
          <rPr>
            <sz val="12"/>
            <color theme="1"/>
            <rFont val="Arial"/>
            <family val="2"/>
            <scheme val="minor"/>
          </rPr>
          <t>Eunice Basilio:
Reforma N° 2:
Se incrementó $ 211.328,52 conforme archivo POA 2023.
$ 4.278,40 Vic. de Investigación, Vinculación y Posgrado
$ 134.551,20 DIDI (con el incremento de abajo)
$ 59.062,12 + 22.400,00 FCA
$ 12.028,80 + 18043,20 FCS
$ 400,00 Rectorado
$ 1.008,00 + 30.889,60 + 1.929,57 FCQS
$ 15.120,00 FIC
Se redujo $ 132.871,20 según Memorando N° UTMACH-DIDI-2023-0053-M_02/02/2023.
Se incrementó $ 8.480,00 según adjunto de Vic. Investigación en e-mail enviado el 03/02/2023
Reforma N° 3:
Se incrementó $ 9.559,07 según memo N° 8 FCE-D-2023-0238-M_14032023
05/06: Se incrementó $5000 a FCA por reunión de seguimiento
Se incrementó $ 1.904,87+3.136,00+3.136,00 según memo N 0604 FCQS_25052023
Se incrementó 923,41 en FCA por cuadre de grupo 84
Se incrementó $11.620,00 por memo N° UTMACH-FIC-D-2023-0312-M_18052023
Se incrementó $ 13.405,61+6.776,00 según memo N 0604 FCQS_25052023
Se incrementó en DIDI $ 39.637,92 - ($3.158,13 por cuadre de fuente) para cartera de proyectos de inversión 2023
Reforman N° 4:
Se incrementa $ 27.791,68 en el POA de DIDI para financiamiento de la cartera de proyecto 2023, conforme pedido del memo nro. UTMACH-DIDI-2023-0466-M.
Se incrementa $ 2,576.00 en el POA de DIDI para financiamiento de la cartera de proyecto 2023, conforme pedido del memo nro. UTMACH-DIDI-2023-0468-M.
Reforma N° 6:
Se incrementó $ 23.600,00 según memo N° FCA-D-2023-0815-M_13/10/2023.</t>
        </r>
      </text>
    </comment>
    <comment ref="E123" authorId="4" shapeId="0" xr:uid="{DA9A690B-CB18-4365-85A6-B5317F3E88EC}">
      <text>
        <r>
          <rPr>
            <sz val="12"/>
            <color theme="1"/>
            <rFont val="Arial"/>
            <family val="2"/>
            <scheme val="minor"/>
          </rPr>
          <t>Valeria Ramon Capa:
Reforma 3:
Se reduce $15.120,00 por memo N° UTMACH-FIC-D-2023-0312-M_18052023
Se reduce $758,4 a VIVP por reunión de seguimiento y en virtud de oficio Nro. MEF-SP-2023-0501 para atender Memo Nro. 0399 de DADM.
Reforma N° 4:
Se redujo $ 62,50+120,00 Rectorado por saldo no ejecutado.
Se redujo $ 4.000,00 FCA por efecto de informe de seguimiento y atención al memo nro. FCA-D-2023-0593-M.
Se redujo $ 4.320,00 FCA por efecto de informe de seguimiento.
Se reduce $ 12,762.40 en el POA de DIDI para financiamiento de la cartera de proyecto 2023, conforme pedido del memo nro. UTMACH-DIDI-2023-0466-M
Se reduce $ 500,00 en el POA de FCA para atender memo nro. FCA-D-2023-0571-M.
Se reduce $ 3.255,54 + $ 1.456,87 + $ 1.691,20 + $ 1.691,20 en atención al memo nro. FCQS-D-2023-0905-M.
Se reduce $ 4.631,75 en el POA de FIC y se trasladan al POa de DADM en atención al Memorando nro. UTMACH-DADM-UCP-2023-1143-M.
Reforma N° 6:
Se redujo $ 1.290,00 VIVP (Certificación nro 481).
Se redujo $ 1.054,07 FCE (Certificación nro 484)
Se redujo $ 1.087,51 FCQS (Certificación nro 341)
Se redujo $ 4.625,57 FCS (certificación nro 307)
Se redujo $ 25,446,43 FCS compra de TV por haberse declarado desierto por dos ocasiones.</t>
        </r>
      </text>
    </comment>
    <comment ref="D124" authorId="6" shapeId="0" xr:uid="{D463B91C-F4A4-44A3-B000-413AB4C0B141}">
      <text>
        <r>
          <rPr>
            <sz val="12"/>
            <color theme="1"/>
            <rFont val="Arial"/>
            <family val="2"/>
            <scheme val="minor"/>
          </rPr>
          <t>Fanny Eunice Basilio Banchon:
Reforma N° 6:
Se incrementó $ 17.700,00 según memo N° FCA-D-2023-0815-M_13/10/2023.</t>
        </r>
      </text>
    </comment>
    <comment ref="D125" authorId="3" shapeId="0" xr:uid="{F1FC0D3C-3ACC-455B-A116-4AE5C541B165}">
      <text>
        <r>
          <rPr>
            <b/>
            <sz val="9"/>
            <color rgb="FF000000"/>
            <rFont val="Tahoma"/>
            <family val="2"/>
          </rPr>
          <t>HP:</t>
        </r>
        <r>
          <rPr>
            <sz val="9"/>
            <color rgb="FF000000"/>
            <rFont val="Tahoma"/>
            <family val="2"/>
          </rPr>
          <t xml:space="preserve">
Reforma N° 2:
Se incrementó $ 244.548,86 Py de Inversión FIC.</t>
        </r>
      </text>
    </comment>
    <comment ref="E125" authorId="0" shapeId="0" xr:uid="{BD1B1D61-61E6-43CC-99F7-33A3D5089F52}">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$ 74.735,30 según memo N° FIC-D-2023-0209-M_05052023.
</t>
        </r>
        <r>
          <rPr>
            <b/>
            <sz val="9"/>
            <color rgb="FF000000"/>
            <rFont val="Tahoma"/>
            <family val="2"/>
          </rPr>
          <t>Reforma N° 6:</t>
        </r>
        <r>
          <rPr>
            <sz val="9"/>
            <color rgb="FF000000"/>
            <rFont val="Tahoma"/>
            <family val="2"/>
          </rPr>
          <t xml:space="preserve">
Se redujo $ 36.925,56 por ser saldo no ejecutado, FIC.</t>
        </r>
      </text>
    </comment>
    <comment ref="D126" authorId="1" shapeId="0" xr:uid="{90DF6F12-543A-40B3-A388-C8470A214842}">
      <text>
        <r>
          <rPr>
            <b/>
            <sz val="9"/>
            <color rgb="FF000000"/>
            <rFont val="Tahoma"/>
            <family val="2"/>
          </rPr>
          <t>Microsoft Office User:</t>
        </r>
        <r>
          <rPr>
            <sz val="9"/>
            <color rgb="FF000000"/>
            <rFont val="Tahoma"/>
            <family val="2"/>
          </rPr>
          <t xml:space="preserve">
Reforma N° 4:
Se incrementa $ 119.296,80 en el POA de DTIC para atender el memo nro. DTIC-2023-224-M.	</t>
        </r>
      </text>
    </comment>
    <comment ref="E126" authorId="2" shapeId="0" xr:uid="{767581AE-435A-46B6-ADC0-360502F86505}">
      <text>
        <r>
          <rPr>
            <b/>
            <sz val="9"/>
            <color indexed="81"/>
            <rFont val="Tahoma"/>
            <family val="2"/>
          </rPr>
          <t>Admin:</t>
        </r>
        <r>
          <rPr>
            <sz val="9"/>
            <color indexed="81"/>
            <rFont val="Tahoma"/>
            <family val="2"/>
          </rPr>
          <t xml:space="preserve">
</t>
        </r>
        <r>
          <rPr>
            <b/>
            <sz val="9"/>
            <color indexed="81"/>
            <rFont val="Tahoma"/>
            <family val="2"/>
          </rPr>
          <t>Reforma N° 6:</t>
        </r>
        <r>
          <rPr>
            <sz val="9"/>
            <color indexed="81"/>
            <rFont val="Tahoma"/>
            <family val="2"/>
          </rPr>
          <t xml:space="preserve">
Se redujo $ 13.537,80 por ser saldo no ejecutado, Dir. Adm.</t>
        </r>
      </text>
    </comment>
    <comment ref="D127" authorId="5" shapeId="0" xr:uid="{B376F43B-BBB6-4969-BFCD-75049AE155E6}">
      <text>
        <r>
          <rPr>
            <sz val="12"/>
            <color theme="1"/>
            <rFont val="Arial"/>
            <family val="2"/>
            <scheme val="minor"/>
          </rPr>
          <t>Eunice Basilio:
Reforma N° 2:
Se incrementó conforme archivo POA 2023:
$ 13.523,26 Vic. Investigación
$ 2.240,00 DIDI
$ 123.516,00 DTIC + 18.037,80
$ 65.044,00 FCE
$ 11.150,72  FCS
$ 7.504,00 Rectorado
Se incrementó $ 1.771,84, según Memorando N° UTMACH-DADM-2023-0013-M del 16/01/23 Se agrega a TICS.
Se incrementó $ 45.920,00 según Memorando N° UTMACH-DIDI-2023-0053-M_02/02/2023.
Reforma N° 3:
Se incrementó $ 61.245,25 según memo N° DTIC-2023-0088-M_04052023
Se incrementó $3.500,00 por memo N° UTMACH-FIC-D-2023-0312-M_18052023
Se incrementó $38.449,60 a FCE por cuadre de fuentes
Se incrementó $10.080 a DIDI para cubrir cartera de Proyectos de investigación
Reforma N°4:
Se incrementa $ 30.329,60 en el POA de DIDI para financiamiento de la cartera de proyecto 2023, conforme pedido del memo nro. UTMACH-DIDI-2023-0466-M.
Se aumenta $ 500,00 en el POA de la FCA para atender memo nro. FCA-D-2023-0571-M.
Se incrementa $ 8587,38 en el POA de DTIC para atender memo nro. UTMACH-DTIC-2023-0224-M.
Reforma N° 6:
Se incrementó $ 30.470,00, solo para 20 computadoras y 3 impresoras, según memo N° FCE-D-2023-0996-M_29/09/2023.</t>
        </r>
      </text>
    </comment>
    <comment ref="E127" authorId="0" shapeId="0" xr:uid="{236E0AD6-91AE-4189-8EDE-869FA0B28EB0}">
      <text>
        <r>
          <rPr>
            <b/>
            <sz val="9"/>
            <color rgb="FF000000"/>
            <rFont val="Tahoma"/>
            <family val="2"/>
          </rPr>
          <t>LENOVO:</t>
        </r>
        <r>
          <rPr>
            <sz val="9"/>
            <color rgb="FF000000"/>
            <rFont val="Tahoma"/>
            <family val="2"/>
          </rPr>
          <t xml:space="preserve">
</t>
        </r>
        <r>
          <rPr>
            <b/>
            <sz val="9"/>
            <color rgb="FF000000"/>
            <rFont val="Tahoma"/>
            <family val="2"/>
          </rPr>
          <t xml:space="preserve">Reforma N° 3:
</t>
        </r>
        <r>
          <rPr>
            <sz val="9"/>
            <color rgb="FF000000"/>
            <rFont val="Tahoma"/>
            <family val="2"/>
          </rPr>
          <t xml:space="preserve">Se redujo $ 9.559,07 según memo N° 8 FCE-D-2023-0238-M_14032023
Se redujo $7.504 para cubrir solicitud de memo N CGR-2023-0180-M
Por seguimiento y en virtud de oficio Nro. MEF-SP-2023-0501 para atender Memo Nro. 0399 de DADM:
-05/06: Se redujo $2.081,43 según reunión mantenida con VIVP 
- Se reduce $33.488 según reunión mantenida con TICS
- Se redujo $16.587,2 según seguimiento DIDI
- Se redujo $5,81 por cuadre de grupo 83
</t>
        </r>
        <r>
          <rPr>
            <b/>
            <sz val="9"/>
            <color rgb="FF000000"/>
            <rFont val="Tahoma"/>
            <family val="2"/>
          </rPr>
          <t>Reforma N° 4:</t>
        </r>
        <r>
          <rPr>
            <sz val="9"/>
            <color rgb="FF000000"/>
            <rFont val="Tahoma"/>
            <family val="2"/>
          </rPr>
          <t xml:space="preserve">
Se redujo $ 21.336,00+</t>
        </r>
        <r>
          <rPr>
            <b/>
            <sz val="9"/>
            <color rgb="FF000000"/>
            <rFont val="Tahoma"/>
            <family val="2"/>
          </rPr>
          <t xml:space="preserve">512,00 SERVIDOR NAS+1.782,22 SCANER+189,84 COMPU SALA ESPEJO - </t>
        </r>
        <r>
          <rPr>
            <sz val="9"/>
            <color rgb="FF000000"/>
            <rFont val="Tahoma"/>
            <family val="2"/>
          </rPr>
          <t xml:space="preserve">DTIC por efecto de informe de seguimiento.
Se redujo $ 833,76 FCS por efecto de informe de seguimiento.
Se redujo $ 138,96 FCS por efecto de informe de seguimiento.
Se redujo $ 159,00 FCS por efecto de informe de seguimiento.
Se reduce $ 2.800,00 del POA de DTIC para atender memo nro. </t>
        </r>
        <r>
          <rPr>
            <sz val="10"/>
            <color rgb="FF000000"/>
            <rFont val="Calibri"/>
            <family val="2"/>
          </rPr>
          <t xml:space="preserve">UTMACH-DTIC-2023-0224-M.
</t>
        </r>
        <r>
          <rPr>
            <b/>
            <sz val="10"/>
            <color rgb="FF000000"/>
            <rFont val="Calibri"/>
            <family val="2"/>
          </rPr>
          <t>Reforma N° 6:</t>
        </r>
        <r>
          <rPr>
            <sz val="10"/>
            <color rgb="FF000000"/>
            <rFont val="Calibri"/>
            <family val="2"/>
          </rPr>
          <t xml:space="preserve">
Se redujo $ 199,00 a FCS (IVA- Certificación nro 143)
Se redujo $ 761,60 DIDI valor no ejecutado.</t>
        </r>
      </text>
    </comment>
    <comment ref="E133" authorId="2" shapeId="0" xr:uid="{3E117C0E-CD27-4E45-AC6C-727E133B092D}">
      <text>
        <r>
          <rPr>
            <b/>
            <sz val="9"/>
            <color rgb="FF000000"/>
            <rFont val="Tahoma"/>
            <family val="2"/>
          </rPr>
          <t>Admin:</t>
        </r>
        <r>
          <rPr>
            <sz val="9"/>
            <color rgb="FF000000"/>
            <rFont val="Tahoma"/>
            <family val="2"/>
          </rPr>
          <t xml:space="preserve">
Reforma N° 4:
Se redujo $ 817,00 DIPOS por efecto de informe de seguimiento. (Cert. N° 161).
</t>
        </r>
        <r>
          <rPr>
            <b/>
            <sz val="9"/>
            <color rgb="FF000000"/>
            <rFont val="Tahoma"/>
            <family val="2"/>
          </rPr>
          <t>Reforma N° 6:</t>
        </r>
        <r>
          <rPr>
            <sz val="9"/>
            <color rgb="FF000000"/>
            <rFont val="Tahoma"/>
            <family val="2"/>
          </rPr>
          <t xml:space="preserve">
Se redujo $ 277,91 DVIN (Cert. N° 368).</t>
        </r>
      </text>
    </comment>
    <comment ref="E134" authorId="2" shapeId="0" xr:uid="{087A18FD-5C5F-4DF3-941D-89C04EA63F19}">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$896,23 a DEC (Cert n°473)</t>
        </r>
      </text>
    </comment>
    <comment ref="D135" authorId="0" shapeId="0" xr:uid="{1FED904C-CB87-4FF7-940D-E3162A98D691}">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icrementó $ 3.382,40, según memo N° DVIN-2023-0106-M_17032023.
</t>
        </r>
        <r>
          <rPr>
            <b/>
            <sz val="9"/>
            <color rgb="FF000000"/>
            <rFont val="Tahoma"/>
            <family val="2"/>
          </rPr>
          <t>Reforma N° 6:</t>
        </r>
        <r>
          <rPr>
            <sz val="9"/>
            <color rgb="FF000000"/>
            <rFont val="Tahoma"/>
            <family val="2"/>
          </rPr>
          <t xml:space="preserve">
Se incrementó $ 871,76 según memo N° FCQS-D-2023-1267-M_23102023.</t>
        </r>
      </text>
    </comment>
    <comment ref="E135" authorId="4" shapeId="0" xr:uid="{79DEBD46-0003-423B-B921-FCF6A63F0569}">
      <text>
        <r>
          <rPr>
            <b/>
            <sz val="9"/>
            <color rgb="FF000000"/>
            <rFont val="Tahoma"/>
            <family val="2"/>
          </rPr>
          <t>Valeria Ramon Capa:</t>
        </r>
        <r>
          <rPr>
            <sz val="9"/>
            <color rgb="FF000000"/>
            <rFont val="Tahoma"/>
            <family val="2"/>
          </rPr>
          <t xml:space="preserve">
Reforma N° 3:
Se redujo $1.344,00 a FCA en reunión de seguimiento y en virtud de oficio Nro. MEF-SP-2023-0501 para atender Memo Nro. 0399 de DADM.</t>
        </r>
      </text>
    </comment>
    <comment ref="D136" authorId="3" shapeId="0" xr:uid="{84A290E2-BA4C-4547-BEBA-76C2ADCBD3BB}">
      <text>
        <r>
          <rPr>
            <b/>
            <sz val="9"/>
            <color rgb="FF000000"/>
            <rFont val="Tahoma"/>
            <family val="2"/>
          </rPr>
          <t>HP:</t>
        </r>
        <r>
          <rPr>
            <sz val="9"/>
            <color rgb="FF000000"/>
            <rFont val="Tahoma"/>
            <family val="2"/>
          </rPr>
          <t xml:space="preserve">
Reforma N° 2:
Se incrementó $ 162,40 FCQS.</t>
        </r>
      </text>
    </comment>
    <comment ref="E136" authorId="2" shapeId="0" xr:uid="{CE8BE458-486A-4CD5-B542-C76307623DAD}">
      <text>
        <r>
          <rPr>
            <b/>
            <sz val="9"/>
            <color indexed="81"/>
            <rFont val="Tahoma"/>
            <family val="2"/>
          </rPr>
          <t>Admin:</t>
        </r>
        <r>
          <rPr>
            <sz val="9"/>
            <color indexed="81"/>
            <rFont val="Tahoma"/>
            <family val="2"/>
          </rPr>
          <t xml:space="preserve">
Reforma N° 6:
Se redujo $ 162,40 según memo N° FCQS-D-2023-1267-M_23102023.</t>
        </r>
      </text>
    </comment>
    <comment ref="D137" authorId="3" shapeId="0" xr:uid="{458CA8C6-6EEC-4C50-AE21-ECD64A5F41FF}">
      <text>
        <r>
          <rPr>
            <b/>
            <sz val="9"/>
            <color rgb="FF000000"/>
            <rFont val="Tahoma"/>
            <family val="2"/>
          </rPr>
          <t>HP:</t>
        </r>
        <r>
          <rPr>
            <sz val="9"/>
            <color rgb="FF000000"/>
            <rFont val="Tahoma"/>
            <family val="2"/>
          </rPr>
          <t xml:space="preserve">
Reforma N° 2:
Se incrementó $ 619,36 FCQS.</t>
        </r>
      </text>
    </comment>
    <comment ref="E137" authorId="2" shapeId="0" xr:uid="{F574351B-AE29-4AB0-BAC2-14CB1E6D6D87}">
      <text>
        <r>
          <rPr>
            <b/>
            <sz val="9"/>
            <color indexed="81"/>
            <rFont val="Tahoma"/>
            <family val="2"/>
          </rPr>
          <t>Admin:</t>
        </r>
        <r>
          <rPr>
            <sz val="9"/>
            <color indexed="81"/>
            <rFont val="Tahoma"/>
            <family val="2"/>
          </rPr>
          <t xml:space="preserve">
Reforma N° 6:</t>
        </r>
        <r>
          <rPr>
            <b/>
            <sz val="9"/>
            <color indexed="81"/>
            <rFont val="Tahoma"/>
            <family val="2"/>
          </rPr>
          <t xml:space="preserve">
</t>
        </r>
        <r>
          <rPr>
            <sz val="9"/>
            <color indexed="81"/>
            <rFont val="Tahoma"/>
            <family val="2"/>
          </rPr>
          <t>Se redujo $ 619,36 según memo N° FCQS-D-2023-1267-M_23102023.</t>
        </r>
      </text>
    </comment>
    <comment ref="D138" authorId="1" shapeId="0" xr:uid="{05EE52F3-F982-465F-A155-6184F38386C8}">
      <text>
        <r>
          <rPr>
            <b/>
            <sz val="9"/>
            <color rgb="FF000000"/>
            <rFont val="Tahoma"/>
            <family val="2"/>
          </rPr>
          <t>Microsoft Office User:</t>
        </r>
        <r>
          <rPr>
            <sz val="9"/>
            <color rgb="FF000000"/>
            <rFont val="Tahoma"/>
            <family val="2"/>
          </rPr>
          <t xml:space="preserve">
Reforma N° 4:
Incremento de $ 70.000 para la 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 en el POA de FCE.</t>
        </r>
      </text>
    </comment>
    <comment ref="E138" authorId="2" shapeId="0" xr:uid="{1BBD14FC-8993-4462-B3CF-65A018B4706A}">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$ 69.650,95 a FCE por reforma de proyecto</t>
        </r>
      </text>
    </comment>
    <comment ref="D139" authorId="1" shapeId="0" xr:uid="{D4D716A6-350A-4477-BC26-95C261A529B9}">
      <text>
        <r>
          <rPr>
            <b/>
            <sz val="10"/>
            <color rgb="FF000000"/>
            <rFont val="Tahoma"/>
            <family val="2"/>
          </rPr>
          <t>Microsoft Office User:</t>
        </r>
        <r>
          <rPr>
            <sz val="10"/>
            <color rgb="FF000000"/>
            <rFont val="Tahoma"/>
            <family val="2"/>
          </rPr>
          <t xml:space="preserve">
</t>
        </r>
        <r>
          <rPr>
            <sz val="8"/>
            <color rgb="FF000000"/>
            <rFont val="Tahoma"/>
            <family val="2"/>
          </rPr>
          <t>Reforma N° 4:
Se incrementa $804,20 para atender memo nro. UTMACH-FCS-D-2023-0831-M.</t>
        </r>
      </text>
    </comment>
    <comment ref="E139" authorId="2" shapeId="0" xr:uid="{DBF33FFA-77ED-478C-A06F-E234534196AD}">
      <text>
        <r>
          <rPr>
            <b/>
            <sz val="9"/>
            <color indexed="81"/>
            <rFont val="Tahoma"/>
            <family val="2"/>
          </rPr>
          <t>Admin:</t>
        </r>
        <r>
          <rPr>
            <sz val="9"/>
            <color indexed="81"/>
            <rFont val="Tahoma"/>
            <family val="2"/>
          </rPr>
          <t xml:space="preserve">
</t>
        </r>
        <r>
          <rPr>
            <b/>
            <sz val="9"/>
            <color indexed="81"/>
            <rFont val="Tahoma"/>
            <family val="2"/>
          </rPr>
          <t xml:space="preserve">Reforma N°6:
</t>
        </r>
        <r>
          <rPr>
            <sz val="9"/>
            <color indexed="81"/>
            <rFont val="Tahoma"/>
            <family val="2"/>
          </rPr>
          <t>Se reduce $86,17 a FCS (cert N°503)</t>
        </r>
      </text>
    </comment>
    <comment ref="D140" authorId="5" shapeId="0" xr:uid="{A61D8E6C-874A-499E-B79C-9F6DF958C2B9}">
      <text>
        <r>
          <rPr>
            <b/>
            <sz val="9"/>
            <color rgb="FF000000"/>
            <rFont val="Tahoma"/>
            <family val="2"/>
          </rPr>
          <t>Eunice Basilio:</t>
        </r>
        <r>
          <rPr>
            <sz val="9"/>
            <color rgb="FF000000"/>
            <rFont val="Tahoma"/>
            <family val="2"/>
          </rPr>
          <t xml:space="preserve">
Reforma N° 2:
Se incrementó $ 14.739,77 conforme archivo POA 2023.
Se incrementó $ 5.107,94 FCQS.</t>
        </r>
      </text>
    </comment>
    <comment ref="E140" authorId="0" shapeId="0" xr:uid="{3BAB9C8B-342C-4909-80CE-6660411696A5}">
      <text>
        <r>
          <rPr>
            <b/>
            <sz val="9"/>
            <color rgb="FF000000"/>
            <rFont val="Tahoma"/>
            <family val="2"/>
          </rPr>
          <t>LENOVO:</t>
        </r>
        <r>
          <rPr>
            <sz val="9"/>
            <color rgb="FF000000"/>
            <rFont val="Tahoma"/>
            <family val="2"/>
          </rPr>
          <t xml:space="preserve">
</t>
        </r>
        <r>
          <rPr>
            <b/>
            <sz val="9"/>
            <color rgb="FF000000"/>
            <rFont val="Tahoma"/>
            <family val="2"/>
          </rPr>
          <t>Reforma N° 3:</t>
        </r>
        <r>
          <rPr>
            <sz val="9"/>
            <color rgb="FF000000"/>
            <rFont val="Tahoma"/>
            <family val="2"/>
          </rPr>
          <t xml:space="preserve">
Se redujo $ 2.132,48, según memo N° DVIN-2023-0106-M_17032023.
</t>
        </r>
        <r>
          <rPr>
            <b/>
            <sz val="9"/>
            <color rgb="FF000000"/>
            <rFont val="Tahoma"/>
            <family val="2"/>
          </rPr>
          <t>Reforma N° 4:</t>
        </r>
        <r>
          <rPr>
            <sz val="9"/>
            <color rgb="FF000000"/>
            <rFont val="Tahoma"/>
            <family val="2"/>
          </rPr>
          <t xml:space="preserve">
Se redujo $ 301,20 DBUAC por efecto de informe de seguimiento. (Cert. N° 214 y 201).
</t>
        </r>
        <r>
          <rPr>
            <b/>
            <sz val="9"/>
            <color rgb="FF000000"/>
            <rFont val="Tahoma"/>
            <family val="2"/>
          </rPr>
          <t>Reforma N° 6</t>
        </r>
        <r>
          <rPr>
            <sz val="9"/>
            <color rgb="FF000000"/>
            <rFont val="Tahoma"/>
            <family val="2"/>
          </rPr>
          <t>:
Se redujo $ 552,42 FCQS  (IVA - Cert. N° 405).
Se redujo $ 236,56 FCS (IVA Cert N° 351)</t>
        </r>
      </text>
    </comment>
    <comment ref="D141" authorId="4" shapeId="0" xr:uid="{2F021DBF-F393-4DC2-AA9B-CE4B21471695}">
      <text>
        <r>
          <rPr>
            <b/>
            <sz val="9"/>
            <color rgb="FF000000"/>
            <rFont val="Tahoma"/>
            <family val="2"/>
          </rPr>
          <t>Valeria Ramon Capa:</t>
        </r>
        <r>
          <rPr>
            <sz val="9"/>
            <color rgb="FF000000"/>
            <rFont val="Tahoma"/>
            <family val="2"/>
          </rPr>
          <t xml:space="preserve">
</t>
        </r>
        <r>
          <rPr>
            <b/>
            <sz val="9"/>
            <color rgb="FF000000"/>
            <rFont val="Tahoma"/>
            <family val="2"/>
          </rPr>
          <t>Reforma N° 3:</t>
        </r>
        <r>
          <rPr>
            <sz val="9"/>
            <color rgb="FF000000"/>
            <rFont val="Tahoma"/>
            <family val="2"/>
          </rPr>
          <t xml:space="preserve">
Se incrementó $ 8.042,47+134,40 según memo N 0604 FCQS_25052023
</t>
        </r>
        <r>
          <rPr>
            <b/>
            <sz val="9"/>
            <color rgb="FF000000"/>
            <rFont val="Tahoma"/>
            <family val="2"/>
          </rPr>
          <t>Reforma N° 4:</t>
        </r>
        <r>
          <rPr>
            <sz val="9"/>
            <color rgb="FF000000"/>
            <rFont val="Tahoma"/>
            <family val="2"/>
          </rPr>
          <t xml:space="preserve">
Se incrementa $ 260,96 en atención al memo nro. FCQS-D-2023-0960-M.</t>
        </r>
      </text>
    </comment>
    <comment ref="E141" authorId="1" shapeId="0" xr:uid="{D51A631E-A2E3-46F0-BA3A-B6BBC34A591E}">
      <text>
        <r>
          <rPr>
            <sz val="12"/>
            <color theme="1"/>
            <rFont val="Arial"/>
            <family val="2"/>
            <scheme val="minor"/>
          </rPr>
          <t xml:space="preserve">Microsoft Office User:
Reforma N° 4:
Se reduce $ 2.442,47 en atención al memo nro. FCQS-D-2023-0905-M.
Reforma N° 5:
Se redujo $ 309,67 por ser saldo no ejecutado, (maniquí para cuidado básico del paciente) FCQS.
Reforma N° 6:
Se redujo $ 41,76 FCQS,IVA (Cert. N°512)
</t>
        </r>
      </text>
    </comment>
    <comment ref="D142" authorId="5" shapeId="0" xr:uid="{8455F4F7-1C16-49A1-B57F-F32C837DAA5F}">
      <text>
        <r>
          <rPr>
            <b/>
            <sz val="9"/>
            <color rgb="FF000000"/>
            <rFont val="Tahoma"/>
            <family val="2"/>
          </rPr>
          <t>Eunice Basilio:</t>
        </r>
        <r>
          <rPr>
            <sz val="9"/>
            <color rgb="FF000000"/>
            <rFont val="Tahoma"/>
            <family val="2"/>
          </rPr>
          <t xml:space="preserve">
</t>
        </r>
        <r>
          <rPr>
            <b/>
            <sz val="8"/>
            <color rgb="FF000000"/>
            <rFont val="Tahoma"/>
            <family val="2"/>
          </rPr>
          <t>Reforma N° 2:</t>
        </r>
        <r>
          <rPr>
            <sz val="8"/>
            <color rgb="FF000000"/>
            <rFont val="Tahoma"/>
            <family val="34"/>
          </rPr>
          <t xml:space="preserve">
Se incrementó $ 20.678,10 conforme archivo POA 2023.
Se incrementó $ 5.308,80 por contrato de año anterior para adquisición de proyectores de imagen. TICS.
Se incrementó $ 9.924,07 FCQS.
</t>
        </r>
        <r>
          <rPr>
            <b/>
            <sz val="8"/>
            <color rgb="FF000000"/>
            <rFont val="Tahoma"/>
            <family val="34"/>
          </rPr>
          <t xml:space="preserve">Reforma N° 3:
</t>
        </r>
        <r>
          <rPr>
            <sz val="8"/>
            <color rgb="FF000000"/>
            <rFont val="Tahoma"/>
            <family val="34"/>
          </rPr>
          <t xml:space="preserve">Se incrementó $ 2.265,62, según memo N° DVIN-2023-0106-M_17032023.
Se incrementó $1.568,00 por atención de memo N 231 DVIN.         
El incremento total de DVIN  = $4.005,12
Se incrementó $ 15.879,05, según memo N° DBUAC-2023-0124-M_03032023.
Se incrementó $12.549,71 por cuadre de financiamiento del POA.
</t>
        </r>
        <r>
          <rPr>
            <b/>
            <sz val="8"/>
            <color rgb="FF000000"/>
            <rFont val="Tahoma"/>
            <family val="2"/>
          </rPr>
          <t>Reforma N° 4:</t>
        </r>
        <r>
          <rPr>
            <sz val="8"/>
            <color rgb="FF000000"/>
            <rFont val="Tahoma"/>
            <family val="34"/>
          </rPr>
          <t xml:space="preserve">
</t>
        </r>
        <r>
          <rPr>
            <sz val="8"/>
            <color rgb="FF000000"/>
            <rFont val="Arial"/>
            <family val="2"/>
          </rPr>
          <t>Se aumenta $ 4.032,00 en el POA de DV en atención al memo nro. DVIN-2023-0363.
Se aumenta $ 10,21 en el POA de FCQS para atender memo nro. FCQS-D-2023-0905-M.</t>
        </r>
      </text>
    </comment>
    <comment ref="E142" authorId="4" shapeId="0" xr:uid="{54645CCA-E1E1-4AFB-AB12-6BB7AAA2377C}">
      <text>
        <r>
          <rPr>
            <sz val="12"/>
            <color theme="1"/>
            <rFont val="Arial"/>
            <family val="2"/>
            <scheme val="minor"/>
          </rPr>
          <t>Valeria Ramon Capa:
Reforma N° 3: 
Se reduce $1.568 + $4009,60 = $5.577,60 según memo N FCS 460.
Se reduce $3.528,00 según memo DEC 075.
Se redujo $1.904,87+3.136,00+3.136,00= $8.176,87 según memo N 0604 FCQS_25052023.
Reforma N° 4:
Se redujo $ 373,00 FCS por efecto de informe de seguimiento (Cert. N° 262).
Se reduce $ 1.344,00 en el POA de DV en atención al memo nro. DVIN-2023-0363.
Se reduce $ 260,93 (memo nro. FCQS-D-2023-0960) + $ 72,80 + $ 126,02 + $ 293,48 + $ 164,24 en atención al memo nro. FCQS-D-2023-0905-M.
Reforma N° 6:
Se redujo $ 1.207,00 DVIN por ser IVA (Cert. N° 422).</t>
        </r>
      </text>
    </comment>
    <comment ref="D143" authorId="5" shapeId="0" xr:uid="{0BE1D4D6-9F74-4BDC-9B2D-864C0AB57B5A}">
      <text>
        <r>
          <rPr>
            <b/>
            <sz val="9"/>
            <color rgb="FF000000"/>
            <rFont val="Tahoma"/>
            <family val="2"/>
          </rPr>
          <t>Eunice Basilio:</t>
        </r>
        <r>
          <rPr>
            <sz val="9"/>
            <color rgb="FF000000"/>
            <rFont val="Tahoma"/>
            <family val="2"/>
          </rPr>
          <t xml:space="preserve">
</t>
        </r>
        <r>
          <rPr>
            <b/>
            <sz val="9"/>
            <color rgb="FF000000"/>
            <rFont val="Tahoma"/>
            <family val="2"/>
          </rPr>
          <t>Reforma N° 2:</t>
        </r>
        <r>
          <rPr>
            <sz val="9"/>
            <color rgb="FF000000"/>
            <rFont val="Tahoma"/>
            <family val="2"/>
          </rPr>
          <t xml:space="preserve">
Se incrementó $ 21.446,90 conforme archivo POA 2023.
Se incrementó $ 336,01 FCQS.
</t>
        </r>
        <r>
          <rPr>
            <b/>
            <sz val="9"/>
            <color rgb="FF000000"/>
            <rFont val="Tahoma"/>
            <family val="2"/>
          </rPr>
          <t>Reforma N° 3:</t>
        </r>
        <r>
          <rPr>
            <sz val="9"/>
            <color rgb="FF000000"/>
            <rFont val="Tahoma"/>
            <family val="2"/>
          </rPr>
          <t xml:space="preserve">
Se incrementó $26.880,00 por atención de memo N 231 DVIN.
</t>
        </r>
        <r>
          <rPr>
            <b/>
            <sz val="9"/>
            <color rgb="FF000000"/>
            <rFont val="Tahoma"/>
            <family val="2"/>
          </rPr>
          <t>Reforma N° 4:</t>
        </r>
        <r>
          <rPr>
            <sz val="9"/>
            <color rgb="FF000000"/>
            <rFont val="Tahoma"/>
            <family val="2"/>
          </rPr>
          <t xml:space="preserve">
Se aumenta $ 1.344,00 en el POA de DV en atención al memo nro. DVIN-2023-0363.</t>
        </r>
      </text>
    </comment>
    <comment ref="E143" authorId="0" shapeId="0" xr:uid="{EEEAECCD-E1E0-44D3-B519-5C4CF7A92875}">
      <text>
        <r>
          <rPr>
            <sz val="12"/>
            <color theme="1"/>
            <rFont val="Arial"/>
            <family val="2"/>
            <scheme val="minor"/>
          </rPr>
          <t>LENOVO:
Reforma N° 3:
Se redujo $ 133,14, según memo N° DVIN-2023-0106-M_17032023.
Se redujo $1800,02 según memo N FCS-2023-0460.
Reforma N° 4:
Se redujo $ 840,00+318,00 FCS por efecto de informe de seguimiento.
Se redujo $ 48,00 FCA por efecto de informe de seguimiento.
Se reduce $4.032,00 en el POA de DV en atención al memo nro. DVIN-2023-0363.
Reforma N° 6:
Se redujo $ 1.293,00 DEC (IVA - Cert. N°466)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s>
  <commentList>
    <comment ref="AA75" authorId="0" shapeId="0" xr:uid="{624CC81E-6F8F-4CDB-AD01-95C5DA4D92C0}">
      <text>
        <r>
          <rPr>
            <sz val="10"/>
            <color rgb="FF000000"/>
            <rFont val="Arial"/>
            <family val="2"/>
            <scheme val="minor"/>
          </rPr>
          <t>Dirección De Planificación:
La necesidad será atendida por parte de la Dirección Administrativa en un proceso unificado para el edificio principal.</t>
        </r>
      </text>
    </comment>
    <comment ref="AA80" authorId="0" shapeId="0" xr:uid="{B43111F5-4AC2-4AD0-BF71-94C484D4108C}">
      <text>
        <r>
          <rPr>
            <sz val="10"/>
            <color rgb="FF000000"/>
            <rFont val="Arial"/>
            <family val="2"/>
            <scheme val="minor"/>
          </rPr>
          <t>Dirección De Planificación:
CERTIFICACION Nro 75</t>
        </r>
      </text>
    </comment>
    <comment ref="AA89" authorId="0" shapeId="0" xr:uid="{20EBBF8F-65B4-4EBF-AA5C-756AA5A1F96C}">
      <text>
        <r>
          <rPr>
            <sz val="10"/>
            <color rgb="FF000000"/>
            <rFont val="Arial"/>
            <family val="2"/>
            <scheme val="minor"/>
          </rPr>
          <t xml:space="preserve">Dirección De Planificación:
Certificación presupuestaria en trámite
</t>
        </r>
      </text>
    </comment>
    <comment ref="AA91" authorId="0" shapeId="0" xr:uid="{3C60241B-DFC4-45A6-B776-E8B69963053B}">
      <text>
        <r>
          <rPr>
            <sz val="10"/>
            <color rgb="FF000000"/>
            <rFont val="Arial"/>
            <family val="2"/>
            <scheme val="minor"/>
          </rPr>
          <t xml:space="preserve">Dirección De Planificación:
Certificación presupuestaria en trámite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tc={CBF3F27F-289E-4F52-8C1D-3F545578393E}</author>
    <author>tc={7E87AA62-4C02-4A98-BC4B-295C664DFAF0}</author>
    <author>tc={C33F88E0-A3A2-4024-A14E-FF0EBB6C6979}</author>
    <author>tc={7102A329-CB57-476A-8500-2C20CACB0941}</author>
    <author>tc={C4065BDA-75B2-4ABB-91F0-4948106BB320}</author>
    <author>LENOVO</author>
    <author>tc={FC8DAFFD-0B4C-4889-80EF-ABCEDB2237FC}</author>
    <author>tc={5CC87133-4EAE-4A58-B78E-87251C4B116B}</author>
    <author>tc={433A7EEB-3F0D-425A-BC35-1ECF8E9758EE}</author>
  </authors>
  <commentList>
    <comment ref="AA15" authorId="0" shapeId="0" xr:uid="{DECD4715-3A54-4950-8690-960ED2F5033C}">
      <text>
        <r>
          <rPr>
            <sz val="10"/>
            <color rgb="FF000000"/>
            <rFont val="Arial"/>
            <family val="2"/>
            <scheme val="minor"/>
          </rPr>
          <t>Dirección De Planificación:
Certificación presupuestaria nro. 331</t>
        </r>
      </text>
    </comment>
    <comment ref="AA17" authorId="0" shapeId="0" xr:uid="{7E2F479A-E9C9-4B94-BBD4-88BF6572C1B7}">
      <text>
        <r>
          <rPr>
            <sz val="10"/>
            <color rgb="FF000000"/>
            <rFont val="Arial"/>
            <family val="2"/>
            <scheme val="minor"/>
          </rPr>
          <t>Dirección De Planificación:
Certificaciones 214 y 201</t>
        </r>
      </text>
    </comment>
    <comment ref="AA30" authorId="1" shapeId="0" xr:uid="{CBF3F27F-289E-4F52-8C1D-3F545578393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497</t>
        </r>
      </text>
    </comment>
    <comment ref="Y38" authorId="2" shapeId="0" xr:uid="{7E87AA62-4C02-4A98-BC4B-295C664DFAF0}">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1153.93</t>
        </r>
      </text>
    </comment>
    <comment ref="AA68" authorId="0" shapeId="0" xr:uid="{71E27527-8260-4EDA-B87F-3F5F23572776}">
      <text>
        <r>
          <rPr>
            <sz val="10"/>
            <color rgb="FF000000"/>
            <rFont val="Arial"/>
            <family val="2"/>
            <scheme val="minor"/>
          </rPr>
          <t>Dirección De Planificación:
Certificación presupuestaria nro. 303</t>
        </r>
      </text>
    </comment>
    <comment ref="AA77" authorId="0" shapeId="0" xr:uid="{6F1CC2BD-9927-4B2C-ABD0-AA4C20523F1D}">
      <text>
        <r>
          <rPr>
            <sz val="10"/>
            <color rgb="FF000000"/>
            <rFont val="Arial"/>
            <family val="2"/>
            <scheme val="minor"/>
          </rPr>
          <t>Dirección De Planificación:
Certificación presupuestaria nro. 149</t>
        </r>
      </text>
    </comment>
    <comment ref="AB81" authorId="3" shapeId="0" xr:uid="{C33F88E0-A3A2-4024-A14E-FF0EBB6C6979}">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383</t>
        </r>
      </text>
    </comment>
    <comment ref="AA87" authorId="4" shapeId="0" xr:uid="{7102A329-CB57-476A-8500-2C20CACB0941}">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DBUAC-920-M</t>
        </r>
      </text>
    </comment>
    <comment ref="AA92" authorId="0" shapeId="0" xr:uid="{EB765947-5E9B-4460-B288-2A3BC988DF8C}">
      <text>
        <r>
          <rPr>
            <sz val="10"/>
            <color rgb="FF000000"/>
            <rFont val="Arial"/>
            <family val="2"/>
            <scheme val="minor"/>
          </rPr>
          <t>Dirección De Planificación:
Se unifica en el POA de DADM por pedido de la Unidad de Obras.</t>
        </r>
      </text>
    </comment>
    <comment ref="AA93" authorId="0" shapeId="0" xr:uid="{D42273AE-9D93-441E-B032-7A120877406F}">
      <text>
        <r>
          <rPr>
            <sz val="10"/>
            <color rgb="FF000000"/>
            <rFont val="Arial"/>
            <family val="2"/>
            <scheme val="minor"/>
          </rPr>
          <t>Dirección De Planificación:
Certificación presupuestaria nro. 215</t>
        </r>
      </text>
    </comment>
    <comment ref="AA118" authorId="5" shapeId="0" xr:uid="{C4065BDA-75B2-4ABB-91F0-4948106BB320}">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392</t>
        </r>
      </text>
    </comment>
    <comment ref="V224" authorId="6" shapeId="0" xr:uid="{00000000-0006-0000-0600-000001000000}">
      <text>
        <r>
          <rPr>
            <b/>
            <sz val="9"/>
            <color indexed="81"/>
            <rFont val="Tahoma"/>
            <family val="2"/>
          </rPr>
          <t>LENOVO:</t>
        </r>
        <r>
          <rPr>
            <sz val="9"/>
            <color indexed="81"/>
            <rFont val="Tahoma"/>
            <family val="2"/>
          </rPr>
          <t xml:space="preserve">
Verificar ítems</t>
        </r>
      </text>
    </comment>
    <comment ref="W239" authorId="7" shapeId="0" xr:uid="{FC8DAFFD-0B4C-4889-80EF-ABCEDB2237F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11</t>
        </r>
      </text>
    </comment>
    <comment ref="W240" authorId="8" shapeId="0" xr:uid="{5CC87133-4EAE-4A58-B78E-87251C4B116B}">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4</t>
        </r>
      </text>
    </comment>
    <comment ref="W241" authorId="9" shapeId="0" xr:uid="{433A7EEB-3F0D-425A-BC35-1ECF8E9758EE}">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tc={09A50006-EC1A-4B96-B1F2-A7E1D451F4A9}</author>
  </authors>
  <commentList>
    <comment ref="AA10" authorId="0" shapeId="0" xr:uid="{A607D0E5-199E-484D-89BA-4EC9D6F77484}">
      <text>
        <r>
          <rPr>
            <sz val="10"/>
            <color rgb="FF000000"/>
            <rFont val="Arial"/>
            <family val="2"/>
            <scheme val="minor"/>
          </rPr>
          <t>Dirección De Planificación:
Certificación presupuestaria nro. 152</t>
        </r>
      </text>
    </comment>
    <comment ref="AA11" authorId="0" shapeId="0" xr:uid="{3AB173CE-6A1D-4CCB-884A-257DDC84953F}">
      <text>
        <r>
          <rPr>
            <sz val="10"/>
            <color rgb="FF000000"/>
            <rFont val="Arial"/>
            <family val="2"/>
            <scheme val="minor"/>
          </rPr>
          <t>Dirección De Planificación:
Certificación presupuestaria nro. 235</t>
        </r>
      </text>
    </comment>
    <comment ref="AA12" authorId="0" shapeId="0" xr:uid="{BBD39C04-7DAD-4C65-B495-D380008E63A1}">
      <text>
        <r>
          <rPr>
            <sz val="10"/>
            <color rgb="FF000000"/>
            <rFont val="Arial"/>
            <family val="2"/>
            <scheme val="minor"/>
          </rPr>
          <t>Dirección De Planificación:
Se unifica en el POA de DADM por pedido de la Unidad de Obras.</t>
        </r>
      </text>
    </comment>
    <comment ref="AA13" authorId="0" shapeId="0" xr:uid="{8EC64B4C-A5D2-4B7A-8E0E-9D5D0277DCCA}">
      <text>
        <r>
          <rPr>
            <sz val="10"/>
            <color rgb="FF000000"/>
            <rFont val="Arial"/>
            <family val="2"/>
            <scheme val="minor"/>
          </rPr>
          <t>Dirección De Planificación:
Se unifica en el POA de DADM por pedido de la Unidad de Obras.</t>
        </r>
      </text>
    </comment>
    <comment ref="AB14" authorId="1" shapeId="0" xr:uid="{09A50006-EC1A-4B96-B1F2-A7E1D451F4A9}">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169</t>
        </r>
      </text>
    </comment>
    <comment ref="AA15" authorId="0" shapeId="0" xr:uid="{34EBCB40-8CB6-4426-A747-578B77DA48D9}">
      <text>
        <r>
          <rPr>
            <sz val="10"/>
            <color rgb="FF000000"/>
            <rFont val="Arial"/>
            <family val="2"/>
            <scheme val="minor"/>
          </rPr>
          <t>Dirección De Planificación:
Certificación nro. 169</t>
        </r>
      </text>
    </comment>
    <comment ref="AA16" authorId="0" shapeId="0" xr:uid="{0A766211-55E5-4542-922A-5C99851A70C9}">
      <text>
        <r>
          <rPr>
            <sz val="10"/>
            <color rgb="FF000000"/>
            <rFont val="Arial"/>
            <family val="2"/>
            <scheme val="minor"/>
          </rPr>
          <t>Dirección De Planificación:
Certificación nro. 169</t>
        </r>
      </text>
    </comment>
    <comment ref="AA17" authorId="0" shapeId="0" xr:uid="{F9CA54D8-F5DC-497B-831F-AAE39DFA589B}">
      <text>
        <r>
          <rPr>
            <sz val="10"/>
            <color rgb="FF000000"/>
            <rFont val="Arial"/>
            <family val="2"/>
            <scheme val="minor"/>
          </rPr>
          <t>Dirección De Planificación:
Certificación nro. 169</t>
        </r>
      </text>
    </comment>
    <comment ref="AA18" authorId="0" shapeId="0" xr:uid="{61D7A4FC-40DD-4C8D-BC96-5E2FD597F4CC}">
      <text>
        <r>
          <rPr>
            <sz val="10"/>
            <color rgb="FF000000"/>
            <rFont val="Arial"/>
            <family val="2"/>
            <scheme val="minor"/>
          </rPr>
          <t>Dirección De Planificación:
Certificación nro. 169</t>
        </r>
      </text>
    </comment>
    <comment ref="AA19" authorId="0" shapeId="0" xr:uid="{F2F6E170-C01B-428B-A1F2-604A8D423859}">
      <text>
        <r>
          <rPr>
            <sz val="10"/>
            <color rgb="FF000000"/>
            <rFont val="Arial"/>
            <family val="2"/>
            <scheme val="minor"/>
          </rPr>
          <t>Dirección De Planificación:
Certificación nro. 169</t>
        </r>
      </text>
    </comment>
    <comment ref="AA21" authorId="0" shapeId="0" xr:uid="{E537C893-C407-4CB0-9A85-AEA91672DC23}">
      <text>
        <r>
          <rPr>
            <sz val="10"/>
            <color rgb="FF000000"/>
            <rFont val="Arial"/>
            <family val="2"/>
            <scheme val="minor"/>
          </rPr>
          <t>Dirección De Planificación:
Certificaciones presupuestarias nro. 120 y nro. 267</t>
        </r>
      </text>
    </comment>
    <comment ref="AB25" authorId="0" shapeId="0" xr:uid="{29CEB404-99E5-44DD-B673-BE840C5818A3}">
      <text>
        <r>
          <rPr>
            <sz val="10"/>
            <color rgb="FF000000"/>
            <rFont val="Arial"/>
            <family val="2"/>
            <scheme val="minor"/>
          </rPr>
          <t>Dirección De Planificación:
Se deberá realizar un solo proceso de contratación para este y otros fines con lo asignado a la CGR.</t>
        </r>
      </text>
    </comment>
    <comment ref="AA51" authorId="0" shapeId="0" xr:uid="{449EDCA2-37B5-4224-A923-E8E1356E23F1}">
      <text>
        <r>
          <rPr>
            <sz val="10"/>
            <color rgb="FF000000"/>
            <rFont val="Arial"/>
            <family val="2"/>
          </rPr>
          <t xml:space="preserve">Dirección De Planificación:
</t>
        </r>
        <r>
          <rPr>
            <sz val="10"/>
            <color rgb="FF000000"/>
            <rFont val="Arial"/>
            <family val="2"/>
          </rPr>
          <t xml:space="preserve">
</t>
        </r>
        <r>
          <rPr>
            <sz val="10"/>
            <color rgb="FF000000"/>
            <rFont val="Arial"/>
            <family val="2"/>
          </rPr>
          <t>Certificación 153</t>
        </r>
      </text>
    </comment>
    <comment ref="AA52" authorId="0" shapeId="0" xr:uid="{908984E0-DAF4-4419-8664-0A9A91F688CB}">
      <text>
        <r>
          <rPr>
            <sz val="10"/>
            <color rgb="FF000000"/>
            <rFont val="Arial"/>
            <family val="2"/>
          </rPr>
          <t xml:space="preserve">Dirección De Planificación:
</t>
        </r>
        <r>
          <rPr>
            <sz val="10"/>
            <color rgb="FF000000"/>
            <rFont val="Arial"/>
            <family val="2"/>
          </rPr>
          <t xml:space="preserve">
</t>
        </r>
        <r>
          <rPr>
            <sz val="10"/>
            <color rgb="FF000000"/>
            <rFont val="Arial"/>
            <family val="2"/>
          </rPr>
          <t>Certificación nro. 153</t>
        </r>
      </text>
    </comment>
    <comment ref="AA53" authorId="0" shapeId="0" xr:uid="{AE0B2BB9-52A0-4289-8423-C7B2125F5749}">
      <text>
        <r>
          <rPr>
            <sz val="10"/>
            <color rgb="FF000000"/>
            <rFont val="Arial"/>
            <family val="2"/>
            <scheme val="minor"/>
          </rPr>
          <t>Dirección De Planificación:
Certificación nro. 153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Valeria Ramon Capa</author>
    <author>tc={CA14DB5A-699D-48FD-8669-4E002654E9D5}</author>
  </authors>
  <commentList>
    <comment ref="AA22" authorId="0" shapeId="0" xr:uid="{9AB880C1-70F0-47EF-9078-E0673B1C3DC8}">
      <text>
        <r>
          <rPr>
            <sz val="10"/>
            <color rgb="FF000000"/>
            <rFont val="Arial"/>
            <family val="2"/>
            <scheme val="minor"/>
          </rPr>
          <t>Dirección De Planificación:
Monto efectivo de ejecución presupuestaria. Saldo se reduce.</t>
        </r>
      </text>
    </comment>
    <comment ref="AA116" authorId="1" shapeId="0" xr:uid="{00000000-0006-0000-0800-000001000000}">
      <text>
        <r>
          <rPr>
            <b/>
            <sz val="10"/>
            <color rgb="FF000000"/>
            <rFont val="Tahoma"/>
            <family val="2"/>
          </rPr>
          <t>Valeria Ramon Capa:</t>
        </r>
        <r>
          <rPr>
            <sz val="10"/>
            <color rgb="FF000000"/>
            <rFont val="Tahoma"/>
            <family val="2"/>
          </rPr>
          <t xml:space="preserve">
</t>
        </r>
        <r>
          <rPr>
            <sz val="10"/>
            <color rgb="FF000000"/>
            <rFont val="Tahoma"/>
            <family val="2"/>
          </rPr>
          <t>SUSPENDER LO DE ROJO</t>
        </r>
      </text>
    </comment>
    <comment ref="AA123" authorId="2" shapeId="0" xr:uid="{CA14DB5A-699D-48FD-8669-4E002654E9D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481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tc={4049EB25-0F89-4661-BB61-263665D70338}</author>
    <author>tc={A63BC58F-A90B-45B5-BFBC-5965471230DC}</author>
    <author>tc={CE169F96-2873-43E0-A898-1D2659F13CC5}</author>
    <author>tc={CF736709-1321-44C0-B568-D4D02CE9BCD5}</author>
    <author>tc={542EA6F0-7840-45DA-A2DE-7D9D27D48629}</author>
    <author>tc={0FCA4669-B2D4-4676-9628-E6238B263C3D}</author>
  </authors>
  <commentList>
    <comment ref="AA27" authorId="0" shapeId="0" xr:uid="{9A8A2EB8-C27C-4F88-9852-E0DA4FDCCF53}">
      <text>
        <r>
          <rPr>
            <sz val="10"/>
            <color rgb="FF000000"/>
            <rFont val="Arial"/>
            <scheme val="minor"/>
          </rPr>
          <t>Dirección De Planificación:
CERTIFICACION Nro 160
CERTIFICACION Nro 86</t>
        </r>
      </text>
    </comment>
    <comment ref="AA37" authorId="1" shapeId="0" xr:uid="{4049EB25-0F89-4661-BB61-263665D70338}">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certificación 94</t>
        </r>
      </text>
    </comment>
    <comment ref="AA45" authorId="2" shapeId="0" xr:uid="{A63BC58F-A90B-45B5-BFBC-5965471230DC}">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516</t>
        </r>
      </text>
    </comment>
    <comment ref="AA46" authorId="0" shapeId="0" xr:uid="{CDF6B82A-3E14-4C5E-9316-AABA47D30F6E}">
      <text>
        <r>
          <rPr>
            <sz val="10"/>
            <color rgb="FF000000"/>
            <rFont val="Arial"/>
            <family val="2"/>
            <scheme val="minor"/>
          </rPr>
          <t>Dirección De Planificación:
CERTIFICACION Nro 305</t>
        </r>
      </text>
    </comment>
    <comment ref="AB121" authorId="3" shapeId="0" xr:uid="{CE169F96-2873-43E0-A898-1D2659F13CC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10714.29</t>
        </r>
      </text>
    </comment>
    <comment ref="AC121" authorId="4" shapeId="0" xr:uid="{CF736709-1321-44C0-B568-D4D02CE9BCD5}">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IVA A DESCONTAR DEL PROCESO, FALTA DE DISMINUIR EN REFORMA Y POA</t>
        </r>
      </text>
    </comment>
    <comment ref="AA290" authorId="0" shapeId="0" xr:uid="{B610D43D-A1B7-4F10-B7C4-C222B2CDCCC9}">
      <text>
        <r>
          <rPr>
            <sz val="10"/>
            <color rgb="FF000000"/>
            <rFont val="Arial"/>
            <family val="2"/>
            <scheme val="minor"/>
          </rPr>
          <t xml:space="preserve">Dirección De Planificación:
CERTIFICACION Nro 95
</t>
        </r>
      </text>
    </comment>
    <comment ref="AA293" authorId="0" shapeId="0" xr:uid="{B53955AF-36E6-458F-B780-9C3250A72496}">
      <text>
        <r>
          <rPr>
            <sz val="10"/>
            <color rgb="FF000000"/>
            <rFont val="Arial"/>
            <family val="2"/>
            <scheme val="minor"/>
          </rPr>
          <t>Dirección De Planificación:
CERTIFICACION Nro 309</t>
        </r>
      </text>
    </comment>
    <comment ref="AA295" authorId="5" shapeId="0" xr:uid="{542EA6F0-7840-45DA-A2DE-7D9D27D48629}">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502</t>
        </r>
      </text>
    </comment>
    <comment ref="AA296" authorId="0" shapeId="0" xr:uid="{26ABEBEE-31EB-47EE-9CCE-64B02D5B3880}">
      <text>
        <r>
          <rPr>
            <sz val="10"/>
            <color rgb="FF000000"/>
            <rFont val="Arial"/>
            <family val="2"/>
            <scheme val="minor"/>
          </rPr>
          <t>Dirección De Planificación:
CERTIFICACION Nro 306</t>
        </r>
      </text>
    </comment>
    <comment ref="AA297" authorId="0" shapeId="0" xr:uid="{0B03A19E-8734-4FC5-BBAB-DFDDA88967FB}">
      <text>
        <r>
          <rPr>
            <sz val="10"/>
            <color rgb="FF000000"/>
            <rFont val="Arial"/>
            <family val="2"/>
            <scheme val="minor"/>
          </rPr>
          <t>Dirección De Planificación:
CERTIFICACION Nro 251</t>
        </r>
      </text>
    </comment>
    <comment ref="AA298" authorId="0" shapeId="0" xr:uid="{D21C1BFF-C1FB-4AF2-93BE-DE0A2936272B}">
      <text>
        <r>
          <rPr>
            <sz val="10"/>
            <color rgb="FF000000"/>
            <rFont val="Arial"/>
            <family val="2"/>
            <scheme val="minor"/>
          </rPr>
          <t>Dirección De Planificación:
CERTIFICACION Nro 312</t>
        </r>
      </text>
    </comment>
    <comment ref="AA299" authorId="6" shapeId="0" xr:uid="{0FCA4669-B2D4-4676-9628-E6238B263C3D}">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Certificación nro 429  pendiente de disrminuir el iva en POA y reforma
Reply:
     Certificación Nro. 429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Dirección De Planificación</author>
    <author>tc={22EDCE02-DE07-43B4-8946-9F05AEE264C3}</author>
  </authors>
  <commentList>
    <comment ref="AA10" authorId="0" shapeId="0" xr:uid="{312D803D-CE86-4F75-BE47-8F0EB03CF2EA}">
      <text>
        <r>
          <rPr>
            <sz val="10"/>
            <color rgb="FF000000"/>
            <rFont val="Arial"/>
            <family val="2"/>
            <scheme val="minor"/>
          </rPr>
          <t>Dirección De Planificación:
CERTIFICACION Nro 147</t>
        </r>
      </text>
    </comment>
    <comment ref="AA11" authorId="0" shapeId="0" xr:uid="{27828133-F0FD-4DE5-BD4A-EBC820A6CB6D}">
      <text>
        <r>
          <rPr>
            <sz val="10"/>
            <color rgb="FF000000"/>
            <rFont val="Arial"/>
            <family val="2"/>
            <scheme val="minor"/>
          </rPr>
          <t>Dirección De Planificación:
CERTIFICACION Nro 147</t>
        </r>
      </text>
    </comment>
    <comment ref="AA12" authorId="0" shapeId="0" xr:uid="{E84F22C2-77F1-4DEC-85B3-57FDBC4D3A97}">
      <text>
        <r>
          <rPr>
            <sz val="10"/>
            <color rgb="FF000000"/>
            <rFont val="Arial"/>
            <family val="2"/>
            <scheme val="minor"/>
          </rPr>
          <t>Dirección De Planificación:
CERTIFICACION Nro 147</t>
        </r>
      </text>
    </comment>
    <comment ref="AA15" authorId="1" shapeId="0" xr:uid="{22EDCE02-DE07-43B4-8946-9F05AEE264C3}">
      <text>
        <r>
          <rPr>
            <sz val="10"/>
            <color rgb="FF000000"/>
            <rFont val="Arial"/>
            <scheme val="minor"/>
          </rPr>
          <t>[Threaded comment]
Your version of Excel allows you to read this threaded comment; however, any edits to it will get removed if the file is opened in a newer version of Excel. Learn more: https://go.microsoft.com/fwlink/?linkid=870924
Comment:
    CERTIFICACION Nro 381</t>
        </r>
      </text>
    </comment>
    <comment ref="U20" authorId="0" shapeId="0" xr:uid="{A6DED890-35D6-4CBB-9FF8-76CD6EB8E63A}">
      <text>
        <r>
          <rPr>
            <sz val="10"/>
            <color rgb="FF000000"/>
            <rFont val="Arial"/>
            <family val="2"/>
            <scheme val="minor"/>
          </rPr>
          <t xml:space="preserve">Dirección De Planificación:
CERTIFICACION Nro 147
</t>
        </r>
      </text>
    </comment>
    <comment ref="AA25" authorId="0" shapeId="0" xr:uid="{E8AFB8C7-3651-4F3E-BEA2-B0E8CECF67EA}">
      <text>
        <r>
          <rPr>
            <sz val="10"/>
            <color rgb="FF000000"/>
            <rFont val="Arial"/>
            <family val="2"/>
            <scheme val="minor"/>
          </rPr>
          <t>Dirección De Planificación:
La coordinación para necesidades de comunicación se deberá realizar con la Dirección de Comunicación y con cargo a dicho POA 2024; en virtud de que hasta la fecha no se ha certificado ni comprometido el recurso asignado. No obstante, se mantienen $ 300,00 por trámite de pago a Editorial del Sur.</t>
        </r>
      </text>
    </comment>
    <comment ref="AA30" authorId="0" shapeId="0" xr:uid="{2324FD15-6B4E-4ACB-AAAB-5881CB0C7610}">
      <text>
        <r>
          <rPr>
            <sz val="10"/>
            <color rgb="FF000000"/>
            <rFont val="Arial"/>
            <family val="2"/>
            <scheme val="minor"/>
          </rPr>
          <t>Dirección De Planificación:
La coordinación para necesidades de comunicación se deberá realizar con la Dirección de Comunicación y con cargo a dicho POA 2024; en virtud de que hasta la fecha no se ha certificado ni comprometido el recurso asignado.</t>
        </r>
      </text>
    </comment>
  </commentList>
</comments>
</file>

<file path=xl/sharedStrings.xml><?xml version="1.0" encoding="utf-8"?>
<sst xmlns="http://schemas.openxmlformats.org/spreadsheetml/2006/main" count="40603" uniqueCount="7507">
  <si>
    <t>UNIVERSIDAD TÉCNICA DE MACHALA</t>
  </si>
  <si>
    <t>Calidad, Pertinencia y Calidez</t>
  </si>
  <si>
    <t>PLAN OPERATIVO ANUAL - PRESUPUESTO 2023</t>
  </si>
  <si>
    <t>Reforma operativa y presupuestaria Nro. 006</t>
  </si>
  <si>
    <t>DEPENDENCIA</t>
  </si>
  <si>
    <t>PROGRAMA</t>
  </si>
  <si>
    <t>DESCRIPCIÓN</t>
  </si>
  <si>
    <t>PARTIDA</t>
  </si>
  <si>
    <t>CÓDIGO TERRITORIAL</t>
  </si>
  <si>
    <t>FUENTE</t>
  </si>
  <si>
    <t>SUBTOTAL</t>
  </si>
  <si>
    <t>1. Rectorado</t>
  </si>
  <si>
    <t>2. Procuraduría General</t>
  </si>
  <si>
    <t>3. Dirección de Comunicación</t>
  </si>
  <si>
    <t>4. Secretaría General</t>
  </si>
  <si>
    <t>01 - Administración central</t>
  </si>
  <si>
    <t>Edición, Impresión, Reproducción, Publicaciones, Suscripciones, Fotocopiado, Traducción, Empastado, Enmarcación, Serigrafía, Fotografía, Carnetización, Filmación e Imágenes Satelitales</t>
  </si>
  <si>
    <t>0701</t>
  </si>
  <si>
    <t>003</t>
  </si>
  <si>
    <t>5. Dirección de Planificación</t>
  </si>
  <si>
    <t>6. Dirección de Bienestar Universitario, Arte y Cultura</t>
  </si>
  <si>
    <t>7. Dirección de Aseguramiento de la Calidad</t>
  </si>
  <si>
    <t>8. Vicerrectorado de Investigación, Vinculación y Posgrado</t>
  </si>
  <si>
    <t>9. Dirección de Investigación, Desarrollo e Innovación</t>
  </si>
  <si>
    <t>Edición. Impresión. Reproducción. Publicaciones. Suscripciones. Fotocopiado. Traducción. Empastado. Enmarcación. Serigrafía. Fotografía. Carnetización. Filmación e Imágenes Satelitales</t>
  </si>
  <si>
    <t>001</t>
  </si>
  <si>
    <t>002</t>
  </si>
  <si>
    <t>Pasajes al Interior</t>
  </si>
  <si>
    <t>Pasajes en el exterior</t>
  </si>
  <si>
    <t>Viáticos y Subsistencias en el Interior</t>
  </si>
  <si>
    <t>Viáticos y Subsistencias en el Exterior</t>
  </si>
  <si>
    <t>Maquinarias y Equipos (Instalación. Mantenimiento y Reparación)</t>
  </si>
  <si>
    <t>Investigaciones Profesionales y Análisis de Laboratorio</t>
  </si>
  <si>
    <t>Arrendamiento y Licencias de Uso de Paquetes Informáticos</t>
  </si>
  <si>
    <t>Insumos. Materiales. Suministros y Bienes para Investigación</t>
  </si>
  <si>
    <t>Equipos. Sistemas y Paquetes Informáticos</t>
  </si>
  <si>
    <t>Libros y Colecciones</t>
  </si>
  <si>
    <t>Partes y Repuestos</t>
  </si>
  <si>
    <t>Becas y Ayudas Económicas</t>
  </si>
  <si>
    <t>Maquinarias y Equipos</t>
  </si>
  <si>
    <t>Equipos, Sistemas y Paquetes Informáticos</t>
  </si>
  <si>
    <t>10. Dirección de Posgrado</t>
  </si>
  <si>
    <t>11. Dirección de Vinculación</t>
  </si>
  <si>
    <t>12. Vicerrectorado Académico</t>
  </si>
  <si>
    <t>13. Dirección Académica</t>
  </si>
  <si>
    <t>14. Dirección de Formación Profesional</t>
  </si>
  <si>
    <t>15. Dirección de Educación Continua</t>
  </si>
  <si>
    <t>17. Dirección de Tecnologías de la Información y Comunicación</t>
  </si>
  <si>
    <t>18. Dirección de Talento Humano</t>
  </si>
  <si>
    <t>19. Dirección Financiera</t>
  </si>
  <si>
    <t>20. Dirección Administrativa</t>
  </si>
  <si>
    <t>21.1. Facultad de Ciencias Agropecuarias</t>
  </si>
  <si>
    <t>21.2. Facultad de Ciencias Empresariales</t>
  </si>
  <si>
    <t>21.3. Facultad de Ciencias Químicas y de la Salud</t>
  </si>
  <si>
    <t>21.4. Facultad de Ciencias Sociales</t>
  </si>
  <si>
    <t>21.5. Facultad de Ingeniería Civil</t>
  </si>
  <si>
    <t>TOTAL UTMACH:</t>
  </si>
  <si>
    <t>USD $</t>
  </si>
  <si>
    <r>
      <rPr>
        <b/>
        <i/>
        <sz val="12"/>
        <color theme="1"/>
        <rFont val="Arial Narrow"/>
        <family val="2"/>
      </rPr>
      <t xml:space="preserve">Fuente: </t>
    </r>
    <r>
      <rPr>
        <i/>
        <sz val="12"/>
        <color theme="1"/>
        <rFont val="Arial Narrow"/>
        <family val="2"/>
      </rPr>
      <t>POAS 2023 de las Dependencias Administrativas y Académicas de la UTMACH</t>
    </r>
  </si>
  <si>
    <r>
      <rPr>
        <b/>
        <i/>
        <sz val="12"/>
        <color rgb="FF000000"/>
        <rFont val="Arial Narrow"/>
      </rPr>
      <t>Elaboración:</t>
    </r>
    <r>
      <rPr>
        <i/>
        <sz val="12"/>
        <color rgb="FF000000"/>
        <rFont val="Arial Narrow"/>
      </rPr>
      <t xml:space="preserve"> Dirección de Planificación UTMACH</t>
    </r>
  </si>
  <si>
    <r>
      <rPr>
        <b/>
        <i/>
        <sz val="12"/>
        <color rgb="FF000000"/>
        <rFont val="Arial Narrow"/>
      </rPr>
      <t>Fecha:</t>
    </r>
    <r>
      <rPr>
        <i/>
        <sz val="12"/>
        <color rgb="FF000000"/>
        <rFont val="Arial Narrow"/>
      </rPr>
      <t xml:space="preserve"> 25/10/2023</t>
    </r>
  </si>
  <si>
    <t>RESUMEN DE PRESUPUESTO ESTIMADO POR FUENTE DE FINANCIAMIENTO:</t>
  </si>
  <si>
    <t>FUENTE 1: Recursos fiscales</t>
  </si>
  <si>
    <t>FUENTE 2: Recursos fiscales generados por las Instituciones</t>
  </si>
  <si>
    <t>FUENTE 3: Recursos Provenientes de Preasignaciones</t>
  </si>
  <si>
    <t>FUENTE 202: Préstamos Externos</t>
  </si>
  <si>
    <t>FUENTE 998: Anticipos de Ejercicios Anteriores</t>
  </si>
  <si>
    <t>TOTAL:</t>
  </si>
  <si>
    <t>RESUMEN DE PRESUPUESTO  ESTIMADO POR GRUPO DE GASTO:</t>
  </si>
  <si>
    <t>51 Egresos en Personal</t>
  </si>
  <si>
    <t>53 Bienes y Servicios de Consumo</t>
  </si>
  <si>
    <t>57 Otros Egresos Corrientes</t>
  </si>
  <si>
    <t xml:space="preserve">58 Transferencias o Donaciones Corrientes </t>
  </si>
  <si>
    <t xml:space="preserve">71 Egresos en Personal para Inversión </t>
  </si>
  <si>
    <t xml:space="preserve">73 Bienes y Servicios para Inversión </t>
  </si>
  <si>
    <t>75 Obras Públicas</t>
  </si>
  <si>
    <t>84 Bienes de Larga Duración</t>
  </si>
  <si>
    <t>99 Otros Pasivos</t>
  </si>
  <si>
    <t>RESUMEN DE PRESUPUESTO ESTIMADO POR PROGRAMA PRESUPUESTARIO</t>
  </si>
  <si>
    <t>82 - Formación y gestión académica</t>
  </si>
  <si>
    <t>83 - Gestión de la investigación</t>
  </si>
  <si>
    <t>84 - Gestión de la vinculación con la colectividad</t>
  </si>
  <si>
    <t>RESUMEN DE PRESUPUESTO ESTIMADO POR DEPENDENCIA</t>
  </si>
  <si>
    <t>16. Vicerrectorado Administrativo</t>
  </si>
  <si>
    <r>
      <rPr>
        <b/>
        <i/>
        <sz val="11"/>
        <color theme="1"/>
        <rFont val="Arial"/>
        <family val="2"/>
      </rPr>
      <t xml:space="preserve">Fuente: </t>
    </r>
    <r>
      <rPr>
        <i/>
        <sz val="11"/>
        <color theme="1"/>
        <rFont val="Arial"/>
        <family val="2"/>
      </rPr>
      <t>POAS 2023 de las Unidades Administrativas y Académicas de la UTMACH</t>
    </r>
  </si>
  <si>
    <r>
      <rPr>
        <b/>
        <i/>
        <sz val="11"/>
        <color theme="1"/>
        <rFont val="Arial"/>
        <family val="2"/>
      </rPr>
      <t>Elaboración:</t>
    </r>
    <r>
      <rPr>
        <i/>
        <sz val="11"/>
        <color theme="1"/>
        <rFont val="Arial"/>
        <family val="2"/>
      </rPr>
      <t xml:space="preserve"> Dirección de Planificación</t>
    </r>
  </si>
  <si>
    <r>
      <rPr>
        <b/>
        <i/>
        <sz val="11"/>
        <color rgb="FF000000"/>
        <rFont val="Arial"/>
      </rPr>
      <t>Fecha:</t>
    </r>
    <r>
      <rPr>
        <i/>
        <sz val="11"/>
        <color rgb="FF000000"/>
        <rFont val="Arial"/>
      </rPr>
      <t xml:space="preserve"> 25/10/2023</t>
    </r>
  </si>
  <si>
    <t>RECTORADO</t>
  </si>
  <si>
    <t>PLAN  OPERATIVO  ANUAL  2023</t>
  </si>
  <si>
    <t>Dependencia</t>
  </si>
  <si>
    <t>PLAN NACIONAL DE DESARROLLO</t>
  </si>
  <si>
    <t>PLAN ESTRATÉGICO DE DESARROLLO INSTITUCIONAL</t>
  </si>
  <si>
    <t>INSTITUCIONAL</t>
  </si>
  <si>
    <t>PROGRAMACIÓN DE NECESIDADES DE RECURSOS</t>
  </si>
  <si>
    <t>Objetivo Nacional</t>
  </si>
  <si>
    <t>Políticas Públicas / Meta Nacional</t>
  </si>
  <si>
    <t>Eje Estratégico</t>
  </si>
  <si>
    <t>Lineamiento Estratégico</t>
  </si>
  <si>
    <t>Objetivo Estratégico Institucional</t>
  </si>
  <si>
    <t>Producto Institucional</t>
  </si>
  <si>
    <t>Estrategia DAFO</t>
  </si>
  <si>
    <t>Meta Estratégica / Estándar de Calidad / Meta Operativa / Otras Metas</t>
  </si>
  <si>
    <t>Producto (Resultado Esperado)</t>
  </si>
  <si>
    <t>Indicador de Resultado PEDI / Estándar de Calidad / POA</t>
  </si>
  <si>
    <t>Programación Física de la Meta</t>
  </si>
  <si>
    <t>Actividades</t>
  </si>
  <si>
    <t>Medios de Verificación</t>
  </si>
  <si>
    <t>Responsable</t>
  </si>
  <si>
    <t>Información Detallada del Objeto de la Contratación</t>
  </si>
  <si>
    <t>Presupuesto Estimativo</t>
  </si>
  <si>
    <t>Cronograma de Requisiciones</t>
  </si>
  <si>
    <t>Observaciones</t>
  </si>
  <si>
    <t>Cuatrimestre 1</t>
  </si>
  <si>
    <t>Cuatrimestre 2</t>
  </si>
  <si>
    <t>Cuatrimestre 3</t>
  </si>
  <si>
    <t>Programa Presupuestario</t>
  </si>
  <si>
    <t>Código de la Partida</t>
  </si>
  <si>
    <t>Clasificador central de productos</t>
  </si>
  <si>
    <t>Nombre de la Partida / Detalle del Objeto de Contratación</t>
  </si>
  <si>
    <t>Cantidad Anual</t>
  </si>
  <si>
    <t>Unidad (metros, litros etc.)</t>
  </si>
  <si>
    <t>Costo Unitario (Dólares)</t>
  </si>
  <si>
    <t>Subtotal (Sin IVA)</t>
  </si>
  <si>
    <t>Subtotal (Incluido el IVA)</t>
  </si>
  <si>
    <t>Total por Partida</t>
  </si>
  <si>
    <t>Fuente de Financiamiento</t>
  </si>
  <si>
    <r>
      <t>Tipo de contra</t>
    </r>
    <r>
      <rPr>
        <b/>
        <u/>
        <sz val="12"/>
        <color rgb="FF000000"/>
        <rFont val="Cambria"/>
        <family val="1"/>
      </rPr>
      <t>ta</t>
    </r>
    <r>
      <rPr>
        <b/>
        <sz val="12"/>
        <color rgb="FF000000"/>
        <rFont val="Cambria"/>
        <family val="1"/>
      </rPr>
      <t>ción</t>
    </r>
  </si>
  <si>
    <t>14 FORTALECER LAS CAPACIDADES DEL ESTADO CON ÉNFASIS EN LA ADMINISTRACIÓN DE JUSTICIA Y EFICIENCIA EN LOS PROCESOS DE REGULACIÓN Y CONTROL, CON INDEPENDENCIA Y AUTONOMÍA.</t>
  </si>
  <si>
    <t>P.14.3. Fortalecer la implementación de las buenas prácticas regulatorias que garanticen la transparencia, eficiencia y competitividad del Estado.</t>
  </si>
  <si>
    <t>_6_Eficiencia_en_la_organización_y_gestión_institucional.</t>
  </si>
  <si>
    <t>2. Garantizar la sustentabilidad económico - financiera de los programas y servicios para el bienestar estudiantil (becas, servicios, movilidad estudiantil, mejora de la infraestructura, equipamiento de laboratorios, acceso a herramientas para el aprendizaje autónomo, servicios de digitalización y copiado, acceso a las rutas urbanas desde la universidad).</t>
  </si>
  <si>
    <t>OEI_1_FORTALECER_LAS_CAPACIDADES_INSTITUCIONALES.</t>
  </si>
  <si>
    <t>FORTALECIMIENTO INSTITUCIONAL</t>
  </si>
  <si>
    <t>Estrategia de REORIENTACIÓN</t>
  </si>
  <si>
    <r>
      <rPr>
        <b/>
        <sz val="10"/>
        <color rgb="FFFF0000"/>
        <rFont val="Arial Narrow"/>
        <family val="2"/>
      </rPr>
      <t>META ESTRATÉGICA</t>
    </r>
    <r>
      <rPr>
        <b/>
        <sz val="10"/>
        <color rgb="FF000000"/>
        <rFont val="Arial Narrow"/>
        <family val="2"/>
      </rPr>
      <t xml:space="preserve">
</t>
    </r>
    <r>
      <rPr>
        <b/>
        <sz val="9"/>
        <color rgb="FF000000"/>
        <rFont val="Century Schoolbook"/>
        <family val="1"/>
      </rPr>
      <t>1.-</t>
    </r>
    <r>
      <rPr>
        <sz val="10"/>
        <color rgb="FF000000"/>
        <rFont val="Arial Narrow"/>
        <family val="2"/>
      </rPr>
      <t xml:space="preserve"> Incrementar la efectividad de la gestión institucional a través de la elaboración y/o aplicación de los procedimientos y normativas institucionales.</t>
    </r>
  </si>
  <si>
    <t>Informe de ejecución presupuestaria.</t>
  </si>
  <si>
    <t>Porcentaje de Ejecución Presupuestaria.</t>
  </si>
  <si>
    <r>
      <rPr>
        <b/>
        <sz val="9"/>
        <color theme="1"/>
        <rFont val="Century Schoolbook"/>
        <family val="1"/>
      </rPr>
      <t>1.-</t>
    </r>
    <r>
      <rPr>
        <sz val="10"/>
        <color theme="1"/>
        <rFont val="Arial Narrow"/>
        <family val="2"/>
      </rPr>
      <t xml:space="preserve"> Solicitar a la Dirección Financiera se emita un reporte pormenorizado de le evaluación de la ejecución presupuestaria de los programas, proyectos y actividades que conforman el presupuesto general.
</t>
    </r>
    <r>
      <rPr>
        <b/>
        <sz val="9"/>
        <color theme="1"/>
        <rFont val="Century Schoolbook"/>
        <family val="1"/>
      </rPr>
      <t>2.-</t>
    </r>
    <r>
      <rPr>
        <sz val="10"/>
        <color theme="1"/>
        <rFont val="Arial Narrow"/>
        <family val="2"/>
      </rPr>
      <t xml:space="preserve"> Establecer sesiones de trabajo con los jefes departamentales para identificar las mejores estrategias y priorizar los trámites que permitan cumplir con una ejecución presupuestaria eficiente.</t>
    </r>
  </si>
  <si>
    <r>
      <rPr>
        <b/>
        <sz val="9"/>
        <color theme="1"/>
        <rFont val="Century Schoolbook"/>
        <family val="1"/>
      </rPr>
      <t>1.-</t>
    </r>
    <r>
      <rPr>
        <sz val="10"/>
        <color theme="1"/>
        <rFont val="Arial Narrow"/>
        <family val="2"/>
      </rPr>
      <t xml:space="preserve"> Informe de ejecución Presupuestaria a fecha corte de la evaluación del POA.</t>
    </r>
  </si>
  <si>
    <t xml:space="preserve">* Dr. Jhonny Pérez Rodríguez,
  Rector
* Abg. Ruth Moscoso Parra,
  Coordinadora General
* Abg. Andrea Torres Vivanco,
  Analista Jurídico
* Ing. Mariela Espinoza Torres,
  Directora Financiera </t>
  </si>
  <si>
    <t>_8_La_calidad_como_cultura_universitaria.</t>
  </si>
  <si>
    <t>2. Fortalecer el liderazgo en todos los niveles de decisión para incrementar el compromiso de la comunidad universitaria en el logro de los objetivos institucionales.</t>
  </si>
  <si>
    <r>
      <rPr>
        <b/>
        <sz val="10"/>
        <color rgb="FFFF0000"/>
        <rFont val="Arial Narrow"/>
        <family val="2"/>
      </rPr>
      <t>METAS OPERATIVAS</t>
    </r>
    <r>
      <rPr>
        <b/>
        <sz val="10"/>
        <color rgb="FF000000"/>
        <rFont val="Arial Narrow"/>
        <family val="2"/>
      </rPr>
      <t xml:space="preserve">
</t>
    </r>
    <r>
      <rPr>
        <b/>
        <sz val="9"/>
        <color rgb="FF000000"/>
        <rFont val="Century Schoolbook"/>
        <family val="1"/>
      </rPr>
      <t>1.-</t>
    </r>
    <r>
      <rPr>
        <sz val="10"/>
        <color rgb="FF000000"/>
        <rFont val="Arial Narrow"/>
        <family val="2"/>
      </rPr>
      <t xml:space="preserve"> Convocar y presidir el Consejo Universitario y demás organismos dispuestos por el Estatuto y Reglamentos de la Universidad.</t>
    </r>
  </si>
  <si>
    <t>Sesiones del máximo órgano colegiado y demás órganos dispuestos por el Estatuto y Reglamentos institucionales, presididas.</t>
  </si>
  <si>
    <t>N° de sesiones presididas en Consejo Universitario.</t>
  </si>
  <si>
    <r>
      <rPr>
        <b/>
        <sz val="9"/>
        <color rgb="FF000000"/>
        <rFont val="Century Schoolbook"/>
        <family val="1"/>
      </rPr>
      <t>1.-</t>
    </r>
    <r>
      <rPr>
        <sz val="10"/>
        <color rgb="FF000000"/>
        <rFont val="Arial Narrow"/>
        <family val="2"/>
      </rPr>
      <t xml:space="preserve"> Revisar y clasificar los documentos por prioridad que necesiten ser tratados en Consejo Universitario.
</t>
    </r>
    <r>
      <rPr>
        <b/>
        <sz val="9"/>
        <color rgb="FF000000"/>
        <rFont val="Century Schoolbook"/>
        <family val="1"/>
      </rPr>
      <t>2.-</t>
    </r>
    <r>
      <rPr>
        <sz val="10"/>
        <color rgb="FF000000"/>
        <rFont val="Arial Narrow"/>
        <family val="2"/>
      </rPr>
      <t xml:space="preserve"> Realizar las convocatorias a través de la Secretaría General de la UTMACH (convocatoria vía correo electrónico).
</t>
    </r>
    <r>
      <rPr>
        <b/>
        <sz val="9"/>
        <color rgb="FF000000"/>
        <rFont val="Century Schoolbook"/>
        <family val="1"/>
      </rPr>
      <t>3.-</t>
    </r>
    <r>
      <rPr>
        <sz val="10"/>
        <color rgb="FF000000"/>
        <rFont val="Arial Narrow"/>
        <family val="2"/>
      </rPr>
      <t xml:space="preserve"> Presidir la sesión de Consejo Universitario.
</t>
    </r>
    <r>
      <rPr>
        <b/>
        <sz val="9"/>
        <color rgb="FF000000"/>
        <rFont val="Century Schoolbook"/>
        <family val="1"/>
      </rPr>
      <t>4.-</t>
    </r>
    <r>
      <rPr>
        <sz val="10"/>
        <color rgb="FF000000"/>
        <rFont val="Arial Narrow"/>
        <family val="2"/>
      </rPr>
      <t xml:space="preserve"> Exponer y presentar ante Consejo Universitario cada caso académico/administrativo que ha sido tramitado ante rectorado para ser conocido ante CU.
</t>
    </r>
    <r>
      <rPr>
        <b/>
        <sz val="9"/>
        <color rgb="FF000000"/>
        <rFont val="Century Schoolbook"/>
        <family val="1"/>
      </rPr>
      <t>5.-</t>
    </r>
    <r>
      <rPr>
        <sz val="10"/>
        <color rgb="FF000000"/>
        <rFont val="Arial Narrow"/>
        <family val="2"/>
      </rPr>
      <t xml:space="preserve"> Deliberar y tomar decisiones en cada sesión.
</t>
    </r>
    <r>
      <rPr>
        <b/>
        <sz val="9"/>
        <color rgb="FF000000"/>
        <rFont val="Century Schoolbook"/>
        <family val="1"/>
      </rPr>
      <t>6.-</t>
    </r>
    <r>
      <rPr>
        <sz val="10"/>
        <color rgb="FF000000"/>
        <rFont val="Arial Narrow"/>
        <family val="2"/>
      </rPr>
      <t xml:space="preserve"> Disponer al Secretario General asentar en actas lo actuado en Consejo Universitario.
</t>
    </r>
    <r>
      <rPr>
        <b/>
        <sz val="9"/>
        <color rgb="FF000000"/>
        <rFont val="Century Schoolbook"/>
        <family val="1"/>
      </rPr>
      <t>7.-</t>
    </r>
    <r>
      <rPr>
        <sz val="10"/>
        <color rgb="FF000000"/>
        <rFont val="Arial Narrow"/>
        <family val="2"/>
      </rPr>
      <t xml:space="preserve"> Aprobar por Consejo Universitario las actas de sesiones del organismo.
</t>
    </r>
    <r>
      <rPr>
        <b/>
        <sz val="9"/>
        <color rgb="FF000000"/>
        <rFont val="Century Schoolbook"/>
        <family val="1"/>
      </rPr>
      <t>8.-</t>
    </r>
    <r>
      <rPr>
        <sz val="10"/>
        <color rgb="FF000000"/>
        <rFont val="Arial Narrow"/>
        <family val="2"/>
      </rPr>
      <t xml:space="preserve"> Llevar la Logística para la ejecución de sesiones de Consejo Universitario.
</t>
    </r>
    <r>
      <rPr>
        <b/>
        <sz val="9"/>
        <color rgb="FF000000"/>
        <rFont val="Century Schoolbook"/>
        <family val="1"/>
      </rPr>
      <t>9.-</t>
    </r>
    <r>
      <rPr>
        <sz val="10"/>
        <color rgb="FF000000"/>
        <rFont val="Arial Narrow"/>
        <family val="2"/>
      </rPr>
      <t xml:space="preserve"> Firmar las actas.</t>
    </r>
  </si>
  <si>
    <r>
      <rPr>
        <b/>
        <sz val="9"/>
        <color theme="1"/>
        <rFont val="Century Schoolbook"/>
        <family val="1"/>
      </rPr>
      <t>1.-</t>
    </r>
    <r>
      <rPr>
        <sz val="10"/>
        <color theme="1"/>
        <rFont val="Arial Narrow"/>
        <family val="2"/>
      </rPr>
      <t xml:space="preserve"> Registro Consolidado de Sesiones de Consejo Universitario y demás órganos presididas por el Rector (actas).</t>
    </r>
  </si>
  <si>
    <t>* Dr. Jhonny Pérez Rodríguez,
  Rector
* Abg. Gerardo Fernández Valdiviezo,
  Secretario General
* Abg. Andrea Torres Vivanco,
  Analista de Jurídico</t>
  </si>
  <si>
    <t>Mantenimiento y Reparación de Equipos y Sistemas Informáticos</t>
  </si>
  <si>
    <t>DPLAN: La necesidad en la partida 530704, se deberá ejecutar en coordinación con 17. DTIC, para articular el proceso técnico y presupuestario.</t>
  </si>
  <si>
    <t>871300011</t>
  </si>
  <si>
    <t>Mantenimiento de impresora</t>
  </si>
  <si>
    <t>Servicio</t>
  </si>
  <si>
    <t>S</t>
  </si>
  <si>
    <t>Edificios, Locales Residencias (Instalación, Mantenimiento y Reparación</t>
  </si>
  <si>
    <t>547900411</t>
  </si>
  <si>
    <t>Adecuación y mantenimiento de sala de Consejo Universitario</t>
  </si>
  <si>
    <t>11. Mejorar la satisfacción del servidor universitario en el ejercicio de sus funciones.</t>
  </si>
  <si>
    <t>TALENTO HUMANO FORTALECIDO</t>
  </si>
  <si>
    <t>Estrategia OFENSIVA</t>
  </si>
  <si>
    <r>
      <rPr>
        <b/>
        <sz val="9"/>
        <color rgb="FF000000"/>
        <rFont val="Century Schoolbook"/>
        <family val="1"/>
      </rPr>
      <t>2.-</t>
    </r>
    <r>
      <rPr>
        <sz val="10"/>
        <color rgb="FF000000"/>
        <rFont val="Arial Narrow"/>
        <family val="2"/>
      </rPr>
      <t xml:space="preserve"> Designar, remover, subrogar y encargar las funciones de las Autoridades Académicas como Decano y Subdecano, de conformidad con lo dispuesto en el Estatuto.</t>
    </r>
  </si>
  <si>
    <t>Funciones para cargos académicos y/o administrativos delegadas.</t>
  </si>
  <si>
    <t>N° de designaciones encargos, subrogaciones y/o delegaciones realizadas.</t>
  </si>
  <si>
    <r>
      <rPr>
        <b/>
        <sz val="9"/>
        <color theme="1"/>
        <rFont val="Century Schoolbook"/>
        <family val="1"/>
      </rPr>
      <t>1.-</t>
    </r>
    <r>
      <rPr>
        <sz val="10"/>
        <color theme="1"/>
        <rFont val="Arial Narrow"/>
        <family val="2"/>
      </rPr>
      <t xml:space="preserve"> Recibir las solicitudes (terna) de las dependencias que cuentan con la ausencia temporal para que el rector realice el encargo, subrogación, designación.
</t>
    </r>
    <r>
      <rPr>
        <b/>
        <sz val="9"/>
        <color theme="1"/>
        <rFont val="Century Schoolbook"/>
        <family val="1"/>
      </rPr>
      <t>2.-</t>
    </r>
    <r>
      <rPr>
        <sz val="10"/>
        <color theme="1"/>
        <rFont val="Arial Narrow"/>
        <family val="2"/>
      </rPr>
      <t xml:space="preserve"> Emitir oficio y/o resolución administrativa de encargo, designación y/o subrogación, dependiente el caso.
</t>
    </r>
    <r>
      <rPr>
        <b/>
        <sz val="9"/>
        <color theme="1"/>
        <rFont val="Century Schoolbook"/>
        <family val="1"/>
      </rPr>
      <t>3.-</t>
    </r>
    <r>
      <rPr>
        <sz val="10"/>
        <color theme="1"/>
        <rFont val="Arial Narrow"/>
        <family val="2"/>
      </rPr>
      <t xml:space="preserve"> Oficializar la designación a través de la emisión de oficio y/o resolución administrativa.
</t>
    </r>
    <r>
      <rPr>
        <b/>
        <sz val="9"/>
        <color theme="1"/>
        <rFont val="Century Schoolbook"/>
        <family val="1"/>
      </rPr>
      <t>4.-</t>
    </r>
    <r>
      <rPr>
        <sz val="10"/>
        <color theme="1"/>
        <rFont val="Arial Narrow"/>
        <family val="2"/>
      </rPr>
      <t xml:space="preserve"> Comunicar a DTH para la emisión de la acción de personal.</t>
    </r>
  </si>
  <si>
    <r>
      <rPr>
        <b/>
        <sz val="9"/>
        <color theme="1"/>
        <rFont val="Century Schoolbook"/>
        <family val="1"/>
      </rPr>
      <t>1.-</t>
    </r>
    <r>
      <rPr>
        <sz val="10"/>
        <color theme="1"/>
        <rFont val="Arial Narrow"/>
        <family val="2"/>
      </rPr>
      <t xml:space="preserve"> Acciones de Personal.
</t>
    </r>
    <r>
      <rPr>
        <b/>
        <sz val="9"/>
        <color theme="1"/>
        <rFont val="Century Schoolbook"/>
        <family val="1"/>
      </rPr>
      <t>2.-</t>
    </r>
    <r>
      <rPr>
        <sz val="10"/>
        <color theme="1"/>
        <rFont val="Arial Narrow"/>
        <family val="2"/>
      </rPr>
      <t xml:space="preserve"> Oficios.
</t>
    </r>
    <r>
      <rPr>
        <b/>
        <sz val="9"/>
        <color theme="1"/>
        <rFont val="Century Schoolbook"/>
        <family val="1"/>
      </rPr>
      <t>3.-</t>
    </r>
    <r>
      <rPr>
        <sz val="10"/>
        <color theme="1"/>
        <rFont val="Arial Narrow"/>
        <family val="2"/>
      </rPr>
      <t xml:space="preserve"> Resoluciones Administrativas.</t>
    </r>
  </si>
  <si>
    <t>* Dr. Jhonny Pérez Rodríguez,
  Rector
* Abg. Andrea Torres Vivanco,
  Analista de Jurídico
* Lcda. Johanna Vega Moscoso,
  Analista de Rectorado
* Lcda. Martha Rojas Lima,
  Analista de Rectorado
* Abg. Mariuxi Apolo Silva,
  Directora de Talento Humano</t>
  </si>
  <si>
    <r>
      <rPr>
        <b/>
        <sz val="9"/>
        <color rgb="FF000000"/>
        <rFont val="Century Schoolbook"/>
        <family val="1"/>
      </rPr>
      <t>3.-</t>
    </r>
    <r>
      <rPr>
        <sz val="10"/>
        <color rgb="FF000000"/>
        <rFont val="Arial Narrow"/>
        <family val="2"/>
      </rPr>
      <t xml:space="preserve"> Suscribir Nombramiento, Posesión y/o Remoción de Cargos Académicos y/o Administrativos.</t>
    </r>
  </si>
  <si>
    <t>Cargos Académicos y/o Administrativos, Nombrados, Posesionados y/o Removidos.</t>
  </si>
  <si>
    <t>N° de Cargos Académicos y/o Administrativos Nombrados, Posesionados y/o Removidos.</t>
  </si>
  <si>
    <r>
      <rPr>
        <b/>
        <sz val="9"/>
        <color rgb="FF000000"/>
        <rFont val="Century Schoolbook"/>
        <family val="1"/>
      </rPr>
      <t>1.-</t>
    </r>
    <r>
      <rPr>
        <sz val="10"/>
        <color rgb="FF000000"/>
        <rFont val="Arial Narrow"/>
        <family val="2"/>
      </rPr>
      <t xml:space="preserve"> Recibir las solicitudes de las dependencias que cuentan con la ausencia permanente, para disponer ante Dirección de Talento Humano se emita el informe técnico de viabilidad.
</t>
    </r>
    <r>
      <rPr>
        <b/>
        <sz val="9"/>
        <color rgb="FF000000"/>
        <rFont val="Century Schoolbook"/>
        <family val="1"/>
      </rPr>
      <t>2.-</t>
    </r>
    <r>
      <rPr>
        <sz val="10"/>
        <color rgb="FF000000"/>
        <rFont val="Arial Narrow"/>
        <family val="2"/>
      </rPr>
      <t xml:space="preserve"> Aprobar el informe técnico y Emitir oficio de designación de cargos académicos y/o administrativos.
</t>
    </r>
    <r>
      <rPr>
        <b/>
        <sz val="9"/>
        <color rgb="FF000000"/>
        <rFont val="Century Schoolbook"/>
        <family val="1"/>
      </rPr>
      <t>3.-</t>
    </r>
    <r>
      <rPr>
        <sz val="10"/>
        <color rgb="FF000000"/>
        <rFont val="Arial Narrow"/>
        <family val="2"/>
      </rPr>
      <t xml:space="preserve"> Oficializar la designación a través de la emisión de resoluciones administrativas.
</t>
    </r>
    <r>
      <rPr>
        <b/>
        <sz val="9"/>
        <color rgb="FF000000"/>
        <rFont val="Century Schoolbook"/>
        <family val="1"/>
      </rPr>
      <t>4.-</t>
    </r>
    <r>
      <rPr>
        <sz val="10"/>
        <color rgb="FF000000"/>
        <rFont val="Arial Narrow"/>
        <family val="2"/>
      </rPr>
      <t xml:space="preserve"> Comunicar a Dirección de Talento Humano para la emisión de la acción de personal.</t>
    </r>
  </si>
  <si>
    <t>* Dr. Jhonny Pérez Rodríguez,
  Rector
* Abg. Mariuxi Apolo Silva,
  Directora de Talento Humano
* Abg. Andrea Torres Vivanco,
  Analista de Jurídico
* Lcda. Johanna Vega Moscoso,
  Analista de Rectorado
* Lcda. Martha Rojas Lima,
  Analista de Rectorado</t>
  </si>
  <si>
    <t>EJES SUSTANTIVOS INTEGRADOS</t>
  </si>
  <si>
    <r>
      <rPr>
        <b/>
        <sz val="9"/>
        <color rgb="FF000000"/>
        <rFont val="Century Schoolbook"/>
        <family val="1"/>
      </rPr>
      <t>4.-</t>
    </r>
    <r>
      <rPr>
        <sz val="10"/>
        <color rgb="FF000000"/>
        <rFont val="Arial Narrow"/>
        <family val="2"/>
      </rPr>
      <t xml:space="preserve"> Emitir directrices y lineamientos a los Vicerrectores para el ejercicio de sus funciones.</t>
    </r>
  </si>
  <si>
    <t>Directrices y lineamientos a los Vicerrectores para el ejercicio de sus funciones, emitidas.</t>
  </si>
  <si>
    <t>N° de Directrices y lineamientos emitidos.</t>
  </si>
  <si>
    <r>
      <rPr>
        <b/>
        <sz val="9"/>
        <color theme="1"/>
        <rFont val="Century Schoolbook"/>
        <family val="1"/>
      </rPr>
      <t>1.-</t>
    </r>
    <r>
      <rPr>
        <sz val="10"/>
        <color theme="1"/>
        <rFont val="Arial Narrow"/>
        <family val="2"/>
      </rPr>
      <t xml:space="preserve"> Establecer sesiones de trabajos con Vicerrectores académicos y/o administrativos para conocer estados de procesos y necesidades institucionales.
</t>
    </r>
    <r>
      <rPr>
        <b/>
        <sz val="9"/>
        <color theme="1"/>
        <rFont val="Century Schoolbook"/>
        <family val="1"/>
      </rPr>
      <t>2.-</t>
    </r>
    <r>
      <rPr>
        <sz val="10"/>
        <color theme="1"/>
        <rFont val="Arial Narrow"/>
        <family val="2"/>
      </rPr>
      <t xml:space="preserve"> Solicitar informes de pertinencia, según el caso.
</t>
    </r>
    <r>
      <rPr>
        <b/>
        <sz val="9"/>
        <color theme="1"/>
        <rFont val="Century Schoolbook"/>
        <family val="1"/>
      </rPr>
      <t>3.-</t>
    </r>
    <r>
      <rPr>
        <b/>
        <sz val="10"/>
        <color theme="1"/>
        <rFont val="Arial Narrow"/>
        <family val="2"/>
      </rPr>
      <t xml:space="preserve"> </t>
    </r>
    <r>
      <rPr>
        <sz val="10"/>
        <color theme="1"/>
        <rFont val="Arial Narrow"/>
        <family val="2"/>
      </rPr>
      <t>Organizar con la Dirección de Coordinación General del rectorado, sesiones de trabajo.</t>
    </r>
    <r>
      <rPr>
        <b/>
        <sz val="10"/>
        <color theme="1"/>
        <rFont val="Arial Narrow"/>
        <family val="2"/>
      </rPr>
      <t xml:space="preserve">
</t>
    </r>
    <r>
      <rPr>
        <b/>
        <sz val="9"/>
        <color theme="1"/>
        <rFont val="Century Schoolbook"/>
        <family val="1"/>
      </rPr>
      <t>4.-</t>
    </r>
    <r>
      <rPr>
        <b/>
        <sz val="10"/>
        <color theme="1"/>
        <rFont val="Arial Narrow"/>
        <family val="2"/>
      </rPr>
      <t xml:space="preserve"> </t>
    </r>
    <r>
      <rPr>
        <sz val="10"/>
        <color theme="1"/>
        <rFont val="Arial Narrow"/>
        <family val="2"/>
      </rPr>
      <t xml:space="preserve">Efectuar directrices y lineamientos a los vicerrectores.
</t>
    </r>
    <r>
      <rPr>
        <b/>
        <sz val="9"/>
        <color theme="1"/>
        <rFont val="Century Schoolbook"/>
        <family val="1"/>
      </rPr>
      <t>5.-</t>
    </r>
    <r>
      <rPr>
        <sz val="10"/>
        <color theme="1"/>
        <rFont val="Arial Narrow"/>
        <family val="2"/>
      </rPr>
      <t xml:space="preserve"> Disponer a la Dirección de Coordinación General del rectorado para que efectúe el seguimiento para evidenciar cumplimiento a través de sesiones periódicas de trabajo.</t>
    </r>
  </si>
  <si>
    <r>
      <rPr>
        <b/>
        <sz val="9"/>
        <color theme="1"/>
        <rFont val="Century Schoolbook"/>
        <family val="1"/>
      </rPr>
      <t>1.-</t>
    </r>
    <r>
      <rPr>
        <sz val="10"/>
        <color theme="1"/>
        <rFont val="Arial Narrow"/>
        <family val="2"/>
      </rPr>
      <t xml:space="preserve"> Convocatorias a sesiones de trabajo.</t>
    </r>
  </si>
  <si>
    <t>* Dr. Jhonny Pérez Rodríguez,
  Rector
* Dra. Rosemary Samaniego,
  Vicerrectora Académica
* Abg. Andrea Torres Vivanco,
  Analista de Rectorado
* Lcda. Johanna Vega Moscoso,
  Analista de Rectorado
* Lcda. Martha Rojas Lima,
  Analista de Rectorado
*  Ing. Luis Brito,
  Vicerrector de Investigación, Vinculación y Posgrado
* Ing. Irene Sánchez,
  Vicerrectora Administrativa</t>
  </si>
  <si>
    <t>43934002</t>
  </si>
  <si>
    <t>Dispensadores de agua</t>
  </si>
  <si>
    <t>Unidad</t>
  </si>
  <si>
    <t>445151116</t>
  </si>
  <si>
    <t>Cafetera</t>
  </si>
  <si>
    <t>7 POTENCIAR LAS CAPACIDADES DE LA CIUDADANÍA Y PROMOVER UNA EDUCACIÓN INNOVADORA, INCLUSIVA Y DE CALIDAD EN TODOS LOS NIVELES.</t>
  </si>
  <si>
    <t>P.7.4. Generar redes de conocimiento vinculadas a la educación superior, que promuevan espacios territoriales de innovación adaptados a las necesidades de la sociedad y el sector productivo local.</t>
  </si>
  <si>
    <t>_2_Responsabilidad_social_universitaria.</t>
  </si>
  <si>
    <t>2. Participar activamente en la resolución de problemas de la región mediante el desarrollo de propuestas científicas, tecnológicas y de vinculación social pertinentes y factibles.</t>
  </si>
  <si>
    <t>OEI_4_INCREMENTAR_LA_VINCULACIÓN_CON_LA_COLECTIVIDAD.</t>
  </si>
  <si>
    <t>INTERCULTURALIDAD E IGUALDAD DE CONDICIONES FOMENTADA</t>
  </si>
  <si>
    <t>Estrategia DEFENSIVA</t>
  </si>
  <si>
    <r>
      <rPr>
        <b/>
        <sz val="9"/>
        <color rgb="FF000000"/>
        <rFont val="Century Schoolbook"/>
        <family val="1"/>
      </rPr>
      <t>5.-</t>
    </r>
    <r>
      <rPr>
        <sz val="10"/>
        <color rgb="FF000000"/>
        <rFont val="Arial Narrow"/>
        <family val="2"/>
      </rPr>
      <t xml:space="preserve"> Emitir y difundir el Informe Anual de Rendición de Cuentas.</t>
    </r>
  </si>
  <si>
    <t>Rendición anual de cuentas, presentado.</t>
  </si>
  <si>
    <t>N° de Informe de Rendición de Cuentas presentados.</t>
  </si>
  <si>
    <r>
      <rPr>
        <b/>
        <sz val="9"/>
        <color rgb="FF000000"/>
        <rFont val="Century Schoolbook"/>
        <family val="1"/>
      </rPr>
      <t>1.-</t>
    </r>
    <r>
      <rPr>
        <sz val="10"/>
        <color rgb="FF000000"/>
        <rFont val="Arial Narrow"/>
        <family val="2"/>
      </rPr>
      <t xml:space="preserve"> Organizar con la Dirección de Planificación, los parámetros que se requieren para la elaboración del informe de rendiciones de cuentas.
</t>
    </r>
    <r>
      <rPr>
        <b/>
        <sz val="9"/>
        <color rgb="FF000000"/>
        <rFont val="Century Schoolbook"/>
        <family val="1"/>
      </rPr>
      <t>2.-</t>
    </r>
    <r>
      <rPr>
        <b/>
        <sz val="10"/>
        <color rgb="FF000000"/>
        <rFont val="Arial Narrow"/>
        <family val="2"/>
      </rPr>
      <t xml:space="preserve"> </t>
    </r>
    <r>
      <rPr>
        <sz val="10"/>
        <color rgb="FF000000"/>
        <rFont val="Arial Narrow"/>
        <family val="2"/>
      </rPr>
      <t xml:space="preserve">Gestionar y disponer a la Dirección de Coordinación General del rectorado la presentación de insumos y evidencias que tributen al informe de rendiciones de cuentas.
</t>
    </r>
    <r>
      <rPr>
        <b/>
        <sz val="9"/>
        <color rgb="FF000000"/>
        <rFont val="Century Schoolbook"/>
        <family val="1"/>
      </rPr>
      <t>3.-</t>
    </r>
    <r>
      <rPr>
        <b/>
        <sz val="10"/>
        <color rgb="FF000000"/>
        <rFont val="Arial Narrow"/>
        <family val="2"/>
      </rPr>
      <t xml:space="preserve"> </t>
    </r>
    <r>
      <rPr>
        <sz val="10"/>
        <color rgb="FF000000"/>
        <rFont val="Arial Narrow"/>
        <family val="2"/>
      </rPr>
      <t xml:space="preserve">Coordinar la logística para la presentación de informe de rendiciones de cuentas.
</t>
    </r>
    <r>
      <rPr>
        <b/>
        <sz val="9"/>
        <color rgb="FF000000"/>
        <rFont val="Century Schoolbook"/>
        <family val="1"/>
      </rPr>
      <t>4.-</t>
    </r>
    <r>
      <rPr>
        <b/>
        <sz val="10"/>
        <color rgb="FF000000"/>
        <rFont val="Arial Narrow"/>
        <family val="2"/>
      </rPr>
      <t xml:space="preserve"> </t>
    </r>
    <r>
      <rPr>
        <sz val="10"/>
        <color rgb="FF000000"/>
        <rFont val="Arial Narrow"/>
        <family val="2"/>
      </rPr>
      <t xml:space="preserve">Presentar el informe ante Consejo Universitario de la Rendición de Cuentas.
</t>
    </r>
    <r>
      <rPr>
        <b/>
        <sz val="9"/>
        <color rgb="FF000000"/>
        <rFont val="Century Schoolbook"/>
        <family val="1"/>
      </rPr>
      <t>5.-</t>
    </r>
    <r>
      <rPr>
        <b/>
        <sz val="10"/>
        <color rgb="FF000000"/>
        <rFont val="Arial Narrow"/>
        <family val="2"/>
      </rPr>
      <t xml:space="preserve"> </t>
    </r>
    <r>
      <rPr>
        <sz val="10"/>
        <color rgb="FF000000"/>
        <rFont val="Arial Narrow"/>
        <family val="2"/>
      </rPr>
      <t xml:space="preserve">Aprobar por Consejo Universitario el informe de Rendición de Cuentas.
</t>
    </r>
    <r>
      <rPr>
        <b/>
        <sz val="9"/>
        <color rgb="FF000000"/>
        <rFont val="Century Schoolbook"/>
        <family val="1"/>
      </rPr>
      <t>6.-</t>
    </r>
    <r>
      <rPr>
        <b/>
        <sz val="10"/>
        <color rgb="FF000000"/>
        <rFont val="Arial Narrow"/>
        <family val="2"/>
      </rPr>
      <t xml:space="preserve"> </t>
    </r>
    <r>
      <rPr>
        <sz val="10"/>
        <color rgb="FF000000"/>
        <rFont val="Arial Narrow"/>
        <family val="2"/>
      </rPr>
      <t xml:space="preserve">Subir al portal del CPCCS de la Rendición de Cuentas del año anterior para constancia conforme es requerido por el comité de transparencia.
</t>
    </r>
    <r>
      <rPr>
        <b/>
        <sz val="9"/>
        <color rgb="FF000000"/>
        <rFont val="Century Schoolbook"/>
        <family val="1"/>
      </rPr>
      <t>7.-</t>
    </r>
    <r>
      <rPr>
        <sz val="10"/>
        <color rgb="FF000000"/>
        <rFont val="Arial Narrow"/>
        <family val="2"/>
      </rPr>
      <t xml:space="preserve"> Difundir por medios institucionales el informe de rendiciones de cuentas.
</t>
    </r>
    <r>
      <rPr>
        <b/>
        <sz val="9"/>
        <color rgb="FF000000"/>
        <rFont val="Century Schoolbook"/>
        <family val="1"/>
      </rPr>
      <t>8.-</t>
    </r>
    <r>
      <rPr>
        <sz val="10"/>
        <color rgb="FF000000"/>
        <rFont val="Arial Narrow"/>
        <family val="2"/>
      </rPr>
      <t xml:space="preserve"> Disponer que a través de la dirección de comunicación se realice la consolidación de los aportes ciudadanos.</t>
    </r>
  </si>
  <si>
    <r>
      <rPr>
        <b/>
        <sz val="9"/>
        <color theme="1"/>
        <rFont val="Century Schoolbook"/>
        <family val="1"/>
      </rPr>
      <t>1.-</t>
    </r>
    <r>
      <rPr>
        <sz val="10"/>
        <color theme="1"/>
        <rFont val="Arial Narrow"/>
        <family val="2"/>
      </rPr>
      <t xml:space="preserve"> Informe de Rendición de Cuentas emitido y subido al portal web del Consejo de Participación Ciudadana y Control.</t>
    </r>
  </si>
  <si>
    <t>* Dr. Jhonny Pérez Rodríguez,
  Rector
* Abg. Oscar Sánchez López,
  Director de Planificación
* Lcda. Johanna Vega Moscoso,
  Analista de Rectorado
* Lcda. Martha Rojas Lima,
  Analista de Rectorado
* Lcdo. Andrés Carvajal,
  Director de Comunicación</t>
  </si>
  <si>
    <t>DPLAN: La necesidad en la partida 840107, se deberá ejecutar en coordinación con 17. DTIC, para articular el proceso técnico y presupuestario.</t>
  </si>
  <si>
    <t>452200061</t>
  </si>
  <si>
    <t>Computador portatil</t>
  </si>
  <si>
    <t>45230009</t>
  </si>
  <si>
    <t>Computadoras de escritorio</t>
  </si>
  <si>
    <t>461220011</t>
  </si>
  <si>
    <t>Ups</t>
  </si>
  <si>
    <t>731250112</t>
  </si>
  <si>
    <t>Teléfono IP</t>
  </si>
  <si>
    <t>3. Gestionar fondos que permitan la sostenibilidad de recursos humanos calificados.</t>
  </si>
  <si>
    <r>
      <rPr>
        <b/>
        <sz val="9"/>
        <color rgb="FF000000"/>
        <rFont val="Century Schoolbook"/>
        <family val="1"/>
      </rPr>
      <t>6.-</t>
    </r>
    <r>
      <rPr>
        <b/>
        <sz val="10"/>
        <color rgb="FF000000"/>
        <rFont val="Arial Narrow"/>
        <family val="2"/>
      </rPr>
      <t xml:space="preserve"> </t>
    </r>
    <r>
      <rPr>
        <sz val="10"/>
        <color rgb="FF000000"/>
        <rFont val="Arial Narrow"/>
        <family val="2"/>
      </rPr>
      <t>Presentar ante Consejo Universitario Proforma Presupuestaria y Reformas al Presupuesto; y propuestas de distribución de recurso de gasto no permanente provenientes de convenios de y otras fuentes externas.</t>
    </r>
  </si>
  <si>
    <t xml:space="preserve">Proforma presupuestaria y reformas al presupuesto; así como las propuestas de distribución de recurso de gasto no permanente provenientes de convenios y otras fuentes externas, presentadas ante Consejo Universitario. </t>
  </si>
  <si>
    <t>N° de proformas y reformas presupuestarias gestionadas para aprobación de Consejo Universitario.</t>
  </si>
  <si>
    <r>
      <rPr>
        <b/>
        <sz val="9"/>
        <color theme="1"/>
        <rFont val="Century Schoolbook"/>
        <family val="1"/>
      </rPr>
      <t>1.-</t>
    </r>
    <r>
      <rPr>
        <sz val="10"/>
        <color theme="1"/>
        <rFont val="Arial Narrow"/>
        <family val="2"/>
      </rPr>
      <t xml:space="preserve"> Planificar reuniones de trabajo con planificación y financiero para analizar la ejecución y ajustes presupuestarios.
</t>
    </r>
    <r>
      <rPr>
        <b/>
        <sz val="9"/>
        <color theme="1"/>
        <rFont val="Century Schoolbook"/>
        <family val="1"/>
      </rPr>
      <t>2.-</t>
    </r>
    <r>
      <rPr>
        <sz val="10"/>
        <color theme="1"/>
        <rFont val="Arial Narrow"/>
        <family val="2"/>
      </rPr>
      <t xml:space="preserve"> Disponer la elaboración del proyecto de reformas presupuestarias en apego a las necesidades institucionales.
</t>
    </r>
    <r>
      <rPr>
        <b/>
        <sz val="9"/>
        <color theme="1"/>
        <rFont val="Century Schoolbook"/>
        <family val="1"/>
      </rPr>
      <t>3.-</t>
    </r>
    <r>
      <rPr>
        <sz val="10"/>
        <color theme="1"/>
        <rFont val="Arial Narrow"/>
        <family val="2"/>
      </rPr>
      <t xml:space="preserve"> Presentar ante el órgano colegiado superior los proyectos de reformas presupuestarias.
</t>
    </r>
    <r>
      <rPr>
        <b/>
        <sz val="9"/>
        <color theme="1"/>
        <rFont val="Century Schoolbook"/>
        <family val="1"/>
      </rPr>
      <t>4.-</t>
    </r>
    <r>
      <rPr>
        <sz val="10"/>
        <color theme="1"/>
        <rFont val="Arial Narrow"/>
        <family val="2"/>
      </rPr>
      <t xml:space="preserve"> Suscribir la reforma presupuestaria aprobada por consejo universitario.
</t>
    </r>
    <r>
      <rPr>
        <b/>
        <sz val="9"/>
        <color theme="1"/>
        <rFont val="Century Schoolbook"/>
        <family val="1"/>
      </rPr>
      <t>5.-</t>
    </r>
    <r>
      <rPr>
        <sz val="10"/>
        <color theme="1"/>
        <rFont val="Arial Narrow"/>
        <family val="2"/>
      </rPr>
      <t xml:space="preserve"> Autorizar a la dirección financiera la subida a la plataforma del Ministerio de Finanzas el ajuste presupuestario.</t>
    </r>
  </si>
  <si>
    <r>
      <rPr>
        <b/>
        <sz val="9"/>
        <color theme="1"/>
        <rFont val="Century Schoolbook"/>
        <family val="1"/>
      </rPr>
      <t>1.-</t>
    </r>
    <r>
      <rPr>
        <sz val="10"/>
        <color theme="1"/>
        <rFont val="Arial Narrow"/>
        <family val="2"/>
      </rPr>
      <t xml:space="preserve"> Resoluciones de Consejo Universitario.</t>
    </r>
  </si>
  <si>
    <t>* Dr. Jhonny Pérez Rodríguez,
  Rector
* Abg. Oscar Sánchez López,
  Director de Planificación
* Ing. Mariela Espinoza Torres,
  Directora Financiera
* Lcda. Johanna Vega Moscoso,
  Analista de Rectorado
* Lcda. Martha Rojas Lima,
  Analista de Rectorado</t>
  </si>
  <si>
    <t>3. Promover la participación y el empoderamiento de la comunidad universitaria en la toma de decisiones institucionales.</t>
  </si>
  <si>
    <t>ASEGURAMIENTO DE LA CALIDAD</t>
  </si>
  <si>
    <t>Estrategia de SUPERVIVENCIA</t>
  </si>
  <si>
    <r>
      <rPr>
        <b/>
        <sz val="9"/>
        <color rgb="FF000000"/>
        <rFont val="Century Schoolbook"/>
        <family val="1"/>
      </rPr>
      <t>7.-</t>
    </r>
    <r>
      <rPr>
        <sz val="10"/>
        <color rgb="FF000000"/>
        <rFont val="Arial Narrow"/>
        <family val="2"/>
      </rPr>
      <t xml:space="preserve"> Realizar la gestión para mejoras en la ejecución de la planificación institucional.</t>
    </r>
  </si>
  <si>
    <t>Mejoras en la ejecución de la planificación institucional gestionadas.</t>
  </si>
  <si>
    <t>N° de acciones de mejora del estándar Planificación estratégica y operativa ejecutadas.</t>
  </si>
  <si>
    <r>
      <rPr>
        <b/>
        <sz val="9"/>
        <color theme="1"/>
        <rFont val="Century Schoolbook"/>
        <family val="1"/>
      </rPr>
      <t>1.-</t>
    </r>
    <r>
      <rPr>
        <sz val="10"/>
        <color theme="1"/>
        <rFont val="Arial Narrow"/>
        <family val="2"/>
      </rPr>
      <t xml:space="preserve"> Establecer sesiones de trabajo.
</t>
    </r>
    <r>
      <rPr>
        <b/>
        <sz val="9"/>
        <color theme="1"/>
        <rFont val="Century Schoolbook"/>
        <family val="1"/>
      </rPr>
      <t>2.-</t>
    </r>
    <r>
      <rPr>
        <sz val="10"/>
        <color theme="1"/>
        <rFont val="Arial Narrow"/>
        <family val="2"/>
      </rPr>
      <t xml:space="preserve"> Disponer a la Dirección de Coordinación general de rectorado hacer seguimiento a las acciones que se establecieron producto de las sesiones de trabajo.
</t>
    </r>
    <r>
      <rPr>
        <b/>
        <sz val="9"/>
        <color theme="1"/>
        <rFont val="Century Schoolbook"/>
        <family val="1"/>
      </rPr>
      <t>3.-</t>
    </r>
    <r>
      <rPr>
        <sz val="10"/>
        <color theme="1"/>
        <rFont val="Arial Narrow"/>
        <family val="2"/>
      </rPr>
      <t xml:space="preserve"> Gestionar aprobación de normativas y procedimientos ante Consejo Universitario.
</t>
    </r>
    <r>
      <rPr>
        <b/>
        <sz val="9"/>
        <color theme="1"/>
        <rFont val="Century Schoolbook"/>
        <family val="1"/>
      </rPr>
      <t>4.-</t>
    </r>
    <r>
      <rPr>
        <sz val="10"/>
        <color theme="1"/>
        <rFont val="Arial Narrow"/>
        <family val="2"/>
      </rPr>
      <t xml:space="preserve"> Informar ante los organismos competentes las acciones tomadas.
</t>
    </r>
    <r>
      <rPr>
        <b/>
        <sz val="9"/>
        <color theme="1"/>
        <rFont val="Century Schoolbook"/>
        <family val="1"/>
      </rPr>
      <t>5.-</t>
    </r>
    <r>
      <rPr>
        <sz val="10"/>
        <color theme="1"/>
        <rFont val="Arial Narrow"/>
        <family val="2"/>
      </rPr>
      <t xml:space="preserve"> Gestionar la ejecución de las acciones de mejora.</t>
    </r>
  </si>
  <si>
    <r>
      <rPr>
        <b/>
        <sz val="9"/>
        <color theme="1"/>
        <rFont val="Century Schoolbook"/>
        <family val="1"/>
      </rPr>
      <t>1.-</t>
    </r>
    <r>
      <rPr>
        <sz val="10"/>
        <color theme="1"/>
        <rFont val="Arial Narrow"/>
        <family val="2"/>
      </rPr>
      <t xml:space="preserve"> Documentos que disponen ejecutar directrices para el cumplimiento de la planificación.</t>
    </r>
  </si>
  <si>
    <t>* Dr. Jhonny Pérez Rodríguez,
  Rector
* Abg. Ruth Moscoso Parra,
  Coordinadora General de Rectorado
* Abg. Andrea Torres Vivanco,
  Analista de Rectorado
* Lcda. Johanna Vega Moscoso,
  Analista de Rectorado
* Lcda. Martha Rojas Lima,
  Analista de Rectorado</t>
  </si>
  <si>
    <r>
      <rPr>
        <b/>
        <sz val="9"/>
        <color rgb="FF000000"/>
        <rFont val="Century Schoolbook"/>
        <family val="1"/>
      </rPr>
      <t>8.-</t>
    </r>
    <r>
      <rPr>
        <sz val="10"/>
        <color rgb="FF000000"/>
        <rFont val="Arial Narrow"/>
        <family val="2"/>
      </rPr>
      <t xml:space="preserve"> Gestionar procesos disciplinarios.</t>
    </r>
  </si>
  <si>
    <t>Procesos disciplinarios gestionados.</t>
  </si>
  <si>
    <t>N° de Procesos disciplinarios gestionados.</t>
  </si>
  <si>
    <r>
      <rPr>
        <b/>
        <sz val="9"/>
        <color theme="1"/>
        <rFont val="Century Schoolbook"/>
        <family val="1"/>
      </rPr>
      <t>1.-</t>
    </r>
    <r>
      <rPr>
        <sz val="10"/>
        <color theme="1"/>
        <rFont val="Arial Narrow"/>
        <family val="2"/>
      </rPr>
      <t xml:space="preserve"> Conocer los trámites de proceso disciplinario.
</t>
    </r>
    <r>
      <rPr>
        <b/>
        <sz val="9"/>
        <color theme="1"/>
        <rFont val="Century Schoolbook"/>
        <family val="1"/>
      </rPr>
      <t>2.-</t>
    </r>
    <r>
      <rPr>
        <sz val="10"/>
        <color theme="1"/>
        <rFont val="Arial Narrow"/>
        <family val="2"/>
      </rPr>
      <t xml:space="preserve"> Disponer ante Procuraduría General la revisión y análisis legal, en el marco jurídico.
</t>
    </r>
    <r>
      <rPr>
        <b/>
        <sz val="9"/>
        <color theme="1"/>
        <rFont val="Century Schoolbook"/>
        <family val="1"/>
      </rPr>
      <t>3.-</t>
    </r>
    <r>
      <rPr>
        <sz val="10"/>
        <color theme="1"/>
        <rFont val="Arial Narrow"/>
        <family val="2"/>
      </rPr>
      <t xml:space="preserve"> Presentar ante Consejo Universitario para el tratamiento respectivo los informes jurídicos.
</t>
    </r>
    <r>
      <rPr>
        <b/>
        <sz val="9"/>
        <color theme="1"/>
        <rFont val="Century Schoolbook"/>
        <family val="1"/>
      </rPr>
      <t>4.-</t>
    </r>
    <r>
      <rPr>
        <sz val="10"/>
        <color theme="1"/>
        <rFont val="Arial Narrow"/>
        <family val="2"/>
      </rPr>
      <t xml:space="preserve"> Difundir a las partes involucradas sobre lo resuelto en el órgano colegiado superior para la aplicación inmediata.</t>
    </r>
  </si>
  <si>
    <r>
      <rPr>
        <b/>
        <sz val="9"/>
        <color theme="1"/>
        <rFont val="Century Schoolbook"/>
        <family val="1"/>
      </rPr>
      <t>1.-</t>
    </r>
    <r>
      <rPr>
        <sz val="10"/>
        <color theme="1"/>
        <rFont val="Arial Narrow"/>
        <family val="2"/>
      </rPr>
      <t xml:space="preserve"> Reporte de Procesos Disciplinarios Gestionados.</t>
    </r>
  </si>
  <si>
    <t>* Dr. Jhonny Pérez Rodríguez,
  Rector
* Abg. Aníbal Campoverde,
  Procurador General
* Lcda. Johanna Vega Moscoso,
  Analista de Rectorado
* Lcda. Martha Rojas Lima,
  Analista de Rectorado
* Abg. Andrea Torres Vivanco,
  Analista de Rectorado
* Decanos de las facultades académicas</t>
  </si>
  <si>
    <t>M.7.4.2. Incrementar la tasa bruta de matrícula en educación superior terciaria del 37,34% al 50,27%.</t>
  </si>
  <si>
    <t>_3_Posicionamiento_del_modelo_educativo_integrador_y_desarrollador.</t>
  </si>
  <si>
    <t>2. Desarrollar un sistema de acompañamiento para la gestión eficaz del modelo educativo.</t>
  </si>
  <si>
    <t>OEI_2_INCREMENTAR_LA_FORMACIÓN_DE_PROFESIONALES_CON_EXCELENCIA.</t>
  </si>
  <si>
    <t>OFERTA ACADÉMICA</t>
  </si>
  <si>
    <r>
      <rPr>
        <b/>
        <sz val="9"/>
        <color rgb="FF000000"/>
        <rFont val="Century Schoolbook"/>
        <family val="1"/>
      </rPr>
      <t>9.-</t>
    </r>
    <r>
      <rPr>
        <sz val="10"/>
        <color rgb="FF000000"/>
        <rFont val="Arial Narrow"/>
        <family val="2"/>
      </rPr>
      <t xml:space="preserve"> Gestionar procesos de refrendación de títulos.</t>
    </r>
  </si>
  <si>
    <t>Proceso de refrendación de títulos gestionados.</t>
  </si>
  <si>
    <t>N° de títulos refrendados.</t>
  </si>
  <si>
    <r>
      <rPr>
        <b/>
        <sz val="9"/>
        <color theme="1"/>
        <rFont val="Century Schoolbook"/>
        <family val="1"/>
      </rPr>
      <t>1.-</t>
    </r>
    <r>
      <rPr>
        <sz val="10"/>
        <color theme="1"/>
        <rFont val="Arial Narrow"/>
        <family val="2"/>
      </rPr>
      <t xml:space="preserve"> Receptar desde las facultades académicas la base de egresados que cumplen con los requisitos para incorporación ante Secretaría General.
</t>
    </r>
    <r>
      <rPr>
        <b/>
        <sz val="9"/>
        <color theme="1"/>
        <rFont val="Century Schoolbook"/>
        <family val="1"/>
      </rPr>
      <t>2.-</t>
    </r>
    <r>
      <rPr>
        <sz val="10"/>
        <color theme="1"/>
        <rFont val="Arial Narrow"/>
        <family val="2"/>
      </rPr>
      <t xml:space="preserve"> Disponer efectuar el registro en la plataforma SENESCYT.
</t>
    </r>
    <r>
      <rPr>
        <b/>
        <sz val="9"/>
        <color theme="1"/>
        <rFont val="Century Schoolbook"/>
        <family val="1"/>
      </rPr>
      <t>3.-</t>
    </r>
    <r>
      <rPr>
        <sz val="10"/>
        <color theme="1"/>
        <rFont val="Arial Narrow"/>
        <family val="2"/>
      </rPr>
      <t xml:space="preserve"> Disponer la Impresión de títulos.
</t>
    </r>
    <r>
      <rPr>
        <b/>
        <sz val="9"/>
        <color theme="1"/>
        <rFont val="Century Schoolbook"/>
        <family val="1"/>
      </rPr>
      <t>4.-</t>
    </r>
    <r>
      <rPr>
        <sz val="10"/>
        <color theme="1"/>
        <rFont val="Arial Narrow"/>
        <family val="2"/>
      </rPr>
      <t xml:space="preserve"> Firmar los títulos.
</t>
    </r>
    <r>
      <rPr>
        <b/>
        <sz val="9"/>
        <color theme="1"/>
        <rFont val="Century Schoolbook"/>
        <family val="1"/>
      </rPr>
      <t>5.-</t>
    </r>
    <r>
      <rPr>
        <sz val="10"/>
        <color theme="1"/>
        <rFont val="Arial Narrow"/>
        <family val="2"/>
      </rPr>
      <t xml:space="preserve"> Participar en la Investidura como profesionales.</t>
    </r>
  </si>
  <si>
    <r>
      <rPr>
        <b/>
        <sz val="9"/>
        <color theme="1"/>
        <rFont val="Century Schoolbook"/>
        <family val="1"/>
      </rPr>
      <t>1.-</t>
    </r>
    <r>
      <rPr>
        <sz val="10"/>
        <color theme="1"/>
        <rFont val="Arial Narrow"/>
        <family val="2"/>
      </rPr>
      <t xml:space="preserve"> Reporte de Títulos Refrendados.</t>
    </r>
  </si>
  <si>
    <t>* Dr. Jhonny Pérez Rodríguez,
  Rector
* Abg. Gerardo Fernández,
  Secretario General
* Lcda. Johanna Vega Moscoso,
  Analista de Rectorado
* Lcda. Martha Rojas Lima,
  Analista de Rectorado
* Abg. Andrea Torres Vivanco,
  Analista de Rectorado</t>
  </si>
  <si>
    <t>6. Afianzar la toma de decisiones basada en evidencias, para fortalecer la objetividad y confianza en la gestión universitaria.</t>
  </si>
  <si>
    <r>
      <rPr>
        <b/>
        <sz val="9"/>
        <color rgb="FF000000"/>
        <rFont val="Century Schoolbook"/>
        <family val="1"/>
      </rPr>
      <t>10.-</t>
    </r>
    <r>
      <rPr>
        <sz val="10"/>
        <color rgb="FF000000"/>
        <rFont val="Arial Narrow"/>
        <family val="2"/>
      </rPr>
      <t xml:space="preserve"> Autorizar procesos de contratación pública.</t>
    </r>
  </si>
  <si>
    <t>Procesos de contratación pública autorizados.</t>
  </si>
  <si>
    <t>N° de Procesos de contratación pública autorizados.</t>
  </si>
  <si>
    <r>
      <rPr>
        <b/>
        <sz val="9"/>
        <color theme="1"/>
        <rFont val="Century Schoolbook"/>
        <family val="1"/>
      </rPr>
      <t>1.-</t>
    </r>
    <r>
      <rPr>
        <sz val="10"/>
        <color theme="1"/>
        <rFont val="Arial Narrow"/>
        <family val="2"/>
      </rPr>
      <t xml:space="preserve"> Receptar a través de la Unidad de Compras Públicas el Plan Anual de Contratación.
</t>
    </r>
    <r>
      <rPr>
        <b/>
        <sz val="9"/>
        <color theme="1"/>
        <rFont val="Century Schoolbook"/>
        <family val="1"/>
      </rPr>
      <t>2.-</t>
    </r>
    <r>
      <rPr>
        <sz val="10"/>
        <color theme="1"/>
        <rFont val="Arial Narrow"/>
        <family val="2"/>
      </rPr>
      <t xml:space="preserve"> Aprobar por Consejo Universitario el Plan Anual de Contratación.
</t>
    </r>
    <r>
      <rPr>
        <b/>
        <sz val="9"/>
        <color theme="1"/>
        <rFont val="Century Schoolbook"/>
        <family val="1"/>
      </rPr>
      <t>3.-</t>
    </r>
    <r>
      <rPr>
        <sz val="10"/>
        <color theme="1"/>
        <rFont val="Arial Narrow"/>
        <family val="2"/>
      </rPr>
      <t xml:space="preserve"> Disponer la subida a la plataforma del Sercop el Plan Anual de Contratación.
</t>
    </r>
    <r>
      <rPr>
        <b/>
        <sz val="9"/>
        <color theme="1"/>
        <rFont val="Century Schoolbook"/>
        <family val="1"/>
      </rPr>
      <t>4.-</t>
    </r>
    <r>
      <rPr>
        <sz val="10"/>
        <color theme="1"/>
        <rFont val="Arial Narrow"/>
        <family val="2"/>
      </rPr>
      <t xml:space="preserve"> Autorizar las contrataciones públicas conforme lo establece el Plan Anual de Contratación.</t>
    </r>
  </si>
  <si>
    <r>
      <rPr>
        <b/>
        <sz val="9"/>
        <color theme="1"/>
        <rFont val="Century Schoolbook"/>
        <family val="1"/>
      </rPr>
      <t>1.-</t>
    </r>
    <r>
      <rPr>
        <sz val="10"/>
        <color theme="1"/>
        <rFont val="Arial Narrow"/>
        <family val="2"/>
      </rPr>
      <t xml:space="preserve"> Reporte de Procesos de Contratación Pública Autorizados.</t>
    </r>
  </si>
  <si>
    <t>* Dr. Jhonny Pérez Rodríguez,
  Rector
* Ing. Oscar Riofrío,
  Director de Tecnologías de la Información
* Lcda. Johanna Vega Moscoso,
  Analista de Rectorado
* Lcda. Martha Rojas Lima,
  Analista de Rectorado
* Abg. Andrea Torres Vivanco,
  Analista de Rectorado
* Ing. Fausto Figueroa Samaniego,
  Jefe de Compras Públicas</t>
  </si>
  <si>
    <t>_7_Internacionalización.</t>
  </si>
  <si>
    <t>2. Vincular al personal docente y de investigación a redes académicas y productivas internacionales mediante estancias, pasantías, prácticas académicas, entre otras formas de movilidad.</t>
  </si>
  <si>
    <t>PROYECTOS DE VINCULACIÓN CON LA COLECTIVIDAD</t>
  </si>
  <si>
    <r>
      <rPr>
        <b/>
        <sz val="9"/>
        <color rgb="FF000000"/>
        <rFont val="Century Schoolbook"/>
        <family val="1"/>
      </rPr>
      <t>11.-</t>
    </r>
    <r>
      <rPr>
        <sz val="10"/>
        <color rgb="FF000000"/>
        <rFont val="Arial Narrow"/>
        <family val="2"/>
      </rPr>
      <t xml:space="preserve"> Suscribir directamente convenios que no comprometan recursos económicos de la institución previo informe jurídico favorable y los convenios que si compromete recursos se suscribirá previa resolución de Consejo Universitario.</t>
    </r>
  </si>
  <si>
    <t>Convenios suscritos que no comprometan recursos económicos de la institución previo informe jurídico.</t>
  </si>
  <si>
    <t>N° de Convenios suscritos.</t>
  </si>
  <si>
    <r>
      <rPr>
        <b/>
        <sz val="9"/>
        <color theme="1"/>
        <rFont val="Century Schoolbook"/>
        <family val="1"/>
      </rPr>
      <t>1.-</t>
    </r>
    <r>
      <rPr>
        <sz val="10"/>
        <color theme="1"/>
        <rFont val="Arial Narrow"/>
        <family val="2"/>
      </rPr>
      <t xml:space="preserve"> Disponer a la Dirección Coordinación General del rectorado la gestión para el acercamientos con varios organismos para fortalecer las relaciones interinstitucionales.
</t>
    </r>
    <r>
      <rPr>
        <b/>
        <sz val="9"/>
        <color theme="1"/>
        <rFont val="Century Schoolbook"/>
        <family val="1"/>
      </rPr>
      <t>2.-</t>
    </r>
    <r>
      <rPr>
        <b/>
        <sz val="10"/>
        <color theme="1"/>
        <rFont val="Arial Narrow"/>
        <family val="2"/>
      </rPr>
      <t xml:space="preserve"> </t>
    </r>
    <r>
      <rPr>
        <sz val="10"/>
        <color theme="1"/>
        <rFont val="Arial Narrow"/>
        <family val="2"/>
      </rPr>
      <t xml:space="preserve">Disponer a la Dirección de Vinculación el análisis y viabilidad de la gestión de convenios interinstitucionales.
</t>
    </r>
    <r>
      <rPr>
        <b/>
        <sz val="9"/>
        <color theme="1"/>
        <rFont val="Century Schoolbook"/>
        <family val="1"/>
      </rPr>
      <t>3.-</t>
    </r>
    <r>
      <rPr>
        <sz val="10"/>
        <color theme="1"/>
        <rFont val="Arial Narrow"/>
        <family val="2"/>
      </rPr>
      <t xml:space="preserve"> Suscribir convenios interinstitucionales, presentados por la Dirección de Vinculación en la que cuenten con informe jurídico favorable.</t>
    </r>
  </si>
  <si>
    <r>
      <rPr>
        <b/>
        <sz val="9"/>
        <color theme="1"/>
        <rFont val="Century Schoolbook"/>
        <family val="1"/>
      </rPr>
      <t>1.-</t>
    </r>
    <r>
      <rPr>
        <sz val="10"/>
        <color theme="1"/>
        <rFont val="Arial Narrow"/>
        <family val="2"/>
      </rPr>
      <t xml:space="preserve"> Reporte de Convenios suscritos.</t>
    </r>
  </si>
  <si>
    <t>* Dr. Jhonny Pérez Rodríguez,
  Rector
* Lcda. Ana Moscoso Parra,
  Directora de Vinculación
* Lcda. Johanna Vega Moscoso,
  Analista de Rectorado
* Lcda. Martha Rojas Lima,
  Analista de Rectorado
* Abg. Ruth Moscoso Parra,
  Directora de la Coordinación General del Rectorado</t>
  </si>
  <si>
    <t>No aplica</t>
  </si>
  <si>
    <t>3. Fortalecer la interacción de la docencia, investigación y vinculación para el logro de los objetivos operativos del modelo educativo.</t>
  </si>
  <si>
    <r>
      <rPr>
        <b/>
        <sz val="9"/>
        <color rgb="FF000000"/>
        <rFont val="Century Schoolbook"/>
        <family val="1"/>
      </rPr>
      <t xml:space="preserve">12.- </t>
    </r>
    <r>
      <rPr>
        <sz val="10"/>
        <color rgb="FF000000"/>
        <rFont val="Arial Narrow"/>
        <family val="2"/>
      </rPr>
      <t>Autorizar la contratación del personal académico no titular ocasional, invitado y de apoyo académico, previa aplicación del procedimiento de selección y demás disposiciones que el Consejo Universitario apruebe para el efecto.</t>
    </r>
  </si>
  <si>
    <t>Contratación del personal académico no titular ocasional, invitado y de apoyo académico, autorizados.</t>
  </si>
  <si>
    <t>N° de contratos de personal académico no titular ocasional, invitados y de apoyo académico realizadas.</t>
  </si>
  <si>
    <r>
      <rPr>
        <b/>
        <sz val="9"/>
        <color theme="1"/>
        <rFont val="Century Schoolbook"/>
        <family val="1"/>
      </rPr>
      <t>1.-</t>
    </r>
    <r>
      <rPr>
        <sz val="10"/>
        <color theme="1"/>
        <rFont val="Arial Narrow"/>
        <family val="2"/>
      </rPr>
      <t xml:space="preserve"> Recibir solicitudes de las Facultades que tienen necesidad de contratar personal académico ocasional, invitados y de apoyo académico.
</t>
    </r>
    <r>
      <rPr>
        <b/>
        <sz val="9"/>
        <color theme="1"/>
        <rFont val="Century Schoolbook"/>
        <family val="1"/>
      </rPr>
      <t>2.-</t>
    </r>
    <r>
      <rPr>
        <sz val="10"/>
        <color theme="1"/>
        <rFont val="Arial Narrow"/>
        <family val="2"/>
      </rPr>
      <t xml:space="preserve"> Solicitar a la Dirección de Talento Humano, emita el informe de pertinencia.
</t>
    </r>
    <r>
      <rPr>
        <b/>
        <sz val="9"/>
        <color theme="1"/>
        <rFont val="Century Schoolbook"/>
        <family val="1"/>
      </rPr>
      <t>3.-</t>
    </r>
    <r>
      <rPr>
        <sz val="10"/>
        <color theme="1"/>
        <rFont val="Arial Narrow"/>
        <family val="2"/>
      </rPr>
      <t xml:space="preserve"> Comunicar a la Dirección de Talento Humano, para la emisión de la Acción de Personal.</t>
    </r>
  </si>
  <si>
    <r>
      <rPr>
        <b/>
        <sz val="9"/>
        <color theme="1"/>
        <rFont val="Century Schoolbook"/>
        <family val="1"/>
      </rPr>
      <t>1.-</t>
    </r>
    <r>
      <rPr>
        <sz val="10"/>
        <color theme="1"/>
        <rFont val="Arial Narrow"/>
        <family val="2"/>
      </rPr>
      <t xml:space="preserve"> Oficios.
</t>
    </r>
    <r>
      <rPr>
        <b/>
        <sz val="9"/>
        <color theme="1"/>
        <rFont val="Century Schoolbook"/>
        <family val="1"/>
      </rPr>
      <t>2.-</t>
    </r>
    <r>
      <rPr>
        <sz val="10"/>
        <color theme="1"/>
        <rFont val="Arial Narrow"/>
        <family val="2"/>
      </rPr>
      <t xml:space="preserve"> Acciones de Personal.</t>
    </r>
  </si>
  <si>
    <t>531407</t>
  </si>
  <si>
    <t>170700080001</t>
  </si>
  <si>
    <t>DISCO DURO EXTERNO 1 TB</t>
  </si>
  <si>
    <t>170700160001</t>
  </si>
  <si>
    <t>Cámara web</t>
  </si>
  <si>
    <t>170403730001</t>
  </si>
  <si>
    <t xml:space="preserve">Audífonos </t>
  </si>
  <si>
    <t>8. Simplificar los trámites administrativos requeridos en la gestión universitaria.</t>
  </si>
  <si>
    <r>
      <rPr>
        <b/>
        <sz val="9"/>
        <color rgb="FF000000"/>
        <rFont val="Century Schoolbook"/>
        <family val="1"/>
      </rPr>
      <t>13.-</t>
    </r>
    <r>
      <rPr>
        <b/>
        <sz val="10"/>
        <color rgb="FF000000"/>
        <rFont val="Arial Narrow"/>
        <family val="2"/>
      </rPr>
      <t xml:space="preserve"> </t>
    </r>
    <r>
      <rPr>
        <sz val="10"/>
        <color rgb="FF000000"/>
        <rFont val="Arial Narrow"/>
        <family val="2"/>
      </rPr>
      <t>Autorizar permisos, licencias y/ o comisiones de conformidad con la ley, al personal académico no titular, personal de apoyo académico, así como a los servidores y trabajadores.</t>
    </r>
  </si>
  <si>
    <t>Permisos, licencias y/ o comisiones de conformidad con la ley, autorizados.</t>
  </si>
  <si>
    <t>N° de permisos, licencias y/o comisiones atendidas.</t>
  </si>
  <si>
    <r>
      <rPr>
        <b/>
        <sz val="9"/>
        <color theme="1"/>
        <rFont val="Century Schoolbook"/>
        <family val="1"/>
      </rPr>
      <t>1.-</t>
    </r>
    <r>
      <rPr>
        <sz val="10"/>
        <color theme="1"/>
        <rFont val="Arial Narrow"/>
        <family val="2"/>
      </rPr>
      <t xml:space="preserve"> Recibir los trámites de Permisos, licencias y/ o comisiones conforme lo establecen los procedimientos internos.
</t>
    </r>
    <r>
      <rPr>
        <b/>
        <sz val="9"/>
        <color theme="1"/>
        <rFont val="Century Schoolbook"/>
        <family val="1"/>
      </rPr>
      <t>2.-</t>
    </r>
    <r>
      <rPr>
        <sz val="10"/>
        <color theme="1"/>
        <rFont val="Arial Narrow"/>
        <family val="2"/>
      </rPr>
      <t xml:space="preserve"> Derivar a la Dirección de Talento Humano, proceda con el trámite según requerimiento.
</t>
    </r>
    <r>
      <rPr>
        <b/>
        <sz val="9"/>
        <color theme="1"/>
        <rFont val="Century Schoolbook"/>
        <family val="1"/>
      </rPr>
      <t>3.-</t>
    </r>
    <r>
      <rPr>
        <sz val="10"/>
        <color theme="1"/>
        <rFont val="Arial Narrow"/>
        <family val="2"/>
      </rPr>
      <t xml:space="preserve"> Solicitar los informes de pertinencia (según sea cada caso).
</t>
    </r>
    <r>
      <rPr>
        <b/>
        <sz val="9"/>
        <color theme="1"/>
        <rFont val="Century Schoolbook"/>
        <family val="1"/>
      </rPr>
      <t>4.-</t>
    </r>
    <r>
      <rPr>
        <sz val="10"/>
        <color theme="1"/>
        <rFont val="Arial Narrow"/>
        <family val="2"/>
      </rPr>
      <t xml:space="preserve"> Tramitar ante Consejo Universitario (según sea cada caso).
</t>
    </r>
    <r>
      <rPr>
        <b/>
        <sz val="9"/>
        <color theme="1"/>
        <rFont val="Century Schoolbook"/>
        <family val="1"/>
      </rPr>
      <t>5.-</t>
    </r>
    <r>
      <rPr>
        <sz val="10"/>
        <color theme="1"/>
        <rFont val="Arial Narrow"/>
        <family val="2"/>
      </rPr>
      <t xml:space="preserve"> Informar a la parte interesada lo resuelto por el órgano Colegiado Superior.</t>
    </r>
  </si>
  <si>
    <r>
      <rPr>
        <b/>
        <sz val="9"/>
        <color theme="1"/>
        <rFont val="Century Schoolbook"/>
        <family val="1"/>
      </rPr>
      <t>1.-</t>
    </r>
    <r>
      <rPr>
        <sz val="10"/>
        <color theme="1"/>
        <rFont val="Arial Narrow"/>
        <family val="2"/>
      </rPr>
      <t xml:space="preserve"> Reporte de Permisos, licencias y/ o comisiones concedidas.
</t>
    </r>
    <r>
      <rPr>
        <b/>
        <sz val="9"/>
        <color theme="1"/>
        <rFont val="Century Schoolbook"/>
        <family val="1"/>
      </rPr>
      <t>2.-</t>
    </r>
    <r>
      <rPr>
        <sz val="10"/>
        <color theme="1"/>
        <rFont val="Arial Narrow"/>
        <family val="2"/>
      </rPr>
      <t xml:space="preserve"> Resoluciones de Consejo Universitario.</t>
    </r>
  </si>
  <si>
    <t>* Dr. Jhonny Pérez Rodríguez,
  Rector
* Abg. Andrea Torres Vivanco,
  Analista de Jurídico
* Lcda. Johanna Vega Moscoso,
  Analista de Rectorado
* Lcda. Martha Rojas Lima,
  Analista de Rectorado
* Abg. Mariuxi Apolo Silva,
  Directora de Talento Humano
* Abg. Gerardo Fernández Valdivieso,
  Secretario General</t>
  </si>
  <si>
    <r>
      <rPr>
        <b/>
        <sz val="9"/>
        <color rgb="FF000000"/>
        <rFont val="Century Schoolbook"/>
        <family val="1"/>
      </rPr>
      <t>14.-</t>
    </r>
    <r>
      <rPr>
        <sz val="10"/>
        <color rgb="FF000000"/>
        <rFont val="Arial Narrow"/>
        <family val="2"/>
      </rPr>
      <t xml:space="preserve"> Adoptar decisiones oportunas para el buen gobierno institucional.</t>
    </r>
  </si>
  <si>
    <t>Decisiones oportunas para el buen gobierno institucional adoptadas.</t>
  </si>
  <si>
    <t>N° de decisiones oportunas adoptadas.</t>
  </si>
  <si>
    <r>
      <rPr>
        <b/>
        <sz val="9"/>
        <color rgb="FF000000"/>
        <rFont val="Century Schoolbook"/>
        <family val="1"/>
      </rPr>
      <t>1.-</t>
    </r>
    <r>
      <rPr>
        <sz val="10"/>
        <color rgb="FF000000"/>
        <rFont val="Arial Narrow"/>
        <family val="2"/>
      </rPr>
      <t xml:space="preserve"> Disponer a los vicerrectorados, autoridades de facultades, directores departamentales informen las acciones realizadas en base a su competencias.
</t>
    </r>
    <r>
      <rPr>
        <b/>
        <sz val="9"/>
        <color rgb="FF000000"/>
        <rFont val="Century Schoolbook"/>
        <family val="1"/>
      </rPr>
      <t>2.</t>
    </r>
    <r>
      <rPr>
        <sz val="9"/>
        <color rgb="FF000000"/>
        <rFont val="Century Schoolbook"/>
        <family val="1"/>
      </rPr>
      <t>-</t>
    </r>
    <r>
      <rPr>
        <sz val="10"/>
        <color rgb="FF000000"/>
        <rFont val="Arial Narrow"/>
        <family val="2"/>
      </rPr>
      <t xml:space="preserve"> Establecer sesiones de trabajo para analizar con las partes involucradas y consensuar las mejores ideas que permitan el bienestar de la comunidad universitaria.
</t>
    </r>
    <r>
      <rPr>
        <b/>
        <sz val="9"/>
        <color rgb="FF000000"/>
        <rFont val="Century Schoolbook"/>
        <family val="1"/>
      </rPr>
      <t>3.-</t>
    </r>
    <r>
      <rPr>
        <sz val="10"/>
        <color rgb="FF000000"/>
        <rFont val="Arial Narrow"/>
        <family val="2"/>
      </rPr>
      <t xml:space="preserve"> Disponer a la Dirección de Coordinación general de rectorado, efectuar el seguimiento de las acciones.
</t>
    </r>
    <r>
      <rPr>
        <b/>
        <sz val="9"/>
        <color rgb="FF000000"/>
        <rFont val="Century Schoolbook"/>
        <family val="1"/>
      </rPr>
      <t>4.-</t>
    </r>
    <r>
      <rPr>
        <sz val="10"/>
        <color rgb="FF000000"/>
        <rFont val="Arial Narrow"/>
        <family val="2"/>
      </rPr>
      <t xml:space="preserve"> Implementar mejores estrategias institucionales logrando oportunas decisiones tomadas.
</t>
    </r>
    <r>
      <rPr>
        <b/>
        <sz val="9"/>
        <color rgb="FF000000"/>
        <rFont val="Century Schoolbook"/>
        <family val="1"/>
      </rPr>
      <t>5.-</t>
    </r>
    <r>
      <rPr>
        <sz val="10"/>
        <color rgb="FF000000"/>
        <rFont val="Arial Narrow"/>
        <family val="2"/>
      </rPr>
      <t xml:space="preserve"> Comunicar lo resuelto.</t>
    </r>
  </si>
  <si>
    <r>
      <rPr>
        <b/>
        <sz val="9"/>
        <color theme="1"/>
        <rFont val="Century Schoolbook"/>
        <family val="1"/>
      </rPr>
      <t>1.-</t>
    </r>
    <r>
      <rPr>
        <sz val="10"/>
        <color theme="1"/>
        <rFont val="Arial Narrow"/>
        <family val="2"/>
      </rPr>
      <t xml:space="preserve"> Reporte de Decisiones Oportunas Adoptadas.</t>
    </r>
  </si>
  <si>
    <t>* Dr. Jhonny Pérez Rodríguez,
  Rector
* Abg. Ruth Moscoso Parra,
  Coordinadora General de Rectorado
* Abg. Andrea Torres Vivanco,
  Analista Jurídica
* Lcda. Johanna Vega Moscoso,
  Analista de Rectorado
* Lcda. Martha Rojas Lima,
  Analista de Rectorado</t>
  </si>
  <si>
    <t>Edificios, Locales, Residencias y Cableado Estructurado (Instalación, Mantenimiento y Reparación)</t>
  </si>
  <si>
    <t>Mantenimiento y reparación de la infraestructura física para la ejecución de las actividades de las funciones sustantivas de la institución</t>
  </si>
  <si>
    <t>Mejoramiento y reparación de la infraestructura física destinada a las actividades de vinculación</t>
  </si>
  <si>
    <t>5. Optimizar el desempeño institucional mediante la aplicación del principio de mejora continua.</t>
  </si>
  <si>
    <r>
      <rPr>
        <b/>
        <sz val="9"/>
        <color rgb="FF000000"/>
        <rFont val="Century Schoolbook"/>
        <family val="1"/>
      </rPr>
      <t>15.-</t>
    </r>
    <r>
      <rPr>
        <sz val="10"/>
        <color rgb="FF000000"/>
        <rFont val="Arial Narrow"/>
        <family val="2"/>
      </rPr>
      <t xml:space="preserve"> Entregar la Planificación Operativa Anual y Evaluación de la Planificación Operativa Anual.</t>
    </r>
  </si>
  <si>
    <t>Planificación Operativa Anual y Evaluación de la Planificación Operativa Anual entregadas oportunamente.</t>
  </si>
  <si>
    <t>N° de Planes Operativos y Evaluaciones de Planes Operativos entregados oportunamente.</t>
  </si>
  <si>
    <r>
      <rPr>
        <b/>
        <sz val="9"/>
        <color rgb="FF000000"/>
        <rFont val="Century Schoolbook"/>
        <family val="1"/>
      </rPr>
      <t>1.-</t>
    </r>
    <r>
      <rPr>
        <sz val="10"/>
        <color rgb="FF000000"/>
        <rFont val="Arial Narrow"/>
        <family val="2"/>
      </rPr>
      <t xml:space="preserve"> Presentar la propuesta del Plan Operativo Anual </t>
    </r>
    <r>
      <rPr>
        <sz val="10"/>
        <color rgb="FF000000"/>
        <rFont val="Century Schoolbook"/>
        <family val="1"/>
      </rPr>
      <t>2024.</t>
    </r>
    <r>
      <rPr>
        <sz val="10"/>
        <color rgb="FF000000"/>
        <rFont val="Arial Narrow"/>
        <family val="2"/>
      </rPr>
      <t xml:space="preserve">
</t>
    </r>
    <r>
      <rPr>
        <b/>
        <sz val="9"/>
        <color rgb="FF000000"/>
        <rFont val="Century Schoolbook"/>
        <family val="1"/>
      </rPr>
      <t>2.-</t>
    </r>
    <r>
      <rPr>
        <sz val="10"/>
        <color rgb="FF000000"/>
        <rFont val="Arial Narrow"/>
        <family val="2"/>
      </rPr>
      <t xml:space="preserve"> Ejecutar las actividades enmarcadas con el Plan Operativo Anual.
</t>
    </r>
    <r>
      <rPr>
        <b/>
        <sz val="9"/>
        <color rgb="FF000000"/>
        <rFont val="Century Schoolbook"/>
        <family val="1"/>
      </rPr>
      <t>3.-</t>
    </r>
    <r>
      <rPr>
        <sz val="10"/>
        <color rgb="FF000000"/>
        <rFont val="Arial Narrow"/>
        <family val="2"/>
      </rPr>
      <t xml:space="preserve"> Efectuar los requerimientos del Plan Anual de Compras.
</t>
    </r>
    <r>
      <rPr>
        <b/>
        <sz val="9"/>
        <color rgb="FF000000"/>
        <rFont val="Century Schoolbook"/>
        <family val="1"/>
      </rPr>
      <t>4.-</t>
    </r>
    <r>
      <rPr>
        <sz val="10"/>
        <color rgb="FF000000"/>
        <rFont val="Arial Narrow"/>
        <family val="2"/>
      </rPr>
      <t xml:space="preserve"> Reportar la evaluación del POA 2023, conforme a las directrices de la Dirección de Planificación de la UTMACH.</t>
    </r>
  </si>
  <si>
    <r>
      <rPr>
        <b/>
        <sz val="9"/>
        <color theme="1"/>
        <rFont val="Century Schoolbook"/>
        <family val="1"/>
      </rPr>
      <t>1.-</t>
    </r>
    <r>
      <rPr>
        <sz val="10"/>
        <color theme="1"/>
        <rFont val="Arial Narrow"/>
        <family val="2"/>
      </rPr>
      <t xml:space="preserve"> POA 2024.
</t>
    </r>
    <r>
      <rPr>
        <b/>
        <sz val="9"/>
        <color theme="1"/>
        <rFont val="Century Schoolbook"/>
        <family val="1"/>
      </rPr>
      <t>2.-</t>
    </r>
    <r>
      <rPr>
        <sz val="10"/>
        <color theme="1"/>
        <rFont val="Arial Narrow"/>
        <family val="2"/>
      </rPr>
      <t xml:space="preserve"> Evaluación POA 2023.</t>
    </r>
  </si>
  <si>
    <t>* Dr. Jhonny Pérez Rodríguez,
  Rector
* Abg. Andrea Torres Vivanco,
  Analista Jurídica
* Lcda. Johanna Vega Moscoso,
  Analista de Rectorado
* Lcda. Martha Rojas Lima,
  Analista de Rectorado</t>
  </si>
  <si>
    <t>TOTAL PRESUPUESTO ESTIMATIVO RECTORADO 2023:</t>
  </si>
  <si>
    <t xml:space="preserve">USD $ </t>
  </si>
  <si>
    <t>COORDINACIÓN GENERAL DEL RECTORADO</t>
  </si>
  <si>
    <t> </t>
  </si>
  <si>
    <t>13. Gestionar alianzas para mejorar el acceso de las comunidad universitaria a los sistemas de transporte.</t>
  </si>
  <si>
    <r>
      <t xml:space="preserve">METAS OPERATIVAS
</t>
    </r>
    <r>
      <rPr>
        <b/>
        <sz val="9"/>
        <rFont val="Century Schoolbook"/>
        <family val="1"/>
      </rPr>
      <t>1.-</t>
    </r>
    <r>
      <rPr>
        <sz val="10"/>
        <rFont val="Arial Narrow"/>
        <family val="2"/>
      </rPr>
      <t xml:space="preserve"> Efectuar el seguimiento para que el Plan Operativo Estratégico,
lineamientos de políticas, estrategias, programas, y demás planes operativos de la Universidad se alineen a la misión y visión institucional y demás directrices del rectorado conforme la normativa legal.</t>
    </r>
  </si>
  <si>
    <t>Plan Operativo Estratégico, lineamientos de políticas, estrategias, programas y a los planes operativos de la Universidad, gestionado.</t>
  </si>
  <si>
    <t>Informe de ejecución del Plan Operativo Estratégico.</t>
  </si>
  <si>
    <r>
      <rPr>
        <b/>
        <sz val="9"/>
        <rFont val="Century Schoolbook"/>
        <family val="1"/>
      </rPr>
      <t>1.-</t>
    </r>
    <r>
      <rPr>
        <sz val="10"/>
        <rFont val="Arial Narrow"/>
        <family val="2"/>
      </rPr>
      <t xml:space="preserve"> realizar el informe de cumplimiento del plan operativo.
</t>
    </r>
    <r>
      <rPr>
        <b/>
        <sz val="9"/>
        <rFont val="Century Schoolbook"/>
        <family val="1"/>
      </rPr>
      <t>2.-</t>
    </r>
    <r>
      <rPr>
        <sz val="10"/>
        <rFont val="Arial Narrow"/>
        <family val="2"/>
      </rPr>
      <t xml:space="preserve"> remitir el informe a rectorado para su conocimiento.</t>
    </r>
  </si>
  <si>
    <r>
      <rPr>
        <b/>
        <sz val="9"/>
        <rFont val="Century Schoolbook"/>
        <family val="1"/>
      </rPr>
      <t>1.-</t>
    </r>
    <r>
      <rPr>
        <sz val="10"/>
        <rFont val="Arial Narrow"/>
        <family val="2"/>
      </rPr>
      <t xml:space="preserve"> Informe del cumplimiento de la  ejecución del Plan Operativo Estratégico.</t>
    </r>
  </si>
  <si>
    <t>* Ab. Ruth Moscoso Parra,
  Directora de la Coordinación General de Rectorado</t>
  </si>
  <si>
    <r>
      <t>2.-</t>
    </r>
    <r>
      <rPr>
        <sz val="10"/>
        <rFont val="Arial Narrow"/>
        <family val="2"/>
      </rPr>
      <t xml:space="preserve"> Coordinar y sistematizar ante el Rectorado, los asuntos académicos y administrativos en los que deba ejercer representación y relaciones jurídicas el Rector, previa su autorización.</t>
    </r>
  </si>
  <si>
    <t>Reuniones de trabajo, audiencias del Rector, ejecutado.</t>
  </si>
  <si>
    <t>Registros de actas de reuniones.</t>
  </si>
  <si>
    <r>
      <rPr>
        <b/>
        <sz val="9"/>
        <rFont val="Century Schoolbook"/>
        <family val="1"/>
      </rPr>
      <t>1.-</t>
    </r>
    <r>
      <rPr>
        <sz val="10"/>
        <rFont val="Arial Narrow"/>
        <family val="2"/>
      </rPr>
      <t xml:space="preserve"> Receptar Oficios con petición de reuniones.
</t>
    </r>
    <r>
      <rPr>
        <b/>
        <sz val="9"/>
        <rFont val="Century Schoolbook"/>
        <family val="1"/>
      </rPr>
      <t>2.-</t>
    </r>
    <r>
      <rPr>
        <sz val="10"/>
        <rFont val="Arial Narrow"/>
        <family val="2"/>
      </rPr>
      <t xml:space="preserve"> Disponer a la persona encargada de agendar la reunión correspondiente.
</t>
    </r>
    <r>
      <rPr>
        <b/>
        <sz val="9"/>
        <rFont val="Century Schoolbook"/>
        <family val="1"/>
      </rPr>
      <t>3.-</t>
    </r>
    <r>
      <rPr>
        <sz val="10"/>
        <rFont val="Arial Narrow"/>
        <family val="2"/>
      </rPr>
      <t xml:space="preserve"> Realizar la respectivas actas de registro.
</t>
    </r>
    <r>
      <rPr>
        <b/>
        <sz val="9"/>
        <rFont val="Century Schoolbook"/>
        <family val="1"/>
      </rPr>
      <t>4.-</t>
    </r>
    <r>
      <rPr>
        <sz val="10"/>
        <rFont val="Arial Narrow"/>
        <family val="2"/>
      </rPr>
      <t xml:space="preserve"> Emitir el informe sobre los acuerdos llegados.</t>
    </r>
  </si>
  <si>
    <r>
      <rPr>
        <b/>
        <sz val="9"/>
        <rFont val="Century Schoolbook"/>
        <family val="1"/>
      </rPr>
      <t>1.-</t>
    </r>
    <r>
      <rPr>
        <sz val="10"/>
        <rFont val="Arial Narrow"/>
        <family val="2"/>
      </rPr>
      <t xml:space="preserve"> N° de actas de reuniones.</t>
    </r>
  </si>
  <si>
    <t>Servicio de Auditoría</t>
  </si>
  <si>
    <t>6321000</t>
  </si>
  <si>
    <t>Servicio de Auditoría externa para cumplir lo establecido en el reglamento para el cumplimiento del carácter no lucrativo de las IES</t>
  </si>
  <si>
    <r>
      <rPr>
        <b/>
        <sz val="9"/>
        <color rgb="FF000000"/>
        <rFont val="Century Schoolbook"/>
      </rPr>
      <t>3.-</t>
    </r>
    <r>
      <rPr>
        <sz val="10"/>
        <color rgb="FF000000"/>
        <rFont val="Arial Narrow"/>
      </rPr>
      <t xml:space="preserve"> Coordinar las reuniones y audiencias de trabajo que se deban desarrollar con el Rector, con el objeto de fortalecer la agenda de actividades y satisfacer oportuna y adecuadamente las necesidades y expectativas de los usuarios, con criterios de objetividad y eficiencia, en el uso de los recursos institucionales.</t>
    </r>
  </si>
  <si>
    <t>Informes al Rector, ejecutado.</t>
  </si>
  <si>
    <t>N° de informes generado en las reuniones de las actividades del Rector.</t>
  </si>
  <si>
    <r>
      <t>4.-</t>
    </r>
    <r>
      <rPr>
        <sz val="10"/>
        <rFont val="Arial Narrow"/>
        <family val="2"/>
      </rPr>
      <t xml:space="preserve"> Asesorar en el proceso general de receptoría, registro, archivo y distribución de la correspondencia de Rectorado.</t>
    </r>
  </si>
  <si>
    <t xml:space="preserve">Análisis de correspondencia, ejecutado. </t>
  </si>
  <si>
    <t>N° de asesoramiento en la distribución de correspondencia de Rectorado.</t>
  </si>
  <si>
    <r>
      <t>5.-</t>
    </r>
    <r>
      <rPr>
        <sz val="10"/>
        <rFont val="Arial Narrow"/>
        <family val="2"/>
      </rPr>
      <t xml:space="preserve"> coordinar el protocolo a seguir en los actos y ceremonias en donde se requiera la participación del Rector.</t>
    </r>
  </si>
  <si>
    <t>Aplicación de Protocolo en eventos, gestionado.</t>
  </si>
  <si>
    <t>Informes de actos protocolares de los eventos de participación de Rectorado.</t>
  </si>
  <si>
    <t>Atención a Delegados Extranjeros y Nacionales, Deportistas, Entrenadores y Cuerpo Técnico que Representen al País</t>
  </si>
  <si>
    <t>Gastos para la atención a delegados en eventos oficiales, protocolarios y de cooperación interinstitucional</t>
  </si>
  <si>
    <r>
      <t>6.-</t>
    </r>
    <r>
      <rPr>
        <sz val="10"/>
        <rFont val="Arial Narrow"/>
        <family val="2"/>
      </rPr>
      <t xml:space="preserve"> Participar en las sesiones de Consejo Universitario como parte de los  procesos de asesoría institucional.</t>
    </r>
  </si>
  <si>
    <t>Asesoría al Rector, ejecutado.</t>
  </si>
  <si>
    <t xml:space="preserve">N° de actas de registro de asistencias al Consejo Universitario de manera presencial. </t>
  </si>
  <si>
    <r>
      <t>7.-</t>
    </r>
    <r>
      <rPr>
        <b/>
        <sz val="10"/>
        <rFont val="Arial Narrow"/>
        <family val="2"/>
      </rPr>
      <t xml:space="preserve"> </t>
    </r>
    <r>
      <rPr>
        <sz val="10"/>
        <rFont val="Arial Narrow"/>
        <family val="2"/>
      </rPr>
      <t>Emitir directrices para que la administración desarrolle sus competencias de forma racional y ordenada, evitando duplicidades y orrusiones para la aplicación del correcto funcionamiento de los procedimientos de asesoría, agregados de valor y de apoyo administrativo.</t>
    </r>
  </si>
  <si>
    <t>Directrices, ejecutado.</t>
  </si>
  <si>
    <t>N° de informes que contengan las directrices que fomenten el normal desarrollo de la IES.</t>
  </si>
  <si>
    <t>4. Reestructurar el marco jurídico interno y la estructura orgánica para armonizar la gobernabilidad universitaria con las exigencias del sistema universitario actual.</t>
  </si>
  <si>
    <r>
      <t>8.-</t>
    </r>
    <r>
      <rPr>
        <sz val="10"/>
        <rFont val="Arial Narrow"/>
        <family val="2"/>
      </rPr>
      <t xml:space="preserve"> Coordinar la implementación de actos y hechos administrativos, propuestas de reforma normativa, y trámites de cumplimiento a la normativa que comprometan recursos institucionales presupuestados o no, previa delegación y/ o autorización del Rector.</t>
    </r>
  </si>
  <si>
    <t>Asesoría a las diferentes dependencias, ejecutado.</t>
  </si>
  <si>
    <t>N° de actas de registro de asistencia en las reuniones de asesoramiento a las dependencias de la IES.</t>
  </si>
  <si>
    <r>
      <t>9.-</t>
    </r>
    <r>
      <rPr>
        <sz val="10"/>
        <rFont val="Arial Narrow"/>
        <family val="2"/>
      </rPr>
      <t xml:space="preserve"> Efectuar el seguimiento al cumplimiento de las recomendaciones u observaciones emanadas por los entes de control público y/ o de las Instituciones de Educación Superior, que hayan sido debidamente notificadas.</t>
    </r>
  </si>
  <si>
    <t xml:space="preserve">Informes Técnicos - Jurídicos, ejecutado. </t>
  </si>
  <si>
    <t>N° de informes técnicos - jurídicos emitidos.</t>
  </si>
  <si>
    <r>
      <rPr>
        <b/>
        <sz val="9"/>
        <rFont val="Century Schoolbook"/>
        <family val="1"/>
      </rPr>
      <t>1.-</t>
    </r>
    <r>
      <rPr>
        <sz val="10"/>
        <rFont val="Arial Narrow"/>
        <family val="2"/>
      </rPr>
      <t xml:space="preserve"> Receptar Oficios con sumilla del señor rector
</t>
    </r>
    <r>
      <rPr>
        <b/>
        <sz val="9"/>
        <rFont val="Century Schoolbook"/>
        <family val="1"/>
      </rPr>
      <t>2.-</t>
    </r>
    <r>
      <rPr>
        <sz val="10"/>
        <rFont val="Arial Narrow"/>
        <family val="2"/>
      </rPr>
      <t xml:space="preserve"> Disponer a la persona encargada de agendar la reunión correspondiente.
</t>
    </r>
    <r>
      <rPr>
        <b/>
        <sz val="9"/>
        <rFont val="Century Schoolbook"/>
        <family val="1"/>
      </rPr>
      <t>3.-</t>
    </r>
    <r>
      <rPr>
        <sz val="10"/>
        <rFont val="Arial Narrow"/>
        <family val="2"/>
      </rPr>
      <t xml:space="preserve"> Realizar la respectivas actas de registro.
</t>
    </r>
    <r>
      <rPr>
        <b/>
        <sz val="9"/>
        <rFont val="Century Schoolbook"/>
        <family val="1"/>
      </rPr>
      <t>4.-</t>
    </r>
    <r>
      <rPr>
        <sz val="10"/>
        <rFont val="Arial Narrow"/>
        <family val="2"/>
      </rPr>
      <t xml:space="preserve"> Emitir el informe sobre los acuerdos llegados.</t>
    </r>
  </si>
  <si>
    <r>
      <rPr>
        <b/>
        <sz val="9"/>
        <rFont val="Century Schoolbook"/>
        <family val="1"/>
      </rPr>
      <t>1.-</t>
    </r>
    <r>
      <rPr>
        <sz val="10"/>
        <rFont val="Arial Narrow"/>
        <family val="2"/>
      </rPr>
      <t xml:space="preserve"> N° de   informes jurídicos.</t>
    </r>
  </si>
  <si>
    <t>1. Fortalecer la plataforma tecnológica para la automatización de procesos, con la finalidad de mejorar la capacidad de respuesta oportuna.</t>
  </si>
  <si>
    <r>
      <t>10.-</t>
    </r>
    <r>
      <rPr>
        <sz val="10"/>
        <rFont val="Arial Narrow"/>
        <family val="2"/>
      </rPr>
      <t xml:space="preserve"> Organizar el archivo de gestión de conformidad con la normativa interna de gestión documental.</t>
    </r>
  </si>
  <si>
    <t>Archivo de Gestión organizado.</t>
  </si>
  <si>
    <t>N° de carpetas Archivadas registradas en el inventario documenta.</t>
  </si>
  <si>
    <r>
      <rPr>
        <b/>
        <sz val="9"/>
        <rFont val="Century Schoolbook"/>
        <family val="1"/>
      </rPr>
      <t>1.-</t>
    </r>
    <r>
      <rPr>
        <sz val="10"/>
        <rFont val="Arial Narrow"/>
        <family val="2"/>
      </rPr>
      <t xml:space="preserve"> Seleccionar y clasificar la documentación.
</t>
    </r>
    <r>
      <rPr>
        <b/>
        <sz val="9"/>
        <rFont val="Century Schoolbook"/>
        <family val="1"/>
      </rPr>
      <t>2.-</t>
    </r>
    <r>
      <rPr>
        <sz val="10"/>
        <rFont val="Arial Narrow"/>
        <family val="2"/>
      </rPr>
      <t xml:space="preserve"> Describir la documentación según la norma ISADG.
</t>
    </r>
    <r>
      <rPr>
        <b/>
        <sz val="9"/>
        <rFont val="Century Schoolbook"/>
        <family val="1"/>
      </rPr>
      <t>3.-</t>
    </r>
    <r>
      <rPr>
        <sz val="10"/>
        <rFont val="Arial Narrow"/>
        <family val="2"/>
      </rPr>
      <t xml:space="preserve"> Preservar la documentación en las unidades de almacenamiento.</t>
    </r>
  </si>
  <si>
    <r>
      <rPr>
        <b/>
        <sz val="9"/>
        <rFont val="Century Schoolbook"/>
        <family val="1"/>
      </rPr>
      <t>1.-</t>
    </r>
    <r>
      <rPr>
        <sz val="10"/>
        <rFont val="Arial Narrow"/>
        <family val="2"/>
      </rPr>
      <t xml:space="preserve"> Inventario documental.</t>
    </r>
  </si>
  <si>
    <r>
      <t>11.-</t>
    </r>
    <r>
      <rPr>
        <sz val="10"/>
        <rFont val="Arial Narrow"/>
        <family val="2"/>
      </rPr>
      <t xml:space="preserve"> Entregar la Planificación Operativa Anual y Evaluación de la Planificación Operativa Anual.</t>
    </r>
  </si>
  <si>
    <t>N° de Planificaciones Operativas Anuales y Evaluaciones del POA entregados oportunamente.</t>
  </si>
  <si>
    <r>
      <rPr>
        <b/>
        <sz val="9"/>
        <rFont val="Century Schoolbook"/>
        <family val="1"/>
      </rPr>
      <t>1.-</t>
    </r>
    <r>
      <rPr>
        <sz val="10"/>
        <rFont val="Arial Narrow"/>
        <family val="2"/>
      </rPr>
      <t xml:space="preserve"> Realizar el Plan Operativo Anual y/o Evaluación del POA.
</t>
    </r>
    <r>
      <rPr>
        <b/>
        <sz val="9"/>
        <rFont val="Century Schoolbook"/>
        <family val="1"/>
      </rPr>
      <t>2.-</t>
    </r>
    <r>
      <rPr>
        <sz val="10"/>
        <rFont val="Arial Narrow"/>
        <family val="2"/>
      </rPr>
      <t xml:space="preserve"> Revisar el Plan Operativo Anual y/o Evaluación del POA realizado.
</t>
    </r>
    <r>
      <rPr>
        <b/>
        <sz val="9"/>
        <rFont val="Century Schoolbook"/>
        <family val="1"/>
      </rPr>
      <t>3.-</t>
    </r>
    <r>
      <rPr>
        <sz val="10"/>
        <rFont val="Arial Narrow"/>
        <family val="2"/>
      </rPr>
      <t xml:space="preserve"> Realizar el oficio respectivo para enviar el Plan Operativo Anual y/o Evaluación del POA.
</t>
    </r>
    <r>
      <rPr>
        <b/>
        <sz val="9"/>
        <rFont val="Century Schoolbook"/>
        <family val="1"/>
      </rPr>
      <t>4.-</t>
    </r>
    <r>
      <rPr>
        <sz val="10"/>
        <rFont val="Arial Narrow"/>
        <family val="2"/>
      </rPr>
      <t xml:space="preserve"> Suscribir el Oficio para remitir Plan Operativo Anual y/o Evaluación del POA.</t>
    </r>
  </si>
  <si>
    <r>
      <rPr>
        <b/>
        <sz val="9"/>
        <rFont val="Century Schoolbook"/>
        <family val="1"/>
      </rPr>
      <t>1.-</t>
    </r>
    <r>
      <rPr>
        <sz val="10"/>
        <rFont val="Arial Narrow"/>
        <family val="2"/>
      </rPr>
      <t xml:space="preserve"> Plan operativo anual </t>
    </r>
    <r>
      <rPr>
        <sz val="10"/>
        <rFont val="Century Schoolbook"/>
        <family val="1"/>
      </rPr>
      <t>2023.</t>
    </r>
    <r>
      <rPr>
        <sz val="10"/>
        <rFont val="Arial Narrow"/>
        <family val="2"/>
      </rPr>
      <t xml:space="preserve">
</t>
    </r>
    <r>
      <rPr>
        <b/>
        <sz val="9"/>
        <rFont val="Century Schoolbook"/>
        <family val="1"/>
      </rPr>
      <t>2.-</t>
    </r>
    <r>
      <rPr>
        <sz val="10"/>
        <rFont val="Arial Narrow"/>
        <family val="2"/>
      </rPr>
      <t xml:space="preserve"> Evaluación del POA primer semestre.
</t>
    </r>
    <r>
      <rPr>
        <b/>
        <sz val="9"/>
        <rFont val="Century Schoolbook"/>
        <family val="1"/>
      </rPr>
      <t>3.-</t>
    </r>
    <r>
      <rPr>
        <sz val="10"/>
        <rFont val="Arial Narrow"/>
        <family val="2"/>
      </rPr>
      <t xml:space="preserve"> POA </t>
    </r>
    <r>
      <rPr>
        <sz val="10"/>
        <rFont val="Century Schoolbook"/>
        <family val="1"/>
      </rPr>
      <t>2024.</t>
    </r>
    <r>
      <rPr>
        <sz val="10"/>
        <rFont val="Arial Narrow"/>
        <family val="2"/>
      </rPr>
      <t xml:space="preserve">
</t>
    </r>
    <r>
      <rPr>
        <b/>
        <sz val="9"/>
        <rFont val="Century Schoolbook"/>
        <family val="1"/>
      </rPr>
      <t>4.-</t>
    </r>
    <r>
      <rPr>
        <sz val="10"/>
        <rFont val="Arial Narrow"/>
        <family val="2"/>
      </rPr>
      <t xml:space="preserve"> Evaluación del </t>
    </r>
    <r>
      <rPr>
        <sz val="10"/>
        <rFont val="Century Schoolbook"/>
        <family val="1"/>
      </rPr>
      <t>2</t>
    </r>
    <r>
      <rPr>
        <sz val="10"/>
        <rFont val="Arial Narrow"/>
        <family val="2"/>
      </rPr>
      <t xml:space="preserve">do. Semestre POA </t>
    </r>
    <r>
      <rPr>
        <sz val="10"/>
        <rFont val="Century Schoolbook"/>
        <family val="1"/>
      </rPr>
      <t>2023.</t>
    </r>
  </si>
  <si>
    <t>TOTAL COORDINACIÓN GENERAL DEL RECTORADO 2023:</t>
  </si>
  <si>
    <t>TOTAL RECTORADO 2023:</t>
  </si>
  <si>
    <r>
      <rPr>
        <b/>
        <sz val="11"/>
        <color rgb="FF000000"/>
        <rFont val="Arial Narrow"/>
        <family val="2"/>
      </rPr>
      <t xml:space="preserve">Elaborado por: </t>
    </r>
    <r>
      <rPr>
        <sz val="11"/>
        <color rgb="FF000000"/>
        <rFont val="Arial Narrow"/>
        <family val="2"/>
      </rPr>
      <t>Martha Rojas Lima</t>
    </r>
  </si>
  <si>
    <r>
      <rPr>
        <b/>
        <sz val="11"/>
        <color rgb="FFFF0000"/>
        <rFont val="Arial Narrow"/>
        <family val="2"/>
      </rPr>
      <t>NOTA:</t>
    </r>
    <r>
      <rPr>
        <sz val="11"/>
        <color rgb="FF000000"/>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</si>
  <si>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1"/>
        <color rgb="FF000000"/>
        <rFont val="Arial Narrow"/>
        <family val="2"/>
      </rPr>
      <t xml:space="preserve">Fecha: </t>
    </r>
    <r>
      <rPr>
        <sz val="11"/>
        <color rgb="FF000000"/>
        <rFont val="Century Schoolbook"/>
        <family val="1"/>
      </rPr>
      <t>21/09/2022</t>
    </r>
  </si>
  <si>
    <t>RESUMEN PRESUPUESTO ESTIMADO PARA EL 2023</t>
  </si>
  <si>
    <t>CÓDIGO</t>
  </si>
  <si>
    <t>TOTAL</t>
  </si>
  <si>
    <t>530303</t>
  </si>
  <si>
    <t>530602</t>
  </si>
  <si>
    <t>RESUMEN POR FUENTE DE FINANCIAMIENTO:</t>
  </si>
  <si>
    <t>Revisado</t>
  </si>
  <si>
    <r>
      <rPr>
        <sz val="11"/>
        <color theme="1"/>
        <rFont val="Arial Narrow"/>
        <family val="2"/>
      </rPr>
      <t xml:space="preserve">FUENTE </t>
    </r>
    <r>
      <rPr>
        <sz val="11"/>
        <color theme="1"/>
        <rFont val="Century Schoolbook"/>
        <family val="1"/>
      </rPr>
      <t>1</t>
    </r>
  </si>
  <si>
    <r>
      <rPr>
        <sz val="11"/>
        <color theme="1"/>
        <rFont val="Arial Narrow"/>
        <family val="2"/>
      </rPr>
      <t xml:space="preserve">FUENTE </t>
    </r>
    <r>
      <rPr>
        <sz val="11"/>
        <color theme="1"/>
        <rFont val="Century Schoolbook"/>
        <family val="1"/>
      </rPr>
      <t>2</t>
    </r>
  </si>
  <si>
    <r>
      <rPr>
        <sz val="11"/>
        <color theme="1"/>
        <rFont val="Arial Narrow"/>
        <family val="2"/>
      </rPr>
      <t xml:space="preserve">FUENTE </t>
    </r>
    <r>
      <rPr>
        <sz val="11"/>
        <color theme="1"/>
        <rFont val="Century Schoolbook"/>
        <family val="1"/>
      </rPr>
      <t>3</t>
    </r>
  </si>
  <si>
    <r>
      <rPr>
        <sz val="11"/>
        <color theme="1"/>
        <rFont val="Arial Narrow"/>
        <family val="2"/>
      </rPr>
      <t xml:space="preserve">FUENTE </t>
    </r>
    <r>
      <rPr>
        <sz val="11"/>
        <color theme="1"/>
        <rFont val="Century Schoolbook"/>
        <family val="1"/>
      </rPr>
      <t>202</t>
    </r>
  </si>
  <si>
    <t>RESUMEN POR GRUPO DE GASTO:</t>
  </si>
  <si>
    <r>
      <rPr>
        <sz val="11"/>
        <color theme="1"/>
        <rFont val="Century Schoolbook"/>
        <family val="1"/>
      </rPr>
      <t>51</t>
    </r>
    <r>
      <rPr>
        <sz val="11"/>
        <color theme="1"/>
        <rFont val="Arial Narrow"/>
        <family val="2"/>
      </rPr>
      <t xml:space="preserve"> Egresos en Personal</t>
    </r>
  </si>
  <si>
    <r>
      <rPr>
        <sz val="11"/>
        <color rgb="FF000000"/>
        <rFont val="Century Schoolbook"/>
        <family val="1"/>
      </rPr>
      <t>53</t>
    </r>
    <r>
      <rPr>
        <sz val="11"/>
        <color rgb="FF000000"/>
        <rFont val="Arial Narrow"/>
        <family val="2"/>
      </rPr>
      <t xml:space="preserve"> Bienes y Servicios de Consumo</t>
    </r>
  </si>
  <si>
    <r>
      <rPr>
        <sz val="11"/>
        <color rgb="FF000000"/>
        <rFont val="Century Schoolbook"/>
        <family val="1"/>
      </rPr>
      <t>57</t>
    </r>
    <r>
      <rPr>
        <sz val="11"/>
        <color rgb="FF000000"/>
        <rFont val="Arial Narrow"/>
        <family val="2"/>
      </rPr>
      <t xml:space="preserve"> Otros Egresos Corrientes</t>
    </r>
  </si>
  <si>
    <r>
      <rPr>
        <sz val="11"/>
        <color rgb="FF000000"/>
        <rFont val="Century Schoolbook"/>
        <family val="1"/>
      </rPr>
      <t>58</t>
    </r>
    <r>
      <rPr>
        <sz val="11"/>
        <color rgb="FF000000"/>
        <rFont val="Arial Narrow"/>
        <family val="2"/>
      </rPr>
      <t xml:space="preserve"> Transferencias o Donaciones Corrientes </t>
    </r>
  </si>
  <si>
    <r>
      <rPr>
        <sz val="11"/>
        <color rgb="FF000000"/>
        <rFont val="Century Schoolbook"/>
        <family val="1"/>
      </rPr>
      <t>71</t>
    </r>
    <r>
      <rPr>
        <sz val="11"/>
        <color rgb="FF000000"/>
        <rFont val="Arial Narrow"/>
        <family val="2"/>
      </rPr>
      <t xml:space="preserve"> Egresos en Personal para Inversión </t>
    </r>
  </si>
  <si>
    <r>
      <rPr>
        <sz val="11"/>
        <color rgb="FF000000"/>
        <rFont val="Century Schoolbook"/>
        <family val="1"/>
      </rPr>
      <t>73</t>
    </r>
    <r>
      <rPr>
        <sz val="11"/>
        <color rgb="FF000000"/>
        <rFont val="Arial Narrow"/>
        <family val="2"/>
      </rPr>
      <t xml:space="preserve"> Bienes y Servicios para Inversión </t>
    </r>
  </si>
  <si>
    <r>
      <rPr>
        <sz val="11"/>
        <color rgb="FF000000"/>
        <rFont val="Century Schoolbook"/>
        <family val="1"/>
      </rPr>
      <t>84</t>
    </r>
    <r>
      <rPr>
        <sz val="11"/>
        <color rgb="FF000000"/>
        <rFont val="Arial Narrow"/>
        <family val="2"/>
      </rPr>
      <t xml:space="preserve"> Bienes de Larga Duración</t>
    </r>
  </si>
  <si>
    <r>
      <rPr>
        <sz val="11"/>
        <color rgb="FF000000"/>
        <rFont val="Century Schoolbook"/>
        <family val="1"/>
      </rPr>
      <t>99</t>
    </r>
    <r>
      <rPr>
        <sz val="11"/>
        <color rgb="FF000000"/>
        <rFont val="Arial Narrow"/>
        <family val="2"/>
      </rPr>
      <t xml:space="preserve"> Otros Pasivos</t>
    </r>
  </si>
  <si>
    <t>PROCURADURÍA GENERAL</t>
  </si>
  <si>
    <r>
      <t xml:space="preserve">Unidad </t>
    </r>
    <r>
      <rPr>
        <b/>
        <sz val="12"/>
        <color rgb="FF000000"/>
        <rFont val="Cambria"/>
        <family val="1"/>
      </rPr>
      <t>(metros, litros etc.)</t>
    </r>
  </si>
  <si>
    <r>
      <t>Tipo de contra</t>
    </r>
    <r>
      <rPr>
        <b/>
        <u/>
        <sz val="12"/>
        <color theme="1"/>
        <rFont val="Cambria"/>
        <family val="1"/>
      </rPr>
      <t>ta</t>
    </r>
    <r>
      <rPr>
        <b/>
        <sz val="12"/>
        <color theme="1"/>
        <rFont val="Cambria"/>
        <family val="1"/>
      </rPr>
      <t>ción</t>
    </r>
  </si>
  <si>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Elaborar Pronunciamientos jurídicos.</t>
    </r>
  </si>
  <si>
    <t>Pronunciamientos jurídicos elaborados.</t>
  </si>
  <si>
    <t>N° de Pronunciamientos jurídicos elaborados.</t>
  </si>
  <si>
    <r>
      <rPr>
        <b/>
        <sz val="9"/>
        <color theme="1"/>
        <rFont val="Century Schoolbook"/>
        <family val="1"/>
      </rPr>
      <t>1.-</t>
    </r>
    <r>
      <rPr>
        <sz val="10"/>
        <color theme="1"/>
        <rFont val="Arial Narrow"/>
        <family val="2"/>
      </rPr>
      <t xml:space="preserve"> Recibir oficios de las diferentes dependencias donde expresan su consulta sobre la normativa vigente y entregar al procurador.
</t>
    </r>
    <r>
      <rPr>
        <b/>
        <sz val="9"/>
        <color theme="1"/>
        <rFont val="Century Schoolbook"/>
        <family val="1"/>
      </rPr>
      <t>2.-</t>
    </r>
    <r>
      <rPr>
        <sz val="10"/>
        <color theme="1"/>
        <rFont val="Arial Narrow"/>
        <family val="2"/>
      </rPr>
      <t xml:space="preserve"> Solicitar informe a las dependencias administrativas o facultades.
</t>
    </r>
    <r>
      <rPr>
        <b/>
        <sz val="9"/>
        <color theme="1"/>
        <rFont val="Century Schoolbook"/>
        <family val="1"/>
      </rPr>
      <t>3.-</t>
    </r>
    <r>
      <rPr>
        <sz val="10"/>
        <color theme="1"/>
        <rFont val="Arial Narrow"/>
        <family val="2"/>
      </rPr>
      <t xml:space="preserve"> Disponer la persona que realizará la absolución de consulta.
</t>
    </r>
    <r>
      <rPr>
        <b/>
        <sz val="9"/>
        <color theme="1"/>
        <rFont val="Century Schoolbook"/>
        <family val="1"/>
      </rPr>
      <t>4.-</t>
    </r>
    <r>
      <rPr>
        <sz val="10"/>
        <color theme="1"/>
        <rFont val="Arial Narrow"/>
        <family val="2"/>
      </rPr>
      <t xml:space="preserve"> Distribuir entre el personal las asignaciones realizadas por el procurador.
</t>
    </r>
    <r>
      <rPr>
        <b/>
        <sz val="9"/>
        <color theme="1"/>
        <rFont val="Century Schoolbook"/>
        <family val="1"/>
      </rPr>
      <t>5.-</t>
    </r>
    <r>
      <rPr>
        <sz val="10"/>
        <color theme="1"/>
        <rFont val="Arial Narrow"/>
        <family val="2"/>
      </rPr>
      <t xml:space="preserve"> Emitir pronunciamientos a las órdenes del Rector, Consejo Universitario y demás dependencias administrativas.
</t>
    </r>
    <r>
      <rPr>
        <b/>
        <sz val="9"/>
        <color theme="1"/>
        <rFont val="Century Schoolbook"/>
        <family val="1"/>
      </rPr>
      <t>6.-</t>
    </r>
    <r>
      <rPr>
        <sz val="10"/>
        <color theme="1"/>
        <rFont val="Arial Narrow"/>
        <family val="2"/>
      </rPr>
      <t xml:space="preserve"> Suscribir pronunciamientos.</t>
    </r>
  </si>
  <si>
    <r>
      <rPr>
        <b/>
        <sz val="9"/>
        <color rgb="FF000000"/>
        <rFont val="Century Schoolbook"/>
        <family val="1"/>
      </rPr>
      <t>1.-</t>
    </r>
    <r>
      <rPr>
        <sz val="10"/>
        <color rgb="FF000000"/>
        <rFont val="Arial Narrow"/>
        <family val="2"/>
      </rPr>
      <t xml:space="preserve"> Registro de Pronunciamientos realizados.</t>
    </r>
  </si>
  <si>
    <r>
      <t xml:space="preserve">Ab. Anibal Campoverde Nivicela
PROCURADOR GENERAL
Ab. Andrea Márquez Sagal
ABOGADA </t>
    </r>
    <r>
      <rPr>
        <sz val="10"/>
        <color theme="1"/>
        <rFont val="Century Schoolbook"/>
        <family val="1"/>
      </rPr>
      <t>3</t>
    </r>
    <r>
      <rPr>
        <sz val="10"/>
        <color theme="1"/>
        <rFont val="Arial Narrow"/>
        <family val="2"/>
      </rPr>
      <t xml:space="preserve">
Ab. Jenniffer Alvarez Carrión
ABOGADA
Ab. Karina Rodríguez Romero
ABOGADA
Ab. Michel Quiñonez Rojas
Asistente Procuraduria</t>
    </r>
  </si>
  <si>
    <t>DPLAN: Se centraliza en 17. DTIC.</t>
  </si>
  <si>
    <t>17. DTIC</t>
  </si>
  <si>
    <t>Scanner duplex</t>
  </si>
  <si>
    <t>Impresora duplex multifunción</t>
  </si>
  <si>
    <t>Computador de escritorio</t>
  </si>
  <si>
    <r>
      <rPr>
        <b/>
        <sz val="9"/>
        <color theme="1"/>
        <rFont val="Century Schoolbook"/>
        <family val="1"/>
      </rPr>
      <t>2.-</t>
    </r>
    <r>
      <rPr>
        <sz val="10"/>
        <color theme="1"/>
        <rFont val="Arial Narrow"/>
        <family val="2"/>
      </rPr>
      <t xml:space="preserve"> Revisar Proyectos de la normativa jurídica interna.</t>
    </r>
  </si>
  <si>
    <t xml:space="preserve">Proyectos de creación, modificación o derogación de la reglamentación interna de la UTMACH, elaborados.
</t>
  </si>
  <si>
    <t>N° de Proyectos de la normativa jurídica interna revisadas.</t>
  </si>
  <si>
    <r>
      <rPr>
        <b/>
        <sz val="9"/>
        <color theme="1"/>
        <rFont val="Century Schoolbook"/>
        <family val="1"/>
      </rPr>
      <t>1.-</t>
    </r>
    <r>
      <rPr>
        <sz val="10"/>
        <color theme="1"/>
        <rFont val="Arial Narrow"/>
        <family val="2"/>
      </rPr>
      <t xml:space="preserve"> Receptar Oficios que contengan solicitud de informe jurídico de proyectos o borradores de reglamentación, instructivos de diferentes departamentos o Facultades.
</t>
    </r>
    <r>
      <rPr>
        <b/>
        <sz val="9"/>
        <color theme="1"/>
        <rFont val="Century Schoolbook"/>
        <family val="1"/>
      </rPr>
      <t>2.-</t>
    </r>
    <r>
      <rPr>
        <sz val="10"/>
        <color theme="1"/>
        <rFont val="Arial Narrow"/>
        <family val="2"/>
      </rPr>
      <t xml:space="preserve"> Disponer la persona que revisará el o los proyectos de Reglamento o Instructivo.
</t>
    </r>
    <r>
      <rPr>
        <b/>
        <sz val="9"/>
        <color theme="1"/>
        <rFont val="Century Schoolbook"/>
        <family val="1"/>
      </rPr>
      <t>3.-</t>
    </r>
    <r>
      <rPr>
        <sz val="10"/>
        <color theme="1"/>
        <rFont val="Arial Narrow"/>
        <family val="2"/>
      </rPr>
      <t xml:space="preserve"> Distribuir entre el personal las asignaciones realizadas por el procurador.
</t>
    </r>
    <r>
      <rPr>
        <b/>
        <sz val="9"/>
        <color theme="1"/>
        <rFont val="Century Schoolbook"/>
        <family val="1"/>
      </rPr>
      <t>4.-</t>
    </r>
    <r>
      <rPr>
        <sz val="10"/>
        <color theme="1"/>
        <rFont val="Arial Narrow"/>
        <family val="2"/>
      </rPr>
      <t xml:space="preserve"> Revisar los proyectos o borradores de reglamentación o instructivos recibidos.
</t>
    </r>
    <r>
      <rPr>
        <b/>
        <sz val="9"/>
        <color theme="1"/>
        <rFont val="Century Schoolbook"/>
        <family val="1"/>
      </rPr>
      <t>5.-</t>
    </r>
    <r>
      <rPr>
        <sz val="10"/>
        <color theme="1"/>
        <rFont val="Arial Narrow"/>
        <family val="2"/>
      </rPr>
      <t xml:space="preserve"> Emitir el correspondiente informe sobre las observaciones realizadas al borrador del reglamento o instructivo.</t>
    </r>
  </si>
  <si>
    <r>
      <rPr>
        <b/>
        <sz val="9"/>
        <color rgb="FF000000"/>
        <rFont val="Century Schoolbook"/>
        <family val="1"/>
      </rPr>
      <t>1.-</t>
    </r>
    <r>
      <rPr>
        <sz val="10"/>
        <color rgb="FF000000"/>
        <rFont val="Arial Narrow"/>
        <family val="2"/>
      </rPr>
      <t xml:space="preserve"> Registro de Revisión Proyectos de la normativa jurídica interna.</t>
    </r>
  </si>
  <si>
    <t>Edición, Impresión, Reproducción, Publicaciones, Suscripciones, Fotocopiado, Traducción, Empastado, Enmarcación, Serigrafía, Fotografía, Carnetización, Filmación e Imágenes Satelitales.</t>
  </si>
  <si>
    <t>DPLAN: Se trasladan a esta partida, programa y dependencia, la planificación de usuarios de las Dirección Financiera (1), Dirección Administrativa (1), Dirección de Planificación (1) y la Secretaría General (1) para realizar un solo proceso de contratación.</t>
  </si>
  <si>
    <t>Suscripción a base de datos jurídica</t>
  </si>
  <si>
    <t>Servicio de fotocopiadora de trámites varios</t>
  </si>
  <si>
    <t>14. Potenciar las condiciones de trabajo docente y de investigación para desarrollar sus capacidades dinámicas.</t>
  </si>
  <si>
    <r>
      <rPr>
        <b/>
        <sz val="9"/>
        <color theme="1"/>
        <rFont val="Century Schoolbook"/>
        <family val="1"/>
      </rPr>
      <t>3.-</t>
    </r>
    <r>
      <rPr>
        <sz val="10"/>
        <color theme="1"/>
        <rFont val="Arial Narrow"/>
        <family val="2"/>
      </rPr>
      <t xml:space="preserve"> Elaborar Contratos.</t>
    </r>
  </si>
  <si>
    <t xml:space="preserve">Elaborar contratos relacionados a contratación pública.
</t>
  </si>
  <si>
    <t>N° de contratos elaborados.</t>
  </si>
  <si>
    <r>
      <rPr>
        <b/>
        <sz val="9"/>
        <color rgb="FF000000"/>
        <rFont val="Century Schoolbook"/>
        <family val="1"/>
      </rPr>
      <t>1.-</t>
    </r>
    <r>
      <rPr>
        <sz val="10"/>
        <color rgb="FF000000"/>
        <rFont val="Arial Narrow"/>
        <family val="2"/>
      </rPr>
      <t xml:space="preserve"> Receptar el Oficio o expediente para la elaboración del Contrato.
</t>
    </r>
    <r>
      <rPr>
        <b/>
        <sz val="9"/>
        <color rgb="FF000000"/>
        <rFont val="Century Schoolbook"/>
        <family val="1"/>
      </rPr>
      <t>2.-</t>
    </r>
    <r>
      <rPr>
        <sz val="10"/>
        <color rgb="FF000000"/>
        <rFont val="Arial Narrow"/>
        <family val="2"/>
      </rPr>
      <t xml:space="preserve"> Disponer la personas que realizará los contratos (Arriendo, Bienes y Servicios, Consultoría, Obras).
</t>
    </r>
    <r>
      <rPr>
        <b/>
        <sz val="9"/>
        <color rgb="FF000000"/>
        <rFont val="Century Schoolbook"/>
        <family val="1"/>
      </rPr>
      <t>3.-</t>
    </r>
    <r>
      <rPr>
        <sz val="10"/>
        <color rgb="FF000000"/>
        <rFont val="Arial Narrow"/>
        <family val="2"/>
      </rPr>
      <t xml:space="preserve"> Revisar la información recibida.
</t>
    </r>
    <r>
      <rPr>
        <b/>
        <sz val="9"/>
        <color rgb="FF000000"/>
        <rFont val="Century Schoolbook"/>
        <family val="1"/>
      </rPr>
      <t>4.-</t>
    </r>
    <r>
      <rPr>
        <sz val="10"/>
        <color rgb="FF000000"/>
        <rFont val="Arial Narrow"/>
        <family val="2"/>
      </rPr>
      <t xml:space="preserve"> Realizar el contrato respectivo.
</t>
    </r>
    <r>
      <rPr>
        <b/>
        <sz val="9"/>
        <color rgb="FF000000"/>
        <rFont val="Century Schoolbook"/>
        <family val="1"/>
      </rPr>
      <t>5.-</t>
    </r>
    <r>
      <rPr>
        <sz val="10"/>
        <color rgb="FF000000"/>
        <rFont val="Arial Narrow"/>
        <family val="2"/>
      </rPr>
      <t xml:space="preserve"> Aprobar los contratos para la suscripción de las partes.
</t>
    </r>
    <r>
      <rPr>
        <b/>
        <sz val="9"/>
        <color rgb="FF000000"/>
        <rFont val="Century Schoolbook"/>
        <family val="1"/>
      </rPr>
      <t>6.-</t>
    </r>
    <r>
      <rPr>
        <sz val="10"/>
        <color rgb="FF000000"/>
        <rFont val="Arial Narrow"/>
        <family val="2"/>
      </rPr>
      <t xml:space="preserve"> Enviar contratos para firma del Rector.
</t>
    </r>
    <r>
      <rPr>
        <b/>
        <sz val="9"/>
        <color rgb="FF000000"/>
        <rFont val="Century Schoolbook"/>
        <family val="1"/>
      </rPr>
      <t>7.-</t>
    </r>
    <r>
      <rPr>
        <sz val="10"/>
        <color rgb="FF000000"/>
        <rFont val="Arial Narrow"/>
        <family val="2"/>
      </rPr>
      <t xml:space="preserve"> Realizar el correspondiente oficio para enviar contrato a los diferentes departamentos una vez suscritos.</t>
    </r>
  </si>
  <si>
    <r>
      <rPr>
        <b/>
        <sz val="9"/>
        <color rgb="FF000000"/>
        <rFont val="Century Schoolbook"/>
        <family val="1"/>
      </rPr>
      <t>1.-</t>
    </r>
    <r>
      <rPr>
        <sz val="10"/>
        <color rgb="FF000000"/>
        <rFont val="Arial Narrow"/>
        <family val="2"/>
      </rPr>
      <t xml:space="preserve"> Registro de contratos realizados.</t>
    </r>
  </si>
  <si>
    <t>Ab. Anibal Campoverde Nivicela
PROCURADOR GENERAL Ab. Karina Rodríguez Romero
ABOGADA
Ab. Michel Quiñonez Rojas
Asistente Procuraduria</t>
  </si>
  <si>
    <r>
      <rPr>
        <b/>
        <sz val="9"/>
        <color theme="1"/>
        <rFont val="Century Schoolbook"/>
        <family val="1"/>
      </rPr>
      <t>4.-</t>
    </r>
    <r>
      <rPr>
        <sz val="10"/>
        <color theme="1"/>
        <rFont val="Arial Narrow"/>
        <family val="2"/>
      </rPr>
      <t xml:space="preserve"> Emitir Informes sobre procesos contractuales.</t>
    </r>
  </si>
  <si>
    <t>Informe sobre procesos contractuales emitidos.</t>
  </si>
  <si>
    <t>N° de informe sobre procesos contractuales emitidos.</t>
  </si>
  <si>
    <r>
      <rPr>
        <b/>
        <sz val="9"/>
        <color rgb="FF000000"/>
        <rFont val="Century Schoolbook"/>
        <family val="1"/>
      </rPr>
      <t>1.-</t>
    </r>
    <r>
      <rPr>
        <sz val="10"/>
        <color rgb="FF000000"/>
        <rFont val="Arial Narrow"/>
        <family val="2"/>
      </rPr>
      <t xml:space="preserve"> Receptar Oficios con petición de informes de procesos contractuales.
</t>
    </r>
    <r>
      <rPr>
        <b/>
        <sz val="9"/>
        <color rgb="FF000000"/>
        <rFont val="Century Schoolbook"/>
        <family val="1"/>
      </rPr>
      <t>2.-</t>
    </r>
    <r>
      <rPr>
        <sz val="10"/>
        <color rgb="FF000000"/>
        <rFont val="Arial Narrow"/>
        <family val="2"/>
      </rPr>
      <t xml:space="preserve"> Disponer la persona encargada de emitir el correspondiente informe.
</t>
    </r>
    <r>
      <rPr>
        <b/>
        <sz val="9"/>
        <color rgb="FF000000"/>
        <rFont val="Century Schoolbook"/>
        <family val="1"/>
      </rPr>
      <t>3.-</t>
    </r>
    <r>
      <rPr>
        <sz val="10"/>
        <color rgb="FF000000"/>
        <rFont val="Arial Narrow"/>
        <family val="2"/>
      </rPr>
      <t xml:space="preserve"> Distribuir entre el personal las asignaciones realizadas por el procurador.
</t>
    </r>
    <r>
      <rPr>
        <b/>
        <sz val="9"/>
        <color rgb="FF000000"/>
        <rFont val="Century Schoolbook"/>
        <family val="1"/>
      </rPr>
      <t>4.-</t>
    </r>
    <r>
      <rPr>
        <sz val="10"/>
        <color rgb="FF000000"/>
        <rFont val="Arial Narrow"/>
        <family val="2"/>
      </rPr>
      <t xml:space="preserve"> Emitir el informe sobre los procesos contractuales.
</t>
    </r>
    <r>
      <rPr>
        <b/>
        <sz val="9"/>
        <color rgb="FF000000"/>
        <rFont val="Century Schoolbook"/>
        <family val="1"/>
      </rPr>
      <t>5.-</t>
    </r>
    <r>
      <rPr>
        <sz val="10"/>
        <color rgb="FF000000"/>
        <rFont val="Arial Narrow"/>
        <family val="2"/>
      </rPr>
      <t xml:space="preserve"> Suscribir el informe sobre procesos contractuales.</t>
    </r>
  </si>
  <si>
    <r>
      <rPr>
        <b/>
        <sz val="9"/>
        <color rgb="FF000000"/>
        <rFont val="Century Schoolbook"/>
        <family val="1"/>
      </rPr>
      <t>1.-</t>
    </r>
    <r>
      <rPr>
        <sz val="10"/>
        <color rgb="FF000000"/>
        <rFont val="Arial Narrow"/>
        <family val="2"/>
      </rPr>
      <t xml:space="preserve"> Registro de informes sobre procesos precontractuales y contractuales.</t>
    </r>
  </si>
  <si>
    <r>
      <t xml:space="preserve">Ab. Anibal Campoverde Nivicela
PROCURADOR GENERAL
Ab. Andrea Márquez Sagal
ABOGADA </t>
    </r>
    <r>
      <rPr>
        <sz val="10"/>
        <color theme="1"/>
        <rFont val="Century Schoolbook"/>
        <family val="1"/>
      </rPr>
      <t>3</t>
    </r>
    <r>
      <rPr>
        <sz val="10"/>
        <color theme="1"/>
        <rFont val="Arial Narrow"/>
        <family val="2"/>
      </rPr>
      <t xml:space="preserve">
Ab. Michel Quiñonez Rojas
Asistente Procuraduria</t>
    </r>
  </si>
  <si>
    <t>1. Mantener procesos continuos de capacitación para garantizar la implementación efectiva del modelo educativo.</t>
  </si>
  <si>
    <r>
      <rPr>
        <b/>
        <sz val="9"/>
        <color theme="1"/>
        <rFont val="Century Schoolbook"/>
        <family val="1"/>
      </rPr>
      <t>5.-</t>
    </r>
    <r>
      <rPr>
        <sz val="10"/>
        <color theme="1"/>
        <rFont val="Arial Narrow"/>
        <family val="2"/>
      </rPr>
      <t xml:space="preserve"> Elaborar Convenios.</t>
    </r>
  </si>
  <si>
    <t>Proyectos de convenios previo a la firma de la máxima autoridad, coordinados y/o revisados.</t>
  </si>
  <si>
    <t>N° de convenios elaborados.</t>
  </si>
  <si>
    <r>
      <rPr>
        <b/>
        <sz val="9"/>
        <color rgb="FF000000"/>
        <rFont val="Century Schoolbook"/>
        <family val="1"/>
      </rPr>
      <t>1.-</t>
    </r>
    <r>
      <rPr>
        <sz val="10"/>
        <color rgb="FF000000"/>
        <rFont val="Arial Narrow"/>
        <family val="2"/>
      </rPr>
      <t xml:space="preserve"> Recibir la resolución emitida por consejo universitario para la elaboración de convenios de ayudas económicas, o el oficio solicitando la elaboración de convenio de pago.
</t>
    </r>
    <r>
      <rPr>
        <b/>
        <sz val="9"/>
        <color rgb="FF000000"/>
        <rFont val="Century Schoolbook"/>
        <family val="1"/>
      </rPr>
      <t>2.-</t>
    </r>
    <r>
      <rPr>
        <sz val="10"/>
        <color rgb="FF000000"/>
        <rFont val="Arial Narrow"/>
        <family val="2"/>
      </rPr>
      <t xml:space="preserve"> Disponer la persona encargada de la elaboración de convenios.
</t>
    </r>
    <r>
      <rPr>
        <b/>
        <sz val="9"/>
        <color rgb="FF000000"/>
        <rFont val="Century Schoolbook"/>
        <family val="1"/>
      </rPr>
      <t>3.-</t>
    </r>
    <r>
      <rPr>
        <sz val="10"/>
        <color rgb="FF000000"/>
        <rFont val="Arial Narrow"/>
        <family val="2"/>
      </rPr>
      <t xml:space="preserve"> Distribuir entre el personal las asignaciones realizadas por el procurador.
</t>
    </r>
    <r>
      <rPr>
        <b/>
        <sz val="9"/>
        <color rgb="FF000000"/>
        <rFont val="Century Schoolbook"/>
        <family val="1"/>
      </rPr>
      <t>4.-</t>
    </r>
    <r>
      <rPr>
        <sz val="10"/>
        <color rgb="FF000000"/>
        <rFont val="Arial Narrow"/>
        <family val="2"/>
      </rPr>
      <t xml:space="preserve"> Receptar la documentación necesaria para la elaboración de los convenios.
</t>
    </r>
    <r>
      <rPr>
        <b/>
        <sz val="9"/>
        <color rgb="FF000000"/>
        <rFont val="Century Schoolbook"/>
        <family val="1"/>
      </rPr>
      <t>5.-</t>
    </r>
    <r>
      <rPr>
        <sz val="10"/>
        <color rgb="FF000000"/>
        <rFont val="Arial Narrow"/>
        <family val="2"/>
      </rPr>
      <t xml:space="preserve"> Elaborar los convenios respectivos.
</t>
    </r>
    <r>
      <rPr>
        <b/>
        <sz val="9"/>
        <color rgb="FF000000"/>
        <rFont val="Century Schoolbook"/>
        <family val="1"/>
      </rPr>
      <t>6.-</t>
    </r>
    <r>
      <rPr>
        <sz val="10"/>
        <color rgb="FF000000"/>
        <rFont val="Arial Narrow"/>
        <family val="2"/>
      </rPr>
      <t xml:space="preserve"> Aprobar los convenios para la suscripción de las partes.
</t>
    </r>
    <r>
      <rPr>
        <b/>
        <sz val="9"/>
        <color rgb="FF000000"/>
        <rFont val="Century Schoolbook"/>
        <family val="1"/>
      </rPr>
      <t>7.-</t>
    </r>
    <r>
      <rPr>
        <sz val="10"/>
        <color rgb="FF000000"/>
        <rFont val="Arial Narrow"/>
        <family val="2"/>
      </rPr>
      <t xml:space="preserve"> Remitir las correspondientes letras de cambio firmadas por los beneficiarios y convenios a la unidad correspondiente.</t>
    </r>
  </si>
  <si>
    <r>
      <rPr>
        <b/>
        <sz val="9"/>
        <color rgb="FF000000"/>
        <rFont val="Century Schoolbook"/>
        <family val="1"/>
      </rPr>
      <t>1.-</t>
    </r>
    <r>
      <rPr>
        <sz val="10"/>
        <color rgb="FF000000"/>
        <rFont val="Arial Narrow"/>
        <family val="2"/>
      </rPr>
      <t xml:space="preserve"> Registro de convenios elaborados.</t>
    </r>
  </si>
  <si>
    <t xml:space="preserve"> </t>
  </si>
  <si>
    <r>
      <rPr>
        <b/>
        <sz val="9"/>
        <color theme="1"/>
        <rFont val="Century Schoolbook"/>
        <family val="1"/>
      </rPr>
      <t>6.-</t>
    </r>
    <r>
      <rPr>
        <sz val="10"/>
        <color theme="1"/>
        <rFont val="Arial Narrow"/>
        <family val="2"/>
      </rPr>
      <t xml:space="preserve"> Representar en el Patrocinio judicial y constitucional de la UTMACH.</t>
    </r>
  </si>
  <si>
    <t>Patrocinio judicial, administrativos y constitucional Representado.</t>
  </si>
  <si>
    <t>N° de los procesos judiciales y constitucionales patrocinados.</t>
  </si>
  <si>
    <r>
      <rPr>
        <b/>
        <sz val="9"/>
        <color rgb="FF000000"/>
        <rFont val="Century Schoolbook"/>
        <family val="1"/>
      </rPr>
      <t>1.-</t>
    </r>
    <r>
      <rPr>
        <sz val="10"/>
        <color rgb="FF000000"/>
        <rFont val="Arial Narrow"/>
        <family val="2"/>
      </rPr>
      <t xml:space="preserve"> Recibir las demandas realizadas en contra de la institución.
</t>
    </r>
    <r>
      <rPr>
        <b/>
        <sz val="9"/>
        <color rgb="FF000000"/>
        <rFont val="Century Schoolbook"/>
        <family val="1"/>
      </rPr>
      <t>2.-</t>
    </r>
    <r>
      <rPr>
        <sz val="10"/>
        <color rgb="FF000000"/>
        <rFont val="Arial Narrow"/>
        <family val="2"/>
      </rPr>
      <t xml:space="preserve"> Disponer se elabore el escrito de autorización de los abogados que realizan la defensa de los intereses de la institución.
</t>
    </r>
    <r>
      <rPr>
        <b/>
        <sz val="9"/>
        <color rgb="FF000000"/>
        <rFont val="Century Schoolbook"/>
        <family val="1"/>
      </rPr>
      <t>3.-</t>
    </r>
    <r>
      <rPr>
        <sz val="10"/>
        <color rgb="FF000000"/>
        <rFont val="Arial Narrow"/>
        <family val="2"/>
      </rPr>
      <t xml:space="preserve"> Solicitar a los departamentos correspondientes informes, y demás documentación que permitan elaborar la defensa técnica de la institución.
</t>
    </r>
    <r>
      <rPr>
        <b/>
        <sz val="9"/>
        <color rgb="FF000000"/>
        <rFont val="Century Schoolbook"/>
        <family val="1"/>
      </rPr>
      <t>4.-</t>
    </r>
    <r>
      <rPr>
        <sz val="10"/>
        <color rgb="FF000000"/>
        <rFont val="Arial Narrow"/>
        <family val="2"/>
      </rPr>
      <t xml:space="preserve"> Elaborar el escrito de autorización en el proceso judicial recibido.
</t>
    </r>
    <r>
      <rPr>
        <b/>
        <sz val="9"/>
        <color rgb="FF000000"/>
        <rFont val="Century Schoolbook"/>
        <family val="1"/>
      </rPr>
      <t>5.-</t>
    </r>
    <r>
      <rPr>
        <sz val="10"/>
        <color rgb="FF000000"/>
        <rFont val="Arial Narrow"/>
        <family val="2"/>
      </rPr>
      <t xml:space="preserve"> Determinar directrices para la defensa en los juicios y realizar el análisis de la normativa que corresponde.
</t>
    </r>
    <r>
      <rPr>
        <b/>
        <sz val="9"/>
        <color rgb="FF000000"/>
        <rFont val="Century Schoolbook"/>
        <family val="1"/>
      </rPr>
      <t>6.-</t>
    </r>
    <r>
      <rPr>
        <sz val="10"/>
        <color rgb="FF000000"/>
        <rFont val="Arial Narrow"/>
        <family val="2"/>
      </rPr>
      <t xml:space="preserve"> Coordinar la defensa con la Procuraduría General del estado para el patrocinio judicial y constitucional.
</t>
    </r>
    <r>
      <rPr>
        <b/>
        <sz val="9"/>
        <color rgb="FF000000"/>
        <rFont val="Century Schoolbook"/>
        <family val="1"/>
      </rPr>
      <t>7.-</t>
    </r>
    <r>
      <rPr>
        <sz val="10"/>
        <color rgb="FF000000"/>
        <rFont val="Arial Narrow"/>
        <family val="2"/>
      </rPr>
      <t xml:space="preserve"> Defender a la institución en las audiencias y en las diligencias dispuestas por la autoridad competente.</t>
    </r>
  </si>
  <si>
    <r>
      <rPr>
        <b/>
        <sz val="9"/>
        <color rgb="FF000000"/>
        <rFont val="Century Schoolbook"/>
        <family val="1"/>
      </rPr>
      <t>1.-</t>
    </r>
    <r>
      <rPr>
        <sz val="10"/>
        <color rgb="FF000000"/>
        <rFont val="Arial Narrow"/>
        <family val="2"/>
      </rPr>
      <t xml:space="preserve"> Registro de los procesos judiciales y constitucionales representado.</t>
    </r>
  </si>
  <si>
    <t>Costas Judiciales, Trámites Notariales, Legalización de Documentos y Arreglos Extrajudiciales</t>
  </si>
  <si>
    <t>Pagos por trámite judicial, notarial, extrajudicial o disposición de autoridades competente</t>
  </si>
  <si>
    <r>
      <rPr>
        <b/>
        <sz val="9"/>
        <color theme="1"/>
        <rFont val="Century Schoolbook"/>
        <family val="1"/>
      </rPr>
      <t>7.-</t>
    </r>
    <r>
      <rPr>
        <b/>
        <sz val="10"/>
        <color theme="1"/>
        <rFont val="Arial Narrow"/>
        <family val="2"/>
      </rPr>
      <t xml:space="preserve"> </t>
    </r>
    <r>
      <rPr>
        <sz val="10"/>
        <color theme="1"/>
        <rFont val="Arial Narrow"/>
        <family val="2"/>
      </rPr>
      <t>Unificar criterios jurídicos con Secretarios y Secretaria Abogados de las Facultades.</t>
    </r>
  </si>
  <si>
    <t>Dirigir, coordinar y asesorar a las principales autoridades de la Institución y direcciones departamentales, así como unificar criterio con los secretarios abogados de las Facultades. sobre la aplicabilidad de las normativa interna y externa.</t>
  </si>
  <si>
    <t>N° de criterios jurídicos unificados.</t>
  </si>
  <si>
    <r>
      <rPr>
        <b/>
        <sz val="9"/>
        <color rgb="FF000000"/>
        <rFont val="Century Schoolbook"/>
        <family val="1"/>
      </rPr>
      <t>1.-</t>
    </r>
    <r>
      <rPr>
        <sz val="10"/>
        <color rgb="FF000000"/>
        <rFont val="Arial Narrow"/>
        <family val="2"/>
      </rPr>
      <t xml:space="preserve"> Recibir oficios de las diferentes facultades académicas donde expresan su consulta sobre la normativa vigente y entregar al procurador.
</t>
    </r>
    <r>
      <rPr>
        <b/>
        <sz val="9"/>
        <color rgb="FF000000"/>
        <rFont val="Century Schoolbook"/>
        <family val="1"/>
      </rPr>
      <t>2.-</t>
    </r>
    <r>
      <rPr>
        <sz val="10"/>
        <color rgb="FF000000"/>
        <rFont val="Arial Narrow"/>
        <family val="2"/>
      </rPr>
      <t xml:space="preserve"> Solicitar informe a las facultades.
</t>
    </r>
    <r>
      <rPr>
        <b/>
        <sz val="9"/>
        <color rgb="FF000000"/>
        <rFont val="Century Schoolbook"/>
        <family val="1"/>
      </rPr>
      <t>3.-</t>
    </r>
    <r>
      <rPr>
        <sz val="10"/>
        <color rgb="FF000000"/>
        <rFont val="Arial Narrow"/>
        <family val="2"/>
      </rPr>
      <t xml:space="preserve"> Disponer la persona que realizará la absolución de consulta.
</t>
    </r>
    <r>
      <rPr>
        <b/>
        <sz val="9"/>
        <color rgb="FF000000"/>
        <rFont val="Century Schoolbook"/>
        <family val="1"/>
      </rPr>
      <t>4.-</t>
    </r>
    <r>
      <rPr>
        <sz val="10"/>
        <color rgb="FF000000"/>
        <rFont val="Arial Narrow"/>
        <family val="2"/>
      </rPr>
      <t xml:space="preserve"> Distribuir entre el personal las asignaciones realizadas por el procurador.
</t>
    </r>
    <r>
      <rPr>
        <b/>
        <sz val="9"/>
        <color rgb="FF000000"/>
        <rFont val="Century Schoolbook"/>
        <family val="1"/>
      </rPr>
      <t>5.-</t>
    </r>
    <r>
      <rPr>
        <sz val="10"/>
        <color rgb="FF000000"/>
        <rFont val="Arial Narrow"/>
        <family val="2"/>
      </rPr>
      <t xml:space="preserve"> Emitir pronunciamientos a las de Consejo Directivo y facultades académicas conforme a la ley.
</t>
    </r>
    <r>
      <rPr>
        <b/>
        <sz val="9"/>
        <color rgb="FF000000"/>
        <rFont val="Century Schoolbook"/>
        <family val="1"/>
      </rPr>
      <t>6.-</t>
    </r>
    <r>
      <rPr>
        <sz val="10"/>
        <color rgb="FF000000"/>
        <rFont val="Arial Narrow"/>
        <family val="2"/>
      </rPr>
      <t xml:space="preserve"> Suscribir pronunciamientos conforme a la ley.</t>
    </r>
  </si>
  <si>
    <r>
      <rPr>
        <b/>
        <sz val="9"/>
        <color rgb="FF000000"/>
        <rFont val="Century Schoolbook"/>
        <family val="1"/>
      </rPr>
      <t>1.-</t>
    </r>
    <r>
      <rPr>
        <sz val="10"/>
        <color rgb="FF000000"/>
        <rFont val="Arial Narrow"/>
        <family val="2"/>
      </rPr>
      <t xml:space="preserve"> Registro de criterios unificados.</t>
    </r>
  </si>
  <si>
    <r>
      <rPr>
        <b/>
        <sz val="9"/>
        <color theme="1"/>
        <rFont val="Century Schoolbook"/>
        <family val="1"/>
      </rPr>
      <t>8.-</t>
    </r>
    <r>
      <rPr>
        <sz val="10"/>
        <color theme="1"/>
        <rFont val="Arial Narrow"/>
        <family val="2"/>
      </rPr>
      <t xml:space="preserve"> Entregar la Planificación Operativa Anual y Evaluación de la Planificación Operativa Anual.</t>
    </r>
  </si>
  <si>
    <r>
      <rPr>
        <b/>
        <sz val="9"/>
        <color theme="1"/>
        <rFont val="Century Schoolbook"/>
        <family val="1"/>
      </rPr>
      <t>1.-</t>
    </r>
    <r>
      <rPr>
        <sz val="10"/>
        <color theme="1"/>
        <rFont val="Arial Narrow"/>
        <family val="2"/>
      </rPr>
      <t xml:space="preserve"> Recibir el oficio de solicitud del Plan Operativo Anual y Evaluación del POA.
</t>
    </r>
    <r>
      <rPr>
        <b/>
        <sz val="9"/>
        <color theme="1"/>
        <rFont val="Century Schoolbook"/>
        <family val="1"/>
      </rPr>
      <t>2.-</t>
    </r>
    <r>
      <rPr>
        <sz val="10"/>
        <color theme="1"/>
        <rFont val="Arial Narrow"/>
        <family val="2"/>
      </rPr>
      <t xml:space="preserve"> Disponer la persona que realizará el Plan Operativo Anual y/o Evaluación del POA.
</t>
    </r>
    <r>
      <rPr>
        <b/>
        <sz val="9"/>
        <color theme="1"/>
        <rFont val="Century Schoolbook"/>
        <family val="1"/>
      </rPr>
      <t>3.-</t>
    </r>
    <r>
      <rPr>
        <sz val="10"/>
        <color theme="1"/>
        <rFont val="Arial Narrow"/>
        <family val="2"/>
      </rPr>
      <t xml:space="preserve"> Realizar el Plan Operativo Anual y/o Evaluación del POA.
</t>
    </r>
    <r>
      <rPr>
        <b/>
        <sz val="9"/>
        <color theme="1"/>
        <rFont val="Century Schoolbook"/>
        <family val="1"/>
      </rPr>
      <t>4.-</t>
    </r>
    <r>
      <rPr>
        <sz val="10"/>
        <color theme="1"/>
        <rFont val="Arial Narrow"/>
        <family val="2"/>
      </rPr>
      <t xml:space="preserve"> Revisar el Plan Operativo Anual y/o Evaluación del POA realizado.
</t>
    </r>
    <r>
      <rPr>
        <b/>
        <sz val="9"/>
        <color theme="1"/>
        <rFont val="Century Schoolbook"/>
        <family val="1"/>
      </rPr>
      <t>5.-</t>
    </r>
    <r>
      <rPr>
        <sz val="10"/>
        <color theme="1"/>
        <rFont val="Arial Narrow"/>
        <family val="2"/>
      </rPr>
      <t xml:space="preserve"> Realizar el oficio respectivo para enviar el Plan Operativo Anual y/o Evaluación del POA.
</t>
    </r>
    <r>
      <rPr>
        <b/>
        <sz val="9"/>
        <color theme="1"/>
        <rFont val="Century Schoolbook"/>
        <family val="1"/>
      </rPr>
      <t>6.-</t>
    </r>
    <r>
      <rPr>
        <sz val="10"/>
        <color theme="1"/>
        <rFont val="Arial Narrow"/>
        <family val="2"/>
      </rPr>
      <t xml:space="preserve"> Suscribir el Oficio para remitir Plan Operativo Anual y/o Evaluación del POA.</t>
    </r>
  </si>
  <si>
    <r>
      <rPr>
        <b/>
        <sz val="9"/>
        <color theme="1"/>
        <rFont val="Century Schoolbook"/>
        <family val="1"/>
      </rPr>
      <t>1.-</t>
    </r>
    <r>
      <rPr>
        <sz val="10"/>
        <color theme="1"/>
        <rFont val="Arial Narrow"/>
        <family val="2"/>
      </rPr>
      <t xml:space="preserve"> Plan operativo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</si>
  <si>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t>Ab. Anibal Campoverde Nivicela
PROCURADOR GENERAL Ab. Michel Quiñonez Rojas
Asistente Procuraduria</t>
  </si>
  <si>
    <r>
      <rPr>
        <b/>
        <sz val="9"/>
        <color theme="1"/>
        <rFont val="Century Schoolbook"/>
        <family val="1"/>
      </rPr>
      <t>9.-</t>
    </r>
    <r>
      <rPr>
        <sz val="10"/>
        <color theme="1"/>
        <rFont val="Arial Narrow"/>
        <family val="2"/>
      </rPr>
      <t xml:space="preserve"> Organizar el Archivo de Gestión.</t>
    </r>
  </si>
  <si>
    <t>N° de carpetas Archivadas registradas en el inventario documental.</t>
  </si>
  <si>
    <r>
      <rPr>
        <b/>
        <sz val="9"/>
        <color theme="1"/>
        <rFont val="Century Schoolbook"/>
        <family val="1"/>
      </rPr>
      <t>1.-</t>
    </r>
    <r>
      <rPr>
        <sz val="10"/>
        <color theme="1"/>
        <rFont val="Arial Narrow"/>
        <family val="2"/>
      </rPr>
      <t xml:space="preserve"> Seleccionar y clasificar la documentación.
</t>
    </r>
    <r>
      <rPr>
        <b/>
        <sz val="9"/>
        <color theme="1"/>
        <rFont val="Century Schoolbook"/>
        <family val="1"/>
      </rPr>
      <t>2.-</t>
    </r>
    <r>
      <rPr>
        <sz val="10"/>
        <color theme="1"/>
        <rFont val="Arial Narrow"/>
        <family val="2"/>
      </rPr>
      <t xml:space="preserve"> Describir la documentación según la norma ISADG.
</t>
    </r>
    <r>
      <rPr>
        <b/>
        <sz val="9"/>
        <color theme="1"/>
        <rFont val="Century Schoolbook"/>
        <family val="1"/>
      </rPr>
      <t>3.-</t>
    </r>
    <r>
      <rPr>
        <sz val="10"/>
        <color theme="1"/>
        <rFont val="Arial Narrow"/>
        <family val="2"/>
      </rPr>
      <t xml:space="preserve"> Preservar la documentación en las unidades de almacenamiento.</t>
    </r>
  </si>
  <si>
    <r>
      <rPr>
        <b/>
        <sz val="9"/>
        <color theme="1"/>
        <rFont val="Century Schoolbook"/>
        <family val="1"/>
      </rPr>
      <t>1.-</t>
    </r>
    <r>
      <rPr>
        <sz val="10"/>
        <color theme="1"/>
        <rFont val="Arial Narrow"/>
        <family val="2"/>
      </rPr>
      <t xml:space="preserve"> Inventario documental.</t>
    </r>
  </si>
  <si>
    <t>Ab. Michel Quiñonez Rojas
Asistente Procuraduria</t>
  </si>
  <si>
    <t>TOTAL PRESUPUESTO ESTIMATIVO PROCURADURÍA GENERAL 2023:</t>
  </si>
  <si>
    <t>UNIDAD DE PATROCINIO EN PROCESOS
CONSTITUCIONALES Y DE CONSULTA</t>
  </si>
  <si>
    <r>
      <rPr>
        <b/>
        <sz val="10"/>
        <color rgb="FFFF0000"/>
        <rFont val="Arial Narrow"/>
        <family val="2"/>
      </rPr>
      <t xml:space="preserve">METAS OPERATIVAS
</t>
    </r>
    <r>
      <rPr>
        <b/>
        <sz val="10"/>
        <color rgb="FF000000"/>
        <rFont val="Century Schoolbook"/>
        <family val="1"/>
      </rPr>
      <t>1.-</t>
    </r>
    <r>
      <rPr>
        <sz val="10"/>
        <color rgb="FF000000"/>
        <rFont val="Arial Narrow"/>
        <family val="2"/>
      </rPr>
      <t xml:space="preserve"> Elaborar Pronunciamientos jurídicos.</t>
    </r>
  </si>
  <si>
    <r>
      <rPr>
        <b/>
        <sz val="9"/>
        <rFont val="Century Schoolbook"/>
        <family val="1"/>
      </rPr>
      <t>1.-</t>
    </r>
    <r>
      <rPr>
        <sz val="10"/>
        <rFont val="Arial Narrow"/>
        <family val="2"/>
      </rPr>
      <t xml:space="preserve"> Recibir oficios de las diferentes dependencias donde expresan su consulta sobre la normativa vigente y entregar al procurador.
</t>
    </r>
    <r>
      <rPr>
        <b/>
        <sz val="9"/>
        <rFont val="Century Schoolbook"/>
        <family val="1"/>
      </rPr>
      <t>2.-</t>
    </r>
    <r>
      <rPr>
        <sz val="10"/>
        <rFont val="Arial Narrow"/>
        <family val="2"/>
      </rPr>
      <t xml:space="preserve"> Solicitar informe a las dependencias administrativas o facultades.
</t>
    </r>
    <r>
      <rPr>
        <b/>
        <sz val="9"/>
        <rFont val="Century Schoolbook"/>
        <family val="1"/>
      </rPr>
      <t>3.-</t>
    </r>
    <r>
      <rPr>
        <sz val="10"/>
        <rFont val="Arial Narrow"/>
        <family val="2"/>
      </rPr>
      <t xml:space="preserve"> Disponer la persona que realizara la absolución de consulta.
</t>
    </r>
    <r>
      <rPr>
        <b/>
        <sz val="9"/>
        <rFont val="Century Schoolbook"/>
        <family val="1"/>
      </rPr>
      <t>4.-</t>
    </r>
    <r>
      <rPr>
        <sz val="10"/>
        <rFont val="Arial Narrow"/>
        <family val="2"/>
      </rPr>
      <t xml:space="preserve"> Distribuir entre el personal las asignaciones realizadas por el procurador.
</t>
    </r>
    <r>
      <rPr>
        <b/>
        <sz val="9"/>
        <rFont val="Century Schoolbook"/>
        <family val="1"/>
      </rPr>
      <t>5.-</t>
    </r>
    <r>
      <rPr>
        <sz val="10"/>
        <rFont val="Arial Narrow"/>
        <family val="2"/>
      </rPr>
      <t xml:space="preserve"> Emitir pronunciamientos a las órdenes del Rector, Consejo Universitario y demás dependencias administrativas.
</t>
    </r>
    <r>
      <rPr>
        <b/>
        <sz val="9"/>
        <rFont val="Century Schoolbook"/>
        <family val="1"/>
      </rPr>
      <t>6.-</t>
    </r>
    <r>
      <rPr>
        <sz val="10"/>
        <rFont val="Arial Narrow"/>
        <family val="2"/>
      </rPr>
      <t xml:space="preserve"> Suscribir pronunciamientos.</t>
    </r>
  </si>
  <si>
    <r>
      <rPr>
        <b/>
        <sz val="9"/>
        <rFont val="Century Schoolbook"/>
        <family val="1"/>
      </rPr>
      <t>1.-</t>
    </r>
    <r>
      <rPr>
        <sz val="10"/>
        <rFont val="Arial Narrow"/>
        <family val="2"/>
      </rPr>
      <t xml:space="preserve"> Registro de Pronunciamientos realizados.</t>
    </r>
  </si>
  <si>
    <t xml:space="preserve">Ab. Jenniffer Alvarez Carrion
Abogada de la Unidad de Patrocinio en Procesos Constitucionales y de Consulta </t>
  </si>
  <si>
    <r>
      <t>2.-</t>
    </r>
    <r>
      <rPr>
        <sz val="10"/>
        <rFont val="Arial Narrow"/>
        <family val="2"/>
      </rPr>
      <t xml:space="preserve"> Revisar Proyectos de la normativa jurídica interna</t>
    </r>
    <r>
      <rPr>
        <b/>
        <sz val="9"/>
        <rFont val="Century Schoolbook"/>
        <family val="1"/>
      </rPr>
      <t>.</t>
    </r>
  </si>
  <si>
    <t>Proyectos de creación, modificación o derogación de la reglamentación interna de la UTMACH, elaborados.</t>
  </si>
  <si>
    <r>
      <rPr>
        <b/>
        <sz val="9"/>
        <rFont val="Century Schoolbook"/>
        <family val="1"/>
      </rPr>
      <t>1.-</t>
    </r>
    <r>
      <rPr>
        <sz val="10"/>
        <rFont val="Arial Narrow"/>
        <family val="2"/>
      </rPr>
      <t xml:space="preserve"> Receptar Oficios que contengan solicitud de informe jurídico de proyectos o borradores de reglamentación, instructivos de diferentes departamentos o Facultades.
</t>
    </r>
    <r>
      <rPr>
        <b/>
        <sz val="9"/>
        <rFont val="Century Schoolbook"/>
        <family val="1"/>
      </rPr>
      <t>2.-</t>
    </r>
    <r>
      <rPr>
        <sz val="10"/>
        <rFont val="Arial Narrow"/>
        <family val="2"/>
      </rPr>
      <t xml:space="preserve"> Disponer la persona que revisara el o los proyectos de Reglamento o Instructivo.
</t>
    </r>
    <r>
      <rPr>
        <b/>
        <sz val="9"/>
        <rFont val="Century Schoolbook"/>
        <family val="1"/>
      </rPr>
      <t>3.-</t>
    </r>
    <r>
      <rPr>
        <sz val="10"/>
        <rFont val="Arial Narrow"/>
        <family val="2"/>
      </rPr>
      <t xml:space="preserve"> Distribuir entre el personal las asignaciones realizadas por el procurador.
</t>
    </r>
    <r>
      <rPr>
        <b/>
        <sz val="9"/>
        <rFont val="Century Schoolbook"/>
        <family val="1"/>
      </rPr>
      <t>4.-</t>
    </r>
    <r>
      <rPr>
        <sz val="10"/>
        <rFont val="Arial Narrow"/>
        <family val="2"/>
      </rPr>
      <t xml:space="preserve"> Revisar los proyectos o borradores de reglamentación o instructivos recibidos.
</t>
    </r>
    <r>
      <rPr>
        <b/>
        <sz val="9"/>
        <rFont val="Century Schoolbook"/>
        <family val="1"/>
      </rPr>
      <t>5.-</t>
    </r>
    <r>
      <rPr>
        <sz val="10"/>
        <rFont val="Arial Narrow"/>
        <family val="2"/>
      </rPr>
      <t xml:space="preserve"> Emitir el correspondiente informe sobre las observaciones realizadas al borrador del reglamento o instructivo.</t>
    </r>
  </si>
  <si>
    <r>
      <rPr>
        <b/>
        <sz val="9"/>
        <rFont val="Century Schoolbook"/>
        <family val="1"/>
      </rPr>
      <t>1.-</t>
    </r>
    <r>
      <rPr>
        <sz val="10"/>
        <rFont val="Arial Narrow"/>
        <family val="2"/>
      </rPr>
      <t xml:space="preserve"> Registro de Revisión Proyectos de la normativa jurídica interna.</t>
    </r>
  </si>
  <si>
    <r>
      <rPr>
        <b/>
        <sz val="9"/>
        <rFont val="Century Schoolbook"/>
        <family val="1"/>
      </rPr>
      <t>3.-</t>
    </r>
    <r>
      <rPr>
        <sz val="10"/>
        <rFont val="Arial Narrow"/>
        <family val="2"/>
      </rPr>
      <t xml:space="preserve"> Representar en el Patrocinio judicial y constitucional de la UTMACH.</t>
    </r>
  </si>
  <si>
    <r>
      <rPr>
        <b/>
        <sz val="9"/>
        <rFont val="Century Schoolbook"/>
        <family val="1"/>
      </rPr>
      <t>1.-</t>
    </r>
    <r>
      <rPr>
        <sz val="10"/>
        <rFont val="Arial Narrow"/>
        <family val="2"/>
      </rPr>
      <t xml:space="preserve"> Recibir las demandas realizadas en contra de la institución.
</t>
    </r>
    <r>
      <rPr>
        <b/>
        <sz val="9"/>
        <rFont val="Century Schoolbook"/>
        <family val="1"/>
      </rPr>
      <t>2.-</t>
    </r>
    <r>
      <rPr>
        <sz val="10"/>
        <rFont val="Arial Narrow"/>
        <family val="2"/>
      </rPr>
      <t xml:space="preserve"> Disponer se elabore el escrito de autorización de los abogados que realizan la defensa de los intereses de la institución.
</t>
    </r>
    <r>
      <rPr>
        <b/>
        <sz val="9"/>
        <rFont val="Century Schoolbook"/>
        <family val="1"/>
      </rPr>
      <t>3.-</t>
    </r>
    <r>
      <rPr>
        <sz val="10"/>
        <rFont val="Arial Narrow"/>
        <family val="2"/>
      </rPr>
      <t xml:space="preserve"> Solicitar a los departamentos correspondientes informes, y demás documentación que permitan elaborar la defensa técnica de la institución.
</t>
    </r>
    <r>
      <rPr>
        <b/>
        <sz val="9"/>
        <rFont val="Century Schoolbook"/>
        <family val="1"/>
      </rPr>
      <t>4.-</t>
    </r>
    <r>
      <rPr>
        <sz val="10"/>
        <rFont val="Arial Narrow"/>
        <family val="2"/>
      </rPr>
      <t xml:space="preserve"> Elaborar el escrito de autorización en el proceso judicial recibido.
</t>
    </r>
    <r>
      <rPr>
        <b/>
        <sz val="9"/>
        <rFont val="Century Schoolbook"/>
        <family val="1"/>
      </rPr>
      <t>5.-</t>
    </r>
    <r>
      <rPr>
        <sz val="10"/>
        <rFont val="Arial Narrow"/>
        <family val="2"/>
      </rPr>
      <t xml:space="preserve"> Determinar directrices para la defensa en los juicios y realizar el análisis de la normativa que corresponde.
</t>
    </r>
    <r>
      <rPr>
        <b/>
        <sz val="9"/>
        <rFont val="Century Schoolbook"/>
        <family val="1"/>
      </rPr>
      <t>6.-</t>
    </r>
    <r>
      <rPr>
        <sz val="10"/>
        <rFont val="Arial Narrow"/>
        <family val="2"/>
      </rPr>
      <t xml:space="preserve"> Coordinar la defensa con la Procuraduría General del estado para el patrocinio judicial y constitucional.
</t>
    </r>
    <r>
      <rPr>
        <b/>
        <sz val="9"/>
        <rFont val="Century Schoolbook"/>
        <family val="1"/>
      </rPr>
      <t>7.-</t>
    </r>
    <r>
      <rPr>
        <sz val="10"/>
        <rFont val="Arial Narrow"/>
        <family val="2"/>
      </rPr>
      <t xml:space="preserve"> Defender a la institución en las audiencias y en las diligencias dispuestas por la autoridad competente.</t>
    </r>
  </si>
  <si>
    <r>
      <rPr>
        <b/>
        <sz val="9"/>
        <rFont val="Century Schoolbook"/>
        <family val="1"/>
      </rPr>
      <t>1.-</t>
    </r>
    <r>
      <rPr>
        <sz val="10"/>
        <rFont val="Arial Narrow"/>
        <family val="2"/>
      </rPr>
      <t xml:space="preserve"> Registro de los procesos judiciales y constitucionales representado.</t>
    </r>
  </si>
  <si>
    <r>
      <rPr>
        <b/>
        <sz val="10"/>
        <rFont val="Century Schoolbook"/>
        <family val="1"/>
      </rPr>
      <t>4.-</t>
    </r>
    <r>
      <rPr>
        <sz val="10"/>
        <rFont val="Arial Narrow"/>
        <family val="2"/>
      </rPr>
      <t xml:space="preserve"> Unificar criterios jurídicos con Secretarios y Secretaria Abogados de las Facultades.</t>
    </r>
  </si>
  <si>
    <t>Criterios jurídicos unificados.</t>
  </si>
  <si>
    <r>
      <rPr>
        <b/>
        <sz val="9"/>
        <rFont val="Century Schoolbook"/>
        <family val="1"/>
      </rPr>
      <t>1.-</t>
    </r>
    <r>
      <rPr>
        <sz val="10"/>
        <rFont val="Arial Narrow"/>
        <family val="2"/>
      </rPr>
      <t xml:space="preserve"> Recibir oficios de las diferentes facultades académicas donde expresan su consulta sobre la normativa vigente y entregar al procurador.
</t>
    </r>
    <r>
      <rPr>
        <b/>
        <sz val="9"/>
        <rFont val="Century Schoolbook"/>
        <family val="1"/>
      </rPr>
      <t>2.-</t>
    </r>
    <r>
      <rPr>
        <sz val="10"/>
        <rFont val="Arial Narrow"/>
        <family val="2"/>
      </rPr>
      <t xml:space="preserve"> Solicitar informe a las  facultades.
</t>
    </r>
    <r>
      <rPr>
        <b/>
        <sz val="9"/>
        <rFont val="Century Schoolbook"/>
        <family val="1"/>
      </rPr>
      <t>3.-</t>
    </r>
    <r>
      <rPr>
        <sz val="10"/>
        <rFont val="Arial Narrow"/>
        <family val="2"/>
      </rPr>
      <t xml:space="preserve"> Disponer la persona que realizara la absolución de consulta.
</t>
    </r>
    <r>
      <rPr>
        <b/>
        <sz val="9"/>
        <rFont val="Century Schoolbook"/>
        <family val="1"/>
      </rPr>
      <t>4.-</t>
    </r>
    <r>
      <rPr>
        <sz val="10"/>
        <rFont val="Arial Narrow"/>
        <family val="2"/>
      </rPr>
      <t xml:space="preserve"> Distribuir entre el personal las asignaciones realizadas por el procurador.
</t>
    </r>
    <r>
      <rPr>
        <b/>
        <sz val="9"/>
        <rFont val="Century Schoolbook"/>
        <family val="1"/>
      </rPr>
      <t>5.-</t>
    </r>
    <r>
      <rPr>
        <sz val="10"/>
        <rFont val="Arial Narrow"/>
        <family val="2"/>
      </rPr>
      <t xml:space="preserve"> Emitir pronunciamientos a las de Consejo Directivo y facultades académicas conforme a la ley.
</t>
    </r>
    <r>
      <rPr>
        <b/>
        <sz val="9"/>
        <rFont val="Century Schoolbook"/>
        <family val="1"/>
      </rPr>
      <t>6.-</t>
    </r>
    <r>
      <rPr>
        <sz val="10"/>
        <rFont val="Arial Narrow"/>
        <family val="2"/>
      </rPr>
      <t xml:space="preserve"> Suscribir pronunciamientos conforme a la ley.</t>
    </r>
  </si>
  <si>
    <r>
      <rPr>
        <b/>
        <sz val="9"/>
        <rFont val="Century Schoolbook"/>
        <family val="1"/>
      </rPr>
      <t>1.-</t>
    </r>
    <r>
      <rPr>
        <sz val="10"/>
        <rFont val="Arial Narrow"/>
        <family val="2"/>
      </rPr>
      <t xml:space="preserve"> Registro de criterios unificados.</t>
    </r>
  </si>
  <si>
    <r>
      <rPr>
        <b/>
        <sz val="9"/>
        <rFont val="Century Schoolbook"/>
        <family val="1"/>
      </rPr>
      <t>5.-</t>
    </r>
    <r>
      <rPr>
        <sz val="10"/>
        <rFont val="Arial Narrow"/>
        <family val="2"/>
      </rPr>
      <t xml:space="preserve"> Entregar la Planificación Operativa Anual y Evaluación de la Planificación Operativa Anual.</t>
    </r>
  </si>
  <si>
    <t>N° de Planificaciones Operativas Anuales y Evaluaciónes del POA entregados oportunamente.</t>
  </si>
  <si>
    <r>
      <rPr>
        <b/>
        <sz val="9"/>
        <rFont val="Century Schoolbook"/>
        <family val="1"/>
      </rPr>
      <t>1.-</t>
    </r>
    <r>
      <rPr>
        <sz val="10"/>
        <rFont val="Arial Narrow"/>
        <family val="2"/>
      </rPr>
      <t xml:space="preserve"> Recibir el oficio de solicitud del Plan Operativo Anual y Evaluación del POA.
</t>
    </r>
    <r>
      <rPr>
        <b/>
        <sz val="9"/>
        <rFont val="Century Schoolbook"/>
        <family val="1"/>
      </rPr>
      <t>2.-</t>
    </r>
    <r>
      <rPr>
        <sz val="10"/>
        <rFont val="Arial Narrow"/>
        <family val="2"/>
      </rPr>
      <t xml:space="preserve"> Disponer la persona que realizara el Plan Operativo Anual y/o Evaluación del POA.
</t>
    </r>
    <r>
      <rPr>
        <b/>
        <sz val="9"/>
        <rFont val="Century Schoolbook"/>
        <family val="1"/>
      </rPr>
      <t>3.-</t>
    </r>
    <r>
      <rPr>
        <sz val="10"/>
        <rFont val="Arial Narrow"/>
        <family val="2"/>
      </rPr>
      <t xml:space="preserve"> Realizar el Plan Operativo Anual y/o Evaluación del POA.
</t>
    </r>
    <r>
      <rPr>
        <b/>
        <sz val="9"/>
        <rFont val="Century Schoolbook"/>
        <family val="1"/>
      </rPr>
      <t>4.-</t>
    </r>
    <r>
      <rPr>
        <sz val="10"/>
        <rFont val="Arial Narrow"/>
        <family val="2"/>
      </rPr>
      <t xml:space="preserve"> Revisar el Plan Operativo Anual y/o Evaluación del POA realizado.
</t>
    </r>
    <r>
      <rPr>
        <b/>
        <sz val="9"/>
        <rFont val="Century Schoolbook"/>
        <family val="1"/>
      </rPr>
      <t>5.-</t>
    </r>
    <r>
      <rPr>
        <sz val="10"/>
        <rFont val="Arial Narrow"/>
        <family val="2"/>
      </rPr>
      <t xml:space="preserve"> Realizar el oficio respectivo para enviar el Plan Operativo Anual y/o Evaluación del POA.
</t>
    </r>
    <r>
      <rPr>
        <b/>
        <sz val="9"/>
        <rFont val="Century Schoolbook"/>
        <family val="1"/>
      </rPr>
      <t>6.-</t>
    </r>
    <r>
      <rPr>
        <sz val="10"/>
        <rFont val="Arial Narrow"/>
        <family val="2"/>
      </rPr>
      <t xml:space="preserve"> Suscribir el Oficio para remitir Plan Operativo Anual y/o Evaluación del POA.</t>
    </r>
  </si>
  <si>
    <r>
      <rPr>
        <b/>
        <sz val="9"/>
        <rFont val="Century Schoolbook"/>
        <family val="1"/>
      </rPr>
      <t>1.-</t>
    </r>
    <r>
      <rPr>
        <sz val="10"/>
        <rFont val="Arial Narrow"/>
        <family val="2"/>
      </rPr>
      <t xml:space="preserve"> Plan operativo anual </t>
    </r>
    <r>
      <rPr>
        <sz val="10"/>
        <rFont val="Century Schoolbook"/>
        <family val="1"/>
      </rPr>
      <t>2023.</t>
    </r>
    <r>
      <rPr>
        <sz val="10"/>
        <rFont val="Arial Narrow"/>
        <family val="2"/>
      </rPr>
      <t xml:space="preserve">
</t>
    </r>
    <r>
      <rPr>
        <b/>
        <sz val="9"/>
        <rFont val="Century Schoolbook"/>
        <family val="1"/>
      </rPr>
      <t>2.-</t>
    </r>
    <r>
      <rPr>
        <sz val="10"/>
        <rFont val="Arial Narrow"/>
        <family val="2"/>
      </rPr>
      <t xml:space="preserve"> Evaluacion del POA primer semestre.
</t>
    </r>
    <r>
      <rPr>
        <b/>
        <sz val="9"/>
        <rFont val="Century Schoolbook"/>
        <family val="1"/>
      </rPr>
      <t>3.-</t>
    </r>
    <r>
      <rPr>
        <sz val="10"/>
        <rFont val="Arial Narrow"/>
        <family val="2"/>
      </rPr>
      <t xml:space="preserve"> POA </t>
    </r>
    <r>
      <rPr>
        <sz val="10"/>
        <rFont val="Century Schoolbook"/>
        <family val="1"/>
      </rPr>
      <t>2024.</t>
    </r>
    <r>
      <rPr>
        <sz val="10"/>
        <rFont val="Arial Narrow"/>
        <family val="2"/>
      </rPr>
      <t xml:space="preserve">
</t>
    </r>
    <r>
      <rPr>
        <b/>
        <sz val="9"/>
        <rFont val="Century Schoolbook"/>
        <family val="1"/>
      </rPr>
      <t>4.-</t>
    </r>
    <r>
      <rPr>
        <sz val="10"/>
        <rFont val="Arial Narrow"/>
        <family val="2"/>
      </rPr>
      <t xml:space="preserve"> Evaluacion del 2do. Semestre POA </t>
    </r>
    <r>
      <rPr>
        <sz val="10"/>
        <rFont val="Century Schoolbook"/>
        <family val="1"/>
      </rPr>
      <t>2023.</t>
    </r>
  </si>
  <si>
    <t>UNIDAD DE PATROCINIO EN PROCESOS</t>
  </si>
  <si>
    <t xml:space="preserve">Archivo de Gestión organizado. </t>
  </si>
  <si>
    <t>TOTAL PRESUPUESTO ESTIMATIVO UNIDAD DE PATROCINIO EN PROCESOS
CONSTITUCIONALES Y DE CONSULTA 2023:</t>
  </si>
  <si>
    <r>
      <t xml:space="preserve">Elaborado por: </t>
    </r>
    <r>
      <rPr>
        <sz val="10"/>
        <color theme="1"/>
        <rFont val="Arial Narrow"/>
        <family val="2"/>
      </rPr>
      <t xml:space="preserve">Washington Michel Quiñonez Rojas </t>
    </r>
  </si>
  <si>
    <r>
      <rPr>
        <b/>
        <sz val="10"/>
        <color rgb="FFFF0000"/>
        <rFont val="Arial Narrow"/>
        <family val="2"/>
      </rPr>
      <t>NOTA:</t>
    </r>
    <r>
      <rPr>
        <sz val="10"/>
        <color theme="1"/>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</si>
  <si>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t xml:space="preserve">Fecha: </t>
    </r>
    <r>
      <rPr>
        <sz val="10"/>
        <color theme="1"/>
        <rFont val="Arial Narrow"/>
        <family val="2"/>
      </rPr>
      <t>13 de septiembre de 2022</t>
    </r>
  </si>
  <si>
    <t>DIRECCIÓN DE COMUNICACIÓN</t>
  </si>
  <si>
    <t>Código de la partida</t>
  </si>
  <si>
    <t>9. Promover un programa de actualización de competencias laborales dirigido al personal administrativo y de servicio de la institución.</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</si>
  <si>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Diseñar el Plan Anual de Comunicación Institucional.</t>
    </r>
  </si>
  <si>
    <t>Plan Anual de Comunicación Institucional diseñado.</t>
  </si>
  <si>
    <t>N° de actividades ejecutadas en el Plan Anual de Comunicación Institucional diseñado.</t>
  </si>
  <si>
    <r>
      <rPr>
        <b/>
        <sz val="9"/>
        <color theme="1"/>
        <rFont val="Century Schoolbook"/>
        <family val="1"/>
      </rPr>
      <t>1.-</t>
    </r>
    <r>
      <rPr>
        <sz val="10"/>
        <color theme="1"/>
        <rFont val="Arial Narrow"/>
        <family val="2"/>
      </rPr>
      <t xml:space="preserve"> Planificar.
</t>
    </r>
    <r>
      <rPr>
        <b/>
        <sz val="9"/>
        <color theme="1"/>
        <rFont val="Century Schoolbook"/>
        <family val="1"/>
      </rPr>
      <t>2.-</t>
    </r>
    <r>
      <rPr>
        <sz val="10"/>
        <color theme="1"/>
        <rFont val="Arial Narrow"/>
        <family val="2"/>
      </rPr>
      <t xml:space="preserve"> Coordinar con dependencias.
</t>
    </r>
    <r>
      <rPr>
        <b/>
        <sz val="9"/>
        <color theme="1"/>
        <rFont val="Century Schoolbook"/>
        <family val="1"/>
      </rPr>
      <t>3.-</t>
    </r>
    <r>
      <rPr>
        <sz val="10"/>
        <color theme="1"/>
        <rFont val="Arial Narrow"/>
        <family val="2"/>
      </rPr>
      <t xml:space="preserve"> Recolectar información.
</t>
    </r>
    <r>
      <rPr>
        <b/>
        <sz val="9"/>
        <color theme="1"/>
        <rFont val="Century Schoolbook"/>
        <family val="1"/>
      </rPr>
      <t>4.-</t>
    </r>
    <r>
      <rPr>
        <sz val="10"/>
        <color theme="1"/>
        <rFont val="Arial Narrow"/>
        <family val="2"/>
      </rPr>
      <t xml:space="preserve"> Redactar plan.
</t>
    </r>
    <r>
      <rPr>
        <b/>
        <sz val="9"/>
        <color theme="1"/>
        <rFont val="Century Schoolbook"/>
        <family val="1"/>
      </rPr>
      <t>5.-</t>
    </r>
    <r>
      <rPr>
        <sz val="10"/>
        <color theme="1"/>
        <rFont val="Arial Narrow"/>
        <family val="2"/>
      </rPr>
      <t xml:space="preserve"> Socializar plan.
</t>
    </r>
    <r>
      <rPr>
        <b/>
        <sz val="9"/>
        <color theme="1"/>
        <rFont val="Century Schoolbook"/>
        <family val="1"/>
      </rPr>
      <t>6.-</t>
    </r>
    <r>
      <rPr>
        <sz val="10"/>
        <color theme="1"/>
        <rFont val="Arial Narrow"/>
        <family val="2"/>
      </rPr>
      <t xml:space="preserve"> Evaluar plan.</t>
    </r>
  </si>
  <si>
    <r>
      <rPr>
        <b/>
        <sz val="9"/>
        <color theme="1"/>
        <rFont val="Century Schoolbook"/>
        <family val="1"/>
      </rPr>
      <t>1.-</t>
    </r>
    <r>
      <rPr>
        <sz val="10"/>
        <color theme="1"/>
        <rFont val="Arial Narrow"/>
        <family val="2"/>
      </rPr>
      <t xml:space="preserve"> Plan de Comunicación Institucional publicado.</t>
    </r>
  </si>
  <si>
    <t>* Director/a de Comunicación</t>
  </si>
  <si>
    <t>Difusión, Información y Publicidad</t>
  </si>
  <si>
    <t>Publicidad en prensa, radio y televisión y otras actividades de difusión y promoción institucional</t>
  </si>
  <si>
    <t>Publicaciones en diarios de la localidad</t>
  </si>
  <si>
    <t>Publicidad visual, audiovisual, radial, escrita, entre otra, para las actividades, programas, proyectos, convocatorias, procesos y servicios institucionales</t>
  </si>
  <si>
    <t>Material para difusión de actividades</t>
  </si>
  <si>
    <t>Elementos de promoción institucional</t>
  </si>
  <si>
    <t xml:space="preserve">Materiales de impresión, fotográfica, reproducción y publicaciones </t>
  </si>
  <si>
    <t>Toners impresora laser color de producción Toshiba Estudio 6570C: 
Color Negro
Color Magenta
Color Cyan
Color Yellow</t>
  </si>
  <si>
    <t>Proceso</t>
  </si>
  <si>
    <t>Tintas semilíquidas impresora InkJet color de producción RISO ComColor 9150R:
Cartucho Negro
Cartucho Magenta
Cartucho Cyan
Cartucho Yellow</t>
  </si>
  <si>
    <r>
      <rPr>
        <b/>
        <sz val="9"/>
        <color theme="1"/>
        <rFont val="Century Schoolbook"/>
        <family val="1"/>
      </rPr>
      <t>2.-</t>
    </r>
    <r>
      <rPr>
        <sz val="10"/>
        <color theme="1"/>
        <rFont val="Arial Narrow"/>
        <family val="2"/>
      </rPr>
      <t xml:space="preserve"> Medir el nivel de posicionamiento y percepción de la imagen institucional.</t>
    </r>
  </si>
  <si>
    <t>Nivel de Posicionamiento y percepción de la Imagen Institucional medido.</t>
  </si>
  <si>
    <t>N° de personas encuestadas sobre la imagen institucional en la comunidad universitaria.</t>
  </si>
  <si>
    <r>
      <rPr>
        <b/>
        <sz val="9"/>
        <color theme="1"/>
        <rFont val="Century Schoolbook"/>
        <family val="1"/>
      </rPr>
      <t>1.-</t>
    </r>
    <r>
      <rPr>
        <sz val="10"/>
        <color theme="1"/>
        <rFont val="Arial Narrow"/>
        <family val="2"/>
      </rPr>
      <t xml:space="preserve"> Diseñar encuesta.
</t>
    </r>
    <r>
      <rPr>
        <b/>
        <sz val="9"/>
        <color theme="1"/>
        <rFont val="Century Schoolbook"/>
        <family val="1"/>
      </rPr>
      <t>2.-</t>
    </r>
    <r>
      <rPr>
        <sz val="10"/>
        <color theme="1"/>
        <rFont val="Arial Narrow"/>
        <family val="2"/>
      </rPr>
      <t xml:space="preserve"> Elaborar cuestionario.
</t>
    </r>
    <r>
      <rPr>
        <b/>
        <sz val="9"/>
        <color theme="1"/>
        <rFont val="Century Schoolbook"/>
        <family val="1"/>
      </rPr>
      <t>3.-</t>
    </r>
    <r>
      <rPr>
        <sz val="10"/>
        <color theme="1"/>
        <rFont val="Arial Narrow"/>
        <family val="2"/>
      </rPr>
      <t xml:space="preserve"> Aplicar prueba piloto.
</t>
    </r>
    <r>
      <rPr>
        <b/>
        <sz val="9"/>
        <color theme="1"/>
        <rFont val="Century Schoolbook"/>
        <family val="1"/>
      </rPr>
      <t>4.-</t>
    </r>
    <r>
      <rPr>
        <sz val="10"/>
        <color theme="1"/>
        <rFont val="Arial Narrow"/>
        <family val="2"/>
      </rPr>
      <t xml:space="preserve"> Redactar encuesta definitiva.
</t>
    </r>
    <r>
      <rPr>
        <b/>
        <sz val="9"/>
        <color theme="1"/>
        <rFont val="Century Schoolbook"/>
        <family val="1"/>
      </rPr>
      <t>5.-</t>
    </r>
    <r>
      <rPr>
        <sz val="10"/>
        <color theme="1"/>
        <rFont val="Arial Narrow"/>
        <family val="2"/>
      </rPr>
      <t xml:space="preserve"> Subir a sistema informático.
</t>
    </r>
    <r>
      <rPr>
        <b/>
        <sz val="9"/>
        <color theme="1"/>
        <rFont val="Century Schoolbook"/>
        <family val="1"/>
      </rPr>
      <t>6.-</t>
    </r>
    <r>
      <rPr>
        <sz val="10"/>
        <color theme="1"/>
        <rFont val="Arial Narrow"/>
        <family val="2"/>
      </rPr>
      <t xml:space="preserve"> Analizar resultados.</t>
    </r>
  </si>
  <si>
    <r>
      <rPr>
        <b/>
        <sz val="9"/>
        <color theme="1"/>
        <rFont val="Century Schoolbook"/>
        <family val="1"/>
      </rPr>
      <t>1.-</t>
    </r>
    <r>
      <rPr>
        <sz val="10"/>
        <color theme="1"/>
        <rFont val="Arial Narrow"/>
        <family val="2"/>
      </rPr>
      <t xml:space="preserve"> Informe anual de los resultados de la medición del Nivel del Posicionamiento y percepción de la imagen institucional.</t>
    </r>
  </si>
  <si>
    <t>* Director/a de Comunicación
* Karen Rubio,
  Técnico Docente</t>
  </si>
  <si>
    <t>DPLAN: Se modifican parcialmente los egresos en la partida 840104 por superar el 20% del máximo disponible para egresos en el grupo 84 del Clasificador Presupuestario; debiendo proponerse una reforma para mover los recursos -internamente- por la Dirección, lo que deberá cumplir el trámite respectivo ante el Consejo Universitario y, posteriormente, el Ministerio de Economía y Finanzas. Se ubicará en la partida 530204 con el concepto "Material para difusión de actividades".</t>
  </si>
  <si>
    <t>ADQUISICIÓN DE EQUIPOS PARA TRANSMISIONES EN VIVO EN EVENTOS INSTITUCIONALES PARA LA DIRECCIÓN DE COMUNICACIÓN</t>
  </si>
  <si>
    <t>Periódicos diarios</t>
  </si>
  <si>
    <t>_1_Creatividad_e_innovación_en_la_oferta_académica.</t>
  </si>
  <si>
    <t>3. Generar espacios para la promoción y desarrollo del patrimonio natural y cultural (tangible e intangible) de la Provincia de El Oro.</t>
  </si>
  <si>
    <r>
      <rPr>
        <b/>
        <sz val="9"/>
        <color theme="1"/>
        <rFont val="Century Schoolbook"/>
        <family val="1"/>
      </rPr>
      <t>3.-</t>
    </r>
    <r>
      <rPr>
        <sz val="10"/>
        <color theme="1"/>
        <rFont val="Arial Narrow"/>
        <family val="2"/>
      </rPr>
      <t xml:space="preserve"> Diseñar productos comunicacionales institucionales.</t>
    </r>
  </si>
  <si>
    <t>Productos comunicacionales institucionales, diseñados.</t>
  </si>
  <si>
    <t>N° de productos comunicacionales institucionales diseñados.</t>
  </si>
  <si>
    <r>
      <rPr>
        <b/>
        <sz val="9"/>
        <color theme="1"/>
        <rFont val="Century Schoolbook"/>
        <family val="1"/>
      </rPr>
      <t>1.-</t>
    </r>
    <r>
      <rPr>
        <sz val="10"/>
        <color theme="1"/>
        <rFont val="Arial Narrow"/>
        <family val="2"/>
      </rPr>
      <t xml:space="preserve"> Planificar.
</t>
    </r>
    <r>
      <rPr>
        <b/>
        <sz val="9"/>
        <color theme="1"/>
        <rFont val="Century Schoolbook"/>
        <family val="1"/>
      </rPr>
      <t>2.-</t>
    </r>
    <r>
      <rPr>
        <sz val="10"/>
        <color theme="1"/>
        <rFont val="Arial Narrow"/>
        <family val="2"/>
      </rPr>
      <t xml:space="preserve"> Producir.
</t>
    </r>
    <r>
      <rPr>
        <b/>
        <sz val="9"/>
        <color theme="1"/>
        <rFont val="Century Schoolbook"/>
        <family val="1"/>
      </rPr>
      <t>3.-</t>
    </r>
    <r>
      <rPr>
        <sz val="10"/>
        <color theme="1"/>
        <rFont val="Arial Narrow"/>
        <family val="2"/>
      </rPr>
      <t xml:space="preserve"> Grabar o diseñar.
</t>
    </r>
    <r>
      <rPr>
        <b/>
        <sz val="9"/>
        <color theme="1"/>
        <rFont val="Century Schoolbook"/>
        <family val="1"/>
      </rPr>
      <t>4.-</t>
    </r>
    <r>
      <rPr>
        <sz val="10"/>
        <color theme="1"/>
        <rFont val="Arial Narrow"/>
        <family val="2"/>
      </rPr>
      <t xml:space="preserve"> Editar.
</t>
    </r>
    <r>
      <rPr>
        <b/>
        <sz val="9"/>
        <color theme="1"/>
        <rFont val="Century Schoolbook"/>
        <family val="1"/>
      </rPr>
      <t>5.-</t>
    </r>
    <r>
      <rPr>
        <sz val="10"/>
        <color theme="1"/>
        <rFont val="Arial Narrow"/>
        <family val="2"/>
      </rPr>
      <t xml:space="preserve"> Post producir.
</t>
    </r>
    <r>
      <rPr>
        <b/>
        <sz val="9"/>
        <color theme="1"/>
        <rFont val="Century Schoolbook"/>
        <family val="1"/>
      </rPr>
      <t>6.-</t>
    </r>
    <r>
      <rPr>
        <sz val="10"/>
        <color theme="1"/>
        <rFont val="Arial Narrow"/>
        <family val="2"/>
      </rPr>
      <t xml:space="preserve"> Difundir.</t>
    </r>
  </si>
  <si>
    <r>
      <rPr>
        <b/>
        <sz val="9"/>
        <color theme="1"/>
        <rFont val="Century Schoolbook"/>
        <family val="1"/>
      </rPr>
      <t>1.-</t>
    </r>
    <r>
      <rPr>
        <sz val="10"/>
        <color theme="1"/>
        <rFont val="Arial Narrow"/>
        <family val="2"/>
      </rPr>
      <t xml:space="preserve"> Reporte de productos comunicacionales entregados.</t>
    </r>
  </si>
  <si>
    <t>* Director/a de Comunicación
* Cristhian Rivera y Juan José Cruz,
   Técnicos de fotografía, audio y video
* Luis Chuquirima,
  Jefe de Imprenta</t>
  </si>
  <si>
    <t>Computador especializado para diseño y producción audiovisual con tecnología MAC</t>
  </si>
  <si>
    <r>
      <rPr>
        <b/>
        <sz val="9"/>
        <color theme="1"/>
        <rFont val="Century Schoolbook"/>
        <family val="1"/>
      </rPr>
      <t>4.-</t>
    </r>
    <r>
      <rPr>
        <sz val="10"/>
        <color theme="1"/>
        <rFont val="Arial Narrow"/>
        <family val="2"/>
      </rPr>
      <t xml:space="preserve"> Cargar y organizar contenidos en el portal web institucional y otros medios digitales de difusión oficial.</t>
    </r>
  </si>
  <si>
    <t>Contenidos en el portal web institucional y otros medios digitales de difusión oficial, cargados.</t>
  </si>
  <si>
    <t>N° de contenidos cargados en el portal web institucional y otros medios digitales de difusión.</t>
  </si>
  <si>
    <r>
      <rPr>
        <b/>
        <sz val="9"/>
        <color theme="1"/>
        <rFont val="Century Schoolbook"/>
        <family val="1"/>
      </rPr>
      <t>1.-</t>
    </r>
    <r>
      <rPr>
        <sz val="10"/>
        <color theme="1"/>
        <rFont val="Arial Narrow"/>
        <family val="2"/>
      </rPr>
      <t xml:space="preserve"> Monitorear publicaciones en los diarios.
</t>
    </r>
    <r>
      <rPr>
        <b/>
        <sz val="9"/>
        <color theme="1"/>
        <rFont val="Century Schoolbook"/>
        <family val="1"/>
      </rPr>
      <t>2.-</t>
    </r>
    <r>
      <rPr>
        <sz val="10"/>
        <color theme="1"/>
        <rFont val="Arial Narrow"/>
        <family val="2"/>
      </rPr>
      <t xml:space="preserve"> Recortar noticias de los periódicos.
</t>
    </r>
    <r>
      <rPr>
        <b/>
        <sz val="9"/>
        <color theme="1"/>
        <rFont val="Century Schoolbook"/>
        <family val="1"/>
      </rPr>
      <t>3.-</t>
    </r>
    <r>
      <rPr>
        <sz val="10"/>
        <color theme="1"/>
        <rFont val="Arial Narrow"/>
        <family val="2"/>
      </rPr>
      <t xml:space="preserve"> Archivar en carpetas y clasificarlas por meses.
</t>
    </r>
    <r>
      <rPr>
        <b/>
        <sz val="9"/>
        <color theme="1"/>
        <rFont val="Century Schoolbook"/>
        <family val="1"/>
      </rPr>
      <t>4.-</t>
    </r>
    <r>
      <rPr>
        <sz val="10"/>
        <color theme="1"/>
        <rFont val="Arial Narrow"/>
        <family val="2"/>
      </rPr>
      <t xml:space="preserve"> Tabular datos y condensarlos en matriz.</t>
    </r>
  </si>
  <si>
    <r>
      <rPr>
        <b/>
        <sz val="9"/>
        <color theme="1"/>
        <rFont val="Century Schoolbook"/>
        <family val="1"/>
      </rPr>
      <t>1.-</t>
    </r>
    <r>
      <rPr>
        <sz val="10"/>
        <color theme="1"/>
        <rFont val="Arial Narrow"/>
        <family val="2"/>
      </rPr>
      <t xml:space="preserve"> Reporte de contenidos cargados.</t>
    </r>
  </si>
  <si>
    <t>* Director de Comunicación
* Karen Rubio,
  Técnico Docente</t>
  </si>
  <si>
    <t>Maquinarias y Equipos (Instalación, Mantenimiento y Reparación)</t>
  </si>
  <si>
    <t>DPLAN: Se modifican los egresos en la partida 840103 por superar el 20% del máximo disponible para egresos en el grupo 84 del Clasificador Presupuestario; debiendo proponerse una reforma para mover los recursos -internamente- por la Dirección, lo que deberá cumplir el trámite respectivo ante el Consejo Universitario y, posteriormente, el Ministerio de Economía y Finanzas. Se ubicará en la partida 530204 con el concepto "Material para difusión de actividades".</t>
  </si>
  <si>
    <t>Mantenimiento y reparación de la imprenta</t>
  </si>
  <si>
    <t>6. Impulsar un sistema tecnológico de comunicación interna que mejore la respuesta efectiva en la gestión administrativa.</t>
  </si>
  <si>
    <r>
      <rPr>
        <b/>
        <sz val="9"/>
        <color theme="1"/>
        <rFont val="Century Schoolbook"/>
        <family val="1"/>
      </rPr>
      <t>5.-</t>
    </r>
    <r>
      <rPr>
        <sz val="10"/>
        <color theme="1"/>
        <rFont val="Arial Narrow"/>
        <family val="2"/>
      </rPr>
      <t xml:space="preserve"> Emitir informes de asesoría técnica a los procesos gobernantes.</t>
    </r>
  </si>
  <si>
    <t>Informes de asesoría técnica a los procesos gobernantes emitidos.</t>
  </si>
  <si>
    <t>N° de informes de asesoría técnica a los proceso gobernantes emitidos.</t>
  </si>
  <si>
    <r>
      <rPr>
        <b/>
        <sz val="9"/>
        <color theme="1"/>
        <rFont val="Century Schoolbook"/>
        <family val="1"/>
      </rPr>
      <t>1.-</t>
    </r>
    <r>
      <rPr>
        <sz val="10"/>
        <color theme="1"/>
        <rFont val="Arial Narrow"/>
        <family val="2"/>
      </rPr>
      <t xml:space="preserve"> Planificar.
</t>
    </r>
    <r>
      <rPr>
        <b/>
        <sz val="9"/>
        <color theme="1"/>
        <rFont val="Century Schoolbook"/>
        <family val="1"/>
      </rPr>
      <t>2.-</t>
    </r>
    <r>
      <rPr>
        <sz val="10"/>
        <color theme="1"/>
        <rFont val="Arial Narrow"/>
        <family val="2"/>
      </rPr>
      <t xml:space="preserve"> Asesorar.
</t>
    </r>
    <r>
      <rPr>
        <b/>
        <sz val="9"/>
        <color theme="1"/>
        <rFont val="Century Schoolbook"/>
        <family val="1"/>
      </rPr>
      <t>3.-</t>
    </r>
    <r>
      <rPr>
        <sz val="10"/>
        <color theme="1"/>
        <rFont val="Arial Narrow"/>
        <family val="2"/>
      </rPr>
      <t xml:space="preserve"> Evaluar.
</t>
    </r>
    <r>
      <rPr>
        <b/>
        <sz val="9"/>
        <color theme="1"/>
        <rFont val="Century Schoolbook"/>
        <family val="1"/>
      </rPr>
      <t>4.-</t>
    </r>
    <r>
      <rPr>
        <sz val="10"/>
        <color theme="1"/>
        <rFont val="Arial Narrow"/>
        <family val="2"/>
      </rPr>
      <t xml:space="preserve"> Consolidar informe.
</t>
    </r>
    <r>
      <rPr>
        <b/>
        <sz val="9"/>
        <color theme="1"/>
        <rFont val="Century Schoolbook"/>
        <family val="1"/>
      </rPr>
      <t>5.-</t>
    </r>
    <r>
      <rPr>
        <sz val="10"/>
        <color theme="1"/>
        <rFont val="Arial Narrow"/>
        <family val="2"/>
      </rPr>
      <t xml:space="preserve"> Redactar.</t>
    </r>
  </si>
  <si>
    <r>
      <rPr>
        <b/>
        <sz val="9"/>
        <color theme="1"/>
        <rFont val="Century Schoolbook"/>
        <family val="1"/>
      </rPr>
      <t>1.-</t>
    </r>
    <r>
      <rPr>
        <sz val="10"/>
        <color theme="1"/>
        <rFont val="Arial Narrow"/>
        <family val="2"/>
      </rPr>
      <t xml:space="preserve"> Reporte de informes consolidado otorgados.</t>
    </r>
  </si>
  <si>
    <t>Partes, accesorios y piezas para las cámaras fotográficas</t>
  </si>
  <si>
    <r>
      <rPr>
        <b/>
        <sz val="9"/>
        <color theme="1"/>
        <rFont val="Century Schoolbook"/>
        <family val="1"/>
      </rPr>
      <t>6.-</t>
    </r>
    <r>
      <rPr>
        <sz val="10"/>
        <color theme="1"/>
        <rFont val="Arial Narrow"/>
        <family val="2"/>
      </rPr>
      <t xml:space="preserve"> Medir el nivel de la calidad y accesibilidad de la información difundida.</t>
    </r>
  </si>
  <si>
    <t>Nivel de calidad y accesibilidad de la información difundida, medida.</t>
  </si>
  <si>
    <t>N° de personas informadas y con accesibilidad a la información difundida.</t>
  </si>
  <si>
    <r>
      <rPr>
        <b/>
        <sz val="9"/>
        <color theme="1"/>
        <rFont val="Century Schoolbook"/>
        <family val="1"/>
      </rPr>
      <t>1.-</t>
    </r>
    <r>
      <rPr>
        <sz val="10"/>
        <color theme="1"/>
        <rFont val="Arial Narrow"/>
        <family val="2"/>
      </rPr>
      <t xml:space="preserve"> Informe anual del nivel de la calidad y accesibilidad de la información difundida.</t>
    </r>
  </si>
  <si>
    <t>* Director de Comunicación
* Cristhian Rivera y Juan José Cruz,
  Técnicos de fotografía, audio y video</t>
  </si>
  <si>
    <r>
      <rPr>
        <b/>
        <sz val="9"/>
        <color theme="1"/>
        <rFont val="Century Schoolbook"/>
        <family val="1"/>
      </rPr>
      <t>7.-</t>
    </r>
    <r>
      <rPr>
        <sz val="10"/>
        <color theme="1"/>
        <rFont val="Arial Narrow"/>
        <family val="2"/>
      </rPr>
      <t xml:space="preserve"> Entregar oportunamente la Planificación Operativa Anual y Evaluación de la Planificación Operativa Anual.</t>
    </r>
  </si>
  <si>
    <t>N° de Planificaciones Operativas Anuales y Evaluaciones de la Planificación Anual presentada.</t>
  </si>
  <si>
    <r>
      <rPr>
        <b/>
        <sz val="9"/>
        <color theme="1"/>
        <rFont val="Century Schoolbook"/>
        <family val="1"/>
      </rPr>
      <t>1.-</t>
    </r>
    <r>
      <rPr>
        <sz val="10"/>
        <color theme="1"/>
        <rFont val="Arial Narrow"/>
        <family val="2"/>
      </rPr>
      <t xml:space="preserve"> Planificar.
</t>
    </r>
    <r>
      <rPr>
        <b/>
        <sz val="9"/>
        <color theme="1"/>
        <rFont val="Century Schoolbook"/>
        <family val="1"/>
      </rPr>
      <t>2.-</t>
    </r>
    <r>
      <rPr>
        <sz val="10"/>
        <color theme="1"/>
        <rFont val="Arial Narrow"/>
        <family val="2"/>
      </rPr>
      <t xml:space="preserve"> Recoger información.
</t>
    </r>
    <r>
      <rPr>
        <b/>
        <sz val="9"/>
        <color theme="1"/>
        <rFont val="Century Schoolbook"/>
        <family val="1"/>
      </rPr>
      <t>3.-</t>
    </r>
    <r>
      <rPr>
        <sz val="10"/>
        <color theme="1"/>
        <rFont val="Arial Narrow"/>
        <family val="2"/>
      </rPr>
      <t xml:space="preserve"> Sistematizar.
</t>
    </r>
    <r>
      <rPr>
        <b/>
        <sz val="9"/>
        <color theme="1"/>
        <rFont val="Century Schoolbook"/>
        <family val="1"/>
      </rPr>
      <t>4.-</t>
    </r>
    <r>
      <rPr>
        <sz val="10"/>
        <color theme="1"/>
        <rFont val="Arial Narrow"/>
        <family val="2"/>
      </rPr>
      <t xml:space="preserve"> Evaluar.
</t>
    </r>
    <r>
      <rPr>
        <b/>
        <sz val="9"/>
        <color theme="1"/>
        <rFont val="Century Schoolbook"/>
        <family val="1"/>
      </rPr>
      <t>5.-</t>
    </r>
    <r>
      <rPr>
        <sz val="10"/>
        <color theme="1"/>
        <rFont val="Arial Narrow"/>
        <family val="2"/>
      </rPr>
      <t xml:space="preserve"> Presentar.</t>
    </r>
  </si>
  <si>
    <r>
      <rPr>
        <b/>
        <sz val="9"/>
        <color theme="1"/>
        <rFont val="Century Schoolbook"/>
        <family val="1"/>
      </rPr>
      <t>1.-</t>
    </r>
    <r>
      <rPr>
        <sz val="10"/>
        <color theme="1"/>
        <rFont val="Arial Narrow"/>
        <family val="2"/>
      </rPr>
      <t xml:space="preserve"> Plan Operativo Anual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</si>
  <si>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t>* Director de Comunicación
* Hugo Gaona,
   Comunicador Social</t>
  </si>
  <si>
    <r>
      <rPr>
        <b/>
        <sz val="9"/>
        <color theme="1"/>
        <rFont val="Century Schoolbook"/>
        <family val="1"/>
      </rPr>
      <t>8.-</t>
    </r>
    <r>
      <rPr>
        <sz val="10"/>
        <color theme="1"/>
        <rFont val="Arial Narrow"/>
        <family val="2"/>
      </rPr>
      <t xml:space="preserve"> Organizar Archivo de Gestión.</t>
    </r>
  </si>
  <si>
    <t>N° de archivos de gestión organizados y registrados en el inventario documental.</t>
  </si>
  <si>
    <r>
      <rPr>
        <b/>
        <sz val="9"/>
        <color theme="1"/>
        <rFont val="Century Schoolbook"/>
        <family val="1"/>
      </rPr>
      <t>1.-</t>
    </r>
    <r>
      <rPr>
        <sz val="10"/>
        <color theme="1"/>
        <rFont val="Arial Narrow"/>
        <family val="2"/>
      </rPr>
      <t xml:space="preserve"> Receptar archivos.
</t>
    </r>
    <r>
      <rPr>
        <b/>
        <sz val="9"/>
        <color theme="1"/>
        <rFont val="Century Schoolbook"/>
        <family val="1"/>
      </rPr>
      <t>2.-</t>
    </r>
    <r>
      <rPr>
        <sz val="10"/>
        <color theme="1"/>
        <rFont val="Arial Narrow"/>
        <family val="2"/>
      </rPr>
      <t xml:space="preserve"> Organizar.
</t>
    </r>
    <r>
      <rPr>
        <b/>
        <sz val="9"/>
        <color theme="1"/>
        <rFont val="Century Schoolbook"/>
        <family val="1"/>
      </rPr>
      <t>3.-</t>
    </r>
    <r>
      <rPr>
        <sz val="10"/>
        <color theme="1"/>
        <rFont val="Arial Narrow"/>
        <family val="2"/>
      </rPr>
      <t xml:space="preserve"> Clasificar.
</t>
    </r>
    <r>
      <rPr>
        <b/>
        <sz val="9"/>
        <color theme="1"/>
        <rFont val="Century Schoolbook"/>
        <family val="1"/>
      </rPr>
      <t xml:space="preserve">4.- </t>
    </r>
    <r>
      <rPr>
        <sz val="10"/>
        <color theme="1"/>
        <rFont val="Arial Narrow"/>
        <family val="2"/>
      </rPr>
      <t>Archivar.</t>
    </r>
  </si>
  <si>
    <r>
      <rPr>
        <b/>
        <sz val="9"/>
        <color theme="1"/>
        <rFont val="Century Schoolbook"/>
        <family val="1"/>
      </rPr>
      <t>1.-</t>
    </r>
    <r>
      <rPr>
        <sz val="10"/>
        <color theme="1"/>
        <rFont val="Arial Narrow"/>
        <family val="2"/>
      </rPr>
      <t xml:space="preserve"> Inventario Documental.</t>
    </r>
  </si>
  <si>
    <t>* Director de Comunicación
* Hugo Gaona,
  Comunicador Social</t>
  </si>
  <si>
    <t>DIRCOM</t>
  </si>
  <si>
    <t>TOTAL PRESUPUESTO ESTIMATIVO DIRECCIÓN DE COMUNICACIÓN 2023:</t>
  </si>
  <si>
    <r>
      <rPr>
        <b/>
        <sz val="12"/>
        <color theme="1"/>
        <rFont val="Arial Narrow"/>
        <family val="2"/>
      </rPr>
      <t xml:space="preserve">Elaborado por: </t>
    </r>
    <r>
      <rPr>
        <sz val="12"/>
        <color theme="1"/>
        <rFont val="Arial Narrow"/>
        <family val="2"/>
      </rPr>
      <t xml:space="preserve">JUAN ANDRÉS CARVAJAL ROMERO </t>
    </r>
  </si>
  <si>
    <r>
      <rPr>
        <b/>
        <sz val="11"/>
        <color rgb="FFFF0000"/>
        <rFont val="Arial Narrow"/>
        <family val="2"/>
      </rPr>
      <t>NOTA:</t>
    </r>
    <r>
      <rPr>
        <sz val="11"/>
        <color theme="1"/>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</si>
  <si>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2"/>
        <color theme="1"/>
        <rFont val="Arial Narrow"/>
        <family val="2"/>
      </rPr>
      <t xml:space="preserve">Fecha: </t>
    </r>
    <r>
      <rPr>
        <sz val="12"/>
        <color theme="1"/>
        <rFont val="Arial Narrow"/>
        <family val="2"/>
      </rPr>
      <t>13 de septiembre de 2022</t>
    </r>
  </si>
  <si>
    <t>SECRETARÍA GENERAL</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</si>
  <si>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Emitir convocatorias para sesiones del Consejo Universitario.</t>
    </r>
  </si>
  <si>
    <t>Convocatorias para las sesiones del Órgano Colegiado Superior emitidas.</t>
  </si>
  <si>
    <t>N° de convocatorias emitidas.</t>
  </si>
  <si>
    <r>
      <rPr>
        <b/>
        <sz val="9"/>
        <color theme="1"/>
        <rFont val="Century Schoolbook"/>
        <family val="1"/>
      </rPr>
      <t>1.-</t>
    </r>
    <r>
      <rPr>
        <sz val="10"/>
        <color theme="1"/>
        <rFont val="Arial Narrow"/>
        <family val="2"/>
      </rPr>
      <t xml:space="preserve"> Elaborar la convocatoria de sesión de Consejo Universitario.
</t>
    </r>
    <r>
      <rPr>
        <b/>
        <sz val="9"/>
        <color theme="1"/>
        <rFont val="Century Schoolbook"/>
        <family val="1"/>
      </rPr>
      <t>2.-</t>
    </r>
    <r>
      <rPr>
        <sz val="10"/>
        <color theme="1"/>
        <rFont val="Arial Narrow"/>
        <family val="2"/>
      </rPr>
      <t xml:space="preserve"> Remitir la convocatoria a los miembros de Consejo Universitario.</t>
    </r>
  </si>
  <si>
    <r>
      <rPr>
        <b/>
        <sz val="9"/>
        <color theme="1"/>
        <rFont val="Century Schoolbook"/>
        <family val="1"/>
      </rPr>
      <t>1.-</t>
    </r>
    <r>
      <rPr>
        <sz val="10"/>
        <color theme="1"/>
        <rFont val="Arial Narrow"/>
        <family val="2"/>
      </rPr>
      <t xml:space="preserve"> Registro de convocatorias de sesiones de Consejo Universitario.</t>
    </r>
  </si>
  <si>
    <t>* Abg. Gerardo Fernández Valdiviezo,
  Secretario General
* Lcda. Jessy Coello Jarre,
  Analista Actas y Resoluciones</t>
  </si>
  <si>
    <r>
      <rPr>
        <b/>
        <sz val="9"/>
        <color theme="1"/>
        <rFont val="Century Schoolbook"/>
        <family val="1"/>
      </rPr>
      <t>2.-</t>
    </r>
    <r>
      <rPr>
        <sz val="10"/>
        <color theme="1"/>
        <rFont val="Arial Narrow"/>
        <family val="2"/>
      </rPr>
      <t xml:space="preserve"> Elaborar las actas de las sesiones de Órgano Colegiado Superior.</t>
    </r>
  </si>
  <si>
    <t>Actas de las Sesiones del Órgano Colegiado Superior redactadas y suscritas.</t>
  </si>
  <si>
    <t>N° de actas emitidas.</t>
  </si>
  <si>
    <r>
      <rPr>
        <b/>
        <sz val="9"/>
        <color theme="1"/>
        <rFont val="Century Schoolbook"/>
        <family val="1"/>
      </rPr>
      <t>1.-</t>
    </r>
    <r>
      <rPr>
        <sz val="10"/>
        <color theme="1"/>
        <rFont val="Arial Narrow"/>
        <family val="2"/>
      </rPr>
      <t xml:space="preserve"> Elaborar el acta de la sesión de Consejo Universitario.</t>
    </r>
  </si>
  <si>
    <r>
      <rPr>
        <b/>
        <sz val="9"/>
        <color theme="1"/>
        <rFont val="Century Schoolbook"/>
        <family val="1"/>
      </rPr>
      <t>1.-</t>
    </r>
    <r>
      <rPr>
        <sz val="10"/>
        <color theme="1"/>
        <rFont val="Arial Narrow"/>
        <family val="2"/>
      </rPr>
      <t xml:space="preserve"> Matriz de seguimiento de resoluciones </t>
    </r>
    <r>
      <rPr>
        <sz val="10"/>
        <color theme="1"/>
        <rFont val="Century Schoolbook"/>
        <family val="1"/>
      </rPr>
      <t>2023.</t>
    </r>
  </si>
  <si>
    <t>* Abg. Gerardo Fernández Valdiviezo,
  Secretario General
* Lcda. Jessy Coello Jarre,
  Analista Actas y Resoluciones
* Ángel Aguirre León,
  Auxiliar Administrativo</t>
  </si>
  <si>
    <t>DPLAN: El egreso de la partida 840107 se centraliza en 17. DTIC.</t>
  </si>
  <si>
    <r>
      <rPr>
        <b/>
        <sz val="9"/>
        <color theme="1"/>
        <rFont val="Century Schoolbook"/>
        <family val="1"/>
      </rPr>
      <t>3.-</t>
    </r>
    <r>
      <rPr>
        <sz val="10"/>
        <color theme="1"/>
        <rFont val="Arial Narrow"/>
        <family val="2"/>
      </rPr>
      <t xml:space="preserve"> Redactar las resoluciones del Órgano Colegiado Superior.</t>
    </r>
  </si>
  <si>
    <t>Resoluciones del Órgano Colegiado Superior redactadas y notificadas.</t>
  </si>
  <si>
    <t>N° de resoluciones emitidas.</t>
  </si>
  <si>
    <r>
      <rPr>
        <b/>
        <sz val="9"/>
        <color theme="1"/>
        <rFont val="Century Schoolbook"/>
        <family val="1"/>
      </rPr>
      <t>1.-</t>
    </r>
    <r>
      <rPr>
        <sz val="10"/>
        <color theme="1"/>
        <rFont val="Arial Narrow"/>
        <family val="2"/>
      </rPr>
      <t xml:space="preserve"> Formular y aprobar resoluciones.
</t>
    </r>
    <r>
      <rPr>
        <b/>
        <sz val="9"/>
        <color theme="1"/>
        <rFont val="Century Schoolbook"/>
        <family val="1"/>
      </rPr>
      <t>2.-</t>
    </r>
    <r>
      <rPr>
        <sz val="10"/>
        <color theme="1"/>
        <rFont val="Arial Narrow"/>
        <family val="2"/>
      </rPr>
      <t xml:space="preserve"> Notificar las resoluciones aprobadas a los involucrados.
</t>
    </r>
    <r>
      <rPr>
        <b/>
        <sz val="9"/>
        <color theme="1"/>
        <rFont val="Century Schoolbook"/>
        <family val="1"/>
      </rPr>
      <t>3.-</t>
    </r>
    <r>
      <rPr>
        <sz val="10"/>
        <color theme="1"/>
        <rFont val="Arial Narrow"/>
        <family val="2"/>
      </rPr>
      <t xml:space="preserve"> Remitir por vía correo electrónico las resoluciones aprobadas para que se visualice en la página web institucional.</t>
    </r>
  </si>
  <si>
    <t>DPLAN: El regreso planteado en la partida 530204, se ejecutará desde la Procuraduría General.</t>
  </si>
  <si>
    <r>
      <t xml:space="preserve">Computadora portátil modelo </t>
    </r>
    <r>
      <rPr>
        <sz val="10"/>
        <color theme="1"/>
        <rFont val="Century Schoolbook"/>
        <family val="1"/>
      </rPr>
      <t>3</t>
    </r>
  </si>
  <si>
    <t>Fotocopias para gestión de tramites externos</t>
  </si>
  <si>
    <r>
      <rPr>
        <b/>
        <sz val="9"/>
        <color theme="1"/>
        <rFont val="Century Schoolbook"/>
        <family val="1"/>
      </rPr>
      <t>4.-</t>
    </r>
    <r>
      <rPr>
        <sz val="10"/>
        <color theme="1"/>
        <rFont val="Arial Narrow"/>
        <family val="2"/>
      </rPr>
      <t xml:space="preserve"> Administrar la documentación para tratamiento del Órgano Colegiado Superior.</t>
    </r>
  </si>
  <si>
    <t>Documentación para tratamiento del Órgano Colegiado Superior administrada.</t>
  </si>
  <si>
    <t>N° de documentos analizados por Consejo Universitario.</t>
  </si>
  <si>
    <r>
      <rPr>
        <b/>
        <sz val="9"/>
        <color theme="1"/>
        <rFont val="Century Schoolbook"/>
        <family val="1"/>
      </rPr>
      <t>1.-</t>
    </r>
    <r>
      <rPr>
        <sz val="10"/>
        <color theme="1"/>
        <rFont val="Arial Narrow"/>
        <family val="2"/>
      </rPr>
      <t xml:space="preserve"> Receptar y revisar la documentación.
</t>
    </r>
    <r>
      <rPr>
        <b/>
        <sz val="9"/>
        <color theme="1"/>
        <rFont val="Century Schoolbook"/>
        <family val="1"/>
      </rPr>
      <t>2.-</t>
    </r>
    <r>
      <rPr>
        <sz val="10"/>
        <color theme="1"/>
        <rFont val="Arial Narrow"/>
        <family val="2"/>
      </rPr>
      <t xml:space="preserve"> Solicitar informes en caso de ser necesario.</t>
    </r>
  </si>
  <si>
    <r>
      <rPr>
        <b/>
        <sz val="9"/>
        <color theme="1"/>
        <rFont val="Century Schoolbook"/>
        <family val="1"/>
      </rPr>
      <t>1.-</t>
    </r>
    <r>
      <rPr>
        <sz val="10"/>
        <color theme="1"/>
        <rFont val="Arial Narrow"/>
        <family val="2"/>
      </rPr>
      <t xml:space="preserve"> Registro de documentos recibidos para Consejo Universitario.</t>
    </r>
  </si>
  <si>
    <r>
      <rPr>
        <b/>
        <sz val="9"/>
        <color theme="1"/>
        <rFont val="Century Schoolbook"/>
        <family val="1"/>
      </rPr>
      <t>5.-</t>
    </r>
    <r>
      <rPr>
        <sz val="10"/>
        <color theme="1"/>
        <rFont val="Arial Narrow"/>
        <family val="2"/>
      </rPr>
      <t xml:space="preserve"> Certificar documentos.</t>
    </r>
  </si>
  <si>
    <t>Servicio de Certificación de documentos.</t>
  </si>
  <si>
    <t>N° de solicitudes de certificaciones atendidas.</t>
  </si>
  <si>
    <r>
      <rPr>
        <b/>
        <sz val="9"/>
        <color theme="1"/>
        <rFont val="Century Schoolbook"/>
        <family val="1"/>
      </rPr>
      <t>1.-</t>
    </r>
    <r>
      <rPr>
        <sz val="10"/>
        <color theme="1"/>
        <rFont val="Arial Narrow"/>
        <family val="2"/>
      </rPr>
      <t xml:space="preserve"> Receptar y revisar la solicitud.
</t>
    </r>
    <r>
      <rPr>
        <b/>
        <sz val="9"/>
        <color theme="1"/>
        <rFont val="Century Schoolbook"/>
        <family val="1"/>
      </rPr>
      <t>2.-</t>
    </r>
    <r>
      <rPr>
        <sz val="10"/>
        <color theme="1"/>
        <rFont val="Arial Narrow"/>
        <family val="2"/>
      </rPr>
      <t xml:space="preserve"> Ubicar la documentación a certificar.
</t>
    </r>
    <r>
      <rPr>
        <b/>
        <sz val="9"/>
        <color theme="1"/>
        <rFont val="Century Schoolbook"/>
        <family val="1"/>
      </rPr>
      <t>3.-</t>
    </r>
    <r>
      <rPr>
        <sz val="10"/>
        <color theme="1"/>
        <rFont val="Arial Narrow"/>
        <family val="2"/>
      </rPr>
      <t xml:space="preserve"> Realizar el sellado de copia original o compulsa. 
</t>
    </r>
    <r>
      <rPr>
        <b/>
        <sz val="9"/>
        <color theme="1"/>
        <rFont val="Century Schoolbook"/>
        <family val="1"/>
      </rPr>
      <t>4.-</t>
    </r>
    <r>
      <rPr>
        <sz val="10"/>
        <color theme="1"/>
        <rFont val="Arial Narrow"/>
        <family val="2"/>
      </rPr>
      <t xml:space="preserve"> Firmar la Secretaria General.
</t>
    </r>
    <r>
      <rPr>
        <b/>
        <sz val="9"/>
        <color theme="1"/>
        <rFont val="Century Schoolbook"/>
        <family val="1"/>
      </rPr>
      <t>5.-</t>
    </r>
    <r>
      <rPr>
        <sz val="10"/>
        <color theme="1"/>
        <rFont val="Arial Narrow"/>
        <family val="2"/>
      </rPr>
      <t xml:space="preserve"> Entregar documentación certificada.</t>
    </r>
  </si>
  <si>
    <r>
      <rPr>
        <b/>
        <sz val="9"/>
        <color theme="1"/>
        <rFont val="Century Schoolbook"/>
        <family val="1"/>
      </rPr>
      <t>1.-</t>
    </r>
    <r>
      <rPr>
        <sz val="10"/>
        <color theme="1"/>
        <rFont val="Arial Narrow"/>
        <family val="2"/>
      </rPr>
      <t xml:space="preserve"> Registro de solicitudes atendidas.</t>
    </r>
  </si>
  <si>
    <t>* Abg. Gerardo Fernández Valdiviezo,
  Secretario General
* Ángel Aguirre León,
  Auxiliar Administrativo</t>
  </si>
  <si>
    <r>
      <rPr>
        <b/>
        <sz val="9"/>
        <color theme="1"/>
        <rFont val="Century Schoolbook"/>
        <family val="1"/>
      </rPr>
      <t>6.-</t>
    </r>
    <r>
      <rPr>
        <sz val="10"/>
        <color theme="1"/>
        <rFont val="Arial Narrow"/>
        <family val="2"/>
      </rPr>
      <t xml:space="preserve"> Registrar títulos conferidos.</t>
    </r>
  </si>
  <si>
    <t>Títulos conferidos y registrados.</t>
  </si>
  <si>
    <t>N° de títulos registrados.</t>
  </si>
  <si>
    <r>
      <rPr>
        <b/>
        <sz val="9"/>
        <color theme="1"/>
        <rFont val="Century Schoolbook"/>
        <family val="1"/>
      </rPr>
      <t>1.-</t>
    </r>
    <r>
      <rPr>
        <sz val="10"/>
        <color theme="1"/>
        <rFont val="Arial Narrow"/>
        <family val="2"/>
      </rPr>
      <t xml:space="preserve"> Elaborar las actas de Refrendación de los títulos.
</t>
    </r>
    <r>
      <rPr>
        <b/>
        <sz val="9"/>
        <color theme="1"/>
        <rFont val="Century Schoolbook"/>
        <family val="1"/>
      </rPr>
      <t>2.-</t>
    </r>
    <r>
      <rPr>
        <sz val="10"/>
        <color theme="1"/>
        <rFont val="Arial Narrow"/>
        <family val="2"/>
      </rPr>
      <t xml:space="preserve"> Realizar la emisión de títulos.
</t>
    </r>
    <r>
      <rPr>
        <b/>
        <sz val="9"/>
        <color theme="1"/>
        <rFont val="Century Schoolbook"/>
        <family val="1"/>
      </rPr>
      <t>3.-</t>
    </r>
    <r>
      <rPr>
        <sz val="10"/>
        <color theme="1"/>
        <rFont val="Arial Narrow"/>
        <family val="2"/>
      </rPr>
      <t xml:space="preserve"> Registrar los títulos en la plataforma del SNIESE.</t>
    </r>
  </si>
  <si>
    <r>
      <rPr>
        <b/>
        <sz val="9"/>
        <color theme="1"/>
        <rFont val="Century Schoolbook"/>
        <family val="1"/>
      </rPr>
      <t>1.-</t>
    </r>
    <r>
      <rPr>
        <sz val="10"/>
        <color theme="1"/>
        <rFont val="Arial Narrow"/>
        <family val="2"/>
      </rPr>
      <t xml:space="preserve"> Reporte semestrales de títulos registrados.</t>
    </r>
  </si>
  <si>
    <t>* Abg. Gerardo Fernández Valdiviezo,
  Secretario General
* Katherine Aguilar Toro,
  Analista de Certificación y Refrendación de Títulos</t>
  </si>
  <si>
    <t>452900031</t>
  </si>
  <si>
    <t>UPS</t>
  </si>
  <si>
    <t>Audifonos para computador</t>
  </si>
  <si>
    <t>15 FORTALECER LAS CAPACIDADES DEL ESTADO CON ÉNFASIS EN LA ADMINISTRACIÓN DE JUSTICIA Y EFICIENCIA EN LOS PROCESOS DE REGULACIÓN Y CONTROL, CON INDEPENDENCIA Y AUTONOMÍA.</t>
  </si>
  <si>
    <r>
      <rPr>
        <b/>
        <sz val="9"/>
        <color rgb="FF000000"/>
        <rFont val="Century Schoolbook"/>
        <family val="1"/>
      </rPr>
      <t>7.-</t>
    </r>
    <r>
      <rPr>
        <sz val="10"/>
        <color rgb="FF000000"/>
        <rFont val="Arial Narrow"/>
        <family val="2"/>
      </rPr>
      <t xml:space="preserve"> Gestionar el diseño de procesos, herramientas y/ o lineamientos de gestión
documental y archivo.</t>
    </r>
  </si>
  <si>
    <t>Diseño de procesos, herramientas y/ o lineamientos de gestión
documental y archivo, gestionado.</t>
  </si>
  <si>
    <t>* Abg. Gerardo Fernández Valdiviezo,
  Secretario General</t>
  </si>
  <si>
    <t>Son nuevos productos que se le agregó a esta Secretaría General mediante resolución 345-2021 de Consejo Universitario , por lo tanto, no cuenta con el recurso humano para ejecutarlo.</t>
  </si>
  <si>
    <t>16 FORTALECER LAS CAPACIDADES DEL ESTADO CON ÉNFASIS EN LA ADMINISTRACIÓN DE JUSTICIA Y EFICIENCIA EN LOS PROCESOS DE REGULACIÓN Y CONTROL, CON INDEPENDENCIA Y AUTONOMÍA.</t>
  </si>
  <si>
    <r>
      <rPr>
        <b/>
        <sz val="9"/>
        <color rgb="FF000000"/>
        <rFont val="Century Schoolbook"/>
        <family val="1"/>
      </rPr>
      <t>8.-</t>
    </r>
    <r>
      <rPr>
        <sz val="10"/>
        <color rgb="FF000000"/>
        <rFont val="Arial Narrow"/>
        <family val="2"/>
      </rPr>
      <t xml:space="preserve"> Evaluar los procesos de gestión documental y archivo.</t>
    </r>
  </si>
  <si>
    <t>Procesos de gestión documental y archivo, evaluados.</t>
  </si>
  <si>
    <r>
      <rPr>
        <b/>
        <sz val="9"/>
        <color theme="1"/>
        <rFont val="Century Schoolbook"/>
        <family val="1"/>
      </rPr>
      <t>9.-</t>
    </r>
    <r>
      <rPr>
        <sz val="10"/>
        <color theme="1"/>
        <rFont val="Arial Narrow"/>
        <family val="2"/>
      </rPr>
      <t xml:space="preserve"> Presentar la Planificación Operativa Anual y Evaluación de la Planificación Operativa Anual.</t>
    </r>
  </si>
  <si>
    <t>N° de POA y evaluaciones del POA presentados.</t>
  </si>
  <si>
    <r>
      <rPr>
        <b/>
        <sz val="9"/>
        <color theme="1"/>
        <rFont val="Century Schoolbook"/>
        <family val="1"/>
      </rPr>
      <t>1.-</t>
    </r>
    <r>
      <rPr>
        <sz val="10"/>
        <color theme="1"/>
        <rFont val="Arial Narrow"/>
        <family val="2"/>
      </rPr>
      <t xml:space="preserve"> Elaborar el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Evaluar el POA </t>
    </r>
    <r>
      <rPr>
        <sz val="10"/>
        <color theme="1"/>
        <rFont val="Century Schoolbook"/>
        <family val="1"/>
      </rPr>
      <t>2023.</t>
    </r>
  </si>
  <si>
    <t>* Abg. Gerardo Fernández Valdiviezo,
  Secretario General
* Lcda. Jessy Coello Jarre,
  Analista Actas y Resoluciones
* Katherine Aguilar Toro,
  Analista de Certificación y Refrendación de Títulos
* Ángel Aguirre León,
  Auxiliar Administrativo</t>
  </si>
  <si>
    <r>
      <rPr>
        <b/>
        <sz val="9"/>
        <color theme="1"/>
        <rFont val="Century Schoolbook"/>
        <family val="1"/>
      </rPr>
      <t>10.-</t>
    </r>
    <r>
      <rPr>
        <sz val="10"/>
        <color theme="1"/>
        <rFont val="Arial Narrow"/>
        <family val="2"/>
      </rPr>
      <t xml:space="preserve"> Organizar el Archivo de Gestión.</t>
    </r>
  </si>
  <si>
    <t>N° de cajas de archivo registradas en el inventario documental.</t>
  </si>
  <si>
    <r>
      <rPr>
        <b/>
        <sz val="9"/>
        <color theme="1"/>
        <rFont val="Century Schoolbook"/>
        <family val="1"/>
      </rPr>
      <t>1.-</t>
    </r>
    <r>
      <rPr>
        <sz val="10"/>
        <color theme="1"/>
        <rFont val="Arial Narrow"/>
        <family val="2"/>
      </rPr>
      <t xml:space="preserve"> Seleccionar la documentación para su depuración.
</t>
    </r>
    <r>
      <rPr>
        <b/>
        <sz val="9"/>
        <color theme="1"/>
        <rFont val="Century Schoolbook"/>
        <family val="1"/>
      </rPr>
      <t>2.-</t>
    </r>
    <r>
      <rPr>
        <sz val="10"/>
        <color theme="1"/>
        <rFont val="Arial Narrow"/>
        <family val="2"/>
      </rPr>
      <t xml:space="preserve"> Clasificar.
</t>
    </r>
    <r>
      <rPr>
        <b/>
        <sz val="9"/>
        <color theme="1"/>
        <rFont val="Century Schoolbook"/>
        <family val="1"/>
      </rPr>
      <t>3.-</t>
    </r>
    <r>
      <rPr>
        <sz val="10"/>
        <color theme="1"/>
        <rFont val="Arial Narrow"/>
        <family val="2"/>
      </rPr>
      <t xml:space="preserve"> Describir la documentación según la norma ISAD-G.
</t>
    </r>
    <r>
      <rPr>
        <b/>
        <sz val="9"/>
        <color theme="1"/>
        <rFont val="Century Schoolbook"/>
        <family val="1"/>
      </rPr>
      <t>4.-</t>
    </r>
    <r>
      <rPr>
        <sz val="10"/>
        <color theme="1"/>
        <rFont val="Arial Narrow"/>
        <family val="2"/>
      </rPr>
      <t xml:space="preserve"> Preservar la documentación en las unidades de almacenamiento.</t>
    </r>
  </si>
  <si>
    <t>Mobiliarios</t>
  </si>
  <si>
    <r>
      <t>Estanterías metálicas (</t>
    </r>
    <r>
      <rPr>
        <sz val="10"/>
        <color theme="1"/>
        <rFont val="Century Schoolbook"/>
        <family val="1"/>
      </rPr>
      <t>2200</t>
    </r>
    <r>
      <rPr>
        <sz val="10"/>
        <color theme="1"/>
        <rFont val="Arial Narrow"/>
        <family val="2"/>
      </rPr>
      <t xml:space="preserve"> mm de alto X </t>
    </r>
    <r>
      <rPr>
        <sz val="10"/>
        <color theme="1"/>
        <rFont val="Century Schoolbook"/>
        <family val="1"/>
      </rPr>
      <t>1000</t>
    </r>
    <r>
      <rPr>
        <sz val="10"/>
        <color theme="1"/>
        <rFont val="Arial Narrow"/>
        <family val="2"/>
      </rPr>
      <t xml:space="preserve"> mm de ancho X </t>
    </r>
    <r>
      <rPr>
        <sz val="10"/>
        <color theme="1"/>
        <rFont val="Century Schoolbook"/>
        <family val="1"/>
      </rPr>
      <t>500</t>
    </r>
    <r>
      <rPr>
        <sz val="10"/>
        <color theme="1"/>
        <rFont val="Arial Narrow"/>
        <family val="2"/>
      </rPr>
      <t xml:space="preserve"> mm de fondo)</t>
    </r>
  </si>
  <si>
    <t>Edificios, Locales, Residencias y Cableado Estructurado (Instalación, Mantenimiento y Reparaciones)</t>
  </si>
  <si>
    <t>Instalación de mamparas de melamina e incluido puerta con chapa de pombo</t>
  </si>
  <si>
    <t>TOTAL PRESUPUESTO ESTIMATIVO SECRETARÍA GENERAL 2023:</t>
  </si>
  <si>
    <t>UNIDAD DE GESTIÓN DOCUMENTAL Y ARCHIVO</t>
  </si>
  <si>
    <t>4. Actualizar los procesos organizacionales para garantizar el comportamiento sistémico y el ajuste contextual de la institución.</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</si>
  <si>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Registrar y distribuir la correspondencia interna (de las primeras Autoridades) y externa.</t>
    </r>
  </si>
  <si>
    <t>Correspondencia externa (de las primeras Autoridades).</t>
  </si>
  <si>
    <t>N° de documentos de usuarios externos registrados en el SIUTMACH.</t>
  </si>
  <si>
    <r>
      <rPr>
        <b/>
        <sz val="9"/>
        <color theme="1"/>
        <rFont val="Century Schoolbook"/>
        <family val="1"/>
      </rPr>
      <t>1.-</t>
    </r>
    <r>
      <rPr>
        <sz val="10"/>
        <color theme="1"/>
        <rFont val="Arial Narrow"/>
        <family val="2"/>
      </rPr>
      <t xml:space="preserve"> Recibir documentos externos.
</t>
    </r>
    <r>
      <rPr>
        <b/>
        <sz val="9"/>
        <color theme="1"/>
        <rFont val="Century Schoolbook"/>
        <family val="1"/>
      </rPr>
      <t>2.-</t>
    </r>
    <r>
      <rPr>
        <sz val="10"/>
        <color theme="1"/>
        <rFont val="Arial Narrow"/>
        <family val="2"/>
      </rPr>
      <t xml:space="preserve"> Registrar, escanear, ingresar en el módulo SIGEDA y remitir a los destinatarios para el trámite.
</t>
    </r>
    <r>
      <rPr>
        <b/>
        <sz val="9"/>
        <color theme="1"/>
        <rFont val="Century Schoolbook"/>
        <family val="1"/>
      </rPr>
      <t>3.-</t>
    </r>
    <r>
      <rPr>
        <sz val="10"/>
        <color theme="1"/>
        <rFont val="Arial Narrow"/>
        <family val="2"/>
      </rPr>
      <t xml:space="preserve"> Brindar información a los usuarios externos.</t>
    </r>
  </si>
  <si>
    <r>
      <rPr>
        <b/>
        <sz val="9"/>
        <color theme="1"/>
        <rFont val="Century Schoolbook"/>
        <family val="1"/>
      </rPr>
      <t>1.-</t>
    </r>
    <r>
      <rPr>
        <sz val="10"/>
        <color theme="1"/>
        <rFont val="Arial Narrow"/>
        <family val="2"/>
      </rPr>
      <t xml:space="preserve"> Reporte de los documentos ingresados en el módulo oficios.</t>
    </r>
  </si>
  <si>
    <t xml:space="preserve">* Tcnlga. Piedad Chamba Castro
  Técnico de Gestión Documental y Archivo
* Tnlgo. Carlos Castillo Cruz,
  Técnico de Gestión Documental y Archivo
</t>
  </si>
  <si>
    <t>Disposición Transitoria Tercera.- La recepción y distribución de las comunicaciones internas dirigidas a las máximas autoridades se mantendrá, hasta que se implemente el sistema informático de gestión documental.</t>
  </si>
  <si>
    <t>Computadora de escritorio</t>
  </si>
  <si>
    <t>Servicio de Correo</t>
  </si>
  <si>
    <t>Contratación del servicio de correo para envío de documentos, paquetes y otros</t>
  </si>
  <si>
    <r>
      <rPr>
        <b/>
        <sz val="9"/>
        <color rgb="FF000000"/>
        <rFont val="Century Schoolbook"/>
        <family val="1"/>
      </rPr>
      <t>2.-</t>
    </r>
    <r>
      <rPr>
        <sz val="10"/>
        <color rgb="FF000000"/>
        <rFont val="Arial Narrow"/>
        <family val="2"/>
      </rPr>
      <t xml:space="preserve"> Elaborar proyecto de normativa sobre la identificación, descripción, ordenación, instalación, consulta y/o transferencia de documentos.</t>
    </r>
  </si>
  <si>
    <t>Proyecto de normativa elaborada sobre la identificación, descripción, ordenación, instalación, consulta y/o transferencia de documentos.</t>
  </si>
  <si>
    <t>N° de manuales.</t>
  </si>
  <si>
    <r>
      <rPr>
        <b/>
        <sz val="9"/>
        <color rgb="FF0070C0"/>
        <rFont val="Century Schoolbook"/>
      </rPr>
      <t>1.-</t>
    </r>
    <r>
      <rPr>
        <sz val="10"/>
        <color rgb="FF0070C0"/>
        <rFont val="Arial Narrow"/>
      </rPr>
      <t xml:space="preserve"> Elaborar el manual de usuario de la aplicación SIGEDA.
</t>
    </r>
    <r>
      <rPr>
        <b/>
        <sz val="9"/>
        <color rgb="FF0070C0"/>
        <rFont val="Century Schoolbook"/>
      </rPr>
      <t>2.-</t>
    </r>
    <r>
      <rPr>
        <sz val="10"/>
        <color rgb="FF0070C0"/>
        <rFont val="Arial Narrow"/>
      </rPr>
      <t xml:space="preserve"> Difundir el manual de usuario de la aplicación SIGEDA.</t>
    </r>
  </si>
  <si>
    <r>
      <rPr>
        <b/>
        <sz val="9"/>
        <color rgb="FF0070C0"/>
        <rFont val="Century Schoolbook"/>
      </rPr>
      <t>1.-</t>
    </r>
    <r>
      <rPr>
        <sz val="10"/>
        <color rgb="FF0070C0"/>
        <rFont val="Arial Narrow"/>
      </rPr>
      <t xml:space="preserve"> Manual de usuario de la aplicación SIGEDA.</t>
    </r>
  </si>
  <si>
    <t>* Lic. Maira Ramírez Apolo,
  Analista de Gestión Documental y Archivo 
* Ing. Roxana Sánchez Liendres,
   Jefe de Unidad de Gestión Documental y Archivo</t>
  </si>
  <si>
    <r>
      <t xml:space="preserve">Computador todo en uno software privado modelo </t>
    </r>
    <r>
      <rPr>
        <sz val="10"/>
        <color theme="1"/>
        <rFont val="Century Schoolbook"/>
        <family val="1"/>
      </rPr>
      <t>8</t>
    </r>
  </si>
  <si>
    <r>
      <rPr>
        <b/>
        <sz val="9"/>
        <color rgb="FF000000"/>
        <rFont val="Century Schoolbook"/>
        <family val="1"/>
      </rPr>
      <t>3.-</t>
    </r>
    <r>
      <rPr>
        <sz val="10"/>
        <color rgb="FF000000"/>
        <rFont val="Arial Narrow"/>
        <family val="2"/>
      </rPr>
      <t xml:space="preserve"> Elaborar la propuesta de manual de tipologías documentales.</t>
    </r>
  </si>
  <si>
    <t>Propuesta de Manual de Tipologías Documentales.</t>
  </si>
  <si>
    <t>N° de manual.</t>
  </si>
  <si>
    <r>
      <rPr>
        <b/>
        <sz val="9"/>
        <color theme="1"/>
        <rFont val="Century Schoolbook"/>
        <family val="1"/>
      </rPr>
      <t>1.-</t>
    </r>
    <r>
      <rPr>
        <sz val="10"/>
        <color theme="1"/>
        <rFont val="Arial Narrow"/>
        <family val="2"/>
      </rPr>
      <t xml:space="preserve"> Actualizar el manual de tipologías documentales.
</t>
    </r>
    <r>
      <rPr>
        <b/>
        <sz val="9"/>
        <color theme="1"/>
        <rFont val="Century Schoolbook"/>
        <family val="1"/>
      </rPr>
      <t>2.-</t>
    </r>
    <r>
      <rPr>
        <sz val="10"/>
        <color theme="1"/>
        <rFont val="Arial Narrow"/>
        <family val="2"/>
      </rPr>
      <t xml:space="preserve"> Socializar el manual de tipologías documentales.</t>
    </r>
  </si>
  <si>
    <r>
      <rPr>
        <b/>
        <sz val="9"/>
        <color theme="1"/>
        <rFont val="Century Schoolbook"/>
        <family val="1"/>
      </rPr>
      <t>1.-</t>
    </r>
    <r>
      <rPr>
        <sz val="10"/>
        <color theme="1"/>
        <rFont val="Arial Narrow"/>
        <family val="2"/>
      </rPr>
      <t xml:space="preserve"> Manual de Tipologías documentales actualizado.</t>
    </r>
  </si>
  <si>
    <t>* Responsables de archivos de gestión e intermedio
* Lic. Maira Ramírez Apolo, Analista de la Unidad de Gestión Documental y Archivo
* Ing. Roxana Sánchez Liendres,
 Jefe de Unidad de Gestión Documental y Archivo</t>
  </si>
  <si>
    <r>
      <rPr>
        <b/>
        <sz val="9"/>
        <color rgb="FF000000"/>
        <rFont val="Century Schoolbook"/>
        <family val="1"/>
      </rPr>
      <t>4.-</t>
    </r>
    <r>
      <rPr>
        <sz val="10"/>
        <color rgb="FF000000"/>
        <rFont val="Arial Narrow"/>
        <family val="2"/>
      </rPr>
      <t xml:space="preserve"> Elaborar instrumentos archivísticos.</t>
    </r>
  </si>
  <si>
    <t>Instrumentos archivísticos elaborados.</t>
  </si>
  <si>
    <t>N° de fichas.</t>
  </si>
  <si>
    <r>
      <rPr>
        <b/>
        <sz val="9"/>
        <color rgb="FF000000"/>
        <rFont val="Century Schoolbook"/>
      </rPr>
      <t>1.-</t>
    </r>
    <r>
      <rPr>
        <sz val="10"/>
        <color rgb="FF000000"/>
        <rFont val="Arial Narrow"/>
      </rPr>
      <t xml:space="preserve"> Realizar el censo documental.
</t>
    </r>
    <r>
      <rPr>
        <b/>
        <sz val="9"/>
        <color rgb="FF000000"/>
        <rFont val="Century Schoolbook"/>
      </rPr>
      <t>2.-</t>
    </r>
    <r>
      <rPr>
        <sz val="10"/>
        <color rgb="FF000000"/>
        <rFont val="Arial Narrow"/>
      </rPr>
      <t xml:space="preserve"> Consolidar la información recopilada de facultades y administración Central.
</t>
    </r>
    <r>
      <rPr>
        <b/>
        <sz val="9"/>
        <color rgb="FF0070C0"/>
        <rFont val="Century Schoolbook"/>
      </rPr>
      <t>3.-</t>
    </r>
    <r>
      <rPr>
        <sz val="10"/>
        <color rgb="FF0070C0"/>
        <rFont val="Arial Narrow"/>
      </rPr>
      <t xml:space="preserve"> Validar las fichas de identificación y valoración documental con las dependencias.</t>
    </r>
  </si>
  <si>
    <r>
      <rPr>
        <b/>
        <sz val="9"/>
        <color rgb="FF0070C0"/>
        <rFont val="Century Schoolbook"/>
      </rPr>
      <t>1.-</t>
    </r>
    <r>
      <rPr>
        <sz val="10"/>
        <color rgb="FF0070C0"/>
        <rFont val="Arial Narrow"/>
      </rPr>
      <t xml:space="preserve"> Fichas de identificación y valoración documental.</t>
    </r>
  </si>
  <si>
    <t>* Tcnlga. Piedad Chamba Castro
  Técnico de Gestión Documental y Archivo
* Tnlgo. Carlos Castillo Cruz,
  Técnico de Gestión Documental y Archivo</t>
  </si>
  <si>
    <r>
      <rPr>
        <b/>
        <sz val="9"/>
        <color rgb="FF000000"/>
        <rFont val="Century Schoolbook"/>
        <family val="1"/>
      </rPr>
      <t>5.-</t>
    </r>
    <r>
      <rPr>
        <b/>
        <sz val="10"/>
        <color rgb="FF000000"/>
        <rFont val="Arial Narrow"/>
        <family val="2"/>
      </rPr>
      <t xml:space="preserve"> </t>
    </r>
    <r>
      <rPr>
        <sz val="10"/>
        <color rgb="FF000000"/>
        <rFont val="Arial Narrow"/>
        <family val="2"/>
      </rPr>
      <t>Recibir las transferencias documentales.</t>
    </r>
  </si>
  <si>
    <t>Transferencias documentales recibidas.</t>
  </si>
  <si>
    <t>N° de transferencias recibidas.</t>
  </si>
  <si>
    <t>Disposición Transitoria Tercera.- Las transferencias documentales se efectuarán una vez que se implemente la infraestructura física destinada para la conservación de los
documentos.</t>
  </si>
  <si>
    <r>
      <rPr>
        <b/>
        <sz val="9"/>
        <color theme="1"/>
        <rFont val="Century Schoolbook"/>
        <family val="1"/>
      </rPr>
      <t>6.-</t>
    </r>
    <r>
      <rPr>
        <sz val="10"/>
        <color theme="1"/>
        <rFont val="Arial Narrow"/>
        <family val="2"/>
      </rPr>
      <t xml:space="preserve"> Prestación de Servicio de consulta de documentos.</t>
    </r>
  </si>
  <si>
    <t>Servicio prestado de consulta de documento.</t>
  </si>
  <si>
    <t>N° de atenciones de servicio de consulta de documentos.</t>
  </si>
  <si>
    <r>
      <rPr>
        <b/>
        <sz val="9"/>
        <color theme="1"/>
        <rFont val="Century Schoolbook"/>
        <family val="1"/>
      </rPr>
      <t>1.-</t>
    </r>
    <r>
      <rPr>
        <sz val="10"/>
        <color theme="1"/>
        <rFont val="Arial Narrow"/>
        <family val="2"/>
      </rPr>
      <t xml:space="preserve"> Receptar las solicitudes de consulta de documentos.
</t>
    </r>
    <r>
      <rPr>
        <b/>
        <sz val="9"/>
        <color theme="1"/>
        <rFont val="Century Schoolbook"/>
        <family val="1"/>
      </rPr>
      <t>2.-</t>
    </r>
    <r>
      <rPr>
        <sz val="10"/>
        <color theme="1"/>
        <rFont val="Arial Narrow"/>
        <family val="2"/>
      </rPr>
      <t xml:space="preserve"> Entregar la documentación al solicitante.</t>
    </r>
  </si>
  <si>
    <r>
      <rPr>
        <b/>
        <sz val="9"/>
        <color theme="1"/>
        <rFont val="Century Schoolbook"/>
        <family val="1"/>
      </rPr>
      <t>1.-</t>
    </r>
    <r>
      <rPr>
        <sz val="10"/>
        <color theme="1"/>
        <rFont val="Arial Narrow"/>
        <family val="2"/>
      </rPr>
      <t xml:space="preserve"> Registro de servicio de consulta de documentos.</t>
    </r>
  </si>
  <si>
    <r>
      <rPr>
        <sz val="10"/>
        <color theme="1"/>
        <rFont val="Arial Narrow"/>
        <family val="2"/>
      </rPr>
      <t>* Tclgo. Andrés Castillo Cruz,
  Técnico de Gestión Documental y Archivo                                             
* Lic. Maira Ramírez Apolo, Analista de Gestión Documental y Archivo                                               * ing. Roxana Sánch</t>
    </r>
    <r>
      <rPr>
        <i/>
        <sz val="10"/>
        <color theme="1"/>
        <rFont val="Arial Narrow"/>
        <family val="2"/>
      </rPr>
      <t>e</t>
    </r>
    <r>
      <rPr>
        <sz val="10"/>
        <color theme="1"/>
        <rFont val="Arial Narrow"/>
        <family val="2"/>
      </rPr>
      <t>z Liendres,
  Jefe de Unidad de Gestión Documental y Archivo</t>
    </r>
  </si>
  <si>
    <r>
      <rPr>
        <b/>
        <sz val="9"/>
        <color theme="1"/>
        <rFont val="Century Schoolbook"/>
        <family val="1"/>
      </rPr>
      <t>7.-</t>
    </r>
    <r>
      <rPr>
        <sz val="10"/>
        <color theme="1"/>
        <rFont val="Arial Narrow"/>
        <family val="2"/>
      </rPr>
      <t xml:space="preserve"> Difundir el Patrimonio documental en el portal web institucional.</t>
    </r>
  </si>
  <si>
    <t>Patrimonio documental difundido.</t>
  </si>
  <si>
    <t>N° de difusiones realizadas en la página web.</t>
  </si>
  <si>
    <r>
      <rPr>
        <b/>
        <sz val="9"/>
        <color theme="1"/>
        <rFont val="Century Schoolbook"/>
        <family val="1"/>
      </rPr>
      <t>1.-</t>
    </r>
    <r>
      <rPr>
        <sz val="10"/>
        <color theme="1"/>
        <rFont val="Arial Narrow"/>
        <family val="2"/>
      </rPr>
      <t xml:space="preserve"> Elaborar el material de la difusión.
</t>
    </r>
    <r>
      <rPr>
        <b/>
        <sz val="9"/>
        <color theme="1"/>
        <rFont val="Century Schoolbook"/>
        <family val="1"/>
      </rPr>
      <t>2.-</t>
    </r>
    <r>
      <rPr>
        <sz val="10"/>
        <color theme="1"/>
        <rFont val="Arial Narrow"/>
        <family val="2"/>
      </rPr>
      <t xml:space="preserve"> Remitir la información para su publicación en el portal web institucional.</t>
    </r>
  </si>
  <si>
    <r>
      <rPr>
        <b/>
        <sz val="9"/>
        <color theme="1"/>
        <rFont val="Century Schoolbook"/>
        <family val="1"/>
      </rPr>
      <t>1.-</t>
    </r>
    <r>
      <rPr>
        <sz val="10"/>
        <color theme="1"/>
        <rFont val="Arial Narrow"/>
        <family val="2"/>
      </rPr>
      <t xml:space="preserve"> Memoria gráfica de la difusión del patrimonio documental en el portal web institucional.</t>
    </r>
  </si>
  <si>
    <t>* Tclgo. Andrés Castillo Cruz,
  Técnico de Documentación y Archivo
* Ing. Roxana Sánchez Liendres,
 Jefe de Unidad de Gestión Documental y Archivo</t>
  </si>
  <si>
    <r>
      <rPr>
        <b/>
        <sz val="9"/>
        <color theme="1"/>
        <rFont val="Century Schoolbook"/>
        <family val="1"/>
      </rPr>
      <t>8.-</t>
    </r>
    <r>
      <rPr>
        <sz val="10"/>
        <color theme="1"/>
        <rFont val="Arial Narrow"/>
        <family val="2"/>
      </rPr>
      <t xml:space="preserve"> Entregar la Planificación Operativa Anual y la Evaluación de la Planificación Operativa Anual.</t>
    </r>
  </si>
  <si>
    <r>
      <rPr>
        <b/>
        <sz val="9"/>
        <color theme="1"/>
        <rFont val="Century Schoolbook"/>
        <family val="1"/>
      </rPr>
      <t>1.-</t>
    </r>
    <r>
      <rPr>
        <sz val="10"/>
        <color theme="1"/>
        <rFont val="Arial Narrow"/>
        <family val="2"/>
      </rPr>
      <t xml:space="preserve"> POA </t>
    </r>
    <r>
      <rPr>
        <sz val="10"/>
        <color theme="1"/>
        <rFont val="Century Schoolbook"/>
        <family val="1"/>
      </rPr>
      <t>2024.</t>
    </r>
    <r>
      <rPr>
        <sz val="10"/>
        <color theme="1"/>
        <rFont val="Arial Narrow"/>
        <family val="2"/>
      </rPr>
      <t xml:space="preserve">
</t>
    </r>
    <r>
      <rPr>
        <b/>
        <sz val="9"/>
        <color theme="1"/>
        <rFont val="Century Schoolbook"/>
        <family val="1"/>
      </rPr>
      <t>2.-</t>
    </r>
    <r>
      <rPr>
        <sz val="10"/>
        <color theme="1"/>
        <rFont val="Arial Narrow"/>
        <family val="2"/>
      </rPr>
      <t xml:space="preserve"> Evaluación del POA </t>
    </r>
    <r>
      <rPr>
        <sz val="10"/>
        <color theme="1"/>
        <rFont val="Century Schoolbook"/>
        <family val="1"/>
      </rPr>
      <t>2023.</t>
    </r>
  </si>
  <si>
    <t>* Tcnlga. Piedad Chamba Castro
  Técnico de  Gestión Documental y Archivo
* Tnlgo. Carlos Castillo Cruz,
  Técnico de Gestión Documental y Archivo
* Lic. Maira Ramírez Apolo,               Analista de Gestión Documental y Archivo                                             * Ing. Roxana Sánchez Liendres,  Jefe de Unidad de Gestión Documental y Archivo</t>
  </si>
  <si>
    <r>
      <rPr>
        <b/>
        <sz val="9"/>
        <color theme="1"/>
        <rFont val="Century Schoolbook"/>
        <family val="1"/>
      </rPr>
      <t>9.-</t>
    </r>
    <r>
      <rPr>
        <sz val="10"/>
        <color theme="1"/>
        <rFont val="Arial Narrow"/>
        <family val="2"/>
      </rPr>
      <t xml:space="preserve"> Organización del Archivo de Gestión.</t>
    </r>
  </si>
  <si>
    <t>* Tcnlga. Piedad Chamba Castro      Técnico de Gestión Documental y Archivo</t>
  </si>
  <si>
    <r>
      <rPr>
        <b/>
        <sz val="9"/>
        <color theme="1"/>
        <rFont val="Century Schoolbook"/>
        <family val="1"/>
      </rPr>
      <t>10.-</t>
    </r>
    <r>
      <rPr>
        <sz val="10"/>
        <color theme="1"/>
        <rFont val="Arial Narrow"/>
        <family val="2"/>
      </rPr>
      <t xml:space="preserve"> Organización del Archivo General.</t>
    </r>
  </si>
  <si>
    <t>Archivo General organizado.</t>
  </si>
  <si>
    <t>* Tclgo. Andrés Castillo Cruz,
  Técnico de Gestión Documental y Archivo</t>
  </si>
  <si>
    <t>DPLAN: Se reforma parcialmente los egresos en el grupo 84 por superar el 20% del máximo disponible para egresos en el grupo 84 del Clasificador Presupuestario.</t>
  </si>
  <si>
    <t>Deshumidificador</t>
  </si>
  <si>
    <t xml:space="preserve">Aspiradora </t>
  </si>
  <si>
    <t>Cerraduras biométricas para oficinas con huella digital</t>
  </si>
  <si>
    <t>TOTAL PRESUPUESTO ESTIMATIVO UNIDAD DE GESTIÓN DOCUMENTAL Y ARCHIVO 2023:</t>
  </si>
  <si>
    <t>Elaborado por:</t>
  </si>
  <si>
    <t>Ab. Gerardo Fernández, Secretario General; Lic. Jessy Jarre Coello, Analista de Actas y Resoluciones; Ing. Roxana Sánchez Liendres, Jefe de Archivo General</t>
  </si>
  <si>
    <t>Fecha:</t>
  </si>
  <si>
    <t>13 de septiembre de 2022</t>
  </si>
  <si>
    <t>Maquinaria y Equipos</t>
  </si>
  <si>
    <r>
      <t xml:space="preserve">FUENTE </t>
    </r>
    <r>
      <rPr>
        <sz val="11"/>
        <color theme="1"/>
        <rFont val="Century Schoolbook"/>
        <family val="1"/>
      </rPr>
      <t>202</t>
    </r>
  </si>
  <si>
    <t>DIRECCIÓN DE PLANIFICACIÓN</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</si>
  <si>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Coordinar el Proceso de diseño y/o actualización de la planificación estratégica institucional.</t>
    </r>
  </si>
  <si>
    <t>Planificación estratégica institucional implementada.</t>
  </si>
  <si>
    <t>N° de difusiones de la actualización de la Planificación Estratégica de Desarrollo Institucional.</t>
  </si>
  <si>
    <r>
      <rPr>
        <b/>
        <sz val="9"/>
        <color theme="1"/>
        <rFont val="Century Schoolbook"/>
        <family val="1"/>
      </rPr>
      <t>1.-</t>
    </r>
    <r>
      <rPr>
        <sz val="10"/>
        <color theme="1"/>
        <rFont val="Arial Narrow"/>
        <family val="2"/>
      </rPr>
      <t xml:space="preserve"> Organizar la socialización y difusión de la actualización de la Planificación Estratégica de Desarrollo Institucional.
</t>
    </r>
    <r>
      <rPr>
        <b/>
        <sz val="9"/>
        <color theme="1"/>
        <rFont val="Century Schoolbook"/>
        <family val="1"/>
      </rPr>
      <t>2.-</t>
    </r>
    <r>
      <rPr>
        <sz val="10"/>
        <color theme="1"/>
        <rFont val="Arial Narrow"/>
        <family val="2"/>
      </rPr>
      <t xml:space="preserve"> Ejecutar las acciones de socialización y difusión de la actualización de la Planificación Estratégica de Desarrollo Institucional.
</t>
    </r>
    <r>
      <rPr>
        <b/>
        <sz val="9"/>
        <color theme="1"/>
        <rFont val="Century Schoolbook"/>
        <family val="1"/>
      </rPr>
      <t>3.-</t>
    </r>
    <r>
      <rPr>
        <sz val="10"/>
        <color theme="1"/>
        <rFont val="Arial Narrow"/>
        <family val="2"/>
      </rPr>
      <t xml:space="preserve"> Diseñar matriz de articulación de metas POA y PEDI </t>
    </r>
    <r>
      <rPr>
        <sz val="10"/>
        <color theme="1"/>
        <rFont val="Century Schoolbook"/>
        <family val="1"/>
      </rPr>
      <t>2021-2024</t>
    </r>
    <r>
      <rPr>
        <sz val="10"/>
        <color theme="1"/>
        <rFont val="Arial Narrow"/>
        <family val="2"/>
      </rPr>
      <t xml:space="preserve">, con el POA </t>
    </r>
    <r>
      <rPr>
        <sz val="10"/>
        <color theme="1"/>
        <rFont val="Century Schoolbook"/>
        <family val="1"/>
      </rPr>
      <t>2023.</t>
    </r>
  </si>
  <si>
    <r>
      <rPr>
        <b/>
        <sz val="9"/>
        <color rgb="FF000000"/>
        <rFont val="Century"/>
      </rPr>
      <t>1.-</t>
    </r>
    <r>
      <rPr>
        <sz val="10"/>
        <color rgb="FF000000"/>
        <rFont val="Arial Narrow"/>
      </rPr>
      <t xml:space="preserve"> Convocatorias a los actos de socialización y difusión de la actualización de la Planificación Estratégica Institucional.
</t>
    </r>
    <r>
      <rPr>
        <b/>
        <sz val="9"/>
        <color rgb="FF000000"/>
        <rFont val="Century"/>
      </rPr>
      <t>2.-</t>
    </r>
    <r>
      <rPr>
        <sz val="10"/>
        <color rgb="FF000000"/>
        <rFont val="Arial Narrow"/>
      </rPr>
      <t xml:space="preserve"> Memoria de los actos de socialización y difusión de la actualización de la Planificación Estratégica Institucional.
</t>
    </r>
    <r>
      <rPr>
        <b/>
        <sz val="9"/>
        <color rgb="FF000000"/>
        <rFont val="Century"/>
      </rPr>
      <t>3.-</t>
    </r>
    <r>
      <rPr>
        <sz val="10"/>
        <color rgb="FF000000"/>
        <rFont val="Arial Narrow"/>
      </rPr>
      <t xml:space="preserve"> Diseño de matriz de articulación de metas POA </t>
    </r>
    <r>
      <rPr>
        <sz val="10"/>
        <color rgb="FF000000"/>
        <rFont val="Century"/>
      </rPr>
      <t>2023</t>
    </r>
    <r>
      <rPr>
        <sz val="10"/>
        <color rgb="FF000000"/>
        <rFont val="Arial Narrow"/>
      </rPr>
      <t xml:space="preserve"> al PEDI.</t>
    </r>
  </si>
  <si>
    <t>* Abg. Oscar Sánchez López,
  Director de Planificación
* Lcda. Elizabeth Brito Arias,
  Analista de Planificación</t>
  </si>
  <si>
    <r>
      <rPr>
        <sz val="10"/>
        <color rgb="FF000000"/>
        <rFont val="Arial Narrow"/>
      </rPr>
      <t xml:space="preserve">Difusión de la actualización del Plan Estratégico Institucional debido a que se planifica la actualización para el III cuatrimestre del </t>
    </r>
    <r>
      <rPr>
        <sz val="10"/>
        <color rgb="FF000000"/>
        <rFont val="Century"/>
      </rPr>
      <t>2022.</t>
    </r>
  </si>
  <si>
    <t>Impresión de folletos</t>
  </si>
  <si>
    <t>Mobiliario</t>
  </si>
  <si>
    <t xml:space="preserve">Adquisición de mobiliario </t>
  </si>
  <si>
    <t>202</t>
  </si>
  <si>
    <r>
      <rPr>
        <b/>
        <sz val="9"/>
        <color theme="1"/>
        <rFont val="Century Schoolbook"/>
        <family val="1"/>
      </rPr>
      <t>2.-</t>
    </r>
    <r>
      <rPr>
        <sz val="10"/>
        <color theme="1"/>
        <rFont val="Arial Narrow"/>
        <family val="2"/>
      </rPr>
      <t xml:space="preserve"> Consolidar y Validar la Planificación operativa anual y sus ajustes, con base a la programación de necesidades de recursos.</t>
    </r>
  </si>
  <si>
    <t xml:space="preserve">Planificación operativa anual y sus ajustes, con base a la programación de necesidades de recursos, consolidada y validada. </t>
  </si>
  <si>
    <t>N° de planes operativos anuales validados y aprobados.</t>
  </si>
  <si>
    <r>
      <rPr>
        <b/>
        <sz val="9"/>
        <color theme="1"/>
        <rFont val="Century Schoolbook"/>
        <family val="1"/>
      </rPr>
      <t>1.-</t>
    </r>
    <r>
      <rPr>
        <sz val="10"/>
        <color theme="1"/>
        <rFont val="Arial Narrow"/>
        <family val="2"/>
      </rPr>
      <t xml:space="preserve"> Emitir Directrices para la elaboración del POA </t>
    </r>
    <r>
      <rPr>
        <sz val="10"/>
        <color theme="1"/>
        <rFont val="Century Schoolbook"/>
        <family val="1"/>
      </rPr>
      <t>2024</t>
    </r>
    <r>
      <rPr>
        <sz val="10"/>
        <color theme="1"/>
        <rFont val="Arial Narrow"/>
        <family val="2"/>
      </rPr>
      <t xml:space="preserve"> acorde a la actualización del Plan Estratégico de Deaarrollo Institucional.
</t>
    </r>
    <r>
      <rPr>
        <b/>
        <sz val="9"/>
        <color theme="1"/>
        <rFont val="Century Schoolbook"/>
        <family val="1"/>
      </rPr>
      <t>2.-</t>
    </r>
    <r>
      <rPr>
        <sz val="10"/>
        <color theme="1"/>
        <rFont val="Arial Narrow"/>
        <family val="2"/>
      </rPr>
      <t xml:space="preserve"> Emitir directrices para el proceso de revisión del POA </t>
    </r>
    <r>
      <rPr>
        <sz val="10"/>
        <color theme="1"/>
        <rFont val="Century Schoolbook"/>
        <family val="1"/>
      </rPr>
      <t>2024.</t>
    </r>
    <r>
      <rPr>
        <sz val="10"/>
        <color theme="1"/>
        <rFont val="Arial Narrow"/>
        <family val="2"/>
      </rPr>
      <t xml:space="preserve">
</t>
    </r>
    <r>
      <rPr>
        <b/>
        <sz val="9"/>
        <color theme="1"/>
        <rFont val="Century Schoolbook"/>
        <family val="1"/>
      </rPr>
      <t>3.-</t>
    </r>
    <r>
      <rPr>
        <sz val="10"/>
        <color theme="1"/>
        <rFont val="Arial Narrow"/>
        <family val="2"/>
      </rPr>
      <t xml:space="preserve"> Realizar la validación de los POA </t>
    </r>
    <r>
      <rPr>
        <sz val="10"/>
        <color theme="1"/>
        <rFont val="Century Schoolbook"/>
        <family val="1"/>
      </rPr>
      <t>2024</t>
    </r>
    <r>
      <rPr>
        <sz val="10"/>
        <color theme="1"/>
        <rFont val="Arial Narrow"/>
        <family val="2"/>
      </rPr>
      <t xml:space="preserve"> revisados.
</t>
    </r>
    <r>
      <rPr>
        <b/>
        <sz val="9"/>
        <color theme="1"/>
        <rFont val="Century Schoolbook"/>
        <family val="1"/>
      </rPr>
      <t>4.-</t>
    </r>
    <r>
      <rPr>
        <sz val="10"/>
        <color theme="1"/>
        <rFont val="Arial Narrow"/>
        <family val="2"/>
      </rPr>
      <t xml:space="preserve"> Gestionar la aprobación de los POA </t>
    </r>
    <r>
      <rPr>
        <sz val="10"/>
        <color theme="1"/>
        <rFont val="Century Schoolbook"/>
        <family val="1"/>
      </rPr>
      <t>2024.</t>
    </r>
  </si>
  <si>
    <r>
      <rPr>
        <b/>
        <sz val="9"/>
        <color rgb="FF000000"/>
        <rFont val="Century"/>
      </rPr>
      <t>1.-</t>
    </r>
    <r>
      <rPr>
        <sz val="10"/>
        <color rgb="FF000000"/>
        <rFont val="Arial Narrow"/>
      </rPr>
      <t xml:space="preserve"> Directrices para la elaboración del POA </t>
    </r>
    <r>
      <rPr>
        <sz val="10"/>
        <color rgb="FF000000"/>
        <rFont val="Century"/>
      </rPr>
      <t xml:space="preserve">2024.
</t>
    </r>
    <r>
      <rPr>
        <b/>
        <sz val="9"/>
        <color rgb="FF000000"/>
        <rFont val="Century"/>
      </rPr>
      <t>2.-</t>
    </r>
    <r>
      <rPr>
        <sz val="10"/>
        <color rgb="FF000000"/>
        <rFont val="Arial Narrow"/>
      </rPr>
      <t xml:space="preserve"> Matriz de validación del POA </t>
    </r>
    <r>
      <rPr>
        <sz val="9"/>
        <color rgb="FF000000"/>
        <rFont val="Century"/>
      </rPr>
      <t>2024</t>
    </r>
    <r>
      <rPr>
        <sz val="10"/>
        <color rgb="FF000000"/>
        <rFont val="Arial Narrow"/>
      </rPr>
      <t xml:space="preserve"> a nivel institucional.
</t>
    </r>
    <r>
      <rPr>
        <b/>
        <sz val="9"/>
        <color rgb="FF000000"/>
        <rFont val="Century"/>
      </rPr>
      <t>3.-</t>
    </r>
    <r>
      <rPr>
        <sz val="10"/>
        <color rgb="FF000000"/>
        <rFont val="Arial Narrow"/>
      </rPr>
      <t xml:space="preserve"> Resolución de Aprobación del POA </t>
    </r>
    <r>
      <rPr>
        <sz val="10"/>
        <color rgb="FF000000"/>
        <rFont val="Century"/>
      </rPr>
      <t>2024.</t>
    </r>
  </si>
  <si>
    <r>
      <rPr>
        <sz val="10"/>
        <color rgb="FF000000"/>
        <rFont val="Arial Narrow"/>
        <family val="2"/>
      </rPr>
      <t xml:space="preserve">* Abg. Oscar Sánchez López
  Director de Planificación
* Econ. Paola Apolo Silva,
  Jefa de Planificación, Evaluación y Seguimiento
* Econ. Fanny Basilio Banchón,
  Analista de Formulación y Control Presupuestario
</t>
    </r>
    <r>
      <rPr>
        <sz val="10"/>
        <color rgb="FFFF0000"/>
        <rFont val="Arial Narrow"/>
        <family val="2"/>
      </rPr>
      <t xml:space="preserve">  </t>
    </r>
    <r>
      <rPr>
        <sz val="10"/>
        <color rgb="FF000000"/>
        <rFont val="Arial Narrow"/>
        <family val="2"/>
      </rPr>
      <t>* Lcda. Elizabeth Brito Arias,
  Analista de Planificación</t>
    </r>
  </si>
  <si>
    <t>Tasas Generales, Impuestos, Contribuciones, Permisos, Licencias y Patentes</t>
  </si>
  <si>
    <r>
      <rPr>
        <sz val="10"/>
        <color rgb="FF000000"/>
        <rFont val="Arial Narrow"/>
      </rPr>
      <t xml:space="preserve">Recepción de los </t>
    </r>
    <r>
      <rPr>
        <sz val="10"/>
        <color rgb="FF000000"/>
        <rFont val="Century"/>
      </rPr>
      <t xml:space="preserve">26 </t>
    </r>
    <r>
      <rPr>
        <sz val="10"/>
        <color rgb="FF000000"/>
        <rFont val="Arial Narrow"/>
      </rPr>
      <t>Planes Operativos Anuales correspondientes a las Unidades Administrativas y Académicas.</t>
    </r>
  </si>
  <si>
    <t>Permisos de anteproyecto de la adecuación de las carreras de Medicina y Artes Plásticas</t>
  </si>
  <si>
    <r>
      <rPr>
        <b/>
        <sz val="9"/>
        <color theme="1"/>
        <rFont val="Century Schoolbook"/>
        <family val="1"/>
      </rPr>
      <t>3.-</t>
    </r>
    <r>
      <rPr>
        <sz val="10"/>
        <color theme="1"/>
        <rFont val="Arial Narrow"/>
        <family val="2"/>
      </rPr>
      <t xml:space="preserve"> Gestionar la priorización del Plan Anual de Inversiones.</t>
    </r>
  </si>
  <si>
    <t>Priorización del Plan Anual de Inversiones gestionada.</t>
  </si>
  <si>
    <t>N° de priorizaciones de proyectos de inversión gestionados.</t>
  </si>
  <si>
    <r>
      <rPr>
        <b/>
        <sz val="9"/>
        <color theme="1"/>
        <rFont val="Century Schoolbook"/>
        <family val="1"/>
      </rPr>
      <t>1.-</t>
    </r>
    <r>
      <rPr>
        <sz val="10"/>
        <color theme="1"/>
        <rFont val="Arial Narrow"/>
        <family val="2"/>
      </rPr>
      <t xml:space="preserve"> Convocar la actualización y/o presentación de proyectos de inversión.
</t>
    </r>
    <r>
      <rPr>
        <b/>
        <sz val="9"/>
        <color theme="1"/>
        <rFont val="Century Schoolbook"/>
        <family val="1"/>
      </rPr>
      <t>2.-</t>
    </r>
    <r>
      <rPr>
        <sz val="10"/>
        <color theme="1"/>
        <rFont val="Arial Narrow"/>
        <family val="2"/>
      </rPr>
      <t xml:space="preserve"> Revisar y validar los proyectos de inversión que cumplan con los requisitos legales y técnicos de acuerdo a las Directrices de la Secretaría Nacional de Planificación.
</t>
    </r>
    <r>
      <rPr>
        <b/>
        <sz val="9"/>
        <color theme="1"/>
        <rFont val="Century Schoolbook"/>
        <family val="1"/>
      </rPr>
      <t>3.-</t>
    </r>
    <r>
      <rPr>
        <sz val="10"/>
        <color theme="1"/>
        <rFont val="Arial Narrow"/>
        <family val="2"/>
      </rPr>
      <t xml:space="preserve"> Gestionar la postulación de los proyectos de inversión ante la SNP a través del SIPeIP ante el Consejo Universitario.
</t>
    </r>
    <r>
      <rPr>
        <b/>
        <sz val="9"/>
        <color theme="1"/>
        <rFont val="Century Schoolbook"/>
        <family val="1"/>
      </rPr>
      <t>4.-</t>
    </r>
    <r>
      <rPr>
        <sz val="10"/>
        <color theme="1"/>
        <rFont val="Arial Narrow"/>
        <family val="2"/>
      </rPr>
      <t xml:space="preserve"> Gestionar la priorización de los proyectos de inversión del PAI </t>
    </r>
    <r>
      <rPr>
        <sz val="10"/>
        <color theme="1"/>
        <rFont val="Century Schoolbook"/>
        <family val="1"/>
      </rPr>
      <t>2023.</t>
    </r>
    <r>
      <rPr>
        <sz val="10"/>
        <color theme="1"/>
        <rFont val="Arial Narrow"/>
        <family val="2"/>
      </rPr>
      <t xml:space="preserve">
</t>
    </r>
    <r>
      <rPr>
        <b/>
        <sz val="9"/>
        <color theme="1"/>
        <rFont val="Century Schoolbook"/>
        <family val="1"/>
      </rPr>
      <t>5.-</t>
    </r>
    <r>
      <rPr>
        <sz val="10"/>
        <color theme="1"/>
        <rFont val="Arial Narrow"/>
        <family val="2"/>
      </rPr>
      <t xml:space="preserve"> Elaborar plan anual de inversiones </t>
    </r>
    <r>
      <rPr>
        <sz val="10"/>
        <color theme="1"/>
        <rFont val="Century Schoolbook"/>
        <family val="1"/>
      </rPr>
      <t>2024.</t>
    </r>
  </si>
  <si>
    <r>
      <rPr>
        <b/>
        <sz val="9"/>
        <color rgb="FF000000"/>
        <rFont val="Century"/>
      </rPr>
      <t>1.-</t>
    </r>
    <r>
      <rPr>
        <sz val="10"/>
        <color rgb="FF000000"/>
        <rFont val="Arial Narrow"/>
      </rPr>
      <t xml:space="preserve"> Matriz de priorización de proyectos de inversión PAI </t>
    </r>
    <r>
      <rPr>
        <sz val="10"/>
        <color rgb="FF000000"/>
        <rFont val="Century"/>
      </rPr>
      <t xml:space="preserve">2023.
</t>
    </r>
    <r>
      <rPr>
        <b/>
        <sz val="9"/>
        <color rgb="FF000000"/>
        <rFont val="Century"/>
      </rPr>
      <t>2.-</t>
    </r>
    <r>
      <rPr>
        <sz val="10"/>
        <color rgb="FF000000"/>
        <rFont val="Arial Narrow"/>
      </rPr>
      <t xml:space="preserve"> Resolución de aprobación de la priorización de los proyectos de inversión del PAI </t>
    </r>
    <r>
      <rPr>
        <sz val="10"/>
        <color rgb="FF000000"/>
        <rFont val="Century"/>
      </rPr>
      <t xml:space="preserve">2023.
</t>
    </r>
    <r>
      <rPr>
        <b/>
        <sz val="9"/>
        <color rgb="FF000000"/>
        <rFont val="Century"/>
      </rPr>
      <t>3.-</t>
    </r>
    <r>
      <rPr>
        <sz val="10"/>
        <color rgb="FF000000"/>
        <rFont val="Arial Narrow"/>
      </rPr>
      <t xml:space="preserve"> Matriz de proforma del Plan Anual de Inversiones </t>
    </r>
    <r>
      <rPr>
        <sz val="10"/>
        <color rgb="FF000000"/>
        <rFont val="Century"/>
      </rPr>
      <t>2024.</t>
    </r>
  </si>
  <si>
    <t>* Abg. Oscar Sánchez López,
  Director de Planificación
* Econ. Paola Apolo Silva
  Jefa de Planificación, Evaluación y Seguimiento
* Econ. Fanny Basilio Banchón,
  Analista de Formulación y Control Presupuestario
* Lcda. Elizabeth Brito Arias,
  Analista de Planificación</t>
  </si>
  <si>
    <t>Priorización de los proyectos de inversión realizada en el primer cuatrimestre del 2023.
* El valor de $669.241,99 serán asignados a un proyecto de investigación.</t>
  </si>
  <si>
    <r>
      <rPr>
        <b/>
        <sz val="9"/>
        <color theme="1"/>
        <rFont val="Century Schoolbook"/>
        <family val="1"/>
      </rPr>
      <t>4.-</t>
    </r>
    <r>
      <rPr>
        <sz val="10"/>
        <color theme="1"/>
        <rFont val="Arial Narrow"/>
        <family val="2"/>
      </rPr>
      <t xml:space="preserve"> Gestionar requerimientos de información para el registro de la planificación plurianual de la política pública y/o Programación Anual de la Planificación.</t>
    </r>
  </si>
  <si>
    <t>Planificación plurianual de la política pública y/o Programación Anual de la Planificación registrada.</t>
  </si>
  <si>
    <t>N° de procesos de registro de la planificación plurianual de la política pública y/o programación anual de la planificación gestionados.</t>
  </si>
  <si>
    <r>
      <rPr>
        <b/>
        <sz val="9"/>
        <color theme="1"/>
        <rFont val="Century Schoolbook"/>
        <family val="1"/>
      </rPr>
      <t>1.-</t>
    </r>
    <r>
      <rPr>
        <sz val="10"/>
        <color theme="1"/>
        <rFont val="Arial Narrow"/>
        <family val="2"/>
      </rPr>
      <t xml:space="preserve"> Determinar la información a solicitar y los responsables de las metas PPPP y PAP.
</t>
    </r>
    <r>
      <rPr>
        <b/>
        <sz val="9"/>
        <color theme="1"/>
        <rFont val="Century Schoolbook"/>
        <family val="1"/>
      </rPr>
      <t>2.-</t>
    </r>
    <r>
      <rPr>
        <sz val="10"/>
        <color theme="1"/>
        <rFont val="Arial Narrow"/>
        <family val="2"/>
      </rPr>
      <t xml:space="preserve"> Solicitar la información de la PPPP y PAP a los responsables y registrarla en el SIPeIP.
</t>
    </r>
    <r>
      <rPr>
        <b/>
        <sz val="9"/>
        <color theme="1"/>
        <rFont val="Century Schoolbook"/>
        <family val="1"/>
      </rPr>
      <t>3.-</t>
    </r>
    <r>
      <rPr>
        <sz val="10"/>
        <color theme="1"/>
        <rFont val="Arial Narrow"/>
        <family val="2"/>
      </rPr>
      <t xml:space="preserve"> Validar y enviar la información registrada en el SIPeIP respecto de la PPPP y PAP.
</t>
    </r>
    <r>
      <rPr>
        <b/>
        <sz val="9"/>
        <color theme="1"/>
        <rFont val="Century Schoolbook"/>
        <family val="1"/>
      </rPr>
      <t>4.-</t>
    </r>
    <r>
      <rPr>
        <sz val="10"/>
        <color theme="1"/>
        <rFont val="Arial Narrow"/>
        <family val="2"/>
      </rPr>
      <t xml:space="preserve"> Notificar a la máxima autoridad sobre el cumplimiento del proceso.</t>
    </r>
  </si>
  <si>
    <r>
      <rPr>
        <b/>
        <sz val="9"/>
        <color rgb="FF000000"/>
        <rFont val="Century"/>
      </rPr>
      <t>1.-</t>
    </r>
    <r>
      <rPr>
        <sz val="10"/>
        <color rgb="FF000000"/>
        <rFont val="Arial Narrow"/>
      </rPr>
      <t xml:space="preserve"> Notificación a la máxima autoridad sobre el cumplimiento del proceso.</t>
    </r>
  </si>
  <si>
    <r>
      <rPr>
        <b/>
        <sz val="9"/>
        <color theme="1"/>
        <rFont val="Century Schoolbook"/>
        <family val="1"/>
      </rPr>
      <t>5.-</t>
    </r>
    <r>
      <rPr>
        <b/>
        <sz val="10"/>
        <color theme="1"/>
        <rFont val="Arial Narrow"/>
        <family val="2"/>
      </rPr>
      <t xml:space="preserve"> </t>
    </r>
    <r>
      <rPr>
        <sz val="10"/>
        <color theme="1"/>
        <rFont val="Arial Narrow"/>
        <family val="2"/>
      </rPr>
      <t>Evaluar planes, programas y proyectos.</t>
    </r>
  </si>
  <si>
    <t>Planes, programas y proyectos evaluados.</t>
  </si>
  <si>
    <t>N° de procesos de evaluación de planes, programas y proyectos evaluados.</t>
  </si>
  <si>
    <r>
      <rPr>
        <b/>
        <sz val="9"/>
        <color theme="1"/>
        <rFont val="Century Schoolbook"/>
        <family val="1"/>
      </rPr>
      <t>1.-</t>
    </r>
    <r>
      <rPr>
        <sz val="10"/>
        <color theme="1"/>
        <rFont val="Arial Narrow"/>
        <family val="2"/>
      </rPr>
      <t xml:space="preserve"> Organizar el proceso de seguimiento, evaluación de planes programas y proyectos relacionados con el Plan Operativo Anual </t>
    </r>
    <r>
      <rPr>
        <sz val="10"/>
        <color theme="1"/>
        <rFont val="Century Schoolbook"/>
        <family val="1"/>
      </rPr>
      <t>2023 (1</t>
    </r>
    <r>
      <rPr>
        <sz val="10"/>
        <color theme="1"/>
        <rFont val="Arial Narrow"/>
        <family val="2"/>
      </rPr>
      <t xml:space="preserve"> seguimiento); Plan Operativo Anual (</t>
    </r>
    <r>
      <rPr>
        <sz val="10"/>
        <color theme="1"/>
        <rFont val="Century Schoolbook"/>
        <family val="1"/>
      </rPr>
      <t>1</t>
    </r>
    <r>
      <rPr>
        <sz val="10"/>
        <color theme="1"/>
        <rFont val="Arial Narrow"/>
        <family val="2"/>
      </rPr>
      <t xml:space="preserve"> evaluación); Plan Anual de Inversiones (</t>
    </r>
    <r>
      <rPr>
        <sz val="10"/>
        <color theme="1"/>
        <rFont val="Century Schoolbook"/>
        <family val="1"/>
      </rPr>
      <t>1</t>
    </r>
    <r>
      <rPr>
        <sz val="10"/>
        <color theme="1"/>
        <rFont val="Arial Narrow"/>
        <family val="2"/>
      </rPr>
      <t>) y Rendición Anual de Cuentas (</t>
    </r>
    <r>
      <rPr>
        <sz val="10"/>
        <color theme="1"/>
        <rFont val="Century Schoolbook"/>
        <family val="1"/>
      </rPr>
      <t>1</t>
    </r>
    <r>
      <rPr>
        <sz val="10"/>
        <color theme="1"/>
        <rFont val="Arial Narrow"/>
        <family val="2"/>
      </rPr>
      <t xml:space="preserve">).
</t>
    </r>
    <r>
      <rPr>
        <b/>
        <sz val="9"/>
        <color theme="1"/>
        <rFont val="Century Schoolbook"/>
        <family val="1"/>
      </rPr>
      <t>2.-</t>
    </r>
    <r>
      <rPr>
        <sz val="10"/>
        <color theme="1"/>
        <rFont val="Arial Narrow"/>
        <family val="2"/>
      </rPr>
      <t xml:space="preserve"> Efectuar la validación de los resultados de evaluación, seguimiento y monitoreo. 
</t>
    </r>
    <r>
      <rPr>
        <b/>
        <sz val="9"/>
        <color theme="1"/>
        <rFont val="Century Schoolbook"/>
        <family val="1"/>
      </rPr>
      <t>3.-</t>
    </r>
    <r>
      <rPr>
        <sz val="10"/>
        <color theme="1"/>
        <rFont val="Arial Narrow"/>
        <family val="2"/>
      </rPr>
      <t xml:space="preserve"> Informar los resultados de los procesos de evaluación de planes, programas y proyectos.</t>
    </r>
  </si>
  <si>
    <r>
      <rPr>
        <b/>
        <sz val="9"/>
        <color rgb="FF000000"/>
        <rFont val="Century"/>
      </rPr>
      <t>1.-</t>
    </r>
    <r>
      <rPr>
        <sz val="10"/>
        <color rgb="FF000000"/>
        <rFont val="Arial Narrow"/>
      </rPr>
      <t xml:space="preserve"> Informe del seguimiento cuatrimestral al POA </t>
    </r>
    <r>
      <rPr>
        <sz val="10"/>
        <color rgb="FF000000"/>
        <rFont val="Century"/>
      </rPr>
      <t xml:space="preserve">2023.
</t>
    </r>
    <r>
      <rPr>
        <b/>
        <sz val="9"/>
        <color rgb="FF000000"/>
        <rFont val="Century"/>
      </rPr>
      <t>2.-</t>
    </r>
    <r>
      <rPr>
        <sz val="10"/>
        <color rgb="FF000000"/>
        <rFont val="Arial Narrow"/>
      </rPr>
      <t xml:space="preserve"> Informe del seguimiento al Plan Anual de inversiones </t>
    </r>
    <r>
      <rPr>
        <sz val="10"/>
        <color rgb="FF000000"/>
        <rFont val="Century"/>
      </rPr>
      <t xml:space="preserve">2023.
</t>
    </r>
    <r>
      <rPr>
        <b/>
        <sz val="9"/>
        <color rgb="FF000000"/>
        <rFont val="Century"/>
      </rPr>
      <t>3.-</t>
    </r>
    <r>
      <rPr>
        <sz val="10"/>
        <color rgb="FF000000"/>
        <rFont val="Arial Narrow"/>
      </rPr>
      <t xml:space="preserve"> Informe del proceso del Proceso Anual de Rendición de Cuentas </t>
    </r>
    <r>
      <rPr>
        <sz val="10"/>
        <color rgb="FF000000"/>
        <rFont val="Century"/>
      </rPr>
      <t>2022.</t>
    </r>
  </si>
  <si>
    <t>* Abg. Oscar Sánchez López
  Director de Planificación
* Econ. Paola Apolo Silva,
  Jefa de Planificación, Evaluación y Seguimiento
* Econ. Fanny Basilio Banchón,
  Analista de Formulación y Control Presupuestario
* Econ. Gisell Ríos Ríos,
  Analista de Evaluación y Control Operativo
* Lcda. Elizabeth Brito Arias,
  Analista de Planificación</t>
  </si>
  <si>
    <r>
      <rPr>
        <sz val="10"/>
        <color rgb="FF000000"/>
        <rFont val="Century"/>
      </rPr>
      <t>1</t>
    </r>
    <r>
      <rPr>
        <sz val="10"/>
        <color rgb="FF000000"/>
        <rFont val="Arial Narrow"/>
      </rPr>
      <t xml:space="preserve"> Rendición Anual de Cuentas (I cuatrimestre)
</t>
    </r>
    <r>
      <rPr>
        <sz val="10"/>
        <color rgb="FF000000"/>
        <rFont val="Century"/>
      </rPr>
      <t>1</t>
    </r>
    <r>
      <rPr>
        <sz val="10"/>
        <color rgb="FF000000"/>
        <rFont val="Arial Narrow"/>
      </rPr>
      <t xml:space="preserve"> seguimiento del POA </t>
    </r>
    <r>
      <rPr>
        <sz val="10"/>
        <color rgb="FF000000"/>
        <rFont val="Century"/>
      </rPr>
      <t>2023</t>
    </r>
    <r>
      <rPr>
        <sz val="10"/>
        <color rgb="FF000000"/>
        <rFont val="Arial Narrow"/>
      </rPr>
      <t xml:space="preserve"> (II cuatrimestre)
</t>
    </r>
    <r>
      <rPr>
        <sz val="10"/>
        <color rgb="FF000000"/>
        <rFont val="Century"/>
      </rPr>
      <t>1</t>
    </r>
    <r>
      <rPr>
        <sz val="10"/>
        <color rgb="FF000000"/>
        <rFont val="Arial Narrow"/>
      </rPr>
      <t xml:space="preserve"> Evaluación Plan Operativo Anual (III cuatrimestre)
</t>
    </r>
    <r>
      <rPr>
        <sz val="10"/>
        <color rgb="FF000000"/>
        <rFont val="Century"/>
      </rPr>
      <t>1</t>
    </r>
    <r>
      <rPr>
        <sz val="10"/>
        <color rgb="FF000000"/>
        <rFont val="Arial Narrow"/>
      </rPr>
      <t xml:space="preserve"> Seguimiento al Plan Anual de Inversiones (III cuatrimestre).</t>
    </r>
  </si>
  <si>
    <r>
      <rPr>
        <b/>
        <sz val="9"/>
        <color theme="1"/>
        <rFont val="Century Schoolbook"/>
        <family val="1"/>
      </rPr>
      <t>6.-</t>
    </r>
    <r>
      <rPr>
        <sz val="9"/>
        <color theme="1"/>
        <rFont val="Century Schoolbook"/>
        <family val="1"/>
      </rPr>
      <t xml:space="preserve"> </t>
    </r>
    <r>
      <rPr>
        <sz val="10"/>
        <color theme="1"/>
        <rFont val="Arial Narrow"/>
        <family val="2"/>
      </rPr>
      <t>Emitir insumos para la elaboración de la proforma presupuestaria y sus reformas.</t>
    </r>
  </si>
  <si>
    <t xml:space="preserve">Insumos para la elaboración de la proforma presupuestaria y sus reformas emitidos. </t>
  </si>
  <si>
    <t>N° de insumos para la elaboración de la proforma presupuestaria consolidados y entregados.</t>
  </si>
  <si>
    <r>
      <rPr>
        <b/>
        <sz val="9"/>
        <color theme="1"/>
        <rFont val="Century Schoolbook"/>
        <family val="1"/>
      </rPr>
      <t>1.-</t>
    </r>
    <r>
      <rPr>
        <sz val="10"/>
        <color theme="1"/>
        <rFont val="Arial Narrow"/>
        <family val="2"/>
      </rPr>
      <t xml:space="preserve"> Organizar el proceso de levantamiento de insumos para la proforma presupuestaria.
</t>
    </r>
    <r>
      <rPr>
        <b/>
        <sz val="9"/>
        <color theme="1"/>
        <rFont val="Century Schoolbook"/>
        <family val="1"/>
      </rPr>
      <t>2.-</t>
    </r>
    <r>
      <rPr>
        <sz val="10"/>
        <color theme="1"/>
        <rFont val="Arial Narrow"/>
        <family val="2"/>
      </rPr>
      <t xml:space="preserve"> Emitir las directrices para el levantamiento de insumos para la proforma presupuestaria.
</t>
    </r>
    <r>
      <rPr>
        <b/>
        <sz val="9"/>
        <color theme="1"/>
        <rFont val="Century Schoolbook"/>
        <family val="1"/>
      </rPr>
      <t>3.-</t>
    </r>
    <r>
      <rPr>
        <sz val="10"/>
        <color theme="1"/>
        <rFont val="Arial Narrow"/>
        <family val="2"/>
      </rPr>
      <t xml:space="preserve"> Consolidar los insumos para el análisis y validación.
</t>
    </r>
    <r>
      <rPr>
        <b/>
        <sz val="9"/>
        <color theme="1"/>
        <rFont val="Century Schoolbook"/>
        <family val="1"/>
      </rPr>
      <t>4.-</t>
    </r>
    <r>
      <rPr>
        <sz val="10"/>
        <color theme="1"/>
        <rFont val="Arial Narrow"/>
        <family val="2"/>
      </rPr>
      <t xml:space="preserve"> Informar sobre los resultados del análisis de los insumos para la elaboración de la proforma presupuestaria.</t>
    </r>
  </si>
  <si>
    <r>
      <rPr>
        <b/>
        <sz val="9"/>
        <color rgb="FF000000"/>
        <rFont val="Century"/>
      </rPr>
      <t>1.-</t>
    </r>
    <r>
      <rPr>
        <sz val="10"/>
        <color rgb="FF000000"/>
        <rFont val="Arial Narrow"/>
      </rPr>
      <t xml:space="preserve"> Informe Técnico sobre los Insumos para la Proforma Presupuestaria emitido.</t>
    </r>
  </si>
  <si>
    <t>Insumos consolidados de las siguientes dependencias:
Dirección Financiera
Dirección Administrativa
Dirección de Talento Humano.</t>
  </si>
  <si>
    <r>
      <rPr>
        <b/>
        <sz val="9"/>
        <color theme="1"/>
        <rFont val="Century Schoolbook"/>
        <family val="1"/>
      </rPr>
      <t>7.-</t>
    </r>
    <r>
      <rPr>
        <sz val="10"/>
        <color theme="1"/>
        <rFont val="Arial Narrow"/>
        <family val="2"/>
      </rPr>
      <t xml:space="preserve"> Coordinar el Proceso de rendición anual de cuentas.</t>
    </r>
  </si>
  <si>
    <t>Rendición anual de cuentas ejecutada.</t>
  </si>
  <si>
    <t>N° de fases del proceso de rendición anual de cuentas ejecutadas.</t>
  </si>
  <si>
    <r>
      <rPr>
        <b/>
        <sz val="9"/>
        <color rgb="FF000000"/>
        <rFont val="Century Schoolbook"/>
        <family val="1"/>
      </rPr>
      <t>1.-</t>
    </r>
    <r>
      <rPr>
        <sz val="10"/>
        <color rgb="FF000000"/>
        <rFont val="Arial Narrow"/>
        <family val="2"/>
      </rPr>
      <t xml:space="preserve"> Gestionar la conformación de la comisión de Rendición de Cuentas.
</t>
    </r>
    <r>
      <rPr>
        <b/>
        <sz val="9"/>
        <color rgb="FF000000"/>
        <rFont val="Century Schoolbook"/>
        <family val="1"/>
      </rPr>
      <t>2.-</t>
    </r>
    <r>
      <rPr>
        <sz val="10"/>
        <color rgb="FF000000"/>
        <rFont val="Arial Narrow"/>
        <family val="2"/>
      </rPr>
      <t xml:space="preserve"> Dirigir el proceso de levantamiento, análisis y emisión de resultados a presentarse en el informe de Rendición de Cuentas.
</t>
    </r>
    <r>
      <rPr>
        <b/>
        <sz val="9"/>
        <color rgb="FF000000"/>
        <rFont val="Century Schoolbook"/>
        <family val="1"/>
      </rPr>
      <t>3.-</t>
    </r>
    <r>
      <rPr>
        <sz val="10"/>
        <color rgb="FF000000"/>
        <rFont val="Arial Narrow"/>
        <family val="2"/>
      </rPr>
      <t xml:space="preserve"> Presentar ante el Consejo Universitario el informe preliminar de rendición de cuentas.
</t>
    </r>
    <r>
      <rPr>
        <b/>
        <sz val="9"/>
        <color rgb="FF000000"/>
        <rFont val="Century Schoolbook"/>
        <family val="1"/>
      </rPr>
      <t>4.-</t>
    </r>
    <r>
      <rPr>
        <sz val="10"/>
        <color rgb="FF000000"/>
        <rFont val="Arial Narrow"/>
        <family val="2"/>
      </rPr>
      <t xml:space="preserve"> Liderar la ejecución del evento público de deliberación.
</t>
    </r>
    <r>
      <rPr>
        <b/>
        <sz val="9"/>
        <color rgb="FF000000"/>
        <rFont val="Century Schoolbook"/>
        <family val="1"/>
      </rPr>
      <t>5.-</t>
    </r>
    <r>
      <rPr>
        <sz val="10"/>
        <color rgb="FF000000"/>
        <rFont val="Arial Narrow"/>
        <family val="2"/>
      </rPr>
      <t xml:space="preserve"> Gestionar la aprobación del informe final de rendición de cuentas.
</t>
    </r>
    <r>
      <rPr>
        <b/>
        <sz val="9"/>
        <color rgb="FF000000"/>
        <rFont val="Century Schoolbook"/>
        <family val="1"/>
      </rPr>
      <t>6.-</t>
    </r>
    <r>
      <rPr>
        <sz val="10"/>
        <color rgb="FF000000"/>
        <rFont val="Arial Narrow"/>
        <family val="2"/>
      </rPr>
      <t xml:space="preserve"> Verificar el cumplimiento del proceso de registro del informe final de RC en la plataforma del CPCCS.
</t>
    </r>
    <r>
      <rPr>
        <b/>
        <sz val="9"/>
        <color rgb="FF000000"/>
        <rFont val="Century Schoolbook"/>
        <family val="1"/>
      </rPr>
      <t>7.-</t>
    </r>
    <r>
      <rPr>
        <sz val="10"/>
        <color rgb="FF000000"/>
        <rFont val="Arial Narrow"/>
        <family val="2"/>
      </rPr>
      <t xml:space="preserve"> Notificar el cumplimiento del proceso a la máxima autoridad.
</t>
    </r>
    <r>
      <rPr>
        <b/>
        <sz val="9"/>
        <color rgb="FF000000"/>
        <rFont val="Century Schoolbook"/>
        <family val="1"/>
      </rPr>
      <t>8.-</t>
    </r>
    <r>
      <rPr>
        <sz val="10"/>
        <color rgb="FF000000"/>
        <rFont val="Arial Narrow"/>
        <family val="2"/>
      </rPr>
      <t xml:space="preserve"> Remitir al Consejo de Educación Superior el Informe de Rendición Anual de Cuentas.</t>
    </r>
  </si>
  <si>
    <r>
      <rPr>
        <b/>
        <sz val="9"/>
        <color rgb="FF000000"/>
        <rFont val="Century"/>
      </rPr>
      <t>1.-</t>
    </r>
    <r>
      <rPr>
        <sz val="10"/>
        <color rgb="FF000000"/>
        <rFont val="Arial Narrow"/>
      </rPr>
      <t xml:space="preserve"> Informe Final de Rendición de Cuentas aprobado por Consejo Universitario.
</t>
    </r>
    <r>
      <rPr>
        <b/>
        <sz val="9"/>
        <color rgb="FF000000"/>
        <rFont val="Century"/>
      </rPr>
      <t>2.-</t>
    </r>
    <r>
      <rPr>
        <sz val="10"/>
        <color rgb="FF000000"/>
        <rFont val="Arial Narrow"/>
      </rPr>
      <t xml:space="preserve"> Reporte del registro del informe de Rendición de Cuentas en la plataforma CPCCS.
</t>
    </r>
    <r>
      <rPr>
        <b/>
        <sz val="9"/>
        <color rgb="FF000000"/>
        <rFont val="Century"/>
      </rPr>
      <t>3.-</t>
    </r>
    <r>
      <rPr>
        <sz val="10"/>
        <color rgb="FF000000"/>
        <rFont val="Arial Narrow"/>
      </rPr>
      <t xml:space="preserve"> Informe al rectorado con el cumplimiento del proceso para que sea remitido al Consejo de Educación Superior.</t>
    </r>
  </si>
  <si>
    <t>* Abg. Oscar Sánchez López
  Director de Planificación
* Econ. Paola Apolo Silva,
  Jefa de Planificación, Evaluación y Seguimiento
* Econ. Gisell Ríos Ríos,
  Analista de Evaluación y Control Operativo
* Lcda. Elizabeth Brito Arias,
  Analista de Planificación</t>
  </si>
  <si>
    <r>
      <rPr>
        <b/>
        <sz val="9"/>
        <color theme="1"/>
        <rFont val="Century Schoolbook"/>
        <family val="1"/>
      </rPr>
      <t>8.-</t>
    </r>
    <r>
      <rPr>
        <b/>
        <sz val="10"/>
        <color theme="1"/>
        <rFont val="Arial Narrow"/>
        <family val="2"/>
      </rPr>
      <t xml:space="preserve"> </t>
    </r>
    <r>
      <rPr>
        <sz val="10"/>
        <color theme="1"/>
        <rFont val="Arial Narrow"/>
        <family val="2"/>
      </rPr>
      <t>Coordinar el levantamiento de información para el proceso de distribución de recursos.</t>
    </r>
  </si>
  <si>
    <t>Información registrada para el proceso de distribución de recursos y otros fines institucionales.</t>
  </si>
  <si>
    <t>N° de procesos relacionados con la distribución de recursos gestionados.</t>
  </si>
  <si>
    <r>
      <rPr>
        <b/>
        <sz val="9"/>
        <color theme="1"/>
        <rFont val="Century Schoolbook"/>
        <family val="1"/>
      </rPr>
      <t>1.-</t>
    </r>
    <r>
      <rPr>
        <sz val="10"/>
        <color theme="1"/>
        <rFont val="Arial Narrow"/>
        <family val="2"/>
      </rPr>
      <t xml:space="preserve"> Organizar el proceso de levantamiento de información para la distribución de recursos.
</t>
    </r>
    <r>
      <rPr>
        <b/>
        <sz val="9"/>
        <color theme="1"/>
        <rFont val="Century Schoolbook"/>
        <family val="1"/>
      </rPr>
      <t>2.-</t>
    </r>
    <r>
      <rPr>
        <sz val="10"/>
        <color theme="1"/>
        <rFont val="Arial Narrow"/>
        <family val="2"/>
      </rPr>
      <t xml:space="preserve"> Analizar y hacer seguimiento al proceso de levantamiento, registro y carga de la información en el SIIES.
</t>
    </r>
    <r>
      <rPr>
        <b/>
        <sz val="9"/>
        <color theme="1"/>
        <rFont val="Century Schoolbook"/>
        <family val="1"/>
      </rPr>
      <t>3.-</t>
    </r>
    <r>
      <rPr>
        <sz val="10"/>
        <color theme="1"/>
        <rFont val="Arial Narrow"/>
        <family val="2"/>
      </rPr>
      <t xml:space="preserve"> Informar sobre el cumplimiento del proceso y sobre la etapa de corrección.</t>
    </r>
  </si>
  <si>
    <r>
      <rPr>
        <b/>
        <sz val="9"/>
        <color rgb="FF000000"/>
        <rFont val="Century"/>
      </rPr>
      <t>1.-</t>
    </r>
    <r>
      <rPr>
        <sz val="10"/>
        <color rgb="FF000000"/>
        <rFont val="Arial Narrow"/>
      </rPr>
      <t xml:space="preserve"> Informes de cumplimento y/o corrección del proceso de distribución de recursos.</t>
    </r>
  </si>
  <si>
    <r>
      <rPr>
        <b/>
        <sz val="9"/>
        <color theme="1"/>
        <rFont val="Century Schoolbook"/>
        <family val="1"/>
      </rPr>
      <t>9.-</t>
    </r>
    <r>
      <rPr>
        <sz val="10"/>
        <color theme="1"/>
        <rFont val="Arial Narrow"/>
        <family val="2"/>
      </rPr>
      <t xml:space="preserve"> Emitir informes técnicos para la toma de decisiones de los procesos gobernantes.</t>
    </r>
  </si>
  <si>
    <t>Informes técnicos para la toma de decisiones.</t>
  </si>
  <si>
    <t>N° de informes o criterios técnicos emitidos para la toma de decisiones.</t>
  </si>
  <si>
    <r>
      <rPr>
        <b/>
        <sz val="9"/>
        <color rgb="FF000000"/>
        <rFont val="Century"/>
      </rPr>
      <t>1.-</t>
    </r>
    <r>
      <rPr>
        <sz val="10"/>
        <color rgb="FF000000"/>
        <rFont val="Arial Narrow"/>
      </rPr>
      <t xml:space="preserve"> Analizar los requerimientos para la emisión de informes técnicos o en su defecto emitirlos de oficio cuando sea competente.
</t>
    </r>
    <r>
      <rPr>
        <b/>
        <sz val="9"/>
        <color rgb="FF000000"/>
        <rFont val="Century"/>
      </rPr>
      <t>2.-</t>
    </r>
    <r>
      <rPr>
        <sz val="10"/>
        <color rgb="FF000000"/>
        <rFont val="Arial Narrow"/>
      </rPr>
      <t xml:space="preserve"> Requerir insumos para la elaboración de informes y/o criterios técnicos.
</t>
    </r>
    <r>
      <rPr>
        <b/>
        <sz val="9"/>
        <color rgb="FF000000"/>
        <rFont val="Century"/>
      </rPr>
      <t>3.-</t>
    </r>
    <r>
      <rPr>
        <sz val="10"/>
        <color rgb="FF000000"/>
        <rFont val="Arial Narrow"/>
      </rPr>
      <t xml:space="preserve"> Emitir los informes y/o criterios técnicos para la toma de decisiones.</t>
    </r>
  </si>
  <si>
    <r>
      <rPr>
        <b/>
        <sz val="9"/>
        <color rgb="FF000000"/>
        <rFont val="Century"/>
      </rPr>
      <t>1.-</t>
    </r>
    <r>
      <rPr>
        <sz val="10"/>
        <color rgb="FF000000"/>
        <rFont val="Arial Narrow"/>
      </rPr>
      <t xml:space="preserve"> Informes y/o criterios técnicos emitidos.</t>
    </r>
  </si>
  <si>
    <t>7. Optimizar la interacción social de la universidad con los proveedores, empleados y otras partes interesadas.</t>
  </si>
  <si>
    <r>
      <rPr>
        <b/>
        <sz val="9"/>
        <color rgb="FF000000"/>
        <rFont val="Century Schoolbook"/>
        <family val="1"/>
      </rPr>
      <t>10.-</t>
    </r>
    <r>
      <rPr>
        <b/>
        <sz val="10"/>
        <color rgb="FF000000"/>
        <rFont val="Arial Narrow"/>
        <family val="2"/>
      </rPr>
      <t xml:space="preserve"> </t>
    </r>
    <r>
      <rPr>
        <sz val="10"/>
        <color rgb="FF000000"/>
        <rFont val="Arial Narrow"/>
        <family val="2"/>
      </rPr>
      <t>Participar en el comité de transparencia institucional.</t>
    </r>
  </si>
  <si>
    <t>Comité de transparencia institucional en funciones.</t>
  </si>
  <si>
    <t>N° de insumos a entregar al Presidente del Comité de Transparencia para publicación de la información.</t>
  </si>
  <si>
    <r>
      <rPr>
        <b/>
        <sz val="9"/>
        <color theme="1"/>
        <rFont val="Century Schoolbook"/>
        <family val="1"/>
      </rPr>
      <t>11.-</t>
    </r>
    <r>
      <rPr>
        <sz val="10"/>
        <color theme="1"/>
        <rFont val="Arial Narrow"/>
        <family val="2"/>
      </rPr>
      <t xml:space="preserve"> Entregar la Planificación Operativa Anual y Evaluación de la Planificación Operativa Anual.</t>
    </r>
  </si>
  <si>
    <t>N° de planes operativos anuales y su evaluación entregados de forma oportuna.</t>
  </si>
  <si>
    <r>
      <rPr>
        <b/>
        <sz val="9"/>
        <color rgb="FF000000"/>
        <rFont val="Century"/>
      </rPr>
      <t>1.-</t>
    </r>
    <r>
      <rPr>
        <sz val="10"/>
        <color rgb="FF000000"/>
        <rFont val="Arial Narrow"/>
      </rPr>
      <t xml:space="preserve"> Elaborar el POA y registrar los resultados para la evaluación.
</t>
    </r>
    <r>
      <rPr>
        <b/>
        <sz val="9"/>
        <color rgb="FF000000"/>
        <rFont val="Century"/>
      </rPr>
      <t>2.-</t>
    </r>
    <r>
      <rPr>
        <sz val="10"/>
        <color rgb="FF000000"/>
        <rFont val="Arial Narrow"/>
      </rPr>
      <t xml:space="preserve"> Remitir el POA para revisión y de igual forma la evaluación.
</t>
    </r>
    <r>
      <rPr>
        <b/>
        <sz val="9"/>
        <color rgb="FF000000"/>
        <rFont val="Century"/>
      </rPr>
      <t>3.-</t>
    </r>
    <r>
      <rPr>
        <sz val="10"/>
        <color rgb="FF000000"/>
        <rFont val="Arial Narrow"/>
      </rPr>
      <t xml:space="preserve"> Entregar el POA y su evaluación.</t>
    </r>
  </si>
  <si>
    <r>
      <rPr>
        <b/>
        <sz val="9"/>
        <color rgb="FF000000"/>
        <rFont val="Century"/>
      </rPr>
      <t>1.-</t>
    </r>
    <r>
      <rPr>
        <sz val="10"/>
        <color rgb="FF000000"/>
        <rFont val="Arial Narrow"/>
      </rPr>
      <t xml:space="preserve"> POA </t>
    </r>
    <r>
      <rPr>
        <sz val="10"/>
        <color rgb="FF000000"/>
        <rFont val="Century"/>
      </rPr>
      <t xml:space="preserve">2024.
</t>
    </r>
    <r>
      <rPr>
        <b/>
        <sz val="9"/>
        <color rgb="FF000000"/>
        <rFont val="Century"/>
      </rPr>
      <t>2.-</t>
    </r>
    <r>
      <rPr>
        <sz val="10"/>
        <color rgb="FF000000"/>
        <rFont val="Arial Narrow"/>
      </rPr>
      <t xml:space="preserve"> Notificación de validación del POA.
</t>
    </r>
    <r>
      <rPr>
        <b/>
        <sz val="9"/>
        <color rgb="FF000000"/>
        <rFont val="Century"/>
      </rPr>
      <t>3.-</t>
    </r>
    <r>
      <rPr>
        <sz val="10"/>
        <color rgb="FF000000"/>
        <rFont val="Arial Narrow"/>
      </rPr>
      <t xml:space="preserve"> Evaluación anual del POA </t>
    </r>
    <r>
      <rPr>
        <sz val="10"/>
        <color rgb="FF000000"/>
        <rFont val="Century"/>
      </rPr>
      <t xml:space="preserve">2023.
</t>
    </r>
    <r>
      <rPr>
        <b/>
        <sz val="9"/>
        <color rgb="FF000000"/>
        <rFont val="Century"/>
      </rPr>
      <t>4.-</t>
    </r>
    <r>
      <rPr>
        <sz val="10"/>
        <color rgb="FF000000"/>
        <rFont val="Arial Narrow"/>
      </rPr>
      <t xml:space="preserve"> Notificación de la validación del evaluación del POA </t>
    </r>
    <r>
      <rPr>
        <sz val="10"/>
        <color rgb="FF000000"/>
        <rFont val="Century"/>
      </rPr>
      <t>2023.</t>
    </r>
  </si>
  <si>
    <r>
      <rPr>
        <sz val="10"/>
        <color rgb="FF000000"/>
        <rFont val="Century"/>
      </rPr>
      <t>1.-</t>
    </r>
    <r>
      <rPr>
        <sz val="10"/>
        <color rgb="FF000000"/>
        <rFont val="Arial Narrow"/>
      </rPr>
      <t xml:space="preserve"> Elaboración de POA </t>
    </r>
    <r>
      <rPr>
        <sz val="10"/>
        <color rgb="FF000000"/>
        <rFont val="Century"/>
      </rPr>
      <t>2024</t>
    </r>
    <r>
      <rPr>
        <sz val="10"/>
        <color rgb="FF000000"/>
        <rFont val="Arial Narrow"/>
      </rPr>
      <t xml:space="preserve"> (II cuatrimestre)
</t>
    </r>
    <r>
      <rPr>
        <sz val="10"/>
        <color rgb="FF000000"/>
        <rFont val="Century"/>
      </rPr>
      <t>2.-</t>
    </r>
    <r>
      <rPr>
        <sz val="10"/>
        <color rgb="FF000000"/>
        <rFont val="Arial Narrow"/>
      </rPr>
      <t xml:space="preserve"> Evaluación del POA </t>
    </r>
    <r>
      <rPr>
        <sz val="10"/>
        <color rgb="FF000000"/>
        <rFont val="Century"/>
      </rPr>
      <t xml:space="preserve">2023 </t>
    </r>
    <r>
      <rPr>
        <sz val="10"/>
        <color rgb="FF000000"/>
        <rFont val="Arial Narrow"/>
      </rPr>
      <t>(III cuatrimestre)</t>
    </r>
  </si>
  <si>
    <r>
      <rPr>
        <b/>
        <sz val="9"/>
        <color theme="1"/>
        <rFont val="Century Schoolbook"/>
        <family val="1"/>
      </rPr>
      <t>12.-</t>
    </r>
    <r>
      <rPr>
        <sz val="10"/>
        <color theme="1"/>
        <rFont val="Arial Narrow"/>
        <family val="2"/>
      </rPr>
      <t xml:space="preserve"> Organizar el Archivo de Gestión.</t>
    </r>
  </si>
  <si>
    <t>N° de registros de procesos o expedientes en el inventario documental.</t>
  </si>
  <si>
    <r>
      <rPr>
        <b/>
        <sz val="9"/>
        <color rgb="FF000000"/>
        <rFont val="Century"/>
      </rPr>
      <t>1.-</t>
    </r>
    <r>
      <rPr>
        <sz val="10"/>
        <color rgb="FF000000"/>
        <rFont val="Arial Narrow"/>
      </rPr>
      <t xml:space="preserve"> Organizar el archivo de gestión.
</t>
    </r>
    <r>
      <rPr>
        <b/>
        <sz val="9"/>
        <color rgb="FF000000"/>
        <rFont val="Century"/>
      </rPr>
      <t>2.-</t>
    </r>
    <r>
      <rPr>
        <sz val="10"/>
        <color rgb="FF000000"/>
        <rFont val="Arial Narrow"/>
      </rPr>
      <t xml:space="preserve"> Actualizar el inventario documental.</t>
    </r>
  </si>
  <si>
    <r>
      <rPr>
        <b/>
        <sz val="9"/>
        <color rgb="FF000000"/>
        <rFont val="Century"/>
      </rPr>
      <t>1.-</t>
    </r>
    <r>
      <rPr>
        <sz val="10"/>
        <color rgb="FF000000"/>
        <rFont val="Arial Narrow"/>
      </rPr>
      <t xml:space="preserve"> Inventario documental actualizado.</t>
    </r>
  </si>
  <si>
    <t>TOTAL PRESUPUESTO ESTIMATIVO DIRECCIÓN DE PLANIFICACIÓN 2023:</t>
  </si>
  <si>
    <t>UNIDAD DE PLANIFICACIÓN, EVALUACIÓN Y SEGUIMIENTO</t>
  </si>
  <si>
    <r>
      <rPr>
        <b/>
        <sz val="10"/>
        <color rgb="FFFF0000"/>
        <rFont val="Arial Narrow"/>
        <family val="2"/>
      </rPr>
      <t>METAS OPERATIVAS</t>
    </r>
    <r>
      <rPr>
        <b/>
        <sz val="10"/>
        <color theme="1"/>
        <rFont val="Arial Narrow"/>
        <family val="2"/>
      </rPr>
      <t xml:space="preserve">
</t>
    </r>
    <r>
      <rPr>
        <b/>
        <sz val="9"/>
        <color theme="1"/>
        <rFont val="Century Schoolbook"/>
        <family val="1"/>
      </rPr>
      <t>1.-</t>
    </r>
    <r>
      <rPr>
        <sz val="10"/>
        <color theme="1"/>
        <rFont val="Arial Narrow"/>
        <family val="2"/>
      </rPr>
      <t xml:space="preserve"> Elaborar y/o actualizar Propuestas de instructivo, Guías metodológicas o instrumentos de evaluación para el diseño de la planificación estratégica institucional, Planificación Operativa Anual y para el diseño de proyectos de inversión.</t>
    </r>
  </si>
  <si>
    <t>Propuestas de normativa interna y documentos técnicos.</t>
  </si>
  <si>
    <t>N° de Propuestas de Instructivos, Guías Metodológicas o Instrumentos de Evaluación para el Diseño de la Planificación Estratégica Institucional, Planificación Operativa Anual y para el Diseño de Proyectos de Inversión; elaboradas y/o actualizadas.</t>
  </si>
  <si>
    <r>
      <rPr>
        <b/>
        <sz val="9"/>
        <color rgb="FF000000"/>
        <rFont val="Century"/>
      </rPr>
      <t>1.-</t>
    </r>
    <r>
      <rPr>
        <sz val="10"/>
        <color rgb="FF000000"/>
        <rFont val="Arial Narrow"/>
      </rPr>
      <t xml:space="preserve"> Revisar cambios en el marco legal y normativo, así como de los resultados de aplicación a nivel institucional.
</t>
    </r>
    <r>
      <rPr>
        <b/>
        <sz val="9"/>
        <color rgb="FF000000"/>
        <rFont val="Century"/>
      </rPr>
      <t>2.-</t>
    </r>
    <r>
      <rPr>
        <sz val="10"/>
        <color rgb="FF000000"/>
        <rFont val="Arial Narrow"/>
      </rPr>
      <t xml:space="preserve"> Redactar las propuestas de diseño y/o actualización de instructivos, guías o instrumentos de evaluación.
</t>
    </r>
    <r>
      <rPr>
        <b/>
        <sz val="9"/>
        <color rgb="FF000000"/>
        <rFont val="Century"/>
      </rPr>
      <t>3.-</t>
    </r>
    <r>
      <rPr>
        <sz val="10"/>
        <color rgb="FF000000"/>
        <rFont val="Arial Narrow"/>
      </rPr>
      <t xml:space="preserve"> Remitir las propuestas para validación de la Dirección de Planificación.</t>
    </r>
  </si>
  <si>
    <r>
      <rPr>
        <b/>
        <sz val="9"/>
        <color rgb="FF000000"/>
        <rFont val="Century"/>
      </rPr>
      <t>1.-</t>
    </r>
    <r>
      <rPr>
        <sz val="10"/>
        <color rgb="FF000000"/>
        <rFont val="Arial Narrow"/>
      </rPr>
      <t xml:space="preserve"> Reporte de elaboración y/o actualización de Propuestas de Instructivos, Guías Metodológicas o Instrumentos de Evaluación para el Diseño de la Planificación Estratégica Institucional, Planificación Operativa Anual y para el Diseño de Proyectos de Inversión.</t>
    </r>
  </si>
  <si>
    <t>* Econ. Paola Apolo Silva,
  Jefa de Planificación, Evaluación y Seguimiento
* Econ. Fanny Basilio Banchón,
  Analista de Formulación y Control Presupuestario
* Econ. Gisell Ríos Ríos,
  Analista de Evaluación y Control Operativo</t>
  </si>
  <si>
    <t>Edificios, Locales, Residencias y Cableado Estructurado (Mantenimiento, Reparación e Instalación)</t>
  </si>
  <si>
    <t>Adecuaciones de las instalaciones para el funcionamiento de la Dirección y sus procesos</t>
  </si>
  <si>
    <r>
      <rPr>
        <b/>
        <sz val="9"/>
        <color theme="1"/>
        <rFont val="Century Schoolbook"/>
        <family val="1"/>
      </rPr>
      <t>2.-</t>
    </r>
    <r>
      <rPr>
        <sz val="10"/>
        <color theme="1"/>
        <rFont val="Arial Narrow"/>
        <family val="2"/>
      </rPr>
      <t xml:space="preserve"> Actualizar la información en las matrices y/o módulos de la planificación operativa anual y sus reformas.</t>
    </r>
  </si>
  <si>
    <t>Matrices y/o módulos de la planificación operativa anual actualizados.</t>
  </si>
  <si>
    <t>N° de matrices consolidadas de la planificación operativa anual, actualizadas.</t>
  </si>
  <si>
    <r>
      <rPr>
        <b/>
        <sz val="9"/>
        <color rgb="FF000000"/>
        <rFont val="Century"/>
      </rPr>
      <t>1.-</t>
    </r>
    <r>
      <rPr>
        <sz val="10"/>
        <color rgb="FF000000"/>
        <rFont val="Arial Narrow"/>
      </rPr>
      <t xml:space="preserve"> Capacitar a las unidades académicas y administrativas en la elaboración del POA</t>
    </r>
    <r>
      <rPr>
        <sz val="10"/>
        <color rgb="FF000000"/>
        <rFont val="Century"/>
      </rPr>
      <t xml:space="preserve"> 2024.
</t>
    </r>
    <r>
      <rPr>
        <b/>
        <sz val="9"/>
        <color rgb="FF000000"/>
        <rFont val="Century"/>
      </rPr>
      <t>2.-</t>
    </r>
    <r>
      <rPr>
        <sz val="10"/>
        <color rgb="FF000000"/>
        <rFont val="Arial Narrow"/>
      </rPr>
      <t xml:space="preserve"> Emitir los insumos para que las unidades académicas y administrativas elaboren el POA </t>
    </r>
    <r>
      <rPr>
        <sz val="10"/>
        <color rgb="FF000000"/>
        <rFont val="Century"/>
      </rPr>
      <t>2024</t>
    </r>
    <r>
      <rPr>
        <sz val="10"/>
        <color rgb="FF000000"/>
        <rFont val="Arial Narrow"/>
      </rPr>
      <t xml:space="preserve">.
</t>
    </r>
    <r>
      <rPr>
        <b/>
        <sz val="9"/>
        <color rgb="FF000000"/>
        <rFont val="Century"/>
      </rPr>
      <t>3.-</t>
    </r>
    <r>
      <rPr>
        <sz val="10"/>
        <color rgb="FF000000"/>
        <rFont val="Arial Narrow"/>
      </rPr>
      <t xml:space="preserve"> Recibir y revisar los archivos correspondientes al POA de todas las unidades administrativas y académicas.
</t>
    </r>
    <r>
      <rPr>
        <b/>
        <sz val="9"/>
        <color rgb="FF000000"/>
        <rFont val="Century"/>
      </rPr>
      <t>4.-</t>
    </r>
    <r>
      <rPr>
        <sz val="10"/>
        <color rgb="FF000000"/>
        <rFont val="Arial Narrow"/>
      </rPr>
      <t xml:space="preserve"> Remitir las observaciones para corrección (si aplica) a la Dirección de Planificación para su revisión y notificación a las partes pertinentes.
</t>
    </r>
    <r>
      <rPr>
        <b/>
        <sz val="9"/>
        <color rgb="FF000000"/>
        <rFont val="Century"/>
      </rPr>
      <t>5.-</t>
    </r>
    <r>
      <rPr>
        <sz val="10"/>
        <color rgb="FF000000"/>
        <rFont val="Arial Narrow"/>
      </rPr>
      <t xml:space="preserve"> Consolidar los POAS validados para revisión de la Dirección de Planificación.
</t>
    </r>
    <r>
      <rPr>
        <b/>
        <sz val="9"/>
        <color rgb="FF000000"/>
        <rFont val="Century"/>
      </rPr>
      <t>6.-</t>
    </r>
    <r>
      <rPr>
        <sz val="10"/>
        <color rgb="FF000000"/>
        <rFont val="Arial Narrow"/>
      </rPr>
      <t xml:space="preserve"> Remitir a la Dirección de Planificación el Informe de recepción y validación del POA </t>
    </r>
    <r>
      <rPr>
        <sz val="10"/>
        <color rgb="FF000000"/>
        <rFont val="Century"/>
      </rPr>
      <t>2024</t>
    </r>
    <r>
      <rPr>
        <sz val="10"/>
        <color rgb="FF000000"/>
        <rFont val="Arial Narrow"/>
      </rPr>
      <t>.</t>
    </r>
  </si>
  <si>
    <r>
      <rPr>
        <b/>
        <sz val="9"/>
        <color rgb="FF000000"/>
        <rFont val="Century"/>
      </rPr>
      <t>1.-</t>
    </r>
    <r>
      <rPr>
        <sz val="10"/>
        <color rgb="FF000000"/>
        <rFont val="Arial Narrow"/>
      </rPr>
      <t xml:space="preserve"> Informe de recepción y validación del POA 2024.
</t>
    </r>
    <r>
      <rPr>
        <b/>
        <sz val="9"/>
        <color rgb="FF000000"/>
        <rFont val="Century"/>
      </rPr>
      <t>2.-</t>
    </r>
    <r>
      <rPr>
        <sz val="10"/>
        <color rgb="FF000000"/>
        <rFont val="Arial Narrow"/>
      </rPr>
      <t xml:space="preserve"> Matrices de la planificación operativa anual y sus reformas.
</t>
    </r>
    <r>
      <rPr>
        <b/>
        <sz val="9"/>
        <color rgb="FF000000"/>
        <rFont val="Century"/>
      </rPr>
      <t>3.-</t>
    </r>
    <r>
      <rPr>
        <sz val="10"/>
        <color rgb="FF000000"/>
        <rFont val="Arial Narrow"/>
      </rPr>
      <t xml:space="preserve"> Registro de firmas de personas asesoradas dentro y fuera de la Dirección de Planificación.</t>
    </r>
  </si>
  <si>
    <t>* Econ. Paola Apolo Silva,
  Jefa de Planificación, Evaluación y Seguimiento
* Econ. Fanny Basilio Banchón,
  Analista de Formulación y Control Presupuestario</t>
  </si>
  <si>
    <t>45220.00.1</t>
  </si>
  <si>
    <t>Computadora portatil para rectorado</t>
  </si>
  <si>
    <r>
      <rPr>
        <b/>
        <sz val="9"/>
        <color theme="1"/>
        <rFont val="Century Schoolbook"/>
        <family val="1"/>
      </rPr>
      <t>3.-</t>
    </r>
    <r>
      <rPr>
        <sz val="10"/>
        <color theme="1"/>
        <rFont val="Arial Narrow"/>
        <family val="2"/>
      </rPr>
      <t xml:space="preserve"> Registrar y evaluar la planificación plurianual de la política pública y/o programación anual de la planificación, y de los proyectos de inversión, en la plataforma informática del órgano rector de la planificación e inversión pública.</t>
    </r>
  </si>
  <si>
    <t>Planificación plurianual de la política pública y/o programación anual de la planificación, y de los proyectos de inversión; registrada y evaluada.</t>
  </si>
  <si>
    <t>N° de registros de metas y registro de resultados para la evaluación de la Planificación Institucional (PI), Programación Anual de la Planificación (PAP) y de los proyectos de inversión, efectuados en la plataforma informática del órgano rector de la planificación e inversión pública.</t>
  </si>
  <si>
    <r>
      <rPr>
        <b/>
        <sz val="9"/>
        <color rgb="FF000000"/>
        <rFont val="Century"/>
      </rPr>
      <t>1.-</t>
    </r>
    <r>
      <rPr>
        <sz val="10"/>
        <color rgb="FF000000"/>
        <rFont val="Arial Narrow"/>
      </rPr>
      <t xml:space="preserve"> Elaborar reporte de datos a solicitar respecto de la información para el registro de metas de la Planificación Institucional (PI), la Programación Anual de la Planificación (PAP) y su evaluación.
</t>
    </r>
    <r>
      <rPr>
        <b/>
        <sz val="9"/>
        <color rgb="FF000000"/>
        <rFont val="Century"/>
      </rPr>
      <t>2.-</t>
    </r>
    <r>
      <rPr>
        <sz val="10"/>
        <color rgb="FF000000"/>
        <rFont val="Arial Narrow"/>
      </rPr>
      <t xml:space="preserve"> Receptar y analizar la información presentada por las dependencias responsables.
</t>
    </r>
    <r>
      <rPr>
        <b/>
        <sz val="9"/>
        <color rgb="FF000000"/>
        <rFont val="Century"/>
      </rPr>
      <t>3.-</t>
    </r>
    <r>
      <rPr>
        <sz val="10"/>
        <color rgb="FF000000"/>
        <rFont val="Arial Narrow"/>
      </rPr>
      <t xml:space="preserve"> Registrar la información respecto a las metas planificadas para la PI, para la PAP y su evaluación.
</t>
    </r>
    <r>
      <rPr>
        <b/>
        <sz val="9"/>
        <color rgb="FF000000"/>
        <rFont val="Century"/>
      </rPr>
      <t>4.-</t>
    </r>
    <r>
      <rPr>
        <sz val="10"/>
        <color rgb="FF000000"/>
        <rFont val="Arial Narrow"/>
      </rPr>
      <t xml:space="preserve"> Notificar a la Dirección de Planificación la culminación de la fase de registro de la PI, la PAP y su evaluación, para validación.</t>
    </r>
  </si>
  <si>
    <r>
      <rPr>
        <b/>
        <sz val="9"/>
        <color rgb="FF000000"/>
        <rFont val="Century"/>
      </rPr>
      <t>1.-</t>
    </r>
    <r>
      <rPr>
        <sz val="10"/>
        <color rgb="FF000000"/>
        <rFont val="Arial Narrow"/>
      </rPr>
      <t xml:space="preserve"> Reporte del registro de la Planificación Institucional, Programación Anual de la Planificación (Gasto Permanente y Gasto No Permanente (proyectos de inversión) y sus evaluaciones.</t>
    </r>
  </si>
  <si>
    <t xml:space="preserve">004 730601 </t>
  </si>
  <si>
    <t>Consultoría, Asesoría e Investigación Especializada</t>
  </si>
  <si>
    <t>Proyecto de Inversión: Estudios y diseños para la construcción, adecuación y equipamiento de edificio del CRAI; contrato pendiente 2022.</t>
  </si>
  <si>
    <t>998</t>
  </si>
  <si>
    <t>Estudios para la planificación de recursos en mantenimiento, reparación, adecuación y mejoramiento de la infraestructura</t>
  </si>
  <si>
    <t>Estudios especializados y definitivos para la construcción del espacio cultural universitario (concha acústica)</t>
  </si>
  <si>
    <r>
      <rPr>
        <b/>
        <sz val="9"/>
        <color theme="1"/>
        <rFont val="Century Schoolbook"/>
        <family val="1"/>
      </rPr>
      <t>4.-</t>
    </r>
    <r>
      <rPr>
        <sz val="10"/>
        <color theme="1"/>
        <rFont val="Arial Narrow"/>
        <family val="2"/>
      </rPr>
      <t xml:space="preserve"> Emitir reportes de resultados de la evaluación de planes, programas, proyectos y del proceso de rendición anual de cuentas.</t>
    </r>
  </si>
  <si>
    <t>Reportes de resultados de la evaluación de planes, programas, proyectos y del proceso de rendición anual de cuentas, emitidos.</t>
  </si>
  <si>
    <t>N° de reportes de evaluación de planes, programas y proyectos y del proceso de rendición de cuentas emitidos para validación.</t>
  </si>
  <si>
    <r>
      <rPr>
        <b/>
        <sz val="9"/>
        <color rgb="FF000000"/>
        <rFont val="Century"/>
      </rPr>
      <t>1.-</t>
    </r>
    <r>
      <rPr>
        <sz val="10"/>
        <color rgb="FF000000"/>
        <rFont val="Arial Narrow"/>
      </rPr>
      <t xml:space="preserve"> Receptar información por parte de las dependencias.
</t>
    </r>
    <r>
      <rPr>
        <b/>
        <sz val="9"/>
        <color rgb="FF000000"/>
        <rFont val="Century"/>
      </rPr>
      <t>2.-</t>
    </r>
    <r>
      <rPr>
        <sz val="10"/>
        <color rgb="FF000000"/>
        <rFont val="Arial Narrow"/>
      </rPr>
      <t xml:space="preserve"> Efectuar el análisis de los resultados.
</t>
    </r>
    <r>
      <rPr>
        <b/>
        <sz val="9"/>
        <color rgb="FF000000"/>
        <rFont val="Century"/>
      </rPr>
      <t>3.-</t>
    </r>
    <r>
      <rPr>
        <sz val="10"/>
        <color rgb="FF000000"/>
        <rFont val="Arial Narrow"/>
      </rPr>
      <t xml:space="preserve"> Ingresar información de seguimiento a Planes, Programas, Proyectos y Rendición de Cuentas en los respectivos instrumentos de evaluación.
</t>
    </r>
    <r>
      <rPr>
        <b/>
        <sz val="9"/>
        <color rgb="FF000000"/>
        <rFont val="Century"/>
      </rPr>
      <t>4.-</t>
    </r>
    <r>
      <rPr>
        <sz val="10"/>
        <color rgb="FF000000"/>
        <rFont val="Arial Narrow"/>
      </rPr>
      <t xml:space="preserve"> Emitir reportes de evaluación de planes, programas, proyectos y del proceso de rendición de cuentas, para validación.</t>
    </r>
  </si>
  <si>
    <r>
      <rPr>
        <b/>
        <sz val="9"/>
        <color rgb="FF000000"/>
        <rFont val="Century"/>
      </rPr>
      <t>1.-</t>
    </r>
    <r>
      <rPr>
        <sz val="10"/>
        <color rgb="FF000000"/>
        <rFont val="Arial Narrow"/>
      </rPr>
      <t xml:space="preserve"> Reportes de resultados de la evaluación de planes, programas, proyectos y del proceso de rendición anual de cuentas.</t>
    </r>
  </si>
  <si>
    <t>* Econ. Paola Apolo Silva,
  Jefa de Planificación, Evaluación y Seguimiento
* Econ. Gisell Ríos Ríos,
  Analista de Evaluación y Control Operativo
* Econ. Fanny Basilio Banchón,
  Analista de Formulación y Control Presupuestario</t>
  </si>
  <si>
    <r>
      <rPr>
        <b/>
        <sz val="9"/>
        <color theme="1"/>
        <rFont val="Century Schoolbook"/>
        <family val="1"/>
      </rPr>
      <t>5.-</t>
    </r>
    <r>
      <rPr>
        <sz val="10"/>
        <color theme="1"/>
        <rFont val="Arial Narrow"/>
        <family val="2"/>
      </rPr>
      <t xml:space="preserve"> Aplicar el Control Interno al levantamiento de información para el proceso de distribución de recursos.</t>
    </r>
  </si>
  <si>
    <t>Control Interno al levantamiento de información para el proceso de distribución de recursos aplicado.</t>
  </si>
  <si>
    <t>N° de controles aplicados al levantamiento de información para el proceso de distribución de recursos.</t>
  </si>
  <si>
    <r>
      <rPr>
        <b/>
        <sz val="9"/>
        <color rgb="FF000000"/>
        <rFont val="Century"/>
      </rPr>
      <t>1.-</t>
    </r>
    <r>
      <rPr>
        <sz val="10"/>
        <color rgb="FF000000"/>
        <rFont val="Arial Narrow"/>
      </rPr>
      <t xml:space="preserve"> Recibir capacitación y analizar los instructivos de carga emitidos por los entes rectores del proceso de distribución de recursos.
</t>
    </r>
    <r>
      <rPr>
        <b/>
        <sz val="9"/>
        <color rgb="FF000000"/>
        <rFont val="Century"/>
      </rPr>
      <t>2.-</t>
    </r>
    <r>
      <rPr>
        <sz val="10"/>
        <color rgb="FF000000"/>
        <rFont val="Arial Narrow"/>
      </rPr>
      <t xml:space="preserve"> Asesorar a los responsables institucionales de carga y/o registro de la información en la plataforma gubernamental dispuesta para el efecto.
</t>
    </r>
    <r>
      <rPr>
        <b/>
        <sz val="9"/>
        <color rgb="FF000000"/>
        <rFont val="Century"/>
      </rPr>
      <t>3.-</t>
    </r>
    <r>
      <rPr>
        <sz val="10"/>
        <color rgb="FF000000"/>
        <rFont val="Arial Narrow"/>
      </rPr>
      <t xml:space="preserve"> Gestionar absolución de consultas ante la mesa de ayuda.
</t>
    </r>
    <r>
      <rPr>
        <b/>
        <sz val="9"/>
        <color rgb="FF000000"/>
        <rFont val="Century"/>
      </rPr>
      <t>4.-</t>
    </r>
    <r>
      <rPr>
        <sz val="10"/>
        <color rgb="FF000000"/>
        <rFont val="Arial Narrow"/>
      </rPr>
      <t xml:space="preserve"> Efectuar el seguimiento y control a la carga y/o registro de información.
</t>
    </r>
    <r>
      <rPr>
        <b/>
        <sz val="9"/>
        <color rgb="FF000000"/>
        <rFont val="Century"/>
      </rPr>
      <t>5.-</t>
    </r>
    <r>
      <rPr>
        <sz val="10"/>
        <color rgb="FF000000"/>
        <rFont val="Arial Narrow"/>
      </rPr>
      <t xml:space="preserve"> Emitir reportes de seguimiento para validación de la Dirección de Planificación.</t>
    </r>
  </si>
  <si>
    <r>
      <rPr>
        <b/>
        <sz val="9"/>
        <color rgb="FF000000"/>
        <rFont val="Century"/>
      </rPr>
      <t>1.-</t>
    </r>
    <r>
      <rPr>
        <sz val="10"/>
        <color rgb="FF000000"/>
        <rFont val="Arial Narrow"/>
      </rPr>
      <t xml:space="preserve"> Reportes de control interno de la incorporación de la información en la plataforma gubernamental dispuesta para el efecto, para el proceso de distribución de recursos.</t>
    </r>
  </si>
  <si>
    <r>
      <rPr>
        <b/>
        <sz val="9"/>
        <color theme="1"/>
        <rFont val="Century Schoolbook"/>
        <family val="1"/>
      </rPr>
      <t>6.-</t>
    </r>
    <r>
      <rPr>
        <sz val="10"/>
        <color theme="1"/>
        <rFont val="Arial Narrow"/>
        <family val="2"/>
      </rPr>
      <t xml:space="preserve"> Emitir reportes para la elaboración de informes técnicos solicitados a la Dirección de Planificación.</t>
    </r>
  </si>
  <si>
    <t>Reportes para la elaboración de informes técnicos solicitados a la Dirección de Planificación emitidos.</t>
  </si>
  <si>
    <t>N° de insumos emitidos para la elaboración de informes técnicos solicitados a la Dirección de Planificación.</t>
  </si>
  <si>
    <r>
      <rPr>
        <b/>
        <sz val="9"/>
        <color rgb="FF000000"/>
        <rFont val="Century"/>
      </rPr>
      <t>1.-</t>
    </r>
    <r>
      <rPr>
        <sz val="10"/>
        <color rgb="FF000000"/>
        <rFont val="Arial Narrow"/>
      </rPr>
      <t xml:space="preserve"> Analizar la información receptada o remitida por gestión de la Dirección de Planificación o Dirección Financiera.
</t>
    </r>
    <r>
      <rPr>
        <b/>
        <sz val="9"/>
        <color rgb="FF000000"/>
        <rFont val="Century"/>
      </rPr>
      <t>2.-</t>
    </r>
    <r>
      <rPr>
        <sz val="10"/>
        <color rgb="FF000000"/>
        <rFont val="Arial Narrow"/>
      </rPr>
      <t xml:space="preserve"> Elaborar los Techos Presupuestarios conforme a las Reformas Presupuestarias realizadas.
</t>
    </r>
    <r>
      <rPr>
        <b/>
        <sz val="9"/>
        <color rgb="FF000000"/>
        <rFont val="Century"/>
      </rPr>
      <t>3.-</t>
    </r>
    <r>
      <rPr>
        <sz val="10"/>
        <color rgb="FF000000"/>
        <rFont val="Arial Narrow"/>
      </rPr>
      <t xml:space="preserve"> Remitir los Techos Presupuestario para revisión y/o validación de la Dirección de Planificación y efectuar correcciones (si aplica).</t>
    </r>
  </si>
  <si>
    <r>
      <rPr>
        <b/>
        <sz val="9"/>
        <color rgb="FF000000"/>
        <rFont val="Century"/>
      </rPr>
      <t>1.-</t>
    </r>
    <r>
      <rPr>
        <sz val="10"/>
        <color rgb="FF000000"/>
        <rFont val="Arial Narrow"/>
      </rPr>
      <t xml:space="preserve"> Techos Presupuestarios solicitados a la Dirección de Planificación.</t>
    </r>
  </si>
  <si>
    <t>Plantilla de monitoreo al cumplimiento de la Ley Orgánica de Transparencia y Acceso a la Información Pública en la UTMACH emitida.</t>
  </si>
  <si>
    <t>No se va a cumplir con este producto.</t>
  </si>
  <si>
    <t>N° de documentos de planificación operativa anual y evaluaciones de la planificación operativa anual entregadas oportunamente.</t>
  </si>
  <si>
    <r>
      <rPr>
        <b/>
        <sz val="9"/>
        <color rgb="FF000000"/>
        <rFont val="Century"/>
      </rPr>
      <t>1.-</t>
    </r>
    <r>
      <rPr>
        <sz val="10"/>
        <color rgb="FF000000"/>
        <rFont val="Arial Narrow"/>
      </rPr>
      <t xml:space="preserve"> Elaborar y presentar la planificación operativa anual y sus evaluaciones.
</t>
    </r>
    <r>
      <rPr>
        <b/>
        <sz val="9"/>
        <color rgb="FF000000"/>
        <rFont val="Century"/>
      </rPr>
      <t>2.-</t>
    </r>
    <r>
      <rPr>
        <sz val="10"/>
        <color rgb="FF000000"/>
        <rFont val="Arial Narrow"/>
      </rPr>
      <t xml:space="preserve"> Efectuar los respectivos cambios o ajustes.
</t>
    </r>
    <r>
      <rPr>
        <b/>
        <sz val="9"/>
        <color rgb="FF000000"/>
        <rFont val="Century"/>
      </rPr>
      <t>3.-</t>
    </r>
    <r>
      <rPr>
        <sz val="10"/>
        <color rgb="FF000000"/>
        <rFont val="Arial Narrow"/>
      </rPr>
      <t xml:space="preserve"> Notificar oficialmente los cambios efectuados.</t>
    </r>
  </si>
  <si>
    <r>
      <rPr>
        <b/>
        <sz val="9"/>
        <color rgb="FF000000"/>
        <rFont val="Century"/>
      </rPr>
      <t>1.-</t>
    </r>
    <r>
      <rPr>
        <sz val="10"/>
        <color rgb="FF000000"/>
        <rFont val="Arial Narrow"/>
      </rPr>
      <t xml:space="preserve"> Plan Operativo Anual.
</t>
    </r>
    <r>
      <rPr>
        <b/>
        <sz val="9"/>
        <color rgb="FF000000"/>
        <rFont val="Century"/>
      </rPr>
      <t>2.-</t>
    </r>
    <r>
      <rPr>
        <sz val="10"/>
        <color rgb="FF000000"/>
        <rFont val="Arial Narrow"/>
      </rPr>
      <t xml:space="preserve"> Emitir reportes al seguimiento realizado al POA de UPES.
</t>
    </r>
    <r>
      <rPr>
        <b/>
        <sz val="9"/>
        <color rgb="FF000000"/>
        <rFont val="Century"/>
      </rPr>
      <t>3.-</t>
    </r>
    <r>
      <rPr>
        <sz val="10"/>
        <color rgb="FF000000"/>
        <rFont val="Arial Narrow"/>
      </rPr>
      <t xml:space="preserve"> Evaluación anual del POA.
</t>
    </r>
    <r>
      <rPr>
        <b/>
        <sz val="9"/>
        <color rgb="FF000000"/>
        <rFont val="Century"/>
      </rPr>
      <t>4.-</t>
    </r>
    <r>
      <rPr>
        <sz val="10"/>
        <color rgb="FF000000"/>
        <rFont val="Arial Narrow"/>
      </rPr>
      <t xml:space="preserve"> Evidencias subidas en google drive que justifican la ejecución de las Metas Operativas de la UPES.</t>
    </r>
  </si>
  <si>
    <r>
      <rPr>
        <sz val="10"/>
        <color rgb="FF000000"/>
        <rFont val="Century"/>
      </rPr>
      <t>1.-</t>
    </r>
    <r>
      <rPr>
        <sz val="10"/>
        <color rgb="FF000000"/>
        <rFont val="Arial Narrow"/>
      </rPr>
      <t xml:space="preserve"> Elaboración de POA </t>
    </r>
    <r>
      <rPr>
        <sz val="10"/>
        <color rgb="FF000000"/>
        <rFont val="Century"/>
      </rPr>
      <t>2024</t>
    </r>
    <r>
      <rPr>
        <sz val="10"/>
        <color rgb="FF000000"/>
        <rFont val="Arial Narrow"/>
      </rPr>
      <t xml:space="preserve"> (II cuatrimestre).
</t>
    </r>
    <r>
      <rPr>
        <sz val="10"/>
        <color rgb="FF000000"/>
        <rFont val="Century"/>
      </rPr>
      <t>2.-</t>
    </r>
    <r>
      <rPr>
        <sz val="10"/>
        <color rgb="FF000000"/>
        <rFont val="Arial Narrow"/>
      </rPr>
      <t xml:space="preserve"> Evaluación del POA </t>
    </r>
    <r>
      <rPr>
        <sz val="10"/>
        <color rgb="FF000000"/>
        <rFont val="Century"/>
      </rPr>
      <t>2023</t>
    </r>
    <r>
      <rPr>
        <sz val="10"/>
        <color rgb="FF000000"/>
        <rFont val="Arial Narrow"/>
      </rPr>
      <t xml:space="preserve"> (III cuatrimestre).</t>
    </r>
  </si>
  <si>
    <t>N° de oficios recibidos, enviados y documentación generada.</t>
  </si>
  <si>
    <r>
      <rPr>
        <b/>
        <sz val="9"/>
        <color rgb="FF000000"/>
        <rFont val="Century"/>
      </rPr>
      <t>1.-</t>
    </r>
    <r>
      <rPr>
        <sz val="10"/>
        <color rgb="FF000000"/>
        <rFont val="Arial Narrow"/>
      </rPr>
      <t xml:space="preserve"> Registrar oficios recibidos y enviados.
</t>
    </r>
    <r>
      <rPr>
        <b/>
        <sz val="9"/>
        <color rgb="FF000000"/>
        <rFont val="Century"/>
      </rPr>
      <t>2.-</t>
    </r>
    <r>
      <rPr>
        <sz val="10"/>
        <color rgb="FF000000"/>
        <rFont val="Arial Narrow"/>
      </rPr>
      <t xml:space="preserve"> Organizar el archivo digital.
</t>
    </r>
    <r>
      <rPr>
        <b/>
        <sz val="9"/>
        <color rgb="FF000000"/>
        <rFont val="Century"/>
      </rPr>
      <t>3.-</t>
    </r>
    <r>
      <rPr>
        <sz val="10"/>
        <color rgb="FF000000"/>
        <rFont val="Arial Narrow"/>
      </rPr>
      <t xml:space="preserve"> Ingresar los oficios al sistema informático de la Universidad Técnica de Machala.</t>
    </r>
  </si>
  <si>
    <r>
      <rPr>
        <b/>
        <sz val="9"/>
        <color rgb="FF000000"/>
        <rFont val="Century"/>
      </rPr>
      <t>1.-</t>
    </r>
    <r>
      <rPr>
        <sz val="10"/>
        <color rgb="FF000000"/>
        <rFont val="Arial Narrow"/>
      </rPr>
      <t xml:space="preserve"> Matriz de registro de oficios recibidos y enviados de la UPES.
</t>
    </r>
    <r>
      <rPr>
        <b/>
        <sz val="9"/>
        <color rgb="FF000000"/>
        <rFont val="Century"/>
      </rPr>
      <t>2.-</t>
    </r>
    <r>
      <rPr>
        <sz val="10"/>
        <color rgb="FF000000"/>
        <rFont val="Arial Narrow"/>
      </rPr>
      <t xml:space="preserve"> Directorio de archivo con la documentación generada y recibida en la UPES.
</t>
    </r>
    <r>
      <rPr>
        <b/>
        <sz val="9"/>
        <color rgb="FF000000"/>
        <rFont val="Century"/>
      </rPr>
      <t>3.-</t>
    </r>
    <r>
      <rPr>
        <sz val="10"/>
        <color rgb="FF000000"/>
        <rFont val="Arial Narrow"/>
      </rPr>
      <t xml:space="preserve"> Evidencias del registro de los oficios en el Sistema Informático de la Universidad Técnica de Machala.</t>
    </r>
  </si>
  <si>
    <t>* Ec. Gisell Ríos Ríos,
  Analista de Evaluación y Control Operativo
* Ec. Eunice Basilio Banchón,
  Analista de Formulación y Control Presupuestario</t>
  </si>
  <si>
    <t>TOTAL PRESUPUESTO ESTIMATIVO UPES 2023:</t>
  </si>
  <si>
    <r>
      <rPr>
        <b/>
        <sz val="11"/>
        <color rgb="FF000000"/>
        <rFont val="Arial Narrow"/>
        <family val="2"/>
      </rPr>
      <t>Elaborado por:</t>
    </r>
    <r>
      <rPr>
        <sz val="11"/>
        <color rgb="FF000000"/>
        <rFont val="Arial Narrow"/>
        <family val="2"/>
      </rPr>
      <t xml:space="preserve"> Paola Apolo Silva</t>
    </r>
  </si>
  <si>
    <r>
      <rPr>
        <b/>
        <sz val="11"/>
        <color rgb="FF000000"/>
        <rFont val="Arial Narrow"/>
        <family val="2"/>
      </rPr>
      <t xml:space="preserve">Fecha: </t>
    </r>
    <r>
      <rPr>
        <sz val="11"/>
        <color rgb="FF000000"/>
        <rFont val="Arial Narrow"/>
        <family val="2"/>
      </rPr>
      <t>13-09-2022</t>
    </r>
  </si>
  <si>
    <t>004 730601</t>
  </si>
  <si>
    <r>
      <t xml:space="preserve">FUENTE </t>
    </r>
    <r>
      <rPr>
        <sz val="11"/>
        <color rgb="FF000000"/>
        <rFont val="Century Schoolbook"/>
        <family val="1"/>
      </rPr>
      <t>998</t>
    </r>
  </si>
  <si>
    <t>DIRECCIÓN DE BIENESTAR UNIVERSITARIO, ARTE Y CULTURA</t>
  </si>
  <si>
    <t>MATRICULADOS SEGÚN AUTOIDENTIFICACIÓN ÉTINICA</t>
  </si>
  <si>
    <r>
      <rPr>
        <b/>
        <sz val="10"/>
        <color rgb="FFFF0000"/>
        <rFont val="Arial Narrow"/>
      </rPr>
      <t xml:space="preserve">META ESTRATÉGICA
</t>
    </r>
    <r>
      <rPr>
        <b/>
        <sz val="9"/>
        <color rgb="FF000000"/>
        <rFont val="Century"/>
      </rPr>
      <t>1.-</t>
    </r>
    <r>
      <rPr>
        <b/>
        <sz val="10"/>
        <color rgb="FF000000"/>
        <rFont val="Arial Narrow"/>
      </rPr>
      <t xml:space="preserve"> </t>
    </r>
    <r>
      <rPr>
        <sz val="10"/>
        <color rgb="FF000000"/>
        <rFont val="Arial Narrow"/>
      </rPr>
      <t>Promover la postulación de representantes de los indígenas, afroecuatorianos y pueblos montubios a través de la ejecución de eventos de orientación vocacional dirigidos a dichos grupos.</t>
    </r>
  </si>
  <si>
    <t>Coordinación de eventos pluricultural de orientación vocacional.</t>
  </si>
  <si>
    <t>N° de eventos de orientación vocacional dirigidos a los indígenas, afroecuatorianos y pueblos montubios.</t>
  </si>
  <si>
    <r>
      <rPr>
        <b/>
        <sz val="9"/>
        <color rgb="FF000000"/>
        <rFont val="Century"/>
        <family val="1"/>
      </rPr>
      <t>1.-</t>
    </r>
    <r>
      <rPr>
        <sz val="10"/>
        <color rgb="FF000000"/>
        <rFont val="Arial Narrow"/>
        <family val="2"/>
      </rPr>
      <t xml:space="preserve"> Planificar socializaciones de orientación vocacional a los grupos históricamente vulnerables.</t>
    </r>
  </si>
  <si>
    <r>
      <rPr>
        <b/>
        <sz val="9"/>
        <color rgb="FF000000"/>
        <rFont val="Century"/>
        <family val="1"/>
      </rPr>
      <t>1.-</t>
    </r>
    <r>
      <rPr>
        <sz val="10"/>
        <color rgb="FF000000"/>
        <rFont val="Arial Narrow"/>
        <family val="2"/>
      </rPr>
      <t xml:space="preserve"> Informe de la actividad realizada.</t>
    </r>
  </si>
  <si>
    <t>* Lcdo. Jorge Villacís,
  Director de la DBU
* Psci. Marela Gómez,
  Psicóloga Clínica  DBU
  Psicóloga Educativa Cinthia Vaca</t>
  </si>
  <si>
    <t>5. Crear consejos consultivos para el fomento, la participación y el control social por parte de la sociedad civil y comunidad universitaria.</t>
  </si>
  <si>
    <r>
      <rPr>
        <b/>
        <sz val="9"/>
        <color rgb="FF000000"/>
        <rFont val="Century"/>
      </rPr>
      <t>2.-</t>
    </r>
    <r>
      <rPr>
        <sz val="10"/>
        <color rgb="FF000000"/>
        <rFont val="Arial Narrow"/>
      </rPr>
      <t xml:space="preserve"> Implementar programas y espacios de integración intercultural a través de la ejecución de eventos que promuevan la participación de los grupos vulnerables e históricamente incluidos.</t>
    </r>
  </si>
  <si>
    <t>Ejecución de programas y espacios de integración para promover la participación de grupos históricamente vulnerables.</t>
  </si>
  <si>
    <t>N° de programas y espacios de integración intercultural desarrollados.</t>
  </si>
  <si>
    <r>
      <rPr>
        <b/>
        <sz val="9"/>
        <color rgb="FF000000"/>
        <rFont val="Century"/>
        <family val="1"/>
      </rPr>
      <t>1.-</t>
    </r>
    <r>
      <rPr>
        <sz val="10"/>
        <color rgb="FF000000"/>
        <rFont val="Arial Narrow"/>
        <family val="2"/>
      </rPr>
      <t xml:space="preserve"> Planificar programa UTMACH Es Igualdad.
</t>
    </r>
    <r>
      <rPr>
        <b/>
        <sz val="9"/>
        <color rgb="FF000000"/>
        <rFont val="Century"/>
        <family val="1"/>
      </rPr>
      <t>2.-</t>
    </r>
    <r>
      <rPr>
        <sz val="10"/>
        <color rgb="FF000000"/>
        <rFont val="Arial Narrow"/>
        <family val="2"/>
      </rPr>
      <t xml:space="preserve"> Ejecutar una capacitación sobre la integración intercultural dentro de la UTMACH. 
</t>
    </r>
    <r>
      <rPr>
        <b/>
        <sz val="9"/>
        <color rgb="FF000000"/>
        <rFont val="Century"/>
        <family val="1"/>
      </rPr>
      <t>3.-</t>
    </r>
    <r>
      <rPr>
        <sz val="10"/>
        <color rgb="FF000000"/>
        <rFont val="Arial Narrow"/>
        <family val="2"/>
      </rPr>
      <t xml:space="preserve"> Elaborar y presentar el primer borrador del Reglamento de Igualdad Institucional.</t>
    </r>
  </si>
  <si>
    <r>
      <rPr>
        <b/>
        <sz val="9"/>
        <color rgb="FF000000"/>
        <rFont val="Century"/>
      </rPr>
      <t>1.-</t>
    </r>
    <r>
      <rPr>
        <sz val="10"/>
        <color rgb="FF000000"/>
        <rFont val="Arial Narrow"/>
      </rPr>
      <t xml:space="preserve"> Programa UTMACH es Igualdad. 
</t>
    </r>
    <r>
      <rPr>
        <b/>
        <sz val="9"/>
        <color rgb="FF000000"/>
        <rFont val="Century"/>
      </rPr>
      <t>2.-</t>
    </r>
    <r>
      <rPr>
        <sz val="10"/>
        <color rgb="FF000000"/>
        <rFont val="Arial Narrow"/>
      </rPr>
      <t xml:space="preserve"> Informe de capacitación.
</t>
    </r>
    <r>
      <rPr>
        <b/>
        <sz val="9"/>
        <color rgb="FF000000"/>
        <rFont val="Century"/>
      </rPr>
      <t>3.-</t>
    </r>
    <r>
      <rPr>
        <sz val="10"/>
        <color rgb="FF000000"/>
        <rFont val="Arial Narrow"/>
      </rPr>
      <t xml:space="preserve"> Borrador del Reglamento de Igualdad Institucional.</t>
    </r>
  </si>
  <si>
    <t>* Lcdo. Carlos Carchi,
  Psicólogo Educativo
* Psci. Marela Gómez,
  Psicóloga Clínica DBU</t>
  </si>
  <si>
    <t>Edición, Impresión, Reproducción, Publicaciones suscripciones, Fotocopiado, Traducción, Empastado, Enmarcación, Eerigrafia, Fotografía, Carnetización, Filmación e Imágenes Satelitales</t>
  </si>
  <si>
    <t>32600.00.1</t>
  </si>
  <si>
    <t>SERVICIO DE DISEÑO E IMPRESION DE AGENDAS UNIVERSITARIAS DE DIFUSIÓN DE SERVICIOS DE BIENESTAR UNIVERSITARIO, ARTE Y CULTURA.</t>
  </si>
  <si>
    <t>Adquisición de Mobiliario de Difusión de los Servicios de Bienestar Universitario, Arte y Cultura</t>
  </si>
  <si>
    <r>
      <rPr>
        <b/>
        <sz val="9"/>
        <color rgb="FF000000"/>
        <rFont val="Century"/>
      </rPr>
      <t>3.-</t>
    </r>
    <r>
      <rPr>
        <sz val="10"/>
        <color rgb="FF000000"/>
        <rFont val="Arial Narrow"/>
      </rPr>
      <t xml:space="preserve"> Fomentar la igualdad de oportunidades a través de la ejecución de programas y acciones que incrementen la participación de los grupos vulnerables e históricamente excluidos.</t>
    </r>
  </si>
  <si>
    <t>Socialización de programas de participación de grupos vulnerables.</t>
  </si>
  <si>
    <t>N° de participaciones de grupos vulnerables e históricamente excluidos en eventos y acciones desarrolladas en la comunidad universitaria.</t>
  </si>
  <si>
    <r>
      <rPr>
        <b/>
        <sz val="9"/>
        <color rgb="FF000000"/>
        <rFont val="Century"/>
      </rPr>
      <t>1.-</t>
    </r>
    <r>
      <rPr>
        <sz val="10"/>
        <color rgb="FF000000"/>
        <rFont val="Arial Narrow"/>
      </rPr>
      <t xml:space="preserve"> Ejecutar Programa UTMACH es Igualdad.
</t>
    </r>
    <r>
      <rPr>
        <b/>
        <sz val="9"/>
        <color rgb="FF000000"/>
        <rFont val="Century"/>
      </rPr>
      <t>2.-</t>
    </r>
    <r>
      <rPr>
        <sz val="10"/>
        <color rgb="FF000000"/>
        <rFont val="Arial Narrow"/>
      </rPr>
      <t xml:space="preserve"> Crear colectivos de grupos vulnerables.</t>
    </r>
  </si>
  <si>
    <r>
      <rPr>
        <b/>
        <sz val="9"/>
        <color rgb="FF000000"/>
        <rFont val="Century"/>
      </rPr>
      <t>1.-</t>
    </r>
    <r>
      <rPr>
        <sz val="10"/>
        <color rgb="FF000000"/>
        <rFont val="Arial Narrow"/>
      </rPr>
      <t xml:space="preserve"> Registro de asistencia.
</t>
    </r>
    <r>
      <rPr>
        <b/>
        <sz val="9"/>
        <color rgb="FF000000"/>
        <rFont val="Century"/>
      </rPr>
      <t>2.-</t>
    </r>
    <r>
      <rPr>
        <sz val="10"/>
        <color rgb="FF000000"/>
        <rFont val="Arial Narrow"/>
      </rPr>
      <t xml:space="preserve"> Memoria Fotográfica.
</t>
    </r>
    <r>
      <rPr>
        <b/>
        <sz val="9"/>
        <color rgb="FF000000"/>
        <rFont val="Century"/>
      </rPr>
      <t>3.-</t>
    </r>
    <r>
      <rPr>
        <sz val="10"/>
        <color rgb="FF000000"/>
        <rFont val="Arial Narrow"/>
      </rPr>
      <t xml:space="preserve"> Certificados de organizadores de talleres.</t>
    </r>
  </si>
  <si>
    <t>* Lcdo. Carlos Carchi,
  Psicólogo Educativo 
 * Psic. Cintia Vaca,
   Psicóloga Educativo</t>
  </si>
  <si>
    <t>Bienes Artísticos y Culturales</t>
  </si>
  <si>
    <t>Adquisión de esculturas para acondicionar el bosque universitario</t>
  </si>
  <si>
    <r>
      <rPr>
        <b/>
        <sz val="10"/>
        <color rgb="FFFF0000"/>
        <rFont val="Arial Narrow"/>
      </rPr>
      <t xml:space="preserve">METAS OPERATIVAS
</t>
    </r>
    <r>
      <rPr>
        <b/>
        <sz val="9"/>
        <color rgb="FF000000"/>
        <rFont val="Century"/>
      </rPr>
      <t>1.-</t>
    </r>
    <r>
      <rPr>
        <b/>
        <sz val="10"/>
        <color rgb="FF000000"/>
        <rFont val="Arial Narrow"/>
      </rPr>
      <t xml:space="preserve"> </t>
    </r>
    <r>
      <rPr>
        <sz val="10"/>
        <color rgb="FF000000"/>
        <rFont val="Arial Narrow"/>
      </rPr>
      <t>Supervisar la Planificación de Igualdad Institucional.</t>
    </r>
  </si>
  <si>
    <t>Seguimiento y evaluación a la Planificación de Igualdad Institucional, dirigido.</t>
  </si>
  <si>
    <t>N° de seguimiento y evaluación a la Planificación de Igualdad Institucional, dirigidos.</t>
  </si>
  <si>
    <r>
      <rPr>
        <b/>
        <sz val="9"/>
        <color rgb="FF000000"/>
        <rFont val="Century"/>
      </rPr>
      <t>1.-</t>
    </r>
    <r>
      <rPr>
        <sz val="10"/>
        <color rgb="FF000000"/>
        <rFont val="Arial Narrow"/>
      </rPr>
      <t xml:space="preserve"> Elaborar seguimientos y evaluaciones a la Planificación de Igualdad.</t>
    </r>
  </si>
  <si>
    <r>
      <rPr>
        <b/>
        <sz val="9"/>
        <color rgb="FF000000"/>
        <rFont val="Century"/>
      </rPr>
      <t>1.-</t>
    </r>
    <r>
      <rPr>
        <sz val="10"/>
        <color rgb="FF000000"/>
        <rFont val="Arial Narrow"/>
      </rPr>
      <t xml:space="preserve"> Seguimientos y evaluaciones a la Planificación de Igualdad.</t>
    </r>
  </si>
  <si>
    <t>* Lcdo. Carlos Carchi,
  Psicólogo Educativo
* Psic. Cintia Vaca,
  Psicóloga Educativo</t>
  </si>
  <si>
    <r>
      <rPr>
        <b/>
        <sz val="9"/>
        <color rgb="FF000000"/>
        <rFont val="Century"/>
      </rPr>
      <t>2.-</t>
    </r>
    <r>
      <rPr>
        <sz val="10"/>
        <color rgb="FF000000"/>
        <rFont val="Arial Narrow"/>
      </rPr>
      <t xml:space="preserve"> Coordinar para la prestación de servicios de asistencia social y otros relacionados con el Bienestar Universitario.</t>
    </r>
  </si>
  <si>
    <t>Planificación, implementación y evaluación de actividades, programas y proyectos relacionados con el Bienestar Universitario, gestionado.</t>
  </si>
  <si>
    <t>N° de programas y proyectos relacionados con el Bienestar Universitario, planificados.</t>
  </si>
  <si>
    <r>
      <rPr>
        <b/>
        <sz val="9"/>
        <color rgb="FF000000"/>
        <rFont val="Century"/>
      </rPr>
      <t>1.-</t>
    </r>
    <r>
      <rPr>
        <sz val="10"/>
        <color rgb="FF000000"/>
        <rFont val="Arial Narrow"/>
      </rPr>
      <t xml:space="preserve"> Convocar para la postulación de ayudas económicas y tecnológicas.</t>
    </r>
  </si>
  <si>
    <r>
      <rPr>
        <b/>
        <sz val="9"/>
        <color rgb="FF000000"/>
        <rFont val="Century"/>
      </rPr>
      <t>1.-</t>
    </r>
    <r>
      <rPr>
        <sz val="10"/>
        <color rgb="FF000000"/>
        <rFont val="Arial Narrow"/>
      </rPr>
      <t xml:space="preserve"> Informes de beneficiarios de ayudas económicas y tecnológicas.</t>
    </r>
  </si>
  <si>
    <t>* Lcda. Jenny Reyes,
  Trabajadora Social
* Lcdo. Homer Riofrío,
  Trabajador Social</t>
  </si>
  <si>
    <t>Adecuaciones, reparaciones y mantenimiento de la infraestructura: 1) de espacios deportivos, de bienestar e integración del bloque antiguo de la Facultad de Ciencias Empresariales, 2) biblioteca del Campus Machala y cubículos de investigación de profesores en Campus Principal y Campus Machala y consultorio psicopedagogico de la Facultad de Ciencias Sociales, 3) Salón Auditorio de la Facultad de Ciencias Agropecuarias, y, 4) del Centro Médico Universitario.</t>
  </si>
  <si>
    <t>Mantenimiento y reparación del Coliseo y Gimnasio Universitario</t>
  </si>
  <si>
    <t>Señalética para ejecución del convenio del Centro de Desarrollo Infantil</t>
  </si>
  <si>
    <t>Vestuario, Lenceria y Prendas de Protección</t>
  </si>
  <si>
    <t>Prendas de protección para ejecución del convenio del Centro de Desarrollo Infantil</t>
  </si>
  <si>
    <t>Servicio de Alimentación</t>
  </si>
  <si>
    <t>Servicio de alimentación para ejecución del convenio del Centro de Desarrollo Infantil</t>
  </si>
  <si>
    <r>
      <rPr>
        <b/>
        <sz val="9"/>
        <color rgb="FF000000"/>
        <rFont val="Century"/>
      </rPr>
      <t>3.-</t>
    </r>
    <r>
      <rPr>
        <sz val="10"/>
        <color rgb="FF000000"/>
        <rFont val="Arial Narrow"/>
      </rPr>
      <t xml:space="preserve"> Coordinar para la implementación de mecanismos para la participación ciudadana.</t>
    </r>
  </si>
  <si>
    <t>Articulación de las acciones, actividades, programas, proyectos y convenios con instituciones públicas y privadas relacionadas con el Bienestar Universitario,Arte y Cultura.</t>
  </si>
  <si>
    <t>N° de articulaciones de las acciones, actividades, programas, proyectos y convenios con instituciones públicas y privadas relacionadas con el Bienestar Universitario, Arte y Cultura.</t>
  </si>
  <si>
    <r>
      <rPr>
        <b/>
        <sz val="9"/>
        <color rgb="FF000000"/>
        <rFont val="Century"/>
      </rPr>
      <t>1.-</t>
    </r>
    <r>
      <rPr>
        <sz val="10"/>
        <color rgb="FF000000"/>
        <rFont val="Arial Narrow"/>
      </rPr>
      <t xml:space="preserve"> Coordinar campañas de donación de sangre. 
</t>
    </r>
    <r>
      <rPr>
        <b/>
        <sz val="9"/>
        <color rgb="FF000000"/>
        <rFont val="Century"/>
      </rPr>
      <t>2.-</t>
    </r>
    <r>
      <rPr>
        <sz val="10"/>
        <color rgb="FF000000"/>
        <rFont val="Arial Narrow"/>
      </rPr>
      <t xml:space="preserve"> Coordinar atención médica.
</t>
    </r>
    <r>
      <rPr>
        <b/>
        <sz val="9"/>
        <color rgb="FF000000"/>
        <rFont val="Century"/>
      </rPr>
      <t>3.-</t>
    </r>
    <r>
      <rPr>
        <sz val="10"/>
        <color rgb="FF000000"/>
        <rFont val="Arial Narrow"/>
      </rPr>
      <t xml:space="preserve"> Coordinar atención odontológicas.</t>
    </r>
  </si>
  <si>
    <r>
      <rPr>
        <b/>
        <sz val="9"/>
        <color rgb="FF000000"/>
        <rFont val="Century"/>
      </rPr>
      <t>1.-</t>
    </r>
    <r>
      <rPr>
        <sz val="10"/>
        <color rgb="FF000000"/>
        <rFont val="Arial Narrow"/>
      </rPr>
      <t xml:space="preserve"> Memoria fotográficas.
</t>
    </r>
    <r>
      <rPr>
        <b/>
        <sz val="9"/>
        <color rgb="FF000000"/>
        <rFont val="Century"/>
      </rPr>
      <t>2.-</t>
    </r>
    <r>
      <rPr>
        <sz val="10"/>
        <color rgb="FF000000"/>
        <rFont val="Arial Narrow"/>
      </rPr>
      <t xml:space="preserve"> Registro de Atención.</t>
    </r>
  </si>
  <si>
    <t>* Dra. Andrea Cedillo,
  Médico Institucional
* Aux. Enf. Lourdes Guevara,
  Auxiliar de Enfermeria
* Dr. Roberto Medina,
  Odontólogo
* Dra. Margot Maza,
  Odontologa</t>
  </si>
  <si>
    <t>MANTENIMIENTO PREVENTIVO Y/O CORRECTIVO INCLUYENDO REPUESTOS SILLONES ODONTOLÓGICOS</t>
  </si>
  <si>
    <t>MANTENIMIENTO PREVENTIVO Y/O CORRECTIVO INCLUYENDO REPUESTOS DE FILTROS DE AGUA DE CONSULTORIOS ODONTOLÓGICOS</t>
  </si>
  <si>
    <t>44811.00</t>
  </si>
  <si>
    <t>REFRIGERADOR DE 8 PIES CON TERMÓMETRO</t>
  </si>
  <si>
    <t>ESTERILIZADOR</t>
  </si>
  <si>
    <t>MESA DE TRABAJO DE ACERO INOXIDABLE CON FREGADERO 4X1,12</t>
  </si>
  <si>
    <t>EXTRACTOR DE LECHE ELÉCTRICO</t>
  </si>
  <si>
    <t>SILLÓN RECLINABLE 1P MODELO CLASSIC</t>
  </si>
  <si>
    <r>
      <t>VASOS DE ALMACENAMIENTO DE LECHE</t>
    </r>
    <r>
      <rPr>
        <sz val="10"/>
        <color rgb="FFFF0000"/>
        <rFont val="Arial Narrow"/>
        <family val="2"/>
      </rPr>
      <t xml:space="preserve"> </t>
    </r>
    <r>
      <rPr>
        <sz val="10"/>
        <color theme="1"/>
        <rFont val="Arial Narrow"/>
        <family val="2"/>
      </rPr>
      <t>POR 10 UNIDADES</t>
    </r>
  </si>
  <si>
    <t>Caja</t>
  </si>
  <si>
    <t>35290.10.9</t>
  </si>
  <si>
    <t>CAMILLAS RÍGIDAS</t>
  </si>
  <si>
    <t>49922.00</t>
  </si>
  <si>
    <t>SILLAS DE RUEDAS</t>
  </si>
  <si>
    <t xml:space="preserve">TANQUE DE OXÍGENO </t>
  </si>
  <si>
    <t>ELECTROCARDIÓGRAFO</t>
  </si>
  <si>
    <r>
      <rPr>
        <b/>
        <sz val="9"/>
        <color rgb="FF000000"/>
        <rFont val="Century"/>
      </rPr>
      <t>4.-</t>
    </r>
    <r>
      <rPr>
        <sz val="10"/>
        <color rgb="FF000000"/>
        <rFont val="Arial Narrow"/>
      </rPr>
      <t xml:space="preserve"> Coordinar el proceso para el otorgamiento de becas y ayudas económicas para los estudiantes regulares.</t>
    </r>
  </si>
  <si>
    <t>Instrumentos técnicos para el análisis de los y las estudiantes postulantes a los beneficiarios de becas, ayudas económicas, y tecnológicas, gestionados y validados.</t>
  </si>
  <si>
    <t>N° de instrumentos técnicos, validados.</t>
  </si>
  <si>
    <r>
      <rPr>
        <b/>
        <sz val="9"/>
        <color rgb="FF000000"/>
        <rFont val="Century"/>
      </rPr>
      <t>1.-</t>
    </r>
    <r>
      <rPr>
        <sz val="10"/>
        <color rgb="FF000000"/>
        <rFont val="Arial Narrow"/>
      </rPr>
      <t xml:space="preserve"> Analizar documentación de postulantes.
</t>
    </r>
    <r>
      <rPr>
        <b/>
        <sz val="9"/>
        <color rgb="FF000000"/>
        <rFont val="Century"/>
      </rPr>
      <t>2.-</t>
    </r>
    <r>
      <rPr>
        <sz val="10"/>
        <color rgb="FF000000"/>
        <rFont val="Arial Narrow"/>
      </rPr>
      <t xml:space="preserve"> Verificar información de postulantes.</t>
    </r>
  </si>
  <si>
    <r>
      <rPr>
        <b/>
        <sz val="9"/>
        <color rgb="FF000000"/>
        <rFont val="Century"/>
      </rPr>
      <t>1.-</t>
    </r>
    <r>
      <rPr>
        <sz val="10"/>
        <color rgb="FF000000"/>
        <rFont val="Arial Narrow"/>
      </rPr>
      <t xml:space="preserve"> Informe de beneficiarios de ayudas económicas y tecnológicas, semestrales.</t>
    </r>
  </si>
  <si>
    <t>* Lcda. Jenny Reyes,
  Trabajadora Social
* Lcdo. Homer Riofrío,
  Trabajador Social
* Lcdo. Carlos Carchi,
  Psicólogo Educativo</t>
  </si>
  <si>
    <t>BECA EXCELENCIA TIPO A</t>
  </si>
  <si>
    <t>BECA EXCELENCIA TIPO B</t>
  </si>
  <si>
    <t>BECA EXCELENCIA TIPO C</t>
  </si>
  <si>
    <t>AYUDA ECONÓMICA B Y C</t>
  </si>
  <si>
    <t>AYUDA ECONÓMICA TIPO A</t>
  </si>
  <si>
    <t>AYUDA ECONÓMICA TIPO B</t>
  </si>
  <si>
    <t>AYUDA ECONÓMICA TIPO C</t>
  </si>
  <si>
    <t>Egresos para cubrir becas y ayudas económicas 2023-1</t>
  </si>
  <si>
    <t>45220.00</t>
  </si>
  <si>
    <t xml:space="preserve">TABLET </t>
  </si>
  <si>
    <t>Telecomunicaciones</t>
  </si>
  <si>
    <t>Adquisición de SIMCARD con servicio de datos (contrato 2020)</t>
  </si>
  <si>
    <r>
      <rPr>
        <b/>
        <sz val="9"/>
        <color rgb="FF000000"/>
        <rFont val="Century"/>
      </rPr>
      <t>5.-</t>
    </r>
    <r>
      <rPr>
        <b/>
        <sz val="10"/>
        <color rgb="FF000000"/>
        <rFont val="Arial Narrow"/>
      </rPr>
      <t xml:space="preserve"> </t>
    </r>
    <r>
      <rPr>
        <sz val="10"/>
        <color rgb="FF000000"/>
        <rFont val="Arial Narrow"/>
      </rPr>
      <t>Dirigir la socialización y difusión de los programas de becas, créditos educativos, ayudas económicas y estímulos que otorga la Senescyt y la UTMACH.</t>
    </r>
  </si>
  <si>
    <t>Socialización y difusión de los programas de becas, créditos educativos, ayudas económicas y estímulos que otorga la Senescyt y la UTMACH, dirigidos.</t>
  </si>
  <si>
    <t>N° de programas de ayudas socio-económicas facilitados por la UTMACH y la Senescyt, dirigidos.</t>
  </si>
  <si>
    <r>
      <rPr>
        <b/>
        <sz val="9"/>
        <color rgb="FF000000"/>
        <rFont val="Century"/>
      </rPr>
      <t>1.-</t>
    </r>
    <r>
      <rPr>
        <sz val="10"/>
        <color rgb="FF000000"/>
        <rFont val="Arial Narrow"/>
      </rPr>
      <t xml:space="preserve"> Socializar programas de becas, créditos educativos, ayudas económicas y estímulos que otorga la Senescyt y la UTMACH.</t>
    </r>
  </si>
  <si>
    <r>
      <rPr>
        <b/>
        <sz val="9"/>
        <color rgb="FF000000"/>
        <rFont val="Century"/>
      </rPr>
      <t>1.-</t>
    </r>
    <r>
      <rPr>
        <sz val="10"/>
        <color rgb="FF000000"/>
        <rFont val="Arial Narrow"/>
      </rPr>
      <t xml:space="preserve"> Memoria fotográfica.</t>
    </r>
  </si>
  <si>
    <r>
      <rPr>
        <b/>
        <sz val="9"/>
        <color rgb="FF000000"/>
        <rFont val="Century"/>
      </rPr>
      <t>6.-</t>
    </r>
    <r>
      <rPr>
        <sz val="10"/>
        <color rgb="FF000000"/>
        <rFont val="Arial Narrow"/>
      </rPr>
      <t xml:space="preserve"> Coordinar para la prestación de servicios de salud.</t>
    </r>
  </si>
  <si>
    <t>Servicios asistenciales, otorgados.</t>
  </si>
  <si>
    <t>N° de beneficiarios de la póliza de seguro de vida y accidentes personales, otorgados.</t>
  </si>
  <si>
    <r>
      <rPr>
        <b/>
        <sz val="9"/>
        <color rgb="FF000000"/>
        <rFont val="Century"/>
      </rPr>
      <t>1.-</t>
    </r>
    <r>
      <rPr>
        <sz val="10"/>
        <color rgb="FF000000"/>
        <rFont val="Arial Narrow"/>
      </rPr>
      <t xml:space="preserve"> Coordinar atención seguro de vida y accidentes personal.</t>
    </r>
  </si>
  <si>
    <r>
      <rPr>
        <b/>
        <sz val="9"/>
        <color rgb="FF000000"/>
        <rFont val="Century"/>
      </rPr>
      <t>1.-</t>
    </r>
    <r>
      <rPr>
        <sz val="10"/>
        <color rgb="FF000000"/>
        <rFont val="Arial Narrow"/>
      </rPr>
      <t xml:space="preserve"> Registro de beneficiarios de seguro de vida y accidentes personales.
</t>
    </r>
    <r>
      <rPr>
        <b/>
        <sz val="9"/>
        <color rgb="FF000000"/>
        <rFont val="Century"/>
      </rPr>
      <t>2.-</t>
    </r>
    <r>
      <rPr>
        <sz val="10"/>
        <color rgb="FF000000"/>
        <rFont val="Arial Narrow"/>
      </rPr>
      <t xml:space="preserve"> Póliza de seguro de vida.</t>
    </r>
  </si>
  <si>
    <t>* Lcda. Jenny Reyes,
  Trabajadora Social</t>
  </si>
  <si>
    <t>Seguros</t>
  </si>
  <si>
    <t>71320.00</t>
  </si>
  <si>
    <t>SEGURO DE VIDA Y ACCIDENTES PERSONALE, PARA ESTUDIANTES</t>
  </si>
  <si>
    <r>
      <rPr>
        <b/>
        <sz val="9"/>
        <color rgb="FF000000"/>
        <rFont val="Century"/>
      </rPr>
      <t>7.-</t>
    </r>
    <r>
      <rPr>
        <b/>
        <sz val="10"/>
        <color rgb="FF000000"/>
        <rFont val="Arial Narrow"/>
      </rPr>
      <t xml:space="preserve"> </t>
    </r>
    <r>
      <rPr>
        <sz val="10"/>
        <color rgb="FF000000"/>
        <rFont val="Arial Narrow"/>
      </rPr>
      <t>Promover acciones para la promoción de ambientes libres de violencia, igualdad de oportunidades entre los miembros de la comunidad universitaria.</t>
    </r>
  </si>
  <si>
    <t>Acciones para la promoción de ambientes libres de violencia, igualdad de oportunidades entre los miembros de la comunidad universitaria, promovidos.</t>
  </si>
  <si>
    <t>N° de acciones de promoción de espacios libres de violencia e igualdad de oportunidades, promovidos.</t>
  </si>
  <si>
    <r>
      <rPr>
        <b/>
        <sz val="9"/>
        <color rgb="FF000000"/>
        <rFont val="Century"/>
      </rPr>
      <t>1.-</t>
    </r>
    <r>
      <rPr>
        <sz val="10"/>
        <color rgb="FF000000"/>
        <rFont val="Arial Narrow"/>
      </rPr>
      <t xml:space="preserve"> Difundir post sobre la importancia de las denuncias en casos de discriminación y desigualdad.</t>
    </r>
  </si>
  <si>
    <r>
      <rPr>
        <b/>
        <sz val="9"/>
        <color rgb="FF000000"/>
        <rFont val="Century"/>
      </rPr>
      <t>1.-</t>
    </r>
    <r>
      <rPr>
        <sz val="10"/>
        <color rgb="FF000000"/>
        <rFont val="Arial Narrow"/>
      </rPr>
      <t xml:space="preserve"> Publicación del post.</t>
    </r>
  </si>
  <si>
    <t>* Lcdo. Carlos Carchi,
  Psicólogo Educativo
* Psic. Cintia Vaca,
  Psicólogo Educativo</t>
  </si>
  <si>
    <t>Bienes Artísticos, Culturales, Deportivos y Símbolos Patrios</t>
  </si>
  <si>
    <t>ADQUISICIÓN DE BIENES DEPORTIVOS PARA LA UNIDAD DE BIENESTAR UNIVERSITARIO, ARTE Y CULTURA</t>
  </si>
  <si>
    <t>Instalación, Readecuación, Montaje de Exposiciones, Mantenimiento y Reparación de Espacios y Bienes Culturales</t>
  </si>
  <si>
    <t>Mantenimiento de monumento de los proceres</t>
  </si>
  <si>
    <r>
      <rPr>
        <b/>
        <sz val="9"/>
        <color rgb="FF000000"/>
        <rFont val="Century"/>
      </rPr>
      <t>8.-</t>
    </r>
    <r>
      <rPr>
        <b/>
        <sz val="10"/>
        <color rgb="FF000000"/>
        <rFont val="Arial Narrow"/>
      </rPr>
      <t xml:space="preserve"> </t>
    </r>
    <r>
      <rPr>
        <sz val="10"/>
        <color rgb="FF000000"/>
        <rFont val="Arial Narrow"/>
      </rPr>
      <t>Administrar el uso de los espacios físicos dedicados al expendio de alimentos, bebidas, fotocopiado y otros.</t>
    </r>
  </si>
  <si>
    <t>Uso de los espacios físicos dedicados al expendio de alimentos, bebidas, fotocopiado y otros, administrado y planificado.</t>
  </si>
  <si>
    <t>N° de espacios físicos dedicados al expendio de servicios a la comunidad universitaria.</t>
  </si>
  <si>
    <r>
      <rPr>
        <b/>
        <sz val="9"/>
        <color rgb="FF000000"/>
        <rFont val="Century"/>
      </rPr>
      <t>1.-</t>
    </r>
    <r>
      <rPr>
        <sz val="10"/>
        <color rgb="FF000000"/>
        <rFont val="Arial Narrow"/>
      </rPr>
      <t xml:space="preserve"> Verificar documentación de arrendatarios de espacios dedicados a expendio de alimentos, bebidas, fotocopiado y otros.</t>
    </r>
  </si>
  <si>
    <r>
      <rPr>
        <b/>
        <sz val="9"/>
        <color rgb="FF000000"/>
        <rFont val="Century"/>
      </rPr>
      <t>1.-</t>
    </r>
    <r>
      <rPr>
        <sz val="10"/>
        <color rgb="FF000000"/>
        <rFont val="Arial Narrow"/>
      </rPr>
      <t xml:space="preserve"> Informe de Espacios Físicos.</t>
    </r>
  </si>
  <si>
    <t>* Lcdo. Carlos Carchi,
  Psicólogo Educativo</t>
  </si>
  <si>
    <t>Ventiladores climatizadores vaporización centrifuga para:
Coliseo Universitario, ocho (8);
Patio de comidas ubicado frente a la FCE, tres (3);
Patio de comidas ubicado frente a la FCS, tres (3); y,
Patio de comidas ubicado en la FCA, dos (2).</t>
  </si>
  <si>
    <t>10. Gestionar actividades socio-recreativas que mejoren la identificación y sentido de pertenencia del servidor universitario.</t>
  </si>
  <si>
    <r>
      <rPr>
        <b/>
        <sz val="9"/>
        <color rgb="FF000000"/>
        <rFont val="Century"/>
      </rPr>
      <t>9.-</t>
    </r>
    <r>
      <rPr>
        <b/>
        <sz val="10"/>
        <color rgb="FF000000"/>
        <rFont val="Arial Narrow"/>
      </rPr>
      <t xml:space="preserve"> </t>
    </r>
    <r>
      <rPr>
        <sz val="10"/>
        <color rgb="FF000000"/>
        <rFont val="Arial Narrow"/>
      </rPr>
      <t>Gestionar programas para estimular el desempeño de las y los estudiantes en la práctica de actividades científicas, deportivas y culturales.</t>
    </r>
  </si>
  <si>
    <t>Programas para estimular el desempeño de las y los estudiantes en la práctica de actividades científicas, deportivas y culturales, gestionado.</t>
  </si>
  <si>
    <t>N° de programas científicos, deportivos y culturales, ejecutados.</t>
  </si>
  <si>
    <r>
      <rPr>
        <b/>
        <sz val="9"/>
        <color rgb="FF000000"/>
        <rFont val="Century"/>
      </rPr>
      <t>1.-</t>
    </r>
    <r>
      <rPr>
        <sz val="10"/>
        <color rgb="FF000000"/>
        <rFont val="Arial Narrow"/>
      </rPr>
      <t xml:space="preserve"> Ejecutar carrera atlética </t>
    </r>
    <r>
      <rPr>
        <sz val="10"/>
        <color rgb="FF000000"/>
        <rFont val="Century"/>
      </rPr>
      <t>5</t>
    </r>
    <r>
      <rPr>
        <sz val="10"/>
        <color rgb="FF000000"/>
        <rFont val="Arial Narrow"/>
      </rPr>
      <t xml:space="preserve">K.
</t>
    </r>
    <r>
      <rPr>
        <b/>
        <sz val="9"/>
        <color rgb="FF000000"/>
        <rFont val="Century"/>
      </rPr>
      <t>2.-</t>
    </r>
    <r>
      <rPr>
        <sz val="10"/>
        <color rgb="FF000000"/>
        <rFont val="Arial Narrow"/>
      </rPr>
      <t xml:space="preserve"> Inaugurar juegos deportivos estudiantiles.</t>
    </r>
  </si>
  <si>
    <r>
      <rPr>
        <b/>
        <sz val="9"/>
        <color rgb="FF000000"/>
        <rFont val="Century"/>
      </rPr>
      <t>1.-</t>
    </r>
    <r>
      <rPr>
        <sz val="10"/>
        <color rgb="FF000000"/>
        <rFont val="Arial Narrow"/>
      </rPr>
      <t xml:space="preserve"> Convocatoria de eventos.</t>
    </r>
  </si>
  <si>
    <t>* Lcdo. Marco Poma,
  Analista Deportivo
* Ec. Jaime Barrezueta,
  Analista Deportivo
* Lcdo. Jonny Carrasco,
  Analista Deportivo</t>
  </si>
  <si>
    <t>43913.01.1</t>
  </si>
  <si>
    <t>AIRE ACONDICIONADO 12,000BTU</t>
  </si>
  <si>
    <t>BEBEDEROS DE AGUA PURIFICADA</t>
  </si>
  <si>
    <t>BASES MÓVILES REGLAMENTARIAS PARA BASQUET</t>
  </si>
  <si>
    <r>
      <rPr>
        <b/>
        <sz val="9"/>
        <color rgb="FF000000"/>
        <rFont val="Century"/>
      </rPr>
      <t>10.-</t>
    </r>
    <r>
      <rPr>
        <b/>
        <sz val="10"/>
        <color rgb="FF000000"/>
        <rFont val="Arial Narrow"/>
      </rPr>
      <t xml:space="preserve"> </t>
    </r>
    <r>
      <rPr>
        <sz val="10"/>
        <color rgb="FF000000"/>
        <rFont val="Arial Narrow"/>
      </rPr>
      <t>Direccionar denuncias respectivas, a las instancias institucionales competentes, en caso de delitos sexuales u otros que atenten a los derechos de los miembros de la comunidad universitaria.</t>
    </r>
  </si>
  <si>
    <t>Denuncias respectivas, a las instancias institucionales competentes, en caso de delitos sexuales u otros que atenten a los derechos de los miembros de la comunidad universitaria, direccionadas.</t>
  </si>
  <si>
    <t>N° de denuncias en caso de delitos sexuales u otros que atenten a los derechos de los miembros de la comunidad universitaria, recibidas.</t>
  </si>
  <si>
    <r>
      <rPr>
        <b/>
        <sz val="9"/>
        <color rgb="FF000000"/>
        <rFont val="Century"/>
      </rPr>
      <t>1.-</t>
    </r>
    <r>
      <rPr>
        <sz val="10"/>
        <color rgb="FF000000"/>
        <rFont val="Arial Narrow"/>
      </rPr>
      <t xml:space="preserve"> Activar Protocolo de Violencia y Abuso que atenten contra los derechos de los miembros de la comunidad universitaria.</t>
    </r>
  </si>
  <si>
    <r>
      <rPr>
        <b/>
        <sz val="9"/>
        <color rgb="FF000000"/>
        <rFont val="Century"/>
      </rPr>
      <t>1.-</t>
    </r>
    <r>
      <rPr>
        <sz val="10"/>
        <color rgb="FF000000"/>
        <rFont val="Arial Narrow"/>
      </rPr>
      <t xml:space="preserve"> Informe emitido de casos atendidos.</t>
    </r>
  </si>
  <si>
    <t>* Lcdo. Jorge Villacís,
  Director de la DBU
* Psci. Marela Gómez,
  Psicóloga Clínica DBU</t>
  </si>
  <si>
    <r>
      <rPr>
        <b/>
        <sz val="9"/>
        <color rgb="FF000000"/>
        <rFont val="Century"/>
      </rPr>
      <t>11.-</t>
    </r>
    <r>
      <rPr>
        <sz val="10"/>
        <color rgb="FF000000"/>
        <rFont val="Arial Narrow"/>
      </rPr>
      <t xml:space="preserve"> Entregar la Planificación Operativa Anual y Evaluación de la Planificación Operativa Anual.</t>
    </r>
  </si>
  <si>
    <t>N° de planificaciones anuales y evaluaciones del POA entregadas oportunamente.</t>
  </si>
  <si>
    <r>
      <rPr>
        <b/>
        <sz val="9"/>
        <color rgb="FF000000"/>
        <rFont val="Century"/>
      </rPr>
      <t>1.-</t>
    </r>
    <r>
      <rPr>
        <sz val="10"/>
        <color rgb="FF000000"/>
        <rFont val="Arial Narrow"/>
      </rPr>
      <t xml:space="preserve"> Elaborar el POA </t>
    </r>
    <r>
      <rPr>
        <sz val="10"/>
        <color rgb="FF000000"/>
        <rFont val="Century"/>
      </rPr>
      <t xml:space="preserve">2024.
</t>
    </r>
    <r>
      <rPr>
        <b/>
        <sz val="9"/>
        <color rgb="FF000000"/>
        <rFont val="Century"/>
      </rPr>
      <t>2.-</t>
    </r>
    <r>
      <rPr>
        <sz val="10"/>
        <color rgb="FF000000"/>
        <rFont val="Arial Narrow"/>
      </rPr>
      <t xml:space="preserve"> Evaluar el POA </t>
    </r>
    <r>
      <rPr>
        <sz val="10"/>
        <color rgb="FF000000"/>
        <rFont val="Century"/>
      </rPr>
      <t>2023.</t>
    </r>
  </si>
  <si>
    <r>
      <rPr>
        <b/>
        <sz val="9"/>
        <color rgb="FF000000"/>
        <rFont val="Century"/>
      </rPr>
      <t>1.-</t>
    </r>
    <r>
      <rPr>
        <sz val="10"/>
        <color rgb="FF000000"/>
        <rFont val="Arial Narrow"/>
      </rPr>
      <t xml:space="preserve"> POA </t>
    </r>
    <r>
      <rPr>
        <sz val="10"/>
        <color rgb="FF000000"/>
        <rFont val="Century"/>
      </rPr>
      <t xml:space="preserve">2024.
</t>
    </r>
    <r>
      <rPr>
        <b/>
        <sz val="9"/>
        <color rgb="FF000000"/>
        <rFont val="Century"/>
      </rPr>
      <t>2.-</t>
    </r>
    <r>
      <rPr>
        <sz val="10"/>
        <color rgb="FF000000"/>
        <rFont val="Arial Narrow"/>
      </rPr>
      <t xml:space="preserve"> Evaluación del POA </t>
    </r>
    <r>
      <rPr>
        <sz val="10"/>
        <color rgb="FF000000"/>
        <rFont val="Century"/>
      </rPr>
      <t>2023.</t>
    </r>
  </si>
  <si>
    <t>* Lcdo. Jorge Villacís,
  Director de la Dirección de Bienestar Universitario
* Ing. Heiser Barreto,
  Auxiliar administrativo</t>
  </si>
  <si>
    <r>
      <rPr>
        <b/>
        <sz val="9"/>
        <color rgb="FF000000"/>
        <rFont val="Century"/>
      </rPr>
      <t>12.-</t>
    </r>
    <r>
      <rPr>
        <sz val="10"/>
        <color rgb="FF000000"/>
        <rFont val="Arial Narrow"/>
      </rPr>
      <t xml:space="preserve"> Organizar el Archivo de Gestión.</t>
    </r>
  </si>
  <si>
    <t>N° de Archivos de Gestión organizado.</t>
  </si>
  <si>
    <r>
      <rPr>
        <b/>
        <sz val="9"/>
        <color rgb="FF000000"/>
        <rFont val="Century"/>
      </rPr>
      <t>1.-</t>
    </r>
    <r>
      <rPr>
        <sz val="10"/>
        <color rgb="FF000000"/>
        <rFont val="Arial Narrow"/>
      </rPr>
      <t xml:space="preserve"> Organizar Archivos de gestión.</t>
    </r>
  </si>
  <si>
    <r>
      <rPr>
        <b/>
        <sz val="9"/>
        <color rgb="FF000000"/>
        <rFont val="Century"/>
      </rPr>
      <t>1.-</t>
    </r>
    <r>
      <rPr>
        <sz val="10"/>
        <color rgb="FF000000"/>
        <rFont val="Arial Narrow"/>
      </rPr>
      <t xml:space="preserve"> Inventario documental.</t>
    </r>
  </si>
  <si>
    <t>* Ing. Heiser Barreto,
  Auxiliar administrativo</t>
  </si>
  <si>
    <t>TOTAL PRESUPUESTO ESTIMATIVO DIRECCIÓN DE BIENESTAR UNIVERSITARIO, ARTE Y CULTURA 2023:</t>
  </si>
  <si>
    <t>UNIDAD DE SERVICIOS DE ASISTENCIA SOCIAL</t>
  </si>
  <si>
    <r>
      <rPr>
        <b/>
        <sz val="10"/>
        <color rgb="FFFF0000"/>
        <rFont val="Arial Narrow"/>
      </rPr>
      <t xml:space="preserve">METAS OPERATIVAS
</t>
    </r>
    <r>
      <rPr>
        <b/>
        <sz val="9"/>
        <color rgb="FF000000"/>
        <rFont val="Century"/>
      </rPr>
      <t>1.-</t>
    </r>
    <r>
      <rPr>
        <b/>
        <sz val="10"/>
        <color rgb="FF000000"/>
        <rFont val="Arial Narrow"/>
      </rPr>
      <t xml:space="preserve"> </t>
    </r>
    <r>
      <rPr>
        <sz val="10"/>
        <color rgb="FF000000"/>
        <rFont val="Arial Narrow"/>
      </rPr>
      <t>Brindar asesoramiento al personal técnico de las áreas involucradas en la sección de asistencia social.</t>
    </r>
  </si>
  <si>
    <t>Asesoramiento al personal técnico de las áreas involucradas en la sección de asistencia social, efectuado.</t>
  </si>
  <si>
    <t xml:space="preserve">N° de asesoramientos al personal técnico de las áreas involucradas en la sección de asistencia social, efectuado. </t>
  </si>
  <si>
    <r>
      <rPr>
        <b/>
        <sz val="9"/>
        <color rgb="FF000000"/>
        <rFont val="Century"/>
      </rPr>
      <t>1.-</t>
    </r>
    <r>
      <rPr>
        <sz val="10"/>
        <color rgb="FF000000"/>
        <rFont val="Arial Narrow"/>
      </rPr>
      <t xml:space="preserve"> Coordinar charlas de asesoramiento técnico.
</t>
    </r>
    <r>
      <rPr>
        <b/>
        <sz val="9"/>
        <color rgb="FF000000"/>
        <rFont val="Century"/>
      </rPr>
      <t>2.-</t>
    </r>
    <r>
      <rPr>
        <sz val="10"/>
        <color rgb="FF000000"/>
        <rFont val="Arial Narrow"/>
      </rPr>
      <t xml:space="preserve"> Elaborar el plan de trabajo.</t>
    </r>
  </si>
  <si>
    <r>
      <rPr>
        <b/>
        <sz val="9"/>
        <color rgb="FF000000"/>
        <rFont val="Century"/>
      </rPr>
      <t>1.-</t>
    </r>
    <r>
      <rPr>
        <sz val="10"/>
        <color rgb="FF000000"/>
        <rFont val="Arial Narrow"/>
      </rPr>
      <t xml:space="preserve"> Memoria Fotográfica.
</t>
    </r>
    <r>
      <rPr>
        <b/>
        <sz val="9"/>
        <color rgb="FF000000"/>
        <rFont val="Century"/>
      </rPr>
      <t>2.-</t>
    </r>
    <r>
      <rPr>
        <sz val="10"/>
        <color rgb="FF000000"/>
        <rFont val="Arial Narrow"/>
      </rPr>
      <t xml:space="preserve"> Registro y/o Informe de actividad realizada.</t>
    </r>
  </si>
  <si>
    <t>* Lcdo. Carlos Julio Carchi Cuenca,
  Jefe de la Unidad de Servicios de Asistencia Social</t>
  </si>
  <si>
    <r>
      <rPr>
        <b/>
        <sz val="9"/>
        <color rgb="FF000000"/>
        <rFont val="Century"/>
      </rPr>
      <t>2.-</t>
    </r>
    <r>
      <rPr>
        <sz val="10"/>
        <color rgb="FF000000"/>
        <rFont val="Arial Narrow"/>
      </rPr>
      <t xml:space="preserve"> Prestar servicios de asistencia social y otros relacionados con el Bienestar Universitario.</t>
    </r>
  </si>
  <si>
    <t>Servicios de los espacios dedicados al expendio de alimentos, bebidas, fotocopiado y otros, coordinado.</t>
  </si>
  <si>
    <t>N° de informes de servicios y de los espacios dedicados al expendio de alimentos, bebidas, fotocopiado y otros, coordinado.</t>
  </si>
  <si>
    <t>1.- Visitar servicios y de los espacios dedicados al expendio de alimentos, bebidas, fotocopiado y otros.
2.- Verificar documentación de servicios y de los espacios dedicados al expendio de alimentos, bebidas, fotocopiado y otros.</t>
  </si>
  <si>
    <t>1.- Informe de la actividad realizada.</t>
  </si>
  <si>
    <t>27160.01.1</t>
  </si>
  <si>
    <t xml:space="preserve">Adquisición de carpas con estructura galvanizada </t>
  </si>
  <si>
    <t>Medicamentos</t>
  </si>
  <si>
    <t>OXIALVULAM TABLETAS RECUBIERTAS</t>
  </si>
  <si>
    <t>AMOXICILINA SOLIDO ORAL</t>
  </si>
  <si>
    <t>CLOTRIMAZOL CREMA</t>
  </si>
  <si>
    <t>FEBROXIAL SUSPENSION</t>
  </si>
  <si>
    <t>GASTRINOX</t>
  </si>
  <si>
    <t>OMEPRAZOL CAPSULAS</t>
  </si>
  <si>
    <t>SULFADIAZINA DE PLATA CREMA TÓPICA</t>
  </si>
  <si>
    <t>KETODERM PLUS CREMA</t>
  </si>
  <si>
    <t>CLORTALIDONA TABLETAS RECUBIERTAS</t>
  </si>
  <si>
    <t>LEVIDOX TABLETAS RECUBIERTAS</t>
  </si>
  <si>
    <t>GEMFIBROZILO TABLETAS</t>
  </si>
  <si>
    <t>SIMVASTATINA TABLETAS</t>
  </si>
  <si>
    <t>AZITROMICINA POLVO PARA SUSPENSION</t>
  </si>
  <si>
    <t>ATENOLOL TABLETAS</t>
  </si>
  <si>
    <t>LEVETIROX TABLETAS RECUBIERTAS</t>
  </si>
  <si>
    <t>OXIALFERROM SOLUCION INYECTABLE</t>
  </si>
  <si>
    <t>RISPEROXIAL SUSPENSION ORAL</t>
  </si>
  <si>
    <t>TRAMADOXIAL SOLUCION ORAL</t>
  </si>
  <si>
    <t>OX-PLAQ TABLETAS RECUBIERTAS</t>
  </si>
  <si>
    <t>CORAZOX AMLO</t>
  </si>
  <si>
    <t>PARACETAMOL TABLETAS</t>
  </si>
  <si>
    <t>IBUPROFENO TABLETAS</t>
  </si>
  <si>
    <t>TINIDOXIAL OVULOS</t>
  </si>
  <si>
    <t>METRONIDAZOL OVULOS</t>
  </si>
  <si>
    <r>
      <rPr>
        <b/>
        <sz val="9"/>
        <color rgb="FF000000"/>
        <rFont val="Century"/>
      </rPr>
      <t>3.-</t>
    </r>
    <r>
      <rPr>
        <sz val="10"/>
        <color rgb="FF000000"/>
        <rFont val="Arial Narrow"/>
      </rPr>
      <t xml:space="preserve"> Ejecutar el proceso para la activación del seguro de vida y accidentes personales.</t>
    </r>
  </si>
  <si>
    <t>Control de la ejecución de los programas de acción social y afirmativa de la UTMACH, efectuados.</t>
  </si>
  <si>
    <r>
      <rPr>
        <b/>
        <sz val="9"/>
        <color rgb="FF000000"/>
        <rFont val="Century"/>
      </rPr>
      <t>1.-</t>
    </r>
    <r>
      <rPr>
        <sz val="10"/>
        <color rgb="FF000000"/>
        <rFont val="Arial Narrow"/>
      </rPr>
      <t xml:space="preserve"> Coordinar atención seguro de vida y accidentes personal.
</t>
    </r>
    <r>
      <rPr>
        <b/>
        <sz val="9"/>
        <color rgb="FF000000"/>
        <rFont val="Century"/>
      </rPr>
      <t>2.-</t>
    </r>
    <r>
      <rPr>
        <sz val="10"/>
        <color rgb="FF000000"/>
        <rFont val="Arial Narrow"/>
      </rPr>
      <t xml:space="preserve"> Verificar atención de seguro de vida y accidentes personales.</t>
    </r>
  </si>
  <si>
    <r>
      <rPr>
        <b/>
        <sz val="9"/>
        <color rgb="FF000000"/>
        <rFont val="Century"/>
      </rPr>
      <t>4.-</t>
    </r>
    <r>
      <rPr>
        <b/>
        <sz val="10"/>
        <color rgb="FF000000"/>
        <rFont val="Arial Narrow"/>
      </rPr>
      <t xml:space="preserve"> </t>
    </r>
    <r>
      <rPr>
        <sz val="10"/>
        <color rgb="FF000000"/>
        <rFont val="Arial Narrow"/>
      </rPr>
      <t>Diseñar instrumentos técnicos para el análisis de los postulantes a los beneficios de becas y ayudas económicas.</t>
    </r>
  </si>
  <si>
    <t>Instrumentos técnicos para el análisis de los postulantes a los beneficios de becas y ayudas económicas, diseñados.</t>
  </si>
  <si>
    <r>
      <rPr>
        <b/>
        <sz val="9"/>
        <color rgb="FF000000"/>
        <rFont val="Century"/>
      </rPr>
      <t>1.-</t>
    </r>
    <r>
      <rPr>
        <sz val="10"/>
        <color rgb="FF000000"/>
        <rFont val="Arial Narrow"/>
      </rPr>
      <t xml:space="preserve"> Analizar documentación de postulantes.
</t>
    </r>
    <r>
      <rPr>
        <b/>
        <sz val="9"/>
        <color rgb="FF000000"/>
        <rFont val="Century"/>
      </rPr>
      <t>2.-</t>
    </r>
    <r>
      <rPr>
        <sz val="10"/>
        <color rgb="FF000000"/>
        <rFont val="Arial Narrow"/>
      </rPr>
      <t xml:space="preserve"> Verificar documentos de postulantes.</t>
    </r>
  </si>
  <si>
    <r>
      <rPr>
        <b/>
        <sz val="9"/>
        <color rgb="FF000000"/>
        <rFont val="Century"/>
      </rPr>
      <t>1.-</t>
    </r>
    <r>
      <rPr>
        <sz val="10"/>
        <color rgb="FF000000"/>
        <rFont val="Arial Narrow"/>
      </rPr>
      <t xml:space="preserve"> Instrumentos</t>
    </r>
    <r>
      <rPr>
        <sz val="10"/>
        <color rgb="FFFF0000"/>
        <rFont val="Arial Narrow"/>
      </rPr>
      <t xml:space="preserve"> </t>
    </r>
    <r>
      <rPr>
        <sz val="10"/>
        <color rgb="FF000000"/>
        <rFont val="Arial Narrow"/>
      </rPr>
      <t>técnicos para el análisis de los postulantes a los beneficios de becas y ayudas económicas diseñados.</t>
    </r>
  </si>
  <si>
    <r>
      <rPr>
        <b/>
        <sz val="9"/>
        <color rgb="FF000000"/>
        <rFont val="Century"/>
      </rPr>
      <t>5.-</t>
    </r>
    <r>
      <rPr>
        <b/>
        <sz val="10"/>
        <color rgb="FF000000"/>
        <rFont val="Arial Narrow"/>
      </rPr>
      <t xml:space="preserve"> </t>
    </r>
    <r>
      <rPr>
        <sz val="10"/>
        <color rgb="FF000000"/>
        <rFont val="Arial Narrow"/>
      </rPr>
      <t>Coordinar la ejecución de planes, programas y proyectos de las áreas de trabajo social, psicología, deporte y recreación.</t>
    </r>
  </si>
  <si>
    <t>Ejecución de planes, programas y proyectos de las áreas de trabajo social, psicología, deporte y recreación, coordinados.</t>
  </si>
  <si>
    <t>N° de planes, programas y proyectos de las áreas de trabajo social, psicología, deporte y recreación, coordinadas.</t>
  </si>
  <si>
    <r>
      <rPr>
        <b/>
        <sz val="9"/>
        <color rgb="FF000000"/>
        <rFont val="Century"/>
      </rPr>
      <t>1.-</t>
    </r>
    <r>
      <rPr>
        <sz val="10"/>
        <color rgb="FF000000"/>
        <rFont val="Arial Narrow"/>
      </rPr>
      <t xml:space="preserve"> Ejecutar carrera atlética </t>
    </r>
    <r>
      <rPr>
        <sz val="10"/>
        <color rgb="FF000000"/>
        <rFont val="Century"/>
      </rPr>
      <t>5</t>
    </r>
    <r>
      <rPr>
        <sz val="10"/>
        <color rgb="FF000000"/>
        <rFont val="Arial Narrow"/>
      </rPr>
      <t xml:space="preserve">K.
</t>
    </r>
    <r>
      <rPr>
        <b/>
        <sz val="9"/>
        <color rgb="FF000000"/>
        <rFont val="Century"/>
      </rPr>
      <t>2.-</t>
    </r>
    <r>
      <rPr>
        <sz val="10"/>
        <color rgb="FF000000"/>
        <rFont val="Arial Narrow"/>
      </rPr>
      <t xml:space="preserve"> Inaugurar juegos deportivos estudiantiles.
</t>
    </r>
    <r>
      <rPr>
        <b/>
        <sz val="9"/>
        <color rgb="FF000000"/>
        <rFont val="Century"/>
      </rPr>
      <t>3.-</t>
    </r>
    <r>
      <rPr>
        <sz val="10"/>
        <color rgb="FF000000"/>
        <rFont val="Arial Narrow"/>
      </rPr>
      <t xml:space="preserve"> Brindar atención médica, psicológica, odontológica y otros.</t>
    </r>
  </si>
  <si>
    <r>
      <rPr>
        <b/>
        <sz val="9"/>
        <color rgb="FF000000"/>
        <rFont val="Century"/>
      </rPr>
      <t>1.-</t>
    </r>
    <r>
      <rPr>
        <sz val="10"/>
        <color rgb="FF000000"/>
        <rFont val="Arial Narrow"/>
      </rPr>
      <t xml:space="preserve"> Convocatoria de eventos.
</t>
    </r>
    <r>
      <rPr>
        <b/>
        <sz val="9"/>
        <color rgb="FF000000"/>
        <rFont val="Century"/>
      </rPr>
      <t>2.-</t>
    </r>
    <r>
      <rPr>
        <sz val="10"/>
        <color rgb="FF000000"/>
        <rFont val="Arial Narrow"/>
      </rPr>
      <t xml:space="preserve"> Memoria Fotográfica.
</t>
    </r>
    <r>
      <rPr>
        <b/>
        <sz val="9"/>
        <color rgb="FF000000"/>
        <rFont val="Century"/>
      </rPr>
      <t>3.-</t>
    </r>
    <r>
      <rPr>
        <sz val="10"/>
        <color rgb="FF000000"/>
        <rFont val="Arial Narrow"/>
      </rPr>
      <t xml:space="preserve"> Registros de atención.</t>
    </r>
  </si>
  <si>
    <t>* Lcda. Jenny Reyes,
  Trabajadora Social
* Lcdo. Homer Riofrío,
  Trabajador Social
* Lcdo. Carlos Carchi,
  Psicólogo Educativo
* Lcdo. Marco Poma,
  Analista Deportivo
* Ec. Jaime Barrezueta,
  Analista Deportivo</t>
  </si>
  <si>
    <r>
      <rPr>
        <b/>
        <sz val="9"/>
        <color rgb="FF000000"/>
        <rFont val="Century"/>
      </rPr>
      <t>6.-</t>
    </r>
    <r>
      <rPr>
        <sz val="10"/>
        <color rgb="FF000000"/>
        <rFont val="Arial Narrow"/>
      </rPr>
      <t xml:space="preserve"> Validar de requisitos para el otorgamiento de becas y ayudas económicas para los estudiantes regulares.</t>
    </r>
  </si>
  <si>
    <t>Estudios socioeconómicos para el otorgamiento de becas y ayudas económicas a los estudiantes, efectuados.</t>
  </si>
  <si>
    <t>N° de fichas validadas para el otorgamiento de becas y ayudas económicas, efectuadas.</t>
  </si>
  <si>
    <r>
      <rPr>
        <b/>
        <sz val="9"/>
        <color rgb="FF000000"/>
        <rFont val="Century"/>
      </rPr>
      <t>1.-</t>
    </r>
    <r>
      <rPr>
        <sz val="10"/>
        <color rgb="FF000000"/>
        <rFont val="Arial Narrow"/>
      </rPr>
      <t xml:space="preserve"> Calificar fichas de estudio socioeconómico.</t>
    </r>
  </si>
  <si>
    <r>
      <rPr>
        <b/>
        <sz val="9"/>
        <color rgb="FF000000"/>
        <rFont val="Century"/>
      </rPr>
      <t>1.-</t>
    </r>
    <r>
      <rPr>
        <sz val="10"/>
        <color rgb="FF000000"/>
        <rFont val="Arial Narrow"/>
      </rPr>
      <t xml:space="preserve"> Registro de beneficiarios de becas y ayudas económicas.
</t>
    </r>
    <r>
      <rPr>
        <b/>
        <sz val="9"/>
        <color rgb="FF000000"/>
        <rFont val="Century"/>
      </rPr>
      <t>2.-</t>
    </r>
    <r>
      <rPr>
        <sz val="10"/>
        <color rgb="FF000000"/>
        <rFont val="Arial Narrow"/>
      </rPr>
      <t xml:space="preserve"> Informe de pago de beneficiarios de becas y ayudas económicas.</t>
    </r>
  </si>
  <si>
    <r>
      <rPr>
        <b/>
        <sz val="9"/>
        <color rgb="FF000000"/>
        <rFont val="Century"/>
      </rPr>
      <t>7.-</t>
    </r>
    <r>
      <rPr>
        <b/>
        <sz val="10"/>
        <color rgb="FF000000"/>
        <rFont val="Arial Narrow"/>
      </rPr>
      <t xml:space="preserve"> </t>
    </r>
    <r>
      <rPr>
        <sz val="10"/>
        <color rgb="FF000000"/>
        <rFont val="Arial Narrow"/>
      </rPr>
      <t>Coordinar el asesoramiento para el proceso de adaptaciones curriculares de las y los estudiantes con necesidades educativas especiales.</t>
    </r>
  </si>
  <si>
    <t>Asesoramiento para el proceso de adaptaciones curriculares de las y los estudiantes con necesidades educativas especiales, coordinado.</t>
  </si>
  <si>
    <t>N° de asesoramientos para el proceso de adaptaciones curriculares de las y los estudiantes con necesidades educativas especiales, coordinado.</t>
  </si>
  <si>
    <r>
      <rPr>
        <b/>
        <sz val="9"/>
        <color rgb="FF000000"/>
        <rFont val="Century"/>
      </rPr>
      <t>1.-</t>
    </r>
    <r>
      <rPr>
        <sz val="10"/>
        <color rgb="FF000000"/>
        <rFont val="Arial Narrow"/>
      </rPr>
      <t xml:space="preserve"> Elaborar adaptaciones curriculares de los y las estudiantes con necesidades educativas especiales.</t>
    </r>
  </si>
  <si>
    <r>
      <rPr>
        <b/>
        <sz val="9"/>
        <color rgb="FF000000"/>
        <rFont val="Century"/>
      </rPr>
      <t>1.-</t>
    </r>
    <r>
      <rPr>
        <sz val="10"/>
        <color rgb="FF000000"/>
        <rFont val="Arial Narrow"/>
      </rPr>
      <t xml:space="preserve"> Registro de adaptaciones curriculares de los y las estudiantes con necesidades educativas especiales.</t>
    </r>
  </si>
  <si>
    <r>
      <rPr>
        <b/>
        <sz val="9"/>
        <color rgb="FF000000"/>
        <rFont val="Century"/>
      </rPr>
      <t>8.-</t>
    </r>
    <r>
      <rPr>
        <sz val="10"/>
        <color rgb="FF000000"/>
        <rFont val="Arial Narrow"/>
      </rPr>
      <t xml:space="preserve"> Entregar la Planificación Operativa Anual y Evaluación de la Planificación Operativa Anual.</t>
    </r>
  </si>
  <si>
    <t>* Lcdo. Jorge Villacís,
  Director de la Dirección de Bienestar Universitario
* Ing. Heiser Barreto,
  Auxiliar Administrativo</t>
  </si>
  <si>
    <t>Materiales de Impresión, Fotografía, Reproducción y Publicaciones</t>
  </si>
  <si>
    <t>TINTA PARA IMPRESORA EPSON L355 ORIGINAL NEGRO Bk T6641</t>
  </si>
  <si>
    <t>TINTA PARA IMPRESORA EPSON L355 ORIGINAL CIAN T6642</t>
  </si>
  <si>
    <t>TINTA PARA IMPRESORA EPSON L355 ORIGINAL MAGENTA T6643</t>
  </si>
  <si>
    <t>TINTA PARA IMPRESORA EPSON L355 ORIGINAL AMARILLA T6644</t>
  </si>
  <si>
    <r>
      <rPr>
        <b/>
        <sz val="9"/>
        <color rgb="FF000000"/>
        <rFont val="Century"/>
      </rPr>
      <t>9.-</t>
    </r>
    <r>
      <rPr>
        <sz val="10"/>
        <color rgb="FF000000"/>
        <rFont val="Arial Narrow"/>
      </rPr>
      <t xml:space="preserve"> Organización del Archivo de Gestión.</t>
    </r>
  </si>
  <si>
    <t>N° de archivos de gestión organizados.</t>
  </si>
  <si>
    <t>* Ing. Heiser Barreto,
  Auxiliar Administrativo</t>
  </si>
  <si>
    <t>TOTAL PRESUPUESTO ESTIMATIVO UNIDAD DE SERVICIOS DE ASISTENCIA SOCIAL 2023:</t>
  </si>
  <si>
    <t>UNIDAD DE ARTE Y CULTURA</t>
  </si>
  <si>
    <r>
      <rPr>
        <b/>
        <sz val="10"/>
        <color rgb="FFFF0000"/>
        <rFont val="Arial Narrow"/>
      </rPr>
      <t xml:space="preserve">METAS OPERATIVAS
</t>
    </r>
    <r>
      <rPr>
        <b/>
        <sz val="9"/>
        <color rgb="FF000000"/>
        <rFont val="Century"/>
      </rPr>
      <t>1.-</t>
    </r>
    <r>
      <rPr>
        <sz val="10"/>
        <color rgb="FF000000"/>
        <rFont val="Arial Narrow"/>
      </rPr>
      <t xml:space="preserve"> Planificar la agenda cultural.</t>
    </r>
  </si>
  <si>
    <t>Planificación anual y mensual de las actividades, realizadas.</t>
  </si>
  <si>
    <t>N° de Planificación anual y mensual de las actividades, realizadas.</t>
  </si>
  <si>
    <r>
      <rPr>
        <b/>
        <sz val="9"/>
        <color rgb="FF000000"/>
        <rFont val="Century"/>
      </rPr>
      <t>1.-</t>
    </r>
    <r>
      <rPr>
        <sz val="10"/>
        <color rgb="FF000000"/>
        <rFont val="Arial Narrow"/>
      </rPr>
      <t xml:space="preserve"> Planificar mensualmente la Agenda Cultural.
</t>
    </r>
    <r>
      <rPr>
        <b/>
        <sz val="9"/>
        <color rgb="FF000000"/>
        <rFont val="Century"/>
      </rPr>
      <t>2.-</t>
    </r>
    <r>
      <rPr>
        <sz val="10"/>
        <color rgb="FF000000"/>
        <rFont val="Arial Narrow"/>
      </rPr>
      <t xml:space="preserve"> Verificar la publicación de la Agenda Cultural en DIRCOM.</t>
    </r>
  </si>
  <si>
    <r>
      <rPr>
        <b/>
        <sz val="9"/>
        <color rgb="FF000000"/>
        <rFont val="Century"/>
      </rPr>
      <t>1.-</t>
    </r>
    <r>
      <rPr>
        <sz val="10"/>
        <color rgb="FF000000"/>
        <rFont val="Arial Narrow"/>
      </rPr>
      <t xml:space="preserve"> Agenda Cultural publicada en la página Web de la UTMACH.</t>
    </r>
  </si>
  <si>
    <t>* Lic. Luis Angel Procel Guayara,
  Jefe de Cultura y Arte UTMACH
* Lic. Wilson Bacacela Altamirano,
  Promotor Cultural
* Lic. Jorge Cristobal Rodriguez Costa,
  Instructor de Coro
* Lic. Santiago Andres Rojas Bravo,
  Colaborador del Taller de Música
* Lic. Manuel de Jesús Herrera Ojeda
  Asistente Técnico de Música</t>
  </si>
  <si>
    <r>
      <rPr>
        <b/>
        <sz val="9"/>
        <color rgb="FF000000"/>
        <rFont val="Century"/>
      </rPr>
      <t>2.-</t>
    </r>
    <r>
      <rPr>
        <sz val="10"/>
        <color rgb="FF000000"/>
        <rFont val="Arial Narrow"/>
      </rPr>
      <t xml:space="preserve"> Coordinar la participación de los grupos artísticos.</t>
    </r>
  </si>
  <si>
    <t>Grupos culturales y de artes espaciales, temporales y espacio temporales, conformados.</t>
  </si>
  <si>
    <t>N° de participaciones de los grupos artísticos no planificados en la Agenda Cultural.</t>
  </si>
  <si>
    <r>
      <rPr>
        <b/>
        <sz val="9"/>
        <color rgb="FF000000"/>
        <rFont val="Century"/>
      </rPr>
      <t>1.-</t>
    </r>
    <r>
      <rPr>
        <sz val="10"/>
        <color rgb="FF000000"/>
        <rFont val="Arial Narrow"/>
      </rPr>
      <t xml:space="preserve"> Elaborar los permisos necesarios de los grupos artísticos ante las autoridades.
</t>
    </r>
    <r>
      <rPr>
        <b/>
        <sz val="9"/>
        <color rgb="FF000000"/>
        <rFont val="Century"/>
      </rPr>
      <t>2.-</t>
    </r>
    <r>
      <rPr>
        <sz val="10"/>
        <color rgb="FF000000"/>
        <rFont val="Arial Narrow"/>
      </rPr>
      <t xml:space="preserve"> Organizar las participaciones de los grupos artísticos con anticipación y mediante oficios.</t>
    </r>
  </si>
  <si>
    <r>
      <rPr>
        <b/>
        <sz val="9"/>
        <color rgb="FF000000"/>
        <rFont val="Century"/>
      </rPr>
      <t>1.-</t>
    </r>
    <r>
      <rPr>
        <sz val="10"/>
        <color rgb="FF000000"/>
        <rFont val="Arial Narrow"/>
      </rPr>
      <t xml:space="preserve"> Informe de las presentaciones coordinadas de los grupos artísticos del D.C.A UTMACH.
</t>
    </r>
    <r>
      <rPr>
        <b/>
        <sz val="9"/>
        <color rgb="FF000000"/>
        <rFont val="Century"/>
      </rPr>
      <t>2.-</t>
    </r>
    <r>
      <rPr>
        <sz val="10"/>
        <color rgb="FF000000"/>
        <rFont val="Arial Narrow"/>
      </rPr>
      <t xml:space="preserve"> Oficios.</t>
    </r>
  </si>
  <si>
    <t>* Lic. Luis Angel Procel Guayara,
  Jefe de Cultura y Arte UTMACH
* Lic. Wilson Bacacela Altamirano,
  Promotor Cultural
* Lic. Jorge Cristobal Rodriguez Costa,
  Instructor de Coro
* Lic. Santiago Andres Rojas Bravo,
  Colaborador del Taller de Música
* Lic. Manuel de Jesús Herrera Ojeda,
  Asistente Técnico de Música</t>
  </si>
  <si>
    <r>
      <rPr>
        <b/>
        <sz val="9"/>
        <color rgb="FF000000"/>
        <rFont val="Century"/>
      </rPr>
      <t>3.-</t>
    </r>
    <r>
      <rPr>
        <sz val="10"/>
        <color rgb="FF000000"/>
        <rFont val="Arial Narrow"/>
      </rPr>
      <t xml:space="preserve"> Ejecutar la Agenda Cultural.</t>
    </r>
  </si>
  <si>
    <t>Agenda de actividades ejecutadas.</t>
  </si>
  <si>
    <t>N° de Actividades de la Agenda cultural a realizar.</t>
  </si>
  <si>
    <t>1.- Presentar contenidos culturales elaborados y creados en el D.C.A.
2.- Coordinar con el departamento de comunicación para la creación de un video promocional para difusión de las actividades.</t>
  </si>
  <si>
    <t>1.- Reporte de la ejecución de la Agenda Cultural.
2.- Boletines de prensa difundidos en página web de la UTMACH y en los diferentes medios de comunicación locales, provinciales y regionales.</t>
  </si>
  <si>
    <t>* Lic. Luis Angel Procel Guayara,
  Jefe  de Cultura y Arte UTMACH
* Lic. Wilson Bacacela Altamirano,
  Promotor Cultural
* Lic. Jorge Cristobal Rodriguez Costa,
  Instructor de Coro
* Lic. Santiago Andres Rojas Bravo,
  Colaborador del Taller de Música
* Lic. Manuel de Jesús Herrera Ojeda,
  Asistente Técnico de Música</t>
  </si>
  <si>
    <t>Cartucho de Tinta Negro Extra Alta Capacidad Epson T748XXL- CODIGO DE TINTA - T748XXL120-AL</t>
  </si>
  <si>
    <t>Cartucho de Tinta Cian Extra Alta Capacidad Epson T748XXL - CODIGO TINTA-  T748XXL220-AL</t>
  </si>
  <si>
    <t>Cartucho de Tinta Magenta Extra Alta Capacidad Epson T748XXL - T748XXL320-AL</t>
  </si>
  <si>
    <t>Cartucho de Tinta Amarillo Extra Alta Capacidad Epson T748XXL - T748XXL420-AL</t>
  </si>
  <si>
    <r>
      <rPr>
        <b/>
        <sz val="9"/>
        <color rgb="FF000000"/>
        <rFont val="Century"/>
      </rPr>
      <t>4.-</t>
    </r>
    <r>
      <rPr>
        <sz val="10"/>
        <color rgb="FF000000"/>
        <rFont val="Arial Narrow"/>
      </rPr>
      <t xml:space="preserve"> Crear contenidos culturales para difusión en medios.</t>
    </r>
  </si>
  <si>
    <t>Contenidos Culturales creados para difusión en medios.</t>
  </si>
  <si>
    <t>N° de programas creados en audiovisuales y en boletines de prensa.</t>
  </si>
  <si>
    <r>
      <rPr>
        <b/>
        <sz val="9"/>
        <color rgb="FF000000"/>
        <rFont val="Century"/>
      </rPr>
      <t>1.-</t>
    </r>
    <r>
      <rPr>
        <sz val="10"/>
        <color rgb="FF000000"/>
        <rFont val="Arial Narrow"/>
      </rPr>
      <t xml:space="preserve"> Difundir los talleres que mantiene el D.C.A.</t>
    </r>
  </si>
  <si>
    <r>
      <rPr>
        <b/>
        <sz val="9"/>
        <color rgb="FF000000"/>
        <rFont val="Century"/>
      </rPr>
      <t>1.-</t>
    </r>
    <r>
      <rPr>
        <sz val="10"/>
        <color rgb="FF000000"/>
        <rFont val="Arial Narrow"/>
      </rPr>
      <t xml:space="preserve"> Reporte de guiones presentados.</t>
    </r>
  </si>
  <si>
    <t>* Lic. Luis Angel Procel Guayara,
  Jefe de Cultura y Arte UTMACH
* Lic. Wilson Bacacela Altamirano,
  Promotor Cultural</t>
  </si>
  <si>
    <r>
      <rPr>
        <b/>
        <sz val="9"/>
        <color rgb="FF000000"/>
        <rFont val="Century"/>
      </rPr>
      <t>5.-</t>
    </r>
    <r>
      <rPr>
        <sz val="10"/>
        <color rgb="FF000000"/>
        <rFont val="Arial Narrow"/>
      </rPr>
      <t xml:space="preserve"> Crear contenidos culturales para difusión en medios.</t>
    </r>
  </si>
  <si>
    <t>Actividades en materia de arte y cultura organizadas por las distintas facultades y/ o dependencias de la UTMACH, asistidas.</t>
  </si>
  <si>
    <t>N° de Actividades en materia de arte y cultura organizadas por las distintas facultades y/ o dependencias de la UTMACH., asistidas.</t>
  </si>
  <si>
    <r>
      <rPr>
        <b/>
        <sz val="9"/>
        <color rgb="FF000000"/>
        <rFont val="Century"/>
      </rPr>
      <t>1.-</t>
    </r>
    <r>
      <rPr>
        <sz val="10"/>
        <color rgb="FF000000"/>
        <rFont val="Arial Narrow"/>
      </rPr>
      <t xml:space="preserve"> Presentar contenidos culturales elaborados y creados en el D.C.A por las distintas facultades y/ o dependencias de la UTMACH.</t>
    </r>
  </si>
  <si>
    <r>
      <rPr>
        <b/>
        <sz val="9"/>
        <color rgb="FF000000"/>
        <rFont val="Century"/>
      </rPr>
      <t>1.-</t>
    </r>
    <r>
      <rPr>
        <sz val="10"/>
        <color rgb="FF000000"/>
        <rFont val="Arial Narrow"/>
      </rPr>
      <t xml:space="preserve"> Informe de actividades realizadas.</t>
    </r>
  </si>
  <si>
    <r>
      <rPr>
        <b/>
        <sz val="9"/>
        <color rgb="FF000000"/>
        <rFont val="Century"/>
      </rPr>
      <t>6.-</t>
    </r>
    <r>
      <rPr>
        <sz val="10"/>
        <color rgb="FF000000"/>
        <rFont val="Arial Narrow"/>
      </rPr>
      <t xml:space="preserve"> Gestionar las relaciones interinstitucionales que promueven la interculturalidad y la internacionalización.</t>
    </r>
  </si>
  <si>
    <t>Relaciones interinstitucionales que promueven la interculturalidad y la internacionalización, gestionadas.</t>
  </si>
  <si>
    <t>N° de grupos artísticos nacionales e internacionales conformados por distintas comunidades universitarias.</t>
  </si>
  <si>
    <r>
      <rPr>
        <b/>
        <sz val="9"/>
        <color rgb="FF000000"/>
        <rFont val="Century"/>
      </rPr>
      <t>1.-</t>
    </r>
    <r>
      <rPr>
        <sz val="10"/>
        <color rgb="FF000000"/>
        <rFont val="Arial Narrow"/>
      </rPr>
      <t xml:space="preserve"> Coordinar mediante oficios invitaciones a otra Instituciones Públicas.
</t>
    </r>
    <r>
      <rPr>
        <b/>
        <sz val="9"/>
        <color rgb="FF000000"/>
        <rFont val="Century"/>
      </rPr>
      <t>2.-</t>
    </r>
    <r>
      <rPr>
        <sz val="10"/>
        <color rgb="FF000000"/>
        <rFont val="Arial Narrow"/>
      </rPr>
      <t xml:space="preserve"> Dar a conocer los diferentes talleres del D.C.A mediante medios de comunicación.</t>
    </r>
  </si>
  <si>
    <r>
      <rPr>
        <b/>
        <sz val="9"/>
        <color rgb="FF000000"/>
        <rFont val="Century"/>
      </rPr>
      <t>1.-</t>
    </r>
    <r>
      <rPr>
        <sz val="10"/>
        <color rgb="FF000000"/>
        <rFont val="Arial Narrow"/>
      </rPr>
      <t xml:space="preserve"> Reporte de los eventos realizados.</t>
    </r>
  </si>
  <si>
    <r>
      <rPr>
        <b/>
        <sz val="9"/>
        <color rgb="FF000000"/>
        <rFont val="Century"/>
      </rPr>
      <t>7.-</t>
    </r>
    <r>
      <rPr>
        <sz val="10"/>
        <color rgb="FF000000"/>
        <rFont val="Arial Narrow"/>
      </rPr>
      <t xml:space="preserve"> Organizar el Archivo de Gestión.</t>
    </r>
  </si>
  <si>
    <t>N° de carpetas de la Documentación de la Dirección de Cultura y Arte, organizados y registrados en el Inventario documental.</t>
  </si>
  <si>
    <r>
      <rPr>
        <b/>
        <sz val="9"/>
        <color rgb="FF000000"/>
        <rFont val="Century"/>
      </rPr>
      <t>1.-</t>
    </r>
    <r>
      <rPr>
        <sz val="10"/>
        <color rgb="FF000000"/>
        <rFont val="Arial Narrow"/>
      </rPr>
      <t xml:space="preserve"> Seleccionar y clasificar la documentación.
</t>
    </r>
    <r>
      <rPr>
        <b/>
        <sz val="9"/>
        <color rgb="FF000000"/>
        <rFont val="Century"/>
      </rPr>
      <t>2.-</t>
    </r>
    <r>
      <rPr>
        <sz val="10"/>
        <color rgb="FF000000"/>
        <rFont val="Arial Narrow"/>
      </rPr>
      <t xml:space="preserve"> Describir la documentación según la norma ISAD-G.
</t>
    </r>
    <r>
      <rPr>
        <b/>
        <sz val="9"/>
        <color rgb="FF000000"/>
        <rFont val="Century"/>
      </rPr>
      <t>3.-</t>
    </r>
    <r>
      <rPr>
        <sz val="10"/>
        <color rgb="FF000000"/>
        <rFont val="Arial Narrow"/>
      </rPr>
      <t xml:space="preserve"> Proteger la documentación en la Dirección.
</t>
    </r>
    <r>
      <rPr>
        <b/>
        <sz val="9"/>
        <color rgb="FF000000"/>
        <rFont val="Century"/>
      </rPr>
      <t>4.-</t>
    </r>
    <r>
      <rPr>
        <sz val="10"/>
        <color rgb="FF000000"/>
        <rFont val="Arial Narrow"/>
      </rPr>
      <t xml:space="preserve"> Seleccionar y clasificar la documentación.
</t>
    </r>
    <r>
      <rPr>
        <b/>
        <sz val="9"/>
        <color rgb="FF000000"/>
        <rFont val="Century"/>
      </rPr>
      <t>5.-</t>
    </r>
    <r>
      <rPr>
        <sz val="10"/>
        <color rgb="FF000000"/>
        <rFont val="Arial Narrow"/>
      </rPr>
      <t xml:space="preserve"> Describir la documentación según la norma ISAD-G.
</t>
    </r>
    <r>
      <rPr>
        <b/>
        <sz val="9"/>
        <color rgb="FF000000"/>
        <rFont val="Century"/>
      </rPr>
      <t>6.-</t>
    </r>
    <r>
      <rPr>
        <sz val="10"/>
        <color rgb="FF000000"/>
        <rFont val="Arial Narrow"/>
      </rPr>
      <t xml:space="preserve"> Proteger la documentación en la Dirección.</t>
    </r>
  </si>
  <si>
    <t>* Lic. Luis Angel Procel Guayara,
  Jefe de Cultura y Arte
* Ing. Rocío Del Pilar Chuya Castro,
  Auxiliar Administrativa</t>
  </si>
  <si>
    <t>47331.05.1</t>
  </si>
  <si>
    <t>BAJO ACTIVOS LINE A- SUBLINE 218SA</t>
  </si>
  <si>
    <t>MEDIOS AGUDO ACTIVO - VIO L208</t>
  </si>
  <si>
    <t>CONSOLAS ANALOGICAS -FX16II</t>
  </si>
  <si>
    <t>CONSOLAS ANALOGICAS -SIGNATURE 22MTK</t>
  </si>
  <si>
    <t>CONSOLAS ANALÓGICAS-EPM6</t>
  </si>
  <si>
    <t>CAJAS DE PLÁSTICO- TRUESONIC TX310 USA</t>
  </si>
  <si>
    <t>Equipo de Percussion Sampling Pad</t>
  </si>
  <si>
    <t>CAJAS DE PLÁSTICO- XLITE 115A</t>
  </si>
  <si>
    <t>38350.01.1</t>
  </si>
  <si>
    <t>AMPLIFICADOR DE GUITARRA</t>
  </si>
  <si>
    <t>38340.01.1</t>
  </si>
  <si>
    <t>BATERÍAS ELECTRÓNICAS</t>
  </si>
  <si>
    <t>38350.00.1</t>
  </si>
  <si>
    <t>PEDALES DE BOMBO</t>
  </si>
  <si>
    <t>38119.00</t>
  </si>
  <si>
    <t>ASIENTOS</t>
  </si>
  <si>
    <t>GUITARRAS ACÚSTICAS</t>
  </si>
  <si>
    <t>SETS DE MANO-WMS 45 VOCAL SET BAND B2</t>
  </si>
  <si>
    <t>47331.00.1</t>
  </si>
  <si>
    <t>MICRÓFONO ALAMBRICO</t>
  </si>
  <si>
    <t>KIT DE MICROFONO PARA BATERIA</t>
  </si>
  <si>
    <t>46213.00.1</t>
  </si>
  <si>
    <t>CONSOLA ANÁLOGA</t>
  </si>
  <si>
    <t>BAJO ELECTRICO DE 5 CUERDAS</t>
  </si>
  <si>
    <t>PEDAL DE DISTORSION</t>
  </si>
  <si>
    <t>38310.00.1</t>
  </si>
  <si>
    <t xml:space="preserve">PIANO ELECTRÓNICO O SINTETIZADOR 5,6 O 7 OCTAVAS </t>
  </si>
  <si>
    <t>47402.02</t>
  </si>
  <si>
    <t>PARA VOCES PRINCIPAL- D5</t>
  </si>
  <si>
    <t>530812</t>
  </si>
  <si>
    <t>Materiales Didácticos</t>
  </si>
  <si>
    <t>Materiales para ejecución del Convenio del Centro de Desarrollo Infantil</t>
  </si>
  <si>
    <t>31700.11</t>
  </si>
  <si>
    <t>TARIMA 4X9</t>
  </si>
  <si>
    <t>48322.01</t>
  </si>
  <si>
    <t>CÁMARA FOTOGRÁFICA</t>
  </si>
  <si>
    <t>ESTABILIZADOR PARA CELULAR</t>
  </si>
  <si>
    <t>Espectáculos Culturales y Sociales</t>
  </si>
  <si>
    <t>TOTAL PRESUPUESTO ESTIMATIVO UNIDAD DE ARTE Y CULTURA 2023:</t>
  </si>
  <si>
    <t>HEISER BARRETO</t>
  </si>
  <si>
    <t>DIRECCIÓN DE ASEGURAMIENTO DE LA CALIDAD</t>
  </si>
  <si>
    <r>
      <t>Tipo de Contra</t>
    </r>
    <r>
      <rPr>
        <b/>
        <u/>
        <sz val="12"/>
        <color theme="1"/>
        <rFont val="Cambria"/>
        <family val="1"/>
      </rPr>
      <t>ta</t>
    </r>
    <r>
      <rPr>
        <b/>
        <sz val="12"/>
        <color theme="1"/>
        <rFont val="Cambria"/>
        <family val="1"/>
      </rPr>
      <t>ción</t>
    </r>
  </si>
  <si>
    <r>
      <rPr>
        <b/>
        <sz val="10"/>
        <color rgb="FFFF0000"/>
        <rFont val="Arial Narrow"/>
      </rPr>
      <t xml:space="preserve">META ESTRATÉGICA
</t>
    </r>
    <r>
      <rPr>
        <b/>
        <sz val="9"/>
        <color rgb="FF000000"/>
        <rFont val="Century"/>
      </rPr>
      <t>1.-</t>
    </r>
    <r>
      <rPr>
        <sz val="10"/>
        <color rgb="FF000000"/>
        <rFont val="Arial Narrow"/>
      </rPr>
      <t xml:space="preserve"> Mejorar el sistema de gestión de quejas y denuncias a través de la implementación de estándares de calidad internacionales.</t>
    </r>
  </si>
  <si>
    <t>Sistema de gestión de quejas y denuncias ejecutado</t>
  </si>
  <si>
    <t>Porcentaje de actualización del sistema de gestión de quejas y denuncias.</t>
  </si>
  <si>
    <r>
      <rPr>
        <b/>
        <sz val="9"/>
        <color rgb="FF000000"/>
        <rFont val="Arial Narrow"/>
      </rPr>
      <t>1.-</t>
    </r>
    <r>
      <rPr>
        <sz val="10"/>
        <color rgb="FF000000"/>
        <rFont val="Arial Narrow"/>
      </rPr>
      <t xml:space="preserve"> Monitorear la aplicación del Procedimiento para la administración de quejas.
</t>
    </r>
    <r>
      <rPr>
        <b/>
        <sz val="10"/>
        <color rgb="FF000000"/>
        <rFont val="Arial Narrow"/>
      </rPr>
      <t>2.-</t>
    </r>
    <r>
      <rPr>
        <sz val="10"/>
        <color rgb="FF000000"/>
        <rFont val="Arial Narrow"/>
      </rPr>
      <t xml:space="preserve"> Verificar la efectividad del tratamiento de las quejas y denuncias.</t>
    </r>
  </si>
  <si>
    <r>
      <rPr>
        <b/>
        <sz val="9"/>
        <color rgb="FF000000"/>
        <rFont val="Arial Narrow"/>
      </rPr>
      <t>1.-</t>
    </r>
    <r>
      <rPr>
        <sz val="10"/>
        <color rgb="FF000000"/>
        <rFont val="Arial Narrow"/>
      </rPr>
      <t xml:space="preserve"> Reporte de quejas y denuncias.
</t>
    </r>
    <r>
      <rPr>
        <b/>
        <sz val="9"/>
        <color rgb="FF000000"/>
        <rFont val="Arial Narrow"/>
      </rPr>
      <t>2.-</t>
    </r>
    <r>
      <rPr>
        <sz val="10"/>
        <color rgb="FF000000"/>
        <rFont val="Arial Narrow"/>
      </rPr>
      <t xml:space="preserve"> Matriz  de efectividad del tratamiento de las quejas y denuncias.</t>
    </r>
  </si>
  <si>
    <t>* Abg. Melina Sánchez,
  Directora de la DAC
* Econ. Lissete Chuchuca,
  Analista de Evaluación Interna y Gestión de la Calidad
* Ing. Dyana Aguilar Rojas, Jefe de Seguimiento de Normas técnicas de evaluación de la calidad
*Ing. John Orellana Preciado, Supervisor de Evaluación Interna y Gestión de la Calidad
* Ing. Mónica Jara Carrasco,
  Analista de Evaluación Interna y Gestión de la Calidad</t>
  </si>
  <si>
    <t>840104</t>
  </si>
  <si>
    <t>SE divide en fases, el ciclo PHVA (Planificar-Hacer-Verificar-Actuar) y cada fase tiene una calificación de 25%
Planificar: 25% ( Actualizar Procedimiento de quejas y denuncias)
Hacer: 25% (Monitorear la aplicación del Procedimiento para la administración de quejas.)
Verificar: 25% ( Verificar la efectividad del tratamiento de las quejas y denuncias.)
Actuar: 25% ( Revisar la implementación del procedimiento actual y tomar medidas correctivas y/o de mejoras )</t>
  </si>
  <si>
    <t>483231018</t>
  </si>
  <si>
    <t>Proyector X49 3lcd Xga Hdm/ Vga/ 3600</t>
  </si>
  <si>
    <t>439140018</t>
  </si>
  <si>
    <t>Dispensador Agua Fria Caliente Refrigerador</t>
  </si>
  <si>
    <t>439130111</t>
  </si>
  <si>
    <t>Aire acondicionado 12000 BTU</t>
  </si>
  <si>
    <r>
      <rPr>
        <sz val="10"/>
        <color rgb="FF000000"/>
        <rFont val="Arial Narrow"/>
        <family val="2"/>
      </rPr>
      <t xml:space="preserve">Aire acondicionado </t>
    </r>
    <r>
      <rPr>
        <sz val="10"/>
        <color rgb="FF7030A0"/>
        <rFont val="Arial Narrow"/>
        <family val="2"/>
      </rPr>
      <t>24000</t>
    </r>
    <r>
      <rPr>
        <sz val="10"/>
        <color rgb="FF000000"/>
        <rFont val="Arial Narrow"/>
        <family val="2"/>
      </rPr>
      <t xml:space="preserve"> BTU</t>
    </r>
  </si>
  <si>
    <r>
      <rPr>
        <b/>
        <sz val="9"/>
        <color rgb="FF000000"/>
        <rFont val="Century"/>
      </rPr>
      <t>2.-</t>
    </r>
    <r>
      <rPr>
        <b/>
        <sz val="10"/>
        <color rgb="FF000000"/>
        <rFont val="Arial Narrow"/>
      </rPr>
      <t xml:space="preserve"> </t>
    </r>
    <r>
      <rPr>
        <sz val="10"/>
        <color rgb="FF000000"/>
        <rFont val="Arial Narrow"/>
      </rPr>
      <t>Incrementar la calidad de la gestión institucional a través de la ejecución de procesos de aseguramiento de la calidad.</t>
    </r>
  </si>
  <si>
    <t>Plan de aseguramiento de la calidad ejecutado</t>
  </si>
  <si>
    <t>Porcentaje de ejecución del plan de aseguramiento de la calidad.</t>
  </si>
  <si>
    <r>
      <rPr>
        <b/>
        <sz val="10"/>
        <color rgb="FF000000"/>
        <rFont val="Arial Narrow"/>
        <family val="2"/>
      </rPr>
      <t>1.-</t>
    </r>
    <r>
      <rPr>
        <sz val="10"/>
        <color rgb="FF000000"/>
        <rFont val="Arial Narrow"/>
        <family val="2"/>
      </rPr>
      <t xml:space="preserve"> Actualizar el plan de aseguramiento de la calidad.
</t>
    </r>
    <r>
      <rPr>
        <b/>
        <sz val="10"/>
        <color rgb="FF000000"/>
        <rFont val="Arial Narrow"/>
        <family val="2"/>
      </rPr>
      <t>2.-</t>
    </r>
    <r>
      <rPr>
        <sz val="10"/>
        <color rgb="FF000000"/>
        <rFont val="Arial Narrow"/>
        <family val="2"/>
      </rPr>
      <t xml:space="preserve"> Analizar y efectuar las modificaciones solicitadas del plan de aseguramiento de la calidad.
</t>
    </r>
    <r>
      <rPr>
        <b/>
        <sz val="10"/>
        <color rgb="FF000000"/>
        <rFont val="Arial Narrow"/>
        <family val="2"/>
      </rPr>
      <t>3.-</t>
    </r>
    <r>
      <rPr>
        <sz val="10"/>
        <color rgb="FF000000"/>
        <rFont val="Arial Narrow"/>
        <family val="2"/>
      </rPr>
      <t xml:space="preserve"> Efectuar jornadas de seguimiento del plan de aseguramiento de la calidad.</t>
    </r>
  </si>
  <si>
    <r>
      <rPr>
        <b/>
        <sz val="10"/>
        <color rgb="FF000000"/>
        <rFont val="Arial Narrow"/>
        <family val="2"/>
      </rPr>
      <t>1.-</t>
    </r>
    <r>
      <rPr>
        <sz val="10"/>
        <color rgb="FF000000"/>
        <rFont val="Arial Narrow"/>
        <family val="2"/>
      </rPr>
      <t xml:space="preserve"> Plan de aseguramiento de la calidad, actualizado.
</t>
    </r>
    <r>
      <rPr>
        <b/>
        <sz val="10"/>
        <color rgb="FF000000"/>
        <rFont val="Arial Narrow"/>
        <family val="2"/>
      </rPr>
      <t>2.-</t>
    </r>
    <r>
      <rPr>
        <sz val="10"/>
        <color rgb="FF000000"/>
        <rFont val="Arial Narrow"/>
        <family val="2"/>
      </rPr>
      <t xml:space="preserve"> </t>
    </r>
    <r>
      <rPr>
        <sz val="10"/>
        <color rgb="FFFF0000"/>
        <rFont val="Arial Narrow"/>
        <family val="2"/>
      </rPr>
      <t>Respuesta a solicitud de modificación y/o Solicitud de modificación del Plan de Aseguramiento de la Calidad UTMACH 2021-2025 (durante la jornada de seguimiento y monitoreo).</t>
    </r>
    <r>
      <rPr>
        <sz val="10"/>
        <color rgb="FF000000"/>
        <rFont val="Arial Narrow"/>
        <family val="2"/>
      </rPr>
      <t xml:space="preserve"> 
</t>
    </r>
    <r>
      <rPr>
        <b/>
        <sz val="10"/>
        <color rgb="FF000000"/>
        <rFont val="Arial Narrow"/>
        <family val="2"/>
      </rPr>
      <t>3.-</t>
    </r>
    <r>
      <rPr>
        <sz val="10"/>
        <color rgb="FF000000"/>
        <rFont val="Arial Narrow"/>
        <family val="2"/>
      </rPr>
      <t xml:space="preserve"> Tablero de Control del Plan de aseguramiento de la Calidad, </t>
    </r>
    <r>
      <rPr>
        <sz val="10"/>
        <color rgb="FFFF0000"/>
        <rFont val="Arial Narrow"/>
        <family val="2"/>
      </rPr>
      <t>actualizado.</t>
    </r>
  </si>
  <si>
    <t>Se cuantifican el número de actividades declaradas en el Plan de aseguramiento de la Calidad, que llegaron el 100% según la meta, se debe demostrar que por lo menos el 25% del total de actividades deben llegar al 100 % de cumplimiento.</t>
  </si>
  <si>
    <t>ADQUISICIÓN DE SWITCH, MOUSE, TECLADO, CÁMARA Y TELÉFONO IP PARA LA DIRECCIÓN DE ASEGURAMIENTO DE LA CALIDAD</t>
  </si>
  <si>
    <r>
      <rPr>
        <b/>
        <sz val="10"/>
        <color rgb="FFFF0000"/>
        <rFont val="Arial Narrow"/>
      </rPr>
      <t xml:space="preserve">METAS OPERATIVAS
</t>
    </r>
    <r>
      <rPr>
        <b/>
        <sz val="9"/>
        <color rgb="FF000000"/>
        <rFont val="Century"/>
      </rPr>
      <t>1.-</t>
    </r>
    <r>
      <rPr>
        <sz val="10"/>
        <color rgb="FF000000"/>
        <rFont val="Arial Narrow"/>
      </rPr>
      <t xml:space="preserve"> Coordinar la fase planificación y ejecución del proceso de autoevaluación institucional.</t>
    </r>
  </si>
  <si>
    <t>Autoevaluación Institucional ejecutada y socializada.</t>
  </si>
  <si>
    <t>Nº de fases del proceso de autoevaluciòn institucional ejecutadas</t>
  </si>
  <si>
    <r>
      <rPr>
        <b/>
        <sz val="10"/>
        <color rgb="FF0070C0"/>
        <rFont val="Arial Narrow"/>
      </rPr>
      <t xml:space="preserve">1.- </t>
    </r>
    <r>
      <rPr>
        <sz val="10"/>
        <color rgb="FF0070C0"/>
        <rFont val="Arial Narrow"/>
      </rPr>
      <t xml:space="preserve">Liderar el proceso de socialización del "Modelo de evaluación externa con fines de acreditación para el aseguramiento de la calidad de las uep".
</t>
    </r>
    <r>
      <rPr>
        <b/>
        <sz val="10"/>
        <color rgb="FF0070C0"/>
        <rFont val="Arial Narrow"/>
      </rPr>
      <t xml:space="preserve">2.- </t>
    </r>
    <r>
      <rPr>
        <sz val="10"/>
        <color rgb="FF0070C0"/>
        <rFont val="Arial Narrow"/>
      </rPr>
      <t>Dirigir la actualización del Plan de autoevaluación Institucional.</t>
    </r>
  </si>
  <si>
    <r>
      <rPr>
        <b/>
        <sz val="10"/>
        <color rgb="FF0070C0"/>
        <rFont val="Arial Narrow"/>
      </rPr>
      <t>1.-</t>
    </r>
    <r>
      <rPr>
        <sz val="10"/>
        <color rgb="FF0070C0"/>
        <rFont val="Arial Narrow"/>
      </rPr>
      <t xml:space="preserve"> Convocatoria de socialización del "Modelo de evaluación externa con fines de acreditación para el aseguramiento de la calidad de las uep".
</t>
    </r>
    <r>
      <rPr>
        <b/>
        <sz val="10"/>
        <color rgb="FF0070C0"/>
        <rFont val="Arial Narrow"/>
      </rPr>
      <t>2.-</t>
    </r>
    <r>
      <rPr>
        <sz val="10"/>
        <color rgb="FF0070C0"/>
        <rFont val="Arial Narrow"/>
      </rPr>
      <t xml:space="preserve"> Plan de autoevaluación Institucional, actualizado.</t>
    </r>
  </si>
  <si>
    <t>* Abg. Melina Sánchez,
  Directora de la DAC
* Econ. Lissete Chuchuca,
  Analista de Evaluación Interna y Gestión de la Calidad
* Ing. Dyana Aguilar Rojas, Jefe de Seguimiento de Normas técnicas de evaluación de la calidad
*Ing. John Orellana Preciado, Supervisor de Evaluación Interna y Gestión de la Calidad
* Ing. Mónica Jara Carrasco,
  Analista de Evaluación Interna y Gestión de la Calidad
* Ing. Mónica Jara Carrasco,
  Analista de Evaluación Interna y Gestión de la Calidad</t>
  </si>
  <si>
    <t>840107</t>
  </si>
  <si>
    <t>45220009</t>
  </si>
  <si>
    <t>Computadora de escritorio procesador i7 de 11ava generación 16gb de RAM Disco SSD de 500GB</t>
  </si>
  <si>
    <r>
      <rPr>
        <b/>
        <sz val="9"/>
        <color rgb="FF000000"/>
        <rFont val="Century"/>
      </rPr>
      <t>2.-</t>
    </r>
    <r>
      <rPr>
        <sz val="10"/>
        <color rgb="FF000000"/>
        <rFont val="Arial Narrow"/>
      </rPr>
      <t xml:space="preserve"> Emitir y/o actualizar las directrices para la conducción del proceso de autoevaluación.</t>
    </r>
  </si>
  <si>
    <t>Directrices para la conducción de los procesos de autoevaluación de la Universidad Técnica de Machala, gestionadas.</t>
  </si>
  <si>
    <t>Nº de directrices para la conducciòn del proceso de autoevaluación emitidas y/o actualizadas</t>
  </si>
  <si>
    <r>
      <rPr>
        <b/>
        <sz val="10"/>
        <color rgb="FF000000"/>
        <rFont val="Arial Narrow"/>
      </rPr>
      <t>1.-</t>
    </r>
    <r>
      <rPr>
        <sz val="10"/>
        <color rgb="FF000000"/>
        <rFont val="Arial Narrow"/>
      </rPr>
      <t xml:space="preserve"> Elaborar documento técnico de manejo del instrumento de autoevaluación </t>
    </r>
    <r>
      <rPr>
        <sz val="10"/>
        <color rgb="FF0070C0"/>
        <rFont val="Arial Narrow"/>
      </rPr>
      <t>de posgrado.</t>
    </r>
  </si>
  <si>
    <r>
      <rPr>
        <b/>
        <sz val="10"/>
        <color rgb="FF000000"/>
        <rFont val="Arial Narrow"/>
      </rPr>
      <t>1.-</t>
    </r>
    <r>
      <rPr>
        <sz val="10"/>
        <color rgb="FF000000"/>
        <rFont val="Arial Narrow"/>
      </rPr>
      <t xml:space="preserve"> Documento tecnico de manejo del instrumento de autoevaluación  </t>
    </r>
    <r>
      <rPr>
        <sz val="10"/>
        <color rgb="FF0070C0"/>
        <rFont val="Arial Narrow"/>
      </rPr>
      <t>de posgrado.</t>
    </r>
  </si>
  <si>
    <t>530307</t>
  </si>
  <si>
    <t>831110916</t>
  </si>
  <si>
    <t xml:space="preserve">Atención a equipos de autoevaluación y evaluación </t>
  </si>
  <si>
    <t>530402</t>
  </si>
  <si>
    <t>543410111</t>
  </si>
  <si>
    <t>Adecuación de estaciones de trabajo de personal que labora en la Dirección de Aseguramiento de la Calidad y otras unidades que se utilizan en autoevaluación</t>
  </si>
  <si>
    <t>840103</t>
  </si>
  <si>
    <t>300100130006</t>
  </si>
  <si>
    <t>Modulares en L con cajonera</t>
  </si>
  <si>
    <t xml:space="preserve">unidad </t>
  </si>
  <si>
    <t>300100060005</t>
  </si>
  <si>
    <t xml:space="preserve">Mueble especial para archivo colgante </t>
  </si>
  <si>
    <t>300800140003</t>
  </si>
  <si>
    <t xml:space="preserve">Mesa para impresora </t>
  </si>
  <si>
    <r>
      <rPr>
        <b/>
        <sz val="9"/>
        <color rgb="FF000000"/>
        <rFont val="Century"/>
      </rPr>
      <t>3.-</t>
    </r>
    <r>
      <rPr>
        <sz val="10"/>
        <color rgb="FF000000"/>
        <rFont val="Arial Narrow"/>
      </rPr>
      <t xml:space="preserve"> Coordinar la ejecución de las fases del proceso de autoevaluación de carreras </t>
    </r>
    <r>
      <rPr>
        <sz val="10"/>
        <color rgb="FF0070C0"/>
        <rFont val="Arial Narrow"/>
      </rPr>
      <t>y/o programas.</t>
    </r>
  </si>
  <si>
    <t>Autoevaluación de carreras y/o programas gestionados.</t>
  </si>
  <si>
    <r>
      <rPr>
        <sz val="10"/>
        <color rgb="FF000000"/>
        <rFont val="Arial Narrow"/>
      </rPr>
      <t>Nº de fases del proceso de autoevalución de carreras</t>
    </r>
    <r>
      <rPr>
        <sz val="10"/>
        <color rgb="FF0070C0"/>
        <rFont val="Arial Narrow"/>
      </rPr>
      <t xml:space="preserve"> y/o programas</t>
    </r>
    <r>
      <rPr>
        <sz val="10"/>
        <color rgb="FF000000"/>
        <rFont val="Arial Narrow"/>
      </rPr>
      <t xml:space="preserve"> ejecutadas</t>
    </r>
  </si>
  <si>
    <r>
      <rPr>
        <sz val="10"/>
        <color rgb="FF000000"/>
        <rFont val="Arial Narrow"/>
      </rPr>
      <t xml:space="preserve">
</t>
    </r>
    <r>
      <rPr>
        <b/>
        <sz val="10"/>
        <color rgb="FF000000"/>
        <rFont val="Arial Narrow"/>
      </rPr>
      <t>1.-</t>
    </r>
    <r>
      <rPr>
        <sz val="10"/>
        <color rgb="FF000000"/>
        <rFont val="Arial Narrow"/>
      </rPr>
      <t xml:space="preserve"> Socializar el Informe de autoevaluacion de carreras 
</t>
    </r>
    <r>
      <rPr>
        <b/>
        <sz val="10"/>
        <color rgb="FF000000"/>
        <rFont val="Arial Narrow"/>
      </rPr>
      <t>2.-</t>
    </r>
    <r>
      <rPr>
        <sz val="10"/>
        <color rgb="FF000000"/>
        <rFont val="Arial Narrow"/>
      </rPr>
      <t xml:space="preserve"> Asesorar en la elaboracion de los planes de acción de las carreras.
</t>
    </r>
    <r>
      <rPr>
        <b/>
        <sz val="10"/>
        <color rgb="FF000000"/>
        <rFont val="Arial Narrow"/>
      </rPr>
      <t>3.-</t>
    </r>
    <r>
      <rPr>
        <sz val="10"/>
        <color rgb="FF000000"/>
        <rFont val="Arial Narrow"/>
      </rPr>
      <t xml:space="preserve"> Validar los planes de acción de las carreras. 
</t>
    </r>
    <r>
      <rPr>
        <b/>
        <sz val="10"/>
        <color rgb="FF000000"/>
        <rFont val="Arial Narrow"/>
      </rPr>
      <t>4.-</t>
    </r>
    <r>
      <rPr>
        <sz val="10"/>
        <color rgb="FF000000"/>
        <rFont val="Arial Narrow"/>
      </rPr>
      <t xml:space="preserve"> Elaborar formato de encuesta de satisfacción del proceso de autoevaluación de carreras.  
</t>
    </r>
    <r>
      <rPr>
        <b/>
        <sz val="10"/>
        <color rgb="FF000000"/>
        <rFont val="Arial Narrow"/>
      </rPr>
      <t>5.-</t>
    </r>
    <r>
      <rPr>
        <sz val="10"/>
        <color rgb="FF000000"/>
        <rFont val="Arial Narrow"/>
      </rPr>
      <t xml:space="preserve"> Emitir reporte de resultados de la encuesta de satisfacción del proceso de autoevaluación de carreras.
</t>
    </r>
    <r>
      <rPr>
        <b/>
        <sz val="10"/>
        <color rgb="FF0070C0"/>
        <rFont val="Arial Narrow"/>
      </rPr>
      <t xml:space="preserve">6.- </t>
    </r>
    <r>
      <rPr>
        <sz val="10"/>
        <color rgb="FF0070C0"/>
        <rFont val="Arial Narrow"/>
      </rPr>
      <t>Socializar el modelo génerico de programas de posgrado.</t>
    </r>
    <r>
      <rPr>
        <b/>
        <sz val="10"/>
        <color rgb="FF0070C0"/>
        <rFont val="Arial Narrow"/>
      </rPr>
      <t xml:space="preserve"> 
7.- </t>
    </r>
    <r>
      <rPr>
        <sz val="10"/>
        <color rgb="FF0070C0"/>
        <rFont val="Arial Narrow"/>
      </rPr>
      <t xml:space="preserve">Gestionar la aprobación del plan de autoevaluación de programas de posgrado.
</t>
    </r>
    <r>
      <rPr>
        <b/>
        <sz val="10"/>
        <color rgb="FF0070C0"/>
        <rFont val="Arial Narrow"/>
      </rPr>
      <t xml:space="preserve">8.- </t>
    </r>
    <r>
      <rPr>
        <sz val="10"/>
        <color rgb="FF0070C0"/>
        <rFont val="Arial Narrow"/>
      </rPr>
      <t xml:space="preserve">Dirigir la elaboración del instrumento del proceso de autoevaluación de programas de posgrado.
</t>
    </r>
    <r>
      <rPr>
        <b/>
        <sz val="10"/>
        <color rgb="FF0070C0"/>
        <rFont val="Arial Narrow"/>
      </rPr>
      <t xml:space="preserve">9.- </t>
    </r>
    <r>
      <rPr>
        <sz val="10"/>
        <color rgb="FF0070C0"/>
        <rFont val="Arial Narrow"/>
      </rPr>
      <t xml:space="preserve">Socializar los instrumentos y directrices del proceso de autoevaluación de programas de posgrado.
</t>
    </r>
    <r>
      <rPr>
        <b/>
        <sz val="10"/>
        <color rgb="FF0070C0"/>
        <rFont val="Arial Narrow"/>
      </rPr>
      <t xml:space="preserve">10.- </t>
    </r>
    <r>
      <rPr>
        <sz val="10"/>
        <color rgb="FF0070C0"/>
        <rFont val="Arial Narrow"/>
      </rPr>
      <t>Liderar la ejecución del  proceso de autoevaluación de programa de posgrado.</t>
    </r>
  </si>
  <si>
    <r>
      <rPr>
        <b/>
        <sz val="10"/>
        <color rgb="FF000000"/>
        <rFont val="Arial Narrow"/>
      </rPr>
      <t>1.-</t>
    </r>
    <r>
      <rPr>
        <sz val="10"/>
        <color rgb="FF000000"/>
        <rFont val="Arial Narrow"/>
      </rPr>
      <t xml:space="preserve"> Registro de socialización del Informe de autoevaluación de carreras.
</t>
    </r>
    <r>
      <rPr>
        <b/>
        <sz val="10"/>
        <color rgb="FF000000"/>
        <rFont val="Arial Narrow"/>
      </rPr>
      <t>2.-</t>
    </r>
    <r>
      <rPr>
        <sz val="10"/>
        <color rgb="FF000000"/>
        <rFont val="Arial Narrow"/>
      </rPr>
      <t xml:space="preserve"> Registro de asesoría de elaboración del Plan de acción.
</t>
    </r>
    <r>
      <rPr>
        <b/>
        <sz val="10"/>
        <color rgb="FF000000"/>
        <rFont val="Arial Narrow"/>
      </rPr>
      <t>3.-</t>
    </r>
    <r>
      <rPr>
        <sz val="10"/>
        <color rgb="FF000000"/>
        <rFont val="Arial Narrow"/>
      </rPr>
      <t xml:space="preserve"> Reporte de planes de acción de las carreras, validados. 
</t>
    </r>
    <r>
      <rPr>
        <b/>
        <sz val="10"/>
        <color rgb="FF000000"/>
        <rFont val="Arial Narrow"/>
      </rPr>
      <t>4.-</t>
    </r>
    <r>
      <rPr>
        <sz val="10"/>
        <color rgb="FF000000"/>
        <rFont val="Arial Narrow"/>
      </rPr>
      <t xml:space="preserve"> Formato de encuesta de satisfacción del proceso de autoevaluación de carreras. 
</t>
    </r>
    <r>
      <rPr>
        <b/>
        <sz val="10"/>
        <color rgb="FF000000"/>
        <rFont val="Arial Narrow"/>
      </rPr>
      <t>5.-</t>
    </r>
    <r>
      <rPr>
        <sz val="10"/>
        <color rgb="FF000000"/>
        <rFont val="Arial Narrow"/>
      </rPr>
      <t xml:space="preserve"> Reporte de resultados de la encuesta de satisfacción del proceso de autoevaluación de carreras.
</t>
    </r>
    <r>
      <rPr>
        <b/>
        <sz val="10"/>
        <color rgb="FF0070C0"/>
        <rFont val="Arial Narrow"/>
      </rPr>
      <t>6.-</t>
    </r>
    <r>
      <rPr>
        <sz val="10"/>
        <color rgb="FF0070C0"/>
        <rFont val="Arial Narrow"/>
      </rPr>
      <t xml:space="preserve"> Registro de socialización del modelo génerico de programas de posgrado.
</t>
    </r>
    <r>
      <rPr>
        <b/>
        <sz val="10"/>
        <color rgb="FF0070C0"/>
        <rFont val="Arial Narrow"/>
      </rPr>
      <t>7.-</t>
    </r>
    <r>
      <rPr>
        <sz val="10"/>
        <color rgb="FF0070C0"/>
        <rFont val="Arial Narrow"/>
      </rPr>
      <t xml:space="preserve"> Plan de autoevaluación de programas de posgrado, presentado.
</t>
    </r>
    <r>
      <rPr>
        <b/>
        <sz val="10"/>
        <color rgb="FF0070C0"/>
        <rFont val="Arial Narrow"/>
      </rPr>
      <t>8.-</t>
    </r>
    <r>
      <rPr>
        <sz val="10"/>
        <color rgb="FF0070C0"/>
        <rFont val="Arial Narrow"/>
      </rPr>
      <t xml:space="preserve"> Instrumento  de autoevaluación de programas de posgrado.
</t>
    </r>
    <r>
      <rPr>
        <b/>
        <sz val="10"/>
        <color rgb="FF0070C0"/>
        <rFont val="Arial Narrow"/>
      </rPr>
      <t>9.-</t>
    </r>
    <r>
      <rPr>
        <sz val="10"/>
        <color rgb="FF0070C0"/>
        <rFont val="Arial Narrow"/>
      </rPr>
      <t xml:space="preserve"> Registro de socialización del instrumento de autoevaluación de posgrado.
</t>
    </r>
    <r>
      <rPr>
        <b/>
        <sz val="10"/>
        <color rgb="FF0070C0"/>
        <rFont val="Arial Narrow"/>
      </rPr>
      <t>10.-</t>
    </r>
    <r>
      <rPr>
        <sz val="10"/>
        <color rgb="FF0070C0"/>
        <rFont val="Arial Narrow"/>
      </rPr>
      <t xml:space="preserve"> Instrumento de autoevaluación de programas de posgrado (hoja de resultado).</t>
    </r>
  </si>
  <si>
    <t>531403</t>
  </si>
  <si>
    <t xml:space="preserve">170300260001 </t>
  </si>
  <si>
    <t xml:space="preserve">Persianas </t>
  </si>
  <si>
    <t xml:space="preserve">metros cuadrados </t>
  </si>
  <si>
    <r>
      <rPr>
        <b/>
        <sz val="9"/>
        <color rgb="FF000000"/>
        <rFont val="Century"/>
      </rPr>
      <t>4.-</t>
    </r>
    <r>
      <rPr>
        <sz val="10"/>
        <color rgb="FF000000"/>
        <rFont val="Arial Narrow"/>
      </rPr>
      <t xml:space="preserve"> Coordinar la implementación y ejecución de los Procesos de Gestión de Calidad.</t>
    </r>
  </si>
  <si>
    <t>Aseguramiento de la Calidad gestionado.</t>
  </si>
  <si>
    <t>Nº de asesorías ejecutadas</t>
  </si>
  <si>
    <r>
      <rPr>
        <b/>
        <sz val="10"/>
        <color rgb="FF000000"/>
        <rFont val="Arial Narrow"/>
        <family val="2"/>
      </rPr>
      <t>1.-</t>
    </r>
    <r>
      <rPr>
        <sz val="10"/>
        <color rgb="FF000000"/>
        <rFont val="Arial Narrow"/>
        <family val="2"/>
      </rPr>
      <t xml:space="preserve"> Asesorar la elaboración de procedimientos de la gestión administrativa de la UTMACH.</t>
    </r>
  </si>
  <si>
    <r>
      <rPr>
        <b/>
        <sz val="10"/>
        <color rgb="FF000000"/>
        <rFont val="Arial Narrow"/>
        <family val="2"/>
      </rPr>
      <t>1.-</t>
    </r>
    <r>
      <rPr>
        <sz val="10"/>
        <color rgb="FF000000"/>
        <rFont val="Arial Narrow"/>
        <family val="2"/>
      </rPr>
      <t xml:space="preserve"> Reporte de asesorías.</t>
    </r>
  </si>
  <si>
    <r>
      <rPr>
        <b/>
        <sz val="9"/>
        <color rgb="FF000000"/>
        <rFont val="Century"/>
      </rPr>
      <t>5.-</t>
    </r>
    <r>
      <rPr>
        <sz val="10"/>
        <color rgb="FF000000"/>
        <rFont val="Arial Narrow"/>
      </rPr>
      <t xml:space="preserve"> Emitir Informes Técnicos para procesos internos.</t>
    </r>
  </si>
  <si>
    <t>Informes Técnicos aprobados.</t>
  </si>
  <si>
    <t>Nº de informes tècnicos presentados</t>
  </si>
  <si>
    <r>
      <rPr>
        <b/>
        <sz val="10"/>
        <color rgb="FFFF0000"/>
        <rFont val="Arial Narrow"/>
        <family val="2"/>
      </rPr>
      <t>1.-</t>
    </r>
    <r>
      <rPr>
        <sz val="10"/>
        <color rgb="FFFF0000"/>
        <rFont val="Arial Narrow"/>
        <family val="2"/>
      </rPr>
      <t xml:space="preserve"> Emitir observaciones/conformidad  de informes técnicos.</t>
    </r>
  </si>
  <si>
    <r>
      <rPr>
        <b/>
        <sz val="10"/>
        <color rgb="FF000000"/>
        <rFont val="Arial Narrow"/>
        <family val="2"/>
      </rPr>
      <t>1.-</t>
    </r>
    <r>
      <rPr>
        <sz val="10"/>
        <color rgb="FF000000"/>
        <rFont val="Arial Narrow"/>
        <family val="2"/>
      </rPr>
      <t xml:space="preserve"> Reportes de informes tècnicos </t>
    </r>
    <r>
      <rPr>
        <sz val="10"/>
        <color rgb="FFFF0000"/>
        <rFont val="Arial Narrow"/>
        <family val="2"/>
      </rPr>
      <t>revisados.</t>
    </r>
  </si>
  <si>
    <t>530804</t>
  </si>
  <si>
    <t xml:space="preserve">Materiales de Oficina </t>
  </si>
  <si>
    <t>292200113</t>
  </si>
  <si>
    <t xml:space="preserve">Mochila grande Loneta </t>
  </si>
  <si>
    <r>
      <rPr>
        <b/>
        <sz val="9"/>
        <color rgb="FF000000"/>
        <rFont val="Century"/>
      </rPr>
      <t>6.-</t>
    </r>
    <r>
      <rPr>
        <sz val="10"/>
        <color rgb="FF000000"/>
        <rFont val="Arial Narrow"/>
      </rPr>
      <t xml:space="preserve"> Dirigir procesos de capacitación y asesoría.</t>
    </r>
  </si>
  <si>
    <t>Procesos de capacitación y asesoría dirigidos.</t>
  </si>
  <si>
    <r>
      <rPr>
        <b/>
        <sz val="10"/>
        <color rgb="FF000000"/>
        <rFont val="Arial Narrow"/>
      </rPr>
      <t>1.-</t>
    </r>
    <r>
      <rPr>
        <sz val="10"/>
        <color rgb="FF000000"/>
        <rFont val="Arial Narrow"/>
      </rPr>
      <t xml:space="preserve"> Asesorar en los procesos de autoevaluación Institucional.
</t>
    </r>
    <r>
      <rPr>
        <b/>
        <sz val="10"/>
        <color rgb="FF000000"/>
        <rFont val="Arial Narrow"/>
      </rPr>
      <t>2.-</t>
    </r>
    <r>
      <rPr>
        <sz val="10"/>
        <color rgb="FF000000"/>
        <rFont val="Arial Narrow"/>
      </rPr>
      <t xml:space="preserve"> Efectuar la capacitación y/o asesoramiento del Plan de aseguramiento de la calidad.
</t>
    </r>
    <r>
      <rPr>
        <b/>
        <sz val="10"/>
        <color rgb="FF0070C0"/>
        <rFont val="Arial Narrow"/>
      </rPr>
      <t>3.-</t>
    </r>
    <r>
      <rPr>
        <sz val="10"/>
        <color rgb="FF0070C0"/>
        <rFont val="Arial Narrow"/>
      </rPr>
      <t xml:space="preserve"> Asesorar en los procesos de autoevaluación de programas de posgrado.</t>
    </r>
  </si>
  <si>
    <r>
      <rPr>
        <b/>
        <sz val="10"/>
        <color rgb="FF000000"/>
        <rFont val="Arial Narrow"/>
        <family val="2"/>
      </rPr>
      <t>1.-</t>
    </r>
    <r>
      <rPr>
        <sz val="10"/>
        <color rgb="FF000000"/>
        <rFont val="Arial Narrow"/>
        <family val="2"/>
      </rPr>
      <t xml:space="preserve"> Reporte de capacitación y asesorías.</t>
    </r>
  </si>
  <si>
    <t>531406</t>
  </si>
  <si>
    <t>Herramientas y Equipos menores</t>
  </si>
  <si>
    <t>Extensión eléctrica (10 mt)</t>
  </si>
  <si>
    <t xml:space="preserve">	4529000116</t>
  </si>
  <si>
    <t>Cable HDMI (20 MT)</t>
  </si>
  <si>
    <t>Cable HDMI (10 MT)</t>
  </si>
  <si>
    <r>
      <rPr>
        <b/>
        <sz val="9"/>
        <color rgb="FF000000"/>
        <rFont val="Century"/>
      </rPr>
      <t xml:space="preserve">7.- </t>
    </r>
    <r>
      <rPr>
        <sz val="10"/>
        <color rgb="FF000000"/>
        <rFont val="Arial Narrow"/>
      </rPr>
      <t>Presentar la Planificación Operativa Anual y la Evaluación la Planificación Operativa Anual.</t>
    </r>
  </si>
  <si>
    <t>N° de documentos de planificaciones operativas anuales y evaluaciones de las planificaciones operativas anuales entregadas oportunamente</t>
  </si>
  <si>
    <r>
      <rPr>
        <b/>
        <sz val="10"/>
        <color rgb="FF000000"/>
        <rFont val="Arial Narrow"/>
        <family val="2"/>
      </rPr>
      <t>1.-</t>
    </r>
    <r>
      <rPr>
        <sz val="10"/>
        <color rgb="FF000000"/>
        <rFont val="Arial Narrow"/>
        <family val="2"/>
      </rPr>
      <t xml:space="preserve"> Elaborar la Planificación Operativa Anual.
</t>
    </r>
    <r>
      <rPr>
        <b/>
        <sz val="10"/>
        <color rgb="FF000000"/>
        <rFont val="Arial Narrow"/>
        <family val="2"/>
      </rPr>
      <t>2.-</t>
    </r>
    <r>
      <rPr>
        <sz val="10"/>
        <color rgb="FF000000"/>
        <rFont val="Arial Narrow"/>
        <family val="2"/>
      </rPr>
      <t xml:space="preserve"> Elaborar y entregar evaluacion de la Planificación Operativa Anual.</t>
    </r>
  </si>
  <si>
    <r>
      <rPr>
        <b/>
        <sz val="10"/>
        <color rgb="FF000000"/>
        <rFont val="Arial Narrow"/>
        <family val="2"/>
      </rPr>
      <t>1.-</t>
    </r>
    <r>
      <rPr>
        <sz val="10"/>
        <color rgb="FF000000"/>
        <rFont val="Arial Narrow"/>
        <family val="2"/>
      </rPr>
      <t xml:space="preserve"> Evaluación del POA 2023.
</t>
    </r>
    <r>
      <rPr>
        <b/>
        <sz val="10"/>
        <color rgb="FF000000"/>
        <rFont val="Arial Narrow"/>
        <family val="2"/>
      </rPr>
      <t>2.-</t>
    </r>
    <r>
      <rPr>
        <sz val="10"/>
        <color rgb="FF000000"/>
        <rFont val="Arial Narrow"/>
        <family val="2"/>
      </rPr>
      <t xml:space="preserve"> Plan Operativo Anual 2024.</t>
    </r>
  </si>
  <si>
    <r>
      <rPr>
        <b/>
        <sz val="9"/>
        <color rgb="FF000000"/>
        <rFont val="Century"/>
      </rPr>
      <t>8.-</t>
    </r>
    <r>
      <rPr>
        <b/>
        <sz val="10"/>
        <color rgb="FF000000"/>
        <rFont val="Arial Narrow"/>
      </rPr>
      <t xml:space="preserve"> </t>
    </r>
    <r>
      <rPr>
        <sz val="10"/>
        <color rgb="FF000000"/>
        <rFont val="Arial Narrow"/>
      </rPr>
      <t>Organizar el Archivo de Gestión.</t>
    </r>
  </si>
  <si>
    <t>Nº de cajas registradas en el inventario documental</t>
  </si>
  <si>
    <r>
      <rPr>
        <b/>
        <sz val="10"/>
        <color rgb="FF000000"/>
        <rFont val="Arial Narrow"/>
        <family val="2"/>
      </rPr>
      <t>1.-</t>
    </r>
    <r>
      <rPr>
        <sz val="10"/>
        <color rgb="FF000000"/>
        <rFont val="Arial Narrow"/>
        <family val="2"/>
      </rPr>
      <t xml:space="preserve"> Seleccionar y clasificar la documentación.
</t>
    </r>
    <r>
      <rPr>
        <b/>
        <sz val="10"/>
        <color rgb="FF000000"/>
        <rFont val="Arial Narrow"/>
        <family val="2"/>
      </rPr>
      <t>2.-</t>
    </r>
    <r>
      <rPr>
        <sz val="10"/>
        <color rgb="FF000000"/>
        <rFont val="Arial Narrow"/>
        <family val="2"/>
      </rPr>
      <t xml:space="preserve"> Describir la documentación según la norma ISAG-D.
</t>
    </r>
    <r>
      <rPr>
        <b/>
        <sz val="10"/>
        <color rgb="FF000000"/>
        <rFont val="Arial Narrow"/>
        <family val="2"/>
      </rPr>
      <t>3.-</t>
    </r>
    <r>
      <rPr>
        <sz val="10"/>
        <color rgb="FF000000"/>
        <rFont val="Arial Narrow"/>
        <family val="2"/>
      </rPr>
      <t xml:space="preserve"> Preservar la documentación en las unidades de almacenamiento.</t>
    </r>
  </si>
  <si>
    <r>
      <rPr>
        <b/>
        <sz val="10"/>
        <color rgb="FF000000"/>
        <rFont val="Arial Narrow"/>
        <family val="2"/>
      </rPr>
      <t>1.-</t>
    </r>
    <r>
      <rPr>
        <sz val="10"/>
        <color rgb="FF000000"/>
        <rFont val="Arial Narrow"/>
        <family val="2"/>
      </rPr>
      <t xml:space="preserve"> Inventario documental.</t>
    </r>
  </si>
  <si>
    <t>TOTAL PRESUPUESTO ESTIMATIVO DIRECCIÓN DE ASEGURAMIENTO DE LA CALIDAD 2023:</t>
  </si>
  <si>
    <t>UNIDAD DE EVALUACIÓN Y ASEGURAMIENTO DE LA CALIDAD</t>
  </si>
  <si>
    <r>
      <rPr>
        <b/>
        <sz val="10"/>
        <color rgb="FFFF0000"/>
        <rFont val="Cambria"/>
      </rPr>
      <t xml:space="preserve">METAS OPERATIVAS
</t>
    </r>
    <r>
      <rPr>
        <b/>
        <sz val="10"/>
        <color rgb="FF0070C0"/>
        <rFont val="Cambria"/>
      </rPr>
      <t>1.-</t>
    </r>
    <r>
      <rPr>
        <sz val="10"/>
        <color rgb="FF0070C0"/>
        <rFont val="Cambria"/>
      </rPr>
      <t xml:space="preserve"> Organizar la fase planificación del proceso de autoevaluación institucional.</t>
    </r>
  </si>
  <si>
    <t>Autoevaluación Institucional coordinada.</t>
  </si>
  <si>
    <t xml:space="preserve">Nº de fases del proceso de autoevaluación institucional organizadas. </t>
  </si>
  <si>
    <r>
      <rPr>
        <b/>
        <sz val="10"/>
        <color rgb="FF0070C0"/>
        <rFont val="Cambria"/>
      </rPr>
      <t xml:space="preserve">1. </t>
    </r>
    <r>
      <rPr>
        <sz val="10"/>
        <color rgb="FF0070C0"/>
        <rFont val="Cambria"/>
      </rPr>
      <t xml:space="preserve">Coordinar la socialización del Modelo de evaluación externa con fines de acreditación para el aseguramiento de la calidad de universidades y escuelas politécnicas. </t>
    </r>
  </si>
  <si>
    <r>
      <rPr>
        <b/>
        <sz val="10"/>
        <color rgb="FF0070C0"/>
        <rFont val="Cambria"/>
      </rPr>
      <t>1.</t>
    </r>
    <r>
      <rPr>
        <sz val="10"/>
        <color rgb="FF0070C0"/>
        <rFont val="Cambria"/>
      </rPr>
      <t xml:space="preserve"> Registro de socialización.</t>
    </r>
  </si>
  <si>
    <t>Econ. Jessenia Lissete Chuchuca Gía, Mgtr.</t>
  </si>
  <si>
    <r>
      <t>2.-</t>
    </r>
    <r>
      <rPr>
        <sz val="10"/>
        <rFont val="Cambria"/>
        <family val="1"/>
      </rPr>
      <t xml:space="preserve"> Monitorear la elaboración de directrices para la conducción del proceso de autoevaluación. </t>
    </r>
  </si>
  <si>
    <t>Directrices para la conducción de los procesos de autoevaluación de la Universidad Técnica de Machala, monitoreadas.</t>
  </si>
  <si>
    <t xml:space="preserve">N° de directrices para la conducción del proceso de autoevaluación monitoreadas. </t>
  </si>
  <si>
    <r>
      <t xml:space="preserve">1.  </t>
    </r>
    <r>
      <rPr>
        <sz val="10"/>
        <color rgb="FF0070C0"/>
        <rFont val="Cambria"/>
      </rPr>
      <t xml:space="preserve">Diseñar propuesta de directrices para ejecución del proceso de autoevaluación de programas de posgrado. </t>
    </r>
  </si>
  <si>
    <t xml:space="preserve">1. Propuesta de directrices para ejecución del proceso de autoevaluación de programas de posgrado. </t>
  </si>
  <si>
    <r>
      <rPr>
        <b/>
        <sz val="10"/>
        <color rgb="FF000000"/>
        <rFont val="Cambria"/>
      </rPr>
      <t xml:space="preserve">3.- </t>
    </r>
    <r>
      <rPr>
        <sz val="10"/>
        <color rgb="FF000000"/>
        <rFont val="Cambria"/>
      </rPr>
      <t xml:space="preserve">Verificar la ejecución de las fases del proceso de autoevaluación de carreras </t>
    </r>
    <r>
      <rPr>
        <sz val="10"/>
        <color rgb="FF0070C0"/>
        <rFont val="Cambria"/>
      </rPr>
      <t>y/o programas.</t>
    </r>
  </si>
  <si>
    <t>Resultados de autoevaluación de carreras y/ o programas verificados.</t>
  </si>
  <si>
    <r>
      <rPr>
        <sz val="10"/>
        <color rgb="FF000000"/>
        <rFont val="Cambria"/>
      </rPr>
      <t xml:space="preserve">Nº de fases del proceso de autoevaluación de carreras </t>
    </r>
    <r>
      <rPr>
        <sz val="10"/>
        <color rgb="FF0070C0"/>
        <rFont val="Cambria"/>
      </rPr>
      <t>y/o programas</t>
    </r>
    <r>
      <rPr>
        <sz val="10"/>
        <color rgb="FF000000"/>
        <rFont val="Cambria"/>
      </rPr>
      <t xml:space="preserve"> verificadas. </t>
    </r>
  </si>
  <si>
    <r>
      <rPr>
        <b/>
        <sz val="10"/>
        <color rgb="FF000000"/>
        <rFont val="Cambria"/>
      </rPr>
      <t>1.</t>
    </r>
    <r>
      <rPr>
        <sz val="10"/>
        <color rgb="FF000000"/>
        <rFont val="Cambria"/>
      </rPr>
      <t xml:space="preserve"> Efectuar la socialización del Informe de autoevaluación de carreras.
</t>
    </r>
    <r>
      <rPr>
        <b/>
        <sz val="10"/>
        <color rgb="FF0070C0"/>
        <rFont val="Cambria"/>
      </rPr>
      <t xml:space="preserve">2. </t>
    </r>
    <r>
      <rPr>
        <sz val="10"/>
        <color rgb="FF0070C0"/>
        <rFont val="Cambria"/>
      </rPr>
      <t xml:space="preserve">Elaborar propuesta de planificación del proceso de autoevaluación de programas de posgrado. 
</t>
    </r>
    <r>
      <rPr>
        <b/>
        <sz val="10"/>
        <color rgb="FF0070C0"/>
        <rFont val="Cambria"/>
      </rPr>
      <t xml:space="preserve">3. </t>
    </r>
    <r>
      <rPr>
        <sz val="10"/>
        <color rgb="FF0070C0"/>
        <rFont val="Cambria"/>
      </rPr>
      <t xml:space="preserve">Diseñar propuesta de agenda del proceso de autoevaluación de programas de posgrado. 
</t>
    </r>
    <r>
      <rPr>
        <b/>
        <sz val="10"/>
        <color rgb="FF0070C0"/>
        <rFont val="Cambria"/>
      </rPr>
      <t xml:space="preserve">4. </t>
    </r>
    <r>
      <rPr>
        <sz val="10"/>
        <color rgb="FF0070C0"/>
        <rFont val="Cambria"/>
      </rPr>
      <t xml:space="preserve">Coordinar la ejecución del proceso de autoevaluación de programas de posgrado. </t>
    </r>
  </si>
  <si>
    <r>
      <rPr>
        <b/>
        <sz val="10"/>
        <color rgb="FF000000"/>
        <rFont val="Cambria"/>
      </rPr>
      <t>1.</t>
    </r>
    <r>
      <rPr>
        <sz val="10"/>
        <color rgb="FF000000"/>
        <rFont val="Cambria"/>
      </rPr>
      <t xml:space="preserve"> Registro de socialización.
</t>
    </r>
    <r>
      <rPr>
        <b/>
        <sz val="10"/>
        <color rgb="FF0070C0"/>
        <rFont val="Cambria"/>
      </rPr>
      <t xml:space="preserve">2. </t>
    </r>
    <r>
      <rPr>
        <sz val="10"/>
        <color rgb="FF0070C0"/>
        <rFont val="Cambria"/>
      </rPr>
      <t xml:space="preserve">Proyecto de Plan de autoevaluación de programas de posgrado. 
</t>
    </r>
    <r>
      <rPr>
        <b/>
        <sz val="10"/>
        <color rgb="FF0070C0"/>
        <rFont val="Cambria"/>
      </rPr>
      <t>3.</t>
    </r>
    <r>
      <rPr>
        <sz val="10"/>
        <color rgb="FF0070C0"/>
        <rFont val="Cambria"/>
      </rPr>
      <t xml:space="preserve"> Propuesta de agenda del proceso de autoevaluación de programas de posgrado.</t>
    </r>
    <r>
      <rPr>
        <b/>
        <sz val="10"/>
        <color rgb="FF0070C0"/>
        <rFont val="Cambria"/>
      </rPr>
      <t xml:space="preserve">  
4. </t>
    </r>
    <r>
      <rPr>
        <sz val="10"/>
        <color rgb="FF0070C0"/>
        <rFont val="Cambria"/>
      </rPr>
      <t xml:space="preserve">Registros de asistencia a sesiones de revisión documental y/o entrevistas. </t>
    </r>
  </si>
  <si>
    <r>
      <t>4.-</t>
    </r>
    <r>
      <rPr>
        <sz val="10"/>
        <rFont val="Cambria"/>
        <family val="1"/>
      </rPr>
      <t xml:space="preserve">  Efectuar procesos de capacitación y asesorías. </t>
    </r>
  </si>
  <si>
    <t>Capacitaciones y asesorías ejecutadas.</t>
  </si>
  <si>
    <t xml:space="preserve">N° de capacitaciones y asesorías. </t>
  </si>
  <si>
    <r>
      <rPr>
        <b/>
        <sz val="10"/>
        <color rgb="FF000000"/>
        <rFont val="Cambria"/>
      </rPr>
      <t>1.</t>
    </r>
    <r>
      <rPr>
        <sz val="10"/>
        <color rgb="FF000000"/>
        <rFont val="Cambria"/>
      </rPr>
      <t xml:space="preserve"> Asesorar y/o capacitar en el proceso de evaluación institucional.
</t>
    </r>
    <r>
      <rPr>
        <b/>
        <sz val="10"/>
        <color rgb="FF000000"/>
        <rFont val="Cambria"/>
      </rPr>
      <t>2.</t>
    </r>
    <r>
      <rPr>
        <sz val="10"/>
        <color rgb="FF000000"/>
        <rFont val="Cambria"/>
      </rPr>
      <t xml:space="preserve"> Asesorar y/o capacitar en el proceso de elaboración del Plan de Acción de las carreras.
</t>
    </r>
    <r>
      <rPr>
        <b/>
        <sz val="10"/>
        <color rgb="FF0070C0"/>
        <rFont val="Cambria"/>
      </rPr>
      <t xml:space="preserve">3. </t>
    </r>
    <r>
      <rPr>
        <sz val="10"/>
        <color rgb="FF0070C0"/>
        <rFont val="Cambria"/>
      </rPr>
      <t>Asesorar y/o capacitar en el proceso de autoevaluación de programas de posgrado.</t>
    </r>
  </si>
  <si>
    <r>
      <rPr>
        <b/>
        <sz val="10"/>
        <color rgb="FF000000"/>
        <rFont val="Cambria"/>
        <family val="1"/>
      </rPr>
      <t>1.</t>
    </r>
    <r>
      <rPr>
        <sz val="10"/>
        <color rgb="FF000000"/>
        <rFont val="Cambria"/>
        <family val="1"/>
      </rPr>
      <t xml:space="preserve"> Registros de capacitación y/o Registros de asesoría. </t>
    </r>
  </si>
  <si>
    <r>
      <t>5.-</t>
    </r>
    <r>
      <rPr>
        <sz val="10"/>
        <rFont val="Cambria"/>
        <family val="1"/>
      </rPr>
      <t xml:space="preserve">  Supervisar acciones que contribuyan al aseguramiento de la calidad. </t>
    </r>
  </si>
  <si>
    <t>Procesos de evaluación y aseguramiento de la calidad, monitoreados.</t>
  </si>
  <si>
    <t xml:space="preserve">N° actualizaciones del Plan de aseguramiento de la Calidad. </t>
  </si>
  <si>
    <r>
      <rPr>
        <b/>
        <sz val="10"/>
        <color rgb="FF000000"/>
        <rFont val="Cambria"/>
      </rPr>
      <t>1.</t>
    </r>
    <r>
      <rPr>
        <sz val="10"/>
        <color rgb="FF000000"/>
        <rFont val="Cambria"/>
      </rPr>
      <t xml:space="preserve"> Validar las fuentes de información del Plan de Aseguramiento de la Calidad </t>
    </r>
    <r>
      <rPr>
        <sz val="10"/>
        <color rgb="FF0070C0"/>
        <rFont val="Cambria"/>
      </rPr>
      <t xml:space="preserve">(gestión académica).
</t>
    </r>
    <r>
      <rPr>
        <b/>
        <sz val="10"/>
        <color rgb="FF000000"/>
        <rFont val="Cambria"/>
      </rPr>
      <t>2.</t>
    </r>
    <r>
      <rPr>
        <sz val="10"/>
        <color rgb="FF000000"/>
        <rFont val="Cambria"/>
      </rPr>
      <t xml:space="preserve"> Efectuar la carga de información a la plataforma dispuesta por el organismo encargado de asegurar la calidad de la educación superior.
</t>
    </r>
    <r>
      <rPr>
        <b/>
        <sz val="10"/>
        <color rgb="FF0070C0"/>
        <rFont val="Cambria"/>
      </rPr>
      <t>3.</t>
    </r>
    <r>
      <rPr>
        <sz val="10"/>
        <color rgb="FF0070C0"/>
        <rFont val="Cambria"/>
      </rPr>
      <t xml:space="preserve"> Efectuar sesiones de actualización del Plan de Asegurmaiento de la calidad (gestión académica). 
</t>
    </r>
    <r>
      <rPr>
        <b/>
        <sz val="10"/>
        <color rgb="FF0070C0"/>
        <rFont val="Cambria"/>
      </rPr>
      <t>4.</t>
    </r>
    <r>
      <rPr>
        <sz val="10"/>
        <color rgb="FF0070C0"/>
        <rFont val="Cambria"/>
      </rPr>
      <t xml:space="preserve"> Asesorar en la elaboración/actualización de procedimientos de gestión académica de la UTMACH. </t>
    </r>
  </si>
  <si>
    <r>
      <rPr>
        <b/>
        <sz val="10"/>
        <color rgb="FF000000"/>
        <rFont val="Cambria"/>
      </rPr>
      <t>1.</t>
    </r>
    <r>
      <rPr>
        <sz val="10"/>
        <color rgb="FF000000"/>
        <rFont val="Cambria"/>
      </rPr>
      <t xml:space="preserve"> Reporte de validación de las fuentes de información </t>
    </r>
    <r>
      <rPr>
        <sz val="10"/>
        <color rgb="FF0070C0"/>
        <rFont val="Cambria"/>
      </rPr>
      <t xml:space="preserve">(gestión académica).
</t>
    </r>
    <r>
      <rPr>
        <b/>
        <sz val="10"/>
        <color rgb="FF000000"/>
        <rFont val="Cambria"/>
      </rPr>
      <t>2.</t>
    </r>
    <r>
      <rPr>
        <sz val="10"/>
        <color rgb="FF000000"/>
        <rFont val="Cambria"/>
      </rPr>
      <t xml:space="preserve"> Reporte de seguimiento de evidencias cargadas.
</t>
    </r>
    <r>
      <rPr>
        <b/>
        <sz val="10"/>
        <color rgb="FF0070C0"/>
        <rFont val="Cambria"/>
      </rPr>
      <t>3.</t>
    </r>
    <r>
      <rPr>
        <sz val="10"/>
        <color rgb="FF0070C0"/>
        <rFont val="Cambria"/>
      </rPr>
      <t xml:space="preserve"> Plan de aseguramiento de la calidad actualizado (gestión académica). 
</t>
    </r>
    <r>
      <rPr>
        <b/>
        <sz val="10"/>
        <color rgb="FF0070C0"/>
        <rFont val="Cambria"/>
      </rPr>
      <t>4.</t>
    </r>
    <r>
      <rPr>
        <sz val="10"/>
        <color rgb="FF0070C0"/>
        <rFont val="Cambria"/>
      </rPr>
      <t xml:space="preserve"> Registros de asesoramiento.</t>
    </r>
  </si>
  <si>
    <r>
      <t>6.-</t>
    </r>
    <r>
      <rPr>
        <sz val="10"/>
        <rFont val="Cambria"/>
        <family val="1"/>
      </rPr>
      <t xml:space="preserve"> Revisar procedimientos de gestión académica. </t>
    </r>
  </si>
  <si>
    <t>Informes Técnicos de revisión de procedimientos emitidos.</t>
  </si>
  <si>
    <t xml:space="preserve">N° de informes técnicos emitidos. </t>
  </si>
  <si>
    <r>
      <rPr>
        <b/>
        <sz val="10"/>
        <color rgb="FF000000"/>
        <rFont val="Cambria"/>
        <family val="1"/>
      </rPr>
      <t>1.</t>
    </r>
    <r>
      <rPr>
        <sz val="10"/>
        <color rgb="FF000000"/>
        <rFont val="Cambria"/>
        <family val="1"/>
      </rPr>
      <t xml:space="preserve"> Desarrollar informes técnicos de revisión de  procedimientos de gestión académica.</t>
    </r>
  </si>
  <si>
    <r>
      <rPr>
        <b/>
        <sz val="10"/>
        <color rgb="FF000000"/>
        <rFont val="Cambria"/>
        <family val="1"/>
      </rPr>
      <t>1.</t>
    </r>
    <r>
      <rPr>
        <sz val="10"/>
        <color rgb="FF000000"/>
        <rFont val="Cambria"/>
        <family val="1"/>
      </rPr>
      <t xml:space="preserve"> Informes técnicos presentados.</t>
    </r>
  </si>
  <si>
    <r>
      <t>7.-</t>
    </r>
    <r>
      <rPr>
        <sz val="10"/>
        <color rgb="FF000000"/>
        <rFont val="Cambria"/>
        <family val="1"/>
      </rPr>
      <t xml:space="preserve"> Presentar a la Dirección de Planificación la Planificación Operativa Anual y Evaluación del Plan Operativo Anual.</t>
    </r>
  </si>
  <si>
    <r>
      <rPr>
        <b/>
        <sz val="10"/>
        <color rgb="FF000000"/>
        <rFont val="Cambria"/>
        <family val="1"/>
      </rPr>
      <t xml:space="preserve">1. </t>
    </r>
    <r>
      <rPr>
        <sz val="10"/>
        <color rgb="FF000000"/>
        <rFont val="Cambria"/>
        <family val="1"/>
      </rPr>
      <t xml:space="preserve">Elaborar la Planificación Operativa Anual 2023.
</t>
    </r>
    <r>
      <rPr>
        <b/>
        <sz val="10"/>
        <color rgb="FF000000"/>
        <rFont val="Cambria"/>
        <family val="1"/>
      </rPr>
      <t>2.</t>
    </r>
    <r>
      <rPr>
        <sz val="10"/>
        <color rgb="FF000000"/>
        <rFont val="Cambria"/>
        <family val="1"/>
      </rPr>
      <t xml:space="preserve"> Elaborar la Planificación Operativa Anual 2024.
</t>
    </r>
    <r>
      <rPr>
        <b/>
        <sz val="10"/>
        <color rgb="FF000000"/>
        <rFont val="Cambria"/>
        <family val="1"/>
      </rPr>
      <t>3.</t>
    </r>
    <r>
      <rPr>
        <sz val="10"/>
        <color rgb="FF000000"/>
        <rFont val="Cambria"/>
        <family val="1"/>
      </rPr>
      <t xml:space="preserve"> Valorar y organizar fuentes de información que tributan al cumplimiento de la Planificación Operativa Anual 2023.</t>
    </r>
  </si>
  <si>
    <r>
      <rPr>
        <b/>
        <sz val="10"/>
        <color rgb="FF000000"/>
        <rFont val="Cambria"/>
        <family val="1"/>
      </rPr>
      <t>1.</t>
    </r>
    <r>
      <rPr>
        <sz val="10"/>
        <color rgb="FF000000"/>
        <rFont val="Cambria"/>
        <family val="1"/>
      </rPr>
      <t xml:space="preserve"> Planificación Operativa Anual 2023.
</t>
    </r>
    <r>
      <rPr>
        <b/>
        <sz val="10"/>
        <color rgb="FF000000"/>
        <rFont val="Cambria"/>
        <family val="1"/>
      </rPr>
      <t>2.</t>
    </r>
    <r>
      <rPr>
        <sz val="10"/>
        <color rgb="FF000000"/>
        <rFont val="Cambria"/>
        <family val="1"/>
      </rPr>
      <t xml:space="preserve"> Planificación Operativa Anual 2024.
</t>
    </r>
    <r>
      <rPr>
        <b/>
        <sz val="10"/>
        <color rgb="FF000000"/>
        <rFont val="Cambria"/>
        <family val="1"/>
      </rPr>
      <t>3.</t>
    </r>
    <r>
      <rPr>
        <sz val="10"/>
        <color rgb="FF000000"/>
        <rFont val="Cambria"/>
        <family val="1"/>
      </rPr>
      <t xml:space="preserve"> Matriz de evaluación de la Planificación Operativa Anual 2023 y captura de pantalla que evidencie la carga de las fuentes de información. </t>
    </r>
  </si>
  <si>
    <r>
      <t xml:space="preserve">8.- </t>
    </r>
    <r>
      <rPr>
        <sz val="10"/>
        <rFont val="Cambria"/>
        <family val="1"/>
      </rPr>
      <t>Organizar el archivo de gestión de conformidad con la normativa interna de gestión documental.</t>
    </r>
  </si>
  <si>
    <r>
      <rPr>
        <sz val="10"/>
        <color rgb="FF0070C0"/>
        <rFont val="Cambria"/>
      </rPr>
      <t>Nº de reportes y/o</t>
    </r>
    <r>
      <rPr>
        <sz val="10"/>
        <color rgb="FF000000"/>
        <rFont val="Cambria"/>
      </rPr>
      <t xml:space="preserve"> inventario documental</t>
    </r>
  </si>
  <si>
    <r>
      <rPr>
        <b/>
        <sz val="10"/>
        <color rgb="FF000000"/>
        <rFont val="Cambria"/>
        <family val="1"/>
      </rPr>
      <t>1.</t>
    </r>
    <r>
      <rPr>
        <sz val="10"/>
        <color rgb="FF000000"/>
        <rFont val="Cambria"/>
        <family val="1"/>
      </rPr>
      <t xml:space="preserve"> Redactar comunicaciones de respuesta conforme las asignaciones y requerimientos de instancias administrativas.
</t>
    </r>
    <r>
      <rPr>
        <b/>
        <sz val="10"/>
        <color rgb="FF000000"/>
        <rFont val="Cambria"/>
        <family val="1"/>
      </rPr>
      <t xml:space="preserve">2. </t>
    </r>
    <r>
      <rPr>
        <sz val="10"/>
        <color rgb="FF000000"/>
        <rFont val="Cambria"/>
        <family val="1"/>
      </rPr>
      <t xml:space="preserve">Actualizar inventario documental para documentos electrónicos. </t>
    </r>
  </si>
  <si>
    <r>
      <rPr>
        <b/>
        <sz val="10"/>
        <color rgb="FF000000"/>
        <rFont val="Cambria"/>
        <family val="1"/>
      </rPr>
      <t>1.</t>
    </r>
    <r>
      <rPr>
        <sz val="10"/>
        <color rgb="FF000000"/>
        <rFont val="Cambria"/>
        <family val="1"/>
      </rPr>
      <t xml:space="preserve"> Reporte de comunicaciones enviadas.
</t>
    </r>
    <r>
      <rPr>
        <b/>
        <sz val="10"/>
        <color rgb="FF000000"/>
        <rFont val="Cambria"/>
        <family val="1"/>
      </rPr>
      <t>2.</t>
    </r>
    <r>
      <rPr>
        <sz val="10"/>
        <color rgb="FF000000"/>
        <rFont val="Cambria"/>
        <family val="1"/>
      </rPr>
      <t xml:space="preserve"> Inventario documental para documentos electrónicos. </t>
    </r>
  </si>
  <si>
    <t>TOTAL PRESUPUESTO ESTIMATIVO UNIDAD DE EVALUACIÓN Y ASEGURAMIENTO DE LA CALIDAD 2023:</t>
  </si>
  <si>
    <t>UNIDAD DE SEGUIMIENTO DE NORMAS TÉCNICAS DE EVALUACIÓN DE CALIDAD</t>
  </si>
  <si>
    <r>
      <t>METAS OPERATIVAS:</t>
    </r>
    <r>
      <rPr>
        <b/>
        <sz val="9"/>
        <rFont val="Century Schoolbook"/>
        <family val="1"/>
      </rPr>
      <t xml:space="preserve">
1.-</t>
    </r>
    <r>
      <rPr>
        <sz val="10"/>
        <rFont val="Arial Narrow"/>
        <family val="2"/>
      </rPr>
      <t xml:space="preserve"> Emitir y/o actualizar Normas Técnicas de Aseguramiento de la Calidad.</t>
    </r>
  </si>
  <si>
    <t>Aplicación de las normas técnicas de aseguramiento de la calidad, gestionado.</t>
  </si>
  <si>
    <t>N° de Normas Técnicas de Aseguramiento de la Calidad en Procesos de Gestión Administrativa, elaboradas.</t>
  </si>
  <si>
    <r>
      <t>1.-</t>
    </r>
    <r>
      <rPr>
        <sz val="10"/>
        <rFont val="Arial Narrow"/>
        <family val="2"/>
      </rPr>
      <t xml:space="preserve"> Diseñar Normas Técnicas de Aseguramiento de la Calidad en Procesos de Gestión Administrativa,</t>
    </r>
  </si>
  <si>
    <r>
      <t>1.-</t>
    </r>
    <r>
      <rPr>
        <sz val="10"/>
        <rFont val="Arial Narrow"/>
        <family val="2"/>
      </rPr>
      <t xml:space="preserve"> Normas Técnicas de Aseguramiento de la Calidad.</t>
    </r>
  </si>
  <si>
    <t>* Ing. Dyana Aguilar Rojas,
   Jefe de Unidad de Seguimiento de Normas Técnicas de Evaluación de la Calidad</t>
  </si>
  <si>
    <r>
      <t>2.-</t>
    </r>
    <r>
      <rPr>
        <sz val="10"/>
        <rFont val="Arial Narrow"/>
        <family val="2"/>
      </rPr>
      <t xml:space="preserve"> Coordinar la elaboración y seguimiento de los Planes de mejora, fortalecimiento y/o aseguramiento de la calidad.</t>
    </r>
  </si>
  <si>
    <t>Planes de mejora, fortalecimiento y/o aseguramiento de la calidad, coordinados.</t>
  </si>
  <si>
    <t xml:space="preserve">Porcentaje de modificaciones solicitadas del Plan de Aseguramiento de la Calidad. </t>
  </si>
  <si>
    <r>
      <rPr>
        <b/>
        <sz val="9"/>
        <color rgb="FF000000"/>
        <rFont val="Century Schoolbook"/>
      </rPr>
      <t>1.-</t>
    </r>
    <r>
      <rPr>
        <sz val="10"/>
        <color rgb="FF000000"/>
        <rFont val="Arial Narrow"/>
      </rPr>
      <t xml:space="preserve"> Efectuar las modificaciones solicitadas del Plan de Aseguramiento de la Calidad.
</t>
    </r>
    <r>
      <rPr>
        <b/>
        <sz val="9"/>
        <color rgb="FF000000"/>
        <rFont val="Century Schoolbook"/>
      </rPr>
      <t>2.-</t>
    </r>
    <r>
      <rPr>
        <sz val="10"/>
        <color rgb="FF000000"/>
        <rFont val="Arial Narrow"/>
      </rPr>
      <t xml:space="preserve"> Efectuar la revisión de los planes de acción de las carreras.
</t>
    </r>
    <r>
      <rPr>
        <b/>
        <sz val="10"/>
        <color rgb="FF0070C0"/>
        <rFont val="Arial Narrow"/>
      </rPr>
      <t>3.-</t>
    </r>
    <r>
      <rPr>
        <sz val="10"/>
        <color rgb="FF0070C0"/>
        <rFont val="Arial Narrow"/>
      </rPr>
      <t xml:space="preserve"> Actualizar actividades del Plan de Aseguramiento de la Calidad (Gestión Administrativa).
</t>
    </r>
    <r>
      <rPr>
        <b/>
        <sz val="10"/>
        <color rgb="FF0070C0"/>
        <rFont val="Arial Narrow"/>
      </rPr>
      <t>4.-</t>
    </r>
    <r>
      <rPr>
        <sz val="10"/>
        <color rgb="FF0070C0"/>
        <rFont val="Arial Narrow"/>
      </rPr>
      <t xml:space="preserve"> Efectuar jornadas de seguimiento del Plan de Aseguramiento de la Calidad  (Gestión Administrativa)
</t>
    </r>
    <r>
      <rPr>
        <b/>
        <sz val="10"/>
        <color rgb="FF0070C0"/>
        <rFont val="Arial Narrow"/>
      </rPr>
      <t>5.-</t>
    </r>
    <r>
      <rPr>
        <sz val="10"/>
        <color rgb="FF0070C0"/>
        <rFont val="Arial Narrow"/>
      </rPr>
      <t xml:space="preserve"> Validar las fuentes de información del Plan de Aseguramiento de la Calidad (gestión administrativa).
</t>
    </r>
    <r>
      <rPr>
        <b/>
        <sz val="10"/>
        <color rgb="FF0070C0"/>
        <rFont val="Arial Narrow"/>
      </rPr>
      <t>6.-</t>
    </r>
    <r>
      <rPr>
        <sz val="10"/>
        <color rgb="FF0070C0"/>
        <rFont val="Arial Narrow"/>
      </rPr>
      <t xml:space="preserve"> Validar las fuentes de información de los Planes de acción de las carreras.</t>
    </r>
  </si>
  <si>
    <r>
      <rPr>
        <b/>
        <sz val="9"/>
        <color rgb="FF000000"/>
        <rFont val="Century Schoolbook"/>
      </rPr>
      <t>1.-</t>
    </r>
    <r>
      <rPr>
        <sz val="10"/>
        <color rgb="FF000000"/>
        <rFont val="Arial Narrow"/>
      </rPr>
      <t xml:space="preserve"> Plan de Aseguramiento de la Calidad Actualizado.
</t>
    </r>
    <r>
      <rPr>
        <b/>
        <sz val="9"/>
        <color rgb="FF000000"/>
        <rFont val="Century Schoolbook"/>
      </rPr>
      <t>2.-</t>
    </r>
    <r>
      <rPr>
        <sz val="10"/>
        <color rgb="FF000000"/>
        <rFont val="Arial Narrow"/>
      </rPr>
      <t xml:space="preserve"> Reporte de Planes de Acción revisados.
</t>
    </r>
    <r>
      <rPr>
        <b/>
        <sz val="10"/>
        <color rgb="FF0070C0"/>
        <rFont val="Arial Narrow"/>
      </rPr>
      <t>3.-</t>
    </r>
    <r>
      <rPr>
        <sz val="10"/>
        <color rgb="FF0070C0"/>
        <rFont val="Arial Narrow"/>
      </rPr>
      <t xml:space="preserve"> Plan de Aseguramiento de la Calidad Actualizado  (Gestión Administrativa).
</t>
    </r>
    <r>
      <rPr>
        <b/>
        <sz val="10"/>
        <color rgb="FF0070C0"/>
        <rFont val="Arial Narrow"/>
      </rPr>
      <t>4.-</t>
    </r>
    <r>
      <rPr>
        <sz val="10"/>
        <color rgb="FF0070C0"/>
        <rFont val="Arial Narrow"/>
      </rPr>
      <t xml:space="preserve"> Tablero de Control del Plan de Aseguramiento de la Calidad Actualizado (Gestión Administrativa).
</t>
    </r>
    <r>
      <rPr>
        <b/>
        <sz val="10"/>
        <color rgb="FF0070C0"/>
        <rFont val="Arial Narrow"/>
      </rPr>
      <t>5.-</t>
    </r>
    <r>
      <rPr>
        <sz val="10"/>
        <color rgb="FF0070C0"/>
        <rFont val="Arial Narrow"/>
      </rPr>
      <t xml:space="preserve"> Reporte de validación de las fuentes de información del plan de aseguramiento (Gestión Administrativa).
</t>
    </r>
    <r>
      <rPr>
        <b/>
        <sz val="10"/>
        <color rgb="FF0070C0"/>
        <rFont val="Arial Narrow"/>
      </rPr>
      <t>6.-</t>
    </r>
    <r>
      <rPr>
        <sz val="10"/>
        <color rgb="FF0070C0"/>
        <rFont val="Arial Narrow"/>
      </rPr>
      <t xml:space="preserve"> Reporte de validación de las fuentes de información del plan de acción.</t>
    </r>
  </si>
  <si>
    <t>* Ing. Dyana Aguilar Rojas,
  Jefe de Unidad de Seguimiento de Normas Técnicas de Evaluación de la Calidad</t>
  </si>
  <si>
    <r>
      <t>3.-</t>
    </r>
    <r>
      <rPr>
        <sz val="10"/>
        <rFont val="Arial Narrow"/>
        <family val="2"/>
      </rPr>
      <t xml:space="preserve"> Emitir y/o actualizar directrices para la conducción de los procesos de autoevaluación y Aseguramiento de la Calidad.</t>
    </r>
  </si>
  <si>
    <t>Directrices para la conducción de los procesos de autoevaluación y aseguramiento de la calidad, emitidas.</t>
  </si>
  <si>
    <t>N° de directrices para la conducción de los procesos de autoevaluación y aseguramiento de la calidad emitidas y/o actualizadas.</t>
  </si>
  <si>
    <r>
      <t>1.-</t>
    </r>
    <r>
      <rPr>
        <sz val="10"/>
        <rFont val="Arial Narrow"/>
        <family val="2"/>
      </rPr>
      <t xml:space="preserve"> Establecer documento técnico del manejo del Tablero de Control del Plan de Aseguramiento de la Calidad de la UTMACH.</t>
    </r>
  </si>
  <si>
    <r>
      <t>1.-</t>
    </r>
    <r>
      <rPr>
        <sz val="10"/>
        <rFont val="Arial Narrow"/>
        <family val="2"/>
      </rPr>
      <t xml:space="preserve"> Propuesta de Documento Técnico de manejo de Tablero de Control del Plan de Aseguramiento de la Calidad de la UTMACH.</t>
    </r>
  </si>
  <si>
    <r>
      <t>4.-</t>
    </r>
    <r>
      <rPr>
        <sz val="10"/>
        <rFont val="Arial Narrow"/>
        <family val="2"/>
      </rPr>
      <t xml:space="preserve"> Emitir Informes Técnicos de revisión de los procedimientos emitidos.</t>
    </r>
  </si>
  <si>
    <t>Nº de informes técnicos presentados.</t>
  </si>
  <si>
    <r>
      <t>1.-</t>
    </r>
    <r>
      <rPr>
        <sz val="10"/>
        <rFont val="Arial Narrow"/>
        <family val="2"/>
      </rPr>
      <t xml:space="preserve"> Elaborar informes técnicos de revisión de documentos.</t>
    </r>
  </si>
  <si>
    <r>
      <t>1.-</t>
    </r>
    <r>
      <rPr>
        <sz val="10"/>
        <rFont val="Arial Narrow"/>
        <family val="2"/>
      </rPr>
      <t xml:space="preserve"> Registro de informes técnicos presentados.</t>
    </r>
  </si>
  <si>
    <r>
      <t>5.-</t>
    </r>
    <r>
      <rPr>
        <sz val="10"/>
        <rFont val="Arial Narrow"/>
        <family val="2"/>
      </rPr>
      <t xml:space="preserve"> Dirigir procesos de capacitaciones y asesorías.</t>
    </r>
  </si>
  <si>
    <t>Capacitaciones y asesorías, ejecutadas.</t>
  </si>
  <si>
    <t>Nº de asesorías ejecutadas.</t>
  </si>
  <si>
    <r>
      <t>1.-</t>
    </r>
    <r>
      <rPr>
        <sz val="10"/>
        <rFont val="Arial Narrow"/>
        <family val="2"/>
      </rPr>
      <t xml:space="preserve"> Asesorar en los procesos de autoevaluación Institucional.</t>
    </r>
    <r>
      <rPr>
        <b/>
        <sz val="9"/>
        <rFont val="Century Schoolbook"/>
        <family val="1"/>
      </rPr>
      <t xml:space="preserve">
2.-</t>
    </r>
    <r>
      <rPr>
        <sz val="10"/>
        <rFont val="Arial Narrow"/>
        <family val="2"/>
      </rPr>
      <t xml:space="preserve"> Efectuar la capacitación y/o asesoramiento del Plan de aseguramiento de la calidad.
</t>
    </r>
    <r>
      <rPr>
        <b/>
        <sz val="9"/>
        <color rgb="FFFF0000"/>
        <rFont val="Century Schoolbook"/>
        <family val="1"/>
      </rPr>
      <t>3.-</t>
    </r>
    <r>
      <rPr>
        <sz val="10"/>
        <color rgb="FFFF0000"/>
        <rFont val="Arial Narrow"/>
        <family val="2"/>
      </rPr>
      <t xml:space="preserve"> Asesorar en la elaboración y revisión de los Planes de Acción de las Carreras.</t>
    </r>
  </si>
  <si>
    <r>
      <t>1.-</t>
    </r>
    <r>
      <rPr>
        <sz val="10"/>
        <rFont val="Arial Narrow"/>
        <family val="2"/>
      </rPr>
      <t xml:space="preserve"> Registro de capacitación y asesorías.</t>
    </r>
  </si>
  <si>
    <r>
      <t>6.-</t>
    </r>
    <r>
      <rPr>
        <sz val="10"/>
        <rFont val="Arial Narrow"/>
        <family val="2"/>
      </rPr>
      <t xml:space="preserve"> Presentar a la Dirección de Planificación la Planificación Operativa Anual y Evaluación del Plan Operativo Anual.</t>
    </r>
  </si>
  <si>
    <t>N° de documentos de planificaciones operativas anuales y evaluaciones de las planificaciones operativas anuales entregadas oportunamente.</t>
  </si>
  <si>
    <r>
      <t>1.-</t>
    </r>
    <r>
      <rPr>
        <sz val="10"/>
        <rFont val="Arial Narrow"/>
        <family val="2"/>
      </rPr>
      <t xml:space="preserve"> Elaborar la Planificación Operativa Anual.</t>
    </r>
    <r>
      <rPr>
        <b/>
        <sz val="9"/>
        <rFont val="Century Schoolbook"/>
        <family val="1"/>
      </rPr>
      <t xml:space="preserve">
2.-</t>
    </r>
    <r>
      <rPr>
        <sz val="10"/>
        <rFont val="Arial Narrow"/>
        <family val="2"/>
      </rPr>
      <t xml:space="preserve"> Elaborar y entregar evaluación de la Planificación Operativa Anual.</t>
    </r>
  </si>
  <si>
    <r>
      <t>1.-</t>
    </r>
    <r>
      <rPr>
        <sz val="10"/>
        <rFont val="Arial Narrow"/>
        <family val="2"/>
      </rPr>
      <t xml:space="preserve"> Plan Operativo Anual </t>
    </r>
    <r>
      <rPr>
        <sz val="10"/>
        <rFont val="Century Schoolbook"/>
        <family val="1"/>
      </rPr>
      <t>2023.</t>
    </r>
    <r>
      <rPr>
        <b/>
        <sz val="9"/>
        <rFont val="Century Schoolbook"/>
        <family val="1"/>
      </rPr>
      <t xml:space="preserve">
2.-</t>
    </r>
    <r>
      <rPr>
        <sz val="10"/>
        <rFont val="Arial Narrow"/>
        <family val="2"/>
      </rPr>
      <t xml:space="preserve"> Evaluación del POA </t>
    </r>
    <r>
      <rPr>
        <sz val="10"/>
        <rFont val="Century Schoolbook"/>
        <family val="1"/>
      </rPr>
      <t>2023.</t>
    </r>
    <r>
      <rPr>
        <b/>
        <sz val="9"/>
        <rFont val="Century Schoolbook"/>
        <family val="1"/>
      </rPr>
      <t xml:space="preserve">
3.-</t>
    </r>
    <r>
      <rPr>
        <sz val="10"/>
        <rFont val="Arial Narrow"/>
        <family val="2"/>
      </rPr>
      <t xml:space="preserve"> Plan Operativo Anual </t>
    </r>
    <r>
      <rPr>
        <sz val="10"/>
        <rFont val="Century Schoolbook"/>
        <family val="1"/>
      </rPr>
      <t>2024.</t>
    </r>
  </si>
  <si>
    <r>
      <t xml:space="preserve">7.- </t>
    </r>
    <r>
      <rPr>
        <sz val="10"/>
        <rFont val="Arial Narrow"/>
        <family val="2"/>
      </rPr>
      <t>Organizar el archivo de gestión de conformidad con la normativa interna de gestión documental.</t>
    </r>
  </si>
  <si>
    <t>N° de carpetas registradas en el inventario documental.</t>
  </si>
  <si>
    <r>
      <t xml:space="preserve">1.- </t>
    </r>
    <r>
      <rPr>
        <sz val="10"/>
        <color rgb="FFFF0000"/>
        <rFont val="Arial Narrow"/>
        <family val="2"/>
      </rPr>
      <t xml:space="preserve">Redactar comunicaciones de respuesta conforme las asignaciones y requerimientos de instancias administrativas. </t>
    </r>
    <r>
      <rPr>
        <b/>
        <sz val="9"/>
        <color rgb="FFFF0000"/>
        <rFont val="Century Schoolbook"/>
        <family val="1"/>
      </rPr>
      <t xml:space="preserve">
2.- </t>
    </r>
    <r>
      <rPr>
        <sz val="10"/>
        <color rgb="FFFF0000"/>
        <rFont val="Arial Narrow"/>
        <family val="2"/>
      </rPr>
      <t xml:space="preserve">Actualizar inventario documental para documentos electrónicos. </t>
    </r>
  </si>
  <si>
    <r>
      <t xml:space="preserve">1.- </t>
    </r>
    <r>
      <rPr>
        <sz val="10"/>
        <color rgb="FFFF0000"/>
        <rFont val="Arial Narrow"/>
        <family val="2"/>
      </rPr>
      <t xml:space="preserve">Reporte de comunicaciones enviadas. </t>
    </r>
    <r>
      <rPr>
        <b/>
        <sz val="9"/>
        <color rgb="FFFF0000"/>
        <rFont val="Century Schoolbook"/>
        <family val="1"/>
      </rPr>
      <t xml:space="preserve">
2.- </t>
    </r>
    <r>
      <rPr>
        <sz val="10"/>
        <color rgb="FFFF0000"/>
        <rFont val="Arial Narrow"/>
        <family val="2"/>
      </rPr>
      <t xml:space="preserve">Inventario documental para documentos electrónicos. </t>
    </r>
  </si>
  <si>
    <t>TOTAL PRESUPUESTO ESTIMATIVO UNIDAD DE SEGUIMIENTO DE NORMAS TÉCNICAS DE EVALUACIÓN DE CALIDAD 2023:</t>
  </si>
  <si>
    <r>
      <rPr>
        <b/>
        <sz val="11"/>
        <color theme="1"/>
        <rFont val="Arial Narrow"/>
        <family val="2"/>
      </rPr>
      <t xml:space="preserve">Elaborado por: </t>
    </r>
    <r>
      <rPr>
        <sz val="11"/>
        <color theme="1"/>
        <rFont val="Arial Narrow"/>
        <family val="2"/>
      </rPr>
      <t>Equipo DAC</t>
    </r>
  </si>
  <si>
    <r>
      <rPr>
        <b/>
        <sz val="11"/>
        <color theme="1"/>
        <rFont val="Arial Narrow"/>
        <family val="2"/>
      </rPr>
      <t xml:space="preserve">Fecha: </t>
    </r>
    <r>
      <rPr>
        <sz val="11"/>
        <color theme="1"/>
        <rFont val="Century Schoolbook"/>
        <family val="1"/>
      </rPr>
      <t>13/09/2022</t>
    </r>
  </si>
  <si>
    <t>VICERRECTORADO DE INVESTIGACIÓN, VINCULACIÓN Y POSGRADO</t>
  </si>
  <si>
    <r>
      <rPr>
        <b/>
        <sz val="9"/>
        <color rgb="FF000000"/>
        <rFont val="Arial Narrow"/>
      </rPr>
      <t>1.-</t>
    </r>
    <r>
      <rPr>
        <sz val="10"/>
        <color rgb="FF000000"/>
        <rFont val="Arial Narrow"/>
      </rPr>
      <t xml:space="preserve"> Convocar y presidir, el Consejo de Investigación, Vinculación y Posgrado.</t>
    </r>
  </si>
  <si>
    <t>Consejo de Investigación, Vinculación y Posgrado, presididas.</t>
  </si>
  <si>
    <t>N° de Convocatorias al Consejo de Investigación, Vinculación y Posgrado presididas.</t>
  </si>
  <si>
    <t>1.- Verificar el cumplimiento de las políticas y programas de Investigación, Vinculación y Posgrado.</t>
  </si>
  <si>
    <t>1.- Actas de sesión de consejo.
2.- Resoluciones de consejo de Investigación, Vinculación y Posgrado.</t>
  </si>
  <si>
    <t>Luis Brito Gaona, Vicerrector de Investigación, Vinculación y Posgrado 
César Quezada Abad, Director de Investigación. 
Ana Moscoso Parra, Directora de Vinculación
Mayiya González, Directora de Posgrado
Cristina Alvarez Marín, Analista Administrativo</t>
  </si>
  <si>
    <t>_5_Transferencia_y_producción_del_conocimiento.</t>
  </si>
  <si>
    <t>1. Fortalecer las capacidades de la comunidad para facilitar el emprendimiento.</t>
  </si>
  <si>
    <r>
      <rPr>
        <b/>
        <sz val="10"/>
        <color rgb="FF000000"/>
        <rFont val="Arial Narrow"/>
        <family val="2"/>
      </rPr>
      <t>2.-</t>
    </r>
    <r>
      <rPr>
        <sz val="10"/>
        <color rgb="FF000000"/>
        <rFont val="Arial Narrow"/>
        <family val="2"/>
      </rPr>
      <t xml:space="preserve"> Impulsar el desarrollo y posterior aprobación institucional de las políticas e investigación, vinculación y posgrado.</t>
    </r>
  </si>
  <si>
    <t>Planificación estratégica de Investigación, Vinculación, y Posgrado impulsada.</t>
  </si>
  <si>
    <t>N° de objetivos ejecutados de la Planificación estratégica de Investigación, Vinculación, y Posgrado.</t>
  </si>
  <si>
    <r>
      <t xml:space="preserve">1.- Proveer los recursos para los procesos de investigación científica, vinculación y posgrado.
</t>
    </r>
    <r>
      <rPr>
        <sz val="10"/>
        <color rgb="FFFF0000"/>
        <rFont val="Arial Narrow"/>
        <family val="2"/>
      </rPr>
      <t>2.- Diseñar la Planificación estratégica de Investigación, Vinculación, y Posgrado.</t>
    </r>
    <r>
      <rPr>
        <sz val="10"/>
        <color theme="1"/>
        <rFont val="Arial Narrow"/>
        <family val="2"/>
      </rPr>
      <t xml:space="preserve">
3.- Ejecutar proyectos de investigación.</t>
    </r>
  </si>
  <si>
    <t>1.- Planificación estratégica de Investigación, Vinculación, y Posgrado.</t>
  </si>
  <si>
    <t>Luis Brito Gaona, Vicerrector de Investigación, Vinculación y Posgrado 
César Quezada Abad, Director de Investigación. 
Ana Moscoso Parra, Directora de Vinculación
Mayiya González, Directora de Posgrado</t>
  </si>
  <si>
    <t>Reducción de 4800 acorde a Reforma realizada por VIVP enviada a Planificación.</t>
  </si>
  <si>
    <t>Pago de inscripciones y publicaciones a eventos académicos on line y/o servicios de traducción, edición y publicación de artículos en revistas científicas</t>
  </si>
  <si>
    <t>Pago</t>
  </si>
  <si>
    <t>Contratación del servicio de impresión de material gráfico para el desarrollo y promoción de la investigación, vinculación y posgrado</t>
  </si>
  <si>
    <t>Contratación del servicio de manejo, gestión y seguimiento a identificadores de objeto digital (DOI)</t>
  </si>
  <si>
    <t>M.7.4.1. Incrementar los artículos publicados por las universidades y escuelas politécnicas en revistas indexadas de 6.624 a 12.423.</t>
  </si>
  <si>
    <t>_4_Competitividad_de_la_investigación_e_innovación_universitaria.</t>
  </si>
  <si>
    <t>1. Desarrollar proyectos de investigación competitivos que respondan a los requerimientos del contexto institucional.</t>
  </si>
  <si>
    <t>OEI_3_INCREMENTAR_LA_PRODUCCIÓN_CIENTÍFICA_Y_TECNOLÓGICA.</t>
  </si>
  <si>
    <r>
      <rPr>
        <b/>
        <sz val="10"/>
        <color rgb="FF000000"/>
        <rFont val="Arial Narrow"/>
        <family val="2"/>
      </rPr>
      <t>3.-</t>
    </r>
    <r>
      <rPr>
        <sz val="10"/>
        <color rgb="FF000000"/>
        <rFont val="Arial Narrow"/>
        <family val="2"/>
      </rPr>
      <t xml:space="preserve"> Liderar las políticas y procesos de actualización permanente de los 
dominios y líneas de investigación y vinculación social, así como los 
programas de formación de posgrado.</t>
    </r>
  </si>
  <si>
    <t>Propuesta de actualización de los Dominios Científicos y Líneas de Investigación, liderada.</t>
  </si>
  <si>
    <t>N° de Propuestas de actualización de los Dominios Científicos y Líneas de Investigación diseñadas.</t>
  </si>
  <si>
    <t>1.- Planificar la actualización de los dominios científicos y líneas de investigación y vinculación social.</t>
  </si>
  <si>
    <t>1.- Documento de actualización de los dominios científicos y líneas de investigación y vinculación social.</t>
  </si>
  <si>
    <t xml:space="preserve">Luis Brito Gaona, Vicerrector de Investigación, Vinculación y Posgrado 
Cristina Alvarez Marín, Analista Administrativo </t>
  </si>
  <si>
    <t>Pasajes en el Exterior</t>
  </si>
  <si>
    <t xml:space="preserve">Adquisición de boletos aéreos en el exterior para la ejecución de carteras de proyectos de investigación vigentes </t>
  </si>
  <si>
    <t xml:space="preserve">Viáticos y Subsistencias en el Exterior para la ejecución de carteras de proyectos de investigación vigentes </t>
  </si>
  <si>
    <t>INVESTIGACIONES</t>
  </si>
  <si>
    <r>
      <rPr>
        <b/>
        <sz val="10"/>
        <color rgb="FF000000"/>
        <rFont val="Arial Narrow"/>
        <family val="2"/>
      </rPr>
      <t>4.-</t>
    </r>
    <r>
      <rPr>
        <sz val="10"/>
        <color rgb="FF000000"/>
        <rFont val="Arial Narrow"/>
        <family val="2"/>
      </rPr>
      <t xml:space="preserve"> Coordinar la ejecución de la agenda de desarrollo prospectivo de investigación, vinculación, y posgrado.</t>
    </r>
  </si>
  <si>
    <t>Instrumentos para la gestión de fondos internos y/ o externos para el desarrollo de la Investigación, Vinculación, y Posgrado propuestos e implementados.</t>
  </si>
  <si>
    <t>N° de Instrumentos para la gestión de fondos internos y/ o externos diseñadas.</t>
  </si>
  <si>
    <t>1.- Diseñar el Instructivo para la gestión de fondos internos y/o externos.</t>
  </si>
  <si>
    <t xml:space="preserve">1.- Instructivo para la gestión de fondos internos y/o externos. </t>
  </si>
  <si>
    <t>11. Potenciar investigaciones que generen registros de propiedad intelectual.</t>
  </si>
  <si>
    <r>
      <rPr>
        <b/>
        <sz val="10"/>
        <color rgb="FF000000"/>
        <rFont val="Arial Narrow"/>
        <family val="2"/>
      </rPr>
      <t>5.-</t>
    </r>
    <r>
      <rPr>
        <sz val="10"/>
        <color rgb="FF000000"/>
        <rFont val="Arial Narrow"/>
        <family val="2"/>
      </rPr>
      <t xml:space="preserve"> Proponer e implementar los instrumentos para la protección de los derechos intelectuales de los productos derivados de los procesos de Investigación, Desarrollo e innovación (I+D+i).</t>
    </r>
  </si>
  <si>
    <t>Instrumentos para la protección de los derechos intelectuales de los productos derivados de los procesos de Investigación, Desarrollo e innovación (I+D+i), propuestos e implementados.</t>
  </si>
  <si>
    <t>N° de Instrumentos para la protección de los derechos intelectuales implementados.</t>
  </si>
  <si>
    <t>1.- Planificar la implementación de patentes de los productos derivados de los procesos de Investigación, Desarrollo e Innovación.</t>
  </si>
  <si>
    <t>1.- Instructivo para la protección de los derechos intelectuales de los productos derivados de los procesos de Investigación, Desarrollo e Innovación.</t>
  </si>
  <si>
    <t>Pago de servicio de registro ante SENADI</t>
  </si>
  <si>
    <t>6. Revalorizar la participación docente en proyectos de vinculación con fines de acceso a mejoras escalafonarias y/o de méritos para evaluación docente.</t>
  </si>
  <si>
    <r>
      <rPr>
        <b/>
        <sz val="10"/>
        <color rgb="FF000000"/>
        <rFont val="Arial Narrow"/>
        <family val="2"/>
      </rPr>
      <t>6.-</t>
    </r>
    <r>
      <rPr>
        <sz val="10"/>
        <color rgb="FF000000"/>
        <rFont val="Arial Narrow"/>
        <family val="2"/>
      </rPr>
      <t xml:space="preserve"> Coordinar los procesos de mejoramiento continuo de las actividades de investigación, vinculación y posgrado, mediante el seguimiento de los criterios e indicadores de calidad correspondiente.</t>
    </r>
  </si>
  <si>
    <t>Procesos de Investigación, Vinculación, y Posgrado gestionados.</t>
  </si>
  <si>
    <t>N° de Procesos de Investigación, Vinculación, y Posgrado gestionados.</t>
  </si>
  <si>
    <t xml:space="preserve">1.- Verificar el cumplimiento de las actividades de investigación, vinculación y posgrado. </t>
  </si>
  <si>
    <t xml:space="preserve">1.- Matriz de cumplimiento de las actividades del Plan de Aseguramiento de la Calidad de las Direcciones de Investigación, Vinculación, y Posgrado. </t>
  </si>
  <si>
    <t>Membrecías</t>
  </si>
  <si>
    <t>Pago de membresías a redes académicas y/o de investigación</t>
  </si>
  <si>
    <r>
      <rPr>
        <b/>
        <sz val="10"/>
        <color rgb="FF000000"/>
        <rFont val="Arial Narrow"/>
        <family val="2"/>
      </rPr>
      <t>7.-</t>
    </r>
    <r>
      <rPr>
        <sz val="10"/>
        <color rgb="FF000000"/>
        <rFont val="Arial Narrow"/>
        <family val="2"/>
      </rPr>
      <t xml:space="preserve"> Fomentar la pertinencia de las actividades y productos de investigación, vinculación y posgrado.</t>
    </r>
  </si>
  <si>
    <t>Convocatorias, portafolios de programas y/ o proyectos de 
investigación, vinculación, posgrado y su posterior proceso de cierre técnico, académico y administrativo, propuestos e implementados.</t>
  </si>
  <si>
    <t>N° de proyectos de investigación, vinculación y posgrado gestionados.</t>
  </si>
  <si>
    <t xml:space="preserve">1.- Gestionar la aprobación de los programas y/o proyectos de investigación, cuya evaluación fue favorable por los pares académicos en la convocatoria vigente.
2.- Gestionar el cierre académico y administrativo de los programas y/o proyectos de investigación ante el H. Consejo Universitario que han cumplido con los requisitos establecidos para tal fin. </t>
  </si>
  <si>
    <t>1.- Reporte proyectos de investigación aprobados.
2.- Reporte de proyectos de investigación cerrados.</t>
  </si>
  <si>
    <t>Luis Brito Gaona, Vicerrector de Investigación, Vinculación y Posgrado 
César Quezada Abad, Director de Investigación</t>
  </si>
  <si>
    <r>
      <rPr>
        <b/>
        <sz val="10"/>
        <color rgb="FF000000"/>
        <rFont val="Arial Narrow"/>
        <family val="2"/>
      </rPr>
      <t>8.-</t>
    </r>
    <r>
      <rPr>
        <sz val="10"/>
        <color rgb="FF000000"/>
        <rFont val="Arial Narrow"/>
        <family val="2"/>
      </rPr>
      <t xml:space="preserve"> Cumplir con las disposiciones establecidas por el Consejo Universitario, las actividades señaladas por el Rector, otras que se señalen en la Ley Orgánica de Educación Superior, su Reglamento, Resoluciones emanadas por los Organismos que rigen el sistema de educación superior, el Estatuto y los Reglamentos Internos de la Universidad.</t>
    </r>
  </si>
  <si>
    <t xml:space="preserve">Organismos, comités y comisiones, que señale la ley, los reglamentos, el Estatuto y la normativa interna, así como también las delegadas por el rector, dentro de las competencias que le son propias o determinadas por el Consejo Universitario, integrados y presididos. </t>
  </si>
  <si>
    <t>N° de Organismos, comités y comisiones, que señale la ley, los reglamentos, el Estatuto y la normativa interna delegadas por el rector.</t>
  </si>
  <si>
    <t>1.- Presidir la Comisión Técnica Permanente.</t>
  </si>
  <si>
    <t>1.- Actas de sesión de la Comisión.</t>
  </si>
  <si>
    <r>
      <rPr>
        <b/>
        <sz val="10"/>
        <color rgb="FF000000"/>
        <rFont val="Arial Narrow"/>
        <family val="2"/>
      </rPr>
      <t>9.-</t>
    </r>
    <r>
      <rPr>
        <sz val="10"/>
        <color rgb="FF000000"/>
        <rFont val="Arial Narrow"/>
        <family val="2"/>
      </rPr>
      <t xml:space="preserve"> Ejecutar el presupuesto asignado a los programas y proyectos bajo su 
dependencia.</t>
    </r>
  </si>
  <si>
    <t>Distribución del recurso presupuestario asignado a su gestión, de conformidad con su misión y en concordancia con la normativa vigente, propuesto.</t>
  </si>
  <si>
    <t>N° de procesos de adquisiciones de bienes y servicios gestionados presupuestariamente.</t>
  </si>
  <si>
    <t>1.- Gestionar la ejecución presupuestaria.</t>
  </si>
  <si>
    <t>1.- Matriz de procesos de adquisiciones de bienes y servicios del Vicerrectorado de Investigación, Vinculación, y Posgrado.</t>
  </si>
  <si>
    <t>9. Implementar un sistema de incentivos que reconozca la producción investigadora del docente universitario.</t>
  </si>
  <si>
    <r>
      <rPr>
        <b/>
        <sz val="10"/>
        <color rgb="FF000000"/>
        <rFont val="Arial Narrow"/>
        <family val="2"/>
      </rPr>
      <t>10.-</t>
    </r>
    <r>
      <rPr>
        <sz val="10"/>
        <color rgb="FF000000"/>
        <rFont val="Arial Narrow"/>
        <family val="2"/>
      </rPr>
      <t xml:space="preserve"> Dirigir el proceso de reconocimiento del personal académico con relación a los resultados de investigación, desarrollo e innovación.</t>
    </r>
  </si>
  <si>
    <t>Proceso de reconocimiento del personal académico con relación a los resultados de investigación, desarrollo e innovación, dirigido.</t>
  </si>
  <si>
    <t>N° de proceso de reconocimiento del personal académico con relación a los resultados de investigación, desarrollo e innovación, dirigido.</t>
  </si>
  <si>
    <t>1.- Planificación y desarrollo de las actividades para el Reconocimiento a la Investigación Científica 2023 dirigido a docentes.</t>
  </si>
  <si>
    <t>1.- Convocatoria RIC.
2.- Captura del evento y programa de Reconocimiento a la Investigación Científica 2023 dirigido a docentes.</t>
  </si>
  <si>
    <t>Luis Brito Gaona, Vicerrector de Investigación, Vinculación y Posgrado 
Cristina Alvarez Marín, Analista Administrativo
Karina Lozano Zambrano, Jefe Editor</t>
  </si>
  <si>
    <t>4. Aumentar la producción, competitividad y posicionamiento de la editorial universitaria.</t>
  </si>
  <si>
    <r>
      <rPr>
        <b/>
        <sz val="10"/>
        <color rgb="FF000000"/>
        <rFont val="Arial Narrow"/>
        <family val="2"/>
      </rPr>
      <t>11.-</t>
    </r>
    <r>
      <rPr>
        <sz val="10"/>
        <color rgb="FF000000"/>
        <rFont val="Arial Narrow"/>
        <family val="2"/>
      </rPr>
      <t xml:space="preserve"> Supervisar la ejecución de las actividades relacionadas con la Unidad Editorial.</t>
    </r>
  </si>
  <si>
    <t>Actividades relacionadas con la Unidad Editorial, supervisadas.</t>
  </si>
  <si>
    <t>N° de actividades relacionadas con la Unidad Editorial, supervisadas.</t>
  </si>
  <si>
    <t>1.- Supervisar la ejecución de las publicaciones periódicas y temáticas.</t>
  </si>
  <si>
    <t>1.- Publicaciones periódicas de las revistas.
2.- Capturas de las plataformas desarrolladas y/o actualizadas.</t>
  </si>
  <si>
    <r>
      <rPr>
        <b/>
        <sz val="10"/>
        <color rgb="FF000000"/>
        <rFont val="Arial Narrow"/>
        <family val="2"/>
      </rPr>
      <t>12.-</t>
    </r>
    <r>
      <rPr>
        <sz val="10"/>
        <color rgb="FF000000"/>
        <rFont val="Arial Narrow"/>
        <family val="2"/>
      </rPr>
      <t xml:space="preserve"> Avalar y certificar las actividades de Investigación, Vinculación y Posgrado propuestas por las direcciones a su cargo.</t>
    </r>
  </si>
  <si>
    <t xml:space="preserve">Actividades de Investigación, Vinculación, y Posgrado propuestas por las direcciones a su cargo, avaladas y certificadas. </t>
  </si>
  <si>
    <t>N° de programas de formación y actualización de competencias de investigación, vinculación y posgrado diseñados.</t>
  </si>
  <si>
    <t>1.- Diseñar Programas para la formación de competencias.
2.- Gestionar el desarrollo de los Programas para la formación de competencias.
3.- Coordinar la logística de los Programas para la formación de competencias.
4.- Difundir los Programas para la formación de competencias.</t>
  </si>
  <si>
    <t>1.- Resolución de aprobación del Plan de Formación y actualización en competencias investigativas.</t>
  </si>
  <si>
    <t xml:space="preserve">Luis Brito Gaona, Vicerrector de Investigación, Vinculación y Posgrado 
Cristina Alvarez Marín, Analista Administrativo
Karina Lozano Zambrano, Jefe Editor 
</t>
  </si>
  <si>
    <t>Capacitación a Servidores Públicos</t>
  </si>
  <si>
    <t xml:space="preserve">Plan anual de cursos en competencias investigativas </t>
  </si>
  <si>
    <r>
      <rPr>
        <b/>
        <sz val="10"/>
        <color rgb="FF000000"/>
        <rFont val="Arial Narrow"/>
        <family val="2"/>
      </rPr>
      <t>13.-</t>
    </r>
    <r>
      <rPr>
        <sz val="10"/>
        <color rgb="FF000000"/>
        <rFont val="Arial Narrow"/>
        <family val="2"/>
      </rPr>
      <t xml:space="preserve"> Fomentar la creación de programas de cuarto nivel.</t>
    </r>
  </si>
  <si>
    <t xml:space="preserve">Programas de cuarto nivel, fomentados. </t>
  </si>
  <si>
    <t>1.- Diseñar Programas de cuarto nivel.
2.- Gestionar el desarrollo de los Programas de cuarto nivel.
3.- Promover la actualización de los Programas de cuarto nivel.</t>
  </si>
  <si>
    <t>1.- Resolución de aprobación del Programas de cuarto nivel.</t>
  </si>
  <si>
    <t xml:space="preserve">Luis Brito Gaona, Vicerrector de Investigación, Vinculación y Posgrado 
Mayiya González, Directora de Posgrado </t>
  </si>
  <si>
    <r>
      <rPr>
        <b/>
        <sz val="10"/>
        <color rgb="FF000000"/>
        <rFont val="Arial Narrow"/>
        <family val="2"/>
      </rPr>
      <t>14.-</t>
    </r>
    <r>
      <rPr>
        <sz val="10"/>
        <color rgb="FF000000"/>
        <rFont val="Arial Narrow"/>
        <family val="2"/>
      </rPr>
      <t xml:space="preserve"> Coordinar la elaboración y seguimiento del Plan Anual de Becas doctorales y posdoctorales con la Dirección de Investigación, Desarrollo e Innovación.</t>
    </r>
  </si>
  <si>
    <t xml:space="preserve">Plan Anual de Becas y sus expedientes académicos, organizados oportunamente. </t>
  </si>
  <si>
    <t>N° de expedientes académicos organizados.</t>
  </si>
  <si>
    <t>1.- Supervisar y monitorear el seguimiento del Plan Anual de Becas.</t>
  </si>
  <si>
    <t>1.- Informes técnicos de avance del programa de postgrado.</t>
  </si>
  <si>
    <r>
      <rPr>
        <b/>
        <sz val="10"/>
        <color rgb="FF000000"/>
        <rFont val="Arial Narrow"/>
        <family val="2"/>
      </rPr>
      <t>15.-</t>
    </r>
    <r>
      <rPr>
        <sz val="10"/>
        <color rgb="FF000000"/>
        <rFont val="Arial Narrow"/>
        <family val="2"/>
      </rPr>
      <t xml:space="preserve"> Presentar a la Dirección de Planificación el Plan Operativo Anual y su evaluación.</t>
    </r>
  </si>
  <si>
    <t>Planificación Operativa Anual y Evaluación de la Planificación 
Operativa Anual entregadas oportunamente.</t>
  </si>
  <si>
    <t>N° de Planificaciones Operativas Anuales y Evaluaciones de la Planificaciones Operativas Anuales presentadas oportunamente.</t>
  </si>
  <si>
    <t>1.- Elaborar un presupuesto estimativo de los requerimientos anuales.
2.- Compilar los requerimientos por grupo de gasto.
3.- Elaborar la Planificación Operativa Anual 2024. 
4.- Elaborar la Evaluación de la Planificación Operativa Anual 2023.</t>
  </si>
  <si>
    <t>1.- Evaluación del Plan Operativo Anual 2023.
2.- Plan Operativo Anual 2024.</t>
  </si>
  <si>
    <r>
      <rPr>
        <b/>
        <sz val="10"/>
        <color rgb="FF000000"/>
        <rFont val="Arial Narrow"/>
        <family val="2"/>
      </rPr>
      <t>16.-</t>
    </r>
    <r>
      <rPr>
        <sz val="10"/>
        <color rgb="FF000000"/>
        <rFont val="Arial Narrow"/>
        <family val="2"/>
      </rPr>
      <t xml:space="preserve"> Organizar el archivo de gestión de conformidad con la normativa 
interna de gestión documental.</t>
    </r>
  </si>
  <si>
    <t>Archivo de gestión organizado.</t>
  </si>
  <si>
    <t>N° de documentos registrados en el inventario documental.</t>
  </si>
  <si>
    <t>1.- Elaborar la documentación de la Dependencia.
2.- Mantener el archivo físico en forma cronológica.
3.- Incorporar información en las matrices del archivo de gestión.</t>
  </si>
  <si>
    <t>1.- Inventario Documental.</t>
  </si>
  <si>
    <t>TOTAL PRESUPUESTO ESTIMATIVO VICERRECTORADO INVESTIGACIÓN, VINCULACIÓN Y POSGRADO 2023:</t>
  </si>
  <si>
    <t>EDITORIAL</t>
  </si>
  <si>
    <r>
      <rPr>
        <b/>
        <sz val="10"/>
        <color rgb="FFFF0000"/>
        <rFont val="Arial Narrow"/>
        <family val="2"/>
      </rPr>
      <t>METAS OPERATIVAS</t>
    </r>
    <r>
      <rPr>
        <b/>
        <sz val="9"/>
        <color theme="1"/>
        <rFont val="Century Schoolbook"/>
        <family val="1"/>
      </rPr>
      <t xml:space="preserve">
1.-</t>
    </r>
    <r>
      <rPr>
        <sz val="10"/>
        <color theme="1"/>
        <rFont val="Arial Narrow"/>
        <family val="2"/>
      </rPr>
      <t xml:space="preserve"> Desarrollar y actualizar la política y planificación editorial de la UTMACH.</t>
    </r>
  </si>
  <si>
    <t>Política y planificación editorial de la UTMACH, desarrollada y
actualizada.</t>
  </si>
  <si>
    <t>N° de documentos para la planificación editorial de la UTMACH, desarrollada y actualizada.</t>
  </si>
  <si>
    <t>1.- Planificar de las actividades anuales de la Editorial, correspondientes a eventos académicos.
2.- Desarrollar un cronograma de registro oficial de las nuevas revistas científicas gestionadas a través de la Editorial UTMACH.</t>
  </si>
  <si>
    <t>1.- Documento de la Planificación de las actividades anuales de la Editorial, correspondientes a eventos académicos, aprobada por el Vicerrector de Investigación, Desarrollo e Innovación.
2.- Solicitudes de ISSN para las nuevas revistas con su carta de aprobación del SENESCYT.</t>
  </si>
  <si>
    <t>Karina Lozano Zambrano, Jefe Editor</t>
  </si>
  <si>
    <r>
      <rPr>
        <b/>
        <sz val="9"/>
        <color theme="1"/>
        <rFont val="Century Schoolbook"/>
        <family val="1"/>
      </rPr>
      <t>2.-</t>
    </r>
    <r>
      <rPr>
        <sz val="10"/>
        <color theme="1"/>
        <rFont val="Arial Narrow"/>
        <family val="2"/>
      </rPr>
      <t xml:space="preserve"> Diseñar convocatorias académicas y/o científicas para la producción editorial incluyendo su línea gráfica.</t>
    </r>
  </si>
  <si>
    <t>Convocatorias académicas y/ o científicas para la producción editorial
incluyendo su línea gráfica, diseñadas.</t>
  </si>
  <si>
    <t xml:space="preserve">N° de convocatorias académicas y/o científica para la producción editorial, que incluya su línea gráfica. </t>
  </si>
  <si>
    <t>1.- Diseñar y gestionar la aprobación de convocatoria temática 2023. 
2.- Gestionar las convocatorias para la publicación de artículos en las revistas de la Universidad.
3.- Gestionar la convocatoria de Cuentos dirigida a la comunidad UTMACH en general.</t>
  </si>
  <si>
    <t>1.- Resolución de la convocatoria temática 2023.
2.- Arte de difusión de los CALL for Paper para las revistas.
3.- Arte de difusión de la convocatoria de escritura de cuentos.</t>
  </si>
  <si>
    <t>Karina Lozano Zambrano, Jefe Editor
Edison Mera León, Analista Editorial</t>
  </si>
  <si>
    <r>
      <rPr>
        <b/>
        <sz val="9"/>
        <color theme="1"/>
        <rFont val="Century Schoolbook"/>
        <family val="1"/>
      </rPr>
      <t>3.-</t>
    </r>
    <r>
      <rPr>
        <sz val="10"/>
        <color theme="1"/>
        <rFont val="Arial Narrow"/>
        <family val="2"/>
      </rPr>
      <t xml:space="preserve"> Diseñar e implementar instrumentos y/o herramientas para la gestión operativa de los procesos editoriales.</t>
    </r>
  </si>
  <si>
    <t>Instrumentos y/ o herramientas para la gestión operativa de los
procesos editoriales, diseñadas e implementadas.</t>
  </si>
  <si>
    <t>N° de Instrumentos y/ o herramientas para la gestión operativa de los procesos editoriales, diseñadas e implementadas.</t>
  </si>
  <si>
    <t>1.- Revisar y actualizar las hojas de ruta del proceso editorial, para la gestión de las publicaciones.
2.- Cargar información sobre publicaciones de libros, a la Plataforma de Reconocimiento a la investigación Científica RIC, para la generación de constancias a autores.</t>
  </si>
  <si>
    <t>1.- Plantilla de libro y/o capítulo de libro para postular en convocatorias.
2.- Formulario de revisión de pertinencia.
3.- Formulario de revisión por pares.
4.- Formato de informe final del libro y/o capítulo de libro.
5.- Reporte de carga al RIC 2020, 2021.</t>
  </si>
  <si>
    <t>Karina Lozano Zambrano, Jefe Editor
Edison Mera León, Analista Editorial
Geovanny Mocha Guacho, Analista Editorial</t>
  </si>
  <si>
    <r>
      <rPr>
        <b/>
        <sz val="9"/>
        <color rgb="FF000000"/>
        <rFont val="Century Schoolbook"/>
        <family val="1"/>
      </rPr>
      <t>4.-</t>
    </r>
    <r>
      <rPr>
        <b/>
        <sz val="10"/>
        <color rgb="FF000000"/>
        <rFont val="Arial Narrow"/>
        <family val="2"/>
      </rPr>
      <t xml:space="preserve"> </t>
    </r>
    <r>
      <rPr>
        <sz val="10"/>
        <color rgb="FF000000"/>
        <rFont val="Arial Narrow"/>
        <family val="2"/>
      </rPr>
      <t>Editar y revisar productos editoriales académicos y/o científicos.</t>
    </r>
  </si>
  <si>
    <t>Productos editoriales académicos y/ o científicos editados y revisados.</t>
  </si>
  <si>
    <t>N° de productos editoriales académicos y/o científicos editados y revisados.</t>
  </si>
  <si>
    <t>1.- Coordinar y gestionar la revisión de manuscritos presentados en la editorial UTMACH.</t>
  </si>
  <si>
    <t>1.- Expedientes de los productos editoriales editados, revisados por pares y aprobados para su publicación.</t>
  </si>
  <si>
    <r>
      <rPr>
        <b/>
        <sz val="9"/>
        <color rgb="FF000000"/>
        <rFont val="Century Schoolbook"/>
        <family val="1"/>
      </rPr>
      <t>5.-</t>
    </r>
    <r>
      <rPr>
        <b/>
        <sz val="10"/>
        <color rgb="FF000000"/>
        <rFont val="Arial Narrow"/>
        <family val="2"/>
      </rPr>
      <t xml:space="preserve"> </t>
    </r>
    <r>
      <rPr>
        <sz val="10"/>
        <color rgb="FF000000"/>
        <rFont val="Arial Narrow"/>
        <family val="2"/>
      </rPr>
      <t>Difundir y revisar productos editoriales académicos y/o científicos.</t>
    </r>
  </si>
  <si>
    <t>Productos editoriales académicos y/o científicos difundidos y revisado.</t>
  </si>
  <si>
    <r>
      <rPr>
        <sz val="10"/>
        <color rgb="FF000000"/>
        <rFont val="Arial Narrow"/>
        <family val="2"/>
      </rPr>
      <t>N° de productos editoriales académicos y/o científicos difundidos y revisados</t>
    </r>
    <r>
      <rPr>
        <sz val="10"/>
        <color rgb="FFFF0000"/>
        <rFont val="Arial Narrow"/>
        <family val="2"/>
      </rPr>
      <t>.</t>
    </r>
  </si>
  <si>
    <t>1.- Publicar y revisar los productos académicos y/o científicos de la Editorial UTMACH.</t>
  </si>
  <si>
    <t>1.- Artes o capturas de la difusión de los productos editoriales publicados.</t>
  </si>
  <si>
    <r>
      <rPr>
        <b/>
        <sz val="9"/>
        <color rgb="FF000000"/>
        <rFont val="Century Schoolbook"/>
        <family val="1"/>
      </rPr>
      <t>6.-</t>
    </r>
    <r>
      <rPr>
        <b/>
        <sz val="10"/>
        <color rgb="FF000000"/>
        <rFont val="Arial Narrow"/>
        <family val="2"/>
      </rPr>
      <t xml:space="preserve"> </t>
    </r>
    <r>
      <rPr>
        <sz val="10"/>
        <color rgb="FF000000"/>
        <rFont val="Arial Narrow"/>
        <family val="2"/>
      </rPr>
      <t>Promover y difundir propuestas audiovisuales de los productos editoriales de la UTMACH.</t>
    </r>
  </si>
  <si>
    <t>Propuestas audiovisuales para promover y difundir los productos
editoriales de la UTMACH.</t>
  </si>
  <si>
    <t>N° de propuestas audiovisuales para promover y difundir los productos editoriales de la UTMACH.</t>
  </si>
  <si>
    <t>1.- Coordinar la ejecución de videos de difusión de los productos editoriales.</t>
  </si>
  <si>
    <t>1.- Propuesta de la nueva temporada de Diálogo con Autores, aprobada por el Vicerrector de Investigación.
2.- Videos difundidos de las entrevistas a autores de libros.</t>
  </si>
  <si>
    <t xml:space="preserve">Kit de jaula </t>
  </si>
  <si>
    <t xml:space="preserve">Batería recargable </t>
  </si>
  <si>
    <t>Cámara de fotográfica y/o video</t>
  </si>
  <si>
    <t>PARLANTES JBL Professional EON715</t>
  </si>
  <si>
    <t>AURICULARES Hollyland Solidcom C1</t>
  </si>
  <si>
    <t>Yamaha MG12XU | Consola 12 canales</t>
  </si>
  <si>
    <t>Videocámara Canon Vixia HF G50 UHD 4K</t>
  </si>
  <si>
    <t>Pantallas interactivas</t>
  </si>
  <si>
    <r>
      <rPr>
        <b/>
        <sz val="9"/>
        <color rgb="FF000000"/>
        <rFont val="Century Schoolbook"/>
        <family val="1"/>
      </rPr>
      <t>7.-</t>
    </r>
    <r>
      <rPr>
        <b/>
        <sz val="10"/>
        <color rgb="FF000000"/>
        <rFont val="Arial Narrow"/>
        <family val="2"/>
      </rPr>
      <t xml:space="preserve"> </t>
    </r>
    <r>
      <rPr>
        <sz val="10"/>
        <color rgb="FF000000"/>
        <rFont val="Arial Narrow"/>
        <family val="2"/>
      </rPr>
      <t>Gestionar las publicaciones periódicas y otros productos editoriales vinculados a eventos académicos.</t>
    </r>
  </si>
  <si>
    <t>Publicaciones periódicas, y otros productos editoriales vinculados a eventos académicos.</t>
  </si>
  <si>
    <t>N° de publicaciones periódicas, y otros productos editoriales vinculados a
eventos académicos.</t>
  </si>
  <si>
    <t>1.- Coordinar la edición del boletín informativo del Vicerrectorado de Investigación, Vinculación y Posgrado.
2.- Coordinar la publicación de las revistas científicas de la UTMACH.</t>
  </si>
  <si>
    <t>1.- Boletines informativos del Vicerrectorado de Investigación, Vinculación y Posgrado.
2.- Revistas científicas publicadas.</t>
  </si>
  <si>
    <r>
      <rPr>
        <b/>
        <sz val="9"/>
        <color rgb="FF000000"/>
        <rFont val="Century Schoolbook"/>
        <family val="1"/>
      </rPr>
      <t>8.-</t>
    </r>
    <r>
      <rPr>
        <b/>
        <sz val="10"/>
        <color rgb="FF000000"/>
        <rFont val="Arial Narrow"/>
        <family val="2"/>
      </rPr>
      <t xml:space="preserve"> </t>
    </r>
    <r>
      <rPr>
        <sz val="10"/>
        <color rgb="FF000000"/>
        <rFont val="Arial Narrow"/>
        <family val="2"/>
      </rPr>
      <t>Coordinar acciones para promover e incentivar la producción científica de los docentes universitarios en la Editorial.</t>
    </r>
  </si>
  <si>
    <t>Acciones para promover e incentivar la producción científica de los docentes universitarios en la Editorial, coordinadas.</t>
  </si>
  <si>
    <t>N° de acciones para promover e incentivar la producción científica de los docentes universitarios en la Editorial, coordinadas.</t>
  </si>
  <si>
    <t>1.- Socializar los servicios editoriales a las facultades.
2.- Elaborar las cápsulas audiovisuales de consejos para autores, que fomenten la buena escritura y utilizaciones de las normas.</t>
  </si>
  <si>
    <t>1.- Capturas de evidencia de las socializaciones realizadas a las Facultades.
2.- Cápsulas audiovisuales con consejos para autores, publicadas en el canal de youtube.</t>
  </si>
  <si>
    <t>Karina Lozano Zambrano, Jefe Editor
Edison Mera León, Analista Editorial
Geovanny Mocha Guacho,Analista Editorial</t>
  </si>
  <si>
    <r>
      <rPr>
        <b/>
        <sz val="9"/>
        <color theme="1"/>
        <rFont val="Century Schoolbook"/>
        <family val="1"/>
      </rPr>
      <t>9.-</t>
    </r>
    <r>
      <rPr>
        <b/>
        <sz val="10"/>
        <color theme="1"/>
        <rFont val="Arial Narrow"/>
        <family val="2"/>
      </rPr>
      <t xml:space="preserve"> </t>
    </r>
    <r>
      <rPr>
        <sz val="10"/>
        <color theme="1"/>
        <rFont val="Arial Narrow"/>
        <family val="2"/>
      </rPr>
      <t>Diseñar, diagramar, imprimir y/o digitalizar documentos de la editorial.</t>
    </r>
  </si>
  <si>
    <t>Documentos diseñados, diagramados, impresos y/ o digitalizados.</t>
  </si>
  <si>
    <t>N° de documentos diseñados, diagramados, impresos y/ o digitalizados.</t>
  </si>
  <si>
    <t xml:space="preserve">1.- Diseñar portadas.
2.- Diagramar textos. 
3.- Diseñar artes para eventos académicos.
4.- Diseñar Flyer para capacitaciones y cursos de investigación.
</t>
  </si>
  <si>
    <t>1.- Portadas de libros.
2.- Libros diagramados.
3.- Arte de difusión de eventos académicos.
4.- Flyers de difusión sobre capacitaciones y/o cursos.</t>
  </si>
  <si>
    <t>Servicio de impresión de material gráfico publicitario y académico: (Roll ups, Banners, Afiches, Trípticos, Manuales, Guías, Libros)</t>
  </si>
  <si>
    <t>Licencia para gestión editorial (ADOBE)</t>
  </si>
  <si>
    <t>Contratación de licencias PLUGGIN para la página web de la Dirección de Investigación y otras aplicaciones web (Envato Elements, Elementor, Slider revolution, SMASH BALLON, UpdraftPlus Premium, Motion Array)</t>
  </si>
  <si>
    <r>
      <rPr>
        <b/>
        <sz val="9"/>
        <color rgb="FF000000"/>
        <rFont val="Century Schoolbook"/>
        <family val="1"/>
      </rPr>
      <t>10.-</t>
    </r>
    <r>
      <rPr>
        <b/>
        <sz val="10"/>
        <color rgb="FF000000"/>
        <rFont val="Arial Narrow"/>
        <family val="2"/>
      </rPr>
      <t xml:space="preserve"> </t>
    </r>
    <r>
      <rPr>
        <sz val="10"/>
        <color rgb="FF000000"/>
        <rFont val="Arial Narrow"/>
        <family val="2"/>
      </rPr>
      <t>Administrar y gestionar las bases de datos de la Unidad Editorial.</t>
    </r>
  </si>
  <si>
    <t>Bases de datos de la Unidad Editorial, administradas y gestionadas.</t>
  </si>
  <si>
    <t>N° de bases de datos de la Unidad Editorial, administradas y gestionadas.</t>
  </si>
  <si>
    <t>1.- Crear bases de datos para la plataforma editorial.
 2.- Crear un Backup de la base de datos.</t>
  </si>
  <si>
    <t>1.- Captura de Backup de las bases de datos administradas y gestionadas.</t>
  </si>
  <si>
    <t>Karina Lozano Zambrano, Jefe Editor
Geovanny Mocha Guacho,Analista Editorial</t>
  </si>
  <si>
    <r>
      <rPr>
        <b/>
        <sz val="9"/>
        <color theme="1"/>
        <rFont val="Century Schoolbook"/>
        <family val="1"/>
      </rPr>
      <t>11.-</t>
    </r>
    <r>
      <rPr>
        <sz val="10"/>
        <color theme="1"/>
        <rFont val="Arial Narrow"/>
        <family val="2"/>
      </rPr>
      <t xml:space="preserve"> Desarrollar y actualizar sistemas informáticos para la Unidad Editorial.</t>
    </r>
  </si>
  <si>
    <t>Sistemas informáticos para la Unidad Editorial, desarrolladas y
actualizadas.</t>
  </si>
  <si>
    <t>N° de sistemas informáticos para la Unidad Editorial, desarrolladas y
actualizadas.</t>
  </si>
  <si>
    <t>1.- Desarrollar la plataforma para la Unidad Editorial.
2.- Cargar el sistema de proyectos de investigación al servidor. 
3.- Actualizar la plataforma RIC (Reconocimiento a la investigación científica).
4.- Actualizar las plataformas OJS de las revistas.
5.- Administrar las aulas virtuales de los curso de formación impartidos a través de la dirección de investigación, Desarrollo e Innovación.</t>
  </si>
  <si>
    <t xml:space="preserve">1.- Captura de la plataforma desarrollada para la unidad editorial.
2.- Captura de la carga del sistema informático para proyectos de investigación, al servidor.
3.- Captura de las actualizaciones de la plataforma RIC (Reconocimiento a la investigación científica). </t>
  </si>
  <si>
    <t xml:space="preserve">Monitores </t>
  </si>
  <si>
    <t xml:space="preserve">LAPTOP ALTA GAMA </t>
  </si>
  <si>
    <t xml:space="preserve">DISCO DURO EXTERNO </t>
  </si>
  <si>
    <t>Computador MacBook Pro con M1 PRO</t>
  </si>
  <si>
    <r>
      <rPr>
        <b/>
        <sz val="9"/>
        <color theme="1"/>
        <rFont val="Century Schoolbook"/>
        <family val="1"/>
      </rPr>
      <t>12.-</t>
    </r>
    <r>
      <rPr>
        <sz val="10"/>
        <color theme="1"/>
        <rFont val="Arial Narrow"/>
        <family val="2"/>
      </rPr>
      <t xml:space="preserve"> Colaborar con las actividades y/o eventos académicos planificados por el Vicerrectorado de Investigación, Vinculación y Posgrado.</t>
    </r>
  </si>
  <si>
    <t>Actividades y/ o eventos académicos planificados por el Vicerrectorado de Investigación, Vinculación y Posgrado.</t>
  </si>
  <si>
    <t>N° de actividades y/ o eventos académicos planificados por el Vicerrectorado
de Investigación, Vinculación y Posgrado.</t>
  </si>
  <si>
    <t>1.- Planificar y desarrollar de V Foro "Rompiendo moldes en la ciencia y en la vida" un homenaje a la mujer investigadora de la UTMACH.
2.- Planificar y desarrollar el III Simposio de experiencias y buenas prácticas editoriales.
3.- Planificar y desarrollar las actividades para el Reconocimiento a la Investigación Científica 2023 dirigido a docentes.
4.- Planificar la Semana de la Ciencia UTMACH 2023.</t>
  </si>
  <si>
    <t>1.- Captura del evento virtual y programa del V Foro "Rompiendo moldes en la ciencia y en la vida" un homenaje a la mujer investigadora de la UTMACH.
2.- Captura del evento y programa del III Simposio de experiencias y buenas prácticas editoriales.
3.- Captura del evento y programa de Reconocimiento a la Investigación Científica 2023 dirigido a docentes.
4.- Resolución de la Semana de la Ciencia 2023.</t>
  </si>
  <si>
    <r>
      <rPr>
        <b/>
        <sz val="9"/>
        <color theme="1"/>
        <rFont val="Century Schoolbook"/>
        <family val="1"/>
      </rPr>
      <t>13.-</t>
    </r>
    <r>
      <rPr>
        <sz val="10"/>
        <color theme="1"/>
        <rFont val="Arial Narrow"/>
        <family val="2"/>
      </rPr>
      <t xml:space="preserve"> Entregar oportunamente la Planificación Operativa Anual y su respectiva evaluación.</t>
    </r>
  </si>
  <si>
    <t>Planificación Operativa Anual y Evaluación de la Planificación
Operativa Anual entregadas oportunamente.</t>
  </si>
  <si>
    <t>N° de planificación operativa anual y evaluación de la planificación operativa anual entregadas oportunamente.</t>
  </si>
  <si>
    <t>1.- Elaborar la planificación anual operativa y evaluación de la planificación.</t>
  </si>
  <si>
    <t>1.- Plan operativo anual 2024.
2.- Evaluación de POA 2023.</t>
  </si>
  <si>
    <r>
      <rPr>
        <b/>
        <sz val="9"/>
        <color theme="1"/>
        <rFont val="Century Schoolbook"/>
        <family val="1"/>
      </rPr>
      <t>14.-</t>
    </r>
    <r>
      <rPr>
        <sz val="10"/>
        <color theme="1"/>
        <rFont val="Arial Narrow"/>
        <family val="2"/>
      </rPr>
      <t xml:space="preserve"> Organizar el Archivo de Gestión.</t>
    </r>
  </si>
  <si>
    <t>N° de archivo de gestión organizado.</t>
  </si>
  <si>
    <t>1.- Organizar documentos de la editorial.</t>
  </si>
  <si>
    <t>1.- Matriz de archivos de gestión de documentos organizada.</t>
  </si>
  <si>
    <t>TOTAL PRESUPUESTO ESTIMATIVO DE LA EDITORIAL 2023:</t>
  </si>
  <si>
    <t>TOTAL PRESUPUESTO ESTIMATIVO VICERRECTORADO DE INVESTIGACIÓN, VINCULACIÓN Y POSGRADO 2023:</t>
  </si>
  <si>
    <r>
      <rPr>
        <b/>
        <sz val="11"/>
        <color rgb="FF000000"/>
        <rFont val="Arial Narrow"/>
        <family val="2"/>
      </rPr>
      <t>Elaborado por:</t>
    </r>
    <r>
      <rPr>
        <sz val="11"/>
        <color rgb="FF000000"/>
        <rFont val="Arial Narrow"/>
        <family val="2"/>
      </rPr>
      <t xml:space="preserve"> Cristhina Álvarez Marín, Vicerrectorado de Investigación, Vinculación y Posgrado; Karina Elizabeth Lozano Zambrano, Editorial.</t>
    </r>
  </si>
  <si>
    <r>
      <t xml:space="preserve">Fecha: </t>
    </r>
    <r>
      <rPr>
        <sz val="11"/>
        <color rgb="FF000000"/>
        <rFont val="Century Schoolbook"/>
        <family val="1"/>
      </rPr>
      <t>13/09/2022</t>
    </r>
  </si>
  <si>
    <r>
      <t xml:space="preserve">Fecha Actualización: </t>
    </r>
    <r>
      <rPr>
        <sz val="10"/>
        <color rgb="FF000000"/>
        <rFont val="Century Schoolbook"/>
        <family val="1"/>
      </rPr>
      <t>15/05/2023</t>
    </r>
  </si>
  <si>
    <t>Calidad. Pertinencia y Calidez</t>
  </si>
  <si>
    <t>DIRECCIÓN DE INVESTIGACIÓN, DESARROLLO E INNOVACIÓN</t>
  </si>
  <si>
    <t>Unidad (metros. litros etc.)</t>
  </si>
  <si>
    <t>DIRECCIÓN DE INVESTIGACIÓN. DESARROLLO E INNOVACIÓN</t>
  </si>
  <si>
    <t>7 POTENCIAR LAS CAPACIDADES DE LA CIUDADANÍA Y PROMOVER UNA EDUCACIÓN INNOVADORA. INCLUSIVA Y DE CALIDAD EN TODOS LOS NIVELES.</t>
  </si>
  <si>
    <t>M.7.4.2. Incrementar la tasa bruta de matrícula en educación superior terciaria del 37.34% al 50.27%.</t>
  </si>
  <si>
    <t>2. Diseñar carreras y programas de postgrado que respondan a los requerimientos del radio de influencia de la UTMACH.</t>
  </si>
  <si>
    <r>
      <rPr>
        <b/>
        <sz val="10"/>
        <color rgb="FFFF0000"/>
        <rFont val="Arial Narrow"/>
      </rPr>
      <t xml:space="preserve">METAS ESTRATÉGICAS
</t>
    </r>
    <r>
      <rPr>
        <b/>
        <sz val="9"/>
        <color rgb="FF000000"/>
        <rFont val="Arial Narrow"/>
      </rPr>
      <t>1.-</t>
    </r>
    <r>
      <rPr>
        <b/>
        <sz val="10"/>
        <color rgb="FF000000"/>
        <rFont val="Arial Narrow"/>
      </rPr>
      <t xml:space="preserve"> </t>
    </r>
    <r>
      <rPr>
        <sz val="10"/>
        <color rgb="FF000000"/>
        <rFont val="Arial Narrow"/>
      </rPr>
      <t>Fortalecer la integración de los ejes sustantivos a través de la implementación del modelo de transferencia tecnológica y científica con énfasis en los nudos problematizadores identificados a nivel zonal.</t>
    </r>
  </si>
  <si>
    <t>Modelo de transferencia tecnológica y científica. desarrollado.</t>
  </si>
  <si>
    <t>Porcentaje de implementación del modelo de transferencia tecnológica y científica.</t>
  </si>
  <si>
    <t>1.- Diseñar el Modelo de transferencia tecnológica y científica.</t>
  </si>
  <si>
    <t>1.- Modelo de transferencia tecnológica y científica.</t>
  </si>
  <si>
    <t>* César Quezada Abad.
  Director de Investigación. Desarrollo e Innovación
* Karla Ibáñez Bustos.
  Analista de Formación y Movilidad
* Cyndi Aguilar Nagua.
  Analista de Gestión Financiera y Logística
* Ana Paula Apolo.
  Analista Administrativo</t>
  </si>
  <si>
    <r>
      <rPr>
        <b/>
        <sz val="9"/>
        <color rgb="FF000000"/>
        <rFont val="Arial Narrow"/>
      </rPr>
      <t>2.-</t>
    </r>
    <r>
      <rPr>
        <sz val="10"/>
        <color rgb="FF000000"/>
        <rFont val="Arial Narrow"/>
      </rPr>
      <t xml:space="preserve"> Incrementar los resultados de desarrollo e innovación a través de la gestión de proyectos de investigación.</t>
    </r>
  </si>
  <si>
    <t>Programas. proyectos. actividades. normativa. colectivos u otros procesos relacionados con la investigación. el desarrollo y la innovación. gestionados.</t>
  </si>
  <si>
    <t>N° de proyectos de investigación aprobados.</t>
  </si>
  <si>
    <t xml:space="preserve">1.- Gestionar la aprobación de los programas y/o proyectos de investigación. cuya evaluación fue favorable por los pares académicos en la convocatoria vigente. </t>
  </si>
  <si>
    <r>
      <rPr>
        <sz val="10"/>
        <color rgb="FF000000"/>
        <rFont val="Arial Narrow"/>
        <family val="2"/>
      </rPr>
      <t xml:space="preserve">1.- Reporte de proyectos de investigación aprobados por </t>
    </r>
    <r>
      <rPr>
        <sz val="10"/>
        <color rgb="FF7030A0"/>
        <rFont val="Arial Narrow"/>
        <family val="2"/>
      </rPr>
      <t>cuatrimestre</t>
    </r>
    <r>
      <rPr>
        <sz val="10"/>
        <color rgb="FF000000"/>
        <rFont val="Arial Narrow"/>
        <family val="2"/>
      </rPr>
      <t>.</t>
    </r>
  </si>
  <si>
    <r>
      <rPr>
        <b/>
        <sz val="9"/>
        <color rgb="FF000000"/>
        <rFont val="Arial Narrow"/>
      </rPr>
      <t>3.-</t>
    </r>
    <r>
      <rPr>
        <sz val="10"/>
        <color rgb="FF000000"/>
        <rFont val="Arial Narrow"/>
      </rPr>
      <t xml:space="preserve"> Evaluar las competencias de investigación de los estudiantes a través del impacto de la participación estudiantil en proyectos de investigación formativa y científica.</t>
    </r>
  </si>
  <si>
    <t>Competencias de los estudiantes a través de la participación en proyectos de investigación formativa y científica. evaluadas.</t>
  </si>
  <si>
    <t>N° de proyectos de investigación formativa y científica con publicaciones o resultados de impacto en los que participan estudiantes.</t>
  </si>
  <si>
    <t xml:space="preserve">1.- Generar un reporte del estado actual de la ejecución de proyectos semilleros de investigación. </t>
  </si>
  <si>
    <t>1.- Reporte del estado actual de la ejecución de proyectos semilleros de investigación.</t>
  </si>
  <si>
    <r>
      <rPr>
        <b/>
        <sz val="10"/>
        <color theme="1"/>
        <rFont val="Arial Narrow"/>
        <family val="2"/>
      </rPr>
      <t>4.-</t>
    </r>
    <r>
      <rPr>
        <sz val="10"/>
        <color theme="1"/>
        <rFont val="Arial Narrow"/>
        <family val="2"/>
      </rPr>
      <t xml:space="preserve"> Evaluar el nivel de transferencia tecnológica a través de la valoración del impacto de los resultados de investigación.</t>
    </r>
  </si>
  <si>
    <t>Proyectos de investigación en fase de transferencia tecnológica con nivel de impacto evaluado.</t>
  </si>
  <si>
    <t>N° de proyectos de investigación en fase de transferencia tecnológica con nivel de impacto evaluado.</t>
  </si>
  <si>
    <t>1.- Gestionar la convocatoria para proyectos de investigación en fase de transferencia tecnológica con nivel de impacto evaluado.</t>
  </si>
  <si>
    <t>1.- Reporte de proyectos de investigación en fase de transferencia tecnológica. postulados a través de la convocatoria correspondiente.</t>
  </si>
  <si>
    <t>Egresos por movilización y transporte de servidores y trabajadores públicos dentro del país; transporte de delegados. misiones. comisiones y representaciones extranjeras y nacionales que brindan asistencia técnica y participan en eventos.</t>
  </si>
  <si>
    <t>Pasajes al Exterior</t>
  </si>
  <si>
    <t>Egresos por movilización y transporte de servidores y trabajadores públicos fuera del país transporte de delegados. misiones. comisiones y representaciones extranjeras y nacionales que brindan asistencia técnica y participan en eventos.</t>
  </si>
  <si>
    <t xml:space="preserve">Viáticos y Subsistencias en el Interior para el Financiamiento de las Carteras de proyectos de investigación vigentes 2021 y 2022 </t>
  </si>
  <si>
    <r>
      <rPr>
        <b/>
        <sz val="10"/>
        <color theme="1"/>
        <rFont val="Arial Narrow"/>
        <family val="2"/>
      </rPr>
      <t>5.-</t>
    </r>
    <r>
      <rPr>
        <sz val="10"/>
        <color theme="1"/>
        <rFont val="Arial Narrow"/>
        <family val="2"/>
      </rPr>
      <t xml:space="preserve"> Gestionar la internacionalización de los proyectos de investigación a través de la implementación del modelo de transferencia tecnológica y científica con énfasis en los nudos problematizadores identificados a nivel zonal.</t>
    </r>
  </si>
  <si>
    <t>Proyectos de investigación con impacto internacional que formen parte del modelo de transferencia tecnológica y científica orientado a atender los nudos problematizadores identificados a nivel zonal. gestionados.</t>
  </si>
  <si>
    <t>N° de proyectos de investigación con impacto internacional que formen parte del modelo de transferencia tecnológica y científica orientado a atender los nudos problematizadores identificados a nivel zonal.</t>
  </si>
  <si>
    <t>1.- Gestionar la convocatoria para proyectos de investigación con impacto internacional que formen parte del modelo de transferencia tecnológica y científica orientado a atender los nudos problematizadores identificados a nivel zonal.</t>
  </si>
  <si>
    <t>1.- Reporte de proyectos de investigación con impacto internacional. postulados a través de la convocatoria correspondiente.</t>
  </si>
  <si>
    <t>Varios análisis de laboratorio (PH. M.ORGÁNICA TOTAL. P. K. Ca. Mg. Cu).(Textura. Saturación de bases (bases + CIC) / Análisis de muestras de laboratorio (Físicos. Químicos)</t>
  </si>
  <si>
    <t>Adquisición de un estereomicroscopio para la ejecución de proyecto de investigación de la Facultad de Ciencias Químicas y de la Salud (contrato 2022)</t>
  </si>
  <si>
    <r>
      <rPr>
        <b/>
        <sz val="10"/>
        <color rgb="FFFF0000"/>
        <rFont val="Arial Narrow"/>
        <family val="2"/>
      </rPr>
      <t>METAS OPERATIVAS</t>
    </r>
    <r>
      <rPr>
        <b/>
        <sz val="10"/>
        <color theme="1"/>
        <rFont val="Arial Narrow"/>
        <family val="2"/>
      </rPr>
      <t xml:space="preserve">
1.-</t>
    </r>
    <r>
      <rPr>
        <sz val="10"/>
        <color theme="1"/>
        <rFont val="Arial Narrow"/>
        <family val="2"/>
      </rPr>
      <t xml:space="preserve"> Diseñar y/o actualizar la Planificación anual de los procesos de investigación.</t>
    </r>
  </si>
  <si>
    <t>Planificación de Investigación. Desarrollo e Innovación. dirigida.</t>
  </si>
  <si>
    <t>N° de objetivos ejecutados del Plan Anual de Investigación de la UTMACH</t>
  </si>
  <si>
    <t>1.- Proveer los recursos para la investigación científica.
2.- Ejecutar proyectos de investigación.
3.- Evaluar proyectos de investigación.</t>
  </si>
  <si>
    <t>1.- Plan anual de Investigación.
2.- Matriz de evaluación de los objetivos del Plan anual de Investigación.
3.- Reporte de proyectos de investigación cerrados por semestre.</t>
  </si>
  <si>
    <t>2.- Gestionar programas. proyectos. actividades. normativa. colectivos u otros procesos relacionados con la investigación. el desarrollo y la innovación.</t>
  </si>
  <si>
    <t>N° de proyectos de investigación cerrados.</t>
  </si>
  <si>
    <t xml:space="preserve">1.- Gestionar el cierre académico y administrativo de los programas y/o proyectos de investigación ante el H. Consejo Universitario que han cumplido con los requisitos establecidos para tal fin. </t>
  </si>
  <si>
    <r>
      <rPr>
        <sz val="10"/>
        <color rgb="FF000000"/>
        <rFont val="Arial Narrow"/>
        <family val="2"/>
      </rPr>
      <t xml:space="preserve">1.- Reporte de proyectos de investigación cerrados por </t>
    </r>
    <r>
      <rPr>
        <sz val="10"/>
        <color rgb="FF7030A0"/>
        <rFont val="Arial Narrow"/>
        <family val="2"/>
      </rPr>
      <t>cuatrimestre.</t>
    </r>
  </si>
  <si>
    <t>SUSCRIPCIÓN DE LA LICENCIA DEL SERVIDOR PROXY ACCESSUM Y ANALYTIC PROXY PARA LA BIBLIOTECA GENERAL DE LA UNIVERSIDAD TÉCNICA DE MACHALA</t>
  </si>
  <si>
    <t>Renovación de Licencia ECUAPASS</t>
  </si>
  <si>
    <t>10. Diseñar estrategias de visibilidad y posicionamiento de la producción de los investigadores de la UTMACH. evidenciada en el incremento de las referencias.</t>
  </si>
  <si>
    <t>3.- Diseñar y/o actualizar planes específicos de capacitación para el desarrollo y fomento de competencias en investigación. desarrollo e innovación.</t>
  </si>
  <si>
    <t>Planes específicos de capacitación para el desarrollo y fomento de competencias en investigación. desarrollo e innovación. desarrollados.</t>
  </si>
  <si>
    <t>N° de programas de formación y actualización de competencias investigativas diseñados y actualizados.</t>
  </si>
  <si>
    <t>1.- Diseñar Programas para la formación de competencias.
2.- Gestionar el desarrollo de los Programas para la formación de competencias.
3.- Coordinar la logística de los Programas para la formación de competencias.
4.- Difundir los Programas para la formación de competencias.
5.- Promover la actualización de los Programas para la formación de competencias.</t>
  </si>
  <si>
    <t>5. Fortalecer la creación de medios de difusión científica (revistas. proceedings) potencialmente indexables en corriente principal.</t>
  </si>
  <si>
    <r>
      <rPr>
        <b/>
        <sz val="10"/>
        <color theme="1"/>
        <rFont val="Arial Narrow"/>
        <family val="2"/>
      </rPr>
      <t>4.-</t>
    </r>
    <r>
      <rPr>
        <sz val="10"/>
        <color theme="1"/>
        <rFont val="Arial Narrow"/>
        <family val="2"/>
      </rPr>
      <t xml:space="preserve"> Gestionar procesos relacionados con la divulgación y difusión del conocimiento científico.</t>
    </r>
  </si>
  <si>
    <t>Procesos relacionados con la divulgación y difusión del conocimiento científico. gestionados y dirigidos.</t>
  </si>
  <si>
    <t>N° de eventos científicos gestionados y dirigidos.</t>
  </si>
  <si>
    <t>1.- Planificar eventos científicos en el Plan Anual de Investigación.
2.- Gestionar el desarrollo de eventos científicos.
3.- Apoyar en la logística de eventos científicos.
4.- Difundir la programación de eventos científicos.
5.- Promover la organización de eventos científicos a través de los grupos de investigación.</t>
  </si>
  <si>
    <t>1.- Reporte de diseño y/o actualización de acciones de divulgación y difusión del conocimiento científico.</t>
  </si>
  <si>
    <t>5.- Gestionar procesos para el reconocimiento al profesorado y estudiantado en relación con sus resultados de investigación. desarrollo e innovación.</t>
  </si>
  <si>
    <t>Procesos para el reconocimiento al profesorado y estudiantado en relación con sus resultados de investigación. desarrollo e innovación. gestionados y dirigidos.</t>
  </si>
  <si>
    <t>N° de programas para el reconocimiento al profesorado y estudiantado gestionados.</t>
  </si>
  <si>
    <t>1.- Diseñar programas para el reconocimiento al profesorado y estudiantado.
2.- Gestionar el desarrollo de los programas para el reconocimiento al profesorado y estudiantado.
3.- Coordinar la logística de programas para el reconocimiento al profesorado y estudiantado.
4.- Difundir los Programas para programas para el reconocimiento al profesorado y estudiantado.</t>
  </si>
  <si>
    <t>1.- Resolución de aprobación de los programas para el reconocimiento al profesorado y estudiantado.</t>
  </si>
  <si>
    <r>
      <rPr>
        <b/>
        <sz val="10"/>
        <color theme="1"/>
        <rFont val="Arial Narrow"/>
        <family val="2"/>
      </rPr>
      <t>6.-</t>
    </r>
    <r>
      <rPr>
        <sz val="10"/>
        <color theme="1"/>
        <rFont val="Arial Narrow"/>
        <family val="2"/>
      </rPr>
      <t xml:space="preserve"> Diseñar y aplicar </t>
    </r>
    <r>
      <rPr>
        <sz val="10"/>
        <color theme="1"/>
        <rFont val="Arial Narrow"/>
        <family val="2"/>
      </rPr>
      <t>políticas para el desarrollo de la propiedad intelectual de los productos derivados de los procesos I+D+i.</t>
    </r>
  </si>
  <si>
    <t xml:space="preserve">Políticas vigentes para el desarrollo de la propiedad intelectual de los productos derivados de los procesos I+D+i. diseñadas y aplicadas. </t>
  </si>
  <si>
    <t>N° de políticas vigentes para el desarrollo de la propiedad intelectual de los productos derivados de los procesos I+D+i diseñadas y aplicadas.</t>
  </si>
  <si>
    <t>1.- Diseñar las Políticas para el desarrollo de la propiedad intelectual de los productos derivados de los procesos I+D+i.
2.- Gestionar la aprobación de las Políticas para el desarrollo de la propiedad intelectual de los productos derivados de los procesos I+D+i.
3.- Difundir las Políticas para el desarrollo de la propiedad intelectual de los productos derivados de los procesos I+D+i.</t>
  </si>
  <si>
    <t>1.- Resolución de aprobación de las Políticas para el desarrollo de la propiedad intelectual de los productos derivados de los procesos I+D+i.</t>
  </si>
  <si>
    <t>7.- Gestionar la articulación de procesos y productos de investigación en los programas de formación de tercer y cuarto nivel. y procesos de perfeccionamiento académico.</t>
  </si>
  <si>
    <t>Articulación de procesos y productos de investigación en los programas de formación de tercer y cuarto nivel. y procesos de perfeccionamiento académico. gestionados.</t>
  </si>
  <si>
    <t>N° de procesos y productos de investigación en los programas de formación de tercer y cuarto nivel. y procesos de perfeccionamiento académico. gestionados.</t>
  </si>
  <si>
    <t>1.- Gestionar la articulación de los procesos y productos de investigación en los programas de formación de tercer y cuarto nivel. asimismo en los procesos de perfeccionamiento académico.
2.- Difundir la actualización de procedimientos en los que se evidencie la articulación de los procesos y productos de investigación en los programas de formación de tercer y cuarto nivel. asimismo en los procesos de perfeccionamiento académico.
3.- Promover la articulación de los procesos y productos de investigación en los programas de formación de tercer y cuarto nivel. asimismo en los procesos de perfeccionamiento académico.</t>
  </si>
  <si>
    <t>1.- Documentos. normativas y procedimientos en los que se evidencie la articulación de los procesos y productos de investigación en los programas de formación de tercer y cuarto nivel. asimismo en los procesos de perfeccionamiento académico.</t>
  </si>
  <si>
    <t>8.- Gestionar la revisión ética de los procesos o productos de investigación. desarrollo e innovación.</t>
  </si>
  <si>
    <t>Revisión ética de los procesos o productos de investigación. desarrollo e innovación. gestionada.</t>
  </si>
  <si>
    <t>N° de revisiones éticas de los procesos de investigación. desarrollo e innovación. gestionados.</t>
  </si>
  <si>
    <t>1.- Gestionar las revisiones éticas de los procesos de investigación. desarrollo e innovación.
2.- Promover las revisiones éticas de los procesos de investigación. desarrollo e innovación.</t>
  </si>
  <si>
    <t>1.- Actas de las revisiones éticas de los procesos o productos de investigación. desarrollo e innovación.</t>
  </si>
  <si>
    <t>Adquisición de componentes para gestionar un proyecto de investigación coordinado por el Ingeniero Joffre Cartuche. Docente de la Facultad de Ingeniería Civil</t>
  </si>
  <si>
    <t>8. Gestionar. a partir de las redes y convenios interinstitucionales. la participación de los grupos de investigación consolidados en proyectos con financiamiento externo.</t>
  </si>
  <si>
    <t>9.- Emitir criterios técnicos para la toma de decisiones relacionados con las actividades de investigación. desarrollo e innovación.</t>
  </si>
  <si>
    <t>Criterios técnicos para la toma de decisiones relacionados con las actividades de investigación. desarrollo e innovación. emitidos.</t>
  </si>
  <si>
    <t>N° de Criterios técnicos para la toma de decisiones relacionados con las actividades de investigación. desarrollo e innovación. emitidos.</t>
  </si>
  <si>
    <t>1.- Construir criterios técnicos para la toma de decisiones relacionados con las actividades de investigación. desarrollo e innovación.
2.- Emitir y notificar criterios técnicos para la toma de decisiones relacionados con las actividades de investigación. desarrollo e innovación.</t>
  </si>
  <si>
    <t>1.- Criterios técnicos para la toma de decisiones relacionados con las actividades de investigación. desarrollo e innovación.</t>
  </si>
  <si>
    <r>
      <rPr>
        <b/>
        <sz val="10"/>
        <color rgb="FF000000"/>
        <rFont val="Arial Narrow"/>
        <family val="2"/>
      </rPr>
      <t>10</t>
    </r>
    <r>
      <rPr>
        <sz val="10"/>
        <color rgb="FF000000"/>
        <rFont val="Arial Narrow"/>
        <family val="2"/>
      </rPr>
      <t>.- Emitir Certificaciones codificadas.</t>
    </r>
  </si>
  <si>
    <t>Certificaciones emitidas por la dependencia codificadas.</t>
  </si>
  <si>
    <t>N° de Certificaciones codificadas emitidas.</t>
  </si>
  <si>
    <t>1.- Elaborar Certificaciones codificadas.
2.- Notificar Certificaciones codificadas.</t>
  </si>
  <si>
    <t>1.- Registro de Certificaciones emitidas por la dependencia codificadas.</t>
  </si>
  <si>
    <t>14 FORTALECER LAS CAPACIDADES DEL ESTADO CON ÉNFASIS EN LA ADMINISTRACIÓN DE JUSTICIA Y EFICIENCIA EN LOS PROCESOS DE REGULACIÓN Y CONTROL. CON INDEPENDENCIA Y AUTONOMÍA.</t>
  </si>
  <si>
    <t>P.14.3. Fortalecer la implementación de las buenas prácticas regulatorias que garanticen la transparencia. eficiencia y competitividad del Estado.</t>
  </si>
  <si>
    <r>
      <t>8.</t>
    </r>
    <r>
      <rPr>
        <b/>
        <sz val="10"/>
        <color rgb="FF000000"/>
        <rFont val="Arial Narrow"/>
        <family val="2"/>
      </rPr>
      <t xml:space="preserve"> </t>
    </r>
    <r>
      <rPr>
        <sz val="10"/>
        <color rgb="FF000000"/>
        <rFont val="Arial Narrow"/>
        <family val="2"/>
      </rPr>
      <t>Simplificar los trámites administrativos requeridos en la gestión universitaria.</t>
    </r>
  </si>
  <si>
    <r>
      <rPr>
        <b/>
        <sz val="10"/>
        <color rgb="FF000000"/>
        <rFont val="Arial Narrow"/>
        <family val="2"/>
      </rPr>
      <t>11.-</t>
    </r>
    <r>
      <rPr>
        <sz val="10"/>
        <color rgb="FF000000"/>
        <rFont val="Arial Narrow"/>
        <family val="2"/>
      </rPr>
      <t xml:space="preserve"> Presentar las Planificaciones Operativas Anuales y Evaluaciones de la Planificaciones Operativas Anuales.</t>
    </r>
  </si>
  <si>
    <t>Planificaciones Operativas Anuales y Evaluaciones de la Planificaciones Operativas Anuales entregadas oportunamente.</t>
  </si>
  <si>
    <t>1.- Elaborar un presupuesto estimativo de los requerimientos anuales.
2.- Compilar los requerimientos por grupo de gasto.
3.- Elaborar la Planificación Operativa Anual.
4.- Elaborar la Evaluación de la Planificación Operativa Anual.</t>
  </si>
  <si>
    <t>1.- POA 2024.
2.- Evaluación del POA 2023.</t>
  </si>
  <si>
    <r>
      <rPr>
        <b/>
        <sz val="10"/>
        <color theme="1"/>
        <rFont val="Arial Narrow"/>
        <family val="2"/>
      </rPr>
      <t>12.-</t>
    </r>
    <r>
      <rPr>
        <sz val="10"/>
        <color theme="1"/>
        <rFont val="Arial Narrow"/>
        <family val="2"/>
      </rPr>
      <t xml:space="preserve"> Organizar el Archivo de Gestión.</t>
    </r>
  </si>
  <si>
    <t>Adquisición de componentes para gestionar proyecto de Investigación coordinado por el Ing. Joffre Cartuche. Docente de la Facultad de Ingenieria Civil</t>
  </si>
  <si>
    <t>TOTAL PRESUPUESTO ESTIMATIVO DE LA DIRECCIÓN DE INVESTIGACIÓN. DESARROLLO E INNOVACIÓN 2023:</t>
  </si>
  <si>
    <t>UNIDAD DE GESTIÓN DE PROGRAMAS Y PROYECTOS DE I+D+i</t>
  </si>
  <si>
    <t>METAS OPERATIVAS
1.- Diseñar instrumentos. herramientas o procesos para la gestión operativa de los programas y proyectos de I+D+i.</t>
  </si>
  <si>
    <t>Instrumentos. herramientas o procesos para la gestión operativa de los programas y proyectos de I+D+i. diseñados.</t>
  </si>
  <si>
    <t>N° de Documentos y formatos para la gestión operativa de los programas y proyectos de I+D+i. diseñados.</t>
  </si>
  <si>
    <t>1.- Diseñar Instrumentos. herramientas o procesos para la gestión operativa de los programas y proyectos de I+D+i.
2.- Validar Instrumentos. herramientas o procesos para la gestión operativa de los programas y proyectos de I+D+i.
3.- Implementar Instrumentos. herramientas o procesos para la gestión operativa de los programas y proyectos de I+D+i.</t>
  </si>
  <si>
    <t>1.- Documentos y formatos para la gestión operativa de los programas y proyectos de I+D+i.</t>
  </si>
  <si>
    <r>
      <rPr>
        <b/>
        <sz val="10"/>
        <color theme="1"/>
        <rFont val="Arial Narrow"/>
        <family val="2"/>
      </rPr>
      <t>2.-</t>
    </r>
    <r>
      <rPr>
        <sz val="10"/>
        <color theme="1"/>
        <rFont val="Arial Narrow"/>
        <family val="2"/>
      </rPr>
      <t xml:space="preserve"> Consolidar planificaciones específicas de los programas y proyectos de I+D+i.</t>
    </r>
  </si>
  <si>
    <t>Planificaciones específicas de los programas y proyectos de I+D+i. consolidadas.</t>
  </si>
  <si>
    <t>N° de Planificaciones anuales de los grupos de investigación consolidadas.</t>
  </si>
  <si>
    <t>1.- Solicitar las Planificaciones anuales a los grupos de investigación.
2.- Compilar las Planificaciones anuales a los grupos de investigación.</t>
  </si>
  <si>
    <t>1.- Planificaciones anuales de los grupos de investigación.</t>
  </si>
  <si>
    <r>
      <rPr>
        <b/>
        <sz val="10"/>
        <color theme="1"/>
        <rFont val="Arial Narrow"/>
        <family val="2"/>
      </rPr>
      <t>3.-</t>
    </r>
    <r>
      <rPr>
        <sz val="10"/>
        <color theme="1"/>
        <rFont val="Arial Narrow"/>
        <family val="2"/>
      </rPr>
      <t xml:space="preserve"> Gestionar la ejecución del gasto de los recursos planificados para los procesos de Investigación.</t>
    </r>
  </si>
  <si>
    <t>Ejecución de los recursos internos y externos para los programas y proyectos de I+D+i. coordinada.</t>
  </si>
  <si>
    <t>1.- Gestionar la ejecución presupuestaria de los proyectos de investigación.
2.- Gestionar la ejecución presupuestaria de los Semilleros de investigación.
3.- Gestionar la ejecución presupuestaria de las jornadas. seminarios. congresos organizados por el Centro de Investigación.
4.- Gestionar la ejecución presupuestaria de la EDITORIAL UTMACH.</t>
  </si>
  <si>
    <t>1.- Matriz de procesos de adquisiciones de bienes y servicios del Programa 83 Gestión de la Investigación.</t>
  </si>
  <si>
    <t>Pago nuevas becas para estudios doctorales de docentes</t>
  </si>
  <si>
    <t>Egresos para cubrir valores pendientes del Plan Especial de Becas para Programas Doctorales y Posdoctorales 2022</t>
  </si>
  <si>
    <t>Desembolso</t>
  </si>
  <si>
    <t>Becas sujetas al convenio específico de cooperación educativa UTMACH y Fundación Carolina</t>
  </si>
  <si>
    <t>4.- Coordinar la ejecución y evaluación de los procesos. programas y proyectos de I+D+i.</t>
  </si>
  <si>
    <t>Ejecución y evaluación de los procesos. programas y proyectos de I+D+i. coordinada.</t>
  </si>
  <si>
    <t>N° de procesos. programas y proyectos de I+D+i ejecutados.</t>
  </si>
  <si>
    <t xml:space="preserve">1.- Gestionar la aprobación de los programas y/o proyectos de investigación. cuya evaluación fue favorable por los pares académicos en la convocatoria vigente.
2.- Gestionar el cierre académico y administrativo de los programas y/o proyectos de investigación ante el H. Consejo Universitario que han cumplido con los requisitos establecidos para tal fin. </t>
  </si>
  <si>
    <r>
      <rPr>
        <sz val="10"/>
        <color rgb="FF000000"/>
        <rFont val="Arial Narrow"/>
        <family val="2"/>
      </rPr>
      <t xml:space="preserve">1.- Reporte proyectos de investigación aprobados por </t>
    </r>
    <r>
      <rPr>
        <sz val="10"/>
        <color rgb="FF7030A0"/>
        <rFont val="Arial Narrow"/>
        <family val="2"/>
      </rPr>
      <t xml:space="preserve">cuatrimestre.
</t>
    </r>
    <r>
      <rPr>
        <sz val="10"/>
        <color rgb="FF000000"/>
        <rFont val="Arial Narrow"/>
        <family val="2"/>
      </rPr>
      <t xml:space="preserve">2.- Reporte de proyectos de investigación cerrados por </t>
    </r>
    <r>
      <rPr>
        <sz val="10"/>
        <color rgb="FF7030A0"/>
        <rFont val="Arial Narrow"/>
        <family val="2"/>
      </rPr>
      <t>cuatrimestre.</t>
    </r>
  </si>
  <si>
    <t>MUFLA HORIZONTAL (con sistema de suministro de gases)</t>
  </si>
  <si>
    <t>BALANZA ANALITICA DIGITAL</t>
  </si>
  <si>
    <t>MEDIDOR MULTIPARÁMETRICO</t>
  </si>
  <si>
    <t xml:space="preserve">SET DE TAMICES </t>
  </si>
  <si>
    <t xml:space="preserve">BAÑO TERMOSTÁTICO DE REFRIGERACIÓN </t>
  </si>
  <si>
    <t>DESTILADOR PARA EXTRACCIÓN DE ACEITES ESENCIALES</t>
  </si>
  <si>
    <t xml:space="preserve">Microcentrífuga </t>
  </si>
  <si>
    <t>TOSTADORA DE CACAO</t>
  </si>
  <si>
    <t>DESCASCARILLADORA DE CACAO</t>
  </si>
  <si>
    <t>CONCHADORA - REFINADORA DE CACAO</t>
  </si>
  <si>
    <t>MOLINO DE DISCOS PARA CACAO</t>
  </si>
  <si>
    <t>LIOFILIZADOR - SECADOR POR CONGELACIÓN</t>
  </si>
  <si>
    <t>PELETIZADORA</t>
  </si>
  <si>
    <t>DISPENSADOR DE PARAFINA</t>
  </si>
  <si>
    <t xml:space="preserve">DESECADOR DE VIDRIO </t>
  </si>
  <si>
    <t>Baño ultrasonido con Calentamiento
Incluye Bandeja perforada</t>
  </si>
  <si>
    <t>PHmetro 913  incluye:
Electrodo pH combinado con sensor de temperatura
Solución tampón pH 4/7/9 (3x10x30 mL)</t>
  </si>
  <si>
    <t>Plancha Calentadora con Agitador Magnético</t>
  </si>
  <si>
    <t xml:space="preserve">Colorímetro </t>
  </si>
  <si>
    <t>Convertidor de frecuencia</t>
  </si>
  <si>
    <t>Refinadora Conchadora Cacao Volumen: 10 Lb</t>
  </si>
  <si>
    <t>Maquina Tostadora De Granos. Café. Cacao
Volumen: 10.5L</t>
  </si>
  <si>
    <t xml:space="preserve">Maquina descasacarilladora de cacao </t>
  </si>
  <si>
    <t xml:space="preserve">Proyector </t>
  </si>
  <si>
    <t>Pantalla para proyector</t>
  </si>
  <si>
    <t xml:space="preserve">Dispensador de agua </t>
  </si>
  <si>
    <t xml:space="preserve">ACELEROGRAFO
Incluye componenetes y software para uso del equipo </t>
  </si>
  <si>
    <t>PROYECTOS DE INVESTIGACIÓN 2023</t>
  </si>
  <si>
    <t>SONÓMETRO PARA MEDICIÓN DE RUIDO</t>
  </si>
  <si>
    <t>MEDIDOR DE GASES CO/CO2</t>
  </si>
  <si>
    <t xml:space="preserve">LUXÓMETRO </t>
  </si>
  <si>
    <t>MEDIDOR DE PARTÍCULAS</t>
  </si>
  <si>
    <t xml:space="preserve">Medidor portátil de pH, conductividad eléctrica </t>
  </si>
  <si>
    <t xml:space="preserve">Refrigerador Vertical para Laboratorio </t>
  </si>
  <si>
    <t xml:space="preserve">Sistema de Purificación de Agua </t>
  </si>
  <si>
    <t xml:space="preserve">Agitador Magnético Digital con placa calefactora </t>
  </si>
  <si>
    <t>Cámaras trampa</t>
  </si>
  <si>
    <t>Cámara fotográfica</t>
  </si>
  <si>
    <t>SONDA DE TEMPERATURA VARIABLE PARA MEDICIONES DE SFC (incluye estándares de calibración)</t>
  </si>
  <si>
    <t>Estereoscopio</t>
  </si>
  <si>
    <t>Microscopio biológico</t>
  </si>
  <si>
    <t xml:space="preserve">Balanza Analítica </t>
  </si>
  <si>
    <t>Agitador Magnético con Placa de Calentamiento</t>
  </si>
  <si>
    <t xml:space="preserve">Estufa para secado y esterilización </t>
  </si>
  <si>
    <t>Impresora 3D</t>
  </si>
  <si>
    <t>Medidor multiparámetro</t>
  </si>
  <si>
    <t>Destilador de agua</t>
  </si>
  <si>
    <t xml:space="preserve">Equipos, Sistemas y Paquetes Informáticos </t>
  </si>
  <si>
    <t>Computador de escritorio software 
privado 13</t>
  </si>
  <si>
    <t>Tablet A8 3gb Ram + 32 Almacenamiento 4g Lte, certificada para personas con discapacidad.</t>
  </si>
  <si>
    <t>Servidor Xeon 6 Cores 16 Gb Ram 2 Tb SSD</t>
  </si>
  <si>
    <t>Ups On Line Torre 2000 va</t>
  </si>
  <si>
    <t>Tarjeta gráfica 12GB 15 Gbps_x000D_</t>
  </si>
  <si>
    <t>Gafa - Meta Quest 2</t>
  </si>
  <si>
    <t>Computador portátil modelo 4</t>
  </si>
  <si>
    <t>Impresora Tinta Modelo 2</t>
  </si>
  <si>
    <t>Egresos para el plan de subvención de publicaciones de artículos en alto impacto</t>
  </si>
  <si>
    <t>Egresos para la ejecución de los proyectos de investigación vigentes</t>
  </si>
  <si>
    <t>Mantenimiento preventivo y correctivo de varios equipos de laboratorio para la ejecución de los proyectos de investigación vigentes</t>
  </si>
  <si>
    <t>Varios análisis de laboratorio (físicos, químicos y de suelo)</t>
  </si>
  <si>
    <t>Arrendamientos y Licencias de Uso de Paquetes Informáticos</t>
  </si>
  <si>
    <t>Contratación y renovación de licencias para la ejecución de proyectos de investigación vigentes</t>
  </si>
  <si>
    <t>Insumos, Bienes, Materiales y Suministros para Investigación</t>
  </si>
  <si>
    <t>Adquisición de reactivos controlados y no controlados para proyectos de investigación vigentes</t>
  </si>
  <si>
    <t>5.- Diseñar las Convocatorias. portafolios de programas y/ o investigación.</t>
  </si>
  <si>
    <t>Convocatorias. portafolios de programas y/ o investigación diseñadas.</t>
  </si>
  <si>
    <t>N° de convocatorias. portafolios de programas y/ o investigación diseñadas.</t>
  </si>
  <si>
    <t>1.- Resolución de aprobación de Convocatorias. portafolios de programas y/ o investigación.</t>
  </si>
  <si>
    <t>6.- Efectuar el Seguimiento académico a las actividades organizadas a través de los grupos. programas y proyectos de investigación.</t>
  </si>
  <si>
    <t xml:space="preserve">Seguimiento académico a las actividades organizadas a través de los grupos. programas y proyectos de investigación. efectuado. </t>
  </si>
  <si>
    <t>N° de actividades organizadas a través de los grupos. programas y proyectos de investigación. efectuadas.</t>
  </si>
  <si>
    <t>1.- Planificar actividades organizadas a través de los grupos. programas y proyectos de investigación.
2.- Gestionar el desarrollo de actividades organizadas a través de los grupos. programas y proyectos de investigación.
3.- Difundir actividades organizadas a través de los grupos. programas y proyectos de investigación.</t>
  </si>
  <si>
    <t>1.- Reporte de actividades organizadas a través de los grupos. programas y proyectos de investigación.</t>
  </si>
  <si>
    <t>M.7.4.1. Incrementar los artículos publicados por las universidades y escuelas politécnicas en revistas indexadas de 6.624 a 12.423</t>
  </si>
  <si>
    <r>
      <rPr>
        <b/>
        <sz val="10"/>
        <color rgb="FF000000"/>
        <rFont val="Arial Narrow"/>
        <family val="2"/>
      </rPr>
      <t>7</t>
    </r>
    <r>
      <rPr>
        <sz val="10"/>
        <color rgb="FF000000"/>
        <rFont val="Arial Narrow"/>
        <family val="2"/>
      </rPr>
      <t>.- Diseñar estrategias para la participación de estudiantes en proyectos de investigación 
formativa.</t>
    </r>
  </si>
  <si>
    <t>Estrategias para la participación de estudiantes en proyectos de investigación formativa. diseñadas.</t>
  </si>
  <si>
    <t>N° de estrategias para la participación de estudiantes en proyectos de investigación formativa diseñadas.</t>
  </si>
  <si>
    <t>1.- Diseñar estrategias para la participación de estudiantes en proyectos de investigación 
formativa.
2.- Gestionar estrategias para la participación de estudiantes en proyectos de investigación 
formativa.
3.- Difundir estrategias para la participación de estudiantes en proyectos de investigación 
formativa.</t>
  </si>
  <si>
    <t>8.- Coordinar la gestión de procesos de difusión. divulgación. transferencia tecnológica. de los productos derivados de los programas y proyectos de I + D+i. así como también la participación en redes interinstitucionales.</t>
  </si>
  <si>
    <t>Gestión de procesos de difusión. divulgación. transferencia tecnológica. de los productos derivados de los programas y proyectos de I + D+i. así como también la participación en redes interinstitucionales. coordinada.</t>
  </si>
  <si>
    <t>N° de eventos científicos gestionados.</t>
  </si>
  <si>
    <t>1.- Reporte de eventos científicos gestionados.</t>
  </si>
  <si>
    <r>
      <rPr>
        <b/>
        <sz val="10"/>
        <color rgb="FF000000"/>
        <rFont val="Arial Narrow"/>
        <family val="2"/>
      </rPr>
      <t xml:space="preserve">9.- </t>
    </r>
    <r>
      <rPr>
        <sz val="10"/>
        <color rgb="FF000000"/>
        <rFont val="Arial Narrow"/>
        <family val="2"/>
      </rPr>
      <t>Coordinar los procesos para el desarrollo de la propiedad intelectual.</t>
    </r>
  </si>
  <si>
    <t xml:space="preserve">Gestión de procesos para el desarrollo de la propiedad intelectual. coordinada. </t>
  </si>
  <si>
    <t>N° de procesos para el desarrollo de la propiedad intelectual. coordinados.</t>
  </si>
  <si>
    <t>1.- Diseñar las Políticas para el desarrollo de la propiedad intelectual de los productos derivados de los procesos I+D+i.
2.- Gestionar la aprobación de las Políticas para el desarrollo de la propiedad intelectual de los productos derivados de los procesos I+D+i. 
3.- Difundir las Políticas para el desarrollo de la propiedad intelectual de los productos derivados de los procesos I+D+i.</t>
  </si>
  <si>
    <t>1. Mantener un enfoque en las necesidades educativas de los estudiantes.</t>
  </si>
  <si>
    <r>
      <rPr>
        <b/>
        <sz val="10"/>
        <color theme="1"/>
        <rFont val="Arial Narrow"/>
        <family val="2"/>
      </rPr>
      <t>10.-</t>
    </r>
    <r>
      <rPr>
        <sz val="10"/>
        <color theme="1"/>
        <rFont val="Arial Narrow"/>
        <family val="2"/>
      </rPr>
      <t xml:space="preserve"> Presentar el Plan Anual de Compras oportunamente.</t>
    </r>
  </si>
  <si>
    <t>Plan Anual de Compras entregado oportunamente.</t>
  </si>
  <si>
    <t>N° de Plan Anual de Compras entregado oportunamente.</t>
  </si>
  <si>
    <t>1.- Elaborar un presupuesto estimativo de los requerimientos anuales.
2.- Compilar los requerimientos por grupo de gasto.
3.- Elaborar la Planificación Operativa Anual.</t>
  </si>
  <si>
    <t>1.- Plan Anual de Compras 2023.</t>
  </si>
  <si>
    <r>
      <rPr>
        <b/>
        <sz val="10"/>
        <color rgb="FF000000"/>
        <rFont val="Arial Narrow"/>
        <family val="2"/>
      </rPr>
      <t>11</t>
    </r>
    <r>
      <rPr>
        <sz val="10"/>
        <color rgb="FF000000"/>
        <rFont val="Arial Narrow"/>
        <family val="2"/>
      </rPr>
      <t>.- Presentar el Plan Operativo Anual oportunamente.</t>
    </r>
  </si>
  <si>
    <t>Plan Operativo Anual entregado oportunamente.</t>
  </si>
  <si>
    <t>N° de Plan Operativo Anual entregado oportunamente.</t>
  </si>
  <si>
    <t xml:space="preserve">1.- Elaborar la Planificación Operativa Anual. en correspondencia a los productos y servicios del Reglamento Orgánico por procesos. </t>
  </si>
  <si>
    <t>1.- Plan Operativo Anual 2024.</t>
  </si>
  <si>
    <r>
      <rPr>
        <b/>
        <sz val="10"/>
        <color rgb="FF000000"/>
        <rFont val="Arial Narrow"/>
        <family val="2"/>
      </rPr>
      <t>12.-</t>
    </r>
    <r>
      <rPr>
        <sz val="10"/>
        <color rgb="FF000000"/>
        <rFont val="Arial Narrow"/>
        <family val="2"/>
      </rPr>
      <t xml:space="preserve"> Presentar la Evaluación del Plan Operativo Anual oportunamente.</t>
    </r>
  </si>
  <si>
    <t>Evaluación del Plan Operativo Anual entregado oportunamente.</t>
  </si>
  <si>
    <t>N° de Evaluación del Plan Operativo Anual entregado oportunamente.</t>
  </si>
  <si>
    <t>1.- Elaborar las Evaluación del Plan Operativo Anual oportunamente.</t>
  </si>
  <si>
    <t>1.- Evaluación del primer semestre del POA 2023.
2.- Evaluación del segundo semestre del POA 2023.</t>
  </si>
  <si>
    <t>Tablet</t>
  </si>
  <si>
    <t>Proyecto de investigación de la  Facultad de Ciencias Empresariales.</t>
  </si>
  <si>
    <t>Computadora portátil con tecnología MAC</t>
  </si>
  <si>
    <t>Mouse inalámbrico con tecnología MAC</t>
  </si>
  <si>
    <t>Bibliotecas de las cinco Facultades.</t>
  </si>
  <si>
    <t>COMPUTADOR ESCRITORIO SOFTWARE PRIVADO 12</t>
  </si>
  <si>
    <t>COMPUTADOR ESCRITORIO SOFTWARE PRIVADO 13</t>
  </si>
  <si>
    <t>COMPUTADOR PORTÁTIL MODELO 4</t>
  </si>
  <si>
    <t>Proyecto de investigación de la  Facultad de Ciencias Químicas y de la Salud.</t>
  </si>
  <si>
    <t>Proyectos de investigación de las Facultades de Ciencias Sociales y Ciencias Empresariales.</t>
  </si>
  <si>
    <t>COMPUTADOR PORTÁTIL MODELO 3</t>
  </si>
  <si>
    <t>Proyectos de investigación y Bibliotecas de las cinco Facultades.</t>
  </si>
  <si>
    <t>COMPUTADOR TODO EN UNO SOFTWARE PRIVADO MODELO 2</t>
  </si>
  <si>
    <t>Biblioteca de la  Facultad de Ciencias Químicas y de la Salud.</t>
  </si>
  <si>
    <r>
      <rPr>
        <b/>
        <sz val="10"/>
        <color theme="1"/>
        <rFont val="Arial Narrow"/>
        <family val="2"/>
      </rPr>
      <t>13.-</t>
    </r>
    <r>
      <rPr>
        <sz val="10"/>
        <color theme="1"/>
        <rFont val="Arial Narrow"/>
        <family val="2"/>
      </rPr>
      <t xml:space="preserve"> Organizar el Archivo de Gestión.</t>
    </r>
  </si>
  <si>
    <t>TOTAL PRESUPUESTO ESTIMATIVO DE LA UNIDAD DE GESTIÓN DE PROGRAMAS Y PROYECTOS DE I+D+i 2023:</t>
  </si>
  <si>
    <t>BIBLIOTECA GENERAL</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</si>
  <si>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el Sistema de Biblioteca.</t>
    </r>
  </si>
  <si>
    <t>Sistema de Biblioteca coordinado.</t>
  </si>
  <si>
    <t>N° de actividades ejecutadas.</t>
  </si>
  <si>
    <t>1.- Coordinar los procesos técnicos bibliotecarios. identificar los problemas presentados y proponer acciones de mejora.
2.- Coordinar la adquisición de libros por biblioteca.
3.- Revisar y corregir los proceso de adquisición de libros por biblioteca.
4.- Coordinar y aprobar el proceso de automatización del Sistema de Bibliotecas.
5.- Coordinar el proceso de promoción de los servicios y recursos de información.
6.- Aplicar acciones correctivas según cumplimiento de las metas planificadas.</t>
  </si>
  <si>
    <t>1.- Reportes consolidados del estado del sistema de biblioteca.</t>
  </si>
  <si>
    <t>* César Quezada Abad.
  Director de Investigación. Desarrollo e Innovación
* Belkis Pérez García.
  Jefe de Biblioteca</t>
  </si>
  <si>
    <r>
      <rPr>
        <b/>
        <sz val="10"/>
        <color theme="1"/>
        <rFont val="Arial Narrow"/>
        <family val="2"/>
      </rPr>
      <t>2.-</t>
    </r>
    <r>
      <rPr>
        <sz val="10"/>
        <color theme="1"/>
        <rFont val="Arial Narrow"/>
        <family val="2"/>
      </rPr>
      <t xml:space="preserve"> Promocionar alerta informativa de biblioteca.</t>
    </r>
  </si>
  <si>
    <t>Alerta informativa de biblioteca promocionada.</t>
  </si>
  <si>
    <t>N° de alertas informativas promocionadas.</t>
  </si>
  <si>
    <t>1.- Identificar necesidades informativas por carreras.
2.- Generar estudios de DSI para los docentes. a través del Sistema PMB.
3.- Elaborar Boletines según resultados de la DSI.
4.- Promocionar los Boletines en el Portal Web del Sistema de Bibliotecas.</t>
  </si>
  <si>
    <t>1.- Boletines informativos.</t>
  </si>
  <si>
    <t>* Belkis Pérez García.
  Jefe de Biblioteca
* Dixa Barreto Illescas.
  Bibliotecario
* Jazmany Alvarado Romero.
  Bibliotecario
* Hermel Ruiz Granda.
  Bibliotecario
* Claudia Cunalata Cabrera.
  Bibliotecaria
* Mercy Peralta León.
  Bibliotecaria
* Pilar Sánchez Carrión.
  Bibliotecaria
* Fidel Sánchez Guevara.
  Bibliotecario</t>
  </si>
  <si>
    <t>1. Fortalecer la plataforma tecnológica para la automatización de procesos. con la finalidad de mejorar la capacidad de respuesta oportuna.</t>
  </si>
  <si>
    <r>
      <rPr>
        <b/>
        <sz val="10"/>
        <color theme="1"/>
        <rFont val="Arial Narrow"/>
        <family val="2"/>
      </rPr>
      <t>3.-</t>
    </r>
    <r>
      <rPr>
        <sz val="10"/>
        <color theme="1"/>
        <rFont val="Arial Narrow"/>
        <family val="2"/>
      </rPr>
      <t xml:space="preserve"> Administrar el Portal web del Sistema de Biblioteca.</t>
    </r>
  </si>
  <si>
    <t>Portal web del Sistema de Biblioteca Administrado.</t>
  </si>
  <si>
    <t>N° de acciones ejecutadas para la actualización del Portal web del Sistema de Biblioteca.</t>
  </si>
  <si>
    <t>1.- Revisar y actualizar el servidor web.
2.- Respaldar la bases de datos.
3.- Publicar noticias.
4.- Actualizar servicios bibliotecarios insertado en el Portal Web.
5.- Publicar información de los servicios bibliotecarios.</t>
  </si>
  <si>
    <t>1.- Reportes de actualizaciones del Portal Web.
2.- Reporte de publicaciones en el Portal Web.</t>
  </si>
  <si>
    <t>* Belkis Pérez García.
  Jefe de Biblioteca
* Jazmany Alvarado Romero.
  Bibliotecario</t>
  </si>
  <si>
    <t>7. Impulsar la producción científica - académica derivada de la investigación formativa. para asegurar la participación masiva de la comunidad estudiantil en la generación de conocimiento.</t>
  </si>
  <si>
    <r>
      <rPr>
        <b/>
        <sz val="10"/>
        <color theme="1"/>
        <rFont val="Arial Narrow"/>
        <family val="2"/>
      </rPr>
      <t>4.-</t>
    </r>
    <r>
      <rPr>
        <sz val="10"/>
        <color theme="1"/>
        <rFont val="Arial Narrow"/>
        <family val="2"/>
      </rPr>
      <t xml:space="preserve"> Administrar el Repositorio digital Académico y Científico.</t>
    </r>
  </si>
  <si>
    <t>Repositorio digital Académico y Científico administrado.</t>
  </si>
  <si>
    <t>N° de trabajos de titulación ingresados al Repositorio y actualizaciones realizadas.</t>
  </si>
  <si>
    <t>1.- Revisar el Sistema de Titulación para seleccionar los documentos que se van a ingresar al Repositorio.
2.- Ingresar los documentos al Repositorio según tipología y formato.
3.- Normalizar las palabras claves y los nombres de los autores.
4.- Actualizar el Repositorio según estándares nacionales e internacionales.</t>
  </si>
  <si>
    <t>1.- Reportes de ingreso de información y actualización del Repositorio Digital.</t>
  </si>
  <si>
    <r>
      <rPr>
        <b/>
        <sz val="10"/>
        <color theme="1"/>
        <rFont val="Arial Narrow"/>
        <family val="2"/>
      </rPr>
      <t>5.-</t>
    </r>
    <r>
      <rPr>
        <sz val="10"/>
        <color theme="1"/>
        <rFont val="Arial Narrow"/>
        <family val="2"/>
      </rPr>
      <t xml:space="preserve"> Actualizar el Catálogo en línea.</t>
    </r>
  </si>
  <si>
    <t>Catálogo en línea actualizado.</t>
  </si>
  <si>
    <t>N° de actividades realizadas para la actualización del Catálogo en línea.</t>
  </si>
  <si>
    <t>1.- Actualizar catálogo en línea con los últimos libros ingresados al Sistema Integral de Gestión de Biblioteca "PMB".</t>
  </si>
  <si>
    <t>1.- Reporte del catálogo en línea actualizado.</t>
  </si>
  <si>
    <t>6.- Clasificar. catalogar. Indizar y habilitar las colecciones bibliográficas.</t>
  </si>
  <si>
    <t>Colecciones bibliográficas clasificadas. catalogadas. indizadas y habilitadas.</t>
  </si>
  <si>
    <t>N° de documentos clasificados. catalogados. indizados y habilitados.</t>
  </si>
  <si>
    <t>1.- Recibir los libros adquiridos por compra o donación.
2.- Realizar la clasificación según el Sistema de Clasificación "Dewey".
3.- Realizar la catalogación según las Normas Angloamericanas.
4.- Realizar la indización con la consultas de Tesauros especializados.
5.- Realizar la habilitación física de los documentos.
6.- Ingresar los libros clasificados. catalogados e indizados al Sistema Integral de Gestión de Biblioteca "PMB".</t>
  </si>
  <si>
    <t>1.- Reporte de colecciones bibliográficos clasificadas. catalogadas. indizadas y habilitadas.</t>
  </si>
  <si>
    <r>
      <rPr>
        <b/>
        <sz val="10"/>
        <color theme="1"/>
        <rFont val="Arial Narrow"/>
        <family val="2"/>
      </rPr>
      <t>7.-</t>
    </r>
    <r>
      <rPr>
        <sz val="10"/>
        <color theme="1"/>
        <rFont val="Arial Narrow"/>
        <family val="2"/>
      </rPr>
      <t xml:space="preserve"> Prestar documentos bibliográficos.</t>
    </r>
  </si>
  <si>
    <t>Documentos bibliográficos prestados.</t>
  </si>
  <si>
    <t>N° de documentos prestados.</t>
  </si>
  <si>
    <t xml:space="preserve">1.- Recibir solicitudes de libros y ejecutar su búsqueda en los estantes.
2.- Ayudar a los usuarios en la búsqueda y recuperación de la información en los libros.
3.- Realizar préstamo automatizados. a través del Sistema Integral de Gestión de Biblioteca "PMB".
</t>
  </si>
  <si>
    <t>1.- Reporte de documentos bibliográficos prestados.</t>
  </si>
  <si>
    <r>
      <rPr>
        <b/>
        <sz val="10"/>
        <color theme="1"/>
        <rFont val="Arial Narrow"/>
        <family val="2"/>
      </rPr>
      <t>8.-</t>
    </r>
    <r>
      <rPr>
        <sz val="10"/>
        <color theme="1"/>
        <rFont val="Arial Narrow"/>
        <family val="2"/>
      </rPr>
      <t xml:space="preserve"> Formar usuarios en el uso de la información.</t>
    </r>
  </si>
  <si>
    <t>Usuarios formados en el uso de la información.</t>
  </si>
  <si>
    <t>N° de capacitaciones ejecutadas.</t>
  </si>
  <si>
    <t>1.- Elaborar proyectos de capacitaciones para proveedores. docentes y estudiantes de postgrado.
2.- Recibir solicitudes para capacitaciones de pregrado y programar dichas capacitaciones.
3.- Realizar capacitaciones a docentes y estudiantes sobre el Uso y Acceso de los servicios bibliotecarios.</t>
  </si>
  <si>
    <t>1.- Reporte de usuarios formados en el uso de la información.</t>
  </si>
  <si>
    <t>Jaws-lector de pantalla</t>
  </si>
  <si>
    <r>
      <rPr>
        <b/>
        <sz val="10"/>
        <color theme="1"/>
        <rFont val="Arial Narrow"/>
        <family val="2"/>
      </rPr>
      <t>9.-</t>
    </r>
    <r>
      <rPr>
        <sz val="10"/>
        <color theme="1"/>
        <rFont val="Arial Narrow"/>
        <family val="2"/>
      </rPr>
      <t xml:space="preserve"> Elaborar y/o actualizar el Plan de mantenimiento y conservación de la Biblioteca.</t>
    </r>
  </si>
  <si>
    <t>Plan de mantenimiento y conservación de la Biblioteca elaborado y/o actualizado.</t>
  </si>
  <si>
    <t>N° de acciones ejecutadas para el mantenimiento y conservación de las colecciones bibliográficas de las bibliotecas.</t>
  </si>
  <si>
    <t>1.- Realizar inventario de la biblioteca e identificar el estado de las colecciones bibliográficas de cada biblioteca.
2.- Aplicar acciones para la conservación y mantenimiento de las colecciones bibliográficas de las biblioteca. según el diagnóstico realizado.</t>
  </si>
  <si>
    <t>1.- Reporte de ejecución del Plan.</t>
  </si>
  <si>
    <r>
      <rPr>
        <b/>
        <sz val="10"/>
        <color theme="1"/>
        <rFont val="Arial Narrow"/>
        <family val="2"/>
      </rPr>
      <t>10.-</t>
    </r>
    <r>
      <rPr>
        <sz val="10"/>
        <color theme="1"/>
        <rFont val="Arial Narrow"/>
        <family val="2"/>
      </rPr>
      <t xml:space="preserve"> Seleccionar y adquirir bibliografía.</t>
    </r>
  </si>
  <si>
    <t>Bibliografía seleccionada y adquirida.</t>
  </si>
  <si>
    <t>N° de libros seleccionados y adquiridos.</t>
  </si>
  <si>
    <t>1.- Seleccionar la bibliografía que se debe adquirir según los resultados de los estudios de colecciones y áreas temáticas generales.
2.- Revisar las solicitudes realizadas a través del Servicio de Sugerencia de Compras.
3.- Elaborar los requerimientos de compras de las bibliotecas.
4.- Solicitar autorización para su correspondiente adquisición.</t>
  </si>
  <si>
    <t>1.- Informe de bibliografías seleccionadas y adquiridas.</t>
  </si>
  <si>
    <t xml:space="preserve"> WEB OF SCIENCE (WOS)</t>
  </si>
  <si>
    <t>SCOPUS</t>
  </si>
  <si>
    <t>PLATAFORMA EBOOKS 7-24 con libros electrónicos de Cengage. Ecoe, McGraw Hill y Pearson</t>
  </si>
  <si>
    <t>EBSCO</t>
  </si>
  <si>
    <t>ELIBRO</t>
  </si>
  <si>
    <t>OVID ESPAÑOL</t>
  </si>
  <si>
    <t>TIRANT</t>
  </si>
  <si>
    <t>Base de datos jurídica (FCS).</t>
  </si>
  <si>
    <t>TURNITIN</t>
  </si>
  <si>
    <t>Lib.Steps</t>
  </si>
  <si>
    <t>Adquisición de libros para la Biblioteca de Ciencias Químicas y de la Salud</t>
  </si>
  <si>
    <t>Adquisición de libros para la Biblioteca de Ciencias Sociales</t>
  </si>
  <si>
    <t>Adquisición de libros para la Biblioteca de Ciencias Empresariales</t>
  </si>
  <si>
    <t>Adquisición de libros para la Biblioteca de Ingteniería Civil</t>
  </si>
  <si>
    <t>Adquisición de libros para la Biblioteca de Ciencias Agropecuarias</t>
  </si>
  <si>
    <r>
      <rPr>
        <b/>
        <sz val="10"/>
        <color theme="1"/>
        <rFont val="Arial Narrow"/>
        <family val="2"/>
      </rPr>
      <t>11.-</t>
    </r>
    <r>
      <rPr>
        <sz val="10"/>
        <color theme="1"/>
        <rFont val="Arial Narrow"/>
        <family val="2"/>
      </rPr>
      <t xml:space="preserve"> Administrar el Sistema integral de Gestión de Biblioteca.</t>
    </r>
  </si>
  <si>
    <t>Sistema integral de Gestión de Biblioteca administrado.</t>
  </si>
  <si>
    <t>N° de acciones ejecutadas para la administración del Sistema integral de Gestión de Biblioteca.</t>
  </si>
  <si>
    <t>1.- Respaldar la Base de Datos del PMB.
2.- Ingresar y actualizar los usuarios al sistema.
3.- Revisar registros. ejemplares y autoridades.
4.- Actualizar el Sistema.
5.- Revisar y actualizar los reportes estadísticos.</t>
  </si>
  <si>
    <t>1.- Reporte actualización del Sistema integral de Gestión de Biblioteca administrado.</t>
  </si>
  <si>
    <r>
      <rPr>
        <b/>
        <sz val="10"/>
        <color theme="1"/>
        <rFont val="Arial Narrow"/>
        <family val="2"/>
      </rPr>
      <t>12.-</t>
    </r>
    <r>
      <rPr>
        <sz val="10"/>
        <color theme="1"/>
        <rFont val="Arial Narrow"/>
        <family val="2"/>
      </rPr>
      <t xml:space="preserve"> Presentar las Planificaciones Operativas Anuales y Evaluaciones de la Planificación Operativa Anual.</t>
    </r>
  </si>
  <si>
    <t>Planificaciones Operativas Anuales y Evaluaciones de la Planificación Operativa Anual entregadas oportunamente.</t>
  </si>
  <si>
    <t>N° de Planificaciones Operativas Anuales y Evaluaciones de la Planificaciones entregadas.</t>
  </si>
  <si>
    <t>1.- Planificar metas a ejecutarse por biblioteca.
2.- Elaborar POA
3.- Evaluar POA
4.- Elaborar informe de cumplimiento y presentar evidencia.</t>
  </si>
  <si>
    <t>1.- Seleccionar y clasificar documentos por su tipología.
2.- Organizar en carpetas los documentos clasificados.</t>
  </si>
  <si>
    <t>1.- Inventario documental.</t>
  </si>
  <si>
    <t>* Belkis Pérez García.
  Jefe de Biblioteca
* Dixa Barreto Illescas.
  Bibliotecario
* Jazmany Alvarado Romero.
  Bibliotecario</t>
  </si>
  <si>
    <t>TOTAL PRESUPUESTO ESTIMATIVO DE LA BIBLIOTECA GENERAL 2023:</t>
  </si>
  <si>
    <t>TOTAL PRESUPUESTO ESTIMATIVO DIRECCIÓN DE INVESTIGACIÓN. DESARROLLO E INNOVACIÓN 2023:</t>
  </si>
  <si>
    <t>Elaborado por: Dirección de Investigación. Desarrollo e Innovación</t>
  </si>
  <si>
    <r>
      <rPr>
        <b/>
        <sz val="11"/>
        <color rgb="FFFF0000"/>
        <rFont val="Arial Narrow"/>
        <family val="2"/>
      </rPr>
      <t>NOTA:</t>
    </r>
    <r>
      <rPr>
        <sz val="11"/>
        <color rgb="FF000000"/>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</si>
  <si>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b/>
        <sz val="10"/>
        <color theme="1"/>
        <rFont val="Arial Narrow"/>
        <family val="2"/>
      </rPr>
      <t xml:space="preserve">Fecha: </t>
    </r>
    <r>
      <rPr>
        <sz val="10"/>
        <color theme="1"/>
        <rFont val="Arial Narrow"/>
        <family val="2"/>
      </rPr>
      <t>22/09/2022</t>
    </r>
  </si>
  <si>
    <t>Pasajes al exterior</t>
  </si>
  <si>
    <r>
      <t xml:space="preserve">FUENTE </t>
    </r>
    <r>
      <rPr>
        <sz val="11"/>
        <color rgb="FF000000"/>
        <rFont val="Century Schoolbook"/>
        <family val="1"/>
      </rPr>
      <t>1</t>
    </r>
  </si>
  <si>
    <t>DIRECCIÓN DE POSGRADO</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</si>
  <si>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de proceso del Diseño y/o rediseño de la Oferta de Posgrado.</t>
    </r>
  </si>
  <si>
    <t>Proceso de Diseño y/o rediseño de la Oferta de Posgrado, coordinado.</t>
  </si>
  <si>
    <t>N° de programas diseñados y/o rediseñados de posgrado.</t>
  </si>
  <si>
    <t>1.- Seleccionar la Comisión de Diseño Curricular del programa.
2.- Proponer un perfil para el proyecto de diseño de maestría.
3.- Desarrollar del estudio de pertinencia.
4.- Desarrollar el estudio de demanda.
5.- Realizar el Diseño Curricular apegado a la Guía para la presentación de programas de posgrado emitido por el CES.
6.- Presentar el documento final y sus anexos para su aprobación en el CP, CU y CES.
7.- Atender las observaciones derivadas del facilitador académico externo, SENESCYT y CES.
8.- Solicitar al Consejo de Posgrado el ajuste curricular pertinente con la debida justificación.
9.- Gestionar el ajuste curricular ante el CP y CU.</t>
  </si>
  <si>
    <r>
      <rPr>
        <sz val="10"/>
        <color rgb="FF000000"/>
        <rFont val="Arial Narrow"/>
      </rPr>
      <t xml:space="preserve">1.- Documento final con el estudio de pertinencia.
2.- Documento final del estudio de demanda.
3.- Diseño del programa según Guía para la presentación de programas de posgrado emitido por el CES.
4.- Resoluciones de aprobación del Programa de maestría emitidos por el CP, CU y el CES.
5.- Oficio con la solicitud y justificativo del ajuste curricular de la maestría, emitido por el coordinador académico del programa.
6.- Resolución de aprobación del ajuste curricular emitido por el CP y el CU.
</t>
    </r>
    <r>
      <rPr>
        <b/>
        <sz val="9"/>
        <color rgb="FF000000"/>
        <rFont val="Arial Narrow"/>
      </rPr>
      <t>7.-</t>
    </r>
    <r>
      <rPr>
        <sz val="10"/>
        <color rgb="FF000000"/>
        <rFont val="Arial Narrow"/>
      </rPr>
      <t xml:space="preserve"> Resolución de aprobación del CES en caso de que este ajuste curricular sea sustantivo.
8.- Matriz del Estado del diseño y/o rediseño de la oferta académica de posgrado.</t>
    </r>
  </si>
  <si>
    <t>* Mayiya González Illescas,
  Directora del CEPOS
* Alicia Illescas Zaruma,
  Analista de Gestión
* Hamilton Cedillo Rodríguez,
  Analista de Gestión</t>
  </si>
  <si>
    <t>ARCHIVADOR AEREO</t>
  </si>
  <si>
    <t>SILLA  QHAPAX</t>
  </si>
  <si>
    <t>GABINETE BAJO CAFETERÍA</t>
  </si>
  <si>
    <r>
      <rPr>
        <b/>
        <sz val="10"/>
        <color theme="1"/>
        <rFont val="Arial Narrow"/>
        <family val="2"/>
      </rPr>
      <t>2.-</t>
    </r>
    <r>
      <rPr>
        <sz val="10"/>
        <color theme="1"/>
        <rFont val="Arial Narrow"/>
        <family val="2"/>
      </rPr>
      <t xml:space="preserve"> Ejecutar el proceso de Admisión y Matrícula de los Programas de Posgrados.</t>
    </r>
  </si>
  <si>
    <t>Proceso de Admisión y Matrícula de los Programas de Posgrado, ejecutado.</t>
  </si>
  <si>
    <t>N° total de estudiantes admitidos y matriculados por programas de posgrado.</t>
  </si>
  <si>
    <t>1.- Realizar la convocatoria para el proceso de admisión por programa de posgrado.
2.- Desarrollar la Inscripción (en línea).
3.- Aplicar Test, evaluación y/o entrevista para la admisión (según planificación del programa).
4.- Publicar los resultados de admisión(mediante página oficial de la Universidad).
5.- Desarrollar las matrículas ordinarias por programa de posgrado.
6.- Desarrollar las matrículas extraordinarias por programa de posgrado.
7.- Iniciar clases por programa de posgrado.</t>
  </si>
  <si>
    <t>1.- Resolución de la convocatoria para el proceso de admisión por programa de posgrado.
2.- Inscripción (en línea).
3.- Instrumentos y resultados de Test, evaluación y/o entrevista para la admisión (según planificación del programa).
4.- Publicación de los resultados de admisión(mediante página oficial de posgrado).
5.- Resolución del CU sobre el calendario académico.
6.- Reporte de estudiantes admitidos y matriculados.</t>
  </si>
  <si>
    <t xml:space="preserve">
* Mayiya González Illescas,
  Directora del CEPOS
* Hamilton Cedillo                        Rodríguez,
  Analista de Gestión
* Alicia Illescas Zaruma,
  Analista de Gestión
* Jazmín  Eras López,
  Analista Informático</t>
  </si>
  <si>
    <t>DPLAN: Se modifica parcialmente los egresos en la partida 840107 por superar el 20% del máximo disponible para egresos en el grupo 84 del Clasificador Presupuestario; la necesidad consta en el POA 17. DTIC.</t>
  </si>
  <si>
    <t>ADQUISICIÓN DE COMPUTADORA TODO EN UNO PARA LA DIRECCIÓN DE POSGRADO</t>
  </si>
  <si>
    <t>483231011</t>
  </si>
  <si>
    <t>Proyector</t>
  </si>
  <si>
    <r>
      <rPr>
        <b/>
        <sz val="10"/>
        <color theme="1"/>
        <rFont val="Arial Narrow"/>
        <family val="2"/>
      </rPr>
      <t>3.-</t>
    </r>
    <r>
      <rPr>
        <sz val="10"/>
        <color theme="1"/>
        <rFont val="Arial Narrow"/>
        <family val="2"/>
      </rPr>
      <t xml:space="preserve"> Gestionar la oferta Académica de Posgrado.</t>
    </r>
  </si>
  <si>
    <t>Oferta Académica de posgrado gestionada.</t>
  </si>
  <si>
    <t>N° total de programas en oferta académica.</t>
  </si>
  <si>
    <t>1.- Diseñar reporte de gestión de la oferta académica de programas.
2.- Gestionar el proceso docente de los programas de posgrado en oferta.</t>
  </si>
  <si>
    <t>1.- Reporte de gestión de la oferta académica por programas.
2.- Resoluciones de aprobación por parte del CES de los programas de posgrado de la UTMACH.
3.- Calendarios académicos por programa.
4.- Registros de evaluaciones por asignaturas en cada programa.
5.- Registro de asistencia por asignaturas en cada programa.
6.- Reporte de gestión de la oferta académica por programas.</t>
  </si>
  <si>
    <t>* Hamilton Cedillo,
  Analista de Gestión
* Mayiya González Illescas,
  Directora del CEPOS</t>
  </si>
  <si>
    <t>SOFÁ BIPERSONAL</t>
  </si>
  <si>
    <r>
      <rPr>
        <b/>
        <sz val="10"/>
        <color theme="1"/>
        <rFont val="Arial Narrow"/>
        <family val="2"/>
      </rPr>
      <t>4.-</t>
    </r>
    <r>
      <rPr>
        <sz val="10"/>
        <color theme="1"/>
        <rFont val="Arial Narrow"/>
        <family val="2"/>
      </rPr>
      <t xml:space="preserve"> Coordinar el proceso de titulación.</t>
    </r>
  </si>
  <si>
    <t>Proceso de titulación Coordinado.</t>
  </si>
  <si>
    <t>N° de programas de maestrías en procesos de titulación.</t>
  </si>
  <si>
    <t>1.- Ejecutar el proceso de matriculación.
2.- Elaborar el registro de control a tutorías.
3.- Elaborar el informe final de las tutorías.
4.- Elaborar las rúbricas para la evaluación escrita y oral del proceso de titulación.
5.- Elaborar el informe final del proceso de titulación de posgrado.</t>
  </si>
  <si>
    <t>1.- Oficio con solicitud de emisión de aptitud legal de la coordinación del programa.
2.- Documentación enviada a la UMMOG de la facultad para aprobar aptitud legal.
4.- Listado de estudiantes enviados a Secretaría General para inscripción de títulos de cuarto nivel.
5.- Informe final del proceso de titulación por programa de posgrado.</t>
  </si>
  <si>
    <t>* Mayiya González Illescas,
  Directora del CEPOS
* Joselyn Herrera Torres,
  Secretaria Abogado del CEPOS</t>
  </si>
  <si>
    <t>SERVICIO DE ELABORACIÓN DE TRÍPTICOS, PANCARTAS, FOLLETOS, AGENDAS, ETC.</t>
  </si>
  <si>
    <r>
      <rPr>
        <b/>
        <sz val="10"/>
        <color theme="1"/>
        <rFont val="Arial Narrow"/>
        <family val="2"/>
      </rPr>
      <t>5.-</t>
    </r>
    <r>
      <rPr>
        <sz val="10"/>
        <color theme="1"/>
        <rFont val="Arial Narrow"/>
        <family val="2"/>
      </rPr>
      <t xml:space="preserve"> Gestionar administrativamente los procesos de pagos de bienes y servicios de los programas de posgrado.</t>
    </r>
  </si>
  <si>
    <t>Procesos de pagos de bienes y servicios de los programas de posgrado gestionados.</t>
  </si>
  <si>
    <t>N° de solicitudes emitidas de pagos de bienes y servicios por programas de posgrados.</t>
  </si>
  <si>
    <t>1.- Solicitar de manera oportuna los procesos de compras por programas de bienes y servicios a la Empresa Pública UTMACH-EP.
2.- Reportar mensualmente los ingresos por programas a la Empresa Pública UTMACH-EP.</t>
  </si>
  <si>
    <t>1.- Oficios con las solicitudes de los procesos de compras de bienes y servicios por programas a la Empresa Pública UTMACH-EP.
2.- Reporte mensual de ingresos y solicitudes de bienes y servicios.</t>
  </si>
  <si>
    <t>* Mayiya González Illescas,
  Directora del CEPOS
* Génesis Garrido López,
  Asistente Técnico Administrativa</t>
  </si>
  <si>
    <t>Egresos por servicios de difusión, publicidad e información en cualquier medio de comunicación</t>
  </si>
  <si>
    <r>
      <rPr>
        <b/>
        <sz val="10"/>
        <color theme="1"/>
        <rFont val="Arial Narrow"/>
        <family val="2"/>
      </rPr>
      <t>6.-</t>
    </r>
    <r>
      <rPr>
        <sz val="10"/>
        <color theme="1"/>
        <rFont val="Arial Narrow"/>
        <family val="2"/>
      </rPr>
      <t xml:space="preserve"> Entregar la Planificación y Evaluación del Plan Operativo Anual.</t>
    </r>
  </si>
  <si>
    <t>N° de Planes Operativos Anuales y evaluación del POA.</t>
  </si>
  <si>
    <t>1.- Evaluar los Planes Operativos Anuales (2023).
2.- Planificar los Planes Operativos Anuales (2024).</t>
  </si>
  <si>
    <t>* Mayiya González Illescas,
  Directora del CEPOS
* Hamilton Cedillo     Rodríguez,
  Analista de Gestión
* Alicia Illescas Zaruma,
  Analista de Gestión</t>
  </si>
  <si>
    <r>
      <rPr>
        <b/>
        <sz val="10"/>
        <color theme="1"/>
        <rFont val="Arial Narrow"/>
        <family val="2"/>
      </rPr>
      <t>7.-</t>
    </r>
    <r>
      <rPr>
        <sz val="10"/>
        <color theme="1"/>
        <rFont val="Arial Narrow"/>
        <family val="2"/>
      </rPr>
      <t xml:space="preserve"> Organizar el Archivo de Gestión.</t>
    </r>
  </si>
  <si>
    <t>N° de oficios y/o documentos emitidos, registrados en el inventario documental.</t>
  </si>
  <si>
    <t>1.- Proponer reformas a las normativas vigentes.
2.- Gestionar la aprobación ante el CP y el CU de las reformas propuestas a la normativa vigente.
3.- Diseñar reglamentos, instructivos e instrumentos de control, seguimiento y evaluación de los procesos académicos de los programas de posgrados.
4.- Gestionar la aprobación ante el CP y el CU de las nuevas propuestas de reglamentos, instructivos e instrumentos de control, seguimiento y evaluación de los procesos académicos de los programas de posgrados.
5.- Gestionar la comunicación entre el posgrado y las demás áreas o departamentos dentro y fuera de los predios universitarios, así como con particulares.</t>
  </si>
  <si>
    <t>1.- Oficio al Consejo de Posgrado de las reformas normativas vigentes .
2.- Resoluciones de aprobación del CP y el CU de las reformas propuestas a la normativa vigente.
3.- Oficio al Consejo de Posgrado con la solicitud análisis de los reglamentos, instructivos e instrumentos de control, seguimiento y evaluación de los procesos académicos de los programas de posgrados.
4.- Resoluciones de aprobación ante el CP y el CU de las nuevas propuestas de reglamentos, instructivos e instrumentos de control, seguimiento y evaluación de los procesos académicos de los programas de posgrados.
5.- Inventario documental.
6.- Oficios de comunicaciones enviadas o recibidas.</t>
  </si>
  <si>
    <t>* Mayiya González Illescas,
  Directora del CEPOS
* Joselyn Herrera Torres,
  Secretaria Abogada
* Génesis Garrido López,
  Asistente Técnico Administrativa</t>
  </si>
  <si>
    <r>
      <rPr>
        <sz val="10"/>
        <color rgb="FF000000"/>
        <rFont val="Arial Narrow"/>
        <family val="2"/>
      </rPr>
      <t xml:space="preserve">ARMARIO BIBLIOTECA </t>
    </r>
    <r>
      <rPr>
        <sz val="10"/>
        <color rgb="FF000000"/>
        <rFont val="Century Schoolbook"/>
        <family val="1"/>
      </rPr>
      <t>900</t>
    </r>
    <r>
      <rPr>
        <sz val="10"/>
        <color rgb="FF000000"/>
        <rFont val="Arial Narrow"/>
        <family val="2"/>
      </rPr>
      <t xml:space="preserve">MM X </t>
    </r>
    <r>
      <rPr>
        <sz val="10"/>
        <color rgb="FF000000"/>
        <rFont val="Century Schoolbook"/>
        <family val="1"/>
      </rPr>
      <t>350</t>
    </r>
    <r>
      <rPr>
        <sz val="10"/>
        <color rgb="FF000000"/>
        <rFont val="Arial Narrow"/>
        <family val="2"/>
      </rPr>
      <t xml:space="preserve">MM X </t>
    </r>
    <r>
      <rPr>
        <sz val="10"/>
        <color rgb="FF000000"/>
        <rFont val="Century Schoolbook"/>
        <family val="1"/>
      </rPr>
      <t>2000</t>
    </r>
    <r>
      <rPr>
        <sz val="10"/>
        <color rgb="FF000000"/>
        <rFont val="Arial Narrow"/>
        <family val="2"/>
      </rPr>
      <t>MM</t>
    </r>
  </si>
  <si>
    <t>TOTAL PRESUPUESTO ESTIMATIVO DIRECCIÓN DE POSGRADO 2023:</t>
  </si>
  <si>
    <t>UNIDAD DE SECRETARIA Y ARCHIVO</t>
  </si>
  <si>
    <r>
      <t>METAS OPERATIVAS
1.-</t>
    </r>
    <r>
      <rPr>
        <sz val="10"/>
        <rFont val="Arial Narrow"/>
        <family val="2"/>
      </rPr>
      <t>Emoitir y notificar las convoctorias, actas y resoluciones de Comisión Directiva.</t>
    </r>
  </si>
  <si>
    <t>Sesiones de la Comisión Directiva de Posgrado; efectuadas.</t>
  </si>
  <si>
    <t>Nro. de convocatorias y resoluciones  de la  Comisión Directiva elaboradas notificadas</t>
  </si>
  <si>
    <t>1. Revisar la documentación para CD.                                         2.- Elaborar el orden del día de CD. 3.- Notificar la convocatoria a los miembros de la CD. 4.-.Sistematizar la formación obtenida en la sesión de CD.        5.- Elaborar el acta de resoluciones de CD.                                     6.- Notificar las resoluciones.</t>
  </si>
  <si>
    <t>Reporte de emisión, norificación de convocatorias , actas y resoluciones de la Comisión Directiva.-</t>
  </si>
  <si>
    <t>Ab. Joselyn Herrera  Torres.- Abogada de Posgrado</t>
  </si>
  <si>
    <t>2.- Emitir y/o legalizar las certificaciones</t>
  </si>
  <si>
    <t>Copias, compulsas de actos administrativos y documentos oficiales que reposan en la Dirección de Posgrado, certificadas.</t>
  </si>
  <si>
    <t>Ntro. De certificaciones emitidas</t>
  </si>
  <si>
    <t>1. Receptar la documentación .           2. Analizar la peticipón de certificaciones.                           3.Emitir las certificación respectiva</t>
  </si>
  <si>
    <t>1. Registro de certificaciones emitidas.</t>
  </si>
  <si>
    <t>Ab. Joselyn Herrera Torres.- Abogada de Posgrado y Alicia Illescas Zaruma, Analista de Posgrado</t>
  </si>
  <si>
    <r>
      <t>3.-</t>
    </r>
    <r>
      <rPr>
        <sz val="10"/>
        <rFont val="Arial Narrow"/>
        <family val="2"/>
      </rPr>
      <t xml:space="preserve"> Registrar y distribuir la correspondencia interna y externa de la Facultad.</t>
    </r>
  </si>
  <si>
    <t>Correspondencia interna y externa de Posgrado registrada y despachada.</t>
  </si>
  <si>
    <t>Nro. De registro y distribución de la correspondencia.</t>
  </si>
  <si>
    <t xml:space="preserve">1. Receptar la documentación .           2. Distribuir la correspondencia a dependencias administrativas                           3. Registro de correspondeinca </t>
  </si>
  <si>
    <t>1. Reporte de distribución de documentación.</t>
  </si>
  <si>
    <t>Ab. Joselin Herrera Torres, Abogada de Posgrado y Lic. Genesis Garrido López, Asistente Administrativa</t>
  </si>
  <si>
    <r>
      <t>4.-</t>
    </r>
    <r>
      <rPr>
        <sz val="10"/>
        <rFont val="Arial Narrow"/>
        <family val="2"/>
      </rPr>
      <t xml:space="preserve"> - Brindar asesoría jurídica a las Autoridades y dependencias de la Facultad.</t>
    </r>
  </si>
  <si>
    <t>Asesoría jurídica a las Autoridades y dependencias de Posgrado, brindada.</t>
  </si>
  <si>
    <t>Nro. de asesorias brindadas</t>
  </si>
  <si>
    <t>1. Receptar el requerimiento          2. Orientar a los señores Coordinadores y estudiantes de los Programas de Maestrías</t>
  </si>
  <si>
    <t>1. Reporte de asesorías brindadas</t>
  </si>
  <si>
    <t xml:space="preserve">Ab. Joselin Herrera Torres, Abogada de Posgrado </t>
  </si>
  <si>
    <r>
      <t>5.-</t>
    </r>
    <r>
      <rPr>
        <sz val="10"/>
        <rFont val="Arial Narrow"/>
        <family val="2"/>
      </rPr>
      <t xml:space="preserve"> - Emitir Informes jurídicos de los procesos disciplinarios, académicos y/o administrativos de docentes y maestrados</t>
    </r>
  </si>
  <si>
    <t>Informes jurídicos requeridos por las autoridades y de los procesos disciplinarios, académicos y/o administrativos de Posgrado emitidos.</t>
  </si>
  <si>
    <t xml:space="preserve">Nro de informes jurídicos realizados de los procesos </t>
  </si>
  <si>
    <t>1.Receptar la documentación        2. Elaborar informe jurídico,           3. Notificar el informe a los involucrados en el procso.</t>
  </si>
  <si>
    <t>1.Reportes de Informes jurídicos de los procesos académicos y/o administrativos de los docentes y maestrados</t>
  </si>
  <si>
    <r>
      <t>6.-</t>
    </r>
    <r>
      <rPr>
        <sz val="10"/>
        <rFont val="Arial Narrow"/>
        <family val="2"/>
      </rPr>
      <t xml:space="preserve"> - Revisión y gestionar la documentación para el registro de patente de productis derivados de proyectos de investigación.</t>
    </r>
  </si>
  <si>
    <t>Proceso de registro de patente de productos derivados de proyectos de investigación, asesorado y coordinado con la Dirección de Investigación, Desarrollo e Innovación.</t>
  </si>
  <si>
    <t>Nro.Informe del proceso para registro de patente.</t>
  </si>
  <si>
    <t>Informe sobre el proeso de patente.</t>
  </si>
  <si>
    <t>1.Notificación del  registro de la patente.-</t>
  </si>
  <si>
    <r>
      <t>7.-</t>
    </r>
    <r>
      <rPr>
        <sz val="10"/>
        <rFont val="Arial Narrow"/>
        <family val="2"/>
      </rPr>
      <t xml:space="preserve">  Administrar la documentación para tratamiento de Comisión Directiva</t>
    </r>
  </si>
  <si>
    <t>Documentación cuyo objeto es para tratamiento de la Comisión Directiva de Posgrado administrada.</t>
  </si>
  <si>
    <t>Nro. de peticiones de los señores Coordinadores de los programs de maestrias.</t>
  </si>
  <si>
    <t>1. Receptar el reqerimiento de los señores Coordinadores y  orientación en los procesos a tratarse.</t>
  </si>
  <si>
    <t>1. Reporte de emisión, norificación de Resoluciones de la Comisión Directiva.-</t>
  </si>
  <si>
    <t>Ab. Joselin Herrera Torres, Abogada de Posgrado, Hamilton Cedillo Rodríguez y Genesis Garrido López</t>
  </si>
  <si>
    <r>
      <t>8.-</t>
    </r>
    <r>
      <rPr>
        <sz val="10"/>
        <rFont val="Arial Narrow"/>
        <family val="2"/>
      </rPr>
      <t xml:space="preserve"> Entregar la Planificación Operativa Anual y Evaluación de la Planificación Operativa Anual.</t>
    </r>
  </si>
  <si>
    <t>Nro. de planificación operativa anual y evaluaciones del POA entregado</t>
  </si>
  <si>
    <t>1., Elaborar el POA 2023             2. Elaborar la evaluación del POA 2023                                          3. Entregar a la Dirección de Planificación el POA 2024 y la Evaluación del POA 2023</t>
  </si>
  <si>
    <t>1. POA 2024                                 2. Evaluación del POA 2023</t>
  </si>
  <si>
    <r>
      <t>9.-</t>
    </r>
    <r>
      <rPr>
        <sz val="10"/>
        <rFont val="Arial Narrow"/>
        <family val="2"/>
      </rPr>
      <t xml:space="preserve"> Organizar el archivo de gestión.</t>
    </r>
  </si>
  <si>
    <t>Nro. De Cajas registradas en el inventario documental de secretasria y archivo</t>
  </si>
  <si>
    <t xml:space="preserve">1. sistematizar la documentación semestral. 2. Organizar e inventariar la documenttación. </t>
  </si>
  <si>
    <t>1. Inventario Documental</t>
  </si>
  <si>
    <t>TOTAL UNIDAD DE SECRETARIA Y ARCHIVO 2023:</t>
  </si>
  <si>
    <t>TOTAL DIRECCIÓN DE POSGRADO 2023:</t>
  </si>
  <si>
    <r>
      <rPr>
        <b/>
        <sz val="11"/>
        <color rgb="FF000000"/>
        <rFont val="Arial Narrow"/>
        <family val="2"/>
      </rPr>
      <t xml:space="preserve">Elaborado por: </t>
    </r>
    <r>
      <rPr>
        <sz val="11"/>
        <color rgb="FF000000"/>
        <rFont val="Arial Narrow"/>
        <family val="2"/>
      </rPr>
      <t>Alicia Illescas Zaruma</t>
    </r>
  </si>
  <si>
    <r>
      <rPr>
        <b/>
        <sz val="11"/>
        <color rgb="FF000000"/>
        <rFont val="Arial Narrow"/>
        <family val="2"/>
      </rPr>
      <t xml:space="preserve">Fecha: </t>
    </r>
    <r>
      <rPr>
        <sz val="11"/>
        <color rgb="FF000000"/>
        <rFont val="Arial Narrow"/>
        <family val="2"/>
      </rPr>
      <t>Machala 9 de septiembre de 2022</t>
    </r>
  </si>
  <si>
    <t>DIRECCIÓN DE VINCULACIÓN</t>
  </si>
  <si>
    <r>
      <rPr>
        <b/>
        <sz val="10"/>
        <color rgb="FFFF0000"/>
        <rFont val="Arial Narrow"/>
        <family val="2"/>
      </rPr>
      <t xml:space="preserve">METAS ESTRATÉGICAS
</t>
    </r>
    <r>
      <rPr>
        <b/>
        <sz val="10"/>
        <color rgb="FF000000"/>
        <rFont val="Arial Narrow"/>
        <family val="2"/>
      </rPr>
      <t xml:space="preserve">1.- </t>
    </r>
    <r>
      <rPr>
        <sz val="10"/>
        <color rgb="FF000000"/>
        <rFont val="Arial Narrow"/>
        <family val="2"/>
      </rPr>
      <t>Incrementar la interacción de la universidad con la sociedad a través de la gestión de programas y/o proyectos de vinculación con la sociedad.</t>
    </r>
  </si>
  <si>
    <t>Programas y/o proyectos de vinculación con la sociedad gestionados.</t>
  </si>
  <si>
    <t>N° de programas y/o proyectos de vinculación gestionados.</t>
  </si>
  <si>
    <r>
      <rPr>
        <sz val="10"/>
        <color rgb="FFFF0000"/>
        <rFont val="Arial Narrow"/>
        <family val="2"/>
      </rPr>
      <t>1.- Gestionar comunicaciones para la formalidad de aprobación de proyectos.</t>
    </r>
    <r>
      <rPr>
        <sz val="10"/>
        <color theme="1"/>
        <rFont val="Arial Narrow"/>
        <family val="2"/>
      </rPr>
      <t xml:space="preserve">
2.- Gestionar la aprobación de cartera de proyectos ante Vicerrectorado de Investigación, Vinculación y Posgrado.</t>
    </r>
  </si>
  <si>
    <t>1.- Resolución de aprobación de proyectos de vinculación.</t>
  </si>
  <si>
    <r>
      <t xml:space="preserve">* Anita Moscoso Parra,
</t>
    </r>
    <r>
      <rPr>
        <b/>
        <sz val="10"/>
        <color rgb="FF000000"/>
        <rFont val="Arial Narrow"/>
        <family val="2"/>
      </rPr>
      <t xml:space="preserve">  Dirección Vinculación
</t>
    </r>
    <r>
      <rPr>
        <sz val="10"/>
        <color rgb="FF000000"/>
        <rFont val="Arial Narrow"/>
        <family val="2"/>
      </rPr>
      <t xml:space="preserve">* Alexandra Roldán Monge,
</t>
    </r>
    <r>
      <rPr>
        <b/>
        <sz val="10"/>
        <color rgb="FF000000"/>
        <rFont val="Arial Narrow"/>
        <family val="2"/>
      </rPr>
      <t xml:space="preserve">  Analista de Vinculación con la Sociedad
</t>
    </r>
    <r>
      <rPr>
        <sz val="10"/>
        <color rgb="FF000000"/>
        <rFont val="Arial Narrow"/>
        <family val="2"/>
      </rPr>
      <t xml:space="preserve">* Diana Reinoso Miranda,
</t>
    </r>
    <r>
      <rPr>
        <b/>
        <sz val="10"/>
        <color rgb="FF000000"/>
        <rFont val="Arial Narrow"/>
        <family val="2"/>
      </rPr>
      <t xml:space="preserve">  Analista de Seguimiento a Graduados e Inserción Laboral</t>
    </r>
  </si>
  <si>
    <t>Se considera 1 cartera de proyectos.</t>
  </si>
  <si>
    <r>
      <rPr>
        <b/>
        <sz val="10"/>
        <color theme="1"/>
        <rFont val="Arial Narrow"/>
        <family val="2"/>
      </rPr>
      <t>2.-</t>
    </r>
    <r>
      <rPr>
        <sz val="10"/>
        <color theme="1"/>
        <rFont val="Arial Narrow"/>
        <family val="2"/>
      </rPr>
      <t xml:space="preserve"> Evaluar el nivel de impacto de los proyectos de vinculación a través de la valoración del grado de contribución a la solución de los problemas identificados en los estudios de pertinencia de la oferta académica.</t>
    </r>
  </si>
  <si>
    <t>Proyectos de vinculación a través de la valoración del grado de contribución a la solución de los problemas identificados en los estudios de pertinencia de la oferta académica.</t>
  </si>
  <si>
    <t>N° de proyectos de vinculación con impacto sobre los problemas identificados en los estudios de pertinencia de las carreras.</t>
  </si>
  <si>
    <t>SD</t>
  </si>
  <si>
    <r>
      <t xml:space="preserve">* Anita Moscoso Parra,
</t>
    </r>
    <r>
      <rPr>
        <b/>
        <sz val="10"/>
        <color rgb="FFFF0000"/>
        <rFont val="Arial Narrow"/>
        <family val="2"/>
      </rPr>
      <t xml:space="preserve">  Dirección Vinculación</t>
    </r>
  </si>
  <si>
    <t>No se considera planificación de dicha meta en razón de que:
1.- No existe normativa vigente  que permita habilitar este producto
2.- En la actualidad no hay personal técnico a cargo de dicho de indicador.</t>
  </si>
  <si>
    <r>
      <rPr>
        <b/>
        <sz val="10"/>
        <color theme="1"/>
        <rFont val="Arial Narrow"/>
        <family val="2"/>
      </rPr>
      <t>3.-</t>
    </r>
    <r>
      <rPr>
        <sz val="10"/>
        <color theme="1"/>
        <rFont val="Arial Narrow"/>
        <family val="2"/>
      </rPr>
      <t xml:space="preserve"> Gestionar la internacionalización de los proyectos de vinculación a través de la implementación del modelo de transferencia tecnológica y científica con énfasis en los nudos problematizadores identificados a nivel zonal.</t>
    </r>
  </si>
  <si>
    <t>Proyectos de vinculación a través de la implementación del modelo de transferencia tecnológica y científica con énfasis en los nudos problematizadores identificados a nivel zonal.</t>
  </si>
  <si>
    <t>sd</t>
  </si>
  <si>
    <r>
      <rPr>
        <sz val="10"/>
        <color rgb="FF000000"/>
        <rFont val="Arial Narrow"/>
        <family val="2"/>
      </rPr>
      <t xml:space="preserve">* Anita Moscoso Parra,
</t>
    </r>
    <r>
      <rPr>
        <b/>
        <sz val="10"/>
        <color rgb="FF000000"/>
        <rFont val="Arial Narrow"/>
        <family val="2"/>
      </rPr>
      <t xml:space="preserve">  Dirección Vinculación</t>
    </r>
  </si>
  <si>
    <t>No se considera planificación de dicha meta en razón de que:
1.- No existe normativa que permita habilitar dicho proceso al ser parte de un nuevo producto de esta dependencia
2.- En la actualidad no existe la unidad de internacionalización ni personal a cargo de dicho de indicador.</t>
  </si>
  <si>
    <t>1. Potenciar la presencia de la UTMACH en su contexto de influencia, a través de la ejecución de proyectos de vinculación con la sociedad que promuevan el desarrollo productivo de la provincia.</t>
  </si>
  <si>
    <r>
      <rPr>
        <b/>
        <sz val="10"/>
        <color theme="1"/>
        <rFont val="Arial Narrow"/>
        <family val="2"/>
      </rPr>
      <t>4.-</t>
    </r>
    <r>
      <rPr>
        <sz val="10"/>
        <color theme="1"/>
        <rFont val="Arial Narrow"/>
        <family val="2"/>
      </rPr>
      <t xml:space="preserve"> Asegurar la calidad de las alianzas estratégicas institucionales a través de la evaluación de impacto de los convenios sobre el desarrollo de los ejes sustantivos.</t>
    </r>
  </si>
  <si>
    <t>Alianzas estratégicas institucionales a través de la evaluación de impacto de los convenios sobre el desarrollo de los ejes sustantivos.</t>
  </si>
  <si>
    <t>Porcentaje de procesos académicos de investigación y vinculación con la sociedad beneficiados a partir de la ejecución de las alianzas estratégicas vigentes.</t>
  </si>
  <si>
    <r>
      <t xml:space="preserve">1.- Identificar la necesidad y pertinencia de firma de convenios con contraparte.
2.- Verificar la conformidad legal de las partes.
3.- Firmar convenios y actualización de la base de datos.
</t>
    </r>
    <r>
      <rPr>
        <sz val="10"/>
        <color rgb="FFFF0000"/>
        <rFont val="Arial Narrow"/>
        <family val="2"/>
      </rPr>
      <t>4.- Indentificar procesos académicos, de investigación y/o vinculación beneficiados por las alianzas estratégicas.</t>
    </r>
    <r>
      <rPr>
        <sz val="10"/>
        <color theme="1"/>
        <rFont val="Arial Narrow"/>
        <family val="2"/>
      </rPr>
      <t xml:space="preserve">
5.- Gestionar la </t>
    </r>
    <r>
      <rPr>
        <sz val="10"/>
        <color rgb="FFFF0000"/>
        <rFont val="Arial Narrow"/>
        <family val="2"/>
      </rPr>
      <t>elaboración</t>
    </r>
    <r>
      <rPr>
        <sz val="10"/>
        <color theme="1"/>
        <rFont val="Arial Narrow"/>
        <family val="2"/>
      </rPr>
      <t xml:space="preserve"> del proyecto.</t>
    </r>
  </si>
  <si>
    <t>1.- Instrumento de cooperación marco o especifico vinculados a proyectos de vinculación 
2. Reporte de procesos académicos, de investigación y/o vinculación beneficiados desde los proyectos de vinculación  con alianzas estratégicas en este ámbito.</t>
  </si>
  <si>
    <t>* Anita Moscoso Parra,
  Dirección Vinculación * Alexandra Alvarado Campoverde,
  Analista de Cooperación Interinstitucional
* Alexandra Roldán Monge,
  Analista de Vinculación con la Sociedad
* Diana Reinoso Miranda,
  Analista de Seguimiento a Graduados e Inserción Laboral</t>
  </si>
  <si>
    <r>
      <rPr>
        <b/>
        <sz val="10"/>
        <color rgb="FFFF0000"/>
        <rFont val="Arial Narrow"/>
        <family val="2"/>
      </rPr>
      <t xml:space="preserve">METAS OPERATIVAS
</t>
    </r>
    <r>
      <rPr>
        <b/>
        <sz val="10"/>
        <color rgb="FF000000"/>
        <rFont val="Arial Narrow"/>
        <family val="2"/>
      </rPr>
      <t>1.-</t>
    </r>
    <r>
      <rPr>
        <sz val="10"/>
        <color rgb="FF000000"/>
        <rFont val="Arial Narrow"/>
        <family val="2"/>
      </rPr>
      <t xml:space="preserve"> Desarrollar e implementar políticas, estrategias y/o directrices en el ámbito de los procesos inherentes a la dirección.</t>
    </r>
  </si>
  <si>
    <t>Políticas, estrategias y/o directrices en el ámbito de los procesos inherentes a la dirección, desarrolladas e implementadas.</t>
  </si>
  <si>
    <t>N° de Políticas, estrategias y/o directrices en el ámbito de los procesos inherentes a la dirección, desarrolladas e implementadas.</t>
  </si>
  <si>
    <t>1.- Planificar las metas por componentes.
2.- Recoger el plan de acción por cada unidad.
3.- Consolidar en un documento la información pertinente.
4.- Gestionar la aprobación de la planificación, políticas y/o estrategias.</t>
  </si>
  <si>
    <r>
      <t xml:space="preserve">1.- Propuesta de políticas, estrategias y/o directrices en el ámbito de los procesos inherentes a la Dirección, actualizada.
</t>
    </r>
    <r>
      <rPr>
        <sz val="10"/>
        <color rgb="FFFF0000"/>
        <rFont val="Arial Narrow"/>
        <family val="2"/>
      </rPr>
      <t>2.- Resolución de aprobación de instrumentos y/o reglamentos.</t>
    </r>
  </si>
  <si>
    <r>
      <rPr>
        <b/>
        <sz val="10"/>
        <color rgb="FF000000"/>
        <rFont val="Arial Narrow"/>
        <family val="2"/>
      </rPr>
      <t>2.-</t>
    </r>
    <r>
      <rPr>
        <sz val="10"/>
        <color rgb="FF000000"/>
        <rFont val="Arial Narrow"/>
        <family val="2"/>
      </rPr>
      <t xml:space="preserve"> Gestionar alianzas estratégicas interinstitucionales.</t>
    </r>
  </si>
  <si>
    <t>Alianzas estratégicas interinstitucionales gestionadas.</t>
  </si>
  <si>
    <t>N° de Alianzas estratégicas interinstitucionales gestionadas.</t>
  </si>
  <si>
    <t>1.- Solicitar criterio legal de propuestas de convenio.
2.- Gestionar la suscripción de convenios en función de la línea operativa, en el caso que se declare presupuesto, se deberá solicitar a financiero la disponibilidad presupuestaria y posterior enviar ante Consejo Universitario para su aprobación.</t>
  </si>
  <si>
    <t>1.- Pronunciamiento jurídico
2.- Convenio suscrito.</t>
  </si>
  <si>
    <r>
      <rPr>
        <sz val="10"/>
        <color rgb="FF000000"/>
        <rFont val="Arial Narrow"/>
        <family val="2"/>
      </rPr>
      <t xml:space="preserve">* Anita Moscoso Parra,
</t>
    </r>
    <r>
      <rPr>
        <b/>
        <sz val="10"/>
        <color rgb="FF000000"/>
        <rFont val="Arial Narrow"/>
        <family val="2"/>
      </rPr>
      <t xml:space="preserve">  Dirección Vinculación
</t>
    </r>
    <r>
      <rPr>
        <sz val="10"/>
        <color rgb="FF000000"/>
        <rFont val="Arial Narrow"/>
        <family val="2"/>
      </rPr>
      <t xml:space="preserve">* Alexandra Alvarado Campoverde,
</t>
    </r>
    <r>
      <rPr>
        <b/>
        <sz val="10"/>
        <color rgb="FF000000"/>
        <rFont val="Arial Narrow"/>
        <family val="2"/>
      </rPr>
      <t xml:space="preserve">  Analista de Cooperación Interinstitucional</t>
    </r>
  </si>
  <si>
    <r>
      <rPr>
        <b/>
        <sz val="10"/>
        <color rgb="FF000000"/>
        <rFont val="Arial Narrow"/>
        <family val="2"/>
      </rPr>
      <t>3.-</t>
    </r>
    <r>
      <rPr>
        <sz val="10"/>
        <color rgb="FF000000"/>
        <rFont val="Arial Narrow"/>
        <family val="2"/>
      </rPr>
      <t xml:space="preserve"> Efectuar actividades de divulgación y devolución de resultados y de las buenas prácticas de los procesos que lleva a cabo la Dirección.</t>
    </r>
  </si>
  <si>
    <t>Actividades de divulgación y devolución de resultados y de las buenas prácticas de los procesos que lleva a cabo la Dirección, efectuados.</t>
  </si>
  <si>
    <t>N° de Actividades de divulgación y devolución de resultados y de las buenas prácticas de los procesos que lleva a cabo la Dirección, efectuadas.</t>
  </si>
  <si>
    <t>1.- Planificación y organización de difusión a través de componentes inherentes a la Dirección.
2.- Evento de difusión efectuado.</t>
  </si>
  <si>
    <t>1.- Registros de asistencia para organización y logística del evento.
2.- Fuentes de información del evento realizado.</t>
  </si>
  <si>
    <r>
      <rPr>
        <sz val="10"/>
        <color rgb="FF000000"/>
        <rFont val="Arial Narrow"/>
        <family val="2"/>
      </rPr>
      <t xml:space="preserve">* Anita Moscoso Parra,
</t>
    </r>
    <r>
      <rPr>
        <b/>
        <sz val="10"/>
        <color rgb="FF000000"/>
        <rFont val="Arial Narrow"/>
        <family val="2"/>
      </rPr>
      <t xml:space="preserve">  Dirección Vinculación
</t>
    </r>
    <r>
      <rPr>
        <sz val="10"/>
        <color rgb="FF000000"/>
        <rFont val="Arial Narrow"/>
        <family val="2"/>
      </rPr>
      <t xml:space="preserve">* Alexandra Alvarado Campoverde,
</t>
    </r>
    <r>
      <rPr>
        <b/>
        <sz val="10"/>
        <color rgb="FF000000"/>
        <rFont val="Arial Narrow"/>
        <family val="2"/>
      </rPr>
      <t xml:space="preserve">  Analista de Cooperación Interinstitucional
</t>
    </r>
    <r>
      <rPr>
        <sz val="10"/>
        <color rgb="FF000000"/>
        <rFont val="Arial Narrow"/>
        <family val="2"/>
      </rPr>
      <t xml:space="preserve">* Adela Oviedo Guerrero,
</t>
    </r>
    <r>
      <rPr>
        <b/>
        <sz val="10"/>
        <color rgb="FF000000"/>
        <rFont val="Arial Narrow"/>
        <family val="2"/>
      </rPr>
      <t xml:space="preserve">  Analista de Cooperación Interinstitucional
</t>
    </r>
    <r>
      <rPr>
        <sz val="10"/>
        <color rgb="FF000000"/>
        <rFont val="Arial Narrow"/>
        <family val="2"/>
      </rPr>
      <t xml:space="preserve">* Katerine Guevara Correa, 
</t>
    </r>
    <r>
      <rPr>
        <b/>
        <sz val="10"/>
        <color rgb="FF000000"/>
        <rFont val="Arial Narrow"/>
        <family val="2"/>
      </rPr>
      <t xml:space="preserve">  Jefe de Pasantías y Prácticas
</t>
    </r>
    <r>
      <rPr>
        <sz val="10"/>
        <color rgb="FF000000"/>
        <rFont val="Arial Narrow"/>
        <family val="2"/>
      </rPr>
      <t>* Elizabeth Yangua Jaramillo,</t>
    </r>
    <r>
      <rPr>
        <b/>
        <sz val="10"/>
        <color rgb="FF000000"/>
        <rFont val="Arial Narrow"/>
        <family val="2"/>
      </rPr>
      <t xml:space="preserve"> 
  Analista de UMMOG, Responsable de Seguimiento a Graduados.
</t>
    </r>
    <r>
      <rPr>
        <sz val="10"/>
        <color rgb="FF000000"/>
        <rFont val="Arial Narrow"/>
        <family val="2"/>
      </rPr>
      <t xml:space="preserve">* Diana Reinoso Miranda,
</t>
    </r>
    <r>
      <rPr>
        <b/>
        <sz val="10"/>
        <color rgb="FF000000"/>
        <rFont val="Arial Narrow"/>
        <family val="2"/>
      </rPr>
      <t xml:space="preserve">  Analista de Seguimiento a Graduados e Inserción Laboral</t>
    </r>
  </si>
  <si>
    <t>DPLAN: Se modifican parcialmente los egresos en la partida 840107 por superar el 20% del máximo disponible para egresos en el grupo 84 del Clasificador Presupuestario; la necesidad debe gestionarse el próximo año con la DTIC y/o reprogramar los recursos en caso de ser necesario por efectos del seguimiento presupuestario.</t>
  </si>
  <si>
    <t>no aplica</t>
  </si>
  <si>
    <t>Pad mouse ergonómicos</t>
  </si>
  <si>
    <t>46122.00</t>
  </si>
  <si>
    <t>8</t>
  </si>
  <si>
    <t>4</t>
  </si>
  <si>
    <r>
      <rPr>
        <b/>
        <sz val="10"/>
        <color rgb="FF000000"/>
        <rFont val="Arial Narrow"/>
        <family val="2"/>
      </rPr>
      <t>4.-</t>
    </r>
    <r>
      <rPr>
        <sz val="10"/>
        <color rgb="FF000000"/>
        <rFont val="Arial Narrow"/>
        <family val="2"/>
      </rPr>
      <t xml:space="preserve"> Gestionar procesos de movilización de recursos y/o fondos externos.</t>
    </r>
  </si>
  <si>
    <t>Procesos de movilización de recursos y/o fondos externos, gestionados.</t>
  </si>
  <si>
    <t>N° de Procesos de movilización de recursos y/o fondos externos, gestionados.</t>
  </si>
  <si>
    <t>1.- Solicitar criterio legal de propuestas de movilización de recursos y/o fondos externos. 
2.- Gestionar difusión de convocatorias y/ propuestas inherentes a procesos de movilización de recursos y/o fondos externos ante Consejo Universitario para su aprobación.</t>
  </si>
  <si>
    <t>1.- Pronunciamiento jurídico-
2.- Convocatorias gestionadas.</t>
  </si>
  <si>
    <r>
      <rPr>
        <b/>
        <sz val="10"/>
        <color rgb="FF000000"/>
        <rFont val="Arial Narrow"/>
        <family val="2"/>
      </rPr>
      <t>5.-</t>
    </r>
    <r>
      <rPr>
        <sz val="10"/>
        <color rgb="FF000000"/>
        <rFont val="Arial Narrow"/>
        <family val="2"/>
      </rPr>
      <t xml:space="preserve"> Aprobar la Planificación Anual de la Dirección de Vinculación.</t>
    </r>
  </si>
  <si>
    <t>Planificación Anual de la Dirección de Vinculación, aprobado.</t>
  </si>
  <si>
    <t>N° de Planificación Anual de la Dirección de Vinculación, aprobado.</t>
  </si>
  <si>
    <t>1.- Determinar las estrategias a seguir para la planificación anual del siguiente año.
2.- Gestionar la aprobación de la planificación de agenda de vinculación.</t>
  </si>
  <si>
    <t>1.- Resolución de aprobación del plan anual de la Dirección de Vinculación.</t>
  </si>
  <si>
    <r>
      <rPr>
        <b/>
        <sz val="10"/>
        <color rgb="FF000000"/>
        <rFont val="Arial Narrow"/>
        <family val="2"/>
      </rPr>
      <t>6.-</t>
    </r>
    <r>
      <rPr>
        <sz val="10"/>
        <color rgb="FF000000"/>
        <rFont val="Arial Narrow"/>
        <family val="2"/>
      </rPr>
      <t xml:space="preserve"> Implementar eventos de inducción, capacitación y/o asesoría, de las Unidades de la Dirección.</t>
    </r>
  </si>
  <si>
    <t>Eventos de inducción, capacitación y/o asesoría, de las Unidades de la Dirección Implementados.</t>
  </si>
  <si>
    <t>N° de Eventos de inducción, capacitación y/o asesoría, de las Unidades de la Dirección implementados.</t>
  </si>
  <si>
    <t>1.- Coordinar difusión del evento.
2.- Entregar y poner en marcha el curso de capacitación en coordinación con la dependencia pertinente.</t>
  </si>
  <si>
    <t>1.- Informe de ejecución de eventos de inducción, capacitación y/o asesoría 
2.- Insumos de asesoría y/o acompañamiento en Facultades.</t>
  </si>
  <si>
    <r>
      <rPr>
        <sz val="10"/>
        <color rgb="FF000000"/>
        <rFont val="Arial Narrow"/>
        <family val="2"/>
      </rPr>
      <t xml:space="preserve">* Anita Moscoso Parra,
</t>
    </r>
    <r>
      <rPr>
        <b/>
        <sz val="10"/>
        <color rgb="FF000000"/>
        <rFont val="Arial Narrow"/>
        <family val="2"/>
      </rPr>
      <t xml:space="preserve">  Dirección Vinculación
</t>
    </r>
    <r>
      <rPr>
        <sz val="10"/>
        <color rgb="FF000000"/>
        <rFont val="Arial Narrow"/>
        <family val="2"/>
      </rPr>
      <t xml:space="preserve">* Alexandra Roldán Monge,
</t>
    </r>
    <r>
      <rPr>
        <b/>
        <sz val="10"/>
        <color rgb="FF000000"/>
        <rFont val="Arial Narrow"/>
        <family val="2"/>
      </rPr>
      <t xml:space="preserve">  Analista de Vinculación con la Sociedad
</t>
    </r>
    <r>
      <rPr>
        <sz val="10"/>
        <color rgb="FF000000"/>
        <rFont val="Arial Narrow"/>
        <family val="2"/>
      </rPr>
      <t xml:space="preserve">* Diana Reinoso Miranda,
</t>
    </r>
    <r>
      <rPr>
        <b/>
        <sz val="10"/>
        <color rgb="FF000000"/>
        <rFont val="Arial Narrow"/>
        <family val="2"/>
      </rPr>
      <t xml:space="preserve">  Analista de Seguimiento a Graduados e Inserción Laboral</t>
    </r>
  </si>
  <si>
    <t>929000014</t>
  </si>
  <si>
    <t>Servicio de capacitación a colectivos de vinculación con la sociedad</t>
  </si>
  <si>
    <r>
      <rPr>
        <b/>
        <sz val="10"/>
        <color rgb="FF000000"/>
        <rFont val="Arial Narrow"/>
        <family val="2"/>
      </rPr>
      <t>7.-</t>
    </r>
    <r>
      <rPr>
        <sz val="10"/>
        <color rgb="FF000000"/>
        <rFont val="Arial Narrow"/>
        <family val="2"/>
      </rPr>
      <t xml:space="preserve"> Dirigir el proceso de elaboración de programas, planes y proyectos en las diferentes modalidades en que se ejecuta la vinculación con la sociedad.</t>
    </r>
  </si>
  <si>
    <t>Proceso de elaboración de programas, planes y proyectos en las diferentes modalidades en que se ejecuta la vinculación con la sociedad, dirigido.</t>
  </si>
  <si>
    <t>N° de Procesos de elaboración de programas, planes y proyectos en las diferentes modalidades en que se ejecuta la vinculación con la sociedad, dirigido.</t>
  </si>
  <si>
    <t>1.- Gestionar la aprobación del informe de gestión y resultados de prácticas pre profesionales.
2.- Gestionar la aprobación del informe de gestión y resultados de seguimiento a graduados.</t>
  </si>
  <si>
    <t>1.- Informe de gestión y/o resultados del proceso de prácticas preprofesionales, aprobado.
2.- Informe institucional de seguimiento a graduados, aprobado.</t>
  </si>
  <si>
    <r>
      <rPr>
        <sz val="10"/>
        <color rgb="FF000000"/>
        <rFont val="Arial Narrow"/>
        <family val="2"/>
      </rPr>
      <t xml:space="preserve">* Anita Moscoso Parra,
</t>
    </r>
    <r>
      <rPr>
        <b/>
        <sz val="10"/>
        <color rgb="FF000000"/>
        <rFont val="Arial Narrow"/>
        <family val="2"/>
      </rPr>
      <t xml:space="preserve">  Dirección Vinculación
</t>
    </r>
    <r>
      <rPr>
        <sz val="10"/>
        <color rgb="FF000000"/>
        <rFont val="Arial Narrow"/>
        <family val="2"/>
      </rPr>
      <t xml:space="preserve">* Katerine Guevara Correa, 
</t>
    </r>
    <r>
      <rPr>
        <b/>
        <sz val="10"/>
        <color rgb="FF000000"/>
        <rFont val="Arial Narrow"/>
        <family val="2"/>
      </rPr>
      <t xml:space="preserve">  Jefe de Pasantías y Prácticas
</t>
    </r>
    <r>
      <rPr>
        <sz val="10"/>
        <color rgb="FF000000"/>
        <rFont val="Arial Narrow"/>
        <family val="2"/>
      </rPr>
      <t xml:space="preserve">* Elizabeth Yangua Jaramillo, 
</t>
    </r>
    <r>
      <rPr>
        <b/>
        <sz val="10"/>
        <color rgb="FF000000"/>
        <rFont val="Arial Narrow"/>
        <family val="2"/>
      </rPr>
      <t>Analista de UMMOG, Responsable de Seguimiento a Graduados</t>
    </r>
  </si>
  <si>
    <t>Cartera de proyectos de vinculación</t>
  </si>
  <si>
    <t>Equipos, Sistemas y Paquetes informáticos</t>
  </si>
  <si>
    <t xml:space="preserve">Computador Portátil </t>
  </si>
  <si>
    <t>Impresora</t>
  </si>
  <si>
    <t>Computador Portátil de  8va generación</t>
  </si>
  <si>
    <t>Vascula digital para equipaje hasta 50 kg</t>
  </si>
  <si>
    <t>Licencia de software de accesibilidad para personas con discapacidad</t>
  </si>
  <si>
    <t>Licencia creative clound</t>
  </si>
  <si>
    <t>Licencia PLS</t>
  </si>
  <si>
    <t>Licencia SPSS</t>
  </si>
  <si>
    <t>Licencia Emotiv Pro</t>
  </si>
  <si>
    <t>Materiales de Oficina</t>
  </si>
  <si>
    <t>Resmas de papel bond</t>
  </si>
  <si>
    <t>Marcadores</t>
  </si>
  <si>
    <t>Esferográficos</t>
  </si>
  <si>
    <t>Archivadores</t>
  </si>
  <si>
    <t>Agendas ejecutivas</t>
  </si>
  <si>
    <r>
      <rPr>
        <b/>
        <sz val="10"/>
        <color rgb="FF000000"/>
        <rFont val="Arial Narrow"/>
        <family val="2"/>
      </rPr>
      <t>8.-</t>
    </r>
    <r>
      <rPr>
        <sz val="10"/>
        <color rgb="FF000000"/>
        <rFont val="Arial Narrow"/>
        <family val="2"/>
      </rPr>
      <t xml:space="preserve"> Asistir en procesos de retroalimentación para el fortalecimiento de la oferta académica, dominios académicos institucionales y líneas de investigación de nuestra IES.</t>
    </r>
  </si>
  <si>
    <t>Procesos de retroalimentación para el fortalecimiento de la oferta académica, dominios académicos institucionales y líneas de investigación de nuestra IES, asistidos.</t>
  </si>
  <si>
    <t>N° de Procesos de retroalimentación para el fortalecimiento de la oferta académica, dominios académicos institucionales y líneas de investigación de nuestra IES, asistidos.</t>
  </si>
  <si>
    <t>1.- Participar de sesiones de actualización y/o retroalimentación para el fortalecimiento de la oferta académica, dominios académicos institucionales y líneas de investigación de nuestra IES, convocadas por el vicerrectorado correspondiente.
2.- Remitir al vicerrectorado correspondiente los resultados de cartera de proyectos de vinculación como insumo para fortalecimiento de la oferta académica.</t>
  </si>
  <si>
    <r>
      <t xml:space="preserve">1.- Registros de asistencia
</t>
    </r>
    <r>
      <rPr>
        <sz val="10"/>
        <color rgb="FFFF0000"/>
        <rFont val="Arial Narrow"/>
        <family val="2"/>
      </rPr>
      <t>2.- Resultados de cartera de proyectos de vinculación remitidos al vicerrectorado y/o rectorado (informe de rendición de cuentas).</t>
    </r>
  </si>
  <si>
    <r>
      <rPr>
        <b/>
        <sz val="10"/>
        <color rgb="FF000000"/>
        <rFont val="Arial Narrow"/>
        <family val="2"/>
      </rPr>
      <t>9.-</t>
    </r>
    <r>
      <rPr>
        <sz val="10"/>
        <color rgb="FF000000"/>
        <rFont val="Arial Narrow"/>
        <family val="2"/>
      </rPr>
      <t xml:space="preserve"> Gestionar la participación institucional en espacios relevantes, de cooperación nacional e internacional a través de redes, eventos académicos, científicos y culturales.</t>
    </r>
  </si>
  <si>
    <t>Participación institucional en espacios relevantes, de cooperación nacional e internacional a través de redes, eventos académicos, científicos y culturales; gestionada.</t>
  </si>
  <si>
    <t>N° de Participación institucional en espacios relevantes, de cooperación nacional e internacional a través de redes, eventos académicos, científicos y culturales; gestionada.</t>
  </si>
  <si>
    <t>1.- Participar de las convocatorias de participación institucional en espacios relevantes, de cooperación nacional e internacional.</t>
  </si>
  <si>
    <r>
      <t xml:space="preserve">1.- Informe de </t>
    </r>
    <r>
      <rPr>
        <sz val="10"/>
        <color rgb="FFFF0000"/>
        <rFont val="Arial Narrow"/>
        <family val="2"/>
      </rPr>
      <t xml:space="preserve">gestión y/o </t>
    </r>
    <r>
      <rPr>
        <sz val="10"/>
        <color theme="1"/>
        <rFont val="Arial Narrow"/>
        <family val="2"/>
      </rPr>
      <t>cumplimiento de tareas oficiales o servicios institucionales, de las delegaciones que hubiere.</t>
    </r>
  </si>
  <si>
    <r>
      <rPr>
        <b/>
        <sz val="10"/>
        <color rgb="FF000000"/>
        <rFont val="Arial Narrow"/>
        <family val="2"/>
      </rPr>
      <t>10.-</t>
    </r>
    <r>
      <rPr>
        <sz val="10"/>
        <color rgb="FF000000"/>
        <rFont val="Arial Narrow"/>
        <family val="2"/>
      </rPr>
      <t xml:space="preserve"> Evidenciar la participación en programas de intercambio estudiantil nacional e internacional, en los que se convalidan y homologan estudios y/o prácticas.</t>
    </r>
  </si>
  <si>
    <t>Participación en programas de intercambio estudiantil nacional e internacional, en los que se convalidan y homologan estudios y/o prácticas, evidenciadas.</t>
  </si>
  <si>
    <t>N° de Participación en programas de intercambio estudiantil nacional e internacional, en los que se convalidan y homologan estudios y/o prácticas, evidenciadas.</t>
  </si>
  <si>
    <t>1.- Difundir y promocionar la convocatoria a becas de programas de movilidad estudiantil.
2.- Dirigir a los estudiantes en el proceso de postulación a los programas de movilidad.</t>
  </si>
  <si>
    <t>1.- Convocatoria gestionada.
2.- Reporte de estudiantes.</t>
  </si>
  <si>
    <r>
      <rPr>
        <b/>
        <sz val="10"/>
        <color theme="1"/>
        <rFont val="Arial Narrow"/>
        <family val="2"/>
      </rPr>
      <t>11.-</t>
    </r>
    <r>
      <rPr>
        <sz val="10"/>
        <color theme="1"/>
        <rFont val="Arial Narrow"/>
        <family val="2"/>
      </rPr>
      <t xml:space="preserve"> Entregar la Planificación Operativa Anual y Evaluación de la Planificación Operativa Anual, articulado al Plan se Aseguramiento de la Calidad.</t>
    </r>
  </si>
  <si>
    <t>N° de Planificaciones Operativas Anuales y Evaluaciones de la Planificación Operativa Anual entregadas a la instancia pertinente.</t>
  </si>
  <si>
    <t>1.- Elaborar propuesta del plan operativo anual 2024.
2.- Cumplir las metas operativas planificadas.
3.- Elaborar la evaluación del plan operativo anual, preparar y cargar de medios de verificación en drive compartido para el efecto.</t>
  </si>
  <si>
    <r>
      <rPr>
        <b/>
        <sz val="10"/>
        <color theme="1"/>
        <rFont val="Arial Narrow"/>
        <family val="2"/>
      </rPr>
      <t>12.-</t>
    </r>
    <r>
      <rPr>
        <sz val="10"/>
        <color theme="1"/>
        <rFont val="Arial Narrow"/>
        <family val="2"/>
      </rPr>
      <t xml:space="preserve"> Organizar el archivo de gestión en digital y físico.</t>
    </r>
  </si>
  <si>
    <t>1.- Revisar archivo histórico.
2.- Recibir documentación de usuarios internos y externos (físico y digital).
3.- Revisar comunicaciones para su ingreso al sistema siutmach.
4.- Consolidar información de acuerdo a la naturaleza de documentos.
5.- Discriminar el inventario.
6.- Contabilizar las fojas que corresponden al archivo histórico.
7.- Digitalizar los documentos recibidos y enviados.
8.- Levantar matriz de inventario documental.</t>
  </si>
  <si>
    <r>
      <rPr>
        <sz val="10"/>
        <color rgb="FF000000"/>
        <rFont val="Arial Narrow"/>
        <family val="2"/>
      </rPr>
      <t xml:space="preserve">* Anita Moscoso Parra,
</t>
    </r>
    <r>
      <rPr>
        <b/>
        <sz val="10"/>
        <color rgb="FF000000"/>
        <rFont val="Arial Narrow"/>
        <family val="2"/>
      </rPr>
      <t xml:space="preserve">  Dirección Vinculación
</t>
    </r>
    <r>
      <rPr>
        <sz val="10"/>
        <color rgb="FF000000"/>
        <rFont val="Arial Narrow"/>
        <family val="2"/>
      </rPr>
      <t xml:space="preserve">* Priscila Minuche Mera,
</t>
    </r>
    <r>
      <rPr>
        <b/>
        <sz val="10"/>
        <color rgb="FF000000"/>
        <rFont val="Arial Narrow"/>
        <family val="2"/>
      </rPr>
      <t xml:space="preserve">  Analista Administrativo de Vinculación, Cooperación, Pasantías y Prácticas</t>
    </r>
  </si>
  <si>
    <t>TOTAL PRESUPUESTO ESTIMATIVO DE LA DIRECCIÓN DE VINCULACIÓN 2023:</t>
  </si>
  <si>
    <t>UNIDAD DE GESTIÓN DE PROGRAMAS Y PROYECTOS</t>
  </si>
  <si>
    <r>
      <rPr>
        <b/>
        <sz val="10"/>
        <color rgb="FFFF0000"/>
        <rFont val="Arial Narrow"/>
        <family val="2"/>
      </rPr>
      <t xml:space="preserve">METAS OPERATIVAS
</t>
    </r>
    <r>
      <rPr>
        <b/>
        <sz val="10"/>
        <color rgb="FF000000"/>
        <rFont val="Arial Narrow"/>
        <family val="2"/>
      </rPr>
      <t>1.-</t>
    </r>
    <r>
      <rPr>
        <sz val="10"/>
        <color rgb="FF000000"/>
        <rFont val="Arial Narrow"/>
        <family val="2"/>
      </rPr>
      <t xml:space="preserve"> Generar insumos de programas y/o proyectos con la sociedad para la planificación anual de la Dirección de Vinculación.</t>
    </r>
  </si>
  <si>
    <t>Insumos de programas de proyectos y/o programas de vinculación con la sociedad generados.</t>
  </si>
  <si>
    <t>N° de planes de gestión de programas y/o proyectos de vinculación con la sociedad para la planificación anual de la Dirección de Vinculación generados.</t>
  </si>
  <si>
    <t>1.- Revisar los resultados de proyectos ejecutados el año anterior.
2.- Consolidar la información discriminada.
3.- Determinar las estrategias a seguir para la planificación anual del siguiente año.
4.- Elaborar la planificación de la Unidad de Gestión de Programas y Proyectos como insumo para la planificación de Dirección.</t>
  </si>
  <si>
    <t>1.- Planificación de la Unidad de Gestión de Programas y proyectos.</t>
  </si>
  <si>
    <t>* María Alexandra Roldán Monge,
  Analista de Vinculación con la Sociedad
* Diana Carolina Reinoso Miranda,
  Analista de Seguimiento a Graduados</t>
  </si>
  <si>
    <t>DPLAN: Se modifican parcialmente los egresos en las partidas 840103 y 840107 por superar el 20% del máximo disponible para egresos en el grupo 84 del Clasificador Presupuestario; la necesidad debe gestionarse el próximo año con la DTIC y DADM; y/o, reprogramar los recursos en caso de ser necesario por efectos del seguimiento presupuestario.</t>
  </si>
  <si>
    <r>
      <rPr>
        <b/>
        <sz val="10"/>
        <color rgb="FF000000"/>
        <rFont val="Arial Narrow"/>
        <family val="2"/>
      </rPr>
      <t>2.-</t>
    </r>
    <r>
      <rPr>
        <sz val="10"/>
        <color rgb="FF000000"/>
        <rFont val="Arial Narrow"/>
        <family val="2"/>
      </rPr>
      <t xml:space="preserve"> Coordinar el proceso de planificación, ejecución, monitoreo y evaluación de programas y/o proyectos de vinculación con la sociedad.</t>
    </r>
  </si>
  <si>
    <t>Proceso de planificación, ejecución, monitoreo y evaluación de programas y/o proyectos de vinculación con la sociedad, coordinado.</t>
  </si>
  <si>
    <t>N° de proceso de planificación, ejecución, monitoreo y/o evaluación de programas y/o proyectos de vinculación con la sociedad, coordinados.</t>
  </si>
  <si>
    <t>1.- Coordinar proceso de revisión de propuestas de proyectos.
2.- Coordinar el proceso de aprobación de proyectos.
3.- Preparar insumos para inducciones de acompañamiento docente.
4.- Acompañar en sesiones de trabajo virtuales y/o presenciales con maestros para el proceso de carga y control de fuentes de información de proyectos.
5.- Efectuar carga masiva y/o manual de información de proyectos de vinculación en el sistema SIUTMACH y SIIES del Consejo de Aseguramiento de la Calidad de la Educación Superior.
6.- Coordinar el proceso de evaluación de resultados de proyectos.</t>
  </si>
  <si>
    <t>1.- Resoluciones de proyectos aprobados por Consejo Universitario. 
2.- Reporte de asistencia a reuniones en plataforma zoom y presenciales.
3.- Informes de avance de proyectos.
4.- Propuestas y/o Informes de evaluación de proyectos. 
5.- Reporte SIIES.</t>
  </si>
  <si>
    <t>DPLAN: Se prescinde de la planificación de egresos en la partida 530829, por cuanto estas necesidades para investigación formativa, como parte de la función sustantiva de vinculación, están programadas por las facultades en el programa presupuestario 83.</t>
  </si>
  <si>
    <t>45220.00.5</t>
  </si>
  <si>
    <t>Computadores portátiles Core i7</t>
  </si>
  <si>
    <t>ADQUISICIÓN DE SIMULADORES Y MASCARILLA PARA LACTANCIA MATERNA - DVIN</t>
  </si>
  <si>
    <t>Cuerdas 4 metros (para gimnasia niños/as)</t>
  </si>
  <si>
    <t>Balón de fútbol tamaño 5</t>
  </si>
  <si>
    <t>Set de pelotas plásticas 8 cm</t>
  </si>
  <si>
    <t>Conos 12 pulgadas</t>
  </si>
  <si>
    <t>Balón de basket</t>
  </si>
  <si>
    <r>
      <rPr>
        <b/>
        <sz val="10"/>
        <color rgb="FF000000"/>
        <rFont val="Arial Narrow"/>
        <family val="2"/>
      </rPr>
      <t>3.-</t>
    </r>
    <r>
      <rPr>
        <sz val="10"/>
        <color rgb="FF000000"/>
        <rFont val="Arial Narrow"/>
        <family val="2"/>
      </rPr>
      <t xml:space="preserve"> Ejecutar las jornadas y/o eventos de socialización derivados de la ejecución de los programas y/o proyectos de vinculación con la sociedad.</t>
    </r>
  </si>
  <si>
    <t>Jornadas y/o eventos de socialización derivados de la ejecución de los programas y/o proyectos de vinculación con la sociedad, ejecutados.</t>
  </si>
  <si>
    <t>N° de jornadas y/o eventos de socialización derivados de la ejecución de los programas y proyectos sociales, ejecutados.</t>
  </si>
  <si>
    <t>1.- Elaborar convocatoria para desarrollo del evento.
2.- Desarrollar, ejecutar y socializar la hoja ruta.
3.- Revisar referencialmente los manuscritos presentados para evento de Jornadas académicas Vinculación, Investigación y Bienestar Universitario.
4.- Activar de salas zoom para evento y demás actividades pertinentes.
5.- Desarrollar del evento (noviembre).</t>
  </si>
  <si>
    <r>
      <t xml:space="preserve">1.- Convocatoria aprobada de evento de socialización.
2.- Hoja ruta de actividades a desarrollar.
3.- Matriz resumen de  </t>
    </r>
    <r>
      <rPr>
        <sz val="10"/>
        <color rgb="FFFF0000"/>
        <rFont val="Arial Narrow"/>
        <family val="2"/>
      </rPr>
      <t>trabajos</t>
    </r>
    <r>
      <rPr>
        <sz val="10"/>
        <color theme="1"/>
        <rFont val="Arial Narrow"/>
        <family val="2"/>
      </rPr>
      <t xml:space="preserve"> revisados.
4.- Reporte de asistencia zoom del evento
publicaciones y arte del evento.
5.- Arte y logos del evento.</t>
    </r>
  </si>
  <si>
    <t>* Katerine Bethsabé Guevara Correa,
  Jefe de Prácticas Preprofesionales, Pasantías y Seguimiento a Graduados
* Alexandra Patricia Alvarado Campoverde,
  Analista de Cooperación
* Adela De Jesús Oviedo Guerrero,
  Analista de Prácticas Preprofesionales
* Gloria Elizabeth Yangua Jaramillo,
  Analista de Ummog
* María Alexandra Roldán Monge,
  Analista de Vinculación con la Sociedad
* Diana Carolina Reinoso Miranda,
  Analista de Seguimiento a Graduados</t>
  </si>
  <si>
    <r>
      <rPr>
        <b/>
        <sz val="10"/>
        <color rgb="FF000000"/>
        <rFont val="Arial Narrow"/>
        <family val="2"/>
      </rPr>
      <t>4.-</t>
    </r>
    <r>
      <rPr>
        <sz val="10"/>
        <color rgb="FF000000"/>
        <rFont val="Arial Narrow"/>
        <family val="2"/>
      </rPr>
      <t xml:space="preserve"> Elaborar y/o actualizar las propuestas de instrumentos de gestión de proyectos sociales.</t>
    </r>
  </si>
  <si>
    <t>Propuestas de instrumentos de gestión de proyectos sociales, elaborados y/o actualizados.</t>
  </si>
  <si>
    <t>N° de propuestas de instrumentos de gestión de proyectos sociales, elaborados y/o actualizados.</t>
  </si>
  <si>
    <t>1.- Elaborar y/o actualizar las propuestas de instrumentos.
2.- Coordinar el proceso de revisión, socialización y aprobación de instrumentos.</t>
  </si>
  <si>
    <t>1.- Propuestas elaboradas y/o actualizadas de instrumentos y/o resolución de aprobación de instrumentos por Consejo Universitario.</t>
  </si>
  <si>
    <r>
      <rPr>
        <b/>
        <sz val="10"/>
        <color rgb="FF000000"/>
        <rFont val="Arial Narrow"/>
        <family val="2"/>
      </rPr>
      <t xml:space="preserve">5.- </t>
    </r>
    <r>
      <rPr>
        <sz val="10"/>
        <color rgb="FF000000"/>
        <rFont val="Arial Narrow"/>
        <family val="2"/>
      </rPr>
      <t>Coordinar y/o ejecutar eventos de capacitación y/o inducción en temas de gestión de proyectos sociales al estamento docente y/o estudiantil.</t>
    </r>
  </si>
  <si>
    <t>Eventos de capacitación y/o inducción en temas de gestión de proyectos sociales al estamento docente y/o estudiantil, coordinados y ejecutados.</t>
  </si>
  <si>
    <t>N° de eventos de capacitación y/o inducción en temas de gestión de proyectos sociales al estamento docente y/o estudiantil, coordinados y ejecutados.</t>
  </si>
  <si>
    <t>1.- Elaborar proyecto de capacitación con Educación Continua y/o Investigación.
2.- Coordinar difusión del evento.
3.- Entregar y poner en marcha el curso de capacitación en coordinación con la dependencia pertinente.
4.- Elaborar informe final de desarrollo del curso.</t>
  </si>
  <si>
    <t>1.- Proyecto de capacitación.
2.- Flyer de difusión.
3.- Registros de asistencia de profesores (estudiantes).
4.- Actas de calificaciones.
5.- Memoria fotográfica.
6.- Informe de finalización del curso.</t>
  </si>
  <si>
    <r>
      <rPr>
        <b/>
        <sz val="10"/>
        <color rgb="FF000000"/>
        <rFont val="Arial Narrow"/>
        <family val="2"/>
      </rPr>
      <t>6.-</t>
    </r>
    <r>
      <rPr>
        <sz val="10"/>
        <color rgb="FF000000"/>
        <rFont val="Arial Narrow"/>
        <family val="2"/>
      </rPr>
      <t xml:space="preserve"> Realizar asesorías al personal docente y estudiantil con relación a la gestión de programas y/o proyectos de vinculación.</t>
    </r>
  </si>
  <si>
    <t>Asesorías al personal docente y estudiantil con relación a la gestión de programas y/o proyectos de vinculación realizadas.</t>
  </si>
  <si>
    <t>N° de asesorías al personal docente y estudiantil con relación a la gestión de programas y/o proyectos de vinculación realizadas.</t>
  </si>
  <si>
    <t>1.- Atender los requerimientos y/o comunicaciones digitales y/o presenciales.
2.- Proceder con la revisión y/o elaboración de la información requerida.
3.- Registrar la atención en un medio físico o vía correo electrónico.</t>
  </si>
  <si>
    <r>
      <t xml:space="preserve">1.- Registro de asesorías y/o atención a usuarios internos y externos </t>
    </r>
    <r>
      <rPr>
        <sz val="10"/>
        <color rgb="FFFF0000"/>
        <rFont val="Arial Narrow"/>
        <family val="2"/>
      </rPr>
      <t>(digital y/o físico).</t>
    </r>
  </si>
  <si>
    <t>Constituye un proceso desarrollado durante todo el año, por esta razón se lo ha incluído en todos los cuatrimestres</t>
  </si>
  <si>
    <r>
      <rPr>
        <b/>
        <sz val="10"/>
        <color rgb="FF000000"/>
        <rFont val="Arial Narrow"/>
        <family val="2"/>
      </rPr>
      <t>7.-</t>
    </r>
    <r>
      <rPr>
        <sz val="10"/>
        <color rgb="FF000000"/>
        <rFont val="Arial Narrow"/>
        <family val="2"/>
      </rPr>
      <t xml:space="preserve"> Entregar la Planificación Operativa Anual y Evaluación de la Planificación Operativa Anual.</t>
    </r>
  </si>
  <si>
    <t>N° de Planificaciones Operativas Anuales y Evaluaciones de la Planificación Operativa Anual entregadas oportunamente.</t>
  </si>
  <si>
    <t>1.- Elaborar propuesta del plan operativo anual 2024 de la Unidad de Gestión de Proyectos.
2.- Cumplir las metas operativas planificadas.
3.- Elaborar de la evaluación del plan operativo anual 2023, preparar y cargar de medios de verificación en drive compartido para el efecto.</t>
  </si>
  <si>
    <r>
      <rPr>
        <b/>
        <sz val="10"/>
        <color rgb="FF000000"/>
        <rFont val="Arial Narrow"/>
        <family val="2"/>
      </rPr>
      <t>8.-</t>
    </r>
    <r>
      <rPr>
        <sz val="10"/>
        <color rgb="FF000000"/>
        <rFont val="Arial Narrow"/>
        <family val="2"/>
      </rPr>
      <t xml:space="preserve"> Organizar el Archivo de Gestión físico y/o digital de la Unidad.</t>
    </r>
  </si>
  <si>
    <t>N° de Archivos de gestión organizados.</t>
  </si>
  <si>
    <t>1.- Organizar el archivo digital de la Unidad de Gestión de Proyectos.
2.- Rotular carpetas digitales ordenadas por fecha y asunto.</t>
  </si>
  <si>
    <t>1.- Inventario Documental digital.</t>
  </si>
  <si>
    <t>Constituye un proceso desarrollado durante todo el año, por esta razón se lo ha incluido en todos los cuatrimestres</t>
  </si>
  <si>
    <t>TOTAL PRESUPUESTO ESTIMATIVO DE LA UNIDAD DE GESTIÓN DE PROGRAMAS Y PROYECTOS 2023:</t>
  </si>
  <si>
    <t>UNIDAD DE PRÁCTICAS, PASANTÍAS Y SEGUIMIENTO A GRADUADOS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</si>
  <si>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proceso de elaboración y/o actualización de instrumentos para el diseño, seguimiento y evaluación del componente de Pasantías, Prácticas Preprofesionales y Seguimiento a Graduados.</t>
    </r>
  </si>
  <si>
    <t>Propuestas de políticas, objetivos, lineamientos y/ o estrategias institucionales en el campo de pasantías, prácticas preprofesionales y seguimiento a graduados, emitidas y/ o actualizadas.</t>
  </si>
  <si>
    <t>N° de propuestas de instrumentos de planificación, ejecución, seguimiento y evaluación de pasantías, prácticas preprofesionales y seguimiento a graduados elaborados y/o actualizados.</t>
  </si>
  <si>
    <r>
      <t xml:space="preserve">1.- Revisar actualizaciones de normativa externa e institucional.
2.- Desarrollar reunión con colectivos docentes para identificar necesidades de actualización, ajustes y/o elaboración de propuestas.
</t>
    </r>
    <r>
      <rPr>
        <sz val="10"/>
        <color rgb="FFFF0000"/>
        <rFont val="Arial Narrow"/>
        <family val="2"/>
      </rPr>
      <t>3.- Elaborar propuesta y/o actualizaciones.</t>
    </r>
    <r>
      <rPr>
        <sz val="10"/>
        <color theme="1"/>
        <rFont val="Arial Narrow"/>
        <family val="2"/>
      </rPr>
      <t xml:space="preserve">
</t>
    </r>
    <r>
      <rPr>
        <sz val="10"/>
        <color rgb="FFFF0000"/>
        <rFont val="Arial Narrow"/>
        <family val="2"/>
      </rPr>
      <t>4.- Coordinar sesiones de trabajo con Autoridades Académicas de Facultades y/o delegados de Carreras.
5.- Socializar propuestas con instancias pertinentes involucradas en el proceso de gestión.</t>
    </r>
    <r>
      <rPr>
        <sz val="10"/>
        <color theme="1"/>
        <rFont val="Arial Narrow"/>
        <family val="2"/>
      </rPr>
      <t xml:space="preserve">
6.- Ajustar propuestas con base a aportes generados.
7.- Presentar ante Director de Vinculación, para el trámite regular pertinente.</t>
    </r>
  </si>
  <si>
    <t>1.- Propuesta de actualización y/o automatización de instrumentos de prácticas preprofesionales y seguimiento a graduados.</t>
  </si>
  <si>
    <t>* Katerine Guevara Correa,
  Jefe de Pasantías y Prácticas
* Adela Oviedo Guerrero,
  Analista de Pasantías y Prácticas
* Elizabeth Yangua Jaramillo,
  Analista de UMMOG,
  Responsable de Seguimiento a Graduados</t>
  </si>
  <si>
    <r>
      <rPr>
        <b/>
        <sz val="10"/>
        <color theme="1"/>
        <rFont val="Arial Narrow"/>
        <family val="2"/>
      </rPr>
      <t>2.-</t>
    </r>
    <r>
      <rPr>
        <sz val="10"/>
        <color theme="1"/>
        <rFont val="Arial Narrow"/>
        <family val="2"/>
      </rPr>
      <t xml:space="preserve"> Efectuar el monitoreo de los resultados o avances de procesos de prácticas preprofesionales, pasantías y seguimiento a graduados.</t>
    </r>
  </si>
  <si>
    <t>Monitoreo del proceso de prácticas preprofesionales y seguimiento a 
graduados, en conjunto con Subdecanos y Carreras efectuado.</t>
  </si>
  <si>
    <t>N° de reportes de monitoreo del proceso de prácticas preprofesionales y seguimiento a 
graduados, en conjunto con Subdecanos y Carreras efectuados.</t>
  </si>
  <si>
    <r>
      <t xml:space="preserve">1.- Capacitar y proveer a Carreras directrices e instrumentos vigentes.
2.- Proveer a Carreras insumos de requerimientos internos y externos de practicantes y/o pasantes.
</t>
    </r>
    <r>
      <rPr>
        <sz val="10"/>
        <color rgb="FFFF0000"/>
        <rFont val="Arial Narrow"/>
        <family val="2"/>
      </rPr>
      <t>3.- Revisar con base a plataforma los convenios vigentes.
4.- Acompañar o asistir a las Carreras en la formulación de los planes de prácticas.
5.- Solicitar los planes de prácticas preprofesionales de las Carreras aprobados por Consejo Directivo.
6.- Verificar nómina de docentes tutores responsables de supervisión y líneas operativas asignadas a estudiantes en los niveles priorizados para el desarrollo de prácticas preprofesionales.
7.- Generar reporte semestral consolidado de prácticas preprofesionales.
8.- Identificar alumni destacados para monitoreo.</t>
    </r>
  </si>
  <si>
    <t>1.- Reporte semestral de gestión, monitoreo y/o supervisión de prácticas pre profesionales y/o de gestión de seguimiento a graduados coordinados con Carreras.</t>
  </si>
  <si>
    <r>
      <rPr>
        <b/>
        <sz val="10"/>
        <color theme="1"/>
        <rFont val="Arial Narrow"/>
        <family val="2"/>
      </rPr>
      <t>3.-</t>
    </r>
    <r>
      <rPr>
        <b/>
        <sz val="10"/>
        <color theme="1"/>
        <rFont val="Arial Narrow"/>
        <family val="2"/>
      </rPr>
      <t xml:space="preserve"> </t>
    </r>
    <r>
      <rPr>
        <sz val="10"/>
        <color theme="1"/>
        <rFont val="Arial Narrow"/>
        <family val="2"/>
      </rPr>
      <t>Realizar capacitaciones con relación a los procesos de gestión de pasantías, prácticas preprofesionales y seguimiento a graduados.</t>
    </r>
  </si>
  <si>
    <t>Capacitaciones con relación a los procesos de gestión de pasantías, 
prácticas preprofesionales y seguimiento a graduados, efectuadas.</t>
  </si>
  <si>
    <t>N° de eventos de capacitación y/o inducción en temas de gestión de pasantías, prácticas preprofesionales y seguimiento a graduados organizados.</t>
  </si>
  <si>
    <r>
      <t xml:space="preserve">1.- Determinar las necesidades de capacitación del personal académico y/o los ALUMNI UTMACH según los componentes de la Unidad.
2.- Priorizar las temáticas de capacitación.
3.- Identificamos perfiles de capacitadores </t>
    </r>
    <r>
      <rPr>
        <sz val="10"/>
        <color rgb="FFFF0000"/>
        <rFont val="Arial Narrow"/>
        <family val="2"/>
      </rPr>
      <t>internos o externos según las temáticas priorizadas.</t>
    </r>
    <r>
      <rPr>
        <sz val="10"/>
        <color theme="1"/>
        <rFont val="Arial Narrow"/>
        <family val="2"/>
      </rPr>
      <t xml:space="preserve">
4.- Revisar las propuestas de capacitación </t>
    </r>
    <r>
      <rPr>
        <sz val="10"/>
        <color rgb="FFFF0000"/>
        <rFont val="Arial Narrow"/>
        <family val="2"/>
      </rPr>
      <t>o material de inducción</t>
    </r>
    <r>
      <rPr>
        <sz val="10"/>
        <color theme="1"/>
        <rFont val="Arial Narrow"/>
        <family val="2"/>
      </rPr>
      <t xml:space="preserve">.
5.- Efectuar gestiones para pagos </t>
    </r>
    <r>
      <rPr>
        <sz val="10"/>
        <color rgb="FFFF0000"/>
        <rFont val="Arial Narrow"/>
        <family val="2"/>
      </rPr>
      <t>en caso de capacitadores remunerados.</t>
    </r>
    <r>
      <rPr>
        <sz val="10"/>
        <color theme="1"/>
        <rFont val="Arial Narrow"/>
        <family val="2"/>
      </rPr>
      <t xml:space="preserve">
6.- Generar convocatoria a capacitaciones.
7.- Coordinar con las instancias pertinentes el proceso de registro y ejecución </t>
    </r>
    <r>
      <rPr>
        <sz val="10"/>
        <color rgb="FFFF0000"/>
        <rFont val="Arial Narrow"/>
        <family val="2"/>
      </rPr>
      <t>de capacitaciones o inducciones.</t>
    </r>
  </si>
  <si>
    <r>
      <t xml:space="preserve">1.- Proyecto </t>
    </r>
    <r>
      <rPr>
        <sz val="10"/>
        <color rgb="FFFF0000"/>
        <rFont val="Arial Narrow"/>
        <family val="2"/>
      </rPr>
      <t xml:space="preserve">o material </t>
    </r>
    <r>
      <rPr>
        <sz val="10"/>
        <color theme="1"/>
        <rFont val="Arial Narrow"/>
        <family val="2"/>
      </rPr>
      <t xml:space="preserve">de capacitación </t>
    </r>
    <r>
      <rPr>
        <sz val="10"/>
        <color rgb="FFFF0000"/>
        <rFont val="Arial Narrow"/>
        <family val="2"/>
      </rPr>
      <t>y/o inducción.</t>
    </r>
    <r>
      <rPr>
        <sz val="10"/>
        <color theme="1"/>
        <rFont val="Arial Narrow"/>
        <family val="2"/>
      </rPr>
      <t xml:space="preserve">
2.- Evidencias de medios de difusión.
3.- Registros y/o reportes de </t>
    </r>
    <r>
      <rPr>
        <sz val="10"/>
        <color rgb="FFFF0000"/>
        <rFont val="Arial Narrow"/>
        <family val="2"/>
      </rPr>
      <t xml:space="preserve">participación o asistencia. </t>
    </r>
    <r>
      <rPr>
        <sz val="10"/>
        <color theme="1"/>
        <rFont val="Arial Narrow"/>
        <family val="2"/>
      </rPr>
      <t xml:space="preserve">
4.- Memoria fotográfica.
6.- Informe de finalización y/o gestión de capacitaciones.</t>
    </r>
  </si>
  <si>
    <t>DPLAN: Se registran dos necesidades de procesos de capacitación; los mismos que deberán articularse a las políticas de plan de perfeccionamiento y/o educación continua.</t>
  </si>
  <si>
    <r>
      <rPr>
        <b/>
        <sz val="10"/>
        <color theme="1"/>
        <rFont val="Arial Narrow"/>
        <family val="2"/>
      </rPr>
      <t>4.-</t>
    </r>
    <r>
      <rPr>
        <b/>
        <sz val="10"/>
        <color theme="1"/>
        <rFont val="Arial Narrow"/>
        <family val="2"/>
      </rPr>
      <t xml:space="preserve"> </t>
    </r>
    <r>
      <rPr>
        <sz val="10"/>
        <color theme="1"/>
        <rFont val="Arial Narrow"/>
        <family val="2"/>
      </rPr>
      <t>Evaluar los resultados del proceso de seguimiento del proceso de pasantías, prácticas preprofesionales y seguimiento a graduados de las carreras.</t>
    </r>
  </si>
  <si>
    <t>Resultados del proceso de seguimiento del proceso de pasantías, prácticas preprofesionales y Seguimiento a Graduados de las carreras, evaluados.</t>
  </si>
  <si>
    <t>N° de resultados del seguimiento a los procesos de pasantías, prácticas preprofesionales y seguimiento a graduados de las carreras, evaluados.</t>
  </si>
  <si>
    <r>
      <t xml:space="preserve">1.- Revisar información contenida en reporte consolidado de prácticas preprofesionales.
2.- Efectuar visitas mediante muestra aleatoria a escenarios de prácticas </t>
    </r>
    <r>
      <rPr>
        <sz val="10"/>
        <color rgb="FFFF0000"/>
        <rFont val="Arial Narrow"/>
        <family val="2"/>
      </rPr>
      <t>y/o pasantías.</t>
    </r>
    <r>
      <rPr>
        <sz val="10"/>
        <color theme="1"/>
        <rFont val="Arial Narrow"/>
        <family val="2"/>
      </rPr>
      <t xml:space="preserve">
3.- Desarrollar mesa de trabajo con contrapartes.
4.- Revisar informes y/o reportes de seguimiento a graduados de Carreras.
5.- Verificar uso de convenios de prácticas pre profesionales vigentes.
6.- Elaborar informe de gestión y resultados.
7.- Remitir Informe ante Director, para los fines pertinentes.</t>
    </r>
  </si>
  <si>
    <t>1.- Informe de gestión y/o resultados del proceso de prácticas preprofesionales de la Universidad Técnica de Machala.
2.- Informe institucional de seguimiento a graduados.</t>
  </si>
  <si>
    <r>
      <rPr>
        <b/>
        <sz val="10"/>
        <color theme="1"/>
        <rFont val="Arial Narrow"/>
        <family val="2"/>
      </rPr>
      <t>5.-</t>
    </r>
    <r>
      <rPr>
        <b/>
        <sz val="10"/>
        <color theme="1"/>
        <rFont val="Arial Narrow"/>
        <family val="2"/>
      </rPr>
      <t xml:space="preserve"> </t>
    </r>
    <r>
      <rPr>
        <sz val="10"/>
        <color theme="1"/>
        <rFont val="Arial Narrow"/>
        <family val="2"/>
      </rPr>
      <t>Coordinar procesos de seguimiento a graduados e inserción laboral.</t>
    </r>
  </si>
  <si>
    <t>Procesos de seguimiento a graduados e inserción laboral, coordinados.</t>
  </si>
  <si>
    <t>N° de procesos de seguimiento a graduados e inserción laboral, coordinados.</t>
  </si>
  <si>
    <t>1.- Revisar información e insumos de gestión de Seguimiento a Graduados de Carreras.
2.- Coordinar actividades con el colectivo docente para la ejecución de lo planteado en los planes de mejoras de Carreras.
3.- Coordinar con usuarios externos e instancias correspondientes los requerimientos de inserción laboral.
4.- Coordinar con D. TIC's, el mejoramiento de los espacios del seguimiento a graduados en la plataforma.
5.- Acompañar a Carreras en procesos de evaluación.
6.- Sistematizar CV de Alumnis para proveer a empleadores requirentes.</t>
  </si>
  <si>
    <t>1.- Reporte de planes de mejora de Carreras presentados.
2.- Registro y/o reportes de asistencia de las sesiones coordinadas.
3.- Matriz de empleadores requirentes atendidos.</t>
  </si>
  <si>
    <t>* Katerine Guevara Correa,
  Jefe de Pasantías y Prácticas
* Elizabeth Yangua Jaramillo,
  Analista de UMMOG,
  Responsable de Seguimiento a Graduados</t>
  </si>
  <si>
    <t>3. Fortalecer la bolsa de empleo de la UTMACH mediante el establecimiento de alianzas estratégicas con el sector público - privado.</t>
  </si>
  <si>
    <r>
      <rPr>
        <b/>
        <sz val="10"/>
        <color theme="1"/>
        <rFont val="Arial Narrow"/>
        <family val="2"/>
      </rPr>
      <t>6.-</t>
    </r>
    <r>
      <rPr>
        <b/>
        <sz val="10"/>
        <color theme="1"/>
        <rFont val="Arial Narrow"/>
        <family val="2"/>
      </rPr>
      <t xml:space="preserve"> </t>
    </r>
    <r>
      <rPr>
        <sz val="10"/>
        <color theme="1"/>
        <rFont val="Arial Narrow"/>
        <family val="2"/>
      </rPr>
      <t>Establecer estrategias para la gestión de la bolsa de empleo institucional.</t>
    </r>
  </si>
  <si>
    <t>Estrategias para la gestión de la bolsa de empleo institucional, establecidas.</t>
  </si>
  <si>
    <t>N° de estrategias para la gestión de la bolsa de empleo institucional, establecidas.</t>
  </si>
  <si>
    <r>
      <t xml:space="preserve">1.- Coordinar con personal del Vicerrectorado de Investigación, Vinculación y Posgrado, y demás instancias pertinentes priorizaciones respecto de mejoras en plataformas informáticas del seguimiento a graduados e inserción laboral.
2.- Participar en eventos, sesiones de trabajo, talleres con RENSEG y/o redes universitarias, inherentes al seguimiento a graduados e inserción laboral.
3.- Coordinar con Carreras levantamiento de propuestas para el desarrollo de Feria de Empleo UTMACH.
4.- Coordinar con Carreras la organización de encuentros de graduados de las Carreras.
5.- Gestionar la </t>
    </r>
    <r>
      <rPr>
        <sz val="10"/>
        <color rgb="FFFF0000"/>
        <rFont val="Arial Narrow"/>
        <family val="2"/>
      </rPr>
      <t>provisión de</t>
    </r>
    <r>
      <rPr>
        <sz val="10"/>
        <color theme="1"/>
        <rFont val="Arial Narrow"/>
        <family val="2"/>
      </rPr>
      <t xml:space="preserve"> asesoría de especialistas en temas de empleabilidad a graduados.</t>
    </r>
  </si>
  <si>
    <t>1.- Propuesta de hoja de rutas para visitas institucionales a IES.
2.- Registros y/o reportes de asistencia a convocatorias efectuadas por RENSEG.
3.- Comunicaciones derivadas a Carreras para programar eventos inherentes a seguimiento a graduados e inserción laboral.
4.- Comunicaciones derivadas ante las instancias pertinentes para requerimientos de asesoría.</t>
  </si>
  <si>
    <r>
      <rPr>
        <b/>
        <sz val="10"/>
        <color theme="1"/>
        <rFont val="Arial Narrow"/>
        <family val="2"/>
      </rPr>
      <t>7.-</t>
    </r>
    <r>
      <rPr>
        <sz val="10"/>
        <color theme="1"/>
        <rFont val="Arial Narrow"/>
        <family val="2"/>
      </rPr>
      <t xml:space="preserve"> Presentar Planificación Operativa Anual y Evaluación de la Planificación Operativa Anual.</t>
    </r>
  </si>
  <si>
    <t>1.- Elaborar propuesta de la planificación operativa anual subsiguiente de la Unidad de Prácticas, Pasantías y Seguimiento a Graduados.
2.- Cumplir las metas operativas del plan operativo anual vigente.
3.- Ejecutar la evaluación del plan operativo anual.
4.- Elaborar y cargar los medios de verificación según las directrices de la Dirección de Planificación.</t>
  </si>
  <si>
    <t>1.- Propuesta de POA 2024.
2.- Evaluación del POA 2023.</t>
  </si>
  <si>
    <r>
      <rPr>
        <b/>
        <sz val="10"/>
        <color theme="1"/>
        <rFont val="Arial Narrow"/>
        <family val="2"/>
      </rPr>
      <t>8.-</t>
    </r>
    <r>
      <rPr>
        <sz val="10"/>
        <color theme="1"/>
        <rFont val="Arial Narrow"/>
        <family val="2"/>
      </rPr>
      <t xml:space="preserve"> Organizar el Archivo de Gestión físico y/o digital de la Unidad.</t>
    </r>
  </si>
  <si>
    <t>1.- Receptar y revisar documentación física y/o digital derivada para atención de la UPPSG.
2.- Coordinar la atención de los requerimientos.
3.- Efectuar descargo de documentación física y/o digital.</t>
  </si>
  <si>
    <t>TOTAL PRESUPUESTO ESTIMATIVO DE LA UNIDAD DE PRÁCTICAS, PASANTÍAS Y SEGUIMIENTO A GRADUADOS 2023:</t>
  </si>
  <si>
    <t>UNIDAD DE MOVILIDAD Y RELACIONES INTERINSTITUCIONALES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</si>
  <si>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la definición del proceso de Cooperación Interinstitucional y Movilidad planteadas en conjunto con las unidades administrativas y/o facultades coordinada.</t>
    </r>
  </si>
  <si>
    <t>Propuestas de políticas, lineamientos, instrumentos y/ o estrategias en concordancia con los objetivos institucionales en el campo de la movilidad académica, cooperación y relaciones interinstitucionales, elaboradas.</t>
  </si>
  <si>
    <t>N° de propuestas de políticas, lineamientos, instrumentos y/o estrategias en el campo de la movilidad académica, cooperación y relaciones interinstitucionales, presentadas.</t>
  </si>
  <si>
    <t>1.- Revisar normativas internacionales o nacionales relacionadas movilidad académica, cooperación y relaciones interinstitucionales.
2.- Sistematizar lineamientos bases para formular propuestas de políticas, lineamientos, instrumentos y/o estrategias.
3.- Socializar los procesos de cooperación interinstitucional.
4.- Poner a conocimiento de la Dirección las propuestas de políticas, lineamientos, instrumentos y/o estrategias.</t>
  </si>
  <si>
    <t>1.- Documento de propuestas de políticas, lineamientos, instrumentos y/o estrategias.</t>
  </si>
  <si>
    <t>* Anita Moscoso,
  Directora
* Alexandra Alvarado  Campoverde,
  Analista de Cooperación Interinstitucional</t>
  </si>
  <si>
    <r>
      <rPr>
        <b/>
        <sz val="10"/>
        <color theme="1"/>
        <rFont val="Arial Narrow"/>
        <family val="2"/>
      </rPr>
      <t>2.-</t>
    </r>
    <r>
      <rPr>
        <sz val="10"/>
        <color theme="1"/>
        <rFont val="Arial Narrow"/>
        <family val="2"/>
      </rPr>
      <t xml:space="preserve"> Orientar el levantamiento de estudios de pertinencia que evidencien las necesidades institucionales para el establecimiento de alianzas de cooperación interinstitucional.</t>
    </r>
  </si>
  <si>
    <t>Proceso de levantamiento de estudios de pertinencia que evidencien las necesidades institucionales para el establecimiento de alianzas de cooperación interinstitucional, coordinado.</t>
  </si>
  <si>
    <t>N° de informes técnicos previo a suscripción de convenios con base a los estudios de pertinencia realizados por las instancias pertinentes.</t>
  </si>
  <si>
    <t>1.- Atender consultas relacionadas sobre los procesos de cooperación interinstitucional a instituciones externas (nacionales e internacionales), docentes y estudiantes.
2.- Identificar las necesidades de convenio en los estudio de pertinencia.
3.- Establecer sesiones de trabajo con las carreras para determinar el ámbito y responsabilidad declaradas en el convenio.
4- Consensuar acuerdos de cooperación con la contraparte.
5.- Orientar sobre el proceso y requisitos que deben cumplir.
6.- Revisar las propuestas de convenios y habilitantes enviados desde las carreras.
7.- Solicitar criterio legal de propuestas de convenio.
8.- Gestionar la suscripción de convenios en función en función de la línea operativa, en el caso que se declare presupuesto, se deberá solicitar a financiero la disponibilidad presupuestaria y posterior enviar ante Consejo Universitario para su aprobación.</t>
  </si>
  <si>
    <t>1.- Matriz de entrega de informes técnicos para la suscripción de convenios.</t>
  </si>
  <si>
    <r>
      <rPr>
        <b/>
        <sz val="10"/>
        <color rgb="FF000000"/>
        <rFont val="Arial Narrow"/>
        <family val="2"/>
      </rPr>
      <t>3.-</t>
    </r>
    <r>
      <rPr>
        <sz val="10"/>
        <color rgb="FF000000"/>
        <rFont val="Arial Narrow"/>
        <family val="2"/>
      </rPr>
      <t xml:space="preserve"> Presentar los insumos para la planificación de la Dirección de Vinculación en el ámbito de la Movilidad y Relaciones Interinstitucionales.</t>
    </r>
  </si>
  <si>
    <t xml:space="preserve">Levantamiento de insumos para la elaboración de la planificación anual
de la Dirección de Vinculación emitidos. </t>
  </si>
  <si>
    <t>N° de insumos para la planificación de la Dirección de Vinculación en el ámbito de la Movilidad y Relaciones Interinstitucionales, presentados.</t>
  </si>
  <si>
    <t>1.- Identificar los requerimientos internos y externos relacionados a la Movilidad y Relaciones Interinstitucionales.
2.- Revisar matriz de convenios vigentes tanto nacionales e internacionales.
3.- Solicitar a las carreras y dependencias las actividades a realizar en el año con base a convenios vigentes.
4.- Revisar las convocatorias nacionales e internacionales de financiamiento para programas de movilidad estudiantil.
5.- Establecer contactos con organismos nacionales e internacionales para intención y definición de estrategias promoviendo la cooperación interinstitucional.
6.- Generar un reporte de los insumos que permitan aportar a la planificación de la Dirección de Vinculación en el ámbito de la Movilidad y Relaciones Interinstitucionales.</t>
  </si>
  <si>
    <t>1.- Reporte de insumos para la planificación de la Dirección de Vinculación, presentado.</t>
  </si>
  <si>
    <r>
      <rPr>
        <b/>
        <sz val="10"/>
        <color theme="1"/>
        <rFont val="Arial Narrow"/>
        <family val="2"/>
      </rPr>
      <t xml:space="preserve">4.- </t>
    </r>
    <r>
      <rPr>
        <sz val="10"/>
        <color theme="1"/>
        <rFont val="Arial Narrow"/>
        <family val="2"/>
      </rPr>
      <t>Organizar acciones para el establecimiento y actualización de la base de datos de nexos con organismos e instituciones públicas, privadas, nacionales e internacionales.</t>
    </r>
  </si>
  <si>
    <t>Acciones para el establecimiento y actualización de la base de datos de nexos con organismos e instituciones públicas, privadas, nacionales e internacionales; organizadas.</t>
  </si>
  <si>
    <t>N° de acciones realizadas para la actualización de la base de datos de nexos con organismos e instituciones públicas, privadas, nacionales e internacionales.</t>
  </si>
  <si>
    <t>1.- Revisar los datos de contacto registrados en convenios firmados.
2.- Revisar documentos habilitantes en los cuales constan medios de contacto.
3.- Ingresar los datos en la plataforma de cooperación interinstitucional.
4.- Generar reporte de ésta plataforma y difundir la base de datos a profesores, estudiantes y personal administrativo.</t>
  </si>
  <si>
    <t>1.- Matriz de la base de datos de socios estratégicos y cooperantes.</t>
  </si>
  <si>
    <r>
      <rPr>
        <b/>
        <sz val="10"/>
        <color rgb="FF000000"/>
        <rFont val="Arial Narrow"/>
        <family val="2"/>
      </rPr>
      <t>5.-</t>
    </r>
    <r>
      <rPr>
        <sz val="10"/>
        <color rgb="FF000000"/>
        <rFont val="Arial Narrow"/>
        <family val="2"/>
      </rPr>
      <t xml:space="preserve"> Gestionar las dependencias involucradas la participación institucional en espacios relevantes, de cooperación nacional e internacional.</t>
    </r>
  </si>
  <si>
    <t>Participación institucional en espacios relevantes, de cooperación nacional e internacional, coordinada.</t>
  </si>
  <si>
    <t>N° de Participaciones institucionales en espacios relevantes, de cooperación nacional e internacional, coordinadas.</t>
  </si>
  <si>
    <t>1.- Registrar los requerimientos de asesoría y reuniones de trabajo por parte de usuarios internos y externos mediante la agenda diaria de actividades.
2.- Analizar la información del evento de cooperación nacional e internacional.
3.- Establecer contacto con los organizadores del evento para reunión de trabajo previo a la confirmación de participación.
4.- Realizar seguimiento a los acuerdos establecidos.
5.- Asistir a los eventos de cooperación (investigación, educación continua, vinculación y otros) nacional e internacional.
6.- Entregar informes de participación en eventos.
7.- Propiciar alianzas de cooperación siempre y cuando se determine beneficio común y colaborativo para las instituciones.</t>
  </si>
  <si>
    <t>1.- Reporte de evento/s de cooperación nacional e internacional, coordinados.
2.- Registros de asistencia a evento/s de cooperación nacional e internacional, coordinados.</t>
  </si>
  <si>
    <t xml:space="preserve">Pasajes al Exterior </t>
  </si>
  <si>
    <t>66110</t>
  </si>
  <si>
    <t>Pasajes áreas para estudiantes universitarios en base a los compromisos asumidos por convenios y membresías</t>
  </si>
  <si>
    <t>Membrecía AIESEC</t>
  </si>
  <si>
    <t>Membrecía OUI</t>
  </si>
  <si>
    <r>
      <rPr>
        <b/>
        <sz val="10"/>
        <color rgb="FF000000"/>
        <rFont val="Arial Narrow"/>
        <family val="2"/>
      </rPr>
      <t>6.-</t>
    </r>
    <r>
      <rPr>
        <sz val="10"/>
        <color rgb="FF000000"/>
        <rFont val="Arial Narrow"/>
        <family val="2"/>
      </rPr>
      <t xml:space="preserve"> Efectuar el seguimiento con las instancias pertinentes, a los captación de fondos externos, que fortalezcan la planificación y de la vinculación social. </t>
    </r>
  </si>
  <si>
    <t>Seguimiento a los procesos de captación de fondos externos, que fortalezcan la planificación y la gestión de la vinculación social coordinados.</t>
  </si>
  <si>
    <t>N° de Seguimiento a los procesos de captación de fondos externos, efectuados.</t>
  </si>
  <si>
    <t>1.- Monitorear las páginas oficiales de los organismos de cooperación,embajadas y demás instituciones que financian proyectos de vinculación e investigación.
2.- Presentar un reporte de convocatorias y bases de postulación para ser socializadas a los docentes de acuerdo al área de conocimiento.
3.- Emitir los informes solicitados por la Dirección y por el Vicerrectorado de Investigación, Vinculación y Posgrado.
4.- Acompañar en la gestión para el levantamiento de documentos que constan como requisitos para la presentación del/los proyectos institucionales a los organismos de cooperación, embajadas y demás instituciones que financian proyectos de vinculación e investigación.
5.- Gestionar ante las instancias administrativas, legales, académicas correspondientes la viabilidad para la ejecución procesos 
de captación de fondos externos.
6.- Solicitar informes de cumplimiento de las actividades, y consolidar la información para la presentación de reportes de seguimiento ante la Dirección de vinculación y el Vicerrectorado de Investigación, Vinculación y Posgrado.</t>
  </si>
  <si>
    <t>1.- Informe de evidencias sobre el seguimiento para los procesos de captación de fondos externos, efectuado.
2.- Correos electrónicos de entrega evidencias y productos.</t>
  </si>
  <si>
    <r>
      <rPr>
        <b/>
        <sz val="10"/>
        <color theme="1"/>
        <rFont val="Arial Narrow"/>
        <family val="2"/>
      </rPr>
      <t>7.-</t>
    </r>
    <r>
      <rPr>
        <sz val="10"/>
        <color theme="1"/>
        <rFont val="Arial Narrow"/>
        <family val="2"/>
      </rPr>
      <t xml:space="preserve"> Programar y difundir los resultados de las experiencias de cooperación, movilidad y de relaciones interinstitucionales.</t>
    </r>
  </si>
  <si>
    <t>Socialización de los resultados de las experiencias de cooperación,
movilidad y de relaciones interinstitucionales, ejecutada.</t>
  </si>
  <si>
    <t>N° de jornadas realizadas para la socialización de los resultados de experiencias de cooperación, movilidad y de relaciones interinstitucionales.</t>
  </si>
  <si>
    <t>1.- Revisar convenios de cooperación nacionales e internacionales vigentes.
2.- Revisar los programas y proyectos en movilidad académica de las universidades cooperantes.
3.- Notificar a los docentes y estudiantes sobre los programas que existen.
4.- Realizar la divulgación de resultados de las experiencias de cooperación, movilidad y de relaciones interinstitucionales a docentes y estudiantes participantes en procesos de movilidad académica internacional a través de los diferentes medios comunicaciones de la UTMACH.</t>
  </si>
  <si>
    <t>1.- Reporte de los resultados de las experiencias de cooperación, movilidad y de relaciones interinstitucionales, divulgadas.</t>
  </si>
  <si>
    <t>3. Impulsar las formas de movilidad estudiantil hacia otras IES, instituciones productivas, organismos de estado a nivel internacional.</t>
  </si>
  <si>
    <r>
      <rPr>
        <b/>
        <sz val="10"/>
        <color rgb="FF000000"/>
        <rFont val="Arial Narrow"/>
        <family val="2"/>
      </rPr>
      <t>8.-</t>
    </r>
    <r>
      <rPr>
        <sz val="10"/>
        <color rgb="FF000000"/>
        <rFont val="Arial Narrow"/>
        <family val="2"/>
      </rPr>
      <t xml:space="preserve"> Consensuar con las instancias pertinentes, el establecimiento para la participación en programas de intercambio estudiantil nacional e internacional, en los que se convalidan y homologan estudios por medio de convenios vigentes y/ o adhesión a redes académicas nacionales e internacionales. </t>
    </r>
  </si>
  <si>
    <t>Participación en programas de intercambio estudiantil, coordinados y efectuados.</t>
  </si>
  <si>
    <t>N° de participación en programas de intercambio estudiantil.</t>
  </si>
  <si>
    <t>1.- Revisar convenios de cooperación nacionales e internacionales vigentes.
2.- Revisar los programas y proyectos en movilidad académica de las universidades cooperantes.
3.- Monitorear las convocatorias de becas para programas de movilidad internacional.
4.- Gestionar la suscripción de convenios para la movilidad estudiantil internacional.
5.- Realizar la difusión de la catálogo de oportunidades de movilidad a los estudiantes y docentes.
6.- Revisar perfiles de estudiantes interesados en participar en los programas de movilidad.
7.- Acompañar a los estudiantes en su proceso de postulación en los programas de movilidad.
8.- Gestionar ante las dependencias los permisos correspondientes e informes académicos previo a la salida de los estudiantes.</t>
  </si>
  <si>
    <t>1.- Convenios suscritos para la participación en programas de intercambio estudiantil, gestionados.
2.- Reporte de estudiantes que aplicaron a programa de intercambio estudiantil.</t>
  </si>
  <si>
    <r>
      <rPr>
        <b/>
        <sz val="10"/>
        <color theme="1"/>
        <rFont val="Arial Narrow"/>
        <family val="2"/>
      </rPr>
      <t>9.-</t>
    </r>
    <r>
      <rPr>
        <sz val="10"/>
        <color theme="1"/>
        <rFont val="Arial Narrow"/>
        <family val="2"/>
      </rPr>
      <t xml:space="preserve"> Emitir informes de pertinencia relacionado a la movilidad académica, cooperación y relaciones interinstitucionales. </t>
    </r>
  </si>
  <si>
    <t>Informes de pertinencia relacionado a la movilidad académica, cooperación y relaciones interinstitucionales, emitidos.</t>
  </si>
  <si>
    <t>N° de informes de pertinencia relacionados a la movilidad académica, cooperación y relaciones interinstitucionales, presentados.</t>
  </si>
  <si>
    <t>1.- Revisar convenios de cooperación nacionales e internacionales vigentes para conocer los ámbitos de colaboración institucional.
2.- Analizar la información obtenida y generar los informes correspondientes.
3.- Notificar a los docentes y dependencias que son administradores de convenios sobre las acciones realizadas.
4.- Realizar cronograma de notificación a administradores de convenios de cooperación, movilidad y de relaciones interinstitucionales.
5.- Actualizar matriz de seguimiento de convenios de acuerdo a la información proporcionada por los administradores de convenio.</t>
  </si>
  <si>
    <t>1.- Matriz de seguimiento de convenios de cooperación.
2.- Informes de pertinencia relacionado a la movilidad académica, cooperación y relaciones interinstitucionales, presentados.</t>
  </si>
  <si>
    <r>
      <rPr>
        <b/>
        <sz val="10"/>
        <color rgb="FF000000"/>
        <rFont val="Arial Narrow"/>
        <family val="2"/>
      </rPr>
      <t xml:space="preserve">10.- </t>
    </r>
    <r>
      <rPr>
        <sz val="10"/>
        <color rgb="FF000000"/>
        <rFont val="Arial Narrow"/>
        <family val="2"/>
      </rPr>
      <t>Coordinar el seguimiento del desempeño de los procesos de cooperación, movilidad y relaciones interinstitucionales.</t>
    </r>
  </si>
  <si>
    <t>Seguimiento a los procesos de cooperación, movilidad y relaciones interinstitucionales; coordinados.</t>
  </si>
  <si>
    <t>N° de Seguimiento a los procesos de cooperación, movilidad y relaciones interinstitucionales, efectuados.</t>
  </si>
  <si>
    <t>1.- Revisar convenios de cooperación nacionales e internacionales vigentes para conocer los ámbitos de colaboración institucional.
2.- Solicitar a los administradores de los convenios la entrega del seguimiento de convenios que reflejen los resultados obtenidos para los procesos de cooperación, movilidad y de relaciones interinstitucionales.
3.- Recopilar los información recibidos.
4.- Actualizar la matriz de seguimiento de convenios.
5.- Reportar los avances ante las instancias pertinentes.</t>
  </si>
  <si>
    <t>1.- Reporte de control de seguimientos a los procesos de cooperación, movilidad y relaciones interinstitucionales, efectuados.</t>
  </si>
  <si>
    <r>
      <rPr>
        <b/>
        <sz val="10"/>
        <color theme="1"/>
        <rFont val="Arial Narrow"/>
        <family val="2"/>
      </rPr>
      <t xml:space="preserve">11.- </t>
    </r>
    <r>
      <rPr>
        <sz val="10"/>
        <color theme="1"/>
        <rFont val="Arial Narrow"/>
        <family val="2"/>
      </rPr>
      <t xml:space="preserve">Coordinar el proceso para la gestión de alianzas estratégicas interinstitucionales. </t>
    </r>
  </si>
  <si>
    <t xml:space="preserve">Procesos para la gestión de alianzas estratégicas interinstitucionales,
coordinados. </t>
  </si>
  <si>
    <t>N° de procesos para la gestión de alianzas estratégicas interinstitucionales, coordinados, realizados.</t>
  </si>
  <si>
    <t>1.- Buscar espacios relevantes y establecer sesiones de trabajo con usuarios externos para determinar las necesidades y la colaboración institucional.
2- Consensuar acuerdos y/o compromisos con los aliados estratégicos.
3.- Orientar sobre el proceso y requisitos que deben cumplir.
4.- Revisar las propuestas y tramitarlas conforme lo establece la normativa vigente.
5.- Gestionar la suscripción de convenios en función en función de la línea operativa, en el caso que se declare presupuesto, se deberá solicitar a financiero la disponibilidad presupuestaria y posterior enviar ante Consejo Universitario para su aprobación.</t>
  </si>
  <si>
    <t>1.- Convenios suscritos.</t>
  </si>
  <si>
    <r>
      <rPr>
        <b/>
        <sz val="10"/>
        <color theme="1"/>
        <rFont val="Arial Narrow"/>
        <family val="2"/>
      </rPr>
      <t>12.-</t>
    </r>
    <r>
      <rPr>
        <sz val="10"/>
        <color theme="1"/>
        <rFont val="Arial Narrow"/>
        <family val="2"/>
      </rPr>
      <t xml:space="preserve"> Presentar la Planificación Operativa Anual y Evaluación de la Planificación Operativa Anual.</t>
    </r>
  </si>
  <si>
    <t>N° de Plan operativo y evaluaciones de la planificación operativa entregados oportunamente.</t>
  </si>
  <si>
    <t>1.- Presentar la propuesta de la Planificación Operativa Anual de la Unidad.
2.- Ejecutar las actividades enmarcadas en el Plan Operativo Anual vigente.
3.- Efectuar los requerimientos del Plan Anual de Compras.
4.- Reportar las evaluaciones de Primer, Segundo y tercer cuatrimestre del POA, conforme las directrices de la Dirección de Planificación de la UTMACH.
5.- Elaborar propuesta de planificación operativa del período subsiguiente.</t>
  </si>
  <si>
    <r>
      <rPr>
        <b/>
        <sz val="10"/>
        <color theme="1"/>
        <rFont val="Arial Narrow"/>
        <family val="2"/>
      </rPr>
      <t>13.-</t>
    </r>
    <r>
      <rPr>
        <sz val="10"/>
        <color theme="1"/>
        <rFont val="Arial Narrow"/>
        <family val="2"/>
      </rPr>
      <t xml:space="preserve"> Organizar el archivo de gestión digital y físico.</t>
    </r>
  </si>
  <si>
    <t>1.- Revisar archivo histórico física y/o digital de los documentos generados y/o derivada para atención de la unidad de Movilidad y Relaciones Interinstitucionales.
2.- Coordinar la atención de los requerimientos.
3.- Consolidar la información y levantar la matriz de inventario documental.
4.- Efectuar descargo de documentación física y/o digital.</t>
  </si>
  <si>
    <t>TOTAL PRESUPUESTO ESTIMATIVO DE LA UNIDAD DE MOVILIDAD Y RELACIONES INTERINSTITUCIONALES 2023:</t>
  </si>
  <si>
    <t>TOTAL PRESUPUESTO ESTIMATIVO DE LA DIRECCIÓN DE VIMCORI 2023:</t>
  </si>
  <si>
    <r>
      <rPr>
        <b/>
        <sz val="11"/>
        <color theme="1"/>
        <rFont val="Arial Narrow"/>
        <family val="2"/>
      </rPr>
      <t xml:space="preserve">Elaborado por: </t>
    </r>
    <r>
      <rPr>
        <sz val="11"/>
        <color theme="1"/>
        <rFont val="Arial Narrow"/>
        <family val="2"/>
      </rPr>
      <t>Diana Reinoso Miranda</t>
    </r>
  </si>
  <si>
    <r>
      <t xml:space="preserve">Fecha: </t>
    </r>
    <r>
      <rPr>
        <sz val="11"/>
        <color theme="1"/>
        <rFont val="Arial Narrow"/>
        <family val="2"/>
      </rPr>
      <t xml:space="preserve">13 septiembre de 2022;
Modificado al 21 de sep 2022
</t>
    </r>
  </si>
  <si>
    <t>VICERRECTORADO ACADÉMICO</t>
  </si>
  <si>
    <r>
      <rPr>
        <b/>
        <sz val="10"/>
        <color rgb="FFFF0000"/>
        <rFont val="Arial Narrow"/>
      </rPr>
      <t xml:space="preserve">METAS OPERATIVAS
</t>
    </r>
    <r>
      <rPr>
        <b/>
        <sz val="9"/>
        <color rgb="FF000000"/>
        <rFont val="Arial Narrow"/>
      </rPr>
      <t>1.-</t>
    </r>
    <r>
      <rPr>
        <sz val="10"/>
        <color rgb="FF000000"/>
        <rFont val="Arial Narrow"/>
      </rPr>
      <t xml:space="preserve"> Desarrollar actividades, funciones, y atribuciones delegadas por la máxima autoridad y/o máximo órgano colegiado.</t>
    </r>
  </si>
  <si>
    <t>Actividades, funciones, y atribuciones delegadas por la máxima autoridad y/ o máximo órgano colegiado desarrolladas. 
Actividades, funciones, y atribuciones delegadas por la máxima autoridad y/ o máximo órgano colegiado desarrolladas.</t>
  </si>
  <si>
    <t>N° de actividades y funciones atendidas delegadas por la máxima autoridad y/o máximo órgano colegiado.</t>
  </si>
  <si>
    <t>1.- Realizar sesiones de trabajo de la comisión designada.
2.- Participar en eventos delegados y/o presentar informes para aprobación del Consejo Universitario de la UTMACH.</t>
  </si>
  <si>
    <t>1.- Reporte de actividades, funciones y atribuciones atendidas.</t>
  </si>
  <si>
    <t>* Dra. Rosemary Samaniego,
  Vicerrectora Académica
* Lic. Rosa Castro,
  Analista Administrativa
* Ing. Fernanda Samaniego,
  Analista del Vicerrectorado Académico
* Manuel Sánchez,
  Auxiliar de Servicio
* Javier Aguirre,
  Chofer Administrativo</t>
  </si>
  <si>
    <r>
      <rPr>
        <b/>
        <sz val="10"/>
        <color theme="1"/>
        <rFont val="Arial Narrow"/>
        <family val="2"/>
      </rPr>
      <t xml:space="preserve">2.- </t>
    </r>
    <r>
      <rPr>
        <sz val="10"/>
        <color theme="1"/>
        <rFont val="Arial Narrow"/>
        <family val="2"/>
      </rPr>
      <t>Gestionar la planificación de los procesos académicos.</t>
    </r>
  </si>
  <si>
    <t>Planificación gestionada de los procesos académicos.</t>
  </si>
  <si>
    <t>N° de Planificaciones gestionada de los procesos académicos.</t>
  </si>
  <si>
    <t>1.- Receptar y revisar la documentación recibida.
2.- Convocar a Sesiones de trabajo.
3.- Poner en conocimiento de los miembros de la sesión de trabajo la documentación para su análisis.
4.- Formular informes y/o decisiones adoptadas.
5.- Trasladar las informes y/o decisiones adoptadas según corresponda.</t>
  </si>
  <si>
    <t>1.- Resoluciones emitidas por el Consejo Académico Universitario.
2.- Resoluciones emitidas por el Consejo Universitario.</t>
  </si>
  <si>
    <t>DPLAN: El egreso de la partida 840107 se centraliza en 17. DTIC; desde donde se efectuará el proceso para cubrir su requerimiento.</t>
  </si>
  <si>
    <t>1. Afianzar el proceso de rediseño y contextualización curricular.</t>
  </si>
  <si>
    <r>
      <rPr>
        <b/>
        <sz val="10"/>
        <color rgb="FF000000"/>
        <rFont val="Arial Narrow"/>
        <family val="2"/>
      </rPr>
      <t>3.-</t>
    </r>
    <r>
      <rPr>
        <sz val="10"/>
        <color rgb="FF000000"/>
        <rFont val="Arial Narrow"/>
        <family val="2"/>
      </rPr>
      <t xml:space="preserve"> Desarrollar actividades educativas institucionales en los componentes: diseño y 
rediseño pedagógico curricular, seguimiento y evaluación curricular
perfeccionamiento del personal académico.</t>
    </r>
  </si>
  <si>
    <t>Actividades educativas institucionales en los componentes: diseño y rediseño pedagógico curricular, seguimiento y evaluación perfeccionamiento del personal académico gestionado.</t>
  </si>
  <si>
    <t>N° de Actividades educativas institucionales en los componentes: diseño y 
rediseño pedagógico curricular, seguimiento y evaluación 
perfeccionamiento del personal académico gestionado.</t>
  </si>
  <si>
    <t>1.- Reporte de resoluciones y/o decisiones adoptadas.</t>
  </si>
  <si>
    <t>Plan de Perfeccionamiento Académico</t>
  </si>
  <si>
    <r>
      <rPr>
        <b/>
        <sz val="10"/>
        <color rgb="FF000000"/>
        <rFont val="Arial Narrow"/>
        <family val="2"/>
      </rPr>
      <t>4.-</t>
    </r>
    <r>
      <rPr>
        <sz val="10"/>
        <color rgb="FF000000"/>
        <rFont val="Arial Narrow"/>
        <family val="2"/>
      </rPr>
      <t xml:space="preserve"> Gestionar Proyectos de reforma académica, así como la creación de nuevas carreras en diferentes modalidades.</t>
    </r>
  </si>
  <si>
    <t>Proyectos de reforma académica, así como la creación de nuevas carreras en diferentes modalidades gestionada.</t>
  </si>
  <si>
    <t>N° de proyectos de reforma académica y creación de nuevas carreras en diferentes modalidades.</t>
  </si>
  <si>
    <t>1.- Convocar a los Decanos y Subdecanos a reuniones de trabajo para realizar el análisis y levantamiento de estudios la creación de nuevas carreras en diferentes modalidades.
2.- Registrar la asistencia de los participantes.
3.- Solicitar a los Subdecanos el informe de levantamiento de información sobre la creación de nuevas carreras en diferentes modalidades.
4.- Formular y/o decisiones adoptadas.
5.- Trasladar las resoluciones y/o decisiones adoptadas según corresponda.</t>
  </si>
  <si>
    <t>1.- Matriz de creación de carreras por modalidades.</t>
  </si>
  <si>
    <t xml:space="preserve">* Dra. Rosemary Samaniego,
  Vicerrectora Académica
* Lic. Rosa Castro,
  Analista Administrativa
* Ing. Fernanda Samaniego,
  Analista del Vicerrectorado Académico
* Manuel Sánchez,
  Auxiliar de Servicio
* Javier Aguirre,
  Chofer Administrativo
</t>
  </si>
  <si>
    <r>
      <rPr>
        <b/>
        <sz val="10"/>
        <color theme="1"/>
        <rFont val="Arial Narrow"/>
        <family val="2"/>
      </rPr>
      <t>5.-</t>
    </r>
    <r>
      <rPr>
        <sz val="10"/>
        <color theme="1"/>
        <rFont val="Arial Narrow"/>
        <family val="2"/>
      </rPr>
      <t xml:space="preserve"> Gestionar acciones de mejora y/o correctivas en base a los resultados de seguimiento a los procesos académicos.</t>
    </r>
  </si>
  <si>
    <t>Acciones de mejora y/ o correctivas gestionadas en base a los resultados de seguimiento a los procesos académicos.</t>
  </si>
  <si>
    <t>N° de acciones de mejora y/o correctivas.</t>
  </si>
  <si>
    <t>1.- Receptar y revisar la documentación.
2.- Solicitar informes.
3.- Analizar, validar los Informes entregados cumplan con lo requerido.
4.- Actualizar reporte.</t>
  </si>
  <si>
    <t>1.- Reporte del estado actual de la acción de mejora y/o acción correctiva.</t>
  </si>
  <si>
    <r>
      <rPr>
        <b/>
        <sz val="10"/>
        <color theme="1"/>
        <rFont val="Arial Narrow"/>
        <family val="2"/>
      </rPr>
      <t xml:space="preserve">6.- </t>
    </r>
    <r>
      <rPr>
        <sz val="10"/>
        <color theme="1"/>
        <rFont val="Arial Narrow"/>
        <family val="2"/>
      </rPr>
      <t>Presentar la Planificación Operativa Anual y Evaluación de la Planificación Operativa Anual.</t>
    </r>
  </si>
  <si>
    <t>N° de documentos de planificación operativa anual y evaluaciones de la planificación operativa anual presentados.</t>
  </si>
  <si>
    <t>1.- Elaborar y entregar Plan Operativo Anual 2024.
2.- Elaborar y entregar evaluación del POA 2023.</t>
  </si>
  <si>
    <t>1.- Plan Operativo Anual.
2.- Evaluación del POA.
3.- Evidencias subidas en Google drive que justifican la ejecución de las Metas Operativas del Vicerrectorado Académico.</t>
  </si>
  <si>
    <t>Dipensador de agua</t>
  </si>
  <si>
    <t>N° de Cajas registradas en el inventario documental.</t>
  </si>
  <si>
    <t>1.- Seleccionar la documentación.
2.- Clasificar la documentación.
3.- Describir la documentación según la norma ISAD-G.
4.- Preservar la documentación en las unidades de almacenamiento.</t>
  </si>
  <si>
    <t>Insumos, Materiales y Suministros para Construcción, Electricidad, Plomería, Carpintería, Señalización Vial, Navegación, Contra Incendios y Placas</t>
  </si>
  <si>
    <t>Cable HDMI</t>
  </si>
  <si>
    <t>EXTENSIÓN TIPO SJT 2X16 AWG 10 METROS</t>
  </si>
  <si>
    <t>TOTAL PRESUPUESTO ESTIMATIVO VICERRECTORADO ACADÉMICO 2023:</t>
  </si>
  <si>
    <r>
      <rPr>
        <b/>
        <sz val="11"/>
        <color rgb="FF000000"/>
        <rFont val="Arial Narrow"/>
        <family val="2"/>
      </rPr>
      <t xml:space="preserve">Elaborado por: </t>
    </r>
    <r>
      <rPr>
        <sz val="11"/>
        <color rgb="FF000000"/>
        <rFont val="Arial Narrow"/>
        <family val="2"/>
      </rPr>
      <t>Fernanda Samaniego Valle</t>
    </r>
  </si>
  <si>
    <r>
      <rPr>
        <b/>
        <sz val="11"/>
        <color theme="1"/>
        <rFont val="Arial Narrow"/>
        <family val="2"/>
      </rPr>
      <t xml:space="preserve">Fecha: </t>
    </r>
    <r>
      <rPr>
        <sz val="11"/>
        <color theme="1"/>
        <rFont val="Arial Narrow"/>
        <family val="2"/>
      </rPr>
      <t>31 de agosto de 2022</t>
    </r>
  </si>
  <si>
    <t>DIRECCIÓN ACADÉMICA</t>
  </si>
  <si>
    <r>
      <rPr>
        <b/>
        <sz val="10"/>
        <color rgb="FFFF0000"/>
        <rFont val="Arial Narrow"/>
        <family val="2"/>
      </rPr>
      <t xml:space="preserve">META ESTRATÉGICA
</t>
    </r>
    <r>
      <rPr>
        <b/>
        <sz val="10"/>
        <color rgb="FF000000"/>
        <rFont val="Arial Narrow"/>
        <family val="2"/>
      </rPr>
      <t>1.-</t>
    </r>
    <r>
      <rPr>
        <sz val="10"/>
        <color rgb="FF000000"/>
        <rFont val="Arial Narrow"/>
        <family val="2"/>
      </rPr>
      <t xml:space="preserve"> Determinar el grado de pertinencia de la oferta académica a través de la medición del impacto del perfil de egreso sobre los sectores priorizados a nivel zonal en el marco del régimen de desarrollo nacional.</t>
    </r>
  </si>
  <si>
    <t>Estudio de Pertinencia/factibilidad para la creación de la oferta académica de tercer nivel.</t>
  </si>
  <si>
    <t>N° de estudios de pertinencia/factibilidad elaborados.</t>
  </si>
  <si>
    <t>1.- Convocar a Subdecanos y Directores de carrera.
2.- Orientar las tareas para el estudio de pertinencia/factibilidad.
3.- Revisar criterio de pertinencia.</t>
  </si>
  <si>
    <t>1.- Estudio de pertinencia.</t>
  </si>
  <si>
    <t>* Lic. Esthela Ruilova,
  Directora Académica
* Ing. Franklin Conza Apolo,
  Jefe de la UGC</t>
  </si>
  <si>
    <t>Con oficio No. 183, se solicita modificación de indicador de resultado</t>
  </si>
  <si>
    <r>
      <rPr>
        <b/>
        <sz val="10"/>
        <color theme="1"/>
        <rFont val="Arial Narrow"/>
        <family val="2"/>
      </rPr>
      <t>2.-</t>
    </r>
    <r>
      <rPr>
        <sz val="10"/>
        <color theme="1"/>
        <rFont val="Arial Narrow"/>
        <family val="2"/>
      </rPr>
      <t xml:space="preserve"> Mejorar la calidad de la oferta académica a través de la creación de nuevas carreras, incremento de cupos de acceso o implementación de nuevas modalidades de estudio, considerando la pertinencia zonal.</t>
    </r>
  </si>
  <si>
    <t>Cupos generados de la oferta académica.</t>
  </si>
  <si>
    <r>
      <rPr>
        <sz val="10"/>
        <color theme="1"/>
        <rFont val="Arial Narrow"/>
        <family val="2"/>
      </rPr>
      <t xml:space="preserve">Porcentaje promedio de incremento de cupos desde el </t>
    </r>
    <r>
      <rPr>
        <sz val="10"/>
        <color theme="1"/>
        <rFont val="Arial Narrow"/>
        <family val="2"/>
      </rPr>
      <t>2021</t>
    </r>
    <r>
      <rPr>
        <sz val="10"/>
        <color theme="1"/>
        <rFont val="Arial Narrow"/>
        <family val="2"/>
      </rPr>
      <t xml:space="preserve"> al </t>
    </r>
    <r>
      <rPr>
        <sz val="10"/>
        <color theme="1"/>
        <rFont val="Arial Narrow"/>
        <family val="2"/>
      </rPr>
      <t>2024.</t>
    </r>
  </si>
  <si>
    <t>1.- Asistir a reunión con decanos y subdecanos para la elaborar la oferta académica.
2.- Asistir a la socialización de la oferta académica.
3.- Revisar oferta académica remitida por la Unidad  de Nivelación y Admisión.</t>
  </si>
  <si>
    <t>1.- Cupos ofertados.</t>
  </si>
  <si>
    <t>* Lic. Esthela Ruilova,
  Directora Académica
* Ing. Franklin Conza Apolo,
  Jefe de la UGC
* Dra. Kyra Ramírez,
  Supervisora de la UGC
* Lic. Jacqueline Valarezo,
  Supervisora de la UGC</t>
  </si>
  <si>
    <t>Equipos, Paquetes y Sistemas Informáticos</t>
  </si>
  <si>
    <t>Computadoras de escritorio medio alto</t>
  </si>
  <si>
    <t>Computadoras Portátiles alto</t>
  </si>
  <si>
    <r>
      <rPr>
        <b/>
        <sz val="10"/>
        <color rgb="FF000000"/>
        <rFont val="Arial Narrow"/>
        <family val="2"/>
      </rPr>
      <t>3.-</t>
    </r>
    <r>
      <rPr>
        <sz val="10"/>
        <color rgb="FF000000"/>
        <rFont val="Arial Narrow"/>
        <family val="2"/>
      </rPr>
      <t xml:space="preserve"> Mejorar la calidad de la oferta académica a través de la creación de nuevas carreras, incremento de cupos de acceso o implementación de nuevas modalidades de estudio, considerando la pertinencia zonal.</t>
    </r>
  </si>
  <si>
    <t>Carreras con modalidad no presenciales.</t>
  </si>
  <si>
    <t>N° de carreras no presenciales implementadas o en proceso de implementación.</t>
  </si>
  <si>
    <t>1.- Convocar a sesión de trabajo a Directores de carrera.
2.- Tomar acuerdo de la reunión de trabajo.
3.- Informar al Vicerrectorado Académico sobre el avance de la implementación del proceso.</t>
  </si>
  <si>
    <t>1.- Carreras no presenciales implementadas o en proceso.</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</si>
  <si>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Elaborar propuesta de directrices para creación de modelo de gestión académica y curricular.</t>
    </r>
  </si>
  <si>
    <t>Modelo de gestión académica y curricular implementado.</t>
  </si>
  <si>
    <t>N° de modelos de gestión académica y curricular implementado o en proceso.</t>
  </si>
  <si>
    <t xml:space="preserve">
1.- Convocar a Subdecanos, Directores de carrera.
2.- Informar de avances de carreras no presenciales en proceso.</t>
  </si>
  <si>
    <t>1.- Modelo de gestión académica y curricular.</t>
  </si>
  <si>
    <r>
      <rPr>
        <b/>
        <sz val="10"/>
        <color theme="1"/>
        <rFont val="Arial Narrow"/>
        <family val="2"/>
      </rPr>
      <t>2.-</t>
    </r>
    <r>
      <rPr>
        <sz val="10"/>
        <color theme="1"/>
        <rFont val="Arial Narrow"/>
        <family val="2"/>
      </rPr>
      <t xml:space="preserve"> Gestionar la aprobación del Calendario Académico.</t>
    </r>
  </si>
  <si>
    <t>Calendario académico institucional difundido.</t>
  </si>
  <si>
    <t>N° de calendario académico aprobado y sus actualizaciones.</t>
  </si>
  <si>
    <t>1.- Socializar de Calendario Académico con Subdecanos.
2.- Solicitar al Vicerrectorado trámite regular para aprobar calendario.</t>
  </si>
  <si>
    <t>1.- Calendario académico.
2.- Resolución de aprobación de Calendario Académico.
3.- Resoluciones de actualizaciones.</t>
  </si>
  <si>
    <t>6. Implementar un plan de perfeccionamiento académico que facilite el desarrollo profesional del docente.</t>
  </si>
  <si>
    <r>
      <rPr>
        <b/>
        <sz val="10"/>
        <color rgb="FF000000"/>
        <rFont val="Arial Narrow"/>
        <family val="2"/>
      </rPr>
      <t>3.-</t>
    </r>
    <r>
      <rPr>
        <sz val="10"/>
        <color rgb="FF000000"/>
        <rFont val="Arial Narrow"/>
        <family val="2"/>
      </rPr>
      <t xml:space="preserve"> Gestionar la elaboración de cronogramas relacionadas a las actividades establecidas en el calendario académico, de acuerdo a las funciones y atribuciones de la Dirección Académica.</t>
    </r>
  </si>
  <si>
    <t>Elaboración y difusión de la programación anual de las actividades académicas institucionales, gestionada.</t>
  </si>
  <si>
    <t>N° de cronogramas y directrices elaborados en relación a las actividades del calendario académico.</t>
  </si>
  <si>
    <t>1.- Socializar las Directrices para elaborar distributivo.
2.- Solicitar al Vicerrectorado trámite regular para aprobar de directrices para elaborar distributivo.</t>
  </si>
  <si>
    <t xml:space="preserve">
1.- Cronogramas.
2.- Resolución de aprobación de cronogramas.
3.- Directrices.
4.- Resoluciones de aprobación de directrices.</t>
  </si>
  <si>
    <r>
      <rPr>
        <b/>
        <sz val="10"/>
        <color rgb="FF000000"/>
        <rFont val="Arial Narrow"/>
        <family val="2"/>
      </rPr>
      <t>4.-</t>
    </r>
    <r>
      <rPr>
        <sz val="10"/>
        <color rgb="FF000000"/>
        <rFont val="Arial Narrow"/>
        <family val="2"/>
      </rPr>
      <t xml:space="preserve"> Gestionar la actualización de la normativa académica institucional.</t>
    </r>
  </si>
  <si>
    <t>Normativa académica institucional actualizada.</t>
  </si>
  <si>
    <t>N° de actividades realizadas y/o actas de reuniones para la actualización de la normativa académica.</t>
  </si>
  <si>
    <t>1.- Convocar a los departamentos involucrados para analizar normativa y solicitar actualización.
2.- Solicitar actualización de normativa al Vicerrectorado Académico.
3.- Aprobar la actualización de normativa.</t>
  </si>
  <si>
    <t>1.- Actas de reuniones.
2.- Registro de asistencia.</t>
  </si>
  <si>
    <r>
      <rPr>
        <b/>
        <sz val="10"/>
        <color rgb="FF000000"/>
        <rFont val="Arial Narrow"/>
        <family val="2"/>
      </rPr>
      <t>5.-</t>
    </r>
    <r>
      <rPr>
        <sz val="10"/>
        <color rgb="FF000000"/>
        <rFont val="Arial Narrow"/>
        <family val="2"/>
      </rPr>
      <t xml:space="preserve"> Dirigir y gestionar la oferta académica a través del proceso de diseño y actualización curricular de las carreras, en coordinación con otras estructuras académicas institucionales.</t>
    </r>
  </si>
  <si>
    <t>Proceso de diseño curricular de las nuevas carreras y el rediseño y actualización de las existentes, dirigidos.</t>
  </si>
  <si>
    <t>N° de nuevas carreras y rediseños existentes, dirigidos y gestionados.</t>
  </si>
  <si>
    <t>1.- Convocar a Subdecanos y Directores de carrera.
2.- Orientar para el proceso de diseño curricular de las nuevas carreras y actualización de las existentes.</t>
  </si>
  <si>
    <t>1.- Registro de Asistencia.</t>
  </si>
  <si>
    <r>
      <rPr>
        <b/>
        <sz val="10"/>
        <color rgb="FF000000"/>
        <rFont val="Arial Narrow"/>
        <family val="2"/>
      </rPr>
      <t>6.-</t>
    </r>
    <r>
      <rPr>
        <sz val="10"/>
        <color rgb="FF000000"/>
        <rFont val="Arial Narrow"/>
        <family val="2"/>
      </rPr>
      <t xml:space="preserve"> Dirigir la creación de carreras en las diferentes modalidades de estudio de conformidad a la normativa vigente.</t>
    </r>
  </si>
  <si>
    <t>Creación de carreras en las diferentes modalidades de estudio, de conformidad con la normativa vigente dirigidos.</t>
  </si>
  <si>
    <t>N° de carreras en diferentes modalidades de estudio creadas.</t>
  </si>
  <si>
    <t>1.- Convocar a sesiones de trabajo para creación de carreras.
2.- Gestionar mediante oficio al Vicerrectorado Académico para su aprobación.</t>
  </si>
  <si>
    <t>1.- Carreras creadas.</t>
  </si>
  <si>
    <r>
      <rPr>
        <b/>
        <sz val="10"/>
        <color rgb="FF000000"/>
        <rFont val="Arial Narrow"/>
        <family val="2"/>
      </rPr>
      <t xml:space="preserve">7.- </t>
    </r>
    <r>
      <rPr>
        <sz val="10"/>
        <color rgb="FF000000"/>
        <rFont val="Arial Narrow"/>
        <family val="2"/>
      </rPr>
      <t>Apoyar en el proceso de evaluación de la calidad y acreditación de las carreras.</t>
    </r>
  </si>
  <si>
    <t>Proceso de evaluación de la calidad y acreditación de las carreras, asistido.</t>
  </si>
  <si>
    <t>N° de proceso de evaluación de la calidad y acreditación de las carreras, asistido.</t>
  </si>
  <si>
    <t>1.- Asistir a reunión convocada por la Dirección de Evaluación y gestión de la calidad.</t>
  </si>
  <si>
    <t>1.- Registro de asistencia de los procesos de evaluación de carreras.</t>
  </si>
  <si>
    <r>
      <rPr>
        <b/>
        <sz val="10"/>
        <color rgb="FF000000"/>
        <rFont val="Arial Narrow"/>
        <family val="2"/>
      </rPr>
      <t>8.-</t>
    </r>
    <r>
      <rPr>
        <sz val="10"/>
        <color rgb="FF000000"/>
        <rFont val="Arial Narrow"/>
        <family val="2"/>
      </rPr>
      <t xml:space="preserve"> Gestionar la implementación del currículo de las carreras, en coordinación con las estructuras académicas.</t>
    </r>
  </si>
  <si>
    <t>Implementación del currículo de las carreras, en coordinación con las estructuras académicas, gestionado.</t>
  </si>
  <si>
    <t>N° de informe elaborado en relación a la implementación del currículo de las carreras.</t>
  </si>
  <si>
    <t>1.- Convocar a Subdecanos y Directores de carrera.
2.- Remitir informe de la implementación del currículo de las carreras.</t>
  </si>
  <si>
    <t>1.- Informes de implementación del currículo de las carreras.</t>
  </si>
  <si>
    <r>
      <rPr>
        <b/>
        <sz val="10"/>
        <color rgb="FF000000"/>
        <rFont val="Arial Narrow"/>
        <family val="2"/>
      </rPr>
      <t>9.-</t>
    </r>
    <r>
      <rPr>
        <sz val="10"/>
        <color rgb="FF000000"/>
        <rFont val="Arial Narrow"/>
        <family val="2"/>
      </rPr>
      <t xml:space="preserve"> Presentar la Planificación Operativa Anual y Evaluación de la Planificación Operativa Anual.</t>
    </r>
  </si>
  <si>
    <t>N° de Plan operativo y Matrices de autoevaluación presentados.</t>
  </si>
  <si>
    <t>1.- Elaborar el POA 2024.
2.- Elaborar oficio remitiendo el POA 2024.
3.- Elaborar la Evaluación del POA 2023.</t>
  </si>
  <si>
    <t>1.- Plan Operativo Anual.
2.- Evaluación anual del Plan Operativo Anual 2023.</t>
  </si>
  <si>
    <r>
      <rPr>
        <b/>
        <sz val="10"/>
        <color theme="1"/>
        <rFont val="Arial Narrow"/>
        <family val="2"/>
      </rPr>
      <t>10.-</t>
    </r>
    <r>
      <rPr>
        <sz val="10"/>
        <color theme="1"/>
        <rFont val="Arial Narrow"/>
        <family val="2"/>
      </rPr>
      <t xml:space="preserve"> Organizar el Archivo de Gestión.</t>
    </r>
  </si>
  <si>
    <t>1.- Archivar los documentos que se reciben y se envían.</t>
  </si>
  <si>
    <t xml:space="preserve">
* Dra. Kyra Ramírez,
  Supervisora de la UGC
* Lic. Jacqueline Valarezo,
  Supervisora de la UGC</t>
  </si>
  <si>
    <t>TOTAL PRESUPUESTO ESTIMATIVO DIRECCIÓN ACADÉMICA 2023:</t>
  </si>
  <si>
    <t>UNIDAD DE GESTIÓN CURRICULAR</t>
  </si>
  <si>
    <r>
      <rPr>
        <b/>
        <sz val="10"/>
        <color rgb="FFFF0000"/>
        <rFont val="Arial Narrow"/>
        <family val="2"/>
      </rPr>
      <t xml:space="preserve">METAS OPERATIVAS
</t>
    </r>
    <r>
      <rPr>
        <b/>
        <sz val="10"/>
        <color rgb="FF000000"/>
        <rFont val="Arial Narrow"/>
        <family val="2"/>
      </rPr>
      <t>1.-</t>
    </r>
    <r>
      <rPr>
        <sz val="10"/>
        <color rgb="FF000000"/>
        <rFont val="Arial Narrow"/>
        <family val="2"/>
      </rPr>
      <t xml:space="preserve"> Generar y Ejecutar los Lineamientos estratégicos y operativos para la gestión curricular.</t>
    </r>
  </si>
  <si>
    <t>Lineamientos estratégicos y operativos para la gestión curricular generados.</t>
  </si>
  <si>
    <t>N° de lineamientos Estratégicos para la gestión curricular generados.</t>
  </si>
  <si>
    <t>1.- Convocar y registrar acuerdos tomados para los Lineamientos gestión curricular.
2.- Elaborar oficios para el trámite respectivos.</t>
  </si>
  <si>
    <t>1.- Lineamientos Estratégicos para la gestión curricular gestionados.</t>
  </si>
  <si>
    <t>* Franklin Conza;
  Jefe Unidad de Gestión Curricular
* Jacqueline Valarezo;
  Supervisora de Unidad de Gestión Curricular
* Kyra Ramírez;
  Supervisora Unidad de Gestión Curricular</t>
  </si>
  <si>
    <t>COMPUTADORAS PORTÁTILES PERFIL 4.1</t>
  </si>
  <si>
    <t>PROYECTOR DE VIDEO</t>
  </si>
  <si>
    <r>
      <rPr>
        <b/>
        <sz val="10"/>
        <color rgb="FF000000"/>
        <rFont val="Arial Narrow"/>
        <family val="2"/>
      </rPr>
      <t>2.-</t>
    </r>
    <r>
      <rPr>
        <sz val="10"/>
        <color rgb="FF000000"/>
        <rFont val="Arial Narrow"/>
        <family val="2"/>
      </rPr>
      <t xml:space="preserve"> Generar y ejecutar los lineamientos estratégicos y operativos para la gestión académica.</t>
    </r>
  </si>
  <si>
    <t>Lineamientos estratégicos y operativos para la gestión académica generados.</t>
  </si>
  <si>
    <t>N° de Lineamientos Estratégicos para la gestión académica generados.</t>
  </si>
  <si>
    <t>1.- Convocar y registrar acuerdos tomados para los Lineamientos gestión académica.
2.- Elaborar oficios para el trámite correspondiente.</t>
  </si>
  <si>
    <t>1.- Lineamientos Estratégicos para la gestión académica gestionados.</t>
  </si>
  <si>
    <r>
      <rPr>
        <b/>
        <sz val="10"/>
        <color rgb="FF000000"/>
        <rFont val="Arial Narrow"/>
        <family val="2"/>
      </rPr>
      <t>3.-</t>
    </r>
    <r>
      <rPr>
        <sz val="10"/>
        <color rgb="FF000000"/>
        <rFont val="Arial Narrow"/>
        <family val="2"/>
      </rPr>
      <t xml:space="preserve"> Identificar y elaborar la actualización del proceso de diseño y actualización curricular de las carreras, en coordinación con la Dirección Académica.</t>
    </r>
  </si>
  <si>
    <t>Proceso de diseño y actualización curricular de las carreras, en coordinación
con la Dirección Académica, elaborado.</t>
  </si>
  <si>
    <t>N° de Diseños y actualización curricular elaborados.</t>
  </si>
  <si>
    <t>1.- Convocar sesiones de trabajo con coordinadores de carrera y registrar acuerdos para el proceso de diseño y actualización Curricular.
2.- Elaborar oficios ante las instancias pertinentes para su proceso de aprobación.</t>
  </si>
  <si>
    <t>1.- Diseño y actualización curricular coordinados con Dirección Académica.</t>
  </si>
  <si>
    <r>
      <rPr>
        <b/>
        <sz val="10"/>
        <color rgb="FF000000"/>
        <rFont val="Arial Narrow"/>
        <family val="2"/>
      </rPr>
      <t>4.-</t>
    </r>
    <r>
      <rPr>
        <sz val="10"/>
        <color rgb="FF000000"/>
        <rFont val="Arial Narrow"/>
        <family val="2"/>
      </rPr>
      <t xml:space="preserve"> Diseñar la planificación del currículo en modalidades no presenciales, en coordinación con las instancias académicas pertinentes, tomando en cuenta las normativas vigentes y las características de las diferentes carreras.</t>
    </r>
  </si>
  <si>
    <t>Planificación del currículo en modalidades no presenciales, en coordinación con las instancias académicas pertinentes, diseñado.</t>
  </si>
  <si>
    <t>N° de Planificación curricular modalidades no presenciales gestionados.</t>
  </si>
  <si>
    <t>1.- Convocar sesiones de trabajo para la planificación del currículo modalidad no presencial.
2.- Elaborar oficios ante las instancias correspondiente para su proceso de aprobación.</t>
  </si>
  <si>
    <t>1.- Planificación curricular modalidad no presencial.</t>
  </si>
  <si>
    <r>
      <rPr>
        <b/>
        <sz val="10"/>
        <color rgb="FF000000"/>
        <rFont val="Arial Narrow"/>
        <family val="2"/>
      </rPr>
      <t>5.-</t>
    </r>
    <r>
      <rPr>
        <sz val="10"/>
        <color rgb="FF000000"/>
        <rFont val="Arial Narrow"/>
        <family val="2"/>
      </rPr>
      <t xml:space="preserve"> Elaborar la programación anual de las actividades académicas institucionales, en coordinación con las instancias pertinentes. </t>
    </r>
  </si>
  <si>
    <t>Programación anual de las actividades académicas institucionales, en coordinación con las instancias pertinentes, elaborado.</t>
  </si>
  <si>
    <t>N° de cronogramas en relación a las actividades del calendario académico elaborados.</t>
  </si>
  <si>
    <t>1.- Consolidar la planificación anual de actividades remitidas desde las Facultades académicas y administrativas en el calendario académico institucional.
2.- Registrar acuerdos referente a la elaboración del calendario académico.
3.- Revisar que el calendario académico cumpla conforme a lo establecido por la normativa vigente.
4.- Solicitar a Dirección Académica el trámite correspondiente para la aprobación del Calendario Institucional.</t>
  </si>
  <si>
    <t>1.- Calendario Académico.</t>
  </si>
  <si>
    <r>
      <rPr>
        <b/>
        <sz val="10"/>
        <color rgb="FF000000"/>
        <rFont val="Arial Narrow"/>
        <family val="2"/>
      </rPr>
      <t>6.-</t>
    </r>
    <r>
      <rPr>
        <sz val="10"/>
        <color rgb="FF000000"/>
        <rFont val="Arial Narrow"/>
        <family val="2"/>
      </rPr>
      <t xml:space="preserve"> Elaborar el proceso de consolidación de la Oferta Académica.</t>
    </r>
  </si>
  <si>
    <t>Proceso de consolidación de la Oferta Académica, elaborado.</t>
  </si>
  <si>
    <t>N° de Carreras Ofertadas.</t>
  </si>
  <si>
    <t>1.- Solicitar a la Facultad la oferta académica vigente.
2.- Receptar información sobre oferta académica remitidos desde el subdecanato de las facultades.
3.- Consolidar la información de las carreras con su oferta académica para el período académico correspondiente.
4.- Solicitar a Dirección Académica trámite regular para aprobación de la oferta académica institucional.</t>
  </si>
  <si>
    <t>1.- Listado de carreras de grado ofertado.</t>
  </si>
  <si>
    <r>
      <rPr>
        <b/>
        <sz val="10"/>
        <color rgb="FF000000"/>
        <rFont val="Arial Narrow"/>
        <family val="2"/>
      </rPr>
      <t>7.-</t>
    </r>
    <r>
      <rPr>
        <sz val="10"/>
        <color rgb="FF000000"/>
        <rFont val="Arial Narrow"/>
        <family val="2"/>
      </rPr>
      <t xml:space="preserve"> Coordinar las tutorías académicas con las Facultades.</t>
    </r>
  </si>
  <si>
    <t>Tutorías académicas coordinadas.</t>
  </si>
  <si>
    <t>N° de lineamientos implementados para asegurar el correcto desenvolvimiento de las tutorías académicas.</t>
  </si>
  <si>
    <t>1.- Solicitar a las Facultades el reporte de Tutorías académicas cada final de parcial.
2.- Remitir a Vicerrectorado Académico para su conocimiento.</t>
  </si>
  <si>
    <t>1.- Lineamientos elaborados.</t>
  </si>
  <si>
    <r>
      <rPr>
        <b/>
        <sz val="10"/>
        <color rgb="FF000000"/>
        <rFont val="Arial Narrow"/>
        <family val="2"/>
      </rPr>
      <t>8.-</t>
    </r>
    <r>
      <rPr>
        <sz val="10"/>
        <color rgb="FF000000"/>
        <rFont val="Arial Narrow"/>
        <family val="2"/>
      </rPr>
      <t xml:space="preserve"> Iniciar el proceso para la elaboración del Distributivo Académico, y verificar el cumplimiento de los lineamientos estratégicos y operativos. </t>
    </r>
  </si>
  <si>
    <t>Distributivo Académico elaborado.</t>
  </si>
  <si>
    <t>N° de Distributivos Validados.</t>
  </si>
  <si>
    <t>1.- Elaborar informe de revisión de distributivos académicos remitido desde las  cinco Facultades.
2.- Verificar y validar el distributivo académico.
3.- Remitir mediante oficio a  Vicerrectorado Académico sobre la capacitación, revisión y validación del distributivo académico institucional.</t>
  </si>
  <si>
    <t>1.- Informe validación de distributivos.</t>
  </si>
  <si>
    <r>
      <rPr>
        <b/>
        <sz val="10"/>
        <color rgb="FF000000"/>
        <rFont val="Arial Narrow"/>
        <family val="2"/>
      </rPr>
      <t>9.-</t>
    </r>
    <r>
      <rPr>
        <sz val="10"/>
        <color rgb="FF000000"/>
        <rFont val="Arial Narrow"/>
        <family val="2"/>
      </rPr>
      <t xml:space="preserve"> Presentar a la Dirección de Planificación la Planeación y Evaluación del Plan Operativo Anual.</t>
    </r>
  </si>
  <si>
    <t>Planificación Operativa Anual y Evaluación de la Planificación Anual entregadas oportunamente.</t>
  </si>
  <si>
    <r>
      <rPr>
        <b/>
        <sz val="10"/>
        <color rgb="FF000000"/>
        <rFont val="Arial Narrow"/>
        <family val="2"/>
      </rPr>
      <t>10.-</t>
    </r>
    <r>
      <rPr>
        <sz val="10"/>
        <color rgb="FF000000"/>
        <rFont val="Arial Narrow"/>
        <family val="2"/>
      </rPr>
      <t xml:space="preserve"> Organizar el archivo de gestión de conformidad con la normativa interna de gestión documental.</t>
    </r>
  </si>
  <si>
    <t>Archivo de Gestión Organizado.</t>
  </si>
  <si>
    <t>N° de Documentos Registrados en el Inventario documental.</t>
  </si>
  <si>
    <t>TOTAL PRESUPUESTO ESTIMATIVO UGC 2023:</t>
  </si>
  <si>
    <r>
      <rPr>
        <b/>
        <sz val="11"/>
        <color theme="1"/>
        <rFont val="Arial Narrow"/>
        <family val="2"/>
      </rPr>
      <t xml:space="preserve">Elaborado por: </t>
    </r>
    <r>
      <rPr>
        <sz val="11"/>
        <color theme="1"/>
        <rFont val="Arial Narrow"/>
        <family val="2"/>
      </rPr>
      <t>Jacqueline Valarezo Valarezo</t>
    </r>
  </si>
  <si>
    <r>
      <rPr>
        <b/>
        <sz val="11"/>
        <color theme="1"/>
        <rFont val="Arial Narrow"/>
        <family val="2"/>
      </rPr>
      <t xml:space="preserve">Fecha: </t>
    </r>
    <r>
      <rPr>
        <sz val="11"/>
        <color theme="1"/>
        <rFont val="Arial Narrow"/>
        <family val="2"/>
      </rPr>
      <t>12 de septiembre 2022</t>
    </r>
  </si>
  <si>
    <t>DIRECCIÓN DE FORMACIÓN PROFESIONAL</t>
  </si>
  <si>
    <r>
      <rPr>
        <b/>
        <sz val="10"/>
        <color theme="1"/>
        <rFont val="Arial Narrow"/>
        <family val="2"/>
      </rPr>
      <t>1.</t>
    </r>
    <r>
      <rPr>
        <b/>
        <sz val="10"/>
        <color theme="1"/>
        <rFont val="Arial Narrow"/>
        <family val="2"/>
      </rPr>
      <t xml:space="preserve"> </t>
    </r>
    <r>
      <rPr>
        <sz val="10"/>
        <color theme="1"/>
        <rFont val="Arial Narrow"/>
        <family val="2"/>
      </rPr>
      <t>Afianzar el proceso de rediseño y contextualización curricular.</t>
    </r>
  </si>
  <si>
    <r>
      <rPr>
        <b/>
        <sz val="10"/>
        <color rgb="FFFF0000"/>
        <rFont val="Arial Narrow"/>
        <family val="2"/>
      </rPr>
      <t xml:space="preserve">METAS OPERATIVAS
</t>
    </r>
    <r>
      <rPr>
        <b/>
        <sz val="10"/>
        <color rgb="FF000000"/>
        <rFont val="Arial Narrow"/>
        <family val="2"/>
      </rPr>
      <t>1.-</t>
    </r>
    <r>
      <rPr>
        <sz val="10"/>
        <color rgb="FF000000"/>
        <rFont val="Arial Narrow"/>
        <family val="2"/>
      </rPr>
      <t xml:space="preserve"> Gestionar la elaboración, desarrollo y actualización permanente de la planificación curricular institucional, que sustentan la formación integral de los profesionales en la Universidad.</t>
    </r>
  </si>
  <si>
    <r>
      <rPr>
        <b/>
        <sz val="10"/>
        <color theme="1"/>
        <rFont val="Arial Narrow"/>
        <family val="2"/>
      </rPr>
      <t xml:space="preserve">
</t>
    </r>
    <r>
      <rPr>
        <sz val="10"/>
        <color theme="1"/>
        <rFont val="Arial Narrow"/>
        <family val="2"/>
      </rPr>
      <t>Desarrollo y actualización permanente de la planificación curricular
institucional gestionada.</t>
    </r>
  </si>
  <si>
    <t>N° de planificaciones curriculares institucionales gestionadas.</t>
  </si>
  <si>
    <t>1.- Levantar la información necesaria en corresponsabilidad con la Dirección Académica y facultades relacionadas con la planificación curricular institucional.
2.- Diseñar el plan de acciones que consideren el desarrollo y actualización de la planificación curricular institucional.
3.- Ejecutar el plan de acciones para el desarrollo y actualización de la planificación curricular institucional.
4.- Evaluar el plan de acciones para el desarrollo y actualización de la planificación curricular institucional.</t>
  </si>
  <si>
    <t>1.- Plan de acciones para el desarrollo y actualización de la planificación curricular institucional.
2.- Informe de seguimiento y control del desarrollo y actualización de la planificación curricular institucional.</t>
  </si>
  <si>
    <t>* ING. SARA CRUZ NARANJO,
  Directora de Formación Profesional
* Ing. JORGE LUIS BENITES,
  Analista</t>
  </si>
  <si>
    <r>
      <rPr>
        <b/>
        <sz val="10"/>
        <color theme="1"/>
        <rFont val="Arial Narrow"/>
        <family val="2"/>
      </rPr>
      <t>_3</t>
    </r>
    <r>
      <rPr>
        <sz val="10"/>
        <color theme="1"/>
        <rFont val="Arial Narrow"/>
        <family val="2"/>
      </rPr>
      <t>_</t>
    </r>
    <r>
      <rPr>
        <sz val="10"/>
        <color theme="1"/>
        <rFont val="Arial Narrow"/>
        <family val="2"/>
      </rPr>
      <t>Posicionamiento_del_modelo_educativo_integrador_y_desarrollador.</t>
    </r>
  </si>
  <si>
    <r>
      <rPr>
        <b/>
        <sz val="10"/>
        <color theme="1"/>
        <rFont val="Arial Narrow"/>
        <family val="2"/>
      </rPr>
      <t>3.</t>
    </r>
    <r>
      <rPr>
        <b/>
        <sz val="10"/>
        <color theme="1"/>
        <rFont val="Arial Narrow"/>
        <family val="2"/>
      </rPr>
      <t xml:space="preserve"> </t>
    </r>
    <r>
      <rPr>
        <sz val="10"/>
        <color theme="1"/>
        <rFont val="Arial Narrow"/>
        <family val="2"/>
      </rPr>
      <t>Fortalecer la interacción de la docencia, investigación y vinculación para el logro de los objetivos operativos del modelo educativo.</t>
    </r>
  </si>
  <si>
    <r>
      <rPr>
        <b/>
        <sz val="10"/>
        <color rgb="FF000000"/>
        <rFont val="Arial Narrow"/>
        <family val="2"/>
      </rPr>
      <t>2.-</t>
    </r>
    <r>
      <rPr>
        <sz val="10"/>
        <color rgb="FF000000"/>
        <rFont val="Arial Narrow"/>
        <family val="2"/>
      </rPr>
      <t xml:space="preserve"> Dirigir el levantamiento de estudios de pertinencia e innovación de los perfiles profesionales en correspondencia con las demandas del contexto socioeconómico en que se enmarca la institución.</t>
    </r>
  </si>
  <si>
    <r>
      <rPr>
        <b/>
        <sz val="10"/>
        <color theme="1"/>
        <rFont val="Arial Narrow"/>
        <family val="2"/>
      </rPr>
      <t xml:space="preserve">
</t>
    </r>
    <r>
      <rPr>
        <sz val="10"/>
        <color theme="1"/>
        <rFont val="Arial Narrow"/>
        <family val="2"/>
      </rPr>
      <t>Levantamiento de estudios de pertinencia e innovación de los perfiles
profesionales, dirigidos.</t>
    </r>
  </si>
  <si>
    <t>N° de planificaciones para el estudio de pertinencia e innovación de los perfiles profesionales, aprobadas.</t>
  </si>
  <si>
    <t>1.- Coordinar con las facultades el levantamiento de estudios de pertinencia e innovación de los perfiles
profesionales.
2.- Diseñar la planificación para el levantamiento de estudio de pertinencia e innovación de los perfiles profesionales, para aprobación.
3.- Ejecutar la planificación para el levantamiento de estudio de pertinencia e innovación de los perfiles profesionales.</t>
  </si>
  <si>
    <t>1.- Planificación para el estudio de pertinencia e innovación de los perfiles profesionales.</t>
  </si>
  <si>
    <t>* ING. SARA CRUZ NARANJO,
  Directora de Formación Profesional
* ING. JORGE LUIS BENITES,
  Analista</t>
  </si>
  <si>
    <r>
      <rPr>
        <b/>
        <sz val="10"/>
        <color rgb="FF000000"/>
        <rFont val="Arial Narrow"/>
        <family val="2"/>
      </rPr>
      <t>3.-</t>
    </r>
    <r>
      <rPr>
        <sz val="10"/>
        <color rgb="FF000000"/>
        <rFont val="Arial Narrow"/>
        <family val="2"/>
      </rPr>
      <t xml:space="preserve"> Dirigir y gestionar el proceso de admisión y nivelación, en coordinación con la Unidad de Nivelación y Admisión, y con la Dirección Académica.</t>
    </r>
  </si>
  <si>
    <t>Proceso de admisión y nivelación en el ámbito de su competencia, dirigidos.</t>
  </si>
  <si>
    <t>N° de planificaciones para el Proceso de nivelación y admisión, aprobados.</t>
  </si>
  <si>
    <t>1.- Coordinar con la Unidad de Nivelación y Admisión, y con la Dirección Académica, las acciones relacionadas con el Proceso de nivelación y admisión.
2.- Solicitar a la Unidad de Nivelación y Admisión la planificación para el Proceso de nivelación y admisión, para aprobación.
3.- Solicitar el informe del nivel de cumplimiento de la planificación para el Proceso de nivelación y admisión.</t>
  </si>
  <si>
    <t>1.- Planificación para para el Proceso de nivelación y admisión.
2.- Informe del nivel de cumplimiento de la planificación para el Proceso de nivelación y admisión.</t>
  </si>
  <si>
    <r>
      <rPr>
        <b/>
        <sz val="10"/>
        <color theme="1"/>
        <rFont val="Arial Narrow"/>
        <family val="2"/>
      </rPr>
      <t>_4_</t>
    </r>
    <r>
      <rPr>
        <sz val="10"/>
        <color theme="1"/>
        <rFont val="Arial Narrow"/>
        <family val="2"/>
      </rPr>
      <t>Competitividad_de_la_investigación_e_innovación_universitaria.</t>
    </r>
  </si>
  <si>
    <r>
      <rPr>
        <b/>
        <sz val="10"/>
        <color theme="1"/>
        <rFont val="Arial Narrow"/>
        <family val="2"/>
      </rPr>
      <t>7.</t>
    </r>
    <r>
      <rPr>
        <b/>
        <sz val="10"/>
        <color theme="1"/>
        <rFont val="Arial Narrow"/>
        <family val="2"/>
      </rPr>
      <t xml:space="preserve"> </t>
    </r>
    <r>
      <rPr>
        <sz val="10"/>
        <color theme="1"/>
        <rFont val="Arial Narrow"/>
        <family val="2"/>
      </rPr>
      <t>Impulsar la producción científica - académica derivada de la investigación formativa, para asegurar la participación masiva de la comunidad estudiantil en la generación de conocimiento.</t>
    </r>
  </si>
  <si>
    <r>
      <rPr>
        <b/>
        <sz val="10"/>
        <color rgb="FF000000"/>
        <rFont val="Arial Narrow"/>
        <family val="2"/>
      </rPr>
      <t>4.-</t>
    </r>
    <r>
      <rPr>
        <sz val="10"/>
        <color rgb="FF000000"/>
        <rFont val="Arial Narrow"/>
        <family val="2"/>
      </rPr>
      <t xml:space="preserve"> Apoyar en el desarrollo de los planes de investigación formativa a nivel institucional y su perfeccionamiento, en coordinación con la Dirección de Investigación, Desarrollo e Innovación.</t>
    </r>
  </si>
  <si>
    <t>Aprobación de los planes de investigación formativa a nivel institucional y su perfeccionamiento, gestionado.</t>
  </si>
  <si>
    <t>N° de Informes Finales de Líneas de Investigación Formativa de tercer nivel y PPA aprobados.</t>
  </si>
  <si>
    <t>1.- Diseñar el plan de levantamiento de información relacionado con la identificación de las líneas de investigación formativa por carrera y PPA, para aprobación.
2.- Ejecutar las actividades contempladas en el Plan de líneas de investigación formativa.
3.- Consolidar los resultados de levantamiento de información para construir el Informe final de Líneas de Investigación Formativa de tercer nivel y PPA, para aprobación.</t>
  </si>
  <si>
    <t>1.- Plan de levantamiento de información para identificar las líneas de investigación formativa por carrera y PPA, aprobado.
2.- Informe Final de Líneas de Investigación Formativa de tercer nivel y PPA, aprobado.</t>
  </si>
  <si>
    <r>
      <rPr>
        <b/>
        <sz val="10"/>
        <color rgb="FF000000"/>
        <rFont val="Arial Narrow"/>
        <family val="2"/>
      </rPr>
      <t>5.-</t>
    </r>
    <r>
      <rPr>
        <sz val="10"/>
        <color rgb="FF000000"/>
        <rFont val="Arial Narrow"/>
        <family val="2"/>
      </rPr>
      <t xml:space="preserve"> Apoyar la elaboración y difusión de la programación anual de las actividades académicas institucionales, en coordinación con la Dirección Académica.</t>
    </r>
  </si>
  <si>
    <t>Programación anual de las actividades académicas institucionales, asistido.</t>
  </si>
  <si>
    <t>N° de informes que identifiquen las actividades académicas complementarias por carrera, aprobados.</t>
  </si>
  <si>
    <t>1.- Diseñar el plan de levantamiento de información relacionado con la identificación de las actividades académicas complementarias por carrera, para aprobación.
2.- Ejecutar las actividades contempladas en el Plan de actividades académicas complementarias por carrera.
3.- Consolidar los resultados de levantamiento de información para construir el Informe final de actividades complementarias por carrera para aprobación.</t>
  </si>
  <si>
    <t>1.- Plan de levantamiento de información para identificar las actividades académicas complementarias por carrera, aprobado.
2.- Informe Final de Actividades académicas complementarias, aprobado.</t>
  </si>
  <si>
    <t>* ING. SARA CRUZ NARANJO,
  Directora de Formación Profesional,
  ING. JORGE LUIS BENITES,
  Analista</t>
  </si>
  <si>
    <t>DPLAN: Los recursos adicionales se planifican en la Unidad de Nivelación y Admisión; y se deben programar en las partidas que permitan el funcionamiento de la admisión y nivelación.
Los recursos de fuente de financiamiento 002 dependenrán de los ingresos propios que tenga la institución.</t>
  </si>
  <si>
    <t>Capacitación para la Ciudadanía en General</t>
  </si>
  <si>
    <t>Actividades dirigidas al plan de perfeccionamiento docente</t>
  </si>
  <si>
    <r>
      <rPr>
        <b/>
        <sz val="10"/>
        <color rgb="FF000000"/>
        <rFont val="Arial Narrow"/>
        <family val="2"/>
      </rPr>
      <t>6.-</t>
    </r>
    <r>
      <rPr>
        <sz val="10"/>
        <color rgb="FF000000"/>
        <rFont val="Arial Narrow"/>
        <family val="2"/>
      </rPr>
      <t xml:space="preserve"> Dirigir la evaluación integral del desempeño docente.</t>
    </r>
  </si>
  <si>
    <t>Evaluación integral del desempeño docente gestionada.</t>
  </si>
  <si>
    <t>N° de informes de resultados de la evaluación integral del desempeño docente, aprobados.</t>
  </si>
  <si>
    <t>1.- Diseñar el cronograma para la evaluación integral del desempeño docente, para aprobación.
2.- Supervisar la ejecución de las actividades contempladas en el cronograma para la evaluación integral del desempeño docente.
3.- Diseñar el informe de resultados de la evaluación integral del desempeño docente, para aprobación.</t>
  </si>
  <si>
    <t>1.- Cronograma para la evaluación integral del desempeño docente, aprobado.
2.- Informe de resultados de la evaluación integral del desempeño docente, aprobado.</t>
  </si>
  <si>
    <r>
      <rPr>
        <b/>
        <sz val="10"/>
        <color rgb="FF000000"/>
        <rFont val="Arial Narrow"/>
        <family val="2"/>
      </rPr>
      <t>7.-</t>
    </r>
    <r>
      <rPr>
        <sz val="10"/>
        <color rgb="FF000000"/>
        <rFont val="Arial Narrow"/>
        <family val="2"/>
      </rPr>
      <t xml:space="preserve"> Dirigir y gestionar las actividades relacionadas con la implementación del Plan de Perfeccionamiento Académico.</t>
    </r>
  </si>
  <si>
    <t xml:space="preserve"> Actividades de gestión del Plan de Perfeccionamiento Académico ejecutadas.</t>
  </si>
  <si>
    <t>N° de Planes de Perfeccionamiento Académico, aprobados.</t>
  </si>
  <si>
    <t>1.- Diseñar el cronograma para la gestión del Plan de Perfeccionamiento Académico, para aprobación.
2.- Diseñar el Plan de Perfeccionamiento Académico, para aprobación.
3.- Supervisar la ejecución de las actividades contempladas en el Plan de Perfeccionamiento Académico.
4.- Diseñar el informe de resultados de la ejecución del Plan de Perfeccionamiento Académico, para aprobación.</t>
  </si>
  <si>
    <t>1.- Cronograma para la gestión del Plan de Perfeccionamiento Académico, aprobado.
2.- Plan de Perfeccionamiento Académico, aprobado.
3.- Informe de resultados de la ejecución del Plan de Perfeccionamiento Académico, aprobado.</t>
  </si>
  <si>
    <t>DPLAN: Se trasladan $18.000,00 (+/-) del techo presupuestario (reajuste) de la Dirección Académica Y $10.000,00 del Vicerrectorado Académico (este último tiene planificada una actividad y egreso semejante; las dos deben articularse para su ejecución).</t>
  </si>
  <si>
    <r>
      <rPr>
        <b/>
        <sz val="10"/>
        <color rgb="FF000000"/>
        <rFont val="Arial Narrow"/>
        <family val="2"/>
      </rPr>
      <t>8.-</t>
    </r>
    <r>
      <rPr>
        <sz val="10"/>
        <color rgb="FF000000"/>
        <rFont val="Arial Narrow"/>
        <family val="2"/>
      </rPr>
      <t xml:space="preserve"> Coordinar los procesos de evaluación curricular con las facultades.</t>
    </r>
  </si>
  <si>
    <t>Evaluación curricular con las facultades coordinado.</t>
  </si>
  <si>
    <t>N° de convocatorias a reuniones sobre procesos de evaluación curricular.</t>
  </si>
  <si>
    <t>1.- Participar en la comisión de revisión de instrumentos de evaluación.
2.- Supervisar la ejecución del proceso de evaluación.
3.- Presentar informes con resultados de evaluación.</t>
  </si>
  <si>
    <t>1.- informe de resultados de evaluación.</t>
  </si>
  <si>
    <r>
      <rPr>
        <b/>
        <sz val="10"/>
        <color rgb="FF000000"/>
        <rFont val="Arial Narrow"/>
        <family val="2"/>
      </rPr>
      <t>9.-</t>
    </r>
    <r>
      <rPr>
        <sz val="10"/>
        <color rgb="FF000000"/>
        <rFont val="Arial Narrow"/>
        <family val="2"/>
      </rPr>
      <t xml:space="preserve"> Coordinar el proceso de formación de profesionales en contextos de las modalidades no presenciales con competencias adaptadas al contexto social en respuestas a las necesidades identificadas en el entorno.</t>
    </r>
  </si>
  <si>
    <t>Actividades de formación de profesionales en contextos de las modalidades no presenciales con competencias adaptadas al contexto social, coordinadas.</t>
  </si>
  <si>
    <t>N° de estudios de factibilidad para la implementación de modalidades no presenciales, aprobados.</t>
  </si>
  <si>
    <t>1.- Diseñar el plan para determinar la factibilidad para la implementación de modalidades no presenciales, para aprobación.
2.- Ejecutar las actividades del plan de análisis de factibilidad para la implementación de modalidades no presenciales.
3.- DIseñar el informe de factibilidad de modalidades no presenciales, para aprobación.</t>
  </si>
  <si>
    <t>1.- Plan para determinar la factibilidad para la implementación de modalidades no presenciales, aprobado.
2.- Informe de factibilidad de modalidades no presenciales, aprobado.</t>
  </si>
  <si>
    <r>
      <rPr>
        <b/>
        <sz val="10"/>
        <color rgb="FF000000"/>
        <rFont val="Arial Narrow"/>
        <family val="2"/>
      </rPr>
      <t>10.-</t>
    </r>
    <r>
      <rPr>
        <sz val="10"/>
        <color rgb="FF000000"/>
        <rFont val="Arial Narrow"/>
        <family val="2"/>
      </rPr>
      <t xml:space="preserve"> Identificar las necesidades de capacitación para el personal académico con base en los resultados de la evaluación integral del desempeño docente, del seguimiento al sílabo, entre otros.</t>
    </r>
  </si>
  <si>
    <t>Necesidades de capacitación para el personal académico con base en los resultados de la evaluación integral del desempeño docente, identificadas.</t>
  </si>
  <si>
    <t>N° de planes de capacitación para el personal académico con base en los resultados de la evaluación integral del desempeño docente, aprobados.</t>
  </si>
  <si>
    <t>1.- Analizar el informe aprobado de resultados de la evaluación integral del desempeño docente.
2.- Diseñar el plan de capacitación para el personal académico con base en los resultados de la evaluación integral del desempeño docente, para aprobación.
3.- Supervisar la ejecución del plan de capacitación para el personal académico con base en los resultados de la evaluación integral del desempeño docente.
4.- Diseñar el informe de resultados de la ejecución del plan de capacitación para el personal académico con base en los resultados de la evaluación integral del desempeño docente, para aprobación.</t>
  </si>
  <si>
    <t>1.- Plan de capacitación para el personal académico con base en los resultados de la evaluación integral del desempeño docente, aprobado.
2.- Informe de resultados de la ejecución del plan de capacitación para el personal académico con base en los resultados de la evaluación integral del desempeño docentes, aprobado.</t>
  </si>
  <si>
    <r>
      <rPr>
        <b/>
        <sz val="10"/>
        <color theme="1"/>
        <rFont val="Arial Narrow"/>
        <family val="2"/>
      </rPr>
      <t>6.</t>
    </r>
    <r>
      <rPr>
        <b/>
        <sz val="10"/>
        <color theme="1"/>
        <rFont val="Arial Narrow"/>
        <family val="2"/>
      </rPr>
      <t xml:space="preserve"> </t>
    </r>
    <r>
      <rPr>
        <sz val="10"/>
        <color theme="1"/>
        <rFont val="Arial Narrow"/>
        <family val="2"/>
      </rPr>
      <t>Revalorizar la participación docente en proyectos de vinculación con fines de acceso a mejoras escalafonarias y/o de méritos para evaluación docente.</t>
    </r>
  </si>
  <si>
    <r>
      <rPr>
        <b/>
        <sz val="10"/>
        <color rgb="FF000000"/>
        <rFont val="Arial Narrow"/>
        <family val="2"/>
      </rPr>
      <t>11.-</t>
    </r>
    <r>
      <rPr>
        <sz val="10"/>
        <color rgb="FF000000"/>
        <rFont val="Arial Narrow"/>
        <family val="2"/>
      </rPr>
      <t xml:space="preserve"> Codificación de las certificaciones emitidas por la dependencia.</t>
    </r>
  </si>
  <si>
    <t>Solicitar reforma de ROGOP</t>
  </si>
  <si>
    <r>
      <rPr>
        <b/>
        <sz val="10"/>
        <color rgb="FF000000"/>
        <rFont val="Arial Narrow"/>
        <family val="2"/>
      </rPr>
      <t>12.-</t>
    </r>
    <r>
      <rPr>
        <sz val="10"/>
        <color rgb="FF000000"/>
        <rFont val="Arial Narrow"/>
        <family val="2"/>
      </rPr>
      <t xml:space="preserve"> Presentar a la Dirección de Planificación la Planeación y Evaluación del Plan Operativo Anual.</t>
    </r>
  </si>
  <si>
    <t>N° de Planificación Operativa Anual y Evaluaciones de la Planificación Operativa Anual entregadas.</t>
  </si>
  <si>
    <t>1.- Elaborar el POA 2024.
2.- Evaluar el POA 2023.</t>
  </si>
  <si>
    <t>1.- POA 2024.
2.- Evaluación de POA 2023.</t>
  </si>
  <si>
    <r>
      <rPr>
        <b/>
        <sz val="10"/>
        <color rgb="FF000000"/>
        <rFont val="Arial Narrow"/>
        <family val="2"/>
      </rPr>
      <t>13.-</t>
    </r>
    <r>
      <rPr>
        <sz val="10"/>
        <color rgb="FF000000"/>
        <rFont val="Arial Narrow"/>
        <family val="2"/>
      </rPr>
      <t xml:space="preserve"> Organizar el archivo de gestión de conformidad con la normativa interna de gestión documental.</t>
    </r>
  </si>
  <si>
    <t>N° de carpetas registradas en el inventario documental organizadas.</t>
  </si>
  <si>
    <t>1.- Seleccionar y clasificar la documentación.
2.- Describir la documentación según la norma ISAD-G.
3.- Preservar la documentación en las unidades de almacenamiento.</t>
  </si>
  <si>
    <t>1.- Inventario documental organizado.</t>
  </si>
  <si>
    <t>TOTAL PRESUPUESTO ESTIMATIVO DIRECCIÓN 2023:</t>
  </si>
  <si>
    <t>UNIDAD DE NIVELACIÓN Y ADMISIÓN</t>
  </si>
  <si>
    <r>
      <rPr>
        <b/>
        <sz val="10"/>
        <color rgb="FFFF0000"/>
        <rFont val="Arial Narrow"/>
        <family val="2"/>
      </rPr>
      <t xml:space="preserve">METAS OPERATIVAS
</t>
    </r>
    <r>
      <rPr>
        <b/>
        <sz val="10"/>
        <color rgb="FF000000"/>
        <rFont val="Arial Narrow"/>
        <family val="2"/>
      </rPr>
      <t xml:space="preserve">1.- </t>
    </r>
    <r>
      <rPr>
        <sz val="10"/>
        <color rgb="FF000000"/>
        <rFont val="Arial Narrow"/>
        <family val="2"/>
      </rPr>
      <t>Dirigir y gestionar el proceso de admisión y nivelación para su aprobación por el Órgano Colegiado Superior.</t>
    </r>
  </si>
  <si>
    <t>Proceso de admisión y nivelación para su aprobación por el Órgano Colegiado Superior, dirigido y gestionado.</t>
  </si>
  <si>
    <t>N° de Procesos de Admisión ejecutados.</t>
  </si>
  <si>
    <t>1.- Redactar y enviar Oficios relacionados al Informe del Proceso de Admisión de la UTMACH.
2.- Recibir Oficios relacionados al Proceso de Admisión de la UTMACH.
3.- Realizar Reuniones con el personal de Dirección de Formación Profesional, Dirección Académica y Vicerrectorado Académico y demás funcionarios involucrados para la ejecución de la aplicación del Proceso de Admisión de la UTMACH.
4.- Asistir a reuniones con SENESCYT relacionadas al Proceso de Admisión de la UTMACH.
5.- Coordinar la aplicación del Proceso de Admisión de la UTMACH.
6.- Socializar el Proceso de Admisión.</t>
  </si>
  <si>
    <t>1.- Oficios enviados relacionados al Proceso de Admisión de la UTMACH.
2.- Recibir Oficios relacionados al Proceso de Admisión de la UTMACH.
3.- Asistir a las reuniones relacionadas al Proceso de Admisión de la UTMACH.
4.- Registro de asistencia a la reuniones relacionadas al Proceso de Admisión de la UTMACH.
5.- Resolución de Consejo Universitario de la UTMACH en la que aprueba el Proceso de Admisión de la UTMACH.
6.- Fotografías y captura de pantalla de la socialización del Proceso de Admisión de la UTMACH.</t>
  </si>
  <si>
    <t>* ING. SARA CRUZ NARANJO,
  Directora de Formación Profesional
* LCDO. JAVIER GONZÁLEZ RAMÓN,
  Jefe de la Unidad de Nivelación y Admisión
* ING. DIANA MUÑOZ,
  Analista de Nivelación y Admisión
* Ing. JAIRO JIMENEZ CONTRERAS,
  Analista Informático</t>
  </si>
  <si>
    <t>4. Ampliar la oferta de programas de educación continua y educación avanzada.</t>
  </si>
  <si>
    <r>
      <rPr>
        <b/>
        <sz val="10"/>
        <color rgb="FF000000"/>
        <rFont val="Arial Narrow"/>
        <family val="2"/>
      </rPr>
      <t xml:space="preserve">
2.-</t>
    </r>
    <r>
      <rPr>
        <sz val="10"/>
        <color rgb="FF000000"/>
        <rFont val="Arial Narrow"/>
        <family val="2"/>
      </rPr>
      <t xml:space="preserve"> Coordinar con las carreras la propuesta de oferta académica.</t>
    </r>
  </si>
  <si>
    <t>Propuesta de oferta académica, coordinada con las carreras.</t>
  </si>
  <si>
    <t>N° de cupos ofertados por las diferentes facultades de la UTMACH.</t>
  </si>
  <si>
    <t>1.- Enviar Comunicación al Rector y Vicerrector Académica dando a conocer sobre el requerimiento de la oferta académica.
2.- Enviar comunicaciones a los Decanos y subdecanos solicitando la oferta académica de las cinco facultades de la UTMACH.
3.- Recibir comunicaciones de las autoridades de las facultades de la UTMACH, indicando el número de cupos que ofertará la facultades.
4.- Agendar la reunión con la principales autoridades y los decanos de la UTMACH, en la que se tratará sobre la oferta de cupos de las diferentes facultades.
5.- Convocar a una reunión mediante la Dirección de Formación Profesional con la principales autoridades y los decanos de la UTMACH, en la que se tratará sobre la oferta de cupos de las diferentes facultades.
6.- Recibir comunicaciones de la Facultades de la UTMACH, (si hubiese un cambios de cupos en la oferta académicas en la diferentes facultades).</t>
  </si>
  <si>
    <t>1.- Oficios enviados  relacionados con el requerimiento de Oferta Académica de la UTMACH.
2.- Oficios recibidos de las diferentes Facultades en donde que detallan los cupos de la oferta académica de las carreras vigentes.
3.- Registro de asistencias a las diferentes reuniones relacionadas a la Oferta Académica.
4.- Acuerdo de confidencialidad de la Reunión relacionadas a la Oferta Académica de la UTMACH.
5.- Resumen de cupos de la Oferta Académica de la UTMACH.
6.- Oficio enviado al Rector de la Oferta Académica de la UTMACH.</t>
  </si>
  <si>
    <t>* LCDO. JAVIER GONZÁLEZ RAMÓN,
  Jefe de la Unidad de Nivelación y Admisión
* ING. DIANA MUÑOZ,
  Analista de Nivelación y Admisión
* Ing. JAIRO JIMENEZ CONTRERAS,
  Analista Informático</t>
  </si>
  <si>
    <r>
      <rPr>
        <b/>
        <sz val="10"/>
        <color rgb="FF000000"/>
        <rFont val="Arial Narrow"/>
        <family val="2"/>
      </rPr>
      <t>3.-</t>
    </r>
    <r>
      <rPr>
        <sz val="10"/>
        <color rgb="FF000000"/>
        <rFont val="Arial Narrow"/>
        <family val="2"/>
      </rPr>
      <t xml:space="preserve"> Elaborar la compilación de cupos que se ofertan en cada periodo académico.</t>
    </r>
  </si>
  <si>
    <t>Consolidación de información de la oferta académica, efectuada.</t>
  </si>
  <si>
    <t>N° de oferta académica subidas al sistema de la Senescyt.</t>
  </si>
  <si>
    <t>1.- Compilar una sola oferta académica de la UTMACH, estableciendo el número de cupos requeridos por las autoridades de la UTMACH.
2.- Enviar mediante la Dirección de Formación Profesional el oficio al Rector, con copia al Vicerrectorado Académica, solicitando la autorización de la oferta académica de la UTMACH.
3.- Recibir la oferta académica de la UTMACH autorizada por el Rector.
4.- Subir la Oferta Académica, perfil académico y la demás información a la plataforma de la SENESCYT - SNNA.
5.- Generar la Oferta Académica desde la plataforma de SENESCYT.
6.- Enviar una comunicación mediante la Dirección de Formación Profesional al Señor Rector de la UTMACH, solicitando firma de la Oferta Académica.
7.- Subir al Sistema de la SENESCYT la oferta Académica de la UTMACH.</t>
  </si>
  <si>
    <t>1.- Archivo generado de la Oferta Académica de las carreras vigentes de la Universidad Técnica de Machala.
2.- Oficios enviados a la Dirección de Formación Profesional y al Señor Rector para la firma de la Oferta Académica de la UTMACH generada por la plataforma de SENESCYT.
3.- Oferta Académica firmada por el Señor Rector en el que detalla las carreras vigentes de la Universidad Técnica de Machala.
4.- Captura de pantalla de la constancia de la subida de la Oferta Académica de la UTMACH en la plataforma de SENESCYT.
5.- Oficios enviados a la Dirección de Formación Profesional y al Señor Rector indicando que se ha subido la Oferta Académica de la UTMACH a la plataforma de SENESCYT.</t>
  </si>
  <si>
    <t>* LCDO. JAVIER GONZÁLEZ RAMÓN,
  Jefe de la Unidad de Nivelación y Admisión
* ING. DIANA MUÑOZ,
  Analista de Nivelación y Admisión
* Ing. JAIRO JIMENEZ CONTRERAS,
  Analista Informático
* Subdecanos de las Facultades de la UTMACH</t>
  </si>
  <si>
    <r>
      <rPr>
        <b/>
        <sz val="10"/>
        <color rgb="FF000000"/>
        <rFont val="Arial Narrow"/>
        <family val="2"/>
      </rPr>
      <t>4.-</t>
    </r>
    <r>
      <rPr>
        <sz val="10"/>
        <color rgb="FF000000"/>
        <rFont val="Arial Narrow"/>
        <family val="2"/>
      </rPr>
      <t xml:space="preserve"> Difundir la oferta académica de la UTMACH.</t>
    </r>
  </si>
  <si>
    <t>Publicación y difusión de la oferta académica.</t>
  </si>
  <si>
    <t>N° de difusiones de la Oferta Académica de la UTMACH.</t>
  </si>
  <si>
    <t>1.- Mantener reunión con la dirección de comunicación de la UTMACH.
2.- Coordinar con el director del Dircom la elaboración de los flayers informativos referentes a la Oferta Académica de la UTMACH.
3.- Coordinar con el Distrito provincial de Educación de Machala para la difusión de la oferta académica de la UTMACH en sus diferentes establecimientos Educativos.
4.- Desarrollar la difusión de la oferta académica de la UTMACH.</t>
  </si>
  <si>
    <t>1.- Oficios recibidos, correos electrónicos de los colegios invitando a la difusión de la Oferta Académica.
2.- Captura de pantalla, enlaces de acceso de las redes oficiales, y publicaciones en la que la Unidad Nivelación y Admisión ha desarrollado las diferentes difusiones de las Oferta Académica de la UTMACH.</t>
  </si>
  <si>
    <t>* LCDO. JAVIER GONZÁLEZ RAMÓN,
  Jefe de la Unidad de Nivelación y Admisión
* ING. DIANA MUÑOZ,
  Analista de Nivelación y Admisión
* Ing. JAIRO JIMENEZ CONTRERAS,
  Analista Informático
* Dirección de Comunicación</t>
  </si>
  <si>
    <t>M.7.4.2. Incrementar la tasa bruta de matrícula en educación superior terciaria del 37,34% al 50,27%</t>
  </si>
  <si>
    <r>
      <rPr>
        <b/>
        <sz val="10"/>
        <color rgb="FF000000"/>
        <rFont val="Arial Narrow"/>
        <family val="2"/>
      </rPr>
      <t>5.-</t>
    </r>
    <r>
      <rPr>
        <sz val="10"/>
        <color rgb="FF000000"/>
        <rFont val="Arial Narrow"/>
        <family val="2"/>
      </rPr>
      <t xml:space="preserve"> Ejecutar la propuesta de evaluación del proceso de admisión para el primer nivel.</t>
    </r>
  </si>
  <si>
    <t>Sistema de Evaluación del proceso de admisión y nivelación para el primer nivel de las carreras de la UTMACH, elaborado.</t>
  </si>
  <si>
    <t>N° de Pruebas Aplicadas a los aspirantes al Proceso de Admisión.</t>
  </si>
  <si>
    <t>1.- Revisar y preparar los diferentes laboratorios de cómputo para la aplicación del Proceso de Admisión.
2.- Coordinar con la Dirección de Formación Profesional la elaboración de los reactivos para la ejecución de la prueba de admisión.
3.- Aplicación de la Prueba de Admisión de la UTMACH.</t>
  </si>
  <si>
    <t>1.- Oficios recibidos de la Facultades del número de laboratorios de cómputo activos para la aplicación del Proceso de Admisión.
2.- Informe Resultados de la Aplicación de las Pruebas de Admisión de la UTMACH.</t>
  </si>
  <si>
    <r>
      <rPr>
        <b/>
        <sz val="10"/>
        <color rgb="FF000000"/>
        <rFont val="Arial Narrow"/>
        <family val="2"/>
      </rPr>
      <t>6.-</t>
    </r>
    <r>
      <rPr>
        <sz val="10"/>
        <color rgb="FF000000"/>
        <rFont val="Arial Narrow"/>
        <family val="2"/>
      </rPr>
      <t xml:space="preserve"> Informes técnicos del proceso de admisión y/o nivelación de las carreras, solicitados por los órganos de control del sistema de educación superior,
elaborado.</t>
    </r>
  </si>
  <si>
    <t>Informes técnico del proceso de admisión y nivelación de las carreras, solicitados por los órganos de control del sistema de educación superior, elaborado.</t>
  </si>
  <si>
    <t>N° de Informes técnico del proceso de admisión presentados.</t>
  </si>
  <si>
    <t>1.- Elaborar un informe técnico del proceso de admisión y/o nivelación.
2.- Entregar el Informe técnico del proceso de admisión/o nivelación a la Dirección de Formación Profesional.</t>
  </si>
  <si>
    <t>1.- Informe Técnico del proceso de admisión y/o nivelación de la UTMACH.</t>
  </si>
  <si>
    <r>
      <rPr>
        <b/>
        <sz val="10"/>
        <color rgb="FF000000"/>
        <rFont val="Arial Narrow"/>
        <family val="2"/>
      </rPr>
      <t>7.-</t>
    </r>
    <r>
      <rPr>
        <sz val="10"/>
        <color rgb="FF000000"/>
        <rFont val="Arial Narrow"/>
        <family val="2"/>
      </rPr>
      <t xml:space="preserve"> Coordinar con la Dirección de Tecnologías de la Información la implementación de la infraestructura tecnológica, y/o actualizaciones, del proceso de admisión y nivelación, dirigidas y coordinadas.</t>
    </r>
  </si>
  <si>
    <t>Implementación de la infraestructura tecnológica, y/o actualizaciones, del proceso de admisión y nivelación, dirigidas y coordinadas.</t>
  </si>
  <si>
    <t>N° de Instructivos para la implementación del sitio web para la Ejecución del Proceso de Admisión de la UTMACH.</t>
  </si>
  <si>
    <t>1.- Planificar reuniones de trabajo con la Dirección de TICS a fin de coordinar la implementación del sitio web que alojará el proceso de admisiones de la UTMACH.
2.- Elaborar el Instructivo que contiene las directrices para la implementación del sitio web de admisiones de la UTMACH.</t>
  </si>
  <si>
    <t>1.- Registro de Asistencia de las reuniones relacionadas a la implementación del proceso.
2.- Instructivo con la DIRECTRICES para la implementación del PROCESO DE ADMISIÓN DE LA UTMACH.</t>
  </si>
  <si>
    <t>CONSIDERAMOS Y SUGERIMOS QUE SE GESTIONE LA ACTUALIZACIÓN, Y SE DEFINA CORRECTAMENTE EN EL REGLAMENTO ORGÁNICO POR PROCESOS DE LA UTMACH, EL USO DEL VERBO IMPLEMENTACIÓN DENTRO DE ESTE PRODUCTO, DEBIDO A QUE LA UNIDAD DE NIVELACIÓN Y ADMISIÓN NO TIENE COMPETENCIA EN LA IMPLEMENTACIÓN TECNOLÓGICA DE LOS PROCESOS, SIN EMBARGO SI NOS COMPETE LA COORDINACIÓN DE LOS LINEAMIENTOS PARA LA IMPLEMENTACIÓN DE ESTE PRODUCTO</t>
  </si>
  <si>
    <r>
      <rPr>
        <b/>
        <sz val="10"/>
        <color rgb="FF000000"/>
        <rFont val="Arial Narrow"/>
        <family val="2"/>
      </rPr>
      <t>8.-</t>
    </r>
    <r>
      <rPr>
        <sz val="10"/>
        <color rgb="FF000000"/>
        <rFont val="Arial Narrow"/>
        <family val="2"/>
      </rPr>
      <t xml:space="preserve"> Brindar asesoría al aspirante en las diferentes etapas del proceso de postulación para el ingreso a la Educación Superior.</t>
    </r>
  </si>
  <si>
    <t>Asesoría en las diferentes etapas del proceso de postulación para el ingreso a la educación superior, brindada.</t>
  </si>
  <si>
    <t>N° de aspirantes que han sido atendidos con información relacionada a la admisión, reseteo de clave, inscripción.</t>
  </si>
  <si>
    <t>1.- Leer y entender el Reglamento del Sistema Nacional de Nivelación y Admisión- SENESCYT y de la UTMACH.
2.- Leer y entender el Reglamento de Régimen Académico de la UTMACH.
3.- Asesorarse con el personal de la Senescyt sobre casos específicos.
4.- Brindar el asesoramiento respectivo a los aspirantes a la UTMACH.</t>
  </si>
  <si>
    <t>1.- Registro de atención al usuario firmada manualmente.
2.- Capture de los correos que hemos emitido sobre las consultas que realizan los aspirantes al correo departamental de Nivelación y Admisión de la UTMACH.</t>
  </si>
  <si>
    <r>
      <rPr>
        <b/>
        <sz val="10"/>
        <color rgb="FF000000"/>
        <rFont val="Arial Narrow"/>
        <family val="2"/>
      </rPr>
      <t>9.-</t>
    </r>
    <r>
      <rPr>
        <sz val="10"/>
        <color rgb="FF000000"/>
        <rFont val="Arial Narrow"/>
        <family val="2"/>
      </rPr>
      <t xml:space="preserve"> Presentar el Plan Operativo Anual y Evaluación de la Planificación Operativa Anual.</t>
    </r>
  </si>
  <si>
    <t>N° de Planificación y Evaluación del POA entregadas oportunamente.</t>
  </si>
  <si>
    <t>1.- Recopilar las evidencias para la evaluación del POA 2023.
2.- Elaboración del POA 2024.</t>
  </si>
  <si>
    <t xml:space="preserve">
1.- Evaluación del POA 2023.
2.- POA 2024.</t>
  </si>
  <si>
    <t>* LCDO. JAVIER GONZÁLEZ RÁMON,
  Jefe de la Unidad de Nivelación y Admisión
* ING. DIANA MUÑOZ,
  Analista de Nivelación y Admisión
* Ing. JAIRO JIMENEZ CONTRERAS,
  Analista Informático</t>
  </si>
  <si>
    <t>5. Desarrollar un sistema de incentivos que reconozca la eficiencia individual y colectiva en la gestión administrativa.</t>
  </si>
  <si>
    <r>
      <rPr>
        <b/>
        <sz val="10"/>
        <color rgb="FF000000"/>
        <rFont val="Arial Narrow"/>
        <family val="2"/>
      </rPr>
      <t>10.-</t>
    </r>
    <r>
      <rPr>
        <sz val="10"/>
        <color rgb="FF000000"/>
        <rFont val="Arial Narrow"/>
        <family val="2"/>
      </rPr>
      <t xml:space="preserve"> Organizar el Archivo de Gestión.</t>
    </r>
  </si>
  <si>
    <t>N° de comunicaciones archivadas de la UNIDAD DE NIVELACIÓN Y ADMISIÓN, en el inventario documental.</t>
  </si>
  <si>
    <t>1.- Recibir y enviar comunicaciones de la UNIDAD DE NIVELACIÓN Y ADMISIÓN de la UTMACH.
2.- Registrar las comunicaciones recibidas y enviadas de la Dirección de Nivelación y Admisión.</t>
  </si>
  <si>
    <t>1.- Reporte de comunicaciones enviadas y recibidas por la UNIDAD DE NIVELACIÓN Y ADMISIÓN de la UTMACH.</t>
  </si>
  <si>
    <t>TOTAL PRESUPUESTO ESTIMATIVO UNIDAD DE NIVELACION Y ADMISION 2023:</t>
  </si>
  <si>
    <t>TOTAL PRESUPUESTO ESTIMATIVO DIRECCIÓN DE FORMACIÒN PROFESIONAL 2023:</t>
  </si>
  <si>
    <r>
      <rPr>
        <b/>
        <sz val="11"/>
        <color rgb="FF000000"/>
        <rFont val="Arial Narrow"/>
        <family val="2"/>
      </rPr>
      <t xml:space="preserve">Elaborado y compilado por: </t>
    </r>
    <r>
      <rPr>
        <sz val="11"/>
        <color rgb="FF000000"/>
        <rFont val="Arial Narrow"/>
        <family val="2"/>
      </rPr>
      <t>Jorge Luis Benites</t>
    </r>
  </si>
  <si>
    <r>
      <rPr>
        <b/>
        <sz val="11"/>
        <color rgb="FF000000"/>
        <rFont val="Arial Narrow"/>
        <family val="2"/>
      </rPr>
      <t xml:space="preserve">Fecha: </t>
    </r>
    <r>
      <rPr>
        <sz val="11"/>
        <color rgb="FF000000"/>
        <rFont val="Arial Narrow"/>
        <family val="2"/>
      </rPr>
      <t>13 de Septiembre de 2022</t>
    </r>
  </si>
  <si>
    <t>DIRECCIÓN DE EDUCACIÓN CONTINUA</t>
  </si>
  <si>
    <r>
      <rPr>
        <b/>
        <sz val="10"/>
        <color rgb="FFFF0000"/>
        <rFont val="Arial Narrow"/>
        <family val="2"/>
      </rPr>
      <t>METAS OPERATIVAS</t>
    </r>
    <r>
      <rPr>
        <b/>
        <sz val="10"/>
        <color theme="1"/>
        <rFont val="Arial Narrow"/>
        <family val="2"/>
      </rPr>
      <t xml:space="preserve">
1.-</t>
    </r>
    <r>
      <rPr>
        <sz val="10"/>
        <color theme="1"/>
        <rFont val="Arial Narrow"/>
        <family val="2"/>
      </rPr>
      <t xml:space="preserve"> Gestionar la Planificación Anual de los Proyectos de capacitación Educación Continua Autofinanciada.</t>
    </r>
  </si>
  <si>
    <t>Capacitaciones, cursos, talleres y demás similares, ejecutadas y evaluadas.</t>
  </si>
  <si>
    <t>N° de capacitaciones autofinanciadas ejecutadas y evaluadas.</t>
  </si>
  <si>
    <t>1.- Coordinar reuniones de orientación para la elaboración del plan anual del CEC.
2.- Levantar información en base a necesidades y requerimientos.
3.- Gestionar la aprobación de la planificación.</t>
  </si>
  <si>
    <t>1.- Informe de cumplimiento de actividades ejecutadas.</t>
  </si>
  <si>
    <t>* Ing. Manuel López Feijóo,
  (Director del DEC)
* Ing. María Isabel Carpio J.,
  (Analista del DEC)</t>
  </si>
  <si>
    <t>Honorarios por Contratos Civiles de Servicios</t>
  </si>
  <si>
    <t>Contratos civiles</t>
  </si>
  <si>
    <r>
      <rPr>
        <b/>
        <sz val="10"/>
        <color theme="1"/>
        <rFont val="Arial Narrow"/>
        <family val="2"/>
      </rPr>
      <t>2.-</t>
    </r>
    <r>
      <rPr>
        <sz val="10"/>
        <color theme="1"/>
        <rFont val="Arial Narrow"/>
        <family val="2"/>
      </rPr>
      <t xml:space="preserve"> Planificar y ejecutar los programas de aprendizaje de segundas lenguas extranjeras.</t>
    </r>
  </si>
  <si>
    <t>Programación de cursos de aprendizaje de lenguas extranjeras, dirigida.</t>
  </si>
  <si>
    <t>N° de cursos de inglés programados.</t>
  </si>
  <si>
    <t>1.- Coordinar reuniones para la elaboración y socialización de distributivo de cursos de lengua extranjera.
2.- Gestionar la aprobación de la planificación y distributivos de periodos de clases de inglés.</t>
  </si>
  <si>
    <t>1.- Planificación de cursos intensivos, test de ubicación, speech.
2.- Planes de clases.
3.- Informes de estudiantes aprobados y reprobados.</t>
  </si>
  <si>
    <t>* Ing. Manuel López Feijóo,
  (Director del DEC)
* Lcda. Susana Ramos J.,
  (Analista del DEC)</t>
  </si>
  <si>
    <r>
      <rPr>
        <b/>
        <sz val="10"/>
        <color theme="1"/>
        <rFont val="Arial Narrow"/>
        <family val="2"/>
      </rPr>
      <t>3.-</t>
    </r>
    <r>
      <rPr>
        <sz val="10"/>
        <color theme="1"/>
        <rFont val="Arial Narrow"/>
        <family val="2"/>
      </rPr>
      <t xml:space="preserve"> Autogestionar y administrar recursos.</t>
    </r>
  </si>
  <si>
    <t>Recursos autogestionados y administrados.</t>
  </si>
  <si>
    <t>N° de Presupuestos elaborados.</t>
  </si>
  <si>
    <t>1.- Coordinar reunión para la determinación de valores a recaudar.
2.- Elaboración de presupuestos individuales de los cursos.</t>
  </si>
  <si>
    <t>1.- Presupuestos individuales de cada cursos autogestionado.
2.- Consolidado de valores a recaudar.</t>
  </si>
  <si>
    <r>
      <rPr>
        <b/>
        <sz val="10"/>
        <color theme="1"/>
        <rFont val="Arial Narrow"/>
        <family val="2"/>
      </rPr>
      <t>4.-</t>
    </r>
    <r>
      <rPr>
        <sz val="10"/>
        <color theme="1"/>
        <rFont val="Arial Narrow"/>
        <family val="2"/>
      </rPr>
      <t xml:space="preserve"> Gestionar matrículas y homologaciones.</t>
    </r>
  </si>
  <si>
    <t>Matrículas, homologaciones, gestionados.</t>
  </si>
  <si>
    <t>N° de participantes matriculados en los diferentes cursos y programas.</t>
  </si>
  <si>
    <t>1.- Crear cursos en el sistema de matriculación de Educación Continua.
2.- Validar matrículas en el SISMAT previo a la ejecución de los diferentes cursos.</t>
  </si>
  <si>
    <t>1.- Listados de participantes matriculados en los diferentes programas.</t>
  </si>
  <si>
    <t>* Ing. Manuel López Feijoo,
  (Director del DEC)
* Lcda. Susana Ramos J.,
  (Analista del DEC)
* Econ. Carlos Reyes C.,
  (Analista del DEC)</t>
  </si>
  <si>
    <t xml:space="preserve"> ADQUISICIÓN DE TINTAS PARA IMPRESORA DE TINTA CONTINUA PARA LA DIRECCIÓN DE EDUCACIÓN CONTINUA</t>
  </si>
  <si>
    <r>
      <rPr>
        <b/>
        <sz val="10"/>
        <color theme="1"/>
        <rFont val="Arial Narrow"/>
        <family val="2"/>
      </rPr>
      <t>5.-</t>
    </r>
    <r>
      <rPr>
        <sz val="10"/>
        <color theme="1"/>
        <rFont val="Arial Narrow"/>
        <family val="2"/>
      </rPr>
      <t xml:space="preserve"> Dirigir evaluaciones de conocimientos de lengua extranjera.</t>
    </r>
  </si>
  <si>
    <t>Evaluaciones de conocimientos de lengua extranjera, dirigidos.</t>
  </si>
  <si>
    <t>N° de evaluaciones de conocimientos de lengua extranjera ejecutadas.</t>
  </si>
  <si>
    <t>1.- Solicitar la toma de examen a IBEC.
2.- Emitir el listado de postulantes.
3.- Gestionar infraestructura para toma de examen.
4.- Ejecutar la toma de examen a postulantes.</t>
  </si>
  <si>
    <t>1.- Oficios de solicitud dirigido a IBEC para toma de examen del idioma portugués.
2.- Acta de estudiantes aprobados en el idioma portugués.</t>
  </si>
  <si>
    <t>* Ing. Manuel López Feijoo,
  (Director del DEC)
* Econ. Carlos Reyes C.,
  (Analista del DEC)</t>
  </si>
  <si>
    <t>DPLAN: Se modifican parcialmente los egresos en la partida 840107 por superar el 20% del máximo disponible para egresos en el grupo 84 del Clasificador Presupuestario.</t>
  </si>
  <si>
    <t>ADQUISICIÓN DE COMPUTADORAS PORTÁTILES PARA LA DIRECCIÓN DE EDUCACIÓN CONTINUA</t>
  </si>
  <si>
    <t>Scanner Cannon</t>
  </si>
  <si>
    <r>
      <rPr>
        <b/>
        <sz val="10"/>
        <color theme="1"/>
        <rFont val="Arial Narrow"/>
        <family val="2"/>
      </rPr>
      <t>6.-</t>
    </r>
    <r>
      <rPr>
        <sz val="10"/>
        <color theme="1"/>
        <rFont val="Arial Narrow"/>
        <family val="2"/>
      </rPr>
      <t xml:space="preserve"> Gestionar para el proceso de emisión de certificaciones de competencia laboral a usuario.</t>
    </r>
  </si>
  <si>
    <t>Certificaciones de cursos, talleres de formación o perfeccionamiento profesional, formación académica y de competencias laborales específicas, generadas.</t>
  </si>
  <si>
    <t>N° de certificados elaborados.</t>
  </si>
  <si>
    <t>1.- Revisar actas de aprobación y/o asistencia.
2.- Elaborar formato de certificados.
3.- Llenar información en formato.
4.- Elaborar matriz de entrega y/o recepción de certificados.
5.- Ejecutar la legalización de certificados.
6.- Realizar el registro de certificados en Secretaria General.</t>
  </si>
  <si>
    <t>1.- Oficio de solicitud de legalización de certificados en Vicerrectorado Académico.
2.- Matriz de constancia de certificados para la legalización en Rectorado.
3.- Solicitud de codificación y legalización en Secretaria General.</t>
  </si>
  <si>
    <r>
      <rPr>
        <b/>
        <sz val="10"/>
        <color theme="1"/>
        <rFont val="Arial Narrow"/>
        <family val="2"/>
      </rPr>
      <t>7.-</t>
    </r>
    <r>
      <rPr>
        <sz val="10"/>
        <color theme="1"/>
        <rFont val="Arial Narrow"/>
        <family val="2"/>
      </rPr>
      <t xml:space="preserve"> Gestionar la Planificación Anual de los Proyectos de capacitación gratuitas, sociales e inclusivas de Educación Continua.</t>
    </r>
  </si>
  <si>
    <t>Capacitaciones inherentes a proyectos de vinculación con la sociedad, ejecutadas.</t>
  </si>
  <si>
    <t>N° de capacitaciones gratuitas ejecutadas.</t>
  </si>
  <si>
    <t>1.- Coordinar reuniones de orientación para la elaboración del plan anual del CEC.
2.- Levantar información en base a necesidades y requerimientos de facultades e institución que mantienen convenio con la UTMACH.
3.- Gestionar la aprobación de la planificación.</t>
  </si>
  <si>
    <t>1.- Informe de actividades de proyectos de vinculación ejecutadas.</t>
  </si>
  <si>
    <t>DPLAN: Los recursos adicionales se planifican en este producto y actividades.</t>
  </si>
  <si>
    <r>
      <rPr>
        <b/>
        <sz val="10"/>
        <color theme="1"/>
        <rFont val="Arial Narrow"/>
        <family val="2"/>
      </rPr>
      <t>8.-</t>
    </r>
    <r>
      <rPr>
        <sz val="10"/>
        <color theme="1"/>
        <rFont val="Arial Narrow"/>
        <family val="2"/>
      </rPr>
      <t xml:space="preserve"> Supervisar y evaluar la ejecución de la planificación anual de la educación continua.</t>
    </r>
  </si>
  <si>
    <t>Capacitaciones a instituciones o empresas, públicas o privadas, ejecutadas.</t>
  </si>
  <si>
    <t>N° de capacitaciones con instituciones públicas y/o privadas ejecutadas.</t>
  </si>
  <si>
    <t>1.- Elaborar matrices de seguimiento y control de ejecución de cursos.
2.- Evaluar y revisar informes de actividades.</t>
  </si>
  <si>
    <t>1.- Informes de actividades de ejecución.</t>
  </si>
  <si>
    <t>Vestuario, Lencería, Prendas de Protección</t>
  </si>
  <si>
    <t>SERVICIOS DE CONFECCION DE UNIFORMES</t>
  </si>
  <si>
    <r>
      <rPr>
        <b/>
        <sz val="10"/>
        <color theme="1"/>
        <rFont val="Arial Narrow"/>
        <family val="2"/>
      </rPr>
      <t>9.-</t>
    </r>
    <r>
      <rPr>
        <sz val="10"/>
        <color theme="1"/>
        <rFont val="Arial Narrow"/>
        <family val="2"/>
      </rPr>
      <t xml:space="preserve"> Diseñar y/o actualizar las acciones de divulgación y difusión de la educación continua.</t>
    </r>
  </si>
  <si>
    <t>Cartera de capacitaciones, difundida.</t>
  </si>
  <si>
    <t>N° de difusión de publicidad ejecutada.</t>
  </si>
  <si>
    <t>1.- Coordinar sesiones de trabajo para creación de estrategias publicitarias.
2.- Gestionar los medios de comunicación para difusión de información.</t>
  </si>
  <si>
    <t>1.- Cronograma de publicaciones.
2.- Publicaciones en redes sociales y página web.</t>
  </si>
  <si>
    <t>DPLAN: Se modifican parcialmente los egresos en la partida 840104 por superar el 20% del máximo disponible para egresos en el grupo 84 del Clasificador Presupuestario.</t>
  </si>
  <si>
    <r>
      <rPr>
        <b/>
        <sz val="10"/>
        <color theme="1"/>
        <rFont val="Arial Narrow"/>
        <family val="2"/>
      </rPr>
      <t>10.-</t>
    </r>
    <r>
      <rPr>
        <sz val="10"/>
        <color theme="1"/>
        <rFont val="Arial Narrow"/>
        <family val="2"/>
      </rPr>
      <t xml:space="preserve"> Coordinar la selección de personal de apoyo académico.</t>
    </r>
  </si>
  <si>
    <t>Personal de apoyo académico coordinado.</t>
  </si>
  <si>
    <t>1.- Coordinar reunión para socialización y aprobación de profesionales para impartir cursos de inglés y otros programas.</t>
  </si>
  <si>
    <t>1.- Contratos ocasionales y civiles de profesionales de apoyo académico.</t>
  </si>
  <si>
    <r>
      <rPr>
        <b/>
        <sz val="10"/>
        <color theme="1"/>
        <rFont val="Arial Narrow"/>
        <family val="2"/>
      </rPr>
      <t>11.-</t>
    </r>
    <r>
      <rPr>
        <sz val="10"/>
        <color theme="1"/>
        <rFont val="Arial Narrow"/>
        <family val="2"/>
      </rPr>
      <t xml:space="preserve"> Actualizar la Base de datos de los facilitadores de los cursos, talleres y demás similares.</t>
    </r>
  </si>
  <si>
    <t>Base de datos de los facilitadores de los cursos, talleres y demás similares, actualizada.</t>
  </si>
  <si>
    <t>N° de datas actualizadas.</t>
  </si>
  <si>
    <t>1.- Actualizar base de datos de profesionales de cursos gratuitos y autogestionados.</t>
  </si>
  <si>
    <t>1.- Matriz consolidada de profesionales que colaboraron en calidad de capacitadores de los diferentes cursos y programas de capacitación de Educación Continua.</t>
  </si>
  <si>
    <t>* Ing. Manuel López Feijoo,
  (Director del DEC
* Lcda. Susana Ramos J.,
  (Analista del DEC)
* Econ. Carlos Reyes C.,
  (Analista del DEC)</t>
  </si>
  <si>
    <r>
      <rPr>
        <b/>
        <sz val="10"/>
        <color rgb="FF000000"/>
        <rFont val="Arial Narrow"/>
        <family val="2"/>
      </rPr>
      <t xml:space="preserve">12.- </t>
    </r>
    <r>
      <rPr>
        <sz val="10"/>
        <color rgb="FF000000"/>
        <rFont val="Arial Narrow"/>
        <family val="2"/>
      </rPr>
      <t>Certificaciones emitidas por la dependencia codificada.</t>
    </r>
  </si>
  <si>
    <t>Certificados de cursos, talleres de formación o perfeccionamiento profesional, formación académica y de competencias laborales específicas, codificadas.</t>
  </si>
  <si>
    <t>N° de certificados codificados.</t>
  </si>
  <si>
    <t>1.- Revisar actas de aprobación y/o asistencia.
2.- Elaborar matriz de entrega y/o recepción de certificados.
3.- Ejecutar la legalización de certificados.
4.- Realizar el registro de certificados en Secretaria General.</t>
  </si>
  <si>
    <r>
      <rPr>
        <b/>
        <sz val="10"/>
        <color theme="1"/>
        <rFont val="Arial Narrow"/>
        <family val="2"/>
      </rPr>
      <t>13.-</t>
    </r>
    <r>
      <rPr>
        <sz val="10"/>
        <color theme="1"/>
        <rFont val="Arial Narrow"/>
        <family val="2"/>
      </rPr>
      <t xml:space="preserve"> Entrega de la Planificación Operativa Anual y Evaluación de la Planificación Operativa Anual.</t>
    </r>
  </si>
  <si>
    <t>N° de Planificaciones Operativas Anuales y Evaluaciones del POA entregadas oportunamente.</t>
  </si>
  <si>
    <t>1.- Coordinar reunión de trabajo para revisión de proyectos ejecutados y archivados.
2.- Recopilar banner publicitario de cursos ofertados y ejecutados.
3.- Revisar convenios suscritos.
4.- Revisar el Plan Anual de Desarrollo (PND).
5.- Identificar.</t>
  </si>
  <si>
    <t>1.- Evaluación del POA 2023.
2.- POA 2024.</t>
  </si>
  <si>
    <r>
      <rPr>
        <b/>
        <sz val="10"/>
        <color theme="1"/>
        <rFont val="Arial Narrow"/>
        <family val="2"/>
      </rPr>
      <t>14.-</t>
    </r>
    <r>
      <rPr>
        <sz val="10"/>
        <color theme="1"/>
        <rFont val="Arial Narrow"/>
        <family val="2"/>
      </rPr>
      <t xml:space="preserve"> Organizar el archivo de Gestión.</t>
    </r>
  </si>
  <si>
    <t>N° de Cajas de archivos organizado.</t>
  </si>
  <si>
    <t>1.- Recopilar la documentación de procesos internos/externos.
2.- Revisar habilitantes por procesos ejecutados bajo lineamientos de Educación Continua.
3.- Valorar y transferir la información a la plantilla de gestión documental.</t>
  </si>
  <si>
    <t>1.- Matriz de inventario documental.</t>
  </si>
  <si>
    <t>TOTAL PRESUPUESTO ESTIMATIVO DIRECCIÓN DE EDUCACIÓN CONTINUA 2023:</t>
  </si>
  <si>
    <r>
      <rPr>
        <b/>
        <sz val="11"/>
        <color rgb="FF000000"/>
        <rFont val="Arial Narrow"/>
        <family val="2"/>
      </rPr>
      <t xml:space="preserve">Elaborado por: </t>
    </r>
    <r>
      <rPr>
        <sz val="11"/>
        <color rgb="FF000000"/>
        <rFont val="Arial Narrow"/>
        <family val="2"/>
      </rPr>
      <t>Ing. María Isabel Carpio J.</t>
    </r>
  </si>
  <si>
    <r>
      <rPr>
        <b/>
        <sz val="11"/>
        <color rgb="FF000000"/>
        <rFont val="Arial Narrow"/>
        <family val="2"/>
      </rPr>
      <t xml:space="preserve">Fecha: </t>
    </r>
    <r>
      <rPr>
        <sz val="11"/>
        <color rgb="FF000000"/>
        <rFont val="Arial Narrow"/>
        <family val="2"/>
      </rPr>
      <t>13/09/2022</t>
    </r>
  </si>
  <si>
    <t>VICERRECTORADO ADMINISTRATIVO</t>
  </si>
  <si>
    <r>
      <rPr>
        <b/>
        <sz val="10"/>
        <color rgb="FFFF0000"/>
        <rFont val="Arial Narrow"/>
        <family val="2"/>
      </rPr>
      <t>METAS OPERATIVAS</t>
    </r>
    <r>
      <rPr>
        <b/>
        <sz val="9"/>
        <color theme="1"/>
        <rFont val="Century Schoolbook"/>
        <family val="1"/>
      </rPr>
      <t xml:space="preserve">
1.-</t>
    </r>
    <r>
      <rPr>
        <sz val="10"/>
        <color theme="1"/>
        <rFont val="Arial Narrow"/>
        <family val="2"/>
      </rPr>
      <t xml:space="preserve"> Coordinar y Supervisar las áreas y/o unidades adscritas al Vicerrectorado Administrativo, conforme constan en el organigrama estructural. </t>
    </r>
  </si>
  <si>
    <t>Áreas y/o unidades adscritas al Vicerrectorado Administrativo coordinadas y supervisadas, conforme constan en el organigrama estructural.</t>
  </si>
  <si>
    <t>N° de supervisiones realizadas a las áreas y/o unidades adscritas al Vicerrectorado Administrativo.</t>
  </si>
  <si>
    <t>1.- Solicitar y coordinar la planificación anual de actividades a la Dirección de Talento Humano, Dirección Financiera, Dirección Administrativa y Dirección de TICs.
2.- Revisar y validar los informes de cada área y/o unidad de forma cuatrimestral. 
3.- Elaborar informe de supervisión de áreas y/o unidades.</t>
  </si>
  <si>
    <t>1.- Informe de actividades presentados por la Dirección de Talento Humano, Dirección Financiera, Dirección Administrativa y Dirección de TICs, de forma cuatrimestral.
2.- Informe cuatrimestral sobre el estado de la ejecución de los procesos.</t>
  </si>
  <si>
    <t>* Ing. Irene Patricia Sánchez González,
  Vicerrectora Administrativa
* Ing. Maribel Pineda de la Torre,
  Analista de Vicerrectorado Administrativo
* Lcda. Maritza Ojeda Cueva</t>
  </si>
  <si>
    <t>Equipos y Sistemas Informáticos</t>
  </si>
  <si>
    <t>452200019</t>
  </si>
  <si>
    <t>Laptop Ultrabook 14 pulgadas, chip Apple M1 Pro con CPU de 10 núcleos y GPU de 16 núcleos, 16 GB de RAM, SSD de 1 TB</t>
  </si>
  <si>
    <r>
      <rPr>
        <b/>
        <sz val="9"/>
        <color theme="1"/>
        <rFont val="Century Schoolbook"/>
        <family val="1"/>
      </rPr>
      <t>2.-</t>
    </r>
    <r>
      <rPr>
        <sz val="10"/>
        <color theme="1"/>
        <rFont val="Arial Narrow"/>
        <family val="2"/>
      </rPr>
      <t xml:space="preserve"> Gestionar acciones de mejoras y/o correctivas a los resultados de la ejecución de los planes de capacitación y evaluación del desempeño; control de asistencia y permanencia del talento humano régimen LOSEP y Código de Trabajo; y estado de quejas, denuncias y/o contravenciones gestionadas, relacionadas con el personal administrativo y trabajadores.</t>
    </r>
  </si>
  <si>
    <t>Acciones de mejoras y/o correctivas a los resultados de la ejecución de los planes de capacitación y evaluación del desempeño; control de asistencia y permanencia del talento humano régimen LOSEP y Código de Trabajo; y estado actual de las quejas, denuncias y/o contravenciones, relacionadas con el personal administrativo y trabajadores, gestionadas.</t>
  </si>
  <si>
    <t>N° de acciones de mejoras y/o correctivas gestionadas, en base a los resultados de los planes de capacitación y evaluación, informes de asistencia y permanencia del personal sujeto a la LOSEP y Código de Trabajo, y sobre las quejas, denuncias y/o contravenciones, relacionadas con el personal administrativo y trabajadores.</t>
  </si>
  <si>
    <t>1.- Solicitar a la Dirección de Talento Humano informe sobre la ejecución de los Planes de capacitación y evaluación del desempeño de los servidores; informes de asistencia y permanencia del personal sujetos al régimen LOSEP y Código de Trabajo; e informes del estado de quejas, denuncias y/o contravenciones gestionadas, relacionadas con el personal administrativo y trabajadores.
2.- Revisar y analizar informes emitidos por la Dirección de Talento Humano.
3.- Elaborar informe de acciones de mejoras y/o correctivas para su aplicación, de existir novedades.</t>
  </si>
  <si>
    <t>1.- Informes emitidos por la Dirección de Talento Humano.
2.- Reporte de acciones de mejoras y/o correctivas relacionadas con el personal administrativo y trabajadores, de existir novedades.</t>
  </si>
  <si>
    <r>
      <rPr>
        <b/>
        <sz val="9"/>
        <color theme="1"/>
        <rFont val="Century Schoolbook"/>
        <family val="1"/>
      </rPr>
      <t>3.-</t>
    </r>
    <r>
      <rPr>
        <sz val="10"/>
        <color theme="1"/>
        <rFont val="Arial Narrow"/>
        <family val="2"/>
      </rPr>
      <t xml:space="preserve"> Coordinar y emitir directrices para el control administrativo del patrimonio institucional.</t>
    </r>
  </si>
  <si>
    <t>Directrices para el control administrativo del patrimonio institucional, coordinadas y emitidas.</t>
  </si>
  <si>
    <t>N° de directrices para el control administrativo del patrimonio institucional coordinadas y emitidas.</t>
  </si>
  <si>
    <t>1.- Realizar reuniones de trabajo.
2.- Elaborar actas de acuerdos establecidos.
3.- Emisión del documento sobre las directrices para el control administrativo del patrimonio institucional.</t>
  </si>
  <si>
    <t xml:space="preserve">1.- Informes emitidos por la dirección Administrativa y sus Unidades.
</t>
  </si>
  <si>
    <r>
      <rPr>
        <b/>
        <sz val="9"/>
        <color theme="1"/>
        <rFont val="Century Schoolbook"/>
        <family val="1"/>
      </rPr>
      <t>4.-</t>
    </r>
    <r>
      <rPr>
        <sz val="10"/>
        <color theme="1"/>
        <rFont val="Arial Narrow"/>
        <family val="2"/>
      </rPr>
      <t xml:space="preserve"> Coordinar el proceso de elaboración y/o actualización de documentos de definición de estructura orgánica, descripción, valoración y clasificación de puestos, en conjunto con las instancias pertinentes.</t>
    </r>
  </si>
  <si>
    <t>Proceso coordinado de elaboración y/o actualización de documentos de definición de estructura orgánica, descripción, valoración y clasificación de puestos, en conjunto con las instancias pertinentes.</t>
  </si>
  <si>
    <t>N° de procesos elaborados y actualizados de documentos de definición de estructura orgánica, descripción, valoración y clasificación de puestos.</t>
  </si>
  <si>
    <t>1.- Coordinar con la Dirección de Talento Humano la revisión, análisis y actualización del Reglamento Orgánico Funcional.
2.- Coordinar con otras Dependencias la elaboración y/o actualización de Instructivos y/o procedimientos.</t>
  </si>
  <si>
    <t>1.- Informes del estado actual de la implementación de documentos.</t>
  </si>
  <si>
    <t>* Ing. Irene Patricia Sánchez Gonzalez,
  Vicerrectora Administrativa
* Ing. Maribel Pineda de la Torre,
  Analista de Vicerrectorado Administrativo
* Lcda. Maritza Ojeda Cueva</t>
  </si>
  <si>
    <r>
      <rPr>
        <b/>
        <sz val="9"/>
        <color theme="1"/>
        <rFont val="Century Schoolbook"/>
        <family val="1"/>
      </rPr>
      <t>5.-</t>
    </r>
    <r>
      <rPr>
        <sz val="10"/>
        <color theme="1"/>
        <rFont val="Arial Narrow"/>
        <family val="2"/>
      </rPr>
      <t xml:space="preserve"> Gestionar acciones de mejora y/o correctivas en base a la aplicación de normas de conservación del ambiente, mantenimiento de edificios, aseo, ornato, vialidad e iluminación.</t>
    </r>
  </si>
  <si>
    <t>Acciones de mejora y/o correctivas en base a la aplicación de normas de conservación del ambiente, mantenimiento de edificios, aseo, ornato, vialidad e iluminación gestionadas.</t>
  </si>
  <si>
    <t>N° de acciones de mejora y/o correctivas gestionadas con base a la aplicación de normas de conservación del ambiente, mantenimiento de edificios, aseo, ornato, vialidad e iluminación.</t>
  </si>
  <si>
    <t>1.- Dar seguimiento a la Dependencia responsable, la aplicación de normas de conservación del ambiente. 
2.- Solicitar informe de cumplimiento a la Unidad de Obras de Infraestructura, Fiscalización y Mantenimiento.</t>
  </si>
  <si>
    <t>1.- Informe de acciones de mejoras y/o correctivas.</t>
  </si>
  <si>
    <r>
      <rPr>
        <b/>
        <sz val="9"/>
        <color theme="1"/>
        <rFont val="Century Schoolbook"/>
        <family val="1"/>
      </rPr>
      <t>6.-</t>
    </r>
    <r>
      <rPr>
        <sz val="10"/>
        <color theme="1"/>
        <rFont val="Arial Narrow"/>
        <family val="2"/>
      </rPr>
      <t xml:space="preserve"> Coordinar el proceso del diseño y/o actualización de proyectos de infraestructura física y tecnológico con las instancias pertinentes.</t>
    </r>
  </si>
  <si>
    <t>Proceso del diseño y/o actualización de proyectos de infraestructura física y tecnológica con las instancias pertinentes coordinado.</t>
  </si>
  <si>
    <t>N° de procesos de diseño y/o actualización de proyectos coordinados.</t>
  </si>
  <si>
    <t>1.- Dar seguimiento a las dependencias responsables de la elaboración del diseño para mejorar la infraestructura física y tecnológica.
2.- Solicitar informes de cumplimiento a la Jefatura de Obras de Infraestructura, Fiscalización y Mantenimiento; y Dirección de Tecnología de la Información y Comunicación.</t>
  </si>
  <si>
    <t>1.- Informe de avance de planificación de proyectos de infraestructura y tecnología.
2.- Reporte de diseños de Proyectos coordinados de seguridad de la infraestructura física.</t>
  </si>
  <si>
    <t>Servicio de Seguridad y Vigilancia</t>
  </si>
  <si>
    <t>Implementación de sistema tecnológico de control de acceso vehicular y peatonal</t>
  </si>
  <si>
    <r>
      <rPr>
        <b/>
        <sz val="9"/>
        <color theme="1"/>
        <rFont val="Century Schoolbook"/>
        <family val="1"/>
      </rPr>
      <t>7.-</t>
    </r>
    <r>
      <rPr>
        <sz val="10"/>
        <color theme="1"/>
        <rFont val="Arial Narrow"/>
        <family val="2"/>
      </rPr>
      <t xml:space="preserve"> Ejecutar actividades dispuestas por la máxima autoridad y/o máximo órgano colegiado.</t>
    </r>
  </si>
  <si>
    <t>Actividades dispuestas por la máxima autoridad y/o máximo órgano colegiado, ejecutadas.</t>
  </si>
  <si>
    <t>N° de actividades dispuestas por la máxima autoridad y/o máximo organismo colegiado, ejecutadas.</t>
  </si>
  <si>
    <t>1.- Atender las actividades dispuestas por el máximo organismo.
2.- Atender actividades delegadas por la máxima autoridad.</t>
  </si>
  <si>
    <t>1.- Reporte de actividades atendidas, dispuestas por el máximo organismo.
2.- Reporte de actividades atendidas, delegadas por la máxima autoridad.</t>
  </si>
  <si>
    <r>
      <rPr>
        <b/>
        <sz val="9"/>
        <color theme="1"/>
        <rFont val="Century Schoolbook"/>
        <family val="1"/>
      </rPr>
      <t>8.-</t>
    </r>
    <r>
      <rPr>
        <sz val="10"/>
        <color theme="1"/>
        <rFont val="Arial Narrow"/>
        <family val="2"/>
      </rPr>
      <t xml:space="preserve"> Presentar la Planificación Operativa Anual y Evaluación de la Planificación Operativa Anual.</t>
    </r>
  </si>
  <si>
    <t>Planificación Operativa Anual y Evaluación de la Planificación Operativa Anual, entregadas oportunamente.</t>
  </si>
  <si>
    <t>N° de Planificaciones Operativas Anual y Evaluaciones de las Planificaciones Operativas Anual, presentados.</t>
  </si>
  <si>
    <t>1.- Elaboración del POA 2024.
2.- Solicitar informes y/o habilitantes para la evaluación del POA, Primer y Segundo Semestre 2023.</t>
  </si>
  <si>
    <t>1.- POA 2024.
2.- Evaluación POA 2023.</t>
  </si>
  <si>
    <t>N° de cajas del archivo del Vicerrectorado Administrativo registradas en el inventario documental.</t>
  </si>
  <si>
    <t>1.- Llevar la organización de la correspondencia del Vicerrectorado Administrativo.</t>
  </si>
  <si>
    <t>TOTAL PRESUPUESTO ESTIMATIVO VICERRECTORADO ADMINISTRATIVO 2023:</t>
  </si>
  <si>
    <t>DIRECCIÓN DE TECNOLOGÍAS DE LA INFORMACIÓN Y COMUNICACIÓN</t>
  </si>
  <si>
    <t>CENTRALIZA</t>
  </si>
  <si>
    <r>
      <rPr>
        <b/>
        <sz val="10"/>
        <color rgb="FFFF0000"/>
        <rFont val="Arial Narrow"/>
        <family val="2"/>
      </rPr>
      <t xml:space="preserve">METAS OPERATIVAS
</t>
    </r>
    <r>
      <rPr>
        <b/>
        <sz val="10"/>
        <color rgb="FF000000"/>
        <rFont val="Arial Narrow"/>
        <family val="2"/>
      </rPr>
      <t>1.-</t>
    </r>
    <r>
      <rPr>
        <sz val="10"/>
        <color rgb="FF000000"/>
        <rFont val="Arial Narrow"/>
        <family val="2"/>
      </rPr>
      <t xml:space="preserve"> Gestionar la articulación de mecanismos y decisiones relacionadas con las estrategias tecnológicas que permitan la supervisión, evaluación y regulación del crecimiento de las Tecnologías de la Información y Comunicación y la calidad de los servicios informáticos en la institución.</t>
    </r>
  </si>
  <si>
    <t>Comité Informático implementado.</t>
  </si>
  <si>
    <t>N° de proyectos TI que consideren estrategias tecnológicas gestionadas.</t>
  </si>
  <si>
    <t>1.- Gestionar con las unidades administrativas y/o académicas propuestas conducentes al crecimiento de las TIC y la calidad de los servicios informáticos de la institución evidenciadas en proyectos TI generando propuestas dirigidas para aprobación ante Consejo Universitario.
2.- Diseñar el informe de seguimiento para control de la ejecución de los proyectos TI propuestas por el Comité Informático y aprobados por COnsejo Universitario.</t>
  </si>
  <si>
    <t>1.- Actas de sesión de trabajo del Comité Informático.
2.- Resoluciones de Consejo Universitario aprobando estrategias tecnológicas (proyectos TI) gestionadas.
3.- Informe de seguimiento para control de la ejecución de proyectos TI.</t>
  </si>
  <si>
    <t>* Jennifer Célleri,
  Directora TIC</t>
  </si>
  <si>
    <t>Si bien es cierto el producto es "Comité Informático implementado", en este año deberá evidenciarse el trabajo del Comité mediante la gestión para aprobación de estrategias tecnológicas ante Consejo Universitario</t>
  </si>
  <si>
    <r>
      <rPr>
        <b/>
        <sz val="10"/>
        <color theme="1"/>
        <rFont val="Arial Narrow"/>
        <family val="2"/>
      </rPr>
      <t>2.-</t>
    </r>
    <r>
      <rPr>
        <sz val="10"/>
        <color theme="1"/>
        <rFont val="Arial Narrow"/>
        <family val="2"/>
      </rPr>
      <t xml:space="preserve"> Brindar asesoría técnica para la toma de decisiones relacionadas con las actividades y procesos de las tecnologías de la información y comunicación.</t>
    </r>
  </si>
  <si>
    <t>Asesorías relacionadas con los procesos tecnológicos, gestionadas.</t>
  </si>
  <si>
    <t>N° de informes de valoración de las asesorías técnicas brindadas por las unidades administrativas DTIC, diseñados.</t>
  </si>
  <si>
    <t>1.- Solicitar a las unidades administrativas DTIC el diseño del informe de asesorías técnicas brindadas.
2.- Diseñar el informe de valoración de las asesorías técnicas brindadas por las unidades administrativas DTIC.</t>
  </si>
  <si>
    <t>1.- Informe de valoración de asesorías técnicas DTIC brindadas por las unidades administrativas DTIC (Unidades de: Sistemas-Seguridad, Redes y Telecomunicaciones, Mantenimiento de equipos informáticos).</t>
  </si>
  <si>
    <t>* Jennifer Célleri,
  Directora TIC
* Betty Pachucho Hernández,
  Jefa de Sistemas
* Byron Ramírez Carrillo,
  Jefe de Redes y Telecomunicaciones
* Howard Pazmiño Carrión,
  Analista de la Unidad de Mantenimiento de Equipos Informáticos</t>
  </si>
  <si>
    <t>SILLON QHAPAX</t>
  </si>
  <si>
    <r>
      <rPr>
        <b/>
        <sz val="10"/>
        <color theme="1"/>
        <rFont val="Arial Narrow"/>
        <family val="2"/>
      </rPr>
      <t>3.-</t>
    </r>
    <r>
      <rPr>
        <b/>
        <sz val="10"/>
        <color theme="1"/>
        <rFont val="Arial Narrow"/>
        <family val="2"/>
      </rPr>
      <t xml:space="preserve"> </t>
    </r>
    <r>
      <rPr>
        <sz val="10"/>
        <color theme="1"/>
        <rFont val="Arial Narrow"/>
        <family val="2"/>
      </rPr>
      <t>Gestionar la definición e implementación del modelo de gestión institucional de la información y comunicación.</t>
    </r>
  </si>
  <si>
    <t>Definición e implementación del modelo de gestión institucional de la información y comunicación, gestionado.</t>
  </si>
  <si>
    <t>N° de modelos de gestión institucional de la información y comunicación, aprobado.</t>
  </si>
  <si>
    <t>1.- Valorar para actualizar la propuesta vigente del modelo de gestión institucional de la información y comunicación.
2.- Actualizar el modelo de gestión institucional de la información y comunicación.</t>
  </si>
  <si>
    <t>1.- Modelo de gestión de la información y comunicación UTMACH, aprobado.</t>
  </si>
  <si>
    <r>
      <rPr>
        <b/>
        <sz val="10"/>
        <color theme="1"/>
        <rFont val="Arial Narrow"/>
        <family val="2"/>
      </rPr>
      <t>4.-</t>
    </r>
    <r>
      <rPr>
        <b/>
        <sz val="10"/>
        <color theme="1"/>
        <rFont val="Arial Narrow"/>
        <family val="2"/>
      </rPr>
      <t xml:space="preserve"> </t>
    </r>
    <r>
      <rPr>
        <sz val="10"/>
        <color theme="1"/>
        <rFont val="Arial Narrow"/>
        <family val="2"/>
      </rPr>
      <t>Gestionar la actualización para aprobación de la Planificación Estratégica de Tecnologías de la Información y Comunicación.</t>
    </r>
  </si>
  <si>
    <t xml:space="preserve">Planificación Estratégica de Tecnologías de la Información y Comunicación, implementada. </t>
  </si>
  <si>
    <t>N° de Planificaciones Estratégicas de TIC, implementada.</t>
  </si>
  <si>
    <t>1.- Actualizar la propuesta vigente de la Planificación Estratégica de Tecnologías de la Información y Comunicación (PETI).
2.- Gestionar la aprobación del PETI ante Consejo Universitario.</t>
  </si>
  <si>
    <t>1.- Planificación Estratégica de TIC, implementada.</t>
  </si>
  <si>
    <r>
      <rPr>
        <b/>
        <sz val="10"/>
        <color theme="1"/>
        <rFont val="Arial Narrow"/>
        <family val="2"/>
      </rPr>
      <t>5.-</t>
    </r>
    <r>
      <rPr>
        <b/>
        <sz val="10"/>
        <color theme="1"/>
        <rFont val="Arial Narrow"/>
        <family val="2"/>
      </rPr>
      <t xml:space="preserve"> </t>
    </r>
    <r>
      <rPr>
        <sz val="10"/>
        <color theme="1"/>
        <rFont val="Arial Narrow"/>
        <family val="2"/>
      </rPr>
      <t>Gestionar la planificación anual de contingencia de desarrollo de software.</t>
    </r>
  </si>
  <si>
    <t>Planificación anual de contingencia de desarrollo de software, gestionada.</t>
  </si>
  <si>
    <t>N° de planes de contingencia de desarrollo de software UTMACH, gestionados.</t>
  </si>
  <si>
    <t>1.- Solicitar a la unidad de sistemas (USI DTIC), el diseño del plan anual de contingencia de desarrollo de software, para aprobación.
2.- Diseñar un informe de valoración de la ejecución del plan anual de desarrollo de software versus el plan de contingencia de desarrollo de software.</t>
  </si>
  <si>
    <t>1.- Solicitud a la unidad de sistemas el diseño del plan anual de contingencia de desarrollo de software.
2.- Plan anual de contingencia de desarrollo de software UTMACH, aprobado.</t>
  </si>
  <si>
    <t>* Director TIC
* Jefa de sistemas DTIC</t>
  </si>
  <si>
    <r>
      <rPr>
        <b/>
        <sz val="10"/>
        <color rgb="FF000000"/>
        <rFont val="Arial Narrow"/>
        <family val="2"/>
      </rPr>
      <t xml:space="preserve">6.- </t>
    </r>
    <r>
      <rPr>
        <sz val="10"/>
        <color rgb="FF000000"/>
        <rFont val="Arial Narrow"/>
        <family val="2"/>
      </rPr>
      <t>Dirigir el proceso de implementación del modelo de sistemas de información.</t>
    </r>
  </si>
  <si>
    <t>Modelo de sistemas de información, implementado.</t>
  </si>
  <si>
    <t>N° de modelos de sistemas de información, implementados.</t>
  </si>
  <si>
    <t>1.- Revisar la propuesta inicial relacionada con el modelo de sistemas de información.
2.- Rediseñar el modelo de sistemas de información en base a posibles observaciones identificadas.
3.- Aprobar el modelo de sistemas de información.</t>
  </si>
  <si>
    <t>1.- Modelo de sistemas de información, aprobado.
2.- Informe de seguimiento de la aplicación del modelo de sistemas de información, aprobado.</t>
  </si>
  <si>
    <t>* Jennifer Célleri,
  Directora TIC
* Betty Pachucho Hernández,
  Jefa de Sistemas
* Byron Ramírez Carrillo,
  Jefe de Redes y Telecomunicaciones</t>
  </si>
  <si>
    <r>
      <rPr>
        <b/>
        <sz val="10"/>
        <color rgb="FF000000"/>
        <rFont val="Arial Narrow"/>
        <family val="2"/>
      </rPr>
      <t xml:space="preserve">7.- </t>
    </r>
    <r>
      <rPr>
        <sz val="10"/>
        <color rgb="FF000000"/>
        <rFont val="Arial Narrow"/>
        <family val="2"/>
      </rPr>
      <t>Dirigir el seguimiento a la política general de seguridad de la información.</t>
    </r>
  </si>
  <si>
    <t>Seguimiento y monitoreo a la política general de seguridad de la información, dirigido.</t>
  </si>
  <si>
    <t>N° de procesos de seguimiento y monitoreo a la Política general de seguridad de la información UTMACH, dirigido.</t>
  </si>
  <si>
    <t>1.- Gestionar la actualización de la Política General de Seguridad de la Información.
2.- Socializar con la comunidad universitaria la Política de seguridad de la información.
3.- Supervisar el cumplimiento de la Política de seguridad de la información.
4.- Identificar los hallazgos e implementar controles basados en el informe de seguimiento y monitoreo.</t>
  </si>
  <si>
    <t>1.- Política General de Seguridad de la Información UTMACH, actualizada.
2.- Informe de seguimiento y monitoreo a la Política general de seguridad de la información UTMACH, diseñado.
3.- Informe de controles implementados basados en hallazgos del seguimiento y control de la Política General de Seguridad de la Información UTMACH, valorado.</t>
  </si>
  <si>
    <r>
      <rPr>
        <b/>
        <sz val="10"/>
        <color rgb="FF000000"/>
        <rFont val="Arial Narrow"/>
        <family val="2"/>
      </rPr>
      <t xml:space="preserve">8.- </t>
    </r>
    <r>
      <rPr>
        <sz val="10"/>
        <color rgb="FF000000"/>
        <rFont val="Arial Narrow"/>
        <family val="2"/>
      </rPr>
      <t>Gestionar la Evaluación del impacto de los procesos automatizados.</t>
    </r>
  </si>
  <si>
    <t>Evaluación del impacto de los procesos automatizados, gestionada.</t>
  </si>
  <si>
    <t>N° de procesos de evaluación del impacto de los procesos automatizados, gestionados.</t>
  </si>
  <si>
    <t>1.- Gestionar la actualización de los instrumentos que permitan medir el impacto de los procesos automatizados.
2.- Solicitar a la unidad de sistemas, el informe de evaluación del impacto de los procesos automatizados.
3.- Aprobar el informe de la evaluación del impacto de los procesos automatizados.</t>
  </si>
  <si>
    <t>1.- Informe de evaluación del impacto de los procesos automatizados UTMACH, aprobado.</t>
  </si>
  <si>
    <t>* Jennifer Célleri,
  Directora TIC
* Betty Pachucho Hernández,
  Jefa de Sistemas</t>
  </si>
  <si>
    <t>UPS diferentes capacidades</t>
  </si>
  <si>
    <t>Discos externos 4 TB</t>
  </si>
  <si>
    <r>
      <rPr>
        <b/>
        <sz val="10"/>
        <color rgb="FF000000"/>
        <rFont val="Arial Narrow"/>
        <family val="2"/>
      </rPr>
      <t xml:space="preserve">9.- </t>
    </r>
    <r>
      <rPr>
        <sz val="10"/>
        <color rgb="FF000000"/>
        <rFont val="Arial Narrow"/>
        <family val="2"/>
      </rPr>
      <t>Gestionar la planificación de contingencias de procesos tecnológicos en coordinación con las instancias pertinentes.</t>
    </r>
  </si>
  <si>
    <t>Planificación de contingencias de procesos tecnológicos, gestionada.</t>
  </si>
  <si>
    <t>N° planes de contingencia de procesos tecnológicos, gestionados.</t>
  </si>
  <si>
    <t>1.- Solicitar a las unidades administrativas DIR TIC, el diseño del plan de contingencia de procesos tecnológicos, para aprobación.
2.- Solicitar a las unidades administrativas DTIC, el diseño del informe de cumplimiento del plan de contingencia de procesos tecnológicos.</t>
  </si>
  <si>
    <t>1.- Plan de contingencia de procesos tecnológicos UTMACH, aprobados.
2.- Informe de cumplimiento del plan de contingencia de procesos tecnológicos UTMACH, valorado.</t>
  </si>
  <si>
    <t>Garantías Extendida de Bienes</t>
  </si>
  <si>
    <t>Renovación de garantías extendidas y soporte de fabrica para los equipos que conforman la plataforma Flexpod (contrato 2022)</t>
  </si>
  <si>
    <t>Repuestos y Accesorios</t>
  </si>
  <si>
    <t>Discos Sólidos 9600 Gb</t>
  </si>
  <si>
    <t>Discos Sólidos 480 Gb</t>
  </si>
  <si>
    <r>
      <rPr>
        <b/>
        <sz val="10"/>
        <color rgb="FF000000"/>
        <rFont val="Arial Narrow"/>
        <family val="2"/>
      </rPr>
      <t xml:space="preserve">10.- </t>
    </r>
    <r>
      <rPr>
        <sz val="10"/>
        <color rgb="FF000000"/>
        <rFont val="Arial Narrow"/>
        <family val="2"/>
      </rPr>
      <t>Gestionar la planificación de proyectos tecnológicos en coordinación con las instancias pertinentes.</t>
    </r>
  </si>
  <si>
    <t>Proyectos tecnológicos, gestionados.</t>
  </si>
  <si>
    <t>N° de proyectos tecnológicos, gestionados.</t>
  </si>
  <si>
    <t>1.- Solicitar a las unidades administrativas DIR TIC, el diseño de proyectos tecnológicos gestionados en coordinación con la Dirección de Planificación u otras instancias pertinentes, para aprobación.
2.- Solicitar a las unidades administrativas DTIC el informe de cumpimiento de los proyectos tecnológicos aprobados.</t>
  </si>
  <si>
    <t xml:space="preserve">
1.- Proyectos tecnológiocs UTMACH, aprobados.
2.- Informe de cumplimiento de los proyectos tecnológiocs UTMACH valorado.</t>
  </si>
  <si>
    <t>002 730703</t>
  </si>
  <si>
    <t>Arrendamiento y Licencias de uso de paquetes informáticos</t>
  </si>
  <si>
    <t>Proyecto de inversión: Actualización de la infraestructura tecnológica de nueva generación de procesamiento, almacenamiento y del Core de la red LAN de la UTMACH; contrato pendiente 2022.</t>
  </si>
  <si>
    <t>002 840107</t>
  </si>
  <si>
    <t>Licencias ADOBE CREATIVE CLOUD por un año</t>
  </si>
  <si>
    <t>Camaras web</t>
  </si>
  <si>
    <r>
      <rPr>
        <b/>
        <sz val="10"/>
        <color rgb="FF000000"/>
        <rFont val="Arial Narrow"/>
        <family val="2"/>
      </rPr>
      <t xml:space="preserve">11.- </t>
    </r>
    <r>
      <rPr>
        <sz val="10"/>
        <color rgb="FF000000"/>
        <rFont val="Arial Narrow"/>
        <family val="2"/>
      </rPr>
      <t>Gestionar la Planificación de capacitación informática.</t>
    </r>
  </si>
  <si>
    <t>Planificación de capacitación informática, gestionada.</t>
  </si>
  <si>
    <t>N° de planificaciones de capacitación informática, gestionada.</t>
  </si>
  <si>
    <t>1.- Solicitar a la unidad de sistemas, el diseño del plan de capacitación informático para aprobación.
2.- Solicitar a la unidad de sistemas, el diseño del informe de cumplimiento del plan anual de capacitación para aprobación.</t>
  </si>
  <si>
    <t xml:space="preserve">
1.- Plan de capacitación informático UTMACH aprobado.
2.- Informe de cumplimiento del plan de capacitación informático UTMACH, valorado.</t>
  </si>
  <si>
    <t xml:space="preserve">PARES DE PILAS AA </t>
  </si>
  <si>
    <r>
      <rPr>
        <b/>
        <sz val="10"/>
        <color rgb="FF000000"/>
        <rFont val="Arial Narrow"/>
        <family val="2"/>
      </rPr>
      <t xml:space="preserve">12.- </t>
    </r>
    <r>
      <rPr>
        <sz val="10"/>
        <color rgb="FF000000"/>
        <rFont val="Arial Narrow"/>
        <family val="2"/>
      </rPr>
      <t>Gestionar la Planificación de desarrollo y adquisición de software e infraestructura tecnológica.</t>
    </r>
  </si>
  <si>
    <t>Planificación de desarrollo y adquisición de software e infraestructura tecnológica, gestionada.</t>
  </si>
  <si>
    <t>N° de planificaciones de desarrollo de software e infraestructura tecnológica UTMACH, aprobado.</t>
  </si>
  <si>
    <t>1.- Solicitar a la unidad de sistemas, el diseño del plan de desarrollo de software y a la unidad de redes y telecomunicaciones el plan de adquisición de infraestructura tecnológica, para aprobación.
2.- Solicitar a las unidades de sistemas y de redes y telecomunicaciones el diseño del informe de complimiento del plan de desarrollo de software y del plan de adquisición de infraestructura tecnológica, respectivamente.</t>
  </si>
  <si>
    <t>1.- Plan de desarrollo de software y Plan anual de adquisición de infraestructura tecnológica UTMACH, aprobado.
2.- Informe de cumplimiento del Plan anual de desarrollo de software y del Plan anual de adquisición de infraestructura tecnológica UTMACH, valorado.</t>
  </si>
  <si>
    <t>DPLAN: Los recursos de fuente de financiamiento 002 dependenrán de los ingresos propios que tenga la institución.
No se planifica compra de impresora atendiendo al eje 3. "Transformación digital y calidad". Se planifica mantenimiento de impresoras existentes.
DPLAN: Se incorporan recursos para adquisición de equipos que requieren unidades administrativas; entre la que consta, el computador para la sala espejo.</t>
  </si>
  <si>
    <t>DTH (5), DAdm (5), Dirección Financiera (2), PG (1), SG (1), DPOS (1), DA (2)</t>
  </si>
  <si>
    <t>Computador MacBook Air</t>
  </si>
  <si>
    <t>Pantalla multimedia</t>
  </si>
  <si>
    <t xml:space="preserve">Ipad </t>
  </si>
  <si>
    <t>s</t>
  </si>
  <si>
    <t>Tablets android</t>
  </si>
  <si>
    <t>Soportes de monitor</t>
  </si>
  <si>
    <t>Computador portátil</t>
  </si>
  <si>
    <t>DFIN (1), PG (1), SG (2), VAC (1), 13. DA (4), 16. VAD (1)</t>
  </si>
  <si>
    <t>Escanner</t>
  </si>
  <si>
    <t>DTH (2), DAdm (1), DFIN (2), PG (1), SG (1 Duplex), DPOS (1)</t>
  </si>
  <si>
    <t>Servidor NAS</t>
  </si>
  <si>
    <t>DFIN (3), PG (1), SG (1)</t>
  </si>
  <si>
    <t>Monitores -21''</t>
  </si>
  <si>
    <t>DFIN (2)</t>
  </si>
  <si>
    <t>Monitor27''</t>
  </si>
  <si>
    <t>DFIN (1)</t>
  </si>
  <si>
    <t>Computador todo en uno para sala espejo</t>
  </si>
  <si>
    <t>Computador Todo en Uno</t>
  </si>
  <si>
    <t xml:space="preserve">UPS </t>
  </si>
  <si>
    <t>Adquisición de proyectores de imagen (contrato 2022)</t>
  </si>
  <si>
    <t>Proyector de vídeo</t>
  </si>
  <si>
    <t>Arrendamiento de Equipos Informáticos</t>
  </si>
  <si>
    <t>Por definir</t>
  </si>
  <si>
    <t>Implementación de un servicio de infraestructura de cómputo y almacenamiento, como parte del componente 3 del Proyecto de Actualización de la Infraestructura Tecnológica de Nueva Generación de Procesamiento, Almacenamiento y del Core de la Red LAN de la Universidad Técnica de Machala (PAI 2023)</t>
  </si>
  <si>
    <t>Servicio de implementación de una red wifi (contrato 2019)</t>
  </si>
  <si>
    <t>Contrato del servicio de acceso a una red avanzada de Internet, Nivel Avanzado 2</t>
  </si>
  <si>
    <t>Servicio de internet (contrato 2022)</t>
  </si>
  <si>
    <r>
      <rPr>
        <b/>
        <sz val="10"/>
        <color rgb="FF000000"/>
        <rFont val="Arial Narrow"/>
        <family val="2"/>
      </rPr>
      <t xml:space="preserve">13.- </t>
    </r>
    <r>
      <rPr>
        <sz val="10"/>
        <color rgb="FF000000"/>
        <rFont val="Arial Narrow"/>
        <family val="2"/>
      </rPr>
      <t>Entregar la Planificación Operativa Anual y Evaluación de la Planificación Operativa Anual.</t>
    </r>
  </si>
  <si>
    <t>N° de planificaciones operativas anuales y evaluaciones de la planificación operativa anual DIR TIC, entregadas.</t>
  </si>
  <si>
    <t>1.- Elaborar POA 2024.
2.- Evaluar el POA 2023.</t>
  </si>
  <si>
    <t>1.- POA DTIC 2024.
2.- Evaluación POA DTIC 2023.</t>
  </si>
  <si>
    <t>* Jennifer Célleri,
  Directora TIC
* Betty Pachucho Hernández,
  Jefa de Sistemas
* Byron Ramírez Carrillo,
  Jefe de Redes  y Telecomunicaciones</t>
  </si>
  <si>
    <r>
      <rPr>
        <b/>
        <sz val="10"/>
        <color rgb="FF000000"/>
        <rFont val="Arial Narrow"/>
        <family val="2"/>
      </rPr>
      <t xml:space="preserve">14.- </t>
    </r>
    <r>
      <rPr>
        <sz val="10"/>
        <color rgb="FF000000"/>
        <rFont val="Arial Narrow"/>
        <family val="2"/>
      </rPr>
      <t>Organizar el Archivo de Gestión.</t>
    </r>
  </si>
  <si>
    <t>Archivo de gestión, organizado.</t>
  </si>
  <si>
    <t>N° de carpetas registradas en el inventario documental DTIC, organizadas.</t>
  </si>
  <si>
    <t>1.- Seleccionar y clasificar la documentación.
2.- Describir la documentación según la norma ISAD-G.
3.- Preservar la documentación en las Unidades de Almacenamiento.</t>
  </si>
  <si>
    <t>1.- Inventario documental DTIC, organizado.</t>
  </si>
  <si>
    <t>TOTAL PRESUPUESTO ESTIMATIVO DTIC 2023:</t>
  </si>
  <si>
    <t>UNIDAD DE SISTEMAS Y SEGURIDAD INFORMÁTICA</t>
  </si>
  <si>
    <r>
      <rPr>
        <b/>
        <sz val="10"/>
        <color rgb="FFFF0000"/>
        <rFont val="Arial Narrow"/>
        <family val="2"/>
      </rPr>
      <t xml:space="preserve">METAS OPERATIVAS
</t>
    </r>
    <r>
      <rPr>
        <b/>
        <sz val="10"/>
        <color rgb="FF000000"/>
        <rFont val="Arial Narrow"/>
        <family val="2"/>
      </rPr>
      <t xml:space="preserve">1.- </t>
    </r>
    <r>
      <rPr>
        <sz val="10"/>
        <color rgb="FF000000"/>
        <rFont val="Arial Narrow"/>
        <family val="2"/>
      </rPr>
      <t>Diseñar y/o actualizar Propuestas de políticas, procedimientos, proyectos, manuales u otros instrumentos, que contribuyan a la implementación del modelo de gestión institucional de tecnologías de la información y comunicación, relacionado con aplicaciones informáticas.</t>
    </r>
  </si>
  <si>
    <t>Propuestas de políticas, procedimientos, proyectos, manuales y otros instrumentos, que contribuyan a la implementación del modelo de gestión institucional de tecnologías de la información y comunicación, relacionado con aplicaciones informáticas, diseñadas y/o actualizadas.</t>
  </si>
  <si>
    <t>N° de propuestas de políticas, procedimientos, proyectos, manuales y otros instrumentos presentadas.</t>
  </si>
  <si>
    <t>1.- Elaborar la propuesta.
2.- Gestionar la aprobación de la propuesta.</t>
  </si>
  <si>
    <t>1.- Oficios y/o correos electrónicos de entrega de los documentos.
2.- Documento de la política, procedimientos, proyectos, manuales u otros instrumentos.</t>
  </si>
  <si>
    <t>* Betty Pachucho Hernández,
  Jefe de la Unidad de Sistemas</t>
  </si>
  <si>
    <r>
      <rPr>
        <b/>
        <sz val="10"/>
        <color theme="1"/>
        <rFont val="Arial Narrow"/>
        <family val="2"/>
      </rPr>
      <t>2.-</t>
    </r>
    <r>
      <rPr>
        <b/>
        <sz val="10"/>
        <color theme="1"/>
        <rFont val="Arial Narrow"/>
        <family val="2"/>
      </rPr>
      <t xml:space="preserve"> </t>
    </r>
    <r>
      <rPr>
        <sz val="10"/>
        <color theme="1"/>
        <rFont val="Arial Narrow"/>
        <family val="2"/>
      </rPr>
      <t>Planificar el proceso de desarrollo de Software.</t>
    </r>
  </si>
  <si>
    <t>Planificación anual de desarrollo de Software, efectuada.</t>
  </si>
  <si>
    <t>N° de planes de desarrollo de software, presentado.</t>
  </si>
  <si>
    <t>1.- Analizar procesos que requieren automatización.
2.- Validar los requerimientos de automatización.
3.- Elaborar el Plan anual de desarrollo de software.</t>
  </si>
  <si>
    <t>1.- Plan anual de desarrollo de software.</t>
  </si>
  <si>
    <r>
      <rPr>
        <b/>
        <sz val="10"/>
        <color theme="1"/>
        <rFont val="Arial Narrow"/>
        <family val="2"/>
      </rPr>
      <t>3.-</t>
    </r>
    <r>
      <rPr>
        <b/>
        <sz val="10"/>
        <color theme="1"/>
        <rFont val="Arial Narrow"/>
        <family val="2"/>
      </rPr>
      <t xml:space="preserve"> </t>
    </r>
    <r>
      <rPr>
        <sz val="10"/>
        <color theme="1"/>
        <rFont val="Arial Narrow"/>
        <family val="2"/>
      </rPr>
      <t>Supervisar la ejecución del proceso de desarrollo de Software.</t>
    </r>
  </si>
  <si>
    <t>Planificación anual de contingencia de desarrollo de software, efectuada.</t>
  </si>
  <si>
    <t>N° de planes de contingencia e informes semestrales de supervisión del proceso de desarrollo de software presentados.</t>
  </si>
  <si>
    <t>1.- Realizar el seguimiento de la ejecución del Plan de desarrollo de software.
2.- Analizar requerimientos de automatización emergentes.
3.- Elaborar el Plan anual de contingencia de desarrollo de software.</t>
  </si>
  <si>
    <t>1.- Plan anual de contingencia de software.
2.- Informe semestral del estado de ejecución del plan de desarrollo de software.</t>
  </si>
  <si>
    <r>
      <rPr>
        <b/>
        <sz val="10"/>
        <color theme="1"/>
        <rFont val="Arial Narrow"/>
        <family val="2"/>
      </rPr>
      <t>4.-</t>
    </r>
    <r>
      <rPr>
        <b/>
        <sz val="10"/>
        <color theme="1"/>
        <rFont val="Arial Narrow"/>
        <family val="2"/>
      </rPr>
      <t xml:space="preserve"> </t>
    </r>
    <r>
      <rPr>
        <sz val="10"/>
        <color theme="1"/>
        <rFont val="Arial Narrow"/>
        <family val="2"/>
      </rPr>
      <t>Analizar y desarrollar aplicaciones informáticas.</t>
    </r>
  </si>
  <si>
    <t>Aplicaciones informáticas, implementadas.</t>
  </si>
  <si>
    <t>N° de aplicaciones informáticas implementadas.</t>
  </si>
  <si>
    <t>1.- Convocar a reuniones de trabajo con los usuarios de las aplicaciones.
2.- Realizar el análisis, diseño y programación del sistema informáticos.
3.- Implementar la aplicación.</t>
  </si>
  <si>
    <t>1.- Acta de entrega-recepción de software por cada aplicación informática implementada.</t>
  </si>
  <si>
    <t>Sencha Ext JS → Enterprise edition (Perpetual License) por un año</t>
  </si>
  <si>
    <t>Licencia Flash Able Bootstrap 4 Admin-Template-Extended</t>
  </si>
  <si>
    <t>Licencias ARCHICAD</t>
  </si>
  <si>
    <t>Curso Administración PostgreSQL</t>
  </si>
  <si>
    <r>
      <rPr>
        <b/>
        <sz val="10"/>
        <color theme="1"/>
        <rFont val="Arial Narrow"/>
        <family val="2"/>
      </rPr>
      <t>5.-</t>
    </r>
    <r>
      <rPr>
        <b/>
        <sz val="10"/>
        <color theme="1"/>
        <rFont val="Arial Narrow"/>
        <family val="2"/>
      </rPr>
      <t xml:space="preserve"> </t>
    </r>
    <r>
      <rPr>
        <sz val="10"/>
        <color theme="1"/>
        <rFont val="Arial Narrow"/>
        <family val="2"/>
      </rPr>
      <t>Planificar y supervisar el proceso de capacitación relacionado con las aplicaciones informáticas.</t>
    </r>
  </si>
  <si>
    <t>Planificación de capacitación en el uso de las aplicaciones informáticas, diseñada y supervisada.</t>
  </si>
  <si>
    <t>N° de planes de capacitación elaborados e informes de supervisión del proceso de capacitación presentados.</t>
  </si>
  <si>
    <t>1.- Revisar el inventario de aplicaciones informáticas desarrolladas.
2.- Receptar requerimientos de capacitación.
3.- Analizar la necesidad de capacitación.
4.- Elaborar el plan de capacitación.
5.- Coordinar la capacitación.</t>
  </si>
  <si>
    <r>
      <rPr>
        <sz val="10"/>
        <color rgb="FF000000"/>
        <rFont val="Arial Narrow"/>
        <family val="2"/>
      </rPr>
      <t>1.-</t>
    </r>
    <r>
      <rPr>
        <sz val="10"/>
        <color rgb="FFFF0000"/>
        <rFont val="Arial Narrow"/>
        <family val="2"/>
      </rPr>
      <t xml:space="preserve"> </t>
    </r>
    <r>
      <rPr>
        <sz val="10"/>
        <color rgb="FF000000"/>
        <rFont val="Arial Narrow"/>
        <family val="2"/>
      </rPr>
      <t>Plan anual del proceso de capacitación relacionado con las aplicaciones informáticas.
2.- Informe semestral del estado de ejecución del proceso de capacitación relacionado con las aplicaciones informáticas.</t>
    </r>
  </si>
  <si>
    <r>
      <rPr>
        <b/>
        <sz val="10"/>
        <color theme="1"/>
        <rFont val="Arial Narrow"/>
        <family val="2"/>
      </rPr>
      <t>6.-</t>
    </r>
    <r>
      <rPr>
        <b/>
        <sz val="10"/>
        <color theme="1"/>
        <rFont val="Arial Narrow"/>
        <family val="2"/>
      </rPr>
      <t xml:space="preserve"> </t>
    </r>
    <r>
      <rPr>
        <sz val="10"/>
        <color theme="1"/>
        <rFont val="Arial Narrow"/>
        <family val="2"/>
      </rPr>
      <t>Emitir criterios técnicos (informe de asesoría) para soporte a usuarios.</t>
    </r>
  </si>
  <si>
    <t>Soporte técnico a usuarios en lo relacionado al uso de las aplicaciones informáticas, coordinado.</t>
  </si>
  <si>
    <t>N° de soportes técnicos brindados a usuarios en lo relacionado al uso de las aplicaciones informática.</t>
  </si>
  <si>
    <t>1.- Receptar el requerimiento de criterio técnico.
2.- Analizar el requerimiento solicitado.
3.- Notificar al usuario el soporte brindado.</t>
  </si>
  <si>
    <t>1.- Reporte de criterios técnicos para soporte de usuarios.</t>
  </si>
  <si>
    <r>
      <rPr>
        <b/>
        <sz val="10"/>
        <color theme="1"/>
        <rFont val="Arial Narrow"/>
        <family val="2"/>
      </rPr>
      <t xml:space="preserve">7.- </t>
    </r>
    <r>
      <rPr>
        <sz val="10"/>
        <color theme="1"/>
        <rFont val="Arial Narrow"/>
        <family val="2"/>
      </rPr>
      <t>Coordinar la funcionalidad del aspecto tecnológico del sitio web oficial de la institución.</t>
    </r>
  </si>
  <si>
    <t>Funcionalidad del aspecto tecnológico del sitio web oficial de la institución, coordinado.</t>
  </si>
  <si>
    <t>N° de estudios de funcionalidad del sitio web oficial de la institución realizados.</t>
  </si>
  <si>
    <t>1.- Revisar la capacidad de almacenamiento en el servidor.
2.- Analizar nuevas versiones de software para actualización de acuerdo a compatibilidad.
3.- Realizar la actualización de la versión del software del portal.</t>
  </si>
  <si>
    <t>1.- Informe de funcionalidad del sitio web oficial de la institución.</t>
  </si>
  <si>
    <r>
      <rPr>
        <b/>
        <sz val="10"/>
        <color theme="1"/>
        <rFont val="Arial Narrow"/>
        <family val="2"/>
      </rPr>
      <t xml:space="preserve">8.- </t>
    </r>
    <r>
      <rPr>
        <sz val="10"/>
        <color theme="1"/>
        <rFont val="Arial Narrow"/>
        <family val="2"/>
      </rPr>
      <t>Coordinar y supervisar la administración del correo electrónico institucional.</t>
    </r>
  </si>
  <si>
    <t>Administración del correo electrónico institucional, coordinada y supervisada.</t>
  </si>
  <si>
    <t>N° de cuentas de correo electrónico institucional creadas / actualizadas.</t>
  </si>
  <si>
    <t>1.- Efectuar la recepción de las solicitudes de creación de correos institucionales.
2.- Realizar la creación de las cuentas de correos institucionales.
3.- Realizar la actualización de la plataforma de correos institucionales.</t>
  </si>
  <si>
    <t>1.- Informe de administración del correo electrónico institucional.</t>
  </si>
  <si>
    <r>
      <rPr>
        <b/>
        <sz val="10"/>
        <color theme="1"/>
        <rFont val="Arial Narrow"/>
        <family val="2"/>
      </rPr>
      <t>9.-</t>
    </r>
    <r>
      <rPr>
        <b/>
        <sz val="10"/>
        <color theme="1"/>
        <rFont val="Arial Narrow"/>
        <family val="2"/>
      </rPr>
      <t xml:space="preserve"> </t>
    </r>
    <r>
      <rPr>
        <sz val="10"/>
        <color theme="1"/>
        <rFont val="Arial Narrow"/>
        <family val="2"/>
      </rPr>
      <t>Emitir reportes de estado de aplicación de las políticas de seguridad de la información (sistemas informáticos).</t>
    </r>
  </si>
  <si>
    <t>Cumplimiento de la Política General de Seguridad de la Información, en el ámbito de las aplicaciones informáticas, coordinado.</t>
  </si>
  <si>
    <t>N° de acceso a las aplicacIones informáticas institucionales otorgados a usuarios.</t>
  </si>
  <si>
    <t>1.- Otorgar acceso a las aplicaciones informáticas de acuerdo a los roles asignados (uso de claves y seguridad).</t>
  </si>
  <si>
    <t>1.- Informe de estado de aplicación de las políticas de seguridad de la información.</t>
  </si>
  <si>
    <r>
      <rPr>
        <b/>
        <sz val="10"/>
        <color theme="1"/>
        <rFont val="Arial Narrow"/>
        <family val="2"/>
      </rPr>
      <t>10.-</t>
    </r>
    <r>
      <rPr>
        <b/>
        <sz val="10"/>
        <color theme="1"/>
        <rFont val="Arial Narrow"/>
        <family val="2"/>
      </rPr>
      <t xml:space="preserve"> </t>
    </r>
    <r>
      <rPr>
        <sz val="10"/>
        <color theme="1"/>
        <rFont val="Arial Narrow"/>
        <family val="2"/>
      </rPr>
      <t>Emitir reportes de estado de monitoreo y revisión de los riesgos.</t>
    </r>
  </si>
  <si>
    <t>Riesgos de seguridad de la información, identificados y controlados.</t>
  </si>
  <si>
    <t>N° de informes de monitoreos de los riesgos, presentado.</t>
  </si>
  <si>
    <t>1.- Supervisar el monitoreo y revisión de los riesgos.</t>
  </si>
  <si>
    <t>1.- Informe de resultados del estado producto del monitoreo y revisión de los riesgos.</t>
  </si>
  <si>
    <t>* Freddy Rojas Vilela,
  Analista de Sistemas</t>
  </si>
  <si>
    <r>
      <rPr>
        <b/>
        <sz val="10"/>
        <color rgb="FF000000"/>
        <rFont val="Arial Narrow"/>
        <family val="2"/>
      </rPr>
      <t xml:space="preserve">11.- </t>
    </r>
    <r>
      <rPr>
        <sz val="10"/>
        <color rgb="FF000000"/>
        <rFont val="Arial Narrow"/>
        <family val="2"/>
      </rPr>
      <t>Emitir reportes de cumplimiento de las soluciones tecnológicas.</t>
    </r>
  </si>
  <si>
    <t>Seguimiento del desempeño de las soluciones tecnológicas, coordinado.</t>
  </si>
  <si>
    <t>N° de procesos de Seguimiento del desempeño de las soluciones tecnológicas, coordinado.</t>
  </si>
  <si>
    <t>1.- Revisar las soluciones tecnológicas.
2.- Proponer el informe de cumplimiento.</t>
  </si>
  <si>
    <t>1.- Informe de cumplimiento de las soluciones tecnológicas coordinadas.</t>
  </si>
  <si>
    <r>
      <rPr>
        <b/>
        <sz val="10"/>
        <color rgb="FF000000"/>
        <rFont val="Arial Narrow"/>
        <family val="2"/>
      </rPr>
      <t xml:space="preserve">12.- </t>
    </r>
    <r>
      <rPr>
        <sz val="10"/>
        <color rgb="FF000000"/>
        <rFont val="Arial Narrow"/>
        <family val="2"/>
      </rPr>
      <t>Planificar y supervisar el proceso de capacitación relacionado con las soluciones tecnológicas.</t>
    </r>
  </si>
  <si>
    <t>Usuarios capacitados en el uso seguro de las soluciones tecnológicas.</t>
  </si>
  <si>
    <t>N° de usuarios capacitados en el uso seguro de las soluciones tecnológicas.</t>
  </si>
  <si>
    <t>1.- Elaborar el plan de capacitación.
2.- Realizar la capacitación.</t>
  </si>
  <si>
    <t>1.- Plan anual del proceso de capacitación relacionado con las soluciones tecnológicas.
2.- Informe semestral del estado de ejecución del proceso de capacitación relacionado con las soluciones tecnológicas.</t>
  </si>
  <si>
    <r>
      <rPr>
        <b/>
        <sz val="10"/>
        <color theme="1"/>
        <rFont val="Arial Narrow"/>
        <family val="2"/>
      </rPr>
      <t>13.-</t>
    </r>
    <r>
      <rPr>
        <b/>
        <sz val="10"/>
        <color theme="1"/>
        <rFont val="Arial Narrow"/>
        <family val="2"/>
      </rPr>
      <t xml:space="preserve"> </t>
    </r>
    <r>
      <rPr>
        <sz val="10"/>
        <color theme="1"/>
        <rFont val="Arial Narrow"/>
        <family val="2"/>
      </rPr>
      <t>Entregar la Planificaciones Operativas Anuales y Evaluaciones de la Planificación Operativa Anual.</t>
    </r>
  </si>
  <si>
    <t>N° de planificaciones y evaluaciones del POA entregadas oportunamente.</t>
  </si>
  <si>
    <t>1.- Determinar las metas a alcanzar en base a la necesidad institucional.
2.- Efectuar la relación de las evidencias a las metas planteadas.
3.- Elaborar los planes operativos anuales.
4.- Realizar la recolección de evidencias de cumplimiento.
5.- Elaborar matrices de evaluación del POA.</t>
  </si>
  <si>
    <t>1.- Evaluación POA 2023.
2.- POA 2024.</t>
  </si>
  <si>
    <r>
      <rPr>
        <b/>
        <sz val="10"/>
        <color theme="1"/>
        <rFont val="Arial Narrow"/>
        <family val="2"/>
      </rPr>
      <t>14.-</t>
    </r>
    <r>
      <rPr>
        <b/>
        <sz val="10"/>
        <color theme="1"/>
        <rFont val="Arial Narrow"/>
        <family val="2"/>
      </rPr>
      <t xml:space="preserve"> </t>
    </r>
    <r>
      <rPr>
        <sz val="10"/>
        <color theme="1"/>
        <rFont val="Arial Narrow"/>
        <family val="2"/>
      </rPr>
      <t>Organizar el Archivo de Gestión.</t>
    </r>
  </si>
  <si>
    <t>TOTAL PRESUPUESTO ESTIMATIVO UNIDAD DE SISTEMAS Y SEGURIDAD INFORMÁTICA 2023:</t>
  </si>
  <si>
    <t>UNIDAD DE REDES Y TELECOMUNICACIONES</t>
  </si>
  <si>
    <r>
      <rPr>
        <b/>
        <sz val="10"/>
        <color rgb="FFFF0000"/>
        <rFont val="Arial Narrow"/>
        <family val="2"/>
      </rPr>
      <t>METAS OPERATIVAS</t>
    </r>
    <r>
      <rPr>
        <b/>
        <sz val="10"/>
        <color theme="1"/>
        <rFont val="Arial Narrow"/>
        <family val="2"/>
      </rPr>
      <t xml:space="preserve">
1.-</t>
    </r>
    <r>
      <rPr>
        <b/>
        <sz val="10"/>
        <color theme="1"/>
        <rFont val="Arial Narrow"/>
        <family val="2"/>
      </rPr>
      <t xml:space="preserve"> </t>
    </r>
    <r>
      <rPr>
        <sz val="10"/>
        <color theme="1"/>
        <rFont val="Arial Narrow"/>
        <family val="2"/>
      </rPr>
      <t>Diseñar y/o actualizar Propuestas de políticas, procedimientos, proyectos, manuales y/o otros instrumentos, que contribuyan a la implementación del modelo de gestión institucional de tecnologías de la información y comunicación, relacionado con los procesos de la Unidad de Redes y Telecomunicaciones.</t>
    </r>
  </si>
  <si>
    <t>Propuestas de políticas, procedimientos, proyectos, manuales y otros instrumentos, que contribuyan a la implementación del modelo de gestión institucional de tecnologías de la información y comunicación, relacionado con los procesos de la Unidad de Redes y Telecomunicaciones, diseñar y/o actualizadas.</t>
  </si>
  <si>
    <t>N° de oficios o correos electrónicos enviados con Propuestas de políticas, procedimientos, proyectos, manuales y/o otros instrumentos, que contribuyan a la implementación del modelo de gestión institucional de tecnologías de la información y comunicación, relacionado con los procesos de la Unidad de Redes y Telecomunicaciones, diseñadas y/o actualizadas.</t>
  </si>
  <si>
    <t>1.- Analizar el modelo de gestión institucional de tic.
2.- Elaborar propuesta de políticas, procedimientos, proyectos manuales y otros instrumentos.</t>
  </si>
  <si>
    <t>1.- Oficios o correos enviados con Propuestas de políticas, procedimientos, proyectos, manuales y/o otros instrumentos, que contribuyan a la implementación del modelo de gestión institucional de tecnologías de la información y comunicación, relacionado con los procesos de la Unidad de Redes y Telecomunicaciones, diseñadas y/o actualizadas.
2.- Plan de Contingencia de procesos tecnológicos.</t>
  </si>
  <si>
    <t>* Ing. Byron Ramírez C.,
  Jefe de la URT</t>
  </si>
  <si>
    <t>Reparación de varios UPS de distintas capacidades</t>
  </si>
  <si>
    <t>Mantenimiento de UPS de TR FACULTADES UTMACH</t>
  </si>
  <si>
    <t>Mantenimiento preventivo para acondicionador de aire de precisión</t>
  </si>
  <si>
    <t>Acondicionador de aire 12000</t>
  </si>
  <si>
    <t>Acondicionador de aire 24000</t>
  </si>
  <si>
    <t>Implementing Cisco Enterprise Advanced Routing and Services (ENARSI) v1.0</t>
  </si>
  <si>
    <t>Testeador de UTP</t>
  </si>
  <si>
    <t>UPS de diferentes capacidades</t>
  </si>
  <si>
    <t>Acondicionador de aire de precisión TR Civil y Empresariales</t>
  </si>
  <si>
    <r>
      <rPr>
        <b/>
        <sz val="10"/>
        <color theme="1"/>
        <rFont val="Arial Narrow"/>
        <family val="2"/>
      </rPr>
      <t>2.-</t>
    </r>
    <r>
      <rPr>
        <b/>
        <sz val="10"/>
        <color theme="1"/>
        <rFont val="Arial Narrow"/>
        <family val="2"/>
      </rPr>
      <t xml:space="preserve"> </t>
    </r>
    <r>
      <rPr>
        <sz val="10"/>
        <color theme="1"/>
        <rFont val="Arial Narrow"/>
        <family val="2"/>
      </rPr>
      <t>Planificar anualmente el proceso de mantenimiento de infraestructura de red (activa y/o pasiva).</t>
    </r>
  </si>
  <si>
    <t>Planificación del proceso de mantenimiento de infraestructura de red (activa y/o pasiva) diseñado.</t>
  </si>
  <si>
    <t>N° de procesos de contratación de mantenimiento iniciados o en ejecución.</t>
  </si>
  <si>
    <t>1.- Revisar el estado de los contratos de mantenimiento activos.
2.- Revisar el estado inicial de los equipos de red activa y/o pasiva.
3.- Elaborar el plan de mantenimiento de infraestructura de red activa y/o pasiva.
4.- Elaborar los Términos de referencia para el proceso de contratación del mantenimiento de la red activa y/o pasiva.
5.- Solicitar el inicio del proceso de contratación.</t>
  </si>
  <si>
    <t>1.- Contratos Vigentes de mantenimiento.
2.- Plan de mantenimiento de infraestructura activa y/o pasiva.
3.- Documentos para inicio de proceso de contratación del servicio de mantenimiento de la infraestructura de red activa y/o pasiva.
4.- Oficio enviado solicitando el inicio del proceso de contratación, adjuntando formularios de requerimiento.</t>
  </si>
  <si>
    <t>* Ing. Byron Ramírez C.,
  Jefe de la URT
* Paúl Cabrera,
  Analista de la URT</t>
  </si>
  <si>
    <t>Audifonos LogiTech USB con micrófono incorporado para computadora</t>
  </si>
  <si>
    <t>Garantía Extendida de Bienes</t>
  </si>
  <si>
    <t>Renovación Smartnet equipos CISCO y FLEXPOD</t>
  </si>
  <si>
    <r>
      <rPr>
        <b/>
        <sz val="10"/>
        <color rgb="FF000000"/>
        <rFont val="Arial Narrow"/>
        <family val="2"/>
      </rPr>
      <t xml:space="preserve">3.- </t>
    </r>
    <r>
      <rPr>
        <sz val="10"/>
        <color rgb="FF000000"/>
        <rFont val="Arial Narrow"/>
        <family val="2"/>
      </rPr>
      <t>Supervisar la ejecución del proceso de mantenimiento de infraestructura de red (activa y/o pasiva).</t>
    </r>
  </si>
  <si>
    <t>Mantenimiento de la infraestructura de red (activa y/o pasiva), coordinado y evaluado.</t>
  </si>
  <si>
    <t>N° de contratos de mantenimiento ejecutados o en ejecución.</t>
  </si>
  <si>
    <t>1.- Elaborar el cronograma para la ejecución del mantenimiento de infraestructura de red (activa y/o pasiva).
2.- Coordinar el mantenimiento con contratista.
3.- Revisar y aprobar el informe de ejecución de mantenimiento.</t>
  </si>
  <si>
    <t>1.- Cronograma de mantenimiento de infraestructura de red (activo y/o pasivo).
2.- Correo de confirmación al contratista para la ejecución del mantenimiento a la infraestructura de red (activo y/o) pasivo.
3.- Informe de ejecución de mantenimiento.</t>
  </si>
  <si>
    <t>Regletas electricas para RACK</t>
  </si>
  <si>
    <t>Rollos de cable UTP CAT 6</t>
  </si>
  <si>
    <t>ADQUISICIÓN DE PATCHCORDS DE FIBRA ÓPTICA, PATCHCORDS UTP Y CONECTORES PARA FACULTADES</t>
  </si>
  <si>
    <t xml:space="preserve">Switch 1 G 24 puertos </t>
  </si>
  <si>
    <r>
      <rPr>
        <b/>
        <sz val="10"/>
        <color theme="1"/>
        <rFont val="Arial Narrow"/>
        <family val="2"/>
      </rPr>
      <t>4.-</t>
    </r>
    <r>
      <rPr>
        <b/>
        <sz val="10"/>
        <color theme="1"/>
        <rFont val="Arial Narrow"/>
        <family val="2"/>
      </rPr>
      <t xml:space="preserve"> </t>
    </r>
    <r>
      <rPr>
        <sz val="10"/>
        <color theme="1"/>
        <rFont val="Arial Narrow"/>
        <family val="2"/>
      </rPr>
      <t>Diseñar y/o actualizar proyectos para la implementación de la infraestructura de red (activa y/o pasiva).</t>
    </r>
  </si>
  <si>
    <t>Proyectos para la implementación de la infraestructura de red (activa y/o pasiva) diseñados.</t>
  </si>
  <si>
    <t>N° de proyectos de infraestructura de red propuestos.</t>
  </si>
  <si>
    <t>1.- Atender nuevas solicitudes de implementación de infraestructura de red (activa y/o pasiva).
2.- Levantar información en sitio.
3.- Elaborar Informe técnico o similares.
4.- Elaborar informe de estado de proyectos de infraestructura de red.</t>
  </si>
  <si>
    <t>1.- Oficios recibidos de solicitudes de implementación de infraestructura de red (activo y/o pasiva).
2.- Oficio enviado con informe técnico o similares referente a los proyectos de infraestructura de red.</t>
  </si>
  <si>
    <t>Telefono IP</t>
  </si>
  <si>
    <r>
      <rPr>
        <b/>
        <sz val="10"/>
        <color theme="1"/>
        <rFont val="Arial Narrow"/>
        <family val="2"/>
      </rPr>
      <t>5.-</t>
    </r>
    <r>
      <rPr>
        <b/>
        <sz val="10"/>
        <color theme="1"/>
        <rFont val="Arial Narrow"/>
        <family val="2"/>
      </rPr>
      <t xml:space="preserve"> </t>
    </r>
    <r>
      <rPr>
        <sz val="10"/>
        <color theme="1"/>
        <rFont val="Arial Narrow"/>
        <family val="2"/>
      </rPr>
      <t>Emitir reportes del estado de aplicación de las políticas de seguridad de la información (acceso a la red).</t>
    </r>
  </si>
  <si>
    <t>Cumplimiento de la Política General de Seguridad de la Información, en el ámbito de las competencias de la Unidad de Redes y Telecomunicaciones, coordinado.</t>
  </si>
  <si>
    <t>N° de reportes semestrales emitidos del estado de aplicación de las políticas de seguridad de la información (acceso a la red).</t>
  </si>
  <si>
    <t>1.- Monitorear el tráfico generado en la Red de UTMACH.
2.- Elaborar el informe semestral de estado de la aplicación de las Políticas de Seguridad de la Información.</t>
  </si>
  <si>
    <t>1.- Informe de monitoreo de servicio de tráfico generado en la Red de UTMACH.
2.- Informe semestral de estado de la aplicación de las Políticas de Seguridad de la Información.</t>
  </si>
  <si>
    <r>
      <rPr>
        <b/>
        <sz val="10"/>
        <color theme="1"/>
        <rFont val="Arial Narrow"/>
        <family val="2"/>
      </rPr>
      <t>6.-</t>
    </r>
    <r>
      <rPr>
        <b/>
        <sz val="10"/>
        <color theme="1"/>
        <rFont val="Arial Narrow"/>
        <family val="2"/>
      </rPr>
      <t xml:space="preserve"> </t>
    </r>
    <r>
      <rPr>
        <sz val="10"/>
        <color theme="1"/>
        <rFont val="Arial Narrow"/>
        <family val="2"/>
      </rPr>
      <t>Administrar los servicios del centro de datos.</t>
    </r>
  </si>
  <si>
    <t>Servicios del centro de datos, administrados.</t>
  </si>
  <si>
    <t>N° de reportes semestrales emitidos de los servicios del centro de datos.</t>
  </si>
  <si>
    <t>1.- Monitorear el estado de servicio de virtualización.
2.- Mantener la infraestructura de Virtualización.
3.- Elaborar informe de estado de la infraestructura de Virtualización.</t>
  </si>
  <si>
    <t>1.- Informe de monitoreo de servicio de virtualización.
2.- Informe de mantenimiento de infraestructura de virtualización.
3.- Informe semestral de estado de la infraestructura de Virtualización.</t>
  </si>
  <si>
    <r>
      <rPr>
        <b/>
        <sz val="10"/>
        <color theme="1"/>
        <rFont val="Arial Narrow"/>
        <family val="2"/>
      </rPr>
      <t>7.-</t>
    </r>
    <r>
      <rPr>
        <b/>
        <sz val="10"/>
        <color theme="1"/>
        <rFont val="Arial Narrow"/>
        <family val="2"/>
      </rPr>
      <t xml:space="preserve"> </t>
    </r>
    <r>
      <rPr>
        <sz val="10"/>
        <color theme="1"/>
        <rFont val="Arial Narrow"/>
        <family val="2"/>
      </rPr>
      <t>Entregar las Planificaciones Operativas Anuales y Evaluaciones de las Planificaciones Operativas Anuales.</t>
    </r>
  </si>
  <si>
    <t>N° de Planificaciones Operativas Anuales y Evaluaciones de las Planificaciones Operativas Anuales entregadas oportunamente.</t>
  </si>
  <si>
    <t>1.- Elaborar las Planificaciones Operativas.
2.- Elaborar la evaluación de las planificaciones operativas anuales del 2023.
3.- Analizar las adquisiciones acorde a las Planificaciones Operativas.
4.- Elaborar el Plan anual de contratación.
5.- Ejecutar el PAC.
6.- Evaluar el PAC.</t>
  </si>
  <si>
    <t>1.- Evaluación del POA 2023.
2.- POA 2024</t>
  </si>
  <si>
    <r>
      <rPr>
        <b/>
        <sz val="10"/>
        <color theme="1"/>
        <rFont val="Arial Narrow"/>
        <family val="2"/>
      </rPr>
      <t>8.-</t>
    </r>
    <r>
      <rPr>
        <b/>
        <sz val="10"/>
        <color theme="1"/>
        <rFont val="Arial Narrow"/>
        <family val="2"/>
      </rPr>
      <t xml:space="preserve"> </t>
    </r>
    <r>
      <rPr>
        <sz val="10"/>
        <color theme="1"/>
        <rFont val="Arial Narrow"/>
        <family val="2"/>
      </rPr>
      <t>Organizar el Archivo de Gestión.</t>
    </r>
  </si>
  <si>
    <t>N° de carpetas registradas.</t>
  </si>
  <si>
    <t>TOTAL PRESUPUESTO ESTIMATIVO UNIDAD DE REDES Y TELECOMUNICACIONES 2023:</t>
  </si>
  <si>
    <t>UNIDAD DE MANTENIMIENTO DE EQUIPOS INFORMÁTICOS</t>
  </si>
  <si>
    <r>
      <rPr>
        <b/>
        <sz val="10"/>
        <color rgb="FF000000"/>
        <rFont val="Arial Narrow"/>
        <family val="2"/>
      </rPr>
      <t xml:space="preserve">1.- </t>
    </r>
    <r>
      <rPr>
        <sz val="10"/>
        <color rgb="FF000000"/>
        <rFont val="Arial Narrow"/>
        <family val="2"/>
      </rPr>
      <t>Diseñar y/o Actualizar procedimientos e instrumentos que permitan la gestión institucional de las Tecnologías de la Información y Comunicación en el ámbito del mantenimiento de equipos informáticos.</t>
    </r>
  </si>
  <si>
    <t>Propuestas de políticas, procedimientos, proyectos, manuales y otros instrumentos, que contribuyan a la implementación del modelo de gestión institucional de tecnologías de la información y comunicación, relacionado con los procesos de la Unidad de Mantenimiento de Equipos Informáticos, diseñadas y/o actualizadas.</t>
  </si>
  <si>
    <t>N° de propuestas de diseño y/o actualización de procedimientos e instrumentos, aprobados.</t>
  </si>
  <si>
    <t>1.- Diseñar el procedimiento de atención a requerimientos relacionados con el mantenimiento de equipos informáticos, para aprobación.
2.- Actualizar los instrumentos para registro de mantenimientos preventivos y correctivos de equipos informáticos, para aprobación.</t>
  </si>
  <si>
    <t>1.- Procedimiento para la atención a requerimientos relacionados con el mantenimiento de equipos informáticos, aprobado.
2.- Instrumentos para registro de mantenimientos preventivos y correctivos actualizados y aprobados.</t>
  </si>
  <si>
    <t>* Jennifer Célleri,
  Directora TIC
* Howard Pazmiño Carrión,
  Analista de Mantenimiento de Equipos Informáticos</t>
  </si>
  <si>
    <r>
      <rPr>
        <b/>
        <sz val="10"/>
        <color rgb="FF000000"/>
        <rFont val="Arial Narrow"/>
        <family val="2"/>
      </rPr>
      <t>2.-</t>
    </r>
    <r>
      <rPr>
        <sz val="10"/>
        <color rgb="FF000000"/>
        <rFont val="Arial Narrow"/>
        <family val="2"/>
      </rPr>
      <t xml:space="preserve"> Diseñar la planificación anual de mantenimiento preventivo de equipos informáticos.</t>
    </r>
  </si>
  <si>
    <t>Planificación de mantenimiento preventivo de equipos informáticos,
efectuada.</t>
  </si>
  <si>
    <t>N° de planificaciones de mantenimiento de equipos informáticos, aprobadas.</t>
  </si>
  <si>
    <t>1.- Diseñar la planificación anual de mantenimiento de equipos informáticos, para aprobación.</t>
  </si>
  <si>
    <t>1.- Planificación Anual de Mantenimiento de Equipos Informáticos, aprobada.</t>
  </si>
  <si>
    <t>Servicio de mantenimiento, reparación y atención de equipos de computación</t>
  </si>
  <si>
    <t xml:space="preserve"> MANTENIMIENTO LÓGICO PREVENTIVO Y CONFIGURACIÓN DEL SERVIDOR QUE SOPORTA AL ENTORNO VIRTUAL DE APRENDIZAJE PARA LA TOMA DE PRUEBAS DE ADMISIÓN EN LA UTMACH</t>
  </si>
  <si>
    <t>Renovación de Licencias de Microsoft (Windows, Office, Visio, Project)</t>
  </si>
  <si>
    <t>Renovación de Licencias antivirus ESET Endpoint Protection, Linux, Windows, Mac</t>
  </si>
  <si>
    <r>
      <rPr>
        <b/>
        <sz val="10"/>
        <color rgb="FF000000"/>
        <rFont val="Arial Narrow"/>
        <family val="2"/>
      </rPr>
      <t>3.-</t>
    </r>
    <r>
      <rPr>
        <sz val="10"/>
        <color rgb="FF000000"/>
        <rFont val="Arial Narrow"/>
        <family val="2"/>
      </rPr>
      <t xml:space="preserve"> Ejecutar el mantenimiento preventivo y correctivo de hardware y software, garantizando la continuidad de las operaciones.</t>
    </r>
  </si>
  <si>
    <t>Mantenimiento preventivo y correctivo de hardware y software, coordinado.</t>
  </si>
  <si>
    <t>N° de informes de cumplimiento del plan anual de mantenimiento preventivo y correctivo de equipos informáticos y actualizaciones de software, aprobados.</t>
  </si>
  <si>
    <t>1.- Diseñar el informe semestral de cumplimiento del plan anual de mantenimiento preventivo y correctivo de equipos informáticos y actualizaciones de software, para aprobación.</t>
  </si>
  <si>
    <t>1.- Informes semestrales de cumplimiento del plan anual de mantenimiento preventivo y correctivo de equipos informáticos y actualizaciones de software, aprobado.</t>
  </si>
  <si>
    <t xml:space="preserve">Licencia Office 365 </t>
  </si>
  <si>
    <t xml:space="preserve">Computador todo en uno </t>
  </si>
  <si>
    <t>Monitores 21"</t>
  </si>
  <si>
    <t>Monitores 27"</t>
  </si>
  <si>
    <r>
      <rPr>
        <b/>
        <sz val="10"/>
        <color rgb="FF000000"/>
        <rFont val="Arial Narrow"/>
        <family val="2"/>
      </rPr>
      <t>4.-</t>
    </r>
    <r>
      <rPr>
        <sz val="10"/>
        <color rgb="FF000000"/>
        <rFont val="Arial Narrow"/>
        <family val="2"/>
      </rPr>
      <t xml:space="preserve"> Administrar el monitoreo de la plataforma de protección de malware y virus informático.</t>
    </r>
  </si>
  <si>
    <t>Administración y monitoreo de la plataforma de protección de malware y virus informático, coordinada.</t>
  </si>
  <si>
    <t>N° de informes de monitoreo de la plataforma de protección de malware y virus informático, aprobados.</t>
  </si>
  <si>
    <t>1.- Diseñar el informe de monitoreo de la plataforma de protección de malware y virus informático, para aprobación.</t>
  </si>
  <si>
    <t>1.- Informes de monitoreo de la plataforma de protección de malware y virus informático, para aprobado.</t>
  </si>
  <si>
    <r>
      <rPr>
        <b/>
        <sz val="10"/>
        <color rgb="FF000000"/>
        <rFont val="Arial Narrow"/>
        <family val="2"/>
      </rPr>
      <t>5.-</t>
    </r>
    <r>
      <rPr>
        <sz val="10"/>
        <color rgb="FF000000"/>
        <rFont val="Arial Narrow"/>
        <family val="2"/>
      </rPr>
      <t xml:space="preserve"> Coordinar el cumplimiento de la Política General de Seguridad de la Información en el ámbito de las competencias de la Unidad de Mantenimiento de Equipos Informáticos, coordinado.</t>
    </r>
  </si>
  <si>
    <t>Cumplimiento de la Política General de Seguridad de la Información en el ámbito de las competencias de la Unidad de Mantenimiento de Equipos Informáticos, coordinado.</t>
  </si>
  <si>
    <t>N° de informes de cumplimiento de la Política General de Seguridad de la Información en el ámbito del mantenimiento de equipos informáticos, aprobado.</t>
  </si>
  <si>
    <t>1.- Diseñar el Informe semestral de cumplimiento de la Política General de Seguridad de la Información en el ámbito del mantenimiento de equipos informáticos, para aprobación.</t>
  </si>
  <si>
    <t>1.- Informes semestrales de cumplimiento de la Política General de Seguridad de la Información en el ámbito del mantenimiento de equipos informáticos, aprobado.</t>
  </si>
  <si>
    <r>
      <rPr>
        <b/>
        <sz val="10"/>
        <color rgb="FF000000"/>
        <rFont val="Arial Narrow"/>
        <family val="2"/>
      </rPr>
      <t>6.-</t>
    </r>
    <r>
      <rPr>
        <sz val="10"/>
        <color rgb="FF000000"/>
        <rFont val="Arial Narrow"/>
        <family val="2"/>
      </rPr>
      <t xml:space="preserve"> Brindar el soporte técnico en el ámbito del entorno tecnológico (ámbito de mantenimiento de equipos informáticos).</t>
    </r>
  </si>
  <si>
    <t>Soporte a los usuarios en el entorno tecnológico (help desk), ejecutado.</t>
  </si>
  <si>
    <t>N° de informes de asesorías técnicas brindadas, aprobado.</t>
  </si>
  <si>
    <t>1.- Diseñar el informe semestral de asesorías técnicas brindadas, para aprobación.</t>
  </si>
  <si>
    <t>1.- Informes semestrales de asesorías técnicas brindadas, aprobado.</t>
  </si>
  <si>
    <r>
      <rPr>
        <b/>
        <sz val="10"/>
        <color rgb="FF000000"/>
        <rFont val="Arial Narrow"/>
        <family val="2"/>
      </rPr>
      <t>7.-</t>
    </r>
    <r>
      <rPr>
        <sz val="10"/>
        <color rgb="FF000000"/>
        <rFont val="Arial Narrow"/>
        <family val="2"/>
      </rPr>
      <t xml:space="preserve"> Determinar los escenarios de riesgo relacionados al parque informático y proponer mejoras.</t>
    </r>
  </si>
  <si>
    <t>Escenarios de riesgos relacionados al parque informático, determinados.</t>
  </si>
  <si>
    <t>N° de informes de escenarios de riesgo relacionados al parque informáticos, aprobado.</t>
  </si>
  <si>
    <t>1.- Diseñar el informe de escenarios de riesgo relacionados al parque informático, para aprobación.</t>
  </si>
  <si>
    <t>1.- Informe de escenarios de riesgo relacionados al parque informático, aprobado.</t>
  </si>
  <si>
    <r>
      <rPr>
        <b/>
        <sz val="10"/>
        <color rgb="FF000000"/>
        <rFont val="Arial Narrow"/>
        <family val="2"/>
      </rPr>
      <t>8.-</t>
    </r>
    <r>
      <rPr>
        <sz val="10"/>
        <color rgb="FF000000"/>
        <rFont val="Arial Narrow"/>
        <family val="2"/>
      </rPr>
      <t xml:space="preserve"> Emitir criterios técnicos sobre el estado de los recursos tecnológicos institucionales para la adquisición de equipos informáticos.</t>
    </r>
  </si>
  <si>
    <t>Criterios técnicos sobre el estado de los recursos tecnológicos institucionales y para la adquisición de equipos informáticos, emitidos.</t>
  </si>
  <si>
    <t>N° de informes de estado de funcionalidad de los equipos informáticos, emitidos.</t>
  </si>
  <si>
    <r>
      <rPr>
        <sz val="10"/>
        <color rgb="FF000000"/>
        <rFont val="Arial Narrow"/>
        <family val="2"/>
      </rPr>
      <t>1.- Diseñar informes</t>
    </r>
    <r>
      <rPr>
        <sz val="10"/>
        <color rgb="FFFF0000"/>
        <rFont val="Arial Narrow"/>
        <family val="2"/>
      </rPr>
      <t xml:space="preserve"> </t>
    </r>
    <r>
      <rPr>
        <sz val="10"/>
        <color rgb="FF000000"/>
        <rFont val="Arial Narrow"/>
        <family val="2"/>
      </rPr>
      <t>de estado de funcionalidad de los equipos informáticos, para aprobación.</t>
    </r>
  </si>
  <si>
    <t>1.- Informes de estado de funcionalidad de los equipos informáticos, para aprobación.</t>
  </si>
  <si>
    <r>
      <rPr>
        <b/>
        <sz val="10"/>
        <color rgb="FF000000"/>
        <rFont val="Arial Narrow"/>
        <family val="2"/>
      </rPr>
      <t>9.-</t>
    </r>
    <r>
      <rPr>
        <sz val="10"/>
        <color rgb="FF000000"/>
        <rFont val="Arial Narrow"/>
        <family val="2"/>
      </rPr>
      <t xml:space="preserve"> Diseñar el levantamiento del inventario de Software.</t>
    </r>
  </si>
  <si>
    <t>Levantamiento y/o actualización del inventario Software operativo y utilitario, ejecutado.</t>
  </si>
  <si>
    <t>N° de informes de inventario de Software, actualizado.</t>
  </si>
  <si>
    <t>1.- Diseñar informes de inventario de Software, para aprobación.</t>
  </si>
  <si>
    <r>
      <rPr>
        <sz val="10"/>
        <color rgb="FF000000"/>
        <rFont val="Arial Narrow"/>
        <family val="2"/>
      </rPr>
      <t>1.-</t>
    </r>
    <r>
      <rPr>
        <sz val="10"/>
        <color rgb="FFFF0000"/>
        <rFont val="Arial Narrow"/>
        <family val="2"/>
      </rPr>
      <t xml:space="preserve"> </t>
    </r>
    <r>
      <rPr>
        <sz val="10"/>
        <color rgb="FF000000"/>
        <rFont val="Arial Narrow"/>
        <family val="2"/>
      </rPr>
      <t>Informes de inventario de Software, aprobado.</t>
    </r>
  </si>
  <si>
    <r>
      <rPr>
        <b/>
        <sz val="10"/>
        <color rgb="FF000000"/>
        <rFont val="Arial Narrow"/>
        <family val="2"/>
      </rPr>
      <t>10.-</t>
    </r>
    <r>
      <rPr>
        <sz val="10"/>
        <color rgb="FF000000"/>
        <rFont val="Arial Narrow"/>
        <family val="2"/>
      </rPr>
      <t xml:space="preserve"> Diseñar el levantamiento del inventario de Hardware.</t>
    </r>
  </si>
  <si>
    <t>Levantamiento y/ o actualización del inventario de Hardware,
coordinado con la Unidad de Control de Bienes.</t>
  </si>
  <si>
    <t>N° de informes de inventario de Hardware, actualizado.</t>
  </si>
  <si>
    <t>1.- Diseñar informes de inventario de Hardware, para aprobación.</t>
  </si>
  <si>
    <t>1.- Informes de inventario de Hardware, aprobado.</t>
  </si>
  <si>
    <r>
      <rPr>
        <b/>
        <sz val="10"/>
        <color theme="1"/>
        <rFont val="Arial Narrow"/>
        <family val="2"/>
      </rPr>
      <t>11.-</t>
    </r>
    <r>
      <rPr>
        <b/>
        <sz val="10"/>
        <color theme="1"/>
        <rFont val="Arial Narrow"/>
        <family val="2"/>
      </rPr>
      <t xml:space="preserve"> </t>
    </r>
    <r>
      <rPr>
        <sz val="10"/>
        <color theme="1"/>
        <rFont val="Arial Narrow"/>
        <family val="2"/>
      </rPr>
      <t>Entregar la Planificación Operativa Anual y Evaluación de la Planificación Operativa Anual.</t>
    </r>
  </si>
  <si>
    <r>
      <rPr>
        <b/>
        <sz val="10"/>
        <color theme="1"/>
        <rFont val="Arial Narrow"/>
        <family val="2"/>
      </rPr>
      <t>12.-</t>
    </r>
    <r>
      <rPr>
        <b/>
        <sz val="10"/>
        <color theme="1"/>
        <rFont val="Arial Narrow"/>
        <family val="2"/>
      </rPr>
      <t xml:space="preserve"> </t>
    </r>
    <r>
      <rPr>
        <sz val="10"/>
        <color theme="1"/>
        <rFont val="Arial Narrow"/>
        <family val="2"/>
      </rPr>
      <t>Organizar el Archivo de Gestión.</t>
    </r>
  </si>
  <si>
    <t>TOTAL PRESUPUESTO ESTIMATIVO UMEI 2023:</t>
  </si>
  <si>
    <t>TOTAL PRESUPUESTO ESTIMATIVO DIRECCIÓN DE TECNOLOGÍAS DE LA INFORMACIÓN Y COMUNICACIÓN 2023:</t>
  </si>
  <si>
    <t>Oscar Riofrío Orozco, Director de Tecnologías de la Información y Comunicación; Betty Pachucho Hernández, Jefe de la Unidad de Sistemas y Seguridad Informática; Byron Fabricio Ramírez Carrillo, Jefe de la Unidad de Redes y Telecomunicaciones.</t>
  </si>
  <si>
    <t>DIRECCIÓN DE TALENTO HUMANO</t>
  </si>
  <si>
    <r>
      <rPr>
        <b/>
        <sz val="9"/>
        <color rgb="FFFF0000"/>
        <rFont val="Arial Narrow"/>
        <family val="2"/>
      </rPr>
      <t>META ESTRATÉGICA</t>
    </r>
    <r>
      <rPr>
        <b/>
        <sz val="9"/>
        <color theme="1"/>
        <rFont val="Arial Narrow"/>
        <family val="2"/>
      </rPr>
      <t xml:space="preserve">
</t>
    </r>
    <r>
      <rPr>
        <b/>
        <sz val="9"/>
        <color theme="1"/>
        <rFont val="Arial Narrow"/>
        <family val="2"/>
      </rPr>
      <t>1.-</t>
    </r>
    <r>
      <rPr>
        <b/>
        <sz val="10"/>
        <color theme="1"/>
        <rFont val="Arial Narrow"/>
        <family val="2"/>
      </rPr>
      <t xml:space="preserve"> </t>
    </r>
    <r>
      <rPr>
        <sz val="10"/>
        <color theme="1"/>
        <rFont val="Arial Narrow"/>
        <family val="2"/>
      </rPr>
      <t>Fortalecer las competencias tecnológicas de estudiantes, docentes y servidores a través de programas de capacitación continua.</t>
    </r>
  </si>
  <si>
    <t>Directrices para la ejecución de programas de capacitación.</t>
  </si>
  <si>
    <t>Porcentaje de población estudiantil, docente y de servidores capacitados.</t>
  </si>
  <si>
    <t>1.- Coordinar las directrices para la ejecución de capacitaciones al personal administrativo y trabajadores.
2.- Coordinar la designación del personal a participar en las capacitaciones.
3.- Realizar el seguimiento del informe final de las capacitaciones impartidas a los servidores y trabajadores.</t>
  </si>
  <si>
    <t>1.- Reporte de servidores administrativos y trabajadores capacitados.</t>
  </si>
  <si>
    <t>* Ab. Mariuxi Apolo Silva,
  Directora de Talento Humano
* Ing. Rina Loayza,
  Jefe de Desarrollo de Talento Humano</t>
  </si>
  <si>
    <t>12. Modernizar los sistemas de gestión del talento humano.</t>
  </si>
  <si>
    <r>
      <rPr>
        <b/>
        <sz val="10"/>
        <color rgb="FFFF0000"/>
        <rFont val="Arial Narrow"/>
        <family val="2"/>
      </rPr>
      <t>METAS OPERATIVAS</t>
    </r>
    <r>
      <rPr>
        <b/>
        <sz val="9"/>
        <color theme="1"/>
        <rFont val="Arial Narrow"/>
        <family val="2"/>
      </rPr>
      <t xml:space="preserve">
1.-</t>
    </r>
    <r>
      <rPr>
        <sz val="10"/>
        <color theme="1"/>
        <rFont val="Arial Narrow"/>
        <family val="2"/>
      </rPr>
      <t xml:space="preserve"> Emitir las directrices para la organización interna con las unidades que dependen de la Dirección de Talento Humano.</t>
    </r>
  </si>
  <si>
    <t>Directrices para la organización interna con las unidades que dependen de la Dirección de Talento Humano gestionadas.</t>
  </si>
  <si>
    <t>N° de directrices para la organización interna,emitidas.</t>
  </si>
  <si>
    <t>1.- Emitir Directrices a las Unidades de esta Dirección de Talento Humano.
2.- Socializar lineamientos para los diversos procedimientos que se desarrollan en la Dirección de Talento Humano.</t>
  </si>
  <si>
    <t>1.- Reporte de directrices validadas con las unidades que dependen de la Dirección de Talento Humano.</t>
  </si>
  <si>
    <t>* Ab. Mariuxi Apolo Silva,
  Directora de Talento Humano</t>
  </si>
  <si>
    <r>
      <rPr>
        <b/>
        <sz val="9"/>
        <color theme="1"/>
        <rFont val="Arial Narrow"/>
        <family val="2"/>
      </rPr>
      <t>2.-</t>
    </r>
    <r>
      <rPr>
        <sz val="10"/>
        <color theme="1"/>
        <rFont val="Arial Narrow"/>
        <family val="2"/>
      </rPr>
      <t xml:space="preserve"> Gestionar el proceso de control de asistencia y permanencia de personal.</t>
    </r>
  </si>
  <si>
    <t>Control de asistencia y permanencia del personal, gestionados.</t>
  </si>
  <si>
    <t>N° de Controles de asistencia y permanencia del personal gestionados.</t>
  </si>
  <si>
    <t>1.- Verificar del horario de trabajo y/o unidad administrativa en la que se encuentre el personal laborando.
2.- Verificar la permanencia del personal de conformidad a su horario y lugar de trabajo.
3.- Emitir el informe final del control de asistencia y permanencia al personal a la Autoridad Nominadora.</t>
  </si>
  <si>
    <t>1.- Informe del resultado del proceso de control de asistencia y permanencia de personal.
2.- Reportes para la verificación del control de asistencia y permanencia del personal.</t>
  </si>
  <si>
    <t>* Ab. Mariuxi Apolo Silva,
  Directora de Talento Humano
* Ing. Liliana Campoverde Muñoz,
  Jefe de Gestión del Talento Humano</t>
  </si>
  <si>
    <r>
      <rPr>
        <b/>
        <sz val="9"/>
        <color theme="1"/>
        <rFont val="Arial Narrow"/>
        <family val="2"/>
      </rPr>
      <t>3.-</t>
    </r>
    <r>
      <rPr>
        <sz val="10"/>
        <color theme="1"/>
        <rFont val="Arial Narrow"/>
        <family val="2"/>
      </rPr>
      <t xml:space="preserve"> Gestionar el proceso de planificación del Talento Humano.</t>
    </r>
  </si>
  <si>
    <t>Planificación del Talento Humano gestionada.</t>
  </si>
  <si>
    <t>N° de procesos de planificación del Talento Humano gestionado.</t>
  </si>
  <si>
    <t>1.- Solicitar a las Unidades Administrativas y/o Facultades las plantillas para la Planificación del Talento Humano.
2.- Realizar el seguimiento del proceso de planificación del Talento Humano.
3.- Elaborar el informe de Planificación del Talento Humano para la aprobación de la autoridad nominadora.</t>
  </si>
  <si>
    <t xml:space="preserve">1.- Informe de cumplimiento del proceso de Planificación del Talento Humano Gestionado. </t>
  </si>
  <si>
    <t>* Ab. Mariuxi Apolo Silva,
  Directora de Talento Humano
* Ing. Nelly Zapata Eras,
  Jefe de Gestión Organizacional del Talento Humano</t>
  </si>
  <si>
    <r>
      <rPr>
        <b/>
        <sz val="9"/>
        <color theme="1"/>
        <rFont val="Arial Narrow"/>
        <family val="2"/>
      </rPr>
      <t>4.-</t>
    </r>
    <r>
      <rPr>
        <b/>
        <sz val="10"/>
        <color theme="1"/>
        <rFont val="Arial Narrow"/>
        <family val="2"/>
      </rPr>
      <t xml:space="preserve"> </t>
    </r>
    <r>
      <rPr>
        <sz val="10"/>
        <color theme="1"/>
        <rFont val="Arial Narrow"/>
        <family val="2"/>
      </rPr>
      <t>Gestionar recursos para los procesos relacionados con la salud y seguridad ocupacional, prevención de riesgos laborales.</t>
    </r>
  </si>
  <si>
    <t>Recursos para los procesos relacionados con la salud y seguridad ocupacional, prevención de riesgos laborales, gestionados.</t>
  </si>
  <si>
    <t>N° de procesos para la obtención de recursos respecto a la salud y prevención de riesgos laborales,gestionados.</t>
  </si>
  <si>
    <t>1.- Requerir a la Unidad de Seguridad Salud y Riesgos del trabajo detección de necesidades para atender procesos de prevención de riesgos laborales.
2.- Gestionar la asignación de recursos en las partidas correspondientes para los procesos relacionados con la salud y seguridad ocupacional.
3.- Coordinar con la unidad respectiva para la ejecución de los recursos para la prevención de riesgos laborales.</t>
  </si>
  <si>
    <t xml:space="preserve">1.- Informe de cumplimiento de procesos para prevención en salud y riesgos laborales. </t>
  </si>
  <si>
    <t>Vestuario, Lencería, Prendas de Protección y Accesorios para Uniformes del Personal de Protección, Vigilancia y Seguridad</t>
  </si>
  <si>
    <t>88122 </t>
  </si>
  <si>
    <t>Uniformes para el personal del Código de Trabajo</t>
  </si>
  <si>
    <t>Uniformes para el personal de LOSEP</t>
  </si>
  <si>
    <t>71335</t>
  </si>
  <si>
    <t>Seguros de Fidelidad de Caución</t>
  </si>
  <si>
    <r>
      <rPr>
        <b/>
        <sz val="9"/>
        <color theme="1"/>
        <rFont val="Arial Narrow"/>
        <family val="2"/>
      </rPr>
      <t>5.-</t>
    </r>
    <r>
      <rPr>
        <sz val="10"/>
        <color theme="1"/>
        <rFont val="Arial Narrow"/>
        <family val="2"/>
      </rPr>
      <t xml:space="preserve"> Gestionar el proceso de conformación de comisiones para la elaboración y/o actualización de la estructura organizacional y manuales de descripción, valoración clasificación de puestos.</t>
    </r>
  </si>
  <si>
    <t>Proceso de elaboración y/o actualización de la Estructura Organizacional y Manual de Descripción y Valoración de Puestos, dirigido.</t>
  </si>
  <si>
    <t>N° de procesos sobre elaboración y/o actualización de Manuales para la descripción, valoración y clasificación de puestos, coordinados.</t>
  </si>
  <si>
    <t xml:space="preserve">1.- Solicitar la Disponibilidad Económica a la Dirección Financiera.
2.- Emitir el informe técnico a la Autoridad Nominadora para la autorización de la planificación del concurso
3.- Realizar etapas de concurso de meritos y oposicion </t>
  </si>
  <si>
    <t xml:space="preserve">1.- Reporte de la coordinación del proceso de elaboración y/o actualización de Manuales para la descripción, valoración y clasificación de puestos. </t>
  </si>
  <si>
    <t>* Ing. Nelly Zapata Eras,
  Jefe de Gestión Organizacional
* Lic. Amparito Pogo Labanda,
  Analista de Gestión Organizacional</t>
  </si>
  <si>
    <r>
      <rPr>
        <b/>
        <sz val="10"/>
        <color theme="1"/>
        <rFont val="Arial Narrow"/>
        <family val="2"/>
      </rPr>
      <t xml:space="preserve">6.- </t>
    </r>
    <r>
      <rPr>
        <sz val="10"/>
        <color theme="1"/>
        <rFont val="Arial Narrow"/>
        <family val="2"/>
      </rPr>
      <t>Dirigir Concursos de Méritos y Oposición para el personal administrativo.</t>
    </r>
  </si>
  <si>
    <t>Concursos de Méritos y Oposición para el personal administrativo dirigidos.</t>
  </si>
  <si>
    <t>N° de Informes técnicos para la toma de decisiones de la autoridad nominadora relacionados con los procesos de concursos de méritos y oposición para el ingreso de personal administrativo.</t>
  </si>
  <si>
    <t>1.- Solicitar la Disponibilidad Económica a la Dirección Financiera.
2.- Emitir el informe técnico a la Autoridad Nominadora para la autorización de la planificación del concurso.
3.- realizar etapas de concurso de meritos y oposición.</t>
  </si>
  <si>
    <t>1.- Informes técnicos para la toma de decisiones de la autoridad nominadora relacionados con los procesos de concursos de méritos y oposición.</t>
  </si>
  <si>
    <r>
      <rPr>
        <b/>
        <sz val="9"/>
        <color theme="1"/>
        <rFont val="Arial Narrow"/>
        <family val="2"/>
      </rPr>
      <t>7.-</t>
    </r>
    <r>
      <rPr>
        <sz val="10"/>
        <color theme="1"/>
        <rFont val="Arial Narrow"/>
        <family val="2"/>
      </rPr>
      <t xml:space="preserve"> Emitir los informes técnicos para la toma de decisiones de la autoridad nominadora relacionados con los procesos de contratación y/o concursos de méritos y oposición para el ingreso de personal académico y de apoyo académico.</t>
    </r>
  </si>
  <si>
    <t>Cumplimiento de requisitos técnicos previo a la emisión de contratos o nombramientos para el personal académico y de apoyo académico, certificado.</t>
  </si>
  <si>
    <t>N° de Informes técnicos para la toma de decisiones de la autoridad nominadora relacionados con los procesos de contratación y/o concursos de méritos y oposición para el ingreso de personal académico y de apoyo académico emitidos.</t>
  </si>
  <si>
    <t>1.- Receptar las peticiones de las Unidades Administrativas y/o Facultades para su proceso de contratación.
2.- Solicitar la Disponibilidad Económica a la Dirección Financiera.
3.- Emitir el informe técnico a la Autoridad Nominadora conforme a la pertinencia del pedido.
4.- Elaborar Contratos previa aprobación del Consejo Universitario.</t>
  </si>
  <si>
    <t>1.- Reporte de informes técnicos para la toma de decisiones de la autoridad nominadora relacionados con los procesos de contratación y/o concursos de méritos y oposición para el ingreso de personal académico y de apoyo académico.</t>
  </si>
  <si>
    <t>* Mariuxi Apolo Silva,
  Directora de Talento Humano
* Ing. Liliana Campoverde Muñoz,
  Jefe de Gestión del Talento Humano</t>
  </si>
  <si>
    <t>Remuneraciones Unificadas</t>
  </si>
  <si>
    <t>510106</t>
  </si>
  <si>
    <t>Salarios Unificados</t>
  </si>
  <si>
    <t>510108</t>
  </si>
  <si>
    <t>Remuneración Mensual Unificada de Docentes del Magisterio y Docentes e Investigadores Universitarios</t>
  </si>
  <si>
    <t>Décimo Tercer Sueldo</t>
  </si>
  <si>
    <t>Décimo Cuarto Sueldo</t>
  </si>
  <si>
    <t>510304</t>
  </si>
  <si>
    <t>Compensación por Transporte</t>
  </si>
  <si>
    <t>510306</t>
  </si>
  <si>
    <t>Alimentación</t>
  </si>
  <si>
    <t>510401</t>
  </si>
  <si>
    <t>Por Cargas Familiares</t>
  </si>
  <si>
    <t>510408</t>
  </si>
  <si>
    <t>Subsidios por Antigüedad</t>
  </si>
  <si>
    <t>510509</t>
  </si>
  <si>
    <t>Horas Extras Ordinarias y Suplementarias</t>
  </si>
  <si>
    <t>510510</t>
  </si>
  <si>
    <t>Servicios Personales por Contrato</t>
  </si>
  <si>
    <t>510512</t>
  </si>
  <si>
    <t>Subrogación</t>
  </si>
  <si>
    <t>510513</t>
  </si>
  <si>
    <t>Encargos</t>
  </si>
  <si>
    <t>510601</t>
  </si>
  <si>
    <t>Aporte Patronal</t>
  </si>
  <si>
    <t>510704</t>
  </si>
  <si>
    <t>Compensación por Desahucio</t>
  </si>
  <si>
    <t>510706</t>
  </si>
  <si>
    <t>Beneficio por Jubilación</t>
  </si>
  <si>
    <t>510709</t>
  </si>
  <si>
    <t>Por Renuncia Voluntaria</t>
  </si>
  <si>
    <t>Fondo de Reserva</t>
  </si>
  <si>
    <t>510707</t>
  </si>
  <si>
    <t>Compensación por Vacaciones no Gozadas por Cesación de Funciones</t>
  </si>
  <si>
    <t>510518</t>
  </si>
  <si>
    <t>Servicios Personales por Contrato de Docentes del Magisterio y Docentes e Investigadores Universitarios</t>
  </si>
  <si>
    <t>530606</t>
  </si>
  <si>
    <t>Para la gestión y formación académica</t>
  </si>
  <si>
    <t>1</t>
  </si>
  <si>
    <t>Para la gestión administrativa, académica e investigativa de la Institución</t>
  </si>
  <si>
    <t>Para la gestión de proyectos y actividades de investigación</t>
  </si>
  <si>
    <t>Para la gestión de proyectos de vinculación</t>
  </si>
  <si>
    <t>Proyecto de inversión para jubilación 2023</t>
  </si>
  <si>
    <t>013 710706</t>
  </si>
  <si>
    <t>510710</t>
  </si>
  <si>
    <t>Por Compra de Renuncia</t>
  </si>
  <si>
    <r>
      <rPr>
        <b/>
        <sz val="9"/>
        <color theme="1"/>
        <rFont val="Arial Narrow"/>
        <family val="2"/>
      </rPr>
      <t>8.-</t>
    </r>
    <r>
      <rPr>
        <sz val="10"/>
        <color theme="1"/>
        <rFont val="Arial Narrow"/>
        <family val="2"/>
      </rPr>
      <t xml:space="preserve"> Gestionar los recursos para la ejecución de la capacitación y formación de los servidores administrativos y de servicio.</t>
    </r>
  </si>
  <si>
    <t>Capacitación y formación de los servidores administrativos y de servicio gestionada.</t>
  </si>
  <si>
    <t>N° de las capacitaciones y formación de los servidores administrativos y de servicio gestionada.</t>
  </si>
  <si>
    <t>1.- Gestionar la asignación de recursos en la partidas correspondientes para capacitación y formación de los servidores.
2.- Tramitar ante la Autoridad Nominadora el informe de pertinencia de las capacitaciones para el personal administrativo y de servicio.
3.- Coordinar el proceso de capacitación y formación de los servidores.
4.- Elaborar el reporte de capacitaciones efectuadas.</t>
  </si>
  <si>
    <t>1.- Informe de resultados de la ejecución de la capacitación y formación de los servidores administrativos y de servicio.</t>
  </si>
  <si>
    <r>
      <rPr>
        <b/>
        <sz val="9"/>
        <color theme="1"/>
        <rFont val="Arial Narrow"/>
        <family val="2"/>
      </rPr>
      <t>9.-</t>
    </r>
    <r>
      <rPr>
        <sz val="10"/>
        <color theme="1"/>
        <rFont val="Arial Narrow"/>
        <family val="2"/>
      </rPr>
      <t xml:space="preserve"> Gestionar el proceso de evaluación de desempeño del personal administrativo.</t>
    </r>
  </si>
  <si>
    <t>Evaluación de desempeño del personal administrativo gestionado.</t>
  </si>
  <si>
    <t>N° de Fases del Proceso de evaluación de desempeño del personal administrativo gestionadas.</t>
  </si>
  <si>
    <t>1.- Gestionar ante la Autoridad Nominadora la aprobación del proceso de evaluación de desempeño del personal administrativo.
2.- Supervisar la ejecución del proceso de evaluación de desempeño.
3.- Realizar el reporte final del proceso de evaluación de desempeño.</t>
  </si>
  <si>
    <t>1.- Informe de resultados del proceso de evaluación de desempeño del personal administrativo.</t>
  </si>
  <si>
    <r>
      <rPr>
        <b/>
        <sz val="9"/>
        <color theme="1"/>
        <rFont val="Arial Narrow"/>
        <family val="2"/>
      </rPr>
      <t>10.-</t>
    </r>
    <r>
      <rPr>
        <sz val="10"/>
        <color theme="1"/>
        <rFont val="Arial Narrow"/>
        <family val="2"/>
      </rPr>
      <t xml:space="preserve"> Emitir la información relacionada con el Talento Humano, solicitados por organismos externo que rigen a la institución.</t>
    </r>
  </si>
  <si>
    <t>Información solicitada por organismos externos respecto de la Administración del Talento Humano, gestionada.</t>
  </si>
  <si>
    <t>N° de Informes relacionados con el Talento Humano, solicitados por organismos externos.</t>
  </si>
  <si>
    <t>1.- Coordinar con el personal de la Dirección de Talento Humano, para cumplir con la información solicitada por los Organismos externos.
2.- Dar seguimiento y evaluación a la información requerida por los organismos externos.
3.- Emitir el informe de cumplimiento de la información solicitada por los organismos externos.</t>
  </si>
  <si>
    <t>1.- Reporte de Cumplimiento de carga de información relacionada con el Talento Humano solicitados por organismos externos que rigen a la institución.</t>
  </si>
  <si>
    <t>* Ab. Mariuxi Apolo Silva,
  Directora de Talento Humano
* Ing. Rina Loayza,
  Jefe de Desarrollo de Talento Humano
* Ing. Nelly Zapata Eras,
  Jefe de Gestión Organizacional del Talento Humano
* Ing. Liliana Campoverde Muñoz,
  Jefe de Gestión del Talento Humano</t>
  </si>
  <si>
    <r>
      <rPr>
        <b/>
        <sz val="9"/>
        <color theme="1"/>
        <rFont val="Arial Narrow"/>
        <family val="2"/>
      </rPr>
      <t>11.-</t>
    </r>
    <r>
      <rPr>
        <b/>
        <sz val="10"/>
        <color theme="1"/>
        <rFont val="Arial Narrow"/>
        <family val="2"/>
      </rPr>
      <t xml:space="preserve"> </t>
    </r>
    <r>
      <rPr>
        <sz val="10"/>
        <color theme="1"/>
        <rFont val="Arial Narrow"/>
        <family val="2"/>
      </rPr>
      <t>Gestionar procesos de desvinculación de los servidores de la institución.</t>
    </r>
  </si>
  <si>
    <t>Procesos de desvinculación de los servidores de la institución, gestionados.</t>
  </si>
  <si>
    <t>N° de procesos de desvinculación de personal gestionados.</t>
  </si>
  <si>
    <t>1.- Elaborar el Plan de Desvinculación.
2.- Coordinar el seguimiento de la aplicación del Plan de Desvinculación del Personal.
3.- Elaborar Informes de Tiempo de Servicio para efectos de pago de Liquidación en la UTMACH y otras Instituciones del Sector Público (CÓDIGO DE TRABAJO, LOSEP Y LOES), así como para pago de Desahucio (CÓDIGO DEL TRABAJO).
4.- Elaborar informes del Promedio de Horas Docencia durante tiempo de servicio del Docente en la UTMACH (LOES).
5.- Elaborar informes para Liquidación de Vacaciones del Personal Desvinculante de la UTMACH (CÓDIGO DE TRABAJO, LOSEP Y LOES).
6.- Elaborar Avisos de Entrada y Salida del IESS del  Personal Cesante.</t>
  </si>
  <si>
    <t>1.- Informe semestral de los procesos de desvinculación de personal.</t>
  </si>
  <si>
    <t>* JEFE DE GESTIÓN DE TALENTO HUMANO
  Liliana Campoverde
* ANALISTAS DE GESTIÓN DEL TALENTO HUMANO
  Walter Correa-Analista de GTH
  Ana Satán-Analista de GTH
  Lourdes Zhiminaycela
  Erwin Cevallos
  Rocio Espinoza
  Viviana Mendoza</t>
  </si>
  <si>
    <t>011 710706</t>
  </si>
  <si>
    <t>Proyecto de inversión jubilación 2023</t>
  </si>
  <si>
    <t>011 710704</t>
  </si>
  <si>
    <t>A Jubilados Patronales</t>
  </si>
  <si>
    <r>
      <rPr>
        <b/>
        <sz val="9"/>
        <color rgb="FF000000"/>
        <rFont val="Arial Narrow"/>
        <family val="2"/>
      </rPr>
      <t>12.-</t>
    </r>
    <r>
      <rPr>
        <b/>
        <sz val="10"/>
        <color rgb="FF000000"/>
        <rFont val="Arial Narrow"/>
        <family val="2"/>
      </rPr>
      <t xml:space="preserve"> </t>
    </r>
    <r>
      <rPr>
        <sz val="10"/>
        <color rgb="FF000000"/>
        <rFont val="Arial Narrow"/>
        <family val="2"/>
      </rPr>
      <t>Gestionar quejas y denuncias realizadas por usuarios internos y externos, en contra de servidores universitarios.</t>
    </r>
  </si>
  <si>
    <t>Quejas y denuncias realizadas por usuarios internos y externos, en contra de servidores universitarios, gestionadas.</t>
  </si>
  <si>
    <t>N° de quejas y denuncias gestionadas.</t>
  </si>
  <si>
    <t>1.- Revisar y direccionar la quejas y denuncias, a la Unidad de Gestión Organizacional para el trámite respectivo.
2.- Gestionar ante las Unidades Académicas o Administrativas, según el caso, las quejas para la solución pertinente.
3.- Coordinar el seguimiento de la solución de las quejas gestionadas.</t>
  </si>
  <si>
    <t>1.- Reporte de quejas y denuncias tramitadas.</t>
  </si>
  <si>
    <r>
      <rPr>
        <b/>
        <sz val="9"/>
        <color theme="1"/>
        <rFont val="Arial Narrow"/>
        <family val="2"/>
      </rPr>
      <t>13.-</t>
    </r>
    <r>
      <rPr>
        <b/>
        <sz val="10"/>
        <color theme="1"/>
        <rFont val="Arial Narrow"/>
        <family val="2"/>
      </rPr>
      <t xml:space="preserve"> </t>
    </r>
    <r>
      <rPr>
        <sz val="10"/>
        <color theme="1"/>
        <rFont val="Arial Narrow"/>
        <family val="2"/>
      </rPr>
      <t>Gestionar procesos de movimientos de personal.</t>
    </r>
  </si>
  <si>
    <t>Procesos de movimientos de personal, gestionados.</t>
  </si>
  <si>
    <t>N° de Procesos de movimientos de personal gestionados.</t>
  </si>
  <si>
    <t>1.- Solicitar a la Autoridad Nominadora la autorización para legalización del movimiento de personal según la necesidad institucional.
2.- Coordinar la elaboración y legalización de la Acción de Personal.
3.- Remitir a la Unidad de Remuneraciones la Acción de Movimientos de Personal gestionados.</t>
  </si>
  <si>
    <t>1.- Reporte de Informes técnicos de movimientos de personal.</t>
  </si>
  <si>
    <r>
      <rPr>
        <b/>
        <sz val="9"/>
        <color theme="1"/>
        <rFont val="Arial Narrow"/>
        <family val="2"/>
      </rPr>
      <t>14.-</t>
    </r>
    <r>
      <rPr>
        <b/>
        <sz val="10"/>
        <color theme="1"/>
        <rFont val="Arial Narrow"/>
        <family val="2"/>
      </rPr>
      <t xml:space="preserve"> </t>
    </r>
    <r>
      <rPr>
        <sz val="10"/>
        <color theme="1"/>
        <rFont val="Arial Narrow"/>
        <family val="2"/>
      </rPr>
      <t>Gestionar la implementación de normativas e instrumentos relacionada con los procesos de Talento Humano.</t>
    </r>
  </si>
  <si>
    <t>Implementación de normativas e instrumentos relacionada con los procesos de Talento Humano, gestionada.</t>
  </si>
  <si>
    <t>N° de procesos relacionados con la actualización de la normativa para el Talento Humano, gestionados.</t>
  </si>
  <si>
    <t>1.- Disponer la aplicación de normativas en procesos del Talento Humano.
2.- Realizar el seguimiento de la implementación de las normativas.</t>
  </si>
  <si>
    <t>1.- Reporte de directrices de la implementación de normativa en los procesos de Talento Humano.</t>
  </si>
  <si>
    <r>
      <rPr>
        <b/>
        <sz val="9"/>
        <color theme="1"/>
        <rFont val="Arial Narrow"/>
        <family val="2"/>
      </rPr>
      <t>15.-</t>
    </r>
    <r>
      <rPr>
        <b/>
        <sz val="10"/>
        <color theme="1"/>
        <rFont val="Arial Narrow"/>
        <family val="2"/>
      </rPr>
      <t xml:space="preserve"> </t>
    </r>
    <r>
      <rPr>
        <sz val="10"/>
        <color theme="1"/>
        <rFont val="Arial Narrow"/>
        <family val="2"/>
      </rPr>
      <t>Gestionar el Proceso de diseño y/o actualización del sistema de evaluación de desempeño de los trabajadores amparados en el Código de Trabajo.</t>
    </r>
  </si>
  <si>
    <t>Proceso de diseño y/o actualización del sistema de evaluación de desempeño de los trabajadores amparados en el Código de Trabajo, gestionado.</t>
  </si>
  <si>
    <t>N° de procesos de diseño y/o actualización del sistema de evaluación de desempeño de los trabajadores, gestionados.</t>
  </si>
  <si>
    <t>1. Revisar y analizar normativa externa aplicada al proceso de evaluación de los trabajores.
2.- Presentar ante la Autoridad Nominadora la propuesta del Diseño del Sistema de Evaluación de desempeño del personal sujeto al Código del Trabajo.</t>
  </si>
  <si>
    <t>1.- Propuesta del Diseño del Sistema de Evaluación de desempeño del personal sujeto al Código del Trabajo.</t>
  </si>
  <si>
    <t>* Ab. Mariuxi Apolo Silva,
 Directora de Talento Humano
* Ing. Rina Loayza,
  Jefe de Desarrollo de Talento Humano</t>
  </si>
  <si>
    <r>
      <rPr>
        <b/>
        <sz val="9"/>
        <color theme="1"/>
        <rFont val="Arial Narrow"/>
        <family val="2"/>
      </rPr>
      <t>16.-</t>
    </r>
    <r>
      <rPr>
        <sz val="10"/>
        <color theme="1"/>
        <rFont val="Arial Narrow"/>
        <family val="2"/>
      </rPr>
      <t xml:space="preserve"> Presentación de la Planificación Operativa Anual y Evaluación de la Planificación Operativa Anual.</t>
    </r>
  </si>
  <si>
    <t>N° de Planificación Operativa Anual y evaluación de la planificación operativa anual, presentada.</t>
  </si>
  <si>
    <t>1.- Detectar necesidades.
2.- Elaborar el POA 2024.
3.- Elaborar la evaluación anual del POA 2023.
4.- Cargar evidencias del cumplimiento de las metas operativas en la carpeta de la Unidad de Desarrollo del Talento Humano en el google drive.
5.- Realizar la entrega de la planificación y evaluación del POA.</t>
  </si>
  <si>
    <t>1.- Planificación Operativa Anual 2024.
2.- Evaluación de la Planificación Operativa Anual 2023.</t>
  </si>
  <si>
    <r>
      <rPr>
        <b/>
        <sz val="9"/>
        <color theme="1"/>
        <rFont val="Arial Narrow"/>
        <family val="2"/>
      </rPr>
      <t>17.-</t>
    </r>
    <r>
      <rPr>
        <sz val="10"/>
        <color theme="1"/>
        <rFont val="Arial Narrow"/>
        <family val="2"/>
      </rPr>
      <t xml:space="preserve"> Organizar el Archivo de Gestión.</t>
    </r>
  </si>
  <si>
    <t>N° de Cajas del Archivo de la Dirección de Talento Humano registradas en el Inventario Documental.</t>
  </si>
  <si>
    <t>* Ab. Mariuxi Apolo Silva
  Directora de Talento Humano
* Tlga. Nely Vera Encalada e Ing.  xavier Chávez Arciniegas,
  Técnicos de Documentación y Archivo</t>
  </si>
  <si>
    <t>TOTAL PRESUPUESTO ESTIMATIVO DIRECCIÓN DE TALENTO HUMANO 2023:</t>
  </si>
  <si>
    <t>UNIDAD DE GESTIÓN DEL TALENTO HUMANO</t>
  </si>
  <si>
    <r>
      <rPr>
        <b/>
        <sz val="10"/>
        <color rgb="FFFF0000"/>
        <rFont val="Arial Narrow"/>
        <family val="2"/>
      </rPr>
      <t>METAS OPERATIVAS</t>
    </r>
    <r>
      <rPr>
        <b/>
        <sz val="9"/>
        <color theme="1"/>
        <rFont val="Arial Narrow"/>
        <family val="2"/>
      </rPr>
      <t xml:space="preserve">
1.-</t>
    </r>
    <r>
      <rPr>
        <sz val="10"/>
        <color theme="1"/>
        <rFont val="Arial Narrow"/>
        <family val="2"/>
      </rPr>
      <t xml:space="preserve"> Coordinar y ejecutar los Procesos de contratación según competencias, y/o registros de concursos de méritos y oposición (LOSEP, para el ingreso del personal).</t>
    </r>
  </si>
  <si>
    <t>Procesos de contratación (todos los regímenes laborales, y en el caso de régimen LOES previa intervención de las instancias académicas pertinentes) y/o concursos de méritos y oposición (LOSEP) para el ingreso de personal coordinados y ejecutados.</t>
  </si>
  <si>
    <t xml:space="preserve">
N° de contratos registrados y/o registro de concursos de méritos y oposición.</t>
  </si>
  <si>
    <t>1.- Receptar las notificaciones canalizadas desde la Dirección TH, coordinar y asignar al personal la elaboración de contratos o acciones de personal previo cumplimiento de requisitos notificados hasta la suscripción y firma de los servidores.
2.- Elaborar de avisos de entrada o salida al IESS,según reforma web de la UREM.
3.- Registrar las Actas de Declaratoria de Concursos de Méritos y Oposición canalizadas desde la DTH ante la Autoridad Nominadora.
4.- Elaborar el Proceso de Elaboración de Acciones de Persona.</t>
  </si>
  <si>
    <t>1.- Reporte consolidado del estado de Ejecución de los Procesos de contratación y/o concursos de méritos y oposición (LOSEP) para el ingreso de personal registrados.</t>
  </si>
  <si>
    <t>* Ing. Liliana Campoverde Muñoz,
  Jefe de Gestión del Talento Humano
* Lic. Erwin Cevallos Onofre,
  Supervisor de Gestión del Talento Humano
* Ing. Viviana Mendoza Ramia,
* Ing. Xavier Chávez Arciniegas,
* Ing. Ana Satán Moreira,
* Ing. Walter Correa Anchundia,
* Lic. Rocío Espinoza González,
* Ing. Lourdes Zhiminaycela Pacheco,
  Analistas de Gestión del Talento Humano</t>
  </si>
  <si>
    <r>
      <rPr>
        <b/>
        <sz val="9"/>
        <color theme="1"/>
        <rFont val="Arial Narrow"/>
        <family val="2"/>
      </rPr>
      <t>2.-</t>
    </r>
    <r>
      <rPr>
        <sz val="10"/>
        <color theme="1"/>
        <rFont val="Arial Narrow"/>
        <family val="2"/>
      </rPr>
      <t xml:space="preserve"> Ejecutar los requerimientos de cambios en los contratos y/o acciones de personal.</t>
    </r>
  </si>
  <si>
    <t>Requerimientos de cambios en los contratos y/o acciones de personal ejecutados.</t>
  </si>
  <si>
    <t>N° de procesos de contratos y/o acciones por cambios ejecutados y registrados.</t>
  </si>
  <si>
    <t>1.- Receptar de la documentación sustento para trámite de modificación canalizada desde la Dirección.
2.- Registrar el reajuste de la disponibilidad económica, en caso de requerirlo.
3.- Elaborar del nuevo contrato y/o acción. de ser el caso y registrarlo.
4.- Realizar los Avisos de entrada y/o salida al IESS según corresponda.</t>
  </si>
  <si>
    <t>1.- Reporte de procesos de modificaciones a los contratos y/o acciones de personal.</t>
  </si>
  <si>
    <t>* Ing. Liliana Campoverde Muñoz,
  Jefe de Gestión del Talento Humano
* Lic. Erwin Cevallos Onofre,
  Ing. María Pacheco Carvajal,
  Supervisores de Gestión del Talento Humano
* Ing. Viviana Mendoza Ramia,
* Ing. Xavier Chávez Arciniega,
* Ing. Ana Satán Moreira,
* Ing. Walter Correa Anchundia,
* Lic. Rocío Espinoza González,
* Ing. Lourdes Zhiminaycela Pacheco,
  Analistas de Gestión del Talento Humano</t>
  </si>
  <si>
    <t>DE PREFERENCIA COLOR VERDE OSCURO 
(3212920156)-FOLDER COLGANTE METÁLICAS.</t>
  </si>
  <si>
    <r>
      <rPr>
        <b/>
        <sz val="9"/>
        <color theme="1"/>
        <rFont val="Arial Narrow"/>
        <family val="2"/>
      </rPr>
      <t>3.-</t>
    </r>
    <r>
      <rPr>
        <sz val="10"/>
        <color theme="1"/>
        <rFont val="Arial Narrow"/>
        <family val="2"/>
      </rPr>
      <t xml:space="preserve"> Supervisar el registro de asistencia (todos los regímenes laborales) y permanencia de personal (LOSEP, Código de Trabajo).</t>
    </r>
  </si>
  <si>
    <t>Registro de asistencia (todos los regímenes laborales) y permanencia de personal (LOSEP, Código de Trabajo), supervisado.</t>
  </si>
  <si>
    <t>N° de procesos realizados inherentes al registro de la asistencia y la permanencia de personal ejecutados y supervisados.</t>
  </si>
  <si>
    <t>1) PERSONAL DOCENTE - REGISTROS DE ASISTENCIA Y PERMANENCIA
1.- Receptar notificación de documentación sustento de justificaciones canalizadas desde la DirecciónTH.
2.- Ingresar horario de labores al sistema del reloj biométrico y descargar archivos de los relojes.
3.- Analizar y registrar en el sistema para obtener la generación del reporte de asistencia consolidado.
4.- Realizar el proceso de coactivas.
5.- Supervisar y/o monitorear la permanencia de personal, según requerimiento DUT y presentar informe de cumplimiento o novedades.
2) PERSONAL NO DOCENTE - REGISTROS DE ASISTENCIA Y PERMANENCIA
1.- Receptar y registrar horarios y justificaciones del Personal no docente, para consolidación de nóminas e información de informes para pago al personal no docente, por diferentes rubros de: Alimentación y Transporte del Personal (Código de Trabajo); para pago de Horas Suplementarias y/o extraordinarias de personal autorizado (LOSEP y Código de Trabajo), previa autorización de la Autoridad competente; de Cargas Familiares (Código de Trabajo).
2.- Supervisar y/o monitorear el buen uso del uniforme institucional y/o la permanencia del personal, según requerimiento, previo disposición canalizada desde la Dirección.</t>
  </si>
  <si>
    <t>1.- Reporte consolidado de Registro de la asistencia y de la permanencia de personal.</t>
  </si>
  <si>
    <t>* Ing. Liliana Campoverde Muñoz,
  Jefe de Gestión del Talento Humano
* Lic. Erwin Cevallos Onofre,
* Ing. María Pacheco Carvajal,
  Supervisores de Gestión del Talento Humano
* Lic. Rocío Espinoza González,
  Analistas de Gestión del Talento Humano</t>
  </si>
  <si>
    <r>
      <rPr>
        <b/>
        <sz val="9"/>
        <color theme="1"/>
        <rFont val="Arial Narrow"/>
        <family val="2"/>
      </rPr>
      <t>4.-</t>
    </r>
    <r>
      <rPr>
        <b/>
        <sz val="10"/>
        <color theme="1"/>
        <rFont val="Arial Narrow"/>
        <family val="2"/>
      </rPr>
      <t xml:space="preserve"> </t>
    </r>
    <r>
      <rPr>
        <sz val="10"/>
        <color theme="1"/>
        <rFont val="Arial Narrow"/>
        <family val="2"/>
      </rPr>
      <t>Realizar la actualización de información en el sistema del ente rector del Control Fiscal, para efecto de validación de las declaraciones juramentadas patrimoniales de los servidores.</t>
    </r>
  </si>
  <si>
    <t>Actualización de información en el sistema del ente rector del Control Fiscal, para efecto de validación de las declaraciones juramentadas patrimoniales de los servidores, efectuada.</t>
  </si>
  <si>
    <t>N° de actualizaciones de información en el sistema del ente rector del Control Fiscal, sobre validación de las declaraciones juramentadas patrimoniales.</t>
  </si>
  <si>
    <t>PROCESO DE REGISTRO EN EL SISTEMA DE CONTRALORÍA LAS DECLARACIONES JURAMENTADAS
1.- Validar las declaraciones juramentadas de bienes en la Plataforma de la Contraloría General del Estado. Por inicio, fin de gestión y periódicas.
2.- Elaborar el Reporte mensual de declaraciones juramentadas de bienes en la plataforma de la CGE. Por inicio, fin de gestión y periódicas y carga del mismo.</t>
  </si>
  <si>
    <t>1.- Reporte del estado de la actualización de información en el sistema del ente rector del Control Fiscal, para efecto de validación de las declaraciones juramentadas patrimoniales de los servidores.</t>
  </si>
  <si>
    <t>* Ing. Liliana Campoverde Muñoz,
  Jefe de Gestión del Talento Humano
* Ing. Ana Satán Moreira,
  Analista de Gestión del Talento Humano</t>
  </si>
  <si>
    <r>
      <rPr>
        <b/>
        <sz val="9"/>
        <color theme="1"/>
        <rFont val="Arial Narrow"/>
        <family val="2"/>
      </rPr>
      <t>5.-</t>
    </r>
    <r>
      <rPr>
        <sz val="10"/>
        <color theme="1"/>
        <rFont val="Arial Narrow"/>
        <family val="2"/>
      </rPr>
      <t xml:space="preserve"> Registrar y/o actualizar los expedientes del personal respecto del ingreso, desvinculación y otros cambios de su situación laboral, en físico y digital.</t>
    </r>
  </si>
  <si>
    <t>Expedientes del personal respecto del ingreso, desvinculación y otros cambios de su situación laboral; organizados y/o actualizados.</t>
  </si>
  <si>
    <t>N° de servidores ingresados y/o actualizados en expedientes.</t>
  </si>
  <si>
    <t>1) PROCESO EXPEDIENTES FÍSICO y DIGITAL ACTUALIZADOS
1.- Clasificar, Depurar, organizar y archivar la documentación en los expedientes del personal de la UTMACH.
2.- Elaborar Certificaciones laborales del personal requirente, con sustento al expediente.
2) SISTEMA INFORMATICO INSTITUCIONAL SIUTMACH
1.- Crear y asignar del currículo de servidores nuevos y pasantes; activar e inactivar puestos, en el sistema SIUTMACH.
2.- Ingresar y actualizar datos personales, instrucción, formal, trayectoria laboral de los servidores en el sistema.</t>
  </si>
  <si>
    <t>1.- Reporte consolidado con número de Registros y actualización de los expedientes del personal respecto del ingreso, desvinculación y otros cambios de su situación laboral, en físico y digital, según corresponda.
2.- Registro en el sistema informático institucional y/o del ente rector del trabajo.</t>
  </si>
  <si>
    <t>* Ing. Liliana Campoverde Muñoz,
  Jefe de Gestión del Talento Humano
* Ing. Ana Satán Moreira,
* Ing. Lourdes Zhiminaycela Pacheco,
  Analistas de Gestión del Talento Humano</t>
  </si>
  <si>
    <r>
      <rPr>
        <b/>
        <sz val="9"/>
        <color theme="1"/>
        <rFont val="Arial Narrow"/>
        <family val="2"/>
      </rPr>
      <t xml:space="preserve">6.- </t>
    </r>
    <r>
      <rPr>
        <sz val="10"/>
        <color theme="1"/>
        <rFont val="Arial Narrow"/>
        <family val="2"/>
      </rPr>
      <t>Planificar y controlar la ejecución de las vacaciones del personal, en caso de la LOES, la aplicación es vinculante según calendario aprobado previa intervención de instancias académicas.</t>
    </r>
  </si>
  <si>
    <t>Planificación Anual de Vacaciones personal efectuada y controlada.</t>
  </si>
  <si>
    <t>N° de Procesos de Ejecución de las vacaciones del personal planificada y controlada.</t>
  </si>
  <si>
    <t>1) PROCESO PLAN Y EJECUCIÓN ANUAL DE VACACIONES
1.- Elaborar Plan de Vacaciones, en consolidación con la información requerida a otras unidades.
2.- Aplicar el Plan mediante el control de marcaciones y/o consolidación de registros manuales de los servidores.
3.- Elaborar Acciones de personal por vacaciones, en los casos que se requiera, autorizadas por modificaciones fuera del calendario establecido, previo notificación desde la Dirección.
4.- Realizar Informes para Liquidación de vacaciones del personal NO TITULAR que se desvincula definitivamente de la UTMACH, en concordancia con las directrices del Ministerio de Finanzas.(CODIGO DE TRABAJO-LOSEP-LOES).</t>
  </si>
  <si>
    <t>1.- Reporte de la Ejecución de vacaciones del personal.</t>
  </si>
  <si>
    <t>* Ing. Liliana Campoverde Muñoz,
  Jefe de Gestión del Talento Humano
* Lic. Erwin Cevallos Onofre,
* Ing. María Pacheco Carvajal,
  Supervisores de Gestión del Talento Humano.-
* Lic. Rocío Espinoza González,
  Analistas de Gestión del Talento Humano</t>
  </si>
  <si>
    <t>Tinta para impresora EPSON WF - C5790 Series color preto negro R04X – Código C13T94212A</t>
  </si>
  <si>
    <t>Tinta para impresora EPSON WF - C5790 Series
color amarelo amarillo R04L – Código C13T94142A</t>
  </si>
  <si>
    <t>Tinta para impresora EPSON WF - C5790 Series color magenta R04L – Código C13T94132A</t>
  </si>
  <si>
    <t>Tinta para impresora EPSON WF - C5790 Series color Ciano/Cian R04L – Código C13T94122A</t>
  </si>
  <si>
    <r>
      <rPr>
        <b/>
        <sz val="9"/>
        <color theme="1"/>
        <rFont val="Arial Narrow"/>
        <family val="2"/>
      </rPr>
      <t>7.-</t>
    </r>
    <r>
      <rPr>
        <sz val="10"/>
        <color theme="1"/>
        <rFont val="Arial Narrow"/>
        <family val="2"/>
      </rPr>
      <t xml:space="preserve"> Coordinar los procesos de desvinculación de personal.</t>
    </r>
  </si>
  <si>
    <t>Procesos de desvinculación de personal, coordinados.</t>
  </si>
  <si>
    <t>N° de procesos de desvinculación de personal coordinados.</t>
  </si>
  <si>
    <t>PROCESO PLAN DE DESVINCULACIÓN
1.- Consolidar los requisitos en aplicación al Proceso del Plan Institucional de Retiro Voluntario y Obligatorio con fines de Jubilación, aprobado por instancias superiores.
2.- Realizar las actas de finiquito (CÓDIGO DE TRABAJO).
3.- Elaborar acciones de personal por desvinculación de personal titular LOSEP Y LOES).
4.- Efectuar informes para pago de indemnización de tiempo de servicio en la UTMACH y otras instituciones del sector público de todos los regímenes.
5.- Elaborar informes del promedio de horas de docencia durante el tiempo de servicio en la UTMACH (LOES).
6.- Realizar informes para liquidación de vacaciones del personal titular que se desvincula definitivamente (CÓDIGO DE TRABAJO, LOSEP Y LOES).
7.- Elaborar informes para pago por desahucio (CÓDIGO DE TRABAJO).
8.- Elaborar avisos de salida al IESS del personal cesante.</t>
  </si>
  <si>
    <t>1.- Reporte de los procesos de desvinculación de personal.</t>
  </si>
  <si>
    <t>* Ing. Liliana Campoverde Muñoz,
  Jefe de Gestión del Talento Humano
* Lic. Erwin Cevallos Onofre,
* Ing. María Pacheco Carvajal,
  Supervisores de Gestión del Talento Humano
* Ing. Viviana Mendoza Ramia,
* Ing. Xavier Chávez Arciniegas
* Ing. Ana Satán Moreira,
* Ing. Walter Correa Anchundia,
* Lic. Rocío Espinoza González,
* Ing. Lourdes Zhiminaycela Pacheco,
  Analistas de Gestión del Talento Humano</t>
  </si>
  <si>
    <r>
      <rPr>
        <b/>
        <sz val="9"/>
        <color theme="1"/>
        <rFont val="Arial Narrow"/>
        <family val="2"/>
      </rPr>
      <t>8.-</t>
    </r>
    <r>
      <rPr>
        <b/>
        <sz val="10"/>
        <color theme="1"/>
        <rFont val="Arial Narrow"/>
        <family val="2"/>
      </rPr>
      <t xml:space="preserve"> </t>
    </r>
    <r>
      <rPr>
        <sz val="10"/>
        <color theme="1"/>
        <rFont val="Arial Narrow"/>
        <family val="2"/>
      </rPr>
      <t>Coordinar el proceso de aplicación de las resoluciones adoptadas por el máximo órgano colegiado superior, relacionado con sanciones impuestas por faltas disciplinarias a los servidores de la UTMACH.</t>
    </r>
  </si>
  <si>
    <t>Proceso de aplicación de las resoluciones adoptadas por el máximo órgano colegiado superior, relacionado con sanciones impuestas por faltas disciplinarias a los servidores de la UTMACH, coordinado.</t>
  </si>
  <si>
    <t>N° de sanciones disciplinarias ejecutadas mediante acciones de personal e impuestas por Autoridad Superior.</t>
  </si>
  <si>
    <t>PROCESO SANCIONES 
1.- Receptar de la documentación sustento de la ejecución de la sanción de personal canalizada desde la Dirección.
2.- Solicitar a la Secretaría General informe si la sanción ha sido ejecutoriada.
3.- Consolidar la información con respuesta de lo antes solicitado.
4.- En caso recibir respuesta de Secretaría General que si ha sido ejecutoriada la sanción impuesta.
5.- Elaborar la acción de personal por sanción y registro.
6.- Alimentar la Matriz de Sanciones UTMACH.
7.- Registrar en el Sistema Biométrico para control de la sanción vs asistencia del personal.</t>
  </si>
  <si>
    <t>1.- Reporte de acciones de personal emitidas para aplicación de las resoluciones adoptadas por el máximo órgano colegiado superior, relacionado con sanciones impuestas por faltas disciplinarias a los servidores de la UTMACH.</t>
  </si>
  <si>
    <t>* Ing. Liliana Campoverde Muñoz,
  Jefe de Gestión del Talento Humano
* Lic. Erwin Cevallos Onofre,
* Ing. María Pacheco Carvajal,
  Supervisores de Gestión del Talento Humano
* Ing. Viviana Mendoza Ramia,
* Ing. Xavier Chávez Arciniegas,
* Ing. Ana Satán Moreira,
* Lic. Rocío Espinoza González,
* Ing. Lourdes Zhiminaycela Pacheco,
  Analistas de Gestión del Talento Humano</t>
  </si>
  <si>
    <r>
      <rPr>
        <b/>
        <sz val="9"/>
        <color theme="1"/>
        <rFont val="Arial Narrow"/>
        <family val="2"/>
      </rPr>
      <t>9.-</t>
    </r>
    <r>
      <rPr>
        <sz val="10"/>
        <color theme="1"/>
        <rFont val="Arial Narrow"/>
        <family val="2"/>
      </rPr>
      <t xml:space="preserve"> Emitir los Informes técnicos relacionados con permisos, licencias, comisiones de servicios, vacaciones, y demás procesos que se lleven a cabo en la Unidad de Gestión de Talento Humano.</t>
    </r>
  </si>
  <si>
    <t>Informes técnicos relacionados con permisos, licencias, comisiones de servicios, vacaciones, y demás procesos que se lleven a cabo en la Unidad de Gestión de Talento Humano emitidos.</t>
  </si>
  <si>
    <t>N° de reportes de Informes Técnicos por permisos,licencias en general y demás requerimientos atendidos.</t>
  </si>
  <si>
    <t>1) PROCESO INFORMES TÉCNICOS DE ANTECEDENTES SOLICITADOS (NO LEGALES) RELACIONADOS CON PERMISOS, LICENCIAS, COMISIONES DE SERVICIOS, VACACIONES 
1.- Receptar la petición cuando lo requiera desde la Dirección TH.
2.- Análisis de los Antecedentes.
3.- Elaborar informe Técnico de Antecedentes solicitado desde la Dirección.
2) PROCESO ACCIONES DE PERSONAL
1.- Receptar la autorización para elaborar la acción de personal.canalizada desde la Dirección.
2.- Elaborar acción de personal.</t>
  </si>
  <si>
    <t xml:space="preserve">1.- Reporte de informes técnicos del mes, relacionados con permisos, licencias, comisiones de servicios, vacaciones, y demás procesos que se lleven a cabo en la unidad de Gestión de Talento Humano.
</t>
  </si>
  <si>
    <t>* Lic. Erwin Cevallos Onofre,
* Ing. María Pacheco Carvajal,
  Supervisores de Gestión del Talento Humano
* Ing. Viviana Mendoza Ramia,
* Ing. Xavier Chávez Arciniegas
* Ing. Ana Satán Moreira,
* Lic. Rocío Espinoza González,
* Ing. Lourdes Zhiminaycela Pacheco,
  Analistas de Gestión del Talento Humano</t>
  </si>
  <si>
    <t>Información relacionada con el Talento Humano, solicitada por organismos externos que rigen a la institución en el área de competencia, emitidos.</t>
  </si>
  <si>
    <t>N° de Procesos solicitados por organismos externos atendidos.</t>
  </si>
  <si>
    <t>1) PARTICIPACIÓN EN PROCESO para ingreso de información al PAC bajo la Dirección de Talento Humano
2) PROCESO SISTEMA INFORMÁTICO EXTERNO/ SIITH MDT EN ÁREA DE COMPETENCIA
1.- Ingresar datos personales, familiares e instrucción formal de los servidores en la plataforma del MDT.
2.- Vincular y actualizar a los servidores, a la institución en caso de existir en el sistema en la plataforma del MDT.
3.- Desvincular servidores por movimientos de renuncias, jubilaciones, visto bueno en la plataforma del MDT.
4.- Enlace de puestos.
3) Otras Matrices que soliciten Organismos Externos en Área de Competencias.</t>
  </si>
  <si>
    <t>1.- Reporte de Cumplimiento de carga de información relacionada con el Talento Humano o matrices solicitados por organismos externos que rigen a la institución.</t>
  </si>
  <si>
    <t>* Ing. Liliana Campoverde Muñoz,
  Jefe de Gestión del Talento Humano
* Lic. Erwin Cevallos Onofre,
* Ing. María Pacheco Carvajal,
  Supervisores de Gestión del Talento Humano
* Ing. Viviana Mendoza Ramia,
* Ing. Xavier Chávez Arciniegas
* Ing. Ana Satán Moreira,
* Lic. Rocío Espinoza González,
* Ing. Lourdes Zhiminaycela Pacheco,
  Analistas de Gestión del Talento Humano</t>
  </si>
  <si>
    <r>
      <rPr>
        <b/>
        <sz val="9"/>
        <color theme="1"/>
        <rFont val="Arial Narrow"/>
        <family val="2"/>
      </rPr>
      <t>11.-</t>
    </r>
    <r>
      <rPr>
        <sz val="10"/>
        <color theme="1"/>
        <rFont val="Arial Narrow"/>
        <family val="2"/>
      </rPr>
      <t xml:space="preserve"> Presentar la Planificación Operativa Anual y Evaluación de la Planificación Operativa Anual.</t>
    </r>
  </si>
  <si>
    <t>N° de Planificaciones Operativas Anuales y evaluaciones de la planificación operativa anual, presentadas.</t>
  </si>
  <si>
    <t>1.- Detectar necesidades.
2.- Elaborar el POA.
3.- Elaborar evaluación semestral del POA.
4.- Cargar evidencias de cumplimiento de las metas operativas en la carpeta google drive.
5.- Realizar la entrega de la planificación y evaluaciones semestrales del POA.</t>
  </si>
  <si>
    <t>1.- Plan Operativo Anual 2022.
2.- Evaluación del POA I Semestre 2022.
3.- Plan Operativo Anual 2023.
4.- Evaluación del POA II Semestre 2022.</t>
  </si>
  <si>
    <t>* Ing. Liliana Campoverde Muñoz,
  Jefe de Gestión del Talento Humano (POA)
EVAL POA:
* Lic. Erwin Cevallos Onofre,
* Ing. María Pacheco Carvajal,
  Supervisores de Gestión del Talento Humano
* Ing. Viviana Mendoza Ramia,
* Ing. Xavier Chávez Arciniegas,
* Ing. Ana Satán Moreira,
* Ing. Walter Correa Anchundia,
* Lic. Rocío Espinoza González,
* Ing. Lourdes Zhiminaycela Pacheco,
  Analistas de Gestión del Talento Humano</t>
  </si>
  <si>
    <r>
      <rPr>
        <b/>
        <sz val="9"/>
        <color theme="1"/>
        <rFont val="Arial Narrow"/>
        <family val="2"/>
      </rPr>
      <t>12.-</t>
    </r>
    <r>
      <rPr>
        <sz val="10"/>
        <color theme="1"/>
        <rFont val="Arial Narrow"/>
        <family val="2"/>
      </rPr>
      <t xml:space="preserve"> Organizar el Archivo de Gestión.</t>
    </r>
  </si>
  <si>
    <t>1.- Seleccionar la documentación para su depuración.
2.- Organizar las carpetas.
3.- Describir la documentación según la norma ISAD-G.
4.- Preservar la documentación en las unidades de almacenamiento.</t>
  </si>
  <si>
    <t>* Ing. Liliana Campoverde Muñoz,
  Jefe de Gestión del Talento Humano
* Lic. Erwin Cevallos Onofre,
* Ing. María del Cisne Pacheco Carvajal
  Supervisor de Gestión del Talento Humano
* Lic. Rocío Espinoza González.
* Ing. Ana Satán Moreira,
* Ing. Lourdes Zhiminaycela Pacheco,
* Ing. Viviana Mendoza Ramia (CONSOLIDACIÓN)           
* Ing.Xavier Chávez
  Analistas de Gestión del Talento Humano</t>
  </si>
  <si>
    <t>TOTAL PRESUPUESTO ESTIMATIVO UNIDAD DE GESTIÓN DEL TALENTO HUMANO 2023:</t>
  </si>
  <si>
    <t>UNIDAD DE DESARROLLO DEL TALENTO HUMANO</t>
  </si>
  <si>
    <r>
      <rPr>
        <b/>
        <sz val="10"/>
        <color rgb="FFFF0000"/>
        <rFont val="Arial Narrow"/>
        <family val="2"/>
      </rPr>
      <t>METAS OPERATIVAS</t>
    </r>
    <r>
      <rPr>
        <b/>
        <sz val="9"/>
        <color theme="1"/>
        <rFont val="Arial Narrow"/>
        <family val="2"/>
      </rPr>
      <t xml:space="preserve">
1.-</t>
    </r>
    <r>
      <rPr>
        <b/>
        <sz val="10"/>
        <color theme="1"/>
        <rFont val="Arial Narrow"/>
        <family val="2"/>
      </rPr>
      <t xml:space="preserve"> </t>
    </r>
    <r>
      <rPr>
        <sz val="10"/>
        <color theme="1"/>
        <rFont val="Arial Narrow"/>
        <family val="2"/>
      </rPr>
      <t>Coordinar la Planificación anual de capacitación del personal administrativo perteneciente a la Ley Orgánica de Servicio Público y trabajadores amparados bajo el régimen de Código de Trabajo.</t>
    </r>
  </si>
  <si>
    <t>Planificación anual de capacitación del personal administrativo perteneciente a la Ley Orgánica de Servicio Público y trabajadores amparados bajo el régimen de Código de Trabajo, coordinada.</t>
  </si>
  <si>
    <t>N° de Planes de Capacitación de los servidores amparados por la Ley Orgánica del Servicio Público y Código del Trabajo, coordinados.</t>
  </si>
  <si>
    <t>1.- Coordinar la elaboración y envío de los formularios para la detección de las necesidades de capacitación.
2.- Elaborar el reporte de necesidades de capacitación.
3.- Elaborar la propuesta del Plan Anual de Capacitación del personal administrativo y trabajadores.</t>
  </si>
  <si>
    <t>1.- Plan Anual de Capacitación de los servidores amparados por la Ley Orgánica del Servicio Público y Código del Trabajo.
2.- Resolución de Consejo Universitario de aprobación del Plan de Capacitación de los servidores amparados por la Ley Orgánica del Servicio Público y Código del Trabajo.</t>
  </si>
  <si>
    <t>* Ab. Mariuxi Apolo Silva,
  Directora de Talento Humano
* Ing. Rina Loayza Ramírez,
  Jefe de Desarrollo del Talento Humano
* Ing. Verónica Delgado Bermeo,
  Analista de Desarrollo del Talento Humano</t>
  </si>
  <si>
    <t>Capacitación a Servidores Administrativos y Trabajadores</t>
  </si>
  <si>
    <t>Pago pendiente que se debe realizar a la UNIR</t>
  </si>
  <si>
    <r>
      <rPr>
        <b/>
        <sz val="9"/>
        <color theme="1"/>
        <rFont val="Arial Narrow"/>
        <family val="2"/>
      </rPr>
      <t>2.-</t>
    </r>
    <r>
      <rPr>
        <sz val="10"/>
        <color theme="1"/>
        <rFont val="Arial Narrow"/>
        <family val="2"/>
      </rPr>
      <t xml:space="preserve"> Supervisar la ejecución del Plan Anual de Capacitación de los servidores administrativos y de servicio de la UTMACH.</t>
    </r>
  </si>
  <si>
    <t>Seguimiento y evaluación de la ejecución de la planificación anual de capacitación del personal, efectuada.</t>
  </si>
  <si>
    <t xml:space="preserve">N° de Cursos del Plan de Capacitación de los Servidores amparados por la Ley Orgánica del Servicio Público y Código del Trabajo, ejecutados. </t>
  </si>
  <si>
    <t>1.- Preparar la logística de los eventos.
2.- Notificar a los servidores designados a los eventos de capacitación.
3.- Evaluar los Eventos de capacitación.
4.- Realizar informes de ejecución de los eventos de capacitación.
5.- Efectuar informes de impacto de capacitación.</t>
  </si>
  <si>
    <t>1.- Informes de ejecución de los eventos de capacitación.</t>
  </si>
  <si>
    <r>
      <rPr>
        <b/>
        <sz val="9"/>
        <color theme="1"/>
        <rFont val="Arial Narrow"/>
        <family val="2"/>
      </rPr>
      <t>3.-</t>
    </r>
    <r>
      <rPr>
        <b/>
        <sz val="10"/>
        <color theme="1"/>
        <rFont val="Arial Narrow"/>
        <family val="2"/>
      </rPr>
      <t xml:space="preserve"> </t>
    </r>
    <r>
      <rPr>
        <sz val="10"/>
        <color theme="1"/>
        <rFont val="Arial Narrow"/>
        <family val="2"/>
      </rPr>
      <t>Coordinar la Planificación anual de apoyo institucional para formación de los servidores administrativos de la UTMACH.</t>
    </r>
  </si>
  <si>
    <t>Planificación anual de apoyo institucional para formación de los servidores administrativos de la UTMACH, coordinada.</t>
  </si>
  <si>
    <t>N° de Planes de Apoyo Institucional para formación de servidores administrativos, coordinados.</t>
  </si>
  <si>
    <t>1.- Coordinar con la Directora de Talento Humano, el envío de circulares a servidores sobre plan.
2.- Elaborar la propuesta del Plan Anual de apoyo institucional tipo A, previo análisis de la documentación por parte de la Comisión.</t>
  </si>
  <si>
    <t>1.- Plan Anual de Apoyo Institucional Económico Tipo A.
2.- Resolución de Consejo Universitario de aprobación del Plan.</t>
  </si>
  <si>
    <t>* Ab. Mariuxi Apolo Silva,
  Directora de Talento Humano
* Ing. Rina Loayza Ramírez,
  Jefe de Desarrollo del Talento Humano</t>
  </si>
  <si>
    <t>Apoyo institucional para servidores administrativos</t>
  </si>
  <si>
    <r>
      <rPr>
        <b/>
        <sz val="9"/>
        <color theme="1"/>
        <rFont val="Arial Narrow"/>
        <family val="2"/>
      </rPr>
      <t>4.-</t>
    </r>
    <r>
      <rPr>
        <sz val="10"/>
        <color theme="1"/>
        <rFont val="Arial Narrow"/>
        <family val="2"/>
      </rPr>
      <t xml:space="preserve"> Supervisar la ejecución del Plan Anual de apoyo institucional económico tipo A para los servidores administrativos.</t>
    </r>
  </si>
  <si>
    <t>Seguimiento y evaluación de la planificación anual de apoyo institucional para los servidores administrativos, efectuado.</t>
  </si>
  <si>
    <t>N° de informes al seguimiento y evaluación de la planificación anual de apoyo institucional para los servidores administrativos.</t>
  </si>
  <si>
    <t>1.- Realizar el seguimiento a los justificativos presentados por los servidores.
2.- Elaborar Informe de ejecución del Plan Anual de Apoyo Institucional.</t>
  </si>
  <si>
    <t>1.- Informe de la ejecución del Plan Anual de apoyo institucional económico tipo A para los servidores administrativos.</t>
  </si>
  <si>
    <r>
      <rPr>
        <b/>
        <sz val="9"/>
        <color theme="1"/>
        <rFont val="Arial Narrow"/>
        <family val="2"/>
      </rPr>
      <t>5.-</t>
    </r>
    <r>
      <rPr>
        <b/>
        <sz val="10"/>
        <color theme="1"/>
        <rFont val="Arial Narrow"/>
        <family val="2"/>
      </rPr>
      <t xml:space="preserve"> </t>
    </r>
    <r>
      <rPr>
        <sz val="10"/>
        <color theme="1"/>
        <rFont val="Arial Narrow"/>
        <family val="2"/>
      </rPr>
      <t>Coordinar la Planificación anual de evaluación de desempeño de los servidores.</t>
    </r>
  </si>
  <si>
    <t>Planificación anual de evaluación de desempeño de los servidores, coordinada.</t>
  </si>
  <si>
    <t>N° de Planes de Evaluación de Desempeño, coordinados.</t>
  </si>
  <si>
    <t>1.- Realizar el ingreso del cronograma en el SIITH.
2.- Elaborar la propuesta del Plan Anual de Evaluación del Desempeño.
3.- Coordinar la socialización del proceso de evaluación, ingreso de Metas por Unidad.
4.- Coordinar el proceso de asignación de responsabilidades en el SIITH.</t>
  </si>
  <si>
    <t>1.- Plan de Evaluación de Desempeño.
2.- Oficio Aprobación Plan de Evaluación de Desempeño.</t>
  </si>
  <si>
    <r>
      <rPr>
        <b/>
        <sz val="9"/>
        <color theme="1"/>
        <rFont val="Arial Narrow"/>
        <family val="2"/>
      </rPr>
      <t>6.-</t>
    </r>
    <r>
      <rPr>
        <sz val="10"/>
        <color theme="1"/>
        <rFont val="Arial Narrow"/>
        <family val="2"/>
      </rPr>
      <t xml:space="preserve"> Administrar el módulo relacionado con la evaluación del Talento Humano en la plataforma dispuesta por el ente rector del trabajo.</t>
    </r>
  </si>
  <si>
    <t>Seguimiento y evaluación de la planificación anual de evaluación del desempeño de los servidores, efectuado.</t>
  </si>
  <si>
    <t>N° de Fases del Proceso de Evaluación de Desempeño de los servidores amparados por la LOSEP, ejecutadas.</t>
  </si>
  <si>
    <t>1.- Revisar en el SIITH el proceso de asignación de Responsabilidades, de ser necesario habilitar los formularios de metas y de asignación de responsabilidades.
2.- Coordinar la evaluación de Niveles de Eficiencia.
3.- Coordinar la evaluación de los Niveles de Satisfacción de Usuarios externos, así como la evaluación de los Niveles de Satisfacción de Usuarios Internos.
4.- Coordinar la evaluación a los servidores del Nivel Jerárquico Superior.
5.- Elaborar el Informe Anual del Plan de Evaluación del Desempeño.</t>
  </si>
  <si>
    <t>1.- Informe sobre la ejecución de las Fases del Plan Anual de Evaluación de Desempeño de los servidores régimen LOSEP.</t>
  </si>
  <si>
    <t>* Ing. Rina Loayza Ramírez,
  Jefe de Desarrollo del Talento Humano
* Ing. Verónica Delgado Bermeo,
  Analista de Desarrollo del Talento Humano</t>
  </si>
  <si>
    <r>
      <rPr>
        <b/>
        <sz val="9"/>
        <color theme="1"/>
        <rFont val="Arial Narrow"/>
        <family val="2"/>
      </rPr>
      <t>7.-</t>
    </r>
    <r>
      <rPr>
        <sz val="10"/>
        <color theme="1"/>
        <rFont val="Arial Narrow"/>
        <family val="2"/>
      </rPr>
      <t xml:space="preserve"> Emitir informes técnicos relacionados con el desarrollo del talento humano (capacitación, formación y evaluación, peticiones de becas y/o ayudas económicas, apoyo institucional, comisiones de servicio, licencias y permisos para estudios de tercer o cuarto nivel).</t>
    </r>
  </si>
  <si>
    <t>Informes técnicos respecto a la capacitación, formación y evaluación, peticiones de becas y/o ayudas económicas, apoyo institucional, comisiones de servicio, licencias y permisos para estudios de tercer o cuarto nivel para los servidores universitarios; emitidos.</t>
  </si>
  <si>
    <t>N° de Informes técnicos solicitados por los servidores universitarios, relacionados con el desarrollo del talento humano (capacitación, formación y evaluación, peticiones de becas y/o ayudas económicas, apoyo institucional, comisiones de servicio, licencias y permisos para estudios de tercer o cuarto nivel), emitidos.</t>
  </si>
  <si>
    <t>1.- Efectuar el análisis de la normativa interna y externa.
2.- Realizar la revisión de expedientes de los servidores.
3.- Efectuar los informes técnicos según los requerimientos.
4.- Elaborar reporte consolidado de informes técnicos emitidos.</t>
  </si>
  <si>
    <t>1.- Reporte consolidado de informes técnicos emitidos.</t>
  </si>
  <si>
    <r>
      <rPr>
        <b/>
        <sz val="9"/>
        <color theme="1"/>
        <rFont val="Arial Narrow"/>
        <family val="2"/>
      </rPr>
      <t>8.-</t>
    </r>
    <r>
      <rPr>
        <sz val="10"/>
        <color theme="1"/>
        <rFont val="Arial Narrow"/>
        <family val="2"/>
      </rPr>
      <t xml:space="preserve"> Administrar el módulo relacionado con la capacitación del Talento Humano en la plataforma dispuesta por el ente rector del trabajo.</t>
    </r>
  </si>
  <si>
    <t>Actualización de la información de capacitación de los servidores, ejecutada.</t>
  </si>
  <si>
    <t>N° de servidores con información en el módulo de Capacitación del SIITH, actualizada.</t>
  </si>
  <si>
    <t>1.- Revisar expedientes y/o la información registrada en el Módulo Capacitaciones del SIUTMACH.
2.- Ingresar la información de capacitación de los servidores en el SIITH - módulo de capacitación.
3.- Realizar reportes de capacitaciones registradas en la plataforma.</t>
  </si>
  <si>
    <t>1.- Reporte de capacitaciones registradas en la plataforma dispuesta por el ente rector del trabajo.</t>
  </si>
  <si>
    <r>
      <rPr>
        <b/>
        <sz val="10"/>
        <color rgb="FF000000"/>
        <rFont val="Arial Narrow"/>
        <family val="2"/>
      </rPr>
      <t>9.-</t>
    </r>
    <r>
      <rPr>
        <sz val="10"/>
        <color rgb="FF000000"/>
        <rFont val="Arial Narrow"/>
        <family val="2"/>
      </rPr>
      <t xml:space="preserve"> Emitir información relacionada con el Talento Humano solicitada por Organismos Externos que rigen a la Institución.</t>
    </r>
  </si>
  <si>
    <t>Información solicitada por organismos externos respecto de la Administración de Talento Humano, coordinada.</t>
  </si>
  <si>
    <t>N° de solicitudes de información por parte de organismos externos, atendidas.</t>
  </si>
  <si>
    <t>1.- Obtener y revisar la información solicitada por organismos externos.
2.- Elaborar la matriz o reportes según los requerimientos de organismos externos.
3.- Revisar la información de ingresos y salida del personal.
4.- Elaborar la matriz del literal b)1 Directorio de la Institución.</t>
  </si>
  <si>
    <t>1.- Reporte sobre información relacionada con el Talento Humano solicitados por organismos externos que rigen a la institución.
2.- Reporte de Plantillas del Directorio de la Institución.</t>
  </si>
  <si>
    <r>
      <rPr>
        <b/>
        <sz val="10"/>
        <color rgb="FF000000"/>
        <rFont val="Arial Narrow"/>
        <family val="2"/>
      </rPr>
      <t>10.-</t>
    </r>
    <r>
      <rPr>
        <sz val="10"/>
        <color rgb="FF000000"/>
        <rFont val="Arial Narrow"/>
        <family val="2"/>
      </rPr>
      <t xml:space="preserve"> Presentar la Planificación Operativa Anual y Evaluación de la Planificación Operativa Anual.</t>
    </r>
  </si>
  <si>
    <t>N° de Planificación Operativa Anual y evaluación de la planificación operativa anual, presentadas.</t>
  </si>
  <si>
    <t>1.- Elaborar el POA de acuerdo a las directrices emitidas.
2.- Efectuar la evaluación del POA.
3.- Preparar y cargar evidencias del POA en la carpeta asignada a la Unidad.</t>
  </si>
  <si>
    <t>1.- Planificación Operativa Anual 2024.
2.- Evaluación de la Planificación Operativa Anual 2023-</t>
  </si>
  <si>
    <r>
      <rPr>
        <b/>
        <sz val="10"/>
        <color rgb="FF000000"/>
        <rFont val="Arial Narrow"/>
        <family val="2"/>
      </rPr>
      <t>11.-</t>
    </r>
    <r>
      <rPr>
        <sz val="10"/>
        <color rgb="FF000000"/>
        <rFont val="Arial Narrow"/>
        <family val="2"/>
      </rPr>
      <t xml:space="preserve"> Organizar el Archivo de Gestión.</t>
    </r>
  </si>
  <si>
    <t>1.- Seleccionar la documentación para su depuración.
2.- Organizar las carpetas.
3.- Describir la documentación según la norma ISAD-G.
4.- Preservar la documentación en las unidades de almacena.</t>
  </si>
  <si>
    <t>TOTAL PRESUPUESTO ESTIMATIVO UNIDAD DE DESARROLLO DEL TALENTO HUMANO 2023:</t>
  </si>
  <si>
    <t>UNIDAD DE GESTIÓN ORGANIZACIONAL</t>
  </si>
  <si>
    <r>
      <rPr>
        <b/>
        <sz val="10"/>
        <color rgb="FFFF0000"/>
        <rFont val="Arial Narrow"/>
        <family val="2"/>
      </rPr>
      <t>METAS OPERATIVAS</t>
    </r>
    <r>
      <rPr>
        <b/>
        <sz val="9"/>
        <color theme="1"/>
        <rFont val="Arial Narrow"/>
        <family val="2"/>
      </rPr>
      <t xml:space="preserve">
1.-</t>
    </r>
    <r>
      <rPr>
        <sz val="10"/>
        <color theme="1"/>
        <rFont val="Arial Narrow"/>
        <family val="2"/>
      </rPr>
      <t xml:space="preserve"> Coordinar el proceso de elaboración y/o actualización de la Estructura Organizacional y Manuales para la descripción, valoración y clasificación de puestos.</t>
    </r>
  </si>
  <si>
    <t>Proceso de elaboración y/o actualización de la Estructura Organizacional y Manual de Descripción y Valoración de Puestos, coordinado.</t>
  </si>
  <si>
    <t>N° de Actualización de la estructura orgánica institucional y el Manual de Descripción, Clasificación, Valoración de Puestos y Escala Salarial.</t>
  </si>
  <si>
    <t>1.- Revisar, analizar para actualizar la Estructura Orgánica y el Manual de Descripción, Clasificación, Valoración de Puestos y Escala Salarial.
2.- Levantar la información con las demás dependencias para el proceso de actualización del Manual de Descripción, Valoración y Clasificación de Puestos.
3.- Informe a Rectorado para aprobación del proceso.</t>
  </si>
  <si>
    <t>1.- Informe de actualización de perfiles.
2.- Solicitudes para levantamiento de información.
3.- Registro Asistencia de reuniones trabajo para reforma Integral del Manual de Puestos.
4.- Informe Técnico Final.
5.- Manual de descripción, clasificación, valoración de puestos y escala salarial.</t>
  </si>
  <si>
    <t>* Nelly Zapata Eras,
  Jefe de Gestión Organizacional
* Amparo Pogo Labanda,
  Analista de Gestión Organizacional</t>
  </si>
  <si>
    <r>
      <rPr>
        <b/>
        <sz val="9"/>
        <color theme="1"/>
        <rFont val="Arial Narrow"/>
        <family val="2"/>
      </rPr>
      <t>2.-</t>
    </r>
    <r>
      <rPr>
        <sz val="10"/>
        <color theme="1"/>
        <rFont val="Arial Narrow"/>
        <family val="2"/>
      </rPr>
      <t xml:space="preserve"> Emitir Informes técnicos relacionados con cambios en la estructura organizacional, movimiento de personal y análisis de perfiles de
puestos.</t>
    </r>
  </si>
  <si>
    <t>Criterios técnicos relacionados con cambios de la estructura organizacional, movimiento de personal y análisis de perfiles de puestos, emitidos.</t>
  </si>
  <si>
    <t>N° de Criterios técnicos relacionados con cambios de la estructura organizacional, movimiento de personal y análisis de perfiles de puestos, emitidos.</t>
  </si>
  <si>
    <t>1.- Registrar los requerimientos sumillados por la Dirección de Talento Humano.
2.- Analizar la base legal, respecto de cada caso.
3.- Realizar el informe respectivo.</t>
  </si>
  <si>
    <t>1.- Reporte de entrega de Informes Técnicos Relacionados con cambios en la Estructura Organizacional, Perfiles de puestos, Traspasos, Cambios Administrativos y/o Traslados.</t>
  </si>
  <si>
    <t>MOUSE</t>
  </si>
  <si>
    <t>TECLADO</t>
  </si>
  <si>
    <r>
      <rPr>
        <b/>
        <sz val="9"/>
        <color theme="1"/>
        <rFont val="Arial Narrow"/>
        <family val="2"/>
      </rPr>
      <t>3.-</t>
    </r>
    <r>
      <rPr>
        <sz val="10"/>
        <color theme="1"/>
        <rFont val="Arial Narrow"/>
        <family val="2"/>
      </rPr>
      <t xml:space="preserve"> Coordinar el proceso de Planificación del Talento Humano.</t>
    </r>
  </si>
  <si>
    <t>Proceso de Planificación de Talento Humano, coordinado.</t>
  </si>
  <si>
    <t>N° de procesos de planificación del Talento Humano efectuados.</t>
  </si>
  <si>
    <t>1.- Solicitar autorización para el inicio del proceso de planificación de talento humano. 
2.- Absolver consultas y asesorar a los responsables de unidad o proceso sobre el registro de información en las Plantillas antes mencionadas.
3.- Receptar y Revisar las Plantillas de Talento Humano emitidas por las diferentes unidades.
4.- Consolidar el resultado de las Plantilla de T. H. a fin de elaborar la Planificación para el año siguiente.
5.- Elaborar el Informe y Plan de Optimización y Racionalización del Talento Humano.</t>
  </si>
  <si>
    <t>1.- Matriz de Planificación de Talento Humano por Niveles Territoriales.
2.- Registro de Plantillas de Talento Humano, con reporte de brechas (servidores requeridos).
3.- Informe de optimización y racionalización por Nivel Territorial.
4.- Informe del Plan Consolidado de la Planificación de Talento Humano.</t>
  </si>
  <si>
    <t>Equipos Sistemas y Paquetes Informaticos</t>
  </si>
  <si>
    <t>Adquisición de un computador de escritorio software libre 12 (Certificación PAC 2022)</t>
  </si>
  <si>
    <r>
      <rPr>
        <b/>
        <sz val="9"/>
        <color theme="1"/>
        <rFont val="Arial Narrow"/>
        <family val="2"/>
      </rPr>
      <t>4.-</t>
    </r>
    <r>
      <rPr>
        <sz val="10"/>
        <color theme="1"/>
        <rFont val="Arial Narrow"/>
        <family val="2"/>
      </rPr>
      <t xml:space="preserve"> Coordinar procesos de auditoría de trabajo.</t>
    </r>
  </si>
  <si>
    <t>Auditoría administrativa con base a las brechas resultantes del proceso de planificación del Talento Humano, coordinada.</t>
  </si>
  <si>
    <t>N° de planes de Auditoría elaborados.</t>
  </si>
  <si>
    <t>1.- Analizar el resultado de las Brechas de la planificación de talento humano.
2.- Efectuar el cálculo aleatorio para realizar el Plan de Auditoría.
3.- Elaborar el Plan de Auditoría.
4.- Solicitar a la Dirección de Talento Humano se gestione la aprobación del Plan.</t>
  </si>
  <si>
    <t>1.- Reporte de Brechas.
2.- Plan de Auditoría.</t>
  </si>
  <si>
    <r>
      <rPr>
        <b/>
        <sz val="9"/>
        <color theme="1"/>
        <rFont val="Arial Narrow"/>
        <family val="2"/>
      </rPr>
      <t>5.-</t>
    </r>
    <r>
      <rPr>
        <sz val="10"/>
        <color theme="1"/>
        <rFont val="Arial Narrow"/>
        <family val="2"/>
      </rPr>
      <t xml:space="preserve"> Administrar el Sistema Institucional de Quejas y Denuncias.</t>
    </r>
  </si>
  <si>
    <t>Quejas y denuncias realizadas por usuarios internos y externos, en contra de servidores universitarios, coordinadas y monitoreadas.</t>
  </si>
  <si>
    <t>N° de Informe de quejas y/o denuncias administradas.</t>
  </si>
  <si>
    <t>1.- Verificar, descargar y suscribir las quejas y/o denuncias realizadas por los usuarios.
2.- Elaborar oficio para suscripción de la Dirección de T. H., direccionando la queja y/o denuncia a la Unidad que corresponda.
3.- Registrar en el Buzón de Quejas en opción atendidas el número de oficio y a quien se dirigió la queja.
4.- Receptar y registrar la solución de las quejas ejecutadas por la Facultades y Unidades Administrativas a las que se les direccionó las mismas.</t>
  </si>
  <si>
    <t>1.- Reporte de quejas y/o denuncias tramitadas. 
2.- Reporte de quejas y/o denuncias generadas por el SIUTMACH.</t>
  </si>
  <si>
    <r>
      <rPr>
        <b/>
        <sz val="9"/>
        <color theme="1"/>
        <rFont val="Arial Narrow"/>
        <family val="2"/>
      </rPr>
      <t>6.-</t>
    </r>
    <r>
      <rPr>
        <sz val="10"/>
        <color theme="1"/>
        <rFont val="Arial Narrow"/>
        <family val="2"/>
      </rPr>
      <t xml:space="preserve"> Emitir Información del literal b </t>
    </r>
    <r>
      <rPr>
        <sz val="10"/>
        <color theme="1"/>
        <rFont val="Arial Narrow"/>
        <family val="2"/>
      </rPr>
      <t>2</t>
    </r>
    <r>
      <rPr>
        <sz val="10"/>
        <color theme="1"/>
        <rFont val="Arial Narrow"/>
        <family val="2"/>
      </rPr>
      <t xml:space="preserve">) del Art. </t>
    </r>
    <r>
      <rPr>
        <sz val="10"/>
        <color theme="1"/>
        <rFont val="Arial Narrow"/>
        <family val="2"/>
      </rPr>
      <t>7</t>
    </r>
    <r>
      <rPr>
        <sz val="10"/>
        <color theme="1"/>
        <rFont val="Arial Narrow"/>
        <family val="2"/>
      </rPr>
      <t xml:space="preserve"> de la Ley Orgánica de Transparencia y Acceso de Información Pública.</t>
    </r>
  </si>
  <si>
    <t>Información relacionada con distributivo de personal, establecida en la Ley Orgánica de Transparencia y Acceso de Información Pública, emitida.</t>
  </si>
  <si>
    <t>N° de Plantillas correspondientes al Literal a1) Estructura Organizacional y b2) distributivo de personal emitidas.</t>
  </si>
  <si>
    <t>1.- Revisar la Información de Ingresos, Egresos, Movimientos de Personal y Estructura Organizacional de la IES. 
2.- Elaborar la matriz del Distributivo de Personal del literal b 2) Art. 7 de la LOTAIP.
3.- Elaborar la matriz Estructura Orgánica, del literal a 1) Art. 7 de la LOTAIP.</t>
  </si>
  <si>
    <t>1.- Reporte de entrega de plantillas de los literal a 1) y b 2) a la Dirección de Talento Humano para trámite al comité de transparencia.
2.- Plantillas mensuales del literal a1) Estructura Orgánica.
3.- Plantillas mensuales del literal b2), Distributivo de Personal para el cumplimiento de la Ley de Transparencia.</t>
  </si>
  <si>
    <t>* Nelly Zapata Eras,
  Jefe de Gestión Organizacional</t>
  </si>
  <si>
    <r>
      <rPr>
        <b/>
        <sz val="9"/>
        <color theme="1"/>
        <rFont val="Arial Narrow"/>
        <family val="2"/>
      </rPr>
      <t>7.-</t>
    </r>
    <r>
      <rPr>
        <sz val="10"/>
        <color theme="1"/>
        <rFont val="Arial Narrow"/>
        <family val="2"/>
      </rPr>
      <t xml:space="preserve"> Emitir Información relacionada con el Talento Humano, solicitados por organismos externo que rigen a la institución.</t>
    </r>
  </si>
  <si>
    <t>Información solicitada por organismos externos respecto de la Administración del Talento Humano, coordinada.</t>
  </si>
  <si>
    <t>N° de solicitudes de información por parte de organismos externos atendidas.</t>
  </si>
  <si>
    <t>1.- Levantar información solicitada por los organismos externos y cumplir con la entrega de la misma.
2.- Solicitar y recopilar información sobre el Talento Humano de la Unidades correspondientes y elaborar la Encuesta mensual solicita por el MDT.
3.- Ingresar información de Talento Humano en el SIITH del MDT, respecto a puestos en Administración de Catálogo de Puestos, Estructura Organizacional, Asignación de puestos en el Organigrama de de posición.</t>
  </si>
  <si>
    <t>1.- Reporte de Cumplimiento de carga de información relacionada con el Talento Humano solicitados por organismos externos que rigen a la institución y el MDT.</t>
  </si>
  <si>
    <r>
      <rPr>
        <b/>
        <sz val="9"/>
        <color theme="1"/>
        <rFont val="Arial Narrow"/>
        <family val="2"/>
      </rPr>
      <t>8.-</t>
    </r>
    <r>
      <rPr>
        <sz val="10"/>
        <color theme="1"/>
        <rFont val="Arial Narrow"/>
        <family val="2"/>
      </rPr>
      <t xml:space="preserve"> Presentar la Planificación Operativa Anual y Evaluación de la Planificación Operativa Anual.</t>
    </r>
  </si>
  <si>
    <t>N° de Planificación Operativa Anual y evaluación de la planificación operativa anual entregadas oportunamente.</t>
  </si>
  <si>
    <t>1.- Consolidar los requerimientos de la Unidad. 
2.- Elaborar el POA.
3.- Realizar la evaluación del POA.
4.- Cargar evidencias del cumplimiento de las metas operativas en la carpeta de la Unidad de Gestión Organizacional en el google drive.
5.- Realizar la entrega de la planificación y evaluación del POA.</t>
  </si>
  <si>
    <t>1.- POA - UGO - 2024. 
2.- Evaluación del POA 2023.</t>
  </si>
  <si>
    <r>
      <rPr>
        <b/>
        <sz val="9"/>
        <color theme="1"/>
        <rFont val="Arial Narrow"/>
        <family val="2"/>
      </rPr>
      <t>9.-</t>
    </r>
    <r>
      <rPr>
        <sz val="10"/>
        <color theme="1"/>
        <rFont val="Arial Narrow"/>
        <family val="2"/>
      </rPr>
      <t xml:space="preserve"> Organizar el Archivo de Gestión.</t>
    </r>
  </si>
  <si>
    <t>N° de carpetas registradas en el Inventario Documental.</t>
  </si>
  <si>
    <t>1.- Revisar y clasificar la documentación a ser archivada.
2.- Describir la documentación según la norma ISAD-G.
3.- Preservar la documentación en la UGO.</t>
  </si>
  <si>
    <t>* Amparo Pogo Labanda,
  Analista de Gestión Organizacional</t>
  </si>
  <si>
    <t>TOTAL PRESUPUESTO ESTIMATIVO UNIDAD DE GESTIÓN ORGANIZACIONAL 2023:</t>
  </si>
  <si>
    <t>UNIDAD DE GESTIÓN DE SEGURIDAD, SALUD Y RIESGO DEL TRABAJO</t>
  </si>
  <si>
    <r>
      <rPr>
        <b/>
        <sz val="10"/>
        <color rgb="FFFF0000"/>
        <rFont val="Arial Narrow"/>
        <family val="2"/>
      </rPr>
      <t>METAS OPERATIVAS</t>
    </r>
    <r>
      <rPr>
        <b/>
        <sz val="9"/>
        <color theme="1"/>
        <rFont val="Arial Narrow"/>
        <family val="2"/>
      </rPr>
      <t xml:space="preserve">
1.-</t>
    </r>
    <r>
      <rPr>
        <sz val="10"/>
        <color theme="1"/>
        <rFont val="Arial Narrow"/>
        <family val="2"/>
      </rPr>
      <t xml:space="preserve"> Coordinar, Ejecutar y Evaluar los Riesgos en materia de Seguridad, Salud y Riesgos del Trabajo.</t>
    </r>
  </si>
  <si>
    <t>Programas, proyectos y planes relacionados con la seguridad y salud ocupacional, prevención de riesgos laborales y de respuesta a los riesgos identificados, implementados.</t>
  </si>
  <si>
    <t>N° DE SERVIDORES BENEFICIADOS.</t>
  </si>
  <si>
    <t>1.- IDENTIFICAR RIESGOS EN LOS PUESTOS DE TRABAJO.
2.- EVALUAR LOS RIESGOS EN LOS PUESTOS DE TRABAJO.</t>
  </si>
  <si>
    <t>1.- REPORTE DE INFORME TÉCNICO SOBRE LOS RIESGOS EN MATERIA DE SEGURIDAD, SALUD Y RIESGO DEL TRABAJO EN SALUD.</t>
  </si>
  <si>
    <t>* TS. ERNESTO CORREA PARRALES,
  JEFE SEGURIDAD
* DRA. GLORIA BRAVO LOOR,
  MÉDICO OCUPACIONAL
* LCDO. JUAN ENCALADA REYES,
  SUPERVISOR SALUD Y SEGURIDAD OCUPACIONAL</t>
  </si>
  <si>
    <r>
      <rPr>
        <b/>
        <sz val="9"/>
        <color theme="1"/>
        <rFont val="Arial Narrow"/>
        <family val="2"/>
      </rPr>
      <t>2.-</t>
    </r>
    <r>
      <rPr>
        <sz val="10"/>
        <color theme="1"/>
        <rFont val="Arial Narrow"/>
        <family val="2"/>
      </rPr>
      <t xml:space="preserve"> Implementar la Vigilancia de la Salud a los Servidores de la UTMACH.</t>
    </r>
  </si>
  <si>
    <t>Control y monitoreo de riesgos laborales, efectuado.</t>
  </si>
  <si>
    <t>N° DE PROCESOS DE LA VIGILANCIA DE LA SALUD, APLICADOS.</t>
  </si>
  <si>
    <t>1.- ELABORAR FICHAS MÉDICAS A SERVIDORES.
2.- PROGRAMAR ATENCIÓN MÉDICA A SERVIDORES.</t>
  </si>
  <si>
    <t>1.- INFORME DE ELABORACIÓN DE LAS FICHAS MÉDICAS Y ATENCIONES.</t>
  </si>
  <si>
    <t>* DRA. GLORIA BRAVO LOOR,
  MÉDICO OCUPACIONAL
* TS. ERNESTO CORREA PARRALES,
  JEFE SEGURIDAD</t>
  </si>
  <si>
    <t>530809</t>
  </si>
  <si>
    <t>VOLTAREN GEL TUBO</t>
  </si>
  <si>
    <t xml:space="preserve">PENICILINA BENZATINICA 1´200.000 UI SÓLIDO PARENTERAL </t>
  </si>
  <si>
    <t xml:space="preserve">PARACETAMOL 1000 MG SÓLIDO ORAL </t>
  </si>
  <si>
    <t xml:space="preserve">DICLOFENACO 100 MG SÓLIDO ORAL </t>
  </si>
  <si>
    <t xml:space="preserve">AZITROMICINA  500 MG  SÓLIDO ORAL </t>
  </si>
  <si>
    <t>DICLOXACILINA  500 MG SÓLIDO ORAL</t>
  </si>
  <si>
    <t xml:space="preserve">IBUPROFENO 600 MG SÓLIDO ORAL </t>
  </si>
  <si>
    <t>DICLOFENACO  75 MG LÍQUIDO PARENTERAL</t>
  </si>
  <si>
    <t>LOSARTAN  50 MG SÓLIDO ORAL</t>
  </si>
  <si>
    <t>COMPLEXIGEME 10 ML LÍQUIDO PARENTERAL</t>
  </si>
  <si>
    <t>CLORURO DE SODIO  AL 0,9%  1000 cc</t>
  </si>
  <si>
    <t>CLORURO DE SODIO  AL 0,9%  500 cc</t>
  </si>
  <si>
    <t>ENTEROGERMINA 5 ML LÍQUIDO ORAL</t>
  </si>
  <si>
    <t>NASTIZOL COMPOSITUM TABLETA: PARACETAMOL + CLORFENAMINA + PSEUDOEFEDRINA</t>
  </si>
  <si>
    <t xml:space="preserve">CIPROFLOXACINA 750 MG SÓLIDO ORAL </t>
  </si>
  <si>
    <t xml:space="preserve">AMOXICILINA+ACIDO CLAVULANICO 875+125 mg SÓLIDO ORAL </t>
  </si>
  <si>
    <t>FLUCONAZOL 150MG SÓLIDO ORAL</t>
  </si>
  <si>
    <t>GENTAMICINA 160 MG LÍQUIDO PARENTERAL</t>
  </si>
  <si>
    <t>LEVOCETIRIZINA 5 MG SÓLIDO ORAL</t>
  </si>
  <si>
    <t>TRIGENTAX 25 G TUBO</t>
  </si>
  <si>
    <t>QUERATOL 5 G 40% TUBO X 6 U</t>
  </si>
  <si>
    <t xml:space="preserve">ALBENDAZOL SÓLIDO ORAL 400 mg </t>
  </si>
  <si>
    <t>SECNIDAZOL SÓLIDO ORAL 500 mg</t>
  </si>
  <si>
    <t>SULFADIAZINA DE PLATA CREMA AL 1 %</t>
  </si>
  <si>
    <r>
      <rPr>
        <b/>
        <sz val="9"/>
        <color theme="1"/>
        <rFont val="Arial Narrow"/>
        <family val="2"/>
      </rPr>
      <t>3.-</t>
    </r>
    <r>
      <rPr>
        <b/>
        <sz val="10"/>
        <color theme="1"/>
        <rFont val="Arial Narrow"/>
        <family val="2"/>
      </rPr>
      <t xml:space="preserve"> </t>
    </r>
    <r>
      <rPr>
        <sz val="10"/>
        <color theme="1"/>
        <rFont val="Arial Narrow"/>
        <family val="2"/>
      </rPr>
      <t>Desarrollar Procesos de promoción y capacitación a los servidores de la UTMACH, en materia de salud y riesgos laborales.</t>
    </r>
  </si>
  <si>
    <t>Procesos de promoción y capacitación a los servidores de la UTMACH, en materia de salud y riesgos laborales, desarrollados.</t>
  </si>
  <si>
    <t>N° DE SERVIDORES CAPACITADOS EN RIESGOS LABORALES.</t>
  </si>
  <si>
    <t>1.- PROGRAMAR Y EJECUTAR CAPACITACIONES EN PREVENCIÓN DE RIESGOS LABORALES.</t>
  </si>
  <si>
    <t>1.- INFORME DE LAS CAPACITACIONES EN PREVENCIÓN DE RIESGOS LABORALES.</t>
  </si>
  <si>
    <r>
      <rPr>
        <b/>
        <sz val="9"/>
        <color theme="1"/>
        <rFont val="Arial Narrow"/>
        <family val="2"/>
      </rPr>
      <t>4.-</t>
    </r>
    <r>
      <rPr>
        <b/>
        <sz val="10"/>
        <color theme="1"/>
        <rFont val="Arial Narrow"/>
        <family val="2"/>
      </rPr>
      <t xml:space="preserve"> </t>
    </r>
    <r>
      <rPr>
        <sz val="10"/>
        <color theme="1"/>
        <rFont val="Arial Narrow"/>
        <family val="2"/>
      </rPr>
      <t>Emitir Informes técnicos relacionados con enfermedades profesionales, accidentes laborales e inspección y comprobación de buen funcionamiento de equipos.</t>
    </r>
  </si>
  <si>
    <t>Informes técnicos relacionados con enfermedades profesionales, accidentes laborales e inspección y comprobación de buen funcionamiento de equipos, emitidos.</t>
  </si>
  <si>
    <t>N° DE INFORMES VIGILANCIA DE SALUD OCUPACIONAL EMITIDOS.</t>
  </si>
  <si>
    <t>1.- IDENTIFICAR LAS ENFERMEDADES PROFESIONALES Y ACCIDENTES LABORALES.</t>
  </si>
  <si>
    <t>1.- INFORME SEGUIMIENTOS EN SALUD PREVENTIVA.</t>
  </si>
  <si>
    <t>Dispositivos Médicos de Uso General</t>
  </si>
  <si>
    <t>JERINGAS  3 mm</t>
  </si>
  <si>
    <t>UNIDAD</t>
  </si>
  <si>
    <t>JERINGAS  5 mm</t>
  </si>
  <si>
    <t>JERINGAS  10 mm</t>
  </si>
  <si>
    <t>BAJALENGUA DE MADERA PAQUETE X 100 U.</t>
  </si>
  <si>
    <t>PAQUETE</t>
  </si>
  <si>
    <t>NYLON  2,0</t>
  </si>
  <si>
    <t>SABANA QUIRÚRGICAS DESECHABLE X 5</t>
  </si>
  <si>
    <t>TORUNDAS DE ALGODÓN HIDRÓFILO PAQUETE</t>
  </si>
  <si>
    <t>GUANTES QUIRÚRGICOS  "L"</t>
  </si>
  <si>
    <t>CAJAS</t>
  </si>
  <si>
    <t>ALCOHOL ANTISÉPTICO</t>
  </si>
  <si>
    <t>GALÓN</t>
  </si>
  <si>
    <t>AGUA OXIGENADA</t>
  </si>
  <si>
    <t>ESPARADRAPO POROSO COLOR PIEL  3 mm</t>
  </si>
  <si>
    <t>GASA QUIRURGICA ESTERIL PAQUETE X 50 U.</t>
  </si>
  <si>
    <t>TIRILLAS  ACCU-CHEK  INSTANT</t>
  </si>
  <si>
    <t>GUANTES DE EXAMINACIÓN TALLA M DE LATEX</t>
  </si>
  <si>
    <t>POVIDIN YODADO SOLUCIÓN AL 10 %</t>
  </si>
  <si>
    <t>Para adquisición de pipetas, tubos de ensayo y gradillas para efectuar los examenes de laboratorio de los servidores de la UTMACH</t>
  </si>
  <si>
    <t>Vestuario, Lencería, Prendas de Protección, Insumos y Accesorios para Uniformes del Personal de Protección, Vigilancia y Seguridad</t>
  </si>
  <si>
    <t>Adquisición de vestuario, Lencería, Prendas de Protección, Insumos y Accesorios para uniformes del personal institucional</t>
  </si>
  <si>
    <t>Bienes y Suministros para Investigación</t>
  </si>
  <si>
    <t>Para realizar examenes de laboratorio (sangre, heces, orina) a los servidores de la UTMACH</t>
  </si>
  <si>
    <r>
      <rPr>
        <b/>
        <sz val="9"/>
        <color theme="1"/>
        <rFont val="Arial Narrow"/>
        <family val="2"/>
      </rPr>
      <t>5.-</t>
    </r>
    <r>
      <rPr>
        <b/>
        <sz val="10"/>
        <color theme="1"/>
        <rFont val="Arial Narrow"/>
        <family val="2"/>
      </rPr>
      <t xml:space="preserve"> </t>
    </r>
    <r>
      <rPr>
        <sz val="10"/>
        <color theme="1"/>
        <rFont val="Arial Narrow"/>
        <family val="2"/>
      </rPr>
      <t>Actualizar los Registros de accidentalidad, ausentismo y evaluación estadística de los resultados.</t>
    </r>
  </si>
  <si>
    <t>Registros de accidentalidad, ausentismo y evaluación estadística de los resultados, actualizados.</t>
  </si>
  <si>
    <t>N° DE INFORME DE SEGUIMIENTO CON ACCIDENTABILIDAD Y AUSENTISMO DE SERVIDORES.</t>
  </si>
  <si>
    <t>1.- PROGRAMAR E INFORMAR SEGUIMIENTO DE ACCIDENTABILIDAD Y AUSENTISMO.</t>
  </si>
  <si>
    <t>1.- INFORME DE SEGUIMIENTOS EN RIESGOS LABORALES.</t>
  </si>
  <si>
    <t>NO SE PLANIFICA POR NO TENER EL TRABAJADOR SOCIAL</t>
  </si>
  <si>
    <r>
      <rPr>
        <b/>
        <sz val="9"/>
        <color theme="1"/>
        <rFont val="Arial Narrow"/>
        <family val="2"/>
      </rPr>
      <t>6.-</t>
    </r>
    <r>
      <rPr>
        <b/>
        <sz val="10"/>
        <color theme="1"/>
        <rFont val="Arial Narrow"/>
        <family val="2"/>
      </rPr>
      <t xml:space="preserve"> </t>
    </r>
    <r>
      <rPr>
        <sz val="10"/>
        <color theme="1"/>
        <rFont val="Arial Narrow"/>
        <family val="2"/>
      </rPr>
      <t>Ejecutar el Asesoramiento técnico en prevención de riesgos laborales.</t>
    </r>
  </si>
  <si>
    <t>Asesoramiento técnico en prevención de riesgos laborales, ejecutado.</t>
  </si>
  <si>
    <t>N° DE ASESORAMIENTO EN PREVENCIÓN DE RIESGOS LABORALES.</t>
  </si>
  <si>
    <t>1.- EJECUTAR ASESORAMIENTO TÉCNICO EN RIESGOS LABORALES.</t>
  </si>
  <si>
    <t>1.- INFORME EN ASESORAMIENTO EN RIESGOS LABORALES.</t>
  </si>
  <si>
    <t>Almacenamiento, Embalaje, Desembalaje, Envase, Desenvase y Recarga de Extintores</t>
  </si>
  <si>
    <t>EXTINTORES 5 LIBRAS CO2</t>
  </si>
  <si>
    <t>EXTINTORES 10 LIBRAS CO2</t>
  </si>
  <si>
    <t>EXTINTORES DE 5 LIBRAS PQS</t>
  </si>
  <si>
    <t>EXTINTORES DE 10 LIBRAS PQS</t>
  </si>
  <si>
    <t>EXTINTORES DE 20 LIBRAS PQS</t>
  </si>
  <si>
    <r>
      <rPr>
        <b/>
        <sz val="9"/>
        <color theme="1"/>
        <rFont val="Arial Narrow"/>
        <family val="2"/>
      </rPr>
      <t>7.-</t>
    </r>
    <r>
      <rPr>
        <sz val="10"/>
        <color theme="1"/>
        <rFont val="Arial Narrow"/>
        <family val="2"/>
      </rPr>
      <t xml:space="preserve"> Coordinar la estructuración y funcionamiento de los Comité y Subcomité Paritarios de la Universidad Técnica de Machala.</t>
    </r>
  </si>
  <si>
    <t>Comité Paritario, Subcomités y delegados de Seguridad y Salud Ocupacional, Comité Interinstitucional y otros que determinen los organismos competentes; conformados.</t>
  </si>
  <si>
    <t>N° DE COMITÉ Y LOS SUBCOMITÉS ESTRUCTURADOS.</t>
  </si>
  <si>
    <t>1.- PROGRAMAR LA CONFORMACIÓN DEL COMITÉ Y LOS SUBCOMITÉS PARITARIOS
2.- ELABORAR LAS ACTAS ESTRUCTURACIÓN DEL COMITÉ Y LOS SUBCOMITÉS.</t>
  </si>
  <si>
    <t>1.- REPORTE ESTRUCTURACIÓN DE LOS COMITÉ Y SUBCOMITÉ PARITARIO.</t>
  </si>
  <si>
    <r>
      <rPr>
        <b/>
        <sz val="9"/>
        <color theme="1"/>
        <rFont val="Arial Narrow"/>
        <family val="2"/>
      </rPr>
      <t>8.-</t>
    </r>
    <r>
      <rPr>
        <sz val="10"/>
        <color theme="1"/>
        <rFont val="Arial Narrow"/>
        <family val="2"/>
      </rPr>
      <t xml:space="preserve"> Coordinar el procesos de Auditoría en Seguridad, Salud y Riesgo del Trabajo.</t>
    </r>
  </si>
  <si>
    <t>Cumplimiento de las normativas sobre prevención de riesgos laborales y salud ocupacional, verificado.</t>
  </si>
  <si>
    <t>N° DE AUDITORIAS EN SEGURIDAD, SALUD Y RIESGO DEL TRABAJO.</t>
  </si>
  <si>
    <t>1.- ELABORAR INFORME DE AUDITORIA DOCUMENTAL.</t>
  </si>
  <si>
    <t>1.- REPORTE DE RESULTADOS DE EJECUCIÓN DEL PROCESO AUDITORIA EN SEGURIDAD, SALUD Y RIESGO DEL TRABAJO.</t>
  </si>
  <si>
    <t>* TS. ERNESTO CORREA PARRALES,
  JEFE SEGURIDAD
* DRA. GLORIA BRAVO LOOR,
  MÉDICO OCUPACIONAL
* LCDO. JUAN ENCALADA REYES,
  SUPERVISOR DE SALUD Y SEGURIDAD OCUPACIONAL</t>
  </si>
  <si>
    <r>
      <rPr>
        <b/>
        <sz val="9"/>
        <color theme="1"/>
        <rFont val="Arial Narrow"/>
        <family val="2"/>
      </rPr>
      <t>9.-</t>
    </r>
    <r>
      <rPr>
        <sz val="10"/>
        <color theme="1"/>
        <rFont val="Arial Narrow"/>
        <family val="2"/>
      </rPr>
      <t xml:space="preserve"> Ejecución de los Programas de Seguridad y Salud Ocupacional.</t>
    </r>
  </si>
  <si>
    <t>Prestación de servicios asistenciales, coordinado.</t>
  </si>
  <si>
    <t>N° DE PROGRAMAS DE SEGURIDAD Y SALUD OCUPACIONAL EJECUTADOS.</t>
  </si>
  <si>
    <t>1.- EJECUCIÓN DE LOS PROGRAMAS DE SEGURIDAD Y SALUD OCUPACIONAL.</t>
  </si>
  <si>
    <t>1.- INFORME DE LA EJECUCIÓN DE LOS PROGRAMAS DE SEGURIDAD Y SALUD OCUPACIONAL.</t>
  </si>
  <si>
    <t>* TS. ERNESTO CORRERA PARRALES,
  JEFE SEGURIDAD
* DRA. GLORIA BRAVO LOOR,
  MEDICO OCUPACIONAL
* LCDO. JUAN ENCALADA REYES,
  SUPERVISOR DE SALUD Y SEGURIDAD OCUPACIONAL</t>
  </si>
  <si>
    <r>
      <rPr>
        <b/>
        <sz val="9"/>
        <color theme="1"/>
        <rFont val="Arial Narrow"/>
        <family val="2"/>
      </rPr>
      <t>10.-</t>
    </r>
    <r>
      <rPr>
        <sz val="10"/>
        <color theme="1"/>
        <rFont val="Arial Narrow"/>
        <family val="2"/>
      </rPr>
      <t xml:space="preserve"> Coordinar los procesos de diseño y/o actualización de la Normativa de Higiene y Seguridad.</t>
    </r>
  </si>
  <si>
    <t>Propuesta de políticas institucionales, reglamento interno y demás normativa vinculada a la seguridad y salud ocupacional, emitidas y/o actualizadas.</t>
  </si>
  <si>
    <t>N° DE SOCIALIZACIÓN Y ENTREGA DE REGLAMENTO DE HIGIENE Y SEGURIDAD A SERVIDORES.</t>
  </si>
  <si>
    <t>1.- SOCIALIZACIÓN DEL REGLAMENTO DE HIGIENE Y SEGURIDAD.
2.- ENTREGA DEL REGLAMENTO DE HIGIENE Y SEGURIDAD.</t>
  </si>
  <si>
    <t>1.- INFORME DE SOCIALIZACIÓN Y ENTREGA DEL REGLAMENTO DE HIGIENE Y SEGURIDAD.</t>
  </si>
  <si>
    <r>
      <rPr>
        <b/>
        <sz val="9"/>
        <color theme="1"/>
        <rFont val="Arial Narrow"/>
        <family val="2"/>
      </rPr>
      <t>11.-</t>
    </r>
    <r>
      <rPr>
        <sz val="10"/>
        <color theme="1"/>
        <rFont val="Arial Narrow"/>
        <family val="2"/>
      </rPr>
      <t xml:space="preserve"> Presentar la Planificación Operativo Anual y Evaluación de la Planificación Operativa Anual.</t>
    </r>
  </si>
  <si>
    <t>N° DE PLANIFICACIONES OPERATIVAS ANUALES Y EVALUACIÓN DE LAS PLANIFICACIONES OPERATIVAS ANUALES ENTREGADAS OPORTUNAMENTE.</t>
  </si>
  <si>
    <t>1.- ELABORAR POA 2024.
2.- ELABORAR Y ENTREGAR LA EVALUACIÓN DEL POA 2023.</t>
  </si>
  <si>
    <t>1.- ELABORACIÓN DEL POA 2024.
2.- EVALUACION ANUAL DEL POA 2023.</t>
  </si>
  <si>
    <t>N° DE CARPETAS CON INFORMACIÓN DE LA USSRT REGISTRADAS EN EL INVENTARIO.</t>
  </si>
  <si>
    <t>1.- ORGANIZAR EL ARCHIVO DOCUMENTAL DE LA USSRT.</t>
  </si>
  <si>
    <t>1.- INVENTARIO DOCUMENTAL.</t>
  </si>
  <si>
    <t>* TS. ERNESTO CORREA PARRALES,
  JEFE SEGURIDAD
* LCDO. PATRICIO ROJAS MUÑOZ,
  AUXILIAR ADMINISTRATIVO</t>
  </si>
  <si>
    <t>TOTAL PRESUPUESTO ESTIMATIVO UGSSRT 2023:</t>
  </si>
  <si>
    <t>Mariuxi Apolo Silva</t>
  </si>
  <si>
    <t xml:space="preserve">RESUMEN PRESUPUESTO ESTIMADO PARA EL 2023                                        </t>
  </si>
  <si>
    <t>510105</t>
  </si>
  <si>
    <t>0700</t>
  </si>
  <si>
    <t>510203</t>
  </si>
  <si>
    <t>510204</t>
  </si>
  <si>
    <t>510602</t>
  </si>
  <si>
    <t>530612</t>
  </si>
  <si>
    <t>530802</t>
  </si>
  <si>
    <t>530807</t>
  </si>
  <si>
    <t>530826</t>
  </si>
  <si>
    <t>570201</t>
  </si>
  <si>
    <t>580208</t>
  </si>
  <si>
    <t>580209</t>
  </si>
  <si>
    <t>Compensación por Deshaucio</t>
  </si>
  <si>
    <t>Por Compra de Reununcia</t>
  </si>
  <si>
    <r>
      <t xml:space="preserve">FUENTE </t>
    </r>
    <r>
      <rPr>
        <sz val="11"/>
        <color theme="1"/>
        <rFont val="Century Schoolbook"/>
        <family val="1"/>
      </rPr>
      <t>1</t>
    </r>
  </si>
  <si>
    <r>
      <t xml:space="preserve">FUENTE </t>
    </r>
    <r>
      <rPr>
        <sz val="11"/>
        <color theme="1"/>
        <rFont val="Century Schoolbook"/>
        <family val="1"/>
      </rPr>
      <t>2</t>
    </r>
  </si>
  <si>
    <r>
      <t xml:space="preserve">FUENTE </t>
    </r>
    <r>
      <rPr>
        <sz val="11"/>
        <color theme="1"/>
        <rFont val="Century Schoolbook"/>
        <family val="1"/>
      </rPr>
      <t>3</t>
    </r>
  </si>
  <si>
    <r>
      <rPr>
        <sz val="11"/>
        <color theme="1"/>
        <rFont val="Century Schoolbook"/>
        <family val="1"/>
      </rPr>
      <t>53</t>
    </r>
    <r>
      <rPr>
        <sz val="11"/>
        <color theme="1"/>
        <rFont val="Arial Narrow"/>
        <family val="2"/>
      </rPr>
      <t xml:space="preserve"> Bienes y Servicios de Consumo</t>
    </r>
  </si>
  <si>
    <r>
      <rPr>
        <sz val="11"/>
        <color theme="1"/>
        <rFont val="Century Schoolbook"/>
        <family val="1"/>
      </rPr>
      <t>57</t>
    </r>
    <r>
      <rPr>
        <sz val="11"/>
        <color theme="1"/>
        <rFont val="Arial Narrow"/>
        <family val="2"/>
      </rPr>
      <t xml:space="preserve"> Otros Egresos Corrientes</t>
    </r>
  </si>
  <si>
    <r>
      <rPr>
        <sz val="11"/>
        <color theme="1"/>
        <rFont val="Century Schoolbook"/>
        <family val="1"/>
      </rPr>
      <t>58</t>
    </r>
    <r>
      <rPr>
        <sz val="11"/>
        <color theme="1"/>
        <rFont val="Arial Narrow"/>
        <family val="2"/>
      </rPr>
      <t xml:space="preserve"> Transferencias o Donaciones Corrientes </t>
    </r>
  </si>
  <si>
    <r>
      <rPr>
        <sz val="11"/>
        <color theme="1"/>
        <rFont val="Century Schoolbook"/>
        <family val="1"/>
      </rPr>
      <t>71</t>
    </r>
    <r>
      <rPr>
        <sz val="11"/>
        <color theme="1"/>
        <rFont val="Arial Narrow"/>
        <family val="2"/>
      </rPr>
      <t xml:space="preserve"> Egresos en Personal para Inversión </t>
    </r>
  </si>
  <si>
    <r>
      <rPr>
        <sz val="11"/>
        <color theme="1"/>
        <rFont val="Century Schoolbook"/>
        <family val="1"/>
      </rPr>
      <t>73</t>
    </r>
    <r>
      <rPr>
        <sz val="11"/>
        <color theme="1"/>
        <rFont val="Arial Narrow"/>
        <family val="2"/>
      </rPr>
      <t xml:space="preserve"> Bienes y Servicios para Inversión </t>
    </r>
  </si>
  <si>
    <r>
      <rPr>
        <sz val="11"/>
        <color theme="1"/>
        <rFont val="Century Schoolbook"/>
        <family val="1"/>
      </rPr>
      <t>84</t>
    </r>
    <r>
      <rPr>
        <sz val="11"/>
        <color theme="1"/>
        <rFont val="Arial Narrow"/>
        <family val="2"/>
      </rPr>
      <t xml:space="preserve"> Bienes de Larga Duración</t>
    </r>
  </si>
  <si>
    <r>
      <rPr>
        <sz val="11"/>
        <color theme="1"/>
        <rFont val="Century Schoolbook"/>
        <family val="1"/>
      </rPr>
      <t>99</t>
    </r>
    <r>
      <rPr>
        <sz val="11"/>
        <color theme="1"/>
        <rFont val="Arial Narrow"/>
        <family val="2"/>
      </rPr>
      <t xml:space="preserve"> Otros Pasivos</t>
    </r>
  </si>
  <si>
    <t>DIRECCIÓN FINANCIERA</t>
  </si>
  <si>
    <t>DIRECCIÓN</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</si>
  <si>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Emitir y/o actualizar directrices y/o normativas anuales para la coordinación de trabajo con las Unidades de Presupuesto, Contabilidad, Tesorería, Remuneraciones y Coactivas.</t>
    </r>
  </si>
  <si>
    <t>Directrices emitidas y/o actualizadas para la coordinación del trabajo con las Unidades de Presupuesto, Contabilidad, Tesorería, Remuneraciones y Control Interno y Coactivas.</t>
  </si>
  <si>
    <t>N° de directrices y /o normativas emitidas.</t>
  </si>
  <si>
    <t>1.- Receptar y sumillar directrices recibidas por los entes rectores que nos regulan.
2.- Difundir las directrices a las unidades correspondientes, para su aplicación.
3.-Trasladar para conocimiento y aplicación reformas a la normativa de entes externos de acuerdo al ámbito de competencias de las diferentes Unidades Administrativas.</t>
  </si>
  <si>
    <t>1.- Reporte de directrices entregadas a las Unidades que corresponden a la Dirección.</t>
  </si>
  <si>
    <t>Ing. Mariela Espinoza Torres, Directora Financiera
Ing. Vilma Vega, Jefe de la Unidad de Presupuesto
Ing. Norma Solano, Jefe de la Unidad de Contabilidad
Ing. Luis Feijoo, Jefe de la Unidad de Remuneraciones
Ing. Blanca Carvajal, Jefe de la Unidad de Tesorería
Abg. Fernanda Rojas, Jefe de la Unidad de Coactiva</t>
  </si>
  <si>
    <r>
      <rPr>
        <b/>
        <sz val="10"/>
        <color theme="1"/>
        <rFont val="Arial Narrow"/>
        <family val="2"/>
      </rPr>
      <t>2.-</t>
    </r>
    <r>
      <rPr>
        <sz val="10"/>
        <color theme="1"/>
        <rFont val="Arial Narrow"/>
        <family val="2"/>
      </rPr>
      <t xml:space="preserve"> Coordinar el proceso de elaboración de la Proforma Presupuestaria Anual y/o de Reformas Presupuestarias en la plataforma dispuesta por el ente rector de la Finanzas Públicas.</t>
    </r>
  </si>
  <si>
    <t>Proceso de elaboración de la Proforma Presupuestaria Anual de la institución coordinada.</t>
  </si>
  <si>
    <t>N° de procesos de elaboración de proforma y /o reformas presupuestarias coordinadas.</t>
  </si>
  <si>
    <t>1.- Recopilar información para elaboración proforma presupuestaria.
2.- Participar en la revisión de techos presupuestario conjuntamente con la Dirección de Planificación y Unidad de Presupuesto.
3.- Coordinar la elaboración, aprobación y registro de la Proforma Presupuestaria, con la Dirección de Planificación y Unidad de Presupuesto.
4.- Analizar oficios de requerimientos para reformas presupuestarias conjuntamente con la Dirección de Planificación y la Unidad de Presupuesto.
5.- Coordinar la elaboración, aprobación y registro de las reformas presupuestarias, con la Dirección de Planificación y Unidad de Presupuesto.</t>
  </si>
  <si>
    <t>1.- Proforma presupuestaria 2024 aprobada por el Consejo Universitario.
2.- Registro de reformas presupuestaria aprobadas por el Consejo Universitario.</t>
  </si>
  <si>
    <t>Ing. Mariela Espinoza Torres, Directora Financiera
Ing. Vilma Vega, Jefe de la Unidad de Presupuesto</t>
  </si>
  <si>
    <r>
      <rPr>
        <b/>
        <sz val="10"/>
        <color theme="1"/>
        <rFont val="Arial Narrow"/>
        <family val="2"/>
      </rPr>
      <t>3.-</t>
    </r>
    <r>
      <rPr>
        <sz val="10"/>
        <color theme="1"/>
        <rFont val="Arial Narrow"/>
        <family val="2"/>
      </rPr>
      <t xml:space="preserve"> Legalizar la información financiera y/o estados financieros.</t>
    </r>
  </si>
  <si>
    <t>Información financiera y/o estados financieros, legalizados.</t>
  </si>
  <si>
    <t>N° de documentos financieros legalizados.</t>
  </si>
  <si>
    <t>1.- Revisar y legalizar los CUR de pago de las  obligaciones de la Institución.
2.- Revisar y legalizar los  Estados Financieros.</t>
  </si>
  <si>
    <t>1.- Reporte de los CUR de pago legalizados de las obligaciones de la Institución.
2.- Reporte de los Estados Financieros legalizados de la Institución.</t>
  </si>
  <si>
    <t>Ing. Mariela Espinoza Torres, Directora Financiera</t>
  </si>
  <si>
    <t>Obligaciones de Ejercicios Anteriores por Egresos en Personal</t>
  </si>
  <si>
    <t>Las partidas que se detallan a continuación no corresponden a procesos de contratación pública                                    990101 y 580204.</t>
  </si>
  <si>
    <t>Transferencias al Sector Privado No Financiero</t>
  </si>
  <si>
    <t>Para devolución de valores a estudiantes</t>
  </si>
  <si>
    <t>Obligaciones de Ejercicios Anteriores por Egresos en Personal: liquidaciones haberes, trabajadores, docentes y ex servidores.</t>
  </si>
  <si>
    <t>Intereses por mora patronal al IESS</t>
  </si>
  <si>
    <r>
      <rPr>
        <b/>
        <sz val="10"/>
        <color theme="1"/>
        <rFont val="Arial Narrow"/>
        <family val="2"/>
      </rPr>
      <t>4.-</t>
    </r>
    <r>
      <rPr>
        <sz val="10"/>
        <color theme="1"/>
        <rFont val="Arial Narrow"/>
        <family val="2"/>
      </rPr>
      <t xml:space="preserve"> Entregar la Planificación Operativa Anual y Evaluación de la Planificación Operativa Anual.</t>
    </r>
  </si>
  <si>
    <t>Planificación Operativa Anual y Evaluación de la Planificación Operativa Anual entregados oportunamente.</t>
  </si>
  <si>
    <t>N° de Plan Operativo y Evaluación del POA.</t>
  </si>
  <si>
    <t>1.- Recopilar información para elaborar el POA 2024.
2.- Elaborar y entregar el POA 2024.
3.- Recopilar evidencia para la evaluación del Plan Operativo Anual 2023.
4.- Subir y entregar evidencias para evaluación del POA 2023.</t>
  </si>
  <si>
    <t>1.- Plan Operativo 2024
2.- Evaluación del POA 2023.</t>
  </si>
  <si>
    <t>Ing. Mariela Espinoza Torres, Directora Financiera
Ing. Patricia Niebla, Analista Financiera</t>
  </si>
  <si>
    <r>
      <rPr>
        <b/>
        <sz val="10"/>
        <color theme="1"/>
        <rFont val="Arial Narrow"/>
        <family val="2"/>
      </rPr>
      <t xml:space="preserve">5.- </t>
    </r>
    <r>
      <rPr>
        <sz val="10"/>
        <color theme="1"/>
        <rFont val="Arial Narrow"/>
        <family val="2"/>
      </rPr>
      <t>Organizar el Archivo de Gestión.</t>
    </r>
  </si>
  <si>
    <t xml:space="preserve">N° de cajas del archivo año 2021. </t>
  </si>
  <si>
    <t>1.- Clasificar, etiquetar y archivar la documentación enviada y recibida  de la Dirección Financiera, en las cajas de archivo.
2.- Registrar en el inventario documental la documentación enviada y recibida.</t>
  </si>
  <si>
    <t>1.- Inventario documental ingresado.</t>
  </si>
  <si>
    <t>Lcda. Elly Villavicencio, Asistente Administrativo</t>
  </si>
  <si>
    <t>TOTAL PRESUPUESTO ESTIMATIVO DIRECCIÓN FINANCIERA 2023:</t>
  </si>
  <si>
    <t>UNIDAD DE PRESUPUESTO</t>
  </si>
  <si>
    <r>
      <rPr>
        <b/>
        <sz val="10"/>
        <color rgb="FFFF0000"/>
        <rFont val="Arial Narrow"/>
        <family val="2"/>
      </rPr>
      <t>METAS OPERATIVAS</t>
    </r>
    <r>
      <rPr>
        <b/>
        <sz val="10"/>
        <color theme="1"/>
        <rFont val="Arial Narrow"/>
        <family val="2"/>
      </rPr>
      <t xml:space="preserve">
1.-</t>
    </r>
    <r>
      <rPr>
        <sz val="10"/>
        <color theme="1"/>
        <rFont val="Arial Narrow"/>
        <family val="2"/>
      </rPr>
      <t xml:space="preserve"> Registrar la Proforma Presupuestaria Anual de la institución en la plataforma dispuesta por el ente rector de las Finanzas Públicas.</t>
    </r>
  </si>
  <si>
    <t>Proforma Presupuestaria Anual de la institución registrada.</t>
  </si>
  <si>
    <t>Nº de Proformas Presupuestarias subidas al sistema e-sigef, en espera de la aprobación del Ministerio de Finanzas.</t>
  </si>
  <si>
    <r>
      <rPr>
        <b/>
        <sz val="10"/>
        <color theme="1"/>
        <rFont val="Arial Narrow"/>
        <family val="2"/>
      </rPr>
      <t>1.-</t>
    </r>
    <r>
      <rPr>
        <sz val="10"/>
        <color theme="1"/>
        <rFont val="Arial Narrow"/>
        <family val="2"/>
      </rPr>
      <t xml:space="preserve"> Efectuar cálculos estimados de la masa salarial.
</t>
    </r>
    <r>
      <rPr>
        <b/>
        <sz val="10"/>
        <color theme="1"/>
        <rFont val="Arial Narrow"/>
        <family val="2"/>
      </rPr>
      <t>2.-</t>
    </r>
    <r>
      <rPr>
        <sz val="10"/>
        <color theme="1"/>
        <rFont val="Arial Narrow"/>
        <family val="2"/>
      </rPr>
      <t xml:space="preserve"> Revisar el POA/PAC aprobado, los mismos que servirán de insumos para elaborar la proforma presupuestaria.
</t>
    </r>
    <r>
      <rPr>
        <b/>
        <sz val="10"/>
        <color theme="1"/>
        <rFont val="Arial Narrow"/>
        <family val="2"/>
      </rPr>
      <t>3.-</t>
    </r>
    <r>
      <rPr>
        <sz val="10"/>
        <color theme="1"/>
        <rFont val="Arial Narrow"/>
        <family val="2"/>
      </rPr>
      <t xml:space="preserve"> Emitir el informe del proyecto de Proforma para aprobación del HCU.
</t>
    </r>
    <r>
      <rPr>
        <b/>
        <sz val="10"/>
        <color theme="1"/>
        <rFont val="Arial Narrow"/>
        <family val="2"/>
      </rPr>
      <t>4.-</t>
    </r>
    <r>
      <rPr>
        <sz val="10"/>
        <color theme="1"/>
        <rFont val="Arial Narrow"/>
        <family val="2"/>
      </rPr>
      <t xml:space="preserve"> Registro de la proforma en el sistema informático del Ministerio de Finanzas.</t>
    </r>
  </si>
  <si>
    <t>1.- Memoria gráfica del estado solicitado de la Proforma Presupuestaria.</t>
  </si>
  <si>
    <t>Ing. Vilma Vega (Jefe de Presupuesto)
Ing. Xavier Jumbo (Supervisor de Presupuesto)</t>
  </si>
  <si>
    <r>
      <rPr>
        <b/>
        <sz val="10"/>
        <color theme="1"/>
        <rFont val="Arial Narrow"/>
        <family val="2"/>
      </rPr>
      <t>2.-</t>
    </r>
    <r>
      <rPr>
        <sz val="10"/>
        <color theme="1"/>
        <rFont val="Arial Narrow"/>
        <family val="2"/>
      </rPr>
      <t xml:space="preserve"> Registrar y notificar Reformas Presupuestarias.</t>
    </r>
  </si>
  <si>
    <t>Reformas presupuestarias registradas y notificadas.</t>
  </si>
  <si>
    <t>Nº de comprobantes de Reformas Presupuestarias registrados y notificados.</t>
  </si>
  <si>
    <r>
      <rPr>
        <b/>
        <sz val="10"/>
        <color theme="1"/>
        <rFont val="Arial Narrow"/>
        <family val="2"/>
      </rPr>
      <t>1.-</t>
    </r>
    <r>
      <rPr>
        <sz val="10"/>
        <color theme="1"/>
        <rFont val="Arial Narrow"/>
        <family val="2"/>
      </rPr>
      <t xml:space="preserve"> Receptar y analizar los oficios de requerimientos de reformas en conjunto con el departamento de Planificación y Financiero.
</t>
    </r>
    <r>
      <rPr>
        <b/>
        <sz val="10"/>
        <color theme="1"/>
        <rFont val="Arial Narrow"/>
        <family val="2"/>
      </rPr>
      <t>2.-</t>
    </r>
    <r>
      <rPr>
        <sz val="10"/>
        <color theme="1"/>
        <rFont val="Arial Narrow"/>
        <family val="2"/>
      </rPr>
      <t xml:space="preserve"> Efectuar informe del proyecto de reforma y registrar en el sistema informático del Ministerio de Finanzas.</t>
    </r>
  </si>
  <si>
    <t>1.- Reporte de comprobantes de reformas presupuestarias.</t>
  </si>
  <si>
    <r>
      <rPr>
        <b/>
        <sz val="10"/>
        <color theme="1"/>
        <rFont val="Arial Narrow"/>
        <family val="2"/>
      </rPr>
      <t>3.-</t>
    </r>
    <r>
      <rPr>
        <sz val="10"/>
        <color theme="1"/>
        <rFont val="Arial Narrow"/>
        <family val="2"/>
      </rPr>
      <t xml:space="preserve"> Emitir Certificaciones Presupuestarias previa aplicación de control interno.</t>
    </r>
  </si>
  <si>
    <t>Certificaciones Presupuestarias previa aplicación de control interno emitidas.</t>
  </si>
  <si>
    <t>Nº de Certificaciones Presupuestarias emitidas para la adquisición de bienes y servicios.</t>
  </si>
  <si>
    <r>
      <rPr>
        <b/>
        <sz val="10"/>
        <color theme="1"/>
        <rFont val="Arial Narrow"/>
        <family val="2"/>
      </rPr>
      <t>1.-</t>
    </r>
    <r>
      <rPr>
        <sz val="10"/>
        <color theme="1"/>
        <rFont val="Arial Narrow"/>
        <family val="2"/>
      </rPr>
      <t xml:space="preserve"> Revisar la documentación y elaborar la Certificación Presupuestaria en el sistema informático del Ministerio de Finanzas de acuerdo a la solicitud presentada.</t>
    </r>
  </si>
  <si>
    <t>1.- Matriz de certificaciones presupuestarias previa aplicación del control interno.</t>
  </si>
  <si>
    <t>Ing. Xavier Jumbo (Supervisor de Presupuesto)
Ing. Eduardo Villavicencio (Analista de Presupuesto)
Ing. Alfonso Silva (Analista de Presupuesto)</t>
  </si>
  <si>
    <r>
      <rPr>
        <b/>
        <sz val="10"/>
        <color theme="1"/>
        <rFont val="Arial Narrow"/>
        <family val="2"/>
      </rPr>
      <t>4.-</t>
    </r>
    <r>
      <rPr>
        <sz val="10"/>
        <color theme="1"/>
        <rFont val="Arial Narrow"/>
        <family val="2"/>
      </rPr>
      <t xml:space="preserve"> Aplicar el control a la utilización de las Certificaciones Presupuestarias.</t>
    </r>
  </si>
  <si>
    <t>Control a la utilización de las Certificaciones Presupuestarias, aplicado.</t>
  </si>
  <si>
    <t>N° de controles aplicados a la utilización de certificaciones presupuestarias.</t>
  </si>
  <si>
    <r>
      <rPr>
        <b/>
        <sz val="10"/>
        <color theme="1"/>
        <rFont val="Arial Narrow"/>
        <family val="2"/>
      </rPr>
      <t>1.-</t>
    </r>
    <r>
      <rPr>
        <sz val="10"/>
        <color theme="1"/>
        <rFont val="Arial Narrow"/>
        <family val="2"/>
      </rPr>
      <t xml:space="preserve"> Ingresar todas las certificaciones emitidas a la matriz para su control y revisión.</t>
    </r>
  </si>
  <si>
    <t>1.- Matriz del estado de las certificaciones presupuestarias emitidas.</t>
  </si>
  <si>
    <t>Ing. Eduardo  Villavicencio (Analista de Presupuesto)</t>
  </si>
  <si>
    <r>
      <rPr>
        <b/>
        <sz val="10"/>
        <color theme="1"/>
        <rFont val="Arial Narrow"/>
        <family val="2"/>
      </rPr>
      <t>5.-</t>
    </r>
    <r>
      <rPr>
        <sz val="10"/>
        <color theme="1"/>
        <rFont val="Arial Narrow"/>
        <family val="2"/>
      </rPr>
      <t xml:space="preserve"> Elaborar Comprobantes Únicos de Registro, (CUR) de compromiso, previa aplicación de control interno.</t>
    </r>
  </si>
  <si>
    <t>Comprobantes Únicos de Registro (CUR) de compromiso previa aplicación de control interno elaborados.</t>
  </si>
  <si>
    <t>Nº de CURs de Compromiso elaborados para el pago a Proveedores de bienes y servicios.</t>
  </si>
  <si>
    <r>
      <rPr>
        <b/>
        <sz val="10"/>
        <color theme="1"/>
        <rFont val="Arial Narrow"/>
        <family val="2"/>
      </rPr>
      <t>1.-</t>
    </r>
    <r>
      <rPr>
        <sz val="10"/>
        <color theme="1"/>
        <rFont val="Arial Narrow"/>
        <family val="2"/>
      </rPr>
      <t xml:space="preserve"> Elaborar el CUR de compromiso en el sistema informático del Ministerio de Finanzas, según la certificación presupuestaria emitida.</t>
    </r>
  </si>
  <si>
    <t>1.- Matriz de Comprobantes Únicos de Registro, CUR de compromiso, previa aplicación del control interno.</t>
  </si>
  <si>
    <r>
      <rPr>
        <b/>
        <sz val="10"/>
        <color theme="1"/>
        <rFont val="Arial Narrow"/>
        <family val="2"/>
      </rPr>
      <t>6.-</t>
    </r>
    <r>
      <rPr>
        <sz val="10"/>
        <color theme="1"/>
        <rFont val="Arial Narrow"/>
        <family val="2"/>
      </rPr>
      <t xml:space="preserve"> Elaborar informes de ejecución y evaluación presupuestaria.</t>
    </r>
  </si>
  <si>
    <t>Informes de ejecución y evaluación presupuestaria elaborados.</t>
  </si>
  <si>
    <t>Nº de Informes de ejecución y evaluación presupuestaria presentados.</t>
  </si>
  <si>
    <r>
      <rPr>
        <b/>
        <sz val="10"/>
        <color theme="1"/>
        <rFont val="Arial Narrow"/>
        <family val="2"/>
      </rPr>
      <t>1.-</t>
    </r>
    <r>
      <rPr>
        <sz val="10"/>
        <color theme="1"/>
        <rFont val="Arial Narrow"/>
        <family val="2"/>
      </rPr>
      <t xml:space="preserve"> Elaborar los Informes de evaluación y ejecución presupuestaria  semestral y cuatrimestral.</t>
    </r>
  </si>
  <si>
    <t>1.- Reporte de informes presentados.</t>
  </si>
  <si>
    <r>
      <rPr>
        <b/>
        <sz val="10"/>
        <color theme="1"/>
        <rFont val="Arial Narrow"/>
        <family val="2"/>
      </rPr>
      <t>7.-</t>
    </r>
    <r>
      <rPr>
        <sz val="10"/>
        <color theme="1"/>
        <rFont val="Arial Narrow"/>
        <family val="2"/>
      </rPr>
      <t xml:space="preserve"> Elaborar Comprobantes de Reprogramación Financiera.</t>
    </r>
  </si>
  <si>
    <t>Comprobantes de Reprogramación Financiera elaborados.</t>
  </si>
  <si>
    <t>Nº de comprobantes de Reprogramación Financiera elaborados.</t>
  </si>
  <si>
    <r>
      <rPr>
        <b/>
        <sz val="10"/>
        <color theme="1"/>
        <rFont val="Arial Narrow"/>
        <family val="2"/>
      </rPr>
      <t>1.-</t>
    </r>
    <r>
      <rPr>
        <sz val="10"/>
        <color theme="1"/>
        <rFont val="Arial Narrow"/>
        <family val="2"/>
      </rPr>
      <t xml:space="preserve"> Revisar en el sistema e-sigef los saldos disponibles de la cuota del compromiso y devengado de la programación financiera del cuatrimestre, a fin de efectuar la reprogramación según las modificaciones  presupuestarias efectuadas.</t>
    </r>
  </si>
  <si>
    <t>1.- Reporte de comprobantes de reprogramación financiera.</t>
  </si>
  <si>
    <r>
      <rPr>
        <b/>
        <sz val="10"/>
        <color theme="1"/>
        <rFont val="Arial Narrow"/>
        <family val="2"/>
      </rPr>
      <t>8.-</t>
    </r>
    <r>
      <rPr>
        <sz val="10"/>
        <color theme="1"/>
        <rFont val="Arial Narrow"/>
        <family val="2"/>
      </rPr>
      <t xml:space="preserve"> Emitir información de los literales g) y l) del Art. 7 de la ley Orgánica de Transparencia y Acceso de Información Pública.</t>
    </r>
  </si>
  <si>
    <t>Información de la Ley Orgánica de Transparencia y Acceso de Información Pública, emitida.</t>
  </si>
  <si>
    <t>Nº de plantillas emitidas del literal g y el literal l.</t>
  </si>
  <si>
    <r>
      <rPr>
        <b/>
        <sz val="10"/>
        <color theme="1"/>
        <rFont val="Arial Narrow"/>
        <family val="2"/>
      </rPr>
      <t>1.-</t>
    </r>
    <r>
      <rPr>
        <sz val="10"/>
        <color theme="1"/>
        <rFont val="Arial Narrow"/>
        <family val="2"/>
      </rPr>
      <t xml:space="preserve"> Elaborar las plantillas según la matriz establecida para cada literal.</t>
    </r>
  </si>
  <si>
    <t>1.- Matriz de entrega de plantillas de los literales g) y l).</t>
  </si>
  <si>
    <r>
      <rPr>
        <b/>
        <sz val="10"/>
        <color theme="1"/>
        <rFont val="Arial Narrow"/>
        <family val="2"/>
      </rPr>
      <t>9.-</t>
    </r>
    <r>
      <rPr>
        <sz val="10"/>
        <color theme="1"/>
        <rFont val="Arial Narrow"/>
        <family val="2"/>
      </rPr>
      <t xml:space="preserve"> Entregar la Planificación Operativa Anual y Evaluar Planificación Operativa Anual.</t>
    </r>
  </si>
  <si>
    <t>Nº de Plan Operativo Anual y evaluación del POA presentados.</t>
  </si>
  <si>
    <r>
      <rPr>
        <b/>
        <sz val="10"/>
        <color theme="1"/>
        <rFont val="Arial Narrow"/>
        <family val="2"/>
      </rPr>
      <t>1.-</t>
    </r>
    <r>
      <rPr>
        <sz val="10"/>
        <color theme="1"/>
        <rFont val="Arial Narrow"/>
        <family val="2"/>
      </rPr>
      <t xml:space="preserve"> Elaborar el POA/PAC para su revisión y aprobación, en coordinación con los departamentos de Planificación y recopilar evidencia para la evaluación del Plan Operativo Anual.</t>
    </r>
  </si>
  <si>
    <r>
      <rPr>
        <b/>
        <sz val="10"/>
        <color theme="1"/>
        <rFont val="Arial Narrow"/>
        <family val="2"/>
      </rPr>
      <t>1.-</t>
    </r>
    <r>
      <rPr>
        <sz val="10"/>
        <color theme="1"/>
        <rFont val="Arial Narrow"/>
        <family val="2"/>
      </rPr>
      <t xml:space="preserve"> POA 2024.
</t>
    </r>
    <r>
      <rPr>
        <b/>
        <sz val="10"/>
        <color theme="1"/>
        <rFont val="Arial Narrow"/>
        <family val="2"/>
      </rPr>
      <t>2.-</t>
    </r>
    <r>
      <rPr>
        <sz val="10"/>
        <color theme="1"/>
        <rFont val="Arial Narrow"/>
        <family val="2"/>
      </rPr>
      <t xml:space="preserve"> Evaluación del POA 2023.</t>
    </r>
  </si>
  <si>
    <t>Ing. Xavier Jumbo (Supervisor de Presupuesto)
Ing. Alfonso Silva (Analista de Presupuesto)</t>
  </si>
  <si>
    <t>Nº  de Cajas del archivo de la Unidad de Presupuesto registradas en el inventario documental.</t>
  </si>
  <si>
    <r>
      <rPr>
        <b/>
        <sz val="10"/>
        <color theme="1"/>
        <rFont val="Arial Narrow"/>
        <family val="2"/>
      </rPr>
      <t>1.-</t>
    </r>
    <r>
      <rPr>
        <sz val="10"/>
        <color theme="1"/>
        <rFont val="Arial Narrow"/>
        <family val="2"/>
      </rPr>
      <t xml:space="preserve"> Ordenar, etiquetar y registrar la documentación en las cajas del inventario documental.</t>
    </r>
  </si>
  <si>
    <t>TOTAL PRESUPUESTO ESTIMATIVO UNIDAD DE PRESUPUESTO 2023:</t>
  </si>
  <si>
    <t>UNIDAD DE CONTABILIDAD</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</si>
  <si>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Elaborar Comprobantes de Registro Único de ingreso y Comprobantes únicos de registro de gastos con sus respectivas retenciones electrónicas previa aplicación del control interno.</t>
    </r>
  </si>
  <si>
    <t>Comprobantes de Registro Único de ingreso elaborados previa aplicación del control interno, Comprobantes únicos de registro de gastos con sus respectivas retenciones electrónicas, previa aplicación del control interno elaborados.</t>
  </si>
  <si>
    <t>N° de Comprobantes de Registros de Ingresos aprobados oportunamente y Comprobantes Únicos de Registros de Gasto con sus respectivas retenciones y comprobante interno elaborados previo al control interno.</t>
  </si>
  <si>
    <t>1.- Verificar y contabilizar los ingresos por recaudaciones y transferencias realizadas en la cuenta del Banco de Machala y transferidas al Banco Central en el Sistema E-sigef  y Sistema Contable Interno.
2.- Recibir y distribuir: Cur(s) de compromisos de Pagos, Oficios, Actas y Resoluciones.
3.- Revisar, registrar y control de contratos.
4.- Ejecutar los CUR(s) de pago por las compras de bienes, servicios. en sistema   e-SIGEF, eByE y Sistema Interno.
5.- Elaborar, solicitar a S.R.I. autorización de Comprobante de Retención Electrónico.</t>
  </si>
  <si>
    <t>1.- Reporte de comprobante de Registro Único de ingreso previa aplicación del control interno.
2.- Reporte de comprobantes únicos de registro de gastos devengados, con sus respectivas retenciones electrónicas.</t>
  </si>
  <si>
    <t>* Ing. Norma Solano,
  Jefe de Contabilidad
* Ing. Nidia Gorotiza M
* Ing. Fanny Ulloa P.
* Ing. Indira Mosquera
* Ing. Renato Gómez
  Analistas de Contabilidad</t>
  </si>
  <si>
    <t xml:space="preserve">Los materiales de impresión y reproducción, de oficina  y aseo, se encuentran direccionados a la Dirección Administrativa </t>
  </si>
  <si>
    <t>Impresión de Retenciones Físicas</t>
  </si>
  <si>
    <t>Block</t>
  </si>
  <si>
    <t>Servicios de Provisión de Dispositivos Electrónicos y Certificación para Registro de Firmas Digitales</t>
  </si>
  <si>
    <t>Trámite de actualización de firma electrónica para legalización de comprobantes de retención</t>
  </si>
  <si>
    <t>Comisiones Bancarias</t>
  </si>
  <si>
    <t>Meses</t>
  </si>
  <si>
    <t>Calculadora Sumadora</t>
  </si>
  <si>
    <r>
      <rPr>
        <b/>
        <sz val="10"/>
        <color theme="1"/>
        <rFont val="Arial Narrow"/>
        <family val="2"/>
      </rPr>
      <t>2.-</t>
    </r>
    <r>
      <rPr>
        <sz val="10"/>
        <color theme="1"/>
        <rFont val="Arial Narrow"/>
        <family val="2"/>
      </rPr>
      <t xml:space="preserve"> Consolidar Estados Financieros y sus respectivas notas explicativas.</t>
    </r>
  </si>
  <si>
    <t>Estados Financieros consolidados y sus respectivas notas explicativas.</t>
  </si>
  <si>
    <t>N° de Estados Financieros y Anexos presentados dentro de los plazos legales.</t>
  </si>
  <si>
    <t xml:space="preserve">1.- Revisar y actualizar saldos.                                                                                                                                                                                           </t>
  </si>
  <si>
    <t>1.- Balance de Comprobación de sumas y saldos presentados.</t>
  </si>
  <si>
    <t>* Ing. Norma Solano,
  Jefe de Contabilidad
* Ing. Indira Mosquera,
  Analista de Contabilidad</t>
  </si>
  <si>
    <t>-</t>
  </si>
  <si>
    <t xml:space="preserve">    </t>
  </si>
  <si>
    <t xml:space="preserve">  </t>
  </si>
  <si>
    <r>
      <rPr>
        <b/>
        <sz val="10"/>
        <color theme="1"/>
        <rFont val="Arial Narrow"/>
        <family val="2"/>
      </rPr>
      <t>3.-</t>
    </r>
    <r>
      <rPr>
        <sz val="10"/>
        <color theme="1"/>
        <rFont val="Arial Narrow"/>
        <family val="2"/>
      </rPr>
      <t xml:space="preserve"> Pagar oportunamente Obligaciones Tributarias en base a los anexos, ingresados a la plataforma del ente rector de Rentas Internas.</t>
    </r>
  </si>
  <si>
    <t>Obligaciones Tributarias pagadas oportunamente.</t>
  </si>
  <si>
    <t>N° de obligaciones tributarias de la UTMACH realizadas de forma oportuna.</t>
  </si>
  <si>
    <t>1.- Revisar, ingresar ATS, controlar y elaborar las Declaraciones y otras obligaciones tributarias de la entidad.</t>
  </si>
  <si>
    <t>1.- Reporte de obligaciones tributarias cumplidas.</t>
  </si>
  <si>
    <t>* Norma Solano C.,
  Jefe de Contabilidad
* Ing. Nidia Gorotiza
* Ing. Indira Mosquera,
  Analistas de Contabilidad</t>
  </si>
  <si>
    <r>
      <rPr>
        <b/>
        <sz val="10"/>
        <color theme="1"/>
        <rFont val="Arial Narrow"/>
        <family val="2"/>
      </rPr>
      <t>4.-</t>
    </r>
    <r>
      <rPr>
        <sz val="10"/>
        <color theme="1"/>
        <rFont val="Arial Narrow"/>
        <family val="2"/>
      </rPr>
      <t xml:space="preserve"> Elaborar comprobantes de anticipo, rendición, reposición y liquidación de fondos por viáticos y movilización; y de caja chica.</t>
    </r>
  </si>
  <si>
    <t>Comprobantes de anticipo, rendición, reposición y liquidación de fondos por viáticos y movilización; y de caja chica elaborados.</t>
  </si>
  <si>
    <t>N° de Comprobante de Anticipos, Rendiciones, Reposición y Liquidaciones de Fondos de: Caja Chica y de Viáticos elaborados.</t>
  </si>
  <si>
    <t>1.- Registrar, crear, Aprobar CUR de: Anticipos, Rendición, Reposición  y Liquidación con la documentación sustentatoria de gastos de fondos de viáticos entregados por la entidad.</t>
  </si>
  <si>
    <t>1.- Matriz consolidada de comprobantes de anticipo, rendición, reposición y liquidación de fondos por viáticos y movilización.</t>
  </si>
  <si>
    <t>* Ing. Norma Solano,
  Jefe de Contabilidad
* Ing. Indira Mosquera
* Ing. Renato Gómez,
  Analistas de Contabilidad</t>
  </si>
  <si>
    <r>
      <rPr>
        <b/>
        <sz val="10"/>
        <color theme="1"/>
        <rFont val="Arial Narrow"/>
        <family val="2"/>
      </rPr>
      <t>5.-</t>
    </r>
    <r>
      <rPr>
        <sz val="10"/>
        <color theme="1"/>
        <rFont val="Arial Narrow"/>
        <family val="2"/>
      </rPr>
      <t xml:space="preserve"> Realizar ajuste y actualizar saldos de inventarios de bienes muebles e inmuebles, semovientes, suministros y especies.</t>
    </r>
  </si>
  <si>
    <t>Saldos de inventarios de bienes muebles e inmuebles, semovientes, suministros y especies, ajustados y actualizados.</t>
  </si>
  <si>
    <t>N° de ajustes y actualizaciones de saldos de inventarios.</t>
  </si>
  <si>
    <t>1.- Revisar, registrar actualizaciones contables en e-SIGEF y Sistema Interno.</t>
  </si>
  <si>
    <t>1.- Reporte de  saldos de inventarios de bienes muebles e inmuebles, semovientes, suministros y especies.</t>
  </si>
  <si>
    <t>* Ing. Norma Solano,
  Jefe de Contabilidad
* Ing. Indira Mosquera
* Ing.  Renato Gómez,
  Analistas de Contabilidad</t>
  </si>
  <si>
    <r>
      <rPr>
        <b/>
        <sz val="10"/>
        <color theme="1"/>
        <rFont val="Arial Narrow"/>
        <family val="2"/>
      </rPr>
      <t>6.-</t>
    </r>
    <r>
      <rPr>
        <sz val="10"/>
        <color theme="1"/>
        <rFont val="Arial Narrow"/>
        <family val="2"/>
      </rPr>
      <t xml:space="preserve"> Elaborar ajustes por depreciación de bienes muebles e inmuebles, y de cierre del ejercicio fiscal.</t>
    </r>
  </si>
  <si>
    <t>Ajustes por depreciación de bienes muebles e inmuebles, y de cierre del ejercicio fiscal elaborados.</t>
  </si>
  <si>
    <t>N° de comprobantes elaborados por depreciaciones y ajustes de cierres.</t>
  </si>
  <si>
    <t>1.- Registrar, contabilizar valores por depreciación de los activos fijos y otros de consumo y existencia en el Sistema E-sigef.</t>
  </si>
  <si>
    <t>1.- Reporte de ajustes por depreciación de bienes muebles e inmuebles, y de cierre  del ejercicio fiscal.</t>
  </si>
  <si>
    <r>
      <rPr>
        <b/>
        <sz val="10"/>
        <color theme="1"/>
        <rFont val="Arial Narrow"/>
        <family val="2"/>
      </rPr>
      <t>7.-</t>
    </r>
    <r>
      <rPr>
        <sz val="10"/>
        <color theme="1"/>
        <rFont val="Arial Narrow"/>
        <family val="2"/>
      </rPr>
      <t xml:space="preserve"> Ejecutar procesos para el trámite de devolución del IVA, ante el ente rector de Rentas Internas.</t>
    </r>
  </si>
  <si>
    <t>Proceso ejecutado para el trámite de devolución del IVA, ante el ente rector de Rentas Internas.</t>
  </si>
  <si>
    <t>Este producto, no se lo ejecutará para el año 2023. Así lo establece la reforma a la Ley de Régimen Tributario Interno.</t>
  </si>
  <si>
    <r>
      <rPr>
        <b/>
        <sz val="10"/>
        <color theme="1"/>
        <rFont val="Arial Narrow"/>
        <family val="2"/>
      </rPr>
      <t>8.-</t>
    </r>
    <r>
      <rPr>
        <sz val="10"/>
        <color theme="1"/>
        <rFont val="Arial Narrow"/>
        <family val="2"/>
      </rPr>
      <t xml:space="preserve"> Revisar y registrar Asientos Contables de Roles de Pago en el Sistema Interno.</t>
    </r>
  </si>
  <si>
    <t>Asientos Contables de Roles de Pago revisados y registrados en el Sistema Interno.</t>
  </si>
  <si>
    <t>N° de Asientos Contables de los roles de pago del personal docente, administrativo y trabajadores realizados.</t>
  </si>
  <si>
    <t>1.- Receptar y registrar  en Sistema Contable Interno roles de pago de los servidores.</t>
  </si>
  <si>
    <t>1.- Reporte de Registros Contables de Roles de Pagados.</t>
  </si>
  <si>
    <t>* Ing. Norma Solano,
  Jefe de Contabilidad
* Ing. Renato Gómez,
  Analista de Contabilidad</t>
  </si>
  <si>
    <r>
      <rPr>
        <b/>
        <sz val="10"/>
        <color theme="1"/>
        <rFont val="Arial Narrow"/>
        <family val="2"/>
      </rPr>
      <t>9.-</t>
    </r>
    <r>
      <rPr>
        <sz val="10"/>
        <color theme="1"/>
        <rFont val="Arial Narrow"/>
        <family val="2"/>
      </rPr>
      <t xml:space="preserve"> Elaborar informes de ingresos y gastos de los Programas Generados con los fondos propios y/o provenientes de convenios interinstitucionales.</t>
    </r>
  </si>
  <si>
    <t>Informes de ingresos y gastos de los Programas Generados con los fondos propios y provenientes de convenios interinstitucionales, elaborados.</t>
  </si>
  <si>
    <t>N° de Informes de ingresos y gastos de los programas realizados.</t>
  </si>
  <si>
    <t>1.- Revisar, Verificar y Elaborar informes de ingresos y gastos.</t>
  </si>
  <si>
    <t>1.- Informes de Programas Generados con los fondos Propios y de convenios interinstitucionales elaborados.</t>
  </si>
  <si>
    <t>* Ing. Norma Solano,
  Jefe de Contabilidad
* Ing. Nidia Gorotiza,
  Analista de Contabilidad</t>
  </si>
  <si>
    <r>
      <rPr>
        <b/>
        <sz val="10"/>
        <color theme="1"/>
        <rFont val="Arial Narrow"/>
        <family val="2"/>
      </rPr>
      <t>10.-</t>
    </r>
    <r>
      <rPr>
        <sz val="10"/>
        <color theme="1"/>
        <rFont val="Arial Narrow"/>
        <family val="2"/>
      </rPr>
      <t xml:space="preserve"> Entregar la Planificación Operativa Anual y Evaluación de la Planificación Operativa Anual.</t>
    </r>
  </si>
  <si>
    <t>N° de POA y Evaluación de POA entregados.</t>
  </si>
  <si>
    <t>1.- Realizar el POA - 2024.
2.- Evaluación del POA 2023.</t>
  </si>
  <si>
    <t>1.- Plan Operativo Anual.
2.- Evaluación del POA del año 2023.</t>
  </si>
  <si>
    <r>
      <rPr>
        <b/>
        <sz val="10"/>
        <color theme="1"/>
        <rFont val="Arial Narrow"/>
        <family val="2"/>
      </rPr>
      <t>11.-</t>
    </r>
    <r>
      <rPr>
        <sz val="10"/>
        <color theme="1"/>
        <rFont val="Arial Narrow"/>
        <family val="2"/>
      </rPr>
      <t xml:space="preserve"> Organizar el Archivo de Gestión.</t>
    </r>
  </si>
  <si>
    <t>N° de Cajas de Procesos a partir del año 2022 registrada en el inventario documental.</t>
  </si>
  <si>
    <t>1.- Revisar, Ordenar los procesos contables de conformidad a las Normas de Control Interno establecidas por la Contraloría General del Estado.</t>
  </si>
  <si>
    <t>1.- Inventario Documental desde 2022.</t>
  </si>
  <si>
    <t>* Ing. Norma Solano,
  Jefe de Contabilidad
* Ing. Nidia Gorotiza M.
* Ing. Fanny Ulloa P.
* Ing. Indira Mosquera
* Ing. Renato Gómez,
  Analistas de Contabilidad
* Sr. Jesús Navia,
  Auxiliar de Servicio</t>
  </si>
  <si>
    <t>TOTAL PRESUPUESTO ESTIMATIVO UNIDAD DE CONTABILIDAD 2023:</t>
  </si>
  <si>
    <t>UNIDAD DE TESORERÍA</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</si>
  <si>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Emitir Comprobantes Únicos de Ingreso por recaudación de valores.</t>
    </r>
  </si>
  <si>
    <t>Comprobantes Únicos de Ingreso por recaudación de valores, emitidos.</t>
  </si>
  <si>
    <t>N° DE COMPROBANTES ÚNICOS DE INGRESO A CAJA EMITIDOS.</t>
  </si>
  <si>
    <t xml:space="preserve">1.- RECEPTAR EL EFECTIVO O PAPELETA DE DEPOSITO Y PREVIA SU REVISIÓN PROCEDER AL INGRESO EN EL SISTEMA GESCONT.
2.- REVISAR LA LEGALIDAD DE LA DOCUMENTACIÓN Y SE GENERA LA FACTURA ELECTRÓNICA.
3.- EJECUTAR LA REVISIÓN Y CONTABILIZACIÓN DE LOS INGRESOS, PREVIO AL ENVÍO A LA UNIDAD DE CONTABILIDAD.
4.- REVISAR LA RECAUDACIÓN, PARA PRESENTAR UN REPORTE DEL ESTADO ECONÓMICO DE LOS ARRENDATARIOS DE ESPACIOS FÍSICOS DE LA UNIVERSIDAD TÉCNICA DE MACHALA.
5.- REVISAR SI EN EL REPORTE DE CONTROL DEL ESTADO ECONÓMICO DE LOS ARRENDATARIOS SE ENCUENTRAN INCUMPLIDOS MÁS DE DOS MESES SE LES COMUNICA MEDIANTE OFICIO PARA QUE HAGAN EL PAGO INMEDIATO CASO CONTRARIO SE NOTIFICA A PROCURADURÍA PARA LA TERMINACIÓN UNILATERAL DEL CONTRATO.                                                         6.- REPORTE Y NOTIFICACIÓN MEDIANTE CORREO ELECTRÓNICO A ESTUDIANTES QUE MANTIENEN DEUDAS POR CONCEPTO DE MATRÍCULAS.                                                      7.- NOTIFICANDO MEDIANTE CORREO ELECTRÓNICO DE PAGOS RECHAZADOS DE ESTUDIANTES POR CONCEPTO DE MATRÍCULA </t>
  </si>
  <si>
    <t>1.- REPORTE DE COMPROBANTES DE INGRESO A CAJA.
2.- CUADRO DE RESUMEN DE: INGRESOS A CAJA;  FACTURAS; REPORTES DE INGRESOS A CAJA/REPORTES DE ESPECIES Y OTROS;COMPROBANTES DE INGRESOS A CAJA (CONTABILIZACIONES).
3.- RESUMEN DE REPORTES DE CONTROL DE CONTRATOS DE ARRENDAMIENTOS.                                                                                                                                                                                                                                                4.- REPORTE ENVIADO  DE  INCUMPLIMIENTO DE PAGOS DE CONVENIOS.                                                                                                                                                                                                                                                                                                                                 5.- REPORTE ENVIADO DE LOS RECHAZOS POR CONCEPTO DE PAGO DE MATRÍCULAS QUE NO HAN SIDO ATENDIDOS POR LOS ESTUDIANTES.                        6.- CORREOS ELECTRÓNICOS ENVIADOS A ESTUDIANTES DE DEUDAS PENDIENTES Y RECHAZOS DE PAGOS NO ATENDIDOS POR LOS ESTUDIANTES.</t>
  </si>
  <si>
    <t>* ING. BLANCA CARVAJAL ALBAN,
  JEFE DE TESORERÍA GENERAL SUBROGANTE
* ING. SANDRA RAMIREZ ROMERO,
  ANALISTA DE TESORERÍA
* ING. EDUARDO PALOMEQUE GARCES,
  ANALISTA DE TESORERÍA</t>
  </si>
  <si>
    <r>
      <rPr>
        <b/>
        <sz val="10"/>
        <color theme="1"/>
        <rFont val="Arial Narrow"/>
        <family val="2"/>
      </rPr>
      <t>2.-</t>
    </r>
    <r>
      <rPr>
        <sz val="10"/>
        <color theme="1"/>
        <rFont val="Arial Narrow"/>
        <family val="2"/>
      </rPr>
      <t xml:space="preserve"> Custodiar y entregar especies para su impresión.</t>
    </r>
  </si>
  <si>
    <t>Especies custodiadas y entregadas para su impresión.</t>
  </si>
  <si>
    <t>N° DE ACTAS DE ENTREGA-RECEPCIÓN DE ESPECIES SUSCRITAS.</t>
  </si>
  <si>
    <t>1.- REVISAR Y PROCEDER CON LA PREPARACIÓN DEL ACTA DE ENTREGA-RECEPCIÓN DE LAS ESPECIES A LA SECRETARIA GENERAL PARA LA EMISION DE TITULOS.
2.- REALIZAR REPORTE PARA LA UNIDAD DE CONTABILIDAD DE LA ENTREGA DE ESPECIES PARA LA EMISIÓN DE TÍTULOS Y CERTIFICADOS DE INGLÉS.</t>
  </si>
  <si>
    <t>1.- Reporte de Especies Custodiadas y entregadas a Secretaria.
2.- Reporte de especies entregadas a la Unidad de Contabilidad.</t>
  </si>
  <si>
    <t>* ING. BLANCA CARVAJAL ALBAN, 
  JEFE DE TESORERÍA GENERAL SUBROGANTE
* ING. SANDRA RAMIREZ ROMERO,
  ANALISTA DE TESORERIA</t>
  </si>
  <si>
    <t>Mouse</t>
  </si>
  <si>
    <t>Impresión de Especies para títulos profesionales</t>
  </si>
  <si>
    <r>
      <rPr>
        <b/>
        <sz val="10"/>
        <color theme="1"/>
        <rFont val="Arial Narrow"/>
        <family val="2"/>
      </rPr>
      <t>3.-</t>
    </r>
    <r>
      <rPr>
        <sz val="10"/>
        <color theme="1"/>
        <rFont val="Arial Narrow"/>
        <family val="2"/>
      </rPr>
      <t xml:space="preserve"> Aprobar Comprobantes de Registro Único de Ingresos por reanudación de valores, amortizaciones en la plataforma del ente rector de las Finanzas Públicas.</t>
    </r>
  </si>
  <si>
    <t>Comprobantes de Registro Único de Ingresos por recaudación de valores y amortizaciones aprobadas en la plataforma del ente rector de las Finanzas Públicas.</t>
  </si>
  <si>
    <t>N° DE COMPROBANTES DE REGISTRO ÚNICO DE INGRESOS POR RECAUDACIONES DE VALORES Y AMORTIZACIONES APROBADOS EN EL SISTEMA eSIGEF.</t>
  </si>
  <si>
    <t>1.- RECIBIR DE LA UNIDAD DE CONTABILIDAD LOS COMPROBANTES DE INGRESOS Y PREVIA SU REVISIÓN PROCEDER A APROBARLOS EN LA PLATAFORMA DEL ENTE RECTOR DE LAS FINANZAS PÚBLICAS.
2.- RECIBIR LA DOCUMENTACIÓN RESPECTIVA DE LA UNIDAD DE CONTABILIDAD PARA PROCEDER CON LAS AMORTIZACIONES EN LA PLATAFORMA DEL ENTE RECTOR DE LAS FINANZAS PÚBLICAS.</t>
  </si>
  <si>
    <t>1.- Reporte de CUR de Ingresos por recaudación de valores y amortizaciones.</t>
  </si>
  <si>
    <t>* ING. BLANCA CARVAJAL ALBAN,
  JEFE DE TESORERÍA GENERAL SUBROGANTE
ING. EDUARDO, PALOMEQUE GARCES
  ANALISTA DE TESORERIA</t>
  </si>
  <si>
    <r>
      <rPr>
        <b/>
        <sz val="10"/>
        <color theme="1"/>
        <rFont val="Arial Narrow"/>
        <family val="2"/>
      </rPr>
      <t>4.-</t>
    </r>
    <r>
      <rPr>
        <sz val="10"/>
        <color theme="1"/>
        <rFont val="Arial Narrow"/>
        <family val="2"/>
      </rPr>
      <t xml:space="preserve"> Crear y aprobar: beneficiarios, cuentas monetarias y fondos globales en la plataforma del ente rector de las Finanzas Públicas.</t>
    </r>
  </si>
  <si>
    <t>Beneficiarios, cuentas monetarias y fondos globales creados y aprobados en la plataforma del ente rector de las Finanzas Públicas.</t>
  </si>
  <si>
    <t>N° DE BENEFICIARIOS, CUENTAS MONETARIAS Y FONDOS GLOBALES CREADOS Y APROBADOS EN EL SISTEMA ESIGEF.</t>
  </si>
  <si>
    <t>1.- RECIBIR LA DOCUMENTACIÓN PERTINENTE PARA PROCEDER CON LA CREACIÓN Y APROBACIÓN DE BENEFICIARIOS, CUENTAS MONETARIAS Y FONDOS GLOBALES EN LA PLATAFORMA DEL ENTE RECTOR DE LAS FINANZAS PÚBLICAS.</t>
  </si>
  <si>
    <t>1.- Reporte de Beneficiarios y cuentas monetarias y fondos globales.</t>
  </si>
  <si>
    <t>* ING. BLANCA CARVAJAL ALBAN,
  JEFE DE TESORERÍA GENERAL SUBROGANTE
ING. EDUARDO PALOMEQUE GARCES,
  ANALISTA DE TESORERIA</t>
  </si>
  <si>
    <r>
      <rPr>
        <b/>
        <sz val="10"/>
        <color theme="1"/>
        <rFont val="Arial Narrow"/>
        <family val="2"/>
      </rPr>
      <t>5.-</t>
    </r>
    <r>
      <rPr>
        <sz val="10"/>
        <color theme="1"/>
        <rFont val="Arial Narrow"/>
        <family val="2"/>
      </rPr>
      <t xml:space="preserve"> Controlar el vencimiento de las pólizas de garantía y letras de cambio.</t>
    </r>
  </si>
  <si>
    <t>Pólizas de garantía y de letras de cambio controladas.</t>
  </si>
  <si>
    <t>N° DE REPORTES DE CONTROL DE VENCIMIENTO Y SOLICITUD DE RENOVACION DE GARANTIAS CONTRACTUALES, PÓLIZAS DE CAUCIONES Y FIDELIDAD, LETRAS DE CAMBIO.</t>
  </si>
  <si>
    <t>1.- RECIBIR LAS GARANTÍAS CONTRACTUALES, PÓLIZAS DE CAUCIONES Y FIDELIDAD, LETRAS DE CAMBIO CON TODA LA DOCUMENTACIÓN INHERENTES.
2.- REALIZAR EL ARCHIVO ADMINISTRATIVO, CUMPLIENDO CON LA RECOMENDACIÓN DE LA CONTRALORÍA GENERAL DEL ESTADO.
3.- MANTENER UN CONTROL CONSTANTE SOBRE LA VIGENCIA Y VENCIMIENTO DE LAS GARANTÍAS CONTRACTUALES, PÓLIZAS DE CAUCIONES Y FIDELIDAD, LETRAS DE CAMBIO Y SOLICITAR LA RENOVACIÓN DE LAS MISMAS CUANDO LO AMERITE.
4.- PRESENTAR UN INFORME MENSUAL A LA MÁXIMA AUTORIDAD SOBRE LA VIGENCIA VENCIMIENTO Y RENOVACIONES SOLICITADAS DE LAS GARANTÍAS CONTRACTUALES, PÓLIZAS DE CAUCIONES Y FIDELIDAD, LETRAS DE CAMBIO.</t>
  </si>
  <si>
    <t>1.- Reporte de control de vencimiento de garantías y de letras de cambio.</t>
  </si>
  <si>
    <r>
      <rPr>
        <b/>
        <sz val="10"/>
        <color theme="1"/>
        <rFont val="Arial Narrow"/>
        <family val="2"/>
      </rPr>
      <t>6.-</t>
    </r>
    <r>
      <rPr>
        <sz val="10"/>
        <color theme="1"/>
        <rFont val="Arial Narrow"/>
        <family val="2"/>
      </rPr>
      <t xml:space="preserve"> Emitir información del literal n) Viáticos, informes de trabajo y justificativos de movilización nacional o internacional del Art. 7 de la Ley Orgánica y Acceso de la Información Pública.</t>
    </r>
  </si>
  <si>
    <t>Información de la Ley Orgánica de Transparencia y Acceso de Información Pública, emitida</t>
  </si>
  <si>
    <t>N° DE PLANILLAS MENSUALES DE REEMBOLSOS Y ANTICIPOS DE VIÁTICOS, INFORMES DE TRABAJO Y JUSTIFICATIVOS POR MOVILIZACIONES NACIONAL O INTERNACIONAL DE AUTORIDADES Y SERVIDORES DE LA INSTITUCIÓN PARA CUMPLIMIENTO DE LA LEY DE TRANSPARENCIA, ENTREGADOS.</t>
  </si>
  <si>
    <t xml:space="preserve">1.- LLENAR LA MATRIZ PROPORCIONADA POR TRANSPARENCIA DE LOS VALORES PAGADOS POR CONCEPTO DE ANTICIPO DE VIÁTICOS, NACIONALES E INTERNACIONALES,  </t>
  </si>
  <si>
    <t>1.- Reporte de entrega de plantillas del literal n) el Art. 7 de la Ley Orgánica de Transparencia y Acceso de Información Pública.</t>
  </si>
  <si>
    <t>* ING. BLANCA CARVAJAL ALBAN,
  JEFE DE TESORERÍA GENERAL SUBROGANTE
* ING. SANDRA RAMIREZ ROMERO,
  ANALISTA DE TESORERIA</t>
  </si>
  <si>
    <r>
      <rPr>
        <b/>
        <sz val="10"/>
        <color theme="1"/>
        <rFont val="Arial Narrow"/>
        <family val="2"/>
      </rPr>
      <t>7.-</t>
    </r>
    <r>
      <rPr>
        <sz val="10"/>
        <color theme="1"/>
        <rFont val="Arial Narrow"/>
        <family val="2"/>
      </rPr>
      <t xml:space="preserve"> Realizar la transferencia, seguimiento y confirmación de fondos a proveedores previa aplicación del control interno.</t>
    </r>
  </si>
  <si>
    <t>Fondos transferidos a proveedores previa aplicación del control interno.</t>
  </si>
  <si>
    <t>N° DE CURS REVISADOS Y APROBADOS PARA PAGAR A PROVEEDORES.</t>
  </si>
  <si>
    <t>1.- RECEPTAR Y REVISAR  LOS CUR CON SU DOCUMENTACIÓN HABILITANTE. CUMPLIDO EL CONTROL PREVIO SE PROCEDE A LA AUTORIZACIÓN DEL PAGO.</t>
  </si>
  <si>
    <t>1.- Reporte de CUR pagados.
2.- RESUMEN DE LISTADOS DE CUR CONFIRMADOS IMPRESOS ENTREGADOS A LA UNIDAD DE CONTABILIDAD.
3.- RESUMEN DE OFICIOS ENTREGADOS A LA UNIDAD DE COMPRAS PÚBLICAS ADJUNTANDO LOS IMPRESOS  DE LOS CUR CONFIRMADOS POR COMPRAS Y SERVICIOS.</t>
  </si>
  <si>
    <t>* ING. BLANCA CARVAJAL ALBAN,
  JEFE DE TESORERÍA GENERAL SUBROGANTE
* ING. SANDRA RAMIREZ ROMERO,
*ING. EDUARDO PALOMEQUE GARCES ANALISTAS DE TESORERÍA</t>
  </si>
  <si>
    <r>
      <rPr>
        <b/>
        <sz val="10"/>
        <color theme="1"/>
        <rFont val="Arial Narrow"/>
        <family val="2"/>
      </rPr>
      <t>8.-</t>
    </r>
    <r>
      <rPr>
        <sz val="10"/>
        <color theme="1"/>
        <rFont val="Arial Narrow"/>
        <family val="2"/>
      </rPr>
      <t xml:space="preserve"> Emitir y validar certificaciones de remuneraciones percibidas y roles de pagos respectivamente.</t>
    </r>
  </si>
  <si>
    <t>Certificaciones de remuneraciones percibidas y roles de pago emitidos y validadas.</t>
  </si>
  <si>
    <t>N° DE CERTIFICACIONES DE REMUNERACIONES PERCIBIDAS Y ROLES DE PAGOS ENTREGADOS.</t>
  </si>
  <si>
    <t>1.- RECIBIR DESDE LA UNIDAD DE REMUNERACIONES LAS SOLICITUDES CON CERTIFICACIONES DE REMUNERACIONES Y ROLES DE PAGO.
2.- ELABORAR LAS CERTIFICACIONES DE REMUNERACIONES.
3.- VALIDAR LAS CERTIFICACIONES DE REMUNERACIONES Y ROLES DE PAGO.
4.- ENTREGAR A LOS SOLICITANTES LAS CERTIFICACIONES DE REMUNERACIONES Y ROLES DE PAGO SOLICITADAS.</t>
  </si>
  <si>
    <t>1.- Registro de entrega de certificaciones de remuneraciones percibidas y roles de pago.</t>
  </si>
  <si>
    <t>* ING. BLANCA CARVAJAL ALBAN,
  JEFE DE TESORERÍA GENERAL SUBROGANTE
* ING. SANDRA RAMIREZ 
  ANALISTA DE TESORERIA</t>
  </si>
  <si>
    <r>
      <rPr>
        <b/>
        <sz val="10"/>
        <color theme="1"/>
        <rFont val="Arial Narrow"/>
        <family val="2"/>
      </rPr>
      <t>9.-</t>
    </r>
    <r>
      <rPr>
        <sz val="10"/>
        <color theme="1"/>
        <rFont val="Arial Narrow"/>
        <family val="2"/>
      </rPr>
      <t xml:space="preserve"> Realizar la conciliación de depósitos y transferencias entre el banco corresponsal y el Banco Central del Ecuador.</t>
    </r>
  </si>
  <si>
    <t>Depósitos y transferencias conciliadas entre el banco corresponsal y el Banco Central del Ecuador.</t>
  </si>
  <si>
    <t>N° DE CONCILIACIONES BANCARIAS REALIZADAS.</t>
  </si>
  <si>
    <t>1.- RECIBIR EL ESTADO BANCARIO MENSUAL DEL BANCO CORRESPONSAL, BANCO CENTRAL Y DOCUMENTOS HABILITANTES DE LA RECAUDACIÓN SE PROCEDE A CONCILIAR: DEPÓSITOS REALIZADOS EN EL BANCO CORRESPONSAL TRANSFERIDOS AL BANCO CENTRAL.
2.- PROCEDER A CONCILIAR LOS DEPÓSITOS REALIZADOS EN EL BANCO CORRESPONSAL Y ARCHIVOS FÍSICOS DE LOS VALORES REGISTRADOS POR RECAUDACIÓN DIARIA EN LAS DIFERENTES UNIDADES DE LA UNIVERSIDAD TÉCNICA DE MACHALA.</t>
  </si>
  <si>
    <t>1.- Reporte de Conciliación Bancaria.</t>
  </si>
  <si>
    <t>* ING. BLANCA CARVAJAL ALBAN,
  JEFE DE TESORERÍA GENERAL SUBROGANTE
* ING. EDUARDO PALOMEQUE GARCES
  ANALISTA DE TESORERIA</t>
  </si>
  <si>
    <r>
      <t xml:space="preserve">10.- </t>
    </r>
    <r>
      <rPr>
        <sz val="10"/>
        <color theme="1"/>
        <rFont val="Arial Narrow"/>
        <family val="2"/>
      </rPr>
      <t>Recaudar procesos coactivos.</t>
    </r>
  </si>
  <si>
    <t>Procesos coactivos tramitados.</t>
  </si>
  <si>
    <t>N° DE TRÁMITES REALIZADOS PARA PROCESO DE CUENTAS POR COBRAR.</t>
  </si>
  <si>
    <t>NO APLICA</t>
  </si>
  <si>
    <t>CON OFICIO NRO. UTMACH-UT-2021-0365-OF, DIRIGIDO A LA DIRECTORA FINANCIERA, SE SOLICITA LA REVISIÓN DE ESTE PRODUCTO, POR CUANTO ESTÁ CREADA LA UNIDAD DE COACTIVAS QUIEN ESTARÍA  A CARGO DE LOS PROCESOS COACTIVOS.</t>
  </si>
  <si>
    <r>
      <rPr>
        <b/>
        <sz val="10"/>
        <color theme="1"/>
        <rFont val="Arial Narrow"/>
        <family val="2"/>
      </rPr>
      <t>11.-</t>
    </r>
    <r>
      <rPr>
        <sz val="10"/>
        <color theme="1"/>
        <rFont val="Arial Narrow"/>
        <family val="2"/>
      </rPr>
      <t xml:space="preserve"> Entregar la Planificación Operativa Anual y Evaluación de la Planificación Operativa Anual.</t>
    </r>
  </si>
  <si>
    <t>N° DE POA Y EVALUACIONES  ENTREGADAS.</t>
  </si>
  <si>
    <t>1.- RECIBIR LAS DIRECTRICES Y VALORES ASIGNADOS A LA UNIDAD PARA PROCEDER A LA ELABORACIÓN DEL POA
2.- ELABORAR EL POA Y SOCIALIZARLO CON LOS INTEGRANTES DE LA UNIDAD.
3.- PREPARAR LOS MEDIOS DE VERIFICACIÓN Y LAS EVIDENCIAS QUE SUSTENTARAN LA EVALUACIÓN DEL POA
4.- REMITIR EL POA DE LA UNIDAD, VIA CORREO ELECTRONICO A LA DIRECCION DE PLANIFICACION PARA LA REVISION Y VALIDACION DEL MISMO, PREVIO A LA REALIZACIÓN DEL OFICIO PARA FORMALIZAR LA ENTREGA DEL POA Y DE LA EVALUACIÓN.</t>
  </si>
  <si>
    <t>1.- Plan Operativo Anual
2.- Evaluación del POA.</t>
  </si>
  <si>
    <t>* ING. BLANCA CARVAJAL ALBAN,
  JEFE DE TESORERÍA GENERAL SUBROGANTE
* ING. SANDRA RAMIREZ ROMERO
* ING. EDUARDO PALOMEQUE GARCES.
  ANALISTAS DE TESORERÍA</t>
  </si>
  <si>
    <t>N° DE CAJAS REGISTRADAS EN EL INVENTARIO DOCUMENTAL.</t>
  </si>
  <si>
    <t>1.- RECEPTAR, REGISTRAR EN EL SIUTMACH Y ARCHIVAR LAS COMUNICACIONES RECIBIDAS.</t>
  </si>
  <si>
    <t>1.- Inventario Documental.
2.- RESUMEN DE LA RECEPCION, REVISION Y DESPACHO A LA UNIDAD DE NÓMINA DE FORMULARIOS DE PROYECCIÓN DE GASTOS PERSONALES DE SERVIDORES.
3.- REGISTRO DE FORMULARIO 107 ENTREGADOS A SERVIDORES.
4.- RESUMEN DE OFICIOS RECIBIDOS Y ENVIADOS.</t>
  </si>
  <si>
    <t>* ING.EDUARDO PALOMEQUE GARCES
  ANALISTA DE TESORERIA</t>
  </si>
  <si>
    <t>TOTAL PRESUPUESTO ESTIMATIVO UNIDAD DE TESORERÍA 2023:</t>
  </si>
  <si>
    <t>UNIDAD DE REMUNERACIONES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</si>
  <si>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Elaborar roles de pago, previa aplicación de control interno.</t>
    </r>
  </si>
  <si>
    <t>Roles de pago elaborados previa aplicación de control interno.</t>
  </si>
  <si>
    <t>N° de roles de pago ejecutados.</t>
  </si>
  <si>
    <t>1.- Receptar los documentos para aplicarse en roles de pago del personal docente y administrativo titular, trabajadores titulares, personal docente, administrativo y trabajadores contratados y jubilados, sumillados por el Jefe de Nómina y Remuneraciones.
2.- Revisar las bases legales para el pago.
3.- Recopilar la información.
4.- Elaborar la orden de pago en el SUPA, para determinar los valores que deben descontarse en los roles de pago.
5.- Parametrizar en el sistema SPRYN los cambios que sean necesarios para la ejecución de las nóminas.
6.- Consultar vía telefónica al Centro de Servicio del Ministerio de Finanzas sobre varios aspectos relacionados a la aplicación de cambios en las parametrizaciones en el sistema SPRYN.
7.- Calcular valores para la elaboración de los roles de pago, tanto en el programa interno como en Excel, de acuerdo a las necesidades.
8.- Modificar en el programa interno de roles de pago para adaptarlo a las necesidades de la nómina vigente, así como correcciones a roles efectuados en Excel.
9.- Ingresar datos en el sistema interno de roles de pago, así como en Excel cuando se trata de nóminas adicionales.
10.- Procesar la nómina para la obtención de resultados.
11.- Imprimir borradores de balances, roles de pagos, reportes, para la revisión y cuadre.
12.- Corregir errores encontrados.
13.- Transportar datos de las nóminas en el sistema SPRYN y validarlas.
14.- Aprobar y generar el cur de pagos de las nóminas por parte del Jefe de la Sección.
15.- Reproducir  roles, reportes y más documentos que sirven como base legal para la ejecución de la nómina.</t>
  </si>
  <si>
    <t>1.- Reportes de roles de pago por tipo de nómina.</t>
  </si>
  <si>
    <t>* Ing. Luis Feijoo Pogo,  Jefe de Nómina y Remuneraciones
* Ing. Dyana Aguilar Rojas, Supervisora de Nómina y Remuneraciones.
* Ing. Marieliza Cabrera Morocho,   Analista de Nómina y Remuneraciones
* Ing. David Correa Carreño, Analista de Nómina y Remuneraciones,
* Lcda. María Espinoza Bajaña, Analista de Nómina y Remuneraciones,
* Ing. Patricio Tapia Pesántez, Analista de Nómina y Remuneraciones.</t>
  </si>
  <si>
    <r>
      <rPr>
        <b/>
        <sz val="10"/>
        <color theme="1"/>
        <rFont val="Arial Narrow"/>
        <family val="2"/>
      </rPr>
      <t>2.-</t>
    </r>
    <r>
      <rPr>
        <sz val="10"/>
        <color theme="1"/>
        <rFont val="Arial Narrow"/>
        <family val="2"/>
      </rPr>
      <t xml:space="preserve"> Elaborar Roles de Liquidación de haberes del personal que cesa en sus funciones, previa aplicación de control interno.</t>
    </r>
  </si>
  <si>
    <t>Roles de Liquidación de haberes y/o bonificaciones e indemnizaciones por desvinculación de los Servidores universitarios.</t>
  </si>
  <si>
    <t>N° de roles elaborados de liquidación de haberes personal que cesa en sus funciones.</t>
  </si>
  <si>
    <t>1.-Controlar previamente la documentación, sumillados por el Jefe de la Sección, para la aplicación en las liquidaciones de haberes.
2.- Parametrizar en el Subsistema SPRYN los cambios que sean necesarios para la ejecución de las nóminas.
3.- Calcular valores para la elaboración de las liquidaciones en Excel, de acuerdo a las necesidades.
4.- Transportar datos de las nóminas en el Subsistema SPRYN y validarlas.
5.- Aprobar y generar los cur de pagos de las nóminas por parte del Jefe de la Sección.
6.-  Reproducir  roles, reportes y más documentos que sirven como base legal para la ejecución de la nómina.</t>
  </si>
  <si>
    <t>1.- Reporte de roles de pago por liquidación de haberes.</t>
  </si>
  <si>
    <t>* Ing. Dyana Aguilar Rojas, Supervisora de Nómina y Remuneraciones.
* Ing. Marieliza Cabrera Morocho,   Analista de Nómina y Remuneraciones,
*Ing. David Correa Correa, Analista de Nómina y Remuneraciones.
* Ing. Patricio Tapia Pesántez, Analista de Nómina y Remuneraciones.</t>
  </si>
  <si>
    <r>
      <rPr>
        <b/>
        <sz val="10"/>
        <color theme="1"/>
        <rFont val="Arial Narrow"/>
        <family val="2"/>
      </rPr>
      <t>3.-</t>
    </r>
    <r>
      <rPr>
        <sz val="10"/>
        <color theme="1"/>
        <rFont val="Arial Narrow"/>
        <family val="2"/>
      </rPr>
      <t xml:space="preserve"> Elaborar Reformas Web centralizadas y/o descentralizadas.</t>
    </r>
  </si>
  <si>
    <t>Reformas web centralizadas y/o descentralizadas, elaboradas.</t>
  </si>
  <si>
    <t>N° de reformas web centralizadas y/o descentralizadas elaboradas.</t>
  </si>
  <si>
    <t>1.- Revisar previamente los documentos enviados por la Dirección Financiera y las acciones de personal remitidas por la Dirección de Talento Humano, que constituyen la base legal para la aplicación en las reformas web, tanto centralizadas como desconcentradas para la modificación del distributivo institucional registrado en el Subsistema SPRYN del Ministerio
de Finanzas. Gestionar la aprobación de las mismas.
2.-Elaborar cuadros en el formato emitido por el Ministerio de Finanzas para justificar la disponibilidad presupuestaria y efectuar los movimientos del personal en el distributivo institucional..
3.- Elaborar informes en el Subsistema SPRYN para la emisión de la resolución que respaldará la aprobación de las reformas desconcentradas.
4.- Consultar vía telefónica al Centro de Servicio del Ministerio de Finanzas sobre varios aspectos relacionados a la aplicación de cambios en las parametrizaciones en el sistema SPRYN.</t>
  </si>
  <si>
    <t>1.- Reportes de reformas web centralizadas y/o desconcentradas.</t>
  </si>
  <si>
    <t xml:space="preserve">* Ing. Luis Feijoo Pogo,  Jefe de Nómina y Remuneraciones
</t>
  </si>
  <si>
    <r>
      <rPr>
        <b/>
        <sz val="10"/>
        <color theme="1"/>
        <rFont val="Arial Narrow"/>
        <family val="2"/>
      </rPr>
      <t>4.-</t>
    </r>
    <r>
      <rPr>
        <sz val="10"/>
        <color theme="1"/>
        <rFont val="Arial Narrow"/>
        <family val="2"/>
      </rPr>
      <t xml:space="preserve"> Elaborar cuadre de sueldos y aportaciones de los servidores universitarios entre el subsistema de nóminas del ente rector de las Finanzas Públicas y el IESS.</t>
    </r>
  </si>
  <si>
    <t>Cuadre de sueldos y aportaciones de los servidores universitarios entre el subsistema de nóminas del ente rector de las Finanzas Públicas y el IESS, elaborado.</t>
  </si>
  <si>
    <t>N° de cuadres mensuales de sueldos y aportaciones de los servidores universitarios elaborados.</t>
  </si>
  <si>
    <t>1.- Recopilar información del pago de nóminas en el Subsistema SPRYN, para revisar montos de aportes enviados al IESS.
2.- Controlar previamente los monos de sueldos registrados en el IESS frente a los cancelados por la institución a través del Subsistema SPRYN.
3.- Imprimir planillas generadas en el IESS para elaborar el reporte de cuadre de aportaciones por régimen laboral.
4.- Elaborar el reporte mensual del cuadre de aportes al IESS.</t>
  </si>
  <si>
    <r>
      <t>1.- Reporte</t>
    </r>
    <r>
      <rPr>
        <sz val="10"/>
        <color rgb="FFFF0000"/>
        <rFont val="Arial Narrow"/>
        <family val="2"/>
      </rPr>
      <t xml:space="preserve"> </t>
    </r>
    <r>
      <rPr>
        <sz val="10"/>
        <color theme="1"/>
        <rFont val="Arial Narrow"/>
        <family val="2"/>
      </rPr>
      <t>de cuadre de sueldos y aportes de los servidores universitarios entre el subsistema SPRYN del Ministerio de Finanzas  y el IESS.</t>
    </r>
  </si>
  <si>
    <t xml:space="preserve">* Ing. Luis Feijoo Pogo,  Jefe de Nómina y Remuneraciones
* Ing. Marieliza Cabrera Morocho,   Analista de Nómina y Remuneraciones
</t>
  </si>
  <si>
    <r>
      <rPr>
        <b/>
        <sz val="10"/>
        <color theme="1"/>
        <rFont val="Arial Narrow"/>
        <family val="2"/>
      </rPr>
      <t>5.-</t>
    </r>
    <r>
      <rPr>
        <sz val="10"/>
        <color theme="1"/>
        <rFont val="Arial Narrow"/>
        <family val="2"/>
      </rPr>
      <t xml:space="preserve"> Emitir información del literal c) del Art.7 de la Ley Orgánica de Transparencia y Acceso de Información Pública.</t>
    </r>
  </si>
  <si>
    <t>N° de plantillas mensuales con la información del literal c) del Art.7 de la LOTAIP, entregadas oportunamente.</t>
  </si>
  <si>
    <t>1.- Bajar el distributivo registrado en el Subsistema SPRYN con corte al último movimiento del mes que se va a reportar.
2.- Migrar la información de nombres y sueldos constantes en el distributivo a las plantillas descargadas de la página web de la Defensoría del Pueblo.
3.- Ejecutar el control previo de los montos totales en remuneraciones canceladas por la institución a través del Subsistema SPRYN frente a lo descargado en el distributivo institucional.
4.- Emitir la plantilla mensual para la entrega respectiva.</t>
  </si>
  <si>
    <t>1.- Reportes de entrega de plantillas del literal c).</t>
  </si>
  <si>
    <t>* Ing. Luis Feijoo Pogo,  Jefe de Nómina y Remuneraciones
* Ing. Patricio Tapia Pesántez, Analista de Nómina y Remuneraciones.</t>
  </si>
  <si>
    <r>
      <rPr>
        <b/>
        <sz val="10"/>
        <color theme="1"/>
        <rFont val="Arial Narrow"/>
        <family val="2"/>
      </rPr>
      <t>6.-</t>
    </r>
    <r>
      <rPr>
        <sz val="10"/>
        <color theme="1"/>
        <rFont val="Arial Narrow"/>
        <family val="2"/>
      </rPr>
      <t xml:space="preserve"> Entregar la Planificación Operativa Anual y Evaluación de la Planificación Operativa Anual.</t>
    </r>
  </si>
  <si>
    <t>N° de Planificaciones y Evaluaciones del POA entregadas oportunamente.</t>
  </si>
  <si>
    <t>1.- Revisar la normativa y metodología emitida por la Dirección de Planificación para la elaboración del POA.
2.- Cuantificar las metas que se programan alcanzar en el primer y segundo semestre.
3.- Describir las actividades a realizarse en cada meta.
4.- Establecer el material o insumos que serán necesarios para el desarrollo de cada meta.
5.- Obtener precios actuales de los materiales para establecer el monto presupuestado o estimado del gasto en el que se incurrirá por cada meta.
6.- Aplicar montos de gasto en compra de materiales a cada partida presupuestaria por meta.</t>
  </si>
  <si>
    <t>1.- Plan Operativo Anual.
2.- Evaluación del POA.</t>
  </si>
  <si>
    <t xml:space="preserve">* Ing. Luis Feijoo Pogo,  Jefe de Nómina y Remuneraciones
* Ing. Marieliza Cabrera Morocho,   Analista de Nómina y Remuneraciones.
* Lcda. María Espinoza Bajaña, Analista de Nómina y Remuneraciones,
</t>
  </si>
  <si>
    <t>N° de cajas donde reposa la documentación de la unidad registrada en el inventario documental.</t>
  </si>
  <si>
    <t>1.- Revisar la normativa vigente para la organización del archivo de la Sección.
2.- Recopilar los documentos que contendrán las carpetas destinadas a cada cajas.
3.- Entregar el inventario documental de la Sección.</t>
  </si>
  <si>
    <t>TOTAL PRESUPUESTO ESTIMATIVO UNIDAD DE REMUNERACIONES 2023:</t>
  </si>
  <si>
    <t>UNIDAD DE COACTIVAS</t>
  </si>
  <si>
    <t xml:space="preserve">1.-Coordinar la emisión de Títulos  de Crédito </t>
  </si>
  <si>
    <t xml:space="preserve">Procedimientos coactivos ejecutados. </t>
  </si>
  <si>
    <t>N° de procedimientos coactivos ejecutados.</t>
  </si>
  <si>
    <t>1.- Verificar resoluciones de Consejo Universitario para emitir títulos de crédito.
2.- Emitir Títulos de Crédito.
3.- Emitir órdenes de pago.
4.- Emitir Medidas cautelares.</t>
  </si>
  <si>
    <t>1.- Notificaciones realizadas.</t>
  </si>
  <si>
    <t>Ab. Fernanda Rojas Ramírez, Jefe de Coactivas</t>
  </si>
  <si>
    <t>En el presente producto, está sujeto al inicio de las diligencias previas que duran seis meses por tanto no se podría establecer la emisión de títulos de crédito en el primer y segundo cuatrimestre.</t>
  </si>
  <si>
    <t>2.-Seguimiento de  la elaboración del Convenio de Pago.</t>
  </si>
  <si>
    <t>Suscripción de convenios de pago gestionada</t>
  </si>
  <si>
    <t xml:space="preserve">N° de Convenios de Pago suscritos. </t>
  </si>
  <si>
    <t>1.- Realizar notificaciones previas a deudores.
2.- Coordinar la elaboración de Convenio de Pagos por parte de Procuraduría General.</t>
  </si>
  <si>
    <t>2.- Resolución Administrativa para la elaboración del Convenio de Pago.</t>
  </si>
  <si>
    <t xml:space="preserve">Ab. Fernanda Rojas Ramírez, Jefe de Coactivas; Abg. Aníbal Campoverde  Procurador General. </t>
  </si>
  <si>
    <t>323000013</t>
  </si>
  <si>
    <t>PUBLICACIONES POR LA PRENSA CITACIONES A COACTIVADOS</t>
  </si>
  <si>
    <t xml:space="preserve">3.- Realizar  comunicaciones para emitir medidas cautelares. </t>
  </si>
  <si>
    <t>Medidas cautelares ejecutadas</t>
  </si>
  <si>
    <t>N° de medidas cautelares ejecutadas.</t>
  </si>
  <si>
    <t>1.- Realizar oficios a entidades como Superintendencia de Economía Popular y Solidaria; Superintendencia de Bancos; Registro de la Propiedad.</t>
  </si>
  <si>
    <t>1.- Oficios para cumplimiento de Medidas cautelares emitidas.</t>
  </si>
  <si>
    <t>LOS PROCESOS AÚN NO ESTARÍAN EN LA ETAPA DE EMBARGOS.</t>
  </si>
  <si>
    <t>4.-Coordinar   embargos</t>
  </si>
  <si>
    <t>Embargos ejecutados</t>
  </si>
  <si>
    <t>N° de embargos ejecutados.</t>
  </si>
  <si>
    <t>1.- Receptar las comunicaciones de organismos externos sobre embargos a cuentas bancarias o bienes muebles o inmuebles del deudor.</t>
  </si>
  <si>
    <t>1.- Comunicaciones de organismos externos por  embargos realizados.</t>
  </si>
  <si>
    <t>LOS PROCESOS AÚN NO ESTARÍAN EN LA ETAPA DE REMATES.</t>
  </si>
  <si>
    <t>5.-Coordinar la realización de remates</t>
  </si>
  <si>
    <t xml:space="preserve">Remates ejecutados. </t>
  </si>
  <si>
    <t>N° de remates ejecutados.</t>
  </si>
  <si>
    <t xml:space="preserve">1.- Ordenar el remate de bienes embargados. </t>
  </si>
  <si>
    <t>1.- Oficios para cumplimiento de remates ordenados.</t>
  </si>
  <si>
    <r>
      <rPr>
        <b/>
        <sz val="10"/>
        <color theme="1"/>
        <rFont val="Arial Narrow"/>
        <family val="2"/>
      </rPr>
      <t>6.-</t>
    </r>
    <r>
      <rPr>
        <sz val="10"/>
        <color theme="1"/>
        <rFont val="Arial Narrow"/>
        <family val="2"/>
      </rPr>
      <t xml:space="preserve"> Coordinar las ventas por embargos realizados. </t>
    </r>
  </si>
  <si>
    <t>Ventas directas ejecutadas.</t>
  </si>
  <si>
    <t>N° de Ventas directas ejecutadas.</t>
  </si>
  <si>
    <t>1.- Coordinar la ejecución de ventas directas.
2.- Oficiar si fuere el caso a Organismos externos para la ejecución de la venta.</t>
  </si>
  <si>
    <t>1.- Actas de ventas directas realizadas.</t>
  </si>
  <si>
    <t>LOS PROCESOS AÚN NO ESTARÍAN EN LA ETAPA DE VENTAS DIRECTAS.</t>
  </si>
  <si>
    <t xml:space="preserve">7.-Realización de la Planificación Operativa Anual. </t>
  </si>
  <si>
    <t xml:space="preserve">Planificación operativa anual y Evaluación de la Planificación Operativa Anual,  entregadas oportunamente. </t>
  </si>
  <si>
    <t>N° de Planificaciones Operativas Anuales y evaluaciones de las planificaciones operativas anuales, presentadas.</t>
  </si>
  <si>
    <t>1.- Elaborar la Planificación Operativa Anual de acuerdo a las directrices emitidas.
2.- Efectuar la evaluación de la Planificación Operativa Anual.
3.- Preparación y cargar evidencias del POA en la carpeta asignada a la Unidad.</t>
  </si>
  <si>
    <t>1.- Planificación Operativa Anual  2024.
2.- Evaluación del Plan Operativo Anual 2023.</t>
  </si>
  <si>
    <t xml:space="preserve">Ab. Fernanda Rojas Ramírez, Jefe de Coactivas, Ing. Mariela Espinoza Torres, Directora Financiera. </t>
  </si>
  <si>
    <t>8.-Realizar el Archivo de la Unidad de Coactivas</t>
  </si>
  <si>
    <t xml:space="preserve">Archivo de gestión organizado. </t>
  </si>
  <si>
    <t>1.- Seleccionar la documentación para su archivo correspondiente.
2.- Organizar los expedientes.
3.- Preservar la documentación en las unidades de almacenamiento.</t>
  </si>
  <si>
    <t>TOTAL PRESUPUESTO ESTIMATIVO UNIDAD DE COACTIVAS  2023:</t>
  </si>
  <si>
    <r>
      <t xml:space="preserve">Elaborado por: </t>
    </r>
    <r>
      <rPr>
        <sz val="11"/>
        <color theme="1"/>
        <rFont val="Arial"/>
        <family val="2"/>
      </rPr>
      <t>Patricia Niebla Gómez, Dirección Financiera; Ing. Alfonso Silva Sánchez, Unidad de Presupuesto; Ing. Nancy Aguilar Reyes, Ing. Indira Mosquera V. Analistas de Contabilidad e Ing. Norma Solano Correa, Jefe de Contabilidad; ING. EDUARDO PALOMEQUE GARCES, Unidad de Tesorería; María Espinoza Bajaña, Unidad de Remuneraciones; Ab. Fernanda Rojas Ramírez, Unidad de Coactivas.</t>
    </r>
  </si>
  <si>
    <r>
      <t xml:space="preserve">Fecha de presentación: </t>
    </r>
    <r>
      <rPr>
        <sz val="11"/>
        <color theme="1"/>
        <rFont val="Arial"/>
        <family val="2"/>
      </rPr>
      <t>13 septiembre de 2022</t>
    </r>
  </si>
  <si>
    <r>
      <t xml:space="preserve">Fecha de presentación corregido: </t>
    </r>
    <r>
      <rPr>
        <sz val="11"/>
        <color theme="1"/>
        <rFont val="Arial"/>
        <family val="2"/>
      </rPr>
      <t>14 septiembre de 2022</t>
    </r>
  </si>
  <si>
    <t>DIRECCIÓN ADMINISTRATIVA</t>
  </si>
  <si>
    <t>APROBAR LA PLANIFICACIÓN ANUAL DE CONTRATACIÓN Y SUS REFORMAS</t>
  </si>
  <si>
    <t>1. PLANIFICACIÓN ANUAL DE CONTRATACIONES, APROBADA</t>
  </si>
  <si>
    <t>NRO. DE PLANIFICACIONES ANUALES DE CONTRATACIONES Y SUS REFORMAS</t>
  </si>
  <si>
    <t>1. SOLICITAR A DIRECCIÓN DE PLANIFICACIÓN LA ASIGNACIÓN DE TECHOS PRESUPUESTARIOS POR DEPENDENCIAS (GRUPO DE GASTO, FUENTE, PROGRAMA)
2. EFECTUAR NOTIFICACIÓN A DEPENDENCIAS Y SOLICITUD DE DETALLE DE COMPRAS A EFECTUARSE CON EL RECURSO PREVIAMENTE ASIGNADO
3. RECEPTAR Y CONSOLIDAR PROPUESTAS DE PAC DE DEPENDENCIAS A SER REVISADAS Y ANALIZADAS POR PARTE DE LA UNIDAD DE COMPRAS PÚBLICAS
4. REMITIR A UNIDAD DE COMPRAS PÚBLICAS DICHO INSUMO A FIN DE ELABORAR EL PAC INSTITUCIONAL DE ACUERDO A LA NORMATIVA EXPUESTA EN LA LONSCP
5. SOLICITAR PAC DEPURADO A UNIDAD DE COMPRAS PÚBLICAS A FIN DE SER REMITIDO AL MÁXIMO ÓRGANO COLEGIADO DE LA IES (CONSEJO UNIVERSITARIO)</t>
  </si>
  <si>
    <t>1. RESOLUCIONES DEL PAC INICIAL Y SUS REFORMAS</t>
  </si>
  <si>
    <t>* ROBERTO CÓRDOVA ROMERO, DIRECTOR ADMINISTRATIVO
* JUAN CARLOS MERINO GAONA, ANALISTA DIRECCIÓN ADMINISTRATIVA
* DIEGO PESANTEZ OCHOA, ANALISTA DIRECCIÓN ADMINISTRATIVA</t>
  </si>
  <si>
    <t>GESTIONAR PROCESO DE ADQUISICIÓN DE BIENES Y SERVICIOS INSTITUCIONALES</t>
  </si>
  <si>
    <t>2. PROCESOS DE ADQUISICIÓN DE BIENES Y SERVICIOS INSTITUCIONALES, GESTIONADOS</t>
  </si>
  <si>
    <t>NRO. DE PROCESOS DE CONTRATACIONES PÚBLICAS DESPACHADOS</t>
  </si>
  <si>
    <t>1.REMITIR CIRCULAR HACIENDO CONOCER LAS DIRECTRICES GENERALES Y FORMATOS PARA EL INICIO DE PROCESOS DE CONTRATACIÓN PÚBLICA
2. RECEPTAR PROCESOS DE CONTRATACIÓN DERIVADOS DESDE EL VICERRECTORADO ADMINISTRATIVO A FIN DE SER REVISADOS POR EL PERSONAL DE DIRECCIÓN EN LO QUE CORRESPONDE A FORMATOS ACORDE A LO DIFUNDIDO, HABILITANTES EN GENERAL
3. EMITIR CERTIFICACIÓN PAC, A FIN DE QUE UNIDAD DE COMPRAS PÚBLICAS CONTINÚE CON EL PROCESO DE COMPRA</t>
  </si>
  <si>
    <t>1. MATRIZ DE ADQUISICIÓN DE BIENES Y/O SERVICIOS EN RELACIÓN A CERTIFICACIONES PAC</t>
  </si>
  <si>
    <t>Agua Potable</t>
  </si>
  <si>
    <t>PAGO DE SERVICIOS BÀSICOS DE LA UTMACH</t>
  </si>
  <si>
    <t>Consumo de agua potable, pagos mensuales</t>
  </si>
  <si>
    <t>Energía Eléctrica</t>
  </si>
  <si>
    <t>Consumo de energía eléctrica, pagos mensuales</t>
  </si>
  <si>
    <t>Consumo de telecomunicaciones, pagos mensuales</t>
  </si>
  <si>
    <t>AIRE ACONDICIONADO PARED 24000 BTU</t>
  </si>
  <si>
    <t>AIRE ACONDICIONADO PARED 36000 BTU</t>
  </si>
  <si>
    <t>AIRE ACONDICIONADO PARED 60000 BTU</t>
  </si>
  <si>
    <t>Adquisición de aires acondicionados (contrato 2022)</t>
  </si>
  <si>
    <t>Adquisición, intalación y puesta en funcionamiento de equipos de climatización para ser utilizados en diferentes unidades académicas (contrato 2022).</t>
  </si>
  <si>
    <t>010 730604</t>
  </si>
  <si>
    <t>Fiscalización e Inspecciones Técnicas</t>
  </si>
  <si>
    <t>Servicio de Aseo</t>
  </si>
  <si>
    <t>Servicio de aseo</t>
  </si>
  <si>
    <t>Servicio de recolección, transporte y deposición de aguas residuales</t>
  </si>
  <si>
    <t>Adquisición de sillas para aulas de las FCE, FCQS, FIC y FCA.</t>
  </si>
  <si>
    <t>Adquisición de escritorios tipo 1-Estudiante para aulas de las FCA y FIC.</t>
  </si>
  <si>
    <t>010  750501</t>
  </si>
  <si>
    <t>Obras de Infraestructura</t>
  </si>
  <si>
    <t>MONITOREAR LA EJECUCIÓN PRESUPUESTARIA DE LOS PROCESOS DE ADQUISICIÓN DE BIENES Y SERVICIOS</t>
  </si>
  <si>
    <t>3. EJECUCIÓN PRESUPUESTARIA DE LOS PROCESOS DE ADQUISICIÓN DE BIENES Y SERVICIOS, MONITOREADA</t>
  </si>
  <si>
    <t>NRO. DE EJECUCIONES REALIZADAS A LOS PROCESO DE ADQUISICIÓN DE BIENES Y SERVICIOS</t>
  </si>
  <si>
    <t>1. REALIZAR CONVOCATORIA A SESIÓN DE TRABAJO MENSUAL CON UNIDAD DE COMPRAS PÚBLICAS PARA ANÁLISIS DE PROBLEMAS Y SOLUCIONES
2. ELABORAR DIAGRAMAS QUE MEJOREN LOS TIEMPOS Y CONTROLES A PARTIR DE LAS MESAS DE TRABAJO CON LA UCP
3. ELABORAR Y DIFUNDIR ESTADÍSTICAS RESPECTO DE CUMPLIMIENTO Y EFICIENCIA DE LOS PROCESOS DE COMPRAS PÚBLICAS</t>
  </si>
  <si>
    <t>1. ACTA DE REUNIÓN
2. DIAGRAMAS DE PROCESOS PROPUESTOS E IMPLEMENTADOS
3. CUADROS ESTADÍSTICOS
4. CORREO ELECTRÓNICO DE DIFUSIÓN</t>
  </si>
  <si>
    <t>DIRECCIÓN ADMINISTRATIVA PAGO DE PREDIOS URBANOS DE LA UTMACH</t>
  </si>
  <si>
    <t>Tasas e impuestos institucionales</t>
  </si>
  <si>
    <t>Saldo para cubrir gastos por vía publica</t>
  </si>
  <si>
    <t>Permisos de construcción de infraestructura de las carreras de Artes Plásticas y Medicina</t>
  </si>
  <si>
    <t xml:space="preserve">Para pago de trámites </t>
  </si>
  <si>
    <t>pago</t>
  </si>
  <si>
    <t>COORDINAR LA DEFINICIÓN DEL PLAN OPERATIVO ANUAL DE CONTRATACIONES</t>
  </si>
  <si>
    <t>4. DEFINICIÓN DEL PLAN ANUAL DE CONTRATACIONES, COORDINADO</t>
  </si>
  <si>
    <t>ESTE PRODUCTO ESTÁ CONSIDERADO EN LA PLANIFICACIÓN ANUAL DE CONTRATACIONES, APROBADA, ADICIONAL ES IMPORTANTE INDICAR QUE MEDIANTE EL OFICIO NRO. UTMACH-DADM-2021-621-OF DE FECHA 17 DE SEPTIEMBRE DEL AÑO 2021 SE REPORTÓ AL SEÑOR RECTOR NOVEDADES EN RELACIÓN A LA PLANTILLA DE LA DTH; DERIVADAS DEL ROGOP 2021 (Resol. 345/2021) Y SUS PRODUCTOS CON LA SIGUIENTE PETICIÒN "me permito solicitar a usted, se haga conocer dichas observaciones a la Comisión designada en este proceso, a fin de proceder a subsanar dicha observaciones y esta Dirección y sus dependencias pueda proceder a llenar las plantillas correspondientes"</t>
  </si>
  <si>
    <t>COORDINAR LOS PROCESOS DE CONTRATACIÓN PÚBLICA DE ACUERDO A LOS LINEAMIENTOS INSTITUCIONALES Y DISPOSICIONES LEGALES</t>
  </si>
  <si>
    <t>5. PROCESOS DE CONTRATACIÓN PÚBLICA DE ACUERDO A LOS LINEAMIENTOS INSTITUCIONALES Y DISPOSICIONES LEGALES, COORDINADO</t>
  </si>
  <si>
    <t>NRO DE PROCESO DE CONTRATACIÓN PÚBLICA CENTRALIZADOS</t>
  </si>
  <si>
    <t>1. REALIZAR LOS PROCESOS DE CONTRATACIÓN PÚBLICA CENTRALIZADOS EN LA DIRECCIÓN ADMINISTRATIVA DE LOS PROGRAMAS 01 DE ADMINISTRACIÓN CENTRAL Y 82 DE GESTIÓN Y FORMACIÓN ACADÉMICA
2. EMITIR CERTIFICACIÓN PAC</t>
  </si>
  <si>
    <t>1. MATRIZ DE ADQUISICIÓN DE BIENES Y/O SERVICIOS CENTRALIZADOS EN LA DIRECCIÓN ADMINISTRATIVA</t>
  </si>
  <si>
    <t>* ROBERTO CÓRDOVA ROMERO, DIRECTOR ADMINISTRATIVO
* JUAN CARLOS MERINO GAONA, ANALISTA DIRECCIÓN ADMINISTRATIVA
* DIEGO PESANTEZ OCHOA, ANALISTA DIRECCIÓN ADMINISTRATIVA
*LEONARDO BOWEN BRIONES, ANALISTA DIRECCIÓN ADMINISTRATIVA</t>
  </si>
  <si>
    <t>CONFORME DIRECTRICES DADAS POR LA DIRECCIÓN DE PLANIFICACIÓN CIRCULAR DPLAN 016-2022.
DPLAN: en la partida 840103 se incorporar recursos solicitados por el Rectorado, Secretaría General, Dirección Financiera, Dirección de Talento Human, Procuraduría General, Vicerrectorado Académico, Dirección Administrativa, Dirección de Posgrado y Dirección de Aseguramiento de la Calidad, además se suman recursos en esa partida y en la de mantenimiento para cubrir otras necesidades.</t>
  </si>
  <si>
    <t>Materiales de oficina para el desarrollo de las actividades administrativas y académicas de la institución</t>
  </si>
  <si>
    <t>Materiales de Aseo</t>
  </si>
  <si>
    <t>Materiales de aseo para el desarrollo de las actividades administrativas y académicas de la institución</t>
  </si>
  <si>
    <t>Materiales de impresión para las dependencias administrativas y académicas</t>
  </si>
  <si>
    <t>Adquisición de mobiliario para las actividades administrativas y académicas de la institución.</t>
  </si>
  <si>
    <t>Adquisición de mobiliario de difusión de los servicios de la Dirección de Posgrado.</t>
  </si>
  <si>
    <t>Para pago de órdenes compra de 1 archivador aéreo, 2 mesa de centro por los valores $90,00 y $396,00 sin incluir el IVA</t>
  </si>
  <si>
    <t>Mobiliarios (Instalación, Mantenimiento y Reparación)</t>
  </si>
  <si>
    <t>Servicio de mantenimiento y reparación del mobiliario para las actividades administrativas y académicas de la institución.</t>
  </si>
  <si>
    <t>PLANIFICACIÓN, ORGANIZACIÓN Y USO DE LOS ESPACIO FÍSICOS DE LA INSTITUCIÓN</t>
  </si>
  <si>
    <t>6. ORGANIZACIÓN Y USO DE LOS ESPACIOS FÍSICOS DE LA INSTITUCIÓN, PLANIFICADA</t>
  </si>
  <si>
    <t>NRO. DE PETICIONES DE ESPACIOS ATENDIDOS</t>
  </si>
  <si>
    <t>1. TRAMITAR LA AUTORIZACIÓN DE LAS AUTORIDADES DE LA IES QUE EXISTA DISPONIBILIDAD DE ESPACIO FÍSICO
2. CONTROLAR EL INGRESO DE LAS PETICIONES PARA EL PRÉSTAMO Y/O USO DE LOS SALONES: AUDITÓRIUM NUEVO, AUDITÓRIUM ANTIGUO, SALÓN DE EVENTOS 1, SALÓN DE EVENTOS 2, PLAZOLETA, ESPACIOS Y MOBILIARIO DE LA UTMACH</t>
  </si>
  <si>
    <t>1. ACTAS DE PRÉSTAMOS DE ESPACIOS FÍSICOS</t>
  </si>
  <si>
    <t>* ROBERTO CÓRDOVA ROMERO, DIRECTOR ADMINISTRATIVO
* DIEGO PESANTEZ OCHOA, ANALISTA DIRECCIÓN ADMINISTRATIVA
* LIC. PATRICIA SILVA BRAVO, ADMINISTRADOR CAMPUS
* GENESIS SANCHEZ FONG, AUXILIAR ADMINISTRATIVA</t>
  </si>
  <si>
    <t>NECESIDADES DE LA DIRECCIÓN ADMINISTRATIVA Y SUS ÁREAS ADSCRITAS</t>
  </si>
  <si>
    <t>DISCO DURO EXTERNO</t>
  </si>
  <si>
    <t>TELEFONOS IP</t>
  </si>
  <si>
    <t>DIRIGIR EL PROCESO DE ADMINISTRACIÓN DE ACTIVOS, BIENES SUJETOS A CONTROL Y EXISTENCIAS DE LA INSTITUCIÓN</t>
  </si>
  <si>
    <t>7. PROCESO DE ADMINISTRACIÓN DE ACTIVOS, BIENES SUJETOS DE CONTROL Y EXISTENCIAS DE LA INSTITUCIÓN, DIRIGIDO</t>
  </si>
  <si>
    <t>NRO. DE PROCESOS EJECUTADOS DE LAS CONSTATACIONES FÍSICAS Y EXISTENCIAS</t>
  </si>
  <si>
    <t>CON BASE AL REGLAMENTO SUSTITUTIVOS DE BIENES Y LAS NORMAS DE CONTROL INTERNO: 
1. LEVANTAR AL MENOS UN PROCEDIMIENTO PARA LA REASIGNACIONES,  BAJAS, INGRESO, SALIDA DE LOS BIENES INSTITUCIONALES EN COORDINACIÓN CON LAS  UNIDADES DE BIENES Y CONTROL DE BIENES 
2. SOLICITAR DE MANERA MENSUAL; CON FINES DE CONCILIACIÓN REPORTE DE EXISTENCIAS A LA UNIDAD DE BIENES Y TRANSPORTE
3. SOLICITAR AL MENOS UNA VEZ AL AÑO; CON FINES DE CONCILIACIÓN EL ACTA DE CONSTATACIÓN FÍSICA DE BIENES DE LA UTMACH A LA UNIDAD DE CONTROL DE BIENES</t>
  </si>
  <si>
    <t>1. CUADRO RESUMEN DE LAS  CONSTATACIONES FÍSICA DE BIENES
2. CUADRO RESUMEN DE EXISTENCIAS Y CONSUMIBLES</t>
  </si>
  <si>
    <t>* ROBERTO CÓRDOVA ROMERO, DIRECTOR ADMINISTRATIVO
* DIEGO PESANTEZ OCHOA, ANALISTA DIRECCIÓN ADMINISTRATIVA
* ING. LEONARDO BOWEN BRIONES, ANALISTA GESTIÒN DIRECCIÒN ADMINISTRATIVA</t>
  </si>
  <si>
    <t>GESTIONAR EL PROCESO DE ASEGURAMIENTO DE LOS BIENES INSTITUCIONALES</t>
  </si>
  <si>
    <t>8. ASEGURAMIENTO DE LOS BIENES INSTITUCIONALES, GESTIONADO</t>
  </si>
  <si>
    <t>NRO. DE PROCESOS EJECUTADOS PARA ASEGURAMIENTO DE LOS BIENES</t>
  </si>
  <si>
    <t>1. SOLICITAR A LA UNIDAD DE CONTROL DE BIENES REPORTE DE LOS BIENES MUEBLES E INMUEBLES QUE SE DESEAN ASEGURAR
2. SOCIALIZAR CON EL VICERRECTORADO ADMINISTRATIVO, LOS INSUMOS (REPORTE Y COTIZACIÓN) PARA VERIFICAR LOS BIENES A ASEGURAR SEGÚN LA DISPONIBILIDAD PLANIFICADA EN EL PAC
3. PROCEDER A ELABORAR LOS FORMULARIOS (INFORME DE NECESIDAD, CÁLCULO Y OTROS) PARA INICIAR EL PROCESO DE CONTRATACIÓN DE LA PÓLIZA DE SEGURO DE BIENES
4. VERIFICAR EL PROCESO DE PÓLIZA DE SEGUROS, HASTA VERIFICAR QUE SERVIDOR ESTA COMO RESPONSABLE DE LA PÓLIZA – ADMINISTRADOR DE CONTRATO</t>
  </si>
  <si>
    <t xml:space="preserve">
1. FORMULARIOS Y HABILITANTES PARA EL PROCESO DE ADQUISICIÓN DEL SERVICIO DE LOS BIENES DE LA UTMACH A ASEGURAR</t>
  </si>
  <si>
    <t>* ROBERTO CÓRDOVA ROMERO, DIRECTOR ADMINISTRATIVO
* JUAN CARLOS MERINO GAONA, ANALISTA DIRECCIÓN ADMINISTRATIVA</t>
  </si>
  <si>
    <t>PAGO DE SEGURO DE BIENES DE LA UTMACH POR LA DIR-ADMIN</t>
  </si>
  <si>
    <t>Seguro para bienes institucionales</t>
  </si>
  <si>
    <t>Deducibles por Sismo 18/03/2023</t>
  </si>
  <si>
    <t>GESTIONAR EL FUNCIONAMIENTO DEL PARQUE INSTITUCIONAL</t>
  </si>
  <si>
    <t>9, FUNCIONAMIENTO DEL PARQUE AUTOMOTOR INSTITUCIONAL, GESTIONADO</t>
  </si>
  <si>
    <t>NRO. DE PROCESOS EJECUTADOS DEL FUNCIONAMIENTO DEL PARQUE AUTOMOTOR</t>
  </si>
  <si>
    <t>1. ELABORAR EL INVENTARIO INICIAL DE VEHÍCULOS Y OBTENER CARACTERÍSTICAS DE LOS MISMOS
2. ELABORAR DE FICHA TÉCNICA DE CADA VEHÍCULO
3. ELABORAR UN PLAN ANUAL DE MANTENIMIENTO MECÁNICO DEL PARQUE AUTOMOTOR
4. EMITIR ÓRDENES DE COMBUSTIBLE Y SUMINISTRAR EL MISMO A TODO EL PARQUE AUTOMOTOR 
5. ELABORAR EL INVENTARIO INICIAL DE LUBRICANTES, FILTROS Y NEUMÁTICOS DEL PARQUE AUTOMOTOR
6. REGISTRAR EL INVENTARIO INICIAL EN KARDEX DEL ÁREA DE TRANSPORTE
7. REGISTRAR MENSUALMENTE LOS MOVIMIENTOS DEL INVENTARIO DE LUBRICANTES, FILTROS Y NEUMÁTICOS
8. ORGANIZAR Y DIRIGIR LAS ACTIVIDADES DE CONDUCTORES Y SUS ÓRDENES DE MOVILIZACIÓN
9. ELABORAR ÓRDENES DE MOVILIZACIÓN CON FORMATO INTERNO Y FORMATO DE LA CONTRALORÍA GENERAL DEL ESTADO
10. INFORMAR A TALENTO HUMANO Y A VICERRECTORADO LA EMISIÓN DE LAS ÓRDENES DE MOVILIZACIÓN REALIZADAS SEMANALMENTE</t>
  </si>
  <si>
    <t>1. INFORME CON ACTIVIDADES EJECUTADAS DESDE EL PARQUE AUTOMOTOR DE LA IES</t>
  </si>
  <si>
    <t>* ROBERTO CÓRDOVA ROMERO, DIRECTOR ADMINISTRATIVO
* ING. LEONARDO BOWEN BRIONES, ANALISTA GESTIÒN DIRECCIÒN ADMINISTRATIVA</t>
  </si>
  <si>
    <t>Vehículos (Servicio para Mantenimiento y Reparación)</t>
  </si>
  <si>
    <t>ÁREA DE TRANSPORTE</t>
  </si>
  <si>
    <t>Mantenimiento vehícular</t>
  </si>
  <si>
    <t>Mantenimiento vehícular (contrato 2022-1)</t>
  </si>
  <si>
    <t>Mantenimiento vehícular (contrato 2022-2)</t>
  </si>
  <si>
    <t>Combustibles</t>
  </si>
  <si>
    <t>Combustibles para vehículos institucionales</t>
  </si>
  <si>
    <t>Lubricantes</t>
  </si>
  <si>
    <t>Lubricantes para vehículos institucionales</t>
  </si>
  <si>
    <t>EJECUTAR LA SEGURIDAD Y VIGILANCIA INSTITUCIONAL</t>
  </si>
  <si>
    <t>10. SEGURIDAD Y VIGILANCIA INSTITUCIONAL, EJECUTADA</t>
  </si>
  <si>
    <t>NRO. DE PROCESOS DE VIGILANCIA EJECUTADOS</t>
  </si>
  <si>
    <t>1. ELABORAR DISTRIBUTIVOS 
2. REALIZAR RECORRIDOS DENTRO DE LOS PREDIOS
3. CUSTODIAR LOS BIENES MUEBLES E INMUEBLES DE LA INSTITUCIÓN
4. MONITOREAR EL SISTEMA DE VIDEO VIGILANCIA
5. REVISAR Y LIMPIA DEL SISTEMA DE VIDEO VIGILANCIA CUANDO HAY NOVEDADES</t>
  </si>
  <si>
    <t>1. INFORMES DE ACTIVIDADES DEL ÁREA DE VIGILANCIA Y SEGURIDAD
2. RESOLUCIÓN DE APROBACIÓN DEL PLAN DE VIGILANCIA Y SEGURIDAD</t>
  </si>
  <si>
    <t>* ROBERTO CÓRDOVA ROMERO, DIRECTOR ADMINISTRATIVO
* ABG. RAÚL CARPIO SILVA, SUPERVISOR DE VIGILANCIA Y SEGURIDAD</t>
  </si>
  <si>
    <t>ÁREA DE VIGILANCIA Y SEGURIDAD</t>
  </si>
  <si>
    <t>Seguridad en las instalaciones de la institución</t>
  </si>
  <si>
    <t xml:space="preserve"> ADQUISICIÓN DE RADIOS PORTÁTILES Y RADIOS BASE PARA LA UNIVERSIDAD TÉCNICA DE MACHALA</t>
  </si>
  <si>
    <t>012 840104</t>
  </si>
  <si>
    <t>Proyecto de Inversión: Fortalecimiento de la Seguridad Ciudadana de la Comunidad Universitaria; contrato pendiente 2022.</t>
  </si>
  <si>
    <t>012  840104</t>
  </si>
  <si>
    <t>012 840107</t>
  </si>
  <si>
    <t>Proyecto de Inversión: Fortalecimiento de la Seguridad Ciudadana de la Comunidad Universitaria; contratos pendientes 2022.</t>
  </si>
  <si>
    <t>012 730208</t>
  </si>
  <si>
    <t>Seguridad y Vigilancia</t>
  </si>
  <si>
    <t>CONO REFLECTIVO</t>
  </si>
  <si>
    <t>APROBACIÓN E IMPLEMENTACIÓN DE LA PLANIFICACIÓN DE CONSTRUCCIONES, ADECUACIONES MENORES, MANTENIMIENTO CORRECTIVO Y LIMPIEZA DE LOS ESPACIOS FÍSICOS DE LA INSTITUCIÓN Y MANTENIMIENTO ANUAL PREVENTIVO Y CORRECTIVO DE LA FLOTA VEHICULAR</t>
  </si>
  <si>
    <t>11. PLANIFICACIÓN DE CONSTRUCCIONES, ADECUACIONES MENORES, MANTENIMIENTO CORRECTIVO Y LIMPIEZA DE LOS ESPACIOS FÍSICOS DE LA INSTITUCIÓN Y MANTENIMIENTO ANUAL PREVENTIVO Y CORRECTIVO DE LA FLOTA VEHICULAR, APROBADA E IMPLEMENTADA</t>
  </si>
  <si>
    <t>NRO. DE PROCESOS EJECUTADOS EN EL ÁREA DE TRANSPORTE Y DE LA UNIDAD DE OBRAS UNIVERSITARIAS</t>
  </si>
  <si>
    <t>1. SOLICITAR A LA UNIDAD DE OBRAS E INFRAESTRUCTURA UNIVERSITARIA LOS PLANES DE MANTENIMIENTO DE OBRAS UNIVERSITARIAS (INCLUIDO EL DE MANTENIMIENTO GENERAL);
2. GESTIONAR ANTE VICERRECTORADO ADMINISTRATIVO SE PRESENTE DICHOS PLANES DE MANTENIMIENTO ANTE CONSEJO UNIVERSITARIO, PARA SU APROBACIÓN Y FINANCIAMIENTO
3. SOLICITAR EN EL ÚLTIMO MES DEL AÑO A LA UNIDAD DE OBRAS E INFRAESTRUCTURA UNIVERSITARIA INFORME DE LA EJECUCIÓN DE LOS PLANES DE MANTENIMIENTO DE OBRAS UNIVERSITARIAS (INCLUIDO EL DE MANTENIMIENTO GENERAL)
4. REALIZAR ESTUDIO DE MERCADO DE MANO DE OBRA MECÁNICA PARA SOLICITAR LA CONTRATACIÓN DEL MANTENIMIENTO PREVENTIVO Y CORRECTIVO ANUAL DEL ÁREA DE TRANSPORTE
5. ELABORAR LA DOCUMENTACIÓN HABILITANTE PARA EJECUTAR LA SOLICITUD DE CONTRATACIÓN DE MANTENIMIENTO PREVENTIVO Y CORRECTIVO DEL PARQUE AUTOMOTOR DE LA INSTITUCIÓN 
6. EJECUTAR EL PLAN DE MANTENIMIENTO PREVENTIVO Y CORRECTIVO CON EL PLAN ANUAL DE MANTENIMIENTO MECÁNICO PREVENTIVO Y CORRECTIVO DE LA INSTITUCIÓN
7. CONTROLAR A TRAVÉS DE VISITA IN SITU AL TALLER MECÁNICO PARA CONSTATAR QUE SE LE HAGAN LOS MANTENIMIENTOS RESPECTIVOS A CADA VEHÍCULO
8. ELABORAR INFORMES Y DOCUMENTACIÓN HABILITANTE PARA SOLICITAR EL PAGO MENSUAL DE LOS MANTENIMIENTOS EFECTUADOS A LOS VEHÍCULOS</t>
  </si>
  <si>
    <t>1. INFORMES DE ACTIVIDADES DE LOS PROCESO DEL ÁREA DE TRANSPORTE
2. PLANES DE MANTENIMIENTO DE LA UNIDAD DE OBRAS
3. CUADRO RESUMEN DE LA EJECUCIÓN DE LOS PLANES DE MANTENIMIENTO DE LA UNIDAD DE OBRAS
4. RESOLUCIÓN DE APROBACIÓN DE LOS PLANES DE MANTENIMIENTO</t>
  </si>
  <si>
    <t>* ROBERTO CÓRDOVA ROMERO, DIRECTOR ADMINISTRATIVO
* ING. LEONARDO BOWEN BRIONES, ANALISTA GESTIÒN DIRECCIÒN ADMINISTRATIVA
* ING. MARCO CARRIÓN LIMONES, JEFE DE OBRAS DE IFM</t>
  </si>
  <si>
    <t>PROCESO DE LA DIRECCIÓN ADMINISTRATIVA</t>
  </si>
  <si>
    <t>APROBACIÓN E IMPLEMENTACIÓN DE LA PLANIFICACIÓN DEL   MANTENIMIENTO   DE   ÁREAS VERDES, ESCENARIOS DEPORTIVOS; APROBADA E IMPLEMENTADA</t>
  </si>
  <si>
    <t>12. PLANIFICACIÓN DEL   MANTENIMIENTO   DE   ÁREAS VERDES, ESCENARIOS DEPORTIVOS; APROBADA E IMPLEMENTADA</t>
  </si>
  <si>
    <t>NRO. DE PROCESOS EJECUTADOS DEL MANTENIMIENTO DE ÁREAS VERDES, ESCENARIOS DEPORTIVOS</t>
  </si>
  <si>
    <t>1. SOLICITAR A LA UNIDAD DE OBRAS E INFRAESTRUCTURA UNIVERSITARIA LOS PLANES DE MANTENIMIENTO (OBRAS UNIVERSITARIAS DE LAS ÁREAS VERDES Y ESCENARIOS DEPORTIVOS.
2. SOLICITAR EN EL ÚLTIMO MES DEL AÑO A LA UNIDAD DE OBRAS E INFRAESTRUCTURA UNIVERSITARIA INFORME DE LA EJECUCIÓN DE LOS PLANES DE MANTENIMIENTO DE LAS ÁREAS VERDES Y ESCENARIOS DEPORTIVOS.</t>
  </si>
  <si>
    <t>1. PLANES DE MANTENIMIENTO DE LA UNIDAD DE OBRAS
2. RESOLUCIÓN DE APROBACIÓN DE LOS PLANES DE MANTENIMIENTO (ÁREAS VERDES Y ESCENARIOS DEPORTIVOS)</t>
  </si>
  <si>
    <t>* ROBERTO CÓRDOVA ROMERO, DIRECTOR ADMINISTRATIVO
* ING. MARCO CARRIÓN LIMONES, JEFE DE OBRAS DE IFM</t>
  </si>
  <si>
    <t>REPUESTOS PARA ACTIVIDADES DE LA DIRECCIÓN ADMINISTRATIVA</t>
  </si>
  <si>
    <t>DISCOS DUROS INTERNOS DE ESTADO SÓLIDO SSD</t>
  </si>
  <si>
    <t>GESTIONAR EL PROCESO DE CONTRATACIÓN O RENOVACIÓN DE LAS PÓLIZAS DE SEGUROS Y DE MATRICULACIÓN DE LOS VEHÍCULOS OFICIALES GESTIONADOS</t>
  </si>
  <si>
    <t>13. PROCESOS DE CONTRATACIÓN O RENOVACIÓN DE LAS PÓLIZAS DE SEGUROS Y DE MATRICULACIÓN DE LOS VEHÍCULOS OFICIALES GESTIONADOS</t>
  </si>
  <si>
    <t>NRO, DE PROCESOS EJECUTADOS DE LA RENOVACIÓN DE LAS PÓLIZAS DE SEGUROS</t>
  </si>
  <si>
    <t>1. REALIZAR UN ESTUDIO DE MERCADO, SOLICITANDO PROFORMAS DE PROVEEDORES DE SEGUROS
2. SOLICITAR AL PROVEEDOR LA INSPECCIÓN TÉCNICA VEHICULAR
3. EJECUTAR LA PÓLIZA DE SEGURO VEHICULAR EN CASO DE HABER UN ACCIDENTE DE TRÁNSITO 
4. EJECUTAR LA MATRICULACIÓN VEHICULAR EN LA EMPRESA MOVILIDAD MACHALA, TRASLADANDO LOS VEHÍCULOS PARA SER REVISADOS TÉCNICAMENTE</t>
  </si>
  <si>
    <t>1. FORMULARIOS Y HABILITANTES DEL PROCESO DE ADQUISICIÓN DE RENOVACIÓN DE LAS PÓLIZAS DE SEGURO DE LOS VEHÍCULOS OFICIALES
2. PÓLIZA RAMO VEHÍCULOS CON PLAZO DE 365 DÍAS</t>
  </si>
  <si>
    <t>PROCESO DEL ÁREA DE TRANSPORTE</t>
  </si>
  <si>
    <t>Seguro para vehículos institucionales</t>
  </si>
  <si>
    <t>Para cubrir el saldo del seguro de bienes institucionales</t>
  </si>
  <si>
    <t>Matrícula de vehículos institucionales</t>
  </si>
  <si>
    <t>Reembolsos por peajes, tasas de parqueo y otros permisos</t>
  </si>
  <si>
    <t>Permisos de construcción del CRAI</t>
  </si>
  <si>
    <t>GESTIONAR PROYECTOS DE INVERSIÓN PARA LA CONSTRUCCIÓN DE OBRAS PARA LA MEJORA CONTINUA DE LA INFRAESTRUCTURA DE LA INSTITUCIÓN</t>
  </si>
  <si>
    <t>14. PROYECTOS DE INVERSIÓN PARA LA CONSTRUCCIÓN DE OBRAS PARA LA MEJORA CONTINUA DE LA INFRAESTRUCTURA DE LA INSTITUCIÓN. GESTIONADOS</t>
  </si>
  <si>
    <t>GESTIONAR PROCESOS   DE   FISCALIZACIÓN   DE   LAS   OBRAS   DE   INFRAESTRUCTURA INSTITUCIONALES</t>
  </si>
  <si>
    <t>15. PROCESOS   DE   FISCALIZACIÓN   DE   LAS   OBRAS   DE   INFRAESTRUCTURA INSTITUCIONALES, GESTIONADOS</t>
  </si>
  <si>
    <t>GESTIONAR ESTUDIOS TÉCNICOS PARA LA CONSTRUCCIÓN DE OBRAS Y/O ADECUACIÓN DE INFRAESTRUCTURA.</t>
  </si>
  <si>
    <t>16. ESTUDIOS TÉCNICOS PARA LA CONSTRUCCIÓN DE OBRAS Y/O ADECUACIÓN DE INFRAESTRUCTURA, GESTIONADOS</t>
  </si>
  <si>
    <t>ENTREGA OPORTUNA DE LA PLANIFICACIÓN OPERATIVA ANUAL Y EVALUACIÓN DE LA PLANIFICACIÓN OPERATIVA ANUAL</t>
  </si>
  <si>
    <t>17. PLANIFICACIÓN OPERATIVA ANUAL Y EVALUACIÓN DE LA PLANIFICACIÓN OPERATIVA ANUAL ENTREGADAS OPORTUNAMENTE</t>
  </si>
  <si>
    <t>NRO. PLANIFICACIONES OPERATIVAS ANUALES Y EVALUACIONES DEL POA ENTREGAS</t>
  </si>
  <si>
    <t>1. ELABORAR EL POA-PAC CONJUNTAMENTE CON LOS SUPERVISORES ADSCRITOS A LA DIRECCIÓN ADMINISTRATIVA
1. EVALUAR EL POA-PAC CONJUNTAMENTE CON LOS SUPERVISORES ADSCRITOS A LA DIRECCIÓN ADMINISTRATIVA PRIMER AL TERCER CUATRIMESTRE</t>
  </si>
  <si>
    <t>1. POA ENTREGADO 2024
2. EVALUACIÓN DEL POA-PAC PRIMER, SEGUNDO Y TERCER CUATRIMESTRE 2023</t>
  </si>
  <si>
    <t>* ROBERTO CÓRDOVA ROMERO, DIRECTOR ADMINISTRATIVO
* ING. LEONARDO BOWEN BRIONES, ANALISTA GESTIÒN DIRECCIÒN ADMINISTRATIVA
ING. DIEGO PESANTEZ OCHOA, ANALISTA DIRECCIÓN ADMINISTRATIVA</t>
  </si>
  <si>
    <t>PROCESOS DE PASAJES Y VIÁTICOS DE LA UTMACH</t>
  </si>
  <si>
    <t>Pasajes al interior</t>
  </si>
  <si>
    <t>ORGANIZAR EL ARCHIVO DE GESTIÓN</t>
  </si>
  <si>
    <t>18. ARCHIVO DE GESTIÓN ORGANIZADO</t>
  </si>
  <si>
    <t xml:space="preserve">NÚMERO DE PROCESOS ARCHIVADOS EN DIGITAL </t>
  </si>
  <si>
    <t>1.- ARCHIVAR EXPEDIENTE DE PROCESOS EN FORMATO DIGITAL</t>
  </si>
  <si>
    <t>1.- MATRIZ DE OFICIOS DESPACHADOS DE LA DIRECCIÓN ADMINISTRATIVA DIGITALMENTE</t>
  </si>
  <si>
    <t>* JUAN CARLOS MERINO GAONA, ANALISTA DIRECCIÓN ADMINISTRATIVA
* DIEGO PESANTEZ OCHOA, ANALISTA DIRECCIÓN ADMINISTRATIVA
*LEONARDO BOWEN BRIONES, ANALISTA DIRECCIÓN ADMINISTRATIVA</t>
  </si>
  <si>
    <t>ARCHIVOS DIGITALES A PARTIR DEL AÑO 2020</t>
  </si>
  <si>
    <t>TOTAL PRESUPUESTO ESTIMATIVO DIRECCIÓN ADMINISTRATIVA 2023:</t>
  </si>
  <si>
    <t>UNIDAD DE COMPRAS PÚBLICAS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</si>
  <si>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Registrar del Plan Anual de Contrataciones en el Portal del Órgano Rector de la Contratación Pública.</t>
    </r>
  </si>
  <si>
    <t>Plan Anual de Contrataciones registrado en el Portal del Órgano Rector de la Contratación Pública.</t>
  </si>
  <si>
    <t>Nro. del Plan Anual de Contratación en el portal del SERCOP de acuerdo a lo recibido</t>
  </si>
  <si>
    <t>1.- Receptar el plan anual de contratación autorizado por Dirección Administrativa
2.- Unificar el Plan anual de contratación por grupo, fuente, partida, Ítem.</t>
  </si>
  <si>
    <t>1.- Plan Anual de contratación publicado en el Portal del SERCOP</t>
  </si>
  <si>
    <t>* Ing. Fausto Figueroa,
  Jefe de Compras Públicas
* Ing.Thayana Juárez Núñez,
  Analista de Compras Públicas</t>
  </si>
  <si>
    <t>Disco duro externo 3 TB</t>
  </si>
  <si>
    <r>
      <rPr>
        <sz val="10"/>
        <color theme="1"/>
        <rFont val="Arial Narrow"/>
        <family val="2"/>
      </rPr>
      <t>2.- Revisar y publicar los Procesos de Contratación Pública en el Portal del Órgano Rector de la Contratación Pública.</t>
    </r>
    <r>
      <rPr>
        <sz val="10"/>
        <color theme="1"/>
        <rFont val="Arial Narrow"/>
        <family val="2"/>
      </rPr>
      <t>s.</t>
    </r>
  </si>
  <si>
    <t>Procesos de Contratación Pública revisados y publicados en el Portal del Órgano Rector de la Contratación Pública.</t>
  </si>
  <si>
    <t>Nro. de requerimiento ejecutados de acuerdo al pac</t>
  </si>
  <si>
    <t>1.- Receptar requerimientos de adquisiciones bienes/servicios.
2.- Verificar la documentación y constatar si es procedente.
3.- Realizar la verificación del tipo de proceso  según el caso.
4.- Solicitar disponibilidad Presupuestaria al área Financiera.
5.- Ejecutar la compra de Bienes/servicios.</t>
  </si>
  <si>
    <t>3.- Oficios autorizados por la Máxima Autoridad
4.- Certificación Presupuestaria
5.- Órdenes de compras, ordenes de trabajo</t>
  </si>
  <si>
    <t>* Ing. Fausto Figueroa,
  Jefe de Compras Públicas
* Janeth Granda Eras
Analista Administrativo
* Ing. Tatiana Vanegas Jimenez,
Analista de Compras Públicas
Ing. Mabel Armijos León 
Analista de Compras Públicas
* Ing.Thayana Juárez Núñez,
  Analista de Compras Públicas</t>
  </si>
  <si>
    <t>3.- Supervisar la ejecución del Plan Anual de Compras.</t>
  </si>
  <si>
    <t>Plan Anual de Compras supervisado.</t>
  </si>
  <si>
    <t xml:space="preserve">Nro. de procesos adjudicados </t>
  </si>
  <si>
    <t xml:space="preserve">1.- Elaborar reporte de todos los procesos de contratación pública </t>
  </si>
  <si>
    <t>1. Procesos adjudicados y que hayan sido pagados</t>
  </si>
  <si>
    <t>Ing. Fausto Figueroa,
  Jefe de Compras Públicas
* Ing. Mabel Armijos,
  Analista de Compras
* Ing. Tatiana Vanegas,
Ing.Thayana Juárez Núñez,
  Analista de Compras Públicas
  Analista de Compras
* Srta. Janeth Granda Eras
Analista Administrativa</t>
  </si>
  <si>
    <t>4.- Emitir las directrices para el cumplimiento del Plan Anual de Contratación.</t>
  </si>
  <si>
    <t>Directrices para el cumplimiento del Plan Anual de Contratación emitidas.</t>
  </si>
  <si>
    <t>Nro. de formularios actualizados de acuerdo a la normativa vigente del sercop para un mejor desarrollo del Plan Anual de Contratación</t>
  </si>
  <si>
    <t xml:space="preserve">1. Elaborar formularios para las adquisiciones de compras </t>
  </si>
  <si>
    <t xml:space="preserve">1. Requerimientos solicitados por las diferentes Unidades Administrativas y Facultades de la Utmach. </t>
  </si>
  <si>
    <t>*Ing. Fausto Figueroa,
  Jefe de Compras Públicas
* Ing. Mabel Armijos,
  Analista de Compras
* Ing. Tatiana Vanegas,
Ing.Thayana Juarez Núñez,
  Analista de Compras Públicas
  Analista de Compras</t>
  </si>
  <si>
    <r>
      <rPr>
        <b/>
        <sz val="10"/>
        <color theme="1"/>
        <rFont val="Arial Narrow"/>
        <family val="2"/>
      </rPr>
      <t>5.-</t>
    </r>
    <r>
      <rPr>
        <sz val="10"/>
        <color theme="1"/>
        <rFont val="Arial Narrow"/>
        <family val="2"/>
      </rPr>
      <t xml:space="preserve"> Entregar la Planificación  Operativa Anual y Evaluación de la Planificación Operativa Anual.</t>
    </r>
  </si>
  <si>
    <t>N° de Planificaciones y Evaluaciones del POA entregadas oportunamente</t>
  </si>
  <si>
    <t>1.- Mejorar y detallar cada una de las actividades para elaborar los POAS 2023 y POA 2024 y las Evaluaciones del POA 2023 (3er cuatrimestre</t>
  </si>
  <si>
    <t xml:space="preserve">1.- POA 2024
2.- Evaluación anual  del 3er cuatrimestre del POA 2023.
</t>
  </si>
  <si>
    <t>* Ing. Fausto Figueroa Samaniego
Jefe de Compras Públicas
* Ing. Tatiana Vanegas Jiménez
Analista de Compra Públicas</t>
  </si>
  <si>
    <r>
      <rPr>
        <b/>
        <sz val="10"/>
        <color theme="1"/>
        <rFont val="Arial Narrow"/>
        <family val="2"/>
      </rPr>
      <t>6</t>
    </r>
    <r>
      <rPr>
        <sz val="10"/>
        <color theme="1"/>
        <rFont val="Arial Narrow"/>
        <family val="2"/>
      </rPr>
      <t>.- Organizar el Archivo de Gestión.</t>
    </r>
  </si>
  <si>
    <t xml:space="preserve">1.- Archivar y ordenar los procesos de contratación pública por código en forma digital  </t>
  </si>
  <si>
    <t xml:space="preserve">1.- Procesos archivados y almacenados digitalmente. </t>
  </si>
  <si>
    <t>* Srta. Janeth Granda Eras
Analista administrativa</t>
  </si>
  <si>
    <t>TOTAL PRESUPUESTO ESTIMATIVO UNIDAD DE COMPRAS PÚBLICAS 2023:</t>
  </si>
  <si>
    <t>UNIDAD DE BIENES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</si>
  <si>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Realizar el Ingreso de Bienes.</t>
    </r>
  </si>
  <si>
    <t>Bienes Ingresados.</t>
  </si>
  <si>
    <t>N° de ingresos de bienes</t>
  </si>
  <si>
    <t xml:space="preserve">1. Realizar la recepción y verificación de especificaciones de bienes de larga duración o de bienes sujetos a control administrativo.
2. Realizar la recepción y verificación de especificaciones de inventarios. 
3. Realizar el ingreso de los bienes en el sistema de bienes.
4. Realizar la codificación de los bienes con el código generado en el sistema de bienes. 
5. Elaborar órdenes de ingreso para registrar la adquisición de inventarios. </t>
  </si>
  <si>
    <t xml:space="preserve"> - Actas de Recepción de Bienes en Bodega.
 - Órdenes de Ingreso de Bienes de Inventario (Consumo Corriente).
 - Actas de Ingreso de bienes de larga duración y control administrativo- Sistema ESBYE.
 - Bienes adquiridos etiquetados con el codigo generado en el Sistema de Bienes.</t>
  </si>
  <si>
    <t>ING. JANNINA CHALA SALDARRIAGA, Jefa de Unidad de Bienes;
ING. FERNANDO SÁNCHEZ ALVARADO, Analista de Bienes;
ING. JOHNNY AGUILERA, Analista de Bienes;
ING. JONATHAN ARMIJOS ARROBO, Auxiliar Administrativo,
ING. MARTHA ZHIMINAYCELA PACHECO, Auxiliar de Servicios; SR. JORGE LANDÍN ZAPATA, Auxiliar de Bodega.</t>
  </si>
  <si>
    <r>
      <rPr>
        <b/>
        <sz val="10"/>
        <color theme="1"/>
        <rFont val="Arial Narrow"/>
        <family val="2"/>
      </rPr>
      <t>2.-</t>
    </r>
    <r>
      <rPr>
        <sz val="10"/>
        <color theme="1"/>
        <rFont val="Arial Narrow"/>
        <family val="2"/>
      </rPr>
      <t xml:space="preserve"> Realizar la Asignación de bienes.</t>
    </r>
  </si>
  <si>
    <t>Bienes adquiridos asignados a los Administradores de Bienes o Custodios Administrativos.</t>
  </si>
  <si>
    <t>Nº de bienes asignados y entregados a los usuarios finales</t>
  </si>
  <si>
    <t>1. Realizar la asignación y entrega de los de bienes a los custodios según el expediente de compra.
2. Realizar la reasignación de bienes a los custodios según solicitudes recibidas y autorizadas.
3. Realizar la asignación y entrega de inventarios(existencias) a los custodios según el expediente de compra.</t>
  </si>
  <si>
    <t xml:space="preserve"> - Actas de asignación-reasignación y por traspaso masivo firmadas por los usuarios finales o custodios administrativos.
 - Reporte de bienes muebles ingresados y asignados en el año 2022.
- Documentos de entrega de inventarios firmados por los usuarios finales o custodios administrativos.</t>
  </si>
  <si>
    <r>
      <rPr>
        <b/>
        <sz val="10"/>
        <color theme="1"/>
        <rFont val="Arial Narrow"/>
        <family val="2"/>
      </rPr>
      <t>3.-</t>
    </r>
    <r>
      <rPr>
        <b/>
        <sz val="10"/>
        <color theme="1"/>
        <rFont val="Arial Narrow"/>
        <family val="2"/>
      </rPr>
      <t xml:space="preserve"> </t>
    </r>
    <r>
      <rPr>
        <sz val="10"/>
        <color theme="1"/>
        <rFont val="Arial Narrow"/>
        <family val="2"/>
      </rPr>
      <t>Proporcionar documentos de propiedad de los bienes.</t>
    </r>
  </si>
  <si>
    <t>Documentos de propiedad de los bienes proporcionados.</t>
  </si>
  <si>
    <t>Nº de peticiones de entrega de información de bienes atendidas</t>
  </si>
  <si>
    <t>1. Efectuar la entrega de los documentos de propiedad solicitados</t>
  </si>
  <si>
    <t xml:space="preserve"> - Oficio con anexos</t>
  </si>
  <si>
    <t>OBSERVACIÓN:
Este producto es habilitado por otras dependencias, por lo que no es posible  establecer meta.</t>
  </si>
  <si>
    <r>
      <rPr>
        <b/>
        <sz val="10"/>
        <color theme="1"/>
        <rFont val="Arial Narrow"/>
        <family val="2"/>
      </rPr>
      <t>4.-</t>
    </r>
    <r>
      <rPr>
        <sz val="10"/>
        <color theme="1"/>
        <rFont val="Arial Narrow"/>
        <family val="2"/>
      </rPr>
      <t xml:space="preserve"> Gestionar la aplicación de garantías de bienes de larga duración o bienes sujetos a control administrativo.</t>
    </r>
  </si>
  <si>
    <t>Garantías técnicas de bienes muebles aplicadas.</t>
  </si>
  <si>
    <t>N° de garantías de bienes de larga duración o sujetos a control administrativo gestionadas</t>
  </si>
  <si>
    <t xml:space="preserve">1. Realizar la recepción del bien e informes requeridos para aplicar garantía. 
2. Coordinar con el proveedor la aplicación de la garantía. 
3. Comunicar al custodio o usuario final el resultado de la aplicación de la garantía y entregar el bien.
</t>
  </si>
  <si>
    <t xml:space="preserve"> -  Constancia de entrega del bien al proveedor o servicio técnico autorizado para aplicación de garantía.
 - Oficio de comunicación de resultados al usario final o custodio del bien.</t>
  </si>
  <si>
    <r>
      <rPr>
        <b/>
        <sz val="10"/>
        <color theme="1"/>
        <rFont val="Arial Narrow"/>
        <family val="2"/>
      </rPr>
      <t>5.-</t>
    </r>
    <r>
      <rPr>
        <sz val="10"/>
        <color theme="1"/>
        <rFont val="Arial Narrow"/>
        <family val="2"/>
      </rPr>
      <t xml:space="preserve"> Realizar la emisión de reportes de bienes.</t>
    </r>
  </si>
  <si>
    <t>Reportes de bienes entregados.</t>
  </si>
  <si>
    <t>Nº de reportes de bienes entregados a los usuarios finales</t>
  </si>
  <si>
    <t xml:space="preserve">1. Realizar la emisión de reportes del sistema de bienes. 
2. Realizar la verificación de documentos de entrega de bienes e inventarios. 
3. Elaborar reporte de bienes e inventarios entregados. </t>
  </si>
  <si>
    <t xml:space="preserve"> - Reportes de bienes entregados a los usuarios finales.</t>
  </si>
  <si>
    <t>COMPUTADOR TODO EN UNO</t>
  </si>
  <si>
    <t>IMPRESORA A TINTA MODELO 05</t>
  </si>
  <si>
    <t>SILLONES</t>
  </si>
  <si>
    <r>
      <rPr>
        <b/>
        <sz val="10"/>
        <color theme="1"/>
        <rFont val="Arial Narrow"/>
        <family val="2"/>
      </rPr>
      <t>6.-</t>
    </r>
    <r>
      <rPr>
        <sz val="10"/>
        <color theme="1"/>
        <rFont val="Arial Narrow"/>
        <family val="2"/>
      </rPr>
      <t xml:space="preserve"> </t>
    </r>
    <r>
      <rPr>
        <sz val="10"/>
        <color theme="1"/>
        <rFont val="Arial Narrow"/>
        <family val="2"/>
      </rPr>
      <t>Emitir</t>
    </r>
    <r>
      <rPr>
        <sz val="10"/>
        <color rgb="FFFF0000"/>
        <rFont val="Arial Narrow"/>
        <family val="2"/>
      </rPr>
      <t xml:space="preserve"> </t>
    </r>
    <r>
      <rPr>
        <sz val="10"/>
        <color theme="1"/>
        <rFont val="Arial Narrow"/>
        <family val="2"/>
      </rPr>
      <t>inventarios de existencias de suministros y materiales (o equivalentes).</t>
    </r>
  </si>
  <si>
    <t>Inventario de bienes actualizado.</t>
  </si>
  <si>
    <t>Nº de inventarios de inventarios de existencias de suministros y materiales actualizado</t>
  </si>
  <si>
    <t xml:space="preserve">1. Realizar la emisión de reportes del sistema de bienes. 
2. Realizar la verificación de documentos de entrega de bienes e inventarios. 
3. Elaborar reporte de bienes e inventarios entregados.  
</t>
  </si>
  <si>
    <t xml:space="preserve"> - Reportes de inventarios de existencias de suministros y materiales emitidos.</t>
  </si>
  <si>
    <r>
      <rPr>
        <b/>
        <sz val="10"/>
        <color theme="1"/>
        <rFont val="Arial Narrow"/>
        <family val="2"/>
      </rPr>
      <t>7.-</t>
    </r>
    <r>
      <rPr>
        <sz val="10"/>
        <color theme="1"/>
        <rFont val="Arial Narrow"/>
        <family val="2"/>
      </rPr>
      <t xml:space="preserve"> </t>
    </r>
    <r>
      <rPr>
        <sz val="10"/>
        <color theme="1"/>
        <rFont val="Arial Narrow"/>
        <family val="2"/>
      </rPr>
      <t>Entregar</t>
    </r>
    <r>
      <rPr>
        <sz val="10"/>
        <color rgb="FFFF0000"/>
        <rFont val="Arial Narrow"/>
        <family val="2"/>
      </rPr>
      <t xml:space="preserve"> </t>
    </r>
    <r>
      <rPr>
        <sz val="10"/>
        <color theme="1"/>
        <rFont val="Arial Narrow"/>
        <family val="2"/>
      </rPr>
      <t>existencias de suministros y materiales (o equivalentes).</t>
    </r>
  </si>
  <si>
    <t>Levantamiento de información para el registro del gasto de las existencias de la Institución, coordinado.</t>
  </si>
  <si>
    <t>Nº de procesos de levantamiento de información para el registro del gasto de las existencias de la Institución, coordinado.</t>
  </si>
  <si>
    <t xml:space="preserve">1. Solicitar reporte de entregas de bienes de inventario a administradores de bienes y custodios administrativos. 
2. Realizar reporte de inventarios entregados.  
3. Efectuar la emisión del informe de entregas de inventarios para registro de gasto. 
</t>
  </si>
  <si>
    <t xml:space="preserve"> - Informes para registro de consumo de existencias.</t>
  </si>
  <si>
    <r>
      <rPr>
        <b/>
        <sz val="10"/>
        <color theme="1"/>
        <rFont val="Arial Narrow"/>
        <family val="2"/>
      </rPr>
      <t>8.-</t>
    </r>
    <r>
      <rPr>
        <sz val="10"/>
        <color theme="1"/>
        <rFont val="Arial Narrow"/>
        <family val="2"/>
      </rPr>
      <t xml:space="preserve"> Entregar la Planificación Operativa Anual y Evaluación de la Planificación Operativa Anual.</t>
    </r>
  </si>
  <si>
    <t>N° de Planificaciones Operativas Anuales y Evaluaciones de la Planificación Operativa Anual entregadas.</t>
  </si>
  <si>
    <t xml:space="preserve">1. Realizar las planificaciones de las actividades operativas anuales para la unidad de bienes. 
2. Evaluar el cumplimiento de las planificaciones operativas anuales. 
</t>
  </si>
  <si>
    <t>ING. JANNINA CHALA SALDARRIAGA, Jefa de Unidad de Bienes;
ING. FERNANDO SÁNCHEZ ALVARADO, Analista de Bienes.</t>
  </si>
  <si>
    <r>
      <rPr>
        <b/>
        <sz val="10"/>
        <color theme="1"/>
        <rFont val="Arial Narrow"/>
        <family val="2"/>
      </rPr>
      <t>9.-</t>
    </r>
    <r>
      <rPr>
        <sz val="10"/>
        <color theme="1"/>
        <rFont val="Arial Narrow"/>
        <family val="2"/>
      </rPr>
      <t xml:space="preserve"> Organizar el Archivo de Gestión.</t>
    </r>
  </si>
  <si>
    <t>N° de Archivos de gestión organizados del año 2022 en el inventario documental</t>
  </si>
  <si>
    <t>1. Efectuar la organización del archivo de la unidad de bienes según las directrices de la unidad de archivo. 
2. Efectuar la elaboración del informe del archivo de gestión organizado de la unidad de biene.s</t>
  </si>
  <si>
    <t xml:space="preserve"> - Formulario de Inventario Documental - UNIDAD DE BIENES.</t>
  </si>
  <si>
    <t>ING. JANNINA CHALA SALDARRIAGA, Jefa de Unidad de Bienes;
ING. JONATHAN ARMIJOS ARROBO, Auxiliar Administrativo.</t>
  </si>
  <si>
    <t>TOTAL PRESUPUESTO ESTIMATIVO UNIDAD DE BIENES 2023:</t>
  </si>
  <si>
    <t>UNIDAD DE CONTROL DE BIENES</t>
  </si>
  <si>
    <t>METAS OPERATIVAS
1.- Realizar la constatación de los Bienes Institucionales.</t>
  </si>
  <si>
    <t>Bienes Institucionales constatados.</t>
  </si>
  <si>
    <t>Nro de Actas de Constataciones Físicas de Bienes elaboradas y aprobadas</t>
  </si>
  <si>
    <t>Constatación física de bienes por petición de usuarios finales o custodios administrativos:
1.- Recibir la solicitud de constatación física de bienes.
2.- Solicitar a la Unidad de Bienes los listados de bienes.
3.- Coordinar la constatación física de los bienes 
4.- Realizar la constatación física de los bienes.
5.- Elaborar Acta de Constatación física.
6.- Realizar la entrega del acta de Constatación Física al usuario final o custodio administrativo con todas las firmas requeridas.
Informe de Constatación física de bienes anual:
1.- Solicitar a la unidad de bienes el reporte de todos los bienes muebles e inmuebles institucionales y el reporte de bienes de inventario que han sido entregados.
2. - Coordinar las constataciones físicas de bienes e inventarios.
3.- Consolidar la información de las constataciones realizadas
4.- Revisar y verificar las entregas hechas por los administradores de bienes con el reporte de inventarios de la unidad de bienes.
5.- Depurar la información de lo constatado y lo devuelto a la unidad.
6.- Elaborar informe de constatación física de bienes.</t>
  </si>
  <si>
    <t>Actas de Constatación Física de Bienes</t>
  </si>
  <si>
    <t>Samuel Leonidas Valdiviezo Toledo
Jefe de Control de Bienes
Diego Fernando Cruz Alvarado
Analista de Control de Bienes
Mario Lenon Beltrán Apolo
Analista de Control de Bienes
Cristian Javier Salinas Chica
Auxiliar de Bodega</t>
  </si>
  <si>
    <t>KIT ETIQUETADORA PORTATIL 
(Impresora+Maleta De 
Transporte+Bateria+Adaptador)_x000D_</t>
  </si>
  <si>
    <t>2.- Autorizar la salida de Bienes Institucionales.</t>
  </si>
  <si>
    <t>Salidas de Bienes Institucionales autorizados.</t>
  </si>
  <si>
    <t>Nro de Autorizaciones de Bienes Institucionales Elaborados.</t>
  </si>
  <si>
    <t>1.- Recibir oficio solicitando se autorice la salida de un bien ya sea para ser reparado en talleres particulares. 
2.- Constatar la información del bien.
3.- Elaborar el formulario de autorización de salida del bien.
4.- Recibir la notificación del retorno del bien.
5.- Constatar físicamente los bienes.</t>
  </si>
  <si>
    <t>Formulario de Autorización de Salida de Bienes</t>
  </si>
  <si>
    <t>Samuel Leonidas Valdiviezo Toledo
Jefe de Control de Bienes
Diego Fernando Cruz Alvarado
Analista de Control de Bienes
Mario Lenon Beltrán Apolo
Analista de Control de Bienes</t>
  </si>
  <si>
    <t>3.- Realizar la recepción de los Bienes devueltos por los usuarios.</t>
  </si>
  <si>
    <t>Devoluciones de Bienes receptadas.</t>
  </si>
  <si>
    <t>Nro de Actas de Devolución de Bienes Receptadas.</t>
  </si>
  <si>
    <t>1.- Recibir petición de devolución de bienes.
2.- Elaborar Acta de Devolución de Bienes.
3.- Realizar la entrega del acta de devolución de bienes.</t>
  </si>
  <si>
    <t>Actas de Devolución de Bienes</t>
  </si>
  <si>
    <t>MONTACARGA DE ALTURA HIDRÁULICO MANUAL</t>
  </si>
  <si>
    <t xml:space="preserve">	369209011</t>
  </si>
  <si>
    <t>ROLLO PLASTICO STRETCH DE 38 CENTÍMETROS DE 3 KILOGRAMOS</t>
  </si>
  <si>
    <t>ROLLO</t>
  </si>
  <si>
    <t>4.- Realizar la enajenación de bienes inservibles, obsoletos o que han dejado de tener utilidad.</t>
  </si>
  <si>
    <t>Bienes inservibles, obsoletos o que han dejado de tener utilidad enajenados.</t>
  </si>
  <si>
    <t>Nro de Reportes de Bienes Inservibles, Obsoletos o que han dejado de tener utilidad enviados.</t>
  </si>
  <si>
    <t>1.- Consolidar información de las actas de devolución de bienes.
2- Elaborar reporte de bienes a ser enajenados.
3.- Remitir a la Dirección Administrativa el Reporte de bienes inservibles, obsoletos o que han dejado de tener utilidad a ser enajenados</t>
  </si>
  <si>
    <t>Reporte de bienes inservibles, obsoletos o que han dejado de tener utilidad a ser enajenados</t>
  </si>
  <si>
    <t xml:space="preserve">Samuel Leonidas Valdiviezo Toledo
Jefe de Control de Bienes
Diego Fernando Cruz Alvarado
Analista de Control de Bienes
Mario Lenon Beltrán Apolo
Analista de Control de Bienes
Cristian Javier Salinas Chica
Auxiliar de Bodega  </t>
  </si>
  <si>
    <t>5.- Elaborar el reporte de los bienes a ser asegurados en base a las directrices emitidas por la Dirección Administrativa.</t>
  </si>
  <si>
    <t>Información emitida para el aseguramiento de bienes.</t>
  </si>
  <si>
    <t>Nro de Reportes de Bienes Muebles e Inmuebles a ser asegurados enviados</t>
  </si>
  <si>
    <t>1.- Solicitar reporte de bienes muebles e inmuebles a la Unidad de Bienes.
2.- Depurar la información de acuerdo a la directrices emitidas por la Dirección Administrativa.
3.- Elaborar el reporte de Bienes muebles e inmuebles.
4.- Remitir a la Dirección Administrativa el Reporte de Bienes Muebles e Inmuebles a ser Asegurados</t>
  </si>
  <si>
    <t>Reporte de Bienes muebles e Inmuebles a ser asegurados.</t>
  </si>
  <si>
    <t>6.- Elaborar informes técnicos de las constataciones físicas realizadas.</t>
  </si>
  <si>
    <t>Informes técnicos elaborados.</t>
  </si>
  <si>
    <t>Nro de Informes Técnicos enviados.</t>
  </si>
  <si>
    <t>1.- Elaborar Informe Técnico de acuerdo a las Actas de Constatación Física de Bienes.
2.- Enviar Informe Técnico a la Dirección Administrativa.</t>
  </si>
  <si>
    <t>Informes Técnicos De Constataciones Físicas de Bienes Institucionales</t>
  </si>
  <si>
    <t>7.- Remitir a la Dirección Administrativa las actas de constatación física de bienes inventarios y actas de enajenación de bienes.</t>
  </si>
  <si>
    <t>Conciliación permanente de las cuentas de inventario de los bienes y existencias de la Institución, coordinada.</t>
  </si>
  <si>
    <t>Nro de Acta de constatación Física de Inventarios enviada y Reporte de bienes inservibles, obsoletos o que han dejado de tener utilidad a ser enajenados enviado</t>
  </si>
  <si>
    <t>1.- Remitir a la Dirección Administrativa el Acta de Constatación Física Anual de Inventarios.
2.- Remitir a la Dirección Administrativa el Reporte de bienes inservibles, obsoletos o que han dejado de tener utilidad a ser enajenados</t>
  </si>
  <si>
    <t>Actas de Constatación Física de Bienes Inventarios.
Reporte de bienes inservibles, obsoletos o que han dejado de tener utilidad a ser enajenados.</t>
  </si>
  <si>
    <t>8.- Entregar la Planificación Operativa Anual y Evaluación de la Planificación Operativa Anual.</t>
  </si>
  <si>
    <t>Nro de Planificaciones Operativas Anuales y Evaluaciones de la Planificación Operativa Anual enviados Oportunamente</t>
  </si>
  <si>
    <t>1.- Revisar las actividades que se realizarán.
2.- Elaborar las Planificaciones Operativas Anuales y las Evaluaciones de la Planificaciones Operativas Anuales</t>
  </si>
  <si>
    <t>Samuel Leonidas Valdiviezo Toledo
Jefe de Control de Bienes</t>
  </si>
  <si>
    <t>9.- Organizar el Archivo de Gestión.</t>
  </si>
  <si>
    <t>Nro de Inventario Documental del año 2021 elaborado</t>
  </si>
  <si>
    <t>1.- Clasificar documentos
2.- Organizar el archivo según las directrices de la Unidad de Archivo General</t>
  </si>
  <si>
    <t>Inventario Documental del Archivo de Gestión</t>
  </si>
  <si>
    <t xml:space="preserve">Diego Fernando Cruz Alvarado
Analista de Control de Bienes
Cristian Javier Salinas Chica
Auxiliar de Bodega  </t>
  </si>
  <si>
    <t>TOTAL PRESUPUESTO ESTIMATIVO UNIDAD CONTROL DE BIENES 2023:</t>
  </si>
  <si>
    <t>UNIDAD DE OBRAS E INFRAESTRUCTURA UNIVERSITARIA</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</si>
  <si>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Efectuar el control de ejecución de obras contratadas.</t>
    </r>
  </si>
  <si>
    <t>Control de la ejecución de las obras contratadas conjuntamente con
supervisores, contratistas, administradores de contrato y representantes del
espacio universitario beneficiado, efectuado.</t>
  </si>
  <si>
    <t>Informe técnico de ejecución de obras contratadas.</t>
  </si>
  <si>
    <t>*Verificar necesidades presentadas en la Unidad.
* Inspeccionar los espacios físicos de la institución
* Inspeccionar el lugar de la obra
* Verificar la ejecución de la obra
* Medir la obra ejecutada
* Controlar el cumplimiento de avance del cronograma de obra
* Controlar el cumplimiento de especificaciones técnicas
* Revisar las planillas de obra
*Elaborar informe de fiscalización de obra
* Elaborar  reportes de trabajos de mantenimiento.
*Administrar contratos de ejecución de obras.</t>
  </si>
  <si>
    <t>* Oficios de solicitud de intervención por necesidades.
* Resolución Administrativas
* Informes mensuales de ejecución de obras.
*Informes de fiscalización.
*informes de administrador de contrato.</t>
  </si>
  <si>
    <t>* Ing. Marco Carrión Limones, Jefe de Infraestructura Física y Fiscalización
* Ing. Martín Sarmiento Sánchez, Supervisor de Mantenimiento General
*Ing. Amado del Pezo González, Ingeniero Civil.</t>
  </si>
  <si>
    <t>DPLAN: Conforme la reunión de coordinación durante el seguimiento operativo y presupuestario, se acordó que la Unidad generará un proceso de adecuaciones de baterías sanitarias de las facultades y edificios y otras adecuaciones, con un total de $50.000,00, por lo que se realiza el aumento de $8.193,94, con lo que se debe atender el pedido de la FCE (UTMACH-FCE-D-2023-0788-M) y la Dirección de Planificación.</t>
  </si>
  <si>
    <t>Mantenimiento y adecuaciones de la infraestructura de la IES</t>
  </si>
  <si>
    <t>Mantenimiento y adecuación de la infraestructura sanitaria y de otro tipo en diferentes edificios administrativos y de facultades</t>
  </si>
  <si>
    <r>
      <rPr>
        <b/>
        <sz val="10"/>
        <color theme="1"/>
        <rFont val="Arial Narrow"/>
        <family val="2"/>
      </rPr>
      <t>2.-</t>
    </r>
    <r>
      <rPr>
        <sz val="10"/>
        <color theme="1"/>
        <rFont val="Arial Narrow"/>
        <family val="2"/>
      </rPr>
      <t xml:space="preserve"> Coordinar, diseñar y ejecutar proyectos arquitectónicos, estructurales, de instalaciones y demás relacionados con la infraestructura institucional.</t>
    </r>
  </si>
  <si>
    <t>Proyectos arquitectónicos, estructurales, de instalaciones y demás
relacionados con la infraestructura institucional, coordinado, diseñado y
ejecutado.</t>
  </si>
  <si>
    <t>Informe de avance del Plan del Desarrollo de la Infraestructura.
Número de estudios técnicos para adecuación y/o construcción, realizados.</t>
  </si>
  <si>
    <t xml:space="preserve">*Elaboración de Planos de adecuación y/o construcción de obras. 
* Presupuesto referencial y *Especificaciones técnicas de adecuación y/o construcción de obras. </t>
  </si>
  <si>
    <t>* Resolución de aprobación del Plan
* Informes de implementación del plan.
*Informes técnicos.</t>
  </si>
  <si>
    <t>* Ing. Marco Carrión Limones, Jefe de Infraestructura Física y Fiscalización</t>
  </si>
  <si>
    <t>Varias maquinarias para áreas verdes</t>
  </si>
  <si>
    <t>009 730402</t>
  </si>
  <si>
    <t>Proyecto de Inversión: Equipamiento General para la UTMACH; contrato pendiente 2022.</t>
  </si>
  <si>
    <t>009 840104</t>
  </si>
  <si>
    <r>
      <rPr>
        <b/>
        <sz val="10"/>
        <color theme="1"/>
        <rFont val="Arial Narrow"/>
        <family val="2"/>
      </rPr>
      <t>3.-</t>
    </r>
    <r>
      <rPr>
        <sz val="10"/>
        <color theme="1"/>
        <rFont val="Arial Narrow"/>
        <family val="2"/>
      </rPr>
      <t xml:space="preserve"> Efectuar  estudios técnicos para la construcción de obras y/o adecuacion de infraestructura.</t>
    </r>
  </si>
  <si>
    <t>Estudios técnicos para la construcción de obras y/ o adecuación de
infraestructura, efectuados.</t>
  </si>
  <si>
    <t xml:space="preserve">Informes técnicos para la construcción o adecuación de la infraestructura. 
</t>
  </si>
  <si>
    <t>* Inspeccionar los espacios físicos existentes
* Verificar las necesidades de infraestructura institucional
* Elaborar los planos de nuevas construcciones
* Elaborar el presupuesto referencial de obras 
*Solicitar presupuesto para la ejecución de adecuaciones.</t>
  </si>
  <si>
    <t xml:space="preserve">* Planos de adecuación y/o construcción de obras 
* Presupuesto referencial y *Especificaciones técnicas de adecuación y/o construcción de obras. 
</t>
  </si>
  <si>
    <t xml:space="preserve">* Ing. Marco Carrión Limones, Jefe de Infraestructura Física y Fiscalización
* Ing. Amado Del Pezo González, Ingeniero Civil
</t>
  </si>
  <si>
    <t>Maquinarias y Equipos (Mantenimiento, Reparación e Instalación)</t>
  </si>
  <si>
    <t>Mantenimiento de varias maquinarias (ascensores, generador eléctrico, otros)</t>
  </si>
  <si>
    <t>Reparación y Mantenimiento de acondicionadores de aire</t>
  </si>
  <si>
    <t xml:space="preserve">Desmontaje e instalación de aires acondicionados en las facultades y unidades con edificaciones afectadas por el sismo </t>
  </si>
  <si>
    <t>Mantenimiento de varias maquinarias para trabajos de áreas verdes y escenarios deportivos</t>
  </si>
  <si>
    <t>SERVICIO DE MANTENIMIENTO PREVENTIVO Y CORRECTIVO DEL SISTEMA DE BOMBAS DE LA PLANTA DE TRATAMIENTO DE AGUAS RESIDUALES DE LA UNIVERSIDAD TÉCNICA DE MACHALA</t>
  </si>
  <si>
    <t>83 - Gestión de la Investigación</t>
  </si>
  <si>
    <t>006 730604</t>
  </si>
  <si>
    <t>Fiscalizar la construcción y acondicionamiento del edificio y exteriores del CRAI</t>
  </si>
  <si>
    <t>006 750107</t>
  </si>
  <si>
    <t>Construcciones y Edificaciones</t>
  </si>
  <si>
    <t>Construcción y acondicionamiento del edificio del CRAI y exteriores</t>
  </si>
  <si>
    <r>
      <rPr>
        <b/>
        <sz val="10"/>
        <color theme="1"/>
        <rFont val="Arial Narrow"/>
        <family val="2"/>
      </rPr>
      <t>4.-</t>
    </r>
    <r>
      <rPr>
        <sz val="10"/>
        <color theme="1"/>
        <rFont val="Arial Narrow"/>
        <family val="2"/>
      </rPr>
      <t xml:space="preserve"> Coordinar la ejecución del Plan de mantenimiento correctivo y adecuaciones menores.</t>
    </r>
  </si>
  <si>
    <t>Ejecución de la planificación de mantenimiento correctivo y adecuaciones menores, coordinado.</t>
  </si>
  <si>
    <t xml:space="preserve">Número de adecuaciones recreativas, supervisadas.
</t>
  </si>
  <si>
    <t>* Inspeccionar los espacios de la institución
* Elaborar  reportes de trabajos de mantenimiento correctivo y adecuaciones menores.</t>
  </si>
  <si>
    <t>* Resolución de aprobación del Plan de mantenimiento.
* Informes de implementación del plan de mantenimiento.</t>
  </si>
  <si>
    <t>* Ing. Marco Carrión Limones, Jefe de Infraestructura Física y Fiscalización.
* Ing. Marlo Villamar Piedra, Supervisor de Áreas Verdes</t>
  </si>
  <si>
    <t>Insumos y Materiales para murales de FCS</t>
  </si>
  <si>
    <t>Varios insumos, materiales y suministros para las actividades del personal de mantenimiento general</t>
  </si>
  <si>
    <t>Insumos y Materiales para murales</t>
  </si>
  <si>
    <t>Paquete de programas para ingenieria de costos</t>
  </si>
  <si>
    <t>Herramientas</t>
  </si>
  <si>
    <t>Herramientas varias para actividades de la institución</t>
  </si>
  <si>
    <t>proceso</t>
  </si>
  <si>
    <r>
      <rPr>
        <sz val="10"/>
        <color theme="1"/>
        <rFont val="Arial Narrow"/>
        <family val="2"/>
      </rPr>
      <t>5.-</t>
    </r>
    <r>
      <rPr>
        <sz val="10"/>
        <color theme="1"/>
        <rFont val="Arial Narrow"/>
        <family val="2"/>
      </rPr>
      <t xml:space="preserve"> Supervisar el funcionamiento adecuado de todas las áreas que conforman las instalaciones de la infraestructura institucional.</t>
    </r>
  </si>
  <si>
    <t>Funcionamiento adecuado de todas las áreas que conforman las
instalaciones de la infraestructura institucional, supervisado.</t>
  </si>
  <si>
    <t xml:space="preserve">
Número de Informes de funcionamiento adecuado de los espacios físicos de la institución.
</t>
  </si>
  <si>
    <t>*Inspección periódica de la Infraestructura.
*Elaboración de informes de funcionamiento de la infraestructura.</t>
  </si>
  <si>
    <t>*Informe de funcionamiento de la infraestructura.
*Número de adecuaciones correctivas, supervisadas</t>
  </si>
  <si>
    <t>* Ing. Marco Carrión Limones, Jefe de Infraestructura Física y Fiscalización.
* Ing. Amado Del Pezo González, Ingeniero Civil.</t>
  </si>
  <si>
    <t>Varios repuestos para las maquinarias de áreas verdes y otros</t>
  </si>
  <si>
    <t>Estudios especializados para la determinación de los efectos del sismo del 18 de marzo de 2023 en la infraestructura de la UTMACH: edificio central y salón auditorio, edificio administrativo de la FCE y bloques 5 y 4 del campus Machala.</t>
  </si>
  <si>
    <t>Estudios especializados para el diagnóstico integral del sistema eléctrico de la Universidad Técnica de Machala</t>
  </si>
  <si>
    <r>
      <rPr>
        <b/>
        <sz val="10"/>
        <color theme="1"/>
        <rFont val="Arial Narrow"/>
        <family val="2"/>
      </rPr>
      <t>6.-</t>
    </r>
    <r>
      <rPr>
        <sz val="10"/>
        <color theme="1"/>
        <rFont val="Arial Narrow"/>
        <family val="2"/>
      </rPr>
      <t xml:space="preserve"> Elaborar propuestas de procedimiento para el mantenimiento de los bienes.</t>
    </r>
  </si>
  <si>
    <t>Propuestas de procedimientos para el mantenimiento de los bienes de
la institución, elaboradas.</t>
  </si>
  <si>
    <t>Número de procedimientos para el mantenimiento de los bienes.</t>
  </si>
  <si>
    <t>*Inspección periódica de los bienes.
*Elaboración de informes de funcionamiento de los bienes.
*Elaboración de informes del mantenimiento de los bienes.</t>
  </si>
  <si>
    <t xml:space="preserve">
* Informes de mantenimiento de los bienes.</t>
  </si>
  <si>
    <t>Fondos de reposición de Caja Chica</t>
  </si>
  <si>
    <t>Caja Chica</t>
  </si>
  <si>
    <t xml:space="preserve">Edificios, Locales, Residencias y Cableado Estructurado 
(Instalación, Mantenimiento y Reparación) </t>
  </si>
  <si>
    <t>Maquinarias y Equipos (Instalación, Mantenimiento y 
Reparación)</t>
  </si>
  <si>
    <t>Herramientas (Mantenimiento y Reparación)</t>
  </si>
  <si>
    <t>Insumos, Materiales y Suministros para 
Construcción, Electricidad, Plomería, Carpintería, 
Señalización Vial, Navegación, Contra Incendios y 
Placas</t>
  </si>
  <si>
    <t>Accesorios e Insumos Químicos y Orgánicos</t>
  </si>
  <si>
    <t>Tasas Generales, Impuestos, Contribuciones, 
Permisos, Licencias y Patentes</t>
  </si>
  <si>
    <t>Costas Judiciales, Trámites Notariales, Legalización 
de Documentos y Arreglos Extrajudiciales</t>
  </si>
  <si>
    <t>Mantenimiento y Reparación de Equipos y Sistemas 
Informáticos</t>
  </si>
  <si>
    <r>
      <rPr>
        <b/>
        <sz val="10"/>
        <color theme="1"/>
        <rFont val="Arial Narrow"/>
        <family val="2"/>
      </rPr>
      <t>7.-</t>
    </r>
    <r>
      <rPr>
        <sz val="10"/>
        <color theme="1"/>
        <rFont val="Arial Narrow"/>
        <family val="2"/>
      </rPr>
      <t xml:space="preserve"> Coordinar la elaboración de instrumentos de distribucion del personal para la ejecucion de los trabajos relacionados con la planificación del mantenimiento y limpieza de los espacios físicos de la institucion.</t>
    </r>
  </si>
  <si>
    <t>Elaboración de instrumentos que contengan la distribución del personal
para la ejecución de los trabajos relacionados con la planificación del
mantenimiento y limpieza de los espacios físicos de la Institución, coordinada</t>
  </si>
  <si>
    <t xml:space="preserve">
Distributivo del personal.</t>
  </si>
  <si>
    <t>* Inspeccionar los espacios físicos existentes
* Verificar las necesidades de personal de mantenimiento y limpieza de la infraestructura institucional.
* Elaborar propuestas de distributivo.</t>
  </si>
  <si>
    <t>* Resolución de aprobación del Distributivo del personal.</t>
  </si>
  <si>
    <t>* Ing. Marco Carrión Limones, Jefe de Infraestructura Física y Fiscalización
* Ing. Martín Sarmiento Sánchez, Supervisor de Mantenimiento Genera.</t>
  </si>
  <si>
    <r>
      <rPr>
        <b/>
        <sz val="10"/>
        <color theme="1"/>
        <rFont val="Arial Narrow"/>
        <family val="2"/>
      </rPr>
      <t>8.-</t>
    </r>
    <r>
      <rPr>
        <sz val="10"/>
        <color theme="1"/>
        <rFont val="Arial Narrow"/>
        <family val="2"/>
      </rPr>
      <t xml:space="preserve"> Elaborar y ejecutar el plan de mantenimiento de las áreas verdes y escenarios deportivos de la institución.</t>
    </r>
  </si>
  <si>
    <t>Planificación de mantenimiento de las áreas verdes y escenarios
deportivos, elaborada y ejecutada.</t>
  </si>
  <si>
    <t>Número de Informes del mantenimiento de las áreas verdes y escenarios deportivos.</t>
  </si>
  <si>
    <t>*Petición de recursos para el mantenimiento de las áreas verdes y escenarios deportivos.</t>
  </si>
  <si>
    <t xml:space="preserve">*Inspeccionar los espacios verdes de la institución
* Elaborar  reportes de trabajos de mantenimiento de áreas verdes y escenarios deportivos.
</t>
  </si>
  <si>
    <t>* Ing. Marco Carrión Limones, Jefe de Infraestructura Física y Fiscalización
*Ing. Marlo Villamar Piedra.</t>
  </si>
  <si>
    <r>
      <rPr>
        <b/>
        <sz val="10"/>
        <color theme="1"/>
        <rFont val="Arial Narrow"/>
        <family val="2"/>
      </rPr>
      <t>9.-</t>
    </r>
    <r>
      <rPr>
        <sz val="10"/>
        <color theme="1"/>
        <rFont val="Arial Narrow"/>
        <family val="2"/>
      </rPr>
      <t xml:space="preserve"> </t>
    </r>
    <r>
      <rPr>
        <sz val="10"/>
        <color theme="1"/>
        <rFont val="Arial Narrow"/>
        <family val="2"/>
      </rPr>
      <t>Elaborar y ejecutar el plan de mantenimiento anual de los equipos de la institución</t>
    </r>
  </si>
  <si>
    <t>Planificación de mantenimiento anual de los equipos de la institución,
elaborado y ejecutado.</t>
  </si>
  <si>
    <t>Número de Informes del mantenimiento de equipos de la institución.</t>
  </si>
  <si>
    <t>*Petición de recursos para el mantenimiento de los equipos de la institución.</t>
  </si>
  <si>
    <t>*Supervisar el mantenimiento de los  equipos de la institución.</t>
  </si>
  <si>
    <t xml:space="preserve">* Ing. Marco Carrión Limones, Jefe de Infraestructura Física y Fiscalización
* Lenin Mogrovejo Morocho, Analista de Infraestructura y Fiscalización
</t>
  </si>
  <si>
    <t>Herramientas y Equipos Menores</t>
  </si>
  <si>
    <t>Adquisición de herramientas para las activdiades de mantenimiento preventivo y correctivo.</t>
  </si>
  <si>
    <r>
      <rPr>
        <b/>
        <sz val="10"/>
        <color theme="1"/>
        <rFont val="Arial Narrow"/>
        <family val="2"/>
      </rPr>
      <t xml:space="preserve">10.- </t>
    </r>
    <r>
      <rPr>
        <sz val="10"/>
        <color theme="1"/>
        <rFont val="Arial Narrow"/>
        <family val="2"/>
      </rPr>
      <t>Efectuar el control y manejo de los residuos sólidos generados por la institución</t>
    </r>
  </si>
  <si>
    <t>Control y manejo de residuos sólidos generados por la institución,
efectuado</t>
  </si>
  <si>
    <t xml:space="preserve">Número de mantenimientos de la planta de tratamiento de aguas residuales de la institución. </t>
  </si>
  <si>
    <t>*Petición de recursos para el mantenimiento de la planta de tratamiento de aguas residuales.</t>
  </si>
  <si>
    <t>*Supervisar el mantenimiento de la planta de tratamiento de aguas residuales.</t>
  </si>
  <si>
    <t>* Ing. Marco Carrión Limones, Jefe de Infraestructura Física y Fiscalización
* Lenin Mogrovejo Morocho, Analista de Infraestructura y Fiscalización</t>
  </si>
  <si>
    <r>
      <rPr>
        <b/>
        <sz val="10"/>
        <color theme="1"/>
        <rFont val="Arial Narrow"/>
        <family val="2"/>
      </rPr>
      <t xml:space="preserve">11.- </t>
    </r>
    <r>
      <rPr>
        <sz val="10"/>
        <color theme="1"/>
        <rFont val="Arial Narrow"/>
        <family val="2"/>
      </rPr>
      <t>Entregar oportunamente  la Planificación Operativa Anual y Evaluación de la Planificación
Operativa Anual</t>
    </r>
  </si>
  <si>
    <t>Número de Planes Operativos Anuales y Evaluaciones de las planificaciones Operativas Anuales, entregadas.</t>
  </si>
  <si>
    <t>* Elaborar el POA 2024
* Evaluar el POA 2023</t>
  </si>
  <si>
    <t>Plan Operativo Anual 2022
Evaluación del Plan Operativo Anual tercer cuatrimestre.
Plan Operativo Anual  segundo cuatrimestre.
Plan Operativo Anual 2023.</t>
  </si>
  <si>
    <t>Número de cajas del archivo organizados y registrados en el Inventario Documental</t>
  </si>
  <si>
    <t>* Organizar los documentos en carpetas 
* Ingresar información en la matriz correspondiente</t>
  </si>
  <si>
    <t>* Inventario documental</t>
  </si>
  <si>
    <t>TOTAL PRESUPUESTO ESTIMATIVO UOIU 2023:</t>
  </si>
  <si>
    <t>Juan Carlos Merino Gaona</t>
  </si>
  <si>
    <t xml:space="preserve">Autorizado por: </t>
  </si>
  <si>
    <t>Roberto F. Córdova Romero</t>
  </si>
  <si>
    <t>22 de septiembre de 2022</t>
  </si>
  <si>
    <t>Fondos de Reposición de Caja Chica</t>
  </si>
  <si>
    <t>010 750501</t>
  </si>
  <si>
    <t>OK</t>
  </si>
  <si>
    <r>
      <rPr>
        <sz val="11"/>
        <color rgb="FF000000"/>
        <rFont val="Century Schoolbook"/>
        <family val="1"/>
      </rPr>
      <t>75</t>
    </r>
    <r>
      <rPr>
        <sz val="11"/>
        <color rgb="FF000000"/>
        <rFont val="Arial Narrow"/>
        <family val="2"/>
      </rPr>
      <t xml:space="preserve"> Obras Públicas</t>
    </r>
  </si>
  <si>
    <t>FACULTAD DE CIENCIAS AGROPECUARIAS</t>
  </si>
  <si>
    <t>DECANATO</t>
  </si>
  <si>
    <r>
      <rPr>
        <b/>
        <sz val="10"/>
        <color rgb="FFFF0000"/>
        <rFont val="Arial Narrow"/>
        <family val="2"/>
      </rPr>
      <t>METAS OPERATIVAS</t>
    </r>
    <r>
      <rPr>
        <sz val="10"/>
        <color theme="1"/>
        <rFont val="Arial Narrow"/>
        <family val="2"/>
      </rPr>
      <t xml:space="preserve">
1.- Emitir directrices para garantizar la ejecución de los procesos administrativos y académicos.</t>
    </r>
  </si>
  <si>
    <t xml:space="preserve">Directrices para garantizar la ejecución de los procesos administrativos y académicos emitidas. </t>
  </si>
  <si>
    <t>N° de directrices de procesos administrativos y académicos emitidos.</t>
  </si>
  <si>
    <t>1.- Difundir las directrices emitidas mediante Resoluciones HCU.
2.- Receptar  documentos y correos con disposiciones,  para enviar al personal  académico y administrativo previa sumilla de la autoridad.</t>
  </si>
  <si>
    <t>1.- Reporte de la difusión de las directrices.
2.- Documentos y correos recibidos con disposiciones emanadas de HCU.</t>
  </si>
  <si>
    <t>Dr. Iván Ramírez Morales, PhD., Decano FCA. Ing. Jessica Farias Jaén, Analista Administrativo de Decanato. Abg. Michelle Espinoza Sarmiento, Analista Administrativo Decanato</t>
  </si>
  <si>
    <t>2.- Ejecutar los procesos administrativos y académicos.</t>
  </si>
  <si>
    <t>Ejecución de los procesos administrativos y académicos supervisados.</t>
  </si>
  <si>
    <t>N° de procesos administrativos y académicos supervisados.</t>
  </si>
  <si>
    <t>1.- Receptar las comunicaciones y notificaciones internas y/o organismos externos.
2.- Planificar y organizar la distribución de espacios físicos para los cubículos para la actividad presencial.
3.- Elaborar los procesos de compra.
4.- Elaborar Registro de entrega de materiales de aseo y oficina.</t>
  </si>
  <si>
    <t>1.- Reporte del estado actual de los procesos administrativos y académicos.
2.- Distributivo de Cubículos.     
3.- Reporte de las solicitudes de los procesos de adquisiciones de los bienes y/o servicios.
4.- Registro de control de materiales de aseo y oficina.</t>
  </si>
  <si>
    <t>Dr. Iván Ramírez Morales, PhD., Decano FCA.
Ing. Jessica Farias Jaén, Analista Administrativo de Decanato.    
Lcdo. Javier Aguilar Vargas, Administrador de Bienes FCA</t>
  </si>
  <si>
    <t>DPLAN: La necesidad y egreso de la partida 530204 que forma parte de este producto, con u. valor de $11.000,00 (sin IVA), pasa a formar parte del POA 2023 DIDI, en virtud de la gestión de Biblioteca General.</t>
  </si>
  <si>
    <t>36990.05</t>
  </si>
  <si>
    <t xml:space="preserve">BOMBA MANUAL DE MOCHILA PARA FUMIGAR  DE 20L. </t>
  </si>
  <si>
    <t>DISCO  EXTERNO DE 1 TERA PARA USO ADMINISTRATIVO</t>
  </si>
  <si>
    <t>LLAVE/GRIFO De FREGADERO, FLEXIBLE PARA PARED
LLAVE/GRIFO De FREGADERO, FLEXIBLE PARA PARED
LETRERO INFORMATIVO - PISO MOJADO
ROSETONES CON SENSOR DE MOVIMIENTO CON BOQUILALA  E27
FOCO LED DE 40W  PARA BOQUILLA E27
PANELES DE LUZ LED DIA DE 60X 60
PINTURA BASE AGUA MARFIL CLARO TIPO2 USO EXTERIOR RESINA VINIL ACRÍLICO
PINTURA BASE AGUA BLANCO TIPO2 USO EXTERIOR RESINA VINIL ACRÍLICO
FLANGER DE URINARIO
PINTURA ANTICORROSIVA MATE  GALON NEGRO
Empaste Exterior Blanco De 20 Kilogramos
PLIEGO DE LIJA 150
ESPÁTULAS DE 4"
BROCHAS 4"
Cable flexible #12 rollo de 100 metros
Cable flexible #14 rollo de 100 metros</t>
  </si>
  <si>
    <t>Fondos de Reposición Cajas Chicas</t>
  </si>
  <si>
    <t>Para actividades administrativas</t>
  </si>
  <si>
    <t>Caja chica</t>
  </si>
  <si>
    <t>Insumos, materiales y suministros para construcción, electricidad, plomería, carpintería, señalización vial, navegación, contraincendios y placas.</t>
  </si>
  <si>
    <t>Edición, Impresión, Reproducción, Publicaciones y Suscripciones</t>
  </si>
  <si>
    <t>Base de datos para actividades académicas</t>
  </si>
  <si>
    <t>3.- Gestionar la Propuesta del distributivo académico en conjunto con los Subdecanatos.</t>
  </si>
  <si>
    <t>Propuesta del distributivo académico en conjunto con los Subdecanatos, gestionada.</t>
  </si>
  <si>
    <t>N° de distributivos académicos gestionados.</t>
  </si>
  <si>
    <t>1.- Participar de la socialización Decanato y Subdecanato.</t>
  </si>
  <si>
    <t>1.- Reporte de Resoluciones de Aprobación del Distributivo Académico FCA.</t>
  </si>
  <si>
    <t xml:space="preserve">Dr.Iván Ramírez Morales, PhD.,  Decano FCA. 
Ing. Abrahan Cervantes Álava, Subdecano
Miembros HCD.               
 Ab. Yomar Torres Machuca, Secretaria Abogada FCA
Ing. Jessica Farias Jaén, Analista Administrativo de Decanato. </t>
  </si>
  <si>
    <t>Adquisición de sillas para cubiculos docentes (contrato 2022)</t>
  </si>
  <si>
    <t>Backing publicitario</t>
  </si>
  <si>
    <t xml:space="preserve">Adquisicion Banner Roll Up Publicidad </t>
  </si>
  <si>
    <t>4.- Supervisar la ejecución de las convocatorias a los consejos de facultad.</t>
  </si>
  <si>
    <t>Sesiones de Consejo Directivo, convocadas y presididas.</t>
  </si>
  <si>
    <t>N° de sesiones convocadas y presididas.</t>
  </si>
  <si>
    <t>1.- Receptar documentos para Consejo Directivo.</t>
  </si>
  <si>
    <t>1.- Reporte de Convocatorias a Sesiones de Consejos Directivos.</t>
  </si>
  <si>
    <t xml:space="preserve">Dr. Iván Ramírez Morales, Ph.D., Decano FCA.
Ab. Yomar Torres Machuca, Secretaria Abogada FCA. 
Ing. Jessica Farias Jaén, Analista Administrativo de Decanato. </t>
  </si>
  <si>
    <t>5.- Gestionar los Procesos que garantizan el cumplimiento de las funciones sustantivas de la educación superior: docencia, investigación y vinculación.</t>
  </si>
  <si>
    <t>Procesos que garantizan el cumplimiento de las funciones sustantivas de la educación superior: docencia, investigación y vinculación, gestionados.</t>
  </si>
  <si>
    <t>N° de procesos realizados, para garantizar el cumplimiento de las funciones sustantivas.</t>
  </si>
  <si>
    <t xml:space="preserve">1.- Tramitar los procesos de las funciones sustantivas: Subdecacnato, Direccion de Investigacion y Vinculacion. </t>
  </si>
  <si>
    <t>1.- Reporte de Informes recibidos: de los procesos de las Funciones Sustantivas: Docencia, investigación y vinculación.</t>
  </si>
  <si>
    <t>Dr. Iván Ramírez Morales, PhD., Decano FCA. Ing. Jessica Farias Jaén, Analista Administrativo de Decanato.</t>
  </si>
  <si>
    <t>43913.00.1</t>
  </si>
  <si>
    <t>ADQUISICIÓN DE UNA CAMARA DE REFRIGERACION, PARA LA CONSERVACIÓN DE SEMILLAS, CON SISTEMA DE CONTROL DE HUMEDAD DEL 60 A 90 %</t>
  </si>
  <si>
    <t>Adquisición de Pantallas y/o pizarras interactivas</t>
  </si>
  <si>
    <t>44110.03</t>
  </si>
  <si>
    <t>ADQUISICION E INSTALACION DE INFRAESTRUCTURA TECNOLOGICA PARA EL FORTALECIMIENTO DE LA DOCENCIA, INVESTIGACION Y VINCULACION DE LA FACULTAD DE CIENCIAS AGROEPCUARIAS</t>
  </si>
  <si>
    <t>Estudios especializados y definitivos para la construcción del bloque de laboratorios de la Facultad de Ciencias Agropecuarias</t>
  </si>
  <si>
    <t>44110.03.1</t>
  </si>
  <si>
    <t>Construcción de una Cubierta en el Bloque 5 de la Facultad de Ciencias Agropecuarias</t>
  </si>
  <si>
    <t>ADECUACIÓN DE DOS AULAS EN LA FACULTAD DE CIENCIAS AGROPECUARIAS DE LA UTMACH</t>
  </si>
  <si>
    <t>6.- Presentar el Informe de Rendición de Cuentas.</t>
  </si>
  <si>
    <t>Informe de Rendición de Cuentas, presentado.</t>
  </si>
  <si>
    <t>N° de Rendición de Cuentas, presentado.</t>
  </si>
  <si>
    <t>1.- Realizar Informe de Rendición de Cuentas.</t>
  </si>
  <si>
    <t>1.- Informe de Rendición de Cuentas 2022 de la FCA, aprobado por HCD.</t>
  </si>
  <si>
    <t>Dr. Iván Ramírez Morales,  PhD., Decano FCA.</t>
  </si>
  <si>
    <t>7.- Gestionar trámite de licencias solicitadas por el personal docente y administrativo.</t>
  </si>
  <si>
    <t>Licencias solicitadas por el personal docente y administrativo, gestionadas.</t>
  </si>
  <si>
    <t>N° de licencias solicitadas y gestionadas por el personal docente y administrativo.</t>
  </si>
  <si>
    <t>1.- Receptar las solicitudes de permiso del personal académico y administrativo.
2.- Redactar y tramitar ante autoridades las solicitudes de permiso, licencias del personal docentes y administrativo.</t>
  </si>
  <si>
    <t>1.- Reporte de licencias personal docente y administrativo, tramitados.</t>
  </si>
  <si>
    <t>Dr. Iván Ramírez Morales, Decano FCA. Ing. Jessica Farias Jaén, Analista Administrativo de Decanato. Ab. Michelle Espinoza Sarmiento, Analista Administrativo de Decanato</t>
  </si>
  <si>
    <t xml:space="preserve">8.- Gestionar las actividades  culturales, deportivas, sociales, y proyectos de responsabilidad social e influencia en políticas públicas </t>
  </si>
  <si>
    <t xml:space="preserve">Actividades culturales, deportivas, sociales, y proyectos de responsabilidad social e influencia en políticas públicas gestionadas.
</t>
  </si>
  <si>
    <t>N° de Actividades culturales, deportivas, sociales, y proyectos de responsabilidad social e influencia en políticas públicas gestionadas.</t>
  </si>
  <si>
    <t xml:space="preserve">1.- Tramitar las actividades  culturales, deportivas, sociales, y proyectos de responsabilidad social e influencia en políticas públicas. </t>
  </si>
  <si>
    <t>1.- Reporte de las actividades  culturales, deportivas, sociales, y proyectos de responsabilidad social e influencia en políticas públicas, aprobadas.</t>
  </si>
  <si>
    <t>Dr. Iván Ramírez Morales,  PhD., Decano FCA.                                 Ing. Jessica Farias Jaén, Analista Administrativo de Decanato. Ab. Michelle Espinoza Sarmiento,   Analista Administrativo de Decanato</t>
  </si>
  <si>
    <t>9.- Coordinar y gestionar el Proceso de contratación de personal docente para las carreras o programas vigentes en la Facultad.</t>
  </si>
  <si>
    <t>Proceso de contratación de personal docente para las carreras o programas vigentes en la Facultad, coordinado.</t>
  </si>
  <si>
    <t>N° de Procesos de contratación de personal docente para las carreras o programas vigentes en la Facultad, coordinados y gestionados.</t>
  </si>
  <si>
    <t>1.- Gestionar la Selección de docentes no titulares en base a necesidades.
2.- Gestionar la contratación de Técnicos Docentes, Técnicos de Laboratorio.</t>
  </si>
  <si>
    <t>1.- Reporte de Resolución de aprobación del listado de docentes no titulares seleccionados por Consejo Directivo.                     
2.- Oficios tramitados.</t>
  </si>
  <si>
    <t xml:space="preserve">Dr.Iván Ramírez Morales, PhD., Decano FCA. 
Ing. Abrahan Cervantes Álava, Subdecano
Miembros HCD.               
 Ab. Yomar Torres Machuca, Secretaria Abogada FCA
Ing. Jessica Farias Jaén, Analista Administrativo de Decanato. </t>
  </si>
  <si>
    <t>Los criterios técnicos corresponden a la comisión académica u jurídicos.</t>
  </si>
  <si>
    <t>10.- Emitir criterios técnicos para la sustentación de las decisiones adoptadas a nivel de facultad.</t>
  </si>
  <si>
    <t>Criterios técnicos para la sustentación de las decisiones adoptadas a nivel de facultad emitidos.</t>
  </si>
  <si>
    <t>N° de Criterios técnicos emitidos para la sustentación de las decisiones adoptadas a nivel de facultad.</t>
  </si>
  <si>
    <t>1.- Gestionar decisiones de Comisión Académica.
2.- Gestionar criterios técnicos jurídicos.</t>
  </si>
  <si>
    <t>1.- Reporte de Resoluciones adoptadas por Consejo Directivo y/o oficios.</t>
  </si>
  <si>
    <t xml:space="preserve">Dr.Iván Ramírez Morales, PhD. Decano FCA.         
 Ab. Yomar Torres Machuca, Secretaria Abogada FCA
Ing. Jessica Farias Jaén, Analista Administrativo de Decanato. </t>
  </si>
  <si>
    <t>11.- Supervisar las Gestiones efectuadas por el Subdecanato, los directores académicos departamentales, personal académico y administrativo de la Facultad.</t>
  </si>
  <si>
    <t>Gestiones efectuadas por el Subdecano, los directores académicos
departamentales, personal académico y administrativo de la Facultad,
supervisadas.</t>
  </si>
  <si>
    <t>N° de Informes efectuados por el Subdecano, los Directores Académicos, personal académico y administrativo, supervisadas.</t>
  </si>
  <si>
    <t>1.- Gestionar informes presentados del Subdecano, Directores Académicos y personal administrativo sobre gestiones realizadas.</t>
  </si>
  <si>
    <t>1.- Reporte de Informes Recibidos.</t>
  </si>
  <si>
    <t>Dr. Iván Ramírez Morales, PhD., Decano FCA. 
Ing. Abrahan Cervantes Álava, Subdecano.
Directores Académicos
Personal Administrativo  
Ing. Jessica Farias Jaén, Analista Administrativo de Decanato.</t>
  </si>
  <si>
    <t>12.- Presentar la Planificación Operativa Anual y Evaluar la Planificación Operativa Anual.</t>
  </si>
  <si>
    <t>1.- Elaborar la Evaluación del POA 2023.
2.- Elaborar el POA 2024.</t>
  </si>
  <si>
    <t>1.- Oficio y presentación de la Evaluación del Plan Operativo Anual 2023.
2.- Oficio y presentación del Plan Operativo Anual 2024.</t>
  </si>
  <si>
    <t>Dr. Iván Ramírez Morales, Decano FCA. 
Ing. Jessica Farías Jaén, Analista Administrativo de Decanato FCA.
Lcdo. Javier Aguilar Vargas,  Administrador de Bienes FCA. Ab. Michelle Espinoza Sarmiento, Analista Administrativo de Decanato</t>
  </si>
  <si>
    <t>13.- Organizar el Archivo de Gestión.</t>
  </si>
  <si>
    <t>N° de Oficios organizados.</t>
  </si>
  <si>
    <t>1.- Clasificar, organizar y registrar el Archivo de Decanato, Oficios emitidos por Decanato FCA 2023.</t>
  </si>
  <si>
    <t>1.- Registro Ingreso información en el SIUTMACH 2023, comunicaciones enviadas y recibidas.</t>
  </si>
  <si>
    <t>Ing. Jessica Farias Jaén, Analista Administrativo de Decanato, Ab. Michelle Espinoza Sarmiento, Analista Administrativo de Decanato</t>
  </si>
  <si>
    <t>El Inventario Documental se elabora los 3 primeros meses del siguiente año, se encuentra elaborado del año 2022.</t>
  </si>
  <si>
    <t>TOTAL PRESUPUESTO ESTIMATIVO DEL DECANATO 2023:</t>
  </si>
  <si>
    <t>SUBDECANATO</t>
  </si>
  <si>
    <r>
      <rPr>
        <b/>
        <sz val="10"/>
        <color rgb="FFFF0000"/>
        <rFont val="Arial Narrow"/>
        <family val="2"/>
      </rPr>
      <t>METAS OPERATIVAS</t>
    </r>
    <r>
      <rPr>
        <sz val="10"/>
        <color theme="1"/>
        <rFont val="Arial Narrow"/>
        <family val="2"/>
      </rPr>
      <t xml:space="preserve">
1.- Emitir o actualizar los Procedimientos Académicos internos estandarizados.</t>
    </r>
  </si>
  <si>
    <t>Procedimientos Académicos internos estandarizados, emitidos o actualizados.</t>
  </si>
  <si>
    <t>N° de procedimientos académicos estandarizados, emitidos o actualizados.</t>
  </si>
  <si>
    <t>1.- Coordinar y socializar al interior de la Facultad las directrices emitidas por el òrgano superior.
2.- Receptar, analizar y realizar oficios, correos electrónicos, informes, llamadas telefónicas y otros documentos que emanen de los procesos que se lleva a cabo en el subdecanato.
3.- Actualizar la agenda del Subdecanato.
4.- Designar a los responsables de los colectivos de vinculación, prácticas preprofesionales, evaluación, gestión de la calidad, seguimiento graduados y seguimiento al sílabo por carreras.</t>
  </si>
  <si>
    <t>1.- Reporte del estado actual de la emisión o actualización de procedimientos académicos internos.
2.- Reporte de Oficios elaborados ingresados al SIUTMACH.
3.- Reporte de Oficios recibidos ingresados SIUTMACH.
4.- Agenda del subdecanato.
5.- Matriz de responsables de colectivos.</t>
  </si>
  <si>
    <t>Ing. Abrahan Cervantes, Subdecano FCA.
Directores de Carrera
Rosa Hernández, Analista Administrativo
Romel López, Analista Académico</t>
  </si>
  <si>
    <t>DISCO  EXTERNO DE 1 TERA</t>
  </si>
  <si>
    <t>2.- Convocar y presidir Sesiones de Comisión Académica de la Facultad.</t>
  </si>
  <si>
    <t>Sesiones de Comisión Académica de la Facultad, convocadas y presididas.</t>
  </si>
  <si>
    <t>N° de Sesiones de Comisión Académica de la Facultad convocadas y presididas.</t>
  </si>
  <si>
    <t>1.- Convocar y presidir las sesiones de Comisión Académica de la Facultad para el monitoreo de los procesos académicos.</t>
  </si>
  <si>
    <t>1.- Convocatorias.
2.- Actas de Sesiones.
3.- Resoluciones u oficios.</t>
  </si>
  <si>
    <t>Ing. Abrahan Cervantes, Subdecano FCA
Rosa Hernandez, Analista Administrativo</t>
  </si>
  <si>
    <t>3.- Orientar y supervisar las propuestas para la creación, fusión y extinción de carreras y programas, así como los planes de estudios de las mismas emanados del trabajo de rediseño curricular.</t>
  </si>
  <si>
    <t>Propuestas para la creación, fusión y extinción de carreras y programas, así como los planes de estudios de las mismas emanados del trabajo de rediseño curricular, orientados y supervisados.</t>
  </si>
  <si>
    <t>N° de Sesiones de trabajo convocadas.</t>
  </si>
  <si>
    <t>2</t>
  </si>
  <si>
    <t>1.- Convocar y presidir las sesiones de trabajo de avance de propuesta de creación de nueva carrera.
2.- Presentar informes de avance de propuestas de creación y/o extinción de carreras.
2. Presentar el proyecto de creación y/o extinción de carrera a los organismos competentes de la FCA.</t>
  </si>
  <si>
    <t>1.- Resoluciones y/u oficios.
2. Convocatorias.
3. Registro de asistencia.
4. Informes.</t>
  </si>
  <si>
    <t>Ing. Abrahan Cervantes, Subdecano FCA
Rosa Hernandez, Analista Administrativo
Integrantes Comisión</t>
  </si>
  <si>
    <t>4.- Supervisar la ejecución de los procesos académicos.</t>
  </si>
  <si>
    <t>Ejecución de los procesos académicos supervisados.</t>
  </si>
  <si>
    <t>N° de procesos académicos supervisados.</t>
  </si>
  <si>
    <t>1.- Coordinar el proceso de elaboración, ingreso, revisión y seguimiento al silabo. 
2.- Coordinar el proceso de Supervisiòn de tutorìas.</t>
  </si>
  <si>
    <t>1.- Reporte del estado actual de la supervisión a la ejecución de los procesos académicos supervisados.</t>
  </si>
  <si>
    <t>Ing. Abrahan Cervantes Alava, Subdecano
Directores de Carreras,
Rosa Hernández, Analista Administrativo
Romel López, Analista Académico.</t>
  </si>
  <si>
    <t>Este proceso se realiza dos veces al año.</t>
  </si>
  <si>
    <t xml:space="preserve">87159.06 </t>
  </si>
  <si>
    <t>MANTENIMIENTO PREVENTIVO Y CORRECTIVO DE LOS EQUIPOS DE LABORATORIO DE LA FACULTAD</t>
  </si>
  <si>
    <t>Anual</t>
  </si>
  <si>
    <t>Dispositivos Médicos para Laboratorio Clínico y de Patología</t>
  </si>
  <si>
    <t xml:space="preserve">INSUMOS Y SUMINISTROS MÉDICOS PARA LOS LABORATORIOS DE LA FACULTAD </t>
  </si>
  <si>
    <t>Insumos, Materiales, Suministros y Bienes para Investigación</t>
  </si>
  <si>
    <t>REACTIVOS PARA INVESTIGACIÓN FORMATIVA Y PRÁCTICAS ESTUDIANTILES (REACTIVOS)</t>
  </si>
  <si>
    <t>5.- Elaborar distributivos, horarios y el calendario académico.</t>
  </si>
  <si>
    <t>Distributivos, horarios y el calendario académico, elaborados.</t>
  </si>
  <si>
    <t>N° de Distributivos, horarios coordinados y supervisados.</t>
  </si>
  <si>
    <t xml:space="preserve">1.- Coordinar y supervisar el proceso de elaboración de los Distributivos, horarios de clases-extraclase y Cronograma de actividades complementarias. </t>
  </si>
  <si>
    <t>1.- Reporte de Distributivo validado.
2.- Horarios de profesores y de clases ingresados al SIUTMACH.
3.- Cronograma de actividades complementarias.</t>
  </si>
  <si>
    <t>Ing. Abrahan Cervantes Alava, Subdecano
Directores de Carreras
Romel López, Analista Académico.</t>
  </si>
  <si>
    <t>6.- Emitir documentos de planificación académica y curricular.</t>
  </si>
  <si>
    <t>Planificación académica, coordinada.</t>
  </si>
  <si>
    <t>Nº de planificaciones acadèmicas coordinadas segùn el Modelo Genèrico de Evaluaciòn del Entorno de Aprendizaje de Carreras.</t>
  </si>
  <si>
    <t>1.- Asignar horas para Evaluación y Acreditación de la Calidad en el Distributivo Académico de acuerdo a la sugerencia de los Coordinadores de Carrera.
2. Coordinar y supervisar el proceso de evaluación interna de carreras.</t>
  </si>
  <si>
    <t>1.- Informe de los responsables de cada carrera.
2.- Reporte de la Dirección de Aseguramiento de la calidad.</t>
  </si>
  <si>
    <t>Ing. Abrahan Cervantes Alava, Subdecano
Directores de Carreras,
Rosa Hernández, Analista Administrativo;
Romel López, Analista Académico</t>
  </si>
  <si>
    <t>7.- Supervisar el logro de resultados o avances de procesos académicos, de Investigación y de vinculación con la sociedad.</t>
  </si>
  <si>
    <t>Procesos académicos de docencia, investigación y vinculación con la sociedad, coordinados.</t>
  </si>
  <si>
    <t>Nº  de proyectos de investigación y vinculación con la sociedad coordinados.</t>
  </si>
  <si>
    <t>1.- Asignar horas de investigaciòn y de vinculación en el Distributivo Acadèmico de acuerdo a las sugerencias de las Direcciones correspondientes.
2.- Solicitar los informes de resultados o avances de los proyectos de investigaciòn y vinculaciòn con la sociedad.</t>
  </si>
  <si>
    <t>1.- Reporte del estado actual de resultados o avances de los proyectos de Investigación y de vinculación con la sociedad.
2.- Reporte de horas sugeridas por  las Direcciones correspondientes.</t>
  </si>
  <si>
    <t>Ing. Abrahan Cervantes Alava, Subdecano,
Directores de Carreras
Rosa Hernández, Analista Administrativo
Romel López, Analista Académico</t>
  </si>
  <si>
    <t>Estudio y Diseño de Proyectos</t>
  </si>
  <si>
    <t>83349.00</t>
  </si>
  <si>
    <t xml:space="preserve">ESTUDIO PARA LA CONSTRUCCIÓN DE UNA INCUBADORA DE EMPRENDIMIENTO AGROPECUARIOS </t>
  </si>
  <si>
    <t>ADQUISICIÓN DE EQUIPOS MICROSCOPIOS DIGITALES PARA EL ÁREA DE LABORATORIO DE MICROSCOPÍA</t>
  </si>
  <si>
    <t>8.- Evaluar al personal administrativo bajo su responsabilidad.</t>
  </si>
  <si>
    <t>Personal administrativo bajo su responsabilidad, evaluados.</t>
  </si>
  <si>
    <t>Nº de personal administrativo evaluado.</t>
  </si>
  <si>
    <t>1.- Evaluar al personal administrativo bajo dependencia del Subdecanato en la plataforma SIITH del Ministerio de Trabajo en lo relacionado a niveles de eficiencia del desempeño individual.</t>
  </si>
  <si>
    <t>1.- Formulario de Evaluaciòn niveles de eficiencia del desempeño individual aplicado.
2.- Notificación UATH.</t>
  </si>
  <si>
    <t>Ing. Abrahan Cervantes Alava, Subdecano FCA.</t>
  </si>
  <si>
    <t>Este proceso se realiza una vez al año, al finalizar este.</t>
  </si>
  <si>
    <t>9.- Coordinar el Proceso referente a las pasantías y prácticas pre-profesionales de las y los estudiantes de las carreras de pregrado.</t>
  </si>
  <si>
    <t>Proceso referente a las pasantías y prácticas pre-profesionales de las y los estudiantes de las carreras de pregrado, coordinado.</t>
  </si>
  <si>
    <t>Nº de Informes realizados de pasantías y prácticas pre-profesionales de las carreras de pregrado.</t>
  </si>
  <si>
    <t>1.- Coordinar las prácticas de vinculación y pasantías preprofesionales con los colectivos académicos, en coordinación con el VIMCORI.</t>
  </si>
  <si>
    <t>1.- Planes de pasantías y prácticas pre-profesionales de las tres carreras de pregrado.
2.- Reporte de gestión de pasantías y prácticas preprofesionales de las tres carreras de pregrado.</t>
  </si>
  <si>
    <t>Ing. Abrahan Cervantes Alava, Subdecano
Directores de Carreras,
Romel López, Analista Académico.</t>
  </si>
  <si>
    <t>Este proceso se realiza dos veces al año, una al finalizar cada periodo académico.</t>
  </si>
  <si>
    <t>10.- Controlar la ejecución de los procesos de titulación.</t>
  </si>
  <si>
    <t>Ejecución de los procesos de titulación, controlado.</t>
  </si>
  <si>
    <t>Nº de reportes realizados de los procesos de titulación.</t>
  </si>
  <si>
    <t>1.- Solicitar y/o receptar reportes de los procesos de titulación a los Coordinadores de Carrera.</t>
  </si>
  <si>
    <t>1.- Reportes de los procesos de titulación.
2.- Cronograma del proceso de titulaciòn.
3.- Oficio sugiriendo a Consejo Directivo la designación de tutores y comitè evaluador.</t>
  </si>
  <si>
    <t>Ing. Abrahan Cervantes, Subdecano
Directores de Carreras
Romel López, Analista Academico; 
Rosa Hernández, Analista Administrativo.</t>
  </si>
  <si>
    <t>11.- Ejecutar el proceso de evaluación integral del desempeño docente de acuerdo a las directrices emitidas a nivel institucional.</t>
  </si>
  <si>
    <t>Proceso de evaluación integral del desempeño docente de acuerdo a las directrices emitidas a nivel institucional ejecutadas.</t>
  </si>
  <si>
    <t>Nº de evaluaciones integrales del desempeño docente de acuerdo a las directrices emitidas a nivel institucional.</t>
  </si>
  <si>
    <t>1.- Elaborar y aprobar la matriz de Comisiones para el proceso de evaluaciòn integral del desempeño docente.
2.- Elaborar y entregar oficios a los pares informando la nómina de los profesores a evaluar.</t>
  </si>
  <si>
    <t>1.- Resoluciones del proceso de evaluaciòn integral del desempeño docente.
2.- Reportes de resultados del proceso de evaluaciòn integral del desempeño docente.</t>
  </si>
  <si>
    <t>Ing. Abrahan Cervantes Alava, Subdecano
Directores de Carreras
Rosa Hernández, Analista Administrativo</t>
  </si>
  <si>
    <t>Este proceso se realiza dos veces al año, una en cada periodo académico.</t>
  </si>
  <si>
    <t>12.- Supervisar las actividades académicas que se realizan en los diferentes laboratorios, aulas, salas tics y unidades académicas experimentales de las Facultades.</t>
  </si>
  <si>
    <t>Actividades académicas que se realizan en los diferentes laboratorios, aulas y unidades académicas experimentales de las Facultades supervisadas.</t>
  </si>
  <si>
    <t>N° de practicas realizadas en el laboratorio de Microbiología.</t>
  </si>
  <si>
    <t xml:space="preserve">1.- Elaborar y presentar el Registro y listado de práctica según especialidad.
2.- Elaborar y presentar el registro de mantenimiento de equipos del Laboratorio.
3.- Solicitar el Acta de constatacion de bienes actualizados del Laboratorio.
4.- Supervisar la limpieza de laboratorio
5.- Elaborar y presentar el POA y la Programación de necesidades de recursos (PAC), y Evaluación del POA al Subdecanato.
6.- Atender a usuarios internos y externos.                                                                                                           </t>
  </si>
  <si>
    <t>1.- Registros y listados de prácticas.
2.- Registro de mantenimiento preventivo de equipos del Laboratorio.
3.- Acta de constatacion de bienes e Inventario de equipos y materiales del Laboratorio. 
4.- Registro de limpieza del laboratorio.
5.- POA-PAC 2023 y Evaluaciones del POA del Laboratorio.
6.- Registro de Atención a Usuarios.</t>
  </si>
  <si>
    <t>Dr. Mario Loaiza Armijos
ADMINISTRADOR DE LABORATORIO</t>
  </si>
  <si>
    <t>LABORATORIO DE MICROBIOLOGÍA</t>
  </si>
  <si>
    <t>Ups Apc De 750va 450w 8 Tomas Regulador Protección Efectiva</t>
  </si>
  <si>
    <t>N° de prácticas realizadas en el Laboratorio de MICROSCOPÍA.</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</si>
  <si>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</si>
  <si>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1.- Registros de Prácticas de Laboratorio.
2.- Informe mensual de actividades.
3.- Registro de uso de equipos y laboratorio.
4.- Registro de limpieza de Laboratorio.
5.- DRIVE actualizado compartido con Subdecanato.
6.- POA-PAC 2023.</t>
  </si>
  <si>
    <t xml:space="preserve"> Ing. Acuac. Wilmer Moreira Blacio
ADMINISTRADOR DE LABORATORIO
</t>
  </si>
  <si>
    <t>LABORATORIO DE MICROSCOPÍA</t>
  </si>
  <si>
    <t>N° de prácticas realizadas en el Laboratorio de CITOGENÉTICA.</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</si>
  <si>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</si>
  <si>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 xml:space="preserve">Ing. Acuac. Wilmer Moreira Blacio
ADMINISTRADOR DE LABORATORIO  </t>
  </si>
  <si>
    <t>LABORATORIO DE CITOGENÉTICA</t>
  </si>
  <si>
    <t>N° de prácticas realizadas en el Laboratorio de MARICULTURA y PLANCTON.</t>
  </si>
  <si>
    <t>1.- Llenar el registro de la práctica realizada.
2.- Realizar lista de práctica.
3.- Registrar el uso de equipos y de laboratorio.
4.- Facilitar materiales, equipos y reactivos para la práctica.
5.- Realizar una limpieza preventiva de los equipo y materiales.
6.- Realizar el informe mensual de actividades realizadas al Subdecanato.
7.- Digitalizar la información, subirla al drive.
8. Entrega del POA-PAC 2023  a Subdecanato y Decanato.</t>
  </si>
  <si>
    <t>LABORATORIO DE MARICULTURA Y PLANCTON</t>
  </si>
  <si>
    <t>N° de prácticas realizadas en las Salas TIC y Aula virtual.</t>
  </si>
  <si>
    <t>1.- Llenar el registro de la práctica realizada.
2.- Facilitar materiales y equipos para la práctica.
3.- Elaborar y ejecutar el cronograma de mantenimiento preventivo y/o correctivo, de los equipos informáticos de la FCA.
4.- Digitalizar la información, subirla al drive.
5.- Realizar el informe mensual para Subdecanato.</t>
  </si>
  <si>
    <t>1.- Llenar el registro de la práctica realizada.
2.- Facilitar materiales y equipos para la práctica.
3.- Elaborar y ejecutar el cronograma de mantenimiento preventivo y/o correctivo.</t>
  </si>
  <si>
    <t>Ing. Sist. Henry Aguilar Aguilar
ADMINISTRADOR SALAS TICS</t>
  </si>
  <si>
    <t>SALAS TICS Y AULA VIRTUAL</t>
  </si>
  <si>
    <t>ADQUISICIÓN DE REPUESTOS Y ACCESORIOS INFORMÁTICOS</t>
  </si>
  <si>
    <t xml:space="preserve"> Switch de 24 Puertos Gigabit Rackeable</t>
  </si>
  <si>
    <t>ADQUISICIÓN DE EQUIPOS INFORMÁTICOS PARA LA FACULTAD DE CIENCIAS AGROPECUARIAS</t>
  </si>
  <si>
    <t>N° de prácticas realizadas en la Clínica Docente de Especialidades Veterinarias,</t>
  </si>
  <si>
    <t>1.- Llenar el registro de la práctica realizada.
2.- Facilitar materiales y equipos para la práctica.
3.- Digitalizar la información, subirla al drive.
4.- realizar registro de atenciones a pacientes en la clínica.
5.- Realizar el informe mensual para Subdecanato.</t>
  </si>
  <si>
    <t>1.- Registros de Prácticas de Laboratorio.
2.- Informe mensual de actividades.
3.- Registros de usuarios Atendidos en clínica.</t>
  </si>
  <si>
    <t>Dr. Iván Ludeña Jimenez
ADMINISTRADOR LABORATORIO
MVZ. Estrella Buele Duarte.
TECNICO DOCENTE</t>
  </si>
  <si>
    <t>CLÍNICA DOCENTE DE ESPECIALIDADES VETERINARIAS</t>
  </si>
  <si>
    <t>Bomba de infusión</t>
  </si>
  <si>
    <t>Bomba de jeringa</t>
  </si>
  <si>
    <t>Razuradora semiprofesional desmontable</t>
  </si>
  <si>
    <t>ELECTROBISTURI 200 WATS</t>
  </si>
  <si>
    <t>MAQUINA DE ANESTESIA ISOFLURANO</t>
  </si>
  <si>
    <t>LÁPIZ QUIRÚRGICO REUTILIZABLE</t>
  </si>
  <si>
    <t>PINZA BIPOLAR SELLADORA DE ARTERIA</t>
  </si>
  <si>
    <t>CABLE PARA PINZA BIPOLAR SELLADORA DE ARTERIA</t>
  </si>
  <si>
    <t>ADAPTADOR DE PINZA BIPOLAR</t>
  </si>
  <si>
    <t>N° de practicas realizadas en el laboratorio de Biotecnologia e Investigacion Aplicada.</t>
  </si>
  <si>
    <t>1.- Supervisar la limpieza de laboratorio.
2.- Realizar el plan y mantenimiento de  equipos de Laboratorio.
3.- Solicitar el Acta de constatacion de bienes actualizados del Laboratorio.
4.- Elaborar lista de prácticas realizadas, y presentar guías de prácticas recibidas.
5.- Elaborar y presentar el POA y la Programación de necesidades de recursos y Evaluación del POA al Subdecanato.
6.- Atender a usuarios internos y externos.
7.- Realizar los cronogramas de actividades de laboratorio.</t>
  </si>
  <si>
    <t>1.- Registro de limpieza del laboratorio.
2.- Registros de mantenimiento preventivo de equipos del Laboratorio.
3.- Acta de constatacion de bienes e Inventario de equipos y materiales del Laboratorio.
4.- Registros de prácticas.
5.- POA 2023 y Evaluaciones del POA del Laboratorio.
6.- Registro de Atención a Usuarios.
7.- Cronogramas de actividades.</t>
  </si>
  <si>
    <t>Ing. Ana Luisa Castillo Ontaneda
ADMINISTRADOR DE LABORATORIO</t>
  </si>
  <si>
    <t>LABORATORIO DE BIOTECNOLOGÍA E INVESTIGACIONES APLICADAS</t>
  </si>
  <si>
    <t>N° de practicas realizadas en el laboratorio de Sanidad Vegetal.</t>
  </si>
  <si>
    <t>1.- Colaborar con las prácticas, facilitar materiales y reactivos.
2.- Atender a usuarios internos y externos.
3.- Llevar el registro de uso de materiales y equipos.
4.- Mantener el registro de uso de reactivos.
5.- Realizar el plan de mantenimiento preventivo y correctivo de equipos de laboratorio.
6.- Mantener la información actualizada del inventario del laboratorio.
7.- Actualización de los manuales del laboratorio.
8.- Entregar informes mensuales al subdecanato de las actividades realizadas en el LSV.
9.- Entrega del POA-PAC a subdecanato para su condensación.</t>
  </si>
  <si>
    <t>1.- Registro de prácticas.
2.- Registro de usuarios internos y externos.
3.- Registro de uso de equipos y materiales.
4.- Registro de gasto de reactivos.
5.- Registro de mantenimiento de equipos de laboratorio.
6.- Registro de inventario actualizado de equipos de laboratorio.
7.- Manuales de laboratorio.
8.- Informe mensual de actividades.
9.- POA-PAC.
10.- Carpeta compartida en Drive de subdecanato.</t>
  </si>
  <si>
    <t>Ing. Agr. Ivanna Gabriela Tuz Guncay
 TÉCNICO DE LABORATORIO</t>
  </si>
  <si>
    <t>LABORATORIO DE SANIDAD VEGETAL</t>
  </si>
  <si>
    <t>Ups Acp de 750 va 450 w 8 tomas regulador protección</t>
  </si>
  <si>
    <t>Balanza digital portátil sensibilidad 0.01 g hasta 500 g</t>
  </si>
  <si>
    <t>Suministros para Actividades Agropecuarias, Pesca y Caza</t>
  </si>
  <si>
    <t>35440011</t>
  </si>
  <si>
    <t>Medios de cultivo preparados para el desarrollo de microorganismos</t>
  </si>
  <si>
    <t>279980011</t>
  </si>
  <si>
    <t>Mecha para mechero de alcohol</t>
  </si>
  <si>
    <t>N° de practicas realizadas en el laboratorio de Suelos.</t>
  </si>
  <si>
    <t>1.- Colaborar con las prácticas, facilitar materiales, equipos y reactivos.
2.-  Atender a Usuarios internos y externos.
3.- Llenar registro de uso de materiales y equipos.
4.- Mantener el registro de uso de reactivos.
5.- Realizar el plan y mantenimiento de equipos de laboratorio.
6.- Solicitar inventario actualizado de equipos de laboratorio.
7.- Actualizar los Manuales del Laboratorio.
8.- Realizar el informe mensual de actividades realizadas al Subdecanato.
9.- Entrega de POA-PAC 2023 al Subdecanato.
10.- Gestionar y digitalizar la información, subirla al drive.</t>
  </si>
  <si>
    <t>1.- Registro de prácticas.
2.- Registros de Usuarios Internos y Externos.
3.- Registro de uso de equipos y materiales.
4.- Registro de Gasto de Reactivo.
5.- Registro de mantenimiento de equipos de laboratorio.
6.- Registro de Inventario actualizado de equipos de laboratorio.
7.-  Manuales de Laboratorio.
8.- Informe mensual de actividades.
9.- POA - PAC 2023.
10.- Carpeta drive compartida por Subdecanato.</t>
  </si>
  <si>
    <t>Ing. Agr. Karen Geanella Miranda Ordóñez
TÉCNICO DE LABORATORIO</t>
  </si>
  <si>
    <t>LABORATORIO DE SUELOS</t>
  </si>
  <si>
    <t>Extractor de aire</t>
  </si>
  <si>
    <t>48253.05</t>
  </si>
  <si>
    <t>Medidor de pH multiparámetro</t>
  </si>
  <si>
    <t>48251.00</t>
  </si>
  <si>
    <t>Hidrómetro de Suelos</t>
  </si>
  <si>
    <t>Egresos para Sanidad Agropecuaria</t>
  </si>
  <si>
    <t>342740.33</t>
  </si>
  <si>
    <t>ADQUISICIÓN DE REACTIVOS AGROPECUARIOS DE LA FACULTAD DE CIENCIAS AGROPECUARIAS</t>
  </si>
  <si>
    <t>N° de prácticas realizadas en el Laboratorio Quimica.</t>
  </si>
  <si>
    <t>1.- Elaborar lista de práctica según por asignaturas y presentar guías de prácticas recibidas.
2.- Elaborar y presentar el cronograma de mantenimiento de infraestructura y equipos del Laboratorio.
3.- Solicitar el Acta de constatacion de bienes actualizados del Laboratorio.
4.- Supervisar la limpieza de laboratorio.
5.- Elaborar y presentar el POA y la Programación de necesidades de recursos y Evaluación del POA al Subdecanato.
6.- Atender a usuarios internos y externos.</t>
  </si>
  <si>
    <t>1.- Registros de prácticas.
2.- Cronogramas y registro de mantenimiento preventivo de equipos del Laboratorio.
3.- Acta de constatacion de bienes e Inventario de equipos y materiales del Laboratorio. 
4.- Registro de limpieza del laboratorio.
5.- POA 2021 y Evaluaciones del POA del Laboratorio.
6.- Registro de Atención a Usuarios.</t>
  </si>
  <si>
    <t>Ing. Quim. Carlos Leonidas Pezo Jácome
TÉCNICO DOCENTE</t>
  </si>
  <si>
    <t>LABORATORIO DE QUÍMICA</t>
  </si>
  <si>
    <t>BALANZA ANALÍTICA DE 3 DECIMALES</t>
  </si>
  <si>
    <t xml:space="preserve">PURIFICADOR DE AGUA </t>
  </si>
  <si>
    <t>CONDUCTÍMETRO medidor de pH</t>
  </si>
  <si>
    <t>MEDIDOR DE PH MESA ±0.002 pH</t>
  </si>
  <si>
    <t>N° de practicas realizadas en el Laboratorio de Micropropagación Vegetal.</t>
  </si>
  <si>
    <t>1.- Colaborar con las prácticas, facilitar materiales, equipos y reactivos.
2.-  Atender a Usuarios internos y externos.
3.- Llenar registro de uso de materiales y equipos.
4.- Mantener el registro de uso de reactivos.
5.- Realizar el plan y mantenimiento de equipos de laboratorio.
6.- Solicitar inventario actualizado de equipos de laboratorio.
7.- Actualizar los Manuales del Laboratorio.
8.- Realizar el informe mensual de actividades realizadas al Subdecanato.   
9.- Entrega de POA-PAC 2023 al Subdecanato.
10.- Gestionar y digitalizar la información, subirla al drive.</t>
  </si>
  <si>
    <t>Blga. Mirka Maytee Quezada Morocho
ADMINISTRADORA DE LABORATORIO</t>
  </si>
  <si>
    <t>LABORATORIO DE MICROPROPAGACIÓN VEGETAL</t>
  </si>
  <si>
    <t>QUEMADOR / MECHEROS DE ALCOHOL</t>
  </si>
  <si>
    <t>REJILLA DE ASBESTO</t>
  </si>
  <si>
    <t xml:space="preserve">COCINETA 2 HORNILLAS </t>
  </si>
  <si>
    <t>TRIPODE METALICO DE LABORATORIO</t>
  </si>
  <si>
    <t>BURETAS DE VIDRIOS 25ML</t>
  </si>
  <si>
    <t>MATRAZ AFORADO TAPAS PLASTICA 10ML</t>
  </si>
  <si>
    <t>MATRAZ AFORADO TAPAS PLASTICA 25ML</t>
  </si>
  <si>
    <t>MATRAZ AFORADO TAPAS PLASTICA 50ML</t>
  </si>
  <si>
    <t>MOUSE USB</t>
  </si>
  <si>
    <t>TECLADO USB</t>
  </si>
  <si>
    <t>13.- Coordinar el desarrollo de actividades culturales, deportivas, sociales, y proyectos de responsabilidad social e influencia en políticas públicas, entre los miembros de la comunidad de la Facultad.</t>
  </si>
  <si>
    <t>Proceso referente a las actividades culturales, deportivas, sociales y proyectos de responsabilidad social e influencia en políticas públicas de los estudiantes y profesores de las carreras de pregrado, coordinado.</t>
  </si>
  <si>
    <t>Nº de actividades culturales, deportivas, sociales y proyectos de responsabilidad social e influencia en políticas públicas realizadas en las carreras de pregrado.</t>
  </si>
  <si>
    <t>1.- Elaborar y aprobar el Cronograma de actividades culturales, deportivas, sociales y proyectos de responsabilidad social e influencia en políticas públicas realizadas en las carreras de pregrado.</t>
  </si>
  <si>
    <t>1.- Cronograma de actividades culturales, deportivas, sociales y proyectos de responsabilidad social, aprobado.
2.- Informe de actividades culturales, deportivas, sociales ejecutado.</t>
  </si>
  <si>
    <t>Ing. Abrahan Cervantes Alava, Subdecano
Directores de Carreras,
Romel López, Analista académico,
Rosa Hernández, Analista Subdecanato.</t>
  </si>
  <si>
    <t>14.- Conocer y atender los requerimientos estudiantiles respecto al área académica y docente.</t>
  </si>
  <si>
    <t>Requerimientos estudiantiles respecto al área académica y docente, conocidos y atendidos.</t>
  </si>
  <si>
    <t xml:space="preserve">Nº de requerimientos estudiantiles respecto al área académica y docente conocidos y atendidos </t>
  </si>
  <si>
    <t>1.- Receptar y tramitar requerimientos estudiantiles de tercera matrícula, homologaciones, validación de conocimientos. 
2.- Receptar y Tramitar requerimientos de docentes.</t>
  </si>
  <si>
    <t>1.- Reporte de requerimientos estudiantiles de tercera matrícula.
2.- Reporte de requerimiento de homologaciones atendidas. 
3.- Reporte de requerimientos estudiantiles de validación de conocimientos atendidos.</t>
  </si>
  <si>
    <t>Ing. Abrahan Cervantes Alava, Subdecano
Directores de Carreras
Rosa Hernández, Analista Administrativo
Romel López, Analista Académico</t>
  </si>
  <si>
    <t>Este proceso se realiza dos veces al año, uno en cada periodo académico.</t>
  </si>
  <si>
    <t>15.- Presentar la Planificación Operativa Anual y Evaluación de la Planificación Operativa Anual.</t>
  </si>
  <si>
    <t>N° de Planificaciones Operativas Anuales y Evaluaciones del POA entregadas</t>
  </si>
  <si>
    <t>1.- Elaborar el POA 2024.
2.- Elaborar la Evaluación del POA 2023.</t>
  </si>
  <si>
    <t>1.- Oficio y presentación de la Evaluación del POA 2023.
2.- Oficio y presentación del POA 2024.</t>
  </si>
  <si>
    <t>Ing. Abrahan Cervantes Alava, Subdecano FCA.
Rosa Hernández, Analista Administrativo</t>
  </si>
  <si>
    <t>16.- Organizar el Archivo de Gestión.</t>
  </si>
  <si>
    <t>N° de carpetas registradas en el inventario documental</t>
  </si>
  <si>
    <t>1.- Realizar el inventario documental de carpetas del archivo que reposan en el Subdecanato.</t>
  </si>
  <si>
    <t>Rosa Hernández, Analista Administrativo.
Romel López, Analista Académico</t>
  </si>
  <si>
    <t>TOTAL PRESUPUESTO ESTIMATIVO DEL SUBDECANATO 2023:</t>
  </si>
  <si>
    <t>UNIDAD DE MATRICULACIÓN, MOVILIDAD Y GRADUACIÓN</t>
  </si>
  <si>
    <r>
      <rPr>
        <b/>
        <sz val="10"/>
        <color rgb="FFFF0000"/>
        <rFont val="Arial Narrow"/>
        <family val="2"/>
      </rPr>
      <t>METAS OPERATIVAS</t>
    </r>
    <r>
      <rPr>
        <sz val="10"/>
        <color theme="1"/>
        <rFont val="Arial Narrow"/>
        <family val="2"/>
      </rPr>
      <t xml:space="preserve">
1.- Coordinar y ejecutar los Procesos de Matriculación.</t>
    </r>
  </si>
  <si>
    <t>Proceso de matrículas en cada período académico, organizados y dirigidos.</t>
  </si>
  <si>
    <t>N° de estudiantes legalmente matriculados.</t>
  </si>
  <si>
    <t>1.- Hoja Matrícula.
2.- Validar Matrícula.</t>
  </si>
  <si>
    <t>1.- Reporte de Matriculados en la plataforma del Siutmach.</t>
  </si>
  <si>
    <t>Segundo Quinche , JEFE DE UMMOG,                                            Mayra  Soto Analista UMMOG</t>
  </si>
  <si>
    <t>2.- Ejecutar y validar los cambios de paralelos, cambios de sección y retiros de carrera y/o asignaturas autorizados por el Consejo Directivo.</t>
  </si>
  <si>
    <t>Matrículas, los cambios de paralelos, cambios de sección y retiros de carrera y/o asignaturas autorizados por el Consejo Directivo, ejecutadas y validadas.</t>
  </si>
  <si>
    <t>N° de estudiantes que solicitan cambio de paralelos y  retiro de asignaturas.</t>
  </si>
  <si>
    <t>1.- Identificar al estudiante.
2. Invalidar  la matrícula.
3.- Aplicar las observaciones de la Resolución H.C.Directivo.
4.- Reportar matrículas invalidadas.
5.- Autorización de cambio.</t>
  </si>
  <si>
    <t>1.- Resolución Consejo Directivo.
2.- Reporte de Matrículas invalidadas descargadas del Siutmach.</t>
  </si>
  <si>
    <t>3.- Coordinar y Ejecutar los Procesos de Movilidad.</t>
  </si>
  <si>
    <t>Solicitudes de movilidad de los peticionarios para la elaboración del Informe Técnico de Reconocimiento u Homologación de Estudios de asignaturas, cursos o sus equivalentes de grado, revisados y remitidos.</t>
  </si>
  <si>
    <t>N° de Solicitudes de peticionarios de homologación de otras IES y de la misma IES.</t>
  </si>
  <si>
    <t>1.- Atender a estudiantes provenientes de otras IES y de la misma IES.</t>
  </si>
  <si>
    <t>1.- Reporte de Estudiantes Homologados.
2.- Solicitud.
3.- Pases de Año.
4.- Matrículas.
5.- Malla Curricular.
6.- Certificado de no Poseer tercera matrícula.
7.- Certificado de conducta.
8.- Xerox Copia Reglamento de Calificaciones.
9.- Hoja de Puntaje de ser Bachiller.
10.- Xerox Copia Título.
11.- Xerox copia de C. Identidad o Pasaporte.
12.- Syllabus de cada asignatura.
13.- Oficio a Coordinador de Carrera.</t>
  </si>
  <si>
    <t>Segundo Quinche , JEFE DE UMMOG,                                            Mayra  Soto Analista Matrícula Glenda Velasco,Analista Administrativa                                       Nadia Gallardo, Analista Estadística</t>
  </si>
  <si>
    <t>4.- Coordinar los procesos de registros y/o validación de calificaciones.</t>
  </si>
  <si>
    <t>Atención de los casos de solicitudes de Reconocimiento u Homologación de Estudios de asignaturas, cursos o sus equivalentes de grado, coordinados.</t>
  </si>
  <si>
    <t>N° de estudiantes Homologados.</t>
  </si>
  <si>
    <t>1.- Atender el registro de la validación de calificaciones de estudiantes homologados por Resolución de H.Consejo Directivo.</t>
  </si>
  <si>
    <t>1.- Oficio a Subdecanato para Comisión Académica.
2.- Resolución Consejo Directivo, aprobando las asignaturas homologadas.
3.- Ingreso de calificaciones de  las asignaturas homologadas.</t>
  </si>
  <si>
    <t>Segundo Quinche, JEFE UMMOG, Mayra Soto, Analista Matrícula                Nadia Gallardo Analista  Estadística, Glenda Velasco Analista administrativa</t>
  </si>
  <si>
    <t>5.- Apertura del Sistema para registro de calificaciones extemporáneas según resolución del Consejo Directivo.</t>
  </si>
  <si>
    <t>Actas de calificaciones recibidas de los docentes en cada periodo académico para el control del récord académico de las y los estudiantes en la plataforma informática de la UTMACH, revisados y validados.</t>
  </si>
  <si>
    <t>N° de actas aperturadas con  Resoluciones de Consejo Directivo de estudiantes con calificaciones extemporáneas.</t>
  </si>
  <si>
    <t>1.-Atender las resoluciones del Consejo Directivo de registro de calificaciones extemporáneas.</t>
  </si>
  <si>
    <t>1.- Oficio de la Resolución Consejo Directivo que autoriza la apertura del acta y al docente la corrección de la calificación y detalla nombre del estudiante y Número de acta.</t>
  </si>
  <si>
    <t>Segundo Quinche JEFE UMMOG  Nadia Gallardo Analista de Estadistica</t>
  </si>
  <si>
    <t>6.- Organizar y supervisar las fases del proceso de titulación.</t>
  </si>
  <si>
    <t>Fases del proceso de titulación, organizado y supervisado.</t>
  </si>
  <si>
    <t>N° de Procesos de Titulación; Modalidad Titulación y Examen Complexivo.</t>
  </si>
  <si>
    <t>1.- Supervisar los procesos de titulación.</t>
  </si>
  <si>
    <t>1.- Cronograma de Titulación.
2.- Reporte de estudiantes matriculados.
3.- Oficio de Comisión Académica y reportes de tutores y Comité evaluador.
4.- Oficio al Decanato listado de estudiantes a graduarse con cuadro de tesorería que indica la gratuidad, segundo titulo y menos del 30%.
5.- Aptitud Legal.
6.- Actas Consolidadas.
7.- Actas de Graduación.
8.- Programa de Incorporación.</t>
  </si>
  <si>
    <t>Segundo Quinche JEFE UMMOG Glenda Velasco ,Analista Administrativa.                                   Nadia Gallardo , Analista de Estadistica</t>
  </si>
  <si>
    <t>7.- Emitir Informes de designación de tutor y comité evaluador.</t>
  </si>
  <si>
    <t>Informes de designación de tutor y comité evaluador, efectuado.</t>
  </si>
  <si>
    <t>N° de Reportes de Tutores y Comité evaluador.</t>
  </si>
  <si>
    <t>1.- Atender los reportes de los coordinadores de las Carreras de la designación de tutores y comites evaluadores.</t>
  </si>
  <si>
    <t>1.- Descargar de la plataforma de titulación los  reportes de los tutores y especialistas,Modalidad Titulación y Complexivo de las carreras.
2.- Oficio a Comisión Académica de Comité evaluador.</t>
  </si>
  <si>
    <t>Segundo Quinche, JEFE UMMOG Glenda Velasco Analista administrativa</t>
  </si>
  <si>
    <t>8.- Coordinar y Ejecutar los Procesos de Graduación.</t>
  </si>
  <si>
    <t>Informes al Consejo Directivo sobre la aptitud legal y graduación, revisado y emitido.</t>
  </si>
  <si>
    <t>N° de Graduados en el proceso de Titulación.</t>
  </si>
  <si>
    <t>1.- Despachar los procesos de graduación de acuerdo al Cronograma de Titulación.</t>
  </si>
  <si>
    <t>1.- Oficios Aptitud Legal.
2.- Oficio a Decanato con listado de estudiante a graduarse.
3.- Actas  Consolidadas.
4-- Actas de Graduación.</t>
  </si>
  <si>
    <t>Segundo Quinche,JEFE UMMOG. Glenda Velasco, Analista  adm y Nadia Gallardo. Anal. Estadística</t>
  </si>
  <si>
    <t>9.- Emitir Informes para certificaciones de procesos de matrícula, movilidad, graduación y estadística.</t>
  </si>
  <si>
    <t>Informes para certificaciones de procesos de matrícula, movilidad, graduación y estadística, emitido.</t>
  </si>
  <si>
    <t>N° de Certificaciones.</t>
  </si>
  <si>
    <t>1.- Despachar las certificaciones.</t>
  </si>
  <si>
    <t>1.- Reporte de certificados de Matrícula.
2.- Reporte de Pases de Año.
3.- Reporte de certificados de culminación de estudio.</t>
  </si>
  <si>
    <t>Segundo Quinche, JEFE UMMOG. Glenda Velasco Analista Administ. Mayra Soto, Analista de Matrícula, Nadia Gallardo,  Analista de Estadistica</t>
  </si>
  <si>
    <t>10.- Emitir Informes Técnicos para procesos internos y externos.</t>
  </si>
  <si>
    <t>Levantamiento y/o actualización de información de los estudiantes y graduados, solicitados por los entes reguladores internos y externos, efectuado.</t>
  </si>
  <si>
    <t>N° de Informes Técnico.</t>
  </si>
  <si>
    <t>1.- Atender informes procedentes de otras dependencias.</t>
  </si>
  <si>
    <t>1.- Oficios.
2.- Informe.</t>
  </si>
  <si>
    <t xml:space="preserve">Segundo Quinche, JEFE UMMOG, Mayra Soto, Analista Matrícula                Nadia Gallardo Analista  Estadística, </t>
  </si>
  <si>
    <t>11.- Presentar la Planificación Operativa Anual y Evaluación de la Planificación Operativo Anual.</t>
  </si>
  <si>
    <t>N° de Planificación Operativa  Anual y evaluaciones del POA presentados.</t>
  </si>
  <si>
    <t>1.- POA 2024.
2.- Oficio de la entrega del POA 2024.
3.- Evaluación del POA 2023.
4.- Oficio de la entrega de la Evaluación del POA 2023.</t>
  </si>
  <si>
    <t>Segundo Quinche, Jefe de UMMOG                                                 Glenda Velasco Analista Administrativa</t>
  </si>
  <si>
    <t>12.- Organizar el Archivo Intermedio.</t>
  </si>
  <si>
    <t>N° de oficios organizados.</t>
  </si>
  <si>
    <t>1.- Clasificar, organizar y registrar el Archivo del UMMOG, emitidos por la Unidad de Matrícula y Movilidad.</t>
  </si>
  <si>
    <t>1.- Realizar el Ingreso de la documentación al Inventario de Archivo.
2.- Etiquetar las Carpetas.
3.- Detallar en las cajas la documentación que se archiva.</t>
  </si>
  <si>
    <t>Glenda Velasco Analista administrativa</t>
  </si>
  <si>
    <t>TOTAL PRESUPUESTO ESTIMATIVO DE LA UNIDAD DE MATRICULACIÓN, MOVILIDAD Y GRADUACIÓN 2023:</t>
  </si>
  <si>
    <t>SECRETARÍA Y ARCHIVO</t>
  </si>
  <si>
    <r>
      <rPr>
        <b/>
        <sz val="10"/>
        <color rgb="FFFF0000"/>
        <rFont val="Arial Narrow"/>
        <family val="2"/>
      </rPr>
      <t>METAS OPERATIVAS</t>
    </r>
    <r>
      <rPr>
        <sz val="10"/>
        <color theme="1"/>
        <rFont val="Arial Narrow"/>
        <family val="2"/>
      </rPr>
      <t xml:space="preserve">
1.- Emitir y notificar las convocatorias, actas y resoluciones de Consejo Directivo.</t>
    </r>
  </si>
  <si>
    <t>Sesiones de Consejo Directivo, efectuadas.</t>
  </si>
  <si>
    <t>N° de sesiones de Consejo Directivo efectuadas.</t>
  </si>
  <si>
    <t>1.- Organizar documentos.
2.- Elaborar Orden del dia.
3.- Elaborar Convocatorias.
4.- Elaborar Resoluciones.
5.- Elaborar Actas de Sesiones.</t>
  </si>
  <si>
    <t>1.- Reporte de Sesiones de Consejo Directivo.</t>
  </si>
  <si>
    <t>Dr. Ivan Ramirez Morales PhD Decano FCA                             Abg. Yomar Torres Machuca        Secretaria Abogada FCA</t>
  </si>
  <si>
    <t>2.- Emitir y/o legalizar las Certificaciones de la Facultad.</t>
  </si>
  <si>
    <t>Copias, compulsas de actos administrativos y documentos oficiales que reposan en la Facultad, certificadas.</t>
  </si>
  <si>
    <t>N° de Copias, compulsas de actos administrativos y documentos oficiales que reposan en la Facultad, certificadas.</t>
  </si>
  <si>
    <t>1.- Suscribir certificados y certificaciones de estudiantes de la FCA.
2.- Suscribir certificaciones según petición de usuarios.
3.- Emitir Copias y compulsas Certificadas.</t>
  </si>
  <si>
    <t>1.- Reporte de Certificaciones de estudiantes.
2.- Reporte de Certificaciones al personal académico y administrativo.
3.- Reporte de Solicitudes de Certificación de copias.</t>
  </si>
  <si>
    <t>3.- Registrar y distribuir la correspondencia interna y externa de la Facultad.</t>
  </si>
  <si>
    <t>Correspondencia interna y externa de la facultad registrada y despachada.</t>
  </si>
  <si>
    <t>N° de oficios enviados y recibidos.</t>
  </si>
  <si>
    <t>1.- Receptar documentos y correos con disposiciones, para Consejo Directivo.
2.- Elaborar Oficios para notificar resoluciones de Consejo Directivo.</t>
  </si>
  <si>
    <t>1.- Reporte de oficios recibidos.
2.- Reporte de Oficios enviados.</t>
  </si>
  <si>
    <t>4.- Brindar asesoría jurídica a las Autoridades y dependencias de la Facultad.</t>
  </si>
  <si>
    <t>Asesoría jurídica a las Autoridades y dependencias de la Facultad, brindada.</t>
  </si>
  <si>
    <t>N° de asesorías Jurídicas efectuadas  a las Autoridades y usuarios de la Facultad.</t>
  </si>
  <si>
    <t>1.- Brindar asesoramiento jurídico a autoridades en tramites administrativos y académicos.
2.- Ofrecer Asesorías jurídicas a estudiantes en cuanto a terceras matrículas, retiro de carrera, retiro de asignaturas, titulación, etc.</t>
  </si>
  <si>
    <t xml:space="preserve"> 1.- Reporte de Asesoramientos Juridicos a Autidades y usuarios.</t>
  </si>
  <si>
    <t xml:space="preserve">Ab. Yomar Torres Machuca, Secretaria Abogada FCA. </t>
  </si>
  <si>
    <t>5.- Emitir Informes jurídicos de los procesos disciplinarios, académicos y/o administrativos de la Facultad.</t>
  </si>
  <si>
    <t>Informes jurídicos requeridos por las autoridades académicas y de los procesos disciplinarios, académicos y/o administrativos de la Facultad emitidos.</t>
  </si>
  <si>
    <t>N° de Informes jurídicos emitidos.</t>
  </si>
  <si>
    <t>1.- Remitir informes jurídicos solicitados por las autoridades, referente a entrega de documentación, terceras matrículas, caso fortuito y fuerza mayor, retiro de asignaturas, etc.</t>
  </si>
  <si>
    <t>1.- Reporte de Informes Jurídicos.</t>
  </si>
  <si>
    <t>6.- Receptar y tramitar la documentación sumillada para Consejo Directivo</t>
  </si>
  <si>
    <t xml:space="preserve">Documentación para tratamiento del Consejo Directivo administrada. </t>
  </si>
  <si>
    <t>N° de documentación enviada por correo electrónico para tratamiento para Consejo Directivo.</t>
  </si>
  <si>
    <t>1.- Organizar documentos para el tratamiento de Consejo Directivo.</t>
  </si>
  <si>
    <t>1.- Reporte de Correos electrónicos emitidos para el tratamiento en Consejo Directivo.</t>
  </si>
  <si>
    <t>7.- Presentar la Planificación Operativa Anual y Evaluación de la Planificación Operativa Anual.</t>
  </si>
  <si>
    <t>N° de la Planificación Operativa Anual y Evaluación de la Planificación Operativa Anual entregadas.</t>
  </si>
  <si>
    <t>1.- Elaborar el POA 2024.
2.- Elaborar la Evaluación del POA 2023..</t>
  </si>
  <si>
    <t>8.- Organizar el Archivo intermedio.</t>
  </si>
  <si>
    <t>Archivo intermedio organizado.</t>
  </si>
  <si>
    <t>N° de Cajas de archivo organizado.</t>
  </si>
  <si>
    <t>1.- Clasificar, organizar y registrar el Archivo.</t>
  </si>
  <si>
    <t>1.- Reporte de Inventario Documental.</t>
  </si>
  <si>
    <t xml:space="preserve">Ab. Yomar Torres Machuca, Secretaria Abogada FCA.           Ab. Luis Ernesto Barzallo Castañeda Tecnico de Archivo </t>
  </si>
  <si>
    <t>Scanner para libros, empastados y archivo</t>
  </si>
  <si>
    <t>Scanner</t>
  </si>
  <si>
    <t>TOTAL PRESUPUESTO ESTIMATIVO DE SECRETARÍA Y ARCHIVO 2023:</t>
  </si>
  <si>
    <t>ACUICULTURA</t>
  </si>
  <si>
    <r>
      <rPr>
        <b/>
        <sz val="10"/>
        <color rgb="FFFF0000"/>
        <rFont val="Arial Narrow"/>
        <family val="2"/>
      </rPr>
      <t>METAS OPERATIVAS</t>
    </r>
    <r>
      <rPr>
        <sz val="10"/>
        <color rgb="FFFF0000"/>
        <rFont val="Arial Narrow"/>
        <family val="2"/>
      </rPr>
      <t xml:space="preserve">
</t>
    </r>
    <r>
      <rPr>
        <sz val="10"/>
        <color theme="1"/>
        <rFont val="Arial Narrow"/>
        <family val="2"/>
      </rPr>
      <t>1.- Participar la Comisión académica.</t>
    </r>
  </si>
  <si>
    <t>Conformar la Comisión Académica, ejecutado.</t>
  </si>
  <si>
    <t>N° de sesiones de Comisión Académica, ejecutadas.</t>
  </si>
  <si>
    <t>1.- Participar en las comisiones académicas convocadas.</t>
  </si>
  <si>
    <t>1.- Registro de asistencia a las sesiones.</t>
  </si>
  <si>
    <t>Subdecano, Ing. Abrahan Cervantes
Director Académico de Carrera, Ing. Patricio Quizhpe
Analista Acadèmico, Ing. Romel Lopez
Analista Administrativa, Lcda. Rosa Hernández</t>
  </si>
  <si>
    <r>
      <rPr>
        <sz val="10"/>
        <color theme="1"/>
        <rFont val="Arial Narrow"/>
        <family val="2"/>
      </rPr>
      <t>2.-</t>
    </r>
    <r>
      <rPr>
        <sz val="10"/>
        <color theme="1"/>
        <rFont val="Arial Narrow"/>
        <family val="2"/>
      </rPr>
      <t xml:space="preserve"> Participar en las Sesiones de Comité de Evaluación Interna de Carrera</t>
    </r>
    <r>
      <rPr>
        <sz val="10"/>
        <color theme="1"/>
        <rFont val="Arial Narrow"/>
        <family val="2"/>
      </rPr>
      <t>.</t>
    </r>
  </si>
  <si>
    <t>Sesiones de Comité de Evaluación Interna de Carrera, ejecutado.</t>
  </si>
  <si>
    <t>N° de participaciones en las Sesiones de Comité de Evaluación Interna de Carrera, ejecutadas.</t>
  </si>
  <si>
    <t>1.- Participar en las Sesiones de Comité de Evaluación Interna de Carrera.</t>
  </si>
  <si>
    <t>Director Académico de Carrera, Ing. Patricio Quizhpe
Miembros del Comité de Evaluación de carrera.                  Analista Acadèmico, Ing. Romel López</t>
  </si>
  <si>
    <r>
      <rPr>
        <sz val="10"/>
        <color theme="1"/>
        <rFont val="Arial Narrow"/>
        <family val="2"/>
      </rPr>
      <t>3.-</t>
    </r>
    <r>
      <rPr>
        <sz val="10"/>
        <color theme="1"/>
        <rFont val="Arial Narrow"/>
        <family val="2"/>
      </rPr>
      <t xml:space="preserve"> Elaborar la  terna del personal académico y estudiantil que integrará el Comité de Evaluación Interna de Carrera</t>
    </r>
  </si>
  <si>
    <t>Terna del personal académico y estudiantil que integrará el Comité de Evaluación Interna de Carrera, gestionado.</t>
  </si>
  <si>
    <t>N° de elaboración de la terna del Comité de Evaluación Interna de Carrera, gestionadas.</t>
  </si>
  <si>
    <t>1.- Elaborar de la terna del Comité de Evaluación Interna de Carrera.</t>
  </si>
  <si>
    <t>1.- Oficio entregado al Subdecanato.</t>
  </si>
  <si>
    <t>Director Académico de Carrera, Ing. Patricio Quizhpe
Analista Acadèmico, Ing. Romel López</t>
  </si>
  <si>
    <r>
      <rPr>
        <sz val="10"/>
        <color theme="1"/>
        <rFont val="Arial Narrow"/>
        <family val="2"/>
      </rPr>
      <t>4.-</t>
    </r>
    <r>
      <rPr>
        <sz val="10"/>
        <color theme="1"/>
        <rFont val="Arial Narrow"/>
        <family val="2"/>
      </rPr>
      <t xml:space="preserve"> Designar a los responsables de colectivos académicos de carrera: Titulación, Evaluación y Acreditación de la Calidad, Prácticas Pre-profesionales o laborales, y servicio comunitario.</t>
    </r>
  </si>
  <si>
    <t>Responsables de colectivos académicos de carrera: Titulación, Evaluación y Acreditación de la Calidad, Prácticas Pre-profesionales o laborales, y servicio comunitario, realizado.</t>
  </si>
  <si>
    <t>N° de informes de los responsables de colectivos académicos de carrera: Titulación, Evaluación y Acreditación de la Calidad, Prácticas Pre-profesionales o laborales, y servicio comunitario, realizados.</t>
  </si>
  <si>
    <t>1.- Designar a los docentes que serán responsables de los colectivos.</t>
  </si>
  <si>
    <t xml:space="preserve">1.- Oficio entregado al docente con su designación. </t>
  </si>
  <si>
    <r>
      <rPr>
        <sz val="10"/>
        <color theme="1"/>
        <rFont val="Arial Narrow"/>
        <family val="2"/>
      </rPr>
      <t>5.-</t>
    </r>
    <r>
      <rPr>
        <sz val="10"/>
        <color theme="1"/>
        <rFont val="Arial Narrow"/>
        <family val="2"/>
      </rPr>
      <t xml:space="preserve"> Gestionar los procesos que garantizan el cumplimiento de las funciones sustantivas de la educación superior: docencia , investigación y vinculación en la facultad que dirige.</t>
    </r>
  </si>
  <si>
    <t>Procesos que garantizan el cumplimiento de las funciones sustantivas de la educación superior: docencia, investigación y vinculación en la facultad que dirige; ejecutados.</t>
  </si>
  <si>
    <t>N° de procesos que garantizan el cumplimiento de las funciones sustantivas de la educación superior: docencia, investigación y vinculación en la facultad que dirige; ejecutados.</t>
  </si>
  <si>
    <t>1.- Ejecutar el proceso de elaboración, ingreso, revisión y seguimiento al silabo.
2.- Ejecutar el proceso del colectivo de vinculación.</t>
  </si>
  <si>
    <t>1.- Informes de la comisión de revisión y seguimiento al syllabus.
1.- Informe del colectivo de vinculación.</t>
  </si>
  <si>
    <t>Director Académico de Carrera, Ing. Patricio Quizhpe
Responsable de los colectivos.   Analista Acadèmico, Ing. Romel López</t>
  </si>
  <si>
    <t>6.- Participar en las Sesiones de  trabajo convocadas por las Autoridades correspondientes.</t>
  </si>
  <si>
    <t>Sesiones de trabajo convocadas por las Autoridades correspondientes, sesionado.</t>
  </si>
  <si>
    <t>N° de participaciones en las Sesiones de trabajo convocadas por las Autoridades correspondientes, sesionadas.</t>
  </si>
  <si>
    <t>1.- Participar en las sesiones convocadas por las autoridades correspondientes.</t>
  </si>
  <si>
    <t>7.- Informar al Subdecanato las  Irregularidades, inconformidades y/o polémicas surgidas en el ambiente académico de su carrera.</t>
  </si>
  <si>
    <t>Irregularidades, inconformidades y/o polémicas surgidas en el ambiente académico de su carrera, informadas.</t>
  </si>
  <si>
    <t>N° de Irregularidades, inconformidades y/o polémicas surgidas en el ambiente académico de su carrera, informadas.</t>
  </si>
  <si>
    <t>1.- Informar de las Irregularidades, inconformidades y/o polémicas surgidas en el ambiente académico de su carrera.</t>
  </si>
  <si>
    <t>1.- Oficios.
2.- e-mails.</t>
  </si>
  <si>
    <t>Subdecano, Ing. Abrahan Cervantes
Director Académico de Carrera, Ing. Patricio Quizhpe
Analista Acadèmico, Ing. Romel López
Analista Administrativa, Lcda. Rosa Hernández</t>
  </si>
  <si>
    <t>8.- Elaborar el  Distributivo académico de la carrera.</t>
  </si>
  <si>
    <t>Distributivo académico de su carrera, elaborado.</t>
  </si>
  <si>
    <t>N° de distributivo académico de la carrera, elaborado.</t>
  </si>
  <si>
    <t>1.- Elaborar el distributivo de la carrera.</t>
  </si>
  <si>
    <t xml:space="preserve">1.- Resolución del H. Consejo Directivo. </t>
  </si>
  <si>
    <t>9.- Realizar reuniones periódicas del personal académico</t>
  </si>
  <si>
    <t>Reuniones periódicas del personal académico, gestionadas.</t>
  </si>
  <si>
    <t>N° de reuniones periódicas del personal académico, gestionadas.</t>
  </si>
  <si>
    <t xml:space="preserve">1.- Realizar las reuniones periódicas del personal académico. </t>
  </si>
  <si>
    <t>1.- Registro de asistencia a las reuniones.</t>
  </si>
  <si>
    <t>10.- Gestionar el sistema de tutorías del proceso enseñanza-aprendizaje de la carrera.</t>
  </si>
  <si>
    <t>Sistema de tutorías del proceso enseñanza-aprendizaje de la carrera; gestionado.</t>
  </si>
  <si>
    <t>N° de informes de tutorías del proceso enseñanza-aprendizaje de la carrera; gestionado.</t>
  </si>
  <si>
    <t>1.- Informes realizados por el Director Académico de Carrera, gestionados.</t>
  </si>
  <si>
    <t>1.- Oficio entregado al Subdecano.</t>
  </si>
  <si>
    <t xml:space="preserve">11.- Asesorar al claustro docente del Plan de estudio de la carrera. </t>
  </si>
  <si>
    <t>Plan de estudio de la carrera; asesorado.</t>
  </si>
  <si>
    <t>N° de asesoramiento al claustro docente del Plan de estudio de la carrera.</t>
  </si>
  <si>
    <t>1.- Asesorar al claustro docente del Plan de estudio de la carrera.</t>
  </si>
  <si>
    <t>1.- Registro de asistencia a los asesoramientos.</t>
  </si>
  <si>
    <t>12.- Visitar las aulas de clase con fines formativos y de asesoramiento</t>
  </si>
  <si>
    <t>Aulas de clase con fines formativos y de asesoramiento, realizadas.</t>
  </si>
  <si>
    <t>N° de visitas a las aulas de clase con fines formativos y de asesoramiento, realizadas.</t>
  </si>
  <si>
    <t>1.- Visitar las aulas de clase.</t>
  </si>
  <si>
    <t>1.- Registro de las visitas a las aulas.</t>
  </si>
  <si>
    <t>13.- Participación en las actividades relacionadas con diseño curricular de la carrera.</t>
  </si>
  <si>
    <t>Actividades relacionadas con diseño curricular de la carrera; gestionadas.</t>
  </si>
  <si>
    <t>N° de actividades relacionadas con diseño curricular de la carrera; gestionadas.</t>
  </si>
  <si>
    <t>1.- Participación en las actividades relacionadas con diseño curricular de la carrera.</t>
  </si>
  <si>
    <t>14.- Controlar la entrega de actas de calificaciones parciales y/o finales de las asignaturas.</t>
  </si>
  <si>
    <t>Entrega de actas de calificaciones parciales y/o finales de las asignaturas; efectuado.</t>
  </si>
  <si>
    <t>N° de actas de calificaciones parciales y/o finales de las asignaturas; gestionadas.</t>
  </si>
  <si>
    <t>1.- Controlar la entrega de actas de calificaciones parciales y/o finales de las asignaturas.</t>
  </si>
  <si>
    <t>1.- Actas de calificaciones gestionadas.</t>
  </si>
  <si>
    <t>Director Académico de Carrera, Ing. Patricio Quizhpe
Analista Académico, Ing. Romel López</t>
  </si>
  <si>
    <t>15.- Atender a la brevedad posible las actividades que soliciten.</t>
  </si>
  <si>
    <t>Otras que se deriven de las disposiciones emitidas por las autoridades, Consejo Directivo, el presente Estatuto, y demás normativa vigente.</t>
  </si>
  <si>
    <t>N° de actividades solicitadas.</t>
  </si>
  <si>
    <t>1.- Dependiendo de lo solicitado.</t>
  </si>
  <si>
    <t>TOTAL PRESUPUESTO ESTIMATIVO CARRERA DE ACUICULTURA 2023:</t>
  </si>
  <si>
    <t>AGRONOMÍA</t>
  </si>
  <si>
    <r>
      <rPr>
        <b/>
        <sz val="10"/>
        <color rgb="FFFF0000"/>
        <rFont val="Arial Narrow"/>
        <family val="2"/>
      </rPr>
      <t xml:space="preserve">METAS OPERATIVAS
</t>
    </r>
    <r>
      <rPr>
        <sz val="10"/>
        <color theme="1"/>
        <rFont val="Arial Narrow"/>
        <family val="2"/>
      </rPr>
      <t>1.- Participar la Comisión académica.</t>
    </r>
  </si>
  <si>
    <t>Subdecano, Ing. Abrahan Cervantes
Director Académico de Carrera, Ing. Edison Jaramillo
Analista Acadèmico, Ing. Romel López
Analista Administrativa, Lcda. Rosa Hernández</t>
  </si>
  <si>
    <t>2.- Participar en las Sesiones de Comité de Evaluación Interna de Carrera.</t>
  </si>
  <si>
    <t>Director Académico de Carrera, Ing. Edison Jaramillo
Miembros del Comité de Evaluación de carrera.                  Analista Acadèmico, Ing. Romel López</t>
  </si>
  <si>
    <t>3.- Elaborar la  terna del personal académico y estudiantil que integrará el Comité de Evaluación Interna de Carrera.</t>
  </si>
  <si>
    <t>Director Académico de Carrera, Ing. Edison Jaramaillo
Analista Acadèmico, Ing. Romel López</t>
  </si>
  <si>
    <t>4.- Designar a los responsables de colectivos académicos de carrera: Titulación, Evaluación y Acreditación de la Calidad, Prácticas Pre-profesionales o laborales, y servicio comunitario.</t>
  </si>
  <si>
    <t>1.- Oficio entregado al docente con su designación.</t>
  </si>
  <si>
    <t>Director Académico de Carrera, Ing. Edison Jaramillo
Analista Acadèmico, Ing. Romel López</t>
  </si>
  <si>
    <t>5.- Gestionar los procesos que garantizan el cumplimiento de las funciones sustantivas de la educación superior: docencia , investigación y vinculación en la facultad que dirige.</t>
  </si>
  <si>
    <t>N° de procesos que garantizan el cumplimiento de las funciones sustantivas de la educación superior: docencia , investigación y vinculación en la facultad que dirige; ejecutados.</t>
  </si>
  <si>
    <t>1.- Informes de la comisión de revisión y seguimiento al syllabus.
2.- Informe del colectivo de vinculación.</t>
  </si>
  <si>
    <t>Director Académico de Carrera, Ing. Edison Jaramillo
Responsable de los colectivos.   Analista Acadèmico, Ing. Romel López</t>
  </si>
  <si>
    <t>Director Académico de Carrera, Ing. Edison Jaramillo
Responsable de los colectivos.   Analista Académico, Ing. Romel López</t>
  </si>
  <si>
    <t xml:space="preserve">1.- Aprobación del Distributivo por Resolución del H. Consejo Directivo. </t>
  </si>
  <si>
    <t>9.- Realizar reuniones periódicas del personal académico.</t>
  </si>
  <si>
    <t>12.- Visitar las aulas de clase con fines formativos y de asesoramiento.</t>
  </si>
  <si>
    <t>Director Académico de Carrera, Ing. Edison Jaramillo
Analista Académico, Ing. Romel López</t>
  </si>
  <si>
    <t>TOTAL PRESUPUESTO ESTIMATIVO DE AGRONOMÍA 2023:</t>
  </si>
  <si>
    <t>ECONOMÍA AGROPECUARIA</t>
  </si>
  <si>
    <t>1.-  Participar en las comisiones académicas convocadas.</t>
  </si>
  <si>
    <t>Subdecano, Ing. Abrahan Cervantes
Director Académico de Carrera, Ing. Paola Gálvez
Analista Acadèmico, Ing. Romel López
Analista Administrativa, Lcda. Rosa Hernández</t>
  </si>
  <si>
    <t>Director Académico de Carrera, Ing. Paola Galvez
Miembros del Comité de Evaluación de carrera.                  Analista Acadèmico, Ing. Romel López</t>
  </si>
  <si>
    <t>Director Académico de Carrera, Ing. Paola Gálvez
Analista Acadèmico, Ing. Romel López</t>
  </si>
  <si>
    <t>Procesos que garantizan el cumplimiento de las funciones sustantivas de la educación superior: docencia , investigación y vinculación en la facultad que dirige; ejecutados.</t>
  </si>
  <si>
    <t>Director Académico de Carrera, Ing. Paola Gálvez
Responsable de los colectivos.   Analista Acadèmico, Ing. Romel López</t>
  </si>
  <si>
    <t>N° de participaciones en las Sesiones de  trabajo convocadas por las Autoridades correspondientes, sesionadas.</t>
  </si>
  <si>
    <t>Director Académico de Carrera, Ing. Paola Gálvez
Analista Académico, Ing. Romel López</t>
  </si>
  <si>
    <t>TOTAL PRESUPUESTO ESTIMATIVO DE ECONOMÍA AGROPECUARIA 2023:</t>
  </si>
  <si>
    <t>MEDICINA VETERINARIA</t>
  </si>
  <si>
    <t>Subdecano, Ing. Abrahan Cervantes
Director Académico de Carrera, Dra. Lorena Zapata
Analista Académico, Ing. Romel López
Analista Administrativa, Lcda. Rosa Hernández</t>
  </si>
  <si>
    <t>Director Académico de Carrera, Dra. Lorena Zapata
Miembros del Comité de Evaluación de carrera.                  Analista Acadèmico, Ing. Romel López</t>
  </si>
  <si>
    <t>Director Académico de Carrera, Dra. Lorena Zapata
Analista Académico, Ing. Romel López</t>
  </si>
  <si>
    <t>1- Ejecutar el proceso de elaboración, ingreso, revisión y seguimiento al silabo.
2.- Ejecutar el proceso del colectivo de vinculación.</t>
  </si>
  <si>
    <t>Director Académico de Carrera, Dra. Lorena Zapata
Responsable de los colectivos.   Analista Académico, Ing. Romel López</t>
  </si>
  <si>
    <t>Subdecano, Ing. Abrahan Cervantes
Director Académico de Carrera, Dra. Lorena Zapata
Analista Acadèmico, Ing. Romel López
Analista Administrativa, Lcda. Rosa Hernández</t>
  </si>
  <si>
    <t>1.- Realizar las reuniones periódicas del personal académico.</t>
  </si>
  <si>
    <t>Subdecano, Ing. Abrahan Cervantes
Director Académico de Carrera, Dra. Lorena Zapata
Analista Académico, Ing. Romel Lopez
Analista Administrativa, Lcda. Rosa Hernández</t>
  </si>
  <si>
    <t>TOTAL PRESUPUESTO ESTIMATIVO DE MEDICINA VETERINARIA 2023:</t>
  </si>
  <si>
    <t>TOTAL PRESUPUESTO ESTIMATIVO FCA 2023:</t>
  </si>
  <si>
    <t>FACULTAD DE CIENCIAS EMPRESARIALES</t>
  </si>
  <si>
    <r>
      <t xml:space="preserve">Unidad </t>
    </r>
    <r>
      <rPr>
        <b/>
        <sz val="12"/>
        <color indexed="8"/>
        <rFont val="Cambria"/>
        <family val="1"/>
      </rPr>
      <t>(metros, litros etc.)</t>
    </r>
  </si>
  <si>
    <r>
      <rPr>
        <b/>
        <sz val="10"/>
        <color rgb="FFFF0000"/>
        <rFont val="Arial Narrow"/>
        <family val="2"/>
      </rPr>
      <t>METAS OPERATIVAS</t>
    </r>
    <r>
      <rPr>
        <b/>
        <sz val="10"/>
        <rFont val="Arial Narrow"/>
        <family val="2"/>
      </rPr>
      <t xml:space="preserve">
1.-</t>
    </r>
    <r>
      <rPr>
        <sz val="10"/>
        <rFont val="Arial Narrow"/>
        <family val="2"/>
      </rPr>
      <t xml:space="preserve"> Emitir directrices para garantizar la ejecución de los procesos administrativos y académicos.</t>
    </r>
  </si>
  <si>
    <t>Directrices para garantizar la ejecución de los procesos administrativos y académicos emitidas.</t>
  </si>
  <si>
    <t>N° de directrices emitidas desde el decanato de la Facultad.</t>
  </si>
  <si>
    <r>
      <rPr>
        <b/>
        <sz val="10"/>
        <rFont val="Arial Narrow"/>
        <family val="2"/>
      </rPr>
      <t>1.-</t>
    </r>
    <r>
      <rPr>
        <sz val="10"/>
        <rFont val="Arial Narrow"/>
        <family val="2"/>
      </rPr>
      <t xml:space="preserve"> Elaborar el distributivo del personal de limpieza en bloques de aulas y oficinas administrativas.
</t>
    </r>
    <r>
      <rPr>
        <b/>
        <sz val="10"/>
        <rFont val="Arial Narrow"/>
        <family val="2"/>
      </rPr>
      <t>2.-</t>
    </r>
    <r>
      <rPr>
        <sz val="10"/>
        <rFont val="Arial Narrow"/>
        <family val="2"/>
      </rPr>
      <t xml:space="preserve"> Elaborar el reporte de Autorización de Tercera Matrícula.
</t>
    </r>
    <r>
      <rPr>
        <b/>
        <sz val="10"/>
        <rFont val="Arial Narrow"/>
        <family val="2"/>
      </rPr>
      <t>3.-</t>
    </r>
    <r>
      <rPr>
        <sz val="10"/>
        <rFont val="Arial Narrow"/>
        <family val="2"/>
      </rPr>
      <t xml:space="preserve"> Elaborar el reporte de Autorización del cambio de condición de estado de Activo a Retirado.
</t>
    </r>
    <r>
      <rPr>
        <b/>
        <sz val="10"/>
        <rFont val="Arial Narrow"/>
        <family val="2"/>
      </rPr>
      <t>4.-</t>
    </r>
    <r>
      <rPr>
        <sz val="10"/>
        <rFont val="Arial Narrow"/>
        <family val="2"/>
      </rPr>
      <t xml:space="preserve"> Elaborar el reporte de Autorización de Retiro de Asignaturas.</t>
    </r>
  </si>
  <si>
    <r>
      <rPr>
        <b/>
        <sz val="10"/>
        <rFont val="Arial Narrow"/>
        <family val="2"/>
      </rPr>
      <t>1.-</t>
    </r>
    <r>
      <rPr>
        <sz val="10"/>
        <rFont val="Arial Narrow"/>
        <family val="2"/>
      </rPr>
      <t xml:space="preserve"> Distributivo en el primer cuatrimestre del personal de servicios con sus horarios.
</t>
    </r>
    <r>
      <rPr>
        <b/>
        <sz val="10"/>
        <rFont val="Arial Narrow"/>
        <family val="2"/>
      </rPr>
      <t>2.-</t>
    </r>
    <r>
      <rPr>
        <sz val="10"/>
        <rFont val="Arial Narrow"/>
        <family val="2"/>
      </rPr>
      <t xml:space="preserve"> Reporte en el segundo y tercer cuatrimestre de las autorizaciones emitidas por Consejo Directivo, para acceder a Tercera Matrícula.
</t>
    </r>
    <r>
      <rPr>
        <b/>
        <sz val="10"/>
        <rFont val="Arial Narrow"/>
        <family val="2"/>
      </rPr>
      <t>3.-</t>
    </r>
    <r>
      <rPr>
        <sz val="10"/>
        <rFont val="Arial Narrow"/>
        <family val="2"/>
      </rPr>
      <t xml:space="preserve"> Reporte en el segundo y tercer cuatrimestre de las autorizaciones emitidas por Consejo Directivo, para anulación de Matrícula.
</t>
    </r>
    <r>
      <rPr>
        <b/>
        <sz val="10"/>
        <rFont val="Arial Narrow"/>
        <family val="2"/>
      </rPr>
      <t>4.-</t>
    </r>
    <r>
      <rPr>
        <sz val="10"/>
        <rFont val="Arial Narrow"/>
        <family val="2"/>
      </rPr>
      <t xml:space="preserve"> Reporte en el segundo y tercer cuatrimestre de las autorizaciones emitidas por Consejo Directivo, para el retiro de asignaturas.</t>
    </r>
  </si>
  <si>
    <t>* Autoridad del Decanato,
  Ing. Javier Bermeo Pacheco
* Analista Administrativo del Decanato,
  Ing. Maura Mora Quevedo
* Secretaria Abogada,
  Teresa Vivanco Alama
* Administrador de Bienes,
  Ing. Ronald Echeverría Ramón</t>
  </si>
  <si>
    <r>
      <rPr>
        <b/>
        <sz val="10"/>
        <rFont val="Arial Narrow"/>
        <family val="2"/>
      </rPr>
      <t>2.-</t>
    </r>
    <r>
      <rPr>
        <sz val="10"/>
        <rFont val="Arial Narrow"/>
        <family val="2"/>
      </rPr>
      <t xml:space="preserve"> Supervisar y ejecutar los procesos administrativos y académicos.</t>
    </r>
  </si>
  <si>
    <t>N° de supervisiones ejecutadas de los procesos administrativos y académicos.</t>
  </si>
  <si>
    <r>
      <rPr>
        <b/>
        <sz val="10"/>
        <rFont val="Arial Narrow"/>
        <family val="2"/>
      </rPr>
      <t>1.-</t>
    </r>
    <r>
      <rPr>
        <sz val="10"/>
        <rFont val="Arial Narrow"/>
        <family val="2"/>
      </rPr>
      <t xml:space="preserve"> Elaborar el proceso de cumplimiento de Adquisición de Bienes.
</t>
    </r>
    <r>
      <rPr>
        <b/>
        <sz val="10"/>
        <rFont val="Arial Narrow"/>
        <family val="2"/>
      </rPr>
      <t>2.-</t>
    </r>
    <r>
      <rPr>
        <sz val="10"/>
        <rFont val="Arial Narrow"/>
        <family val="2"/>
      </rPr>
      <t xml:space="preserve"> Elaborar el reporte del cumplimiento del proceso de Matrícula de periodo académico.
</t>
    </r>
    <r>
      <rPr>
        <b/>
        <sz val="10"/>
        <rFont val="Arial Narrow"/>
        <family val="2"/>
      </rPr>
      <t>3.-</t>
    </r>
    <r>
      <rPr>
        <sz val="10"/>
        <rFont val="Arial Narrow"/>
        <family val="2"/>
      </rPr>
      <t xml:space="preserve"> Elaborar el reporte del cumplimiento del proceso de Titulación.
</t>
    </r>
    <r>
      <rPr>
        <b/>
        <sz val="10"/>
        <rFont val="Arial Narrow"/>
        <family val="2"/>
      </rPr>
      <t>4.-</t>
    </r>
    <r>
      <rPr>
        <sz val="10"/>
        <rFont val="Arial Narrow"/>
        <family val="2"/>
      </rPr>
      <t xml:space="preserve"> Elaborar el reporte del Cronograma de Mantenimiento Preventivo y Correctivo de los Equipos.
</t>
    </r>
    <r>
      <rPr>
        <b/>
        <sz val="10"/>
        <rFont val="Arial Narrow"/>
        <family val="2"/>
      </rPr>
      <t>5.-</t>
    </r>
    <r>
      <rPr>
        <sz val="10"/>
        <rFont val="Arial Narrow"/>
        <family val="2"/>
      </rPr>
      <t xml:space="preserve"> Elaborar el reporte de las Capacitaciones efectuadas al personal de la Facultad.
</t>
    </r>
    <r>
      <rPr>
        <b/>
        <sz val="10"/>
        <rFont val="Arial Narrow"/>
        <family val="2"/>
      </rPr>
      <t>6.-</t>
    </r>
    <r>
      <rPr>
        <sz val="10"/>
        <rFont val="Arial Narrow"/>
        <family val="2"/>
      </rPr>
      <t xml:space="preserve"> Elaborar el reporte de los equipos informáticos y teléfonos convencionales que no funcionan.</t>
    </r>
  </si>
  <si>
    <r>
      <rPr>
        <b/>
        <sz val="10"/>
        <rFont val="Arial Narrow"/>
        <family val="2"/>
      </rPr>
      <t>1.-</t>
    </r>
    <r>
      <rPr>
        <sz val="10"/>
        <rFont val="Arial Narrow"/>
        <family val="2"/>
      </rPr>
      <t xml:space="preserve"> Reporte detallado en el segundo y tercer cuatrimestre del proceso de Adquisición Bienes, dotación de materiales de oficina y limpieza ejecutados. 
</t>
    </r>
    <r>
      <rPr>
        <b/>
        <sz val="10"/>
        <rFont val="Arial Narrow"/>
        <family val="2"/>
      </rPr>
      <t>2.-</t>
    </r>
    <r>
      <rPr>
        <sz val="10"/>
        <rFont val="Arial Narrow"/>
        <family val="2"/>
      </rPr>
      <t xml:space="preserve"> Reporte detallado en el segundo y tercer cuatrimestre del proceso de Matrícula ejecutado.
</t>
    </r>
    <r>
      <rPr>
        <b/>
        <sz val="10"/>
        <rFont val="Arial Narrow"/>
        <family val="2"/>
      </rPr>
      <t>3.-</t>
    </r>
    <r>
      <rPr>
        <sz val="10"/>
        <rFont val="Arial Narrow"/>
        <family val="2"/>
      </rPr>
      <t xml:space="preserve"> Reporte detallado en el segundo y tercer cuatrimestre del proceso de titulación ejecutado.
</t>
    </r>
    <r>
      <rPr>
        <b/>
        <sz val="10"/>
        <rFont val="Arial Narrow"/>
        <family val="2"/>
      </rPr>
      <t>4.-</t>
    </r>
    <r>
      <rPr>
        <sz val="10"/>
        <rFont val="Arial Narrow"/>
        <family val="2"/>
      </rPr>
      <t xml:space="preserve"> Informe en el tercer cuatrimestre del mantenimiento preventivo y correctivo de los equipos informáticos.
</t>
    </r>
    <r>
      <rPr>
        <b/>
        <sz val="10"/>
        <rFont val="Arial Narrow"/>
        <family val="2"/>
      </rPr>
      <t>5.-</t>
    </r>
    <r>
      <rPr>
        <sz val="10"/>
        <rFont val="Arial Narrow"/>
        <family val="2"/>
      </rPr>
      <t xml:space="preserve"> Reporte detallado en el primer y tercer cuatrimestre del proceso de Capacitaciones ejecutado.
</t>
    </r>
    <r>
      <rPr>
        <b/>
        <sz val="10"/>
        <rFont val="Arial Narrow"/>
        <family val="2"/>
      </rPr>
      <t>6.-</t>
    </r>
    <r>
      <rPr>
        <sz val="10"/>
        <rFont val="Arial Narrow"/>
        <family val="2"/>
      </rPr>
      <t xml:space="preserve"> Reporte detallado en el segundo cuatrimestre de los equipos informáticos y teléfonos convencionales que no funcionan.</t>
    </r>
  </si>
  <si>
    <t>* Autoridad del Decanato,
  Ing. Javier Bermeo Pacheco
* Administrador de Bienes,
  Ing. Ronald Echeverría Ramón
* Jefa de la UMMOG,
  Ing. Morayma Vélez Espinoza
* Analista Informático,
  Lic. Marcos Ontaneda Villavicencio
* Auxiliar Administrativo del Decanato,
  Econ. Cristhian Salcedo Barrezueta
* Analista Administrativo de Decanato,
  Ing. Maura Mora Quevedo</t>
  </si>
  <si>
    <r>
      <rPr>
        <b/>
        <sz val="10"/>
        <rFont val="Arial Narrow"/>
        <family val="2"/>
      </rPr>
      <t>3.-</t>
    </r>
    <r>
      <rPr>
        <sz val="10"/>
        <rFont val="Arial Narrow"/>
        <family val="2"/>
      </rPr>
      <t xml:space="preserve"> Gestionar la Propuesta del distributivo académico en conjunto con los Subdecanatos.</t>
    </r>
  </si>
  <si>
    <t>N° de Distributivos Aprobados.</t>
  </si>
  <si>
    <r>
      <rPr>
        <b/>
        <sz val="10"/>
        <rFont val="Arial Narrow"/>
        <family val="2"/>
      </rPr>
      <t>1.-</t>
    </r>
    <r>
      <rPr>
        <sz val="10"/>
        <rFont val="Arial Narrow"/>
        <family val="2"/>
      </rPr>
      <t xml:space="preserve"> Revisar con Subdecanato el Distributivo Académico de la Facultad.
</t>
    </r>
    <r>
      <rPr>
        <b/>
        <sz val="10"/>
        <rFont val="Arial Narrow"/>
        <family val="2"/>
      </rPr>
      <t>2.-</t>
    </r>
    <r>
      <rPr>
        <sz val="10"/>
        <rFont val="Arial Narrow"/>
        <family val="2"/>
      </rPr>
      <t xml:space="preserve"> Aprobar por Consejo Directivo el Distributivo Académico.
</t>
    </r>
    <r>
      <rPr>
        <b/>
        <sz val="10"/>
        <rFont val="Arial Narrow"/>
        <family val="2"/>
      </rPr>
      <t>3.-</t>
    </r>
    <r>
      <rPr>
        <sz val="10"/>
        <rFont val="Arial Narrow"/>
        <family val="2"/>
      </rPr>
      <t xml:space="preserve"> Enviar la Resolución de Consejo Directivo a Rectorado para la Aprobación en Consejo Universitario.</t>
    </r>
  </si>
  <si>
    <r>
      <rPr>
        <b/>
        <sz val="10"/>
        <rFont val="Arial Narrow"/>
        <family val="2"/>
      </rPr>
      <t>1.-</t>
    </r>
    <r>
      <rPr>
        <sz val="10"/>
        <rFont val="Arial Narrow"/>
        <family val="2"/>
      </rPr>
      <t xml:space="preserve"> Resolución de Consejo Universitario de Aprobación del Distributivo.</t>
    </r>
  </si>
  <si>
    <t>* Decano,
  Ing. Javier Bermeo Pacheco
* Subdecano,
  Abg. Ernesto González
* Analista Administrativo de Decanato,
  Ing. Maura Mora Quevedo</t>
  </si>
  <si>
    <r>
      <rPr>
        <b/>
        <sz val="10"/>
        <rFont val="Arial Narrow"/>
        <family val="2"/>
      </rPr>
      <t>4.-</t>
    </r>
    <r>
      <rPr>
        <sz val="10"/>
        <rFont val="Arial Narrow"/>
        <family val="2"/>
      </rPr>
      <t xml:space="preserve"> Supervisar la ejecución de las convocatorias a los consejos de facultad.</t>
    </r>
  </si>
  <si>
    <t xml:space="preserve">Sesiones de Consejo Directivo, convocadas y presididas. </t>
  </si>
  <si>
    <t>N° de Convocatorias ejecutadas y supervisadas de los Consejos Directivos.</t>
  </si>
  <si>
    <r>
      <rPr>
        <b/>
        <sz val="10"/>
        <rFont val="Arial Narrow"/>
        <family val="2"/>
      </rPr>
      <t>1.-</t>
    </r>
    <r>
      <rPr>
        <sz val="10"/>
        <rFont val="Arial Narrow"/>
        <family val="2"/>
      </rPr>
      <t xml:space="preserve"> Elaborar el reporte de Control y Supervisión de ejecución de las convocatorias de Consejo Directivo.</t>
    </r>
  </si>
  <si>
    <r>
      <rPr>
        <b/>
        <sz val="10"/>
        <rFont val="Arial Narrow"/>
        <family val="2"/>
      </rPr>
      <t>1.-</t>
    </r>
    <r>
      <rPr>
        <sz val="10"/>
        <rFont val="Arial Narrow"/>
        <family val="2"/>
      </rPr>
      <t xml:space="preserve"> Reporte detallado de las Convocatorias de Consejo Directivo efectuadas.
</t>
    </r>
    <r>
      <rPr>
        <b/>
        <sz val="10"/>
        <rFont val="Arial Narrow"/>
        <family val="2"/>
      </rPr>
      <t>2.-</t>
    </r>
    <r>
      <rPr>
        <sz val="10"/>
        <rFont val="Arial Narrow"/>
        <family val="2"/>
      </rPr>
      <t xml:space="preserve"> Reporte detallado de las Convocatorias de Consejo de la Facultad efectuadas.
</t>
    </r>
    <r>
      <rPr>
        <b/>
        <sz val="10"/>
        <rFont val="Arial Narrow"/>
        <family val="2"/>
      </rPr>
      <t>3.-</t>
    </r>
    <r>
      <rPr>
        <sz val="10"/>
        <rFont val="Arial Narrow"/>
        <family val="2"/>
      </rPr>
      <t xml:space="preserve"> Matriz de control y supervisión a la ejecución de las Convocatorios de los Consejo de Facultad.</t>
    </r>
  </si>
  <si>
    <t>* Autoridad del Decanato,
  Ing. Javier Bermeo Pacheco
* Secretaria Abogada,
  Teresa Vivanco Alaña
* Analista Administrativo del Decanato,
  Ing. Maura Mora Quevedo</t>
  </si>
  <si>
    <r>
      <rPr>
        <b/>
        <sz val="10"/>
        <rFont val="Arial Narrow"/>
        <family val="2"/>
      </rPr>
      <t>5.-</t>
    </r>
    <r>
      <rPr>
        <sz val="10"/>
        <rFont val="Arial Narrow"/>
        <family val="2"/>
      </rPr>
      <t xml:space="preserve"> Gestionar los Procesos que garantizan el cumplimiento de las funciones sustantivas de la educación superior: docencia, investigación y vinculación.</t>
    </r>
  </si>
  <si>
    <t>N° de procesos de cumplimiento de docencia, investigación y vinculación.</t>
  </si>
  <si>
    <r>
      <rPr>
        <b/>
        <sz val="10"/>
        <rFont val="Arial Narrow"/>
        <family val="2"/>
      </rPr>
      <t>1.-</t>
    </r>
    <r>
      <rPr>
        <sz val="10"/>
        <rFont val="Arial Narrow"/>
        <family val="2"/>
      </rPr>
      <t xml:space="preserve"> Solicitar a los directores académicos departamentales un informe de cumplimiento de docencia, investigación y vinculación.</t>
    </r>
  </si>
  <si>
    <r>
      <rPr>
        <b/>
        <sz val="10"/>
        <rFont val="Arial Narrow"/>
        <family val="2"/>
      </rPr>
      <t>1.-</t>
    </r>
    <r>
      <rPr>
        <sz val="10"/>
        <rFont val="Arial Narrow"/>
        <family val="2"/>
      </rPr>
      <t xml:space="preserve"> Informes de Cumplimiento de actividades de docencia, investigación y vinculación.</t>
    </r>
  </si>
  <si>
    <t>* Autoridad del Decanato,
  Ing. Javier Bermeo Pacheco
* Auxiliar Administrativo del Decanato,
  Econ. Cristhian Salcedo Barrezueta
* Analista Administrativo de Decanato,
  Ing. Maura Mora Quevedo</t>
  </si>
  <si>
    <t>001 730601</t>
  </si>
  <si>
    <t>Contratación del servicio de consultoría para los estudios técnicos y definitivos para la construcción, equipamiento y gestión de un Centro de Emprendimiento de la Universidad Técnica de Machala, en el marco del Proyecto de inversión "Estudio de prefactibilidad para un centro de emprendimiento"</t>
  </si>
  <si>
    <r>
      <rPr>
        <b/>
        <sz val="10"/>
        <color theme="1"/>
        <rFont val="Arial Narrow"/>
        <family val="2"/>
      </rPr>
      <t>6.-</t>
    </r>
    <r>
      <rPr>
        <sz val="10"/>
        <color theme="1"/>
        <rFont val="Arial Narrow"/>
        <family val="2"/>
      </rPr>
      <t xml:space="preserve"> Presentar el Informe de Rendición de Cuentas.</t>
    </r>
  </si>
  <si>
    <t xml:space="preserve">Informe de rendición de cuentas, presentado. </t>
  </si>
  <si>
    <t>Nº de informe de Rendición de Cuenta presentado.</t>
  </si>
  <si>
    <r>
      <rPr>
        <b/>
        <sz val="10"/>
        <rFont val="Arial Narrow"/>
        <family val="2"/>
      </rPr>
      <t>1.-</t>
    </r>
    <r>
      <rPr>
        <sz val="10"/>
        <rFont val="Arial Narrow"/>
        <family val="2"/>
      </rPr>
      <t xml:space="preserve"> Elaborar el Informe de Rendición de Cuenta.</t>
    </r>
  </si>
  <si>
    <r>
      <rPr>
        <b/>
        <sz val="10"/>
        <rFont val="Arial Narrow"/>
        <family val="2"/>
      </rPr>
      <t>1.-</t>
    </r>
    <r>
      <rPr>
        <sz val="10"/>
        <rFont val="Arial Narrow"/>
        <family val="2"/>
      </rPr>
      <t xml:space="preserve"> Informe de Rendición de Cuenta.</t>
    </r>
  </si>
  <si>
    <t>* Autoridad del Decanato,
  Ing. Javier Bermeo Pacheco
* Analista Administrativo del Decanato,
  Ing. Maura Mora Quevedo</t>
  </si>
  <si>
    <r>
      <rPr>
        <b/>
        <sz val="10"/>
        <rFont val="Arial Narrow"/>
        <family val="2"/>
      </rPr>
      <t>7.-</t>
    </r>
    <r>
      <rPr>
        <sz val="10"/>
        <rFont val="Arial Narrow"/>
        <family val="2"/>
      </rPr>
      <t xml:space="preserve"> Gestionar trámite de licencias solicitadas por el personal docente y administrativo.</t>
    </r>
  </si>
  <si>
    <t>N° de informe a los trámites solicitando Licencias, justificadas y Gestionadas por el personal docente y administrativo.</t>
  </si>
  <si>
    <r>
      <rPr>
        <b/>
        <sz val="10"/>
        <rFont val="Arial Narrow"/>
        <family val="2"/>
      </rPr>
      <t>1.-</t>
    </r>
    <r>
      <rPr>
        <sz val="10"/>
        <rFont val="Arial Narrow"/>
        <family val="2"/>
      </rPr>
      <t xml:space="preserve"> Receptar solicitudes de licencia del personal docente y administrativo.
</t>
    </r>
    <r>
      <rPr>
        <b/>
        <sz val="10"/>
        <rFont val="Arial Narrow"/>
        <family val="2"/>
      </rPr>
      <t>2.-</t>
    </r>
    <r>
      <rPr>
        <sz val="10"/>
        <rFont val="Arial Narrow"/>
        <family val="2"/>
      </rPr>
      <t xml:space="preserve"> Tramitar las solicitudes a los departamentos correspondientes.</t>
    </r>
  </si>
  <si>
    <r>
      <rPr>
        <b/>
        <sz val="10"/>
        <rFont val="Arial Narrow"/>
        <family val="2"/>
      </rPr>
      <t>1.-</t>
    </r>
    <r>
      <rPr>
        <sz val="10"/>
        <rFont val="Arial Narrow"/>
        <family val="2"/>
      </rPr>
      <t xml:space="preserve"> Informe de las peticiones de licencias y permisos gestionadas del personal docente y administrativo.</t>
    </r>
  </si>
  <si>
    <t>* Autoridad del Decanato,
  Ing. Javier Bermeo Pacheco
* Analista Administrativo del Decanato,
  Ing. Maura Mora Quevedo
* Auxiliar Administrativo del Decanato,
  Econ. Cristhian Salcedo Barrezueta</t>
  </si>
  <si>
    <r>
      <rPr>
        <b/>
        <sz val="10"/>
        <rFont val="Arial Narrow"/>
        <family val="2"/>
      </rPr>
      <t>8.-</t>
    </r>
    <r>
      <rPr>
        <sz val="10"/>
        <rFont val="Arial Narrow"/>
        <family val="2"/>
      </rPr>
      <t xml:space="preserve"> Gestionar el desarrollo de actividades culturales, deportivas, sociales, y proyectos de responsabilidad social e influencia en políticas públicas gestionadas.</t>
    </r>
  </si>
  <si>
    <t>Actividades culturales, deportivas, sociales, y proyectos de responsabilidad social e influencia en políticas públicas gestionadas.</t>
  </si>
  <si>
    <t>Nº de informe de actividades culturales, deportivas, sociales, y proyectos de responsabilidad social e influencia en políticas públicas gestionadas.</t>
  </si>
  <si>
    <r>
      <rPr>
        <b/>
        <sz val="10"/>
        <rFont val="Arial Narrow"/>
        <family val="2"/>
      </rPr>
      <t>1.-</t>
    </r>
    <r>
      <rPr>
        <sz val="10"/>
        <rFont val="Arial Narrow"/>
        <family val="2"/>
      </rPr>
      <t xml:space="preserve"> Receptar las Solicitudes de comisión académica para la ejecución de actividades culturales, deportivas, sociales, y proyectos de responsabilidad social e influencia en políticas públicas gestionadas.</t>
    </r>
  </si>
  <si>
    <r>
      <rPr>
        <b/>
        <sz val="10"/>
        <rFont val="Arial Narrow"/>
        <family val="2"/>
      </rPr>
      <t>1.-</t>
    </r>
    <r>
      <rPr>
        <sz val="10"/>
        <rFont val="Arial Narrow"/>
        <family val="2"/>
      </rPr>
      <t xml:space="preserve"> Informe de resoluciones aprobadas por consejo directivo.</t>
    </r>
  </si>
  <si>
    <t>* Autoridad del Decanato,
  Ing. Javier Bermeo Pacheco
* Subdecano,
  Abg. Ernesto González
* Analista Administrativo del Decanato,
  Ing. Maura Mora Quevedo
* Auxiliar Administrativo del Decanato,
  Econ. Cristhian Salcedo Barrezueta</t>
  </si>
  <si>
    <r>
      <rPr>
        <b/>
        <sz val="10"/>
        <color theme="1"/>
        <rFont val="Arial Narrow"/>
        <family val="2"/>
      </rPr>
      <t>9.-</t>
    </r>
    <r>
      <rPr>
        <sz val="10"/>
        <color theme="1"/>
        <rFont val="Arial Narrow"/>
        <family val="2"/>
      </rPr>
      <t xml:space="preserve"> Coordinar y gestionar el Proceso de contratación de personal docente para las carreras o programas vigentes en la Facultad.</t>
    </r>
  </si>
  <si>
    <t>N° de procesos de contratación de personal docente para las carreras o programas vigentes en la Facultad, coordinado y gestionado.</t>
  </si>
  <si>
    <r>
      <rPr>
        <b/>
        <sz val="10"/>
        <rFont val="Arial Narrow"/>
        <family val="2"/>
      </rPr>
      <t>1.-</t>
    </r>
    <r>
      <rPr>
        <sz val="10"/>
        <rFont val="Arial Narrow"/>
        <family val="2"/>
      </rPr>
      <t xml:space="preserve"> Receptar oficio de Subdecanato para la contratación de docentes en base a las necesidades de la Facultad.
</t>
    </r>
    <r>
      <rPr>
        <b/>
        <sz val="10"/>
        <rFont val="Arial Narrow"/>
        <family val="2"/>
      </rPr>
      <t>2.-</t>
    </r>
    <r>
      <rPr>
        <sz val="10"/>
        <rFont val="Arial Narrow"/>
        <family val="2"/>
      </rPr>
      <t xml:space="preserve"> Tramitar la contratación del personal docente ante la autoridad pertinente.</t>
    </r>
  </si>
  <si>
    <r>
      <rPr>
        <b/>
        <sz val="10"/>
        <rFont val="Arial Narrow"/>
        <family val="2"/>
      </rPr>
      <t>1.-</t>
    </r>
    <r>
      <rPr>
        <sz val="10"/>
        <rFont val="Arial Narrow"/>
        <family val="2"/>
      </rPr>
      <t xml:space="preserve"> Resolución de Consejo Directivo que solicita la contratación de docentes.</t>
    </r>
  </si>
  <si>
    <r>
      <rPr>
        <b/>
        <sz val="10"/>
        <rFont val="Arial Narrow"/>
        <family val="2"/>
      </rPr>
      <t>10.-</t>
    </r>
    <r>
      <rPr>
        <sz val="10"/>
        <rFont val="Arial Narrow"/>
        <family val="2"/>
      </rPr>
      <t xml:space="preserve"> Emitir criterios técnicos para la sustentación de las decisiones adoptadas a nivel de facultad.</t>
    </r>
  </si>
  <si>
    <t>Nº de criterios técnicos adoptados que sustenten las decisiones adoptadas desde el Consejo Directivo de la Facultad.</t>
  </si>
  <si>
    <r>
      <rPr>
        <b/>
        <sz val="10"/>
        <rFont val="Arial Narrow"/>
        <family val="2"/>
      </rPr>
      <t>1.-</t>
    </r>
    <r>
      <rPr>
        <sz val="10"/>
        <rFont val="Arial Narrow"/>
        <family val="2"/>
      </rPr>
      <t xml:space="preserve"> Elaborar el reporte detallado de las Resoluciones de Comisión Académica, aprobadas por Consejo Directivo.
</t>
    </r>
    <r>
      <rPr>
        <b/>
        <sz val="10"/>
        <rFont val="Arial Narrow"/>
        <family val="2"/>
      </rPr>
      <t>2.-</t>
    </r>
    <r>
      <rPr>
        <sz val="10"/>
        <rFont val="Arial Narrow"/>
        <family val="2"/>
      </rPr>
      <t xml:space="preserve"> Elaborar el reporte detallado de las resoluciones adoptadas por Consejo Directivo.</t>
    </r>
  </si>
  <si>
    <r>
      <rPr>
        <b/>
        <sz val="10"/>
        <rFont val="Arial Narrow"/>
        <family val="2"/>
      </rPr>
      <t>1.-</t>
    </r>
    <r>
      <rPr>
        <sz val="10"/>
        <rFont val="Arial Narrow"/>
        <family val="2"/>
      </rPr>
      <t xml:space="preserve"> Matriz de los procesos administrativos y académicos, gestionados.</t>
    </r>
  </si>
  <si>
    <r>
      <rPr>
        <b/>
        <sz val="10"/>
        <color theme="1"/>
        <rFont val="Arial Narrow"/>
        <family val="2"/>
      </rPr>
      <t>11.-</t>
    </r>
    <r>
      <rPr>
        <sz val="10"/>
        <color theme="1"/>
        <rFont val="Arial Narrow"/>
        <family val="2"/>
      </rPr>
      <t xml:space="preserve"> Supervisar las Gestiones efectuadas por el Subdecanato, los Directores Académicos departamentales, personal académico y administrativo de la Facultad.</t>
    </r>
  </si>
  <si>
    <t>Gestiones efectuadas por el Subdecano, los directores académicos departamentales, personal académico y administrativo de la Facultad, supervisadas.</t>
  </si>
  <si>
    <r>
      <rPr>
        <b/>
        <sz val="10"/>
        <rFont val="Arial Narrow"/>
        <family val="2"/>
      </rPr>
      <t>1.-</t>
    </r>
    <r>
      <rPr>
        <sz val="10"/>
        <rFont val="Arial Narrow"/>
        <family val="2"/>
      </rPr>
      <t xml:space="preserve"> Solicitar reporte a los directores de carrera, sobre gestiones administrativas: cambio de sección,cambio de paralelo, informe del menos del 60% de créditos, homologación.
</t>
    </r>
    <r>
      <rPr>
        <b/>
        <sz val="10"/>
        <rFont val="Arial Narrow"/>
        <family val="2"/>
      </rPr>
      <t>2.-</t>
    </r>
    <r>
      <rPr>
        <sz val="10"/>
        <rFont val="Arial Narrow"/>
        <family val="2"/>
      </rPr>
      <t xml:space="preserve"> Solicitar informe de evaluación del desempeño del personal académico.
</t>
    </r>
    <r>
      <rPr>
        <b/>
        <sz val="10"/>
        <rFont val="Arial Narrow"/>
        <family val="2"/>
      </rPr>
      <t>3.-</t>
    </r>
    <r>
      <rPr>
        <sz val="10"/>
        <rFont val="Arial Narrow"/>
        <family val="2"/>
      </rPr>
      <t xml:space="preserve"> Solicitar informe de cumplimiento de actividades del personal de servicio.</t>
    </r>
  </si>
  <si>
    <r>
      <rPr>
        <b/>
        <sz val="10"/>
        <rFont val="Arial Narrow"/>
        <family val="2"/>
      </rPr>
      <t>1.-</t>
    </r>
    <r>
      <rPr>
        <sz val="10"/>
        <rFont val="Arial Narrow"/>
        <family val="2"/>
      </rPr>
      <t xml:space="preserve"> Reportes enviados de los directores de carrera.
</t>
    </r>
    <r>
      <rPr>
        <b/>
        <sz val="10"/>
        <rFont val="Arial Narrow"/>
        <family val="2"/>
      </rPr>
      <t>2.-</t>
    </r>
    <r>
      <rPr>
        <sz val="10"/>
        <rFont val="Arial Narrow"/>
        <family val="2"/>
      </rPr>
      <t xml:space="preserve"> Reporte en el segundo y tercer cuatrimestre del Jefe Departamental en el que indique los permisos concedidos.
</t>
    </r>
    <r>
      <rPr>
        <b/>
        <sz val="10"/>
        <rFont val="Arial Narrow"/>
        <family val="2"/>
      </rPr>
      <t>3.-</t>
    </r>
    <r>
      <rPr>
        <sz val="10"/>
        <rFont val="Arial Narrow"/>
        <family val="2"/>
      </rPr>
      <t xml:space="preserve"> Reporte en el segundo y tercer cuatrimestre del cumplimiento de labores en los bloques de aulas y baños estudiantiles.</t>
    </r>
  </si>
  <si>
    <t>* Jefes Departamentales
* Directores de Carrera
* Administrador de Bienes,
  Ing. Ronald Echeverría
* Analista Administrativo del Decanato,
  Ing. Maura Mora</t>
  </si>
  <si>
    <r>
      <rPr>
        <b/>
        <sz val="10"/>
        <color theme="1"/>
        <rFont val="Arial Narrow"/>
        <family val="2"/>
      </rPr>
      <t>12.-</t>
    </r>
    <r>
      <rPr>
        <sz val="10"/>
        <color theme="1"/>
        <rFont val="Arial Narrow"/>
        <family val="2"/>
      </rPr>
      <t xml:space="preserve"> Presentar la Planificación Operativa Anual y Evaluar la Planificación Operativa Anual.</t>
    </r>
  </si>
  <si>
    <t>N° de planificaciones operativas anuales y evaluaciones de los POAS entregados.</t>
  </si>
  <si>
    <r>
      <rPr>
        <b/>
        <sz val="10"/>
        <rFont val="Arial Narrow"/>
        <family val="2"/>
      </rPr>
      <t>1.-</t>
    </r>
    <r>
      <rPr>
        <sz val="10"/>
        <rFont val="Arial Narrow"/>
        <family val="2"/>
      </rPr>
      <t xml:space="preserve"> Elaborar los POAS.
</t>
    </r>
    <r>
      <rPr>
        <b/>
        <sz val="10"/>
        <rFont val="Arial Narrow"/>
        <family val="2"/>
      </rPr>
      <t>2.-</t>
    </r>
    <r>
      <rPr>
        <sz val="10"/>
        <rFont val="Arial Narrow"/>
        <family val="2"/>
      </rPr>
      <t xml:space="preserve"> Elaborar las evaluaciones de los POAS.
</t>
    </r>
    <r>
      <rPr>
        <b/>
        <sz val="10"/>
        <rFont val="Arial Narrow"/>
        <family val="2"/>
      </rPr>
      <t>3.-</t>
    </r>
    <r>
      <rPr>
        <sz val="10"/>
        <rFont val="Arial Narrow"/>
        <family val="2"/>
      </rPr>
      <t xml:space="preserve"> Entregar al dpto. de planificación.</t>
    </r>
  </si>
  <si>
    <r>
      <rPr>
        <b/>
        <sz val="10"/>
        <rFont val="Arial Narrow"/>
        <family val="2"/>
      </rPr>
      <t>1.-</t>
    </r>
    <r>
      <rPr>
        <sz val="10"/>
        <rFont val="Arial Narrow"/>
        <family val="2"/>
      </rPr>
      <t xml:space="preserve"> POA elaborado 2023.
</t>
    </r>
    <r>
      <rPr>
        <b/>
        <sz val="10"/>
        <rFont val="Arial Narrow"/>
        <family val="2"/>
      </rPr>
      <t>2.-</t>
    </r>
    <r>
      <rPr>
        <sz val="10"/>
        <rFont val="Arial Narrow"/>
        <family val="2"/>
      </rPr>
      <t xml:space="preserve"> Evaluación anual POA 2023.
</t>
    </r>
    <r>
      <rPr>
        <b/>
        <sz val="10"/>
        <rFont val="Arial Narrow"/>
        <family val="2"/>
      </rPr>
      <t>3.-</t>
    </r>
    <r>
      <rPr>
        <sz val="10"/>
        <rFont val="Arial Narrow"/>
        <family val="2"/>
      </rPr>
      <t xml:space="preserve"> Elaboración de POA 2024.</t>
    </r>
  </si>
  <si>
    <t>* Analista Administrativo del Decanato,
  Ing. Maura Mora Quevedo
* Aux. Administrativo de Decanato,
  Econ. Cristhian Salcedo</t>
  </si>
  <si>
    <r>
      <rPr>
        <b/>
        <sz val="10"/>
        <rFont val="Arial Narrow"/>
        <family val="2"/>
      </rPr>
      <t>1.-</t>
    </r>
    <r>
      <rPr>
        <sz val="10"/>
        <rFont val="Arial Narrow"/>
        <family val="2"/>
      </rPr>
      <t xml:space="preserve"> Sistematizar la documentación.
</t>
    </r>
    <r>
      <rPr>
        <b/>
        <sz val="10"/>
        <rFont val="Arial Narrow"/>
        <family val="2"/>
      </rPr>
      <t>2.-</t>
    </r>
    <r>
      <rPr>
        <sz val="10"/>
        <rFont val="Arial Narrow"/>
        <family val="2"/>
      </rPr>
      <t xml:space="preserve"> Organizar e inventariar la documentación.</t>
    </r>
  </si>
  <si>
    <r>
      <rPr>
        <b/>
        <sz val="10"/>
        <rFont val="Arial Narrow"/>
        <family val="2"/>
      </rPr>
      <t>1.-</t>
    </r>
    <r>
      <rPr>
        <sz val="10"/>
        <rFont val="Arial Narrow"/>
        <family val="2"/>
      </rPr>
      <t xml:space="preserve"> Registro e ingreso de información en el SIUTMACH.
</t>
    </r>
    <r>
      <rPr>
        <b/>
        <sz val="10"/>
        <rFont val="Arial Narrow"/>
        <family val="2"/>
      </rPr>
      <t>2.-</t>
    </r>
    <r>
      <rPr>
        <sz val="10"/>
        <rFont val="Arial Narrow"/>
        <family val="2"/>
      </rPr>
      <t xml:space="preserve"> Archivo de comunicaciones enviadas y recibidas, digital y físico.</t>
    </r>
  </si>
  <si>
    <t>" Decano,
  Ing. Javier Bermeo Pacheco
* Secretaria Abogada,
  Teresa Vivanco Alaña
* Analista Administrativo de Decanato,
  Ing. Maura Mora Quevedo</t>
  </si>
  <si>
    <r>
      <rPr>
        <b/>
        <sz val="10"/>
        <color rgb="FFFF0000"/>
        <rFont val="Arial Narrow"/>
        <family val="2"/>
      </rPr>
      <t>METAS OPERATIVAS</t>
    </r>
    <r>
      <rPr>
        <b/>
        <sz val="10"/>
        <rFont val="Arial Narrow"/>
        <family val="2"/>
      </rPr>
      <t xml:space="preserve">
1.-</t>
    </r>
    <r>
      <rPr>
        <sz val="10"/>
        <rFont val="Arial Narrow"/>
        <family val="2"/>
      </rPr>
      <t xml:space="preserve"> Emitir o actualizar los Procedimientos Académicos internos estandarizados.</t>
    </r>
  </si>
  <si>
    <t>Procedimientos Académicos internos estandarizados, emitidos o
actualizados.</t>
  </si>
  <si>
    <r>
      <rPr>
        <b/>
        <sz val="10"/>
        <rFont val="Arial Narrow"/>
        <family val="2"/>
      </rPr>
      <t>1.-</t>
    </r>
    <r>
      <rPr>
        <sz val="10"/>
        <rFont val="Arial Narrow"/>
        <family val="2"/>
      </rPr>
      <t xml:space="preserve"> Coordinar y socializar al interior de la Facultad las directrices emitidas por el órgano superior.</t>
    </r>
  </si>
  <si>
    <r>
      <rPr>
        <b/>
        <sz val="10"/>
        <rFont val="Arial Narrow"/>
        <family val="2"/>
      </rPr>
      <t>1.-</t>
    </r>
    <r>
      <rPr>
        <sz val="10"/>
        <rFont val="Arial Narrow"/>
        <family val="2"/>
      </rPr>
      <t xml:space="preserve"> Reporte del estado actual de la emisión o actualización de procedimientos académicos internos.</t>
    </r>
  </si>
  <si>
    <t>* Abg. Ernesto González Ramón,
  Subdecano
* Ing. Gabriela Poma,
  Auxiliar Administrativa
* Ing. Cindy Arias Jaramillo,
  Analista Administrativa</t>
  </si>
  <si>
    <t>Procedimientos Académicos:
1.- Sílabos
2.- Tutorías Académicas
El cumplimiento efectivo de las actividades planificadas en los cuatrimestres dependen de la planificación del calendario académico institucional.</t>
  </si>
  <si>
    <r>
      <rPr>
        <b/>
        <sz val="10"/>
        <rFont val="Arial Narrow"/>
        <family val="2"/>
      </rPr>
      <t>2.-</t>
    </r>
    <r>
      <rPr>
        <sz val="10"/>
        <rFont val="Arial Narrow"/>
        <family val="2"/>
      </rPr>
      <t xml:space="preserve"> Convocar y presidir Sesiones de Comisión Académica de la Facultad.</t>
    </r>
  </si>
  <si>
    <r>
      <rPr>
        <b/>
        <sz val="10"/>
        <rFont val="Arial Narrow"/>
        <family val="2"/>
      </rPr>
      <t>1.-</t>
    </r>
    <r>
      <rPr>
        <sz val="10"/>
        <rFont val="Arial Narrow"/>
        <family val="2"/>
      </rPr>
      <t xml:space="preserve"> Convocar y presidir las sesiones de Comisión Académica de la Facultad para el monitoreo de los procesos académicos.</t>
    </r>
  </si>
  <si>
    <r>
      <rPr>
        <b/>
        <sz val="10"/>
        <rFont val="Arial Narrow"/>
        <family val="2"/>
      </rPr>
      <t>1.-</t>
    </r>
    <r>
      <rPr>
        <sz val="10"/>
        <rFont val="Arial Narrow"/>
        <family val="2"/>
      </rPr>
      <t xml:space="preserve"> Reporte de Convocatorias.
</t>
    </r>
    <r>
      <rPr>
        <b/>
        <sz val="10"/>
        <rFont val="Arial Narrow"/>
        <family val="2"/>
      </rPr>
      <t>2.-</t>
    </r>
    <r>
      <rPr>
        <sz val="10"/>
        <rFont val="Arial Narrow"/>
        <family val="2"/>
      </rPr>
      <t xml:space="preserve"> Reporte de Resoluciones.</t>
    </r>
  </si>
  <si>
    <t>* Abg. Ernesto González Ramón,
  Subdecano
* Ing. Cindy Arias Jaramillo,
  Analista Administrativa</t>
  </si>
  <si>
    <r>
      <rPr>
        <b/>
        <sz val="10"/>
        <rFont val="Arial Narrow"/>
        <family val="2"/>
      </rPr>
      <t>3.-</t>
    </r>
    <r>
      <rPr>
        <sz val="10"/>
        <rFont val="Arial Narrow"/>
        <family val="2"/>
      </rPr>
      <t xml:space="preserve"> Orientar y supervisar las propuestas para la creación, fusión y extinción de carreras y programas, así como los planes de estudios de las mismas emanados del trabajo de rediseño curricular</t>
    </r>
  </si>
  <si>
    <t>N° de propuestas para la creación, fusión y extinción de carreras y programas, así como los planes de estudios de las mismas, supervisadas.</t>
  </si>
  <si>
    <t>Esta meta se desarrollará siempre y cuando existan propuestas o resoluciones por parte de los organismos pertinentes, quienes disponen la correspondiente creación, fusión o extinción de carreras y programas, así como los planes de estudios.</t>
  </si>
  <si>
    <r>
      <rPr>
        <b/>
        <sz val="10"/>
        <rFont val="Arial Narrow"/>
        <family val="2"/>
      </rPr>
      <t>4.-</t>
    </r>
    <r>
      <rPr>
        <sz val="10"/>
        <rFont val="Arial Narrow"/>
        <family val="2"/>
      </rPr>
      <t xml:space="preserve"> Supervisar la ejecución de los procesos académicos.</t>
    </r>
  </si>
  <si>
    <r>
      <rPr>
        <b/>
        <sz val="10"/>
        <rFont val="Arial Narrow"/>
        <family val="2"/>
      </rPr>
      <t>1.-</t>
    </r>
    <r>
      <rPr>
        <sz val="10"/>
        <rFont val="Arial Narrow"/>
        <family val="2"/>
      </rPr>
      <t xml:space="preserve"> Coordinar el proceso de elaboración, ingreso, revisión y seguimiento al silabo. 
</t>
    </r>
    <r>
      <rPr>
        <b/>
        <sz val="10"/>
        <rFont val="Arial Narrow"/>
        <family val="2"/>
      </rPr>
      <t>2.-</t>
    </r>
    <r>
      <rPr>
        <sz val="10"/>
        <rFont val="Arial Narrow"/>
        <family val="2"/>
      </rPr>
      <t xml:space="preserve"> Supervisar el proceso de ingreso de avances académicos.</t>
    </r>
  </si>
  <si>
    <r>
      <rPr>
        <b/>
        <sz val="10"/>
        <rFont val="Arial Narrow"/>
        <family val="2"/>
      </rPr>
      <t>1.-</t>
    </r>
    <r>
      <rPr>
        <sz val="10"/>
        <rFont val="Arial Narrow"/>
        <family val="2"/>
      </rPr>
      <t xml:space="preserve"> Reporte del estado actual de la supervisión a la ejecución de los procesos académicos supervisados.</t>
    </r>
  </si>
  <si>
    <t>* Abg. Ernesto González Ramón,
  Subdecano
* Ing. Gabriela Poma,
  Auxiliar Administrativa</t>
  </si>
  <si>
    <t>Los procesos académicos corresponden a:
1.- Seguimiento al sílabo.
2.- Supervisión de avances académicos
El cumplimiento efectivo de las actividades planificadas en los cuatrimestres dependen de la planificación del calendario académico institucional.</t>
  </si>
  <si>
    <r>
      <rPr>
        <b/>
        <sz val="10"/>
        <rFont val="Arial Narrow"/>
        <family val="2"/>
      </rPr>
      <t>5.-</t>
    </r>
    <r>
      <rPr>
        <sz val="10"/>
        <rFont val="Arial Narrow"/>
        <family val="2"/>
      </rPr>
      <t xml:space="preserve"> Elaborar distributivos, horarios y el calendario académico.</t>
    </r>
  </si>
  <si>
    <r>
      <rPr>
        <b/>
        <sz val="10"/>
        <rFont val="Arial Narrow"/>
        <family val="2"/>
      </rPr>
      <t>1.-</t>
    </r>
    <r>
      <rPr>
        <sz val="10"/>
        <rFont val="Arial Narrow"/>
        <family val="2"/>
      </rPr>
      <t xml:space="preserve"> Coordinar y supervisar el proceso de elaboración de los Distributivo y horarios.</t>
    </r>
  </si>
  <si>
    <r>
      <rPr>
        <b/>
        <sz val="10"/>
        <rFont val="Arial Narrow"/>
        <family val="2"/>
      </rPr>
      <t>1.-</t>
    </r>
    <r>
      <rPr>
        <sz val="10"/>
        <rFont val="Arial Narrow"/>
        <family val="2"/>
      </rPr>
      <t xml:space="preserve"> Reporte del estado actual de la coordinación y supervisión de elaboración de los Distributivo y horarios.</t>
    </r>
  </si>
  <si>
    <t>* Abg. Ernesto González Ramón,
  Subdecano
* Ing. Sandra Solórzano,
  Coordinadora Comercio Exterior
* Ing. Liana Sánchez,
  Coordinadora Administración de Empresas
* Ing. Gonzalo Chávez,
  Coordinador Contabilidad y Auditoría
* Lcda. María Bastidas,
  Coordinadora Turismo
* Econ. Vladimir Ávila,
  Coordinador Mercadotecnia
* Econ. Flor Vega,
  Coordinadora Economía
* Ing. Gabriela Poma,
  Auxiliar Administrativa
* Ing. Cindy Arias Jaramillo,
  Analista Administrativa</t>
  </si>
  <si>
    <t>Los calendarios académicos son elaborados por la Dirección Académica y aprobados de forma institucional por Consejo Universitario, considerando las actividades académicas de cada Facultad.
El cumplimiento efectivo de las actividades planificadas en los cuatrimestres dependen de la planificación del calendario académico institucional.</t>
  </si>
  <si>
    <r>
      <rPr>
        <b/>
        <sz val="10"/>
        <color theme="1"/>
        <rFont val="Arial Narrow"/>
        <family val="2"/>
      </rPr>
      <t>6.-</t>
    </r>
    <r>
      <rPr>
        <sz val="10"/>
        <color theme="1"/>
        <rFont val="Arial Narrow"/>
        <family val="2"/>
      </rPr>
      <t xml:space="preserve"> Monitorear actividades académicas que se realizan en las diferentes salas tics, aulas y unidades académicas experimentales de la Facultad.</t>
    </r>
  </si>
  <si>
    <t>Actividades académicas que se realizan en los diferentes laboratorios, aulas y unidades académicas experimentales de las Facultades, monitoreadas.</t>
  </si>
  <si>
    <t>N° de prácticas por semestres de acuerdo a las necesidades del docente en las Salas TICS de la FCE.</t>
  </si>
  <si>
    <r>
      <rPr>
        <b/>
        <sz val="10"/>
        <rFont val="Arial Narrow"/>
        <family val="2"/>
      </rPr>
      <t>1.-</t>
    </r>
    <r>
      <rPr>
        <sz val="10"/>
        <rFont val="Arial Narrow"/>
        <family val="2"/>
      </rPr>
      <t xml:space="preserve"> Monitorear las actividades académicas realizadas en las aulas TICS de la Facultad.</t>
    </r>
  </si>
  <si>
    <r>
      <rPr>
        <b/>
        <sz val="10"/>
        <rFont val="Arial Narrow"/>
        <family val="2"/>
      </rPr>
      <t>1.-</t>
    </r>
    <r>
      <rPr>
        <sz val="10"/>
        <rFont val="Arial Narrow"/>
        <family val="2"/>
      </rPr>
      <t xml:space="preserve"> Reporte de actividades que se realizan en laboratorios, aulas y salas tics.</t>
    </r>
  </si>
  <si>
    <t>* Administrador de Salas TICS</t>
  </si>
  <si>
    <t>840107 0701 003</t>
  </si>
  <si>
    <t>El cumplimiento de esta meta dependerá del retorno a la presencialidad que se dará en el 2023. Además, la facultad no cuenta con Administrador de salas TICS, por lo tanto no se ubica el nombre del servidor.</t>
  </si>
  <si>
    <t>45220.00.11</t>
  </si>
  <si>
    <t>CPU CLON CORE I5 11VA GENERACIÓN - 8GB RAM - SDD 500GB</t>
  </si>
  <si>
    <t>45160.03.1</t>
  </si>
  <si>
    <t>IMPRESORA MULTIFUNCIONAL</t>
  </si>
  <si>
    <t>83 Gestión de la
Investigación</t>
  </si>
  <si>
    <t>COMPUTADOR TODO EN UNO SOFTWARE
LIBRE MODELO 3</t>
  </si>
  <si>
    <t>531403 0701 003</t>
  </si>
  <si>
    <t>SILLAS PARA ESTUDIANTES</t>
  </si>
  <si>
    <t>531407 0701 001</t>
  </si>
  <si>
    <t>45290.00.3</t>
  </si>
  <si>
    <t>UPS FORZA 750VA</t>
  </si>
  <si>
    <r>
      <rPr>
        <b/>
        <sz val="10"/>
        <color theme="1"/>
        <rFont val="Arial Narrow"/>
        <family val="2"/>
      </rPr>
      <t>7.-</t>
    </r>
    <r>
      <rPr>
        <sz val="10"/>
        <color theme="1"/>
        <rFont val="Arial Narrow"/>
        <family val="2"/>
      </rPr>
      <t xml:space="preserve"> Emitir documentos de planificación académica y curricular.</t>
    </r>
  </si>
  <si>
    <t>Nº de planificaciones académicas coordinadas según el Modelo Genérico de Evaluación del Entorno de Aprendizaje de Carreras.</t>
  </si>
  <si>
    <r>
      <rPr>
        <b/>
        <sz val="10"/>
        <rFont val="Arial Narrow"/>
        <family val="2"/>
      </rPr>
      <t>1.-</t>
    </r>
    <r>
      <rPr>
        <sz val="10"/>
        <rFont val="Arial Narrow"/>
        <family val="2"/>
      </rPr>
      <t xml:space="preserve"> Coordinar la presentación de la planificación académica según el Modelo Genérico de Evaluación del Entorno de Aprendizaje de Carreras.</t>
    </r>
  </si>
  <si>
    <r>
      <rPr>
        <b/>
        <sz val="10"/>
        <rFont val="Arial Narrow"/>
        <family val="2"/>
      </rPr>
      <t>1.-</t>
    </r>
    <r>
      <rPr>
        <sz val="10"/>
        <rFont val="Arial Narrow"/>
        <family val="2"/>
      </rPr>
      <t xml:space="preserve"> Reporte de planificaciones académicas - curriculares presentadas.</t>
    </r>
  </si>
  <si>
    <t>* Abg. Ernesto González Ramón,
  Subdecano
* Ing. Sandra Solórzano,
  Coordinadora Comercio Exterior
* Ing. Liana Sánchez,
  Coordinadora Administración de Empresas
* Ing. Gonzalo Chávez,
  Coordinador Contabilidad y Auditoría
* Lcda. María Bastidas,
  Coordinadora Turismo
* Econ. Vladimir Ávila,
  Coordinador Mercadotecnia
* Econ. Flor Vega,
  Coordinadora Economía
* Ing. Gabriela Poma,
  Auxiliar Administrativa</t>
  </si>
  <si>
    <t>El cumplimiento efectivo de las actividades planificadas en los cuatrimestres dependen de la planificación del calendario académico institucional.</t>
  </si>
  <si>
    <r>
      <rPr>
        <b/>
        <sz val="10"/>
        <rFont val="Arial Narrow"/>
        <family val="2"/>
      </rPr>
      <t>8.-</t>
    </r>
    <r>
      <rPr>
        <sz val="10"/>
        <rFont val="Arial Narrow"/>
        <family val="2"/>
      </rPr>
      <t xml:space="preserve"> Coordinar los procesos académicos de docencia, investigación y vinculación con la sociedad.</t>
    </r>
  </si>
  <si>
    <t>Nº de procesos académicos de docencia, investigación y vinculación con la sociedad, coordinados.</t>
  </si>
  <si>
    <r>
      <rPr>
        <b/>
        <sz val="10"/>
        <rFont val="Arial Narrow"/>
        <family val="2"/>
      </rPr>
      <t>1.-</t>
    </r>
    <r>
      <rPr>
        <sz val="10"/>
        <rFont val="Arial Narrow"/>
        <family val="2"/>
      </rPr>
      <t xml:space="preserve"> Asignar horas de docencia, investigación y de vinculación en el Distributivo Académico de acuerdo a las sugerencias de las Direcciones correspondientes y al Reglamento de Carrera y Escalafón.
</t>
    </r>
    <r>
      <rPr>
        <b/>
        <sz val="10"/>
        <rFont val="Arial Narrow"/>
        <family val="2"/>
      </rPr>
      <t>2.-</t>
    </r>
    <r>
      <rPr>
        <sz val="10"/>
        <rFont val="Arial Narrow"/>
        <family val="2"/>
      </rPr>
      <t xml:space="preserve"> Solicitar los informes de resultados o avances de los proyectos de investigación y vinculación con la sociedad en ejecución, y el cumplimiento de las actividades académicas de docencia.</t>
    </r>
  </si>
  <si>
    <r>
      <rPr>
        <b/>
        <sz val="10"/>
        <rFont val="Arial Narrow"/>
        <family val="2"/>
      </rPr>
      <t>1.-</t>
    </r>
    <r>
      <rPr>
        <sz val="10"/>
        <rFont val="Arial Narrow"/>
        <family val="2"/>
      </rPr>
      <t xml:space="preserve"> Reporte del estado actual de resultados o avances de los proyectos de Investigación y de vinculación con la sociedad y actividades académicas de docencia.
</t>
    </r>
    <r>
      <rPr>
        <b/>
        <sz val="10"/>
        <rFont val="Arial Narrow"/>
        <family val="2"/>
      </rPr>
      <t>2.-</t>
    </r>
    <r>
      <rPr>
        <sz val="10"/>
        <rFont val="Arial Narrow"/>
        <family val="2"/>
      </rPr>
      <t xml:space="preserve"> Reporte de horas sugeridas por las Direcciones correspondientes.</t>
    </r>
  </si>
  <si>
    <r>
      <rPr>
        <b/>
        <sz val="10"/>
        <rFont val="Arial Narrow"/>
        <family val="2"/>
      </rPr>
      <t>9.-</t>
    </r>
    <r>
      <rPr>
        <sz val="10"/>
        <rFont val="Arial Narrow"/>
        <family val="2"/>
      </rPr>
      <t xml:space="preserve"> Evaluar al personal administrativo bajo su responsabilidad.</t>
    </r>
  </si>
  <si>
    <r>
      <rPr>
        <b/>
        <sz val="10"/>
        <rFont val="Arial Narrow"/>
        <family val="2"/>
      </rPr>
      <t>1.-</t>
    </r>
    <r>
      <rPr>
        <sz val="10"/>
        <rFont val="Arial Narrow"/>
        <family val="2"/>
      </rPr>
      <t xml:space="preserve"> Evaluar al personal administrativo bajo la dependencia del Subdecanato en la plataforma SIITH del Ministerio de Trabajo.</t>
    </r>
  </si>
  <si>
    <r>
      <rPr>
        <b/>
        <sz val="10"/>
        <rFont val="Arial Narrow"/>
        <family val="2"/>
      </rPr>
      <t>1.-</t>
    </r>
    <r>
      <rPr>
        <sz val="10"/>
        <rFont val="Arial Narrow"/>
        <family val="2"/>
      </rPr>
      <t xml:space="preserve"> Formulario de Evaluación aplicado.</t>
    </r>
  </si>
  <si>
    <t>* Abg. Ernesto González Ramón,
  Subdecano</t>
  </si>
  <si>
    <r>
      <rPr>
        <b/>
        <sz val="10"/>
        <color theme="1"/>
        <rFont val="Arial Narrow"/>
        <family val="2"/>
      </rPr>
      <t>10.-</t>
    </r>
    <r>
      <rPr>
        <sz val="10"/>
        <color theme="1"/>
        <rFont val="Arial Narrow"/>
        <family val="2"/>
      </rPr>
      <t xml:space="preserve"> Coordinar el Proceso referente a las pasantías y prácticas pre-profesionales de las y los estudiantes de las carreras de pregrado.</t>
    </r>
  </si>
  <si>
    <t>Nº de planes de pasantías y prácticas pre-profesionales de las carreras de pregrado, coordinados.</t>
  </si>
  <si>
    <r>
      <rPr>
        <b/>
        <sz val="10"/>
        <rFont val="Arial Narrow"/>
        <family val="2"/>
      </rPr>
      <t>1.-</t>
    </r>
    <r>
      <rPr>
        <sz val="10"/>
        <rFont val="Arial Narrow"/>
        <family val="2"/>
      </rPr>
      <t xml:space="preserve"> Coordinar las prácticas y pasantías preprofesionales con los colectivos académicos, en coordinación con el VIMCORI.</t>
    </r>
  </si>
  <si>
    <r>
      <rPr>
        <b/>
        <sz val="10"/>
        <rFont val="Arial Narrow"/>
        <family val="2"/>
      </rPr>
      <t>1.-</t>
    </r>
    <r>
      <rPr>
        <sz val="10"/>
        <rFont val="Arial Narrow"/>
        <family val="2"/>
      </rPr>
      <t xml:space="preserve"> Planificación de pasantías y prácticas pre-profesionales de las carreras de pregrado.</t>
    </r>
  </si>
  <si>
    <t>* Abg. Ernesto González Ramón,
  Subdecano
* Ing. Sandra Solórzano,
  Coordinadora Comercio Exterior.
* Ing. Liana Sánchez,
  Coordinadora Administración de Empresas
* Ing. Gonzalo Chávez,
  Coordinador Contabilidad y Auditoría
* Lcda. María Bastidas,
  Coordinadora Turismo
* Econ. Vladimir Ávila,
  Coordinador Mercadotecnia
* Econ. Flor Vega,
  Coordinadora Economía
* Ing. Gabriela Poma,
  Auxiliar Administrativa
* Ing. Cindy Arias Jaramillo,
  Analista Administrativa</t>
  </si>
  <si>
    <r>
      <rPr>
        <b/>
        <sz val="10"/>
        <rFont val="Arial Narrow"/>
        <family val="2"/>
      </rPr>
      <t>11.-</t>
    </r>
    <r>
      <rPr>
        <sz val="10"/>
        <rFont val="Arial Narrow"/>
        <family val="2"/>
      </rPr>
      <t xml:space="preserve"> Controlar la ejecución de los procesos de titulación.</t>
    </r>
  </si>
  <si>
    <t>Nº de reportes de los procesos de titulación, controlados.</t>
  </si>
  <si>
    <r>
      <rPr>
        <b/>
        <sz val="10"/>
        <rFont val="Arial Narrow"/>
        <family val="2"/>
      </rPr>
      <t>1.-</t>
    </r>
    <r>
      <rPr>
        <sz val="10"/>
        <rFont val="Arial Narrow"/>
        <family val="2"/>
      </rPr>
      <t xml:space="preserve"> Solicitar y/o receptar reportes de los procesos de titulación a la UMMOG.</t>
    </r>
  </si>
  <si>
    <r>
      <rPr>
        <b/>
        <sz val="10"/>
        <rFont val="Arial Narrow"/>
        <family val="2"/>
      </rPr>
      <t>1.-</t>
    </r>
    <r>
      <rPr>
        <sz val="10"/>
        <rFont val="Arial Narrow"/>
        <family val="2"/>
      </rPr>
      <t xml:space="preserve"> Reportes de los procesos de titulación.
</t>
    </r>
    <r>
      <rPr>
        <b/>
        <sz val="10"/>
        <rFont val="Arial Narrow"/>
        <family val="2"/>
      </rPr>
      <t>2.-</t>
    </r>
    <r>
      <rPr>
        <sz val="10"/>
        <rFont val="Arial Narrow"/>
        <family val="2"/>
      </rPr>
      <t xml:space="preserve"> Cronograma del proceso de titulación.
</t>
    </r>
    <r>
      <rPr>
        <b/>
        <sz val="10"/>
        <rFont val="Arial Narrow"/>
        <family val="2"/>
      </rPr>
      <t>3.-</t>
    </r>
    <r>
      <rPr>
        <sz val="10"/>
        <rFont val="Arial Narrow"/>
        <family val="2"/>
      </rPr>
      <t xml:space="preserve"> Resoluciones adoptadas por Comisión Académica de asignación de tutores y comité evaluador.</t>
    </r>
  </si>
  <si>
    <r>
      <rPr>
        <b/>
        <sz val="10"/>
        <rFont val="Arial Narrow"/>
        <family val="2"/>
      </rPr>
      <t>12.-</t>
    </r>
    <r>
      <rPr>
        <sz val="10"/>
        <rFont val="Arial Narrow"/>
        <family val="2"/>
      </rPr>
      <t xml:space="preserve"> Ejecutar el proceso de evaluación integral del desempeño docente de acuerdo a las directrices emitidas a nivel institucional.</t>
    </r>
  </si>
  <si>
    <r>
      <rPr>
        <b/>
        <sz val="10"/>
        <rFont val="Arial Narrow"/>
        <family val="2"/>
      </rPr>
      <t>1.-</t>
    </r>
    <r>
      <rPr>
        <sz val="10"/>
        <rFont val="Arial Narrow"/>
        <family val="2"/>
      </rPr>
      <t xml:space="preserve"> Elaborar los horarios para llevar a cabo el proceso de evaluación integral del desempeño docente.
</t>
    </r>
    <r>
      <rPr>
        <b/>
        <sz val="10"/>
        <rFont val="Arial Narrow"/>
        <family val="2"/>
      </rPr>
      <t>2.-</t>
    </r>
    <r>
      <rPr>
        <sz val="10"/>
        <rFont val="Arial Narrow"/>
        <family val="2"/>
      </rPr>
      <t xml:space="preserve"> Aprobar la matriz de Comisiones para el proceso de evaluación integral del desempeño docente.</t>
    </r>
  </si>
  <si>
    <r>
      <rPr>
        <b/>
        <sz val="10"/>
        <rFont val="Arial Narrow"/>
        <family val="2"/>
      </rPr>
      <t>1.-</t>
    </r>
    <r>
      <rPr>
        <sz val="10"/>
        <rFont val="Arial Narrow"/>
        <family val="2"/>
      </rPr>
      <t xml:space="preserve"> Resoluciones del proceso de evaluación integral del desempeño docente.
</t>
    </r>
    <r>
      <rPr>
        <b/>
        <sz val="10"/>
        <rFont val="Arial Narrow"/>
        <family val="2"/>
      </rPr>
      <t>2.-</t>
    </r>
    <r>
      <rPr>
        <sz val="10"/>
        <rFont val="Arial Narrow"/>
        <family val="2"/>
      </rPr>
      <t xml:space="preserve"> Reporte de resultados del proceso de evaluación integral del desempeño docente.</t>
    </r>
  </si>
  <si>
    <t>* Abg. Ernesto González Ramón,
  Subdecano
* Ing. Sandra Solórzano,
  Coordinadora Comercio Exterior
* Ing. Liana Sánchez,
  Coordinadora Administración de Empresas
* Ing. Gonzalo Chávez,
  Coordinador Contabilidad y Auditoría
* Lcda. María Bastidas,
  Coordinadora Turismo
* Econ. Vladimir Ávila,
  Coordinador Mercadotecnia
* Econ. Flor Vega,
  Coordinadora Economía
* Ing. Cindy Arias Jaramillo,
  Analista Administrativa</t>
  </si>
  <si>
    <r>
      <rPr>
        <b/>
        <sz val="10"/>
        <rFont val="Arial Narrow"/>
        <family val="2"/>
      </rPr>
      <t>13.-</t>
    </r>
    <r>
      <rPr>
        <sz val="10"/>
        <rFont val="Arial Narrow"/>
        <family val="2"/>
      </rPr>
      <t xml:space="preserve"> Supervisar actividades académicas que se realizan en las diferentes salas tics, aulas y unidades académicas experimentales de la Facultad.</t>
    </r>
  </si>
  <si>
    <t>Se repiten los producto 6 y 13.</t>
  </si>
  <si>
    <r>
      <rPr>
        <b/>
        <sz val="10"/>
        <rFont val="Arial Narrow"/>
        <family val="2"/>
      </rPr>
      <t>14.-</t>
    </r>
    <r>
      <rPr>
        <sz val="10"/>
        <rFont val="Arial Narrow"/>
        <family val="2"/>
      </rPr>
      <t xml:space="preserve"> Coordinar las actividades culturales, deportivas, sociales, y proyectos de responsabilidad social e influencia en políticas públicas.</t>
    </r>
  </si>
  <si>
    <t>Actividades culturales, deportivas, sociales, y proyectos de responsabilidad social e influencia en políticas públicas coordinadas.</t>
  </si>
  <si>
    <t>N° de actividades culturales, deportivas, sociales y proyectos de responsabilidad social e influencia en políticas públicas, coordinadas.</t>
  </si>
  <si>
    <r>
      <rPr>
        <b/>
        <sz val="10"/>
        <rFont val="Arial Narrow"/>
        <family val="2"/>
      </rPr>
      <t>1.-</t>
    </r>
    <r>
      <rPr>
        <sz val="10"/>
        <rFont val="Arial Narrow"/>
        <family val="2"/>
      </rPr>
      <t xml:space="preserve"> Coordinar la presentación de proyectos que contengan actividades culturales, deportivas, sociales y proyectos de responsabilidad social e influencia en políticas públicas.</t>
    </r>
  </si>
  <si>
    <r>
      <rPr>
        <b/>
        <sz val="10"/>
        <rFont val="Arial Narrow"/>
        <family val="2"/>
      </rPr>
      <t>1.-</t>
    </r>
    <r>
      <rPr>
        <sz val="10"/>
        <rFont val="Arial Narrow"/>
        <family val="2"/>
      </rPr>
      <t xml:space="preserve"> Resoluciones de aprobación de proyectos que contengan actividades culturales, deportivas, sociales y proyectos de responsabilidad social e influencia en políticas públicas.</t>
    </r>
  </si>
  <si>
    <r>
      <rPr>
        <b/>
        <sz val="10"/>
        <color theme="1"/>
        <rFont val="Arial Narrow"/>
        <family val="2"/>
      </rPr>
      <t>15.-</t>
    </r>
    <r>
      <rPr>
        <sz val="10"/>
        <color theme="1"/>
        <rFont val="Arial Narrow"/>
        <family val="2"/>
      </rPr>
      <t xml:space="preserve"> Conocer y atender los requerimientos estudiantiles respecto al área académica y docente.</t>
    </r>
  </si>
  <si>
    <t>Nº de requerimientos estudiantiles respecto al área académica y docente conocidos y atendidos.</t>
  </si>
  <si>
    <r>
      <rPr>
        <b/>
        <sz val="10"/>
        <rFont val="Arial Narrow"/>
        <family val="2"/>
      </rPr>
      <t>1.-</t>
    </r>
    <r>
      <rPr>
        <sz val="10"/>
        <rFont val="Arial Narrow"/>
        <family val="2"/>
      </rPr>
      <t xml:space="preserve"> Receptar requerimientos estudiantiles.
</t>
    </r>
    <r>
      <rPr>
        <b/>
        <sz val="10"/>
        <rFont val="Arial Narrow"/>
        <family val="2"/>
      </rPr>
      <t>2.-</t>
    </r>
    <r>
      <rPr>
        <sz val="10"/>
        <rFont val="Arial Narrow"/>
        <family val="2"/>
      </rPr>
      <t xml:space="preserve"> Tramitar requerimientos estudiantiles.</t>
    </r>
  </si>
  <si>
    <r>
      <rPr>
        <b/>
        <sz val="10"/>
        <rFont val="Arial Narrow"/>
        <family val="2"/>
      </rPr>
      <t>1.-</t>
    </r>
    <r>
      <rPr>
        <sz val="10"/>
        <rFont val="Arial Narrow"/>
        <family val="2"/>
      </rPr>
      <t xml:space="preserve"> Reporte de requerimientos estudiantiles atendidos.</t>
    </r>
  </si>
  <si>
    <r>
      <rPr>
        <b/>
        <sz val="10"/>
        <color theme="1"/>
        <rFont val="Arial Narrow"/>
        <family val="2"/>
      </rPr>
      <t>16.-</t>
    </r>
    <r>
      <rPr>
        <sz val="10"/>
        <color theme="1"/>
        <rFont val="Arial Narrow"/>
        <family val="2"/>
      </rPr>
      <t xml:space="preserve"> Presentar la Planificación Operativa Anual y Evaluación de la Planificación Operativa Anual.</t>
    </r>
  </si>
  <si>
    <t>N° de planificaciones Operativas Anuales y Evaluaciones del POA entregadas.</t>
  </si>
  <si>
    <r>
      <rPr>
        <b/>
        <sz val="10"/>
        <rFont val="Arial Narrow"/>
        <family val="2"/>
      </rPr>
      <t>1.-</t>
    </r>
    <r>
      <rPr>
        <sz val="10"/>
        <rFont val="Arial Narrow"/>
        <family val="2"/>
      </rPr>
      <t xml:space="preserve"> Elaborar los planes operativos anuales del Subdecanato.
</t>
    </r>
    <r>
      <rPr>
        <b/>
        <sz val="10"/>
        <rFont val="Arial Narrow"/>
        <family val="2"/>
      </rPr>
      <t>2.-</t>
    </r>
    <r>
      <rPr>
        <sz val="10"/>
        <rFont val="Arial Narrow"/>
        <family val="2"/>
      </rPr>
      <t xml:space="preserve"> Elaborar las Evaluaciones al POA.
</t>
    </r>
    <r>
      <rPr>
        <b/>
        <sz val="10"/>
        <rFont val="Arial Narrow"/>
        <family val="2"/>
      </rPr>
      <t>3.-</t>
    </r>
    <r>
      <rPr>
        <sz val="10"/>
        <rFont val="Arial Narrow"/>
        <family val="2"/>
      </rPr>
      <t xml:space="preserve"> Remitir al Decanato los POA's y sus Evaluaciones.</t>
    </r>
  </si>
  <si>
    <r>
      <rPr>
        <b/>
        <sz val="10"/>
        <rFont val="Arial Narrow"/>
        <family val="2"/>
      </rPr>
      <t>1.-</t>
    </r>
    <r>
      <rPr>
        <sz val="10"/>
        <rFont val="Arial Narrow"/>
        <family val="2"/>
      </rPr>
      <t xml:space="preserve"> Planes Operativos Anuales.
</t>
    </r>
    <r>
      <rPr>
        <b/>
        <sz val="10"/>
        <rFont val="Arial Narrow"/>
        <family val="2"/>
      </rPr>
      <t>2.-</t>
    </r>
    <r>
      <rPr>
        <sz val="10"/>
        <rFont val="Arial Narrow"/>
        <family val="2"/>
      </rPr>
      <t xml:space="preserve"> Evaluaciones del POA.</t>
    </r>
  </si>
  <si>
    <r>
      <rPr>
        <b/>
        <sz val="10"/>
        <color theme="1"/>
        <rFont val="Arial Narrow"/>
        <family val="2"/>
      </rPr>
      <t>17.-</t>
    </r>
    <r>
      <rPr>
        <sz val="10"/>
        <color theme="1"/>
        <rFont val="Arial Narrow"/>
        <family val="2"/>
      </rPr>
      <t xml:space="preserve"> Organizar el Archivo de Gestión.</t>
    </r>
  </si>
  <si>
    <r>
      <rPr>
        <b/>
        <sz val="10"/>
        <rFont val="Arial Narrow"/>
        <family val="2"/>
      </rPr>
      <t>1.-</t>
    </r>
    <r>
      <rPr>
        <sz val="10"/>
        <rFont val="Arial Narrow"/>
        <family val="2"/>
      </rPr>
      <t xml:space="preserve"> Realizar el inventario documental de carpetas del archivo que reposan en el Subdecanato.</t>
    </r>
  </si>
  <si>
    <r>
      <rPr>
        <b/>
        <sz val="10"/>
        <rFont val="Arial Narrow"/>
        <family val="2"/>
      </rPr>
      <t>1.-</t>
    </r>
    <r>
      <rPr>
        <sz val="10"/>
        <rFont val="Arial Narrow"/>
        <family val="2"/>
      </rPr>
      <t xml:space="preserve"> Inventario Documental.</t>
    </r>
  </si>
  <si>
    <t>* Ing. Cindy Arias Jaramillo,
  Analista Administrativa</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</si>
  <si>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y ejecutar los Procesos de Matriculación.</t>
    </r>
  </si>
  <si>
    <t>N° de procesos de matriculación coordinados y ejecutados.</t>
  </si>
  <si>
    <r>
      <rPr>
        <b/>
        <sz val="10"/>
        <color rgb="FF000000"/>
        <rFont val="Arial Narrow"/>
        <family val="2"/>
      </rPr>
      <t>1.-</t>
    </r>
    <r>
      <rPr>
        <sz val="10"/>
        <color rgb="FF000000"/>
        <rFont val="Arial Narrow"/>
        <family val="2"/>
      </rPr>
      <t xml:space="preserve"> Coordinar y planificar el proceso de matrícula a nivel de facultad.
</t>
    </r>
    <r>
      <rPr>
        <b/>
        <sz val="10"/>
        <color rgb="FF000000"/>
        <rFont val="Arial Narrow"/>
        <family val="2"/>
      </rPr>
      <t>2.-</t>
    </r>
    <r>
      <rPr>
        <sz val="10"/>
        <color rgb="FF000000"/>
        <rFont val="Arial Narrow"/>
        <family val="2"/>
      </rPr>
      <t xml:space="preserve"> Revisar requisitos, cartilla y datos cargados en el SIUTMACHCH.
</t>
    </r>
    <r>
      <rPr>
        <b/>
        <sz val="10"/>
        <color rgb="FF000000"/>
        <rFont val="Arial Narrow"/>
        <family val="2"/>
      </rPr>
      <t>3.-</t>
    </r>
    <r>
      <rPr>
        <sz val="10"/>
        <color rgb="FF000000"/>
        <rFont val="Arial Narrow"/>
        <family val="2"/>
      </rPr>
      <t xml:space="preserve"> Validar matriculas.
</t>
    </r>
    <r>
      <rPr>
        <b/>
        <sz val="10"/>
        <color rgb="FF000000"/>
        <rFont val="Arial Narrow"/>
        <family val="2"/>
      </rPr>
      <t>4.-</t>
    </r>
    <r>
      <rPr>
        <sz val="10"/>
        <color rgb="FF000000"/>
        <rFont val="Arial Narrow"/>
        <family val="2"/>
      </rPr>
      <t xml:space="preserve"> Seleccionar fecha de inicio de estudios de expedientes históricos.
</t>
    </r>
    <r>
      <rPr>
        <b/>
        <sz val="10"/>
        <color rgb="FF000000"/>
        <rFont val="Arial Narrow"/>
        <family val="2"/>
      </rPr>
      <t>5.-</t>
    </r>
    <r>
      <rPr>
        <sz val="10"/>
        <color rgb="FF000000"/>
        <rFont val="Arial Narrow"/>
        <family val="2"/>
      </rPr>
      <t xml:space="preserve"> Generar matrícula de los estudiantes con menos del 60%, con reconocimiento u homologación, tercera matricula, matricula especial, plan especial.
</t>
    </r>
    <r>
      <rPr>
        <b/>
        <sz val="10"/>
        <color rgb="FF000000"/>
        <rFont val="Arial Narrow"/>
        <family val="2"/>
      </rPr>
      <t>6.-</t>
    </r>
    <r>
      <rPr>
        <sz val="10"/>
        <color rgb="FF000000"/>
        <rFont val="Arial Narrow"/>
        <family val="2"/>
      </rPr>
      <t xml:space="preserve"> Generar órdenes de pago, de los estudiantes con menos del 60%, con reconocimiento u homologación, tercera matricula, matricula especial, plan especial.
</t>
    </r>
    <r>
      <rPr>
        <b/>
        <sz val="10"/>
        <color rgb="FF000000"/>
        <rFont val="Arial Narrow"/>
        <family val="2"/>
      </rPr>
      <t>7.-</t>
    </r>
    <r>
      <rPr>
        <sz val="10"/>
        <color rgb="FF000000"/>
        <rFont val="Arial Narrow"/>
        <family val="2"/>
      </rPr>
      <t xml:space="preserve"> Revisar curso, cupo y paralelo en periodos de matrículas.
</t>
    </r>
    <r>
      <rPr>
        <b/>
        <sz val="10"/>
        <color rgb="FF000000"/>
        <rFont val="Arial Narrow"/>
        <family val="2"/>
      </rPr>
      <t>8.-</t>
    </r>
    <r>
      <rPr>
        <sz val="10"/>
        <color rgb="FF000000"/>
        <rFont val="Arial Narrow"/>
        <family val="2"/>
      </rPr>
      <t xml:space="preserve"> Crear registros de carrera de expedientes históricos.
</t>
    </r>
    <r>
      <rPr>
        <b/>
        <sz val="10"/>
        <color rgb="FF000000"/>
        <rFont val="Arial Narrow"/>
        <family val="2"/>
      </rPr>
      <t>9.-</t>
    </r>
    <r>
      <rPr>
        <sz val="10"/>
        <color rgb="FF000000"/>
        <rFont val="Arial Narrow"/>
        <family val="2"/>
      </rPr>
      <t xml:space="preserve"> Actualizar datos en el SIUTMCH.
</t>
    </r>
    <r>
      <rPr>
        <b/>
        <sz val="10"/>
        <color rgb="FF000000"/>
        <rFont val="Arial Narrow"/>
        <family val="2"/>
      </rPr>
      <t>10.-</t>
    </r>
    <r>
      <rPr>
        <sz val="10"/>
        <color rgb="FF000000"/>
        <rFont val="Arial Narrow"/>
        <family val="2"/>
      </rPr>
      <t xml:space="preserve"> Anular órdenes de pago en el SIUTMCH.
</t>
    </r>
    <r>
      <rPr>
        <b/>
        <sz val="10"/>
        <color rgb="FF000000"/>
        <rFont val="Arial Narrow"/>
        <family val="2"/>
      </rPr>
      <t>11.-</t>
    </r>
    <r>
      <rPr>
        <sz val="10"/>
        <color rgb="FF000000"/>
        <rFont val="Arial Narrow"/>
        <family val="2"/>
      </rPr>
      <t xml:space="preserve"> Insubsistir matriculas no legalizadas.
</t>
    </r>
    <r>
      <rPr>
        <b/>
        <sz val="10"/>
        <color rgb="FF000000"/>
        <rFont val="Arial Narrow"/>
        <family val="2"/>
      </rPr>
      <t>12.-</t>
    </r>
    <r>
      <rPr>
        <sz val="10"/>
        <color rgb="FF000000"/>
        <rFont val="Arial Narrow"/>
        <family val="2"/>
      </rPr>
      <t xml:space="preserve"> Anular matriculas aprobadas por Consejo Universitario.
</t>
    </r>
    <r>
      <rPr>
        <b/>
        <sz val="10"/>
        <color rgb="FF000000"/>
        <rFont val="Arial Narrow"/>
        <family val="2"/>
      </rPr>
      <t>13.-</t>
    </r>
    <r>
      <rPr>
        <sz val="10"/>
        <color rgb="FF000000"/>
        <rFont val="Arial Narrow"/>
        <family val="2"/>
      </rPr>
      <t xml:space="preserve"> Gestionar logística, bienes y materiales para el proceso de matrícula.
</t>
    </r>
    <r>
      <rPr>
        <b/>
        <sz val="10"/>
        <color rgb="FF000000"/>
        <rFont val="Arial Narrow"/>
        <family val="2"/>
      </rPr>
      <t>14.-</t>
    </r>
    <r>
      <rPr>
        <sz val="10"/>
        <color rgb="FF000000"/>
        <rFont val="Arial Narrow"/>
        <family val="2"/>
      </rPr>
      <t xml:space="preserve"> Elaborar certificados de matrícula.
</t>
    </r>
    <r>
      <rPr>
        <b/>
        <sz val="10"/>
        <color rgb="FF000000"/>
        <rFont val="Arial Narrow"/>
        <family val="2"/>
      </rPr>
      <t>15.-</t>
    </r>
    <r>
      <rPr>
        <sz val="10"/>
        <color rgb="FF000000"/>
        <rFont val="Arial Narrow"/>
        <family val="2"/>
      </rPr>
      <t xml:space="preserve"> Atender a usuarios internos y externos.</t>
    </r>
  </si>
  <si>
    <r>
      <rPr>
        <b/>
        <sz val="10"/>
        <color theme="1"/>
        <rFont val="Arial Narrow"/>
        <family val="2"/>
      </rPr>
      <t>1.-</t>
    </r>
    <r>
      <rPr>
        <sz val="10"/>
        <color theme="1"/>
        <rFont val="Arial Narrow"/>
        <family val="2"/>
      </rPr>
      <t xml:space="preserve"> Cronograma de Matrículas.
</t>
    </r>
    <r>
      <rPr>
        <b/>
        <sz val="10"/>
        <color theme="1"/>
        <rFont val="Arial Narrow"/>
        <family val="2"/>
      </rPr>
      <t>2.-</t>
    </r>
    <r>
      <rPr>
        <sz val="10"/>
        <color theme="1"/>
        <rFont val="Arial Narrow"/>
        <family val="2"/>
      </rPr>
      <t xml:space="preserve"> Reporte de estudiantes matriculados.</t>
    </r>
  </si>
  <si>
    <t>* Ing. Morayma Vélez E.,
  JEFA DE LA UMMOG-FCE
* Ing. Tania Brito G.,
* Ing. Nancy Calva A.,
* Lcda. Ketty Ajila A.
* Lcda. Mónica Lapo P.,
* Ing. Karol Valarezo P.,
* Ing. Lizbeth Ortiz P.,
  ANALISTAS DE LA UMMOG-FCE
* Lcda. Bertha Sicho M.,
* Ing. Walter Romero A.,
* Sr. Herman José Aguilar,
  ANALISTAS DE ESTADÍSTICA-FCE</t>
  </si>
  <si>
    <t>El cumplimiento efectivo de las metas y entrega de productos en los cuatrimestres dependen de la planificación institucional (Calendario Académico), por lo cual cualquier reforma o actualización al calendario afecta a los procesos.</t>
  </si>
  <si>
    <r>
      <rPr>
        <b/>
        <sz val="10"/>
        <color theme="1"/>
        <rFont val="Arial Narrow"/>
        <family val="2"/>
      </rPr>
      <t>2.-</t>
    </r>
    <r>
      <rPr>
        <sz val="10"/>
        <color theme="1"/>
        <rFont val="Arial Narrow"/>
        <family val="2"/>
      </rPr>
      <t xml:space="preserve"> Ejecutar y validar los cambios de paralelos, cambios de sección y retiros de carrera y/o asignaturas autorizados por el Consejo Directivo.</t>
    </r>
  </si>
  <si>
    <t>N° de cambios de paralelos, cambios de sección y retiros de carrera y/o asignaturas autorizados por el Consejo Directivo.</t>
  </si>
  <si>
    <r>
      <rPr>
        <b/>
        <sz val="10"/>
        <color theme="1"/>
        <rFont val="Arial Narrow"/>
        <family val="2"/>
      </rPr>
      <t>1.-</t>
    </r>
    <r>
      <rPr>
        <sz val="10"/>
        <color theme="1"/>
        <rFont val="Arial Narrow"/>
        <family val="2"/>
      </rPr>
      <t xml:space="preserve"> Cambiar paralelos y sección autorizados por Consejo Directivo.
</t>
    </r>
    <r>
      <rPr>
        <b/>
        <sz val="10"/>
        <color theme="1"/>
        <rFont val="Arial Narrow"/>
        <family val="2"/>
      </rPr>
      <t>2.-</t>
    </r>
    <r>
      <rPr>
        <sz val="10"/>
        <color theme="1"/>
        <rFont val="Arial Narrow"/>
        <family val="2"/>
      </rPr>
      <t xml:space="preserve"> Retirar asignaturas aprobados por Consejo Directivo.
</t>
    </r>
    <r>
      <rPr>
        <b/>
        <sz val="10"/>
        <color theme="1"/>
        <rFont val="Arial Narrow"/>
        <family val="2"/>
      </rPr>
      <t>3.-</t>
    </r>
    <r>
      <rPr>
        <sz val="10"/>
        <color theme="1"/>
        <rFont val="Arial Narrow"/>
        <family val="2"/>
      </rPr>
      <t xml:space="preserve"> Cambiar estado de activo a inactivo y/o retirado aprobados por Consejo Directivo.</t>
    </r>
  </si>
  <si>
    <r>
      <rPr>
        <b/>
        <sz val="10"/>
        <color theme="1"/>
        <rFont val="Arial Narrow"/>
        <family val="2"/>
      </rPr>
      <t>1.-</t>
    </r>
    <r>
      <rPr>
        <sz val="10"/>
        <color theme="1"/>
        <rFont val="Arial Narrow"/>
        <family val="2"/>
      </rPr>
      <t xml:space="preserve"> Resoluciones de Consejo Directivo receptadas y ejecutadas.</t>
    </r>
  </si>
  <si>
    <t>* Ing. Morayma Vélez E.,
  JEFA DE LA UMMOG-FCE
* Ing. Tania Brito G.,
* Ing. Nancy Calva A.,
* Lcda. Ketty Ajila A.,
  ANALISTAS DE LA UMMOG-FCE</t>
  </si>
  <si>
    <t xml:space="preserve">Impresora a tinta modelo 5 </t>
  </si>
  <si>
    <r>
      <rPr>
        <b/>
        <sz val="10"/>
        <color theme="1"/>
        <rFont val="Arial Narrow"/>
        <family val="2"/>
      </rPr>
      <t>3.-</t>
    </r>
    <r>
      <rPr>
        <sz val="10"/>
        <color theme="1"/>
        <rFont val="Arial Narrow"/>
        <family val="2"/>
      </rPr>
      <t xml:space="preserve"> Coordinar y Ejecutar los Procesos de Movilidad.</t>
    </r>
  </si>
  <si>
    <t>N° de solicitudes de movilidad para la elaboración del Informe de Reconocimiento u Homologación de Estudios de asignaturas, cursos o sus equivalentes, revisados y remitidos a Coordinaciones de Carrera.</t>
  </si>
  <si>
    <r>
      <rPr>
        <b/>
        <sz val="10"/>
        <color theme="1"/>
        <rFont val="Arial Narrow"/>
        <family val="2"/>
      </rPr>
      <t>1.-</t>
    </r>
    <r>
      <rPr>
        <sz val="10"/>
        <color theme="1"/>
        <rFont val="Arial Narrow"/>
        <family val="2"/>
      </rPr>
      <t xml:space="preserve"> Coordinar y planificar el proceso de movilidad a nivel de Facultad.
</t>
    </r>
    <r>
      <rPr>
        <b/>
        <sz val="10"/>
        <color theme="1"/>
        <rFont val="Arial Narrow"/>
        <family val="2"/>
      </rPr>
      <t>2.-</t>
    </r>
    <r>
      <rPr>
        <sz val="10"/>
        <color theme="1"/>
        <rFont val="Arial Narrow"/>
        <family val="2"/>
      </rPr>
      <t xml:space="preserve"> Receptar y revisar los documentos habilitantes para procesos de movilidad.
</t>
    </r>
    <r>
      <rPr>
        <b/>
        <sz val="10"/>
        <color theme="1"/>
        <rFont val="Arial Narrow"/>
        <family val="2"/>
      </rPr>
      <t>3.-</t>
    </r>
    <r>
      <rPr>
        <sz val="10"/>
        <color theme="1"/>
        <rFont val="Arial Narrow"/>
        <family val="2"/>
      </rPr>
      <t xml:space="preserve"> Emitir oficios a coordinación de carrera con la documentación respectiva para su análisis académico y elaboración del informe.
</t>
    </r>
    <r>
      <rPr>
        <b/>
        <sz val="10"/>
        <color theme="1"/>
        <rFont val="Arial Narrow"/>
        <family val="2"/>
      </rPr>
      <t>4.-</t>
    </r>
    <r>
      <rPr>
        <sz val="10"/>
        <color theme="1"/>
        <rFont val="Arial Narrow"/>
        <family val="2"/>
      </rPr>
      <t xml:space="preserve"> Atender a usuarios internos y externos.</t>
    </r>
  </si>
  <si>
    <r>
      <rPr>
        <b/>
        <sz val="10"/>
        <color theme="1"/>
        <rFont val="Arial Narrow"/>
        <family val="2"/>
      </rPr>
      <t>1.-</t>
    </r>
    <r>
      <rPr>
        <sz val="10"/>
        <color theme="1"/>
        <rFont val="Arial Narrow"/>
        <family val="2"/>
      </rPr>
      <t xml:space="preserve"> Reporte de solicitudes de movilidad para la elaboración del Informe de Reconocimiento u Homologación de Estudios de asignaturas, cursos o sus equivalentes recibidas.
</t>
    </r>
    <r>
      <rPr>
        <b/>
        <sz val="10"/>
        <color theme="1"/>
        <rFont val="Arial Narrow"/>
        <family val="2"/>
      </rPr>
      <t>2.-</t>
    </r>
    <r>
      <rPr>
        <sz val="10"/>
        <color theme="1"/>
        <rFont val="Arial Narrow"/>
        <family val="2"/>
      </rPr>
      <t xml:space="preserve"> Oficios emitidos a los Coordinadores de Carreras para la elaboración de los informes de Reconocimiento u Homologación de Estudios, Asignaturas, Cursos o sus Equivalentes.</t>
    </r>
  </si>
  <si>
    <t>* Ing. Morayma Vélez E.,
  JEFA DE LA UMMOG-FCE
* Ing. Lizbeth Ortiz P.,
  ANALISTA DE LA UMMOG-FCE</t>
  </si>
  <si>
    <t>-------</t>
  </si>
  <si>
    <t>Este producto es parte del producto de la Meta Operativa N° 3.</t>
  </si>
  <si>
    <r>
      <rPr>
        <b/>
        <sz val="10"/>
        <color theme="1"/>
        <rFont val="Arial Narrow"/>
        <family val="2"/>
      </rPr>
      <t>5.-</t>
    </r>
    <r>
      <rPr>
        <sz val="10"/>
        <color theme="1"/>
        <rFont val="Arial Narrow"/>
        <family val="2"/>
      </rPr>
      <t xml:space="preserve"> Aperturar del Sistema para registro de calificaciones extemporáneas según resolución del Consejo Directivo.</t>
    </r>
  </si>
  <si>
    <t>N° de Resoluciones de Consejo Directivo de autorización de apertura del sistema para el registro de calificaciones extemporáneas ejecutadas.</t>
  </si>
  <si>
    <r>
      <rPr>
        <b/>
        <sz val="10"/>
        <color theme="1"/>
        <rFont val="Arial Narrow"/>
        <family val="2"/>
      </rPr>
      <t>1.-</t>
    </r>
    <r>
      <rPr>
        <sz val="10"/>
        <color theme="1"/>
        <rFont val="Arial Narrow"/>
        <family val="2"/>
      </rPr>
      <t xml:space="preserve"> Verificar en el SIUTMACH el ingreso de las actas de calificaciones generadas por los docentes.
</t>
    </r>
    <r>
      <rPr>
        <b/>
        <sz val="10"/>
        <color theme="1"/>
        <rFont val="Arial Narrow"/>
        <family val="2"/>
      </rPr>
      <t>2.-</t>
    </r>
    <r>
      <rPr>
        <sz val="10"/>
        <color theme="1"/>
        <rFont val="Arial Narrow"/>
        <family val="2"/>
      </rPr>
      <t xml:space="preserve"> Registrar manualmente en el SIUTMACH las calificaciones de plan especial, homologaciones, rectificación de calificaciones, recalificaciones y calificaciones históricas.
</t>
    </r>
    <r>
      <rPr>
        <b/>
        <sz val="10"/>
        <color theme="1"/>
        <rFont val="Arial Narrow"/>
        <family val="2"/>
      </rPr>
      <t>3.-</t>
    </r>
    <r>
      <rPr>
        <sz val="10"/>
        <color theme="1"/>
        <rFont val="Arial Narrow"/>
        <family val="2"/>
      </rPr>
      <t xml:space="preserve"> Emitir certificados de promoción o record académico.
</t>
    </r>
    <r>
      <rPr>
        <b/>
        <sz val="10"/>
        <color theme="1"/>
        <rFont val="Arial Narrow"/>
        <family val="2"/>
      </rPr>
      <t>4.-</t>
    </r>
    <r>
      <rPr>
        <sz val="10"/>
        <color theme="1"/>
        <rFont val="Arial Narrow"/>
        <family val="2"/>
      </rPr>
      <t xml:space="preserve"> Emitir certificados de culminación de malla.
</t>
    </r>
    <r>
      <rPr>
        <b/>
        <sz val="10"/>
        <color theme="1"/>
        <rFont val="Arial Narrow"/>
        <family val="2"/>
      </rPr>
      <t>5.-</t>
    </r>
    <r>
      <rPr>
        <sz val="10"/>
        <color theme="1"/>
        <rFont val="Arial Narrow"/>
        <family val="2"/>
      </rPr>
      <t xml:space="preserve"> Emitir certificados de promedio global de notas.
</t>
    </r>
    <r>
      <rPr>
        <b/>
        <sz val="10"/>
        <color theme="1"/>
        <rFont val="Arial Narrow"/>
        <family val="2"/>
      </rPr>
      <t>6.-</t>
    </r>
    <r>
      <rPr>
        <sz val="10"/>
        <color theme="1"/>
        <rFont val="Arial Narrow"/>
        <family val="2"/>
      </rPr>
      <t xml:space="preserve"> Emitir reporte de mejores estudiantes por semestre, carrera y periodo.
</t>
    </r>
    <r>
      <rPr>
        <b/>
        <sz val="10"/>
        <color theme="1"/>
        <rFont val="Arial Narrow"/>
        <family val="2"/>
      </rPr>
      <t>7.-</t>
    </r>
    <r>
      <rPr>
        <sz val="10"/>
        <color theme="1"/>
        <rFont val="Arial Narrow"/>
        <family val="2"/>
      </rPr>
      <t xml:space="preserve"> Emitir reporte de mejor egresado por periodo y/o carrera.
</t>
    </r>
    <r>
      <rPr>
        <b/>
        <sz val="10"/>
        <color theme="1"/>
        <rFont val="Arial Narrow"/>
        <family val="2"/>
      </rPr>
      <t>8.-</t>
    </r>
    <r>
      <rPr>
        <sz val="10"/>
        <color theme="1"/>
        <rFont val="Arial Narrow"/>
        <family val="2"/>
      </rPr>
      <t xml:space="preserve"> Emitir certificado de inicio y fin de carrera.
</t>
    </r>
    <r>
      <rPr>
        <b/>
        <sz val="10"/>
        <color theme="1"/>
        <rFont val="Arial Narrow"/>
        <family val="2"/>
      </rPr>
      <t>9.-</t>
    </r>
    <r>
      <rPr>
        <sz val="10"/>
        <color theme="1"/>
        <rFont val="Arial Narrow"/>
        <family val="2"/>
      </rPr>
      <t xml:space="preserve"> Emitir certificado de reprobación de asignaturas por tercera vez.
</t>
    </r>
    <r>
      <rPr>
        <b/>
        <sz val="10"/>
        <color theme="1"/>
        <rFont val="Arial Narrow"/>
        <family val="2"/>
      </rPr>
      <t>10.-</t>
    </r>
    <r>
      <rPr>
        <sz val="10"/>
        <color theme="1"/>
        <rFont val="Arial Narrow"/>
        <family val="2"/>
      </rPr>
      <t xml:space="preserve"> Actualizar en el SIUTMACH cartillas históricas de estudiantes.
</t>
    </r>
    <r>
      <rPr>
        <b/>
        <sz val="10"/>
        <color theme="1"/>
        <rFont val="Arial Narrow"/>
        <family val="2"/>
      </rPr>
      <t>11.-</t>
    </r>
    <r>
      <rPr>
        <sz val="10"/>
        <color theme="1"/>
        <rFont val="Arial Narrow"/>
        <family val="2"/>
      </rPr>
      <t xml:space="preserve"> Aperturar del sistema previa aprobación del Consejo Directivo para registro y/o corrección de calificaciones por parte de los docentes.
</t>
    </r>
    <r>
      <rPr>
        <b/>
        <sz val="10"/>
        <color theme="1"/>
        <rFont val="Arial Narrow"/>
        <family val="2"/>
      </rPr>
      <t>12.-</t>
    </r>
    <r>
      <rPr>
        <sz val="10"/>
        <color theme="1"/>
        <rFont val="Arial Narrow"/>
        <family val="2"/>
      </rPr>
      <t xml:space="preserve"> Atender a usuarios internos y externos.
</t>
    </r>
    <r>
      <rPr>
        <b/>
        <sz val="10"/>
        <color theme="1"/>
        <rFont val="Arial Narrow"/>
        <family val="2"/>
      </rPr>
      <t>13.-</t>
    </r>
    <r>
      <rPr>
        <sz val="10"/>
        <color theme="1"/>
        <rFont val="Arial Narrow"/>
        <family val="2"/>
      </rPr>
      <t xml:space="preserve">Emitir certificados de aprobación de prerrequisitos computación/ofimática.
</t>
    </r>
    <r>
      <rPr>
        <b/>
        <sz val="10"/>
        <color theme="1"/>
        <rFont val="Arial Narrow"/>
        <family val="2"/>
      </rPr>
      <t>14.-</t>
    </r>
    <r>
      <rPr>
        <sz val="10"/>
        <color theme="1"/>
        <rFont val="Arial Narrow"/>
        <family val="2"/>
      </rPr>
      <t xml:space="preserve"> Emitir certificados de no adeudar.</t>
    </r>
  </si>
  <si>
    <r>
      <rPr>
        <b/>
        <sz val="10"/>
        <color theme="1"/>
        <rFont val="Arial Narrow"/>
        <family val="2"/>
      </rPr>
      <t>1.-</t>
    </r>
    <r>
      <rPr>
        <sz val="10"/>
        <color theme="1"/>
        <rFont val="Arial Narrow"/>
        <family val="2"/>
      </rPr>
      <t xml:space="preserve"> Reporte de actas de calificaciones finalizadas y guardadas.</t>
    </r>
  </si>
  <si>
    <t>* Ing. Morayma Vélez E.,
  JEFA DE LA UMMOG-FCE
* Lcda. Bertha Sicho M.,
* Ing. Walter Romero A.,
* Sr. Herman José Aguilar,
  ANALISTAS DE ESTADISTICA - FCE</t>
  </si>
  <si>
    <t>Por reforma del RRA de la UTMACH, las Actas de Calificaciones no son físicas solo digitales, por lo que el mismo docente al finalizar y guardar el acta valida la misma en el SIUTMACH.</t>
  </si>
  <si>
    <r>
      <rPr>
        <b/>
        <sz val="10"/>
        <color theme="1"/>
        <rFont val="Arial Narrow"/>
        <family val="2"/>
      </rPr>
      <t>6.-</t>
    </r>
    <r>
      <rPr>
        <sz val="10"/>
        <color theme="1"/>
        <rFont val="Arial Narrow"/>
        <family val="2"/>
      </rPr>
      <t xml:space="preserve"> Organizar y supervisar las fases del proceso de titulación.</t>
    </r>
  </si>
  <si>
    <t>N° de proceso de titulación, organizados y supervisados.</t>
  </si>
  <si>
    <r>
      <rPr>
        <b/>
        <sz val="10"/>
        <color theme="1"/>
        <rFont val="Arial Narrow"/>
        <family val="2"/>
      </rPr>
      <t>1.-</t>
    </r>
    <r>
      <rPr>
        <sz val="10"/>
        <color theme="1"/>
        <rFont val="Arial Narrow"/>
        <family val="2"/>
      </rPr>
      <t xml:space="preserve"> Coordinar y planificar proceso de titulación a nivel de facultad.
</t>
    </r>
    <r>
      <rPr>
        <b/>
        <sz val="10"/>
        <color theme="1"/>
        <rFont val="Arial Narrow"/>
        <family val="2"/>
      </rPr>
      <t>2.-</t>
    </r>
    <r>
      <rPr>
        <sz val="10"/>
        <color theme="1"/>
        <rFont val="Arial Narrow"/>
        <family val="2"/>
      </rPr>
      <t xml:space="preserve"> Registrar fecha de fin de carrera para cumplimiento de la inscripción al proceso de titulación.
</t>
    </r>
    <r>
      <rPr>
        <b/>
        <sz val="10"/>
        <color theme="1"/>
        <rFont val="Arial Narrow"/>
        <family val="2"/>
      </rPr>
      <t>3.-</t>
    </r>
    <r>
      <rPr>
        <sz val="10"/>
        <color theme="1"/>
        <rFont val="Arial Narrow"/>
        <family val="2"/>
      </rPr>
      <t xml:space="preserve"> Revisar y validar del cumplimiento de la malla.
</t>
    </r>
    <r>
      <rPr>
        <b/>
        <sz val="10"/>
        <color theme="1"/>
        <rFont val="Arial Narrow"/>
        <family val="2"/>
      </rPr>
      <t>4.-</t>
    </r>
    <r>
      <rPr>
        <sz val="10"/>
        <color theme="1"/>
        <rFont val="Arial Narrow"/>
        <family val="2"/>
      </rPr>
      <t xml:space="preserve"> Revisar perdida de gratuidad por acumular más del 30% de créditos reprobados.
</t>
    </r>
    <r>
      <rPr>
        <b/>
        <sz val="10"/>
        <color theme="1"/>
        <rFont val="Arial Narrow"/>
        <family val="2"/>
      </rPr>
      <t>5.-</t>
    </r>
    <r>
      <rPr>
        <sz val="10"/>
        <color theme="1"/>
        <rFont val="Arial Narrow"/>
        <family val="2"/>
      </rPr>
      <t xml:space="preserve"> Revisar en la Senescyt segundo o más títulos profesionales obtenidos.
</t>
    </r>
    <r>
      <rPr>
        <b/>
        <sz val="10"/>
        <color theme="1"/>
        <rFont val="Arial Narrow"/>
        <family val="2"/>
      </rPr>
      <t>6.-</t>
    </r>
    <r>
      <rPr>
        <sz val="10"/>
        <color theme="1"/>
        <rFont val="Arial Narrow"/>
        <family val="2"/>
      </rPr>
      <t xml:space="preserve"> Revisar requisitos habilitantes para matricula en proceso de titulación.
</t>
    </r>
    <r>
      <rPr>
        <b/>
        <sz val="10"/>
        <color theme="1"/>
        <rFont val="Arial Narrow"/>
        <family val="2"/>
      </rPr>
      <t xml:space="preserve">7.- </t>
    </r>
    <r>
      <rPr>
        <sz val="10"/>
        <color theme="1"/>
        <rFont val="Arial Narrow"/>
        <family val="2"/>
      </rPr>
      <t xml:space="preserve">Validar matrícula de proceso de titulación.
</t>
    </r>
    <r>
      <rPr>
        <b/>
        <sz val="10"/>
        <color theme="1"/>
        <rFont val="Arial Narrow"/>
        <family val="2"/>
      </rPr>
      <t xml:space="preserve">8.- </t>
    </r>
    <r>
      <rPr>
        <sz val="10"/>
        <color theme="1"/>
        <rFont val="Arial Narrow"/>
        <family val="2"/>
      </rPr>
      <t xml:space="preserve">Imprimir y/o descargar listados de estudiantes aptos para rendir examen complexivo.
</t>
    </r>
    <r>
      <rPr>
        <b/>
        <sz val="10"/>
        <color theme="1"/>
        <rFont val="Arial Narrow"/>
        <family val="2"/>
      </rPr>
      <t>9.-</t>
    </r>
    <r>
      <rPr>
        <sz val="10"/>
        <color theme="1"/>
        <rFont val="Arial Narrow"/>
        <family val="2"/>
      </rPr>
      <t xml:space="preserve"> Supervisar y coordinar la toma del examen complexivo.
</t>
    </r>
    <r>
      <rPr>
        <b/>
        <sz val="10"/>
        <color theme="1"/>
        <rFont val="Arial Narrow"/>
        <family val="2"/>
      </rPr>
      <t>10.-</t>
    </r>
    <r>
      <rPr>
        <sz val="10"/>
        <color theme="1"/>
        <rFont val="Arial Narrow"/>
        <family val="2"/>
      </rPr>
      <t xml:space="preserve"> Ingresar a la plataforma de titulación fecha, hora y lugar de sustentación.
</t>
    </r>
    <r>
      <rPr>
        <b/>
        <sz val="10"/>
        <color theme="1"/>
        <rFont val="Arial Narrow"/>
        <family val="2"/>
      </rPr>
      <t>11.-</t>
    </r>
    <r>
      <rPr>
        <sz val="10"/>
        <color theme="1"/>
        <rFont val="Arial Narrow"/>
        <family val="2"/>
      </rPr>
      <t xml:space="preserve"> Supervisar y coordinar las sustentaciones de trabajo de titulación y examen complexivo.
</t>
    </r>
    <r>
      <rPr>
        <b/>
        <sz val="10"/>
        <color theme="1"/>
        <rFont val="Arial Narrow"/>
        <family val="2"/>
      </rPr>
      <t>12.-</t>
    </r>
    <r>
      <rPr>
        <sz val="10"/>
        <color theme="1"/>
        <rFont val="Arial Narrow"/>
        <family val="2"/>
      </rPr>
      <t xml:space="preserve"> Activar especialista suplente del comité evaluador a petición del coordinador de carrera.
</t>
    </r>
    <r>
      <rPr>
        <b/>
        <sz val="10"/>
        <color theme="1"/>
        <rFont val="Arial Narrow"/>
        <family val="2"/>
      </rPr>
      <t>13.-</t>
    </r>
    <r>
      <rPr>
        <sz val="10"/>
        <color theme="1"/>
        <rFont val="Arial Narrow"/>
        <family val="2"/>
      </rPr>
      <t xml:space="preserve"> Generar actas de calificaciones de las sustentaciones.
</t>
    </r>
    <r>
      <rPr>
        <b/>
        <sz val="10"/>
        <color theme="1"/>
        <rFont val="Arial Narrow"/>
        <family val="2"/>
      </rPr>
      <t>14.-</t>
    </r>
    <r>
      <rPr>
        <sz val="10"/>
        <color theme="1"/>
        <rFont val="Arial Narrow"/>
        <family val="2"/>
      </rPr>
      <t xml:space="preserve"> Validar trabajo escrito de ambas opciones de titulación en la plataforma de titulación.
15.- Descargar acta de graduación e insertar en expediente de estudiante.
</t>
    </r>
    <r>
      <rPr>
        <b/>
        <sz val="10"/>
        <color theme="1"/>
        <rFont val="Arial Narrow"/>
        <family val="2"/>
      </rPr>
      <t>16.-</t>
    </r>
    <r>
      <rPr>
        <sz val="10"/>
        <color theme="1"/>
        <rFont val="Arial Narrow"/>
        <family val="2"/>
      </rPr>
      <t xml:space="preserve"> Revisar y grabar los promedios de grado a fin de generar acta consolidada.
</t>
    </r>
    <r>
      <rPr>
        <b/>
        <sz val="10"/>
        <color theme="1"/>
        <rFont val="Arial Narrow"/>
        <family val="2"/>
      </rPr>
      <t>17.-</t>
    </r>
    <r>
      <rPr>
        <sz val="10"/>
        <color theme="1"/>
        <rFont val="Arial Narrow"/>
        <family val="2"/>
      </rPr>
      <t xml:space="preserve"> Convocar y asistir en la inducción presencial y/o virtual para el evento de incorporación.
</t>
    </r>
    <r>
      <rPr>
        <b/>
        <sz val="10"/>
        <color theme="1"/>
        <rFont val="Arial Narrow"/>
        <family val="2"/>
      </rPr>
      <t>18.-</t>
    </r>
    <r>
      <rPr>
        <sz val="10"/>
        <color theme="1"/>
        <rFont val="Arial Narrow"/>
        <family val="2"/>
      </rPr>
      <t xml:space="preserve"> Coordinar con decanato y secretaria de la facultad la organización del evento de incorporación virtual y/o presencial.
</t>
    </r>
    <r>
      <rPr>
        <b/>
        <sz val="10"/>
        <color theme="1"/>
        <rFont val="Arial Narrow"/>
        <family val="2"/>
      </rPr>
      <t>19.-</t>
    </r>
    <r>
      <rPr>
        <sz val="10"/>
        <color theme="1"/>
        <rFont val="Arial Narrow"/>
        <family val="2"/>
      </rPr>
      <t xml:space="preserve"> Coordinar con dirección de comunicación eventos de incorporación.
</t>
    </r>
    <r>
      <rPr>
        <b/>
        <sz val="10"/>
        <color theme="1"/>
        <rFont val="Arial Narrow"/>
        <family val="2"/>
      </rPr>
      <t>20.-</t>
    </r>
    <r>
      <rPr>
        <sz val="10"/>
        <color theme="1"/>
        <rFont val="Arial Narrow"/>
        <family val="2"/>
      </rPr>
      <t xml:space="preserve"> Emitir certificados de estar legalmente matriculados en el proceso de titulación.
</t>
    </r>
    <r>
      <rPr>
        <b/>
        <sz val="10"/>
        <color theme="1"/>
        <rFont val="Arial Narrow"/>
        <family val="2"/>
      </rPr>
      <t>21.-</t>
    </r>
    <r>
      <rPr>
        <sz val="10"/>
        <color theme="1"/>
        <rFont val="Arial Narrow"/>
        <family val="2"/>
      </rPr>
      <t xml:space="preserve"> Remitir copias certificadas de oficios de autorización de la compra de títulos de promociones antiguas.
22.- Remitir oficio al decanato para el traslado y/o compra de especies de tesorería a secretaria general.
</t>
    </r>
    <r>
      <rPr>
        <b/>
        <sz val="10"/>
        <color theme="1"/>
        <rFont val="Arial Narrow"/>
        <family val="2"/>
      </rPr>
      <t>23.-</t>
    </r>
    <r>
      <rPr>
        <sz val="10"/>
        <color theme="1"/>
        <rFont val="Arial Narrow"/>
        <family val="2"/>
      </rPr>
      <t xml:space="preserve"> Generar acta consolidada.
</t>
    </r>
    <r>
      <rPr>
        <b/>
        <sz val="10"/>
        <color theme="1"/>
        <rFont val="Arial Narrow"/>
        <family val="2"/>
      </rPr>
      <t>24.-</t>
    </r>
    <r>
      <rPr>
        <sz val="10"/>
        <color theme="1"/>
        <rFont val="Arial Narrow"/>
        <family val="2"/>
      </rPr>
      <t xml:space="preserve"> Remitir al decanato oficio solicitando el registro e impresión de títulos por parte de secretaria general de los estudiantes graduados.
</t>
    </r>
    <r>
      <rPr>
        <b/>
        <sz val="10"/>
        <color theme="1"/>
        <rFont val="Arial Narrow"/>
        <family val="2"/>
      </rPr>
      <t>25.-</t>
    </r>
    <r>
      <rPr>
        <sz val="10"/>
        <color theme="1"/>
        <rFont val="Arial Narrow"/>
        <family val="2"/>
      </rPr>
      <t xml:space="preserve"> Cargar en drive los expedientes de los estudiantes graduados para el registro e impresión de los títulos y compartir con las partes pertinentes.
</t>
    </r>
    <r>
      <rPr>
        <b/>
        <sz val="10"/>
        <color theme="1"/>
        <rFont val="Arial Narrow"/>
        <family val="2"/>
      </rPr>
      <t>26.-</t>
    </r>
    <r>
      <rPr>
        <sz val="10"/>
        <color theme="1"/>
        <rFont val="Arial Narrow"/>
        <family val="2"/>
      </rPr>
      <t xml:space="preserve"> Atender a usuarios internos y externos.</t>
    </r>
  </si>
  <si>
    <r>
      <rPr>
        <b/>
        <sz val="10"/>
        <color theme="1"/>
        <rFont val="Arial Narrow"/>
        <family val="2"/>
      </rPr>
      <t>1.-</t>
    </r>
    <r>
      <rPr>
        <sz val="10"/>
        <color theme="1"/>
        <rFont val="Arial Narrow"/>
        <family val="2"/>
      </rPr>
      <t xml:space="preserve"> Reporte de estudiantes inscritos en el proceso de titulación.</t>
    </r>
  </si>
  <si>
    <t>* Ing. Morayma Vélez E.,
  JEFA DE LA UMMOG-FCE
* Ing. Tania Brito G.,
* Ing. Nancy Calva A.,
* Lcda. Ketty Ajila A.
* Lcda. Mónica Lapo P.,
* Ing. Karol Valarezo P.,
* Ing. Lizbeth Ortiz P.,
  ANALISTAS DE LA UMMOG-FCE
* Lcda. Bertha Sicho M., 
* Ing. Walter Romero A.,
* Sr. Herman José Aguilar,
  ANALISTAS DE ESTADÍSTICA-FCE</t>
  </si>
  <si>
    <t>No podemos eliminar o simplificar actividades, ya que son todas las que se realizan para cumplir la meta, y han sido las mismas en los POAS anteriores.
El cumplimiento efectivo de las metas y entrega de productos en los cuatrimestres dependen de la planificación institucional (Calendario Académico), por lo cual cualquier reforma o actualización al calendario afecta a los procesos.</t>
  </si>
  <si>
    <r>
      <rPr>
        <b/>
        <sz val="10"/>
        <color theme="1"/>
        <rFont val="Arial Narrow"/>
        <family val="2"/>
      </rPr>
      <t>7.-</t>
    </r>
    <r>
      <rPr>
        <sz val="10"/>
        <color theme="1"/>
        <rFont val="Arial Narrow"/>
        <family val="2"/>
      </rPr>
      <t xml:space="preserve"> Emitir Informes de designación de tutor y comité evaluador.</t>
    </r>
  </si>
  <si>
    <t>N° de informes de designación de tutores y comité evaluador, emitidos.</t>
  </si>
  <si>
    <r>
      <rPr>
        <b/>
        <sz val="10"/>
        <color theme="1"/>
        <rFont val="Arial Narrow"/>
        <family val="2"/>
      </rPr>
      <t>1.-</t>
    </r>
    <r>
      <rPr>
        <sz val="10"/>
        <color theme="1"/>
        <rFont val="Arial Narrow"/>
        <family val="2"/>
      </rPr>
      <t xml:space="preserve"> Solicitar a coordinadores de carrera el registro de tutores en la plataforma de titulación en cada proceso.
</t>
    </r>
    <r>
      <rPr>
        <b/>
        <sz val="10"/>
        <color theme="1"/>
        <rFont val="Arial Narrow"/>
        <family val="2"/>
      </rPr>
      <t>2.-</t>
    </r>
    <r>
      <rPr>
        <sz val="10"/>
        <color theme="1"/>
        <rFont val="Arial Narrow"/>
        <family val="2"/>
      </rPr>
      <t xml:space="preserve"> Generar desde la plataforma de titulación reporte de tutores y comité evaluador para aprobación de Comisión Académica y Consejo Directivo. 
</t>
    </r>
    <r>
      <rPr>
        <b/>
        <sz val="10"/>
        <color theme="1"/>
        <rFont val="Arial Narrow"/>
        <family val="2"/>
      </rPr>
      <t>3.-</t>
    </r>
    <r>
      <rPr>
        <sz val="10"/>
        <color theme="1"/>
        <rFont val="Arial Narrow"/>
        <family val="2"/>
      </rPr>
      <t xml:space="preserve"> Receptar los reportes de tutor y comité evaluador legalizados.</t>
    </r>
  </si>
  <si>
    <r>
      <rPr>
        <b/>
        <sz val="10"/>
        <color theme="1"/>
        <rFont val="Arial Narrow"/>
        <family val="2"/>
      </rPr>
      <t>1.-</t>
    </r>
    <r>
      <rPr>
        <sz val="10"/>
        <color theme="1"/>
        <rFont val="Arial Narrow"/>
        <family val="2"/>
      </rPr>
      <t xml:space="preserve"> Resoluciones de Consejo Directivo de aprobación de los Informes de designación de tutor y comité evaluador.</t>
    </r>
  </si>
  <si>
    <t>* Ing. Morayma Vélez E.,
  JEFA DE LA UMMOG-FCE
* Lcda. Mónica Lapo P.,
* Ing. Karol Valarezo Procel
  ANALISTAS DE LA UMMOG-FCE</t>
  </si>
  <si>
    <t>Por reforma del RRA de la UTMACH, las Actas de Calificaciones no son físicas solo digitales, por lo que el mismo docente al finalizar y guardar el acta valida la misma en el SIUTMACH.
El cumplimiento efectivo de las metas y entrega de productos en los cuatrimestres dependen de la planificación institucional (Calendario Académico), por lo cual cualquier reforma o actualización al calendario afecta a los procesos.</t>
  </si>
  <si>
    <r>
      <rPr>
        <b/>
        <sz val="10"/>
        <color theme="1"/>
        <rFont val="Arial Narrow"/>
        <family val="2"/>
      </rPr>
      <t xml:space="preserve">8.- </t>
    </r>
    <r>
      <rPr>
        <sz val="10"/>
        <color theme="1"/>
        <rFont val="Arial Narrow"/>
        <family val="2"/>
      </rPr>
      <t>Revisar y emitir informes al Consejo Directivo sobre la aptitud legal y graduación.</t>
    </r>
  </si>
  <si>
    <t>N° de informes de aptitud legal y actas de graduación emitidos y aprobadas por Consejo Directivo.</t>
  </si>
  <si>
    <r>
      <rPr>
        <b/>
        <sz val="10"/>
        <color theme="1"/>
        <rFont val="Arial Narrow"/>
        <family val="2"/>
      </rPr>
      <t>1.-</t>
    </r>
    <r>
      <rPr>
        <sz val="10"/>
        <color theme="1"/>
        <rFont val="Arial Narrow"/>
        <family val="2"/>
      </rPr>
      <t xml:space="preserve"> Receptar certificados de no adeudar y recibo único de ingreso a caja de estudiantes que pierden gratuidad y/o poseen otro título.
</t>
    </r>
    <r>
      <rPr>
        <b/>
        <sz val="10"/>
        <color theme="1"/>
        <rFont val="Arial Narrow"/>
        <family val="2"/>
      </rPr>
      <t>2.-</t>
    </r>
    <r>
      <rPr>
        <sz val="10"/>
        <color theme="1"/>
        <rFont val="Arial Narrow"/>
        <family val="2"/>
      </rPr>
      <t xml:space="preserve"> Generar y/o imprimir informes de aptitud legal por carrera, para aprobación de Consejo Directivo.
</t>
    </r>
    <r>
      <rPr>
        <b/>
        <sz val="10"/>
        <color theme="1"/>
        <rFont val="Arial Narrow"/>
        <family val="2"/>
      </rPr>
      <t>3.-</t>
    </r>
    <r>
      <rPr>
        <sz val="10"/>
        <color theme="1"/>
        <rFont val="Arial Narrow"/>
        <family val="2"/>
      </rPr>
      <t xml:space="preserve"> Registrar la firma electrónica en el SIUTMACH.
</t>
    </r>
    <r>
      <rPr>
        <b/>
        <sz val="10"/>
        <color theme="1"/>
        <rFont val="Arial Narrow"/>
        <family val="2"/>
      </rPr>
      <t>4.-</t>
    </r>
    <r>
      <rPr>
        <sz val="10"/>
        <color theme="1"/>
        <rFont val="Arial Narrow"/>
        <family val="2"/>
      </rPr>
      <t xml:space="preserve"> Emitir informe al consejo directo sobre la aprobación de la aptitud legal y graduación de los estudiantes que aprobaron el proceso de titulación.
</t>
    </r>
    <r>
      <rPr>
        <b/>
        <sz val="10"/>
        <color theme="1"/>
        <rFont val="Arial Narrow"/>
        <family val="2"/>
      </rPr>
      <t>5.-</t>
    </r>
    <r>
      <rPr>
        <sz val="10"/>
        <color theme="1"/>
        <rFont val="Arial Narrow"/>
        <family val="2"/>
      </rPr>
      <t xml:space="preserve"> Ingresar, revisar y actualizar la información cargada en el SIUTMACH para la impresión de títulos y registro en la Senescyt.</t>
    </r>
  </si>
  <si>
    <r>
      <rPr>
        <b/>
        <sz val="10"/>
        <color theme="1"/>
        <rFont val="Arial Narrow"/>
        <family val="2"/>
      </rPr>
      <t>1.-</t>
    </r>
    <r>
      <rPr>
        <sz val="10"/>
        <color theme="1"/>
        <rFont val="Arial Narrow"/>
        <family val="2"/>
      </rPr>
      <t xml:space="preserve"> Resoluciones de Consejo Directivo de aprobación de los Informes de Actitud Legal y Actas de Graduación generadas.</t>
    </r>
  </si>
  <si>
    <t>* Ing. Morayma Vélez E.,
  JEFA DE LA UMMOG-FCE
* Lcda. Mónica Lapo P.,
* Ing. Karol Valarezo P.,
  ANALISTAS DE LA UMMOG-FCE</t>
  </si>
  <si>
    <r>
      <rPr>
        <b/>
        <sz val="10"/>
        <color theme="1"/>
        <rFont val="Arial Narrow"/>
        <family val="2"/>
      </rPr>
      <t>9.-</t>
    </r>
    <r>
      <rPr>
        <sz val="10"/>
        <color theme="1"/>
        <rFont val="Arial Narrow"/>
        <family val="2"/>
      </rPr>
      <t xml:space="preserve"> Emitir Informes para certificaciones de procesos de matrícula, movilidad, graduación y estadística.</t>
    </r>
  </si>
  <si>
    <t>N° de informes para certificaciones de procesos de matrícula, movilidad, graduación y estadística, emitido.</t>
  </si>
  <si>
    <r>
      <rPr>
        <b/>
        <sz val="10"/>
        <color theme="1"/>
        <rFont val="Arial Narrow"/>
        <family val="2"/>
      </rPr>
      <t>1.-</t>
    </r>
    <r>
      <rPr>
        <sz val="10"/>
        <color theme="1"/>
        <rFont val="Arial Narrow"/>
        <family val="2"/>
      </rPr>
      <t xml:space="preserve"> Emitir informe para certificar los procesos de matrícula, movilidad, gradación y estadística, solicitados por los estudiantes.
</t>
    </r>
    <r>
      <rPr>
        <b/>
        <sz val="10"/>
        <color theme="1"/>
        <rFont val="Arial Narrow"/>
        <family val="2"/>
      </rPr>
      <t>2.-</t>
    </r>
    <r>
      <rPr>
        <sz val="10"/>
        <color theme="1"/>
        <rFont val="Arial Narrow"/>
        <family val="2"/>
      </rPr>
      <t xml:space="preserve"> Remitir copias certificadas de actas de calificaciones.
</t>
    </r>
    <r>
      <rPr>
        <b/>
        <sz val="10"/>
        <color theme="1"/>
        <rFont val="Arial Narrow"/>
        <family val="2"/>
      </rPr>
      <t>3.-</t>
    </r>
    <r>
      <rPr>
        <sz val="10"/>
        <color theme="1"/>
        <rFont val="Arial Narrow"/>
        <family val="2"/>
      </rPr>
      <t xml:space="preserve"> Remitir copias certificadas de actas de graduación.
</t>
    </r>
    <r>
      <rPr>
        <b/>
        <sz val="10"/>
        <color theme="1"/>
        <rFont val="Arial Narrow"/>
        <family val="2"/>
      </rPr>
      <t>4.-</t>
    </r>
    <r>
      <rPr>
        <sz val="10"/>
        <color theme="1"/>
        <rFont val="Arial Narrow"/>
        <family val="2"/>
      </rPr>
      <t xml:space="preserve"> Remitir copias certificadas de actas de consolidada.
</t>
    </r>
    <r>
      <rPr>
        <b/>
        <sz val="10"/>
        <color theme="1"/>
        <rFont val="Arial Narrow"/>
        <family val="2"/>
      </rPr>
      <t>5.-</t>
    </r>
    <r>
      <rPr>
        <sz val="10"/>
        <color theme="1"/>
        <rFont val="Arial Narrow"/>
        <family val="2"/>
      </rPr>
      <t xml:space="preserve"> Atender a usuarios internos y externos.</t>
    </r>
  </si>
  <si>
    <r>
      <rPr>
        <b/>
        <sz val="10"/>
        <color theme="1"/>
        <rFont val="Arial Narrow"/>
        <family val="2"/>
      </rPr>
      <t>1.-</t>
    </r>
    <r>
      <rPr>
        <sz val="10"/>
        <color theme="1"/>
        <rFont val="Arial Narrow"/>
        <family val="2"/>
      </rPr>
      <t xml:space="preserve"> Reporte de Certificados de proceso de matrícula, movilidad, graduación y estadística emitidos.</t>
    </r>
  </si>
  <si>
    <t>* Ing. Morayma Vélez E.,
  JEFA DE LA UMMOG-FCE
* Ing. Tania Brito G.,
* Ing. Nancy Calva A.,
* Lcda. Ketty Ajila A.,
* Lcda. Mónica Lapo P.,
* Ing. Karol Valarezo P.,
* Ing. Lizbeth Ortiz P.,
  ANALISTAS DE LA UMMOG-FCE
* Lcda. Bertha Sicho M.,
* Ing. Walter Romero A.,
* Sr. Herman José Aguilar,
  ANALISTAS DE ESTADÍSTICA-FCE</t>
  </si>
  <si>
    <r>
      <rPr>
        <b/>
        <sz val="10"/>
        <color theme="1"/>
        <rFont val="Arial Narrow"/>
        <family val="2"/>
      </rPr>
      <t>10.-</t>
    </r>
    <r>
      <rPr>
        <sz val="10"/>
        <color theme="1"/>
        <rFont val="Arial Narrow"/>
        <family val="2"/>
      </rPr>
      <t xml:space="preserve"> Emitir Informes Técnicos para procesos internos y externos.</t>
    </r>
  </si>
  <si>
    <t>N° de informes de estudiantes y graduados, solicitados por los entes reguladores internos y externos, efectuado.</t>
  </si>
  <si>
    <r>
      <rPr>
        <b/>
        <sz val="10"/>
        <color theme="1"/>
        <rFont val="Arial Narrow"/>
        <family val="2"/>
      </rPr>
      <t>1.-</t>
    </r>
    <r>
      <rPr>
        <sz val="10"/>
        <color theme="1"/>
        <rFont val="Arial Narrow"/>
        <family val="2"/>
      </rPr>
      <t xml:space="preserve"> Receptar y atender requerimientos de los organismos de control internos y externos.
</t>
    </r>
    <r>
      <rPr>
        <b/>
        <sz val="10"/>
        <color theme="1"/>
        <rFont val="Arial Narrow"/>
        <family val="2"/>
      </rPr>
      <t>2.-</t>
    </r>
    <r>
      <rPr>
        <sz val="10"/>
        <color theme="1"/>
        <rFont val="Arial Narrow"/>
        <family val="2"/>
      </rPr>
      <t xml:space="preserve"> Revisar la información existente el en SIUTMACH y archivo físico.
</t>
    </r>
    <r>
      <rPr>
        <b/>
        <sz val="10"/>
        <color theme="1"/>
        <rFont val="Arial Narrow"/>
        <family val="2"/>
      </rPr>
      <t>3.-</t>
    </r>
    <r>
      <rPr>
        <sz val="10"/>
        <color theme="1"/>
        <rFont val="Arial Narrow"/>
        <family val="2"/>
      </rPr>
      <t xml:space="preserve"> Elaborar informes, reportes solicitados de matrículas, movilidad y graduación.</t>
    </r>
  </si>
  <si>
    <r>
      <rPr>
        <b/>
        <sz val="10"/>
        <color theme="1"/>
        <rFont val="Arial Narrow"/>
        <family val="2"/>
      </rPr>
      <t>1.-</t>
    </r>
    <r>
      <rPr>
        <sz val="10"/>
        <color theme="1"/>
        <rFont val="Arial Narrow"/>
        <family val="2"/>
      </rPr>
      <t xml:space="preserve"> Matrices de estudiantes y graduados, solicitados por los entes reguladores internos y externos, efectuado.</t>
    </r>
  </si>
  <si>
    <r>
      <rPr>
        <b/>
        <sz val="10"/>
        <color theme="1"/>
        <rFont val="Arial Narrow"/>
        <family val="2"/>
      </rPr>
      <t>11.-</t>
    </r>
    <r>
      <rPr>
        <sz val="10"/>
        <color theme="1"/>
        <rFont val="Arial Narrow"/>
        <family val="2"/>
      </rPr>
      <t xml:space="preserve"> Presentar la Planificación Operativa Anual y Evaluación de la Planificación Operativo Anual.</t>
    </r>
  </si>
  <si>
    <t>N° de Planificación Operativa Anual y Evaluación de la Planificación Operativa Anual entregadas oportunamente.</t>
  </si>
  <si>
    <r>
      <rPr>
        <b/>
        <sz val="10"/>
        <color theme="1"/>
        <rFont val="Arial Narrow"/>
        <family val="2"/>
      </rPr>
      <t>1.-</t>
    </r>
    <r>
      <rPr>
        <sz val="10"/>
        <color theme="1"/>
        <rFont val="Arial Narrow"/>
        <family val="2"/>
      </rPr>
      <t xml:space="preserve"> Elaborar la Planificación Operativa Anual.
</t>
    </r>
    <r>
      <rPr>
        <b/>
        <sz val="10"/>
        <color theme="1"/>
        <rFont val="Arial Narrow"/>
        <family val="2"/>
      </rPr>
      <t>2.-</t>
    </r>
    <r>
      <rPr>
        <sz val="10"/>
        <color theme="1"/>
        <rFont val="Arial Narrow"/>
        <family val="2"/>
      </rPr>
      <t xml:space="preserve"> Autoevaluar la Panificación Operativa Anual.</t>
    </r>
  </si>
  <si>
    <r>
      <rPr>
        <b/>
        <sz val="10"/>
        <color theme="1"/>
        <rFont val="Arial Narrow"/>
        <family val="2"/>
      </rPr>
      <t>1.-</t>
    </r>
    <r>
      <rPr>
        <sz val="10"/>
        <color theme="1"/>
        <rFont val="Arial Narrow"/>
        <family val="2"/>
      </rPr>
      <t xml:space="preserve"> POA 2024.
</t>
    </r>
    <r>
      <rPr>
        <b/>
        <sz val="10"/>
        <color theme="1"/>
        <rFont val="Arial Narrow"/>
        <family val="2"/>
      </rPr>
      <t>2.-</t>
    </r>
    <r>
      <rPr>
        <sz val="10"/>
        <color theme="1"/>
        <rFont val="Arial Narrow"/>
        <family val="2"/>
      </rPr>
      <t xml:space="preserve"> Autoevaluación del POA 2023.</t>
    </r>
  </si>
  <si>
    <t>* Ing. Morayma Vélez E.,
  JEFA DE LA UMMOG-FCE
* Lcda. Mónica Lapo P.,
  ANALISTAS DE LA UMMOG-FCE</t>
  </si>
  <si>
    <r>
      <rPr>
        <b/>
        <sz val="10"/>
        <color theme="1"/>
        <rFont val="Arial Narrow"/>
        <family val="2"/>
      </rPr>
      <t>12.-</t>
    </r>
    <r>
      <rPr>
        <sz val="10"/>
        <color theme="1"/>
        <rFont val="Arial Narrow"/>
        <family val="2"/>
      </rPr>
      <t xml:space="preserve"> Organizar el Archivo Intermedio.</t>
    </r>
  </si>
  <si>
    <t>N° de Expedientes archivados en físico y/o digital, del 2020-2.</t>
  </si>
  <si>
    <r>
      <rPr>
        <b/>
        <sz val="10"/>
        <color theme="1"/>
        <rFont val="Arial Narrow"/>
        <family val="2"/>
      </rPr>
      <t>1.-</t>
    </r>
    <r>
      <rPr>
        <sz val="10"/>
        <color theme="1"/>
        <rFont val="Arial Narrow"/>
        <family val="2"/>
      </rPr>
      <t xml:space="preserve"> Receptar oficios.
</t>
    </r>
    <r>
      <rPr>
        <b/>
        <sz val="10"/>
        <color theme="1"/>
        <rFont val="Arial Narrow"/>
        <family val="2"/>
      </rPr>
      <t>2.-</t>
    </r>
    <r>
      <rPr>
        <sz val="10"/>
        <color theme="1"/>
        <rFont val="Arial Narrow"/>
        <family val="2"/>
      </rPr>
      <t xml:space="preserve"> Elaborar y despachar oficios.
</t>
    </r>
    <r>
      <rPr>
        <b/>
        <sz val="10"/>
        <color theme="1"/>
        <rFont val="Arial Narrow"/>
        <family val="2"/>
      </rPr>
      <t>3.-</t>
    </r>
    <r>
      <rPr>
        <sz val="10"/>
        <color theme="1"/>
        <rFont val="Arial Narrow"/>
        <family val="2"/>
      </rPr>
      <t xml:space="preserve"> Registrar oficios enviados y recibidos en el SIUTMACH.
</t>
    </r>
    <r>
      <rPr>
        <b/>
        <sz val="10"/>
        <color theme="1"/>
        <rFont val="Arial Narrow"/>
        <family val="2"/>
      </rPr>
      <t>4.-</t>
    </r>
    <r>
      <rPr>
        <sz val="10"/>
        <color theme="1"/>
        <rFont val="Arial Narrow"/>
        <family val="2"/>
      </rPr>
      <t xml:space="preserve"> Consolidar expediente de estudiantes.
</t>
    </r>
    <r>
      <rPr>
        <b/>
        <sz val="10"/>
        <color theme="1"/>
        <rFont val="Arial Narrow"/>
        <family val="2"/>
      </rPr>
      <t>5.-</t>
    </r>
    <r>
      <rPr>
        <sz val="10"/>
        <color theme="1"/>
        <rFont val="Arial Narrow"/>
        <family val="2"/>
      </rPr>
      <t xml:space="preserve"> Archivar cronológicamente los oficios, resoluciones y expedientes de estudiantes.
</t>
    </r>
    <r>
      <rPr>
        <b/>
        <sz val="10"/>
        <color theme="1"/>
        <rFont val="Arial Narrow"/>
        <family val="2"/>
      </rPr>
      <t>6.-</t>
    </r>
    <r>
      <rPr>
        <sz val="10"/>
        <color theme="1"/>
        <rFont val="Arial Narrow"/>
        <family val="2"/>
      </rPr>
      <t xml:space="preserve"> Archivar expedientes de actas de calificaciones.</t>
    </r>
  </si>
  <si>
    <r>
      <rPr>
        <b/>
        <sz val="10"/>
        <color theme="1"/>
        <rFont val="Arial Narrow"/>
        <family val="2"/>
      </rPr>
      <t>1.-</t>
    </r>
    <r>
      <rPr>
        <sz val="10"/>
        <color theme="1"/>
        <rFont val="Arial Narrow"/>
        <family val="2"/>
      </rPr>
      <t xml:space="preserve"> Expediente archivados.
</t>
    </r>
    <r>
      <rPr>
        <b/>
        <sz val="10"/>
        <color theme="1"/>
        <rFont val="Arial Narrow"/>
        <family val="2"/>
      </rPr>
      <t>2.-</t>
    </r>
    <r>
      <rPr>
        <sz val="10"/>
        <color theme="1"/>
        <rFont val="Arial Narrow"/>
        <family val="2"/>
      </rPr>
      <t xml:space="preserve"> Matriz del inventario Documental.</t>
    </r>
  </si>
  <si>
    <t>* Ing. Morayma Vélez E.,
  JEFA DE LA UMMOG-FCE
* Ing. Tania Brito G.,
* Ing. Nancy Calva A.,
* Lcda. Ketty Ajila A.,
* Lcda. Mónica Lapo P.,
* Ing. Karol Valarezo P.,
* Ing. Lizbeth Ortiz P.,
  ANALISTAS DE LA UMMOG-FCE</t>
  </si>
  <si>
    <r>
      <rPr>
        <b/>
        <sz val="10"/>
        <color rgb="FFFF0000"/>
        <rFont val="Arial Narrow"/>
        <family val="2"/>
      </rPr>
      <t>METAS OPERATIVAS</t>
    </r>
    <r>
      <rPr>
        <b/>
        <sz val="10"/>
        <rFont val="Arial Narrow"/>
        <family val="2"/>
      </rPr>
      <t xml:space="preserve">
1.-</t>
    </r>
    <r>
      <rPr>
        <sz val="10"/>
        <rFont val="Arial Narrow"/>
        <family val="2"/>
      </rPr>
      <t xml:space="preserve"> Emitir y notificar las convocatorias, actas y resoluciones de Consejo Directivo.</t>
    </r>
  </si>
  <si>
    <r>
      <rPr>
        <b/>
        <sz val="10"/>
        <rFont val="Arial Narrow"/>
        <family val="2"/>
      </rPr>
      <t>1.-</t>
    </r>
    <r>
      <rPr>
        <sz val="10"/>
        <rFont val="Arial Narrow"/>
        <family val="2"/>
      </rPr>
      <t xml:space="preserve"> Receptar, analizar y organizar los documentos a tratar en Consejo Directivo.
</t>
    </r>
    <r>
      <rPr>
        <b/>
        <sz val="10"/>
        <rFont val="Arial Narrow"/>
        <family val="2"/>
      </rPr>
      <t>2.-</t>
    </r>
    <r>
      <rPr>
        <sz val="10"/>
        <rFont val="Arial Narrow"/>
        <family val="2"/>
      </rPr>
      <t xml:space="preserve"> Ingresar al Siutmach las solicitudes o comunicaciones para Consejo Directivo.
</t>
    </r>
    <r>
      <rPr>
        <b/>
        <sz val="10"/>
        <rFont val="Arial Narrow"/>
        <family val="2"/>
      </rPr>
      <t>3.-</t>
    </r>
    <r>
      <rPr>
        <sz val="10"/>
        <rFont val="Arial Narrow"/>
        <family val="2"/>
      </rPr>
      <t xml:space="preserve"> Elaborar convocatorias con el orden del día.
</t>
    </r>
    <r>
      <rPr>
        <b/>
        <sz val="10"/>
        <rFont val="Arial Narrow"/>
        <family val="2"/>
      </rPr>
      <t>4.-</t>
    </r>
    <r>
      <rPr>
        <sz val="10"/>
        <rFont val="Arial Narrow"/>
        <family val="2"/>
      </rPr>
      <t xml:space="preserve"> Notificar la convocatoria.
</t>
    </r>
    <r>
      <rPr>
        <b/>
        <sz val="10"/>
        <rFont val="Arial Narrow"/>
        <family val="2"/>
      </rPr>
      <t>5.-</t>
    </r>
    <r>
      <rPr>
        <sz val="10"/>
        <rFont val="Arial Narrow"/>
        <family val="2"/>
      </rPr>
      <t xml:space="preserve"> Constatar el quorum reglamentario e instalación de Consejo Directivo.
</t>
    </r>
    <r>
      <rPr>
        <b/>
        <sz val="10"/>
        <rFont val="Arial Narrow"/>
        <family val="2"/>
      </rPr>
      <t>6.-</t>
    </r>
    <r>
      <rPr>
        <sz val="10"/>
        <rFont val="Arial Narrow"/>
        <family val="2"/>
      </rPr>
      <t xml:space="preserve"> Dar lectura al orden del día.
</t>
    </r>
    <r>
      <rPr>
        <b/>
        <sz val="10"/>
        <rFont val="Arial Narrow"/>
        <family val="2"/>
      </rPr>
      <t>7.-</t>
    </r>
    <r>
      <rPr>
        <sz val="10"/>
        <rFont val="Arial Narrow"/>
        <family val="2"/>
      </rPr>
      <t xml:space="preserve"> Revisar Leyes y Reglamentos para elaborar las resoluciones.
</t>
    </r>
    <r>
      <rPr>
        <b/>
        <sz val="10"/>
        <rFont val="Arial Narrow"/>
        <family val="2"/>
      </rPr>
      <t>8.-</t>
    </r>
    <r>
      <rPr>
        <sz val="10"/>
        <rFont val="Arial Narrow"/>
        <family val="2"/>
      </rPr>
      <t xml:space="preserve"> Realizar las resoluciones adoptadas en Consejo Directivo.
</t>
    </r>
    <r>
      <rPr>
        <b/>
        <sz val="10"/>
        <rFont val="Arial Narrow"/>
        <family val="2"/>
      </rPr>
      <t>9.-</t>
    </r>
    <r>
      <rPr>
        <sz val="10"/>
        <rFont val="Arial Narrow"/>
        <family val="2"/>
      </rPr>
      <t xml:space="preserve"> Elaborar oficios de notificación de resoluciones de Consejo Directivo.
</t>
    </r>
    <r>
      <rPr>
        <b/>
        <sz val="10"/>
        <rFont val="Arial Narrow"/>
        <family val="2"/>
      </rPr>
      <t>10.-</t>
    </r>
    <r>
      <rPr>
        <sz val="10"/>
        <rFont val="Arial Narrow"/>
        <family val="2"/>
      </rPr>
      <t xml:space="preserve"> Certificar resoluciones.
</t>
    </r>
    <r>
      <rPr>
        <b/>
        <sz val="10"/>
        <rFont val="Arial Narrow"/>
        <family val="2"/>
      </rPr>
      <t>11.-</t>
    </r>
    <r>
      <rPr>
        <sz val="10"/>
        <rFont val="Arial Narrow"/>
        <family val="2"/>
      </rPr>
      <t xml:space="preserve"> Registrar y notificar las resoluciones.
</t>
    </r>
    <r>
      <rPr>
        <b/>
        <sz val="10"/>
        <rFont val="Arial Narrow"/>
        <family val="2"/>
      </rPr>
      <t>12.-</t>
    </r>
    <r>
      <rPr>
        <sz val="10"/>
        <rFont val="Arial Narrow"/>
        <family val="2"/>
      </rPr>
      <t xml:space="preserve"> Redactar y revisar Actas de Consejo Directivo.
</t>
    </r>
    <r>
      <rPr>
        <b/>
        <sz val="10"/>
        <rFont val="Arial Narrow"/>
        <family val="2"/>
      </rPr>
      <t>13.-</t>
    </r>
    <r>
      <rPr>
        <sz val="10"/>
        <rFont val="Arial Narrow"/>
        <family val="2"/>
      </rPr>
      <t xml:space="preserve"> Notificar las actas a los miembros de Consejo Directivo.
</t>
    </r>
    <r>
      <rPr>
        <b/>
        <sz val="10"/>
        <rFont val="Arial Narrow"/>
        <family val="2"/>
      </rPr>
      <t>14.-</t>
    </r>
    <r>
      <rPr>
        <sz val="10"/>
        <rFont val="Arial Narrow"/>
        <family val="2"/>
      </rPr>
      <t xml:space="preserve"> Suscribir acta de Consejo Directivo conjuntamente con el Decano.</t>
    </r>
  </si>
  <si>
    <r>
      <rPr>
        <b/>
        <sz val="10"/>
        <rFont val="Arial Narrow"/>
        <family val="2"/>
      </rPr>
      <t>1.-</t>
    </r>
    <r>
      <rPr>
        <sz val="10"/>
        <rFont val="Arial Narrow"/>
        <family val="2"/>
      </rPr>
      <t xml:space="preserve"> Reporte de convocatorias elaboradas.
</t>
    </r>
    <r>
      <rPr>
        <b/>
        <sz val="10"/>
        <rFont val="Arial Narrow"/>
        <family val="2"/>
      </rPr>
      <t>2.-</t>
    </r>
    <r>
      <rPr>
        <sz val="10"/>
        <rFont val="Arial Narrow"/>
        <family val="2"/>
      </rPr>
      <t xml:space="preserve"> Reporte de resoluciones de Consejo Directivo elaboradas.
</t>
    </r>
    <r>
      <rPr>
        <b/>
        <sz val="10"/>
        <rFont val="Arial Narrow"/>
        <family val="2"/>
      </rPr>
      <t>3.-</t>
    </r>
    <r>
      <rPr>
        <sz val="10"/>
        <rFont val="Arial Narrow"/>
        <family val="2"/>
      </rPr>
      <t xml:space="preserve"> Reporte de actas de Consejo Directivo emitidas.</t>
    </r>
  </si>
  <si>
    <t>* Abg. Teresa Vivanco,
  Secretaria Abogada
* Lic. María Merino Guillén,
  Analista de Archivo</t>
  </si>
  <si>
    <r>
      <rPr>
        <b/>
        <sz val="10"/>
        <rFont val="Arial Narrow"/>
        <family val="2"/>
      </rPr>
      <t>2.-</t>
    </r>
    <r>
      <rPr>
        <sz val="10"/>
        <rFont val="Arial Narrow"/>
        <family val="2"/>
      </rPr>
      <t xml:space="preserve"> Emitir y/o legalizar las Certificaciones de la Facultad.</t>
    </r>
  </si>
  <si>
    <t>N° de copias, compulsas de actos administrativos y documentos oficiales que reposan en la Facultad certificadas.</t>
  </si>
  <si>
    <r>
      <rPr>
        <b/>
        <sz val="10"/>
        <rFont val="Arial Narrow"/>
        <family val="2"/>
      </rPr>
      <t>1.-</t>
    </r>
    <r>
      <rPr>
        <sz val="10"/>
        <rFont val="Arial Narrow"/>
        <family val="2"/>
      </rPr>
      <t xml:space="preserve"> Emitir certificaciones.
</t>
    </r>
    <r>
      <rPr>
        <b/>
        <sz val="10"/>
        <rFont val="Arial Narrow"/>
        <family val="2"/>
      </rPr>
      <t>2.-</t>
    </r>
    <r>
      <rPr>
        <sz val="10"/>
        <rFont val="Arial Narrow"/>
        <family val="2"/>
      </rPr>
      <t xml:space="preserve"> Legalizar certificaciones.</t>
    </r>
  </si>
  <si>
    <r>
      <rPr>
        <b/>
        <sz val="10"/>
        <rFont val="Arial Narrow"/>
        <family val="2"/>
      </rPr>
      <t xml:space="preserve">1.- </t>
    </r>
    <r>
      <rPr>
        <sz val="10"/>
        <rFont val="Arial Narrow"/>
        <family val="2"/>
      </rPr>
      <t>Reporte de certificaciones emitidas y legalizadas.</t>
    </r>
  </si>
  <si>
    <r>
      <rPr>
        <b/>
        <sz val="10"/>
        <rFont val="Arial Narrow"/>
        <family val="2"/>
      </rPr>
      <t>3.-</t>
    </r>
    <r>
      <rPr>
        <sz val="10"/>
        <rFont val="Arial Narrow"/>
        <family val="2"/>
      </rPr>
      <t xml:space="preserve"> Registrar y distribuir la correspondencia interna y externa de la Facultad.</t>
    </r>
  </si>
  <si>
    <t>N° de correspondencia interna y externa de la Facultad registrada y despachada.</t>
  </si>
  <si>
    <r>
      <rPr>
        <b/>
        <sz val="10"/>
        <rFont val="Arial Narrow"/>
        <family val="2"/>
      </rPr>
      <t>1.-</t>
    </r>
    <r>
      <rPr>
        <sz val="10"/>
        <rFont val="Arial Narrow"/>
        <family val="2"/>
      </rPr>
      <t xml:space="preserve"> Atender al usuario.
</t>
    </r>
    <r>
      <rPr>
        <b/>
        <sz val="10"/>
        <rFont val="Arial Narrow"/>
        <family val="2"/>
      </rPr>
      <t>2.-</t>
    </r>
    <r>
      <rPr>
        <sz val="10"/>
        <rFont val="Arial Narrow"/>
        <family val="2"/>
      </rPr>
      <t xml:space="preserve"> Receptar la correspondencia interna y externa.
</t>
    </r>
    <r>
      <rPr>
        <b/>
        <sz val="10"/>
        <rFont val="Arial Narrow"/>
        <family val="2"/>
      </rPr>
      <t xml:space="preserve">3.- </t>
    </r>
    <r>
      <rPr>
        <sz val="10"/>
        <rFont val="Arial Narrow"/>
        <family val="2"/>
      </rPr>
      <t xml:space="preserve">Elaborar oficios de la Secretaria.
</t>
    </r>
    <r>
      <rPr>
        <b/>
        <sz val="10"/>
        <rFont val="Arial Narrow"/>
        <family val="2"/>
      </rPr>
      <t>4.-</t>
    </r>
    <r>
      <rPr>
        <sz val="10"/>
        <rFont val="Arial Narrow"/>
        <family val="2"/>
      </rPr>
      <t xml:space="preserve"> Registrar la correspondencia interna y externa en el SIUTMACH.
</t>
    </r>
    <r>
      <rPr>
        <b/>
        <sz val="10"/>
        <rFont val="Arial Narrow"/>
        <family val="2"/>
      </rPr>
      <t>5.-</t>
    </r>
    <r>
      <rPr>
        <sz val="10"/>
        <rFont val="Arial Narrow"/>
        <family val="2"/>
      </rPr>
      <t xml:space="preserve"> Organizar y despachar la correspondencia interna y externa.
</t>
    </r>
    <r>
      <rPr>
        <b/>
        <sz val="10"/>
        <rFont val="Arial Narrow"/>
        <family val="2"/>
      </rPr>
      <t>6.-</t>
    </r>
    <r>
      <rPr>
        <sz val="10"/>
        <rFont val="Arial Narrow"/>
        <family val="2"/>
      </rPr>
      <t xml:space="preserve"> Examinar la documentación para su respectivo registro en el inventario documental.
</t>
    </r>
    <r>
      <rPr>
        <b/>
        <sz val="10"/>
        <rFont val="Arial Narrow"/>
        <family val="2"/>
      </rPr>
      <t>7.-</t>
    </r>
    <r>
      <rPr>
        <sz val="10"/>
        <rFont val="Arial Narrow"/>
        <family val="2"/>
      </rPr>
      <t xml:space="preserve"> Registrar el inventario documental.</t>
    </r>
  </si>
  <si>
    <r>
      <rPr>
        <b/>
        <sz val="10"/>
        <rFont val="Arial Narrow"/>
        <family val="2"/>
      </rPr>
      <t>1.-</t>
    </r>
    <r>
      <rPr>
        <sz val="10"/>
        <rFont val="Arial Narrow"/>
        <family val="2"/>
      </rPr>
      <t xml:space="preserve"> Reporte de la correspondencia recibida y enviada de Decanato y Secretaria.
</t>
    </r>
    <r>
      <rPr>
        <b/>
        <sz val="10"/>
        <rFont val="Arial Narrow"/>
        <family val="2"/>
      </rPr>
      <t>2.-</t>
    </r>
    <r>
      <rPr>
        <sz val="10"/>
        <rFont val="Arial Narrow"/>
        <family val="2"/>
      </rPr>
      <t xml:space="preserve"> Archivo físico y digital de la documentación recibida y enviada (distribuida).</t>
    </r>
  </si>
  <si>
    <r>
      <rPr>
        <b/>
        <sz val="10"/>
        <rFont val="Arial Narrow"/>
        <family val="2"/>
      </rPr>
      <t>4.-</t>
    </r>
    <r>
      <rPr>
        <sz val="10"/>
        <rFont val="Arial Narrow"/>
        <family val="2"/>
      </rPr>
      <t xml:space="preserve"> Brindar asesoría jurídica a las Autoridades y dependencias de la Facultad.</t>
    </r>
  </si>
  <si>
    <t>N° de asesorías jurídicas a las Autoridades y dependencias de la Facultad brindadas.</t>
  </si>
  <si>
    <r>
      <rPr>
        <b/>
        <sz val="10"/>
        <rFont val="Arial Narrow"/>
        <family val="2"/>
      </rPr>
      <t>1.-</t>
    </r>
    <r>
      <rPr>
        <sz val="10"/>
        <rFont val="Arial Narrow"/>
        <family val="2"/>
      </rPr>
      <t xml:space="preserve"> Orientar en materia legal actualizada a los diferentes estamentos universitarios.</t>
    </r>
  </si>
  <si>
    <r>
      <rPr>
        <b/>
        <sz val="10"/>
        <rFont val="Arial Narrow"/>
        <family val="2"/>
      </rPr>
      <t>1.-</t>
    </r>
    <r>
      <rPr>
        <sz val="10"/>
        <rFont val="Arial Narrow"/>
        <family val="2"/>
      </rPr>
      <t xml:space="preserve"> Reporte de asesorías jurídicas a las Autoridades y dependencias de la Facultad.</t>
    </r>
  </si>
  <si>
    <t>* Abg. Teresa Vivanco,
  Secretaria Abogada</t>
  </si>
  <si>
    <r>
      <rPr>
        <b/>
        <sz val="10"/>
        <rFont val="Arial Narrow"/>
        <family val="2"/>
      </rPr>
      <t>5.-</t>
    </r>
    <r>
      <rPr>
        <sz val="10"/>
        <rFont val="Arial Narrow"/>
        <family val="2"/>
      </rPr>
      <t xml:space="preserve"> Emitir Informes jurídicos de los procesos disciplinarios, académicos y/o administrativos de la Facultad.</t>
    </r>
  </si>
  <si>
    <t>N° de informes jurídicos requeridos por las autoridades académicas y de los procesos disciplinarios, académicos y/o administrativos de la Facultad emitidos.</t>
  </si>
  <si>
    <r>
      <rPr>
        <b/>
        <sz val="10"/>
        <rFont val="Arial Narrow"/>
        <family val="2"/>
      </rPr>
      <t>1.-</t>
    </r>
    <r>
      <rPr>
        <sz val="10"/>
        <rFont val="Arial Narrow"/>
        <family val="2"/>
      </rPr>
      <t xml:space="preserve"> Analizar la documentación.
</t>
    </r>
    <r>
      <rPr>
        <b/>
        <sz val="10"/>
        <rFont val="Arial Narrow"/>
        <family val="2"/>
      </rPr>
      <t>2.-</t>
    </r>
    <r>
      <rPr>
        <sz val="10"/>
        <rFont val="Arial Narrow"/>
        <family val="2"/>
      </rPr>
      <t xml:space="preserve"> Elaborar informes jurídicos de los procesos disciplinarios, académicos y/o administrativos.</t>
    </r>
  </si>
  <si>
    <r>
      <rPr>
        <b/>
        <sz val="10"/>
        <rFont val="Arial Narrow"/>
        <family val="2"/>
      </rPr>
      <t>1.-</t>
    </r>
    <r>
      <rPr>
        <sz val="10"/>
        <rFont val="Arial Narrow"/>
        <family val="2"/>
      </rPr>
      <t xml:space="preserve"> Reporte de informes jurídicos de los procesos disciplinarios, académicos y/o administrativos de la Facultad.</t>
    </r>
  </si>
  <si>
    <r>
      <t>6.-</t>
    </r>
    <r>
      <rPr>
        <sz val="10"/>
        <rFont val="Arial Narrow"/>
        <family val="2"/>
      </rPr>
      <t xml:space="preserve"> Presentar documentación para el tratamiento del consejo directivo administrada.</t>
    </r>
  </si>
  <si>
    <t>Documentación para tratamiento del consejo directivo administrada.</t>
  </si>
  <si>
    <t>N° de matrices de la documentación para tratamiento del consejo directivo administrada.</t>
  </si>
  <si>
    <r>
      <rPr>
        <b/>
        <sz val="10"/>
        <rFont val="Arial Narrow"/>
        <family val="2"/>
      </rPr>
      <t>1.-</t>
    </r>
    <r>
      <rPr>
        <sz val="10"/>
        <rFont val="Arial Narrow"/>
        <family val="2"/>
      </rPr>
      <t xml:space="preserve"> Analizar la documentación.
</t>
    </r>
    <r>
      <rPr>
        <b/>
        <sz val="10"/>
        <rFont val="Arial Narrow"/>
        <family val="2"/>
      </rPr>
      <t>2.-</t>
    </r>
    <r>
      <rPr>
        <sz val="10"/>
        <rFont val="Arial Narrow"/>
        <family val="2"/>
      </rPr>
      <t xml:space="preserve"> Elaborar matriz de la documentación para el tratamiento en el consejo directivo.</t>
    </r>
  </si>
  <si>
    <r>
      <rPr>
        <b/>
        <sz val="10"/>
        <rFont val="Arial Narrow"/>
        <family val="2"/>
      </rPr>
      <t>1.-</t>
    </r>
    <r>
      <rPr>
        <sz val="10"/>
        <rFont val="Arial Narrow"/>
        <family val="2"/>
      </rPr>
      <t xml:space="preserve"> Matrices y documentos que reposan en el drive.</t>
    </r>
  </si>
  <si>
    <r>
      <rPr>
        <b/>
        <sz val="10"/>
        <color theme="1"/>
        <rFont val="Arial Narrow"/>
        <family val="2"/>
      </rPr>
      <t>7.-</t>
    </r>
    <r>
      <rPr>
        <sz val="10"/>
        <color theme="1"/>
        <rFont val="Arial Narrow"/>
        <family val="2"/>
      </rPr>
      <t xml:space="preserve"> Presentar la Planificación Operativa Anual y Evaluación de la Planificación Operativa Anual.</t>
    </r>
  </si>
  <si>
    <t>N° de Planificaciones Operativas Anuales y evaluaciones de la planificación operativa anual entregadas.</t>
  </si>
  <si>
    <r>
      <rPr>
        <b/>
        <sz val="10"/>
        <rFont val="Arial Narrow"/>
        <family val="2"/>
      </rPr>
      <t>1.-</t>
    </r>
    <r>
      <rPr>
        <sz val="10"/>
        <rFont val="Arial Narrow"/>
        <family val="2"/>
      </rPr>
      <t xml:space="preserve"> Consolidar los requerimientos de la Unidad de Secretaria y archivo.
</t>
    </r>
    <r>
      <rPr>
        <b/>
        <sz val="10"/>
        <rFont val="Arial Narrow"/>
        <family val="2"/>
      </rPr>
      <t>2.-</t>
    </r>
    <r>
      <rPr>
        <sz val="10"/>
        <rFont val="Arial Narrow"/>
        <family val="2"/>
      </rPr>
      <t xml:space="preserve"> Elaborar las Planificaciones Operativas Anuales 2024.
</t>
    </r>
    <r>
      <rPr>
        <b/>
        <sz val="10"/>
        <rFont val="Arial Narrow"/>
        <family val="2"/>
      </rPr>
      <t>3.-</t>
    </r>
    <r>
      <rPr>
        <sz val="10"/>
        <rFont val="Arial Narrow"/>
        <family val="2"/>
      </rPr>
      <t xml:space="preserve"> Efectuar el control, seguimiento y evaluaciones de POA 2023.</t>
    </r>
  </si>
  <si>
    <r>
      <rPr>
        <b/>
        <sz val="10"/>
        <rFont val="Arial Narrow"/>
        <family val="2"/>
      </rPr>
      <t>1.-</t>
    </r>
    <r>
      <rPr>
        <sz val="10"/>
        <rFont val="Arial Narrow"/>
        <family val="2"/>
      </rPr>
      <t xml:space="preserve"> Evaluación POA 2023.
</t>
    </r>
    <r>
      <rPr>
        <b/>
        <sz val="10"/>
        <rFont val="Arial Narrow"/>
        <family val="2"/>
      </rPr>
      <t>2.-</t>
    </r>
    <r>
      <rPr>
        <sz val="10"/>
        <rFont val="Arial Narrow"/>
        <family val="2"/>
      </rPr>
      <t xml:space="preserve"> POA 2024.</t>
    </r>
  </si>
  <si>
    <t xml:space="preserve">* Abg. Teresa Vivanco,
  Secretaria Abogada
* Lic. María Merino Guillén,
  Analista de Archivo
</t>
  </si>
  <si>
    <r>
      <rPr>
        <b/>
        <sz val="10"/>
        <rFont val="Arial Narrow"/>
        <family val="2"/>
      </rPr>
      <t>8.-</t>
    </r>
    <r>
      <rPr>
        <sz val="10"/>
        <rFont val="Arial Narrow"/>
        <family val="2"/>
      </rPr>
      <t xml:space="preserve"> Organizar el Archivo intermedio.</t>
    </r>
  </si>
  <si>
    <t>N° de documentos archivados.</t>
  </si>
  <si>
    <r>
      <rPr>
        <b/>
        <sz val="10"/>
        <rFont val="Arial Narrow"/>
        <family val="2"/>
      </rPr>
      <t>1.-</t>
    </r>
    <r>
      <rPr>
        <sz val="10"/>
        <rFont val="Arial Narrow"/>
        <family val="2"/>
      </rPr>
      <t xml:space="preserve"> Consolidar cronológicamente las comunicaciones.
</t>
    </r>
    <r>
      <rPr>
        <b/>
        <sz val="10"/>
        <rFont val="Arial Narrow"/>
        <family val="2"/>
      </rPr>
      <t>2.-</t>
    </r>
    <r>
      <rPr>
        <sz val="10"/>
        <rFont val="Arial Narrow"/>
        <family val="2"/>
      </rPr>
      <t xml:space="preserve"> Archivar la documentación.
</t>
    </r>
    <r>
      <rPr>
        <b/>
        <sz val="10"/>
        <rFont val="Arial Narrow"/>
        <family val="2"/>
      </rPr>
      <t>3.-</t>
    </r>
    <r>
      <rPr>
        <sz val="10"/>
        <rFont val="Arial Narrow"/>
        <family val="2"/>
      </rPr>
      <t xml:space="preserve"> Realizar el seguimiento y control del archivo.
</t>
    </r>
    <r>
      <rPr>
        <b/>
        <sz val="10"/>
        <rFont val="Arial Narrow"/>
        <family val="2"/>
      </rPr>
      <t>4.-</t>
    </r>
    <r>
      <rPr>
        <sz val="10"/>
        <rFont val="Arial Narrow"/>
        <family val="2"/>
      </rPr>
      <t xml:space="preserve"> Clasificar, organizar y archivar de manera cronológica y numérica el archivo histórico.</t>
    </r>
  </si>
  <si>
    <r>
      <rPr>
        <b/>
        <sz val="10"/>
        <rFont val="Arial Narrow"/>
        <family val="2"/>
      </rPr>
      <t>1.-</t>
    </r>
    <r>
      <rPr>
        <sz val="10"/>
        <rFont val="Arial Narrow"/>
        <family val="2"/>
      </rPr>
      <t xml:space="preserve"> Inventario documental Secretaria-Archivo (formato Excel drive).</t>
    </r>
  </si>
  <si>
    <t>* Abg. Teresa Vivanco,
  Secretaria Abogada                                     * Lic. María Merino Guillén,
  Analista de Archivo</t>
  </si>
  <si>
    <t>El cumplimiento de esta meta esta sujeto a la provisión del material que se necesita.</t>
  </si>
  <si>
    <t>ADMINSITRACIÓN DE EMPRESAS</t>
  </si>
  <si>
    <r>
      <rPr>
        <b/>
        <sz val="10"/>
        <color rgb="FFFF0000"/>
        <rFont val="Arial Narrow"/>
        <family val="2"/>
      </rPr>
      <t>METAS OPERATIVAS</t>
    </r>
    <r>
      <rPr>
        <b/>
        <sz val="10"/>
        <rFont val="Arial Narrow"/>
        <family val="2"/>
      </rPr>
      <t xml:space="preserve">
1.- </t>
    </r>
    <r>
      <rPr>
        <sz val="10"/>
        <rFont val="Arial Narrow"/>
        <family val="2"/>
      </rPr>
      <t>Conformar la Comisión Académica.</t>
    </r>
  </si>
  <si>
    <t>N° de Reuniones de Comisión Académica.</t>
  </si>
  <si>
    <r>
      <rPr>
        <b/>
        <sz val="10"/>
        <rFont val="Arial Narrow"/>
        <family val="2"/>
      </rPr>
      <t>1.-</t>
    </r>
    <r>
      <rPr>
        <sz val="10"/>
        <rFont val="Arial Narrow"/>
        <family val="2"/>
      </rPr>
      <t xml:space="preserve"> Conformar y participar en las sesiones de Comisiones Académicas convocadas por el Subdecano de la Facultad.</t>
    </r>
  </si>
  <si>
    <r>
      <rPr>
        <b/>
        <sz val="10"/>
        <rFont val="Arial Narrow"/>
        <family val="2"/>
      </rPr>
      <t>1.-</t>
    </r>
    <r>
      <rPr>
        <sz val="10"/>
        <rFont val="Arial Narrow"/>
        <family val="2"/>
      </rPr>
      <t xml:space="preserve"> Registro de Convocatoria a Comisión Académica.</t>
    </r>
  </si>
  <si>
    <t>* Ing. Lina Sánchez Cabrera</t>
  </si>
  <si>
    <r>
      <rPr>
        <b/>
        <sz val="10"/>
        <rFont val="Arial Narrow"/>
        <family val="2"/>
      </rPr>
      <t>2.-</t>
    </r>
    <r>
      <rPr>
        <sz val="10"/>
        <rFont val="Arial Narrow"/>
        <family val="2"/>
      </rPr>
      <t xml:space="preserve"> Presidir las sesiones de Comité de Evaluación Interna de Carrera.</t>
    </r>
  </si>
  <si>
    <t>N° de Reuniones de Comité de Evaluación Interna.</t>
  </si>
  <si>
    <r>
      <rPr>
        <b/>
        <sz val="10"/>
        <rFont val="Arial Narrow"/>
        <family val="2"/>
      </rPr>
      <t>1.-</t>
    </r>
    <r>
      <rPr>
        <sz val="10"/>
        <rFont val="Arial Narrow"/>
        <family val="2"/>
      </rPr>
      <t xml:space="preserve"> Convocar y presidir las sesiones de Evaluación Interna de la Carrera.</t>
    </r>
  </si>
  <si>
    <r>
      <rPr>
        <b/>
        <sz val="10"/>
        <rFont val="Arial Narrow"/>
        <family val="2"/>
      </rPr>
      <t>1.-</t>
    </r>
    <r>
      <rPr>
        <sz val="10"/>
        <rFont val="Arial Narrow"/>
        <family val="2"/>
      </rPr>
      <t xml:space="preserve"> Reporte de las convocatorias.
</t>
    </r>
    <r>
      <rPr>
        <b/>
        <sz val="10"/>
        <rFont val="Arial Narrow"/>
        <family val="2"/>
      </rPr>
      <t>2.-</t>
    </r>
    <r>
      <rPr>
        <sz val="10"/>
        <rFont val="Arial Narrow"/>
        <family val="2"/>
      </rPr>
      <t xml:space="preserve"> Registro de Asistencias.</t>
    </r>
  </si>
  <si>
    <t>* Ing. Liana Sánchez Cabrera
* Ing. Edith Rogel Gutiérrez
* Ing. Marcia Jarrin Salcan
* Ing. Vinicio Mora Sánchez
* Ing. Cecibel Espinoza Carrión
* Ing. Lewis Chimarro Chipantiza
* Ing. Ronald Garcés Quilambaqui
* Ing. Iván Jaya Pineda
* Ing. Jhonn Burgoa Burgos</t>
  </si>
  <si>
    <t>Los nombres de los Responsables del comité de evaluación Interna, variarán de acuerdo a la Resolución de Designación de Consejo Directivo.</t>
  </si>
  <si>
    <r>
      <rPr>
        <b/>
        <sz val="10"/>
        <rFont val="Arial Narrow"/>
        <family val="2"/>
      </rPr>
      <t>3.-</t>
    </r>
    <r>
      <rPr>
        <sz val="10"/>
        <rFont val="Arial Narrow"/>
        <family val="2"/>
      </rPr>
      <t xml:space="preserve"> Proponer la Terna del personal académico y estudiantil que integrará el Comité de Evaluación Interna de Carrera.</t>
    </r>
  </si>
  <si>
    <t>N° de Oficios de la Comisión Académica.</t>
  </si>
  <si>
    <r>
      <rPr>
        <b/>
        <sz val="10"/>
        <rFont val="Arial Narrow"/>
        <family val="2"/>
      </rPr>
      <t>1.-</t>
    </r>
    <r>
      <rPr>
        <sz val="10"/>
        <rFont val="Arial Narrow"/>
        <family val="2"/>
      </rPr>
      <t xml:space="preserve"> Proponer a Comisión Académica la Terna del personal académico y estudiantil que integrará el Comité de Evaluación Interna de Carrera.</t>
    </r>
  </si>
  <si>
    <r>
      <rPr>
        <b/>
        <sz val="10"/>
        <rFont val="Arial Narrow"/>
        <family val="2"/>
      </rPr>
      <t>1.-</t>
    </r>
    <r>
      <rPr>
        <sz val="10"/>
        <rFont val="Arial Narrow"/>
        <family val="2"/>
      </rPr>
      <t xml:space="preserve"> Resoluciones de designación de la Terna del personal académico y estudiantil que integrará el Comité de Evaluación Interna de Carrera.</t>
    </r>
  </si>
  <si>
    <t>* Ing. Liana Sánchez Cabrera</t>
  </si>
  <si>
    <t>El cumplimiento efectivo de las actividades planificadas en los cuatrimestres dependen de la planificación del calendario académico institucional</t>
  </si>
  <si>
    <r>
      <rPr>
        <b/>
        <sz val="10"/>
        <rFont val="Arial Narrow"/>
        <family val="2"/>
      </rPr>
      <t>4.-</t>
    </r>
    <r>
      <rPr>
        <sz val="10"/>
        <rFont val="Arial Narrow"/>
        <family val="2"/>
      </rPr>
      <t xml:space="preserve"> Designar a los responsables de colectivos académicos de Titulación, Evaluación y Acreditación de la Calidad, Prácticas Preprofesionales o laborales, y servicio comunitario.</t>
    </r>
  </si>
  <si>
    <t>Responsables de colectivos académicos de Titulación, Evaluación y Acreditación de la Calidad, Prácticas Preprofesionales
o laborales, y servicio comunitario.</t>
  </si>
  <si>
    <t>N° de Oficios a la Comisión Académica.</t>
  </si>
  <si>
    <r>
      <rPr>
        <b/>
        <sz val="10"/>
        <rFont val="Arial Narrow"/>
        <family val="2"/>
      </rPr>
      <t>1.-</t>
    </r>
    <r>
      <rPr>
        <sz val="10"/>
        <rFont val="Arial Narrow"/>
        <family val="2"/>
      </rPr>
      <t xml:space="preserve"> Establecer y sugerir los responsables de colectivos académicos de Titulación, Evaluación y Acreditación de la Calidad, Prácticas Preprofesionales
o laborales, y servicio comunitario.</t>
    </r>
  </si>
  <si>
    <r>
      <rPr>
        <b/>
        <sz val="10"/>
        <rFont val="Arial Narrow"/>
        <family val="2"/>
      </rPr>
      <t>1.-</t>
    </r>
    <r>
      <rPr>
        <sz val="10"/>
        <rFont val="Arial Narrow"/>
        <family val="2"/>
      </rPr>
      <t xml:space="preserve"> Resolución de designación los responsables de colectivos académicos de Titulación, Evaluación y Acreditación de la Calidad, Prácticas Preprofesionales
o laborales, y servicio comunitario.</t>
    </r>
  </si>
  <si>
    <t>Los nombres de los Responsables de los Colectivos de la Carrera, variarán de acuerdo a la Resolución de Designación de Consejo Directivo.</t>
  </si>
  <si>
    <t>6. Desarrollar un sistema de incentivos para incrementar la competitividad de grupos y semilleros de investigación.</t>
  </si>
  <si>
    <r>
      <rPr>
        <b/>
        <sz val="10"/>
        <rFont val="Arial Narrow"/>
        <family val="2"/>
      </rPr>
      <t xml:space="preserve">5.- </t>
    </r>
    <r>
      <rPr>
        <sz val="10"/>
        <rFont val="Arial Narrow"/>
        <family val="2"/>
      </rPr>
      <t>Ejecutar los procesos que garan</t>
    </r>
    <r>
      <rPr>
        <sz val="10"/>
        <color theme="1"/>
        <rFont val="Arial Narrow"/>
        <family val="2"/>
      </rPr>
      <t xml:space="preserve">tizan el cumplimiento de las funciones sustantivas de la educación superior: docencia, investigación y vinculación </t>
    </r>
    <r>
      <rPr>
        <sz val="10"/>
        <rFont val="Arial Narrow"/>
        <family val="2"/>
      </rPr>
      <t>en la facultad que dirige; ejecutados.</t>
    </r>
  </si>
  <si>
    <t>N° de informes de investigación y vinculación.</t>
  </si>
  <si>
    <r>
      <rPr>
        <b/>
        <sz val="10"/>
        <rFont val="Arial Narrow"/>
        <family val="2"/>
      </rPr>
      <t>1.-</t>
    </r>
    <r>
      <rPr>
        <sz val="10"/>
        <rFont val="Arial Narrow"/>
        <family val="2"/>
      </rPr>
      <t xml:space="preserve"> Asignar horas de docencia, investigación y vinculación y en el distributivo académico.
Verificar el cumplimiento de los resultados de la Investigación y vinculación.</t>
    </r>
  </si>
  <si>
    <r>
      <rPr>
        <b/>
        <sz val="10"/>
        <rFont val="Arial Narrow"/>
        <family val="2"/>
      </rPr>
      <t>1.-</t>
    </r>
    <r>
      <rPr>
        <sz val="10"/>
        <rFont val="Arial Narrow"/>
        <family val="2"/>
      </rPr>
      <t xml:space="preserve"> Reportes de los Informes.</t>
    </r>
  </si>
  <si>
    <t>83 Gestión de la Investigación</t>
  </si>
  <si>
    <t>530204 0701 001</t>
  </si>
  <si>
    <t>83 Gestión de la investigación</t>
  </si>
  <si>
    <t>530611 0701 001</t>
  </si>
  <si>
    <t>Congresos, Seminarios y Convenciones</t>
  </si>
  <si>
    <t>84 Gestión de la vinculación</t>
  </si>
  <si>
    <t>530249 0701 002</t>
  </si>
  <si>
    <t>Eventos Públicos Promocionales</t>
  </si>
  <si>
    <t>84 Gestión de la Vinculación</t>
  </si>
  <si>
    <t>530204 0701 002</t>
  </si>
  <si>
    <t>530611 0701 002</t>
  </si>
  <si>
    <r>
      <rPr>
        <b/>
        <sz val="10"/>
        <rFont val="Arial Narrow"/>
        <family val="2"/>
      </rPr>
      <t>6.-</t>
    </r>
    <r>
      <rPr>
        <sz val="10"/>
        <rFont val="Arial Narrow"/>
        <family val="2"/>
      </rPr>
      <t xml:space="preserve"> Asistir Sesiones de trabajo convocadas por las Autoridades correspondientes.</t>
    </r>
  </si>
  <si>
    <t>Sesiones de trabajo convocadas por las Autoridades correspondientes,
sesionado.</t>
  </si>
  <si>
    <t>N° de Sesiones para gestionar mejoras en la academia.</t>
  </si>
  <si>
    <r>
      <rPr>
        <b/>
        <sz val="10"/>
        <rFont val="Arial Narrow"/>
        <family val="2"/>
      </rPr>
      <t>1.-</t>
    </r>
    <r>
      <rPr>
        <sz val="10"/>
        <rFont val="Arial Narrow"/>
        <family val="2"/>
      </rPr>
      <t xml:space="preserve"> Participar en las sesiones de trabajo convocadas por las autoridades correspondientes.</t>
    </r>
  </si>
  <si>
    <r>
      <rPr>
        <b/>
        <sz val="10"/>
        <rFont val="Arial Narrow"/>
        <family val="2"/>
      </rPr>
      <t>1.-</t>
    </r>
    <r>
      <rPr>
        <sz val="10"/>
        <rFont val="Arial Narrow"/>
        <family val="2"/>
      </rPr>
      <t xml:space="preserve"> Convocatorias.</t>
    </r>
  </si>
  <si>
    <t>* Ing. Liana Sánchez Cabrera,
  Comité interno de la carrera</t>
  </si>
  <si>
    <r>
      <rPr>
        <b/>
        <sz val="10"/>
        <rFont val="Arial Narrow"/>
        <family val="2"/>
      </rPr>
      <t xml:space="preserve">7.- </t>
    </r>
    <r>
      <rPr>
        <sz val="10"/>
        <rFont val="Arial Narrow"/>
        <family val="2"/>
      </rPr>
      <t>Informar las irregularidades, inconformidades y/ o polémicas surgidas en el ambiente académico de su carrera.</t>
    </r>
  </si>
  <si>
    <t>Irregularidades, inconformidades y/ o polémicas surgidas en el
ambiente académico de su carrera, informadas.</t>
  </si>
  <si>
    <t>N° de las peticiones, ante los organismos correspondientes.</t>
  </si>
  <si>
    <r>
      <rPr>
        <b/>
        <sz val="10"/>
        <rFont val="Arial Narrow"/>
        <family val="2"/>
      </rPr>
      <t>1.-</t>
    </r>
    <r>
      <rPr>
        <sz val="10"/>
        <rFont val="Arial Narrow"/>
        <family val="2"/>
      </rPr>
      <t xml:space="preserve"> Elaborar Reporte de los informes de las irregularidades, inconformidades y/o polémicas surgidas en el ambiente académico de la carrera.</t>
    </r>
  </si>
  <si>
    <r>
      <rPr>
        <b/>
        <sz val="10"/>
        <rFont val="Arial Narrow"/>
        <family val="2"/>
      </rPr>
      <t>8.-</t>
    </r>
    <r>
      <rPr>
        <sz val="10"/>
        <rFont val="Arial Narrow"/>
        <family val="2"/>
      </rPr>
      <t xml:space="preserve"> Elaborar el Distributivo académico de su carrera.</t>
    </r>
  </si>
  <si>
    <t>N° de Distributivos y horarios elaborados.</t>
  </si>
  <si>
    <r>
      <rPr>
        <b/>
        <sz val="10"/>
        <rFont val="Arial Narrow"/>
        <family val="2"/>
      </rPr>
      <t>1.-</t>
    </r>
    <r>
      <rPr>
        <sz val="10"/>
        <rFont val="Arial Narrow"/>
        <family val="2"/>
      </rPr>
      <t xml:space="preserve"> Elaborar Distributivo, de acuerdo a las directrices emitidas por el Consejo Universitario.</t>
    </r>
  </si>
  <si>
    <r>
      <rPr>
        <b/>
        <sz val="10"/>
        <rFont val="Arial Narrow"/>
        <family val="2"/>
      </rPr>
      <t>1.-</t>
    </r>
    <r>
      <rPr>
        <sz val="10"/>
        <rFont val="Arial Narrow"/>
        <family val="2"/>
      </rPr>
      <t xml:space="preserve"> Resolución de Distributivo Académico aprobado.</t>
    </r>
  </si>
  <si>
    <r>
      <rPr>
        <b/>
        <sz val="10"/>
        <rFont val="Arial Narrow"/>
        <family val="2"/>
      </rPr>
      <t>9.-</t>
    </r>
    <r>
      <rPr>
        <sz val="10"/>
        <rFont val="Arial Narrow"/>
        <family val="2"/>
      </rPr>
      <t xml:space="preserve"> Organizar y convocar a reuniones periódicas del personal académico.</t>
    </r>
  </si>
  <si>
    <t>N° de Sesiones al interior de la Carrera con el claustro Docente.</t>
  </si>
  <si>
    <r>
      <rPr>
        <b/>
        <sz val="10"/>
        <rFont val="Arial Narrow"/>
        <family val="2"/>
      </rPr>
      <t>1.-</t>
    </r>
    <r>
      <rPr>
        <sz val="10"/>
        <rFont val="Arial Narrow"/>
        <family val="2"/>
      </rPr>
      <t xml:space="preserve"> Convocar y presidir las sesiones con el personal académico.</t>
    </r>
  </si>
  <si>
    <r>
      <rPr>
        <b/>
        <sz val="10"/>
        <rFont val="Arial Narrow"/>
        <family val="2"/>
      </rPr>
      <t>1.-</t>
    </r>
    <r>
      <rPr>
        <sz val="10"/>
        <rFont val="Arial Narrow"/>
        <family val="2"/>
      </rPr>
      <t xml:space="preserve"> Actas de reuniones con el claustro docente.</t>
    </r>
  </si>
  <si>
    <t>* Ing. Liana Sánchez Cabrera
* Ing. Edith Rogel Gutiérrez</t>
  </si>
  <si>
    <r>
      <rPr>
        <b/>
        <sz val="10"/>
        <rFont val="Arial Narrow"/>
        <family val="2"/>
      </rPr>
      <t>10.-</t>
    </r>
    <r>
      <rPr>
        <sz val="10"/>
        <rFont val="Arial Narrow"/>
        <family val="2"/>
      </rPr>
      <t xml:space="preserve"> Gestionar la organización del sistema de tutorías del proceso enseñanza - aprendizaje de la carrera.</t>
    </r>
  </si>
  <si>
    <t>Sistema de tutorías del proceso enseñanza- aprendizaje de la carrera; gestionado.</t>
  </si>
  <si>
    <t>N° de Verificación de avances y de cumplimiento de Tutorías.</t>
  </si>
  <si>
    <r>
      <rPr>
        <b/>
        <sz val="10"/>
        <rFont val="Arial Narrow"/>
        <family val="2"/>
      </rPr>
      <t>1.-</t>
    </r>
    <r>
      <rPr>
        <sz val="10"/>
        <rFont val="Arial Narrow"/>
        <family val="2"/>
      </rPr>
      <t xml:space="preserve"> Elaborar la planificación de tutorías del proceso enseñanza - aprendizaje de la carrera.</t>
    </r>
  </si>
  <si>
    <r>
      <rPr>
        <b/>
        <sz val="10"/>
        <rFont val="Arial Narrow"/>
        <family val="2"/>
      </rPr>
      <t>1.-</t>
    </r>
    <r>
      <rPr>
        <sz val="10"/>
        <rFont val="Arial Narrow"/>
        <family val="2"/>
      </rPr>
      <t xml:space="preserve"> Directrices para elaboración de informes de tutorías de acuerdo a los lineamientos aprobados por el Consejo Universitario.</t>
    </r>
  </si>
  <si>
    <t>* Ing. Liana Sánchez Cabrera,
  Docente responsable de tutorías</t>
  </si>
  <si>
    <r>
      <rPr>
        <b/>
        <sz val="10"/>
        <rFont val="Arial Narrow"/>
        <family val="2"/>
      </rPr>
      <t>11.-</t>
    </r>
    <r>
      <rPr>
        <sz val="10"/>
        <rFont val="Arial Narrow"/>
        <family val="2"/>
      </rPr>
      <t xml:space="preserve"> Asesorar al Claustro docente sobre el plan de estudio de la carrera.</t>
    </r>
  </si>
  <si>
    <t>N° de Planificaciones académicas elaboradas.</t>
  </si>
  <si>
    <r>
      <rPr>
        <b/>
        <sz val="10"/>
        <rFont val="Arial Narrow"/>
        <family val="2"/>
      </rPr>
      <t>1.-</t>
    </r>
    <r>
      <rPr>
        <sz val="10"/>
        <rFont val="Arial Narrow"/>
        <family val="2"/>
      </rPr>
      <t xml:space="preserve"> Brindar asesoría para la elaboración y/o actualización de los planes de estudio de la carrera.</t>
    </r>
  </si>
  <si>
    <r>
      <rPr>
        <b/>
        <sz val="10"/>
        <rFont val="Arial Narrow"/>
        <family val="2"/>
      </rPr>
      <t>1.-</t>
    </r>
    <r>
      <rPr>
        <sz val="10"/>
        <rFont val="Arial Narrow"/>
        <family val="2"/>
      </rPr>
      <t xml:space="preserve"> Registro de reunión de asesoría.</t>
    </r>
  </si>
  <si>
    <t>* Ing. Liana Sánchez Cabrera,
  Comisión Interna de la Carrera</t>
  </si>
  <si>
    <t>7. Impulsar la producción científica - académica derivada de la investigación formativa, para asegurar la participación masiva de la comunidad estudiantil en la generación de conocimiento.</t>
  </si>
  <si>
    <r>
      <rPr>
        <b/>
        <sz val="10"/>
        <rFont val="Arial Narrow"/>
        <family val="2"/>
      </rPr>
      <t>12.-</t>
    </r>
    <r>
      <rPr>
        <sz val="10"/>
        <rFont val="Arial Narrow"/>
        <family val="2"/>
      </rPr>
      <t xml:space="preserve"> Visitar aulas de clase con fines formativos y de asesoramiento.</t>
    </r>
  </si>
  <si>
    <t>N° de Clases con fines formativos y de asesoramiento.</t>
  </si>
  <si>
    <r>
      <rPr>
        <b/>
        <sz val="10"/>
        <rFont val="Arial Narrow"/>
        <family val="2"/>
      </rPr>
      <t>1.-</t>
    </r>
    <r>
      <rPr>
        <sz val="10"/>
        <rFont val="Arial Narrow"/>
        <family val="2"/>
      </rPr>
      <t xml:space="preserve"> Elaborar las visitas en las aulas de clase con fines formativos y de asesoramiento de acuerdo a la Resolución 263 del año 2018.</t>
    </r>
  </si>
  <si>
    <r>
      <rPr>
        <b/>
        <sz val="10"/>
        <rFont val="Arial Narrow"/>
        <family val="2"/>
      </rPr>
      <t>1.-</t>
    </r>
    <r>
      <rPr>
        <sz val="10"/>
        <rFont val="Arial Narrow"/>
        <family val="2"/>
      </rPr>
      <t xml:space="preserve"> Registro de visitas en las Aulas de clase con fines formativos y de asesoramiento.</t>
    </r>
  </si>
  <si>
    <r>
      <rPr>
        <b/>
        <sz val="10"/>
        <rFont val="Arial Narrow"/>
        <family val="2"/>
      </rPr>
      <t>13.-</t>
    </r>
    <r>
      <rPr>
        <sz val="10"/>
        <rFont val="Arial Narrow"/>
        <family val="2"/>
      </rPr>
      <t xml:space="preserve"> Participar en actividades relacionadas con diseño curricular de la carrera.</t>
    </r>
  </si>
  <si>
    <t>Actividades relacionadas con diseño curricular de la carrera;
gestionadas.</t>
  </si>
  <si>
    <t>N° de actividades relacionadas con diseño curricular de la carrera.</t>
  </si>
  <si>
    <r>
      <rPr>
        <b/>
        <sz val="10"/>
        <rFont val="Arial Narrow"/>
        <family val="2"/>
      </rPr>
      <t>1.-</t>
    </r>
    <r>
      <rPr>
        <sz val="10"/>
        <rFont val="Arial Narrow"/>
        <family val="2"/>
      </rPr>
      <t xml:space="preserve"> Gestionar con los docentes las actividades relacionadas con el diseño curricular de la carrera.</t>
    </r>
  </si>
  <si>
    <r>
      <rPr>
        <b/>
        <sz val="10"/>
        <rFont val="Arial Narrow"/>
        <family val="2"/>
      </rPr>
      <t>1.-</t>
    </r>
    <r>
      <rPr>
        <sz val="10"/>
        <rFont val="Arial Narrow"/>
        <family val="2"/>
      </rPr>
      <t xml:space="preserve"> Reporte entrega de syllabus.
</t>
    </r>
    <r>
      <rPr>
        <b/>
        <sz val="10"/>
        <rFont val="Arial Narrow"/>
        <family val="2"/>
      </rPr>
      <t>2.-</t>
    </r>
    <r>
      <rPr>
        <sz val="10"/>
        <rFont val="Arial Narrow"/>
        <family val="2"/>
      </rPr>
      <t xml:space="preserve"> Reporte entrega de Guía de Estudio.</t>
    </r>
  </si>
  <si>
    <r>
      <rPr>
        <b/>
        <sz val="10"/>
        <rFont val="Arial Narrow"/>
        <family val="2"/>
      </rPr>
      <t>14.-</t>
    </r>
    <r>
      <rPr>
        <sz val="10"/>
        <rFont val="Arial Narrow"/>
        <family val="2"/>
      </rPr>
      <t xml:space="preserve"> Supervisar la entrega de actas de calificaciones parciales y/ o finales de las asignaturas.</t>
    </r>
  </si>
  <si>
    <t>Entrega de actas de calificaciones parciales y/ o finales de las asignaturas; efectuado.</t>
  </si>
  <si>
    <t>N° de reportes entregados.</t>
  </si>
  <si>
    <r>
      <rPr>
        <b/>
        <sz val="10"/>
        <rFont val="Arial Narrow"/>
        <family val="2"/>
      </rPr>
      <t>1.-</t>
    </r>
    <r>
      <rPr>
        <sz val="10"/>
        <rFont val="Arial Narrow"/>
        <family val="2"/>
      </rPr>
      <t xml:space="preserve"> Gestionar la entrega oportuna de entrega de actas de calificaciones parciales y/o finales de las asignaturas.</t>
    </r>
  </si>
  <si>
    <r>
      <rPr>
        <b/>
        <sz val="10"/>
        <rFont val="Arial Narrow"/>
        <family val="2"/>
      </rPr>
      <t>1.-</t>
    </r>
    <r>
      <rPr>
        <sz val="10"/>
        <rFont val="Arial Narrow"/>
        <family val="2"/>
      </rPr>
      <t xml:space="preserve"> Reportes de entrega de Actas, calificaciones parciales y/o finales de las asignaturas.</t>
    </r>
  </si>
  <si>
    <t>TOTAL PRESUPUESTO ESTIMATIVO DE ADMINISTRACIÓN DE EMPRESAS 2023:</t>
  </si>
  <si>
    <t>COMERCIO EXTERIOR</t>
  </si>
  <si>
    <t>* Ing. Sandra Solórzano Solórzano,
  Coordinadora de Carrera</t>
  </si>
  <si>
    <r>
      <rPr>
        <b/>
        <sz val="10"/>
        <rFont val="Arial Narrow"/>
        <family val="2"/>
      </rPr>
      <t>1.-</t>
    </r>
    <r>
      <rPr>
        <sz val="10"/>
        <rFont val="Arial Narrow"/>
        <family val="2"/>
      </rPr>
      <t xml:space="preserve"> Convocar y Presidir las sesiones de Evaluación Interna de la Carrera.</t>
    </r>
  </si>
  <si>
    <r>
      <rPr>
        <b/>
        <sz val="10"/>
        <color theme="1"/>
        <rFont val="Arial Narrow"/>
        <family val="2"/>
      </rPr>
      <t xml:space="preserve">5.- </t>
    </r>
    <r>
      <rPr>
        <sz val="10"/>
        <color theme="1"/>
        <rFont val="Arial Narrow"/>
        <family val="2"/>
      </rPr>
      <t xml:space="preserve">Ejecutar los procesos que garantizan el cumplimiento de las funciones sustantivas de la educación superior: docencia, investigación en la facultad que dirige; ejecutados. </t>
    </r>
  </si>
  <si>
    <t>N° de informes de investigación presentados.</t>
  </si>
  <si>
    <r>
      <rPr>
        <b/>
        <sz val="10"/>
        <color theme="1"/>
        <rFont val="Arial Narrow"/>
        <family val="2"/>
      </rPr>
      <t>1.-</t>
    </r>
    <r>
      <rPr>
        <sz val="10"/>
        <color theme="1"/>
        <rFont val="Arial Narrow"/>
        <family val="2"/>
      </rPr>
      <t xml:space="preserve"> Asignar horas de Docencia, investigación y vinculación en el distributivo académico.
</t>
    </r>
    <r>
      <rPr>
        <b/>
        <sz val="10"/>
        <color theme="1"/>
        <rFont val="Arial Narrow"/>
        <family val="2"/>
      </rPr>
      <t>2.-</t>
    </r>
    <r>
      <rPr>
        <sz val="10"/>
        <color theme="1"/>
        <rFont val="Arial Narrow"/>
        <family val="2"/>
      </rPr>
      <t xml:space="preserve"> Verificar el cumplimiento de los resultados de la Investigación.</t>
    </r>
  </si>
  <si>
    <r>
      <rPr>
        <b/>
        <sz val="10"/>
        <color theme="1"/>
        <rFont val="Arial Narrow"/>
        <family val="2"/>
      </rPr>
      <t>1.-</t>
    </r>
    <r>
      <rPr>
        <sz val="10"/>
        <color theme="1"/>
        <rFont val="Arial Narrow"/>
        <family val="2"/>
      </rPr>
      <t xml:space="preserve"> Reportes de los Informes.</t>
    </r>
  </si>
  <si>
    <t>530204 0701 003</t>
  </si>
  <si>
    <t>* Ing. Sandra Solórzano Solórzano,
  Comité Interno de la Carrera</t>
  </si>
  <si>
    <t>Irregularidades, inconformidades y/ o polémicas surgidas en el ambiente académico de su carrera, informadas.</t>
  </si>
  <si>
    <t>* Ing. Sandra Solórzano Solórzano,
  Coordinadora de Carrera
* Ing. Edith Rogel Gutiérrez</t>
  </si>
  <si>
    <t>* Ing. Sandra Solórzano Solórzano,
  Docente responsable de tutorías</t>
  </si>
  <si>
    <t>* Ing. Sandra Solórzano Solórzano,
  Comisión Interna de la Carrera</t>
  </si>
  <si>
    <t>TOTAL DEL PRESUPUESTO ESTIMADO DE COMERCIO EXTERIOR 2023:</t>
  </si>
  <si>
    <t>CONTABILIDAD Y AUDITORÍA</t>
  </si>
  <si>
    <t>* Ing. Gonzalo Chávez Cruz</t>
  </si>
  <si>
    <t>N° de Reunión de Comité de Evaluación Interna.</t>
  </si>
  <si>
    <t>* Ing. Gonzalo Chávez Cruz
* Ing. Anita Maribel Ramírez Blacio
* Ing. Ronny Leonardo Olaya Cum
* Armijos Alvarado Angie Antonella</t>
  </si>
  <si>
    <r>
      <rPr>
        <b/>
        <sz val="10"/>
        <rFont val="Arial Narrow"/>
        <family val="2"/>
      </rPr>
      <t>4.-</t>
    </r>
    <r>
      <rPr>
        <sz val="10"/>
        <rFont val="Arial Narrow"/>
        <family val="2"/>
      </rPr>
      <t xml:space="preserve"> Designar a los responsables de colectivos académicos de Evaluación y Acreditación de la Calidad o Prácticas laborales, y servicio comunitario.</t>
    </r>
  </si>
  <si>
    <t>Responsables de colectivos académicos de Evaluación y Acreditación de la Calidad o Prácticas laborales, y servicio comunitario, realizado.</t>
  </si>
  <si>
    <r>
      <rPr>
        <b/>
        <sz val="10"/>
        <rFont val="Arial Narrow"/>
        <family val="2"/>
      </rPr>
      <t>1.-</t>
    </r>
    <r>
      <rPr>
        <sz val="10"/>
        <rFont val="Arial Narrow"/>
        <family val="2"/>
      </rPr>
      <t xml:space="preserve"> Establecer y sugerir los responsables de colectivos académicos de Evaluación y Acreditación de la Calidad o Prácticas laborales, y servicio comunitario.</t>
    </r>
  </si>
  <si>
    <r>
      <rPr>
        <b/>
        <sz val="10"/>
        <rFont val="Arial Narrow"/>
        <family val="2"/>
      </rPr>
      <t>1.-</t>
    </r>
    <r>
      <rPr>
        <sz val="10"/>
        <rFont val="Arial Narrow"/>
        <family val="2"/>
      </rPr>
      <t xml:space="preserve"> Resolución de designación los responsables de colectivos académicos de Evaluación y Acreditación de la Calidad o Prácticas laborales, y servicio comunitario.</t>
    </r>
  </si>
  <si>
    <t>* Ing. Gonzalo Chávez Cruz
* Ing. Alexander Herrera
* Econ. Néstor Gutiérrez
* Dra. Leny Capa
* Ing. José Maza</t>
  </si>
  <si>
    <r>
      <rPr>
        <b/>
        <sz val="10"/>
        <rFont val="Arial Narrow"/>
        <family val="2"/>
      </rPr>
      <t xml:space="preserve">5.- </t>
    </r>
    <r>
      <rPr>
        <sz val="10"/>
        <rFont val="Arial Narrow"/>
        <family val="2"/>
      </rPr>
      <t>Ejecutar los procesos que garantizan el cumplimiento de las funciones sustantivas de la educación superior: docencia, investigación y vinculación en la facultad que dirige.</t>
    </r>
  </si>
  <si>
    <t>N° de Planificación del Semestre de los distintos criterios (Se designan 10 responsables para el cumplimiento del criterio de Evaluación).</t>
  </si>
  <si>
    <r>
      <rPr>
        <b/>
        <sz val="10"/>
        <rFont val="Arial Narrow"/>
        <family val="2"/>
      </rPr>
      <t>1.-</t>
    </r>
    <r>
      <rPr>
        <sz val="10"/>
        <rFont val="Arial Narrow"/>
        <family val="2"/>
      </rPr>
      <t xml:space="preserve"> Asignar horas de Docencia, investigación y Vinculación con la Sociedad en el distributivo académico.
</t>
    </r>
    <r>
      <rPr>
        <b/>
        <sz val="10"/>
        <rFont val="Arial Narrow"/>
        <family val="2"/>
      </rPr>
      <t>2.-</t>
    </r>
    <r>
      <rPr>
        <sz val="10"/>
        <rFont val="Arial Narrow"/>
        <family val="2"/>
      </rPr>
      <t xml:space="preserve"> Revisar el cumplimiento de los resultados de la Investigación y Vinculación.</t>
    </r>
  </si>
  <si>
    <r>
      <rPr>
        <b/>
        <sz val="10"/>
        <rFont val="Arial Narrow"/>
        <family val="2"/>
      </rPr>
      <t>1.-</t>
    </r>
    <r>
      <rPr>
        <sz val="10"/>
        <rFont val="Arial Narrow"/>
        <family val="2"/>
      </rPr>
      <t xml:space="preserve"> Matriz Carga de Información de la Evaluación Interna.</t>
    </r>
  </si>
  <si>
    <t>El cumplimiento efectivo de las actividades planificadas en los cuatrimestres dependen de la planificación del calendario académico institucional.
DPLAN: La directriz para elaboración del POA 2023 indicaba que se debe limitar la programación de egresos en el grupo de partidas 84, por lo que se reduce la cantidad de adquisiciones de equipos, sistemas y paquetes informáticos.</t>
  </si>
  <si>
    <t>COMPUTADOR TODO EN UNO SOFTWARE LIBRE MODELO 3</t>
  </si>
  <si>
    <t>530702 0701 002</t>
  </si>
  <si>
    <t>LICENCIA DE USO DE SOFTWARE</t>
  </si>
  <si>
    <t>COMPUTADOR TODO EN UNO SOFTWARE PRIVADO MODELO 3</t>
  </si>
  <si>
    <t>ADQUISICIÓN DE PROYECTORES PARA LA FACULTAD DE CIENCIAS EMPRESARIALES</t>
  </si>
  <si>
    <t>* Ing. Gonzalo Chávez Cruz,
  Comité Interno de la Carrera</t>
  </si>
  <si>
    <r>
      <rPr>
        <b/>
        <sz val="10"/>
        <rFont val="Arial Narrow"/>
        <family val="2"/>
      </rPr>
      <t>1.-</t>
    </r>
    <r>
      <rPr>
        <sz val="10"/>
        <rFont val="Arial Narrow"/>
        <family val="2"/>
      </rPr>
      <t xml:space="preserve"> Reporte de los informes de las irregularidades, inconformidades y/o polémicas surgidas en el ambiente académico de la carrera.</t>
    </r>
  </si>
  <si>
    <t>N° de Sesiones al interior de la Carrera con el claustro Docente (Debate).</t>
  </si>
  <si>
    <r>
      <rPr>
        <b/>
        <sz val="10"/>
        <rFont val="Arial Narrow"/>
        <family val="2"/>
      </rPr>
      <t>1.-</t>
    </r>
    <r>
      <rPr>
        <sz val="10"/>
        <rFont val="Arial Narrow"/>
        <family val="2"/>
      </rPr>
      <t xml:space="preserve"> Actas de cada Debate.</t>
    </r>
  </si>
  <si>
    <r>
      <rPr>
        <b/>
        <sz val="10"/>
        <rFont val="Arial Narrow"/>
        <family val="2"/>
      </rPr>
      <t>10.-</t>
    </r>
    <r>
      <rPr>
        <sz val="10"/>
        <rFont val="Arial Narrow"/>
        <family val="2"/>
      </rPr>
      <t xml:space="preserve"> Gestionar la organización del sistema de tutorías del proceso enseñanza- aprendizaje de la carrera.</t>
    </r>
  </si>
  <si>
    <t>* Ing. Gonzalo Chávez Cruz
* Dra. Leny Capa</t>
  </si>
  <si>
    <r>
      <rPr>
        <b/>
        <sz val="10"/>
        <rFont val="Arial Narrow"/>
        <family val="2"/>
      </rPr>
      <t>1.-</t>
    </r>
    <r>
      <rPr>
        <sz val="10"/>
        <rFont val="Arial Narrow"/>
        <family val="2"/>
      </rPr>
      <t xml:space="preserve"> Reporte entrega de syllabus.
</t>
    </r>
    <r>
      <rPr>
        <b/>
        <sz val="10"/>
        <rFont val="Arial Narrow"/>
        <family val="2"/>
      </rPr>
      <t>2.-</t>
    </r>
    <r>
      <rPr>
        <sz val="10"/>
        <rFont val="Arial Narrow"/>
        <family val="2"/>
      </rPr>
      <t xml:space="preserve"> Reporte entrega de Guía de Estudio.
</t>
    </r>
    <r>
      <rPr>
        <b/>
        <sz val="10"/>
        <rFont val="Arial Narrow"/>
        <family val="2"/>
      </rPr>
      <t>3.-</t>
    </r>
    <r>
      <rPr>
        <sz val="10"/>
        <rFont val="Arial Narrow"/>
        <family val="2"/>
      </rPr>
      <t xml:space="preserve"> Reporte Guía Práctica.</t>
    </r>
  </si>
  <si>
    <t>TOTAL PRESUPUESTO ESTIMATIVO DE CONTABILIDAD Y AUDITORÍA 2023:</t>
  </si>
  <si>
    <t>ECONOMÍA</t>
  </si>
  <si>
    <t>* Econ. Yelena Vega Jaramillo,
  Coordinadora de Carrera</t>
  </si>
  <si>
    <r>
      <rPr>
        <b/>
        <sz val="10"/>
        <rFont val="Arial Narrow"/>
        <family val="2"/>
      </rPr>
      <t>3.-</t>
    </r>
    <r>
      <rPr>
        <sz val="10"/>
        <rFont val="Arial Narrow"/>
        <family val="2"/>
      </rPr>
      <t xml:space="preserve"> Proponer la terna del personal académico y estudiantil que integrará el Comité de Evaluación Interna de Carrera.</t>
    </r>
  </si>
  <si>
    <r>
      <rPr>
        <b/>
        <sz val="10"/>
        <rFont val="Arial Narrow"/>
        <family val="2"/>
      </rPr>
      <t xml:space="preserve">5.- </t>
    </r>
    <r>
      <rPr>
        <sz val="10"/>
        <rFont val="Arial Narrow"/>
        <family val="2"/>
      </rPr>
      <t>Ejecutar los procesos que garan</t>
    </r>
    <r>
      <rPr>
        <sz val="10"/>
        <color theme="1"/>
        <rFont val="Arial Narrow"/>
        <family val="2"/>
      </rPr>
      <t>tizan el cumplimiento de las funciones sustantivas de la educación superior: vinculación en la facultad que dirige</t>
    </r>
    <r>
      <rPr>
        <sz val="10"/>
        <rFont val="Arial Narrow"/>
        <family val="2"/>
      </rPr>
      <t>.</t>
    </r>
  </si>
  <si>
    <r>
      <t>Procesos que garantizan el cumplimiento de las funciones sustantiv</t>
    </r>
    <r>
      <rPr>
        <sz val="10"/>
        <color theme="1"/>
        <rFont val="Arial Narrow"/>
        <family val="2"/>
      </rPr>
      <t>as de la educación superior: vinculación en la facultad que diri</t>
    </r>
    <r>
      <rPr>
        <sz val="10"/>
        <rFont val="Arial Narrow"/>
        <family val="2"/>
      </rPr>
      <t>ge; ejecutados.</t>
    </r>
  </si>
  <si>
    <t>N° de informes de vinculación.</t>
  </si>
  <si>
    <r>
      <rPr>
        <b/>
        <sz val="10"/>
        <rFont val="Arial Narrow"/>
        <family val="2"/>
      </rPr>
      <t>1.-</t>
    </r>
    <r>
      <rPr>
        <sz val="10"/>
        <rFont val="Arial Narrow"/>
        <family val="2"/>
      </rPr>
      <t xml:space="preserve"> Asignar horas de Docencia, y Vinculación con la Sociedad en el distributivo académico.
Verificar el cumplimiento de los resultados de Vinculación.</t>
    </r>
  </si>
  <si>
    <t>TOTAL PRESUPUESTO ESTIMATIVO DE ECONOMÍA 2023:</t>
  </si>
  <si>
    <t>MERCADOTECNIA</t>
  </si>
  <si>
    <t>* Econ. Vladimir Ávila</t>
  </si>
  <si>
    <t>* Econ. Vladimir Ávila
* Ing. Manuel Muñoz</t>
  </si>
  <si>
    <r>
      <rPr>
        <b/>
        <sz val="10"/>
        <rFont val="Arial Narrow"/>
        <family val="2"/>
      </rPr>
      <t xml:space="preserve">6.- </t>
    </r>
    <r>
      <rPr>
        <sz val="10"/>
        <rFont val="Arial Narrow"/>
        <family val="2"/>
      </rPr>
      <t>Ejecutar los procesos que garan</t>
    </r>
    <r>
      <rPr>
        <sz val="10"/>
        <color theme="1"/>
        <rFont val="Arial Narrow"/>
        <family val="2"/>
      </rPr>
      <t>tizan el cumplimiento de las funciones sustantivas de la educación superior: vinculación en la facultad que dirige</t>
    </r>
    <r>
      <rPr>
        <sz val="10"/>
        <rFont val="Arial Narrow"/>
        <family val="2"/>
      </rPr>
      <t>.</t>
    </r>
  </si>
  <si>
    <r>
      <rPr>
        <b/>
        <sz val="10"/>
        <rFont val="Arial Narrow"/>
        <family val="2"/>
      </rPr>
      <t>7.-</t>
    </r>
    <r>
      <rPr>
        <sz val="10"/>
        <rFont val="Arial Narrow"/>
        <family val="2"/>
      </rPr>
      <t xml:space="preserve"> Asistir Sesiones de trabajo convocadas por las Autoridades correspondientes.</t>
    </r>
  </si>
  <si>
    <r>
      <rPr>
        <b/>
        <sz val="10"/>
        <rFont val="Arial Narrow"/>
        <family val="2"/>
      </rPr>
      <t xml:space="preserve">8.- </t>
    </r>
    <r>
      <rPr>
        <sz val="10"/>
        <rFont val="Arial Narrow"/>
        <family val="2"/>
      </rPr>
      <t>Informar las irregularidades, inconformidades y/ o polémicas surgidas en el ambiente académico de su carrera.</t>
    </r>
  </si>
  <si>
    <r>
      <rPr>
        <b/>
        <sz val="10"/>
        <rFont val="Arial Narrow"/>
        <family val="2"/>
      </rPr>
      <t>9.-</t>
    </r>
    <r>
      <rPr>
        <sz val="10"/>
        <rFont val="Arial Narrow"/>
        <family val="2"/>
      </rPr>
      <t xml:space="preserve"> Elaborar el Distributivo académico de su carrera.</t>
    </r>
  </si>
  <si>
    <r>
      <rPr>
        <b/>
        <sz val="10"/>
        <rFont val="Arial Narrow"/>
        <family val="2"/>
      </rPr>
      <t>10.-</t>
    </r>
    <r>
      <rPr>
        <sz val="10"/>
        <rFont val="Arial Narrow"/>
        <family val="2"/>
      </rPr>
      <t xml:space="preserve"> Organizar y convocar a reuniones periódicas del personal académico.</t>
    </r>
  </si>
  <si>
    <r>
      <rPr>
        <b/>
        <sz val="10"/>
        <rFont val="Arial Narrow"/>
        <family val="2"/>
      </rPr>
      <t>11.-</t>
    </r>
    <r>
      <rPr>
        <sz val="10"/>
        <rFont val="Arial Narrow"/>
        <family val="2"/>
      </rPr>
      <t xml:space="preserve"> Gestionar la organización del sistema de tutorías del proceso enseñanza- aprendizaje de la carrera.</t>
    </r>
  </si>
  <si>
    <r>
      <rPr>
        <b/>
        <sz val="10"/>
        <rFont val="Arial Narrow"/>
        <family val="2"/>
      </rPr>
      <t xml:space="preserve">1.- </t>
    </r>
    <r>
      <rPr>
        <sz val="10"/>
        <rFont val="Arial Narrow"/>
        <family val="2"/>
      </rPr>
      <t>Directrices para elaboración de informes de tutorías de acuerdo a los lineamientos aprobados por el Consejo Universitario.</t>
    </r>
  </si>
  <si>
    <r>
      <rPr>
        <b/>
        <sz val="10"/>
        <rFont val="Arial Narrow"/>
        <family val="2"/>
      </rPr>
      <t>12.-</t>
    </r>
    <r>
      <rPr>
        <sz val="10"/>
        <rFont val="Arial Narrow"/>
        <family val="2"/>
      </rPr>
      <t xml:space="preserve"> Asesorar al Claustro docente sobre el plan de estudio de la carrera.</t>
    </r>
  </si>
  <si>
    <r>
      <rPr>
        <b/>
        <sz val="10"/>
        <rFont val="Arial Narrow"/>
        <family val="2"/>
      </rPr>
      <t>13.-</t>
    </r>
    <r>
      <rPr>
        <sz val="10"/>
        <rFont val="Arial Narrow"/>
        <family val="2"/>
      </rPr>
      <t xml:space="preserve"> Visitar aulas de clase con fines formativos y de asesoramiento.</t>
    </r>
  </si>
  <si>
    <r>
      <rPr>
        <b/>
        <sz val="10"/>
        <rFont val="Arial Narrow"/>
        <family val="2"/>
      </rPr>
      <t>14.-</t>
    </r>
    <r>
      <rPr>
        <sz val="10"/>
        <rFont val="Arial Narrow"/>
        <family val="2"/>
      </rPr>
      <t xml:space="preserve"> Participar en actividades relacionadas con diseño curricular de la carrera.</t>
    </r>
  </si>
  <si>
    <r>
      <rPr>
        <b/>
        <sz val="10"/>
        <rFont val="Arial Narrow"/>
        <family val="2"/>
      </rPr>
      <t>15.-</t>
    </r>
    <r>
      <rPr>
        <sz val="10"/>
        <rFont val="Arial Narrow"/>
        <family val="2"/>
      </rPr>
      <t xml:space="preserve"> Supervisar la entrega de actas de calificaciones parciales y/ o finales de las asignaturas.</t>
    </r>
  </si>
  <si>
    <t>TOTAL PRESUPUESTO ESTIMATIVO DE MERCADOTECNIA 2023:</t>
  </si>
  <si>
    <t>TURISMO</t>
  </si>
  <si>
    <t>* María Isabel Bastidas</t>
  </si>
  <si>
    <t>N° de Oficio de la Comisión Académica.</t>
  </si>
  <si>
    <t>Responsables de colectivos académicos de Titulación, Evaluación y Acreditación de la Calidad, Prácticas Preprofesionales o laborales, y servicio comunitario.</t>
  </si>
  <si>
    <r>
      <rPr>
        <b/>
        <sz val="10"/>
        <rFont val="Arial Narrow"/>
        <family val="2"/>
      </rPr>
      <t>5.-</t>
    </r>
    <r>
      <rPr>
        <sz val="10"/>
        <rFont val="Arial Narrow"/>
        <family val="2"/>
      </rPr>
      <t xml:space="preserve"> Ejecutar los procesos que garantizan el cumplimiento de las funciones sustantivas de la educación superior: docencia, investigación y vinculación en la facultad que dirige.</t>
    </r>
  </si>
  <si>
    <r>
      <t>Procesos que garantizan el cumplimiento de las funciones sustantivas de la educación superior: doce</t>
    </r>
    <r>
      <rPr>
        <sz val="10"/>
        <color theme="1"/>
        <rFont val="Arial Narrow"/>
        <family val="2"/>
      </rPr>
      <t>ncia, investigación y vinculación en la facultad que dirige; ejec</t>
    </r>
    <r>
      <rPr>
        <sz val="10"/>
        <rFont val="Arial Narrow"/>
        <family val="2"/>
      </rPr>
      <t>utados.</t>
    </r>
  </si>
  <si>
    <t>N° de informes de investigación e informes de vinculación.</t>
  </si>
  <si>
    <r>
      <rPr>
        <b/>
        <sz val="10"/>
        <rFont val="Arial Narrow"/>
        <family val="2"/>
      </rPr>
      <t>1.-</t>
    </r>
    <r>
      <rPr>
        <sz val="10"/>
        <rFont val="Arial Narrow"/>
        <family val="2"/>
      </rPr>
      <t xml:space="preserve"> Asignar horas de Docencia, investigación y vinculación en el distributivo académico.
</t>
    </r>
    <r>
      <rPr>
        <b/>
        <sz val="10"/>
        <rFont val="Arial Narrow"/>
        <family val="2"/>
      </rPr>
      <t>2.-</t>
    </r>
    <r>
      <rPr>
        <sz val="10"/>
        <rFont val="Arial Narrow"/>
        <family val="2"/>
      </rPr>
      <t xml:space="preserve"> Verificar el cumplimiento de los resultados de la Investigación y vinculación.</t>
    </r>
  </si>
  <si>
    <r>
      <rPr>
        <b/>
        <sz val="10"/>
        <rFont val="Arial Narrow"/>
        <family val="2"/>
      </rPr>
      <t>1.-</t>
    </r>
    <r>
      <rPr>
        <sz val="10"/>
        <rFont val="Arial Narrow"/>
        <family val="2"/>
      </rPr>
      <t xml:space="preserve"> Reportes de los Informes de investigación e investigación.</t>
    </r>
  </si>
  <si>
    <t>Membresias</t>
  </si>
  <si>
    <t>Plataforma Amadeus</t>
  </si>
  <si>
    <t>IMPRESORA MULTIFUNCION</t>
  </si>
  <si>
    <t>MESA PARA COMPUTADORAS</t>
  </si>
  <si>
    <r>
      <rPr>
        <b/>
        <sz val="10"/>
        <rFont val="Arial Narrow"/>
        <family val="2"/>
      </rPr>
      <t>1.-</t>
    </r>
    <r>
      <rPr>
        <sz val="10"/>
        <rFont val="Arial Narrow"/>
        <family val="2"/>
      </rPr>
      <t xml:space="preserve"> Elaborar Reporte de los informes de las irregularidades, inconformidades y/o polémicas surgidas en el ambiente académico de la carrera. </t>
    </r>
  </si>
  <si>
    <t>TOTAL PRESUPUESTO ESTIMATIVO DE TURISMO 2023:</t>
  </si>
  <si>
    <t>TOTAL PRESUPUESTO ESTIMATIVO FCE 2023:</t>
  </si>
  <si>
    <r>
      <rPr>
        <b/>
        <sz val="11"/>
        <color rgb="FF000000"/>
        <rFont val="Arial"/>
        <family val="2"/>
      </rPr>
      <t xml:space="preserve">Elaborado por: </t>
    </r>
    <r>
      <rPr>
        <sz val="11"/>
        <color rgb="FF000000"/>
        <rFont val="Arial"/>
        <family val="2"/>
      </rPr>
      <t>Cristhian Salcedo</t>
    </r>
  </si>
  <si>
    <r>
      <rPr>
        <b/>
        <sz val="11"/>
        <color rgb="FF000000"/>
        <rFont val="Arial"/>
        <family val="2"/>
      </rPr>
      <t xml:space="preserve">Fecha: </t>
    </r>
    <r>
      <rPr>
        <sz val="11"/>
        <color rgb="FF000000"/>
        <rFont val="Arial"/>
        <family val="2"/>
      </rPr>
      <t>13 de septiembre de 2022</t>
    </r>
  </si>
  <si>
    <t>Membrecias</t>
  </si>
  <si>
    <t>530239</t>
  </si>
  <si>
    <t>530702</t>
  </si>
  <si>
    <r>
      <t xml:space="preserve">FUENTE </t>
    </r>
    <r>
      <rPr>
        <sz val="12"/>
        <rFont val="Century Schoolbook"/>
        <family val="1"/>
      </rPr>
      <t>1</t>
    </r>
  </si>
  <si>
    <r>
      <t xml:space="preserve">FUENTE </t>
    </r>
    <r>
      <rPr>
        <sz val="12"/>
        <rFont val="Century Schoolbook"/>
        <family val="1"/>
      </rPr>
      <t>2</t>
    </r>
  </si>
  <si>
    <r>
      <t xml:space="preserve">FUENTE </t>
    </r>
    <r>
      <rPr>
        <sz val="12"/>
        <rFont val="Century Schoolbook"/>
        <family val="1"/>
      </rPr>
      <t>3</t>
    </r>
  </si>
  <si>
    <r>
      <t xml:space="preserve">FUENTE </t>
    </r>
    <r>
      <rPr>
        <sz val="12"/>
        <rFont val="Century Schoolbook"/>
        <family val="1"/>
      </rPr>
      <t>202</t>
    </r>
  </si>
  <si>
    <r>
      <rPr>
        <sz val="12"/>
        <color rgb="FF000000"/>
        <rFont val="Century Schoolbook"/>
        <family val="1"/>
      </rPr>
      <t>53</t>
    </r>
    <r>
      <rPr>
        <sz val="12"/>
        <color rgb="FF000000"/>
        <rFont val="Arial Narrow"/>
        <family val="2"/>
      </rPr>
      <t xml:space="preserve"> Bienes y Servicios de Consumo</t>
    </r>
  </si>
  <si>
    <r>
      <rPr>
        <sz val="12"/>
        <color rgb="FF000000"/>
        <rFont val="Century Schoolbook"/>
        <family val="1"/>
      </rPr>
      <t>57</t>
    </r>
    <r>
      <rPr>
        <sz val="12"/>
        <color rgb="FF000000"/>
        <rFont val="Arial Narrow"/>
        <family val="2"/>
      </rPr>
      <t xml:space="preserve"> Otros Egresos Corrientes</t>
    </r>
  </si>
  <si>
    <r>
      <rPr>
        <sz val="12"/>
        <color rgb="FF000000"/>
        <rFont val="Century Schoolbook"/>
        <family val="1"/>
      </rPr>
      <t>84</t>
    </r>
    <r>
      <rPr>
        <sz val="12"/>
        <color rgb="FF000000"/>
        <rFont val="Arial Narrow"/>
        <family val="2"/>
      </rPr>
      <t xml:space="preserve"> Bienes de Larga Duración</t>
    </r>
  </si>
  <si>
    <r>
      <rPr>
        <sz val="12"/>
        <color rgb="FF000000"/>
        <rFont val="Century Schoolbook"/>
        <family val="1"/>
      </rPr>
      <t>99</t>
    </r>
    <r>
      <rPr>
        <sz val="12"/>
        <color rgb="FF000000"/>
        <rFont val="Arial Narrow"/>
        <family val="2"/>
      </rPr>
      <t xml:space="preserve"> Otros Pasivos</t>
    </r>
  </si>
  <si>
    <t>FACULTAD DE CIENCIAS QUÍMICAS Y DE LA SALUD</t>
  </si>
  <si>
    <r>
      <t>METAS OPERATIVAS
1.-</t>
    </r>
    <r>
      <rPr>
        <sz val="10"/>
        <color rgb="FF000000"/>
        <rFont val="Arial Narrow"/>
        <family val="2"/>
      </rPr>
      <t xml:space="preserve"> Emitir directrices para garantizar la ejecución de los procesos administrativos y académicos.</t>
    </r>
  </si>
  <si>
    <t>N° de directrices emitidas</t>
  </si>
  <si>
    <t>1.- Socializar reglamentos.
2.- Planificar reuniones de trabajo con personal administrativo y académico.</t>
  </si>
  <si>
    <t>1.- Reporte de validación de las directrices.</t>
  </si>
  <si>
    <t>* Lcda. Jovanny Santos Luna       Decana
*Abg. Nelly Fajardo
  Analista del Decanato</t>
  </si>
  <si>
    <t>82 Formación y gestión académica</t>
  </si>
  <si>
    <t>Membresia de AFEME</t>
  </si>
  <si>
    <t>Membresia de ASEDEFE</t>
  </si>
  <si>
    <r>
      <t>2.-</t>
    </r>
    <r>
      <rPr>
        <sz val="10"/>
        <color rgb="FF000000"/>
        <rFont val="Arial Narrow"/>
        <family val="2"/>
      </rPr>
      <t xml:space="preserve"> Supervisar y ejecutar los procesos administrativos y académicos.</t>
    </r>
  </si>
  <si>
    <t>N° de procesos administrativos supervisados y ejecutados</t>
  </si>
  <si>
    <t>1.- Receptar las comunicaciones y notificaciones internas y/o organismos externos.
2.- Redactar, remitir y supervisar la ejecución  de los procesos administrativos y académicos.
3.- Planificar y organizar la distribución de espacios físicos para los cubículos y equipos informáticos para la actividad presencial.
4.- Distribuir, administrar, controlar y custodiar los bienes destinados al área académica, administrativa de la Facultad.
5.- Gestionar la adquisición de bienes y materiales para la FCQS.</t>
  </si>
  <si>
    <t>1.- Reporte del estado actual de los procesos administrativos y académicos
2.- Distributivo de Cubículos y Equipos Informáticos.
3.- Reporte de solicitudes de reasignación de bienes.                4. Constatación y Reporte de  Bienes</t>
  </si>
  <si>
    <t>* Lcda. Jovanny Santos Luna       Decana
*Abg. Nelly Fajardo
  Analista del Decanato           *Ing. Juan Díaz Calle,
  Administrador de Bienes FCQS</t>
  </si>
  <si>
    <t>Considerar realizar el incremento de esta partida en razón de que existe la necesidad imperiosa del requerimiento.</t>
  </si>
  <si>
    <t xml:space="preserve">Adecuación de la Sala de Docentes de la Carrera de Enfermería en la FCQS.  Contrato 0010-2022: UTMACH EP EMPRESA PUBLICA. </t>
  </si>
  <si>
    <t>Contrato</t>
  </si>
  <si>
    <t>Adecuación de salón para tutorias de la carrera de medicina</t>
  </si>
  <si>
    <r>
      <t>3.-</t>
    </r>
    <r>
      <rPr>
        <sz val="10"/>
        <color rgb="FF000000"/>
        <rFont val="Arial Narrow"/>
        <family val="2"/>
      </rPr>
      <t xml:space="preserve"> Gestionar la Propuesta del distributivo académico en conjunto con los Subdecanatos.</t>
    </r>
  </si>
  <si>
    <t>N° de distributivos académicos gestionados en conjunto con los subdecanatos</t>
  </si>
  <si>
    <t>1. Trasladar las directrices otorgados por el Consejo Universitario a subdecanato de la FCQS.             
2. Autorizar el envío de distributivos para la aprobación del Consejo Directivo.</t>
  </si>
  <si>
    <t>1.- Distributivos por carreras de la Facultad</t>
  </si>
  <si>
    <r>
      <t>4.-</t>
    </r>
    <r>
      <rPr>
        <sz val="10"/>
        <color rgb="FF000000"/>
        <rFont val="Arial Narrow"/>
        <family val="2"/>
      </rPr>
      <t xml:space="preserve"> Supervisar la ejecución de las convocatorias a los consejos de facultad.</t>
    </r>
  </si>
  <si>
    <t>N° de convocatorias supervisadas</t>
  </si>
  <si>
    <t>1. Sesionar y presidir Consejo Directivo de la Facultad.</t>
  </si>
  <si>
    <t>1.- Matriz de Control y Supervisión a la ejecución de las convocatorias a los consejos de facultad.</t>
  </si>
  <si>
    <r>
      <t>5.-</t>
    </r>
    <r>
      <rPr>
        <sz val="10"/>
        <color rgb="FF000000"/>
        <rFont val="Arial Narrow"/>
        <family val="2"/>
      </rPr>
      <t xml:space="preserve"> Gestionar los Procesos que garantizan el cumplimiento de las funciones sustantivas de la educación superior: docencia, investigación y vinculación.</t>
    </r>
  </si>
  <si>
    <t>N° de procesos que garanticen el cumplimiento de las funciones sustantivas de la educación superior: docencia, investigación y vinculación gestionados</t>
  </si>
  <si>
    <t>1. Solicitar a los Cordinadores informes de cumplimeinto</t>
  </si>
  <si>
    <t>1. Informes de Cumplimiento</t>
  </si>
  <si>
    <t>Adquisición de infraestructura tecnológica audiovisual (televisores para aulas de clases)</t>
  </si>
  <si>
    <r>
      <t>6.-</t>
    </r>
    <r>
      <rPr>
        <sz val="10"/>
        <color rgb="FF000000"/>
        <rFont val="Arial Narrow"/>
        <family val="2"/>
      </rPr>
      <t xml:space="preserve"> Presentar el Informe de Rendición de Cuentas.</t>
    </r>
  </si>
  <si>
    <t>N° de Informes de Rendición de Cuentas presentados</t>
  </si>
  <si>
    <t xml:space="preserve"> 1. Elaborar el Informe de Rendicion de Cuenta</t>
  </si>
  <si>
    <t>1. Informe de Rendición de Cuenta</t>
  </si>
  <si>
    <r>
      <t>7.-</t>
    </r>
    <r>
      <rPr>
        <sz val="10"/>
        <color rgb="FF000000"/>
        <rFont val="Arial Narrow"/>
        <family val="2"/>
      </rPr>
      <t xml:space="preserve"> Gestionar trámite de licencias solicitadas por el personal docente y administrativo.</t>
    </r>
  </si>
  <si>
    <t xml:space="preserve">                                                                                                                                                                                                                                                                      N° de trámites de licencias solicitadas por el personal docente y administrativo gestionados.</t>
  </si>
  <si>
    <t>1.- Receptar solicitudes de licencia del personal administrativo y docentes
2.- Tramitar las solicitudes a los departamentos encargados</t>
  </si>
  <si>
    <t>1. Oficio y/o petición de licencias y permisos</t>
  </si>
  <si>
    <r>
      <t>8.-</t>
    </r>
    <r>
      <rPr>
        <sz val="10"/>
        <color rgb="FF000000"/>
        <rFont val="Arial Narrow"/>
        <family val="2"/>
      </rPr>
      <t xml:space="preserve"> Coordinar y gestionar Actividades culturales, deportivas, sociales, y proyectos de responsabilidad social e influencia en políticas públicas gestionadas.</t>
    </r>
  </si>
  <si>
    <t>1.-Coordinar Actividades culturales, deportivas, sociales, y proyectos de responsabilidad social e influencia en políticas públicas gestionadas.            2.- Gestionar Actividades culturales, deportivas, sociales, y proyectos de responsabilidad social e influencia en políticas públicas gestionadas</t>
  </si>
  <si>
    <r>
      <t>1.-</t>
    </r>
    <r>
      <rPr>
        <sz val="10"/>
        <color rgb="FF000000"/>
        <rFont val="Arial Narrow"/>
        <family val="2"/>
      </rPr>
      <t xml:space="preserve"> Reporte de propuestas de actividades desarrolladas por las Carreras</t>
    </r>
  </si>
  <si>
    <r>
      <t>9.-</t>
    </r>
    <r>
      <rPr>
        <sz val="10"/>
        <color rgb="FF000000"/>
        <rFont val="Arial Narrow"/>
        <family val="2"/>
      </rPr>
      <t xml:space="preserve"> Coordinar y gestionar el Proceso de contratación de personal docente para las carreras o programas vigentes en la Facultad.</t>
    </r>
  </si>
  <si>
    <t>N° de Procesos de contratación de personal docente para las carreras o programas vigentes en la Facultad coordinados y gestionados</t>
  </si>
  <si>
    <t xml:space="preserve">1.- Receptar oficio de Subdecanato para la contratación de docentes
2.- Solicitar la Contratación de Docentes </t>
  </si>
  <si>
    <t xml:space="preserve">1. Resolución de Consejo Directivo que Solicita la Contratación de Docentes  </t>
  </si>
  <si>
    <r>
      <t>10.-</t>
    </r>
    <r>
      <rPr>
        <sz val="10"/>
        <color rgb="FF000000"/>
        <rFont val="Arial Narrow"/>
        <family val="2"/>
      </rPr>
      <t xml:space="preserve"> Emitir criterios técnicos para la sustentación de las decisiones adoptadas a nivel de facultad.</t>
    </r>
  </si>
  <si>
    <t>N° de criterios técnicos acogidos en Consejo Directivo</t>
  </si>
  <si>
    <t>1.- Solicitar documentos.
2.- Convocar a reuniones</t>
  </si>
  <si>
    <t>1.- Registro resumen de resoluciones de Consejo Directivo, emitidas.</t>
  </si>
  <si>
    <r>
      <t>11.-</t>
    </r>
    <r>
      <rPr>
        <sz val="10"/>
        <color rgb="FF000000"/>
        <rFont val="Arial Narrow"/>
        <family val="2"/>
      </rPr>
      <t xml:space="preserve"> Supervisar las Gestiones efectuadas por el Subdecanato, los Directores de  Carrera, personal académico y administrativo de la Facultad.</t>
    </r>
  </si>
  <si>
    <t>Gestiones efectuadas por el Subdecano, los Directores  de Carrera, personal académico y administrativo de la Facultad, supervisadas.</t>
  </si>
  <si>
    <t>N° de supervisiones ejecutadas de los procesos administrativos y académicos</t>
  </si>
  <si>
    <t>1.- Solicitar la documentación a las coordinaciones de carreras.
2.- Revisar y validar los procesos ejecutados.</t>
  </si>
  <si>
    <t>1.- Matriz del estado actual de los procesos administrativos y académicos.</t>
  </si>
  <si>
    <r>
      <t>12.-</t>
    </r>
    <r>
      <rPr>
        <sz val="10"/>
        <color rgb="FF000000"/>
        <rFont val="Arial Narrow"/>
        <family val="2"/>
      </rPr>
      <t xml:space="preserve"> Presentar la Planificación Operativa Anual y Evaluar la Planificación Operativa Anual.</t>
    </r>
  </si>
  <si>
    <t>N° de planificaciones y evaluaciones entregadas</t>
  </si>
  <si>
    <t>1,Elaborar las Planificaciones Operativas Anuales,                         2,Efectuar los seguimientos a las planificaciones operativas.
3. Realizar las evaluaciones al POA.
4.- Remitir los POAS y sus Evaluaciones.</t>
  </si>
  <si>
    <t xml:space="preserve">1.- Plan Operativo Anual 2024       
2.- Evaluación del  del POA 2023.                                              </t>
  </si>
  <si>
    <r>
      <t>13.-</t>
    </r>
    <r>
      <rPr>
        <sz val="10"/>
        <color rgb="FF000000"/>
        <rFont val="Arial Narrow"/>
        <family val="2"/>
      </rPr>
      <t xml:space="preserve"> Organizar el Archivo de Gestión.</t>
    </r>
  </si>
  <si>
    <t>N° de documentos inventariados</t>
  </si>
  <si>
    <t>1.- Realizar el inventario documental de carpetas del archivo que reposa en el Decanato</t>
  </si>
  <si>
    <r>
      <t>METAS OPERATIVAS
1.-</t>
    </r>
    <r>
      <rPr>
        <sz val="10"/>
        <color rgb="FF000000"/>
        <rFont val="Arial Narrow"/>
        <family val="2"/>
      </rPr>
      <t xml:space="preserve"> Emitir o actualizar los Procedimientos Académicos internos estandarizados.</t>
    </r>
  </si>
  <si>
    <t>N° de procedimientos académicos estandarizados, emitidos o actualizados</t>
  </si>
  <si>
    <t>1.- Coordinar y socializar al interior de la Facultad las directrices emitidas por el òrgano superior.</t>
  </si>
  <si>
    <t>1.- Reporte del estado actual de la emisión o actualización de procedimientos académicos internos.</t>
  </si>
  <si>
    <t xml:space="preserve">Ing. Jonathan Aguilar Alvarado
Lcda. Priscila Illescas Lucin </t>
  </si>
  <si>
    <t>Procedimientos Académicos:
 1.- Sílabos
 2.- Tutorías Académicas
El cumplimiento efectivo de las actividades planificadas en los cuatrimestres dependen de la planificación del calendario académico institucional.</t>
  </si>
  <si>
    <r>
      <t>2.-</t>
    </r>
    <r>
      <rPr>
        <sz val="10"/>
        <color rgb="FF000000"/>
        <rFont val="Arial Narrow"/>
        <family val="2"/>
      </rPr>
      <t xml:space="preserve"> Convocar y presidir Sesiones de Comisión Académica de la Facultad.</t>
    </r>
  </si>
  <si>
    <t>Nº de Sesiones de Comisión Académica de la Facultad convocadas y presididas</t>
  </si>
  <si>
    <t>1.- Reporte de Convocatorias.
2.- Reporte de Resoluciones.</t>
  </si>
  <si>
    <t>Ing. Jonathan Aguilar Alvarado
Subdecano
Lcda. Priscila Illescas Lucin
Analista Academico
Mary Alvarado Salazar, Analista Académica</t>
  </si>
  <si>
    <r>
      <t>3.-</t>
    </r>
    <r>
      <rPr>
        <sz val="10"/>
        <color rgb="FF000000"/>
        <rFont val="Arial Narrow"/>
        <family val="2"/>
      </rPr>
      <t xml:space="preserve"> Orientar y supervisar las propuestas para la creación, fusión y extinción de carreras y programas, así como los planes de estudios de las mismas emanados del trabajo de rediseño curricular.</t>
    </r>
  </si>
  <si>
    <t>Nº de Propuestas para la creación, fusión y extinción de carreras y programas</t>
  </si>
  <si>
    <t>Esta meta se desarrollará siempre y cuando existan propuestas o resoluciones por parte de los organismos pertinentes, quienes disponen la correspondiente creación, fusión o extinción de carreras y programas, así como los planes de estudios</t>
  </si>
  <si>
    <r>
      <t>4.-</t>
    </r>
    <r>
      <rPr>
        <sz val="10"/>
        <color rgb="FF000000"/>
        <rFont val="Arial Narrow"/>
        <family val="2"/>
      </rPr>
      <t xml:space="preserve"> Supervisar la ejecución de los procesos académicos.</t>
    </r>
  </si>
  <si>
    <t>N° de procesos académicos supervisados</t>
  </si>
  <si>
    <t>1.- Supervisar el proceso de ingreso, revisión y seguimiento de silabos
2.- Supervisar el proceso de ingreso de avances académicos</t>
  </si>
  <si>
    <t>1.- Reporte del estado actual de la supervisión a la ejecución de los procesos académicos supervisados</t>
  </si>
  <si>
    <t>Ing. Jonathan Aguilar Alvarado
Subdecano
Lcda. Priscila Illescas Lucin
Analista Academico</t>
  </si>
  <si>
    <r>
      <t>5.-</t>
    </r>
    <r>
      <rPr>
        <sz val="10"/>
        <color rgb="FF000000"/>
        <rFont val="Arial Narrow"/>
        <family val="2"/>
      </rPr>
      <t xml:space="preserve"> Coordinar y supervisar la elaboraciòn de distributivos y horarios.</t>
    </r>
  </si>
  <si>
    <t>N° de Distributivos, horarios calendarios académicos, coordinados y supervisados</t>
  </si>
  <si>
    <t xml:space="preserve">1.- Coordinar y supervisar el proceso de  elaboración de los Distributivo,  horarios y calendarios académicos. </t>
  </si>
  <si>
    <t>1.- Reporte del estado actual de la coordinación y supervisión de elaboración de los Distributivo y horarios.</t>
  </si>
  <si>
    <t>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Lcda.Priscila Illescas
Analista Académico</t>
  </si>
  <si>
    <r>
      <t>6.-</t>
    </r>
    <r>
      <rPr>
        <sz val="10"/>
        <color rgb="FF000000"/>
        <rFont val="Arial Narrow"/>
        <family val="2"/>
      </rPr>
      <t xml:space="preserve"> Monitorear actividades académicas que se realizan en los diferentes laboratorios, aulas y unidades académicas experimentales de la Facultad.</t>
    </r>
  </si>
  <si>
    <t>Actividades académicas que se realizan en los diferentes laboratorios, aulas y unidades académicas experimentales de la Facultad, monitoreadas.</t>
  </si>
  <si>
    <t>N° de prácticas por cuatrimestres de acuerdo a las necesidades del docente en los Laboratorio de la FCQS.</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</si>
  <si>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</si>
  <si>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Guías de prácticas                                                                       2. Registro de inducción
3. Cronograma de prácticas de laboratorio
4. Listado de prácticas de laboratorio
5. Registro de prácticas de laboratorio
6. Registro de adquisición de materiales, reactivos y equipos</t>
  </si>
  <si>
    <t>LABORATORIO DE: MICROBIOLOGÍA Y PARASITOLOGÍA                           RESPONSABLE: SILVANA GABRIELA MANZANARES LOAIZA</t>
  </si>
  <si>
    <t>840104 0701 002</t>
  </si>
  <si>
    <t>Refrigerador tipo vitrina</t>
  </si>
  <si>
    <t>Microscopio stereo</t>
  </si>
  <si>
    <t>Microscopio binocular</t>
  </si>
  <si>
    <t>Microscopio trinocular</t>
  </si>
  <si>
    <t>530829 0701 002</t>
  </si>
  <si>
    <t>ADQUISICIÓN DE MEDIOS DE CULTIVO Y COLORANTE PARA EL LABORATORIO DE MICROBIOLOGÍA Y PARASITOLOGÍA DE LA FACULTAD DE CIENCIAS QUÍMICAS Y DE LA SALUD</t>
  </si>
  <si>
    <t>84 Gestión de la vinculación con la colectividad</t>
  </si>
  <si>
    <t>530826 0701 002</t>
  </si>
  <si>
    <t>Mascarillas quirúrgicas</t>
  </si>
  <si>
    <r>
      <t xml:space="preserve">Caja x </t>
    </r>
    <r>
      <rPr>
        <sz val="10"/>
        <color rgb="FF000000"/>
        <rFont val="Century Schoolbook"/>
        <family val="1"/>
      </rPr>
      <t>50</t>
    </r>
  </si>
  <si>
    <t>Guantes de Látex Talla S</t>
  </si>
  <si>
    <r>
      <t xml:space="preserve">Caja x </t>
    </r>
    <r>
      <rPr>
        <sz val="10"/>
        <color rgb="FF000000"/>
        <rFont val="Century Schoolbook"/>
        <family val="1"/>
      </rPr>
      <t>100</t>
    </r>
  </si>
  <si>
    <t>Gorros tipo acordeon descartables</t>
  </si>
  <si>
    <t>Cubre Zapatos quirúrgicos descartables</t>
  </si>
  <si>
    <t>Pipetas Plasticas desechables gotero pasteur 1 ml</t>
  </si>
  <si>
    <r>
      <t>Paquetex</t>
    </r>
    <r>
      <rPr>
        <sz val="10"/>
        <color rgb="FF000000"/>
        <rFont val="Century Schoolbook"/>
        <family val="1"/>
      </rPr>
      <t>100</t>
    </r>
    <r>
      <rPr>
        <sz val="10"/>
        <color rgb="FF000000"/>
        <rFont val="Arial Narrow"/>
        <family val="2"/>
      </rPr>
      <t>U.</t>
    </r>
  </si>
  <si>
    <t>Lápiz graso caja</t>
  </si>
  <si>
    <r>
      <t xml:space="preserve">Caja x </t>
    </r>
    <r>
      <rPr>
        <sz val="10"/>
        <color rgb="FF000000"/>
        <rFont val="Century Schoolbook"/>
        <family val="1"/>
      </rPr>
      <t>10</t>
    </r>
  </si>
  <si>
    <t>Cubre objetos</t>
  </si>
  <si>
    <r>
      <t xml:space="preserve">Caja x </t>
    </r>
    <r>
      <rPr>
        <sz val="10"/>
        <color rgb="FF000000"/>
        <rFont val="Century Schoolbook"/>
        <family val="1"/>
      </rPr>
      <t>20</t>
    </r>
  </si>
  <si>
    <t>Porta objetos</t>
  </si>
  <si>
    <t>Tubos de vidrio de 10 mL</t>
  </si>
  <si>
    <t>Puntas de pipetas de 100 a 1000 ul</t>
  </si>
  <si>
    <r>
      <t xml:space="preserve">Bolsa x </t>
    </r>
    <r>
      <rPr>
        <sz val="10"/>
        <color rgb="FF000000"/>
        <rFont val="Century Schoolbook"/>
        <family val="1"/>
      </rPr>
      <t>500</t>
    </r>
  </si>
  <si>
    <t>Puntas de pipetas de 5 a 100 ul</t>
  </si>
  <si>
    <r>
      <t xml:space="preserve">Bolsa x </t>
    </r>
    <r>
      <rPr>
        <sz val="10"/>
        <color rgb="FF000000"/>
        <rFont val="Century Schoolbook"/>
        <family val="1"/>
      </rPr>
      <t>1000</t>
    </r>
  </si>
  <si>
    <t>Tubos de vidrio con tapa de 15 mL</t>
  </si>
  <si>
    <t>Tubos durham</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</si>
  <si>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</si>
  <si>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r>
      <t>LABORATORIO DE:</t>
    </r>
    <r>
      <rPr>
        <b/>
        <sz val="10"/>
        <color rgb="FF000000"/>
        <rFont val="Arial Narrow"/>
        <family val="2"/>
      </rPr>
      <t xml:space="preserve"> BIOQUIMICA                           RESPONSABLE: SILVANA GABRIELA MANZANARES LOAIZA  </t>
    </r>
  </si>
  <si>
    <t>840104 0701 003</t>
  </si>
  <si>
    <t>Se cambio la cantidad de equipos en funcion de la necesidad del laboratorio sin afectar el valor total de la partida $33,827,16.</t>
  </si>
  <si>
    <t>Analizador Hematologico</t>
  </si>
  <si>
    <t>Desintegrador</t>
  </si>
  <si>
    <t>Baño seco</t>
  </si>
  <si>
    <t>ADQUISICIÓN DE REACTIVOS DE USO BIOQUÍMICO PARA EL LABORATORIO DE BIOQUÍMICA DE FACULTAD DE CIENCIAS QUÍMICAS Y DE LA SALUD</t>
  </si>
  <si>
    <r>
      <t xml:space="preserve">Pipetas Plasticas desechables gotero pasteur </t>
    </r>
    <r>
      <rPr>
        <sz val="10"/>
        <color rgb="FF000000"/>
        <rFont val="Century Schoolbook"/>
        <family val="1"/>
      </rPr>
      <t>1</t>
    </r>
    <r>
      <rPr>
        <sz val="10"/>
        <color rgb="FF000000"/>
        <rFont val="Arial Narrow"/>
        <family val="2"/>
      </rPr>
      <t xml:space="preserve"> ml</t>
    </r>
  </si>
  <si>
    <r>
      <t xml:space="preserve">Paquete x </t>
    </r>
    <r>
      <rPr>
        <sz val="10"/>
        <color rgb="FF000000"/>
        <rFont val="Century Schoolbook"/>
        <family val="1"/>
      </rPr>
      <t>100</t>
    </r>
    <r>
      <rPr>
        <sz val="10"/>
        <color rgb="FF000000"/>
        <rFont val="Arial Narrow"/>
        <family val="2"/>
      </rPr>
      <t>U.</t>
    </r>
  </si>
  <si>
    <r>
      <t xml:space="preserve">Tubos de vidrio de </t>
    </r>
    <r>
      <rPr>
        <sz val="10"/>
        <color rgb="FF000000"/>
        <rFont val="Century Schoolbook"/>
        <family val="1"/>
      </rPr>
      <t>10</t>
    </r>
    <r>
      <rPr>
        <sz val="10"/>
        <color rgb="FF000000"/>
        <rFont val="Arial Narrow"/>
        <family val="2"/>
      </rPr>
      <t xml:space="preserve"> mL</t>
    </r>
  </si>
  <si>
    <r>
      <t xml:space="preserve">Puntas de pipetas de </t>
    </r>
    <r>
      <rPr>
        <sz val="10"/>
        <color rgb="FF000000"/>
        <rFont val="Century Schoolbook"/>
        <family val="1"/>
      </rPr>
      <t>100</t>
    </r>
    <r>
      <rPr>
        <sz val="10"/>
        <color rgb="FF000000"/>
        <rFont val="Arial Narrow"/>
        <family val="2"/>
      </rPr>
      <t xml:space="preserve"> a </t>
    </r>
    <r>
      <rPr>
        <sz val="10"/>
        <color rgb="FF000000"/>
        <rFont val="Century Schoolbook"/>
        <family val="1"/>
      </rPr>
      <t>1000</t>
    </r>
    <r>
      <rPr>
        <sz val="10"/>
        <color rgb="FF000000"/>
        <rFont val="Arial Narrow"/>
        <family val="2"/>
      </rPr>
      <t xml:space="preserve"> ul</t>
    </r>
  </si>
  <si>
    <r>
      <t xml:space="preserve">Puntas de pipetas de </t>
    </r>
    <r>
      <rPr>
        <sz val="10"/>
        <color rgb="FF000000"/>
        <rFont val="Century Schoolbook"/>
        <family val="1"/>
      </rPr>
      <t>5</t>
    </r>
    <r>
      <rPr>
        <sz val="10"/>
        <color rgb="FF000000"/>
        <rFont val="Arial Narrow"/>
        <family val="2"/>
      </rPr>
      <t xml:space="preserve"> a </t>
    </r>
    <r>
      <rPr>
        <sz val="10"/>
        <color rgb="FF000000"/>
        <rFont val="Century Schoolbook"/>
        <family val="1"/>
      </rPr>
      <t>100</t>
    </r>
    <r>
      <rPr>
        <sz val="10"/>
        <color rgb="FF000000"/>
        <rFont val="Arial Narrow"/>
        <family val="2"/>
      </rPr>
      <t xml:space="preserve"> ul</t>
    </r>
  </si>
  <si>
    <r>
      <t xml:space="preserve">Aguja toma multiple </t>
    </r>
    <r>
      <rPr>
        <sz val="10"/>
        <color rgb="FF000000"/>
        <rFont val="Century Schoolbook"/>
        <family val="1"/>
      </rPr>
      <t>21</t>
    </r>
    <r>
      <rPr>
        <sz val="10"/>
        <color rgb="FF000000"/>
        <rFont val="Arial Narrow"/>
        <family val="2"/>
      </rPr>
      <t>G</t>
    </r>
  </si>
  <si>
    <r>
      <t xml:space="preserve">Aguja </t>
    </r>
    <r>
      <rPr>
        <sz val="10"/>
        <color rgb="FF000000"/>
        <rFont val="Century Schoolbook"/>
        <family val="1"/>
      </rPr>
      <t>21</t>
    </r>
    <r>
      <rPr>
        <sz val="10"/>
        <color rgb="FF000000"/>
        <rFont val="Arial Narrow"/>
        <family val="2"/>
      </rPr>
      <t xml:space="preserve"> G</t>
    </r>
  </si>
  <si>
    <t>Tubos capilares con anticoagulante</t>
  </si>
  <si>
    <r>
      <t xml:space="preserve">Paquete x </t>
    </r>
    <r>
      <rPr>
        <sz val="10"/>
        <color rgb="FF000000"/>
        <rFont val="Century Schoolbook"/>
        <family val="1"/>
      </rPr>
      <t>500</t>
    </r>
  </si>
  <si>
    <t>Tubos capilares sin anticoagulante</t>
  </si>
  <si>
    <r>
      <t xml:space="preserve">Paquete x </t>
    </r>
    <r>
      <rPr>
        <sz val="10"/>
        <color rgb="FF000000"/>
        <rFont val="Century Schoolbook"/>
        <family val="1"/>
      </rPr>
      <t>501</t>
    </r>
  </si>
  <si>
    <t>Tubos descarables vacutainer con EDTA tapa lila</t>
  </si>
  <si>
    <t>Tubos descatables vacutainer con gel tapa amarilla</t>
  </si>
  <si>
    <r>
      <t xml:space="preserve">Caja x </t>
    </r>
    <r>
      <rPr>
        <sz val="10"/>
        <color rgb="FF000000"/>
        <rFont val="Century Schoolbook"/>
        <family val="1"/>
      </rPr>
      <t>101</t>
    </r>
  </si>
  <si>
    <t>Torniquetes</t>
  </si>
  <si>
    <t>Campata vacutainer</t>
  </si>
  <si>
    <t>1. Registro de inducción
2. Cronograma de prácticas de laboratorio
3. Listado de prácticas de laboratorio
4. Registro de prácticas de laboratorio
5. Registro de adquisición de materiales, reactivos y equipos
6. Listado de Estudiante Examen Complexivo  con las Dependencias NO ADEUDAR                                                                     7.Listado de Estudiante Titulación con las Dependencias NO ADEUDAR                8. Acta Institucional de constatación de bien</t>
  </si>
  <si>
    <r>
      <t xml:space="preserve">LABORATORIO DE: </t>
    </r>
    <r>
      <rPr>
        <b/>
        <sz val="10"/>
        <color rgb="FF000000"/>
        <rFont val="Arial Narrow"/>
        <family val="2"/>
      </rPr>
      <t xml:space="preserve">ANÁLISIS ORGÁNICO </t>
    </r>
    <r>
      <rPr>
        <sz val="10"/>
        <color rgb="FF000000"/>
        <rFont val="Arial Narrow"/>
        <family val="2"/>
      </rPr>
      <t xml:space="preserve">                           RESPONSABLE: </t>
    </r>
    <r>
      <rPr>
        <b/>
        <sz val="10"/>
        <color rgb="FF000000"/>
        <rFont val="Arial Narrow"/>
        <family val="2"/>
      </rPr>
      <t>GRACE LILIANA JARAMILLO PROCEL</t>
    </r>
  </si>
  <si>
    <t>BALANZA ANALÍTICA</t>
  </si>
  <si>
    <t>1. Registro de inducción
2. Cronograma de prácticas de laboratorio
3. Listado de prácticas de laboratorio
4. Registro de prácticas de laboratorio
5. Registro de adquisición de materiales, reactivos y equipos
6. Listado de Estudiante Examen Complexivo con las Dependencias NO ADEUDAR                                                               7. Listado de Estudiantes Titulación con las Dependencias NO ADEUDAR
   8. Acta Institucional de constatación de bienes.</t>
  </si>
  <si>
    <r>
      <t xml:space="preserve">LABORATORIO DE:                  </t>
    </r>
    <r>
      <rPr>
        <b/>
        <sz val="10"/>
        <color rgb="FF000000"/>
        <rFont val="Arial Narrow"/>
        <family val="2"/>
      </rPr>
      <t>I+D DE ALIMENTOS</t>
    </r>
    <r>
      <rPr>
        <sz val="10"/>
        <color rgb="FF000000"/>
        <rFont val="Arial Narrow"/>
        <family val="2"/>
      </rPr>
      <t xml:space="preserve">                           RESPONSABLE: </t>
    </r>
    <r>
      <rPr>
        <b/>
        <sz val="10"/>
        <color rgb="FF000000"/>
        <rFont val="Arial Narrow"/>
        <family val="2"/>
      </rPr>
      <t>GRACE LILIANA JARAMILLO PROCEL</t>
    </r>
  </si>
  <si>
    <t>1. Registro de inducción
2. Cronograma de prácticas de laboratorio
3. Registro de mantenimiento de equipos de laboratorio
4. Registro de prácticas de laboratorio
5. Registro de adquisición de materiales, reactivos y equipos
6. Listado de estudiantes examen complexivo y trabajo de titulación con las dependencias NO ADEUDAR.
7. Acta Institucional de constatación de bienes.</t>
  </si>
  <si>
    <r>
      <t xml:space="preserve">LABORATORIO DE: </t>
    </r>
    <r>
      <rPr>
        <b/>
        <sz val="10"/>
        <color rgb="FF000000"/>
        <rFont val="Arial Narrow"/>
        <family val="2"/>
      </rPr>
      <t xml:space="preserve">FARMACOLOGIA Y TOXICOLOGIA </t>
    </r>
    <r>
      <rPr>
        <sz val="10"/>
        <color rgb="FF000000"/>
        <rFont val="Arial Narrow"/>
        <family val="2"/>
      </rPr>
      <t xml:space="preserve">                           RESPONSABLE: </t>
    </r>
    <r>
      <rPr>
        <b/>
        <sz val="10"/>
        <color rgb="FF000000"/>
        <rFont val="Arial Narrow"/>
        <family val="2"/>
      </rPr>
      <t>ANDREA DEL ROCIO HURTADO ZAPATA</t>
    </r>
  </si>
  <si>
    <t>48261.00.1</t>
  </si>
  <si>
    <t>MICROSCOPIOS/MICROSCOPIO TRINOCULAR</t>
  </si>
  <si>
    <r>
      <t xml:space="preserve">LABORATORIO DE: </t>
    </r>
    <r>
      <rPr>
        <b/>
        <sz val="10"/>
        <color rgb="FF000000"/>
        <rFont val="Arial Narrow"/>
        <family val="2"/>
      </rPr>
      <t xml:space="preserve">AMBIENTE E INSTRUMENTAL </t>
    </r>
    <r>
      <rPr>
        <sz val="10"/>
        <color rgb="FF000000"/>
        <rFont val="Arial Narrow"/>
        <family val="2"/>
      </rPr>
      <t xml:space="preserve">                           RESPONSABLE: </t>
    </r>
    <r>
      <rPr>
        <b/>
        <sz val="10"/>
        <color rgb="FF000000"/>
        <rFont val="Arial Narrow"/>
        <family val="2"/>
      </rPr>
      <t>ANDREA DEL ROCIO HURTADO ZAPATA</t>
    </r>
  </si>
  <si>
    <t>1 POTENCIOMETRO</t>
  </si>
  <si>
    <t>1 REFRACTOMETRO</t>
  </si>
  <si>
    <r>
      <t xml:space="preserve">LABORATORIO DE: </t>
    </r>
    <r>
      <rPr>
        <b/>
        <sz val="10"/>
        <color rgb="FF000000"/>
        <rFont val="Arial Narrow"/>
        <family val="2"/>
      </rPr>
      <t xml:space="preserve">QUIMICA ANALITICA CUALITATIVA </t>
    </r>
    <r>
      <rPr>
        <sz val="10"/>
        <color rgb="FF000000"/>
        <rFont val="Arial Narrow"/>
        <family val="2"/>
      </rPr>
      <t xml:space="preserve">                           RESPONSABLE: </t>
    </r>
    <r>
      <rPr>
        <b/>
        <sz val="10"/>
        <color rgb="FF000000"/>
        <rFont val="Arial Narrow"/>
        <family val="2"/>
      </rPr>
      <t>ANDREA DEL ROCIO HURTADO ZAPATA</t>
    </r>
  </si>
  <si>
    <t>48231.00.1</t>
  </si>
  <si>
    <t>BALANZA ANALITICA</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</si>
  <si>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</si>
  <si>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usuarios internos.
2. Registro de ensayos preclínicos.
3. Listado de estudiantes exámen complexivo con las dependencias NO ADEUDAR.
4. Listado de estudiantes trabajo de titulación con las dependencias NO ADEUDAR.
5. Inventario interno de reactivos.</t>
  </si>
  <si>
    <r>
      <t xml:space="preserve">LABORATORIO: </t>
    </r>
    <r>
      <rPr>
        <sz val="10"/>
        <color rgb="FF000000"/>
        <rFont val="Arial Narrow"/>
        <family val="2"/>
      </rPr>
      <t xml:space="preserve">BIOTERIO               </t>
    </r>
    <r>
      <rPr>
        <b/>
        <sz val="10"/>
        <color rgb="FF000000"/>
        <rFont val="Arial Narrow"/>
        <family val="2"/>
      </rPr>
      <t>RESPONSABLE</t>
    </r>
    <r>
      <rPr>
        <sz val="10"/>
        <color rgb="FF000000"/>
        <rFont val="Arial Narrow"/>
        <family val="2"/>
      </rPr>
      <t>:             JEFFERSON MANUEL TOCTO LEÓN</t>
    </r>
  </si>
  <si>
    <t>Alimento balanceado para roedores</t>
  </si>
  <si>
    <r>
      <t xml:space="preserve">Sacos de </t>
    </r>
    <r>
      <rPr>
        <sz val="10"/>
        <color rgb="FF000000"/>
        <rFont val="Century Schoolbook"/>
        <family val="1"/>
      </rPr>
      <t xml:space="preserve">20 </t>
    </r>
    <r>
      <rPr>
        <sz val="10"/>
        <color rgb="FF000000"/>
        <rFont val="Arial Narrow"/>
        <family val="2"/>
      </rPr>
      <t>Kg.</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</si>
  <si>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</si>
  <si>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inducción
2. Cronograma de prácticas de laboratorio
3. Listado de prácticas de laboratorio
4. Registro de prácticas de laboratorio
5. Registro de adquisición de materiales, reactivos y equipos
6. Listado de estudiantes exámen complexivo con las dependencias NO ADEUDAR.
7. Listado de estudiantes trabajo de titulación con las dependencias NO ADEUDAR</t>
  </si>
  <si>
    <r>
      <t xml:space="preserve">LABORATORIO DE: </t>
    </r>
    <r>
      <rPr>
        <sz val="10"/>
        <color rgb="FF000000"/>
        <rFont val="Arial Narrow"/>
        <family val="2"/>
      </rPr>
      <t xml:space="preserve">TECNOLOGÍA FARMACÉUTICA             </t>
    </r>
    <r>
      <rPr>
        <b/>
        <sz val="10"/>
        <color rgb="FF000000"/>
        <rFont val="Arial Narrow"/>
        <family val="2"/>
      </rPr>
      <t>RESPONSABLE</t>
    </r>
    <r>
      <rPr>
        <sz val="10"/>
        <color rgb="FF000000"/>
        <rFont val="Arial Narrow"/>
        <family val="2"/>
      </rPr>
      <t>:             JEFFERSON MANUEL TOCTO LEÓN</t>
    </r>
  </si>
  <si>
    <r>
      <t xml:space="preserve">Mantenimiento de sistema de purificación de agua Tipo I y II, marca PURITE, modelo select fusión </t>
    </r>
    <r>
      <rPr>
        <sz val="10"/>
        <color rgb="FF000000"/>
        <rFont val="Century Schoolbook"/>
        <family val="1"/>
      </rPr>
      <t>80</t>
    </r>
    <r>
      <rPr>
        <sz val="10"/>
        <color rgb="FF000000"/>
        <rFont val="Arial Narrow"/>
        <family val="2"/>
      </rPr>
      <t>BP</t>
    </r>
  </si>
  <si>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</si>
  <si>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t>1. Registro de inducción.
2. Cronograma de prácticas de laboratorio.
3. Listado de prácticas de laboratorio.
4. Registro de prácticas de laboratorio.
5. Registro de adquisición de materiales, reactivos y equipos.
6. Listado de Estudiantes examen complexivo con las dependencias no adeudar.
7. Listado de Estudiante de titulación con las Dependencias No Adeudar.
8. Acta Institucional de Constatación de bienes</t>
  </si>
  <si>
    <r>
      <t xml:space="preserve">LABORATORIO DE: </t>
    </r>
    <r>
      <rPr>
        <b/>
        <sz val="10"/>
        <color rgb="FF000000"/>
        <rFont val="Arial Narrow"/>
        <family val="2"/>
      </rPr>
      <t>BROMATOLOGÍA</t>
    </r>
    <r>
      <rPr>
        <sz val="10"/>
        <color rgb="FF000000"/>
        <rFont val="Arial Narrow"/>
        <family val="2"/>
      </rPr>
      <t xml:space="preserve">                           RESPONSABLE: </t>
    </r>
    <r>
      <rPr>
        <b/>
        <sz val="10"/>
        <color rgb="FF000000"/>
        <rFont val="Arial Narrow"/>
        <family val="2"/>
      </rPr>
      <t>KRISTHEL MISHELLE LEÓN PELÁEZ</t>
    </r>
  </si>
  <si>
    <t>Balanza analítica</t>
  </si>
  <si>
    <t>Mufla</t>
  </si>
  <si>
    <t>Potenciometro</t>
  </si>
  <si>
    <t>Refractrometro portátil digital</t>
  </si>
  <si>
    <t>1. Registro de inducción.
2. Cronograma de prácticas de laboratorio.
3. Listado de prácticas de laboratorio.
4. Registro de prácticas de laboratorio.
5. Registro de adquisición de materiales, reactivos y equipos.
6. Listado de Estudiantes examen complexivo con las dependencias no adeudar.
7. Listado de Estudiante de titulación con las Dependencias No Adeudar.
8. Acta Institucional de Constatación de bienes.</t>
  </si>
  <si>
    <r>
      <t xml:space="preserve">LABORATORIO DE: </t>
    </r>
    <r>
      <rPr>
        <b/>
        <sz val="10"/>
        <color rgb="FF000000"/>
        <rFont val="Arial Narrow"/>
        <family val="2"/>
      </rPr>
      <t>OPERACIONES UNITARIAS</t>
    </r>
    <r>
      <rPr>
        <sz val="10"/>
        <color rgb="FF000000"/>
        <rFont val="Arial Narrow"/>
        <family val="2"/>
      </rPr>
      <t xml:space="preserve">                           RESPONSABLE: </t>
    </r>
    <r>
      <rPr>
        <b/>
        <sz val="10"/>
        <color rgb="FF000000"/>
        <rFont val="Arial Narrow"/>
        <family val="2"/>
      </rPr>
      <t>KRISTHEL MISHELLE LEÓN PELÁEZ;</t>
    </r>
    <r>
      <rPr>
        <sz val="10"/>
        <color rgb="FF000000"/>
        <rFont val="Arial Narrow"/>
        <family val="2"/>
      </rPr>
      <t xml:space="preserve"> INGRESO LABORAL A PARTIR DEL MES DE MAYO DE 2022</t>
    </r>
    <r>
      <rPr>
        <b/>
        <sz val="10"/>
        <color rgb="FF000000"/>
        <rFont val="Arial Narrow"/>
        <family val="2"/>
      </rPr>
      <t xml:space="preserve"> </t>
    </r>
  </si>
  <si>
    <t>1 Balanza analítica</t>
  </si>
  <si>
    <t>1.- Ejecutar y  supervisar actividades y demás trabajos que se realizan en el laboratorio.
 2.- Asesorar el uso de materiales, reactivos y equipos para prácticas afines al laboratorio. 
 3. Solicitar a las bodegas correspondientes materiales y reactivos,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y reactivos a su cargo.
7.- Controlar y realizar los inventarios de equipos, material, reactivos, insumos y bienes del laboratorio</t>
  </si>
  <si>
    <r>
      <t xml:space="preserve">LABORATORIO DE:  </t>
    </r>
    <r>
      <rPr>
        <b/>
        <sz val="10"/>
        <color rgb="FF000000"/>
        <rFont val="Arial Narrow"/>
        <family val="2"/>
      </rPr>
      <t>QUÍMICA ANALÍTICA CUANTITATIVA</t>
    </r>
    <r>
      <rPr>
        <sz val="10"/>
        <color rgb="FF000000"/>
        <rFont val="Arial Narrow"/>
        <family val="2"/>
      </rPr>
      <t xml:space="preserve">                           RESPONSABLE: </t>
    </r>
    <r>
      <rPr>
        <b/>
        <sz val="10"/>
        <color rgb="FF000000"/>
        <rFont val="Arial Narrow"/>
        <family val="2"/>
      </rPr>
      <t>KRISTHEL MISHELLE LEÓN PELÁEZ</t>
    </r>
  </si>
  <si>
    <t>1.- Ejecutar y  supervisar actividades y demás trabajos que se realizan en el laboratorio.
2. Dar mantenimiento preventivo y correctivos a los equipos, de acuerdo al Plan semestral institucional.
3. Brindar asesoramiento a usuarios internos y externos del Laboratorio de Informática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7.- Controlar y realizar los inventarios de equipos y bienes del laboratorio.</t>
  </si>
  <si>
    <t>1. Horarios                                                                       2. Registro asistencia de usuarios
3. Cronograma de actividades
4. Solicitudes para uso de laboratorio por instituciones internas y externas</t>
  </si>
  <si>
    <r>
      <t xml:space="preserve">LABORATORIO DE: </t>
    </r>
    <r>
      <rPr>
        <b/>
        <sz val="10"/>
        <color rgb="FF000000"/>
        <rFont val="Arial Narrow"/>
        <family val="2"/>
      </rPr>
      <t>COMPUTACIÓN</t>
    </r>
    <r>
      <rPr>
        <sz val="10"/>
        <color rgb="FF000000"/>
        <rFont val="Arial Narrow"/>
        <family val="2"/>
      </rPr>
      <t xml:space="preserve">            RESPONSABLE: </t>
    </r>
    <r>
      <rPr>
        <b/>
        <sz val="10"/>
        <color rgb="FF000000"/>
        <rFont val="Arial Narrow"/>
        <family val="2"/>
      </rPr>
      <t>JOHN ORELLANA PRECIADO</t>
    </r>
  </si>
  <si>
    <t>1.- Ejecutar y  supervisar actividades y demás trabajos que se realizan en el laboratorio.
2.- Asesorar el uso de materiales y equipos para prácticas afines al laboratorio.
3.  Validar y emitir certificados de NO ADEUDAR al laboratorio
4.- Controlar el buen funcionamiento del laboratorio y el cumplimiento de los reglamentos, normas y procedimientos correspondientes.
5.- Controlar el correcto uso por parte de usuarios y estudiantes y realizar el mantenimiento de laboratorio, equipos, materiales a su cargo.
6.- Controlar y realizar los inventarios de equipos, material, insumos y bienes del laboratorio.</t>
  </si>
  <si>
    <t>1. Registro de inducción
2. Cronograma de prácticas de laboratorio
3. Listado de prácticas de laboratorio
4. Registro de prácticas de laboratorio
5. Listado de estudiantes examen complexivo con las dependencias NO adeudar
6. Listado de estudiantes trabajo de titulación con las dependencias NO adeuda</t>
  </si>
  <si>
    <t>LABORATORIO: ANFITEATRO           RESPONSABLE:  JUAN CARLOS PILALOA</t>
  </si>
  <si>
    <r>
      <t xml:space="preserve">Mantenimiento de Refrigerador </t>
    </r>
    <r>
      <rPr>
        <sz val="10"/>
        <color rgb="FF000000"/>
        <rFont val="Century Schoolbook"/>
        <family val="1"/>
      </rPr>
      <t>4</t>
    </r>
    <r>
      <rPr>
        <sz val="10"/>
        <color rgb="FF000000"/>
        <rFont val="Arial Narrow"/>
        <family val="2"/>
      </rPr>
      <t xml:space="preserve"> cuerpos para cadaver</t>
    </r>
  </si>
  <si>
    <t>Insumos médicos hospitalarios (batas)</t>
  </si>
  <si>
    <r>
      <t xml:space="preserve">Funda x </t>
    </r>
    <r>
      <rPr>
        <sz val="10"/>
        <color rgb="FF000000"/>
        <rFont val="Century Schoolbook"/>
        <family val="1"/>
      </rPr>
      <t>5</t>
    </r>
    <r>
      <rPr>
        <sz val="10"/>
        <color rgb="FF000000"/>
        <rFont val="Arial Narrow"/>
        <family val="2"/>
      </rPr>
      <t xml:space="preserve"> unidades</t>
    </r>
  </si>
  <si>
    <t>Insumos médicos hospitalarios (gorros)</t>
  </si>
  <si>
    <r>
      <t xml:space="preserve">Funda x </t>
    </r>
    <r>
      <rPr>
        <sz val="10"/>
        <color rgb="FF000000"/>
        <rFont val="Century Schoolbook"/>
        <family val="1"/>
      </rPr>
      <t>100</t>
    </r>
    <r>
      <rPr>
        <sz val="10"/>
        <color rgb="FF000000"/>
        <rFont val="Arial Narrow"/>
        <family val="2"/>
      </rPr>
      <t xml:space="preserve"> unidades</t>
    </r>
  </si>
  <si>
    <t>Insumos médicos hospitalarios (cubre zapatos quirúrgicos)</t>
  </si>
  <si>
    <r>
      <t xml:space="preserve">Funda x </t>
    </r>
    <r>
      <rPr>
        <sz val="10"/>
        <color rgb="FF000000"/>
        <rFont val="Century Schoolbook"/>
        <family val="1"/>
      </rPr>
      <t>10</t>
    </r>
    <r>
      <rPr>
        <sz val="10"/>
        <color rgb="FF000000"/>
        <rFont val="Arial Narrow"/>
        <family val="2"/>
      </rPr>
      <t xml:space="preserve"> pares</t>
    </r>
  </si>
  <si>
    <t>Insumos médicos hospitalarios (mascarillas tiras tamaño estandar)</t>
  </si>
  <si>
    <r>
      <t xml:space="preserve">Caja x </t>
    </r>
    <r>
      <rPr>
        <sz val="10"/>
        <color rgb="FF000000"/>
        <rFont val="Century Schoolbook"/>
        <family val="1"/>
      </rPr>
      <t>50</t>
    </r>
    <r>
      <rPr>
        <sz val="10"/>
        <color rgb="FF000000"/>
        <rFont val="Arial Narrow"/>
        <family val="2"/>
      </rPr>
      <t xml:space="preserve"> unidades</t>
    </r>
  </si>
  <si>
    <t>ADQUISICIÓN DE COMPUTADORA DE ESCRITORIO E IMPRESORAS PARA LA FCQS.</t>
  </si>
  <si>
    <t>LABORATORIO DE: HISTOLOGÍA           RESPONSABLE: JUAN CARLOS PILALOA</t>
  </si>
  <si>
    <t>MICROSCOPIO BINOCULAR</t>
  </si>
  <si>
    <t>Sustituto del xilo</t>
  </si>
  <si>
    <t>Litros</t>
  </si>
  <si>
    <t>Insumos médicos hospitalarios (batas).</t>
  </si>
  <si>
    <r>
      <t xml:space="preserve">Funda x </t>
    </r>
    <r>
      <rPr>
        <sz val="10"/>
        <color rgb="FF000000"/>
        <rFont val="Century Schoolbook"/>
        <family val="1"/>
      </rPr>
      <t xml:space="preserve">5 </t>
    </r>
    <r>
      <rPr>
        <sz val="10"/>
        <color rgb="FF000000"/>
        <rFont val="Arial Narrow"/>
        <family val="2"/>
      </rPr>
      <t>unidades</t>
    </r>
  </si>
  <si>
    <t>Insumos médicos hospitalarios (gorros).</t>
  </si>
  <si>
    <t>Insumos médicos hospitalarios (cubre zapatos quirúrgicos).</t>
  </si>
  <si>
    <t>juegos de placas de tejidos animal y vegetal</t>
  </si>
  <si>
    <t>Insumos médicos hospitalarios (mascarillas tiras tamaño estandar).</t>
  </si>
  <si>
    <t>1. Registro de inducción
2. Cronograma de prácticas de laboratorio
3. Listado de prácticas de laboratorio
4. Registro de prácticas de laboratorio
5. Listado de estudiantes examen complexivo con las dependencias NO adeudar
6. Listado de estudiantes trabajo de titulación con las dependencias NO adeudar</t>
  </si>
  <si>
    <t>LABORATORIO DE: SIMULACIÓN           RESPONSABLE: JUAN CARLOS PILALOA</t>
  </si>
  <si>
    <t>840104 0701</t>
  </si>
  <si>
    <t>Simulador de Parto</t>
  </si>
  <si>
    <t>530826 0701</t>
  </si>
  <si>
    <t>1.- Ejecutar y  supervisar actividades y demás trabajos que se realizan en el laboratorio.
2.Asesorar el uso de materiales, insumos y equipos para practicas afines al laboratorio.
3.Solicitar materiales y reactivos a las bodegas correspondientes para prácticas afines de laboratorio.
4. Validar y emitir certificados de NO ADEUDAR al laboratorio.
5. Supervisar y Controlar el buen funcionamiento de laboratorio, el cumplimiento de reglamentos, normas y procedimientos.
6. Supervisar y controlar los bienes de Laboratorio , materiales e insumos.</t>
  </si>
  <si>
    <t>1. Registro de Prácticas
2. Cronograma de prácticas de laboratorio
3. Listado de prácticas de laboratorio
4. Inventario actualizado
5. Registro de adquisición de materiales, reactivos y equipos
6. Listado De Estudiantes atendidos con el certificado de  NO ADEUDAR</t>
  </si>
  <si>
    <t>Lab Procesamiento de Alimentos #1
Tgo. Luis Carpio</t>
  </si>
  <si>
    <t>530812 0701 003</t>
  </si>
  <si>
    <t>Materiales didácticos</t>
  </si>
  <si>
    <t>SERVICIOS INDUSTRIALES DE SUSTANCIAS Y PRODUCTOS QUIMICOS(SORBATO DE SODIO)</t>
  </si>
  <si>
    <t>KG</t>
  </si>
  <si>
    <t>SERVICIOS INDUSTRIALES DE SUSTANCIAS Y PRODUCTOS QUIMICOS(ERITORBATO)</t>
  </si>
  <si>
    <t>SERVICIOS INDUSTRIALES DE SUSTANCIAS Y PRODUCTOS QUIMICOS(BENZOATO DE SODIO)</t>
  </si>
  <si>
    <t>SERVICIOS INDUSTRIALES DE SUSTANCIAS Y PRODUCTOS QUIMICOS(METABISULFITO )</t>
  </si>
  <si>
    <t>ETERES DE CELULOSA: CARBOXIMETILCELULOSA Y SUS SALES, METILCELULOSA, BENCILCELULOSA, HIDROXIETILCELULOSA EN FORMAS PRIMARIAS, ETC.</t>
  </si>
  <si>
    <t>MATERIAS PEPTICAS, PECTINA TOS Y PECTATOS</t>
  </si>
  <si>
    <t>SABORIZANTE-CARAMELO</t>
  </si>
  <si>
    <t>LT</t>
  </si>
  <si>
    <t>SABORIZANTE-CHOCOLATE</t>
  </si>
  <si>
    <t>SABORIZANTE-FRESA</t>
  </si>
  <si>
    <t>LTS</t>
  </si>
  <si>
    <t>SABORIZANTE-MANTEQUILLA</t>
  </si>
  <si>
    <t>SABORIZANTE-VAINILLA</t>
  </si>
  <si>
    <t>SABORIZANTE-PIÑA</t>
  </si>
  <si>
    <t>SABORIZANTE-MELOCOTON</t>
  </si>
  <si>
    <t>SERVICIOS INDUSTRIALES DE SUSTANCIAS Y PRODUCTOS QUIMICOS(GOMA XANTANA )</t>
  </si>
  <si>
    <t>SERVICIOS INDUSTRIALES DE SUSTANCIAS Y PRODUCTOS QUIMICOS(COLORANTE AMARILLO ALIMENTOS )</t>
  </si>
  <si>
    <t>SERVICIOS INDUSTRIALES DE SUSTANCIAS Y PRODUCTOS QUIMICOS(COLORANTE ROJO ALIMENTOS )</t>
  </si>
  <si>
    <t>530812 0701 001</t>
  </si>
  <si>
    <t>SERVICIOS INDUSTRIALES DE SUSTANCIAS Y PRODUCTOS QUIMICOS (CULTIVO PARA YOGURT)</t>
  </si>
  <si>
    <t>Sobres</t>
  </si>
  <si>
    <t>531406 0701 002</t>
  </si>
  <si>
    <t>BALANZA DIGITAL PORTATIL (gramera de cocina)</t>
  </si>
  <si>
    <t>1.- Ejecutar y  supervisar actividades y demás trabajos que se realizan en el laboratorio.
2.- Asesorar el uso de materiales y equipos para prácticas afines al laboratorio.
3. Solicitar a las bodegas correspondientes materiales,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a su cargo.
7.- Controlar y realizar los inventarios de equipos, material, insumos y bienes del laboratorio.</t>
  </si>
  <si>
    <t>Laboratorio de Procesamiento de Alimentos 2  . Tgo.Luis Alberto Carpio F</t>
  </si>
  <si>
    <t>CONDIMENTO COMPLETO
(SAZONADORES jamon)</t>
  </si>
  <si>
    <t>Kg</t>
  </si>
  <si>
    <t>CONDIMENTO COMPLETO
(SAZONADORES Mortadela)</t>
  </si>
  <si>
    <t>CONDIMENTO COMPLETO (SAZONADORES Chorizo Parrillero)</t>
  </si>
  <si>
    <t>CONDIMENTO COMPLETO (SAZONADORES Chorizo de Ternera)</t>
  </si>
  <si>
    <t>CONDIMENTO COMPLETO(SAZONADORES Salchicha Frankfurt)</t>
  </si>
  <si>
    <t>CONDIMENTO COMPLETO(SAZONADORES Salchicha Pollo)</t>
  </si>
  <si>
    <t>TRIPAS ARTIFICIALES ( FUNDAS PARA SALCHICHAS) DE PROTEINA, ENDURECIDA O DE MATERIALES CELULOSICOS:
FUNDAS DE SALCHICHAS Y TRIPAS ARTIFICIALES DE MATERIALES CELULOSICOS
(TRIPÁ COLAGENO PARA CHORIZO CALIBRE 28 TUBOS DE 15 MTS)</t>
  </si>
  <si>
    <t>Tiras</t>
  </si>
  <si>
    <t>TRIPAS ARTIFICIALES ( FUNDAS PARA SALCHICHAS) DE PROTEINA, ENDURECIDA O DE MATERIALES CELULOSICOS: FUNDAS DE SALCHICHAS Y TRIPAS ARTIFICIALES DE MATERIALES CELULOSICOS (TRIPA PARA MORTADELA CALIBRE 70)</t>
  </si>
  <si>
    <t>Mts</t>
  </si>
  <si>
    <t>TRIPAS ARTIFICIALES ( FUNDAS PARA SALCHICHAS) DE PROTEINA, ENDURECIDA O DE MATERIALES CELULOSICOS: FUNDAS DE SALCHICHAS Y TRIPAS ARTIFICIALES DE MATERIALES CELULOSICOS(TRIPA PLASTICA PARA SALCHICHA CALIBRE 19 TIRAS DE 15 MTS)</t>
  </si>
  <si>
    <t>TRIPAS ARTIFICIALES ( FUNDAS PARA SALCHICHAS) DE PROTEINA, ENDURECIDA O DE MATERIALES CELULOSICOS: FUNDAS DE SALCHICHAS Y TRIPAS ARTIFICIALES DE MATERIALES CELULOSICOS(TRIPA PLASTICA PARA JAMON COCIDO CALIBRE 160 )</t>
  </si>
  <si>
    <t>84 Gestión de la Vinculación con la Colectividad</t>
  </si>
  <si>
    <t>AISLADOS DE PROTEINA(PROTEINA AISLADA DE SOYA)</t>
  </si>
  <si>
    <t>SERVICIOS INDUSTRIALES DE SUSTANCIAS Y PRODUCTOS QUIMICOS (NITRITO DE SODIO)</t>
  </si>
  <si>
    <t>ACIDO ASCORBICO (VITAMINA C)</t>
  </si>
  <si>
    <t>ACIDO CITRICO</t>
  </si>
  <si>
    <t>TRIFOSFATOS DE SODIO</t>
  </si>
  <si>
    <t>SERVICIOS GENERALES DE REPARACION Y MANTENIMIENTO</t>
  </si>
  <si>
    <t>Servicios</t>
  </si>
  <si>
    <t>1.- Ejecutar y  supervisar actividades y demás trabajos que se realizan en el laboratorio.
2.- Asesorar el uso de materiales y equipos para prácticas afines al laboratorio.
3. Solicitar a las bodegas correspondientes materiales, para prácticas afines al laboratorio
4. Validar y emitir certificados de NO ADEUDAR al laboratorio
5.- Controlar el buen funcionamiento del laboratorio y el cumplimiento de los reglamentos, normas y procedimientos correspondientes.
6.- Controlar el correcto uso por parte de usuarios y estudiantes y realizar el mantenimiento de laboratorio, equipos, materiales a su cargo.
7.- Controlar y realizar los inventarios de equipos, material, insumos y bienes del laboratorio.</t>
  </si>
  <si>
    <t>1. Registro de inducción
2. Cronograma de prácticas de laboratorio
3. Listado de prácticas de laboratorio
4. Registro de prácticas de laboratorio
5. Registro de adquisición de materiales y equipos
6. Listado de estudiantes exámen complexivo y trabajo de titulación con las dependencias NO ADEUDAR.</t>
  </si>
  <si>
    <t>Juana Camacho R.
Técnico de Laboratorio de Enfermería Materno Infantil.</t>
  </si>
  <si>
    <t>Maniquí completo para cuidado de paciente recien nacido</t>
  </si>
  <si>
    <t>ADQUISICIÓN DE BALANZA DIGITAL CON TALLÍMETRO PEDIÁTRICA Y BALANZA DIGITAL CON TALLÍMETRO PARA ADULTO, PARA LOS
LABORATORIOS DE LA CARRERA DE ENFERMERÍA DE LA FCQS</t>
  </si>
  <si>
    <t>Juana Camacho R.
Técnico de Laboratorio de Enfermería Básica</t>
  </si>
  <si>
    <t>Equipos Médicos</t>
  </si>
  <si>
    <t>Tensiometro</t>
  </si>
  <si>
    <t>Maniquí para el cuidado básico del paciente</t>
  </si>
  <si>
    <r>
      <t xml:space="preserve">Cilindro de oxigeno de </t>
    </r>
    <r>
      <rPr>
        <sz val="10"/>
        <color theme="1"/>
        <rFont val="Century Schoolbook"/>
        <family val="1"/>
      </rPr>
      <t>2</t>
    </r>
    <r>
      <rPr>
        <sz val="10"/>
        <color theme="1"/>
        <rFont val="Arial Narrow"/>
        <family val="2"/>
      </rPr>
      <t xml:space="preserve"> metros cubicos color verde</t>
    </r>
  </si>
  <si>
    <t>1. Registro de inducción
2. Cronograma de prácticas de laboratorio
3. Listado de prácticas de laboratorio
4. Registro de prácticas de laboratorio
5. Registro de adquisición de materiales y equipos
6. Listado de estudiantes de titulación con la dependencia de no adeudar.</t>
  </si>
  <si>
    <t>Juana Camacho R.
Técnico de Laboratorio de Enfermería Clínico Quirúrgico.</t>
  </si>
  <si>
    <r>
      <rPr>
        <sz val="10"/>
        <color rgb="FF000000"/>
        <rFont val="Arial Narrow"/>
        <family val="2"/>
      </rPr>
      <t xml:space="preserve">1 Silla de rueda </t>
    </r>
    <r>
      <rPr>
        <sz val="10"/>
        <color rgb="FF000000"/>
        <rFont val="Century Schoolbook"/>
        <family val="1"/>
      </rPr>
      <t>14</t>
    </r>
    <r>
      <rPr>
        <sz val="10"/>
        <color rgb="FF000000"/>
        <rFont val="Arial Narrow"/>
        <family val="2"/>
      </rPr>
      <t xml:space="preserve"> pulgadas</t>
    </r>
  </si>
  <si>
    <t>N° de pedidos  por cuatrimestres de acuerdo a las necesidades de los técnicos y docentes de la FCQS</t>
  </si>
  <si>
    <t>1. Controlar y realizar el inventario de reactivos de la Bodega General de Reactivos.
2. Recibir y despachar los reactivos, sustancias solicitados por los técnicos, docentes de la UTMACH.
3. Validar y emitir certificados de NO ADEUDAR al laboratorio.</t>
  </si>
  <si>
    <t>1. Registro de adquisición de materiales, equipos y reactivos.
2. Listado de estudiantes exámen complexivo con las dependencias NO ADEUDAR.
3. Listado de estudiantes trabajo de titulación con las dependencias NO ADEUDAR.
4. Inventario interno de reactivos</t>
  </si>
  <si>
    <t>JEFFERSON MANUEL TOCTO LEÓN
Técnico de Laboratorio
Bodega General de Reactivos</t>
  </si>
  <si>
    <t>34230.21.1</t>
  </si>
  <si>
    <t>ADQUISICIÓN DE REACTIVOS QUÍMICOS, PARA LOS LABORATORIOS DE LA FACULTAD DE CIENCIAS QUÍMICAS Y DE LA SALUD DE LA</t>
  </si>
  <si>
    <t>N° de pedidos  por cuatrimestres de acuerdo a las necesidades de los Técnicos y Docente de los laboratorios de la FCQS</t>
  </si>
  <si>
    <t>1.- Controlar y realizar el inventario de materiales de la Bodega General de Materiales.
2.- Recibir y despachar los materiales solicitados por los Técnicos y Docentes de la FCQS.
3.- Validar y emitir certificados de NO ADEUDAR al laboratorio</t>
  </si>
  <si>
    <t>1.- Registro de Adquisición de materiales, equipos y reactivos.
2.- Listado de estudiantes examen complexivo con las dependencias NO ADEUDAR.
3.-Listado de Estudiantes Titulación con las Dependencias NO ADEUDAR                                                               4.- Inventario interno de materiales.</t>
  </si>
  <si>
    <t>GRACE LILIANA JARAMILLO PROCEL ADMINISTRADOR  DE LABORATORIO (BODEGA DE MATERIALES)</t>
  </si>
  <si>
    <r>
      <t>7.-</t>
    </r>
    <r>
      <rPr>
        <sz val="10"/>
        <color rgb="FF000000"/>
        <rFont val="Arial Narrow"/>
        <family val="2"/>
      </rPr>
      <t xml:space="preserve"> Emitir documentos de planificación académica y curricular.</t>
    </r>
  </si>
  <si>
    <t>Nº de planificaciones académicas coordinadas segùn el Modelo Genèrico de Evaluaciòn del Entorno de Aprendizaje de Carreras</t>
  </si>
  <si>
    <t>1.- Coordinar la presentación de la planificación académica de acuerdo al Modelo Genèrico de Evaluaciòn del Entorno de Aprendizaje de Carreras</t>
  </si>
  <si>
    <t xml:space="preserve"> Reporte de planificaciones académicas - curriculares presentadas.</t>
  </si>
  <si>
    <t>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Dr. Víctor Hugo Gonzalez, Coordinador Académico
Lcda.Priscila Illescas, Analista Academico</t>
  </si>
  <si>
    <r>
      <t>8.-</t>
    </r>
    <r>
      <rPr>
        <sz val="10"/>
        <color rgb="FF000000"/>
        <rFont val="Arial Narrow"/>
        <family val="2"/>
      </rPr>
      <t xml:space="preserve"> Coordinar el logro de resultados o avances de procesos académicos, de Investigación y de vinculación con la sociedad.</t>
    </r>
  </si>
  <si>
    <t>Procesos académicos de docencia, investigación y vinculación con la sociedad, coordinados</t>
  </si>
  <si>
    <t>1.- Asignar horas de docencia, investigación y de vinculación en el Distributivo Académico de acuerdo a las sugerencias de las Direcciones correspondientes y al Reglamento de Carrera y Escalafón.
 2.- Solicitar los informes de resultados o avances de los proyectos de investigación y vinculación con la sociedad en ejecución, y el cumplimiento de las actividades académicas de docencia.</t>
  </si>
  <si>
    <t>Ing.Jonathan Aguilar Alvarado, Subdecano
Dra. Thayana Núñez Quezada, Coordinadora de la Carrera Bioquímica y Farmacia
Lcda. Sara Saraguro Salinas, Coordinadora de la Carrera Enfermería.
Ing. Verónica Bravo Bravo, Coordinadora de la Carrera de Alimentos-Ingeniería en Alimentos
Ing. Katty Gadvay Yambay,
Dr. Franklin Paladines Figueroa, Coordinador de la Carrera de Medicina-Ciencias Médicas
Lcda.Priscila Illescas, Analista Académico</t>
  </si>
  <si>
    <r>
      <t>9.-</t>
    </r>
    <r>
      <rPr>
        <sz val="10"/>
        <color rgb="FF000000"/>
        <rFont val="Arial Narrow"/>
        <family val="2"/>
      </rPr>
      <t xml:space="preserve"> Evaluar al personal administrativo bajo su responsabilidad.</t>
    </r>
  </si>
  <si>
    <t>Nº de personal administrativo evaluado</t>
  </si>
  <si>
    <t>1.- Evaluar al personal administrativo bajo la dependencia del Subdecanato en la plataforma SIITH del Ministerio de Trabajo.</t>
  </si>
  <si>
    <t>1.- Formulario de Evaluaciòn aplicado.</t>
  </si>
  <si>
    <t>Ing. Jonathan Aguilar Alvarado
Subdecano</t>
  </si>
  <si>
    <r>
      <t>10.-</t>
    </r>
    <r>
      <rPr>
        <sz val="10"/>
        <color rgb="FF000000"/>
        <rFont val="Arial Narrow"/>
        <family val="2"/>
      </rPr>
      <t xml:space="preserve"> Coordinar el Proceso referente a las pasantías y prácticas pre-profesionales de las y los estudiantes de las carreras de pregrado.</t>
    </r>
  </si>
  <si>
    <t>Nº de planes de pasantías y prácticas pre-profesionales de las carreras de pregrado aprobados</t>
  </si>
  <si>
    <t>1.- Coordinar las prácticas de vinculación y pasantías preprofesionales con los colectivos académicos, en coordinación con el VINCOPP.</t>
  </si>
  <si>
    <t>1.-  Planificaciones de pasantías y prácticas pre-profesionales de las carreras de pregrado.</t>
  </si>
  <si>
    <r>
      <t>11.-</t>
    </r>
    <r>
      <rPr>
        <sz val="10"/>
        <color rgb="FF000000"/>
        <rFont val="Arial Narrow"/>
        <family val="2"/>
      </rPr>
      <t xml:space="preserve"> Controlar la ejecución de los procesos de titulación.</t>
    </r>
  </si>
  <si>
    <t xml:space="preserve">Nº de reportes de los procesos de titulación controlados. </t>
  </si>
  <si>
    <t>1.- Solicitar y/o receptar reportes de los procesos de titulación a la UMMOG.</t>
  </si>
  <si>
    <t>1.- Reportes de los procesos de titulación.
2.- Cronograma del proceso de titulaciòn.
3.- Resoluciones adoptadas por Comisiòn Acadèmica de asignaciòn de tutores y comitè evaluador.</t>
  </si>
  <si>
    <r>
      <t>12.-</t>
    </r>
    <r>
      <rPr>
        <sz val="10"/>
        <color rgb="FF000000"/>
        <rFont val="Arial Narrow"/>
        <family val="2"/>
      </rPr>
      <t xml:space="preserve"> Ejecutar el proceso de evaluación integral del desempeño docente de acuerdo a las directrices emitidas a nivel institucional.</t>
    </r>
  </si>
  <si>
    <t xml:space="preserve">Nº de evaluaciones integrales del desempeño docente de acuerdo a las directrices emitidas a nivel institucional ejecutadas. </t>
  </si>
  <si>
    <t>1.- Elaborar cronogramas  para llevar a cabo el proceso de evaluaciòn integral del desempeño docente.
2.- Aprobar la matriz de Comisiones para el proceso de evaluaciòn integral del desempeño docente.</t>
  </si>
  <si>
    <r>
      <t>13.-</t>
    </r>
    <r>
      <rPr>
        <sz val="10"/>
        <color rgb="FF000000"/>
        <rFont val="Arial Narrow"/>
        <family val="2"/>
      </rPr>
      <t xml:space="preserve"> Supervisar actividades académicas que se realizan en los diferentes laboratorios, aulas, salas tics y unidades académicas experimentales de las Facultades.</t>
    </r>
  </si>
  <si>
    <t>Se repite con la Meta N° 6 y 13</t>
  </si>
  <si>
    <r>
      <t xml:space="preserve">14.- </t>
    </r>
    <r>
      <rPr>
        <sz val="10"/>
        <color rgb="FF000000"/>
        <rFont val="Arial Narrow"/>
        <family val="2"/>
      </rPr>
      <t>Coordinar las actividades culturales, deportivas, sociales, y proyectos de responsabilidad social e influencia en políticas públicas.</t>
    </r>
  </si>
  <si>
    <t>Actividades culturales, deportivas, sociales, y proyectos de responsabilidad social e influencia en las políticas públicas coordinadas.</t>
  </si>
  <si>
    <t>1.- Coordinar la presentación de proyectos que contengan actividades culturales, deportivas, sociales y proyectos de responsabilidad social e influencia en políticas públicas</t>
  </si>
  <si>
    <t>1.- Resoluciones de aprobación de proyectos que contengan actividades culturales, deportivas, sociales y proyectos de responsabilidad social e influencia en políticas públicas</t>
  </si>
  <si>
    <r>
      <t>15.-</t>
    </r>
    <r>
      <rPr>
        <sz val="10"/>
        <color rgb="FF000000"/>
        <rFont val="Arial Narrow"/>
        <family val="2"/>
      </rPr>
      <t xml:space="preserve"> Conocer y atender los requerimientos estudiantiles respecto al área académica y docente.</t>
    </r>
  </si>
  <si>
    <t>Nº de requerimientos estudiantiles respecto al área académica y docente conocidos y atendidos</t>
  </si>
  <si>
    <t>1.- Receptar requerimientos estudiantiles.
2.- Tramitar requerimientos estudiantiles.</t>
  </si>
  <si>
    <t>1.- Reporte de requerimientos estudiantiles atendidos.</t>
  </si>
  <si>
    <r>
      <t>16.-</t>
    </r>
    <r>
      <rPr>
        <sz val="10"/>
        <color rgb="FF000000"/>
        <rFont val="Arial Narrow"/>
        <family val="2"/>
      </rPr>
      <t xml:space="preserve"> Presentar las Planificaciones Operativas Anuales y las Evaluaciones de las Planificaciones Operativas Anuales.</t>
    </r>
  </si>
  <si>
    <t>N° de planificaciones Operativas Anuales y Evaluaciones del POA entregadas</t>
  </si>
  <si>
    <t>1. Elaborar la Planificación Operativa Anual 2024
2. Efectuar el seguimientos a las planificaciones operativa de Secretaría.
3. Realizar la evaluación al POA 2023
4 . Remitir al Decano el POA y su Evaluación.</t>
  </si>
  <si>
    <t>1.- POA 2024
2.- Evaluación del POA 2023</t>
  </si>
  <si>
    <t>Ing. Jonathan Aguilar Alvarado
Lcda. Priscila Illescas</t>
  </si>
  <si>
    <r>
      <t>17.-</t>
    </r>
    <r>
      <rPr>
        <sz val="10"/>
        <color rgb="FF000000"/>
        <rFont val="Arial Narrow"/>
        <family val="2"/>
      </rPr>
      <t xml:space="preserve"> Organizar el Archivo de Gestión.</t>
    </r>
  </si>
  <si>
    <t xml:space="preserve">
Lcda.Priscila Illescas
Analista Acdemico</t>
  </si>
  <si>
    <t>TOTAL PRESUPUESTO ESTIMATIVO DEL SUBDECANATO 2022:</t>
  </si>
  <si>
    <t>MATRICULADOS SEGÚN AUTOIDENTIFICACIÓN ÉTNICA</t>
  </si>
  <si>
    <r>
      <t>METAS OPERATIVAS
1.-</t>
    </r>
    <r>
      <rPr>
        <sz val="10"/>
        <color rgb="FF000000"/>
        <rFont val="Arial Narrow"/>
        <family val="2"/>
      </rPr>
      <t xml:space="preserve"> Coordinar y ejecutar los Procesos de Matriculación.</t>
    </r>
  </si>
  <si>
    <t>N° de procesos de matriculación coordinados y ejecutados</t>
  </si>
  <si>
    <t>1.- Coordinar y planificar el proceso de matrícula a nivel de facultad.
2.- Revisar requisitos, cartilla y datos cargados en el SIUTMACH.
3.- Validar las matrículas de los estudiantes.
4.- Seleccionar fecha de inicio de estudios de expedientes históricos.
5.- Generar la matrícula y orden de pago de los estudiantes con menos
     del 60%, tercera matricula, matricula especial, plan de reingreso.
6.- Revisar curso, cupo y paralelo en períodos de matrículas.
7.- Crear registros de carrera de expedientes históricos.
8.- Actualizar datos en el SIUTMACH.
9.- Anular órdenes de pago en el SIUTMACH.
10.- Anular matrículas aprobadas por Consejo Universitario.
11- Atender a usuarios internos y externos.</t>
  </si>
  <si>
    <t xml:space="preserve">1.- Reporte de estudiantes matriculados. </t>
  </si>
  <si>
    <t>Ing. Alicia Riera Flores,Mg.Sc.
JEFA DE UMMOG FCQS
Lic. Jessenia Aguayo Mora,
ANALISTA UMMOG FCQS
Ing. Kleber Cedillo Montes,
ANALISTA ESTADÍSTICA-UMMOG</t>
  </si>
  <si>
    <r>
      <t>2.-</t>
    </r>
    <r>
      <rPr>
        <sz val="10"/>
        <color rgb="FF000000"/>
        <rFont val="Arial Narrow"/>
        <family val="2"/>
      </rPr>
      <t xml:space="preserve"> Ejecutar y validar los cambios de paralelos, cambios de sección y retiros de carrera y/o asignaturas autorizados por el Consejo Directivo.</t>
    </r>
  </si>
  <si>
    <t>1.- Cambiar paralelos y sección autorizados por Consejo Directivo.
2.- Retirar asignaturas aprobados por Consejo Directivo.
3.- Cambiar el estado de activo a inactivo y/o retirado aprobados por
    Consejo Directivo.</t>
  </si>
  <si>
    <t xml:space="preserve">1.- Reporte de estudiantes con retiro de asignaturas,
     cambio de paralelo, estado inactivo o retiro de
     carrera, autorizados por Consejo Directivo. </t>
  </si>
  <si>
    <r>
      <t>3.-</t>
    </r>
    <r>
      <rPr>
        <sz val="10"/>
        <color rgb="FF000000"/>
        <rFont val="Arial Narrow"/>
        <family val="2"/>
      </rPr>
      <t xml:space="preserve"> Coordinar y Ejecutar los Procesos de Movilidad.</t>
    </r>
  </si>
  <si>
    <t>N° de solicitudes de movilidad para la elaboración del Informe de Reconocimiento u Homologación de Estudios de asignaturas, cursos o sus equivalentes, revisados y remitidos a Coordinaciones de Carrera y Comisión académica.</t>
  </si>
  <si>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Emitir oficios para la Comisión Académica para la aprobación de
    los informes de Reconocimiento y Homologación de estudios.
5.-Generar la matrícula y orden de pago de los estudiantes con
    reconocimiento u homologación de estudios aprobados por el
    Consejo Directivo.
6.- Registrar en el SIUTMACH. las calificaciones homologadas.
7.- Atender a usuarios internos y externos.</t>
  </si>
  <si>
    <t>1.- Reporte de solicitudes de movilidad para la
     elaboración del Informe de Reconocimiento u
     Homologación de Estudios de asignaturas,
     cursos o sus equivalentes recibidas.
 2.- Oficios enviados a los Coordinadores de
      Carreras para la elaboración de los informes de
      Reconocimiento u Homologación de Estudios,
      Asignaturas, Cursos o sus Equivalentes.
3.- Oficios enviados a la Comisión académica de los
     informes de Reconocimiento y Homologación de
     estudios para aprobación.
4.- Reporte de estudiantes matriculados por
     homologación.</t>
  </si>
  <si>
    <r>
      <t>4.-</t>
    </r>
    <r>
      <rPr>
        <sz val="10"/>
        <color rgb="FF000000"/>
        <rFont val="Arial Narrow"/>
        <family val="2"/>
      </rPr>
      <t xml:space="preserve"> Coordinar los procesos de registros y/o validación de calificaciones.</t>
    </r>
  </si>
  <si>
    <t>----------</t>
  </si>
  <si>
    <r>
      <t>5.-</t>
    </r>
    <r>
      <rPr>
        <sz val="10"/>
        <color rgb="FF000000"/>
        <rFont val="Arial Narrow"/>
        <family val="2"/>
      </rPr>
      <t xml:space="preserve"> Apertura del Sistema para registro de calificaciones extemporáneas según resolución del Consejo Directivo.</t>
    </r>
  </si>
  <si>
    <t>N° de Registros de calificaciones.</t>
  </si>
  <si>
    <r>
      <t>1.- Verificar en el SIUTMACH el ingreso de las actas de calificaciones
     generadas por los docentes.
2.- Registrar manualmente en el SIUTMACH las calificaciones por</t>
    </r>
    <r>
      <rPr>
        <sz val="10"/>
        <color rgb="FFFF0000"/>
        <rFont val="Arial Narrow"/>
        <family val="2"/>
      </rPr>
      <t xml:space="preserve">
     </t>
    </r>
    <r>
      <rPr>
        <sz val="10"/>
        <color rgb="FF000000"/>
        <rFont val="Arial Narrow"/>
        <family val="2"/>
      </rPr>
      <t>homologaciones, rectificación de calificaciones, recalificaciones y
     calificaciones históricas.
3.-</t>
    </r>
    <r>
      <rPr>
        <sz val="10"/>
        <color rgb="FFFF0000"/>
        <rFont val="Arial Narrow"/>
        <family val="2"/>
      </rPr>
      <t xml:space="preserve"> </t>
    </r>
    <r>
      <rPr>
        <sz val="10"/>
        <color rgb="FF000000"/>
        <rFont val="Arial Narrow"/>
        <family val="2"/>
      </rPr>
      <t>Actualizar en el SIUTMACH las cartillas históricas de estudiantes.
4.- Aperturar el sistema, previa aprobación del Consejo Directivo para
     registro y/o corrección de calificaciones por parte de los docentes.
5.- Atender a usuarios internos y externos.</t>
    </r>
  </si>
  <si>
    <t xml:space="preserve">
1. Reporte de registro de calificaciones en cartillas
   de calificaciones.</t>
  </si>
  <si>
    <t>Ing. Alicia Riera Flores,Mg.Sc.
JEFA DE UMMOG FCQS
Ing. Kleber Cedillo Montes,
ANALISTA ESTADÍSTICA-UMMOG</t>
  </si>
  <si>
    <r>
      <t>6.-</t>
    </r>
    <r>
      <rPr>
        <sz val="10"/>
        <color rgb="FF000000"/>
        <rFont val="Arial Narrow"/>
        <family val="2"/>
      </rPr>
      <t xml:space="preserve"> Organizar y supervisar las fases del proceso de titulación.</t>
    </r>
  </si>
  <si>
    <t>N° de procesos de titulación, organizados, supervisados y ejecutados.</t>
  </si>
  <si>
    <t xml:space="preserve"> 1.- Coordinar y planificar el proceso de titulacion a nivel de facultad.
 2.- Registrar la fecha de fin de carrera para cumplimiento de la
      inscripcion al proceso de titulación y  graduación.
 3.- Revisar y validar del cumplimiento de la malla.
 4.- Revisar la perdida de gratuidad por acumular más del 30% de
      créditos reprobados.
 5.- Revisar en la SENESCYT el registro de un segundo o más títulos
     de tercer nivel.
 6.- Revisar requisitos habilitantes para validar la matricula en el
     proceso de titulación.
 7.- Validar la matricula en el proceso de titulación.
 8.- Supervisar y coordinar la toma del examen complexivo.
 9.- Ingresar a la plataforma de titulacion fecha, hora y lugar de
      sustentacion.
10.- Supervisar y coordinar las sustentaciones de trabajo de titulacion
       y examen complexivo.
11.- Activar especialista suplente del comite evaluador a peticion del
      coordinador de carrera.
12.- Generar actas de calificaciones de las sustentaciones.
13.- Validar el trabajo escrito de ambas opciones de titulacion en la
       plataforma de titulación.
14.-  Validar la estructura del documento del trabajo de integración
       curricular en el SIUTMACH.</t>
  </si>
  <si>
    <t>1.- Reporte de estudiantes inscritos en el proceso
    de titulación.</t>
  </si>
  <si>
    <r>
      <t>7.-</t>
    </r>
    <r>
      <rPr>
        <sz val="10"/>
        <color rgb="FF000000"/>
        <rFont val="Arial Narrow"/>
        <family val="2"/>
      </rPr>
      <t xml:space="preserve"> Emitir Informes de designación de tutor y comité evaluador.</t>
    </r>
  </si>
  <si>
    <t>N° de informes para designación de tutores y comité evaluador emitidos.</t>
  </si>
  <si>
    <t>1.- Solicitar a coordinadores de carrera el registro de tutores en la
     plataforma de titulación en cada proceso.
2.- Generar desde la plataforma de titulación el reporte de tutores y
     comité evaluador para aprobación de Comisión Académica y
     Consejo Directivo.
3.- Receptar los reportes de tutor y comité evaluador legalizados.</t>
  </si>
  <si>
    <t>1.- Informes de designación de tutores enviados
     para aprobación de Comisión académica.</t>
  </si>
  <si>
    <t>Ing. Alicia Riera Flores,Mg.Sc.
JEFA DE UMMOG FCQS</t>
  </si>
  <si>
    <r>
      <t>8.-</t>
    </r>
    <r>
      <rPr>
        <sz val="10"/>
        <color rgb="FF000000"/>
        <rFont val="Arial Narrow"/>
        <family val="2"/>
      </rPr>
      <t xml:space="preserve"> Coordinar y Ejecutar los Procesos de Graduación.</t>
    </r>
  </si>
  <si>
    <t>N° de estudiantes graduados.</t>
  </si>
  <si>
    <t>1.- Revisar y validar o emitir certificados de no adeudar.
2.- Receptar los certificados de no adeudar y recibo único de ingreso
    a caja de estudiantes que pierden gratuidad y/o poseen otro título.
3.- Remitir oficio al decanato para el traslado y/o compra de especies
    de tesorería a secretaria general.
4.- Revisar y grabar los promedios de grado a fin de generar acta
     consolidada.
5.- Generar la acta consolidada por estudiante.
6.- Generar y/o imprimir informes de aptitud legal por carrera, para
     aprobación de Consejo Directivo.
7.- Registrar la firma electrónica en el SIUTMACH.
8.- Emitir informe al Consejo Directo sobre la aprobación de la aptitud
     legal y graduación de los estudiantes que aprobaron el proceso de
     titulación.
9.- Ingresar, revisar y actualizar la información cargada en el SIUTMACH
     para la impresion de titulos y registro en la SENESCYT.
10.- Descargar acta de graduación e insertar en expediente de
      estudiante.
11.- Remitir al decanato el oficio solicitando el registro e impresión dE
      los títulos por parte de secretaria general de los estudiantes
      graduados.
12.- Cargar en drive los expedientes de los estudiantes graduados
      para el registro e impresión de los titulos y compartir con las partes
      pertinentes.
13.- Coordinar con decanato y secretaría de la facultad la organizacion
      del evento de incorporación virtual y/o presencial.
14.- Coordinar con direccion de comunicacion el evento de
       incorporación.
15.- Convocar y asistir en la inducción presencial y/o virtual para el
       evento de incorporación.</t>
  </si>
  <si>
    <t xml:space="preserve">
1.- Reporte de estudiantes graduados.</t>
  </si>
  <si>
    <r>
      <t>9.-</t>
    </r>
    <r>
      <rPr>
        <sz val="10"/>
        <color rgb="FF000000"/>
        <rFont val="Arial Narrow"/>
        <family val="2"/>
      </rPr>
      <t xml:space="preserve"> Emitir Informes para certificaciones de procesos de matrícula, movilidad, graduación y estadística.</t>
    </r>
  </si>
  <si>
    <t>N° de certificados emitidos en los procesos de matrícula, movilidad, graduación y estadística.</t>
  </si>
  <si>
    <r>
      <t xml:space="preserve"> 1.- Recibir las solicitudes de los estudiantes para remitir a los
      funcionarios para que se generen los certificados en los
      procesos de matricula, movilidad, graduación y estadistica.
 2.- Generar certificados de estar legalmente matriculados.
 3.- Emitir certificados de promocion o record académico.
 4.- Emitir certificados de culminación de malla.
 5.- Emitir certificados de promedio global de notas.
 6.- Emitir certificados de inicio y fin de carrera.
 7.- Emitir certificados de reprobacion de asignaturas por tercera vez.
 8.- Emitir certificados de Reconocimiento y Homologación de estudios.
 9.- Emitir certificados de estar legalmente matriculados en el
      proceso de titulacion.
10.- Remitir copias certificadas de acta de consolidada.
11.- Remitir copias certificadas de acta de graduacion.
12.- Remitir copias certificadas de oficios de autorizacion de la
      compra de titulos de promociones antiguas.
13.- Remitir copias certificadas de actas de calificaciones.</t>
    </r>
    <r>
      <rPr>
        <sz val="10"/>
        <color rgb="FF434343"/>
        <rFont val="Arial Narrow"/>
        <family val="2"/>
      </rPr>
      <t xml:space="preserve">
14.- </t>
    </r>
    <r>
      <rPr>
        <sz val="10"/>
        <color rgb="FF000000"/>
        <rFont val="Arial Narrow"/>
        <family val="2"/>
      </rPr>
      <t>Atender a usuarios internos y externos.</t>
    </r>
  </si>
  <si>
    <t>1.- Reportes de Certificados emitidos en los
     procesos de matrícula, movilidad, graduación
     y estadística generados y/o emitidos.
2.- Certificados generados.</t>
  </si>
  <si>
    <r>
      <t>10.-</t>
    </r>
    <r>
      <rPr>
        <sz val="10"/>
        <color rgb="FF000000"/>
        <rFont val="Arial Narrow"/>
        <family val="2"/>
      </rPr>
      <t xml:space="preserve"> Emitir Informes Técnicos para procesos internos y externos.</t>
    </r>
  </si>
  <si>
    <t>N° de informes de estudiantes y de graduados, solicitados por los entes reguladores internos y externos, entregados.</t>
  </si>
  <si>
    <t>1.- Receptar y atender los requerimientos de los organismos de
     control internos y externos.
2.- Revisar la información existente el en SIUTMACH y archivo físico.
3.- Elaborar informes, generar reportes solicitados de matrículas,
     movilidad graduación y estadística.
4.- Emitir el reporte de mejor egresado por periodo y/o carrera.</t>
  </si>
  <si>
    <t>1.- Informes, reportes de estudiantes y de
     graduados, entregados a los entes
     reguladores internos y externos.</t>
  </si>
  <si>
    <r>
      <t>11.-</t>
    </r>
    <r>
      <rPr>
        <sz val="10"/>
        <color rgb="FF000000"/>
        <rFont val="Arial Narrow"/>
        <family val="2"/>
      </rPr>
      <t xml:space="preserve"> Presentar la Planificación Operativa Anual y Evaluación de la Planificación Operativo Anual.</t>
    </r>
  </si>
  <si>
    <t>N° de Planificación Operativa Anual y Evaluaciones de la Planificación Operativa Anual entregadas oportunamente.</t>
  </si>
  <si>
    <t>1.- Elaborar la planificación operativa anual del año 2024.
2.- Autoevaluar la planificación operativa anual del año 2023</t>
  </si>
  <si>
    <r>
      <t xml:space="preserve">1.- </t>
    </r>
    <r>
      <rPr>
        <sz val="10"/>
        <color rgb="FF000000"/>
        <rFont val="Arial Narrow"/>
        <family val="2"/>
      </rPr>
      <t>Plan operativo anual 2024.</t>
    </r>
    <r>
      <rPr>
        <sz val="9"/>
        <color rgb="FF000000"/>
        <rFont val="Century Schoolbook"/>
        <family val="1"/>
      </rPr>
      <t xml:space="preserve">
2.-</t>
    </r>
    <r>
      <rPr>
        <sz val="10"/>
        <color rgb="FF000000"/>
        <rFont val="Arial Narrow"/>
        <family val="2"/>
      </rPr>
      <t xml:space="preserve"> Evaluación del POA 2023.</t>
    </r>
  </si>
  <si>
    <r>
      <t>12.-</t>
    </r>
    <r>
      <rPr>
        <sz val="10"/>
        <color rgb="FF000000"/>
        <rFont val="Arial Narrow"/>
        <family val="2"/>
      </rPr>
      <t xml:space="preserve"> Organizar el Archivo Intermedio.</t>
    </r>
  </si>
  <si>
    <t>N° de Expedientes archivados en físico y/o digital.</t>
  </si>
  <si>
    <t xml:space="preserve"> 1.-  Receptar oficios, elaborar, despachar oficios y registrar en
       SIUTMACH
 2.-  Archivar cronológicamente los oficios, resoluciones del año 2023
       y expedientes de estudiantes 2018 y 2019-1
 3.-  Consolidar expediente de los estudiantes (CIENCIAS MEDICAS,
       ENFERMERIA, período académico 2019-1)
 5.- Registrar los expedientes archivados en el inventario documental
       digital.</t>
  </si>
  <si>
    <t>1.- Expedientes archivados 2018 y 2019-1
2.- Matriz del inventario Documental.
3.- Reporte de oficios enviados y recibidos en el
     SIUTMACH.</t>
  </si>
  <si>
    <r>
      <t>METAS OPERATIVAS
1.-</t>
    </r>
    <r>
      <rPr>
        <sz val="10"/>
        <color rgb="FF000000"/>
        <rFont val="Arial Narrow"/>
        <family val="2"/>
      </rPr>
      <t xml:space="preserve"> Emitir y notificar las convocatorias, actas y resoluciones de Consejo Directivo.</t>
    </r>
  </si>
  <si>
    <t>N°. De Convocatorias, actas y resoluciones de Consejo Directivo elaboradas y emitidas</t>
  </si>
  <si>
    <t>1.Elaborar la convocatoria.
2.Notificar la convocatoria.
3.Constatar el quórum reglamentario.
4. Dar lectura al orden del dia.
5.Elaborar las resoluciones adoptadas en consejo directivo.
6.Certificar las resoluciones.
7.Registrar y notificar las resoluciones
8.Redactar y revisar actas de consejo directivo
9.Suscribir acta de consejo directivo conjuntamente con el señor decano
10.Notificar el acta a los miembros del consejo directivo</t>
  </si>
  <si>
    <t>1.- Reporte de emisión y notificación de convocatorias, resoluciones y actas de Consejo Directivo.</t>
  </si>
  <si>
    <t xml:space="preserve">Ab. Stalin Rodríguez Pérez, Secretario-Abogado                Tecnico de Documentacion y Archivo                                            Sr. Pedro Jimenez,                   Auxiliar administrativo de Secretaría y Archivo                                         </t>
  </si>
  <si>
    <t>840107 0701 001</t>
  </si>
  <si>
    <r>
      <t>Impresora tinta color A</t>
    </r>
    <r>
      <rPr>
        <sz val="10"/>
        <color rgb="FF000000"/>
        <rFont val="Century Schoolbook"/>
        <family val="1"/>
      </rPr>
      <t>4</t>
    </r>
    <r>
      <rPr>
        <sz val="10"/>
        <color rgb="FF000000"/>
        <rFont val="Arial Narrow"/>
        <family val="2"/>
      </rPr>
      <t xml:space="preserve"> Modelo </t>
    </r>
    <r>
      <rPr>
        <sz val="10"/>
        <color rgb="FF000000"/>
        <rFont val="Century Schoolbook"/>
        <family val="1"/>
      </rPr>
      <t>3</t>
    </r>
  </si>
  <si>
    <r>
      <t>2.-</t>
    </r>
    <r>
      <rPr>
        <sz val="10"/>
        <color rgb="FF000000"/>
        <rFont val="Arial Narrow"/>
        <family val="2"/>
      </rPr>
      <t xml:space="preserve"> Emitir y/o legalizar las Certificaciones de la Facultad.</t>
    </r>
  </si>
  <si>
    <t>N° De Certificados de la Facultad emitidas y legalizadas.</t>
  </si>
  <si>
    <t>1.- Receptar, ingresar y distribuir las certificaciones de procesos administrativos y académicos, compulsas, reproducción de documentos oficiales.</t>
  </si>
  <si>
    <t>1.- Registro de certificaciones emitidas.</t>
  </si>
  <si>
    <t xml:space="preserve">Ab. Stalin Rodríguez Pérez, Secretario-Abogado                  Tecnico de Documentacion y Archivo                                      Sr. Pedro Jimenez, Auxiliar administrativo de Secretaría y Archivo                                         </t>
  </si>
  <si>
    <r>
      <t>3.-</t>
    </r>
    <r>
      <rPr>
        <sz val="10"/>
        <color rgb="FF000000"/>
        <rFont val="Arial Narrow"/>
        <family val="2"/>
      </rPr>
      <t xml:space="preserve"> Registrar y distribuir la correspondencia interna y externa de la Facultad.</t>
    </r>
  </si>
  <si>
    <t>N° de correspondencia interna y externa registrada y distribuida.</t>
  </si>
  <si>
    <t>1.- Receptar, ingresar y distribuir los documentos dirigidos a la Unidad Académica.
2.- Despachar la correspondencia a usuarios externos de la Unidad Académica.</t>
  </si>
  <si>
    <t>1.- Reporte de distribución de correspondencia.</t>
  </si>
  <si>
    <t xml:space="preserve">Ab. Stalin Rodríguez Pérez, Secretario-Abogado                              Sr. Pedro Jiménez,                             Auxiliar administrativo de Secretaría y Archivo                                         </t>
  </si>
  <si>
    <r>
      <t>4.-</t>
    </r>
    <r>
      <rPr>
        <sz val="10"/>
        <color rgb="FF000000"/>
        <rFont val="Arial Narrow"/>
        <family val="2"/>
      </rPr>
      <t xml:space="preserve"> Brindar asesoría jurídica a las Autoridades y dependencias de la Facultad.</t>
    </r>
  </si>
  <si>
    <t>N° de informes de asesoría jurídica brindada a las autoridades y dependencias de la Facultad.</t>
  </si>
  <si>
    <t>1.- Orientar con legislación  actualizada a los  diferentes departamentos de la facultad.</t>
  </si>
  <si>
    <t xml:space="preserve">1.- Informes  jurídicos             2.- Resoluciones de Consejo Directivo.                            </t>
  </si>
  <si>
    <t xml:space="preserve">Ab. Stalin Rodríguez Pérez, Secretario-Abogado                                                   </t>
  </si>
  <si>
    <r>
      <t>5.-</t>
    </r>
    <r>
      <rPr>
        <sz val="10"/>
        <color rgb="FF000000"/>
        <rFont val="Arial Narrow"/>
        <family val="2"/>
      </rPr>
      <t xml:space="preserve"> Emitir Informes jurídicos de los procesos disciplinarios, académicos y/o administrativos de la Facultad.</t>
    </r>
  </si>
  <si>
    <t>N° de procesos disciplinarios, académicos y administrativos  emitidos.</t>
  </si>
  <si>
    <t>1.- Elaborar informes internos de criterios y asesoría legal de procesos disciplinarios, académicos y/o administrativos.</t>
  </si>
  <si>
    <t>1.- Reporte de informes jurídicos de los procesos disciplinarios, académicos y/o administrativo de Facultad emitidos.</t>
  </si>
  <si>
    <r>
      <t>6.-</t>
    </r>
    <r>
      <rPr>
        <sz val="10"/>
        <color rgb="FF000000"/>
        <rFont val="Arial Narrow"/>
        <family val="2"/>
      </rPr>
      <t xml:space="preserve"> Administrar la Documentación para tratamiento del Consejo Directivo de la Facultad.</t>
    </r>
  </si>
  <si>
    <t>Documentación para tratamiento del Consejo Directivo administrada.</t>
  </si>
  <si>
    <t>N° de documentos administrados para el tratamiento del Consejo Directivo</t>
  </si>
  <si>
    <t xml:space="preserve">1. Receptar la documentación a tratar por consejo directivo.  
2. Analizar  la documentación a tratar por consejo directivo.  </t>
  </si>
  <si>
    <t>1.- Reporte de documentación receptada y administrada para el tratamiento del Consejo Directivo.</t>
  </si>
  <si>
    <t xml:space="preserve">Ab. Stalin Rodríguez Pérez, Secretario-Abogado                  Tecnico de Documentacion y Archivo                                          Sr. Pedro Jimenez,                     Auxiliar administrativo de Secretaría y Archivo                                         </t>
  </si>
  <si>
    <r>
      <t>7.-</t>
    </r>
    <r>
      <rPr>
        <sz val="10"/>
        <color rgb="FF000000"/>
        <rFont val="Arial Narrow"/>
        <family val="2"/>
      </rPr>
      <t xml:space="preserve"> Presentar las Planificaciones  Operativas Anuales y Evaluaciones de las Planificaciones Operativas Anuales.</t>
    </r>
  </si>
  <si>
    <t>N° de Planificaciones Operativas Anuales y Evaluaciones de las Planificaciones Operativas Anuales entregadas oportunamente</t>
  </si>
  <si>
    <t>1,Elaborar la Planificación Operativa Anual                2,Efectuar el seguimientos a la planificaciones operativa de Secretaría.                            3. Realizar la evaluación al POA                                     4, Remitir al Decanato el POA y su Evaluación.</t>
  </si>
  <si>
    <t xml:space="preserve">1.- Planificación Operativa Anual 2023.
2.-  Evaluación de la Planificación Operativa 2023.   
3.- Planificación Operativa Anual 2024.                              </t>
  </si>
  <si>
    <r>
      <t>7.-</t>
    </r>
    <r>
      <rPr>
        <sz val="10"/>
        <color rgb="FF000000"/>
        <rFont val="Arial Narrow"/>
        <family val="2"/>
      </rPr>
      <t xml:space="preserve"> Organizar el Archivo intermedio.</t>
    </r>
  </si>
  <si>
    <t>N° de Carpetas inventariadas</t>
  </si>
  <si>
    <t>1. Organizar, clasificar y realizar el inventario documental  de carpetas del archivo que reposa en la secretaría de la FCQS</t>
  </si>
  <si>
    <t>1.- Inventario documental</t>
  </si>
  <si>
    <t xml:space="preserve">Ab. Stalin Rodríguez Pérez, Secretario-Abogado                   Tecnico de Documentacion y Archivo                                      Sr. Pedro Jimenez,                    Auxiliar administrativo de Secretaría y Archivo                                         </t>
  </si>
  <si>
    <t>ALIMENTOS</t>
  </si>
  <si>
    <t>4. Impulsar la interdisciplinariedad en la gestión microcurricular.</t>
  </si>
  <si>
    <r>
      <t>METAS OPERATIVAS
1.-</t>
    </r>
    <r>
      <rPr>
        <sz val="10"/>
        <color rgb="FF000000"/>
        <rFont val="Arial Narrow"/>
        <family val="2"/>
      </rPr>
      <t xml:space="preserve"> Ejecutar los procesos académicos.</t>
    </r>
  </si>
  <si>
    <t>Ejecución de los procesos académicos realizados.</t>
  </si>
  <si>
    <t xml:space="preserve">N° de Procesos académicos </t>
  </si>
  <si>
    <t>1.- Ejecutar el proceso de seguimiento al silabo
2.- Ejecutar el proceso de evaluación integral de desempeño docente.
3.- Gestionar el sistema de tutorías del proceso enseñanza - aprendizaje.
4.- Elaborar comunicaciones para trámites académicos- administrativos.
5.- Elaborar informes de actividades realizadas.
6.- Gestionar reuniones periódicas del personal académico.             
7.- Liderar los colectivos académico de la carrera: Titulación, Evaluación y Acreditación de la calidad, Prácticas preprofesionales o laborales, y servicio comunitario.
8.- Asesorar el plan de estudio de la carrera.
9.- Gestionar Actividades relacionadas con diseño curricular.
10.- Informar irregularidades, inconformidades y/o polémicas surgidas en el ambiente académico.</t>
  </si>
  <si>
    <t>1.- Reporte del estado actual de los procesos académicos ejecutados</t>
  </si>
  <si>
    <t>Ing. Verónica Bravo B
Coordinadora de Carrera
Ramiro Quezada
Nubia Matute
Omar Martinez
Luis Cedeño
Humberto Ayala</t>
  </si>
  <si>
    <r>
      <t>2.-</t>
    </r>
    <r>
      <rPr>
        <sz val="10"/>
        <color rgb="FF000000"/>
        <rFont val="Arial Narrow"/>
        <family val="2"/>
      </rPr>
      <t xml:space="preserve"> Dar seguimiento de documentos de planificación académica y curricular.</t>
    </r>
  </si>
  <si>
    <t>Documentos de planificación académica y curricular.</t>
  </si>
  <si>
    <t>Nº de Distributivos</t>
  </si>
  <si>
    <t xml:space="preserve">1. Ejecutar el proceso de elaboración de los distributivos  </t>
  </si>
  <si>
    <t xml:space="preserve">1. Reporte del estado actual de la coordinación y supervisión de elaboración de distributivos </t>
  </si>
  <si>
    <t>Ing. Linda Cabrera
Ing. Carolina Beltran
Docentes del Colectivo Estudiantil</t>
  </si>
  <si>
    <r>
      <t>3.-</t>
    </r>
    <r>
      <rPr>
        <sz val="10"/>
        <color rgb="FF000000"/>
        <rFont val="Arial Narrow"/>
        <family val="2"/>
      </rPr>
      <t xml:space="preserve"> Entregar la Planificación Operativa Anual y Evaluación de la Planificación Operativa Anual.</t>
    </r>
  </si>
  <si>
    <t xml:space="preserve">N° de planificaciones  Operativas Anuales y Evaluaciones del POA </t>
  </si>
  <si>
    <t>1.- Elaborar los planes operativos anuales de la Carrera.
2.- Elaborar las Evaluaciones del  POA.
3.- Remitir al Decanato los POAs y sus Evaluaciones.</t>
  </si>
  <si>
    <t>1.- POA 2023
2.- Evaluación del primer semestre del POA 2023
3.- POA 2024
4.- Evaluación del segundo semestre del POA 2023</t>
  </si>
  <si>
    <t>Ing. Verónica Bravo B
Coordinadora de Carrera</t>
  </si>
  <si>
    <r>
      <t>4.-</t>
    </r>
    <r>
      <rPr>
        <sz val="10"/>
        <color rgb="FF000000"/>
        <rFont val="Arial Narrow"/>
        <family val="2"/>
      </rPr>
      <t xml:space="preserve"> Presentar las propuestas de procesos de investigación y vinculación con la sociedad ante las instancias encargadas de emitir las directrices a nivel institucional.</t>
    </r>
  </si>
  <si>
    <t>Propuestas de procesos de investigación y vinculación con la sociedad ante las instancias encargadas de emitir las directrices a nivel institucional supervisadas.</t>
  </si>
  <si>
    <t>Nº de Avances de proyectos de investigación y de Vinculación en ejecución.</t>
  </si>
  <si>
    <t>1.- Ejecutar el procesos de vinculación con la sociedad e investigación.</t>
  </si>
  <si>
    <t>1.- Informe de avance de procesos de vinculación con la sociedad e investigación</t>
  </si>
  <si>
    <t>Ing. Verónica Bravo
Coordinador de Carrera
Ing. Wilson Carrión E.
Ing. Erik Vivanco
Colectivo de vinculación y práctica preprofesional</t>
  </si>
  <si>
    <r>
      <t>5.-</t>
    </r>
    <r>
      <rPr>
        <sz val="10"/>
        <color rgb="FF000000"/>
        <rFont val="Arial Narrow"/>
        <family val="2"/>
      </rPr>
      <t xml:space="preserve"> Apoyar el archivo de gestión.</t>
    </r>
  </si>
  <si>
    <t>Nº  de carpetas registradas en el inventario documental</t>
  </si>
  <si>
    <t>1.- Realizar el inventario documental de carpetas del archivo que reposan en la Coordinación de Carrera.</t>
  </si>
  <si>
    <t>Lcda. Mary Alvarado
Asistente</t>
  </si>
  <si>
    <t>TOTAL PRESUPUESTO ESTIMATIVO DE ALIMENTOS 2023:</t>
  </si>
  <si>
    <t>BIOQUÍMICA Y FARMACIA</t>
  </si>
  <si>
    <r>
      <t>METAS OPERATIVAS</t>
    </r>
    <r>
      <rPr>
        <sz val="9"/>
        <color rgb="FF000000"/>
        <rFont val="Arial Narrow"/>
        <family val="2"/>
      </rPr>
      <t xml:space="preserve">
1. Conformar la comisión académica</t>
    </r>
  </si>
  <si>
    <t>Ejecución de actividades  Comisión Académica</t>
  </si>
  <si>
    <t>N° de actividades de Comisión Académica ejecutadas.</t>
  </si>
  <si>
    <t xml:space="preserve">
1.- Elaborar comunicaciones para trámites académicos
2.- Elevar oportunamente informes de actividades.
           </t>
  </si>
  <si>
    <t>1.- Informe de actividades de  procesos académicos realizados</t>
  </si>
  <si>
    <t>Dra Thayana Nunez Quezada                                                     Coordinadora de Carrera</t>
  </si>
  <si>
    <t>2.- Presidir el Comité de Evaluación Interna de Carrera</t>
  </si>
  <si>
    <t>Ejecución de sesiones  de Comité de Evaluación Interna  de Carrera</t>
  </si>
  <si>
    <t>N° de sesiones  de Comité de Evaluación Interna de Carrera</t>
  </si>
  <si>
    <t>1. Convocar a sesiones de trabajo al Comité de Evaluación Interna de Carrera.                                                                                                                                                                                                                                2. Liderar  sesiones de Comité de  Evaluación de  Carrera</t>
  </si>
  <si>
    <t>1. Informe de sesiones de Comité de Evaluación Interna de Carrera.</t>
  </si>
  <si>
    <t>3. Proponer la terna del personal académico y estudiantil que integran el comité de Evaluación Interna de la Carrera</t>
  </si>
  <si>
    <t>Gestionar la terna del personal académico y estudiantil que integrará en Comité de Evaluación Interna de Carrera</t>
  </si>
  <si>
    <t>N° de integrantes de la terna de Comité de Evaluación Interna</t>
  </si>
  <si>
    <t>1. Elaborar la terna  de personal académico y estudiantil.                                                                          2. Remitir a autoridades correspondientes la terna académico y estudiantil.                                                               3. Notificar al personal  académico y estudiantil  designación al Comité de Evaluación Interna de Carrera</t>
  </si>
  <si>
    <t xml:space="preserve">1. Resolución de Designación de Comité de Evaluación Interna de Carrera </t>
  </si>
  <si>
    <t>4. Designar  a los responsables de los colectivos académicos de carrera: Titulación, Evaluación y Acreditación de la calidad, Prácticas Preprofesionales o laborales y servicio comunitario</t>
  </si>
  <si>
    <t>Designar los responsables de los colectivos académicos: Titulación, Evaluación y Acreditación de la Calidad, Prácticas Pre Profesionales o laborales y servicio comunitario</t>
  </si>
  <si>
    <t>N° Colectivos académicos conformados</t>
  </si>
  <si>
    <t>1. Elaborar propuesta para responsables de colectivos  académicos de carrera.                                                                                   2. Remitir a las autoridades correspondientes para la revisión y aprobación de  propuesta.                                                                 3. Notificar a los responsables designación .</t>
  </si>
  <si>
    <t>1. Documento de asignación de colectivos académicos .</t>
  </si>
  <si>
    <t>5. Ejecutar los procesos que garantizan el cumplimiento de las funciones sustantivas de la educación superior: Docencia, investigación y vinculación</t>
  </si>
  <si>
    <t>Ejecutar  los procesos que garanticen el cumplimiento de las funciones  sustantivas de la educación superior: docencia, investigación y  vinculación</t>
  </si>
  <si>
    <t>N° de propuestas de procesos de investigación y vinculación con la sociedad</t>
  </si>
  <si>
    <t>1. Asistir a reuniones de seguimiento de proyectos de vinculación e investigación.                                                                           2. Elaborar propuestas de  proyectos de vinculación con la sociedad.                                                                                          3. Remitir a departamentos correspondientes las propuestas de proyectos de vinculación para  la revisión y aprobación</t>
  </si>
  <si>
    <t>1. Documento de aprobación de propuestas de proyectos de vinculación.                                                                                           2. Reporte de seguimiento de proyectos de vinculación e investigación</t>
  </si>
  <si>
    <t>3 REFRACTOMETRO PORTÁTIL DIGITAL</t>
  </si>
  <si>
    <t>2 TERMOLACTODENSIMETRO</t>
  </si>
  <si>
    <t>3 TERMÓMETRO DIGITAL</t>
  </si>
  <si>
    <t>2 PEACHIMETRO PÓRTATIL</t>
  </si>
  <si>
    <t>6. Asistir a sesiones  de trabajo convocadas por las  Autoridades correspondientes</t>
  </si>
  <si>
    <t>Participar en  sesiones de  trabajo convocadas por las Autoridades correspondientes</t>
  </si>
  <si>
    <t>N° de sesiones de trabajo asistidas</t>
  </si>
  <si>
    <t>1. Asistir a reuniones convocadas por autoridades.</t>
  </si>
  <si>
    <t>1. Informes de actividades</t>
  </si>
  <si>
    <t>7. Informar al Subdecanato sobre irregularidades, inconformidades y/o polémicas surgidas en el ambiente académico de la carrera</t>
  </si>
  <si>
    <t>Informar las irregularidades, inconformidades y/o polémicas surgidas en el ambiente académico de la carrera</t>
  </si>
  <si>
    <t>N° de  informes presentados</t>
  </si>
  <si>
    <t>1.- Recopilar información sobre irregularidades, inconformidades y/o polémicas  en el ambiente académico.
2.- Remitir a Subdecanatos informe  de novedades encontradas en el ámbito académico</t>
  </si>
  <si>
    <t>1. Informe de novedades presentadas en el ambiente académico</t>
  </si>
  <si>
    <t>8. Elaborar el distributivo académico de la carrera</t>
  </si>
  <si>
    <t>Elaborar el distributivo académico</t>
  </si>
  <si>
    <t>N° de distributivos académicos elaborados</t>
  </si>
  <si>
    <t>9. Organizar y convocar a reuniones periódicas del personal académico con el fin  de monitorear y mejorar continuamente la calidad de enseñanza</t>
  </si>
  <si>
    <t>Convocar a reuniones periódicas al personal académico</t>
  </si>
  <si>
    <t>N° de reuniones  realizadas con el personal académico</t>
  </si>
  <si>
    <t>1. Planificar las reuniones  con personal académico                                                        2. Convocar a sesiones de trabajo con personal académico.                                                                                  3. Elaborar acta de reuniones  con personal académico.</t>
  </si>
  <si>
    <t>1. Informe de sesiones de trabajo con personal académico</t>
  </si>
  <si>
    <t>10. Gestionar  la organización del sistema de tutorías del proceso enseñanza-aprendizaje de la carrera.</t>
  </si>
  <si>
    <t>Gestionar  la organización del sistema de tutorías  del proceso enseñanza-aprendizaje de la carrera.</t>
  </si>
  <si>
    <t>N° de gestiones realizadas de la organización del sistema de tutorías</t>
  </si>
  <si>
    <t>1. Elevar oficio de requerimiento de la organización del sistema de tutorías de la carrera.</t>
  </si>
  <si>
    <t>1. Informes de requerimientos  presentados.</t>
  </si>
  <si>
    <t>11. Asesorar  al claustro docente sobre el plan de estudio de la carrera.</t>
  </si>
  <si>
    <t>Realizar asesorías sobre el plan de estudio al claustro docente de la carrera</t>
  </si>
  <si>
    <t>N° de asesorías al claustro docente ejecutadas</t>
  </si>
  <si>
    <t>1. Planificar las capacitaciones al claustro docente  sobre el plan de estudio.                                                                      2. Convocar a capacitaciones sobre plan de estudio.                                                                 3. Elaborar registro de asistencias  del claustro docente  a capacitaciones.</t>
  </si>
  <si>
    <t>1. Informe de capacitaciones sobre plan de estudios.</t>
  </si>
  <si>
    <t>12. Visitar  aulas de clase con fines formativos y de asesoramiento</t>
  </si>
  <si>
    <t>Realizar aulas de clase  con fines formativos y de asesoramiento</t>
  </si>
  <si>
    <t xml:space="preserve">N° de aulas visitadas </t>
  </si>
  <si>
    <t>1. Planificar las visitas a las aulas.                                                          2. Informar a claustro docente  cronograma de visita a las aulas clase.                                                                                          3. Visitar las aulas clase de acuerdo a cronograma establecido.</t>
  </si>
  <si>
    <t>1. Informe de visita a las aulas clase.</t>
  </si>
  <si>
    <t>13. Participar en las actividades  relacionadas con el diseño curricular  de la carrera.</t>
  </si>
  <si>
    <t>Ejecutar actividades  relacionadas con el diseño curricular de la carrera</t>
  </si>
  <si>
    <t>N° de actividades efectuadas con el diseño curricular</t>
  </si>
  <si>
    <t>1. Asistir a sesiones de trabajo relacionadas con el diseño  curricular de la carrera.</t>
  </si>
  <si>
    <t>1. Informe de actividades sobre  diseño curricular.</t>
  </si>
  <si>
    <t>14. Supervisar  la entrega de actas de calificaciones parciales y/o finales de las asignaturas.</t>
  </si>
  <si>
    <t>Ejecutar la entrega de actas de calificaciones parciales y/o finales de las asignaturas.</t>
  </si>
  <si>
    <t>N° de actas de calificaciones  entregadas.</t>
  </si>
  <si>
    <t>1. Elevar oficio solicitando la entrega de actas de parciales y/o finales de las asignaturas.                                                          2. Generar el reporte de ingreso de actas en Plataforma SIUTMACH.                                              3. Notificar  a claustro docente  incumplimiento de esta actividad</t>
  </si>
  <si>
    <t>1. Informe  de supervisión de la entrega de actas de calificaciones  parciales y/o finales de las asignaturas.</t>
  </si>
  <si>
    <t>15. Otras que se deriven de las disposiciones emitidas por las autoridades, Consejo Directivo, el presente estatuto y demás normativas vigentes.</t>
  </si>
  <si>
    <t>Ejecutar  disposiciones  emitidas por las autoridades, Consejo Directivo, el presente estatuto y demás normativa vigente.</t>
  </si>
  <si>
    <t>N° de disposiciones ejecutas.</t>
  </si>
  <si>
    <t>1.- Elaborar  los requerimientos  emitidos por las autoridades.                                                                   2. Remitir  los requerimientos  a las instancias correspondientes.</t>
  </si>
  <si>
    <t>1. Informes de requerimientos presentados a las autoridades.</t>
  </si>
  <si>
    <t>TOTAL PRESUPUESTO ESTIMATIVO DE BIOQUÍMICA Y FARMACIA 2023:</t>
  </si>
  <si>
    <t>ENFERMERÍA</t>
  </si>
  <si>
    <t>Comisiones académicas conformadas</t>
  </si>
  <si>
    <t>Lcda. Sara Saraguro Salinas                                                     Coordinadora de Carrera</t>
  </si>
  <si>
    <t>Reuniones   de Comité de Evaluación Interna  de Carrera ejecutadas</t>
  </si>
  <si>
    <t>840103 0701 003</t>
  </si>
  <si>
    <t>ADQUISICIÓN DE MOBILIARIO PARA LA CARRERA DE ENFERMERÍA</t>
  </si>
  <si>
    <t>Terna de personal académico y estudiantil conformados</t>
  </si>
  <si>
    <t>Responsables de los colectivos académicos: Titulación, Evaluación y Acreditación de la Calidad, Prácticas Pre Profesionales o laborales y servicio comunitario designados.</t>
  </si>
  <si>
    <t>1. Elaborar propuesta para responsables de colectivos  académicos de carrera.
2. Remitir a las autoridades correspondientes para la revisión y aprobación de  propuesta.
3. Notificar a los responsables designación .</t>
  </si>
  <si>
    <t>Propuestas de investigación y vinculación elaboradas.</t>
  </si>
  <si>
    <t>Irregularidades e inconformidades del ambiente académico de la carrera informadas.</t>
  </si>
  <si>
    <t>Distributivo académico elaborado y aprobado para cada PAO</t>
  </si>
  <si>
    <t>Reuniones periódicas con el  personal académico ejecutadas</t>
  </si>
  <si>
    <t>Procedimientos de tutorías  del proceso enseñanza-aprendizaje de la carrera.ejecutadas</t>
  </si>
  <si>
    <t>Claustro docente asesorado sobre el plan de estudio</t>
  </si>
  <si>
    <t>Aulas clase utilizadas para fines  formativas.</t>
  </si>
  <si>
    <t>Actividades de diseño curricular ejecutadas</t>
  </si>
  <si>
    <t>Actas de calificaciones parciales y/o finales de las asignaturas entregadas oportunamente.</t>
  </si>
  <si>
    <t>Disposiciones  emitidas por las autoridades, Consejo Directivo, el presente estatuto y demás normativa vigente ejecutadas</t>
  </si>
  <si>
    <t>TOTAL PRESUPUESTO ESTIMATIVO DE ENFERMERÍA 2023:</t>
  </si>
  <si>
    <t xml:space="preserve"> INGENIERÍA QUÍMICA</t>
  </si>
  <si>
    <t>Ejecución de actividades de la Comisión Académica</t>
  </si>
  <si>
    <t xml:space="preserve">
1.- Elaborar oficios para trámites académicos
           </t>
  </si>
  <si>
    <t>1.- Registro de asistencia a las comisiones académicas.         2..Informes técnicos correspondiente a la Carrera.</t>
  </si>
  <si>
    <t>Ing. Katty Gadvay Yambay Coordinadora de Carrera</t>
  </si>
  <si>
    <t>51290.00.1</t>
  </si>
  <si>
    <t>Equipos, Sistemas y Paquetes Informáticos / Simulink</t>
  </si>
  <si>
    <t>840104 0701 001</t>
  </si>
  <si>
    <t>Multiparámetro / pH metro</t>
  </si>
  <si>
    <t xml:space="preserve">1. Convocar a sesiones de trabajo periódicas al Comité de Evaluación Interna de Carrera.                                                                                                                                                                                                                               </t>
  </si>
  <si>
    <t>1. Registro de asistencia.                  2. Informe de actividades realizadas por el Comité de Evaluación Interna de Carrera.</t>
  </si>
  <si>
    <t>1. Elaborar la terna  de personal académico y estudiantil.                                                                          2. Notificar por correo electrónico al personal  académico y estudiantil  designación al Comité de Evaluación Interna de Carrera.</t>
  </si>
  <si>
    <t xml:space="preserve">1. Resolución de Designación de Comité de Evaluación Interna de Carrera o ratificación de la resolución aprobada. </t>
  </si>
  <si>
    <t>Designación de responsables de los colectivos académicos: Titulación, Evaluación y Acreditación de la Calidad, Prácticas Pre Profesionales o laborales y servicio comunitario</t>
  </si>
  <si>
    <t>1. Elaborar el oficio para designación de responsables de colectivos  académicos de carrera.                                                                                                                                                    2. Notificar a los responsables por medio de correo electrónico sobre la designación .</t>
  </si>
  <si>
    <r>
      <t>5.-</t>
    </r>
    <r>
      <rPr>
        <sz val="10"/>
        <color rgb="FF000000"/>
        <rFont val="Arial Narrow"/>
        <family val="2"/>
      </rPr>
      <t xml:space="preserve"> Ejecutar los procesos que garantizan el cumplimiento de las funciones sustantivas de la educación superior: docencia, investigación y vinculación en la facultad que dirige;</t>
    </r>
  </si>
  <si>
    <t>Ejecución de los procesos que garantizan el cumplimiento de las funciones sustantivas de la educación superior: docencia, investigación y vinculación en la facultad que dirige;</t>
  </si>
  <si>
    <t>Ing. Katty Gadvay Yambay Coordinadora de Carrera              Ing. Gary Muñoz                     Docente                                         Ing. Washington Espinoza        Docente</t>
  </si>
  <si>
    <t xml:space="preserve">
1.- Remitir a Subdecanatos informe  de novedades encontradas en el ambito académico</t>
  </si>
  <si>
    <t>Elaboración del distributivo académico de la carrera</t>
  </si>
  <si>
    <t xml:space="preserve">1. Resolución de la aprobación de distributivos </t>
  </si>
  <si>
    <t>1. Solicitar por correo electrónico la entrega de actas de parciales y/o finales de las asignaturas.                                                          2. Generar el reporte de ingreso de actas en Plataforma SIUTMACH.                                              3. Notificar  a claustro docente  incumplimiento de esta actividad</t>
  </si>
  <si>
    <t>TOTAL PRESUPUESTO ESTIMATIVO DE  INGENIERÍA QUÍMICA 2023:</t>
  </si>
  <si>
    <t>MEDICINA</t>
  </si>
  <si>
    <t xml:space="preserve">Dr. Franklin Benjamin Paladines Figueroa                                                   Director  de Carrera </t>
  </si>
  <si>
    <t>TOTAL PRESUPUESTO ESTIMATIVO DE MEDICINA 2023:</t>
  </si>
  <si>
    <t>TOTAL PRESUPUESTO ESTIMATIVO FCQS 2023:</t>
  </si>
  <si>
    <r>
      <t>NOTA:</t>
    </r>
    <r>
      <rPr>
        <sz val="11"/>
        <color rgb="FF000000"/>
        <rFont val="Arial Narrow"/>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</si>
  <si>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t>Materiales didacticos</t>
  </si>
  <si>
    <r>
      <t xml:space="preserve">FUENTE </t>
    </r>
    <r>
      <rPr>
        <sz val="11"/>
        <rFont val="Century Schoolbook"/>
        <family val="1"/>
      </rPr>
      <t>1</t>
    </r>
  </si>
  <si>
    <r>
      <t xml:space="preserve">FUENTE </t>
    </r>
    <r>
      <rPr>
        <sz val="11"/>
        <rFont val="Century Schoolbook"/>
        <family val="1"/>
      </rPr>
      <t>2</t>
    </r>
  </si>
  <si>
    <r>
      <t xml:space="preserve">FUENTE </t>
    </r>
    <r>
      <rPr>
        <sz val="11"/>
        <rFont val="Century Schoolbook"/>
        <family val="1"/>
      </rPr>
      <t>3</t>
    </r>
  </si>
  <si>
    <r>
      <t xml:space="preserve">FUENTE </t>
    </r>
    <r>
      <rPr>
        <sz val="11"/>
        <rFont val="Century Schoolbook"/>
        <family val="1"/>
      </rPr>
      <t>202</t>
    </r>
  </si>
  <si>
    <t>0,00</t>
  </si>
  <si>
    <t xml:space="preserve"> RESUMEN POR GRUPO DE GASTO: </t>
  </si>
  <si>
    <r>
      <t>51</t>
    </r>
    <r>
      <rPr>
        <sz val="11"/>
        <rFont val="Arial Narrow"/>
        <family val="2"/>
      </rPr>
      <t xml:space="preserve"> Egresos en Personal</t>
    </r>
  </si>
  <si>
    <r>
      <t>53</t>
    </r>
    <r>
      <rPr>
        <sz val="11"/>
        <rFont val="Arial Narrow"/>
        <family val="2"/>
      </rPr>
      <t xml:space="preserve"> Bienes y Servicios de Consumo</t>
    </r>
  </si>
  <si>
    <r>
      <t>57</t>
    </r>
    <r>
      <rPr>
        <sz val="11"/>
        <rFont val="Arial Narrow"/>
        <family val="2"/>
      </rPr>
      <t xml:space="preserve"> Otros Egresos Corrientes</t>
    </r>
  </si>
  <si>
    <r>
      <t>58</t>
    </r>
    <r>
      <rPr>
        <sz val="11"/>
        <rFont val="Arial Narrow"/>
        <family val="2"/>
      </rPr>
      <t xml:space="preserve"> Transferencias o Donaciones Corrientes </t>
    </r>
  </si>
  <si>
    <r>
      <t>71</t>
    </r>
    <r>
      <rPr>
        <sz val="11"/>
        <rFont val="Arial Narrow"/>
        <family val="2"/>
      </rPr>
      <t xml:space="preserve"> Egresos en Personal para Inversión </t>
    </r>
  </si>
  <si>
    <r>
      <t>73</t>
    </r>
    <r>
      <rPr>
        <sz val="11"/>
        <rFont val="Arial Narrow"/>
        <family val="2"/>
      </rPr>
      <t xml:space="preserve"> Bienes y Servicios para Inversión </t>
    </r>
  </si>
  <si>
    <r>
      <t>84</t>
    </r>
    <r>
      <rPr>
        <sz val="11"/>
        <rFont val="Arial Narrow"/>
        <family val="2"/>
      </rPr>
      <t xml:space="preserve"> Bienes de Larga Duración</t>
    </r>
  </si>
  <si>
    <r>
      <t>99</t>
    </r>
    <r>
      <rPr>
        <sz val="11"/>
        <rFont val="Arial Narrow"/>
        <family val="2"/>
      </rPr>
      <t xml:space="preserve"> Otros Pasivos</t>
    </r>
  </si>
  <si>
    <t>FACULTAD DE CIENCIAS SOCIALES</t>
  </si>
  <si>
    <r>
      <rPr>
        <b/>
        <sz val="10"/>
        <color rgb="FFFF0000"/>
        <rFont val="Arial Narrow"/>
        <family val="2"/>
      </rPr>
      <t>METAS OPERATIVAS</t>
    </r>
    <r>
      <rPr>
        <b/>
        <sz val="9"/>
        <color theme="1"/>
        <rFont val="Arial Narrow"/>
        <family val="2"/>
      </rPr>
      <t xml:space="preserve">
1.-</t>
    </r>
    <r>
      <rPr>
        <sz val="10"/>
        <color theme="1"/>
        <rFont val="Arial Narrow"/>
        <family val="2"/>
      </rPr>
      <t xml:space="preserve"> Monitorear la ejecución de eventos de capacitación para desarrollar competencias en los docentes de la Facultad</t>
    </r>
  </si>
  <si>
    <t xml:space="preserve">Directrices para garantizar la ejecución de los procesos administrativos
y académicos emitidas. </t>
  </si>
  <si>
    <t>N° de directrices emitidas garantizando la ejecución de los procesos administrativos y académicos</t>
  </si>
  <si>
    <t>1. Convocar a reuniones.
2. Emitir actos de simple administración
3. Presidir el Consejo Directivo
4. Coordinar y supervisar la ejecución del POA
5. Distribuir la atención de peticiones y trámites administrativos y académicos</t>
  </si>
  <si>
    <t>1. Registro de asistencia a reuniones
2. Convocatorias a Consejo Directivo
3. Actos de simple administración
4. Informe de rendición de cuentas</t>
  </si>
  <si>
    <t>*  Abg. José Correa Calderón,
  Decano
* Lcda. Marina Cabrera Sánchez
  Analista Administrativa
* Ab. Servio Ordoñez
  Secretario Abogado</t>
  </si>
  <si>
    <t>2.- Supervisar y ejecutar los procesos administrativos y académicos.</t>
  </si>
  <si>
    <t xml:space="preserve">N° de supervisiones ejecutadas de los procesos ejecutados </t>
  </si>
  <si>
    <t>1. Enviar comunicaciones y notificaciones internas y a organismos externos.
2. Convocar a reuniones.</t>
  </si>
  <si>
    <t>1. Comunicaciones enviadas.
2. Registro de asistencia a reuniones.</t>
  </si>
  <si>
    <t>* Abg. José Correa Calderón,
Decano
* Lcda. Marina Cabrera Sánchez
Analista Administrativa
* Lic. Danny Guadalupe, Administrador de Bienes</t>
  </si>
  <si>
    <t xml:space="preserve"> Lentes de cámaras</t>
  </si>
  <si>
    <r>
      <rPr>
        <b/>
        <sz val="9"/>
        <color theme="1"/>
        <rFont val="Arial Narrow"/>
        <family val="2"/>
      </rPr>
      <t>3.-</t>
    </r>
    <r>
      <rPr>
        <sz val="10"/>
        <color theme="1"/>
        <rFont val="Arial Narrow"/>
        <family val="2"/>
      </rPr>
      <t xml:space="preserve"> Gestionar la Propuesta del distributivo académico en conjunto con los Subdecanatos.</t>
    </r>
  </si>
  <si>
    <t>Propuesta del distributivo académico en conjunto con los
Subdecanatos, gestionada</t>
  </si>
  <si>
    <t>N° de Distributivos Académicos Aprobados.</t>
  </si>
  <si>
    <t>1.- Revisar con Subdecanato el Distributivo Académico de la Facultad.
2.- Aprobar por Consejo Directivo el Distributivo Académico.</t>
  </si>
  <si>
    <t>1.- Resolución de Consejo Directivo de Aprobación del Distributivo Académico.</t>
  </si>
  <si>
    <t>*  Abg. José Correa Calderón,
  Decano
* Lcda. Marina Cabrera Sanchez
  Analista Administrativa
* Lic. Rosa Caamaño Zambrano, Subdecana</t>
  </si>
  <si>
    <r>
      <rPr>
        <b/>
        <sz val="9"/>
        <color theme="1"/>
        <rFont val="Arial Narrow"/>
        <family val="2"/>
      </rPr>
      <t>4.-</t>
    </r>
    <r>
      <rPr>
        <sz val="10"/>
        <color theme="1"/>
        <rFont val="Arial Narrow"/>
        <family val="2"/>
      </rPr>
      <t xml:space="preserve"> Supervisar la ejecución de las convocatorias a los consejos de facultad.</t>
    </r>
  </si>
  <si>
    <t xml:space="preserve">1.- Revisar  la documentación para reuniones de Consejo Directivo.
</t>
  </si>
  <si>
    <t>2. Convocatorias a Consejo Directivo</t>
  </si>
  <si>
    <t>*  Abg. José Correa Calderón,
  Decano
* Abg. Servio Ordóñez Mendoza,  Secretario Abogado</t>
  </si>
  <si>
    <r>
      <rPr>
        <b/>
        <sz val="9"/>
        <color theme="1"/>
        <rFont val="Arial Narrow"/>
        <family val="2"/>
      </rPr>
      <t>5.-</t>
    </r>
    <r>
      <rPr>
        <sz val="10"/>
        <color theme="1"/>
        <rFont val="Arial Narrow"/>
        <family val="2"/>
      </rPr>
      <t xml:space="preserve"> Gestionar los Procesos que garantizan el cumplimiento de las funciones sustantivas de la educación superior: docencia, investigación y vinculación.</t>
    </r>
  </si>
  <si>
    <t>N° de procesos de cumplimiento de las funciones sustantivas de la educación superior.</t>
  </si>
  <si>
    <t>1. Impulsar la creación del Proyecto de Vinculación "Centro de atención psicológico y psicopedagógico - CAP".
2. Mejorar los espacios destinados a las actividades de investigación formativa.
3. Fortalecer la infraestructura tecnológica para los procesos de investigación en las carreras de pedagogías.
4. Contratar licencias de base de datos para los procesos de investigación.</t>
  </si>
  <si>
    <t>1. Resolución de aprobación del Proyecto de Vinculación "Centro de Desarrollo Psico-educativo".
2. Contratos de adquisición de bienes, prestación de servicios y/o construcción de obras.</t>
  </si>
  <si>
    <t xml:space="preserve">*  Abg. José Correa Calderón,
  Decano
</t>
  </si>
  <si>
    <t>Proyecto de vinculación "Centro de atención psicológico y psicopedagógico - CAP".</t>
  </si>
  <si>
    <t>Legos de construcción para niños</t>
  </si>
  <si>
    <t>Pelotas</t>
  </si>
  <si>
    <t>Muñecos</t>
  </si>
  <si>
    <t xml:space="preserve">Láminas números, dibujos, letras, etc </t>
  </si>
  <si>
    <t xml:space="preserve">	385500011</t>
  </si>
  <si>
    <t>Rompecabezas Didáctico Preescolar Bebé</t>
  </si>
  <si>
    <t>Pop It Rompecabezas Juguete Sensorial</t>
  </si>
  <si>
    <t>Rompecabeza infantil de madera</t>
  </si>
  <si>
    <t>Abacus Educativo</t>
  </si>
  <si>
    <t>Pelotas saltarinas para niños</t>
  </si>
  <si>
    <t>Pliego de Fomix De Colores</t>
  </si>
  <si>
    <t>Cubos De Estimulación Multicubos Didacticos</t>
  </si>
  <si>
    <t>Jenga con bloques de madera</t>
  </si>
  <si>
    <t>Fichas pedagógicas</t>
  </si>
  <si>
    <t>Puzzles infantiles</t>
  </si>
  <si>
    <t>Letras artesanales de madera</t>
  </si>
  <si>
    <t>Test Wisc</t>
  </si>
  <si>
    <t>Test wais</t>
  </si>
  <si>
    <t>Test rias</t>
  </si>
  <si>
    <t xml:space="preserve">Test lecto escritura  </t>
  </si>
  <si>
    <t>Test batel</t>
  </si>
  <si>
    <t>Test cumanes</t>
  </si>
  <si>
    <t>Test cumanin</t>
  </si>
  <si>
    <t>ADQUISICIÓN DE SOFÁ TIPO DIVÁN PARA ATENCIÓN PSICOLÓGICA PARA LA FACULTAD DE CIENCIAS SOCIALES</t>
  </si>
  <si>
    <t>Mobiliarios para la biblioteca del campus Machala</t>
  </si>
  <si>
    <t>Compra</t>
  </si>
  <si>
    <t>Silla Yute color azul</t>
  </si>
  <si>
    <t>MOBILIARIOS PARA EL CENTRO DE ATENCIÓN PSICOPEDAGÓGICO Y PSICOLÓGICO DE LA FACULTAD DE CIENCIAS SOCIALES</t>
  </si>
  <si>
    <t>Adquisición de materiales de oficina</t>
  </si>
  <si>
    <t>83 - Formación y gestión académica</t>
  </si>
  <si>
    <t>Bienes Prefabricados (Inmuebles)</t>
  </si>
  <si>
    <t>Adquisición de aulas prefabricadas para suplir el déficit de espacios físicos para las actividades académicas y administrativas producido por el sismo del 18 de marzo de 2023 en las Facultades de Ciencias Sociales, Ciencias Empresariales y Ciencias Agropecuarias</t>
  </si>
  <si>
    <t>Laptop  I7 de 15p</t>
  </si>
  <si>
    <t>Adquisición de computadoras de escritorio, portátil, impresoras, para la Facultad de Ciencias Sociales</t>
  </si>
  <si>
    <t>Dispensador de agua</t>
  </si>
  <si>
    <t xml:space="preserve">	473130022</t>
  </si>
  <si>
    <t xml:space="preserve">Televisor de 55p </t>
  </si>
  <si>
    <t xml:space="preserve">	4391301112</t>
  </si>
  <si>
    <t>ADQUISICIÓN DE TELEVISORES PARA LAS AULAS DE LA FACULTAD DE CIENCIAS SOCIALES</t>
  </si>
  <si>
    <t>Adecuación en sala de reuniones y subdecanato en sede matriz</t>
  </si>
  <si>
    <t>Adecuaciones para soportes y seguridad de tv y espacios de adecentamiento de la Facultad_x000D_</t>
  </si>
  <si>
    <t>servicio</t>
  </si>
  <si>
    <r>
      <rPr>
        <b/>
        <sz val="9"/>
        <color theme="1"/>
        <rFont val="Arial Narrow"/>
        <family val="2"/>
      </rPr>
      <t>6.-</t>
    </r>
    <r>
      <rPr>
        <sz val="10"/>
        <color theme="1"/>
        <rFont val="Arial Narrow"/>
        <family val="2"/>
      </rPr>
      <t xml:space="preserve"> Presentar el Informe de Rendición de Cuentas.</t>
    </r>
  </si>
  <si>
    <t>N° de Informe de Rendición de Cuentas presentado.</t>
  </si>
  <si>
    <t>1.- Elaborar el Informe de Rendición de Cuenta.</t>
  </si>
  <si>
    <t>1.- Informe de Rendición de Cuenta.</t>
  </si>
  <si>
    <r>
      <rPr>
        <b/>
        <sz val="9"/>
        <color theme="1"/>
        <rFont val="Arial Narrow"/>
        <family val="2"/>
      </rPr>
      <t>7.-</t>
    </r>
    <r>
      <rPr>
        <sz val="10"/>
        <color theme="1"/>
        <rFont val="Arial Narrow"/>
        <family val="2"/>
      </rPr>
      <t xml:space="preserve"> Gestionar trámite de licencias solicitadas por el personal docente y administrativo.</t>
    </r>
  </si>
  <si>
    <t>Licencias solicitadas por el personal docente y administrativo, 
gestionadas.</t>
  </si>
  <si>
    <t>N° de licencias justificadas y gestionadas.</t>
  </si>
  <si>
    <t xml:space="preserve">
1.- Gestionar ante autoridades las solicitudes de permiso, licencias y avales por parte de los docentes y servidores.</t>
  </si>
  <si>
    <t>1.- Solicitudes de licencias y permisos.
2. Actos de simple administración.</t>
  </si>
  <si>
    <t>*  Abg. José Correa Calderón,
  Decano
* Lcda. Marina Cabrera Sánchez
  Analista Administrativa</t>
  </si>
  <si>
    <r>
      <rPr>
        <b/>
        <sz val="9"/>
        <color theme="1"/>
        <rFont val="Arial Narrow"/>
        <family val="2"/>
      </rPr>
      <t>8.-</t>
    </r>
    <r>
      <rPr>
        <sz val="10"/>
        <color theme="1"/>
        <rFont val="Arial Narrow"/>
        <family val="2"/>
      </rPr>
      <t xml:space="preserve"> Coordinar y gestionar el Proceso de contratación de personal docente para las carreras o programas vigentes en la Facultad.</t>
    </r>
  </si>
  <si>
    <t>Proceso de contratación de personal docente para las carreras o
programas vigentes en la Facultad, coordinado.</t>
  </si>
  <si>
    <t>*  Abg. José Correa Calderón,
  Decano
 * Abg. Servio Ordóñez Mendoza,
  Secretario</t>
  </si>
  <si>
    <r>
      <rPr>
        <b/>
        <sz val="9"/>
        <color theme="1"/>
        <rFont val="Arial Narrow"/>
        <family val="2"/>
      </rPr>
      <t>9.-</t>
    </r>
    <r>
      <rPr>
        <sz val="10"/>
        <color theme="1"/>
        <rFont val="Arial Narrow"/>
        <family val="2"/>
      </rPr>
      <t xml:space="preserve"> Emitir criterios técnicos para la sustentación de las decisiones adoptadas a nivel de facultad.</t>
    </r>
  </si>
  <si>
    <t>Criterios técnicos para la sustentación de las decisiones adoptadas a
nivel de facultad emitidos.</t>
  </si>
  <si>
    <t>N° de criterios técnicos para la sustentación de las decisiones adoptadas a nivel de facultad emitidos.</t>
  </si>
  <si>
    <t>1.- Elaborar informes técnicos.</t>
  </si>
  <si>
    <t>1.- Actos de simple administración</t>
  </si>
  <si>
    <r>
      <rPr>
        <b/>
        <sz val="9"/>
        <color theme="1"/>
        <rFont val="Arial Narrow"/>
        <family val="2"/>
      </rPr>
      <t>10.-</t>
    </r>
    <r>
      <rPr>
        <sz val="10"/>
        <color theme="1"/>
        <rFont val="Arial Narrow"/>
        <family val="2"/>
      </rPr>
      <t xml:space="preserve"> Supervisar las Gestiones efectuadas por el Subdecanato, los Coordinadores de Carrera, personal académico y administrativo de la Facultad.</t>
    </r>
  </si>
  <si>
    <t>N° de supervisiones ejecutadas a los procesos administrativos y académicos.</t>
  </si>
  <si>
    <t>1.- Supervisar las gestiones efectuadas por el Subdecano, coordinador académico y coordinadores de carrera
4.- Supervisar la gestión del jefes de la UMMOG</t>
  </si>
  <si>
    <t>*  Abg. José Correa Calderón,
  Decano
* Lcda. Rosa Caamaño Zambrano
  Subdecana
* Dr. Julio Cisneros León, Jefe de UMMOG</t>
  </si>
  <si>
    <r>
      <rPr>
        <b/>
        <sz val="9"/>
        <color theme="1"/>
        <rFont val="Arial Narrow"/>
        <family val="2"/>
      </rPr>
      <t>11.-</t>
    </r>
    <r>
      <rPr>
        <sz val="10"/>
        <color theme="1"/>
        <rFont val="Arial Narrow"/>
        <family val="2"/>
      </rPr>
      <t xml:space="preserve"> Supervisar la asistencia y permanencia de los servidores.</t>
    </r>
  </si>
  <si>
    <t>Asistencia y permanencia de los servidores supervisadas.</t>
  </si>
  <si>
    <t>N° de Supervisiones de asistencia y permanencia de los servidores realizadas.</t>
  </si>
  <si>
    <t xml:space="preserve">1.- Receptar las solicitudes de permiso del personal administrativo y académico
2.- Redactar y tramitar ante autoridades las solicitudes de permiso licencias y avales por parte de los servidores de la facultad
3.- Suscribir la matriz de justificación de inasistencia de los servidores	</t>
  </si>
  <si>
    <t>1.-  Reporte de justificación de inasistencia</t>
  </si>
  <si>
    <r>
      <rPr>
        <b/>
        <sz val="9"/>
        <color theme="1"/>
        <rFont val="Arial Narrow"/>
        <family val="2"/>
      </rPr>
      <t>12.-</t>
    </r>
    <r>
      <rPr>
        <sz val="10"/>
        <color theme="1"/>
        <rFont val="Arial Narrow"/>
        <family val="2"/>
      </rPr>
      <t xml:space="preserve"> Presentar la Planificación Operativa Anual y Evaluar la Planificación Operativa Anual.</t>
    </r>
  </si>
  <si>
    <t>N° de Planificaciones Operativas Anuales y Evaluaciones del POA entregadas.</t>
  </si>
  <si>
    <t>1.- Elaborar los planes operativos anuales del Decanato.
2.- Elaborar las evaluaciones al POA del Decanato.
3.- Remitir oportunamente a la Dir. Planificación, los planes operativos anuales y sus evaluaciones.</t>
  </si>
  <si>
    <t>1.-Plan operativo anual 2023
2.- Evaluación del POA 2023.
3.- Plan operativo anual 2024</t>
  </si>
  <si>
    <t>*  Abg. José Correa Calderón,
Decano
* Lic Danny Guadalupe Administrador de Bienes</t>
  </si>
  <si>
    <r>
      <rPr>
        <b/>
        <sz val="9"/>
        <color theme="1"/>
        <rFont val="Arial Narrow"/>
        <family val="2"/>
      </rPr>
      <t>13.-</t>
    </r>
    <r>
      <rPr>
        <sz val="10"/>
        <color theme="1"/>
        <rFont val="Arial Narrow"/>
        <family val="2"/>
      </rPr>
      <t xml:space="preserve"> Organizar el Archivo de Gestión del año 2019.</t>
    </r>
  </si>
  <si>
    <t>N° de Cajas registradas en el inventario documental del Decanato.</t>
  </si>
  <si>
    <t>1.- Sistematizar la documentación semestralmente.
2.- Organizar e inventariar la documentación.</t>
  </si>
  <si>
    <t>1.- Inventario Documental Digital.</t>
  </si>
  <si>
    <t>* Lcda. Marina Cabrera Sánchez
  Analista Administrativa</t>
  </si>
  <si>
    <r>
      <rPr>
        <b/>
        <sz val="10"/>
        <color rgb="FFFF0000"/>
        <rFont val="Arial Narrow"/>
        <family val="2"/>
      </rPr>
      <t>METAS OPERATIVAS</t>
    </r>
    <r>
      <rPr>
        <b/>
        <sz val="9"/>
        <color theme="1"/>
        <rFont val="Arial Narrow"/>
        <family val="2"/>
      </rPr>
      <t xml:space="preserve">
1.-</t>
    </r>
    <r>
      <rPr>
        <sz val="10"/>
        <color theme="1"/>
        <rFont val="Arial Narrow"/>
        <family val="2"/>
      </rPr>
      <t xml:space="preserve"> Emitir o actualizar los Procedimientos Académicos internos estandarizados.</t>
    </r>
  </si>
  <si>
    <t>1.- Coordinar con Directores Académicos de Carrera los procedimientos académicos internos.</t>
  </si>
  <si>
    <t>1.- Reporte de los procedimientos académicos internos emitidos</t>
  </si>
  <si>
    <t>* Lic. Rosa Caamaño Zambrano, Subdecana
* Lic. Liz Cedillo, Analista Académico</t>
  </si>
  <si>
    <t>Procedimientos Académicos:
1.- Distributivo
2.- Sílabos.
3.- Evaluación integral del desempeño docente.
(I. Dist-Siabol/II. Eval/III. Dist.silabo.Eval)</t>
  </si>
  <si>
    <r>
      <rPr>
        <b/>
        <sz val="9"/>
        <color theme="1"/>
        <rFont val="Arial Narrow"/>
        <family val="2"/>
      </rPr>
      <t>2.-</t>
    </r>
    <r>
      <rPr>
        <sz val="10"/>
        <color theme="1"/>
        <rFont val="Arial Narrow"/>
        <family val="2"/>
      </rPr>
      <t xml:space="preserve"> Convocar y presidir Sesiones de Comisión Académica de la Facultad.</t>
    </r>
  </si>
  <si>
    <t>1.- Convocar y presidir las sesiones de Comisión Académica de la Facultad.
2.- Supervisar los procesos de recepción y despacho de documentación que se generan en las sesiones de Comisión Académica.</t>
  </si>
  <si>
    <t>1.- Reporte de documentos emitidos por Comisión Académica FCS.</t>
  </si>
  <si>
    <t>Documentos:
1.- Convocatorias.
2.- Resoluciones u oficios.
3.- Actas de Sesiones.</t>
  </si>
  <si>
    <r>
      <rPr>
        <b/>
        <sz val="9"/>
        <color theme="1"/>
        <rFont val="Arial Narrow"/>
        <family val="2"/>
      </rPr>
      <t>3.-</t>
    </r>
    <r>
      <rPr>
        <sz val="10"/>
        <color theme="1"/>
        <rFont val="Arial Narrow"/>
        <family val="2"/>
      </rPr>
      <t xml:space="preserve"> Orientar y supervisar las propuestas para la creación, fusión y extinción de carreras y programas, así como los planes de estudios de las mismas emanados del trabajo de rediseño curricular.</t>
    </r>
  </si>
  <si>
    <t>N° de propuesta presentadas y aprobadas.</t>
  </si>
  <si>
    <t>1.- Realizar propuestas de conformidad a lo solicitado por los organismos pertinentes.</t>
  </si>
  <si>
    <t>1.- Reporte de propuestas presentadas y aprobadas.</t>
  </si>
  <si>
    <t>*  Lic. Rosa Caamaño Zambrano, Subdecana
* Directores de Carreras
* Analista Administrativo del Subdecanato</t>
  </si>
  <si>
    <t>Esta meta se desarrollará siempre y cuando existan propuestas o resoluciones por parte de los organismos pertinentes, quienes disponen la correspondiente creación, fusión o extensión de carreras y programas, así como los planes de estudios.</t>
  </si>
  <si>
    <r>
      <rPr>
        <b/>
        <sz val="9"/>
        <color theme="1"/>
        <rFont val="Arial Narrow"/>
        <family val="2"/>
      </rPr>
      <t>4.-</t>
    </r>
    <r>
      <rPr>
        <sz val="10"/>
        <color theme="1"/>
        <rFont val="Arial Narrow"/>
        <family val="2"/>
      </rPr>
      <t xml:space="preserve"> Supervisar la ejecución de los procesos académicos y administrativos.</t>
    </r>
  </si>
  <si>
    <t>1.- Constatar nómina de docentes con carga horaria en GEAC.
2.- Revisar cumplimiento de subida de  documentos en las carpetas de portafolio docente (drive institucional)</t>
  </si>
  <si>
    <t>1.- Reporte de Seguimiento de carga de evidencias del portafolio profesor en el drive institucional</t>
  </si>
  <si>
    <t>* Lic. Rosa Caamaño Zambrano, Subdecana
* Directores de Carreras
* Analista Administrativo del Subdecanato
* Comité de evaluación interna de carrera.
* Docentes con carga horaria en GEAC</t>
  </si>
  <si>
    <t>Revisar cumplimiento de la subida de documentos en carpetas de portafolio docente (drive institucional), reporte que emite la Dirección de Aseguramiento de la Calidad y Directores Académicos de carreras.</t>
  </si>
  <si>
    <r>
      <rPr>
        <b/>
        <sz val="9"/>
        <color theme="1"/>
        <rFont val="Arial Narrow"/>
        <family val="2"/>
      </rPr>
      <t>5.-</t>
    </r>
    <r>
      <rPr>
        <sz val="10"/>
        <color theme="1"/>
        <rFont val="Arial Narrow"/>
        <family val="2"/>
      </rPr>
      <t xml:space="preserve"> Elaborar distributivos, horarios y el calendario académico.</t>
    </r>
  </si>
  <si>
    <t>N° de Distributivos y horarios coordinados y supervisados.</t>
  </si>
  <si>
    <t>1.- Coordinar y supervisar el proceso de elaboración e ingreso al SIUTMACH de los distributivos y horarios.</t>
  </si>
  <si>
    <t>1.- Reporte de la coordinación y supervisión de elaboración de distributivos y horarios.</t>
  </si>
  <si>
    <t>* Lic. Rosa Caamaño Zambrano, Subdecana
* Directores de Carreras
* Lic. Liz Cedillo, Analista Académico
* Analista Administrativo del Subdecanato</t>
  </si>
  <si>
    <t>Revisar cumplimiento de la subida de documentos en carpetas de portafolio docente (drive institucional), reporte que emite la Dirección de Aseguramiento de la Calidad y Directores Académicos de carreras</t>
  </si>
  <si>
    <r>
      <rPr>
        <b/>
        <sz val="9"/>
        <color theme="1"/>
        <rFont val="Arial Narrow"/>
        <family val="2"/>
      </rPr>
      <t>6.-</t>
    </r>
    <r>
      <rPr>
        <sz val="10"/>
        <color theme="1"/>
        <rFont val="Arial Narrow"/>
        <family val="2"/>
      </rPr>
      <t xml:space="preserve"> Monitorear actividades académicas que se realizan en los diferentes laboratorios, aulas y unidades académicas experimentales de la Facultad.</t>
    </r>
  </si>
  <si>
    <t>N° de informes de actividades realizadas.</t>
  </si>
  <si>
    <t>1.- Supervisar el uso de las salas de TICs.
2.- Coordinar el mantenimiento y provisión de las salas tics de la Facultad.
3.- Administrar el uso de salas de TIC.
4.- Facilitar los servicios que la Facultad brinda a otras instituciones o personas naturales.
5.- Realizar inventario general actualizado de las salas tics.
6.- Informar sobre las actividades realizadas dentro del departamento de administración de salas tics.</t>
  </si>
  <si>
    <t>1.- Reporte de actividades que se realizan en salas tics. (6 salas de Tics).</t>
  </si>
  <si>
    <t>* Segundo Guillermo Bermúdez Roque, Administrador de las 6 Salas de Tics</t>
  </si>
  <si>
    <t>Esta meta se desarrollará de acuerdo a las planificaciones de las carreras, ya que nos encontramos en modalidad de estudios híbrida por motivos de pandemia.
(La misma meta ha sido considerada en el punto 13)</t>
  </si>
  <si>
    <r>
      <rPr>
        <b/>
        <sz val="9"/>
        <color theme="1"/>
        <rFont val="Arial Narrow"/>
        <family val="2"/>
      </rPr>
      <t>7.-</t>
    </r>
    <r>
      <rPr>
        <sz val="10"/>
        <color theme="1"/>
        <rFont val="Arial Narrow"/>
        <family val="2"/>
      </rPr>
      <t xml:space="preserve"> Emitir documentos de planificación académica y curricular.</t>
    </r>
  </si>
  <si>
    <t>Nº de planificaciones académicas administrativas coordinadas</t>
  </si>
  <si>
    <t>1. Elaborar la planificación académica administrativa de la FCS.</t>
  </si>
  <si>
    <t>1. Planificación académica administrativa de la FCS.</t>
  </si>
  <si>
    <t>* Lic. Rosa Caamaño Zambrano, Subdecana
* Directores  de Carreras
* Lic. Liz Cedillo, Analista Académico
* Analista Administrativo del Subdecanato</t>
  </si>
  <si>
    <t>1. Planificación académica administrativa que se elabora cada año</t>
  </si>
  <si>
    <r>
      <rPr>
        <b/>
        <sz val="9"/>
        <color theme="1"/>
        <rFont val="Arial Narrow"/>
        <family val="2"/>
      </rPr>
      <t>8.-</t>
    </r>
    <r>
      <rPr>
        <sz val="10"/>
        <color theme="1"/>
        <rFont val="Arial Narrow"/>
        <family val="2"/>
      </rPr>
      <t xml:space="preserve"> Supervisar el logro de resultados o avances de procesos académicos, de Investigación y de vinculación con la sociedad.</t>
    </r>
  </si>
  <si>
    <t>Nº de proyectos de investigación y vinculación con la sociedad coordinados.</t>
  </si>
  <si>
    <t>1.- Asignar horas de investigación y de vinculación en el Distributivo Académico de acuerdo a las sugerencias de las Direcciones correspondientes.
2.- Solicitar los informes de resultados o avances de los proyectos de investigación y vinculación con la sociedad.</t>
  </si>
  <si>
    <t>1.- Reporte del estado actual de resultados o avances de los proyectos de Investigación y de vinculación con la sociedad.</t>
  </si>
  <si>
    <t>* Lic. Rosa Caamaño Zambrano, Subdecana
* Directores de Carreras
* Lic. Liz Cedillo, Analista Académico</t>
  </si>
  <si>
    <t>En esta meta estarán considerados sólo los proyectos de investigación y vinculación.</t>
  </si>
  <si>
    <r>
      <rPr>
        <b/>
        <sz val="9"/>
        <color theme="1"/>
        <rFont val="Arial Narrow"/>
        <family val="2"/>
      </rPr>
      <t>9.-</t>
    </r>
    <r>
      <rPr>
        <sz val="10"/>
        <color theme="1"/>
        <rFont val="Arial Narrow"/>
        <family val="2"/>
      </rPr>
      <t xml:space="preserve"> Evaluar al personal administrativo bajo su responsabilidad.</t>
    </r>
  </si>
  <si>
    <t>1.- Formularios de Evaluación aplicado.</t>
  </si>
  <si>
    <t>* Lic. Rosa Caamaño Zambrano, Subdecana</t>
  </si>
  <si>
    <t>Se realizara evaluación a: Guillermo Bermudez, Liz Cedillo, Patricia Velastegui y al personal contratado desde Subdecanato</t>
  </si>
  <si>
    <r>
      <rPr>
        <b/>
        <sz val="9"/>
        <color theme="1"/>
        <rFont val="Arial Narrow"/>
        <family val="2"/>
      </rPr>
      <t>10.-</t>
    </r>
    <r>
      <rPr>
        <sz val="10"/>
        <color theme="1"/>
        <rFont val="Arial Narrow"/>
        <family val="2"/>
      </rPr>
      <t xml:space="preserve"> Coordinar el Proceso referente a las pasantías y prácticas pre-profesionales de las y los estudiantes de las carreras de pregrado.</t>
    </r>
  </si>
  <si>
    <t>Nº de planes de pasantías y prácticas pre-profesionales de las carreras de pregrado coordinados.</t>
  </si>
  <si>
    <t>1.- Coordinar el proceso para la elaboración y aprobación de los Planes Semestrales  para el desarrollo de las prácticas de vinculación y pasantías preprofesionales con las carreras de la Facultad.</t>
  </si>
  <si>
    <t>1.- Reporte de Planes de pasantías y prácticas pre-profesionales de las carreras de pregrado aprobados.</t>
  </si>
  <si>
    <t>* Lic. Rosa Caamaño Zambrano,  Subdecana
* Directores Académicos de Carreras
* Ing. Patricia Velastegui, Analista Académico</t>
  </si>
  <si>
    <t>El proceso se refiere a:
Aprobación de Planes Semestrales de Pasantías y Prácticas Pre-profesionales presentadas por los Directores Académicos de Carreras.</t>
  </si>
  <si>
    <r>
      <rPr>
        <b/>
        <sz val="9"/>
        <color theme="1"/>
        <rFont val="Arial Narrow"/>
        <family val="2"/>
      </rPr>
      <t>11.-</t>
    </r>
    <r>
      <rPr>
        <sz val="10"/>
        <color theme="1"/>
        <rFont val="Arial Narrow"/>
        <family val="2"/>
      </rPr>
      <t xml:space="preserve"> Controlar la ejecución de los procesos de titulación.</t>
    </r>
  </si>
  <si>
    <t>Nº de reportes de los procesos de titulación controlados.</t>
  </si>
  <si>
    <t xml:space="preserve">
1.- Adoptar resoluciones por  Comisión Académica de asignación de tutores y Comité Evaluador.
2.- Aprobación de aptitud legal
3.- Solicitar y/o receptar reportes de número de graduados a la UMMOG.</t>
  </si>
  <si>
    <t>1.- Reportes de los procesos de titulación</t>
  </si>
  <si>
    <t>* Lic. Rosa Caamaño Zambrano,   Subdecana
* Jefatura de UMMOG
* Directores Académicos de Carreras
* Ing. Patricia Velastegui,
  Analista Académico</t>
  </si>
  <si>
    <t>Los reportes  son remitidos por la UMMOG-FCS</t>
  </si>
  <si>
    <r>
      <rPr>
        <b/>
        <sz val="9"/>
        <color theme="1"/>
        <rFont val="Arial Narrow"/>
        <family val="2"/>
      </rPr>
      <t>12.-</t>
    </r>
    <r>
      <rPr>
        <sz val="10"/>
        <color theme="1"/>
        <rFont val="Arial Narrow"/>
        <family val="2"/>
      </rPr>
      <t xml:space="preserve"> Ejecutar el proceso de evaluación integral del desempeño docente de acuerdo a las directrices emitidas a nivel institucional.</t>
    </r>
  </si>
  <si>
    <t>Nº de evaluaciones integrales del desempeño docente ejecutadas</t>
  </si>
  <si>
    <t>1.- Aprobar la matriz de comisiones para el proceso de evaluación integral del desempeño docente.
2.- Adoptar resoluciones.
3.- Elaborar horarios para el desarrollo del proceso de  evaluación.
4.- Notificar a miembros de Comisión.
5.- Compartir drive con miembros de Comisiones
6.- Generar resultados.</t>
  </si>
  <si>
    <t>1.- Reporte de la planificación y ejecución del proceso de evaluación integral del desempeño docente.</t>
  </si>
  <si>
    <t>* Lic. Rosa Caamaño Zambrano,   Subdecana
* Directores Académicos de Carreras
* Comisiones de evaluación
* Ing. Patricia Velastegui,
  Analista Académico
* Analista Administrativo del Subdecanato</t>
  </si>
  <si>
    <r>
      <rPr>
        <b/>
        <sz val="9"/>
        <color theme="1"/>
        <rFont val="Arial Narrow"/>
        <family val="2"/>
      </rPr>
      <t>14.-</t>
    </r>
    <r>
      <rPr>
        <sz val="10"/>
        <color theme="1"/>
        <rFont val="Arial Narrow"/>
        <family val="2"/>
      </rPr>
      <t xml:space="preserve"> Coordinar las actividades culturales, deportivas, sociales, y proyectos de
responsabilidad social e influencia en políticas públicas</t>
    </r>
  </si>
  <si>
    <t>Actividades culturales, deportivas, sociales, y proyectos de
responsabilidad social e influencia en políticas públicas coordinadas.</t>
  </si>
  <si>
    <t>Nº de propuestas de actividades coordinadas y aprobadas</t>
  </si>
  <si>
    <t>1.- Receptar propuestas de actividades culturales, sociales de parte de los Directores Académicos de Carrera
2.- Adoptar resolución por Comisión Académica para desarrollo de eventos</t>
  </si>
  <si>
    <t>1.- Reporte de propuestas de actividades desarrolladas por las Carreras</t>
  </si>
  <si>
    <t>* Lic. Rosa Caamaño Zambrano,   Subdecana
* Directores Académicos de Carrera
* Analista Administrativo del Subdecanato</t>
  </si>
  <si>
    <t>La meta 13 se repite en la meta 6
Se refiere a: 
Actividades extracurriculares que realizan las carreras y se encuentran en Calendario Académico.</t>
  </si>
  <si>
    <t>15.- Conocer y atender los requerimientos estudiantiles respecto al área académica y docente.</t>
  </si>
  <si>
    <t>* Lic. Rosa Caamaño Zambrano,   Subdecana
* Ing. Patricia Velastegui, Analista Académico
* Analista Administrativo del Subdecanato</t>
  </si>
  <si>
    <t>1. Certificaciones solicitadas por estudiantes y docentes
2.  Estudios de homologaciones
3. Planes remediales</t>
  </si>
  <si>
    <r>
      <rPr>
        <b/>
        <sz val="9"/>
        <color theme="1"/>
        <rFont val="Arial Narrow"/>
        <family val="2"/>
      </rPr>
      <t>16.-</t>
    </r>
    <r>
      <rPr>
        <sz val="10"/>
        <color theme="1"/>
        <rFont val="Arial Narrow"/>
        <family val="2"/>
      </rPr>
      <t xml:space="preserve"> Presentar la Planificación Operativa Anual y Evaluación de la Planificación Operativa Anual.</t>
    </r>
  </si>
  <si>
    <t>1.- Elaborar el plan operativo anual del Subdecanato.
2.- Elaborar la evaluación al POA del Subdecanato.
3.- Remitir al Decanato el plan operativo anual y su evaluación.</t>
  </si>
  <si>
    <t>1.-Plan operativo anual 2024
2.- Evaluación del POA. 2023</t>
  </si>
  <si>
    <t>* Lic. Rosa Caamaño Zambrano,   Subdecana
* Ing. Patricia Velastegui,
  Analista Académico
* Analista Administrativo del Subdecanato</t>
  </si>
  <si>
    <r>
      <rPr>
        <b/>
        <sz val="9"/>
        <color theme="1"/>
        <rFont val="Arial Narrow"/>
        <family val="2"/>
      </rPr>
      <t>17-</t>
    </r>
    <r>
      <rPr>
        <sz val="10"/>
        <color theme="1"/>
        <rFont val="Arial Narrow"/>
        <family val="2"/>
      </rPr>
      <t xml:space="preserve"> Organizar el Archivo de Gestión.</t>
    </r>
  </si>
  <si>
    <t>1.- Inventario Documental Digital</t>
  </si>
  <si>
    <t>* Lic. Liz. Cedillo Camacho,
  Analista Académico</t>
  </si>
  <si>
    <t>Se realizará inventario del año 2022 de forma digital</t>
  </si>
  <si>
    <r>
      <rPr>
        <b/>
        <sz val="10"/>
        <color rgb="FFFF0000"/>
        <rFont val="Arial Narrow"/>
        <family val="2"/>
      </rPr>
      <t>METAS OPERATIVAS</t>
    </r>
    <r>
      <rPr>
        <b/>
        <sz val="9"/>
        <color theme="1"/>
        <rFont val="Arial Narrow"/>
        <family val="2"/>
      </rPr>
      <t xml:space="preserve">
1.-</t>
    </r>
    <r>
      <rPr>
        <sz val="10"/>
        <color theme="1"/>
        <rFont val="Arial Narrow"/>
        <family val="2"/>
      </rPr>
      <t xml:space="preserve"> Coordinar y ejecutar los Procesos de Matriculación.</t>
    </r>
  </si>
  <si>
    <t>1.- Coordinar y planificar el proceso de matrícula a nivel de facultad.
2.- Revisar requisitos, cartilla y datos cargados en el SIUTMACH.
3.- Validar las matrículas de los estudiantes.
4.- Seleccionar fecha de inicio de estudios de expedientes históricos.
5.- Generar la matrícula y orden de pago de los estudiantes con menos del 60%, tercera matricula, matricula especial, plan de reingreso.
6.- Revisar curso, cupo y paralelo en periodos de matrículas.
7.- Crear registros de carrera de expedientes históricos.
8.- Actualizar datos en el SIUTMACH.
9.- Anular órdenes de pago en el SIUTMACH.
10.- Anular matrículas aprobadas por Consejo Universitario.
11- Atender a usuarios internos y externos.</t>
  </si>
  <si>
    <t>Dr. Julio Cisneros León.
JEFE DE UMMOG-FCS
Ing. Betsy Sánchez Mateo.
ANALISTA DE UMMOG-FCS
Ing. Ciboney Granda Ordoñez.
Lcda. Andrea Mejía Ramírez.
ANALISTAS DE ESTADÍSTICA-FCS
Lcda. Jenny Velez Balandra.
ANALISTA ADMINISTRATIVO UMMOG-FCS
Lcdo. Julian Solano Caama</t>
  </si>
  <si>
    <r>
      <rPr>
        <b/>
        <sz val="9"/>
        <color theme="1"/>
        <rFont val="Arial Narrow"/>
        <family val="2"/>
      </rPr>
      <t>2.-</t>
    </r>
    <r>
      <rPr>
        <sz val="10"/>
        <color theme="1"/>
        <rFont val="Arial Narrow"/>
        <family val="2"/>
      </rPr>
      <t xml:space="preserve"> Ejecutar y validar los cambios de paralelos, cambios de sección y retiros de carrera y/o asignaturas autorizados por el Consejo Directivo.</t>
    </r>
  </si>
  <si>
    <t>1.- Cambiar paralelos y sección autorizados por Consejo Directivo.
2.- Retirar asignaturas aprobados por Consejo Directivo.
3.- Cambiar el estado de activo a inactivo y/o retirado aprobados por Consejo Directivo.</t>
  </si>
  <si>
    <t xml:space="preserve">1.- Reporte de estudiantes con retiro de asignaturas, cambio de paralelo, estado inactivo o retiro de carrera, autorizados por Consejo Directivo. </t>
  </si>
  <si>
    <t>Dr. Julio Cisneros León.
JEFE DE UMMOG-FCS
Ing. Betsy Sánchez Mateo.
ANALISTA DE UMMOG-FCS
Lcda. Andrea Mejía Ramírez.
ANALISTA DE ESTADISTICA-FCS
Lcdo. Julian Solano Caamaño.</t>
  </si>
  <si>
    <r>
      <rPr>
        <b/>
        <sz val="9"/>
        <color theme="1"/>
        <rFont val="Arial Narrow"/>
        <family val="2"/>
      </rPr>
      <t>3.-</t>
    </r>
    <r>
      <rPr>
        <sz val="10"/>
        <color theme="1"/>
        <rFont val="Arial Narrow"/>
        <family val="2"/>
      </rPr>
      <t xml:space="preserve"> Coordinar y Ejecutar los Procesos de Movilidad.</t>
    </r>
  </si>
  <si>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Emitir oficios para la Comisión Académica para la aprobación de los informes de Reconocimiento y Homologación de estudios.
5.-Generar la matrícula y orden de pago de los estudiantes con reconocimiento u homologación de estudios aprobados por el Consejo Directivo.
6.- Registrar en el SIUTMACH. las calificaciones homologadas.
7.- Atender a usuarios internos y externos.</t>
  </si>
  <si>
    <t>1.- Reporte de solicitudes de movilidad para la elaboración del Informe de Reconocimiento u Homologación de Estudios de asignaturas, cursos o sus equivalentes recibidas.
 2.- Oficios enviados a los Coordinadores de Carreras para la elaboración de los informes de Reconocimiento u Homologación de Estudios, Asignaturas, Cursos o sus Equivalentes.
3.- Oficios enviados a la Comisión académica de los informes de Reconocimiento y Homologación de estudios para aprobación.
4.- Reporte de estudiantes matriculados por homologación.</t>
  </si>
  <si>
    <t>Dr. Julio Cisneros León.
JEFE DE UMMOG-FCS
Ing. Ciboney Granda Ordóñez.
ANALISTA DE ESTADISTICA-FCS</t>
  </si>
  <si>
    <r>
      <rPr>
        <b/>
        <sz val="9"/>
        <color theme="1"/>
        <rFont val="Arial Narrow"/>
        <family val="2"/>
      </rPr>
      <t>4.-</t>
    </r>
    <r>
      <rPr>
        <sz val="10"/>
        <color theme="1"/>
        <rFont val="Arial Narrow"/>
        <family val="2"/>
      </rPr>
      <t xml:space="preserve"> Coordinar los procesos de registros y/o validación de calificaciones.</t>
    </r>
  </si>
  <si>
    <r>
      <rPr>
        <b/>
        <sz val="9"/>
        <color theme="1"/>
        <rFont val="Arial Narrow"/>
        <family val="2"/>
      </rPr>
      <t>5.-</t>
    </r>
    <r>
      <rPr>
        <sz val="10"/>
        <color theme="1"/>
        <rFont val="Arial Narrow"/>
        <family val="2"/>
      </rPr>
      <t xml:space="preserve"> Aperturar el Sistema para registro de calificaciones extemporáneas según resolución del Consejo Directivo.</t>
    </r>
  </si>
  <si>
    <t>1.- Verificar en el SIUTMACH el ingreso de las actas de calificaciones generadas por los docentes.
2.- Registrar manualmente en el SIUTMACH las calificaciones por homologaciones, rectificación de calificaciones, recalificaciones y calificaciones históricas.
3.- Actualizar en el SIUTMACH las cartillas históricas de estudiantes.
4.- Aperturar el sistema, previa aprobación del Consejo Directivo para registro y/o corrección de calificaciones por parte de los docentes.
5.- Atender a usuarios internos y externos.</t>
  </si>
  <si>
    <t xml:space="preserve">
1. Reporte de registro de calificaciones en cartillas de calificaciones.</t>
  </si>
  <si>
    <t>Dr. Julio Cisneros León.
JEFE DE UMMOG-FCS
Lcda. Andrea Mejía Ramírez.
ANALISTA DE ESTADISTICA-FCS
Lcdo. Julian Solano Caamaño.</t>
  </si>
  <si>
    <r>
      <rPr>
        <b/>
        <sz val="9"/>
        <color theme="1"/>
        <rFont val="Arial Narrow"/>
        <family val="2"/>
      </rPr>
      <t>6.-</t>
    </r>
    <r>
      <rPr>
        <sz val="10"/>
        <color theme="1"/>
        <rFont val="Arial Narrow"/>
        <family val="2"/>
      </rPr>
      <t xml:space="preserve"> Organizar y supervisar las fases del proceso de titulación.</t>
    </r>
  </si>
  <si>
    <t xml:space="preserve"> 1.- Coordinar y planificar el proceso de titulacion a nivel de facultad.
 2.- Registrar la fecha de fin de carrera para cumplimiento de la inscripcion al proceso de titulación y  graduación.
 3.- Revisar y validar del cumplimiento de la malla.
 4.- Revisar la perdida de gratuidad por acumular más del 30% de créditos reprobados.
 5.- Revisar en la SENESCYT el registro de un segundo o más títulos de tercer nivel.
 6.- Revisar requisitos habilitantes para validar la matricula en el proceso de titulación.
 7.- Validar la matricula en el proceso de titulación.
 8.- Supervisar y coordinar la toma del examen complexivo.
 9.- Ingresar a la plataforma de titulacion fecha, hora y lugar de sustentacion.
10.- Supervisar y coordinar las sustentaciones de trabajo de titulacion y examen complexivo.
11.- Activar especialista suplente del comite evaluador a peticion del coordinador de carrera.
12.- Generar actas de calificaciones de las sustentaciones.
13.- Validar el trabajo escrito de ambas opciones de titulacion en la plataforma de titulación.
14.-  Validar la estructura del documento del trabajo de integración curricular en el SIUTMACH.</t>
  </si>
  <si>
    <t>1.- Reporte de estudiantes inscritos en el proceso de titulación.</t>
  </si>
  <si>
    <t>Dr. Julio Cisneros León.
JEFE DE UMMOG-FCS
Ing. Ciboney Granda Ordóñez.
Lcda. Andrea Mejía Ramírez.
ANALISTAS DE ESTADÍSTICA-FCS
Lcdo. Julian Solano Caamaño.</t>
  </si>
  <si>
    <r>
      <rPr>
        <b/>
        <sz val="9"/>
        <color theme="1"/>
        <rFont val="Arial Narrow"/>
        <family val="2"/>
      </rPr>
      <t>7.-</t>
    </r>
    <r>
      <rPr>
        <sz val="10"/>
        <color theme="1"/>
        <rFont val="Arial Narrow"/>
        <family val="2"/>
      </rPr>
      <t xml:space="preserve"> Emitir Informes de designación de tutor y comité evaluador.</t>
    </r>
  </si>
  <si>
    <t>1.- Solicitar a coordinadores de carrera el registro de tutores en la plataforma de titulación en cada proceso.
2.- Generar desde la plataforma de titulación el reporte de tutores y comité evaluador para aprobacion de Comision Academica y Consejo Directivo.
3.- Receptar los reportes de tutor y comité evaluador legalizados.</t>
  </si>
  <si>
    <t>1.- Informes de designación de tutores enviados para aprobación de Comisión académica.</t>
  </si>
  <si>
    <r>
      <rPr>
        <b/>
        <sz val="9"/>
        <color theme="1"/>
        <rFont val="Arial Narrow"/>
        <family val="2"/>
      </rPr>
      <t>8.-</t>
    </r>
    <r>
      <rPr>
        <sz val="10"/>
        <color theme="1"/>
        <rFont val="Arial Narrow"/>
        <family val="2"/>
      </rPr>
      <t xml:space="preserve"> Coordinar y Ejecutar los Procesos de Graduación.</t>
    </r>
  </si>
  <si>
    <t>1.- Revisar y validar o emitir certificados de no adeudar.
2.- Receptar los certificados de no adeudar y recibo único de ingreso a caja de estudiantes que pierden gratuidad y/o poseen otro título.
3.- Remitir oficio al decanato para el traslado y/o compra de especies de tesorería a secretaria general.
4.- Revisar y grabar los promedios de grado a fin de generar acta consolidada.
5.- Generar la acta consolidada por estudiante.
6.- Generar y/o imprimir informes de aptitud legal por carrera, para aprobación de Consejo Directivo.
7.- Registrar la firma electrónica en el SIUTMACH.
8.- Emitir informe al Consejo Directo sobre la aprobación de la aptitud legal y graduación de los estudiantes que aprobaron el proceso de titulación.
9.- Ingresar, revisar y actualizar la información cargada en el SIUTMACH para la impresion de titulos y registro en la SENESCYT.
10.- Descargar acta de graduación e insertar en expediente de estudiante.
11.- Remitir al decanato el oficio solicitando el registro e impresión de los títulos por parte de secretaria general de los estudiantes graduados.
12.- Cargar en drive los expedientes de los estudiantes graduados para el registro e impresión de los titulos y compartir con las partes pertinentes.
13.- Coordinar con decanato y secretaría de la facultad la organizacion del evento de incorporación virtual y/o presencial.
14.- Coordinar con direccion de comunicacion el evento de incorporación.
15.- Convocar y asistir en la inducción presencial y/o virtual para el evento de incorporación.</t>
  </si>
  <si>
    <t>Dr. Julio Cisneros León.
JEFE DE UMMOG-FCS
Ing. Ciboney Granda Ordóñez.
ANALISTA DE ESTADISTICA-FCS
Lcdo. Julian Solano Caamaño.
Ing. Betsy Sánchez Mateo.
ANALISTA DE UMMOG-FCS</t>
  </si>
  <si>
    <r>
      <rPr>
        <b/>
        <sz val="9"/>
        <color theme="1"/>
        <rFont val="Arial Narrow"/>
        <family val="2"/>
      </rPr>
      <t>9.-</t>
    </r>
    <r>
      <rPr>
        <sz val="10"/>
        <color theme="1"/>
        <rFont val="Arial Narrow"/>
        <family val="2"/>
      </rPr>
      <t xml:space="preserve"> Emitir Informes para certificaciones de procesos de matrícula, movilidad, graduación y estadística.</t>
    </r>
  </si>
  <si>
    <t xml:space="preserve"> 1.- Recibir las solicitudes de los estudiantes para remitir a los funcionarios para que se generen los certificados en los procesos de matricula, movilidad, graduación y estadistica.
 2.- Generar certificados de estar legalmente matriculados.
 3.- Emitir certificados de promocion o record académico.
 4.- Emitir certificados de culminación de malla.
 5.- Emitir certificados de promedio global de notas.
 6.- Emitir certificados de inicio y fin de carrera.
 7.- Emitir certificados de reprobacion de asignaturas por tercera vez.
 8.- Emitir certificados de Reconocimiento y Homologación de estudios.
 9.- Emitir certificados de estar legalmente matriculados en el proceso de titulacion.
10.- Remitir copias certificadas de acta de consolidada.
11.- Remitir copias certificadas de acta de graduacion.
12.- Remitir copias certificadas de oficios de autorizacion de la compra de titulos de promociones antiguas.
13.- Remitir copias certificadas de actas de calificaciones.
14.- Atender a usuarios internos y externos.</t>
  </si>
  <si>
    <t>1.- Reportes de Certificados emitidos en los procesos de matrícula, movilidad, graduación y estadística generados y/o emitidos.
2.- Certificados generados.</t>
  </si>
  <si>
    <t>Dr. Julio Cisneros León.
JEFE DE UMMOG-FCS
Ing. Betsy Sanchez Mateo.
ANALISTA DE UMMOG-FCS
Ing. Ciboney Granda Ordóñez.
Lcda. Andrea Mejía Ramírez.
 ANALISTAS DE ESTADÍSTICA-FCS
Lcda. Jenny Velez Balandra.
ANALISTA ADMINISTRATIVO UMMOG-FCS
Lcdo. Julian Solano Caamaño.</t>
  </si>
  <si>
    <r>
      <rPr>
        <b/>
        <sz val="9"/>
        <color theme="1"/>
        <rFont val="Arial Narrow"/>
        <family val="2"/>
      </rPr>
      <t>10.-</t>
    </r>
    <r>
      <rPr>
        <sz val="10"/>
        <color theme="1"/>
        <rFont val="Arial Narrow"/>
        <family val="2"/>
      </rPr>
      <t xml:space="preserve"> Emitir Informes Técnicos para procesos internos y externos.</t>
    </r>
  </si>
  <si>
    <t>1.- Receptar y atender los requerimientos de los organismos de control internos y externos.
2.- Revisar la información existente el en SIUTMACH y archivo físico.
3.- Elaborar informes, generar reportes solicitados de matrículas, movilidad graduación y estadística.
4.- Emitir el reporte de mejor egresado por periodo y/o carrera.
5.- Emitir informe de mejor graduado por proceso.</t>
  </si>
  <si>
    <t>1.- Informes, reportes de estudiantes y de graduados, entregados a los entes reguladores internos y externos.</t>
  </si>
  <si>
    <t>Dr. Julio Cisneros León.
JEFE DE UMMOG-FCS
Ing. Betsy Sanchez Mateo.
ANALISTA DE UMMOG-FCS
Ing. Ciboney Granda Ordóñez.
Lcda. Andrea Mejía Ramírez.
ANALISTAS DE ESTADÍSTICA-FCS
Lcda. Jenny Velez Balandra.
ANALISTA ADMINISTRATIVO UMMOG-FCS
Lcdo. Julian Solano Caamaño.</t>
  </si>
  <si>
    <r>
      <rPr>
        <b/>
        <sz val="9"/>
        <color theme="1"/>
        <rFont val="Arial Narrow"/>
        <family val="2"/>
      </rPr>
      <t>11.-</t>
    </r>
    <r>
      <rPr>
        <sz val="10"/>
        <color theme="1"/>
        <rFont val="Arial Narrow"/>
        <family val="2"/>
      </rPr>
      <t xml:space="preserve"> Presentar la Planificación Operativa Anual y Evaluación de la Planificación Operativo Anual.</t>
    </r>
  </si>
  <si>
    <t>1.- Elaborar las planificaciones operativas anuales del año 2024.
2.- Autoevaluar la planificación operativa anual del año 2023.</t>
  </si>
  <si>
    <t>1.-Plan operativo anual 2024.
2.- Evaluación del POA 2023.</t>
  </si>
  <si>
    <r>
      <rPr>
        <b/>
        <sz val="9"/>
        <color theme="1"/>
        <rFont val="Arial Narrow"/>
        <family val="2"/>
      </rPr>
      <t>12.-</t>
    </r>
    <r>
      <rPr>
        <sz val="10"/>
        <color theme="1"/>
        <rFont val="Arial Narrow"/>
        <family val="2"/>
      </rPr>
      <t xml:space="preserve"> Organizar el Archivo Intermedio.</t>
    </r>
  </si>
  <si>
    <t>N° de Expedientes archivados en físico y/o digital, del año 2019-2 y 2023.</t>
  </si>
  <si>
    <t>1.- Receptar oficios, resoluciones y solicitudes.
 2.- Elaborar y despachar oficios.
 3.- Registrar oficios, resoluciones enviados y recibidos en el SIUTMACH.
 4.- Consolidar expediente de los estudiantes (EDUCACIÓN BÄSICA y EDUCACIÓN  PARVULARIA, período académico 2019-2)
 5.- Archivar cronológicamente los oficios, resoluciones del año 2023 y expedientes de estudiantes 2019-2.</t>
  </si>
  <si>
    <t>1.- Expedientes archivados 2019-2 y 2023.
2.- Matriz del inventario Documental.</t>
  </si>
  <si>
    <t>Dr. Julio Cisneros León.
JEFE DE UMMOG-FCS
Lcda. Jenny Velez Balandra.
ANALISTA ADMINISTRATIVO UMMOG-FCS
COLABORADORES
Ing. Betsy Sanchez Mateo.
ANALISTA DE UMMOG-FCS
Ing. Ciboney Granda Ordóñez.
Lcda. Andrea Mejía Ramírez.
ANALISTAS DE ESTADÍSTICA-FCS
Lcdo. Julian Solano Caamaño.</t>
  </si>
  <si>
    <r>
      <rPr>
        <b/>
        <sz val="10"/>
        <color rgb="FFFF0000"/>
        <rFont val="Arial Narrow"/>
        <family val="2"/>
      </rPr>
      <t>METAS OPERATIVAS</t>
    </r>
    <r>
      <rPr>
        <b/>
        <sz val="9"/>
        <color theme="1"/>
        <rFont val="Arial Narrow"/>
        <family val="2"/>
      </rPr>
      <t xml:space="preserve">
1.-</t>
    </r>
    <r>
      <rPr>
        <sz val="10"/>
        <color theme="1"/>
        <rFont val="Arial Narrow"/>
        <family val="2"/>
      </rPr>
      <t xml:space="preserve"> Emitir y notificar las convocatorias, actas y resoluciones de Consejo Directivo.</t>
    </r>
  </si>
  <si>
    <t>N° de convocatorias, actas y resoluciones de Consejo Directivo elaboradas y emitidas.</t>
  </si>
  <si>
    <t>1.- Elaborar la convocatoria.
2.- Notificar la convocatoria.
3.- Constatar el quórum reglamentario.
4.- Dar lectura al orden del día.
5.- Elaborar las resoluciones adoptadas en Consejo Directivo.
6.- Certificar las resoluciones.
7.- Registrar y notificar las resoluciones.
8.- Redactar y revisar actas de Consejo Directivo.
9.- Suscribir acta de consejo directivo conjuntamente con el señor decano.
10.- Notificar el acta a los miembros del Consejo Directivo.</t>
  </si>
  <si>
    <t>* Ab. Servio Ordoñez Mendoza,
  Secretario-Abogado
* Ing. Patricia Velastegui Balandra, Analista Académico</t>
  </si>
  <si>
    <r>
      <rPr>
        <b/>
        <sz val="9"/>
        <color theme="1"/>
        <rFont val="Arial Narrow"/>
        <family val="2"/>
      </rPr>
      <t>2.-</t>
    </r>
    <r>
      <rPr>
        <sz val="10"/>
        <color theme="1"/>
        <rFont val="Arial Narrow"/>
        <family val="2"/>
      </rPr>
      <t xml:space="preserve"> Emitir y/o legalizar las Certificaciones de la Facultad.</t>
    </r>
  </si>
  <si>
    <t>N° de Certificados de la Facultad emitidas y legalizadas.</t>
  </si>
  <si>
    <t>* Ab. Servio Ordoñez Mendoza,
  Secretario-Abogado</t>
  </si>
  <si>
    <r>
      <rPr>
        <b/>
        <sz val="9"/>
        <color theme="1"/>
        <rFont val="Arial Narrow"/>
        <family val="2"/>
      </rPr>
      <t>3.-</t>
    </r>
    <r>
      <rPr>
        <sz val="10"/>
        <color theme="1"/>
        <rFont val="Arial Narrow"/>
        <family val="2"/>
      </rPr>
      <t xml:space="preserve"> Registrar y distribuir la correspondencia interna y externa de la Facultad.</t>
    </r>
  </si>
  <si>
    <r>
      <rPr>
        <b/>
        <sz val="9"/>
        <color theme="1"/>
        <rFont val="Arial Narrow"/>
        <family val="2"/>
      </rPr>
      <t>4.-</t>
    </r>
    <r>
      <rPr>
        <sz val="10"/>
        <color theme="1"/>
        <rFont val="Arial Narrow"/>
        <family val="2"/>
      </rPr>
      <t xml:space="preserve"> Brindar asesoría jurídica a las Autoridades y dependencias de la Facultad.</t>
    </r>
  </si>
  <si>
    <t>1.- Orientar con legislación actualizada a los diferentes departamentos de la Facultad.</t>
  </si>
  <si>
    <t>1.- Reporte de informes de asesorías jurídicas brindadas a las autoridades y dependencias de la Facultad.</t>
  </si>
  <si>
    <r>
      <rPr>
        <b/>
        <sz val="9"/>
        <color theme="1"/>
        <rFont val="Arial Narrow"/>
        <family val="2"/>
      </rPr>
      <t>5.-</t>
    </r>
    <r>
      <rPr>
        <sz val="10"/>
        <color theme="1"/>
        <rFont val="Arial Narrow"/>
        <family val="2"/>
      </rPr>
      <t xml:space="preserve"> Emitir Informes jurídicos de los procesos disciplinarios, académicos y/o administrativos de la Facultad.</t>
    </r>
  </si>
  <si>
    <t>N° de procesos disciplinarios, académicos y administrativos emitidos.</t>
  </si>
  <si>
    <r>
      <rPr>
        <b/>
        <sz val="9"/>
        <color theme="1"/>
        <rFont val="Arial Narrow"/>
        <family val="2"/>
      </rPr>
      <t>6.-</t>
    </r>
    <r>
      <rPr>
        <sz val="10"/>
        <color theme="1"/>
        <rFont val="Arial Narrow"/>
        <family val="2"/>
      </rPr>
      <t xml:space="preserve"> Administrar la documentación para tratamiento del Consejo Directivo.</t>
    </r>
  </si>
  <si>
    <t>No. de documentación para tratamiento del Consejo Directivo administrada</t>
  </si>
  <si>
    <t>1.- Receptar y analizar la documentación a tratar por Consejo Directivo.</t>
  </si>
  <si>
    <t>1.- Reporte de documentos administrados para tratamiento por Consejo Directivo.</t>
  </si>
  <si>
    <r>
      <rPr>
        <b/>
        <sz val="9"/>
        <color theme="1"/>
        <rFont val="Arial Narrow"/>
        <family val="2"/>
      </rPr>
      <t>7.-</t>
    </r>
    <r>
      <rPr>
        <sz val="10"/>
        <color theme="1"/>
        <rFont val="Arial Narrow"/>
        <family val="2"/>
      </rPr>
      <t xml:space="preserve">  Presentar la Planificación Operativa Anual y Evaluación de la Planificación Operativa Anual..</t>
    </r>
  </si>
  <si>
    <t>1.- Elaborar el plan operativo anual de la Secretaría y Archivo
2.- Elaborar la evaluación al POA de la Secretaría y Archivo
3.- Remitir al Decanato el plan operativo anual y su evaluación</t>
  </si>
  <si>
    <t>1.-Plan operativo anual 2024
2.- Evaluación del POA 2023.</t>
  </si>
  <si>
    <t>* Ab. Servio Ordoñez Mendoza, Secretario-Abogado
* Ing. Patricia Velastegui Balandra, Analista Académico</t>
  </si>
  <si>
    <t>N° de Carpetas inventariadas.</t>
  </si>
  <si>
    <t>1.- Organizar, clasificar y realizar el inventario documental de carpetas del archivo que reposa en la secretaría de la FCS.</t>
  </si>
  <si>
    <t>ARTES PLÁSTICAS</t>
  </si>
  <si>
    <r>
      <rPr>
        <b/>
        <sz val="10"/>
        <color rgb="FFFF0000"/>
        <rFont val="Arial Narrow"/>
        <family val="2"/>
      </rPr>
      <t>METAS OPERATIVAS</t>
    </r>
    <r>
      <rPr>
        <b/>
        <sz val="10"/>
        <color theme="1"/>
        <rFont val="Arial Narrow"/>
        <family val="2"/>
      </rPr>
      <t xml:space="preserve">
1.-</t>
    </r>
    <r>
      <rPr>
        <sz val="10"/>
        <color theme="1"/>
        <rFont val="Arial Narrow"/>
        <family val="2"/>
      </rPr>
      <t xml:space="preserve"> Coordinar la ejecución de los procesos académicos.</t>
    </r>
  </si>
  <si>
    <t>Comisión Académica, ejecutado.</t>
  </si>
  <si>
    <t>1.- Asistir a reuniones de Comisión Académica</t>
  </si>
  <si>
    <t>1. Registro de asistencia a reuniones
2. Convocatorias a Consejo Directivo</t>
  </si>
  <si>
    <t>*Lcd. Rosa Caamaño, Mgs
Subdecana de la FCS
* Directores de Carrera de la FCS</t>
  </si>
  <si>
    <t>2.- Presidir el Comité de Evaluación Interna de Carrera.</t>
  </si>
  <si>
    <t>2. Sesiones de Comité de Evaluación Interna de Carrera, ejecutado.</t>
  </si>
  <si>
    <t>1.- Convocar a reuniones
2.- Asistir a reuniones con el Comité de Evaluación Interna de Carrera</t>
  </si>
  <si>
    <t>1. Registro de asistencia a reuniones
2.- Reporte de actas</t>
  </si>
  <si>
    <t>* Lic. Lenin Romero Espinoza, 
    Director de Carrera 
* Comité de Evaluación Interna de la Carrera</t>
  </si>
  <si>
    <t>3.- Proponer la terna del personal académico y estudiantil que integrará el Comité de Evaluación Interna de Carrera, gestionado.</t>
  </si>
  <si>
    <t xml:space="preserve">3.Terna del personal académico y estudiantil que integrará el Comité de Evaluación Interna de Carrera, gestionado. </t>
  </si>
  <si>
    <t>Ejecución de los procesos académicos coordinados.</t>
  </si>
  <si>
    <t>1.- Entrega de la terna del personal académico y estudiantil que integrará el Comité de Evaluación Interna de Carrera a Decanato</t>
  </si>
  <si>
    <t>1.- Aprobación del Comité de Evaluación Interna de la Carrera, bajo Resolución del consejo directivo</t>
  </si>
  <si>
    <t xml:space="preserve">* Lic. Lenin Romero Espinoza, 
  Director de Carrera </t>
  </si>
  <si>
    <t>4.-Designar a los responsables de los colectivos académicos de carrera:
Titulación, Evaluación y Acreditación de la Calidad, Prácticas Preprofesionales o laborales, y servicio comunitario.</t>
  </si>
  <si>
    <t xml:space="preserve">4. Responsables de colectivos académicos de carrera: Titulación, Evaluación y acreditación de la calidad, prácticas pre-profesionales o laborales y servicio comunitario, realizado. </t>
  </si>
  <si>
    <t>1.- Designación de responsables de colectivos académicos de la carrera</t>
  </si>
  <si>
    <t>1.- Oficio de designación</t>
  </si>
  <si>
    <t>5.- Ejecutar los procesos que garantizan el cumplimiento de las funciones sustantivas de la educación superior: docencia, investigación y vinculación en la facultad que dirige</t>
  </si>
  <si>
    <t>5. Procesos que garantizan el cumplimiento de las funciones sustantivas de la educación superior: docencia, investigación y vinculación en la facultad que dirige; ejecutados.</t>
  </si>
  <si>
    <t>1.- Asignar horas de investigación y de vinculación en el Distributivo Académico de acuerdo a las sugerencias de las Direcciones correspondientes.
2.- Solicitar los informes de resultados o avances de los proyectos de</t>
  </si>
  <si>
    <t xml:space="preserve">* Lic. Lenin Romero Espinoza, 
  Director de Carrera 
* Docentes con carga horaria en en investigación y vinculación </t>
  </si>
  <si>
    <t>6.- Asistir a sesiones de trabajo convocadas por las Autoridades
correspondientes.</t>
  </si>
  <si>
    <t xml:space="preserve">6. Sesiones de trabajo convocadas por las Autoridades correspondientes, sesionado. </t>
  </si>
  <si>
    <t>N° de Sesiones de trabajo  presididas.</t>
  </si>
  <si>
    <t>1.-  Asistir a  las sesiones de trabajo</t>
  </si>
  <si>
    <t>1.- Registro de asistencia</t>
  </si>
  <si>
    <t>7.- Informar al Subdecano sobre irregularidades, inconformidades y/ o polémicas surgidas en el ambiente académico de su carrera.</t>
  </si>
  <si>
    <t>7. Irregularidades, inconformidades y/ o polémicas surgidas en el ambiente académico de su carrera, informadas.</t>
  </si>
  <si>
    <t>1.- Convocar a sesiones de trabajo y mediación en caso de ser necesario</t>
  </si>
  <si>
    <t>1.- Informe en caso de ser necesario</t>
  </si>
  <si>
    <t>8.- Elaborar el distributivo académico de su carrera, para conocimiento y análisis ante la Comisión Académica y posterior aprobación por el Consejo
Directivo.</t>
  </si>
  <si>
    <t xml:space="preserve">8. Distributivo académico de su carrera, elaborado. </t>
  </si>
  <si>
    <t>1.- Elaboración de distributivo académico
2.- Elaboración de horarios</t>
  </si>
  <si>
    <t>1.- Reporte del estado actual de los procesos académicos ejecutados.</t>
  </si>
  <si>
    <t>9.- Organizar y convocar a reuniones periódicas del personal académico con el fin de monitorear y mejorar continuamente la calidad de enseñanza</t>
  </si>
  <si>
    <t xml:space="preserve">9. Reuniones periódicas del personal académico, gestionadas. </t>
  </si>
  <si>
    <t xml:space="preserve">N° de Convocatorias ejecutadas y supervisadas </t>
  </si>
  <si>
    <t>1.- Convocar a reuniones al personal académico docente</t>
  </si>
  <si>
    <t>1.- Registro de convocatorias emitidas por correo electrónico 
2.- Reporte de actas</t>
  </si>
  <si>
    <t>* Lic. Lenin Romero Espinoza, 
  Director de Carrera 
* Docentes de la Carrera</t>
  </si>
  <si>
    <t>10.- Gestionar la organización del sistema de tutorías del proceso
enseñanza- aprendizaje de la carrera</t>
  </si>
  <si>
    <t xml:space="preserve">10. Sistema de tutorías del proceso enseñanza- aprendizaje de la carrera; gestionado. </t>
  </si>
  <si>
    <t>1.- Solicitar y/o receptar reportes de tutorías académicas de los docentes</t>
  </si>
  <si>
    <t>1.- Reporte general de tutorías académicas</t>
  </si>
  <si>
    <t>11.- Asesorar al claustro docente sobre el plan de estudio de la carrera</t>
  </si>
  <si>
    <t xml:space="preserve">11. Plan de estudio de la carrera; asesorado. </t>
  </si>
  <si>
    <t>1.- Convocar reunión de trabajo a los docentes</t>
  </si>
  <si>
    <t>1.- Registro de convocatorias emitidas por correo electrónico</t>
  </si>
  <si>
    <t>12.- Visitar aulas de clase con fines formativos y de asesoramiento</t>
  </si>
  <si>
    <t xml:space="preserve">12. Aulas de clase con fines formativos y de asesoramiento, realizadas. </t>
  </si>
  <si>
    <t>N° de supervisiones ejecutadas</t>
  </si>
  <si>
    <t>1.- Supervisar el uso de las aulas</t>
  </si>
  <si>
    <t>1.- Reporte de registro de visita  in situ</t>
  </si>
  <si>
    <t>13.- Participar en las actividades relacionadas con diseño curricular de la carrera</t>
  </si>
  <si>
    <t xml:space="preserve">13. Actividades relacionadas con diseño curricular de la carrera; gestionadas. </t>
  </si>
  <si>
    <t>14.- Supervisar la entrega de actas de calificaciones parciales y/ o finales de
las asignaturas</t>
  </si>
  <si>
    <t>14. Entrega de actas de calificaciones parciales y/ o finales de las asignaturas; efectuado.</t>
  </si>
  <si>
    <t>1.- Enviar comunicaciones al personal docente de la carrera, para la entrega de actas</t>
  </si>
  <si>
    <t>1.- Reporte del estado entrega de actas de calificaciones</t>
  </si>
  <si>
    <t>* Lic. Lenin Romero Espinoza, 
  Director de Carrera 
*Docentes de la Carrera</t>
  </si>
  <si>
    <t>15.- Elaborar informes periódicos sobre las actividades realizadas; y Otras que se deriven de las disposiciones emitidas por las autoridades, Consejo Directivo, el presente Estatuto, y demás normativa vigente.</t>
  </si>
  <si>
    <t>15. Informes periódicos de actividades realizadas; y Otras que se deriven de las disposiciones emitidas por las autoridades, Consejo Directivo, el presente Estatuto, y demás normativa vigente.</t>
  </si>
  <si>
    <t>1.- Remitir al Subdecanato el informe mensual de coordinación de carrera</t>
  </si>
  <si>
    <t>1.- Reporte de los informes mensuales de Coordinación</t>
  </si>
  <si>
    <t>TOTAL PRESUPUESTO ESTIMATIVO DE ARTES PLÁSTICAS 2023:</t>
  </si>
  <si>
    <t>COMUNICACIÓN</t>
  </si>
  <si>
    <t>Kit de luces LED para fotografía_x000D_</t>
  </si>
  <si>
    <t>Cámara Fotográfica Digital + Lente</t>
  </si>
  <si>
    <t>Trípode de aluminio para cámara DSLR</t>
  </si>
  <si>
    <t>Batería recargable de iones de litio para cámaras 
fotograficas (accesorio original según marca de 
cámara)</t>
  </si>
  <si>
    <t>Caja de luz LED</t>
  </si>
  <si>
    <t>Camara de Estudio 4K</t>
  </si>
  <si>
    <t xml:space="preserve">Lente objetivo 14-42 mm F 3.5 – 5.6 EX zoom 
estándar </t>
  </si>
  <si>
    <t>Trípode profesional con cabeza fluida, que 
soporte al menos 6.6 Lbs</t>
  </si>
  <si>
    <t>Control Zoom Remoto</t>
  </si>
  <si>
    <t>Control Foco Remoto</t>
  </si>
  <si>
    <t>Kit de 3 Luces LED para video</t>
  </si>
  <si>
    <t>Estabilizador de cardán de 3 ejes para cámara 
fotográficas</t>
  </si>
  <si>
    <t>Monitor de estudio autoamplificado</t>
  </si>
  <si>
    <t>Kit de grabación de audio ( Interface + microfono+audífonos)</t>
  </si>
  <si>
    <t>Microfono profesional dinámico</t>
  </si>
  <si>
    <t>Auriculares de monitoreo profesionales</t>
  </si>
  <si>
    <t>Intercomunicadores de diadema de un oído</t>
  </si>
  <si>
    <t>* Lcd. José Luis López Aguilar,
    Director de Carrera 
* Comité de Evaluación Interna de la Carrera</t>
  </si>
  <si>
    <t xml:space="preserve">* Lcd. José Luis López Aguilar,
  Director de Carrera </t>
  </si>
  <si>
    <t>3.- Incrementar los resultados de desarrollo e innovación a través de la gestión de proyectos de investigación.</t>
  </si>
  <si>
    <t>Proyecto de investigación: "Producción de videos  educativos para youtube y su incidencia en el rendimiento académico"</t>
  </si>
  <si>
    <t>Nº de proyecto de investigación gestionado</t>
  </si>
  <si>
    <t>1. Elaborar el proyecto de investigación
2. Ejecutar el proyecto de investigación Producción de videos  educativos para youtube y su incidencia en el rendimiento académico
3. Diseño de una metodología de investigación para valorar de forma empírica la
incidencia estrategias didácticas relacionadas con la comunicación educativa en la
satisfacción y rendimiento académico de estudiantes universitarios.
4. Organización de Diseño instruccional de un curso de formación sobre comunicación en la era digital
para estudiantes universitarios.
5. Gestionar la implementación del laboratorio audiovisual para la carrera de Comunicación
6. Gestionar la producción científica dentro del proyecto</t>
  </si>
  <si>
    <t>1. Proyecto de investigación
2. Elaborar plan de capacitación curso de formación sobre comunicación en la era digital
para estudiantes universitarios.
3. Diseño de guìa metodología de investigación para valorar de forma empírica la
incidencia estrategias didácticas relacionadas con la comunicación educativa en la
satisfacción y rendimiento académico de estudiantes universitarios.
4. Publicación de Artículos científicos presentados</t>
  </si>
  <si>
    <t>* Lcd. José Luis López Aguilar,  
   Director de Carrera
* Docentes participantes del proyecto</t>
  </si>
  <si>
    <t xml:space="preserve">A partir del proyecto de Investigación denominado Producción de videos  educativos para youtube y su incidencia en el rendimiento académico, se gestiona la implementación del laboratorio de producción audiovisual de la carrera de comunicación </t>
  </si>
  <si>
    <t>EQUIPO ELECTRONICO/IMPRESORAS/IMPRESORA MULTIFUNCIONAL</t>
  </si>
  <si>
    <t>Unidades</t>
  </si>
  <si>
    <t xml:space="preserve">* Lcd. José Luis López Aguilar,  
  Director de Carrera </t>
  </si>
  <si>
    <t>* Lcd. José Luis López Aguilar,  
  Director de Carrera 
* Docentes de la Carrera</t>
  </si>
  <si>
    <t>* Lcd. José Luis López Aguilar,  
  Director de Carrera 
*Docentes de la Carrera</t>
  </si>
  <si>
    <t>TOTAL PRESUPUESTO ESTIMATIVO DE COMUNICACIÓN 2023:</t>
  </si>
  <si>
    <t>DERECHO</t>
  </si>
  <si>
    <t>* Dra. Monica Ramon Merchan, 
    Director de Carrera 
* Comité de Evaluación Interna de la Carrera</t>
  </si>
  <si>
    <t xml:space="preserve">* Dra. Monica Ramon Merchan, 
  Director de Carrera </t>
  </si>
  <si>
    <t>1.- Mejorar las instalaciones del Consultorio Jurídico Gratuito de la UTMACH
2.- Asignar horas de investigación y de vinculación en el Distributivo Académico de acuerdo a las sugerencias de las Direcciones correspondientes.
3.- Solicitar los informes de resultados o avances de los proyectos de investigación y vinculación con la sociedad.                                                                                                                                                                       4.-Ejecutar el Proceso referente a las pasantías y prácticas pre-profesionales de las y los estudiantes de las carreras de pregrado aprobados.</t>
  </si>
  <si>
    <t>1.- Reporte del estado actual de resultados o avances de los proyectos de Investigación y de vinculación con la sociedad. 
2.- Reporte de los pasantes o practicantes que realizaron pasantías y prácticas pre-profesionales de las carreras de pregrado aprobados en el Consultorio Jurídico Gratuito
3.- Contratos de adquisición de bienes, prestación de servicios y/o ejecución de obras.</t>
  </si>
  <si>
    <t>* Dra. Monica Ramon Merchan, 
Directora de Carrera
* Docentes Equipo Académico
* Ab. Leonardo Falconí
  Técnico de Laboratorio</t>
  </si>
  <si>
    <t>45220.00.12</t>
  </si>
  <si>
    <t>Edición, Impresión y Reproducción</t>
  </si>
  <si>
    <t>Egreso por publicación de libros con la Editorial TIRANT LO BLANCH</t>
  </si>
  <si>
    <t>Tinta color rojo Epson para impresora</t>
  </si>
  <si>
    <t>Tinta color azul  Epson para impresora</t>
  </si>
  <si>
    <t>Tinta color negro  Epson para impresora</t>
  </si>
  <si>
    <t>Tinta color amarillo Epson para impresora</t>
  </si>
  <si>
    <t xml:space="preserve">* Dra. Monica Ramon Merchan,
  Director de Carrera </t>
  </si>
  <si>
    <t>* Dra. Monica Ramon Merchan,
  Director de Carrera 
* Docentes de la Carrera</t>
  </si>
  <si>
    <t>* Dra. Monica Ramon Merchan,
  Director de Carrera 
*Docentes de la Carrera</t>
  </si>
  <si>
    <t>TOTAL PRESUPUESTO ESTIMATIVO DE DERECHO 2023:</t>
  </si>
  <si>
    <t>EDUCACIÓN BÁSICA</t>
  </si>
  <si>
    <t>* Lcda. Paquita Tinoco, 
    Director de Carrera 
* Comité de Evaluación Interna de la Carrera</t>
  </si>
  <si>
    <t xml:space="preserve">* Lcda. Paquita Tinoco, 
  Director de Carrera </t>
  </si>
  <si>
    <t xml:space="preserve">1.- Asignar horas de investigación y de vinculación en el Distributivo Académico de acuerdo a las sugerencias de las Direcciones correspondientes.
2.- Solicitar los informes de resultados o avances de los proyectos de 
1. Impulsar la creación del Proyecto de "Fortalecimiento pedagógico en estrategias metodológicas de educación básica en el área de lengua y literatura </t>
  </si>
  <si>
    <t xml:space="preserve">* Lcda. Paquita Tinoco, 
  Director de Carrera 
* Docentes con carga horaria en en investigación y vinculación </t>
  </si>
  <si>
    <t>* Lcda. Paquita Tinoco, 
  Director de Carrera 
* Docentes de la Carrera</t>
  </si>
  <si>
    <t>* Lcda. Paquita Tinoco, 
  Director de Carrera 
*Docentes de la Carrera</t>
  </si>
  <si>
    <t>TOTAL PRESUPUESTO ESTIMATIVO DE EDUCACIÓN BÁSICA 2023:</t>
  </si>
  <si>
    <t>EDUCACIÓN INICIAL</t>
  </si>
  <si>
    <t>* Dra. Consuelo Reyes Cedeño,  
    Director de Carrera 
* Comité de Evaluación Interna de la Carrera</t>
  </si>
  <si>
    <t xml:space="preserve">* Dra. Consuelo Reyes Cedeño,  
  Director de Carrera </t>
  </si>
  <si>
    <t xml:space="preserve">* Dra. Consuelo Reyes Cedeño,  
  Director de Carrera 
* Docentes con carga horaria en en investigación y vinculación </t>
  </si>
  <si>
    <t>* Dra. Consuelo Reyes Cedeño,  
  Director de Carrera 
* Docentes de la Carrera</t>
  </si>
  <si>
    <t>* Dra. Consuelo Reyes Cedeño,   
  Director de Carrera 
*Docentes de la Carrera</t>
  </si>
  <si>
    <t xml:space="preserve">* Dra. Consuelo Reyes Cedeño,   
  Director de Carrera </t>
  </si>
  <si>
    <t>TOTAL PRESUPUESTO ESTIMATIVO DE EDUCACIÓN INICIAL 2023:</t>
  </si>
  <si>
    <t>PEDAGOGÍA DE LA ACTIVIDAD FÍSICA Y DEPORTE</t>
  </si>
  <si>
    <t>Implementos deportivos</t>
  </si>
  <si>
    <t>Mesas de tenis de mesa</t>
  </si>
  <si>
    <t>* Lic. Felipe Montero Ordoñez,   
    Director de Carrera 
* Comité de Evaluación Interna de la Carrera</t>
  </si>
  <si>
    <t xml:space="preserve">* Lic. Felipe Montero Ordoñez, 
  Director de Carrera </t>
  </si>
  <si>
    <t xml:space="preserve">* Lic. Felipe Montero Ordoñez, 
  Director de Carrera 
* Docentes con carga horaria en en investigación y vinculación </t>
  </si>
  <si>
    <t>* Lic. Felipe Montero Ordoñez, 
  Director de Carrera 
* Docentes de la Carrera</t>
  </si>
  <si>
    <t>* Lic. Felipe Montero Ordoñez, 
  Director de Carrera 
*Docentes de la Carrera</t>
  </si>
  <si>
    <t>TOTAL PRESUPUESTO ESTIMATIVO DE PEDAGOGÍA DE LA ACTIVIDAD FÍSICA Y DEPORTE 2023:</t>
  </si>
  <si>
    <t>PEDAGOGÍA DE LAS CIENCIAS EXPERIMENTALES</t>
  </si>
  <si>
    <t>* Ing. Marcos David Arboleda, 
    Director de Carrera 
* Comité de Evaluación Interna de la Carrera</t>
  </si>
  <si>
    <t xml:space="preserve">* Ing. Marcos David Arboleda, 
  Director de Carrera </t>
  </si>
  <si>
    <t xml:space="preserve">* Ing. Marcos David Arboleda, 
  Director de Carrera 
* Docentes con carga horaria en en investigación y vinculación </t>
  </si>
  <si>
    <t>* Ing. Marcos David Arboleda, 
  Director de Carrera 
* Docentes de la Carrera</t>
  </si>
  <si>
    <t>* Ing. Marcos David Arboleda, 
  Director de Carrera 
*Docentes de la Carrera</t>
  </si>
  <si>
    <t>TOTAL PRESUPUESTO ESTIMATIVO DE PEDAGOGÍA DE LAS CIENCIAS EXPERIMENTALES 2023:</t>
  </si>
  <si>
    <t>PEDAGOGÍA DE LOS IDIOMAS NACIONALES Y EXTRANJEROS</t>
  </si>
  <si>
    <t>* Lic. Jhon Chamba, 
  Director de Carrera 
* Comité de Evaluación Interna de la Carrera</t>
  </si>
  <si>
    <t xml:space="preserve">* Lic. Jhon Chamba, 
  Director de Carrera </t>
  </si>
  <si>
    <t xml:space="preserve">* Lic. Jhon Chamba, 
  Director de Carrera 
* Docentes con carga horaria en en investigación y vinculación </t>
  </si>
  <si>
    <t>* Lic. Jhon Chamba, 
  Director de Carrera 
* Docentes de la Carrera</t>
  </si>
  <si>
    <t>* Lic. Jhon Chamba, 
  Director de Carrera 
*Docentes de la Carrera</t>
  </si>
  <si>
    <t>TOTAL PRESUPUESTO ESTIMATIVO DE PEDAGOGÍA DE LOS IDIOMAS NACIONALES Y EXTRANJEROS 2023:</t>
  </si>
  <si>
    <t>PSICOPEDAGOGÍA</t>
  </si>
  <si>
    <t>* Lic. Wilson Peñaloza Peñaloza
  Director de Carrera 
* Comité de Evaluación Interna de la Carrera</t>
  </si>
  <si>
    <t xml:space="preserve">* Lic. Wilson Peñaloza Peñaloza
  Director de Carrera </t>
  </si>
  <si>
    <t xml:space="preserve">* Lic. Wilson Peñaloza Peñaloza
  Director de Carrera 
* Docentes con carga horaria en en investigación y vinculación </t>
  </si>
  <si>
    <t>* Lic. Wilson Peñaloza Peñaloza
  Director de Carrera 
* Docentes de la Carrera</t>
  </si>
  <si>
    <t>* Lic. Wilson Peñaloza Peñaloza
  Director de Carrera 
*Docentes de la Carrera</t>
  </si>
  <si>
    <t>TOTAL PRESUPUESTO ESTIMATIVO DE PSICOPEDAGOGÍA 2023:</t>
  </si>
  <si>
    <t>PSICOLOGÍA CLÍNICA</t>
  </si>
  <si>
    <t>* Psic. Carlos Carpio Mosquera,
  Director de Carrera 
* Comité de Evaluación Interna de la Carrera</t>
  </si>
  <si>
    <t xml:space="preserve">* Psic. Carlos Carpio Mosquera,
  Director de Carrera </t>
  </si>
  <si>
    <t xml:space="preserve">* Psic. Carlos Carpio Mosquera,
  Director de Carrera 
* Docentes con carga horaria en en investigación y vinculación </t>
  </si>
  <si>
    <t>* Psic. Carlos Carpio Mosquera,
  Director de Carrera 
* Docentes de la Carrera</t>
  </si>
  <si>
    <t>* Psic. Carlos Carpio Mosquera,
  Director de Carrera 
*Docentes de la Carrera</t>
  </si>
  <si>
    <t>TOTAL PRESUPUESTO ESTIMATIVO DE PSICOLOGÍA CLÍNICA 2023:</t>
  </si>
  <si>
    <t>SOCIOLOGÍA</t>
  </si>
  <si>
    <t>*Soc. Francisco Sánchez Flores
  Director de Carrera 
* Comité de Evaluación Interna de la Carrera</t>
  </si>
  <si>
    <t xml:space="preserve">*Soc. Francisco Sánchez Flores
  Director de Carrera </t>
  </si>
  <si>
    <t xml:space="preserve">*Soc. Francisco Sánchez Flores
  Director de Carrera 
* Docentes con carga horaria en en investigación y vinculación </t>
  </si>
  <si>
    <t>*Soc. Francisco Sánchez Flores
  Director de Carrera 
* Docentes de la Carrera</t>
  </si>
  <si>
    <t>*Soc. Francisco Sánchez Flores
  Director de Carrera 
*Docentes de la Carrera</t>
  </si>
  <si>
    <t>TOTAL PRESUPUESTO ESTIMATIVO DE SOCIOLOGÍA 2023:</t>
  </si>
  <si>
    <t>TRABAJO SOCIAL</t>
  </si>
  <si>
    <t>* Ing. Jorge Valarezo Castro, PhD.
  Director de Carrera 
* Comité de Evaluación Interna de la Carrera</t>
  </si>
  <si>
    <t xml:space="preserve">* Ing. Jorge Valarezo Castro, PhD.
  Director de Carrera </t>
  </si>
  <si>
    <t xml:space="preserve">* Ing. Jorge Valarezo Castro, PhD.
  Director de Carrera 
* Docentes con carga horaria en en investigación y vinculación </t>
  </si>
  <si>
    <t>* Ing. Jorge Valarezo Castro, PhD.
  Director de Carrera 
* Docentes de la Carrera</t>
  </si>
  <si>
    <t>* Ing. Jorge Valarezo Castro, PhD.
  Director de Carrera 
*Docentes de la Carrera</t>
  </si>
  <si>
    <t>TOTAL PRESUPUESTO ESTIMATIVO DE TRABAJO SOCIAL 2023:</t>
  </si>
  <si>
    <t>TOTAL PRESUPUESTO ESTIMATIVO FCS 2023:</t>
  </si>
  <si>
    <r>
      <rPr>
        <b/>
        <sz val="11"/>
        <color rgb="FFFF0000"/>
        <rFont val="Arial"/>
        <family val="2"/>
      </rPr>
      <t>NOTA:</t>
    </r>
    <r>
      <rPr>
        <sz val="11"/>
        <color theme="1"/>
        <rFont val="Arial"/>
        <family val="2"/>
      </rPr>
      <t xml:space="preserve"> Las columnas que comprenden la Programación de Necesidades de Recursos se deben llenar de acuerdo a las necesidades que se tenga en cada Meta Operativa, es decir a nivel de cada meta debe indicarse los recursos que se van a necesitar para ejecutar la misma.</t>
    </r>
  </si>
  <si>
    <r>
      <rPr>
        <sz val="11"/>
        <rFont val="Century Schoolbook"/>
        <family val="1"/>
      </rPr>
      <t>51</t>
    </r>
    <r>
      <rPr>
        <sz val="11"/>
        <rFont val="Arial Narrow"/>
        <family val="2"/>
      </rPr>
      <t xml:space="preserve"> Egresos en Personal</t>
    </r>
  </si>
  <si>
    <r>
      <rPr>
        <sz val="11"/>
        <rFont val="Century Schoolbook"/>
        <family val="1"/>
      </rPr>
      <t>53</t>
    </r>
    <r>
      <rPr>
        <sz val="11"/>
        <rFont val="Arial Narrow"/>
        <family val="2"/>
      </rPr>
      <t xml:space="preserve"> Bienes y Servicios de Consumo</t>
    </r>
  </si>
  <si>
    <r>
      <rPr>
        <sz val="11"/>
        <rFont val="Century Schoolbook"/>
        <family val="1"/>
      </rPr>
      <t>57</t>
    </r>
    <r>
      <rPr>
        <sz val="11"/>
        <rFont val="Arial Narrow"/>
        <family val="2"/>
      </rPr>
      <t xml:space="preserve"> Otros Egresos Corrientes</t>
    </r>
  </si>
  <si>
    <r>
      <rPr>
        <sz val="11"/>
        <rFont val="Century Schoolbook"/>
        <family val="1"/>
      </rPr>
      <t>58</t>
    </r>
    <r>
      <rPr>
        <sz val="11"/>
        <rFont val="Arial Narrow"/>
        <family val="2"/>
      </rPr>
      <t xml:space="preserve"> Transferencias o Donaciones Corrientes </t>
    </r>
  </si>
  <si>
    <r>
      <rPr>
        <sz val="11"/>
        <rFont val="Century Schoolbook"/>
        <family val="1"/>
      </rPr>
      <t>71</t>
    </r>
    <r>
      <rPr>
        <sz val="11"/>
        <rFont val="Arial Narrow"/>
        <family val="2"/>
      </rPr>
      <t xml:space="preserve"> Egresos en Personal para Inversión </t>
    </r>
  </si>
  <si>
    <r>
      <rPr>
        <sz val="11"/>
        <rFont val="Century Schoolbook"/>
        <family val="1"/>
      </rPr>
      <t>73</t>
    </r>
    <r>
      <rPr>
        <sz val="11"/>
        <rFont val="Arial Narrow"/>
        <family val="2"/>
      </rPr>
      <t xml:space="preserve"> Bienes y Servicios para Inversión </t>
    </r>
  </si>
  <si>
    <r>
      <rPr>
        <sz val="11"/>
        <rFont val="Century Schoolbook"/>
        <family val="1"/>
      </rPr>
      <t>84</t>
    </r>
    <r>
      <rPr>
        <sz val="11"/>
        <rFont val="Arial Narrow"/>
        <family val="2"/>
      </rPr>
      <t xml:space="preserve"> Bienes de Larga Duración</t>
    </r>
  </si>
  <si>
    <r>
      <rPr>
        <sz val="11"/>
        <rFont val="Century Schoolbook"/>
        <family val="1"/>
      </rPr>
      <t>99</t>
    </r>
    <r>
      <rPr>
        <sz val="11"/>
        <rFont val="Arial Narrow"/>
        <family val="2"/>
      </rPr>
      <t xml:space="preserve"> Otros Pasivos</t>
    </r>
  </si>
  <si>
    <t>FACULTAD DE INGENIERÍA CIVIL</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</si>
  <si>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Emitir directrices para garantizar la ejecución de los procesos administrativos y académicos.</t>
    </r>
  </si>
  <si>
    <t>N° de directrices emitidas se garantiza la ejecución de los procesos administrativos</t>
  </si>
  <si>
    <t>1.- Convocar a reuniones.
2.- Asignar de tareas o actividades (sumillas).</t>
  </si>
  <si>
    <t>Ing. Mariuxi Zea Ordóñez, Decana
Srta. Mayra Vera Yépez, Analista de Decanato</t>
  </si>
  <si>
    <r>
      <rPr>
        <b/>
        <sz val="10"/>
        <color theme="1"/>
        <rFont val="Arial Narrow"/>
        <family val="2"/>
      </rPr>
      <t>2.-</t>
    </r>
    <r>
      <rPr>
        <sz val="10"/>
        <color theme="1"/>
        <rFont val="Arial Narrow"/>
        <family val="2"/>
      </rPr>
      <t xml:space="preserve"> Supervisar y ejecutar los procesos administrativos y académicos.</t>
    </r>
  </si>
  <si>
    <r>
      <rPr>
        <b/>
        <sz val="10"/>
        <color theme="1"/>
        <rFont val="Arial Narrow"/>
        <family val="2"/>
      </rPr>
      <t>3.-</t>
    </r>
    <r>
      <rPr>
        <sz val="10"/>
        <color theme="1"/>
        <rFont val="Arial Narrow"/>
        <family val="2"/>
      </rPr>
      <t xml:space="preserve"> Gestionar la Propuesta del distributivo académico en conjunto con los Subdecanatos.</t>
    </r>
  </si>
  <si>
    <t>Número de Distributivos Aprobados</t>
  </si>
  <si>
    <t>1.- Revisar con Subdecananto el Distributivo Académico de la Facultad.
2.- Aprobar por Consejo Directivo el Distributivo Académico.
3.- Enviar la Resolución de Consejo Directivo a Rectorado para la Aprobación de Consejo Universitario.</t>
  </si>
  <si>
    <t>1. Resolución de Consejo Universitario de Aprobación del Distributivo</t>
  </si>
  <si>
    <t>Ing. Mariuxi Zea Ordóñez, Decana
Ing. Freddy Urgilés, Subdecano
Srta. Mayra Vera Yépez, Analista de Decanato</t>
  </si>
  <si>
    <r>
      <rPr>
        <b/>
        <sz val="10"/>
        <color theme="1"/>
        <rFont val="Arial Narrow"/>
        <family val="2"/>
      </rPr>
      <t>4.-</t>
    </r>
    <r>
      <rPr>
        <sz val="10"/>
        <color theme="1"/>
        <rFont val="Arial Narrow"/>
        <family val="2"/>
      </rPr>
      <t xml:space="preserve"> Supervisar la ejecución de las convocatorias a los consejos de facultad.</t>
    </r>
  </si>
  <si>
    <t>N° de Convocatorias ejecutadas y supervisadas de los consejos directivos</t>
  </si>
  <si>
    <t>1.- Revisar la documentación para reuniones de Consejo Directivo.
2.- Revisar y validar cada semestre del control de convocatorias a Consejo Directivo.</t>
  </si>
  <si>
    <t>1. Matriz de Control y Supervisión a la ejecución de las convocatorias a los consejos de facultad.</t>
  </si>
  <si>
    <r>
      <rPr>
        <b/>
        <sz val="10"/>
        <color theme="1"/>
        <rFont val="Arial Narrow"/>
        <family val="2"/>
      </rPr>
      <t>5.-</t>
    </r>
    <r>
      <rPr>
        <sz val="10"/>
        <color theme="1"/>
        <rFont val="Arial Narrow"/>
        <family val="2"/>
      </rPr>
      <t xml:space="preserve"> Gestionar los Procesos que garantizan el cumplimiento de las funciones sustantivas de la educación superior: docencia, investigación y vinculación.</t>
    </r>
  </si>
  <si>
    <t>N° de procesos de cumplimiento de Investigacion y Vinculacion</t>
  </si>
  <si>
    <t>Los proyectos de investigación se encuentran en proceso de formación.
Los proyectos de vinculación se encuentran en proceso de formación.</t>
  </si>
  <si>
    <t>Pago de inscripciones y publicaciones académicas</t>
  </si>
  <si>
    <t>53290.00</t>
  </si>
  <si>
    <t xml:space="preserve">Mantenimiento y reparación de la Infraestructura del bloque de laboratorios de comportamiento de materiales de la FIC </t>
  </si>
  <si>
    <t>Equipos y Sistemas informáticos</t>
  </si>
  <si>
    <t>Sistema Domótico KNX</t>
  </si>
  <si>
    <t>Fuente de alimentación CC variable 30 V 10 A digital de alta precisión ajustable con cable de alimentación 110 V CA (Yescom)</t>
  </si>
  <si>
    <t>Panel solar policristalino de 100 W</t>
  </si>
  <si>
    <t>N° de Informes de Rendición de Cuenta realizados</t>
  </si>
  <si>
    <t>1. Elaborar el Informe de Rendición de Cuenta</t>
  </si>
  <si>
    <r>
      <rPr>
        <b/>
        <sz val="10"/>
        <color theme="1"/>
        <rFont val="Arial Narrow"/>
        <family val="2"/>
      </rPr>
      <t>7.-</t>
    </r>
    <r>
      <rPr>
        <sz val="10"/>
        <color theme="1"/>
        <rFont val="Arial Narrow"/>
        <family val="2"/>
      </rPr>
      <t xml:space="preserve"> Gestionar trámite de licencias solicitadas por el personal docente y administrativo.</t>
    </r>
  </si>
  <si>
    <t>N° de Licencias solicitadas por el personal docente y administrativo, gestionadas</t>
  </si>
  <si>
    <t>8.-  Organizar actividades culturales, deportivas, sociales y proyectos de responsabilidad social e influencia en políticas públicas, en la Facultad.</t>
  </si>
  <si>
    <t>Actividades culturales, deportivas sociales y proyectos de responsabilidad social e influencia en políticas públicas gestionadas</t>
  </si>
  <si>
    <t>N. de actividades culturales, deportivas, sociales realizadas</t>
  </si>
  <si>
    <t>1.- Elaborar programa de sesión solemne por aniversario de la facultad
2.- Desarrollar evento de concurso estudiantil de conocimiento
3. Desarrollar jornadas deportivas</t>
  </si>
  <si>
    <t>1. Informes de actividades
2. Reportes de redes sociales de la facultad</t>
  </si>
  <si>
    <t>Ing. Mariuxi Zea Ordóñez, Decana
Srta. Mayra Vera Yepez, Analista de Decanato
Subdecanato</t>
  </si>
  <si>
    <t>N° de solicitudes de coordinadores de carrera</t>
  </si>
  <si>
    <r>
      <rPr>
        <b/>
        <sz val="10"/>
        <color theme="1"/>
        <rFont val="Arial Narrow"/>
        <family val="2"/>
      </rPr>
      <t>10.-</t>
    </r>
    <r>
      <rPr>
        <sz val="10"/>
        <color theme="1"/>
        <rFont val="Arial Narrow"/>
        <family val="2"/>
      </rPr>
      <t xml:space="preserve"> Emitir criterios técnicos para la sustentación de las decisiones adoptadas a nivel de facultad.</t>
    </r>
  </si>
  <si>
    <t>Criterios técnicos para la sustentación de las decisiones adoptadas a nivel de facultades emitidos.</t>
  </si>
  <si>
    <t>1.- Solicitar de documentos.
2.- Convocar a reuniones.</t>
  </si>
  <si>
    <r>
      <rPr>
        <b/>
        <sz val="10"/>
        <color theme="1"/>
        <rFont val="Arial Narrow"/>
        <family val="2"/>
      </rPr>
      <t>11.-</t>
    </r>
    <r>
      <rPr>
        <sz val="10"/>
        <color theme="1"/>
        <rFont val="Arial Narrow"/>
        <family val="2"/>
      </rPr>
      <t xml:space="preserve"> Supervisar las Gestiones efectuadas por el Subdecanato, los Coordinadores de Carrera, personal académico y administrativo de la Facultad.</t>
    </r>
  </si>
  <si>
    <t>Ing. Freddy Espinoza U., Decano
Srta. Mayra Vera Yépez, Analista de Decanato</t>
  </si>
  <si>
    <t>N° de Planificaciones de los Planes Operativos Anuales y Evaluaciones de los POA entregadas</t>
  </si>
  <si>
    <t xml:space="preserve">1.- Elaborar el POA 2024.
2.- Elaborar la evaluación del POA 2023.
</t>
  </si>
  <si>
    <t>1.- POA 2024
2.-  Evaluación del POA 2023</t>
  </si>
  <si>
    <t>Ing. Mariuxi Zea Ordóñez, Decana
Srta. Mayra Vera Yepez, Analista de Decanato
Soc. Angel Cardenas Cueva, Administrador de Bienes</t>
  </si>
  <si>
    <t>N° de Cajas registradas en el inventario documental del decanato</t>
  </si>
  <si>
    <t xml:space="preserve">
Srta. Mayra Vera Yepez, Analista de Decanato</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</si>
  <si>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Emitir o actualizar los Procedimientos Académicos internos estandarizados.</t>
    </r>
  </si>
  <si>
    <t>Nº de procedimientos académicos estandarizados, emitidos o actualizados</t>
  </si>
  <si>
    <t>1.-Coordinar y socializar al interior de la Facultad, las directrices emitidas por el Órgano Superior.</t>
  </si>
  <si>
    <t>Ing. Freddy Espinoza Urgilés, Subdecano
Lic.Esther Cepeda Zambrano, Analista del Subdecanato</t>
  </si>
  <si>
    <r>
      <rPr>
        <b/>
        <sz val="10"/>
        <color theme="1"/>
        <rFont val="Arial Narrow"/>
        <family val="2"/>
      </rPr>
      <t>2.-</t>
    </r>
    <r>
      <rPr>
        <sz val="10"/>
        <color theme="1"/>
        <rFont val="Arial Narrow"/>
        <family val="2"/>
      </rPr>
      <t xml:space="preserve"> Convocar y presidir Sesiones de Comisión Académica de la Facultad.</t>
    </r>
  </si>
  <si>
    <r>
      <rPr>
        <b/>
        <sz val="10"/>
        <color theme="1"/>
        <rFont val="Arial Narrow"/>
        <family val="2"/>
      </rPr>
      <t>3.-</t>
    </r>
    <r>
      <rPr>
        <sz val="10"/>
        <color theme="1"/>
        <rFont val="Arial Narrow"/>
        <family val="2"/>
      </rPr>
      <t xml:space="preserve"> Orientar y supervisar las propuestas para la creación, fusión y extinción de carreras y programas, así como los planes de estudios de las mismas emanados del trabajo de rediseño curricular.</t>
    </r>
  </si>
  <si>
    <t>Nº de Distributivos Aprobados</t>
  </si>
  <si>
    <r>
      <rPr>
        <b/>
        <sz val="10"/>
        <color theme="1"/>
        <rFont val="Arial Narrow"/>
        <family val="2"/>
      </rPr>
      <t>4.-</t>
    </r>
    <r>
      <rPr>
        <sz val="10"/>
        <color theme="1"/>
        <rFont val="Arial Narrow"/>
        <family val="2"/>
      </rPr>
      <t xml:space="preserve"> Supervisar la ejecución de los procesos académicos.</t>
    </r>
  </si>
  <si>
    <t>Nº de procesos académicos supervisados</t>
  </si>
  <si>
    <t>1.- Coordinar el proceso de elaboración, ingreso, revisión y seguimiento al sílabo
2.- Coordinar el proceso de Supervisión de tutorías</t>
  </si>
  <si>
    <r>
      <rPr>
        <b/>
        <sz val="10"/>
        <color theme="1"/>
        <rFont val="Arial Narrow"/>
        <family val="2"/>
      </rPr>
      <t>5.-</t>
    </r>
    <r>
      <rPr>
        <sz val="10"/>
        <color theme="1"/>
        <rFont val="Arial Narrow"/>
        <family val="2"/>
      </rPr>
      <t xml:space="preserve"> Elaborar distributivos, horarios y el calendario académico.</t>
    </r>
  </si>
  <si>
    <t>Nº de Distributivos, horarios coordinados y supervisados</t>
  </si>
  <si>
    <t>1.- Coordinar y supervisar el proceso de elaboración de los Distributivos y Horarios.</t>
  </si>
  <si>
    <t>1.- Reporte del estado actual de la coordinación y supervisión de elaboración de los Distributivos y Horarios.</t>
  </si>
  <si>
    <t>Ing. Freddy Espinoza Urgilés, Subdecano
Ing. Jesús Espinoza Correa, Coordinador Carrera Ing. Ambiental
Ing. Leyden Carrión Romero, Coordinador Carrera Ing. Civil
Ing. Joofre Honores Tapia, Coordinador Carrera Tecnologías de la Información
Arq. Luisana Campuzano, Coordinadora Académica
Lic.Esther Cepeda, Analista del Subdecanato</t>
  </si>
  <si>
    <r>
      <rPr>
        <b/>
        <sz val="10"/>
        <color theme="1"/>
        <rFont val="Arial Narrow"/>
        <family val="2"/>
      </rPr>
      <t>6.-</t>
    </r>
    <r>
      <rPr>
        <sz val="10"/>
        <color theme="1"/>
        <rFont val="Arial Narrow"/>
        <family val="2"/>
      </rPr>
      <t xml:space="preserve"> Monitorear actividades académicas que se realizan en los diferentes laboratorios, aulas y unidades académicas experimentales de la Facultad.</t>
    </r>
  </si>
  <si>
    <t>Nº de informes elaborados por semestre de las actividades académicas de los administradores de los Laboratorios de Facultad</t>
  </si>
  <si>
    <t>1.- Elaborar listado de guías prácticas.
2.- Controlar el registro del uso del laboratorio.
3.- Solicitar a los responsables de laboratorios el informe al finalizar el periodo académico.</t>
  </si>
  <si>
    <t>1.- Reporte de actividades que se realizan en laboratorios, aulas y salas tics.</t>
  </si>
  <si>
    <t xml:space="preserve">Ing. Ronald Elizalde López, Administrador de Laboratorio
</t>
  </si>
  <si>
    <t>No de prácticas realizadas por semestres de acuerdo a las necesidades del docente en el Laboratorio de Telecomunicaciones</t>
  </si>
  <si>
    <t>1.- Realizar el informe mensual de las guías prácticas.</t>
  </si>
  <si>
    <t>Nº de prácticas realizadas por semestres de acuerdo a las necesidades del docente en el Laboratorio de Tecnología Nº1</t>
  </si>
  <si>
    <t>Nº de prácticas realizadas por semestres de acuerdo a las necesidades del docente en el Laboratorio de Tecnología Nº2</t>
  </si>
  <si>
    <t xml:space="preserve">Ing. Ronald Elizalde López, Administrador de Laboratorios
</t>
  </si>
  <si>
    <t>Nº de prácticas realizadas por semestres de acuerdo a las necesidades del docente en el Laboratorio de Tecnología Nº3</t>
  </si>
  <si>
    <t>Nº de prácticas realizadas por semestres de acuerdo a las necesidades del docente en el Laboratorio Mac, Diseño y Multimedia</t>
  </si>
  <si>
    <t>Nº de prácticas realizadas por semestres de acuerdo a las necesidades del docente en el Laboratorio de Hardware &amp; Software Nº1</t>
  </si>
  <si>
    <t>Nº de prácticas realizadas por semestres de acuerdo a las necesidades del docente en el Laboratorio de Hardware &amp; Software Nº2</t>
  </si>
  <si>
    <t>Nº de prácticas realizadas por semestres de acuerdo a las necesidades del docente en el Laboratorio de Hardware &amp; Software Nº3</t>
  </si>
  <si>
    <t>Nº de prácticas realizadas por semestres de acuerdo a las necesidades del docente en el Laboratorio de Electrónica</t>
  </si>
  <si>
    <t>Nº de prácticas por semestre de acuerdo a las necesidades del docente en el Laboratorio de Comportamiento de Materiales</t>
  </si>
  <si>
    <t>1.- Reporte de actividades que se realizan en el Laboratorios de Comportamiento de Materiales.</t>
  </si>
  <si>
    <t>Ing. Elvis Sánchez Rogel, Administrador de Laboratorio</t>
  </si>
  <si>
    <t>IMPERMEABILIZACIÓN Y MANTENIMIENTO DE LA CUBIERTA DEL EDIFICIO ADMINISTRATIVO DE LA FACULTAD DE INGENIERÍA CIVIL</t>
  </si>
  <si>
    <t>005 840104</t>
  </si>
  <si>
    <t>Proyecto de inversión 2023</t>
  </si>
  <si>
    <t>Estaciones totales (provistas de miras y prismas)</t>
  </si>
  <si>
    <t>Niveles digitales (la estación, prisma, mira o reglas)</t>
  </si>
  <si>
    <t>GPS Diferencial RTK (base y demás accesorios)</t>
  </si>
  <si>
    <t>Equipo de pruebas para ensayos en hormigón</t>
  </si>
  <si>
    <t xml:space="preserve">Aparato para límite de líquido manual </t>
  </si>
  <si>
    <t>Juego de tamiz certificado de 8" de diámetro de acero inoxidable Nº #200; #100; #50; #40; #30; #20; #18; #12; #10; #8; #4; #3/8; #1/2; #3/4</t>
  </si>
  <si>
    <t>Equipo para ensayos de permeabilidad de carga variable</t>
  </si>
  <si>
    <t>Conjunto de equipo para pruebas de hidrómetro</t>
  </si>
  <si>
    <t>Conjunto de equipo para inspecciones en campo</t>
  </si>
  <si>
    <t>Máquina automática para corte directo/residual</t>
  </si>
  <si>
    <t>Máquina automática multiensayo, para ensayos CBR</t>
  </si>
  <si>
    <t xml:space="preserve">Martillo compactador para suelos proctor modificado </t>
  </si>
  <si>
    <t>Sistema de pruebas triaxial completo (pruebas estáticas) (50 mm)</t>
  </si>
  <si>
    <t>Amoladora de suelos</t>
  </si>
  <si>
    <t>Equipo para ensayos de permeabilidad de carga constante</t>
  </si>
  <si>
    <t>Equipo de consolidación automática de suelos (kit 3 Odómetros)</t>
  </si>
  <si>
    <t>Balanza de precisión de 1200 g (0,01)</t>
  </si>
  <si>
    <t>Balanza de precisión de 4200 g (0,01)</t>
  </si>
  <si>
    <t>Balanza de precisión de 30000 gramos (0,1)</t>
  </si>
  <si>
    <t>Horno para laboratorio de 213 litros</t>
  </si>
  <si>
    <t>Medidor de contenido de aire</t>
  </si>
  <si>
    <t>Termómetro digital de mano de inmersión -50 ºC a 300 ºC.</t>
  </si>
  <si>
    <t>Termómetro digital infrarrojo, -50°C a +650°C</t>
  </si>
  <si>
    <t>Equipo compactador automática Marshall para especímenes de 4"</t>
  </si>
  <si>
    <t>Picnómetro de vacío (Ensayo Rice)</t>
  </si>
  <si>
    <t>Mezcladora rotatoria de laboratorio para asfalto</t>
  </si>
  <si>
    <t>Molde para compactación Marshall kit</t>
  </si>
  <si>
    <t>Penetrómetro automático electrónico</t>
  </si>
  <si>
    <t>Baño María</t>
  </si>
  <si>
    <t>Placas calefactoras</t>
  </si>
  <si>
    <t>Máquina automática multiensayo para ensayos Marshall</t>
  </si>
  <si>
    <t>Equipo extractor para asfalto</t>
  </si>
  <si>
    <t>Aparato Vicat</t>
  </si>
  <si>
    <t>Equipo de perforación de suelos SPT &amp; CPT</t>
  </si>
  <si>
    <t>Prensa universal para ensayos en polímeros  (250 kN)</t>
  </si>
  <si>
    <t>Canal de ensayo 40x300 mm incluye accesorios</t>
  </si>
  <si>
    <t>Tanque laboratorios Comportamiento de materiales</t>
  </si>
  <si>
    <t>Bomba de agua edificio administrativo</t>
  </si>
  <si>
    <t>005 840107</t>
  </si>
  <si>
    <t xml:space="preserve">Computadoras todo en uno </t>
  </si>
  <si>
    <r>
      <rPr>
        <b/>
        <sz val="10"/>
        <color theme="1"/>
        <rFont val="Arial Narrow"/>
        <family val="2"/>
      </rPr>
      <t>8.-</t>
    </r>
    <r>
      <rPr>
        <sz val="10"/>
        <color theme="1"/>
        <rFont val="Arial Narrow"/>
        <family val="2"/>
      </rPr>
      <t xml:space="preserve"> Supervisar el logro de resultados o avances de procesos académicos, de Investigación y de vinculación con la sociedad.</t>
    </r>
  </si>
  <si>
    <t>Nº de proyectos de investigación y vinculación con la sociedad coordinados</t>
  </si>
  <si>
    <t>1.- Reporte del estado actual de resultados o avances de los proyectos de Investigación y de Vinculación con la sociedad.
2.- Reporte de horas sugerida por las Direcciones correspondientes</t>
  </si>
  <si>
    <t>Ing. Freddy Espinoza Urgilés, Subdecano
Ing. Jesús Espinoza Correa, Coordinador Carrera Ing. Ambiental
Ing. Leyden Carrión Romero, Coordinador Carrera Ing. Civil
Ing. Joofre Honores Tapia, Coordinador Carrera Tecnologías de la Información</t>
  </si>
  <si>
    <r>
      <rPr>
        <b/>
        <sz val="10"/>
        <color theme="1"/>
        <rFont val="Arial Narrow"/>
        <family val="2"/>
      </rPr>
      <t>9.-</t>
    </r>
    <r>
      <rPr>
        <sz val="10"/>
        <color theme="1"/>
        <rFont val="Arial Narrow"/>
        <family val="2"/>
      </rPr>
      <t xml:space="preserve"> Evaluar al personal administrativo bajo su responsabilidad.</t>
    </r>
  </si>
  <si>
    <t>1.- Evaluar al personal administrativo bajo la dependencia del Subdecanato en la plataforma SIITH del Ministerio de Trabajo</t>
  </si>
  <si>
    <t>1.- Formulario de Evaluación aplicado</t>
  </si>
  <si>
    <t>Ing. Freddy Espinoza Urgiles, Subdecano</t>
  </si>
  <si>
    <t>Nº de procesos de pasantías y prácticas pre-profesionales de las y los estudiantes de las carreras de pregrado, coordinados.</t>
  </si>
  <si>
    <t>1.- Coordinar las prácticas de vinculación y pasantías preprofesionales con los colectivos académicos, en coordinación con VIMCORI</t>
  </si>
  <si>
    <t>1.- Planes de pasantías y prácticas pre-profesionales de las carreras de pregrado</t>
  </si>
  <si>
    <t>Ing. Freddy Espinoza Urgilés, Subdecano
Ing. Jesús Espinoza Correa, Coordinador Carrera Ing. Ambiental
Ing. Leyden Carrión Romero, Coordinador Carrera Ing. Civil
Ing. Joofre Honores Tapia, Coordinador Carrera Tecnologías de la Información
Arq. Luisana Campuzano, Coordinadora Académica
Lic. Esther Cepeda, Analista del Subdecanato</t>
  </si>
  <si>
    <r>
      <rPr>
        <b/>
        <sz val="10"/>
        <color theme="1"/>
        <rFont val="Arial Narrow"/>
        <family val="2"/>
      </rPr>
      <t>11.-</t>
    </r>
    <r>
      <rPr>
        <sz val="10"/>
        <color theme="1"/>
        <rFont val="Arial Narrow"/>
        <family val="2"/>
      </rPr>
      <t xml:space="preserve"> Controlar la ejecución de los procesos de titulación.</t>
    </r>
  </si>
  <si>
    <t>Nº de ejecución de los procesos de titulación controlados.</t>
  </si>
  <si>
    <t>1.- Solicitar y/o receptar reportes de los procesos de titulación a la Ummog.</t>
  </si>
  <si>
    <t>1.- Reportes de los procesos de titulación
2.- Cronograma del proceso de titulación
3.- Resoluciones adoptadas por Comisión Académica de asignación de tutores y comité evaluador</t>
  </si>
  <si>
    <t>Ing. Freddy Espinoza Urgiles, Subdecano
Lic. César Peñaherrera M., Jefe de la Ummog
Ing. Jesús Espinoza Correa, Coordinador Carrera Ing. Ambiental
Ing. Leyden Carrión Romero, Coordinador Carrera Ing. Civil
Ing. Joofre Honores Tapia, Coordinador Carrera Tecnologías de la Información
Arq. Luisana Campuzano, Coordinadora Académica
Lic. Esther Cepeda, Analista del Subdecanato</t>
  </si>
  <si>
    <r>
      <rPr>
        <b/>
        <sz val="10"/>
        <color theme="1"/>
        <rFont val="Arial Narrow"/>
        <family val="2"/>
      </rPr>
      <t>12.-</t>
    </r>
    <r>
      <rPr>
        <sz val="10"/>
        <color theme="1"/>
        <rFont val="Arial Narrow"/>
        <family val="2"/>
      </rPr>
      <t xml:space="preserve"> Ejecutar el proceso de evaluación integral del desempeño docente de acuerdo a las directrices emitidas a nivel institucional.</t>
    </r>
  </si>
  <si>
    <t>1.- Elaborar los horarios para llevar a cabo el proceso de evaluación integral del desempeño docente.</t>
  </si>
  <si>
    <t>1.- Resoluciones del proceso de evaluación integral del desempeño docente.
2.- Reportes de resultados del proceso de evaluación integral del desempeño docente.</t>
  </si>
  <si>
    <r>
      <rPr>
        <b/>
        <sz val="10"/>
        <color theme="1"/>
        <rFont val="Arial Narrow"/>
        <family val="2"/>
      </rPr>
      <t>13.-</t>
    </r>
    <r>
      <rPr>
        <sz val="10"/>
        <color theme="1"/>
        <rFont val="Arial Narrow"/>
        <family val="2"/>
      </rPr>
      <t xml:space="preserve"> Supervisar las actividades académicas que se realizan en los diferentes laboratorios, aulas, salas tics y unidades académicas experimentales de las Facultades.</t>
    </r>
  </si>
  <si>
    <t>_</t>
  </si>
  <si>
    <t>No se ha colocado ningún dato debido a que esta meta es igual a la Meta Nro 6</t>
  </si>
  <si>
    <r>
      <rPr>
        <b/>
        <sz val="10"/>
        <color theme="1"/>
        <rFont val="Arial Narrow"/>
        <family val="2"/>
      </rPr>
      <t>14.-</t>
    </r>
    <r>
      <rPr>
        <sz val="10"/>
        <color theme="1"/>
        <rFont val="Arial Narrow"/>
        <family val="2"/>
      </rPr>
      <t xml:space="preserve"> Coordinar el desarrollo de actividades culturales, deportivas, sociales y proyectos de responsabilidad social e influencia en políticas públicas, entre los miembros de la comunidad de la Facultad.</t>
    </r>
  </si>
  <si>
    <t>Actividades culturales, deportivas, sociales y proyectos de responsabilidad social e influencia en políticas públicas coordinadas.</t>
  </si>
  <si>
    <t xml:space="preserve">1.-Coordinar las actividades culturales, deportivas y sociales. </t>
  </si>
  <si>
    <t xml:space="preserve">1. Cronograma de actividades culturales, deportivas y sociales.
</t>
  </si>
  <si>
    <t>1.- Reporte de requerimientos estudiantiles atendidos</t>
  </si>
  <si>
    <t>Nº de Planificación del Plan Operativo Anual y Evaluación del POA entregado</t>
  </si>
  <si>
    <t>1.- Elaborar el Plan Operativo Anual 
2.- Elaborar la Evaluación de POA 
3.- Remitir al Decanato el POA y su Evaluación</t>
  </si>
  <si>
    <t xml:space="preserve">1.- Plan Operativo Anual 2024
2.- Evaluación del POA 2023
</t>
  </si>
  <si>
    <t>Ing. Freddy Espinoza Urgilés, Subdecano
Lic. Esther Cepeda Zambrano, Analista del Subdecanato</t>
  </si>
  <si>
    <t>Nº de carpetas registradas en el inventario documental</t>
  </si>
  <si>
    <t>1.- Inventario Documental</t>
  </si>
  <si>
    <t>Lic. Esther Cepeda Zambrano, Analista del Subdecanto</t>
  </si>
  <si>
    <t>1.- COORDINAR Y PLANIFICAR EL PROCESO DE MATRÍCULA A NIVEL DE FACULTAD
2.- REVISAR REQUISITOS,  CARTILLA Y DATOS CARGADOS EN EL SIUTMACH, VALIDAR MATRÍCULA
3.- SELECCIONAR FECHA DE INICIO DE ESTUDIOS DE EXPEDIENTES HISTÓRICOS
4.- GENERAR MATRICULA Y ORDENES DE PAGO DE LOS ESTUDIANTES CON MENOS DEL 60%, CON RECONOCIMIENTO U HOMOLOGACIÓN, TERCERA MATRICULA, MATRICULA ESPECIAL, PLAN ESPECIAL
5.- REVISAR CURSO, CUPO Y PARALELO EN PERÍODOS DE MATRÍCULAS
6.- CREAR REGISTROS DE CARRERA DE EXPEDIENTES HISTÓRICOS
7.- ANULAR ÓRDENES DE PAGO EN EL SIUTMACH
8.- INSUBSISTIR MATRÍCULAS NO LEGALIZADAS Y ANULAR MATRÍCULAS APROBADAS POR CONSEJO UNIVERSITARIO
9.- ELABORAR CERTIFICADOS DE MATRÍCULA
10.- ATENDER A USUARIOS INTERNOS Y EXTERNOS</t>
  </si>
  <si>
    <t>1.- Cronograma de Matrículas.
2.- Reporte de estudiantes matriculados.</t>
  </si>
  <si>
    <t>Lic.César Peñaherrera Mosquera
JEFE DE LA UMMOG-FIC
Lic. Rosa Zapata  Eras
Analista de Matrícula UMMOG
Lic. Mercedes Quimi Quirola
Analista de Estadistica y Matrícula UMMOG</t>
  </si>
  <si>
    <t>N° de cambios de paralelos y retiros de carrera y/o asignaturas autorizados por el Consejo Directivo.</t>
  </si>
  <si>
    <t xml:space="preserve">1.- CAMBIAR PARALELOS  AUTORIZADOS POR CONSEJO DIRECTIVO
2.- RETIRAR ASIGNATURAS APROBADOS POR CONSEJO DIRECTIVO
3.- CAMBIAR DE ESTADO DE ACTIVO A INACTIVO Y/O RETIRADO APROBADOS POR CONSEJO DIRECTIVO </t>
  </si>
  <si>
    <t>1.- Resoluciones de Consejo Directivo receptadas y ejecutadas</t>
  </si>
  <si>
    <t>N° de solicitudes de movilidad  para la elaboración del Informe de Reconocimiento u Homologación de Estudios de asignaturas, cursos o sus equivalentes, revisados y remitidos a Coordinaciones de Carrera.</t>
  </si>
  <si>
    <t>3</t>
  </si>
  <si>
    <t>1.- COORDINAR Y PLANIFICAR EL PROCESO DE MOVILIDAD A NIVEL DE FACULTAD
2.- RECEPTAR Y REVISAR LOS DOCUMENTOS HABILITANTES PARA PROCESOS DE MOVILIDAD
3.- EMITIR OFICIOS A COORDINACIÓN DE CARRERA CON LA DOCUMENTACIÓN RESPECTIVA PARA SU ANÁLISIS ACADÉMICO Y ELABORACIÓN DEL INFORME
4.- ATENDER A USUARIOS INTERNOS Y EXTERNOS</t>
  </si>
  <si>
    <t>1.- Reporte de  solicitudes de movilidad  para la elaboración del Informe de Reconocimiento u Homologación de Estudios de asignaturas, cursos o sus equivalentes recibidas.
2.- Oficios emitidos a los Coordinadores de Carreras para la elaboración de los informes de Reconocimiento u Homologación de Estudios, Asignaturas, Cursos o sus Equivalentes</t>
  </si>
  <si>
    <t xml:space="preserve">Lic.César Peñaherrera Mosquera
JEFE DE LA UMMOG-FIC
</t>
  </si>
  <si>
    <r>
      <rPr>
        <b/>
        <sz val="10"/>
        <color theme="1"/>
        <rFont val="Arial Narrow"/>
        <family val="2"/>
      </rPr>
      <t>4.-</t>
    </r>
    <r>
      <rPr>
        <sz val="10"/>
        <color theme="1"/>
        <rFont val="Arial Narrow"/>
        <family val="2"/>
      </rPr>
      <t xml:space="preserve"> Coordinar los procesos de registros y/o validación de calificaciones.</t>
    </r>
  </si>
  <si>
    <t>Este producto es parte del producto de la Meta Operativa Nro. 3</t>
  </si>
  <si>
    <r>
      <rPr>
        <b/>
        <sz val="10"/>
        <color theme="1"/>
        <rFont val="Arial Narrow"/>
        <family val="2"/>
      </rPr>
      <t>5.-</t>
    </r>
    <r>
      <rPr>
        <sz val="10"/>
        <color theme="1"/>
        <rFont val="Arial Narrow"/>
        <family val="2"/>
      </rPr>
      <t xml:space="preserve"> Apertura del Sistema para registro de calificaciones extemporáneas según resolución del Consejo Directivo.</t>
    </r>
  </si>
  <si>
    <t>N° de Resoluciones de Consejo Directivo de autorización de apertura del sistema para el registro de calificaciones extemporáneas.</t>
  </si>
  <si>
    <t>1.- VERIFICAR EN EL SIUTMACH EL INGRESO DE LAS ACTAS DE CALIFICACIONES GENERADAS POR LOS DOCENTES
2.- REGISTRAR MANUALMENTE EN EL SIUTMACH LAS CALIFICACIONES  DE PLAN ESPECIAL, HOMOLOGACIONES, RECTIFICACIÓN DE CALIFICACIONES, RECALIFICACIONES Y CALIFICACIONES HISTÓRICAS
3.- EMITIR CERTIFICADOS DE PROMOCIÓN O RECORD ACADÉMICO
4.- EMITIR CERTIFICADOS DE CULMINACIÓN DE MALLA
5.- EMITIR CERTIFICADOS DE PROMEDIO GLOBAL DE NOTAS
6.- EMITIR REPORTE DE MEJORES ESTUDIANTES POR SEMESTRE, CARRERA Y PERIODO
7.- EMITIR REPORTE DE MEJOR EGRESADO POR PERIODO Y/O CARRERA
8.- EMITIR CERTIFICADO DE INICIO Y FIN DE CARRERA
9.- EMITIR CERTIFICADO DE REPROBACIÓN DE ASIGNATURAS POR TERCERA VEZ
10.- ACTUALIZAR EN EL SIUTMACH CARTILLAS HISTÓRICAS DE ESTUDIANTES
11.- APERTURAR EL SISTEMA PREVIA APROBACIÓN DEL CONSEJO DIRECTIVO PARA REGISTRO Y/O CORRECCIÓN DE CALIFICACIONES POR PARTE DE LOS DOCENTES
12.- ATENDER A USUARIOS INTERNOS Y EXTERNOS</t>
  </si>
  <si>
    <t>1.- Reporte de actas de calificaciones finalizadas y guardadas</t>
  </si>
  <si>
    <t xml:space="preserve">Lic.Cesar Peñaherrera Mosquera
JEFE DE LA UMMOG-FIC
Lic. Mercedes Quimi Quirola
Analista de Estadistica y Matricula UMMOG
</t>
  </si>
  <si>
    <t>Por reforma del RRA de la UTMACH, las Actas de Calificaciones no son físicas solo digitales, por lo que el mismo docente al finalizar y guardar el acta valida la misma en el SIUTMACH</t>
  </si>
  <si>
    <t>1.- COORDINAR Y PLANIFICAR PROCESO DE TITULACION A NIVEL DE FACULTAD
2.- REGISTRAR FECHA DE FIN DE CARRERA PARA CUMPLIMIENTO DE LA INSCRIPCION AL PROCESO DE TITULACION Y REVISAR Y VALIDAR LA MALLA
4.- REVISAR PERDIDA DE GRATUIDAD POR ACUMULAR MAS DEL 30% DE CREDITOS REPROBADOS Y/O SEGUNDO O MAS TITULOS PROFESIONALES OBTENIDOS REGISTRADOS EN EL SENESCYT 
5.- REVISAR REQUISITOS HABILITANTES PARA MATRICULA EN PROCESO DE TITULACION Y VALIDAR MATRICULA 
6.- IMPRIMIR Y/O DESCARGAR LISTADOS DE ESTUDIANTES APTOS PARA RENDIR EXAMEN COMPLEXIVO
7.- SUPERVISAR Y COORDINAR LA TOMA DEL EXAMEN COMPLEXIVO
8.- INGRESAR A LA PLATAFORMA DE TITULACION FECHA, HORA Y LUGAR DE SUSTENTACION Y SUPERVISAR Y COORDINAR LAS SUSTENTACIONES DE TRABAJO DE TITULACION Y EXAMEN COMPLEXIVO
9.- ACTIVAR ESPECIALISTA SUPLENTE DEL COMITE EVALUADOR A PETICION DEL COORDINADOR DE CARRERA
10.- GENERAR ACTAS DE CALIFICACIONES DE LAS SUSTENTACIONES 
11.- VALIDAR TRABAJO ESCRITO DE AMBAS OPCIONES DE TITULACION EN LA PLATAFORMA DE TITULACION
12.- DESCARGAR ACTA DE GRADUACION E INSERTAR EN EXPEDIENTE DE ESTUDIANTE
13.- REVISAR Y GRABAR LOS PROMEDIOS DE GRADO A FIN DE GENERAR ACTA CONSOLIDADA
14.- CONVOCAR Y ASISTIR EN LA INDUCCION PRESENCIAL Y/O VIRTUAL PARA EL EVENTO DE INCORPORACION
15.- COORDINAR CON DECANATO, SECRETARIA DE LA FACULTAD Y DIRECCIÓN DE COMUNICACIÓN LA ORGANIZACION DEL EVENTO DE INCORPORACION VIRTUAL Y/O PRESENCIAL
16.- EMITIR CERTIFICADOS DE ESTAR LEGALMENTE MATRICULADOS EN EL PROCESO DE TITULACION
17.- CARGAR EN DRIVE LOS EXPEDIENTES DE LOS ESTUDIANTES GRADUADOS PARA EL REGISTRO E IMPRESION DE LOS TITULOS Y COMPARTIR CON LAS PARTES PERTINENTES
18.- ATENDER A USUARIOS INTERNOS Y EXTERNOS</t>
  </si>
  <si>
    <t>1.- Reporte de estudiantes inscritos en el proceso de titulación</t>
  </si>
  <si>
    <t xml:space="preserve">Lic.Cesar Peñaherrera Mosquera
JEFE DE LA UMMOG-FIC
Lic. Rosa Zapata  Eras
Analista de Matricula UMMOG
Lic. Mercedes Quimi Quirola
Analista de Estadistica y Matricula UMMOG
</t>
  </si>
  <si>
    <t>N° de Informes de designación de tutores y comité evaluador, emitidos.</t>
  </si>
  <si>
    <t>0</t>
  </si>
  <si>
    <t>1.- SOLICITAR A COORDINADORES DE CARRERA EL REGISTRO DE TUTORES EN LA PLATAFORMA DE TITULACION EN CADA PROCESO
2.- GENERAR DESDE LA PLATAFORMA DE TITULACION REPORTE DE TUTORES Y COMITE EVALUADOR PARA APROBACION DE COMISION ACADEMICA Y CONSEJO DIRECTIVO
3.- RECEPTAR LOS REPORTES DE TUTOR Y COMITÉ EVALUADOR LEGALIZADOS</t>
  </si>
  <si>
    <t>1.-Resoluciones de Consejo Directivo de aprobación de los Informes de degignación de tutor y comité evaluador</t>
  </si>
  <si>
    <t xml:space="preserve">Lic.Cesar Peñaherrera Mosquera
JEFE DE LA UMMOG-FIC
</t>
  </si>
  <si>
    <r>
      <rPr>
        <b/>
        <sz val="10"/>
        <color theme="1"/>
        <rFont val="Arial Narrow"/>
        <family val="2"/>
      </rPr>
      <t>8.-</t>
    </r>
    <r>
      <rPr>
        <sz val="10"/>
        <color theme="1"/>
        <rFont val="Arial Narrow"/>
        <family val="2"/>
      </rPr>
      <t xml:space="preserve"> Coordinar y Ejecutar los Procesos de Graduación.</t>
    </r>
  </si>
  <si>
    <t>N° de informes de aptitud legal y actas de graduación emitidos y aprobador por Consejo Directivo</t>
  </si>
  <si>
    <t>1.- RECEPTAR CERTIFICADOS DE NO ADEUDAR Y RECIBO UNICO DE INGRESO A CAJA DE ESTUDIANTES QUE PIERDEN GRATUIDAD Y/O POSEEN OTRO TITULO
2.- GENERAR Y/O IMPRIMIR INFORMES DE APTITUD LEGAL POR CARRERA, PARA APROBACION DE CONSEJO DIRECTIVO
3.- REGISTRAR LA FIRMA ELECTRONICA EN EL SIUTMACH
4.- EMITIR INFORME AL CONSEJO DIRECTO SOBRE LA APROBACIÓN DE LA APTITUD LEGAL Y GRADUACIÓN DE LOS ESTUDIANTES QUE APROBARON EL POCESO DE TITUALACIÓN
5.- INGRESAR, REVISAR Y ACTUALIZAR LA INFORMACION CARGADA EN EL SIUTMACH PARA LA IMPRESION DE TITULOS Y REGISTRO EN LA SENESCYT</t>
  </si>
  <si>
    <t>1.-Registro resumen de las Resoluciones de Consejo Directivo de aprobación de los Informes de Aptitud Legal y Actas de Graduación generadas.</t>
  </si>
  <si>
    <t>Lic.Cesar Peñaherrera Mosquera
JEFE DE LA UMMOG-FIC</t>
  </si>
  <si>
    <t>N° de Informes para certificaciones de procesos de matrícula, movilidad, graduación y estadística, emitidos.</t>
  </si>
  <si>
    <t>1.- EMITIR INFORME PARA CERTIFICAR LOS PROCESOS DE MATRICULA, MOVILIDAD, GRADUCION Y ESTADISTICA, SOLICITADOS POR LOS ESTUDIANTES.
2.- REMITIR COPIAS CERTIFICADAS DE ACTAS DE CALIFICACIONES
3.- REMITIR COPIAS CERTIFICADAS DE ACTAS DE GRADUACION
4.- REMITIR COPIAS CERTIFICADAS DE ACTAS DE CONSOLIDADA
5.- ATENDER A USUARIOS INTERNOS Y EXTERNOS</t>
  </si>
  <si>
    <t>1.-Reporte de Certificados de proceso de  matrícula, movilidad, graduación y estadística emitidos</t>
  </si>
  <si>
    <t>N° de Informes de estudiantes y graduados, solicitados por los entes reguladores internos y externos, efectuado.</t>
  </si>
  <si>
    <t>1.- RECEPTAR Y ATENDER REQUERIMIENTOS DE LOS ORGANISMOS DE CONTROL INTERNOS Y EXTERNOS
2.- REVISAR LA INFORMACION EXISTENTE EL EN SIUTMACH Y ARCHIVO FISICO
3.- ELABORAR INFORMES, REPORTES SOLICITADOS DE MATRICULAS, MOVILIDAD Y GRADUACION</t>
  </si>
  <si>
    <t>1.-Matrices de estudiantes y graduados, solicitados por los entes reguladores internos y externos, efectuadas.</t>
  </si>
  <si>
    <t>N° de Planificaciones Operativas Anuales y Evaluaciones de la Planificación Operativa Anual presentados oportunamente.</t>
  </si>
  <si>
    <t>1.- ELABORAR PLANIFICACION OPERATIVA ANUAL 2024
2.- AUTOEVALUAR PLANIFICACION OPERATIVA ANUAL 2023.</t>
  </si>
  <si>
    <t>N° de Expedientes archivados en físico y/o digital, del 2022-1</t>
  </si>
  <si>
    <t>1.- RECEPTAR OFICIOS
2.- ELABORAR Y DESPACHAR OFICIOS
3.- REGISTRAR OFICIOS ENVIADOS Y RECIBIDOS EN EL SIUTMACH
4.- CONSOLIDAR EXPEDIENTE DE ESTUDIANTES
5.- ARCHIVAR CRONOLOGICAMENTE LOS OFICIOS, RESOLUCIONES Y EXPEDIENTES DE ESTUDIANTES
6.- ARCHIVAR EXPEDIENTES DE ACTAS DE CALIFICACIONES</t>
  </si>
  <si>
    <t>1.- Expediente archivados
2.- Matriz del inventario Documental</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</si>
  <si>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Emitir y notificar las convocatorias, actas y resoluciones de Consejo Directivo.</t>
    </r>
  </si>
  <si>
    <t>Nº de convocatorias  y resoluciones de Consejo Directivo elaboradas y notificadas.</t>
  </si>
  <si>
    <r>
      <rPr>
        <sz val="10"/>
        <color theme="1"/>
        <rFont val="Arial Narrow"/>
        <family val="2"/>
      </rPr>
      <t>1.- Revisar la documentación para CD. 
2.- Elaborar el orden del día de CD.      
3.- Notificar la convocatoria a los miembros de CD.                             
4.- Sistematizar la información obtenida en la sesión de CD.                          
5.- Elaborar el acta de resoluciones de CD.                                                
6.- Notificar las resoluciones</t>
    </r>
    <r>
      <rPr>
        <sz val="10"/>
        <color theme="1"/>
        <rFont val="Arial Narrow"/>
        <family val="2"/>
      </rPr>
      <t>.</t>
    </r>
  </si>
  <si>
    <t>1.- Reporte de emisión, notificación de convocatorias, actas y resoluciones de Consejo Directivo</t>
  </si>
  <si>
    <t>Lcda. Kelma Solano Ramírez, Analista Académico
Lcda. María Fernanda Armijos, Técnico de Documentación y Archivo
Abg. Lenin Erazo Bermeo, Secretario Abogado</t>
  </si>
  <si>
    <r>
      <rPr>
        <b/>
        <sz val="10"/>
        <color theme="1"/>
        <rFont val="Arial Narrow"/>
        <family val="2"/>
      </rPr>
      <t>2.-</t>
    </r>
    <r>
      <rPr>
        <sz val="10"/>
        <color theme="1"/>
        <rFont val="Arial Narrow"/>
        <family val="2"/>
      </rPr>
      <t xml:space="preserve"> Emitir y/o legalizar las Certificaciones de la Facultad.</t>
    </r>
  </si>
  <si>
    <t>Nº de certificaciones emitidas</t>
  </si>
  <si>
    <t>1.- Receptar la documentación.    
2.- Analizar la petición de certificación.                                  
3.- Emitir la certificación respectiva</t>
  </si>
  <si>
    <t>Lcda. Kelma Solano Ramírez, Analista Académico
Lcda. María Fernanda Armijos, Técnico de Documentación y Archivo                  
Abg. Lenin Erazo Bermeo, Secretario Abogado</t>
  </si>
  <si>
    <r>
      <rPr>
        <b/>
        <sz val="10"/>
        <color theme="1"/>
        <rFont val="Arial Narrow"/>
        <family val="2"/>
      </rPr>
      <t>3.-</t>
    </r>
    <r>
      <rPr>
        <sz val="10"/>
        <color theme="1"/>
        <rFont val="Arial Narrow"/>
        <family val="2"/>
      </rPr>
      <t xml:space="preserve"> Registrar y distribuir la correspondencia interna y externa de la Facultad.</t>
    </r>
  </si>
  <si>
    <t>Nº de registros y distribución de la correspondencia interna y externa de la facultad registrados</t>
  </si>
  <si>
    <t>1.- Receptar la documentación.    
2.- Distribuir la correspondencia a las dependencias de la facultad.     
3.- Registrar la correspondencia de la Facultad.</t>
  </si>
  <si>
    <r>
      <rPr>
        <b/>
        <sz val="10"/>
        <color theme="1"/>
        <rFont val="Arial Narrow"/>
        <family val="2"/>
      </rPr>
      <t>4.-</t>
    </r>
    <r>
      <rPr>
        <sz val="10"/>
        <color theme="1"/>
        <rFont val="Arial Narrow"/>
        <family val="2"/>
      </rPr>
      <t xml:space="preserve"> Brindar asesoría jurídica a las Autoridades y dependencias de la Facultad.</t>
    </r>
  </si>
  <si>
    <t>Nº de asesorías brindadas</t>
  </si>
  <si>
    <t>1.- Receptar el requerimiento.        
2.- Orientar a las dependencias de la Facultad.</t>
  </si>
  <si>
    <t>1.- Reporte de asesorías brindadas.</t>
  </si>
  <si>
    <t xml:space="preserve"> Abg. Lenin Erazo Bermeo, Secretario Abogado</t>
  </si>
  <si>
    <r>
      <rPr>
        <b/>
        <sz val="10"/>
        <color theme="1"/>
        <rFont val="Arial Narrow"/>
        <family val="2"/>
      </rPr>
      <t>5.-</t>
    </r>
    <r>
      <rPr>
        <sz val="10"/>
        <color theme="1"/>
        <rFont val="Arial Narrow"/>
        <family val="2"/>
      </rPr>
      <t xml:space="preserve"> Emitir Informes jurídicos de los procesos disciplinarios, académicos y/o administrativos de la Facultad.</t>
    </r>
  </si>
  <si>
    <t>Nº de informes jurídicos realizados de los procesos disciplinarios, académicos y/o administrativos de la Facultad.</t>
  </si>
  <si>
    <t>1.- Receptar la documentación.      
2.- Elaborar informe jurídico.                          
3.- Notificar el informea los involucrados en el proceso.</t>
  </si>
  <si>
    <t>1.- Reportes de informes jurídicos de los procesos disciplinarios, académicos y/o adminsitrativos, emitidos en la Facultad.</t>
  </si>
  <si>
    <r>
      <rPr>
        <b/>
        <sz val="10"/>
        <color theme="1"/>
        <rFont val="Arial Narrow"/>
        <family val="2"/>
      </rPr>
      <t>6.-</t>
    </r>
    <r>
      <rPr>
        <sz val="10"/>
        <color theme="1"/>
        <rFont val="Arial Narrow"/>
        <family val="2"/>
      </rPr>
      <t xml:space="preserve"> Administrar la documentación para tratamiento de Consejo Directivo</t>
    </r>
  </si>
  <si>
    <t>N° de documentos ingresados para tratamiento del Consejo Directivo.</t>
  </si>
  <si>
    <t>1.- Receptar la documentación a tratar en Consejo Directivo.                                  2.- Poner conocimiemto para su análisis y resolución por parte de Consejo Directivo.</t>
  </si>
  <si>
    <t>1.- Reporte de resoluciones emitidas por Consejo Directivo.</t>
  </si>
  <si>
    <t>Nº de planificaciones operativas anuales y evaluaciones del POA entregadas</t>
  </si>
  <si>
    <t xml:space="preserve">1.- Elaborar POA 2024
2.- Elaborar la Evaluación del POA año 2023
3.- Entregar al departamento de planificación el POA 2024 y la evaluación del POA 2023.      </t>
  </si>
  <si>
    <t xml:space="preserve">1.- POA 2024.
2.- Evaluación del POA 2023.                                   </t>
  </si>
  <si>
    <t>Lcda. Kelma Solano Ramírez, Analista Académico                       Lcda. María Fernanda Armijos, Técnico de Documentación y Archivo                                     Abg. Lenin Erazo Bermeo, Secretario Abogado</t>
  </si>
  <si>
    <r>
      <rPr>
        <b/>
        <sz val="10"/>
        <color theme="1"/>
        <rFont val="Arial Narrow"/>
        <family val="2"/>
      </rPr>
      <t>8.-</t>
    </r>
    <r>
      <rPr>
        <sz val="10"/>
        <color theme="1"/>
        <rFont val="Arial Narrow"/>
        <family val="2"/>
      </rPr>
      <t xml:space="preserve"> Organizar el Archivo intermedio.</t>
    </r>
  </si>
  <si>
    <t>Nº de Cajas registradas en el inventario documental de secretaría y archivo</t>
  </si>
  <si>
    <t>1.- Sistematizar la documentación semestralmente. 
2.- Organizar e inventariar la documentación.</t>
  </si>
  <si>
    <t>Lcda. María Fernanda Armijos, Técnico de Documentación y Archivo                    Abg. Lenin Erazo Bermeo, Secretario Abogado</t>
  </si>
  <si>
    <t xml:space="preserve"> CARRERA DE INGENIERÍA AMBIENTAL</t>
  </si>
  <si>
    <r>
      <rPr>
        <b/>
        <sz val="10"/>
        <color rgb="FFFF0000"/>
        <rFont val="Arial Narrow"/>
        <family val="2"/>
      </rPr>
      <t>METAS OPERATIVAS</t>
    </r>
    <r>
      <rPr>
        <b/>
        <sz val="10"/>
        <color theme="1"/>
        <rFont val="Arial Narrow"/>
        <family val="2"/>
      </rPr>
      <t xml:space="preserve">
1.-</t>
    </r>
    <r>
      <rPr>
        <sz val="10"/>
        <color theme="1"/>
        <rFont val="Arial Narrow"/>
        <family val="2"/>
      </rPr>
      <t xml:space="preserve"> Ejecutar los procesos académicos de la carrera.</t>
    </r>
  </si>
  <si>
    <t>.- Conformar la Comisión Académica, ejecutado.
.- Irregularidades, inconformidades
y/o polémicas surgidas en el 
ambiente académico de su carrera, informadas.</t>
  </si>
  <si>
    <t xml:space="preserve">Nro de procesos académicos ejecutados.
</t>
  </si>
  <si>
    <t>1.- Ejecutar el proceso de elaboración de los distributivos y horarios.
2.- Ejecutar el proceso de evaluación del desempeño docente.</t>
  </si>
  <si>
    <t>1.- Reporte del SIUTMACH de Distributivos y horarios correctamente subidos.
2.- Informe final de cumplimiento de ejcución de proceso de evaluación del desempeño docente de la Carrera.</t>
  </si>
  <si>
    <t>Coordinador de Carrera.
Jesús Espinoza Correa.</t>
  </si>
  <si>
    <r>
      <rPr>
        <b/>
        <sz val="10"/>
        <color theme="1"/>
        <rFont val="Arial Narrow"/>
        <family val="2"/>
      </rPr>
      <t>2.-</t>
    </r>
    <r>
      <rPr>
        <sz val="10"/>
        <color theme="1"/>
        <rFont val="Arial Narrow"/>
        <family val="2"/>
      </rPr>
      <t xml:space="preserve"> Informar el logro de resultados o avances de procesos de Investigación, vinculación con la sociedad y práctica preprofesional.</t>
    </r>
  </si>
  <si>
    <t>.- Responsables de colectivos académicos de Evaluación y Acreditación de la calidad, Prácticas Pre-profesionales o laborales, y servicio comunitario, realizado.</t>
  </si>
  <si>
    <t>Nro  de proyectos de investigación y vinculación con la sociedad ejecutados.</t>
  </si>
  <si>
    <t xml:space="preserve">Coordinador de Carrera
Jesús Espinoza Correa.
Grupo de Vinculación con la sociedad.
Hugo Añazco Loaiza
Grupos de trabajo de investigación.
Jaime Maza Maza
Grupos de Práctica Pre-profesionales
Mariuxi Guerrero Azanza
</t>
  </si>
  <si>
    <r>
      <rPr>
        <b/>
        <sz val="10"/>
        <color theme="1"/>
        <rFont val="Arial Narrow"/>
        <family val="2"/>
      </rPr>
      <t>3.-</t>
    </r>
    <r>
      <rPr>
        <sz val="10"/>
        <color theme="1"/>
        <rFont val="Arial Narrow"/>
        <family val="2"/>
      </rPr>
      <t xml:space="preserve"> Coordinar con el colectivo de trabajo las propuestas de procesos de Investigación y Vinculación con la sociedad ante las instancias encargadas de emitir las directrices a nivel institucional.</t>
    </r>
  </si>
  <si>
    <t>.- Procesos que garantizan el cumplimiento de las funciones sustantivas de la educación
superior: docencia, investigación
y vinculación en la facultad 
que dirige; ejecutados.</t>
  </si>
  <si>
    <t>Nro de propuestas de procesos de investigación y vinculación con la sociedad coordinados.</t>
  </si>
  <si>
    <t>1.- Generar las propuestas de procesos de investigación y vinculación con la sociedad.</t>
  </si>
  <si>
    <t>1.- Propuestas de procesos de investigación y vinculación con la sociedad en los formatos dados por las instancias pertinentes.</t>
  </si>
  <si>
    <t>Coordinador de Carrera
Jesús Espinoza Correa.
Grupo de Vinculación con la sociedad.
Hugo Añazco Loaiza
Grupos de trabajo de investigación.
Jaime Maza Maza
Grupos de Práctica Pre-profesionales
Mariuxi Guerrero Azanza</t>
  </si>
  <si>
    <r>
      <rPr>
        <b/>
        <sz val="10"/>
        <color theme="1"/>
        <rFont val="Arial Narrow"/>
        <family val="2"/>
      </rPr>
      <t>4.-</t>
    </r>
    <r>
      <rPr>
        <sz val="10"/>
        <color theme="1"/>
        <rFont val="Arial Narrow"/>
        <family val="2"/>
      </rPr>
      <t xml:space="preserve"> Coordinar las actividades académicas que se realizan en los diferentes aulas y laboratorios de la carrera.</t>
    </r>
  </si>
  <si>
    <t>.- Aulas de clase con fines formativos y de asesoramiento, realizadas.</t>
  </si>
  <si>
    <t>Horarios de clases y laboratorio coordinados.</t>
  </si>
  <si>
    <t>1.- Presentar horario de clases y laboratorio de la Carrera.</t>
  </si>
  <si>
    <t>1.- Evidencia de organización de horarios de aulas y laboratorios.</t>
  </si>
  <si>
    <t>TOTAL PRESUPUESTO ESTIMATIVO DE INGENIERÍA AMBIENTAL 2023:</t>
  </si>
  <si>
    <t xml:space="preserve"> CARRERA DE INGENIERÍA CIVIL</t>
  </si>
  <si>
    <t>Coordinador de Carrera.
Leyden Carrión Romero.</t>
  </si>
  <si>
    <t>Se realiza procesos académicos como: elaboración de distributivos, elaboración de horarios de clase y organización de horarios de sustentación.</t>
  </si>
  <si>
    <t xml:space="preserve">Coordinador de Carrera
Leyden Carrión Romero
Grupo de Vinculación con la sociedad.
Carlos Sánchez Mendieta
Grupos de trabajo de investigación.
Jose Luis Ordóñez
Grupos de Pràctica Pre-profesionales
Javier Oyola Estrada
</t>
  </si>
  <si>
    <t>Coordinador de Carrera
Joofre Honores Tapia
Grupo de Vinculación con la sociedad.
Milton Valarezo Pardo
Grupos de trabajo de investigación.
Joofre Honores Tapia
Grupos de Pràctica Pre-profesionales
Óscar Cárdenas Villavicencio</t>
  </si>
  <si>
    <t>TOTAL PRESUPUESTO ESTIMATIVO DE INGENIERÍA CIVIL 2023:</t>
  </si>
  <si>
    <t xml:space="preserve"> CARRERA DE TECNOLOGÍAS DE LA INFORMACIÓN</t>
  </si>
  <si>
    <t>Coordinador de Carrera.
Joofre Honores Tapia.</t>
  </si>
  <si>
    <t>Se realiza procesos académicos como:
* Elaboración de distributivos.
* Elaboración de horarios de clase.
* Organización de horarios de sustentación de titulación.</t>
  </si>
  <si>
    <t>TOTAL PRESUPUESTO ESTIMATIVO DE TECNOLOGÍAS DE LA INFORMACIÓN Y COMUNICACIÓN 2023:</t>
  </si>
  <si>
    <t>TOTAL PRESUPUESTO ESTIMATIVO FIC 2023:</t>
  </si>
  <si>
    <t>Kevin Adrián Valarezo Paz</t>
  </si>
  <si>
    <t>NOTA: Las columnas que comprenden la Programación de Necesidades de Recursos se deben llenar de acuerdo a las necesidades que se tenga en cada Meta Operativa, es decir a nivel de cada meta debe indicarse los recursos que se van a necesitar para ejecutar la misma.</t>
  </si>
  <si>
    <t>DESCRIPCION</t>
  </si>
  <si>
    <t>CODIGO</t>
  </si>
  <si>
    <t>POA - PRESUPUESTO 2023</t>
  </si>
  <si>
    <t>164 UNIVERSIDAD TÉCNICA DE MACHALA</t>
  </si>
  <si>
    <t>INGRESOS</t>
  </si>
  <si>
    <t>GRUPO DE GASTO</t>
  </si>
  <si>
    <t>TECHO 2023</t>
  </si>
  <si>
    <t>FISCALES</t>
  </si>
  <si>
    <t>PROPIOS</t>
  </si>
  <si>
    <t>PREASIGNADOS</t>
  </si>
  <si>
    <t>PRÉSTAMOS EXTERNOS</t>
  </si>
  <si>
    <t>ANTICIPOS DE EJERCICIOS ANTERIORES</t>
  </si>
  <si>
    <t>FUENTE 001</t>
  </si>
  <si>
    <t>FUENTE 002</t>
  </si>
  <si>
    <t>FUENTE 003</t>
  </si>
  <si>
    <t>FUENTE 202</t>
  </si>
  <si>
    <t>FUENTE 998</t>
  </si>
  <si>
    <t>510000</t>
  </si>
  <si>
    <t>Egresos en personal</t>
  </si>
  <si>
    <t>530000</t>
  </si>
  <si>
    <t>Bienes y servicios de consumo</t>
  </si>
  <si>
    <t>570000</t>
  </si>
  <si>
    <t>Otros egresos corrientes</t>
  </si>
  <si>
    <t>580000</t>
  </si>
  <si>
    <t>Transferencias o donaciones corrientes</t>
  </si>
  <si>
    <t>840000</t>
  </si>
  <si>
    <t>Egresos de capital</t>
  </si>
  <si>
    <r>
      <rPr>
        <b/>
        <sz val="12"/>
        <color theme="1"/>
        <rFont val="Arial Narrow"/>
        <family val="2"/>
      </rPr>
      <t xml:space="preserve"> Total </t>
    </r>
    <r>
      <rPr>
        <b/>
        <sz val="12"/>
        <color theme="1"/>
        <rFont val="Arial Narrow"/>
        <family val="2"/>
      </rPr>
      <t>164:</t>
    </r>
  </si>
  <si>
    <t xml:space="preserve">EGRESOS                          </t>
  </si>
  <si>
    <t>CONCEPTO</t>
  </si>
  <si>
    <t>APROBADO MEF</t>
  </si>
  <si>
    <t>PRESUPUESTO 2023</t>
  </si>
  <si>
    <t xml:space="preserve"> FUENTE 003</t>
  </si>
  <si>
    <t>DIFERENCIA</t>
  </si>
  <si>
    <t>01-00-000-001</t>
  </si>
  <si>
    <t>ADMINISTRACIÓN CENTRAL</t>
  </si>
  <si>
    <t>510105 0700 003</t>
  </si>
  <si>
    <t>510106 0700 003</t>
  </si>
  <si>
    <t>510108 0700 003</t>
  </si>
  <si>
    <t>510203 0700 003</t>
  </si>
  <si>
    <t>Decimo Tercer Sueldo</t>
  </si>
  <si>
    <t>510204 0700 003</t>
  </si>
  <si>
    <t>Decimo Cuarto Sueldo</t>
  </si>
  <si>
    <t>510304 0700 003</t>
  </si>
  <si>
    <t>510306 0700 003</t>
  </si>
  <si>
    <t>510401 0700 003</t>
  </si>
  <si>
    <t>510408 0700 003</t>
  </si>
  <si>
    <t>510509 0700 003</t>
  </si>
  <si>
    <t>510510 0700 003</t>
  </si>
  <si>
    <t>510512 0700 003</t>
  </si>
  <si>
    <t>510513 0700 003</t>
  </si>
  <si>
    <t>510601 0700 003</t>
  </si>
  <si>
    <t>510602 0700 003</t>
  </si>
  <si>
    <t>510707 0700 003</t>
  </si>
  <si>
    <t>510711 0700 003</t>
  </si>
  <si>
    <t>Indemnizaciones Laborales</t>
  </si>
  <si>
    <t>530101 0701 003</t>
  </si>
  <si>
    <t>530104 0701 003</t>
  </si>
  <si>
    <t>530105 	0701 	003</t>
  </si>
  <si>
    <t>530106 0701 003</t>
  </si>
  <si>
    <t>530203 0701 003</t>
  </si>
  <si>
    <t>Almacenamiento, Envalaje, Desenvalaje, Envase, Desenvase y Recarga de Extintores</t>
  </si>
  <si>
    <t>530204	0701	003</t>
  </si>
  <si>
    <t>530207	0701	003</t>
  </si>
  <si>
    <t>530208 0701 003</t>
  </si>
  <si>
    <t>530239 0701 003</t>
  </si>
  <si>
    <t>530243 0701 003</t>
  </si>
  <si>
    <t>530301 0701 003</t>
  </si>
  <si>
    <t>530302 0701 003</t>
  </si>
  <si>
    <t>530303 0701 003</t>
  </si>
  <si>
    <t>530304 0701 003</t>
  </si>
  <si>
    <t>530307 0701 003</t>
  </si>
  <si>
    <t>530402	0701	003</t>
  </si>
  <si>
    <t>530404	0701	003</t>
  </si>
  <si>
    <t>530405 0701 003</t>
  </si>
  <si>
    <t>530601	0701	003</t>
  </si>
  <si>
    <t>530605 0701 003</t>
  </si>
  <si>
    <t>530606 0701 003</t>
  </si>
  <si>
    <t>530612	0701	003</t>
  </si>
  <si>
    <t>530702 0701 003</t>
  </si>
  <si>
    <t>530704 0701 003</t>
  </si>
  <si>
    <t>530802 0701 003</t>
  </si>
  <si>
    <t>530803 0701 003</t>
  </si>
  <si>
    <t>Combustibles y Lubricantes</t>
  </si>
  <si>
    <t>530804	0701	003</t>
  </si>
  <si>
    <t>530805 0701 003</t>
  </si>
  <si>
    <t>530807	0701	003</t>
  </si>
  <si>
    <t>530809 0701 003</t>
  </si>
  <si>
    <t>530811	0701	003</t>
  </si>
  <si>
    <t>530813 0701 003</t>
  </si>
  <si>
    <t>530826 0701 003</t>
  </si>
  <si>
    <t>531002 0701 003</t>
  </si>
  <si>
    <t>Suministros para la Defensa y Seguridad Pública</t>
  </si>
  <si>
    <t>531404	0701	003</t>
  </si>
  <si>
    <t>531406 0701 003</t>
  </si>
  <si>
    <t>531407	0701	003</t>
  </si>
  <si>
    <t>531408 0701 003</t>
  </si>
  <si>
    <t>531601 0701 003</t>
  </si>
  <si>
    <t>Fondos de reposición de Caja Chicha</t>
  </si>
  <si>
    <t>570102 0701 002</t>
  </si>
  <si>
    <t>570102 0701 003</t>
  </si>
  <si>
    <t>570201 0701 001</t>
  </si>
  <si>
    <t>570201 0701 002</t>
  </si>
  <si>
    <t>570201 0701 003</t>
  </si>
  <si>
    <t>570203 0701 002</t>
  </si>
  <si>
    <t>580208 0701 001</t>
  </si>
  <si>
    <t>580209 0701 001</t>
  </si>
  <si>
    <t>840104	0701	003</t>
  </si>
  <si>
    <t>840107	0701	003</t>
  </si>
  <si>
    <t>840107 0701</t>
  </si>
  <si>
    <t>840113 0701 003</t>
  </si>
  <si>
    <t>Total 01-00-000-001 ADMINISTRACIÓN CENTRAL</t>
  </si>
  <si>
    <t>82-00-000-001</t>
  </si>
  <si>
    <t>FORMACION Y GESTION ACADEMICA</t>
  </si>
  <si>
    <t>510203 0700 001</t>
  </si>
  <si>
    <t>510204 0700 001</t>
  </si>
  <si>
    <t>510518 0700 001</t>
  </si>
  <si>
    <t>510518 0700 003</t>
  </si>
  <si>
    <t>510601 0700 001</t>
  </si>
  <si>
    <t>510602 0700 001</t>
  </si>
  <si>
    <t>510707 0700 001</t>
  </si>
  <si>
    <t>530207	0701	001</t>
  </si>
  <si>
    <t>530402	0701	001</t>
  </si>
  <si>
    <t>530404	0701	001</t>
  </si>
  <si>
    <t>530606 0701 001</t>
  </si>
  <si>
    <t>530612 0701 001</t>
  </si>
  <si>
    <t xml:space="preserve">Capacitación a Servidores Públicos        </t>
  </si>
  <si>
    <t>530612 0701 003</t>
  </si>
  <si>
    <t>530613 0701 001</t>
  </si>
  <si>
    <t>530704	0701	001</t>
  </si>
  <si>
    <t>530807 0702 001</t>
  </si>
  <si>
    <t>530811	0701	001</t>
  </si>
  <si>
    <t>530813 0701 001</t>
  </si>
  <si>
    <t>531404 0701 001</t>
  </si>
  <si>
    <t>531406 0701 001</t>
  </si>
  <si>
    <t>531407	0701	001</t>
  </si>
  <si>
    <t>531408 0701 001</t>
  </si>
  <si>
    <t>531601 0701 001</t>
  </si>
  <si>
    <t>840103	0701	003</t>
  </si>
  <si>
    <t>Total 82-00-000-001 FORMACION Y GESTION ACADEMICA</t>
  </si>
  <si>
    <t>83-00-000-001</t>
  </si>
  <si>
    <t>GESTIÓN DE LA INVESTIGACIÓN</t>
  </si>
  <si>
    <t>530105 0701 001</t>
  </si>
  <si>
    <t>530204	0701	001</t>
  </si>
  <si>
    <t>530302 0701 001</t>
  </si>
  <si>
    <t>530303 0701 001</t>
  </si>
  <si>
    <t>530304	0701	001</t>
  </si>
  <si>
    <t>530605 0701 001</t>
  </si>
  <si>
    <t>530606 0701 002</t>
  </si>
  <si>
    <t>530609 0701 001</t>
  </si>
  <si>
    <t>530612 0701 002</t>
  </si>
  <si>
    <t>530702	0701	002</t>
  </si>
  <si>
    <t>530810	0701	001</t>
  </si>
  <si>
    <t>530814 0701 003</t>
  </si>
  <si>
    <t>530823 0701 003</t>
  </si>
  <si>
    <t>530829	0701	002</t>
  </si>
  <si>
    <t>531404	0701	002</t>
  </si>
  <si>
    <t>531407	0701	002</t>
  </si>
  <si>
    <t>531409	0701	002</t>
  </si>
  <si>
    <t>840107	0701	202</t>
  </si>
  <si>
    <t>Total 83-00-000-001 GESTIÓN DE LA INVESTIGACIÓN</t>
  </si>
  <si>
    <t>84-00-000-001</t>
  </si>
  <si>
    <t>GESTIÓN DE LA VINCULACIÓN CON LA COLECTIVIDAD</t>
  </si>
  <si>
    <t>530204	0701	002</t>
  </si>
  <si>
    <t>530239	0701	002</t>
  </si>
  <si>
    <t>530301 0701 002</t>
  </si>
  <si>
    <t>530302	0701	002</t>
  </si>
  <si>
    <t>530307 0701 002</t>
  </si>
  <si>
    <t>Atención a delegados extranjeros y nacioales, deportistas entrenadores y cuerpo técnico que representan al País</t>
  </si>
  <si>
    <t>530402	0701	002</t>
  </si>
  <si>
    <t>530605 0701 002</t>
  </si>
  <si>
    <t>530612	0701	002</t>
  </si>
  <si>
    <t>530613 0701 002</t>
  </si>
  <si>
    <t>530702	0701	001</t>
  </si>
  <si>
    <t>530704 0701 002</t>
  </si>
  <si>
    <t>530802 0701 002</t>
  </si>
  <si>
    <t>Vestuario, lenceria, prendas de protección.</t>
  </si>
  <si>
    <t>530804	0701	002</t>
  </si>
  <si>
    <t>530805 0701 002</t>
  </si>
  <si>
    <t>530807	0701	002</t>
  </si>
  <si>
    <t>530810 0701 002</t>
  </si>
  <si>
    <t>530812 0701 002</t>
  </si>
  <si>
    <t xml:space="preserve">Materiales Didácticos  </t>
  </si>
  <si>
    <t>531403 0701 002</t>
  </si>
  <si>
    <t>531404 0701 002</t>
  </si>
  <si>
    <t>531407 0701 002</t>
  </si>
  <si>
    <t>531407 0701 003</t>
  </si>
  <si>
    <t>Total 11506 84-00-000-001 GESTIÓN DE LA VINCULACIÓN CON LA COLECTIVIDAD</t>
  </si>
  <si>
    <t>Total 11506 Universidad Técnica de Machala</t>
  </si>
  <si>
    <t>PRESUPUESTO AÑO 2023</t>
  </si>
  <si>
    <t>FUENTE/ITEM</t>
  </si>
  <si>
    <t>PRESUPUESTO INICIAL 2023</t>
  </si>
  <si>
    <t>PRESTAMOS EXTERNOS</t>
  </si>
  <si>
    <t>001        180101</t>
  </si>
  <si>
    <t>DEL PRESUPUESTO GENERAL DEL ESTADO</t>
  </si>
  <si>
    <t>003        180101</t>
  </si>
  <si>
    <t>202        280101</t>
  </si>
  <si>
    <t>002 130108 7001 0007</t>
  </si>
  <si>
    <t>PRESTACION DE SERVICIOS, MATRÍCULAS</t>
  </si>
  <si>
    <t>002 170202 7001 0007</t>
  </si>
  <si>
    <t>ARRENDAMIENTO DE EDIFICIOS, INCUMPLIMIENTO DE CONTRATOS</t>
  </si>
  <si>
    <r>
      <t xml:space="preserve"> Total </t>
    </r>
    <r>
      <rPr>
        <b/>
        <sz val="10"/>
        <rFont val="Century Schoolbook"/>
        <family val="1"/>
      </rPr>
      <t>164:</t>
    </r>
  </si>
  <si>
    <t>INCREMENTO</t>
  </si>
  <si>
    <t>REDUCCIÓN</t>
  </si>
  <si>
    <t>PRESUPUESTO REFORMADO</t>
  </si>
  <si>
    <t>PRESUPUESTO ASIGNADO 2023</t>
  </si>
  <si>
    <t>Remuneración Mensual Unificada de Docentes e Investigadores Universitarios</t>
  </si>
  <si>
    <t>Subsidio de Antigüedad</t>
  </si>
  <si>
    <t>Horas Extraordinarias y Suplementarias</t>
  </si>
  <si>
    <t>SUBROGACIÓN</t>
  </si>
  <si>
    <t>ENCARGOS</t>
  </si>
  <si>
    <t>510704 0700 003</t>
  </si>
  <si>
    <t>Compensación por Vacaciones</t>
  </si>
  <si>
    <t>510709 0700 003</t>
  </si>
  <si>
    <t>530105 0701 003</t>
  </si>
  <si>
    <t>Almacenamiento Embalaje Desembalaje Envase Desenvase y Recarga de Extintores</t>
  </si>
  <si>
    <t>Edición, Impresión, Reproducción, Publicaciones, Suscripciones</t>
  </si>
  <si>
    <t>530207 0701 003</t>
  </si>
  <si>
    <t>530235 0701 003</t>
  </si>
  <si>
    <t>Garantia Extendida de Bienes</t>
  </si>
  <si>
    <t>530255 0701 003</t>
  </si>
  <si>
    <t>Combustible</t>
  </si>
  <si>
    <t>Atencion a Delegados Extranjeros y Nacionales Deportistas Entrenadores y Cuerpo Tecnico que Representen al País</t>
  </si>
  <si>
    <t>530402 0701 001</t>
  </si>
  <si>
    <t>530402 0701 002</t>
  </si>
  <si>
    <t>530402 0701 003</t>
  </si>
  <si>
    <t>530403 0701 003</t>
  </si>
  <si>
    <t>Mobiliario, Instalación y Reparación</t>
  </si>
  <si>
    <t>530404 0701 001</t>
  </si>
  <si>
    <t>Maquinarias y Equipos (Instalación Mantenimiento y Reparación)</t>
  </si>
  <si>
    <t>530404 0701 003</t>
  </si>
  <si>
    <t>530405 0701 002</t>
  </si>
  <si>
    <t>530601 0701 003</t>
  </si>
  <si>
    <t>Consultoria Asesoria e Investigacion Especializada</t>
  </si>
  <si>
    <t>Estudio y Diseno de Proyectos</t>
  </si>
  <si>
    <t>530802 0701 001</t>
  </si>
  <si>
    <t>Vestuario, Lencería y Prendas de Protección</t>
  </si>
  <si>
    <t>530804 0701 002</t>
  </si>
  <si>
    <t>530804 0701 003</t>
  </si>
  <si>
    <t>530807 0701 003</t>
  </si>
  <si>
    <t>530811 0701 001</t>
  </si>
  <si>
    <t>Insumos, Materiales y Suministros para Construcción</t>
  </si>
  <si>
    <t>530811 0701 003</t>
  </si>
  <si>
    <t>530832 0701 001</t>
  </si>
  <si>
    <t>Dispositivos Médicos para Odontología</t>
  </si>
  <si>
    <t>531404 0701 003</t>
  </si>
  <si>
    <t>Bienes Artísticos, Culturales, Deportivos</t>
  </si>
  <si>
    <t>531409 0701 001</t>
  </si>
  <si>
    <t>531409 0701 002</t>
  </si>
  <si>
    <t>531411 0701 001</t>
  </si>
  <si>
    <t>Tasas Generales, Patentes</t>
  </si>
  <si>
    <t>570206 0701 003</t>
  </si>
  <si>
    <t>570216 0701 001</t>
  </si>
  <si>
    <t>Obligaciones con el IESS por Responsabilidad Patronal</t>
  </si>
  <si>
    <t>570218 0701 001</t>
  </si>
  <si>
    <t>Interés por Mora Patronal al IESS</t>
  </si>
  <si>
    <t>580204 0701 003</t>
  </si>
  <si>
    <t>Becas y Ayudas Económicas (Estudiantes)</t>
  </si>
  <si>
    <t>011 710704 0701 202</t>
  </si>
  <si>
    <t>011 710706 0701 202</t>
  </si>
  <si>
    <t>012 730208 0701 202</t>
  </si>
  <si>
    <t>840103 0701 001</t>
  </si>
  <si>
    <t>840103 0701 002</t>
  </si>
  <si>
    <t>012 840104 0701 202</t>
  </si>
  <si>
    <t>840105 0701 003</t>
  </si>
  <si>
    <t>Vehículos</t>
  </si>
  <si>
    <t>840106 0701 202</t>
  </si>
  <si>
    <t>840107 0701 002</t>
  </si>
  <si>
    <t>840107 0701 202</t>
  </si>
  <si>
    <t>990101 0701 003</t>
  </si>
  <si>
    <t>Obligaciones de Ejercicios Anteriores en Personal</t>
  </si>
  <si>
    <t>990102 0701 001</t>
  </si>
  <si>
    <t>Obligaciones de Ejercicios Anteriores en Servicios</t>
  </si>
  <si>
    <t>FORMACIÓN CONTINUA</t>
  </si>
  <si>
    <t>Servicio Personales por Contrato de Docentes e Investigadores Universitarios</t>
  </si>
  <si>
    <t>Fondos de Reserva</t>
  </si>
  <si>
    <t>Honorarios por Contratos Civiles</t>
  </si>
  <si>
    <t>Vestuario, lencería prendas de protección</t>
  </si>
  <si>
    <t>530807 0701 002</t>
  </si>
  <si>
    <t>Materiales de Impresión, Fotografía y Reproducción</t>
  </si>
  <si>
    <t>Seguro</t>
  </si>
  <si>
    <t>Total 82-00-000-001 FORMACIÓN CONTINUA</t>
  </si>
  <si>
    <t>82-00-000-002</t>
  </si>
  <si>
    <t>FORMACIÓN DE PROFESIONALES CON EXCELENCIA ACADÉMICA Y HUMANA</t>
  </si>
  <si>
    <t>Remuneraciones Unificadas de Docentes Universitarios</t>
  </si>
  <si>
    <t>Compensación por Vacaciones no Gozadas</t>
  </si>
  <si>
    <t>530101 0701 001</t>
  </si>
  <si>
    <t>530104 0701 001</t>
  </si>
  <si>
    <t>Edición, Impresión, Reproducción y Publicaciones</t>
  </si>
  <si>
    <t>530207 0701 001</t>
  </si>
  <si>
    <t>530239 0701 002</t>
  </si>
  <si>
    <t>530301 0701 001</t>
  </si>
  <si>
    <t>530304 0701 001</t>
  </si>
  <si>
    <t>530402 0701 998</t>
  </si>
  <si>
    <t>530404 0701 002</t>
  </si>
  <si>
    <t>Mantenimiento de Maquinarias y Equipos</t>
  </si>
  <si>
    <t>530704 0701 001</t>
  </si>
  <si>
    <t>530807 0701 001</t>
  </si>
  <si>
    <t>530810 0701 001</t>
  </si>
  <si>
    <t>Insumos Materiales y Suministros para la Construcción</t>
  </si>
  <si>
    <t>530819 0701 001</t>
  </si>
  <si>
    <t>530829 0701 001</t>
  </si>
  <si>
    <t>Insumos Materiales y Suministros para Investigación</t>
  </si>
  <si>
    <t>570102 0701 001</t>
  </si>
  <si>
    <t>004 730402 0701 202</t>
  </si>
  <si>
    <t>009 730402 0701 202</t>
  </si>
  <si>
    <t>004 730402 0701 998</t>
  </si>
  <si>
    <t>009 731404 0701 202</t>
  </si>
  <si>
    <t>009 840104 0701 202</t>
  </si>
  <si>
    <t>009 840104 0701 001</t>
  </si>
  <si>
    <t>990101 0701 001</t>
  </si>
  <si>
    <t>Total 82-00-000-002 FORMACIÓN DE PROFESIONALES CON EXCELENCIA ACADÉMICA</t>
  </si>
  <si>
    <t>Remuneraciones Unificadas de Docentes</t>
  </si>
  <si>
    <t>530203 0701 001</t>
  </si>
  <si>
    <t>Almacenamiento desembase y recarga de extintores</t>
  </si>
  <si>
    <t>Edición, Impresión, Reproducción y Publicación</t>
  </si>
  <si>
    <t>530228 0701 001</t>
  </si>
  <si>
    <t>Servicios de Provisión de Dispositivos y Certificación para firmas digitales</t>
  </si>
  <si>
    <t>Membrecía</t>
  </si>
  <si>
    <t>530243 0701 001</t>
  </si>
  <si>
    <t>Pasajes en el Interior</t>
  </si>
  <si>
    <t>530403 0701 001</t>
  </si>
  <si>
    <t>Mantenimiento de Mobiliario</t>
  </si>
  <si>
    <t>530405 0701 001</t>
  </si>
  <si>
    <t>Mantenimiento de Vehículo</t>
  </si>
  <si>
    <t>530801 0701 001</t>
  </si>
  <si>
    <t>Alimentos y Bebidas</t>
  </si>
  <si>
    <t>530804 0701 001</t>
  </si>
  <si>
    <t>530805 0701 001</t>
  </si>
  <si>
    <t>530809 0701 001</t>
  </si>
  <si>
    <t>Dispositivos Médicos para Laboratorio</t>
  </si>
  <si>
    <t>Insumos, Bienes, Materiales y Suministros para la Construcción</t>
  </si>
  <si>
    <t>530819 0701 003</t>
  </si>
  <si>
    <t>530823 0701 002</t>
  </si>
  <si>
    <t>530824 0701 001</t>
  </si>
  <si>
    <t>Insumos, Bienes y Programas de radio y televisión</t>
  </si>
  <si>
    <t>530826 0701 001</t>
  </si>
  <si>
    <t>531403 0701 001</t>
  </si>
  <si>
    <t>005 531404 0701 001</t>
  </si>
  <si>
    <t>531411 0701 002</t>
  </si>
  <si>
    <t>Becas y Ayudas Económicas (Docentes)</t>
  </si>
  <si>
    <t>005 730404 0701 001</t>
  </si>
  <si>
    <t>004 730601 0701 202</t>
  </si>
  <si>
    <t>Consultoría</t>
  </si>
  <si>
    <t>002 730703 0701 202</t>
  </si>
  <si>
    <t>005 840103 0701 003</t>
  </si>
  <si>
    <t>005 840104 0701 001</t>
  </si>
  <si>
    <t>005 840107 0701 001</t>
  </si>
  <si>
    <t>002 840107 0701 202</t>
  </si>
  <si>
    <t>840111 0701 003</t>
  </si>
  <si>
    <t xml:space="preserve">Membrecías </t>
  </si>
  <si>
    <t>530302 0701 002</t>
  </si>
  <si>
    <t>Atención a Delegados Extranjeros y Nacionales, Deportistas y Entrenadores</t>
  </si>
  <si>
    <t>530702 0701 001</t>
  </si>
  <si>
    <t>530819 0701 002</t>
  </si>
  <si>
    <t>Egresos para la Sanidad Agropecuaria</t>
  </si>
  <si>
    <t>Total 164 84-00-000-001 GESTIÓN DE LA VINCULACIÓN CON LA COLECTIVIDAD</t>
  </si>
  <si>
    <t>Total 164 Universidad Técnica de Machala</t>
  </si>
  <si>
    <t>6% Investigación</t>
  </si>
  <si>
    <t>Ing. Vilma Vega Ponce</t>
  </si>
  <si>
    <t>JEFE DE PRESUPUESTO</t>
  </si>
  <si>
    <t>Machala, 16 de febrero de 2023</t>
  </si>
  <si>
    <t>AMP</t>
  </si>
  <si>
    <t>01-840104 0701 998</t>
  </si>
  <si>
    <t>83-530243 0701 998</t>
  </si>
  <si>
    <t>83-002 840107 0701 998</t>
  </si>
  <si>
    <t>83-004 730601 0701 998</t>
  </si>
  <si>
    <t>82-009 730402 0701 998</t>
  </si>
  <si>
    <t>82-009 840104 0701 998</t>
  </si>
  <si>
    <t>01-012 840104 0701 998</t>
  </si>
  <si>
    <t>83-840104 0701 998</t>
  </si>
  <si>
    <t>SUMA:</t>
  </si>
  <si>
    <t>PARTIDAS 84</t>
  </si>
  <si>
    <t>F1</t>
  </si>
  <si>
    <t>F2</t>
  </si>
  <si>
    <t>F3</t>
  </si>
  <si>
    <t>TOTALES:</t>
  </si>
  <si>
    <t>RESUMEN DE SOLICITUDES PARA REFORMA PRESUPUESTARIA N° 001/2023 AL 16 DE FEBRERO DE 2023</t>
  </si>
  <si>
    <t>N°</t>
  </si>
  <si>
    <t>N° DE OFICIO/MEMORANDO</t>
  </si>
  <si>
    <t>FECHA</t>
  </si>
  <si>
    <t>TIPO DE AJUSTE</t>
  </si>
  <si>
    <t>DETALLE DE SOLICITUD</t>
  </si>
  <si>
    <t>DETALLE DE RESOLUCIÓN O TRÁMITE</t>
  </si>
  <si>
    <t>PRESUPUESTARIO Y PAC</t>
  </si>
  <si>
    <t>PAC</t>
  </si>
  <si>
    <r>
      <t>UTMACH-DADM-</t>
    </r>
    <r>
      <rPr>
        <sz val="11"/>
        <rFont val="Century Schoolbook"/>
        <family val="1"/>
      </rPr>
      <t>2022-714</t>
    </r>
    <r>
      <rPr>
        <sz val="11"/>
        <rFont val="Arial Narrow"/>
        <family val="2"/>
      </rPr>
      <t>-OF</t>
    </r>
  </si>
  <si>
    <t>16/12/2022</t>
  </si>
  <si>
    <t>Dirección Administrativa</t>
  </si>
  <si>
    <t>X</t>
  </si>
  <si>
    <r>
      <t>Solicita incremento en la partida N°</t>
    </r>
    <r>
      <rPr>
        <sz val="11"/>
        <rFont val="Century Schoolbook"/>
        <family val="1"/>
      </rPr>
      <t xml:space="preserve"> 570102 0701 001 </t>
    </r>
    <r>
      <rPr>
        <sz val="11"/>
        <rFont val="Arial Narrow"/>
        <family val="2"/>
      </rPr>
      <t xml:space="preserve">Tasas Generales, Impuestos, Contribuciones, Permisos, Licencias y Patentes, por el valor de </t>
    </r>
    <r>
      <rPr>
        <sz val="11"/>
        <rFont val="Century Schoolbook"/>
        <family val="1"/>
      </rPr>
      <t>$ 11.000,00</t>
    </r>
    <r>
      <rPr>
        <sz val="11"/>
        <rFont val="Arial Narrow"/>
        <family val="2"/>
      </rPr>
      <t xml:space="preserve"> para cancelar permiso de funcionamiento </t>
    </r>
    <r>
      <rPr>
        <sz val="11"/>
        <rFont val="Century Schoolbook"/>
        <family val="1"/>
      </rPr>
      <t>2023</t>
    </r>
    <r>
      <rPr>
        <sz val="11"/>
        <rFont val="Arial Narrow"/>
        <family val="2"/>
      </rPr>
      <t xml:space="preserve"> de los establecimientos inspeccionados en la UTMACH.</t>
    </r>
  </si>
  <si>
    <t>No atendido.</t>
  </si>
  <si>
    <r>
      <t>UTMACH-FCE-D-</t>
    </r>
    <r>
      <rPr>
        <sz val="11"/>
        <rFont val="Century Schoolbook"/>
        <family val="1"/>
      </rPr>
      <t>2022-0840</t>
    </r>
    <r>
      <rPr>
        <sz val="11"/>
        <rFont val="Arial Narrow"/>
        <family val="2"/>
      </rPr>
      <t>-OF</t>
    </r>
  </si>
  <si>
    <t>27/12/2022</t>
  </si>
  <si>
    <t>Facultad de Ciencias Empresariales</t>
  </si>
  <si>
    <r>
      <t xml:space="preserve">Solicita incremento en las partidas N° </t>
    </r>
    <r>
      <rPr>
        <sz val="11"/>
        <rFont val="Century Schoolbook"/>
        <family val="1"/>
      </rPr>
      <t>840104 0701 001</t>
    </r>
    <r>
      <rPr>
        <sz val="11"/>
        <rFont val="Arial Narrow"/>
        <family val="2"/>
      </rPr>
      <t xml:space="preserve"> Maquinarias y Equipos, por el valor de </t>
    </r>
    <r>
      <rPr>
        <sz val="11"/>
        <rFont val="Century Schoolbook"/>
        <family val="1"/>
      </rPr>
      <t>$ 950,00</t>
    </r>
    <r>
      <rPr>
        <sz val="11"/>
        <rFont val="Arial Narrow"/>
        <family val="2"/>
      </rPr>
      <t xml:space="preserve">, N° </t>
    </r>
    <r>
      <rPr>
        <sz val="11"/>
        <rFont val="Century Schoolbook"/>
        <family val="1"/>
      </rPr>
      <t>530811 0701 001</t>
    </r>
    <r>
      <rPr>
        <sz val="11"/>
        <rFont val="Arial Narrow"/>
        <family val="2"/>
      </rPr>
      <t xml:space="preserve"> Insumos, Materiales y Suministros para la Construcción, por el valor de </t>
    </r>
    <r>
      <rPr>
        <sz val="11"/>
        <rFont val="Century Schoolbook"/>
        <family val="1"/>
      </rPr>
      <t>$ 500,00</t>
    </r>
    <r>
      <rPr>
        <sz val="11"/>
        <rFont val="Arial Narrow"/>
        <family val="2"/>
      </rPr>
      <t xml:space="preserve"> para realizar mantenimiento en áreas (cuartos de bombas) e instalaciones (eléctricas) en la Facultad.</t>
    </r>
  </si>
  <si>
    <t>No atendido. La solicitud de incremento debe estar en el POA.</t>
  </si>
  <si>
    <r>
      <t>UTMACH-UCP-</t>
    </r>
    <r>
      <rPr>
        <sz val="11"/>
        <color rgb="FF000000"/>
        <rFont val="Century Schoolbook"/>
        <family val="1"/>
      </rPr>
      <t>2022-0906</t>
    </r>
    <r>
      <rPr>
        <sz val="11"/>
        <color rgb="FF000000"/>
        <rFont val="Arial Narrow"/>
        <family val="2"/>
      </rPr>
      <t>-OF</t>
    </r>
  </si>
  <si>
    <t>Unidad de Compras Públicas</t>
  </si>
  <si>
    <r>
      <t xml:space="preserve">Sugerencia de la UCP a la UOIU: Solicitar que se elabore el respectivo contrato con asignación del nuevo presupuesto para lo cual deberán tener los recursos planificados en el PAC </t>
    </r>
    <r>
      <rPr>
        <sz val="11"/>
        <rFont val="Century Schoolbook"/>
        <family val="1"/>
      </rPr>
      <t>2023</t>
    </r>
    <r>
      <rPr>
        <sz val="11"/>
        <rFont val="Arial Narrow"/>
        <family val="2"/>
      </rPr>
      <t>, para realizar el proceso de contratación para el mantenimiento de los ascensores.</t>
    </r>
  </si>
  <si>
    <r>
      <t>No atendido.</t>
    </r>
    <r>
      <rPr>
        <sz val="11"/>
        <color rgb="FF000000"/>
        <rFont val="Arial Narrow"/>
        <family val="2"/>
      </rPr>
      <t xml:space="preserve">
En el POA </t>
    </r>
    <r>
      <rPr>
        <sz val="11"/>
        <color rgb="FF000000"/>
        <rFont val="Century Schoolbook"/>
        <family val="1"/>
      </rPr>
      <t>2023</t>
    </r>
    <r>
      <rPr>
        <sz val="11"/>
        <color rgb="FF000000"/>
        <rFont val="Arial Narrow"/>
        <family val="2"/>
      </rPr>
      <t xml:space="preserve"> si se encuentra presupuestado el valor para el mantenimiento de ascensores.</t>
    </r>
  </si>
  <si>
    <r>
      <t>UTMACH-DADM-UOIFM-</t>
    </r>
    <r>
      <rPr>
        <sz val="11"/>
        <color rgb="FF000000"/>
        <rFont val="Century Schoolbook"/>
        <family val="1"/>
      </rPr>
      <t>2022-455</t>
    </r>
    <r>
      <rPr>
        <sz val="11"/>
        <color rgb="FF000000"/>
        <rFont val="Arial Narrow"/>
        <family val="2"/>
      </rPr>
      <t>-OF</t>
    </r>
  </si>
  <si>
    <t>29/12/2022</t>
  </si>
  <si>
    <t>Unidad de Infraestructura Física y Fiscalización</t>
  </si>
  <si>
    <r>
      <t xml:space="preserve">Solicita incremento en las partidas N° </t>
    </r>
    <r>
      <rPr>
        <sz val="11"/>
        <rFont val="Century Schoolbook"/>
        <family val="1"/>
      </rPr>
      <t>530402</t>
    </r>
    <r>
      <rPr>
        <sz val="11"/>
        <rFont val="Arial Narrow"/>
        <family val="2"/>
      </rPr>
      <t xml:space="preserve"> Edificios, Locales, Residencias y Cableado Estructurado (Instalación, Mantenimiento y Reparación), el valor de </t>
    </r>
    <r>
      <rPr>
        <sz val="11"/>
        <rFont val="Century Schoolbook"/>
        <family val="1"/>
      </rPr>
      <t xml:space="preserve">$ 7.500,00, </t>
    </r>
    <r>
      <rPr>
        <sz val="11"/>
        <rFont val="Arial Narrow"/>
        <family val="2"/>
      </rPr>
      <t>en la N°</t>
    </r>
    <r>
      <rPr>
        <sz val="11"/>
        <rFont val="Century Schoolbook"/>
        <family val="1"/>
      </rPr>
      <t xml:space="preserve"> 530404</t>
    </r>
    <r>
      <rPr>
        <sz val="11"/>
        <rFont val="Arial Narrow"/>
        <family val="2"/>
      </rPr>
      <t xml:space="preserve"> Maquinarias y Equipos (Instalación, Mantenimiento y Reparación), el valor de </t>
    </r>
    <r>
      <rPr>
        <sz val="11"/>
        <rFont val="Century Schoolbook"/>
        <family val="1"/>
      </rPr>
      <t>$ 14.000,00</t>
    </r>
    <r>
      <rPr>
        <sz val="11"/>
        <rFont val="Arial Narrow"/>
        <family val="2"/>
      </rPr>
      <t xml:space="preserve"> y en la N° </t>
    </r>
    <r>
      <rPr>
        <sz val="11"/>
        <rFont val="Century Schoolbook"/>
        <family val="1"/>
      </rPr>
      <t>530811</t>
    </r>
    <r>
      <rPr>
        <sz val="11"/>
        <rFont val="Arial Narrow"/>
        <family val="2"/>
      </rPr>
      <t xml:space="preserve"> Insumos, Materiales y Suministros para Construcción,
Electricidad, Plomería, Carpintería, Señalización Vial, Navegación, Contra Incendios y Placas el valor de </t>
    </r>
    <r>
      <rPr>
        <sz val="11"/>
        <rFont val="Century Schoolbook"/>
        <family val="1"/>
      </rPr>
      <t>$ 4.500,00</t>
    </r>
    <r>
      <rPr>
        <sz val="11"/>
        <rFont val="Arial Narrow"/>
        <family val="2"/>
      </rPr>
      <t xml:space="preserve">, para realizar mantenimiento preventivo de los urinarios ecológicos, mantenimiento de los ascensores existentes en el campus Machala y el edificio del rectorado, la compra de postes como reemplazo por mal estado de los existentes para el cableado eléctrico y el mantenimiento del generador eléctrico del edificio principal, los
mismos que no cuentan con recursos en el PAC </t>
    </r>
    <r>
      <rPr>
        <sz val="11"/>
        <rFont val="Century Schoolbook"/>
        <family val="1"/>
      </rPr>
      <t>2023.</t>
    </r>
  </si>
  <si>
    <r>
      <t xml:space="preserve">Atendido favorablemente todo el requerimiento, a excepción de la partida N° </t>
    </r>
    <r>
      <rPr>
        <sz val="11"/>
        <color rgb="FF000000"/>
        <rFont val="Century Schoolbook"/>
        <family val="1"/>
      </rPr>
      <t>530404</t>
    </r>
    <r>
      <rPr>
        <sz val="11"/>
        <color rgb="FF000000"/>
        <rFont val="Arial Narrow"/>
        <family val="2"/>
      </rPr>
      <t xml:space="preserve"> Maquinarias y Equipos (Instalación, Mantenimiento y Reparación) que sólo se incrementó </t>
    </r>
    <r>
      <rPr>
        <sz val="11"/>
        <color rgb="FF000000"/>
        <rFont val="Century"/>
        <family val="1"/>
      </rPr>
      <t>$ 7.000,00</t>
    </r>
    <r>
      <rPr>
        <sz val="11"/>
        <color rgb="FF000000"/>
        <rFont val="Arial Narrow"/>
        <family val="2"/>
      </rPr>
      <t xml:space="preserve">, en razón de que en el POA </t>
    </r>
    <r>
      <rPr>
        <sz val="11"/>
        <color rgb="FF000000"/>
        <rFont val="Century Schoolbook"/>
        <family val="1"/>
      </rPr>
      <t>2023</t>
    </r>
    <r>
      <rPr>
        <sz val="11"/>
        <color rgb="FF000000"/>
        <rFont val="Arial Narrow"/>
        <family val="2"/>
      </rPr>
      <t xml:space="preserve"> también consta valor para mantenimiento de ascensores.</t>
    </r>
  </si>
  <si>
    <r>
      <t>UTMACH-DBUAC-</t>
    </r>
    <r>
      <rPr>
        <sz val="11"/>
        <rFont val="Century Schoolbook"/>
        <family val="1"/>
      </rPr>
      <t>2023-0006</t>
    </r>
    <r>
      <rPr>
        <sz val="11"/>
        <rFont val="Arial Narrow"/>
        <family val="2"/>
      </rPr>
      <t>-M</t>
    </r>
  </si>
  <si>
    <t>Dirección de Bienestar Universitario, Arte y Cultura</t>
  </si>
  <si>
    <r>
      <t xml:space="preserve">Solicita incremento en la partida N° </t>
    </r>
    <r>
      <rPr>
        <sz val="11"/>
        <rFont val="Century Schoolbook"/>
        <family val="1"/>
      </rPr>
      <t>580208 0701 001</t>
    </r>
    <r>
      <rPr>
        <sz val="11"/>
        <rFont val="Arial Narrow"/>
        <family val="2"/>
      </rPr>
      <t xml:space="preserve"> Becas y Ayudas
Económicas el valor de </t>
    </r>
    <r>
      <rPr>
        <sz val="11"/>
        <rFont val="Century Schoolbook"/>
        <family val="1"/>
      </rPr>
      <t>$229.670,00</t>
    </r>
    <r>
      <rPr>
        <sz val="11"/>
        <rFont val="Arial Narrow"/>
        <family val="2"/>
      </rPr>
      <t xml:space="preserve"> con el objeto de lograr operar en los periodos académicos que corresponden al ejercicio fiscal </t>
    </r>
    <r>
      <rPr>
        <sz val="11"/>
        <rFont val="Century Schoolbook"/>
        <family val="1"/>
      </rPr>
      <t>2023.</t>
    </r>
  </si>
  <si>
    <r>
      <t xml:space="preserve">Solo se atendió el INCREMENTO NECESARIO PARA EL PAO </t>
    </r>
    <r>
      <rPr>
        <sz val="11"/>
        <color rgb="FF000000"/>
        <rFont val="Century Schoolbook"/>
        <family val="1"/>
      </rPr>
      <t>2023 -1 (5</t>
    </r>
    <r>
      <rPr>
        <sz val="11"/>
        <color rgb="FF000000"/>
        <rFont val="Arial Narrow"/>
        <family val="2"/>
      </rPr>
      <t xml:space="preserve"> MESES), el valor de </t>
    </r>
    <r>
      <rPr>
        <sz val="11"/>
        <color rgb="FF000000"/>
        <rFont val="Century Schoolbook"/>
        <family val="1"/>
      </rPr>
      <t>$ 118.070,00.</t>
    </r>
  </si>
  <si>
    <r>
      <t>UTMACH-DBUAC-</t>
    </r>
    <r>
      <rPr>
        <sz val="11"/>
        <rFont val="Century Schoolbook"/>
        <family val="1"/>
      </rPr>
      <t>2023-0012</t>
    </r>
    <r>
      <rPr>
        <sz val="11"/>
        <rFont val="Arial Narrow"/>
        <family val="2"/>
      </rPr>
      <t>-M</t>
    </r>
  </si>
  <si>
    <r>
      <rPr>
        <sz val="11"/>
        <color rgb="FF000000"/>
        <rFont val="Arial Narrow"/>
        <family val="2"/>
      </rPr>
      <t xml:space="preserve">Solicita incremento el valor de </t>
    </r>
    <r>
      <rPr>
        <sz val="11"/>
        <color rgb="FF000000"/>
        <rFont val="Century Schoolbook"/>
        <family val="1"/>
      </rPr>
      <t>$29.624,16</t>
    </r>
    <r>
      <rPr>
        <sz val="11"/>
        <color rgb="FF000000"/>
        <rFont val="Arial Narrow"/>
        <family val="2"/>
      </rPr>
      <t xml:space="preserve"> para la contratación de Promotoras de Cuidado y/o Educadoras del Centro de Desarrollo Infantil por </t>
    </r>
    <r>
      <rPr>
        <sz val="11"/>
        <color rgb="FF000000"/>
        <rFont val="Century Schoolbook"/>
        <family val="1"/>
      </rPr>
      <t>12</t>
    </r>
    <r>
      <rPr>
        <sz val="11"/>
        <color rgb="FF000000"/>
        <rFont val="Arial Narrow"/>
        <family val="2"/>
      </rPr>
      <t xml:space="preserve"> meses.
EL valor de </t>
    </r>
    <r>
      <rPr>
        <sz val="11"/>
        <color rgb="FF000000"/>
        <rFont val="Century Schoolbook"/>
        <family val="1"/>
      </rPr>
      <t>$ 29.226,24</t>
    </r>
    <r>
      <rPr>
        <sz val="11"/>
        <color rgb="FF000000"/>
        <rFont val="Arial Narrow"/>
        <family val="2"/>
      </rPr>
      <t xml:space="preserve"> para la contratación del servicio externalizado de alimentación para </t>
    </r>
    <r>
      <rPr>
        <sz val="11"/>
        <color rgb="FF000000"/>
        <rFont val="Century Schoolbook"/>
        <family val="1"/>
      </rPr>
      <t>36</t>
    </r>
    <r>
      <rPr>
        <sz val="11"/>
        <color rgb="FF000000"/>
        <rFont val="Arial Narrow"/>
        <family val="2"/>
      </rPr>
      <t xml:space="preserve"> niños y niñas beneficiarios del proyecto.
</t>
    </r>
    <r>
      <rPr>
        <b/>
        <sz val="11"/>
        <color rgb="FF000000"/>
        <rFont val="Arial Narrow"/>
        <family val="2"/>
      </rPr>
      <t xml:space="preserve">PARTIDAS:
</t>
    </r>
    <r>
      <rPr>
        <sz val="11"/>
        <color rgb="FF000000"/>
        <rFont val="Century Schoolbook"/>
        <family val="1"/>
      </rPr>
      <t>530802 0701 001</t>
    </r>
    <r>
      <rPr>
        <sz val="11"/>
        <color rgb="FF000000"/>
        <rFont val="Arial Narrow"/>
        <family val="2"/>
      </rPr>
      <t xml:space="preserve"> Prendas de protección </t>
    </r>
    <r>
      <rPr>
        <sz val="11"/>
        <color rgb="FF000000"/>
        <rFont val="Century Schoolbook"/>
        <family val="1"/>
      </rPr>
      <t>$ 287,08
530805 0701 001</t>
    </r>
    <r>
      <rPr>
        <sz val="11"/>
        <color rgb="FF000000"/>
        <rFont val="Arial Narrow"/>
        <family val="2"/>
      </rPr>
      <t xml:space="preserve"> Materiales de aseo </t>
    </r>
    <r>
      <rPr>
        <sz val="11"/>
        <color rgb="FF000000"/>
        <rFont val="Century Schoolbook"/>
        <family val="1"/>
      </rPr>
      <t>$ 619,19
530812 0701 001</t>
    </r>
    <r>
      <rPr>
        <sz val="11"/>
        <color rgb="FF000000"/>
        <rFont val="Arial Narrow"/>
        <family val="2"/>
      </rPr>
      <t xml:space="preserve"> Materiales didácticos </t>
    </r>
    <r>
      <rPr>
        <sz val="11"/>
        <color rgb="FF000000"/>
        <rFont val="Century Schoolbook"/>
        <family val="1"/>
      </rPr>
      <t>$ 1.333,44
530402 0701 001</t>
    </r>
    <r>
      <rPr>
        <sz val="11"/>
        <color rgb="FF000000"/>
        <rFont val="Arial Narrow"/>
        <family val="2"/>
      </rPr>
      <t xml:space="preserve"> Instalación, mantenimiento y reparación de edificios, locales y residencias de propiedad de las entidades públicas </t>
    </r>
    <r>
      <rPr>
        <sz val="11"/>
        <color rgb="FF000000"/>
        <rFont val="Century Schoolbook"/>
        <family val="1"/>
      </rPr>
      <t>$ 1.550,00
530204 0701 001</t>
    </r>
    <r>
      <rPr>
        <sz val="11"/>
        <color rgb="FF000000"/>
        <rFont val="Arial Narrow"/>
        <family val="2"/>
      </rPr>
      <t xml:space="preserve"> Señalética </t>
    </r>
    <r>
      <rPr>
        <sz val="11"/>
        <color rgb="FF000000"/>
        <rFont val="Century Schoolbook"/>
        <family val="1"/>
      </rPr>
      <t>$ 1.292,40
35290 0701 001</t>
    </r>
    <r>
      <rPr>
        <sz val="11"/>
        <color rgb="FF000000"/>
        <rFont val="Arial Narrow"/>
        <family val="2"/>
      </rPr>
      <t xml:space="preserve"> Kit de bioseguridad </t>
    </r>
    <r>
      <rPr>
        <sz val="11"/>
        <color rgb="FF000000"/>
        <rFont val="Century Schoolbook"/>
        <family val="1"/>
      </rPr>
      <t>$ 153,04</t>
    </r>
  </si>
  <si>
    <t>Atendido favorablemente todo el requerimiento, a excepción de las partidas de Materiales de Aseo y Kit de Seguridad que se encuentran centralizadas en la Dirección Administrativa.</t>
  </si>
  <si>
    <r>
      <t>UTMACH-DBUAC-</t>
    </r>
    <r>
      <rPr>
        <sz val="11"/>
        <rFont val="Century Schoolbook"/>
        <family val="1"/>
      </rPr>
      <t>2023-0009</t>
    </r>
    <r>
      <rPr>
        <sz val="11"/>
        <rFont val="Arial Narrow"/>
        <family val="2"/>
      </rPr>
      <t>-M</t>
    </r>
  </si>
  <si>
    <r>
      <t xml:space="preserve">Solicita incremento en la partida N° </t>
    </r>
    <r>
      <rPr>
        <sz val="11"/>
        <rFont val="Century Schoolbook"/>
        <family val="1"/>
      </rPr>
      <t>570201 0701 001</t>
    </r>
    <r>
      <rPr>
        <sz val="11"/>
        <rFont val="Arial Narrow"/>
        <family val="2"/>
      </rPr>
      <t xml:space="preserve"> Seguros el valor de </t>
    </r>
    <r>
      <rPr>
        <sz val="11"/>
        <rFont val="Century Schoolbook"/>
        <family val="1"/>
      </rPr>
      <t xml:space="preserve">$ 10.164,16 </t>
    </r>
    <r>
      <rPr>
        <sz val="11"/>
        <rFont val="Arial Narrow"/>
        <family val="2"/>
      </rPr>
      <t>para cubrir SEGURO DE VIDA Y ACCIDENTES PERSONALES PARA ESTUDIANTES.</t>
    </r>
  </si>
  <si>
    <t>Atendido favorablemente.</t>
  </si>
  <si>
    <r>
      <t>UTMACH-DADM-</t>
    </r>
    <r>
      <rPr>
        <sz val="11"/>
        <color rgb="FF000000"/>
        <rFont val="Century Schoolbook"/>
        <family val="1"/>
      </rPr>
      <t>2023-0016</t>
    </r>
    <r>
      <rPr>
        <sz val="11"/>
        <color rgb="FF000000"/>
        <rFont val="Arial Narrow"/>
        <family val="2"/>
      </rPr>
      <t>-OF</t>
    </r>
  </si>
  <si>
    <r>
      <t>Solicita incremento en las partidas:</t>
    </r>
    <r>
      <rPr>
        <sz val="11"/>
        <color rgb="FF000000"/>
        <rFont val="Century Schoolbook"/>
        <family val="1"/>
      </rPr>
      <t xml:space="preserve">
570102 0701 001 </t>
    </r>
    <r>
      <rPr>
        <sz val="11"/>
        <color rgb="FF000000"/>
        <rFont val="Arial Narrow"/>
        <family val="2"/>
      </rPr>
      <t xml:space="preserve">Tasas Generales, Impuestos, Contribuciones, Permisos, Licencias y Patentes </t>
    </r>
    <r>
      <rPr>
        <sz val="11"/>
        <color rgb="FF000000"/>
        <rFont val="Century Schoolbook"/>
        <family val="1"/>
      </rPr>
      <t>$ 65.586,38
570201 0701 001</t>
    </r>
    <r>
      <rPr>
        <sz val="11"/>
        <color rgb="FF000000"/>
        <rFont val="Arial Narrow"/>
        <family val="2"/>
      </rPr>
      <t xml:space="preserve"> Seguros </t>
    </r>
    <r>
      <rPr>
        <sz val="11"/>
        <color rgb="FF000000"/>
        <rFont val="Century Schoolbook"/>
        <family val="1"/>
      </rPr>
      <t>$ 9.819,45
530405 0701 003</t>
    </r>
    <r>
      <rPr>
        <sz val="11"/>
        <color rgb="FF000000"/>
        <rFont val="Arial Narrow"/>
        <family val="2"/>
      </rPr>
      <t xml:space="preserve"> Vehículos (Servicio para Mantenimiento y Reparación) </t>
    </r>
    <r>
      <rPr>
        <sz val="11"/>
        <color rgb="FF000000"/>
        <rFont val="Century Schoolbook"/>
        <family val="1"/>
      </rPr>
      <t>$ 118.000,00
530403 0701 001</t>
    </r>
    <r>
      <rPr>
        <sz val="11"/>
        <color rgb="FF000000"/>
        <rFont val="Arial Narrow"/>
        <family val="2"/>
      </rPr>
      <t xml:space="preserve"> Mobiliario (Instalación, Mantenimiento y Reparación) </t>
    </r>
    <r>
      <rPr>
        <sz val="11"/>
        <color rgb="FF000000"/>
        <rFont val="Century Schoolbook"/>
        <family val="1"/>
      </rPr>
      <t>$ 20.000,00
530208 0701 003</t>
    </r>
    <r>
      <rPr>
        <sz val="11"/>
        <color rgb="FF000000"/>
        <rFont val="Arial Narrow"/>
        <family val="2"/>
      </rPr>
      <t xml:space="preserve"> Servicio de Seguridad y Vigilancia </t>
    </r>
    <r>
      <rPr>
        <sz val="11"/>
        <color rgb="FF000000"/>
        <rFont val="Century Schoolbook"/>
        <family val="1"/>
      </rPr>
      <t>$ 194.032,61</t>
    </r>
  </si>
  <si>
    <r>
      <t xml:space="preserve">Atendido favorablemente solo la partida </t>
    </r>
    <r>
      <rPr>
        <sz val="11"/>
        <color rgb="FF000000"/>
        <rFont val="Century Schoolbook"/>
        <family val="1"/>
      </rPr>
      <t xml:space="preserve">530208 0701 003 </t>
    </r>
    <r>
      <rPr>
        <sz val="11"/>
        <color rgb="FF000000"/>
        <rFont val="Arial Narrow"/>
        <family val="2"/>
      </rPr>
      <t xml:space="preserve">Servicio de Seguridad y Vigilancia </t>
    </r>
    <r>
      <rPr>
        <sz val="11"/>
        <color rgb="FF000000"/>
        <rFont val="Century Schoolbook"/>
        <family val="1"/>
      </rPr>
      <t xml:space="preserve">$ 194.032,61, </t>
    </r>
    <r>
      <rPr>
        <sz val="11"/>
        <color rgb="FF000000"/>
        <rFont val="Arial Narrow"/>
        <family val="2"/>
      </rPr>
      <t>el valor de Seguro y Mobiliario no fue atendido porque ya constaba en el POA.</t>
    </r>
  </si>
  <si>
    <r>
      <t>UTMACH-ADM-CENTRAL-EMP-</t>
    </r>
    <r>
      <rPr>
        <sz val="11"/>
        <rFont val="Century Schoolbook"/>
        <family val="1"/>
      </rPr>
      <t>2023-0048</t>
    </r>
    <r>
      <rPr>
        <sz val="11"/>
        <rFont val="Arial Narrow"/>
        <family val="2"/>
      </rPr>
      <t>-OF</t>
    </r>
  </si>
  <si>
    <t>16/01/2023</t>
  </si>
  <si>
    <r>
      <t xml:space="preserve">Solicita se considere para la elaboración del PAC </t>
    </r>
    <r>
      <rPr>
        <sz val="11"/>
        <color rgb="FF000000"/>
        <rFont val="Century Schoolbook"/>
        <family val="1"/>
      </rPr>
      <t>2023</t>
    </r>
    <r>
      <rPr>
        <sz val="11"/>
        <color rgb="FF000000"/>
        <rFont val="Arial Narrow"/>
        <family val="2"/>
      </rPr>
      <t>, los rubros pendientes de pago correspondientes a las órdenes de compra por catálogo electrónico Nro "CE-</t>
    </r>
    <r>
      <rPr>
        <sz val="11"/>
        <color rgb="FF000000"/>
        <rFont val="Century Schoolbook"/>
        <family val="1"/>
      </rPr>
      <t>20220002307367</t>
    </r>
    <r>
      <rPr>
        <sz val="11"/>
        <color rgb="FF000000"/>
        <rFont val="Arial Narrow"/>
        <family val="2"/>
      </rPr>
      <t>" (</t>
    </r>
    <r>
      <rPr>
        <sz val="11"/>
        <color rgb="FF000000"/>
        <rFont val="Century Schoolbook"/>
        <family val="1"/>
      </rPr>
      <t>1</t>
    </r>
    <r>
      <rPr>
        <sz val="11"/>
        <color rgb="FF000000"/>
        <rFont val="Arial Narrow"/>
        <family val="2"/>
      </rPr>
      <t xml:space="preserve"> Archivador aéreo) y "CE-</t>
    </r>
    <r>
      <rPr>
        <sz val="11"/>
        <color rgb="FF000000"/>
        <rFont val="Century Schoolbook"/>
        <family val="1"/>
      </rPr>
      <t>20220002312107</t>
    </r>
    <r>
      <rPr>
        <sz val="11"/>
        <color rgb="FF000000"/>
        <rFont val="Arial Narrow"/>
        <family val="2"/>
      </rPr>
      <t>" (</t>
    </r>
    <r>
      <rPr>
        <sz val="11"/>
        <color rgb="FF000000"/>
        <rFont val="Century Schoolbook"/>
        <family val="1"/>
      </rPr>
      <t>2</t>
    </r>
    <r>
      <rPr>
        <sz val="11"/>
        <color rgb="FF000000"/>
        <rFont val="Arial Narrow"/>
        <family val="2"/>
      </rPr>
      <t xml:space="preserve"> Mesa de centro sala de espera), por los valores "</t>
    </r>
    <r>
      <rPr>
        <sz val="11"/>
        <color rgb="FF000000"/>
        <rFont val="Century Schoolbook"/>
        <family val="1"/>
      </rPr>
      <t>$90,00</t>
    </r>
    <r>
      <rPr>
        <sz val="11"/>
        <color rgb="FF000000"/>
        <rFont val="Arial Narrow"/>
        <family val="2"/>
      </rPr>
      <t>" y "</t>
    </r>
    <r>
      <rPr>
        <sz val="11"/>
        <color rgb="FF000000"/>
        <rFont val="Century Schoolbook"/>
        <family val="1"/>
      </rPr>
      <t>$396,00</t>
    </r>
    <r>
      <rPr>
        <sz val="11"/>
        <color rgb="FF000000"/>
        <rFont val="Arial Narrow"/>
        <family val="2"/>
      </rPr>
      <t>" sin incluir el IVA, respectivamente, de la partida presupuestaria “</t>
    </r>
    <r>
      <rPr>
        <sz val="11"/>
        <color rgb="FF000000"/>
        <rFont val="Century Schoolbook"/>
        <family val="1"/>
      </rPr>
      <t>840103</t>
    </r>
    <r>
      <rPr>
        <sz val="11"/>
        <color rgb="FF000000"/>
        <rFont val="Arial Narrow"/>
        <family val="2"/>
      </rPr>
      <t xml:space="preserve"> - Mobiliarios”.</t>
    </r>
  </si>
  <si>
    <r>
      <t>UTMACH-DADM-</t>
    </r>
    <r>
      <rPr>
        <sz val="11"/>
        <rFont val="Century Schoolbook"/>
        <family val="1"/>
      </rPr>
      <t>2023-0013</t>
    </r>
    <r>
      <rPr>
        <sz val="11"/>
        <rFont val="Arial Narrow"/>
        <family val="2"/>
      </rPr>
      <t>-M</t>
    </r>
  </si>
  <si>
    <r>
      <t xml:space="preserve">Solicita considerar en el presupuesto </t>
    </r>
    <r>
      <rPr>
        <sz val="11"/>
        <color rgb="FF000000"/>
        <rFont val="Century Schoolbook"/>
        <family val="1"/>
      </rPr>
      <t>2023</t>
    </r>
    <r>
      <rPr>
        <sz val="11"/>
        <color rgb="FF000000"/>
        <rFont val="Arial Narrow"/>
        <family val="2"/>
      </rPr>
      <t xml:space="preserve"> de DTIC´S la adquisición de un COMPUTADOR TODO EN UNO SOFTWARE PRIVADO MODELO </t>
    </r>
    <r>
      <rPr>
        <sz val="11"/>
        <color rgb="FF000000"/>
        <rFont val="Century Schoolbook"/>
        <family val="1"/>
      </rPr>
      <t>8</t>
    </r>
    <r>
      <rPr>
        <sz val="11"/>
        <color rgb="FF000000"/>
        <rFont val="Arial Narrow"/>
        <family val="2"/>
      </rPr>
      <t xml:space="preserve">, necesario para la ejecución del sistema de Video Vigilancia de la UTMACH, por el valor de </t>
    </r>
    <r>
      <rPr>
        <sz val="11"/>
        <color rgb="FF000000"/>
        <rFont val="Century"/>
        <family val="1"/>
      </rPr>
      <t>$ 1.771,84.</t>
    </r>
  </si>
  <si>
    <r>
      <t>UTMACH-FCS-D-</t>
    </r>
    <r>
      <rPr>
        <sz val="11"/>
        <rFont val="Century Schoolbook"/>
        <family val="1"/>
      </rPr>
      <t>2023-0062</t>
    </r>
    <r>
      <rPr>
        <sz val="11"/>
        <rFont val="Arial Narrow"/>
        <family val="2"/>
      </rPr>
      <t>-M</t>
    </r>
  </si>
  <si>
    <t>23/01/2023</t>
  </si>
  <si>
    <t>Facultad de Ciencias Sociales</t>
  </si>
  <si>
    <r>
      <rPr>
        <sz val="11"/>
        <color rgb="FF000000"/>
        <rFont val="Arial Narrow"/>
        <family val="2"/>
      </rPr>
      <t xml:space="preserve">Solicita incremento en las partidas:
</t>
    </r>
    <r>
      <rPr>
        <sz val="11"/>
        <color rgb="FF000000"/>
        <rFont val="Century Schoolbook"/>
        <family val="1"/>
      </rPr>
      <t>530402 0701 003</t>
    </r>
    <r>
      <rPr>
        <sz val="11"/>
        <color rgb="FF000000"/>
        <rFont val="Arial Narrow"/>
        <family val="2"/>
      </rPr>
      <t xml:space="preserve"> Edificios, Locales, Residencias y Cableado $ </t>
    </r>
    <r>
      <rPr>
        <sz val="11"/>
        <color rgb="FF000000"/>
        <rFont val="Century Schoolbook"/>
        <family val="1"/>
      </rPr>
      <t>44.380,00
531403 0701 003</t>
    </r>
    <r>
      <rPr>
        <sz val="11"/>
        <color rgb="FF000000"/>
        <rFont val="Arial Narrow"/>
        <family val="2"/>
      </rPr>
      <t xml:space="preserve"> Mobiliario </t>
    </r>
    <r>
      <rPr>
        <sz val="11"/>
        <color rgb="FF000000"/>
        <rFont val="Century Schoolbook"/>
        <family val="1"/>
      </rPr>
      <t>$ 3.300,00
840103 0701 004</t>
    </r>
    <r>
      <rPr>
        <sz val="11"/>
        <color rgb="FF000000"/>
        <rFont val="Arial Narrow"/>
        <family val="2"/>
      </rPr>
      <t xml:space="preserve">  Mobiliario </t>
    </r>
    <r>
      <rPr>
        <sz val="11"/>
        <color rgb="FF000000"/>
        <rFont val="Century Schoolbook"/>
        <family val="1"/>
      </rPr>
      <t xml:space="preserve">$ 7.320,00
</t>
    </r>
    <r>
      <rPr>
        <sz val="11"/>
        <color rgb="FF000000"/>
        <rFont val="Arial"/>
        <family val="2"/>
      </rPr>
      <t>Para la adecuación de la Biblioteca en el Campus Machala.</t>
    </r>
  </si>
  <si>
    <r>
      <t>UTMACH-DIDI-</t>
    </r>
    <r>
      <rPr>
        <sz val="11"/>
        <color rgb="FF000000"/>
        <rFont val="Century Schoolbook"/>
        <family val="1"/>
      </rPr>
      <t>2023-0042</t>
    </r>
    <r>
      <rPr>
        <sz val="11"/>
        <color rgb="FF000000"/>
        <rFont val="Arial Narrow"/>
        <family val="2"/>
      </rPr>
      <t>-M</t>
    </r>
  </si>
  <si>
    <t>31/01/2023</t>
  </si>
  <si>
    <t>Dirección de Investigación, Desarrollo e Innovación</t>
  </si>
  <si>
    <r>
      <t xml:space="preserve">La </t>
    </r>
    <r>
      <rPr>
        <b/>
        <sz val="11"/>
        <rFont val="Arial Narrow"/>
        <family val="2"/>
      </rPr>
      <t xml:space="preserve">Biblioteca General </t>
    </r>
    <r>
      <rPr>
        <sz val="11"/>
        <rFont val="Arial Narrow"/>
        <family val="2"/>
      </rPr>
      <t xml:space="preserve">solicita que a partir del presupuesto asignado a las Facultades, se traslade un presupuesto adicional de </t>
    </r>
    <r>
      <rPr>
        <sz val="11"/>
        <rFont val="Century Schoolbook"/>
        <family val="1"/>
      </rPr>
      <t>$22.000,00</t>
    </r>
    <r>
      <rPr>
        <sz val="11"/>
        <rFont val="Arial Narrow"/>
        <family val="2"/>
      </rPr>
      <t xml:space="preserve"> en la partida presupuestaria </t>
    </r>
    <r>
      <rPr>
        <sz val="11"/>
        <rFont val="Century Schoolbook"/>
        <family val="1"/>
      </rPr>
      <t>531409 0701 002</t>
    </r>
    <r>
      <rPr>
        <sz val="11"/>
        <rFont val="Arial Narrow"/>
        <family val="2"/>
      </rPr>
      <t xml:space="preserve"> Libros y Colecciones, a fin de atender la necesidad de adquisición de libros en las cinco Facultades y a su vez cumplir con un indicador de evaluación de la Biblioteca para los procesos de acreditación institucional y de carrera.</t>
    </r>
  </si>
  <si>
    <r>
      <t>UTMACH-DIDI-</t>
    </r>
    <r>
      <rPr>
        <sz val="11"/>
        <color rgb="FF000000"/>
        <rFont val="Century Schoolbook"/>
        <family val="1"/>
      </rPr>
      <t>2023-0053</t>
    </r>
    <r>
      <rPr>
        <sz val="11"/>
        <color rgb="FF000000"/>
        <rFont val="Arial Narrow"/>
        <family val="2"/>
      </rPr>
      <t>-M</t>
    </r>
  </si>
  <si>
    <t>Solicita reforma de acuerdo al anexo adjunto al oficio. La compra de equipos de laboratorio e informáticos permitirá atender la cartera de proyectos de investigación vigente.</t>
  </si>
  <si>
    <r>
      <t>UTMACH-VINVIP-</t>
    </r>
    <r>
      <rPr>
        <sz val="11"/>
        <color rgb="FF000000"/>
        <rFont val="Century"/>
        <family val="1"/>
      </rPr>
      <t>2023-0028</t>
    </r>
    <r>
      <rPr>
        <sz val="11"/>
        <color rgb="FF000000"/>
        <rFont val="Arial Narrow"/>
        <family val="2"/>
      </rPr>
      <t>-M</t>
    </r>
  </si>
  <si>
    <t>13/2/2023</t>
  </si>
  <si>
    <t>Vicerrectorado de Investigación, Vinculación y Posgrado</t>
  </si>
  <si>
    <t>Solicita reforma de acuerdo al anexo adjunto al correo electrónico enviado.</t>
  </si>
  <si>
    <r>
      <t>UTMACH-FCS-D-</t>
    </r>
    <r>
      <rPr>
        <sz val="11"/>
        <color rgb="FF000000"/>
        <rFont val="Century"/>
        <family val="1"/>
      </rPr>
      <t>2023-0144</t>
    </r>
    <r>
      <rPr>
        <sz val="11"/>
        <color rgb="FF000000"/>
        <rFont val="Arial Narrow"/>
        <family val="2"/>
      </rPr>
      <t>-M</t>
    </r>
  </si>
  <si>
    <t>15/02/2023</t>
  </si>
  <si>
    <r>
      <t xml:space="preserve">Solicita incremento en la Partida N° </t>
    </r>
    <r>
      <rPr>
        <sz val="11"/>
        <color rgb="FF000000"/>
        <rFont val="Century"/>
        <family val="1"/>
      </rPr>
      <t>840104</t>
    </r>
    <r>
      <rPr>
        <sz val="11"/>
        <color rgb="FF000000"/>
        <rFont val="Arial Narrow"/>
        <family val="2"/>
      </rPr>
      <t xml:space="preserve"> Maquinarias y Equipos, el valor de </t>
    </r>
    <r>
      <rPr>
        <sz val="11"/>
        <color rgb="FF000000"/>
        <rFont val="Century"/>
        <family val="1"/>
      </rPr>
      <t>$ 1.700,00</t>
    </r>
    <r>
      <rPr>
        <sz val="11"/>
        <color rgb="FF000000"/>
        <rFont val="Arial Narrow"/>
        <family val="2"/>
      </rPr>
      <t xml:space="preserve"> para adquisición de lentes de cámara.</t>
    </r>
  </si>
  <si>
    <r>
      <t>UTMACH-DTH-</t>
    </r>
    <r>
      <rPr>
        <sz val="11"/>
        <color rgb="FF000000"/>
        <rFont val="Century"/>
        <family val="1"/>
      </rPr>
      <t>2023-0172</t>
    </r>
    <r>
      <rPr>
        <sz val="11"/>
        <color rgb="FF000000"/>
        <rFont val="Arial Narrow"/>
        <family val="2"/>
      </rPr>
      <t>-M</t>
    </r>
  </si>
  <si>
    <t>Dirección de Talento Humano</t>
  </si>
  <si>
    <r>
      <t xml:space="preserve">Solicita considerar el monto de </t>
    </r>
    <r>
      <rPr>
        <sz val="11"/>
        <color rgb="FF000000"/>
        <rFont val="Century"/>
        <family val="1"/>
      </rPr>
      <t>$ 34.067,14</t>
    </r>
    <r>
      <rPr>
        <sz val="11"/>
        <color rgb="FF000000"/>
        <rFont val="Arial Narrow"/>
        <family val="2"/>
      </rPr>
      <t xml:space="preserve"> incluido IVA, en la partida respectiva en el presupuesto del presente año.</t>
    </r>
  </si>
  <si>
    <r>
      <t>UTMACH-DBUAC-</t>
    </r>
    <r>
      <rPr>
        <sz val="11"/>
        <color rgb="FF000000"/>
        <rFont val="Century"/>
        <family val="1"/>
      </rPr>
      <t>2023-0087</t>
    </r>
    <r>
      <rPr>
        <sz val="11"/>
        <color rgb="FF000000"/>
        <rFont val="Arial Narrow"/>
        <family val="2"/>
      </rPr>
      <t>-M</t>
    </r>
  </si>
  <si>
    <r>
      <t xml:space="preserve">Solicita incremento en la partida N° </t>
    </r>
    <r>
      <rPr>
        <sz val="11"/>
        <color rgb="FF000000"/>
        <rFont val="Century"/>
        <family val="1"/>
      </rPr>
      <t>530402</t>
    </r>
    <r>
      <rPr>
        <sz val="11"/>
        <color rgb="FF000000"/>
        <rFont val="Arial Narrow"/>
        <family val="2"/>
      </rPr>
      <t xml:space="preserve"> Edificios, Locales, Residencias y Cableado, Estructurado (Instalación, Mantenimiento y Reparación), por el valor de </t>
    </r>
    <r>
      <rPr>
        <sz val="11"/>
        <color rgb="FF000000"/>
        <rFont val="Century"/>
        <family val="1"/>
      </rPr>
      <t>$ 250.000,00</t>
    </r>
    <r>
      <rPr>
        <sz val="11"/>
        <color rgb="FF000000"/>
        <rFont val="Arial Narrow"/>
        <family val="2"/>
      </rPr>
      <t xml:space="preserve"> para adecuación de espacios deportivos de bienestar.</t>
    </r>
  </si>
  <si>
    <r>
      <t xml:space="preserve">Elaboración: </t>
    </r>
    <r>
      <rPr>
        <i/>
        <sz val="11"/>
        <color rgb="FF000000"/>
        <rFont val="Cambria"/>
        <family val="1"/>
      </rPr>
      <t>Ec. Eunice Basilio Banchón, Mgs. - Analista de Formulación y Control Presupuestario.</t>
    </r>
  </si>
  <si>
    <r>
      <t>Revisión:</t>
    </r>
    <r>
      <rPr>
        <i/>
        <sz val="11"/>
        <color rgb="FF000000"/>
        <rFont val="Cambria"/>
        <family val="1"/>
      </rPr>
      <t xml:space="preserve"> Abg. Oscar Sánchez López - Director de Planificación.</t>
    </r>
  </si>
  <si>
    <r>
      <t xml:space="preserve">Fuente: </t>
    </r>
    <r>
      <rPr>
        <i/>
        <sz val="11"/>
        <color rgb="FF000000"/>
        <rFont val="Cambria"/>
        <family val="1"/>
      </rPr>
      <t>Oficios receptados solicitando reforma presupuestaria.</t>
    </r>
  </si>
  <si>
    <r>
      <t xml:space="preserve">Fecha Inicio:  </t>
    </r>
    <r>
      <rPr>
        <i/>
        <sz val="11"/>
        <color rgb="FF000000"/>
        <rFont val="Century Schoolbook"/>
        <family val="1"/>
      </rPr>
      <t>25/01/2022</t>
    </r>
  </si>
  <si>
    <r>
      <t xml:space="preserve">Fecha Fin: </t>
    </r>
    <r>
      <rPr>
        <i/>
        <sz val="11"/>
        <color rgb="FF000000"/>
        <rFont val="Cambria"/>
        <family val="1"/>
      </rPr>
      <t xml:space="preserve">     </t>
    </r>
    <r>
      <rPr>
        <i/>
        <sz val="11"/>
        <color rgb="FF000000"/>
        <rFont val="Century Schoolbook"/>
        <family val="1"/>
      </rPr>
      <t>16/02/2023</t>
    </r>
  </si>
  <si>
    <t>998        380105</t>
  </si>
  <si>
    <t>ANTICIPOS POR DEVENGAR</t>
  </si>
  <si>
    <t>840104 0701 998</t>
  </si>
  <si>
    <t>530243 0701 998</t>
  </si>
  <si>
    <t>005 840103 0701 001</t>
  </si>
  <si>
    <t>INGRES0S</t>
  </si>
  <si>
    <t>AMPLI</t>
  </si>
  <si>
    <t>180101     001</t>
  </si>
  <si>
    <t>Del PGE</t>
  </si>
  <si>
    <t>370101     001</t>
  </si>
  <si>
    <t>De Fondos de PGE</t>
  </si>
  <si>
    <t>370102     002</t>
  </si>
  <si>
    <t>De Fondos de Autogestión</t>
  </si>
  <si>
    <t>370103     003</t>
  </si>
  <si>
    <t>De Fondos Preasignados</t>
  </si>
  <si>
    <t>370104     202</t>
  </si>
  <si>
    <t>De Préstamos</t>
  </si>
  <si>
    <t>EGRESOS</t>
  </si>
  <si>
    <t>01 530104 0701 002</t>
  </si>
  <si>
    <t>01-012 840104 0701 202</t>
  </si>
  <si>
    <t>01-012 840107 0701 202</t>
  </si>
  <si>
    <t>01-012 730208 0701 202</t>
  </si>
  <si>
    <t>Servicios de Seguridad y Vigilancia</t>
  </si>
  <si>
    <t>82 530402 0701 001</t>
  </si>
  <si>
    <t>*</t>
  </si>
  <si>
    <t>82 530404 0701 001</t>
  </si>
  <si>
    <t>Mantenimiento Maquinarias y Equipos</t>
  </si>
  <si>
    <t>82 990101 0701 003</t>
  </si>
  <si>
    <t>82-009 730402 0701 202</t>
  </si>
  <si>
    <t>82-009 840104 0701 001</t>
  </si>
  <si>
    <t>82-009 840104 0701 202</t>
  </si>
  <si>
    <t>83 530402 0701 001</t>
  </si>
  <si>
    <t>83 530402 0701 002</t>
  </si>
  <si>
    <t>83 840104 0701 002</t>
  </si>
  <si>
    <t>83-002 730703 0701 202</t>
  </si>
  <si>
    <t>83-002 840107 0701 202</t>
  </si>
  <si>
    <t>83-004 730601 0701 202</t>
  </si>
  <si>
    <t>84 530605 0701 002</t>
  </si>
  <si>
    <t>Estudio y diseño de proyectos</t>
  </si>
  <si>
    <t>PROYECTOS DE INVERSIÓN 2023</t>
  </si>
  <si>
    <t>005 731404 0701 001</t>
  </si>
  <si>
    <t>PROYECTO DE REFORMA PRESUPUESTARIA N° 002/2023</t>
  </si>
  <si>
    <t>Del Presupuesto General del Estado</t>
  </si>
  <si>
    <t>ITEM/FUENTE</t>
  </si>
  <si>
    <t>180101 001</t>
  </si>
  <si>
    <t>370101 001</t>
  </si>
  <si>
    <t>DE FONDO DEL PRESUPUESTO GENERAL DEL ESTADO</t>
  </si>
  <si>
    <t>130108 002 7001 0007</t>
  </si>
  <si>
    <t>130127 002 7001 0007</t>
  </si>
  <si>
    <t>MATRÍCULA Y OTROS DERECHOS DE LA EDUCACIÓN</t>
  </si>
  <si>
    <t>170202 002 7001 0007</t>
  </si>
  <si>
    <t>170404 002 7001 0007</t>
  </si>
  <si>
    <t>INCUMPLIMIENTO DE CONTRATOS</t>
  </si>
  <si>
    <t>370102 002 7001 0007</t>
  </si>
  <si>
    <t>DE FONDOS DE AUTOGESTIÓN</t>
  </si>
  <si>
    <t>180101 003</t>
  </si>
  <si>
    <t>370103 003</t>
  </si>
  <si>
    <t>DE FONDOS PREASIGNADOS</t>
  </si>
  <si>
    <t>280101 202 8888 8888</t>
  </si>
  <si>
    <t>370104 202 8888 8888</t>
  </si>
  <si>
    <t>DE PRÉSTAMOS</t>
  </si>
  <si>
    <t>380105 998</t>
  </si>
  <si>
    <t>PRESUPUESTO VIGENTE</t>
  </si>
  <si>
    <t>PRESUPUESTO REFORMADO 2023</t>
  </si>
  <si>
    <t>530104 0701 002</t>
  </si>
  <si>
    <t>530203 0701 002</t>
  </si>
  <si>
    <t>530207 0701 002</t>
  </si>
  <si>
    <t>530406 0701 003</t>
  </si>
  <si>
    <t>Mantenimiento de Herramientas</t>
  </si>
  <si>
    <t>530601 0701 001</t>
  </si>
  <si>
    <t>530602 0701 003</t>
  </si>
  <si>
    <t>530829 0701 003</t>
  </si>
  <si>
    <t>Bienes y suministros para investigación</t>
  </si>
  <si>
    <t>012 840104 0701 998</t>
  </si>
  <si>
    <t>012 840107 0701 202</t>
  </si>
  <si>
    <t>009 730402 0701 998</t>
  </si>
  <si>
    <t>009 840104 0701 998</t>
  </si>
  <si>
    <t>004 730601 0701 998</t>
  </si>
  <si>
    <t>002 840107 0701 998</t>
  </si>
  <si>
    <t>840109 0701 002</t>
  </si>
  <si>
    <t>Machala, 15  de junio de 2023</t>
  </si>
  <si>
    <t>Programa</t>
  </si>
  <si>
    <t>Incremento</t>
  </si>
  <si>
    <t>Reduccion</t>
  </si>
  <si>
    <t>Balance</t>
  </si>
  <si>
    <t>Administracion central - 01</t>
  </si>
  <si>
    <t>Formacion academica - 82</t>
  </si>
  <si>
    <t>Gestion de la investigacion - 83</t>
  </si>
  <si>
    <t>Gestion de la vinculacion - 84</t>
  </si>
  <si>
    <t>Total</t>
  </si>
  <si>
    <t>Fuente 001</t>
  </si>
  <si>
    <t>Grupo</t>
  </si>
  <si>
    <t xml:space="preserve">Incremento </t>
  </si>
  <si>
    <t>Fuente 002</t>
  </si>
  <si>
    <t>Fuente 003</t>
  </si>
  <si>
    <t>Fuente 202</t>
  </si>
  <si>
    <t>Fuente 998</t>
  </si>
  <si>
    <t>TOTAL POR FUENTE</t>
  </si>
  <si>
    <t>RESUMEN DE SOLICITUDES PARA REFORMA PRESUPUESTARIA N° 003/2023 AL 15 DE JUNIO DE 2023</t>
  </si>
  <si>
    <t>POA</t>
  </si>
  <si>
    <r>
      <t>UTMACH-SG-</t>
    </r>
    <r>
      <rPr>
        <sz val="11"/>
        <rFont val="Century Schoolbook"/>
        <family val="1"/>
      </rPr>
      <t>2023-0018</t>
    </r>
    <r>
      <rPr>
        <sz val="11"/>
        <rFont val="Arial Narrow"/>
        <family val="2"/>
      </rPr>
      <t>-M</t>
    </r>
  </si>
  <si>
    <t>Secretaría General</t>
  </si>
  <si>
    <r>
      <t xml:space="preserve">La </t>
    </r>
    <r>
      <rPr>
        <b/>
        <sz val="11"/>
        <rFont val="Arial Narrow"/>
        <family val="2"/>
      </rPr>
      <t xml:space="preserve">Unidad de Gestión Documental y Archivo </t>
    </r>
    <r>
      <rPr>
        <sz val="11"/>
        <rFont val="Arial Narrow"/>
        <family val="2"/>
      </rPr>
      <t>solicita reducción en la partida N°</t>
    </r>
    <r>
      <rPr>
        <sz val="11"/>
        <rFont val="Century Schoolbook"/>
        <family val="1"/>
      </rPr>
      <t xml:space="preserve"> 520106 0701 003 </t>
    </r>
    <r>
      <rPr>
        <sz val="11"/>
        <rFont val="Arial Narrow"/>
        <family val="2"/>
      </rPr>
      <t xml:space="preserve">Servicio de Correo, por el valor de </t>
    </r>
    <r>
      <rPr>
        <sz val="11"/>
        <rFont val="Century Schoolbook"/>
        <family val="1"/>
      </rPr>
      <t>$ 2.360,00</t>
    </r>
    <r>
      <rPr>
        <sz val="11"/>
        <rFont val="Arial Narrow"/>
        <family val="2"/>
      </rPr>
      <t xml:space="preserve"> e incremento en la partida N° </t>
    </r>
    <r>
      <rPr>
        <sz val="11"/>
        <rFont val="Century Schoolbook"/>
        <family val="1"/>
      </rPr>
      <t>840107 0701 003</t>
    </r>
    <r>
      <rPr>
        <sz val="11"/>
        <rFont val="Arial Narrow"/>
        <family val="2"/>
      </rPr>
      <t xml:space="preserve"> Equipos, Sistemas y Paquetes Informáticos por el mismo valor, adquirir dos impresoras multifunción tinta continua para la Unidad de Gestión Documental y Archivo y de la Secretaría General</t>
    </r>
  </si>
  <si>
    <t>No atendido, por cuanto se va a realizar el proceso de contratación para servicio de correo.</t>
  </si>
  <si>
    <t>Sin Oficio
E-mail</t>
  </si>
  <si>
    <t>Dirección de Formación Profesional</t>
  </si>
  <si>
    <r>
      <t xml:space="preserve">Solicita pasar las partidas N° </t>
    </r>
    <r>
      <rPr>
        <sz val="11"/>
        <rFont val="Century Schoolbook"/>
        <family val="1"/>
      </rPr>
      <t>530207 0701 001</t>
    </r>
    <r>
      <rPr>
        <sz val="11"/>
        <rFont val="Arial Narrow"/>
        <family val="2"/>
      </rPr>
      <t xml:space="preserve"> Difusión, Información y Publicidad por el valor de </t>
    </r>
    <r>
      <rPr>
        <sz val="11"/>
        <rFont val="Century Schoolbook"/>
        <family val="1"/>
      </rPr>
      <t>$ 1.000,16</t>
    </r>
    <r>
      <rPr>
        <sz val="11"/>
        <rFont val="Arial Narrow"/>
        <family val="2"/>
      </rPr>
      <t xml:space="preserve"> y la N° </t>
    </r>
    <r>
      <rPr>
        <sz val="11"/>
        <rFont val="Century Schoolbook"/>
        <family val="1"/>
      </rPr>
      <t>530613 0701 001</t>
    </r>
    <r>
      <rPr>
        <sz val="11"/>
        <rFont val="Arial Narrow"/>
        <family val="2"/>
      </rPr>
      <t xml:space="preserve"> Capacitación para la Ciudadanía en General por el valor de </t>
    </r>
    <r>
      <rPr>
        <sz val="11"/>
        <rFont val="Century Schoolbook"/>
        <family val="1"/>
      </rPr>
      <t>$ 54.311,26</t>
    </r>
    <r>
      <rPr>
        <sz val="11"/>
        <rFont val="Arial Narrow"/>
        <family val="2"/>
      </rPr>
      <t xml:space="preserve"> de la Unidad de Nivelación y Admisión a la Dirección de Formación Profesional.</t>
    </r>
  </si>
  <si>
    <r>
      <t>UTMACH-VADM-</t>
    </r>
    <r>
      <rPr>
        <sz val="11"/>
        <rFont val="Century Schoolbook"/>
        <family val="1"/>
      </rPr>
      <t>2023-0109</t>
    </r>
    <r>
      <rPr>
        <sz val="11"/>
        <rFont val="Arial Narrow"/>
        <family val="2"/>
      </rPr>
      <t>-M</t>
    </r>
  </si>
  <si>
    <t>Vicerrectorado Administrativo</t>
  </si>
  <si>
    <r>
      <t xml:space="preserve">Solicita incremento en la partida N° </t>
    </r>
    <r>
      <rPr>
        <sz val="11"/>
        <rFont val="Century Schoolbook"/>
        <family val="1"/>
      </rPr>
      <t>530807</t>
    </r>
    <r>
      <rPr>
        <sz val="11"/>
        <rFont val="Arial Narrow"/>
        <family val="2"/>
      </rPr>
      <t xml:space="preserve"> Materiales de Impresión, Fotografía, Reproducción y Publicaciones por el valor de </t>
    </r>
    <r>
      <rPr>
        <sz val="11"/>
        <rFont val="Century Schoolbook"/>
        <family val="1"/>
      </rPr>
      <t>$ 1.319,36</t>
    </r>
    <r>
      <rPr>
        <sz val="11"/>
        <rFont val="Arial Narrow"/>
        <family val="2"/>
      </rPr>
      <t xml:space="preserve"> para adquisición de </t>
    </r>
    <r>
      <rPr>
        <sz val="11"/>
        <rFont val="Century Schoolbook"/>
        <family val="1"/>
      </rPr>
      <t>10</t>
    </r>
    <r>
      <rPr>
        <sz val="11"/>
        <rFont val="Arial Narrow"/>
        <family val="2"/>
      </rPr>
      <t xml:space="preserve"> reveladores, </t>
    </r>
    <r>
      <rPr>
        <sz val="11"/>
        <rFont val="Century Schoolbook"/>
        <family val="1"/>
      </rPr>
      <t>7</t>
    </r>
    <r>
      <rPr>
        <sz val="11"/>
        <rFont val="Arial Narrow"/>
        <family val="2"/>
      </rPr>
      <t xml:space="preserve"> tintas y </t>
    </r>
    <r>
      <rPr>
        <sz val="11"/>
        <rFont val="Century Schoolbook"/>
        <family val="1"/>
      </rPr>
      <t>7</t>
    </r>
    <r>
      <rPr>
        <sz val="11"/>
        <rFont val="Arial Narrow"/>
        <family val="2"/>
      </rPr>
      <t xml:space="preserve"> tóner. Además incremento en la partida N° </t>
    </r>
    <r>
      <rPr>
        <sz val="11"/>
        <rFont val="Century Schoolbook"/>
        <family val="1"/>
      </rPr>
      <t>530804</t>
    </r>
    <r>
      <rPr>
        <sz val="11"/>
        <rFont val="Arial Narrow"/>
        <family val="2"/>
      </rPr>
      <t xml:space="preserve"> Materiales de Oficina por el valor de </t>
    </r>
    <r>
      <rPr>
        <sz val="11"/>
        <rFont val="Century Schoolbook"/>
        <family val="1"/>
      </rPr>
      <t>$ 756,84</t>
    </r>
    <r>
      <rPr>
        <sz val="11"/>
        <rFont val="Arial Narrow"/>
        <family val="2"/>
      </rPr>
      <t xml:space="preserve"> para la compra de </t>
    </r>
    <r>
      <rPr>
        <sz val="11"/>
        <rFont val="Century Schoolbook"/>
        <family val="1"/>
      </rPr>
      <t>150</t>
    </r>
    <r>
      <rPr>
        <sz val="11"/>
        <rFont val="Arial Narrow"/>
        <family val="2"/>
      </rPr>
      <t xml:space="preserve"> resmas de papel.</t>
    </r>
  </si>
  <si>
    <t>No atendido, por cuanto constan recursos en dirección administrativa para dichos fines.</t>
  </si>
  <si>
    <r>
      <t>UTMACH-DBUAC-</t>
    </r>
    <r>
      <rPr>
        <sz val="11"/>
        <rFont val="Century Schoolbook"/>
        <family val="1"/>
      </rPr>
      <t>2023-0124</t>
    </r>
    <r>
      <rPr>
        <sz val="11"/>
        <rFont val="Arial Narrow"/>
        <family val="2"/>
      </rPr>
      <t>-M</t>
    </r>
  </si>
  <si>
    <r>
      <t xml:space="preserve">Solicita reducción en la partida N° </t>
    </r>
    <r>
      <rPr>
        <sz val="11"/>
        <rFont val="Century Schoolbook"/>
        <family val="1"/>
      </rPr>
      <t>530807 0701 003</t>
    </r>
    <r>
      <rPr>
        <sz val="11"/>
        <rFont val="Arial Narrow"/>
        <family val="2"/>
      </rPr>
      <t xml:space="preserve"> Materiales de Impresión, Fotografía, Reproducción y Publicación, por el valor de </t>
    </r>
    <r>
      <rPr>
        <sz val="11"/>
        <rFont val="Century Schoolbook"/>
        <family val="1"/>
      </rPr>
      <t>$ 26.320,00</t>
    </r>
    <r>
      <rPr>
        <sz val="11"/>
        <rFont val="Arial Narrow"/>
        <family val="2"/>
      </rPr>
      <t xml:space="preserve">, e incremento en la partida N° </t>
    </r>
    <r>
      <rPr>
        <sz val="11"/>
        <rFont val="Century Schoolbook"/>
        <family val="1"/>
      </rPr>
      <t>530204 0701 003</t>
    </r>
    <r>
      <rPr>
        <sz val="11"/>
        <rFont val="Arial Narrow"/>
        <family val="2"/>
      </rPr>
      <t xml:space="preserve"> Edición, Impresión y Reproducción por el mismo valor para contratar el servicio de diseño e impresión de agendas universitarias.
Solicita reducción en la partida N° </t>
    </r>
    <r>
      <rPr>
        <sz val="11"/>
        <rFont val="Century Schoolbook"/>
        <family val="1"/>
      </rPr>
      <t>531408 0701 003</t>
    </r>
    <r>
      <rPr>
        <sz val="11"/>
        <rFont val="Arial Narrow"/>
        <family val="2"/>
      </rPr>
      <t xml:space="preserve"> Bienes Artísticos, Culturales, Deportivos y Símbolos Patrios por el valor de </t>
    </r>
    <r>
      <rPr>
        <sz val="11"/>
        <rFont val="Century Schoolbook"/>
        <family val="1"/>
      </rPr>
      <t>$ 4.457,60 (4</t>
    </r>
    <r>
      <rPr>
        <sz val="11"/>
        <rFont val="Arial Narrow"/>
        <family val="2"/>
      </rPr>
      <t xml:space="preserve"> tableros de básquet) e incremento en la partida N° </t>
    </r>
    <r>
      <rPr>
        <sz val="11"/>
        <rFont val="Century Schoolbook"/>
        <family val="1"/>
      </rPr>
      <t>840103 0701 003</t>
    </r>
    <r>
      <rPr>
        <sz val="11"/>
        <rFont val="Arial Narrow"/>
        <family val="2"/>
      </rPr>
      <t xml:space="preserve"> Mobiliarios por el mismo valor.
Solicita reducción en la partida N° </t>
    </r>
    <r>
      <rPr>
        <sz val="11"/>
        <rFont val="Century Schoolbook"/>
        <family val="1"/>
      </rPr>
      <t>840113 0701 003</t>
    </r>
    <r>
      <rPr>
        <sz val="11"/>
        <rFont val="Arial Narrow"/>
        <family val="2"/>
      </rPr>
      <t xml:space="preserve"> Equipos Médicos por el valor de </t>
    </r>
    <r>
      <rPr>
        <sz val="11"/>
        <rFont val="Century Schoolbook"/>
        <family val="1"/>
      </rPr>
      <t>$ 8.999,20</t>
    </r>
    <r>
      <rPr>
        <sz val="11"/>
        <rFont val="Arial Narrow"/>
        <family val="2"/>
      </rPr>
      <t xml:space="preserve"> e incremento en la partida N° </t>
    </r>
    <r>
      <rPr>
        <sz val="11"/>
        <rFont val="Century Schoolbook"/>
        <family val="1"/>
      </rPr>
      <t>840104 0701 003</t>
    </r>
    <r>
      <rPr>
        <sz val="11"/>
        <rFont val="Arial Narrow"/>
        <family val="2"/>
      </rPr>
      <t xml:space="preserve"> Maquinarias y Equipos por el mismo valor.
Solicita reducción en la partida N° </t>
    </r>
    <r>
      <rPr>
        <sz val="11"/>
        <rFont val="Century Schoolbook"/>
        <family val="1"/>
      </rPr>
      <t>531404 0701 002</t>
    </r>
    <r>
      <rPr>
        <sz val="11"/>
        <rFont val="Arial Narrow"/>
        <family val="2"/>
      </rPr>
      <t xml:space="preserve"> Maquinarias y Equipos por el valor de </t>
    </r>
    <r>
      <rPr>
        <sz val="11"/>
        <rFont val="Century Schoolbook"/>
        <family val="1"/>
      </rPr>
      <t>$ 15,879,05</t>
    </r>
    <r>
      <rPr>
        <sz val="11"/>
        <rFont val="Arial Narrow"/>
        <family val="2"/>
      </rPr>
      <t xml:space="preserve"> e incremento en la partida N° </t>
    </r>
    <r>
      <rPr>
        <sz val="11"/>
        <rFont val="Century Schoolbook"/>
        <family val="1"/>
      </rPr>
      <t>840104 0701 002</t>
    </r>
    <r>
      <rPr>
        <sz val="11"/>
        <rFont val="Arial Narrow"/>
        <family val="2"/>
      </rPr>
      <t xml:space="preserve"> Maquinarias y Equipos por el mismo valor.</t>
    </r>
  </si>
  <si>
    <r>
      <t xml:space="preserve">Atendido favorablemente, a excepción de Egresos planificados en partida restringida (espectáculos
culturales), por el valor de </t>
    </r>
    <r>
      <rPr>
        <sz val="11"/>
        <rFont val="Century Schoolbook"/>
        <family val="1"/>
      </rPr>
      <t>$ 21.280,00.</t>
    </r>
  </si>
  <si>
    <r>
      <t>UTMACH-FCE-D-</t>
    </r>
    <r>
      <rPr>
        <sz val="11"/>
        <rFont val="Century Schoolbook"/>
        <family val="1"/>
      </rPr>
      <t>2023-0237</t>
    </r>
    <r>
      <rPr>
        <sz val="11"/>
        <rFont val="Arial Narrow"/>
        <family val="2"/>
      </rPr>
      <t>-M
UTMACH-VADM-</t>
    </r>
    <r>
      <rPr>
        <sz val="11"/>
        <rFont val="Century Schoolbook"/>
        <family val="1"/>
      </rPr>
      <t>2023-0193</t>
    </r>
    <r>
      <rPr>
        <sz val="11"/>
        <rFont val="Arial Narrow"/>
        <family val="2"/>
      </rPr>
      <t>-M
UTMACH-FCE-D-</t>
    </r>
    <r>
      <rPr>
        <sz val="11"/>
        <rFont val="Century Schoolbook"/>
        <family val="1"/>
      </rPr>
      <t>2023-0281</t>
    </r>
    <r>
      <rPr>
        <sz val="11"/>
        <rFont val="Arial Narrow"/>
        <family val="2"/>
      </rPr>
      <t>-M</t>
    </r>
  </si>
  <si>
    <t>14/03/2023
24/03/2023
29/03/2023</t>
  </si>
  <si>
    <t>Facultad de Ciencias Empresariales
Vicerrectorado Administrativo</t>
  </si>
  <si>
    <t>Solicita cambiar el período de ejecución de todos los Procesos de Compras de la FCE para poderlos ejecutar satisfactoriamente, es decir cambiar del Primer Cuatrimestre al Segundo Cuatrimestre.</t>
  </si>
  <si>
    <r>
      <t>UTMACH-FCE-D-</t>
    </r>
    <r>
      <rPr>
        <sz val="11"/>
        <rFont val="Century Schoolbook"/>
        <family val="1"/>
      </rPr>
      <t>2023-0238</t>
    </r>
    <r>
      <rPr>
        <sz val="11"/>
        <rFont val="Arial Narrow"/>
        <family val="2"/>
      </rPr>
      <t>-M</t>
    </r>
  </si>
  <si>
    <r>
      <t xml:space="preserve">Solicita reducción en la partida N° </t>
    </r>
    <r>
      <rPr>
        <sz val="11"/>
        <rFont val="Century Schoolbook"/>
        <family val="1"/>
      </rPr>
      <t>840107 0701 003</t>
    </r>
    <r>
      <rPr>
        <sz val="11"/>
        <rFont val="Arial Narrow"/>
        <family val="2"/>
      </rPr>
      <t xml:space="preserve"> Equipos, Sistemas y Paquetes Informáticos por el valor de </t>
    </r>
    <r>
      <rPr>
        <sz val="11"/>
        <rFont val="Century Schoolbook"/>
        <family val="1"/>
      </rPr>
      <t>$ 9.559,07</t>
    </r>
    <r>
      <rPr>
        <sz val="11"/>
        <rFont val="Arial Narrow"/>
        <family val="2"/>
      </rPr>
      <t xml:space="preserve"> e incremento en la partida N° </t>
    </r>
    <r>
      <rPr>
        <sz val="11"/>
        <rFont val="Century Schoolbook"/>
        <family val="1"/>
      </rPr>
      <t>840104 0701 003</t>
    </r>
    <r>
      <rPr>
        <sz val="11"/>
        <rFont val="Arial Narrow"/>
        <family val="2"/>
      </rPr>
      <t xml:space="preserve"> Maquinarias y Equipos por el valor el mismo valor para adquisición de </t>
    </r>
    <r>
      <rPr>
        <sz val="11"/>
        <rFont val="Century Schoolbook"/>
        <family val="1"/>
      </rPr>
      <t>11</t>
    </r>
    <r>
      <rPr>
        <sz val="11"/>
        <rFont val="Arial Narrow"/>
        <family val="2"/>
      </rPr>
      <t xml:space="preserve"> proyectores.</t>
    </r>
  </si>
  <si>
    <r>
      <t>UTMACH-DVIN-</t>
    </r>
    <r>
      <rPr>
        <sz val="11"/>
        <rFont val="Century Schoolbook"/>
        <family val="1"/>
      </rPr>
      <t>2023-0106</t>
    </r>
    <r>
      <rPr>
        <sz val="11"/>
        <rFont val="Arial Narrow"/>
        <family val="2"/>
      </rPr>
      <t>-M</t>
    </r>
  </si>
  <si>
    <t>Dirección de Vinculación</t>
  </si>
  <si>
    <r>
      <t xml:space="preserve">Solicita reducción en varias partidas, por un total de </t>
    </r>
    <r>
      <rPr>
        <sz val="11"/>
        <rFont val="Century Schoolbook"/>
        <family val="1"/>
      </rPr>
      <t>$ 14.107,55</t>
    </r>
    <r>
      <rPr>
        <sz val="11"/>
        <rFont val="Arial Narrow"/>
        <family val="2"/>
      </rPr>
      <t xml:space="preserve"> e incremento así mismo en varias partidas por el mismo valor, conforme se indica en la Solicitud de Reforma Presupuestaria adjunta.</t>
    </r>
  </si>
  <si>
    <r>
      <t xml:space="preserve">Atendido favorablemente a excepción de la partida N° </t>
    </r>
    <r>
      <rPr>
        <sz val="11"/>
        <rFont val="Century Schoolbook"/>
        <family val="1"/>
      </rPr>
      <t>531407 0701 003</t>
    </r>
    <r>
      <rPr>
        <sz val="11"/>
        <rFont val="Arial Narrow"/>
        <family val="2"/>
      </rPr>
      <t xml:space="preserve"> Equipos, Sistemas y Paquetes Informáticos por el valor de </t>
    </r>
    <r>
      <rPr>
        <sz val="11"/>
        <rFont val="Century Schoolbook"/>
        <family val="1"/>
      </rPr>
      <t>$ 171,51</t>
    </r>
    <r>
      <rPr>
        <sz val="11"/>
        <rFont val="Arial Narrow"/>
        <family val="2"/>
      </rPr>
      <t>, por no tener cuadrado por fuente de financiamiento la reducción con el incremento propuesto.</t>
    </r>
  </si>
  <si>
    <r>
      <t>UTMACH-DAC-</t>
    </r>
    <r>
      <rPr>
        <sz val="11"/>
        <rFont val="Century Schoolbook"/>
        <family val="1"/>
      </rPr>
      <t>2023-0049</t>
    </r>
    <r>
      <rPr>
        <sz val="11"/>
        <rFont val="Arial Narrow"/>
        <family val="2"/>
      </rPr>
      <t>-M</t>
    </r>
  </si>
  <si>
    <t>Dirección de Aseguramiento de la Calidad</t>
  </si>
  <si>
    <r>
      <t xml:space="preserve">Solicita cambio actualización de una meta cuatrimestral, que estaba planificada en el primer cuatrimestre, con la finalidad de que sea trasladada al segundo cuatrimestre dado a que su cumplimiento depende de la emisión del Modelo de Evaluación Institucional de Universidades y Escuelas Politécnicas con fines de acreditación presentado por el CACES.
</t>
    </r>
    <r>
      <rPr>
        <i/>
        <sz val="11"/>
        <rFont val="Arial Narrow"/>
        <family val="2"/>
      </rPr>
      <t>La Meta Operativa es:</t>
    </r>
    <r>
      <rPr>
        <sz val="11"/>
        <rFont val="Arial Narrow"/>
        <family val="2"/>
      </rPr>
      <t xml:space="preserve">
2.- Emitir y/o actualizar las directrices para la conducción del proceso de autoevaluación.</t>
    </r>
  </si>
  <si>
    <r>
      <t>UTMACH-DIDI-</t>
    </r>
    <r>
      <rPr>
        <sz val="11"/>
        <rFont val="Century Schoolbook"/>
        <family val="1"/>
      </rPr>
      <t>2023-0152</t>
    </r>
    <r>
      <rPr>
        <sz val="11"/>
        <rFont val="Arial Narrow"/>
        <family val="2"/>
      </rPr>
      <t>-M</t>
    </r>
  </si>
  <si>
    <r>
      <t xml:space="preserve">Solicita una reforma interna al Plan Operativo Anual </t>
    </r>
    <r>
      <rPr>
        <sz val="11"/>
        <rFont val="Century Schoolbook"/>
        <family val="1"/>
      </rPr>
      <t>2023</t>
    </r>
    <r>
      <rPr>
        <sz val="11"/>
        <rFont val="Arial Narrow"/>
        <family val="2"/>
      </rPr>
      <t xml:space="preserve">, misma que no afecta el presupuesto institucional, por lo que, se plantea una desagregación en las partidas a nivel de detalle del producto y/o descripción de la contratación, en correspondencia a los techos aprobados para el Programa </t>
    </r>
    <r>
      <rPr>
        <sz val="11"/>
        <rFont val="Century Schoolbook"/>
        <family val="1"/>
      </rPr>
      <t>83</t>
    </r>
    <r>
      <rPr>
        <sz val="11"/>
        <rFont val="Arial Narrow"/>
        <family val="2"/>
      </rPr>
      <t xml:space="preserve"> Gestión de la Investigación.</t>
    </r>
  </si>
  <si>
    <r>
      <t>UTMACH-DAC-</t>
    </r>
    <r>
      <rPr>
        <sz val="11"/>
        <rFont val="Century Schoolbook"/>
        <family val="1"/>
      </rPr>
      <t>2023-0056</t>
    </r>
    <r>
      <rPr>
        <sz val="11"/>
        <rFont val="Arial Narrow"/>
        <family val="2"/>
      </rPr>
      <t>-M
UTMACH-DAC-</t>
    </r>
    <r>
      <rPr>
        <sz val="11"/>
        <rFont val="Century Schoolbook"/>
        <family val="1"/>
      </rPr>
      <t>2023-0059</t>
    </r>
    <r>
      <rPr>
        <sz val="11"/>
        <rFont val="Arial Narrow"/>
        <family val="2"/>
      </rPr>
      <t>-M
(Alcance M_00</t>
    </r>
    <r>
      <rPr>
        <sz val="11"/>
        <rFont val="Century Schoolbook"/>
        <family val="1"/>
      </rPr>
      <t>56</t>
    </r>
    <r>
      <rPr>
        <sz val="11"/>
        <rFont val="Arial Narrow"/>
        <family val="2"/>
      </rPr>
      <t>)</t>
    </r>
  </si>
  <si>
    <t>24/03/2023
27/03/2023</t>
  </si>
  <si>
    <r>
      <t xml:space="preserve">Solicita incremento en la partida N° </t>
    </r>
    <r>
      <rPr>
        <sz val="11"/>
        <rFont val="Century Schoolbook"/>
        <family val="1"/>
      </rPr>
      <t>840107 0701 003</t>
    </r>
    <r>
      <rPr>
        <sz val="11"/>
        <rFont val="Arial Narrow"/>
        <family val="2"/>
      </rPr>
      <t xml:space="preserve"> Equipos Sistemas y Paquetes Informáticos por el valor de </t>
    </r>
    <r>
      <rPr>
        <sz val="11"/>
        <rFont val="Century Schoolbook"/>
        <family val="1"/>
      </rPr>
      <t>$ 1.008,00</t>
    </r>
    <r>
      <rPr>
        <sz val="11"/>
        <rFont val="Arial Narrow"/>
        <family val="2"/>
      </rPr>
      <t xml:space="preserve"> y reducción en la partida N° </t>
    </r>
    <r>
      <rPr>
        <sz val="11"/>
        <rFont val="Century Schoolbook"/>
        <family val="1"/>
      </rPr>
      <t>530702 0701 003</t>
    </r>
    <r>
      <rPr>
        <sz val="11"/>
        <rFont val="Arial Narrow"/>
        <family val="2"/>
      </rPr>
      <t xml:space="preserve"> Arrendamientos y Licencias de Uso de Paquetes Informáticos por el mismo valor.
Además solicita la reasignación de valores a las partidas: </t>
    </r>
    <r>
      <rPr>
        <sz val="11"/>
        <rFont val="Century Schoolbook"/>
        <family val="1"/>
      </rPr>
      <t>530601 0701 003</t>
    </r>
    <r>
      <rPr>
        <sz val="11"/>
        <rFont val="Arial Narrow"/>
        <family val="2"/>
      </rPr>
      <t xml:space="preserve"> Consultoría, Asesoría e Investigación Especializada el valor de </t>
    </r>
    <r>
      <rPr>
        <sz val="11"/>
        <rFont val="Century Schoolbook"/>
        <family val="1"/>
      </rPr>
      <t>$ 8.960,00</t>
    </r>
    <r>
      <rPr>
        <sz val="11"/>
        <rFont val="Arial Narrow"/>
        <family val="2"/>
      </rPr>
      <t xml:space="preserve"> y </t>
    </r>
    <r>
      <rPr>
        <sz val="11"/>
        <rFont val="Century Schoolbook"/>
        <family val="1"/>
      </rPr>
      <t>530402 0701 001</t>
    </r>
    <r>
      <rPr>
        <sz val="11"/>
        <rFont val="Arial Narrow"/>
        <family val="2"/>
      </rPr>
      <t xml:space="preserve"> Edificios, Locales, Residencias y Cableado Estructurado (Instalación, Mantenimiento y Reparación) el valor de </t>
    </r>
    <r>
      <rPr>
        <sz val="11"/>
        <rFont val="Century Schoolbook"/>
        <family val="1"/>
      </rPr>
      <t>$ 6.720,00.</t>
    </r>
  </si>
  <si>
    <r>
      <rPr>
        <sz val="11"/>
        <rFont val="Century Schoolbook"/>
        <family val="1"/>
      </rPr>
      <t>0056</t>
    </r>
    <r>
      <rPr>
        <sz val="11"/>
        <rFont val="Arial Narrow"/>
        <family val="2"/>
      </rPr>
      <t xml:space="preserve"> M Atendido parcialmente.
</t>
    </r>
    <r>
      <rPr>
        <sz val="11"/>
        <rFont val="Century Schoolbook"/>
        <family val="1"/>
      </rPr>
      <t>0059</t>
    </r>
    <r>
      <rPr>
        <sz val="11"/>
        <rFont val="Arial Narrow"/>
        <family val="2"/>
      </rPr>
      <t xml:space="preserve"> M Atendido favorablemente.</t>
    </r>
  </si>
  <si>
    <r>
      <t>UTMACH-DAC-</t>
    </r>
    <r>
      <rPr>
        <sz val="11"/>
        <rFont val="Century Schoolbook"/>
        <family val="1"/>
      </rPr>
      <t>2023-0057</t>
    </r>
    <r>
      <rPr>
        <sz val="11"/>
        <rFont val="Arial Narrow"/>
        <family val="2"/>
      </rPr>
      <t>-M</t>
    </r>
  </si>
  <si>
    <r>
      <t xml:space="preserve">Solicita modificación en el cronograma de requisiciones de los dos ítems de la partida N° </t>
    </r>
    <r>
      <rPr>
        <sz val="11"/>
        <rFont val="Century Schoolbook"/>
        <family val="1"/>
      </rPr>
      <t>840107 0701 003</t>
    </r>
    <r>
      <rPr>
        <sz val="11"/>
        <rFont val="Arial Narrow"/>
        <family val="2"/>
      </rPr>
      <t xml:space="preserve"> Equipos, Sistemas y Paquetes Informáticos, pasar del </t>
    </r>
    <r>
      <rPr>
        <sz val="11"/>
        <rFont val="Century Schoolbook"/>
        <family val="1"/>
      </rPr>
      <t>1</t>
    </r>
    <r>
      <rPr>
        <sz val="11"/>
        <rFont val="Arial Narrow"/>
        <family val="2"/>
      </rPr>
      <t xml:space="preserve">er cuatrimestre al </t>
    </r>
    <r>
      <rPr>
        <sz val="11"/>
        <rFont val="Century Schoolbook"/>
        <family val="1"/>
      </rPr>
      <t>2</t>
    </r>
    <r>
      <rPr>
        <sz val="11"/>
        <rFont val="Arial Narrow"/>
        <family val="2"/>
      </rPr>
      <t>do cuatrimestre.</t>
    </r>
  </si>
  <si>
    <r>
      <t>UTMACH-DIRCOM-</t>
    </r>
    <r>
      <rPr>
        <sz val="11"/>
        <rFont val="Century Schoolbook"/>
        <family val="1"/>
      </rPr>
      <t>2023-0041</t>
    </r>
    <r>
      <rPr>
        <sz val="11"/>
        <rFont val="Arial Narrow"/>
        <family val="2"/>
      </rPr>
      <t>-M</t>
    </r>
  </si>
  <si>
    <t>Dirección de Comunicación</t>
  </si>
  <si>
    <r>
      <t xml:space="preserve">Solicita redistribución de valores de la partida N° </t>
    </r>
    <r>
      <rPr>
        <sz val="11"/>
        <rFont val="Century Schoolbook"/>
        <family val="1"/>
      </rPr>
      <t>840104 0701 003</t>
    </r>
    <r>
      <rPr>
        <sz val="11"/>
        <rFont val="Arial Narrow"/>
        <family val="2"/>
      </rPr>
      <t xml:space="preserve"> Maquinarias y Equipos sin que afecte el total del valor de la partida. Además solicita la actualización del período de ejecución para que se modifique del I cuatrimestre al II cuatrimestre </t>
    </r>
    <r>
      <rPr>
        <sz val="11"/>
        <rFont val="Century Schoolbook"/>
        <family val="1"/>
      </rPr>
      <t>2023.</t>
    </r>
  </si>
  <si>
    <r>
      <t>UTMACH-DEC-</t>
    </r>
    <r>
      <rPr>
        <sz val="11"/>
        <rFont val="Century"/>
        <family val="1"/>
      </rPr>
      <t>2023-0075</t>
    </r>
    <r>
      <rPr>
        <sz val="11"/>
        <rFont val="Arial Narrow"/>
        <family val="2"/>
      </rPr>
      <t>-M</t>
    </r>
  </si>
  <si>
    <t>Dirección de Educación Continua</t>
  </si>
  <si>
    <r>
      <t xml:space="preserve">Solicita reducción en algunas partidas conforme al anexo Solicitud de Reforma Presupuestaria por el valor total de </t>
    </r>
    <r>
      <rPr>
        <sz val="11"/>
        <rFont val="Century"/>
        <family val="1"/>
      </rPr>
      <t>$ 19.664,00</t>
    </r>
    <r>
      <rPr>
        <sz val="11"/>
        <rFont val="Arial Narrow"/>
        <family val="2"/>
      </rPr>
      <t xml:space="preserve"> e incremento en la partida </t>
    </r>
    <r>
      <rPr>
        <sz val="11"/>
        <rFont val="Century"/>
        <family val="1"/>
      </rPr>
      <t>530606 0701 002</t>
    </r>
    <r>
      <rPr>
        <sz val="11"/>
        <rFont val="Arial Narrow"/>
        <family val="2"/>
      </rPr>
      <t xml:space="preserve"> Honorarios por Contratos Civiles de Servicios por el valor de </t>
    </r>
    <r>
      <rPr>
        <sz val="11"/>
        <rFont val="Century"/>
        <family val="1"/>
      </rPr>
      <t>$ 18.120,00.</t>
    </r>
  </si>
  <si>
    <r>
      <t xml:space="preserve">Atendido favorablemente a excepción de la partida N° </t>
    </r>
    <r>
      <rPr>
        <sz val="11"/>
        <rFont val="Century Schoolbook"/>
        <family val="1"/>
      </rPr>
      <t>840104 0701 003</t>
    </r>
    <r>
      <rPr>
        <sz val="11"/>
        <rFont val="Arial Narrow"/>
        <family val="2"/>
      </rPr>
      <t xml:space="preserve"> Maquinarias y Equipos por el valor de </t>
    </r>
    <r>
      <rPr>
        <sz val="11"/>
        <rFont val="Century Schoolbook"/>
        <family val="1"/>
      </rPr>
      <t>$ 3.528,00</t>
    </r>
    <r>
      <rPr>
        <sz val="11"/>
        <rFont val="Arial Narrow"/>
        <family val="2"/>
      </rPr>
      <t>, por no tener cuadrado por fuente de financiamiento la reducción con el incremento propuesto.</t>
    </r>
  </si>
  <si>
    <r>
      <t>UTMACH-SG-</t>
    </r>
    <r>
      <rPr>
        <sz val="11"/>
        <rFont val="Century"/>
        <family val="1"/>
      </rPr>
      <t>2023-0079</t>
    </r>
    <r>
      <rPr>
        <sz val="11"/>
        <rFont val="Arial Narrow"/>
        <family val="2"/>
      </rPr>
      <t>-M</t>
    </r>
  </si>
  <si>
    <r>
      <t xml:space="preserve">La </t>
    </r>
    <r>
      <rPr>
        <b/>
        <sz val="11"/>
        <rFont val="Arial Narrow"/>
        <family val="2"/>
      </rPr>
      <t>Unidad de Gestión Documental y Archivo</t>
    </r>
    <r>
      <rPr>
        <sz val="11"/>
        <rFont val="Arial Narrow"/>
        <family val="2"/>
      </rPr>
      <t xml:space="preserve"> solicita reducción en la partida N° </t>
    </r>
    <r>
      <rPr>
        <sz val="11"/>
        <rFont val="Century"/>
        <family val="1"/>
      </rPr>
      <t>530106 0701 003</t>
    </r>
    <r>
      <rPr>
        <sz val="11"/>
        <rFont val="Arial Narrow"/>
        <family val="2"/>
      </rPr>
      <t xml:space="preserve"> Servicio de Correo por el valor de </t>
    </r>
    <r>
      <rPr>
        <sz val="11"/>
        <rFont val="Century"/>
        <family val="1"/>
      </rPr>
      <t>$ 2.360,00</t>
    </r>
    <r>
      <rPr>
        <sz val="11"/>
        <rFont val="Arial Narrow"/>
        <family val="2"/>
      </rPr>
      <t xml:space="preserve"> e incremento en las partidas N° </t>
    </r>
    <r>
      <rPr>
        <sz val="11"/>
        <rFont val="Century"/>
        <family val="1"/>
      </rPr>
      <t>840107 0701</t>
    </r>
    <r>
      <rPr>
        <sz val="11"/>
        <rFont val="Arial Narrow"/>
        <family val="2"/>
      </rPr>
      <t xml:space="preserve"> Equipos, Sistemas y Paquetes Informáticos por el valor de </t>
    </r>
    <r>
      <rPr>
        <sz val="11"/>
        <rFont val="Century"/>
        <family val="1"/>
      </rPr>
      <t>$ 1.550,00</t>
    </r>
    <r>
      <rPr>
        <sz val="11"/>
        <rFont val="Arial Narrow"/>
        <family val="2"/>
      </rPr>
      <t xml:space="preserve"> y en la partida N° </t>
    </r>
    <r>
      <rPr>
        <sz val="11"/>
        <rFont val="Century"/>
        <family val="1"/>
      </rPr>
      <t>840104 0701</t>
    </r>
    <r>
      <rPr>
        <sz val="11"/>
        <rFont val="Arial Narrow"/>
        <family val="2"/>
      </rPr>
      <t xml:space="preserve"> Maquinarias y Equipos por el valor de </t>
    </r>
    <r>
      <rPr>
        <sz val="11"/>
        <rFont val="Century"/>
        <family val="1"/>
      </rPr>
      <t>$ 810,00.</t>
    </r>
  </si>
  <si>
    <r>
      <t>UTMACH-FCQS-D-</t>
    </r>
    <r>
      <rPr>
        <sz val="11"/>
        <rFont val="Century"/>
        <family val="1"/>
      </rPr>
      <t>2023-0365</t>
    </r>
    <r>
      <rPr>
        <sz val="11"/>
        <rFont val="Arial Narrow"/>
        <family val="2"/>
      </rPr>
      <t>-M</t>
    </r>
  </si>
  <si>
    <t>Facultad de Ciencias Químicas y de la Salud</t>
  </si>
  <si>
    <r>
      <t xml:space="preserve">Solicita realizar un alcance al POA </t>
    </r>
    <r>
      <rPr>
        <sz val="11"/>
        <rFont val="Century"/>
        <family val="1"/>
      </rPr>
      <t>2023</t>
    </r>
    <r>
      <rPr>
        <sz val="11"/>
        <rFont val="Arial Narrow"/>
        <family val="2"/>
      </rPr>
      <t xml:space="preserve"> de la Facultad de Ciencias Químicas y de la Salud, por cambio de ITEMS en función al requerimiento de la Unidad Académica, más no se ve afectado al techo presupuestario; así mismo, solicita incorporación de las METAS OPERATIVAS en el POA </t>
    </r>
    <r>
      <rPr>
        <sz val="11"/>
        <rFont val="Century"/>
        <family val="1"/>
      </rPr>
      <t>2023</t>
    </r>
    <r>
      <rPr>
        <sz val="11"/>
        <rFont val="Arial Narrow"/>
        <family val="2"/>
      </rPr>
      <t xml:space="preserve"> de la carrera de Alimentos, solicitado por la señora coordinadora.</t>
    </r>
  </si>
  <si>
    <t>Insubsistente.</t>
  </si>
  <si>
    <r>
      <t>UTMACH-DF-UT-</t>
    </r>
    <r>
      <rPr>
        <sz val="11"/>
        <rFont val="Century"/>
        <family val="1"/>
      </rPr>
      <t>2023-0116</t>
    </r>
    <r>
      <rPr>
        <sz val="11"/>
        <rFont val="Arial Narrow"/>
        <family val="2"/>
      </rPr>
      <t>-M</t>
    </r>
  </si>
  <si>
    <t>Dirección Financiera
Unidad de Tesorería</t>
  </si>
  <si>
    <r>
      <t xml:space="preserve">Solicita incremento en la partida N° </t>
    </r>
    <r>
      <rPr>
        <sz val="11"/>
        <rFont val="Century"/>
        <family val="1"/>
      </rPr>
      <t>530204 0701</t>
    </r>
    <r>
      <rPr>
        <sz val="11"/>
        <rFont val="Arial Narrow"/>
        <family val="2"/>
      </rPr>
      <t xml:space="preserve"> Edición, Impresión, Reproducción y Publicaciones el valor de </t>
    </r>
    <r>
      <rPr>
        <sz val="11"/>
        <rFont val="Century"/>
        <family val="1"/>
      </rPr>
      <t>$ 3.144,06</t>
    </r>
    <r>
      <rPr>
        <sz val="11"/>
        <rFont val="Arial Narrow"/>
        <family val="2"/>
      </rPr>
      <t xml:space="preserve"> (incluido IVA) para la adquisición de impresión de diez mil especies para títulos universitarios.</t>
    </r>
  </si>
  <si>
    <r>
      <t>UTMACH-DTH-</t>
    </r>
    <r>
      <rPr>
        <sz val="11"/>
        <rFont val="Century"/>
        <family val="1"/>
      </rPr>
      <t>2023-0484</t>
    </r>
    <r>
      <rPr>
        <sz val="11"/>
        <rFont val="Arial Narrow"/>
        <family val="2"/>
      </rPr>
      <t>-M</t>
    </r>
  </si>
  <si>
    <t>Solicita incremento en el presupuesto general, solicitud de que no adjunta la Solicitud de Reforma Presupuestaria.</t>
  </si>
  <si>
    <r>
      <t xml:space="preserve">El </t>
    </r>
    <r>
      <rPr>
        <sz val="11"/>
        <rFont val="Century Schoolbook"/>
        <family val="1"/>
      </rPr>
      <t>25/04/2023</t>
    </r>
    <r>
      <rPr>
        <sz val="11"/>
        <rFont val="Arial Narrow"/>
        <family val="2"/>
      </rPr>
      <t xml:space="preserve">, se solicitó vía correo electrónico a la DTH que remita la Solicitud de Reforma Presupuestaria.
El </t>
    </r>
    <r>
      <rPr>
        <sz val="11"/>
        <rFont val="Century Schoolbook"/>
        <family val="1"/>
      </rPr>
      <t>18/05/2023</t>
    </r>
    <r>
      <rPr>
        <sz val="11"/>
        <rFont val="Arial Narrow"/>
        <family val="2"/>
      </rPr>
      <t>, se volvió a insistir vía e-mail. Enviaron alcance</t>
    </r>
    <r>
      <rPr>
        <sz val="11"/>
        <rFont val="Century Schoolbook"/>
        <family val="1"/>
      </rPr>
      <t xml:space="preserve"> 0484</t>
    </r>
    <r>
      <rPr>
        <sz val="11"/>
        <rFont val="Arial Narrow"/>
        <family val="2"/>
      </rPr>
      <t xml:space="preserve"> y se atendió parcialmente.</t>
    </r>
  </si>
  <si>
    <r>
      <t>UTMACH-FCQS-D-</t>
    </r>
    <r>
      <rPr>
        <sz val="11"/>
        <rFont val="Century"/>
        <family val="1"/>
      </rPr>
      <t>2023-0368</t>
    </r>
    <r>
      <rPr>
        <sz val="11"/>
        <rFont val="Arial Narrow"/>
        <family val="2"/>
      </rPr>
      <t>-M
UTMACH-FCQS-D-</t>
    </r>
    <r>
      <rPr>
        <sz val="11"/>
        <rFont val="Century"/>
        <family val="1"/>
      </rPr>
      <t>2023-0493</t>
    </r>
    <r>
      <rPr>
        <sz val="11"/>
        <rFont val="Arial Narrow"/>
        <family val="2"/>
      </rPr>
      <t>-M (Alcance M_</t>
    </r>
    <r>
      <rPr>
        <sz val="11"/>
        <rFont val="Century"/>
        <family val="1"/>
      </rPr>
      <t>0368</t>
    </r>
    <r>
      <rPr>
        <sz val="11"/>
        <rFont val="Arial Narrow"/>
        <family val="2"/>
      </rPr>
      <t>)
UTMACH-FCQS-D-</t>
    </r>
    <r>
      <rPr>
        <sz val="11"/>
        <rFont val="Century"/>
        <family val="1"/>
      </rPr>
      <t>2023-0496</t>
    </r>
    <r>
      <rPr>
        <sz val="11"/>
        <rFont val="Arial Narrow"/>
        <family val="2"/>
      </rPr>
      <t>-M
(Alcance M_</t>
    </r>
    <r>
      <rPr>
        <sz val="11"/>
        <rFont val="Century"/>
        <family val="1"/>
      </rPr>
      <t>0368</t>
    </r>
    <r>
      <rPr>
        <sz val="11"/>
        <rFont val="Arial Narrow"/>
        <family val="2"/>
      </rPr>
      <t>)</t>
    </r>
  </si>
  <si>
    <t>09/04/2023
02/05/2023
03/05/2023</t>
  </si>
  <si>
    <t>Solicita cambios de programas presupuestarios, fuentes de financiamiento y partidas presupuestarias de algunos ítems conforme al anexo del oficio, por cuanto se colocaron bienes en programas que no corresponden y al momento de querer hacer la compra de los mismos se presentan diferentes dificultades como es el de subdividir los procesos de compras en diferentes programas presupuestarios.</t>
  </si>
  <si>
    <r>
      <t>UTMACH-FCS-D-</t>
    </r>
    <r>
      <rPr>
        <sz val="11"/>
        <rFont val="Century"/>
        <family val="1"/>
      </rPr>
      <t>2023-0335</t>
    </r>
    <r>
      <rPr>
        <sz val="11"/>
        <rFont val="Arial Narrow"/>
        <family val="2"/>
      </rPr>
      <t>-M
UTMACH-FCS-D-</t>
    </r>
    <r>
      <rPr>
        <sz val="11"/>
        <rFont val="Century Schoolbook"/>
        <family val="1"/>
      </rPr>
      <t>2023-0445-</t>
    </r>
    <r>
      <rPr>
        <sz val="11"/>
        <rFont val="Arial Narrow"/>
        <family val="2"/>
      </rPr>
      <t>M (Alcance al M_</t>
    </r>
    <r>
      <rPr>
        <sz val="11"/>
        <rFont val="Century Schoolbook"/>
        <family val="1"/>
      </rPr>
      <t>0335</t>
    </r>
    <r>
      <rPr>
        <sz val="11"/>
        <rFont val="Arial Narrow"/>
        <family val="2"/>
      </rPr>
      <t>)</t>
    </r>
  </si>
  <si>
    <t>21/04/2023
19/05/2023</t>
  </si>
  <si>
    <r>
      <t xml:space="preserve">Solicita reducción en varias partidas, por un total de </t>
    </r>
    <r>
      <rPr>
        <sz val="11"/>
        <rFont val="Century Schoolbook"/>
        <family val="1"/>
      </rPr>
      <t>$ 46.849,60</t>
    </r>
    <r>
      <rPr>
        <sz val="11"/>
        <rFont val="Arial Narrow"/>
        <family val="2"/>
      </rPr>
      <t xml:space="preserve"> e incremento así mismo en varias partidas por el mismo valor, conforme se indica en la Solicitud de Reforma Presupuestaria adjunta.</t>
    </r>
  </si>
  <si>
    <r>
      <t>UTMACH-DIPOS-</t>
    </r>
    <r>
      <rPr>
        <sz val="11"/>
        <rFont val="Century"/>
        <family val="1"/>
      </rPr>
      <t>2023-0137</t>
    </r>
    <r>
      <rPr>
        <sz val="11"/>
        <rFont val="Arial Narrow"/>
        <family val="2"/>
      </rPr>
      <t>-M
UTMACH-DIPOS-</t>
    </r>
    <r>
      <rPr>
        <sz val="11"/>
        <rFont val="Century Schoolbook"/>
        <family val="1"/>
      </rPr>
      <t>2023-0138</t>
    </r>
    <r>
      <rPr>
        <sz val="11"/>
        <rFont val="Arial Narrow"/>
        <family val="2"/>
      </rPr>
      <t>-M (Alcance al M-</t>
    </r>
    <r>
      <rPr>
        <sz val="11"/>
        <rFont val="Century Schoolbook"/>
        <family val="1"/>
      </rPr>
      <t>0137</t>
    </r>
    <r>
      <rPr>
        <sz val="11"/>
        <rFont val="Arial Narrow"/>
        <family val="2"/>
      </rPr>
      <t>)
UTMACH-DIPOS-</t>
    </r>
    <r>
      <rPr>
        <sz val="11"/>
        <rFont val="Century Schoolbook"/>
        <family val="1"/>
      </rPr>
      <t>2023-0158</t>
    </r>
    <r>
      <rPr>
        <sz val="11"/>
        <rFont val="Arial Narrow"/>
        <family val="2"/>
      </rPr>
      <t>-M (Alcance al M_</t>
    </r>
    <r>
      <rPr>
        <sz val="11"/>
        <rFont val="Century Schoolbook"/>
        <family val="1"/>
      </rPr>
      <t>0137</t>
    </r>
    <r>
      <rPr>
        <sz val="11"/>
        <rFont val="Arial Narrow"/>
        <family val="2"/>
      </rPr>
      <t xml:space="preserve"> y </t>
    </r>
    <r>
      <rPr>
        <sz val="11"/>
        <rFont val="Century Schoolbook"/>
        <family val="1"/>
      </rPr>
      <t>0138</t>
    </r>
    <r>
      <rPr>
        <sz val="11"/>
        <rFont val="Arial Narrow"/>
        <family val="2"/>
      </rPr>
      <t>)
UTMACH-DIPOS-</t>
    </r>
    <r>
      <rPr>
        <sz val="11"/>
        <rFont val="Century Schoolbook"/>
        <family val="1"/>
      </rPr>
      <t>2023-0160</t>
    </r>
    <r>
      <rPr>
        <sz val="11"/>
        <rFont val="Arial Narrow"/>
        <family val="2"/>
      </rPr>
      <t>-M (Alcance al M_</t>
    </r>
    <r>
      <rPr>
        <sz val="11"/>
        <rFont val="Century Schoolbook"/>
        <family val="1"/>
      </rPr>
      <t>0158</t>
    </r>
    <r>
      <rPr>
        <sz val="11"/>
        <rFont val="Arial Narrow"/>
        <family val="2"/>
      </rPr>
      <t>)</t>
    </r>
  </si>
  <si>
    <t>26/04/2023
26/04/2023
17/05/2023
19/05/2023</t>
  </si>
  <si>
    <t>Dirección de Posgrado</t>
  </si>
  <si>
    <r>
      <t xml:space="preserve">Solicita reducción en varias partidas, por un total de </t>
    </r>
    <r>
      <rPr>
        <sz val="11"/>
        <rFont val="Century Schoolbook"/>
        <family val="1"/>
      </rPr>
      <t>$ $ 2.656,19</t>
    </r>
    <r>
      <rPr>
        <sz val="11"/>
        <rFont val="Arial Narrow"/>
        <family val="2"/>
      </rPr>
      <t xml:space="preserve"> e incremento así mismo en varias partidas por el mismo valor, conforme se indica en la Solicitud de Reforma Presupuestaria adjunta.</t>
    </r>
  </si>
  <si>
    <r>
      <t>UTMACH-FCS-D-</t>
    </r>
    <r>
      <rPr>
        <sz val="11"/>
        <rFont val="Century"/>
        <family val="1"/>
      </rPr>
      <t>2023-0358</t>
    </r>
    <r>
      <rPr>
        <sz val="11"/>
        <rFont val="Arial Narrow"/>
        <family val="2"/>
      </rPr>
      <t>-M</t>
    </r>
  </si>
  <si>
    <r>
      <t xml:space="preserve">Solicitar el traslado de los siguientes procesos del PAC </t>
    </r>
    <r>
      <rPr>
        <sz val="11"/>
        <rFont val="Century"/>
        <family val="1"/>
      </rPr>
      <t>2023</t>
    </r>
    <r>
      <rPr>
        <sz val="11"/>
        <rFont val="Arial Narrow"/>
        <family val="2"/>
      </rPr>
      <t xml:space="preserve"> de la Facultad de Ciencias Sociales al segundo cuatrimestre, donde se especifica el motivo por el cual no se logró concluir el proceso:
Edificios, Locales, Residencias y Cableado Estructurado (Instalación, Mantenimiento y Reparación) (</t>
    </r>
    <r>
      <rPr>
        <sz val="11"/>
        <rFont val="Century"/>
        <family val="1"/>
      </rPr>
      <t>530402</t>
    </r>
    <r>
      <rPr>
        <sz val="11"/>
        <rFont val="Arial Narrow"/>
        <family val="2"/>
      </rPr>
      <t>).
Mobiliarios (</t>
    </r>
    <r>
      <rPr>
        <sz val="11"/>
        <rFont val="Century"/>
        <family val="1"/>
      </rPr>
      <t>840103</t>
    </r>
    <r>
      <rPr>
        <sz val="11"/>
        <rFont val="Arial Narrow"/>
        <family val="2"/>
      </rPr>
      <t>)
Mobiliario (</t>
    </r>
    <r>
      <rPr>
        <sz val="11"/>
        <rFont val="Century"/>
        <family val="1"/>
      </rPr>
      <t>531403</t>
    </r>
    <r>
      <rPr>
        <sz val="11"/>
        <rFont val="Arial Narrow"/>
        <family val="2"/>
      </rPr>
      <t>)
Arrendamiento y Licencias de Uso de Paquetes Informáticos (</t>
    </r>
    <r>
      <rPr>
        <sz val="11"/>
        <rFont val="Century"/>
        <family val="1"/>
      </rPr>
      <t>530702</t>
    </r>
    <r>
      <rPr>
        <sz val="11"/>
        <rFont val="Arial Narrow"/>
        <family val="2"/>
      </rPr>
      <t>)
Equipos, Sistemas y Paquetes Informáticos (</t>
    </r>
    <r>
      <rPr>
        <sz val="11"/>
        <rFont val="Century"/>
        <family val="1"/>
      </rPr>
      <t>840107</t>
    </r>
    <r>
      <rPr>
        <sz val="11"/>
        <rFont val="Arial Narrow"/>
        <family val="2"/>
      </rPr>
      <t>)
Maquinarias y Equipos (</t>
    </r>
    <r>
      <rPr>
        <sz val="11"/>
        <rFont val="Century"/>
        <family val="1"/>
      </rPr>
      <t>840104</t>
    </r>
    <r>
      <rPr>
        <sz val="11"/>
        <rFont val="Arial Narrow"/>
        <family val="2"/>
      </rPr>
      <t>)</t>
    </r>
  </si>
  <si>
    <t xml:space="preserve">
Insubsistente.</t>
  </si>
  <si>
    <r>
      <t>UTMACH-DTIC-</t>
    </r>
    <r>
      <rPr>
        <sz val="11"/>
        <rFont val="Century"/>
        <family val="1"/>
      </rPr>
      <t>2023-0086</t>
    </r>
    <r>
      <rPr>
        <sz val="11"/>
        <rFont val="Arial Narrow"/>
        <family val="2"/>
      </rPr>
      <t>-M
UTMACH-DTIC-</t>
    </r>
    <r>
      <rPr>
        <sz val="11"/>
        <rFont val="Century"/>
        <family val="1"/>
      </rPr>
      <t>2023-0088</t>
    </r>
    <r>
      <rPr>
        <sz val="11"/>
        <rFont val="Arial Narrow"/>
        <family val="2"/>
      </rPr>
      <t>-M</t>
    </r>
  </si>
  <si>
    <t>03/05/2023
04/05/2023</t>
  </si>
  <si>
    <t>Dirección de Tecnologías de la Información y Comunicación</t>
  </si>
  <si>
    <r>
      <t xml:space="preserve">Solicita reducción en varias partidas, por un total de </t>
    </r>
    <r>
      <rPr>
        <sz val="11"/>
        <rFont val="Century Schoolbook"/>
        <family val="1"/>
      </rPr>
      <t>$ 144.058,43</t>
    </r>
    <r>
      <rPr>
        <sz val="11"/>
        <rFont val="Arial Narrow"/>
        <family val="2"/>
      </rPr>
      <t xml:space="preserve"> e incremento en varias partidas por el mismo valor, conforme se indica en la Solicitud de Reforma Presupuestaria adjunta.</t>
    </r>
  </si>
  <si>
    <r>
      <t>UTMACH-DIDI-</t>
    </r>
    <r>
      <rPr>
        <sz val="11"/>
        <rFont val="Century"/>
        <family val="1"/>
      </rPr>
      <t>2023-0220</t>
    </r>
    <r>
      <rPr>
        <sz val="11"/>
        <rFont val="Arial Narrow"/>
        <family val="2"/>
      </rPr>
      <t>-M
UTMACH_DIDI-</t>
    </r>
    <r>
      <rPr>
        <sz val="11"/>
        <rFont val="Century"/>
        <family val="1"/>
      </rPr>
      <t>2023-0223</t>
    </r>
    <r>
      <rPr>
        <sz val="11"/>
        <rFont val="Arial Narrow"/>
        <family val="2"/>
      </rPr>
      <t>-M (Alcance M_</t>
    </r>
    <r>
      <rPr>
        <sz val="11"/>
        <rFont val="Century"/>
        <family val="1"/>
      </rPr>
      <t>0220</t>
    </r>
    <r>
      <rPr>
        <sz val="11"/>
        <rFont val="Arial Narrow"/>
        <family val="2"/>
      </rPr>
      <t>)
Correo recibido el 05/06/2023</t>
    </r>
  </si>
  <si>
    <r>
      <t xml:space="preserve">Solicita </t>
    </r>
    <r>
      <rPr>
        <sz val="11"/>
        <rFont val="Century"/>
        <family val="1"/>
      </rPr>
      <t>3</t>
    </r>
    <r>
      <rPr>
        <sz val="11"/>
        <rFont val="Arial Narrow"/>
        <family val="2"/>
      </rPr>
      <t xml:space="preserve"> reformas, según las Solicitudes de Reforma Presupuestarias adjuntas.
</t>
    </r>
    <r>
      <rPr>
        <sz val="11"/>
        <rFont val="Century"/>
        <family val="1"/>
      </rPr>
      <t>1.-</t>
    </r>
    <r>
      <rPr>
        <sz val="11"/>
        <rFont val="Arial Narrow"/>
        <family val="2"/>
      </rPr>
      <t xml:space="preserve"> Reforma interna, misma que no afecta el presupuesto institucional, por lo que, se plantea una desagregación en las partidas a nivel de detalle del producto y/o descripción de
la contratación.
</t>
    </r>
    <r>
      <rPr>
        <sz val="11"/>
        <rFont val="Century"/>
        <family val="1"/>
      </rPr>
      <t>2.-</t>
    </r>
    <r>
      <rPr>
        <sz val="11"/>
        <rFont val="Arial Narrow"/>
        <family val="2"/>
      </rPr>
      <t xml:space="preserve"> Reforma presupuestaria para la ejecución de los Cursos de Formación y Actualización en Competencias Investigativas </t>
    </r>
    <r>
      <rPr>
        <sz val="11"/>
        <rFont val="Century"/>
        <family val="1"/>
      </rPr>
      <t>2023</t>
    </r>
    <r>
      <rPr>
        <sz val="11"/>
        <rFont val="Arial Narrow"/>
        <family val="2"/>
      </rPr>
      <t xml:space="preserve"> - Primera Edición.
</t>
    </r>
    <r>
      <rPr>
        <sz val="11"/>
        <rFont val="Century"/>
        <family val="1"/>
      </rPr>
      <t>3.-</t>
    </r>
    <r>
      <rPr>
        <sz val="11"/>
        <rFont val="Arial Narrow"/>
        <family val="2"/>
      </rPr>
      <t xml:space="preserve"> Incremento en la partida N° </t>
    </r>
    <r>
      <rPr>
        <sz val="11"/>
        <rFont val="Century Schoolbook"/>
        <family val="1"/>
      </rPr>
      <t>530404 0701 003</t>
    </r>
    <r>
      <rPr>
        <sz val="11"/>
        <rFont val="Arial Narrow"/>
        <family val="2"/>
      </rPr>
      <t xml:space="preserve"> Maquinarias y Equipos (Instalación. Mantenimiento y Reparación) por el valor de </t>
    </r>
    <r>
      <rPr>
        <sz val="11"/>
        <rFont val="Century Schoolbook"/>
        <family val="1"/>
      </rPr>
      <t>$ 6.800,00</t>
    </r>
    <r>
      <rPr>
        <sz val="11"/>
        <rFont val="Arial Narrow"/>
        <family val="2"/>
      </rPr>
      <t xml:space="preserve">, a fin de atender el mantenimiento correctivo del equipo Potenciostato de la FCQS.
</t>
    </r>
    <r>
      <rPr>
        <sz val="11"/>
        <rFont val="Century Schoolbook"/>
        <family val="1"/>
      </rPr>
      <t>4.-</t>
    </r>
    <r>
      <rPr>
        <sz val="11"/>
        <rFont val="Arial Narrow"/>
        <family val="2"/>
      </rPr>
      <t xml:space="preserve"> Incremento en la partida N° </t>
    </r>
    <r>
      <rPr>
        <sz val="11"/>
        <rFont val="Century Schoolbook"/>
        <family val="1"/>
      </rPr>
      <t>530302 0701 003</t>
    </r>
    <r>
      <rPr>
        <sz val="11"/>
        <rFont val="Arial Narrow"/>
        <family val="2"/>
      </rPr>
      <t xml:space="preserve"> Pasajes al Exterior por el valor de </t>
    </r>
    <r>
      <rPr>
        <sz val="11"/>
        <rFont val="Century Schoolbook"/>
        <family val="1"/>
      </rPr>
      <t>$ 4.500,00</t>
    </r>
    <r>
      <rPr>
        <sz val="11"/>
        <rFont val="Arial Narrow"/>
        <family val="2"/>
      </rPr>
      <t xml:space="preserve"> e incremento en la partida N° </t>
    </r>
    <r>
      <rPr>
        <sz val="11"/>
        <rFont val="Century Schoolbook"/>
        <family val="1"/>
      </rPr>
      <t>530304 0701 003</t>
    </r>
    <r>
      <rPr>
        <sz val="11"/>
        <rFont val="Arial Narrow"/>
        <family val="2"/>
      </rPr>
      <t xml:space="preserve"> Viáticos y Subsistencias en el Exterior por el valor de $ </t>
    </r>
    <r>
      <rPr>
        <sz val="11"/>
        <rFont val="Century Schoolbook"/>
        <family val="1"/>
      </rPr>
      <t>6.500,00</t>
    </r>
    <r>
      <rPr>
        <sz val="11"/>
        <rFont val="Arial Narrow"/>
        <family val="2"/>
      </rPr>
      <t>,  a fin de ajustar los pagos de varios docentes y autoridades que han realizado su  salidas al exterior en correspondencia a lo aprobado por el H. Consejo Universitario.</t>
    </r>
  </si>
  <si>
    <t>Atendido parcialmente.</t>
  </si>
  <si>
    <r>
      <t>UTMACH-VACAD-</t>
    </r>
    <r>
      <rPr>
        <sz val="11"/>
        <rFont val="Century"/>
        <family val="1"/>
      </rPr>
      <t>2023-0166</t>
    </r>
    <r>
      <rPr>
        <sz val="11"/>
        <rFont val="Arial Narrow"/>
        <family val="2"/>
      </rPr>
      <t>-M</t>
    </r>
  </si>
  <si>
    <t>Vicerrectorado Académico</t>
  </si>
  <si>
    <r>
      <t xml:space="preserve">Solicita cambiar el cronograma de adquisición de la partida N° </t>
    </r>
    <r>
      <rPr>
        <sz val="11"/>
        <rFont val="Century"/>
        <family val="1"/>
      </rPr>
      <t>530612 0701 001</t>
    </r>
    <r>
      <rPr>
        <sz val="11"/>
        <rFont val="Arial Narrow"/>
        <family val="2"/>
      </rPr>
      <t xml:space="preserve"> Capacitación a Servidores Públicos del </t>
    </r>
    <r>
      <rPr>
        <sz val="11"/>
        <rFont val="Century"/>
        <family val="1"/>
      </rPr>
      <t>1</t>
    </r>
    <r>
      <rPr>
        <sz val="11"/>
        <rFont val="Arial Narrow"/>
        <family val="2"/>
      </rPr>
      <t xml:space="preserve">er y </t>
    </r>
    <r>
      <rPr>
        <sz val="11"/>
        <rFont val="Century"/>
        <family val="1"/>
      </rPr>
      <t>2</t>
    </r>
    <r>
      <rPr>
        <sz val="11"/>
        <rFont val="Arial Narrow"/>
        <family val="2"/>
      </rPr>
      <t xml:space="preserve">do cuatrimestre al </t>
    </r>
    <r>
      <rPr>
        <sz val="11"/>
        <rFont val="Century"/>
        <family val="1"/>
      </rPr>
      <t>2</t>
    </r>
    <r>
      <rPr>
        <sz val="11"/>
        <rFont val="Arial Narrow"/>
        <family val="2"/>
      </rPr>
      <t xml:space="preserve">do y </t>
    </r>
    <r>
      <rPr>
        <sz val="11"/>
        <rFont val="Century"/>
        <family val="1"/>
      </rPr>
      <t>3</t>
    </r>
    <r>
      <rPr>
        <sz val="11"/>
        <rFont val="Arial Narrow"/>
        <family val="2"/>
      </rPr>
      <t>er cuatrimestre, en razón de que el próximo Plan de Perfeccionamiento en su Onceava Edición se ejecutará en el mes de septiembre octubre del año en curso.</t>
    </r>
  </si>
  <si>
    <r>
      <t>UTMACH-FCA-D-</t>
    </r>
    <r>
      <rPr>
        <sz val="11"/>
        <rFont val="Century"/>
        <family val="1"/>
      </rPr>
      <t>2023-0249</t>
    </r>
    <r>
      <rPr>
        <sz val="11"/>
        <rFont val="Arial Narrow"/>
        <family val="2"/>
      </rPr>
      <t>-M</t>
    </r>
  </si>
  <si>
    <t>Facultad de Ciencias Agropecuarias</t>
  </si>
  <si>
    <r>
      <t xml:space="preserve">Solicita reducción en la partida N° </t>
    </r>
    <r>
      <rPr>
        <sz val="11"/>
        <rFont val="Century"/>
        <family val="1"/>
      </rPr>
      <t>530813 0701 001</t>
    </r>
    <r>
      <rPr>
        <sz val="11"/>
        <rFont val="Arial Narrow"/>
        <family val="2"/>
      </rPr>
      <t xml:space="preserve"> Repuestos y Accesorios por el valor de </t>
    </r>
    <r>
      <rPr>
        <sz val="11"/>
        <rFont val="Century"/>
        <family val="1"/>
      </rPr>
      <t>$ 327,68</t>
    </r>
    <r>
      <rPr>
        <sz val="11"/>
        <rFont val="Arial Narrow"/>
        <family val="2"/>
      </rPr>
      <t xml:space="preserve"> e incremento en la partida N° </t>
    </r>
    <r>
      <rPr>
        <sz val="11"/>
        <rFont val="Century"/>
        <family val="1"/>
      </rPr>
      <t xml:space="preserve">531407 0701 </t>
    </r>
    <r>
      <rPr>
        <sz val="11"/>
        <rFont val="Arial Narrow"/>
        <family val="2"/>
      </rPr>
      <t>Equipos, Sistemas y Paquetes Informáticos por el mismo valor.</t>
    </r>
  </si>
  <si>
    <r>
      <t>UTMACH-DIDI-BG-</t>
    </r>
    <r>
      <rPr>
        <sz val="11"/>
        <rFont val="Century"/>
        <family val="1"/>
      </rPr>
      <t>2023-0058</t>
    </r>
    <r>
      <rPr>
        <sz val="11"/>
        <rFont val="Arial Narrow"/>
        <family val="2"/>
      </rPr>
      <t>-M</t>
    </r>
  </si>
  <si>
    <r>
      <t xml:space="preserve">La </t>
    </r>
    <r>
      <rPr>
        <b/>
        <sz val="11"/>
        <rFont val="Arial Narrow"/>
        <family val="2"/>
      </rPr>
      <t>Biblioteca General</t>
    </r>
    <r>
      <rPr>
        <sz val="11"/>
        <rFont val="Arial Narrow"/>
        <family val="2"/>
      </rPr>
      <t xml:space="preserve"> solicita desagregación de valores por ítems en la partida N° </t>
    </r>
    <r>
      <rPr>
        <sz val="11"/>
        <rFont val="Century"/>
        <family val="1"/>
      </rPr>
      <t>530204 0701 001</t>
    </r>
    <r>
      <rPr>
        <sz val="11"/>
        <rFont val="Arial Narrow"/>
        <family val="2"/>
      </rPr>
      <t xml:space="preserve"> Edición, Impresión, Reproducción y Publicaciones que tiene un valor </t>
    </r>
    <r>
      <rPr>
        <sz val="11"/>
        <rFont val="Century"/>
        <family val="1"/>
      </rPr>
      <t>$ 168.000,00</t>
    </r>
    <r>
      <rPr>
        <sz val="11"/>
        <rFont val="Arial Narrow"/>
        <family val="2"/>
      </rPr>
      <t>, así también desagregación de ítems en la partida N°</t>
    </r>
    <r>
      <rPr>
        <sz val="11"/>
        <rFont val="Century"/>
        <family val="1"/>
      </rPr>
      <t xml:space="preserve"> 531409 0701 002</t>
    </r>
    <r>
      <rPr>
        <sz val="11"/>
        <rFont val="Arial Narrow"/>
        <family val="2"/>
      </rPr>
      <t xml:space="preserve"> Libros y Colecciones que tiene un valor de </t>
    </r>
    <r>
      <rPr>
        <sz val="11"/>
        <rFont val="Century"/>
        <family val="1"/>
      </rPr>
      <t xml:space="preserve">$ 50.000,00.
</t>
    </r>
    <r>
      <rPr>
        <sz val="11"/>
        <rFont val="Arial Narrow"/>
        <family val="2"/>
      </rPr>
      <t xml:space="preserve">Además solicita incremento en la partida N° </t>
    </r>
    <r>
      <rPr>
        <sz val="11"/>
        <rFont val="Century"/>
        <family val="1"/>
      </rPr>
      <t>530702 0701 001</t>
    </r>
    <r>
      <rPr>
        <sz val="11"/>
        <rFont val="Arial Narrow"/>
        <family val="2"/>
      </rPr>
      <t xml:space="preserve"> Arrendamiento y Licencias de Uso de Paquetes Informáticos por un valor de </t>
    </r>
    <r>
      <rPr>
        <sz val="11"/>
        <rFont val="Century"/>
        <family val="1"/>
      </rPr>
      <t>$ 12.000,00.</t>
    </r>
  </si>
  <si>
    <r>
      <t>UTMACH-DIDI-2023-0226-M
alcance: UTMACH-DIDI-</t>
    </r>
    <r>
      <rPr>
        <sz val="11"/>
        <rFont val="Century"/>
        <family val="1"/>
      </rPr>
      <t>2023-0227</t>
    </r>
    <r>
      <rPr>
        <sz val="11"/>
        <rFont val="Arial Narrow"/>
        <family val="2"/>
      </rPr>
      <t>-M</t>
    </r>
  </si>
  <si>
    <r>
      <t xml:space="preserve">La </t>
    </r>
    <r>
      <rPr>
        <b/>
        <sz val="11"/>
        <rFont val="Arial Narrow"/>
        <family val="2"/>
      </rPr>
      <t>Biblioteca General</t>
    </r>
    <r>
      <rPr>
        <sz val="11"/>
        <rFont val="Arial Narrow"/>
        <family val="2"/>
      </rPr>
      <t xml:space="preserve"> solicita modificación en la Programación Física de la Metas Operativas.</t>
    </r>
  </si>
  <si>
    <r>
      <t>UTMACH-FIC-D-</t>
    </r>
    <r>
      <rPr>
        <sz val="11"/>
        <rFont val="Century"/>
        <family val="1"/>
      </rPr>
      <t>2023-0209</t>
    </r>
    <r>
      <rPr>
        <sz val="11"/>
        <rFont val="Arial Narrow"/>
        <family val="2"/>
      </rPr>
      <t xml:space="preserve">-M
Fe de erratas: UTMACH-FIC-D-2023-0417-M
</t>
    </r>
  </si>
  <si>
    <t>05/05/2023
07/06/2023</t>
  </si>
  <si>
    <t>Facultad de Ingeniería Civil</t>
  </si>
  <si>
    <r>
      <t xml:space="preserve">Solicita reducir en las siguientes partidas:
N° </t>
    </r>
    <r>
      <rPr>
        <sz val="11"/>
        <rFont val="Century"/>
        <family val="1"/>
      </rPr>
      <t>531404 0701 001</t>
    </r>
    <r>
      <rPr>
        <sz val="11"/>
        <rFont val="Arial Narrow"/>
        <family val="2"/>
      </rPr>
      <t xml:space="preserve"> Maquinarias y Equipos por el valor de </t>
    </r>
    <r>
      <rPr>
        <sz val="11"/>
        <rFont val="Century"/>
        <family val="1"/>
      </rPr>
      <t xml:space="preserve">$ 394,63
</t>
    </r>
    <r>
      <rPr>
        <sz val="11"/>
        <rFont val="Arial Narrow"/>
        <family val="2"/>
      </rPr>
      <t xml:space="preserve">N° </t>
    </r>
    <r>
      <rPr>
        <sz val="11"/>
        <rFont val="Century"/>
        <family val="1"/>
      </rPr>
      <t>840107 0701 001</t>
    </r>
    <r>
      <rPr>
        <sz val="11"/>
        <rFont val="Arial Narrow"/>
        <family val="2"/>
      </rPr>
      <t xml:space="preserve"> Equipos, Sistemas y Paquetes Informáticos por el valor de </t>
    </r>
    <r>
      <rPr>
        <sz val="11"/>
        <rFont val="Century"/>
        <family val="1"/>
      </rPr>
      <t xml:space="preserve">$ 74.735,30
</t>
    </r>
    <r>
      <rPr>
        <sz val="11"/>
        <rFont val="Arial Narrow"/>
        <family val="2"/>
      </rPr>
      <t xml:space="preserve">N° </t>
    </r>
    <r>
      <rPr>
        <sz val="11"/>
        <rFont val="Century"/>
        <family val="1"/>
      </rPr>
      <t>840103 0701 001</t>
    </r>
    <r>
      <rPr>
        <sz val="11"/>
        <rFont val="Arial Narrow"/>
        <family val="2"/>
      </rPr>
      <t xml:space="preserve"> Mobiliarios por el valor de </t>
    </r>
    <r>
      <rPr>
        <sz val="11"/>
        <rFont val="Century"/>
        <family val="1"/>
      </rPr>
      <t xml:space="preserve">$ 6.370,00
</t>
    </r>
    <r>
      <rPr>
        <sz val="11"/>
        <rFont val="Arial Narrow"/>
        <family val="2"/>
      </rPr>
      <t xml:space="preserve">N° </t>
    </r>
    <r>
      <rPr>
        <sz val="11"/>
        <rFont val="Century"/>
        <family val="1"/>
      </rPr>
      <t>730404 0701 001</t>
    </r>
    <r>
      <rPr>
        <sz val="11"/>
        <rFont val="Arial Narrow"/>
        <family val="2"/>
      </rPr>
      <t xml:space="preserve"> Maquinarias y Equipos (Instalación, Mantenimiento y Reparación) por el valor de </t>
    </r>
    <r>
      <rPr>
        <sz val="11"/>
        <rFont val="Century"/>
        <family val="1"/>
      </rPr>
      <t xml:space="preserve">$ 1.250,00
</t>
    </r>
    <r>
      <rPr>
        <sz val="11"/>
        <rFont val="Arial Narrow"/>
        <family val="2"/>
      </rPr>
      <t xml:space="preserve">Solicita incremento en la partida N° </t>
    </r>
    <r>
      <rPr>
        <sz val="11"/>
        <rFont val="Century"/>
        <family val="1"/>
      </rPr>
      <t>840104 0701 001</t>
    </r>
    <r>
      <rPr>
        <sz val="11"/>
        <rFont val="Arial Narrow"/>
        <family val="2"/>
      </rPr>
      <t xml:space="preserve"> Maquinarias y Equipos por el valor de </t>
    </r>
    <r>
      <rPr>
        <sz val="11"/>
        <rFont val="Century"/>
        <family val="1"/>
      </rPr>
      <t>$ 82.749,93</t>
    </r>
    <r>
      <rPr>
        <sz val="11"/>
        <rFont val="Arial Narrow"/>
        <family val="2"/>
      </rPr>
      <t xml:space="preserve">, con el propósito de optimizar y mejorar la adquisición de los equipos del proyecto de inversión de la FIC.
Se modificaron </t>
    </r>
    <r>
      <rPr>
        <sz val="11"/>
        <rFont val="Century Schoolbook"/>
        <family val="1"/>
      </rPr>
      <t>2</t>
    </r>
    <r>
      <rPr>
        <sz val="11"/>
        <rFont val="Arial Narrow"/>
        <family val="2"/>
      </rPr>
      <t xml:space="preserve"> ítems y decimales en valores.</t>
    </r>
  </si>
  <si>
    <r>
      <t>UTMACH-FIC-D-</t>
    </r>
    <r>
      <rPr>
        <sz val="11"/>
        <rFont val="Century"/>
        <family val="1"/>
      </rPr>
      <t>2023-0210</t>
    </r>
    <r>
      <rPr>
        <sz val="11"/>
        <rFont val="Arial Narrow"/>
        <family val="2"/>
      </rPr>
      <t>-M
UTMACH-FIC-D-</t>
    </r>
    <r>
      <rPr>
        <sz val="11"/>
        <rFont val="Century"/>
        <family val="1"/>
      </rPr>
      <t>2023-0220</t>
    </r>
    <r>
      <rPr>
        <sz val="11"/>
        <rFont val="Arial Narrow"/>
        <family val="2"/>
      </rPr>
      <t>-M (Alcance al M_</t>
    </r>
    <r>
      <rPr>
        <sz val="11"/>
        <rFont val="Century"/>
        <family val="1"/>
      </rPr>
      <t>0210</t>
    </r>
    <r>
      <rPr>
        <sz val="11"/>
        <rFont val="Arial Narrow"/>
        <family val="2"/>
      </rPr>
      <t>)
UTMACH-FIC-D-</t>
    </r>
    <r>
      <rPr>
        <sz val="11"/>
        <rFont val="Century Schoolbook"/>
        <family val="1"/>
      </rPr>
      <t>2023-0312</t>
    </r>
    <r>
      <rPr>
        <sz val="11"/>
        <rFont val="Arial Narrow"/>
        <family val="2"/>
      </rPr>
      <t>-M (Alcance al M_</t>
    </r>
    <r>
      <rPr>
        <sz val="11"/>
        <rFont val="Century Schoolbook"/>
        <family val="1"/>
      </rPr>
      <t>0210</t>
    </r>
    <r>
      <rPr>
        <sz val="11"/>
        <rFont val="Arial Narrow"/>
        <family val="2"/>
      </rPr>
      <t>)</t>
    </r>
  </si>
  <si>
    <t>05/05/2023
09/05/2023
18/05/2023</t>
  </si>
  <si>
    <r>
      <t xml:space="preserve">Solicita reducción en la partida N° </t>
    </r>
    <r>
      <rPr>
        <sz val="11"/>
        <rFont val="Century"/>
        <family val="1"/>
      </rPr>
      <t>530829 0701 002</t>
    </r>
    <r>
      <rPr>
        <sz val="11"/>
        <rFont val="Arial Narrow"/>
        <family val="2"/>
      </rPr>
      <t xml:space="preserve"> Insumos, Materiales, Suministros y Bienes por un valor de </t>
    </r>
    <r>
      <rPr>
        <sz val="11"/>
        <rFont val="Century Schoolbook"/>
        <family val="1"/>
      </rPr>
      <t>$ 6.080,00</t>
    </r>
    <r>
      <rPr>
        <sz val="11"/>
        <rFont val="Arial Narrow"/>
        <family val="2"/>
      </rPr>
      <t xml:space="preserve"> y en la partida </t>
    </r>
    <r>
      <rPr>
        <sz val="11"/>
        <rFont val="Century"/>
        <family val="1"/>
      </rPr>
      <t>840104 0701 003</t>
    </r>
    <r>
      <rPr>
        <sz val="11"/>
        <rFont val="Arial Narrow"/>
        <family val="2"/>
      </rPr>
      <t xml:space="preserve"> Maquinarias y Equipos el valor de </t>
    </r>
    <r>
      <rPr>
        <sz val="11"/>
        <rFont val="Century"/>
        <family val="1"/>
      </rPr>
      <t>$ 15.120,00</t>
    </r>
    <r>
      <rPr>
        <sz val="11"/>
        <rFont val="Arial Narrow"/>
        <family val="2"/>
      </rPr>
      <t xml:space="preserve"> e incremento en la partida N° </t>
    </r>
    <r>
      <rPr>
        <sz val="11"/>
        <rFont val="Century"/>
        <family val="1"/>
      </rPr>
      <t>530402 0701 003</t>
    </r>
    <r>
      <rPr>
        <sz val="11"/>
        <rFont val="Arial Narrow"/>
        <family val="2"/>
      </rPr>
      <t xml:space="preserve"> Edificios, Locales, Residencias y Cableado Estructurado (Instalación, Mantenimiento y Reparación) el valor de </t>
    </r>
    <r>
      <rPr>
        <sz val="11"/>
        <rFont val="Century"/>
        <family val="1"/>
      </rPr>
      <t>$ 6.080,00,</t>
    </r>
    <r>
      <rPr>
        <sz val="11"/>
        <rFont val="Arial Narrow"/>
        <family val="2"/>
      </rPr>
      <t xml:space="preserve"> en la partida N° </t>
    </r>
    <r>
      <rPr>
        <sz val="11"/>
        <rFont val="Century Schoolbook"/>
        <family val="1"/>
      </rPr>
      <t>840107 0701 003</t>
    </r>
    <r>
      <rPr>
        <sz val="11"/>
        <rFont val="Arial Narrow"/>
        <family val="2"/>
      </rPr>
      <t xml:space="preserve"> Equipos, Sistemas y Paquetes Informáticos, el valor de </t>
    </r>
    <r>
      <rPr>
        <sz val="11"/>
        <rFont val="Century Schoolbook"/>
        <family val="1"/>
      </rPr>
      <t>$ 3.500,00</t>
    </r>
    <r>
      <rPr>
        <sz val="11"/>
        <rFont val="Arial Narrow"/>
        <family val="2"/>
      </rPr>
      <t xml:space="preserve"> y en la partida N° </t>
    </r>
    <r>
      <rPr>
        <sz val="11"/>
        <rFont val="Century Schoolbook"/>
        <family val="1"/>
      </rPr>
      <t>840104 0701 003</t>
    </r>
    <r>
      <rPr>
        <sz val="11"/>
        <rFont val="Arial Narrow"/>
        <family val="2"/>
      </rPr>
      <t xml:space="preserve"> Maquinarias y Equipos por el valor de </t>
    </r>
    <r>
      <rPr>
        <sz val="11"/>
        <rFont val="Century Schoolbook"/>
        <family val="1"/>
      </rPr>
      <t>$ 11.620,00</t>
    </r>
    <r>
      <rPr>
        <sz val="11"/>
        <rFont val="Arial Narrow"/>
        <family val="2"/>
      </rPr>
      <t xml:space="preserve"> para optimizar y mejorar la adquisición de los equipos para investigación de las carreras de la FIC; así como el mantenimiento y adecuación de la infraestructura donde se ejecutan los proyectos de investigación.</t>
    </r>
  </si>
  <si>
    <r>
      <t>UTMACH-FCS-D-</t>
    </r>
    <r>
      <rPr>
        <sz val="11"/>
        <rFont val="Century"/>
        <family val="1"/>
      </rPr>
      <t>2023-0377</t>
    </r>
    <r>
      <rPr>
        <sz val="11"/>
        <rFont val="Arial Narrow"/>
        <family val="2"/>
      </rPr>
      <t>-M</t>
    </r>
  </si>
  <si>
    <r>
      <t xml:space="preserve">Solicitar el cambio del primer al segundo cuatrimestre de </t>
    </r>
    <r>
      <rPr>
        <sz val="11"/>
        <rFont val="Century"/>
        <family val="1"/>
      </rPr>
      <t>2</t>
    </r>
    <r>
      <rPr>
        <sz val="11"/>
        <rFont val="Arial Narrow"/>
        <family val="2"/>
      </rPr>
      <t xml:space="preserve"> computadoras de escritorio software privado </t>
    </r>
    <r>
      <rPr>
        <sz val="11"/>
        <rFont val="Century"/>
        <family val="1"/>
      </rPr>
      <t>12</t>
    </r>
    <r>
      <rPr>
        <sz val="11"/>
        <rFont val="Arial Narrow"/>
        <family val="2"/>
      </rPr>
      <t xml:space="preserve"> que corresponde a la partida N° </t>
    </r>
    <r>
      <rPr>
        <sz val="11"/>
        <rFont val="Century"/>
        <family val="1"/>
      </rPr>
      <t>840107 0701 003</t>
    </r>
    <r>
      <rPr>
        <sz val="11"/>
        <rFont val="Arial Narrow"/>
        <family val="2"/>
      </rPr>
      <t xml:space="preserve"> Equipos, Sistemas y Paquetes Informáticos y código </t>
    </r>
    <r>
      <rPr>
        <sz val="11"/>
        <rFont val="Century"/>
        <family val="1"/>
      </rPr>
      <t>45220.00.12</t>
    </r>
    <r>
      <rPr>
        <sz val="11"/>
        <rFont val="Arial Narrow"/>
        <family val="2"/>
      </rPr>
      <t>, debido a que no se pudo ejecutar porque los bienes adquiridos no reunían las características y especificaciones técnicas solicitadas en la orden de compra.</t>
    </r>
  </si>
  <si>
    <r>
      <t>UTMACH-FCS-D-</t>
    </r>
    <r>
      <rPr>
        <sz val="11"/>
        <rFont val="Century"/>
        <family val="1"/>
      </rPr>
      <t>2023-0378</t>
    </r>
    <r>
      <rPr>
        <sz val="11"/>
        <rFont val="Arial Narrow"/>
        <family val="2"/>
      </rPr>
      <t>-M</t>
    </r>
  </si>
  <si>
    <r>
      <t xml:space="preserve">Solicita reducción en la partida N° </t>
    </r>
    <r>
      <rPr>
        <sz val="11"/>
        <rFont val="Century"/>
        <family val="1"/>
      </rPr>
      <t>531403 0701 002</t>
    </r>
    <r>
      <rPr>
        <sz val="11"/>
        <rFont val="Arial Narrow"/>
        <family val="2"/>
      </rPr>
      <t xml:space="preserve"> Mobiliario por el valor de </t>
    </r>
    <r>
      <rPr>
        <sz val="11"/>
        <rFont val="Century"/>
        <family val="1"/>
      </rPr>
      <t>$ 793,19</t>
    </r>
    <r>
      <rPr>
        <sz val="11"/>
        <rFont val="Arial Narrow"/>
        <family val="2"/>
      </rPr>
      <t xml:space="preserve"> e incremento en la partida N° </t>
    </r>
    <r>
      <rPr>
        <sz val="11"/>
        <rFont val="Century"/>
        <family val="1"/>
      </rPr>
      <t>840103 0701 002</t>
    </r>
    <r>
      <rPr>
        <sz val="11"/>
        <rFont val="Arial Narrow"/>
        <family val="2"/>
      </rPr>
      <t xml:space="preserve"> Mobiliario por el valor de </t>
    </r>
    <r>
      <rPr>
        <sz val="11"/>
        <rFont val="Century"/>
        <family val="1"/>
      </rPr>
      <t>$ 804,20.</t>
    </r>
  </si>
  <si>
    <r>
      <t>UTMACH-DAC-</t>
    </r>
    <r>
      <rPr>
        <sz val="11"/>
        <rFont val="Century"/>
        <family val="1"/>
      </rPr>
      <t>2023-0093</t>
    </r>
    <r>
      <rPr>
        <sz val="11"/>
        <rFont val="Arial Narrow"/>
        <family val="2"/>
      </rPr>
      <t>-M</t>
    </r>
  </si>
  <si>
    <r>
      <t xml:space="preserve">Solicita en la partida N° </t>
    </r>
    <r>
      <rPr>
        <sz val="11"/>
        <rFont val="Century"/>
        <family val="1"/>
      </rPr>
      <t>840107 0701 003</t>
    </r>
    <r>
      <rPr>
        <sz val="11"/>
        <rFont val="Arial Narrow"/>
        <family val="2"/>
      </rPr>
      <t xml:space="preserve"> Equipos, Sistemas y Paquetes Informáticos eliminar el ítem Monitor </t>
    </r>
    <r>
      <rPr>
        <sz val="11"/>
        <rFont val="Century"/>
        <family val="1"/>
      </rPr>
      <t>23</t>
    </r>
    <r>
      <rPr>
        <sz val="11"/>
        <rFont val="Arial Narrow"/>
        <family val="2"/>
      </rPr>
      <t xml:space="preserve">'' por el valor de </t>
    </r>
    <r>
      <rPr>
        <sz val="11"/>
        <rFont val="Century"/>
        <family val="1"/>
      </rPr>
      <t>$ 190,40</t>
    </r>
    <r>
      <rPr>
        <sz val="11"/>
        <rFont val="Arial Narrow"/>
        <family val="2"/>
      </rPr>
      <t xml:space="preserve"> e incrementar ese valor en el ítem Computadora Portátil Ryzen </t>
    </r>
    <r>
      <rPr>
        <sz val="11"/>
        <rFont val="Century"/>
        <family val="1"/>
      </rPr>
      <t>8</t>
    </r>
    <r>
      <rPr>
        <sz val="11"/>
        <rFont val="Arial Narrow"/>
        <family val="2"/>
      </rPr>
      <t xml:space="preserve">gb de RAM Disco SSD de </t>
    </r>
    <r>
      <rPr>
        <sz val="11"/>
        <rFont val="Century"/>
        <family val="1"/>
      </rPr>
      <t>300</t>
    </r>
    <r>
      <rPr>
        <sz val="11"/>
        <rFont val="Arial Narrow"/>
        <family val="2"/>
      </rPr>
      <t xml:space="preserve">gb de la misma partida, quedando con el valor de </t>
    </r>
    <r>
      <rPr>
        <sz val="11"/>
        <rFont val="Century"/>
        <family val="1"/>
      </rPr>
      <t>$ 1.254,40</t>
    </r>
    <r>
      <rPr>
        <sz val="11"/>
        <rFont val="Arial Narrow"/>
        <family val="2"/>
      </rPr>
      <t xml:space="preserve">, además solicita cambio del </t>
    </r>
    <r>
      <rPr>
        <sz val="11"/>
        <rFont val="Century"/>
        <family val="1"/>
      </rPr>
      <t>1</t>
    </r>
    <r>
      <rPr>
        <sz val="11"/>
        <rFont val="Arial Narrow"/>
        <family val="2"/>
      </rPr>
      <t xml:space="preserve">ro al </t>
    </r>
    <r>
      <rPr>
        <sz val="11"/>
        <rFont val="Century"/>
        <family val="1"/>
      </rPr>
      <t>2</t>
    </r>
    <r>
      <rPr>
        <sz val="11"/>
        <rFont val="Arial Narrow"/>
        <family val="2"/>
      </rPr>
      <t>do cuatrimestre de ese mismo ítem.
Por otro lado solicita cambios en la programación operativa conforme el POA propuesto adjunto al memorando.</t>
    </r>
  </si>
  <si>
    <r>
      <t>UTMACH-DVIN-</t>
    </r>
    <r>
      <rPr>
        <sz val="11"/>
        <rFont val="Century"/>
        <family val="1"/>
      </rPr>
      <t>2023-0187</t>
    </r>
    <r>
      <rPr>
        <sz val="11"/>
        <rFont val="Arial Narrow"/>
        <family val="2"/>
      </rPr>
      <t>-M</t>
    </r>
  </si>
  <si>
    <t>Solicita ajustes a nivel de la dirección y de las unidades de prácticas, pasantías y seguimiento a graduados, y de la unidad de gestión de programas y proyectos.</t>
  </si>
  <si>
    <r>
      <t>UTMACH-FCE-D-</t>
    </r>
    <r>
      <rPr>
        <sz val="11"/>
        <rFont val="Century"/>
        <family val="1"/>
      </rPr>
      <t>2023-0413</t>
    </r>
    <r>
      <rPr>
        <sz val="11"/>
        <rFont val="Arial Narrow"/>
        <family val="2"/>
      </rPr>
      <t>-M</t>
    </r>
  </si>
  <si>
    <r>
      <t xml:space="preserve">Solicita en la partida N° </t>
    </r>
    <r>
      <rPr>
        <sz val="11"/>
        <rFont val="Century"/>
        <family val="1"/>
      </rPr>
      <t>840107 0701 003</t>
    </r>
    <r>
      <rPr>
        <sz val="11"/>
        <rFont val="Arial Narrow"/>
        <family val="2"/>
      </rPr>
      <t xml:space="preserve"> Equipos, Sistemas y Paquetes Informáticos cambiar el ítem "Impresora Multifuncional Epson EcoTank L</t>
    </r>
    <r>
      <rPr>
        <sz val="11"/>
        <rFont val="Century"/>
        <family val="1"/>
      </rPr>
      <t>4260</t>
    </r>
    <r>
      <rPr>
        <sz val="11"/>
        <rFont val="Arial Narrow"/>
        <family val="2"/>
      </rPr>
      <t xml:space="preserve">" por el ítem "Impresora Multifuncional", misma que cuenta con el valor de </t>
    </r>
    <r>
      <rPr>
        <sz val="11"/>
        <rFont val="Century"/>
        <family val="1"/>
      </rPr>
      <t>$ 420,00</t>
    </r>
    <r>
      <rPr>
        <sz val="11"/>
        <rFont val="Arial Narrow"/>
        <family val="2"/>
      </rPr>
      <t>.</t>
    </r>
  </si>
  <si>
    <r>
      <t>UTMACH-FCE-D-</t>
    </r>
    <r>
      <rPr>
        <sz val="11"/>
        <rFont val="Century"/>
        <family val="1"/>
      </rPr>
      <t>2023-0414</t>
    </r>
    <r>
      <rPr>
        <sz val="11"/>
        <rFont val="Arial Narrow"/>
        <family val="2"/>
      </rPr>
      <t>-M</t>
    </r>
  </si>
  <si>
    <r>
      <t xml:space="preserve">Solicita en la partida N° </t>
    </r>
    <r>
      <rPr>
        <sz val="11"/>
        <rFont val="Century"/>
        <family val="1"/>
      </rPr>
      <t>840107 0701 003</t>
    </r>
    <r>
      <rPr>
        <sz val="11"/>
        <rFont val="Arial Narrow"/>
        <family val="2"/>
      </rPr>
      <t xml:space="preserve"> Equipos, Sistemas y Paquetes Informáticos cambiar el ítem "COMPUTADOR TODO EN UNO SOFTWARE PRIVADO MODELO </t>
    </r>
    <r>
      <rPr>
        <sz val="11"/>
        <rFont val="Century"/>
        <family val="1"/>
      </rPr>
      <t>8</t>
    </r>
    <r>
      <rPr>
        <sz val="11"/>
        <rFont val="Arial Narrow"/>
        <family val="2"/>
      </rPr>
      <t xml:space="preserve">" por el ítem "COMPUTADOR TODO EN UNO SOFTWARE PRIVADO MODELO </t>
    </r>
    <r>
      <rPr>
        <sz val="11"/>
        <rFont val="Century"/>
        <family val="1"/>
      </rPr>
      <t>3</t>
    </r>
    <r>
      <rPr>
        <sz val="11"/>
        <rFont val="Arial Narrow"/>
        <family val="2"/>
      </rPr>
      <t xml:space="preserve">", misma que cuenta con el valor de </t>
    </r>
    <r>
      <rPr>
        <sz val="11"/>
        <rFont val="Century"/>
        <family val="1"/>
      </rPr>
      <t>$ 1.640,93.</t>
    </r>
  </si>
  <si>
    <r>
      <t>UTMACH-FIC-D-</t>
    </r>
    <r>
      <rPr>
        <sz val="11"/>
        <rFont val="Century"/>
        <family val="1"/>
      </rPr>
      <t>2023-0217</t>
    </r>
    <r>
      <rPr>
        <sz val="11"/>
        <rFont val="Arial Narrow"/>
        <family val="2"/>
      </rPr>
      <t>-M</t>
    </r>
  </si>
  <si>
    <r>
      <t xml:space="preserve">Solicita reducción en la partida N° </t>
    </r>
    <r>
      <rPr>
        <sz val="11"/>
        <rFont val="Century"/>
        <family val="1"/>
      </rPr>
      <t>530404 0701 001</t>
    </r>
    <r>
      <rPr>
        <sz val="11"/>
        <rFont val="Arial Narrow"/>
        <family val="2"/>
      </rPr>
      <t xml:space="preserve"> Maquinarias y Equipos (Instalación, 
Mantenimiento y Reparación) por el valor de </t>
    </r>
    <r>
      <rPr>
        <sz val="11"/>
        <rFont val="Century"/>
        <family val="1"/>
      </rPr>
      <t>$ 4.024,45</t>
    </r>
    <r>
      <rPr>
        <sz val="11"/>
        <rFont val="Arial Narrow"/>
        <family val="2"/>
      </rPr>
      <t xml:space="preserve"> e incremento en la partida N° </t>
    </r>
    <r>
      <rPr>
        <sz val="11"/>
        <rFont val="Century"/>
        <family val="1"/>
      </rPr>
      <t>840104 0701 001</t>
    </r>
    <r>
      <rPr>
        <sz val="11"/>
        <rFont val="Arial Narrow"/>
        <family val="2"/>
      </rPr>
      <t xml:space="preserve"> Maquinarias y Equipos el valor de </t>
    </r>
    <r>
      <rPr>
        <sz val="11"/>
        <rFont val="Century"/>
        <family val="1"/>
      </rPr>
      <t>$ 800,00</t>
    </r>
    <r>
      <rPr>
        <sz val="11"/>
        <rFont val="Arial Narrow"/>
        <family val="2"/>
      </rPr>
      <t xml:space="preserve"> y en la partida N° </t>
    </r>
    <r>
      <rPr>
        <sz val="11"/>
        <rFont val="Century"/>
        <family val="1"/>
      </rPr>
      <t>530402 0701 003</t>
    </r>
    <r>
      <rPr>
        <sz val="11"/>
        <rFont val="Arial Narrow"/>
        <family val="2"/>
      </rPr>
      <t xml:space="preserve"> Edificios, Locales, Residencias y Cableado Estructurado (Instalación, Mantenimiento y Reparación) el valor de </t>
    </r>
    <r>
      <rPr>
        <sz val="11"/>
        <rFont val="Century"/>
        <family val="1"/>
      </rPr>
      <t>$ 3.224,44</t>
    </r>
    <r>
      <rPr>
        <sz val="11"/>
        <rFont val="Arial Narrow"/>
        <family val="2"/>
      </rPr>
      <t xml:space="preserve">, por necesidad de mantenimiento y adecuación de la infraestructura, luego del análisis y evaluación post sismo de Marzo </t>
    </r>
    <r>
      <rPr>
        <sz val="11"/>
        <rFont val="Century"/>
        <family val="1"/>
      </rPr>
      <t xml:space="preserve">2023 </t>
    </r>
    <r>
      <rPr>
        <sz val="11"/>
        <rFont val="Arial Narrow"/>
        <family val="2"/>
      </rPr>
      <t>donde se puede verificar grietas en mampostería, grietas en paredes y en losas.</t>
    </r>
  </si>
  <si>
    <r>
      <t>UTMACH-DTIC-</t>
    </r>
    <r>
      <rPr>
        <sz val="11"/>
        <rFont val="Century"/>
        <family val="1"/>
      </rPr>
      <t>2023-0096</t>
    </r>
    <r>
      <rPr>
        <sz val="11"/>
        <rFont val="Arial Narrow"/>
        <family val="2"/>
      </rPr>
      <t>-M</t>
    </r>
  </si>
  <si>
    <r>
      <t xml:space="preserve">Solicita el cambio de la denominación del Ítem de la partida </t>
    </r>
    <r>
      <rPr>
        <sz val="11"/>
        <rFont val="Century"/>
        <family val="1"/>
      </rPr>
      <t>840107 001 003</t>
    </r>
    <r>
      <rPr>
        <sz val="11"/>
        <rFont val="Arial Narrow"/>
        <family val="2"/>
      </rPr>
      <t xml:space="preserve"> Equipos, Sistemas y Paquetes Informáticos “UPS de </t>
    </r>
    <r>
      <rPr>
        <sz val="11"/>
        <rFont val="Century"/>
        <family val="1"/>
      </rPr>
      <t>550</t>
    </r>
    <r>
      <rPr>
        <sz val="11"/>
        <rFont val="Arial Narrow"/>
        <family val="2"/>
      </rPr>
      <t xml:space="preserve"> W” a “ UPS” por motivo que actualmente los valores de éstos equipos no corresponden a los declarados en el PAC de ésta Dirección.</t>
    </r>
  </si>
  <si>
    <r>
      <t>UTMACH-DTH-</t>
    </r>
    <r>
      <rPr>
        <sz val="11"/>
        <rFont val="Century"/>
        <family val="1"/>
      </rPr>
      <t>2023-0617</t>
    </r>
    <r>
      <rPr>
        <sz val="11"/>
        <rFont val="Arial Narrow"/>
        <family val="2"/>
      </rPr>
      <t>-M</t>
    </r>
  </si>
  <si>
    <r>
      <t>Solicita incremento en la partida de Contratos Civiles de Servicio, para la elaboración de dos Contratos Civiles de Servicios Profesionales, con perfil referencial como Jefe de Gestión Curricular, por el período del</t>
    </r>
    <r>
      <rPr>
        <sz val="11"/>
        <rFont val="Century"/>
        <family val="1"/>
      </rPr>
      <t xml:space="preserve"> 01</t>
    </r>
    <r>
      <rPr>
        <sz val="11"/>
        <rFont val="Arial Narrow"/>
        <family val="2"/>
      </rPr>
      <t xml:space="preserve"> de marzo al </t>
    </r>
    <r>
      <rPr>
        <sz val="11"/>
        <rFont val="Century"/>
        <family val="1"/>
      </rPr>
      <t>31</t>
    </r>
    <r>
      <rPr>
        <sz val="11"/>
        <rFont val="Arial Narrow"/>
        <family val="2"/>
      </rPr>
      <t xml:space="preserve"> de julio de </t>
    </r>
    <r>
      <rPr>
        <sz val="11"/>
        <rFont val="Century"/>
        <family val="1"/>
      </rPr>
      <t>2023.</t>
    </r>
  </si>
  <si>
    <r>
      <t xml:space="preserve">Ya ha sido atendido con aplicación al programa </t>
    </r>
    <r>
      <rPr>
        <sz val="11"/>
        <rFont val="Century Schoolbook"/>
        <family val="1"/>
      </rPr>
      <t>82</t>
    </r>
    <r>
      <rPr>
        <sz val="11"/>
        <rFont val="Arial Narrow"/>
        <family val="2"/>
      </rPr>
      <t>, por lo que no hay necesidad de reforma.</t>
    </r>
  </si>
  <si>
    <r>
      <t>UTMACH-FCA-D-</t>
    </r>
    <r>
      <rPr>
        <sz val="11"/>
        <rFont val="Century"/>
        <family val="1"/>
      </rPr>
      <t>2023-0273</t>
    </r>
    <r>
      <rPr>
        <sz val="11"/>
        <rFont val="Arial Narrow"/>
        <family val="2"/>
      </rPr>
      <t>-M</t>
    </r>
  </si>
  <si>
    <r>
      <t xml:space="preserve">Solicita el cambio en el Objeto de Contratación de la Partida N° </t>
    </r>
    <r>
      <rPr>
        <sz val="11"/>
        <rFont val="Century"/>
        <family val="1"/>
      </rPr>
      <t>840104 0701 003</t>
    </r>
    <r>
      <rPr>
        <sz val="11"/>
        <rFont val="Arial Narrow"/>
        <family val="2"/>
      </rPr>
      <t xml:space="preserve"> Maquinarias y Equipos, la misma que se encuentra como “EQUIPAMIENTO PARA INVESTIGACIONES AGROPECUARIAS PARA EL FORTALECIMIENTO DE PROYECTOS DE INVESTIGACIÓN” pase a denominarse “ADQUISICION E INSTALACION DE INFRAESTRUCTURA TECNOLOGICA PARA EL FORTALECIMIENTO DE LA DOCENCIA, INVESTIGACION Y VINCULACION DE LA FACULTAD DE CIENCIAS AGROEPCUARIAS".</t>
    </r>
  </si>
  <si>
    <r>
      <t>UTMACH-VINVIP-</t>
    </r>
    <r>
      <rPr>
        <sz val="11"/>
        <rFont val="Century Schoolbook"/>
        <family val="1"/>
      </rPr>
      <t>2023-0115</t>
    </r>
    <r>
      <rPr>
        <sz val="11"/>
        <rFont val="Arial Narrow"/>
        <family val="2"/>
      </rPr>
      <t>-M</t>
    </r>
  </si>
  <si>
    <r>
      <t xml:space="preserve">Solicita modificación al Plan Operativo Anual </t>
    </r>
    <r>
      <rPr>
        <sz val="11"/>
        <rFont val="Century Schoolbook"/>
        <family val="1"/>
      </rPr>
      <t>2023</t>
    </r>
    <r>
      <rPr>
        <sz val="11"/>
        <rFont val="Arial Narrow"/>
        <family val="2"/>
      </rPr>
      <t xml:space="preserve">. Cabe indicar que la reforma interna no afecta el presupuesto institucional, por lo que, se plantea una desagregación en las partidas a nivel de detalle del producto y/o descripción de la contratación, en correspondencia a los techos aprobados para el Programa </t>
    </r>
    <r>
      <rPr>
        <sz val="11"/>
        <rFont val="Century Schoolbook"/>
        <family val="1"/>
      </rPr>
      <t>83</t>
    </r>
    <r>
      <rPr>
        <sz val="11"/>
        <rFont val="Arial Narrow"/>
        <family val="2"/>
      </rPr>
      <t xml:space="preserve"> Gestión de la Investigación. Asimismo, se plantea una modificación a las Meta Operativas y su programación.</t>
    </r>
  </si>
  <si>
    <r>
      <t>UTMACH-CGR-</t>
    </r>
    <r>
      <rPr>
        <sz val="11"/>
        <rFont val="Century Schoolbook"/>
        <family val="1"/>
      </rPr>
      <t>2023-0180</t>
    </r>
    <r>
      <rPr>
        <sz val="11"/>
        <rFont val="Arial Narrow"/>
        <family val="2"/>
      </rPr>
      <t>-M</t>
    </r>
  </si>
  <si>
    <t>Coordinación General del Rectorado</t>
  </si>
  <si>
    <r>
      <t xml:space="preserve">Propuesta de Auditoría Externa </t>
    </r>
    <r>
      <rPr>
        <sz val="11"/>
        <rFont val="Century Schoolbook"/>
        <family val="1"/>
      </rPr>
      <t>2022</t>
    </r>
    <r>
      <rPr>
        <sz val="11"/>
        <rFont val="Arial Narrow"/>
        <family val="2"/>
      </rPr>
      <t xml:space="preserve"> por parte de la firma auditora ALIADO CONTABLE MATUBERM CIA. LTDA. Por el valor total de </t>
    </r>
    <r>
      <rPr>
        <sz val="11"/>
        <rFont val="Century Schoolbook"/>
        <family val="1"/>
      </rPr>
      <t>$ 6.300,00</t>
    </r>
    <r>
      <rPr>
        <sz val="11"/>
        <rFont val="Arial Narrow"/>
        <family val="2"/>
      </rPr>
      <t xml:space="preserve"> más IVA.</t>
    </r>
  </si>
  <si>
    <r>
      <t>UTMACH-DADM-</t>
    </r>
    <r>
      <rPr>
        <sz val="11"/>
        <rFont val="Century Schoolbook"/>
        <family val="1"/>
      </rPr>
      <t>2023-0335</t>
    </r>
    <r>
      <rPr>
        <sz val="11"/>
        <rFont val="Arial Narrow"/>
        <family val="2"/>
      </rPr>
      <t>-M</t>
    </r>
  </si>
  <si>
    <r>
      <t xml:space="preserve">Solicita la correspondiente reforma presupuestaria al PAC </t>
    </r>
    <r>
      <rPr>
        <sz val="11"/>
        <rFont val="Century Schoolbook"/>
        <family val="1"/>
      </rPr>
      <t>2023</t>
    </r>
    <r>
      <rPr>
        <sz val="11"/>
        <rFont val="Arial Narrow"/>
        <family val="2"/>
      </rPr>
      <t xml:space="preserve">, para la asignación del fondo de Caja Chica en las partidas presupuestarias a utilizarse, por el valor total de </t>
    </r>
    <r>
      <rPr>
        <sz val="11"/>
        <rFont val="Century Schoolbook"/>
        <family val="1"/>
      </rPr>
      <t>$ 3.600,00</t>
    </r>
    <r>
      <rPr>
        <sz val="11"/>
        <rFont val="Arial Narrow"/>
        <family val="2"/>
      </rPr>
      <t>, según la Solicitud de Reforma adjunta.</t>
    </r>
  </si>
  <si>
    <r>
      <t xml:space="preserve">Atendido favorablemente, excepto el valor de Materiales de Oficina por el valor de </t>
    </r>
    <r>
      <rPr>
        <sz val="11"/>
        <rFont val="Century Schoolbook"/>
        <family val="1"/>
      </rPr>
      <t>$ 240,00.</t>
    </r>
  </si>
  <si>
    <r>
      <t>UTMACH-DF-</t>
    </r>
    <r>
      <rPr>
        <sz val="11"/>
        <rFont val="Century Schoolbook"/>
        <family val="1"/>
      </rPr>
      <t>2023-0197</t>
    </r>
    <r>
      <rPr>
        <sz val="11"/>
        <rFont val="Arial Narrow"/>
        <family val="2"/>
      </rPr>
      <t>-M</t>
    </r>
  </si>
  <si>
    <t>Dirección Financiera</t>
  </si>
  <si>
    <r>
      <t>Traslada el Memorando N° UTMACH DF-UPSTO-</t>
    </r>
    <r>
      <rPr>
        <sz val="11"/>
        <rFont val="Century Schoolbook"/>
        <family val="1"/>
      </rPr>
      <t>2023-0380</t>
    </r>
    <r>
      <rPr>
        <sz val="11"/>
        <rFont val="Arial Narrow"/>
        <family val="2"/>
      </rPr>
      <t>-M, con el cual informa los saldos de las partidas de Obligaciones de Ejercicios Anteriores por Gastos en Personal, con aplicación a los Ítems Nro.</t>
    </r>
    <r>
      <rPr>
        <sz val="11"/>
        <rFont val="Century Schoolbook"/>
        <family val="1"/>
      </rPr>
      <t xml:space="preserve"> 01 001 990101 0701 003</t>
    </r>
    <r>
      <rPr>
        <sz val="11"/>
        <rFont val="Arial Narrow"/>
        <family val="2"/>
      </rPr>
      <t xml:space="preserve"> </t>
    </r>
    <r>
      <rPr>
        <sz val="11"/>
        <rFont val="Century Schoolbook"/>
        <family val="1"/>
      </rPr>
      <t>($10.000,00)</t>
    </r>
    <r>
      <rPr>
        <sz val="11"/>
        <rFont val="Arial Narrow"/>
        <family val="2"/>
      </rPr>
      <t xml:space="preserve"> y </t>
    </r>
    <r>
      <rPr>
        <sz val="11"/>
        <rFont val="Century Schoolbook"/>
        <family val="1"/>
      </rPr>
      <t>82 002 990101 0701 003 ($60.000,00)</t>
    </r>
    <r>
      <rPr>
        <sz val="11"/>
        <rFont val="Arial Narrow"/>
        <family val="2"/>
      </rPr>
      <t>, de los Programas de Administración Central y Formación y Gestión Académica.</t>
    </r>
  </si>
  <si>
    <r>
      <t>UTMACH-DIDI-</t>
    </r>
    <r>
      <rPr>
        <sz val="11"/>
        <rFont val="Century Schoolbook"/>
        <family val="1"/>
      </rPr>
      <t>2023-0247</t>
    </r>
    <r>
      <rPr>
        <sz val="11"/>
        <rFont val="Arial Narrow"/>
        <family val="2"/>
      </rPr>
      <t>-M</t>
    </r>
  </si>
  <si>
    <r>
      <t xml:space="preserve">Solicita cambios en los siguientes campos: Meta Estratégica / Estándar de Calidad / Meta Operativa; Producto (Resultado Esperado); Indicador de resultado PEDI; Programación física de la meta (Cuatrimestre </t>
    </r>
    <r>
      <rPr>
        <sz val="11"/>
        <rFont val="Century Schoolbook"/>
        <family val="1"/>
      </rPr>
      <t>1</t>
    </r>
    <r>
      <rPr>
        <sz val="11"/>
        <rFont val="Arial Narrow"/>
        <family val="2"/>
      </rPr>
      <t xml:space="preserve">, Cuatrimestre </t>
    </r>
    <r>
      <rPr>
        <sz val="11"/>
        <rFont val="Century Schoolbook"/>
        <family val="1"/>
      </rPr>
      <t>2</t>
    </r>
    <r>
      <rPr>
        <sz val="11"/>
        <rFont val="Arial Narrow"/>
        <family val="2"/>
      </rPr>
      <t xml:space="preserve">, Cuatrimestre </t>
    </r>
    <r>
      <rPr>
        <sz val="11"/>
        <rFont val="Century Schoolbook"/>
        <family val="1"/>
      </rPr>
      <t>3</t>
    </r>
    <r>
      <rPr>
        <sz val="11"/>
        <rFont val="Arial Narrow"/>
        <family val="2"/>
      </rPr>
      <t>); Actividades y Medios de verificación; mientras que en el apartado de PROGRAMACIÓN DE NECESIDADES DE RECURSOS, cambios en la Información detallada del objeto de la contratación, presupuesto estimativo y el cronograma de requisiciones, por lo que, se plantea una desagregación en las partidas a nivel de detalle del producto y/o descripción de la contratación.</t>
    </r>
  </si>
  <si>
    <t>Atendido favorablemente, conforme a reunión de seguimiento en DPLAN.</t>
  </si>
  <si>
    <r>
      <t>UTMACH-FCS-D-</t>
    </r>
    <r>
      <rPr>
        <sz val="11"/>
        <rFont val="Century Schoolbook"/>
        <family val="1"/>
      </rPr>
      <t>2023-0435</t>
    </r>
    <r>
      <rPr>
        <sz val="11"/>
        <rFont val="Arial Narrow"/>
        <family val="2"/>
      </rPr>
      <t>-M</t>
    </r>
  </si>
  <si>
    <r>
      <t xml:space="preserve">Solicita reducción en la partida N° </t>
    </r>
    <r>
      <rPr>
        <sz val="11"/>
        <rFont val="Century Schoolbook"/>
        <family val="1"/>
      </rPr>
      <t>840107 0701 003</t>
    </r>
    <r>
      <rPr>
        <sz val="11"/>
        <rFont val="Arial Narrow"/>
        <family val="2"/>
      </rPr>
      <t xml:space="preserve"> Equipos, Sistemas y Paquetes Informáticos por el valor de </t>
    </r>
    <r>
      <rPr>
        <sz val="11"/>
        <rFont val="Century Schoolbook"/>
        <family val="1"/>
      </rPr>
      <t>$ 1.800,02</t>
    </r>
    <r>
      <rPr>
        <sz val="11"/>
        <rFont val="Arial Narrow"/>
        <family val="2"/>
      </rPr>
      <t xml:space="preserve"> y en la partida N° </t>
    </r>
    <r>
      <rPr>
        <sz val="11"/>
        <rFont val="Century Schoolbook"/>
        <family val="1"/>
      </rPr>
      <t>531408 0701 001</t>
    </r>
    <r>
      <rPr>
        <sz val="11"/>
        <rFont val="Arial Narrow"/>
        <family val="2"/>
      </rPr>
      <t xml:space="preserve"> Bienes Artísticos, Culturales, Deportivos y Símbolos Patrios por el valor de </t>
    </r>
    <r>
      <rPr>
        <sz val="11"/>
        <rFont val="Century Schoolbook"/>
        <family val="1"/>
      </rPr>
      <t>$ 1.560,94</t>
    </r>
    <r>
      <rPr>
        <sz val="11"/>
        <rFont val="Arial Narrow"/>
        <family val="2"/>
      </rPr>
      <t xml:space="preserve"> e incremento en la partida N°</t>
    </r>
    <r>
      <rPr>
        <sz val="11"/>
        <rFont val="Century Schoolbook"/>
        <family val="1"/>
      </rPr>
      <t xml:space="preserve"> 840103</t>
    </r>
    <r>
      <rPr>
        <sz val="11"/>
        <rFont val="Arial Narrow"/>
        <family val="2"/>
      </rPr>
      <t xml:space="preserve"> Mobiliarios por el valor de </t>
    </r>
    <r>
      <rPr>
        <sz val="11"/>
        <rFont val="Century Schoolbook"/>
        <family val="1"/>
      </rPr>
      <t>$ 3.360,96.</t>
    </r>
  </si>
  <si>
    <r>
      <t>UTMACH-DBUAC-</t>
    </r>
    <r>
      <rPr>
        <sz val="11"/>
        <rFont val="Century Schoolbook"/>
        <family val="1"/>
      </rPr>
      <t>2023-0314</t>
    </r>
    <r>
      <rPr>
        <sz val="11"/>
        <rFont val="Arial Narrow"/>
        <family val="2"/>
      </rPr>
      <t>-M</t>
    </r>
  </si>
  <si>
    <r>
      <t xml:space="preserve">Solicita reducción en la partida N° </t>
    </r>
    <r>
      <rPr>
        <sz val="11"/>
        <rFont val="Century Schoolbook"/>
        <family val="1"/>
      </rPr>
      <t>531404</t>
    </r>
    <r>
      <rPr>
        <sz val="11"/>
        <rFont val="Arial Narrow"/>
        <family val="2"/>
      </rPr>
      <t xml:space="preserve"> Maquinarias y Equipos por el valor de </t>
    </r>
    <r>
      <rPr>
        <sz val="11"/>
        <rFont val="Century Schoolbook"/>
        <family val="1"/>
      </rPr>
      <t>$ 15.879,05</t>
    </r>
    <r>
      <rPr>
        <sz val="11"/>
        <rFont val="Arial Narrow"/>
        <family val="2"/>
      </rPr>
      <t xml:space="preserve"> e incremento en la partida N° </t>
    </r>
    <r>
      <rPr>
        <sz val="11"/>
        <rFont val="Century Schoolbook"/>
        <family val="1"/>
      </rPr>
      <t>840104</t>
    </r>
    <r>
      <rPr>
        <sz val="11"/>
        <rFont val="Arial Narrow"/>
        <family val="2"/>
      </rPr>
      <t xml:space="preserve"> Maquinarias y Equipos por el mismo valor, además de cambio de ítems en la partida N° </t>
    </r>
    <r>
      <rPr>
        <sz val="11"/>
        <rFont val="Century Schoolbook"/>
        <family val="1"/>
      </rPr>
      <t>840103</t>
    </r>
    <r>
      <rPr>
        <sz val="11"/>
        <rFont val="Arial Narrow"/>
        <family val="2"/>
      </rPr>
      <t xml:space="preserve"> Mobiliarios.</t>
    </r>
  </si>
  <si>
    <r>
      <t>Atendido favorablemente con el Memo N° UTMACH-DBUAC-</t>
    </r>
    <r>
      <rPr>
        <sz val="11"/>
        <rFont val="Century Schoolbook"/>
        <family val="1"/>
      </rPr>
      <t>2023-0124</t>
    </r>
    <r>
      <rPr>
        <sz val="11"/>
        <rFont val="Arial Narrow"/>
        <family val="2"/>
      </rPr>
      <t xml:space="preserve">-M del </t>
    </r>
    <r>
      <rPr>
        <sz val="11"/>
        <rFont val="Century Schoolbook"/>
        <family val="1"/>
      </rPr>
      <t>03/05/2023.</t>
    </r>
  </si>
  <si>
    <r>
      <t>UTMACH-DBUAC-</t>
    </r>
    <r>
      <rPr>
        <sz val="11"/>
        <rFont val="Century Schoolbook"/>
        <family val="1"/>
      </rPr>
      <t>2023-0318</t>
    </r>
    <r>
      <rPr>
        <sz val="11"/>
        <rFont val="Arial Narrow"/>
        <family val="2"/>
      </rPr>
      <t>-M</t>
    </r>
  </si>
  <si>
    <r>
      <t xml:space="preserve">Solicita incremento en la partida N° </t>
    </r>
    <r>
      <rPr>
        <sz val="11"/>
        <rFont val="Century Schoolbook"/>
        <family val="1"/>
      </rPr>
      <t>840104</t>
    </r>
    <r>
      <rPr>
        <sz val="11"/>
        <rFont val="Arial Narrow"/>
        <family val="2"/>
      </rPr>
      <t xml:space="preserve"> Maquinarias y Equipos el valor de </t>
    </r>
    <r>
      <rPr>
        <sz val="11"/>
        <rFont val="Century Schoolbook"/>
        <family val="1"/>
      </rPr>
      <t>$ 13.686,40</t>
    </r>
    <r>
      <rPr>
        <sz val="11"/>
        <rFont val="Arial Narrow"/>
        <family val="2"/>
      </rPr>
      <t xml:space="preserve"> incluido IVA, para la adquisición de </t>
    </r>
    <r>
      <rPr>
        <sz val="11"/>
        <rFont val="Century Schoolbook"/>
        <family val="1"/>
      </rPr>
      <t>14</t>
    </r>
    <r>
      <rPr>
        <sz val="11"/>
        <rFont val="Arial Narrow"/>
        <family val="2"/>
      </rPr>
      <t xml:space="preserve"> carpas con estructura galvanizada.</t>
    </r>
  </si>
  <si>
    <r>
      <t>UTMACH-FCS-D-</t>
    </r>
    <r>
      <rPr>
        <sz val="11"/>
        <rFont val="Century Schoolbook"/>
        <family val="1"/>
      </rPr>
      <t>2023-0460</t>
    </r>
    <r>
      <rPr>
        <sz val="11"/>
        <rFont val="Arial Narrow"/>
        <family val="2"/>
      </rPr>
      <t>-M</t>
    </r>
  </si>
  <si>
    <r>
      <t xml:space="preserve">Solicita reducción en varias partidas, por un total de </t>
    </r>
    <r>
      <rPr>
        <sz val="11"/>
        <rFont val="Century Schoolbook"/>
        <family val="1"/>
      </rPr>
      <t>$ 144.128,30</t>
    </r>
    <r>
      <rPr>
        <sz val="11"/>
        <rFont val="Arial Narrow"/>
        <family val="2"/>
      </rPr>
      <t xml:space="preserve"> e incremento en varias partidas por el mismo valor, conforme se indica en la Solicitud de Reforma Presupuestaria adjunta.</t>
    </r>
  </si>
  <si>
    <r>
      <t xml:space="preserve">Deja sin efecto el memo N° </t>
    </r>
    <r>
      <rPr>
        <sz val="11"/>
        <rFont val="Century Schoolbook"/>
        <family val="1"/>
      </rPr>
      <t>0445 - 0435 - 0378 - 0335</t>
    </r>
    <r>
      <rPr>
        <sz val="11"/>
        <rFont val="Arial Narrow"/>
        <family val="2"/>
      </rPr>
      <t xml:space="preserve"> 
Atendido parcialmente por cuanto se ubicó recursos para la atención del deducible de la póliza y las reparaciones de infraestructura por el sismo; y, ciertas necesidades se ubicaron en el POA de la Dirección Administrativa, dependencia que cuenta con suficientes recursos para ejecutarlos.</t>
    </r>
  </si>
  <si>
    <r>
      <t>UTMACH-DADM-</t>
    </r>
    <r>
      <rPr>
        <sz val="11"/>
        <rFont val="Century Schoolbook"/>
        <family val="1"/>
      </rPr>
      <t>2023-0364</t>
    </r>
    <r>
      <rPr>
        <sz val="11"/>
        <rFont val="Arial Narrow"/>
        <family val="2"/>
      </rPr>
      <t>-M</t>
    </r>
  </si>
  <si>
    <r>
      <t xml:space="preserve">Solicita incremento en las partidas:
N° </t>
    </r>
    <r>
      <rPr>
        <sz val="11"/>
        <rFont val="Century Schoolbook"/>
        <family val="1"/>
      </rPr>
      <t>530301 0701 003</t>
    </r>
    <r>
      <rPr>
        <sz val="11"/>
        <rFont val="Arial Narrow"/>
        <family val="2"/>
      </rPr>
      <t xml:space="preserve"> Pasajes al Interior, el valor de </t>
    </r>
    <r>
      <rPr>
        <sz val="11"/>
        <rFont val="Century Schoolbook"/>
        <family val="1"/>
      </rPr>
      <t>$ 6.000,00.</t>
    </r>
    <r>
      <rPr>
        <sz val="11"/>
        <rFont val="Arial Narrow"/>
        <family val="2"/>
      </rPr>
      <t xml:space="preserve">
N° </t>
    </r>
    <r>
      <rPr>
        <sz val="11"/>
        <rFont val="Century Schoolbook"/>
        <family val="1"/>
      </rPr>
      <t>530302 0701 003</t>
    </r>
    <r>
      <rPr>
        <sz val="11"/>
        <rFont val="Arial Narrow"/>
        <family val="2"/>
      </rPr>
      <t xml:space="preserve"> Pasajes al Exterior, el valor de </t>
    </r>
    <r>
      <rPr>
        <sz val="11"/>
        <rFont val="Century Schoolbook"/>
        <family val="1"/>
      </rPr>
      <t>$ 4.000,00.</t>
    </r>
    <r>
      <rPr>
        <sz val="11"/>
        <rFont val="Arial Narrow"/>
        <family val="2"/>
      </rPr>
      <t xml:space="preserve">
N° </t>
    </r>
    <r>
      <rPr>
        <sz val="11"/>
        <rFont val="Century Schoolbook"/>
        <family val="1"/>
      </rPr>
      <t>530303 0701 003</t>
    </r>
    <r>
      <rPr>
        <sz val="11"/>
        <rFont val="Arial Narrow"/>
        <family val="2"/>
      </rPr>
      <t xml:space="preserve"> Viáticos y Subsistencias en el Interior, el valor de </t>
    </r>
    <r>
      <rPr>
        <sz val="11"/>
        <rFont val="Century Schoolbook"/>
        <family val="1"/>
      </rPr>
      <t>$ 10.000,00.</t>
    </r>
    <r>
      <rPr>
        <sz val="11"/>
        <rFont val="Arial Narrow"/>
        <family val="2"/>
      </rPr>
      <t xml:space="preserve">
N° </t>
    </r>
    <r>
      <rPr>
        <sz val="11"/>
        <rFont val="Century Schoolbook"/>
        <family val="1"/>
      </rPr>
      <t>530403 0701 003</t>
    </r>
    <r>
      <rPr>
        <sz val="11"/>
        <rFont val="Arial Narrow"/>
        <family val="2"/>
      </rPr>
      <t xml:space="preserve"> Mobiliario, Instalación y Reparación, el valor de </t>
    </r>
    <r>
      <rPr>
        <sz val="11"/>
        <rFont val="Century Schoolbook"/>
        <family val="1"/>
      </rPr>
      <t>$ 23.161,20.</t>
    </r>
  </si>
  <si>
    <r>
      <t xml:space="preserve">Atendido parcialmente, excepto la partida N° </t>
    </r>
    <r>
      <rPr>
        <sz val="11"/>
        <rFont val="Century Schoolbook"/>
        <family val="1"/>
      </rPr>
      <t>530403 0701 003</t>
    </r>
    <r>
      <rPr>
        <sz val="11"/>
        <rFont val="Arial Narrow"/>
        <family val="2"/>
      </rPr>
      <t xml:space="preserve"> Mobiliario, Instalación y Reparación, el valor de </t>
    </r>
    <r>
      <rPr>
        <sz val="11"/>
        <rFont val="Century Schoolbook"/>
        <family val="1"/>
      </rPr>
      <t>$ 23.161,20.</t>
    </r>
  </si>
  <si>
    <r>
      <t>UTMACH-FCA-D-</t>
    </r>
    <r>
      <rPr>
        <sz val="11"/>
        <rFont val="Century Schoolbook"/>
        <family val="1"/>
      </rPr>
      <t>2023-0308</t>
    </r>
    <r>
      <rPr>
        <sz val="11"/>
        <rFont val="Arial Narrow"/>
        <family val="2"/>
      </rPr>
      <t>-M</t>
    </r>
  </si>
  <si>
    <r>
      <t xml:space="preserve">Solicita un CAMBIO en el Objeto de Contratación de la partida N° </t>
    </r>
    <r>
      <rPr>
        <sz val="11"/>
        <rFont val="Century Schoolbook"/>
        <family val="1"/>
      </rPr>
      <t xml:space="preserve"> 83 530402 0701 001</t>
    </r>
    <r>
      <rPr>
        <sz val="11"/>
        <rFont val="Arial Narrow"/>
        <family val="2"/>
      </rPr>
      <t xml:space="preserve"> Edificios, Locales, Residencias y Cableado Estructurado (Instalación, Mantenimiento y Reparación) cuyo Objeto de Contratación es "MANTENIMIENTO DE INFRAESTRUCTURA INTERNA Y EXTERNA DE LAS ÁREAS DE LABORATORIOS DE FACULTAD", cambie a “MANTENIMIENTO DE INFRAESTRUCTURA INTERNA Y EXTERNA DE LAS ÁREAS DE LA FACULTAD".</t>
    </r>
  </si>
  <si>
    <r>
      <t>UTMACH-FCQS-D-</t>
    </r>
    <r>
      <rPr>
        <sz val="11"/>
        <rFont val="Century Schoolbook"/>
        <family val="1"/>
      </rPr>
      <t>2023-0604</t>
    </r>
    <r>
      <rPr>
        <sz val="11"/>
        <rFont val="Arial Narrow"/>
        <family val="2"/>
      </rPr>
      <t>-M</t>
    </r>
  </si>
  <si>
    <r>
      <t xml:space="preserve">Solicita reducción en varias partidas, por un total de </t>
    </r>
    <r>
      <rPr>
        <sz val="11"/>
        <rFont val="Century Schoolbook"/>
        <family val="1"/>
      </rPr>
      <t>$ 36.535,35</t>
    </r>
    <r>
      <rPr>
        <sz val="11"/>
        <rFont val="Arial Narrow"/>
        <family val="2"/>
      </rPr>
      <t xml:space="preserve"> e incremento en varias partidas por el mismo valor, conforme se indica en la Solicitud de Reforma Presupuestaria adjunta.</t>
    </r>
  </si>
  <si>
    <r>
      <t>UTMACH-R-</t>
    </r>
    <r>
      <rPr>
        <sz val="11"/>
        <rFont val="Century Schoolbook"/>
        <family val="1"/>
      </rPr>
      <t>2023-0255</t>
    </r>
    <r>
      <rPr>
        <sz val="11"/>
        <rFont val="Arial Narrow"/>
        <family val="2"/>
      </rPr>
      <t>-M</t>
    </r>
  </si>
  <si>
    <t>Rectorado</t>
  </si>
  <si>
    <r>
      <t xml:space="preserve">Solicita traslado de la partida N° </t>
    </r>
    <r>
      <rPr>
        <sz val="11"/>
        <rFont val="Century"/>
        <family val="1"/>
      </rPr>
      <t>530307 0701 003</t>
    </r>
    <r>
      <rPr>
        <sz val="11"/>
        <rFont val="Arial Narrow"/>
        <family val="2"/>
      </rPr>
      <t xml:space="preserve"> Atención a Delegados Extranjeros y Nacionales, Deportistas, Entrenadores y Cuerpo Técnico que Representen al País con el valor de </t>
    </r>
    <r>
      <rPr>
        <sz val="11"/>
        <rFont val="Century"/>
        <family val="1"/>
      </rPr>
      <t>$ 7.120,02</t>
    </r>
    <r>
      <rPr>
        <sz val="11"/>
        <rFont val="Arial Narrow"/>
        <family val="2"/>
      </rPr>
      <t xml:space="preserve"> al presupuesto de la Coordinación General del Rectorado, más un incremento por el valor de </t>
    </r>
    <r>
      <rPr>
        <sz val="11"/>
        <rFont val="Century"/>
        <family val="1"/>
      </rPr>
      <t>$ 4.879,98</t>
    </r>
    <r>
      <rPr>
        <sz val="11"/>
        <rFont val="Arial Narrow"/>
        <family val="2"/>
      </rPr>
      <t xml:space="preserve"> con el fin de coordinar y asesorar la gestión del Rector con las diferentes unidades académicas y administrativas de la UTMACH y demás entes externos.</t>
    </r>
  </si>
  <si>
    <r>
      <t>UTMACH-CGR-</t>
    </r>
    <r>
      <rPr>
        <sz val="11"/>
        <rFont val="Century Schoolbook"/>
        <family val="1"/>
      </rPr>
      <t>2023-0165</t>
    </r>
    <r>
      <rPr>
        <sz val="11"/>
        <rFont val="Arial Narrow"/>
        <family val="2"/>
      </rPr>
      <t>-M</t>
    </r>
  </si>
  <si>
    <r>
      <t>Atendido favorablemente con el Memo N° UTMACH-R-</t>
    </r>
    <r>
      <rPr>
        <sz val="11"/>
        <rFont val="Century Schoolbook"/>
        <family val="1"/>
      </rPr>
      <t>2023-0255</t>
    </r>
    <r>
      <rPr>
        <sz val="11"/>
        <rFont val="Arial Narrow"/>
        <family val="2"/>
      </rPr>
      <t xml:space="preserve">-M, con fecha </t>
    </r>
    <r>
      <rPr>
        <sz val="11"/>
        <rFont val="Century Schoolbook"/>
        <family val="1"/>
      </rPr>
      <t>29/05/2023.</t>
    </r>
  </si>
  <si>
    <r>
      <t>UTMACH-DAC-</t>
    </r>
    <r>
      <rPr>
        <sz val="11"/>
        <rFont val="Century Schoolbook"/>
        <family val="1"/>
      </rPr>
      <t>2023-0133</t>
    </r>
    <r>
      <rPr>
        <sz val="11"/>
        <rFont val="Arial Narrow"/>
        <family val="2"/>
      </rPr>
      <t>-M</t>
    </r>
  </si>
  <si>
    <r>
      <t>Alcance al Memorando Nro. UTMACH-DAC-</t>
    </r>
    <r>
      <rPr>
        <sz val="11"/>
        <rFont val="Century Schoolbook"/>
        <family val="1"/>
      </rPr>
      <t>2023-0093</t>
    </r>
    <r>
      <rPr>
        <sz val="11"/>
        <rFont val="Arial Narrow"/>
        <family val="2"/>
      </rPr>
      <t xml:space="preserve">-M de fecha </t>
    </r>
    <r>
      <rPr>
        <sz val="11"/>
        <rFont val="Century Schoolbook"/>
        <family val="1"/>
      </rPr>
      <t>5</t>
    </r>
    <r>
      <rPr>
        <sz val="11"/>
        <rFont val="Arial Narrow"/>
        <family val="2"/>
      </rPr>
      <t xml:space="preserve"> de mayo
en curso, solicita reforma presupuestaria, cuyo monto es </t>
    </r>
    <r>
      <rPr>
        <sz val="11"/>
        <rFont val="Century Schoolbook"/>
        <family val="1"/>
      </rPr>
      <t>$10.325,00</t>
    </r>
    <r>
      <rPr>
        <sz val="11"/>
        <rFont val="Arial Narrow"/>
        <family val="2"/>
      </rPr>
      <t>; el cambio solicitado no compromete incremento económico sino la reasignación y redistribución de recursos en consonancia con las necesidades actuales de la dependencia.</t>
    </r>
  </si>
  <si>
    <r>
      <t xml:space="preserve">Atendido parcialmente, solo se atendió </t>
    </r>
    <r>
      <rPr>
        <sz val="11"/>
        <rFont val="Century Schoolbook"/>
        <family val="1"/>
      </rPr>
      <t>$87,40</t>
    </r>
    <r>
      <rPr>
        <sz val="11"/>
        <rFont val="Arial Narrow"/>
        <family val="2"/>
      </rPr>
      <t xml:space="preserve">  de </t>
    </r>
    <r>
      <rPr>
        <sz val="11"/>
        <rFont val="Century Schoolbook"/>
        <family val="1"/>
      </rPr>
      <t>840104 0701 001</t>
    </r>
    <r>
      <rPr>
        <sz val="11"/>
        <rFont val="Arial Narrow"/>
        <family val="2"/>
      </rPr>
      <t xml:space="preserve"> Mobiliarios por el valor total </t>
    </r>
    <r>
      <rPr>
        <sz val="11"/>
        <rFont val="Century Schoolbook"/>
        <family val="1"/>
      </rPr>
      <t>$1.365,00.</t>
    </r>
  </si>
  <si>
    <r>
      <t>UTMACH-DADM-</t>
    </r>
    <r>
      <rPr>
        <sz val="11"/>
        <rFont val="Century Schoolbook"/>
        <family val="1"/>
      </rPr>
      <t>2023-0399</t>
    </r>
    <r>
      <rPr>
        <sz val="11"/>
        <rFont val="Arial Narrow"/>
        <family val="2"/>
      </rPr>
      <t>-M</t>
    </r>
  </si>
  <si>
    <r>
      <t xml:space="preserve">Solicita reforma presupuestaría para cubrir los valores deducibles de Seguros partida </t>
    </r>
    <r>
      <rPr>
        <sz val="11"/>
        <rFont val="Century Schoolbook"/>
        <family val="1"/>
      </rPr>
      <t>570201</t>
    </r>
    <r>
      <rPr>
        <sz val="11"/>
        <rFont val="Arial Narrow"/>
        <family val="2"/>
      </rPr>
      <t xml:space="preserve"> programa </t>
    </r>
    <r>
      <rPr>
        <sz val="11"/>
        <rFont val="Century Schoolbook"/>
        <family val="1"/>
      </rPr>
      <t>01</t>
    </r>
    <r>
      <rPr>
        <sz val="11"/>
        <rFont val="Arial Narrow"/>
        <family val="2"/>
      </rPr>
      <t xml:space="preserve">, con un incremento </t>
    </r>
    <r>
      <rPr>
        <sz val="11"/>
        <rFont val="Century Schoolbook"/>
        <family val="1"/>
      </rPr>
      <t>$170.000,00</t>
    </r>
    <r>
      <rPr>
        <sz val="11"/>
        <rFont val="Arial Narrow"/>
        <family val="2"/>
      </rPr>
      <t xml:space="preserve"> y reducción en la misma partida </t>
    </r>
    <r>
      <rPr>
        <sz val="11"/>
        <rFont val="Century Schoolbook"/>
        <family val="1"/>
      </rPr>
      <t>$18.480,00.</t>
    </r>
  </si>
  <si>
    <r>
      <t>UTMACH-DVIN-</t>
    </r>
    <r>
      <rPr>
        <sz val="11"/>
        <rFont val="Century Schoolbook"/>
        <family val="1"/>
      </rPr>
      <t>2023-0231</t>
    </r>
    <r>
      <rPr>
        <sz val="11"/>
        <rFont val="Arial Narrow"/>
        <family val="2"/>
      </rPr>
      <t>-M</t>
    </r>
  </si>
  <si>
    <r>
      <t xml:space="preserve">Solicita incrementar el presupuesto faltante para permitir atender la cartera </t>
    </r>
    <r>
      <rPr>
        <sz val="11"/>
        <rFont val="Century Schoolbook"/>
        <family val="1"/>
      </rPr>
      <t>2022-2</t>
    </r>
    <r>
      <rPr>
        <sz val="11"/>
        <rFont val="Arial Narrow"/>
        <family val="2"/>
      </rPr>
      <t xml:space="preserve"> de proyectos de vinculación con la sociedad, incremento total </t>
    </r>
    <r>
      <rPr>
        <sz val="11"/>
        <rFont val="Century Schoolbook"/>
        <family val="1"/>
      </rPr>
      <t>$42.313,60.</t>
    </r>
  </si>
  <si>
    <r>
      <t xml:space="preserve">Atendido favorablemente, a excepción del grupo </t>
    </r>
    <r>
      <rPr>
        <sz val="11"/>
        <rFont val="Century Schoolbook"/>
        <family val="1"/>
      </rPr>
      <t>53</t>
    </r>
    <r>
      <rPr>
        <sz val="11"/>
        <rFont val="Arial Narrow"/>
        <family val="2"/>
      </rPr>
      <t>, y en la partida "</t>
    </r>
    <r>
      <rPr>
        <sz val="11"/>
        <rFont val="Century Schoolbook"/>
        <family val="1"/>
      </rPr>
      <t>840102</t>
    </r>
    <r>
      <rPr>
        <sz val="11"/>
        <rFont val="Arial Narrow"/>
        <family val="2"/>
      </rPr>
      <t>".</t>
    </r>
  </si>
  <si>
    <r>
      <t>UTMACH-VADM-</t>
    </r>
    <r>
      <rPr>
        <sz val="11"/>
        <rFont val="Century Schoolbook"/>
        <family val="1"/>
      </rPr>
      <t>2023-0382</t>
    </r>
    <r>
      <rPr>
        <sz val="11"/>
        <rFont val="Arial Narrow"/>
        <family val="2"/>
      </rPr>
      <t>-M</t>
    </r>
  </si>
  <si>
    <r>
      <t xml:space="preserve">Solicita reducción en las partidas </t>
    </r>
    <r>
      <rPr>
        <sz val="11"/>
        <rFont val="Century Schoolbook"/>
        <family val="1"/>
      </rPr>
      <t>530204</t>
    </r>
    <r>
      <rPr>
        <sz val="11"/>
        <rFont val="Arial Narrow"/>
        <family val="2"/>
      </rPr>
      <t xml:space="preserve"> y </t>
    </r>
    <r>
      <rPr>
        <sz val="11"/>
        <rFont val="Century Schoolbook"/>
        <family val="1"/>
      </rPr>
      <t>530402</t>
    </r>
    <r>
      <rPr>
        <sz val="11"/>
        <rFont val="Arial Narrow"/>
        <family val="2"/>
      </rPr>
      <t>, por</t>
    </r>
    <r>
      <rPr>
        <sz val="11"/>
        <rFont val="Century Schoolbook"/>
        <family val="1"/>
      </rPr>
      <t xml:space="preserve"> $234,08</t>
    </r>
    <r>
      <rPr>
        <sz val="11"/>
        <rFont val="Arial Narrow"/>
        <family val="2"/>
      </rPr>
      <t xml:space="preserve"> y </t>
    </r>
    <r>
      <rPr>
        <sz val="11"/>
        <rFont val="Century Schoolbook"/>
        <family val="1"/>
      </rPr>
      <t>$165.173,78</t>
    </r>
    <r>
      <rPr>
        <sz val="11"/>
        <rFont val="Arial Narrow"/>
        <family val="2"/>
      </rPr>
      <t xml:space="preserve"> respectivamente e incremento en la partida 530208 Servicio de Seguridad y Vigilancia por </t>
    </r>
    <r>
      <rPr>
        <sz val="11"/>
        <rFont val="Century Schoolbook"/>
        <family val="1"/>
      </rPr>
      <t>$190.089,58.</t>
    </r>
  </si>
  <si>
    <r>
      <t>UTMACH-DEC-</t>
    </r>
    <r>
      <rPr>
        <sz val="11"/>
        <rFont val="Century Schoolbook"/>
        <family val="1"/>
      </rPr>
      <t>2023-0147</t>
    </r>
    <r>
      <rPr>
        <sz val="11"/>
        <rFont val="Arial Narrow"/>
        <family val="2"/>
      </rPr>
      <t>-M</t>
    </r>
  </si>
  <si>
    <r>
      <t>Alcance al Memorando Nro. UTMACH-DEC-</t>
    </r>
    <r>
      <rPr>
        <sz val="11"/>
        <rFont val="Century Schoolbook"/>
        <family val="1"/>
      </rPr>
      <t>2023-0075</t>
    </r>
    <r>
      <rPr>
        <sz val="11"/>
        <rFont val="Arial Narrow"/>
        <family val="2"/>
      </rPr>
      <t>-M, envía correcciones a las observaciones del formulario.</t>
    </r>
  </si>
  <si>
    <r>
      <t>UTMACH-DTH-</t>
    </r>
    <r>
      <rPr>
        <sz val="11"/>
        <rFont val="Century Schoolbook"/>
        <family val="1"/>
      </rPr>
      <t>2023-0764</t>
    </r>
    <r>
      <rPr>
        <sz val="11"/>
        <rFont val="Arial Narrow"/>
        <family val="2"/>
      </rPr>
      <t>-M</t>
    </r>
  </si>
  <si>
    <r>
      <t>Alcance al UTMACH-DTH</t>
    </r>
    <r>
      <rPr>
        <sz val="11"/>
        <rFont val="Century Schoolbook"/>
        <family val="1"/>
      </rPr>
      <t>-2023-0484</t>
    </r>
    <r>
      <rPr>
        <sz val="11"/>
        <rFont val="Arial Narrow"/>
        <family val="2"/>
      </rPr>
      <t>-M, solicita incremento en las partidas capacitación a servidores públicos y vestuario, y reducción en la partida de medicamentos para ser reasignados en las partidas de bienes y suministros para investigación y dispositivos médicos de uso general.</t>
    </r>
  </si>
  <si>
    <r>
      <t>UTMACH-DPLAN-UPES-</t>
    </r>
    <r>
      <rPr>
        <sz val="11"/>
        <rFont val="Century Schoolbook"/>
        <family val="1"/>
      </rPr>
      <t>2023-0014</t>
    </r>
    <r>
      <rPr>
        <sz val="11"/>
        <rFont val="Arial Narrow"/>
        <family val="2"/>
      </rPr>
      <t xml:space="preserve">-M </t>
    </r>
  </si>
  <si>
    <t xml:space="preserve">Dirección de Planificación - Unidad de Planificación, Evaluación y Seguimiento </t>
  </si>
  <si>
    <r>
      <t xml:space="preserve">Solicita incremento de </t>
    </r>
    <r>
      <rPr>
        <sz val="11"/>
        <rFont val="Century Schoolbook"/>
        <family val="1"/>
      </rPr>
      <t>$1.500,00</t>
    </r>
    <r>
      <rPr>
        <sz val="11"/>
        <rFont val="Arial Narrow"/>
        <family val="2"/>
      </rPr>
      <t xml:space="preserve"> en la partida </t>
    </r>
    <r>
      <rPr>
        <sz val="11"/>
        <rFont val="Century Schoolbook"/>
        <family val="1"/>
      </rPr>
      <t>530402 0701 003</t>
    </r>
    <r>
      <rPr>
        <sz val="11"/>
        <rFont val="Arial Narrow"/>
        <family val="2"/>
      </rPr>
      <t xml:space="preserve">, programa </t>
    </r>
    <r>
      <rPr>
        <sz val="11"/>
        <rFont val="Century Schoolbook"/>
        <family val="1"/>
      </rPr>
      <t>01</t>
    </r>
    <r>
      <rPr>
        <sz val="11"/>
        <rFont val="Arial Narrow"/>
        <family val="2"/>
      </rPr>
      <t xml:space="preserve"> - Administración central, correspondiente a Edificios, Locales, Residencias y Cableado Estructurado (Mantenimiento, Reparación e Instalación).</t>
    </r>
  </si>
  <si>
    <r>
      <t>UTMACH-DIDI-BG-</t>
    </r>
    <r>
      <rPr>
        <sz val="12"/>
        <rFont val="Century Schoolbook"/>
        <family val="1"/>
      </rPr>
      <t>2023-0083</t>
    </r>
    <r>
      <rPr>
        <sz val="12"/>
        <rFont val="Arial Narrow"/>
        <family val="2"/>
      </rPr>
      <t>-M</t>
    </r>
  </si>
  <si>
    <r>
      <t xml:space="preserve">Solicita reforma presupuestaria para la Adquisición de libros para la Biblioteca de Ciencias Químicas y de la Salud, que se divida su presupuesto de </t>
    </r>
    <r>
      <rPr>
        <sz val="11"/>
        <rFont val="Century Schoolbook"/>
        <family val="1"/>
      </rPr>
      <t>13.000</t>
    </r>
    <r>
      <rPr>
        <sz val="11"/>
        <rFont val="Arial Narrow"/>
        <family val="2"/>
      </rPr>
      <t xml:space="preserve"> USD en </t>
    </r>
    <r>
      <rPr>
        <sz val="11"/>
        <rFont val="Century Schoolbook"/>
        <family val="1"/>
      </rPr>
      <t xml:space="preserve">9.611,00 </t>
    </r>
    <r>
      <rPr>
        <sz val="11"/>
        <rFont val="Arial Narrow"/>
        <family val="2"/>
      </rPr>
      <t xml:space="preserve">USD para libros mayores a </t>
    </r>
    <r>
      <rPr>
        <sz val="11"/>
        <rFont val="Century Schoolbook"/>
        <family val="1"/>
      </rPr>
      <t>100</t>
    </r>
    <r>
      <rPr>
        <sz val="11"/>
        <rFont val="Arial Narrow"/>
        <family val="2"/>
      </rPr>
      <t xml:space="preserve"> y </t>
    </r>
    <r>
      <rPr>
        <sz val="11"/>
        <rFont val="Century Schoolbook"/>
        <family val="1"/>
      </rPr>
      <t>3.389,00</t>
    </r>
    <r>
      <rPr>
        <sz val="11"/>
        <rFont val="Arial Narrow"/>
        <family val="2"/>
      </rPr>
      <t xml:space="preserve"> USD para libros menores a </t>
    </r>
    <r>
      <rPr>
        <sz val="11"/>
        <rFont val="Century Schoolbook"/>
        <family val="1"/>
      </rPr>
      <t>100</t>
    </r>
    <r>
      <rPr>
        <sz val="11"/>
        <rFont val="Arial Narrow"/>
        <family val="2"/>
      </rPr>
      <t xml:space="preserve"> USD y para la Biblioteca de Ciencias Agropecuarias se requiere que se divida su presupuesto de </t>
    </r>
    <r>
      <rPr>
        <sz val="11"/>
        <rFont val="Century Schoolbook"/>
        <family val="1"/>
      </rPr>
      <t>10.000</t>
    </r>
    <r>
      <rPr>
        <sz val="11"/>
        <rFont val="Arial Narrow"/>
        <family val="2"/>
      </rPr>
      <t xml:space="preserve"> USD en</t>
    </r>
    <r>
      <rPr>
        <sz val="11"/>
        <rFont val="Century Schoolbook"/>
        <family val="1"/>
      </rPr>
      <t xml:space="preserve"> 6.478,00</t>
    </r>
    <r>
      <rPr>
        <sz val="11"/>
        <rFont val="Arial Narrow"/>
        <family val="2"/>
      </rPr>
      <t xml:space="preserve"> USD para libros mayores a </t>
    </r>
    <r>
      <rPr>
        <sz val="11"/>
        <rFont val="Century Schoolbook"/>
        <family val="1"/>
      </rPr>
      <t>100</t>
    </r>
    <r>
      <rPr>
        <sz val="11"/>
        <rFont val="Arial Narrow"/>
        <family val="2"/>
      </rPr>
      <t xml:space="preserve"> y  </t>
    </r>
    <r>
      <rPr>
        <sz val="11"/>
        <rFont val="Century Schoolbook"/>
        <family val="1"/>
      </rPr>
      <t>3.522,00</t>
    </r>
    <r>
      <rPr>
        <sz val="11"/>
        <rFont val="Arial Narrow"/>
        <family val="2"/>
      </rPr>
      <t xml:space="preserve"> USD para libros menores a </t>
    </r>
    <r>
      <rPr>
        <sz val="11"/>
        <rFont val="Century Schoolbook"/>
        <family val="1"/>
      </rPr>
      <t>100</t>
    </r>
    <r>
      <rPr>
        <sz val="11"/>
        <rFont val="Arial Narrow"/>
        <family val="2"/>
      </rPr>
      <t xml:space="preserve"> USD, considerando que este año los precios de los libros para dichas áreas temáticas se han incrementado por la poca producción de libros físicos.</t>
    </r>
  </si>
  <si>
    <r>
      <t>UTMACH-DAC-</t>
    </r>
    <r>
      <rPr>
        <sz val="11"/>
        <rFont val="Century Schoolbook"/>
        <family val="1"/>
      </rPr>
      <t>2023-0143</t>
    </r>
    <r>
      <rPr>
        <sz val="11"/>
        <rFont val="Arial Narrow"/>
        <family val="2"/>
      </rPr>
      <t>-M</t>
    </r>
  </si>
  <si>
    <r>
      <t xml:space="preserve">Solicita la modificación parcial de la denominación del ítem descrito en la partida
</t>
    </r>
    <r>
      <rPr>
        <sz val="11"/>
        <rFont val="Century Schoolbook"/>
        <family val="1"/>
      </rPr>
      <t>840104 0701 003</t>
    </r>
    <r>
      <rPr>
        <sz val="11"/>
        <rFont val="Arial Narrow"/>
        <family val="2"/>
      </rPr>
      <t xml:space="preserve"> Maquinarias y Equipos, conforme al detalle establecido en el memorando.</t>
    </r>
  </si>
  <si>
    <r>
      <t xml:space="preserve">Elaboración: </t>
    </r>
    <r>
      <rPr>
        <i/>
        <sz val="11"/>
        <color theme="1"/>
        <rFont val="Cambria"/>
        <family val="1"/>
      </rPr>
      <t>Ec. Eunice Basilio Banchón, Mgs. - Analista de Formulación y Control Presupuestario.</t>
    </r>
    <r>
      <rPr>
        <b/>
        <i/>
        <sz val="11"/>
        <color theme="1"/>
        <rFont val="Cambria"/>
        <family val="1"/>
      </rPr>
      <t xml:space="preserve">     </t>
    </r>
    <r>
      <rPr>
        <i/>
        <sz val="11"/>
        <color theme="1"/>
        <rFont val="Cambria"/>
        <family val="1"/>
      </rPr>
      <t>Ing. Valeria Ramón Capa - Jefa  de Planificación, Evaluación y Seguimiento</t>
    </r>
  </si>
  <si>
    <r>
      <t>Revisión:</t>
    </r>
    <r>
      <rPr>
        <i/>
        <sz val="11"/>
        <color theme="1"/>
        <rFont val="Cambria"/>
        <family val="1"/>
      </rPr>
      <t xml:space="preserve"> Abg. Oscar Sánchez López - Director de Planificación.</t>
    </r>
  </si>
  <si>
    <r>
      <t xml:space="preserve">Fuente: </t>
    </r>
    <r>
      <rPr>
        <i/>
        <sz val="11"/>
        <color theme="1"/>
        <rFont val="Cambria"/>
        <family val="1"/>
      </rPr>
      <t>Oficios receptados solicitando reforma presupuestaria.</t>
    </r>
  </si>
  <si>
    <r>
      <rPr>
        <b/>
        <i/>
        <sz val="11"/>
        <color rgb="FF000000"/>
        <rFont val="Cambria"/>
        <family val="1"/>
      </rPr>
      <t xml:space="preserve">Fecha Inicio:  </t>
    </r>
    <r>
      <rPr>
        <i/>
        <sz val="11"/>
        <color rgb="FF000000"/>
        <rFont val="Century Schoolbook"/>
        <family val="1"/>
      </rPr>
      <t>27/02/2022</t>
    </r>
  </si>
  <si>
    <r>
      <t xml:space="preserve">Fecha Fin: </t>
    </r>
    <r>
      <rPr>
        <i/>
        <sz val="11"/>
        <color rgb="FF000000"/>
        <rFont val="Cambria"/>
        <family val="1"/>
      </rPr>
      <t xml:space="preserve">     15</t>
    </r>
    <r>
      <rPr>
        <i/>
        <sz val="11"/>
        <color rgb="FF000000"/>
        <rFont val="Century Schoolbook"/>
        <family val="1"/>
      </rPr>
      <t>/06/2023</t>
    </r>
  </si>
  <si>
    <t>510706 0700 003</t>
  </si>
  <si>
    <t>530209 0701 001</t>
  </si>
  <si>
    <t>Servicios de Aseo, Lavado de Vestimenta de Trabajo, Fumigación, Desinfección, Limpieza de Instalaciones, manejo
de desechos contaminados, recuperación y clasificación de materiales reciclables.</t>
  </si>
  <si>
    <t>530228 0701 003</t>
  </si>
  <si>
    <t>840106 0701 002</t>
  </si>
  <si>
    <t>730604 0701 202</t>
  </si>
  <si>
    <t>750501 0701 001</t>
  </si>
  <si>
    <t>Obras de Infraesructura</t>
  </si>
  <si>
    <t>840203 0701 001</t>
  </si>
  <si>
    <t>730604 0701 003</t>
  </si>
  <si>
    <t>750107 0701 001</t>
  </si>
  <si>
    <t>730601 0701 202</t>
  </si>
  <si>
    <t>Machala, 25 de agosto de 2023</t>
  </si>
  <si>
    <t>AMPLIACIÓN</t>
  </si>
  <si>
    <t>COMPROBANTE DE MODIFICACIÓN PRESUPUESTARIA</t>
  </si>
  <si>
    <t>CMP N° 65 del 29/08/2023</t>
  </si>
  <si>
    <t>CMP N° 69 del 30/08/2023</t>
  </si>
  <si>
    <t>CMP N° 68 del 29/08/2023</t>
  </si>
  <si>
    <t>CMP N° 61 del 28/08/2023 (12.399,18)
CMP N° 69 del 30/08/2023 (122.031,67)</t>
  </si>
  <si>
    <t>CMP N° 68 del 29/08/2023 (14.679,48)
CMP N° 70 del 31/08/2023 (155.320,52)</t>
  </si>
  <si>
    <t>CMP N° 69 del 30/08/2023 (110.395,76)</t>
  </si>
  <si>
    <t>CMP N° 70 del 31/08/2023</t>
  </si>
  <si>
    <t>CMP N° 67 del 29/08/2023</t>
  </si>
  <si>
    <t>CMP N° 69 del 30/08/2023 (+1.385,72)</t>
  </si>
  <si>
    <t>CMP N° 69 del 30/08/2023 (-42.311,30)</t>
  </si>
  <si>
    <t>CMP N° 68 del 29/08/2023 (3.879,72)</t>
  </si>
  <si>
    <t>CMP N° 68 del 29/08/2023 (7.406,80)</t>
  </si>
  <si>
    <t>RESUMEN DE SOLICITUDES PARA REFORMA PRESUPUESTARIA N° 004/2023 AL 24 DE AGOSTO DE 2023</t>
  </si>
  <si>
    <t>N° DE MEMORANDO</t>
  </si>
  <si>
    <r>
      <rPr>
        <sz val="11"/>
        <color rgb="FF000000"/>
        <rFont val="Arial Narrow"/>
        <family val="2"/>
      </rPr>
      <t>UTMACH-DF-</t>
    </r>
    <r>
      <rPr>
        <sz val="11"/>
        <color rgb="FF000000"/>
        <rFont val="Century Schoolbook"/>
        <family val="1"/>
      </rPr>
      <t>2023-0264</t>
    </r>
    <r>
      <rPr>
        <sz val="11"/>
        <color rgb="FF000000"/>
        <rFont val="Arial Narrow"/>
        <family val="2"/>
      </rPr>
      <t>-M</t>
    </r>
  </si>
  <si>
    <r>
      <t xml:space="preserve">Solicita rembolso, a favor de la Ing. Norma Solano Correa Jefe de Contabilidad, por el valor de </t>
    </r>
    <r>
      <rPr>
        <sz val="11"/>
        <rFont val="Century Schoolbook"/>
        <family val="1"/>
      </rPr>
      <t>$ 17,00</t>
    </r>
    <r>
      <rPr>
        <sz val="11"/>
        <rFont val="Arial Narrow"/>
        <family val="2"/>
      </rPr>
      <t xml:space="preserve">, conforme la factura que se anexa No. </t>
    </r>
    <r>
      <rPr>
        <sz val="11"/>
        <rFont val="Century Schoolbook"/>
        <family val="1"/>
      </rPr>
      <t>001-100-000000213</t>
    </r>
    <r>
      <rPr>
        <sz val="11"/>
        <rFont val="Arial Narrow"/>
        <family val="2"/>
      </rPr>
      <t xml:space="preserve">, por Comprobantes de Retención elaborados.
Y reembolso de valores derivados del trámite de actualización de la firma electrónica para legalización de comprobantes de retención, por el monto de </t>
    </r>
    <r>
      <rPr>
        <sz val="11"/>
        <rFont val="Century Schoolbook"/>
        <family val="1"/>
      </rPr>
      <t>$ 20,16</t>
    </r>
    <r>
      <rPr>
        <sz val="11"/>
        <rFont val="Arial Narrow"/>
        <family val="2"/>
      </rPr>
      <t xml:space="preserve">, en la partida No. </t>
    </r>
    <r>
      <rPr>
        <sz val="11"/>
        <rFont val="Century Schoolbook"/>
        <family val="1"/>
      </rPr>
      <t>530228</t>
    </r>
    <r>
      <rPr>
        <sz val="11"/>
        <rFont val="Arial Narrow"/>
        <family val="2"/>
      </rPr>
      <t xml:space="preserve"> Servicio de Provisión de Dispositivos Electrónicos y Certificación para Registro de Firmas Digitales.</t>
    </r>
  </si>
  <si>
    <r>
      <t xml:space="preserve">Atendido parcialmente, el valor de </t>
    </r>
    <r>
      <rPr>
        <sz val="11"/>
        <rFont val="Century Schoolbook"/>
        <family val="1"/>
      </rPr>
      <t>$ 20,16.</t>
    </r>
  </si>
  <si>
    <r>
      <rPr>
        <sz val="11"/>
        <color rgb="FF000000"/>
        <rFont val="Arial Narrow"/>
        <family val="2"/>
      </rPr>
      <t>UTMACH-SG-</t>
    </r>
    <r>
      <rPr>
        <sz val="11"/>
        <color rgb="FF000000"/>
        <rFont val="Century Schoolbook"/>
        <family val="1"/>
      </rPr>
      <t>2023-0194</t>
    </r>
    <r>
      <rPr>
        <sz val="11"/>
        <color rgb="FF000000"/>
        <rFont val="Arial Narrow"/>
        <family val="2"/>
      </rPr>
      <t>-M</t>
    </r>
  </si>
  <si>
    <r>
      <rPr>
        <sz val="11"/>
        <color rgb="FF000000"/>
        <rFont val="Arial Narrow"/>
        <family val="2"/>
      </rPr>
      <t xml:space="preserve">Solicita cambio de ítems en la partida N° </t>
    </r>
    <r>
      <rPr>
        <sz val="11"/>
        <color rgb="FF000000"/>
        <rFont val="Century Schoolbook"/>
        <family val="1"/>
      </rPr>
      <t>840107 0701 003</t>
    </r>
    <r>
      <rPr>
        <sz val="11"/>
        <color rgb="FF000000"/>
        <rFont val="Arial Narrow"/>
        <family val="2"/>
      </rPr>
      <t xml:space="preserve"> Equipos, Sistemas y Paquetes Informáticos: Cambiar Scanner duplex por </t>
    </r>
    <r>
      <rPr>
        <sz val="11"/>
        <color rgb="FF000000"/>
        <rFont val="Century Schoolbook"/>
        <family val="1"/>
      </rPr>
      <t>$ 1.232,00</t>
    </r>
    <r>
      <rPr>
        <sz val="11"/>
        <color rgb="FF000000"/>
        <rFont val="Arial Narrow"/>
        <family val="2"/>
      </rPr>
      <t xml:space="preserve"> y Disco duro externo de </t>
    </r>
    <r>
      <rPr>
        <sz val="11"/>
        <color rgb="FF000000"/>
        <rFont val="Century Schoolbook"/>
        <family val="1"/>
      </rPr>
      <t>2</t>
    </r>
    <r>
      <rPr>
        <sz val="11"/>
        <color rgb="FF000000"/>
        <rFont val="Arial Narrow"/>
        <family val="2"/>
      </rPr>
      <t xml:space="preserve"> TB por </t>
    </r>
    <r>
      <rPr>
        <sz val="11"/>
        <color rgb="FF000000"/>
        <rFont val="Century Schoolbook"/>
        <family val="1"/>
      </rPr>
      <t>$ 156,00</t>
    </r>
    <r>
      <rPr>
        <sz val="11"/>
        <color rgb="FF000000"/>
        <rFont val="Arial Narrow"/>
        <family val="2"/>
      </rPr>
      <t xml:space="preserve"> por una Computadora Portátil Modelo 3 por </t>
    </r>
    <r>
      <rPr>
        <sz val="11"/>
        <color rgb="FF000000"/>
        <rFont val="Century Schoolbook"/>
        <family val="1"/>
      </rPr>
      <t>$ 1.311,70</t>
    </r>
    <r>
      <rPr>
        <sz val="11"/>
        <color rgb="FF000000"/>
        <rFont val="Arial Narrow"/>
        <family val="2"/>
      </rPr>
      <t xml:space="preserve"> en relación de que las sesiones de Consejo Universitario, van a realizarse de manera presencial, que nos conlleva a adquirir computadoras portátiles para las sesiones.</t>
    </r>
  </si>
  <si>
    <r>
      <rPr>
        <sz val="11"/>
        <color rgb="FF000000"/>
        <rFont val="Arial Narrow"/>
        <family val="2"/>
      </rPr>
      <t>UTMACH-DIPOS-</t>
    </r>
    <r>
      <rPr>
        <sz val="11"/>
        <color rgb="FF000000"/>
        <rFont val="Century Schoolbook"/>
        <family val="1"/>
      </rPr>
      <t>2023-0213</t>
    </r>
    <r>
      <rPr>
        <sz val="11"/>
        <color rgb="FF000000"/>
        <rFont val="Arial Narrow"/>
        <family val="2"/>
      </rPr>
      <t>-M
UTMACH-DIPOS-</t>
    </r>
    <r>
      <rPr>
        <sz val="11"/>
        <color rgb="FF000000"/>
        <rFont val="Century Schoolbook"/>
        <family val="1"/>
      </rPr>
      <t>2023-0217</t>
    </r>
    <r>
      <rPr>
        <sz val="11"/>
        <color rgb="FF000000"/>
        <rFont val="Arial Narrow"/>
        <family val="2"/>
      </rPr>
      <t>-M (Alcance al M_</t>
    </r>
    <r>
      <rPr>
        <sz val="11"/>
        <color rgb="FF000000"/>
        <rFont val="Century Schoolbook"/>
        <family val="1"/>
      </rPr>
      <t>213</t>
    </r>
    <r>
      <rPr>
        <sz val="11"/>
        <color rgb="FF000000"/>
        <rFont val="Arial Narrow"/>
        <family val="2"/>
      </rPr>
      <t>)
UTMACH-DIPOS-</t>
    </r>
    <r>
      <rPr>
        <sz val="11"/>
        <color rgb="FF000000"/>
        <rFont val="Century Schoolbook"/>
        <family val="1"/>
      </rPr>
      <t>2023-0237</t>
    </r>
    <r>
      <rPr>
        <sz val="11"/>
        <color rgb="FF000000"/>
        <rFont val="Arial Narrow"/>
        <family val="2"/>
      </rPr>
      <t>-M (Alcance al M_217)</t>
    </r>
  </si>
  <si>
    <t>11/07/2023
12/07/2023
21/07/2023</t>
  </si>
  <si>
    <r>
      <t xml:space="preserve">Solicita cambio de ítems sin afectación presupuestaria, cambiar el ítem proyector de la partida N° </t>
    </r>
    <r>
      <rPr>
        <sz val="11"/>
        <color rgb="FF000000"/>
        <rFont val="Century Schoolbook"/>
        <family val="1"/>
      </rPr>
      <t>840107 0701 003</t>
    </r>
    <r>
      <rPr>
        <sz val="11"/>
        <color rgb="FF000000"/>
        <rFont val="Arial Narrow"/>
        <family val="2"/>
      </rPr>
      <t xml:space="preserve"> Equipos, Sistemas y Paquetes Informáticos por el valor de</t>
    </r>
    <r>
      <rPr>
        <sz val="11"/>
        <color rgb="FF000000"/>
        <rFont val="Century Schoolbook"/>
        <family val="1"/>
      </rPr>
      <t xml:space="preserve"> $ 1.907,60</t>
    </r>
    <r>
      <rPr>
        <sz val="11"/>
        <color rgb="FF000000"/>
        <rFont val="Arial Narrow"/>
        <family val="2"/>
      </rPr>
      <t xml:space="preserve"> a la partida N° </t>
    </r>
    <r>
      <rPr>
        <sz val="11"/>
        <color rgb="FF000000"/>
        <rFont val="Century Schoolbook"/>
        <family val="1"/>
      </rPr>
      <t>840104 0701 003</t>
    </r>
    <r>
      <rPr>
        <sz val="11"/>
        <color rgb="FF000000"/>
        <rFont val="Arial Narrow"/>
        <family val="2"/>
      </rPr>
      <t xml:space="preserve"> Maquinarias y Equipos.
Incrementar en la partida N° </t>
    </r>
    <r>
      <rPr>
        <sz val="11"/>
        <color rgb="FF000000"/>
        <rFont val="Century Schoolbook"/>
        <family val="1"/>
      </rPr>
      <t>840103 0701 003</t>
    </r>
    <r>
      <rPr>
        <sz val="11"/>
        <color rgb="FF000000"/>
        <rFont val="Arial Narrow"/>
        <family val="2"/>
      </rPr>
      <t xml:space="preserve"> Mobiliarios el valor de </t>
    </r>
    <r>
      <rPr>
        <sz val="11"/>
        <color rgb="FF000000"/>
        <rFont val="Century Schoolbook"/>
        <family val="1"/>
      </rPr>
      <t>$ 159,85</t>
    </r>
    <r>
      <rPr>
        <sz val="11"/>
        <color rgb="FF000000"/>
        <rFont val="Arial Narrow"/>
        <family val="2"/>
      </rPr>
      <t xml:space="preserve"> en razón de que el Armario Biblioteca según el Catálogo de Compras Públicas del SERCOP vigente ha subido de precio de </t>
    </r>
    <r>
      <rPr>
        <sz val="11"/>
        <color rgb="FF000000"/>
        <rFont val="Century Schoolbook"/>
        <family val="1"/>
      </rPr>
      <t>$ 443,34</t>
    </r>
    <r>
      <rPr>
        <sz val="11"/>
        <color rgb="FF000000"/>
        <rFont val="Arial Narrow"/>
        <family val="2"/>
      </rPr>
      <t xml:space="preserve"> a </t>
    </r>
    <r>
      <rPr>
        <sz val="11"/>
        <color rgb="FF000000"/>
        <rFont val="Century Schoolbook"/>
        <family val="1"/>
      </rPr>
      <t>$ 603,19</t>
    </r>
    <r>
      <rPr>
        <sz val="11"/>
        <color rgb="FF000000"/>
        <rFont val="Arial Narrow"/>
        <family val="2"/>
      </rPr>
      <t xml:space="preserve"> (incluido IVA).
Reducir en la partida N° </t>
    </r>
    <r>
      <rPr>
        <sz val="11"/>
        <color rgb="FF000000"/>
        <rFont val="Century Schoolbook"/>
        <family val="1"/>
      </rPr>
      <t>530204 0701 001</t>
    </r>
    <r>
      <rPr>
        <sz val="11"/>
        <color rgb="FF000000"/>
        <rFont val="Arial Narrow"/>
        <family val="2"/>
      </rPr>
      <t xml:space="preserve"> Edición, impresión, reproducción y publicaciones por el valor de </t>
    </r>
    <r>
      <rPr>
        <sz val="11"/>
        <color rgb="FF000000"/>
        <rFont val="Century Schoolbook"/>
        <family val="1"/>
      </rPr>
      <t>$ 1.509,87</t>
    </r>
    <r>
      <rPr>
        <sz val="11"/>
        <color rgb="FF000000"/>
        <rFont val="Arial Narrow"/>
        <family val="2"/>
      </rPr>
      <t xml:space="preserve"> e incrementar en la partida N° </t>
    </r>
    <r>
      <rPr>
        <sz val="11"/>
        <color rgb="FF000000"/>
        <rFont val="Century Schoolbook"/>
        <family val="1"/>
      </rPr>
      <t>840103 0701 003</t>
    </r>
    <r>
      <rPr>
        <sz val="11"/>
        <color rgb="FF000000"/>
        <rFont val="Arial Narrow"/>
        <family val="2"/>
      </rPr>
      <t xml:space="preserve"> Mobiliarios el valor de </t>
    </r>
    <r>
      <rPr>
        <sz val="11"/>
        <color rgb="FF000000"/>
        <rFont val="Century Schoolbook"/>
        <family val="1"/>
      </rPr>
      <t>$ 1,164,80</t>
    </r>
    <r>
      <rPr>
        <sz val="11"/>
        <color rgb="FF000000"/>
        <rFont val="Arial Narrow"/>
        <family val="2"/>
      </rPr>
      <t xml:space="preserve"> y en la partida N° </t>
    </r>
    <r>
      <rPr>
        <sz val="11"/>
        <color rgb="FF000000"/>
        <rFont val="Century Schoolbook"/>
        <family val="1"/>
      </rPr>
      <t>5302040701 001</t>
    </r>
    <r>
      <rPr>
        <sz val="11"/>
        <color rgb="FF000000"/>
        <rFont val="Arial Narrow"/>
        <family val="2"/>
      </rPr>
      <t xml:space="preserve"> Edición, impresión, reproducción y publicaciones el valor de </t>
    </r>
    <r>
      <rPr>
        <sz val="11"/>
        <color rgb="FF000000"/>
        <rFont val="Century Schoolbook"/>
        <family val="1"/>
      </rPr>
      <t>$ 337,12.</t>
    </r>
  </si>
  <si>
    <t>Atendido parcialmente. Solo se atendió los dos primeros requerimientos.</t>
  </si>
  <si>
    <r>
      <rPr>
        <sz val="11"/>
        <color rgb="FF000000"/>
        <rFont val="Arial Narrow"/>
        <family val="2"/>
      </rPr>
      <t>UTMACH-DF-</t>
    </r>
    <r>
      <rPr>
        <sz val="11"/>
        <color rgb="FF000000"/>
        <rFont val="Century Schoolbook"/>
        <family val="1"/>
      </rPr>
      <t>2023-0282</t>
    </r>
    <r>
      <rPr>
        <sz val="11"/>
        <color rgb="FF000000"/>
        <rFont val="Arial Narrow"/>
        <family val="2"/>
      </rPr>
      <t>-M</t>
    </r>
  </si>
  <si>
    <r>
      <t xml:space="preserve">Solicito incremento en la partida N° </t>
    </r>
    <r>
      <rPr>
        <sz val="11"/>
        <rFont val="Century Schoolbook"/>
        <family val="1"/>
      </rPr>
      <t>530105 0701 003</t>
    </r>
    <r>
      <rPr>
        <sz val="11"/>
        <rFont val="Arial Narrow"/>
        <family val="2"/>
      </rPr>
      <t xml:space="preserve"> Telecomunicaciones por el valor de </t>
    </r>
    <r>
      <rPr>
        <sz val="11"/>
        <rFont val="Century Schoolbook"/>
        <family val="1"/>
      </rPr>
      <t>$ 9.000,00</t>
    </r>
    <r>
      <rPr>
        <sz val="11"/>
        <rFont val="Arial Narrow"/>
        <family val="2"/>
      </rPr>
      <t>, para pago de facturas del Servicio Telefónico y video vigilancia para los próximos meses, por cuanto actualmente la partida se encuentra agotada.</t>
    </r>
  </si>
  <si>
    <r>
      <rPr>
        <sz val="11"/>
        <color rgb="FF000000"/>
        <rFont val="Arial Narrow"/>
        <family val="2"/>
      </rPr>
      <t>UTMACH-SG-</t>
    </r>
    <r>
      <rPr>
        <sz val="11"/>
        <color rgb="FF000000"/>
        <rFont val="Century Schoolbook"/>
        <family val="1"/>
      </rPr>
      <t>2023-0213</t>
    </r>
    <r>
      <rPr>
        <sz val="11"/>
        <color rgb="FF000000"/>
        <rFont val="Arial Narrow"/>
        <family val="2"/>
      </rPr>
      <t>-M</t>
    </r>
  </si>
  <si>
    <r>
      <rPr>
        <sz val="11"/>
        <color rgb="FF000000"/>
        <rFont val="Arial Narrow"/>
        <family val="2"/>
      </rPr>
      <t xml:space="preserve">Solicita reducción en la partida N° </t>
    </r>
    <r>
      <rPr>
        <sz val="11"/>
        <color rgb="FF000000"/>
        <rFont val="Century Schoolbook"/>
        <family val="1"/>
      </rPr>
      <t>530106 0701 003</t>
    </r>
    <r>
      <rPr>
        <sz val="11"/>
        <color rgb="FF000000"/>
        <rFont val="Arial Narrow"/>
        <family val="2"/>
      </rPr>
      <t xml:space="preserve"> Servicio de Correo el valor de </t>
    </r>
    <r>
      <rPr>
        <sz val="11"/>
        <color rgb="FF000000"/>
        <rFont val="Century Schoolbook"/>
        <family val="1"/>
      </rPr>
      <t>$ 2.160,00</t>
    </r>
    <r>
      <rPr>
        <sz val="11"/>
        <color rgb="FF000000"/>
        <rFont val="Arial Narrow"/>
        <family val="2"/>
      </rPr>
      <t xml:space="preserve">, puesto que el proceso de contratación, resultaría inoficioso para la institución, e incremento en la partida N° </t>
    </r>
    <r>
      <rPr>
        <sz val="11"/>
        <color rgb="FF000000"/>
        <rFont val="Century Schoolbook"/>
        <family val="1"/>
      </rPr>
      <t>840107 0701 003</t>
    </r>
    <r>
      <rPr>
        <sz val="11"/>
        <color rgb="FF000000"/>
        <rFont val="Arial Narrow"/>
        <family val="2"/>
      </rPr>
      <t xml:space="preserve"> Equipos, Sistemas y Paquetes Informáticos el valor de </t>
    </r>
    <r>
      <rPr>
        <sz val="11"/>
        <color rgb="FF000000"/>
        <rFont val="Century Schoolbook"/>
        <family val="1"/>
      </rPr>
      <t>$ 1.771,84</t>
    </r>
    <r>
      <rPr>
        <sz val="11"/>
        <color rgb="FF000000"/>
        <rFont val="Arial Narrow"/>
        <family val="2"/>
      </rPr>
      <t xml:space="preserve"> y en la partida N° </t>
    </r>
    <r>
      <rPr>
        <sz val="11"/>
        <color rgb="FF000000"/>
        <rFont val="Century Schoolbook"/>
        <family val="1"/>
      </rPr>
      <t>530204 0701 003</t>
    </r>
    <r>
      <rPr>
        <sz val="11"/>
        <color rgb="FF000000"/>
        <rFont val="Arial Narrow"/>
        <family val="2"/>
      </rPr>
      <t xml:space="preserve"> Edición, Impresión, Reproducción, Publicaciones, el valor de </t>
    </r>
    <r>
      <rPr>
        <sz val="11"/>
        <color rgb="FF000000"/>
        <rFont val="Century Schoolbook"/>
        <family val="1"/>
      </rPr>
      <t>$ 388,16.</t>
    </r>
  </si>
  <si>
    <r>
      <rPr>
        <sz val="11"/>
        <color rgb="FF000000"/>
        <rFont val="Arial Narrow"/>
        <family val="2"/>
      </rPr>
      <t>UTMACH-DTH-</t>
    </r>
    <r>
      <rPr>
        <sz val="11"/>
        <color rgb="FF000000"/>
        <rFont val="Century Schoolbook"/>
        <family val="1"/>
      </rPr>
      <t>2023-1017</t>
    </r>
    <r>
      <rPr>
        <sz val="11"/>
        <color rgb="FF000000"/>
        <rFont val="Arial Narrow"/>
        <family val="2"/>
      </rPr>
      <t>-M</t>
    </r>
  </si>
  <si>
    <r>
      <t xml:space="preserve">Solicita incremento en la partida N° </t>
    </r>
    <r>
      <rPr>
        <sz val="11"/>
        <color rgb="FF000000"/>
        <rFont val="Century Schoolbook"/>
        <family val="1"/>
      </rPr>
      <t>530606 0701 003</t>
    </r>
    <r>
      <rPr>
        <sz val="11"/>
        <color rgb="FF000000"/>
        <rFont val="Arial Narrow"/>
        <family val="2"/>
      </rPr>
      <t xml:space="preserve"> Honorarios por Contratos Civiles de Servicios por el valor de $ </t>
    </r>
    <r>
      <rPr>
        <sz val="11"/>
        <color rgb="FF000000"/>
        <rFont val="Century Schoolbook"/>
        <family val="1"/>
      </rPr>
      <t xml:space="preserve">1.412,00 </t>
    </r>
    <r>
      <rPr>
        <sz val="11"/>
        <color rgb="FF000000"/>
        <rFont val="Arial Narrow"/>
        <family val="2"/>
      </rPr>
      <t xml:space="preserve">por </t>
    </r>
    <r>
      <rPr>
        <sz val="11"/>
        <color rgb="FF000000"/>
        <rFont val="Century Schoolbook"/>
        <family val="1"/>
      </rPr>
      <t>6</t>
    </r>
    <r>
      <rPr>
        <sz val="11"/>
        <color rgb="FF000000"/>
        <rFont val="Arial Narrow"/>
        <family val="2"/>
      </rPr>
      <t xml:space="preserve"> meses, dando un total de</t>
    </r>
    <r>
      <rPr>
        <sz val="11"/>
        <color rgb="FF000000"/>
        <rFont val="Century Schoolbook"/>
        <family val="1"/>
      </rPr>
      <t xml:space="preserve"> $ 8.472,00 </t>
    </r>
    <r>
      <rPr>
        <sz val="11"/>
        <color rgb="FF000000"/>
        <rFont val="Arial Narrow"/>
        <family val="2"/>
      </rPr>
      <t>para financiar la contratación de un trabajador social.</t>
    </r>
  </si>
  <si>
    <r>
      <rPr>
        <sz val="11"/>
        <color rgb="FF000000"/>
        <rFont val="Arial Narrow"/>
        <family val="2"/>
      </rPr>
      <t>UTMACH-VINVIP-</t>
    </r>
    <r>
      <rPr>
        <sz val="11"/>
        <color rgb="FF000000"/>
        <rFont val="Century Schoolbook"/>
        <family val="1"/>
      </rPr>
      <t>2023-0213</t>
    </r>
    <r>
      <rPr>
        <sz val="11"/>
        <color rgb="FF000000"/>
        <rFont val="Arial Narrow"/>
        <family val="2"/>
      </rPr>
      <t>-M</t>
    </r>
  </si>
  <si>
    <r>
      <t xml:space="preserve">Solicita incremento en la partida N° </t>
    </r>
    <r>
      <rPr>
        <sz val="11"/>
        <color rgb="FF000000"/>
        <rFont val="Century Schoolbook"/>
        <family val="1"/>
      </rPr>
      <t>580208 0701 001</t>
    </r>
    <r>
      <rPr>
        <sz val="11"/>
        <color rgb="FF000000"/>
        <rFont val="Arial Narrow"/>
        <family val="2"/>
      </rPr>
      <t xml:space="preserve"> Becas y Ayudas Económicas el valor de </t>
    </r>
    <r>
      <rPr>
        <sz val="11"/>
        <color rgb="FF000000"/>
        <rFont val="Century Schoolbook"/>
        <family val="1"/>
      </rPr>
      <t>$ 26.116,86</t>
    </r>
    <r>
      <rPr>
        <sz val="11"/>
        <color rgb="FF000000"/>
        <rFont val="Arial Narrow"/>
        <family val="2"/>
      </rPr>
      <t xml:space="preserve">, considerando que el Consejo Universitario aprobó el PLAN ESPECIAL DE BECAS PARA PROGRAMAS DOCTORALES Y POSDOCTORALES </t>
    </r>
    <r>
      <rPr>
        <sz val="11"/>
        <color rgb="FF000000"/>
        <rFont val="Century Schoolbook"/>
        <family val="1"/>
      </rPr>
      <t>2022</t>
    </r>
    <r>
      <rPr>
        <sz val="11"/>
        <color rgb="FF000000"/>
        <rFont val="Arial Narrow"/>
        <family val="2"/>
      </rPr>
      <t xml:space="preserve"> considerando que en el precitado plan se estipuló que los valores sean otorgados en dos desembolsos, quedando pendiente el segundo desembolso a otorgarse en el presente año por el valor solicitado.</t>
    </r>
  </si>
  <si>
    <r>
      <rPr>
        <sz val="11"/>
        <color rgb="FF000000"/>
        <rFont val="Arial Narrow"/>
        <family val="2"/>
      </rPr>
      <t>UTMACH-VACAD-</t>
    </r>
    <r>
      <rPr>
        <sz val="11"/>
        <color rgb="FF000000"/>
        <rFont val="Century Schoolbook"/>
        <family val="1"/>
      </rPr>
      <t>2023-0354</t>
    </r>
    <r>
      <rPr>
        <sz val="11"/>
        <color rgb="FF000000"/>
        <rFont val="Arial Narrow"/>
        <family val="2"/>
      </rPr>
      <t>-M</t>
    </r>
  </si>
  <si>
    <r>
      <rPr>
        <sz val="11"/>
        <color rgb="FF000000"/>
        <rFont val="Arial Narrow"/>
        <family val="2"/>
      </rPr>
      <t xml:space="preserve">Solicita incremento en la partida N° </t>
    </r>
    <r>
      <rPr>
        <sz val="11"/>
        <color rgb="FF000000"/>
        <rFont val="Century Schoolbook"/>
        <family val="1"/>
      </rPr>
      <t>840104 0701 002</t>
    </r>
    <r>
      <rPr>
        <sz val="11"/>
        <color rgb="FF000000"/>
        <rFont val="Arial Narrow"/>
        <family val="2"/>
      </rPr>
      <t xml:space="preserve"> Maquinarias y Equipos por el valor de </t>
    </r>
    <r>
      <rPr>
        <sz val="11"/>
        <color rgb="FF000000"/>
        <rFont val="Century Schoolbook"/>
        <family val="1"/>
      </rPr>
      <t>$ 313,60</t>
    </r>
    <r>
      <rPr>
        <sz val="11"/>
        <color rgb="FF000000"/>
        <rFont val="Arial Narrow"/>
        <family val="2"/>
      </rPr>
      <t xml:space="preserve"> para la compra de un dispensador de agua (fria, caliente y ambiente), con la finalidad de reemplazar el que se encuentra sin uso, debido a que en el terremoto de marzo sufrió daño irreparable.</t>
    </r>
  </si>
  <si>
    <r>
      <rPr>
        <sz val="11"/>
        <color rgb="FF000000"/>
        <rFont val="Arial Narrow"/>
        <family val="2"/>
      </rPr>
      <t>UTMACH-VINVIP-</t>
    </r>
    <r>
      <rPr>
        <sz val="11"/>
        <color rgb="FF000000"/>
        <rFont val="Century Schoolbook"/>
        <family val="1"/>
      </rPr>
      <t>2023-0220</t>
    </r>
    <r>
      <rPr>
        <sz val="11"/>
        <color rgb="FF000000"/>
        <rFont val="Arial Narrow"/>
        <family val="2"/>
      </rPr>
      <t>-M</t>
    </r>
  </si>
  <si>
    <t>Solicita reducciones en varias partidas presupuestarias, así como también incrementos conforme a las 4 solicitudes de reforma presupuestaria anexa.</t>
  </si>
  <si>
    <r>
      <t xml:space="preserve">Atendido parcialmente, a excepción del incremento en la partida N° </t>
    </r>
    <r>
      <rPr>
        <sz val="11"/>
        <rFont val="Century Schoolbook"/>
        <family val="1"/>
      </rPr>
      <t>530204 0701 001</t>
    </r>
    <r>
      <rPr>
        <sz val="11"/>
        <rFont val="Arial Narrow"/>
        <family val="2"/>
      </rPr>
      <t xml:space="preserve"> Edición, Impresión, Reproducción, Publicaciones por el valor de </t>
    </r>
    <r>
      <rPr>
        <sz val="11"/>
        <rFont val="Century Schoolbook"/>
        <family val="1"/>
      </rPr>
      <t>$ 4.200,00.</t>
    </r>
  </si>
  <si>
    <r>
      <rPr>
        <sz val="11"/>
        <color rgb="FF000000"/>
        <rFont val="Arial Narrow"/>
        <family val="2"/>
      </rPr>
      <t>UTMACH-FCA-D-</t>
    </r>
    <r>
      <rPr>
        <sz val="11"/>
        <color rgb="FF000000"/>
        <rFont val="Century Schoolbook"/>
        <family val="1"/>
      </rPr>
      <t>2023-0571</t>
    </r>
    <r>
      <rPr>
        <sz val="11"/>
        <color rgb="FF000000"/>
        <rFont val="Arial Narrow"/>
        <family val="2"/>
      </rPr>
      <t>-M</t>
    </r>
  </si>
  <si>
    <r>
      <rPr>
        <sz val="11"/>
        <color rgb="FF000000"/>
        <rFont val="Arial Narrow"/>
        <family val="2"/>
      </rPr>
      <t xml:space="preserve">Solicita reducción en la partida N° </t>
    </r>
    <r>
      <rPr>
        <sz val="11"/>
        <color rgb="FF000000"/>
        <rFont val="Century Schoolbook"/>
        <family val="1"/>
      </rPr>
      <t>840104 0701 003</t>
    </r>
    <r>
      <rPr>
        <sz val="11"/>
        <color rgb="FF000000"/>
        <rFont val="Arial Narrow"/>
        <family val="2"/>
      </rPr>
      <t xml:space="preserve"> Maquinarias y Equipos por el valor de </t>
    </r>
    <r>
      <rPr>
        <sz val="11"/>
        <color rgb="FF000000"/>
        <rFont val="Century Schoolbook"/>
        <family val="1"/>
      </rPr>
      <t>$ 500,00</t>
    </r>
    <r>
      <rPr>
        <sz val="11"/>
        <color rgb="FF000000"/>
        <rFont val="Arial Narrow"/>
        <family val="2"/>
      </rPr>
      <t xml:space="preserve"> e incrementar en la partida N° </t>
    </r>
    <r>
      <rPr>
        <sz val="11"/>
        <color rgb="FF000000"/>
        <rFont val="Century Schoolbook"/>
        <family val="1"/>
      </rPr>
      <t>840107 0701 003</t>
    </r>
    <r>
      <rPr>
        <sz val="11"/>
        <color rgb="FF000000"/>
        <rFont val="Arial Narrow"/>
        <family val="2"/>
      </rPr>
      <t xml:space="preserve"> Equipos, Sistemas y Paquetes Informáticos por el mismo valor para la compra de un scaner. Además solicita incremento en la partida N° </t>
    </r>
    <r>
      <rPr>
        <sz val="11"/>
        <color rgb="FF000000"/>
        <rFont val="Century Schoolbook"/>
        <family val="1"/>
      </rPr>
      <t>530601 0701 003</t>
    </r>
    <r>
      <rPr>
        <sz val="11"/>
        <color rgb="FF000000"/>
        <rFont val="Arial Narrow"/>
        <family val="2"/>
      </rPr>
      <t xml:space="preserve"> Consultoría, Asesoría e Investigación Especializada por el valor de </t>
    </r>
    <r>
      <rPr>
        <sz val="11"/>
        <color rgb="FF000000"/>
        <rFont val="Century Schoolbook"/>
        <family val="1"/>
      </rPr>
      <t>$ 50.000,00</t>
    </r>
    <r>
      <rPr>
        <sz val="11"/>
        <color rgb="FF000000"/>
        <rFont val="Arial Narrow"/>
        <family val="2"/>
      </rPr>
      <t xml:space="preserve"> para realizar el Estudios técnicos completos para la construcción del bloque de laboratorios de la FCA.</t>
    </r>
  </si>
  <si>
    <r>
      <t xml:space="preserve">Atendido favorablemente y para los Estudios especializados y definitivos para la construcción del bloque de laboratorios de la Facultad de Ciencias Agropecuarias se cuenta con </t>
    </r>
    <r>
      <rPr>
        <sz val="11"/>
        <rFont val="Century Schoolbook"/>
        <family val="1"/>
      </rPr>
      <t>$ 45.000,00.</t>
    </r>
  </si>
  <si>
    <r>
      <rPr>
        <sz val="11"/>
        <color rgb="FF000000"/>
        <rFont val="Arial Narrow"/>
        <family val="2"/>
      </rPr>
      <t>UTMACH-DADM-</t>
    </r>
    <r>
      <rPr>
        <sz val="11"/>
        <color rgb="FF000000"/>
        <rFont val="Century Schoolbook"/>
        <family val="1"/>
      </rPr>
      <t>2023-0645</t>
    </r>
    <r>
      <rPr>
        <sz val="11"/>
        <color rgb="FF000000"/>
        <rFont val="Arial Narrow"/>
        <family val="2"/>
      </rPr>
      <t>-M</t>
    </r>
  </si>
  <si>
    <r>
      <t xml:space="preserve">Solicita reducción en la partida N° </t>
    </r>
    <r>
      <rPr>
        <sz val="11"/>
        <rFont val="Century Schoolbook"/>
        <family val="1"/>
      </rPr>
      <t>530208 0701 003</t>
    </r>
    <r>
      <rPr>
        <sz val="11"/>
        <rFont val="Arial Narrow"/>
        <family val="2"/>
      </rPr>
      <t xml:space="preserve"> Servicio de Seguridad y Vigilancia por el valor de </t>
    </r>
    <r>
      <rPr>
        <sz val="11"/>
        <rFont val="Century Schoolbook"/>
        <family val="1"/>
      </rPr>
      <t>$ 47.178,00</t>
    </r>
    <r>
      <rPr>
        <sz val="11"/>
        <rFont val="Arial Narrow"/>
        <family val="2"/>
      </rPr>
      <t xml:space="preserve"> e incremento en varias partidas conforme a la solictud de reforma presupuestaria anexa.</t>
    </r>
  </si>
  <si>
    <r>
      <t xml:space="preserve">Atendido parcialmente, el servicio de aseo por el valor de </t>
    </r>
    <r>
      <rPr>
        <sz val="11"/>
        <rFont val="Century Schoolbook"/>
        <family val="1"/>
      </rPr>
      <t>$ 31.207,68 (3</t>
    </r>
    <r>
      <rPr>
        <sz val="11"/>
        <rFont val="Arial Narrow"/>
        <family val="2"/>
      </rPr>
      <t xml:space="preserve"> meses), saldo para cubrir gastos por vía publica de </t>
    </r>
    <r>
      <rPr>
        <sz val="11"/>
        <rFont val="Century Schoolbook"/>
        <family val="1"/>
      </rPr>
      <t>$ 2.520,22</t>
    </r>
    <r>
      <rPr>
        <sz val="11"/>
        <rFont val="Arial Narrow"/>
        <family val="2"/>
      </rPr>
      <t xml:space="preserve"> y la adquisición de radios portátiles y radios bases por el valor total de </t>
    </r>
    <r>
      <rPr>
        <sz val="11"/>
        <rFont val="Century Schoolbook"/>
        <family val="1"/>
      </rPr>
      <t>$ 6.888,00</t>
    </r>
    <r>
      <rPr>
        <sz val="11"/>
        <rFont val="Arial Narrow"/>
        <family val="2"/>
      </rPr>
      <t xml:space="preserve">, Mantenimiento y Reparación de Equipos y Sistemas Informáticos por el valor de </t>
    </r>
    <r>
      <rPr>
        <sz val="11"/>
        <rFont val="Century Schoolbook"/>
        <family val="1"/>
      </rPr>
      <t>$ 2.184,00 (3</t>
    </r>
    <r>
      <rPr>
        <sz val="11"/>
        <rFont val="Arial Narrow"/>
        <family val="2"/>
      </rPr>
      <t xml:space="preserve"> meses). Deberá generar la certificación prurianual para los rubros </t>
    </r>
    <r>
      <rPr>
        <sz val="11"/>
        <rFont val="Century Schoolbook"/>
        <family val="1"/>
      </rPr>
      <t>2024</t>
    </r>
    <r>
      <rPr>
        <sz val="11"/>
        <rFont val="Arial Narrow"/>
        <family val="2"/>
      </rPr>
      <t>.</t>
    </r>
  </si>
  <si>
    <r>
      <t>UTMACH-DVIN-</t>
    </r>
    <r>
      <rPr>
        <sz val="11"/>
        <color rgb="FF000000"/>
        <rFont val="Century Schoolbook"/>
        <family val="1"/>
      </rPr>
      <t>2023-0363</t>
    </r>
    <r>
      <rPr>
        <sz val="11"/>
        <color rgb="FF000000"/>
        <rFont val="Arial Narrow"/>
        <family val="2"/>
      </rPr>
      <t>-M
UTMACH-DVIN-</t>
    </r>
    <r>
      <rPr>
        <sz val="11"/>
        <color rgb="FF000000"/>
        <rFont val="Century Schoolbook"/>
        <family val="1"/>
      </rPr>
      <t>2023-0406</t>
    </r>
    <r>
      <rPr>
        <sz val="11"/>
        <color rgb="FF000000"/>
        <rFont val="Arial Narrow"/>
        <family val="2"/>
      </rPr>
      <t>-M
(Alcance al M_</t>
    </r>
    <r>
      <rPr>
        <sz val="11"/>
        <color rgb="FF000000"/>
        <rFont val="Century Schoolbook"/>
        <family val="1"/>
      </rPr>
      <t>0363</t>
    </r>
    <r>
      <rPr>
        <sz val="11"/>
        <color rgb="FF000000"/>
        <rFont val="Arial Narrow"/>
        <family val="2"/>
      </rPr>
      <t>)</t>
    </r>
  </si>
  <si>
    <t>28/07/2023
17/08/2023</t>
  </si>
  <si>
    <r>
      <t xml:space="preserve">Solicita reforma de ítems, y al ser atendido de manera parcial en reforma </t>
    </r>
    <r>
      <rPr>
        <sz val="11"/>
        <color rgb="FF000000"/>
        <rFont val="Century Schoolbook"/>
        <family val="1"/>
      </rPr>
      <t>3</t>
    </r>
    <r>
      <rPr>
        <sz val="11"/>
        <color rgb="FF000000"/>
        <rFont val="Arial Narrow"/>
        <family val="2"/>
      </rPr>
      <t xml:space="preserve"> lo solicitado para cartera de proyectos </t>
    </r>
    <r>
      <rPr>
        <sz val="11"/>
        <color rgb="FF000000"/>
        <rFont val="Century Schoolbook"/>
        <family val="1"/>
      </rPr>
      <t>2022-2</t>
    </r>
    <r>
      <rPr>
        <sz val="11"/>
        <color rgb="FF000000"/>
        <rFont val="Arial Narrow"/>
        <family val="2"/>
      </rPr>
      <t xml:space="preserve">, de acuerdo a lo coordinado en sesión de trabajo mantenida el día </t>
    </r>
    <r>
      <rPr>
        <sz val="11"/>
        <color rgb="FF000000"/>
        <rFont val="Century Schoolbook"/>
        <family val="1"/>
      </rPr>
      <t>17</t>
    </r>
    <r>
      <rPr>
        <sz val="11"/>
        <color rgb="FF000000"/>
        <rFont val="Arial Narrow"/>
        <family val="2"/>
      </rPr>
      <t xml:space="preserve"> de agosto de </t>
    </r>
    <r>
      <rPr>
        <sz val="11"/>
        <color rgb="FF000000"/>
        <rFont val="Century Schoolbook"/>
        <family val="1"/>
      </rPr>
      <t>2023</t>
    </r>
    <r>
      <rPr>
        <sz val="11"/>
        <color rgb="FF000000"/>
        <rFont val="Arial Narrow"/>
        <family val="2"/>
      </rPr>
      <t xml:space="preserve"> en la Dirección de Planificación.</t>
    </r>
  </si>
  <si>
    <r>
      <rPr>
        <sz val="11"/>
        <color rgb="FF000000"/>
        <rFont val="Arial Narrow"/>
        <family val="2"/>
      </rPr>
      <t>UTMACH-FCS-D-</t>
    </r>
    <r>
      <rPr>
        <sz val="11"/>
        <color rgb="FF000000"/>
        <rFont val="Century Schoolbook"/>
        <family val="1"/>
      </rPr>
      <t>2023-0793</t>
    </r>
    <r>
      <rPr>
        <sz val="11"/>
        <color rgb="FF000000"/>
        <rFont val="Arial Narrow"/>
        <family val="2"/>
      </rPr>
      <t>-M
UTMACH-FCS-D-</t>
    </r>
    <r>
      <rPr>
        <sz val="11"/>
        <color rgb="FF000000"/>
        <rFont val="Century Schoolbook"/>
        <family val="1"/>
      </rPr>
      <t>2023-0831</t>
    </r>
    <r>
      <rPr>
        <sz val="11"/>
        <color rgb="FF000000"/>
        <rFont val="Arial Narrow"/>
        <family val="2"/>
      </rPr>
      <t>-M (Alcance al M_</t>
    </r>
    <r>
      <rPr>
        <sz val="11"/>
        <color rgb="FF000000"/>
        <rFont val="Century Schoolbook"/>
        <family val="1"/>
      </rPr>
      <t>0793</t>
    </r>
    <r>
      <rPr>
        <sz val="11"/>
        <color rgb="FF000000"/>
        <rFont val="Arial Narrow"/>
        <family val="2"/>
      </rPr>
      <t>)</t>
    </r>
  </si>
  <si>
    <t>28/07/2023
03/08/2023</t>
  </si>
  <si>
    <r>
      <rPr>
        <sz val="11"/>
        <color rgb="FF000000"/>
        <rFont val="Arial Narrow"/>
        <family val="2"/>
      </rPr>
      <t xml:space="preserve">Solicita reducción en la partida N° </t>
    </r>
    <r>
      <rPr>
        <sz val="11"/>
        <color rgb="FF000000"/>
        <rFont val="Century Schoolbook"/>
        <family val="1"/>
      </rPr>
      <t>531403 0701 002</t>
    </r>
    <r>
      <rPr>
        <sz val="11"/>
        <color rgb="FF000000"/>
        <rFont val="Arial Narrow"/>
        <family val="2"/>
      </rPr>
      <t xml:space="preserve"> Mobiliario por el valor de </t>
    </r>
    <r>
      <rPr>
        <sz val="11"/>
        <color rgb="FF000000"/>
        <rFont val="Century Schoolbook"/>
        <family val="1"/>
      </rPr>
      <t>$ 793,19</t>
    </r>
    <r>
      <rPr>
        <sz val="11"/>
        <color rgb="FF000000"/>
        <rFont val="Arial Narrow"/>
        <family val="2"/>
      </rPr>
      <t xml:space="preserve"> e incremento en varias partidas por un valor total de </t>
    </r>
    <r>
      <rPr>
        <sz val="11"/>
        <color rgb="FF000000"/>
        <rFont val="Century Schoolbook"/>
        <family val="1"/>
      </rPr>
      <t>$ 41.483,40</t>
    </r>
    <r>
      <rPr>
        <sz val="11"/>
        <color rgb="FF000000"/>
        <rFont val="Arial Narrow"/>
        <family val="2"/>
      </rPr>
      <t>, conforme a la solicitud de reforma presupuestaria anexa, para la adquisición de equipos tecnologicos para las Carreras de Comunicación y Artes Plásticas, ya que los mismos son indispensables en los 
laboratorios de estas carreras y así como también equipos que servirán a las carreras de pedagogía para impartir sus clases con las herramientas necesarias.</t>
    </r>
  </si>
  <si>
    <r>
      <t xml:space="preserve">Atendido partialmente, solo se cambió los ítems de la partida </t>
    </r>
    <r>
      <rPr>
        <sz val="11"/>
        <rFont val="Century Schoolbook"/>
        <family val="1"/>
      </rPr>
      <t>531403 0701 002</t>
    </r>
    <r>
      <rPr>
        <sz val="11"/>
        <rFont val="Arial Narrow"/>
        <family val="2"/>
      </rPr>
      <t xml:space="preserve"> Mobiliario por un total de </t>
    </r>
    <r>
      <rPr>
        <sz val="11"/>
        <rFont val="Century Schoolbook"/>
        <family val="1"/>
      </rPr>
      <t>$ 793,19</t>
    </r>
    <r>
      <rPr>
        <sz val="11"/>
        <rFont val="Arial Narrow"/>
        <family val="2"/>
      </rPr>
      <t xml:space="preserve"> y se pasó a la partida </t>
    </r>
    <r>
      <rPr>
        <sz val="11"/>
        <rFont val="Century Schoolbook"/>
        <family val="1"/>
      </rPr>
      <t>840103 0701 002</t>
    </r>
    <r>
      <rPr>
        <sz val="11"/>
        <rFont val="Arial Narrow"/>
        <family val="2"/>
      </rPr>
      <t xml:space="preserve"> Mobiliario quedando un total de </t>
    </r>
    <r>
      <rPr>
        <sz val="11"/>
        <rFont val="Century Schoolbook"/>
        <family val="1"/>
      </rPr>
      <t>$ 804,20</t>
    </r>
    <r>
      <rPr>
        <sz val="11"/>
        <rFont val="Arial Narrow"/>
        <family val="2"/>
      </rPr>
      <t xml:space="preserve"> y las adquisiciones de la partida N° </t>
    </r>
    <r>
      <rPr>
        <sz val="11"/>
        <rFont val="Century Schoolbook"/>
        <family val="1"/>
      </rPr>
      <t>840104 0701 002</t>
    </r>
    <r>
      <rPr>
        <sz val="11"/>
        <rFont val="Arial Narrow"/>
        <family val="2"/>
      </rPr>
      <t xml:space="preserve"> Maquinarias y Equipos por el valor total de </t>
    </r>
    <r>
      <rPr>
        <sz val="11"/>
        <rFont val="Century Schoolbook"/>
        <family val="1"/>
      </rPr>
      <t>$ 28.605,92.</t>
    </r>
  </si>
  <si>
    <r>
      <rPr>
        <sz val="11"/>
        <color rgb="FF000000"/>
        <rFont val="Arial Narrow"/>
        <family val="2"/>
      </rPr>
      <t>UTMACH-DADM-</t>
    </r>
    <r>
      <rPr>
        <sz val="11"/>
        <color rgb="FF000000"/>
        <rFont val="Century Schoolbook"/>
        <family val="1"/>
      </rPr>
      <t>2023-0648</t>
    </r>
    <r>
      <rPr>
        <sz val="11"/>
        <color rgb="FF000000"/>
        <rFont val="Arial Narrow"/>
        <family val="2"/>
      </rPr>
      <t>-M
(Alcance al M_</t>
    </r>
    <r>
      <rPr>
        <sz val="11"/>
        <color rgb="FF000000"/>
        <rFont val="Century Schoolbook"/>
        <family val="1"/>
      </rPr>
      <t>0645</t>
    </r>
    <r>
      <rPr>
        <sz val="11"/>
        <color rgb="FF000000"/>
        <rFont val="Arial Narrow"/>
        <family val="2"/>
      </rPr>
      <t>)</t>
    </r>
  </si>
  <si>
    <r>
      <t xml:space="preserve">Solicita incremento en la partida N° </t>
    </r>
    <r>
      <rPr>
        <sz val="11"/>
        <rFont val="Century Schoolbook"/>
        <family val="1"/>
      </rPr>
      <t>530601 0701 001</t>
    </r>
    <r>
      <rPr>
        <sz val="11"/>
        <rFont val="Arial Narrow"/>
        <family val="2"/>
      </rPr>
      <t xml:space="preserve"> Consultoría, Asesoría e Investigación Especializada por el valor de</t>
    </r>
    <r>
      <rPr>
        <sz val="11"/>
        <rFont val="Century Schoolbook"/>
        <family val="1"/>
      </rPr>
      <t xml:space="preserve"> $ 60.000,00</t>
    </r>
    <r>
      <rPr>
        <sz val="11"/>
        <rFont val="Arial Narrow"/>
        <family val="2"/>
      </rPr>
      <t xml:space="preserve"> para la consultoria: Diagnóstico integral del sistema eléctrico de la Universidad Técnica de Machala.</t>
    </r>
  </si>
  <si>
    <r>
      <t xml:space="preserve">Atendido favorablemente, por el valor de </t>
    </r>
    <r>
      <rPr>
        <sz val="11"/>
        <color rgb="FF000000"/>
        <rFont val="Century Schoolbook"/>
        <family val="1"/>
      </rPr>
      <t>$ 67.200,00.</t>
    </r>
  </si>
  <si>
    <r>
      <rPr>
        <sz val="11"/>
        <color rgb="FF000000"/>
        <rFont val="Arial Narrow"/>
        <family val="2"/>
      </rPr>
      <t>UTMACH-DADM-UOIFM-</t>
    </r>
    <r>
      <rPr>
        <sz val="11"/>
        <color rgb="FF000000"/>
        <rFont val="Century Schoolbook"/>
        <family val="1"/>
      </rPr>
      <t>2023-0213</t>
    </r>
    <r>
      <rPr>
        <sz val="11"/>
        <color rgb="FF000000"/>
        <rFont val="Arial Narrow"/>
        <family val="2"/>
      </rPr>
      <t>-M</t>
    </r>
  </si>
  <si>
    <t>Unidad de Obras e Infraestructura Universitaria</t>
  </si>
  <si>
    <r>
      <t xml:space="preserve">Solicita incremento por el valor de </t>
    </r>
    <r>
      <rPr>
        <sz val="11"/>
        <rFont val="Century Schoolbook"/>
        <family val="1"/>
      </rPr>
      <t>$ 15.000,00</t>
    </r>
    <r>
      <rPr>
        <sz val="11"/>
        <rFont val="Arial Narrow"/>
        <family val="2"/>
      </rPr>
      <t xml:space="preserve"> para realizar los siguientes estudios:
Estudios de Ingeniería Geotécnica - Suelos
Estudios de Ingeniería Estructural
Estudios Ingeniería Eléctrica
Estudios de Ingeniería Sanitaria
Estudios Ingeniería Ambiental
Estudios de Ingeniería de Redes
Estudios de Ingeniería de Costos</t>
    </r>
  </si>
  <si>
    <r>
      <rPr>
        <sz val="11"/>
        <color rgb="FF000000"/>
        <rFont val="Arial Narrow"/>
        <family val="2"/>
      </rPr>
      <t>UTMACH-DADM-</t>
    </r>
    <r>
      <rPr>
        <sz val="11"/>
        <color rgb="FF000000"/>
        <rFont val="Century Schoolbook"/>
        <family val="1"/>
      </rPr>
      <t>2023-0649</t>
    </r>
    <r>
      <rPr>
        <sz val="11"/>
        <color rgb="FF000000"/>
        <rFont val="Arial Narrow"/>
        <family val="2"/>
      </rPr>
      <t>-M</t>
    </r>
  </si>
  <si>
    <r>
      <t xml:space="preserve">Solicita incluir recursos para el Estudios, Diseño y Construcción del Espacio Cultural Universitario (Concha Acústica), para la </t>
    </r>
    <r>
      <rPr>
        <b/>
        <sz val="11"/>
        <rFont val="Arial Narrow"/>
        <family val="2"/>
      </rPr>
      <t>Unidad de Obras e Infraestructura Universitarias.</t>
    </r>
  </si>
  <si>
    <r>
      <rPr>
        <sz val="11"/>
        <color rgb="FF000000"/>
        <rFont val="Arial Narrow"/>
        <family val="2"/>
      </rPr>
      <t>UTMACH-DADM-</t>
    </r>
    <r>
      <rPr>
        <sz val="11"/>
        <color rgb="FF000000"/>
        <rFont val="Century Schoolbook"/>
        <family val="1"/>
      </rPr>
      <t>2023-0651</t>
    </r>
    <r>
      <rPr>
        <sz val="11"/>
        <color rgb="FF000000"/>
        <rFont val="Arial Narrow"/>
        <family val="2"/>
      </rPr>
      <t>-M</t>
    </r>
  </si>
  <si>
    <r>
      <rPr>
        <sz val="11"/>
        <color rgb="FF000000"/>
        <rFont val="Arial Narrow"/>
        <family val="2"/>
      </rPr>
      <t xml:space="preserve">La </t>
    </r>
    <r>
      <rPr>
        <b/>
        <sz val="11"/>
        <color rgb="FF000000"/>
        <rFont val="Arial Narrow"/>
        <family val="2"/>
      </rPr>
      <t>Unidad de Obras e Infraestructura Universitarias</t>
    </r>
    <r>
      <rPr>
        <sz val="11"/>
        <color rgb="FF000000"/>
        <rFont val="Arial Narrow"/>
        <family val="2"/>
      </rPr>
      <t xml:space="preserve"> solicita incremento en las partidas N° </t>
    </r>
    <r>
      <rPr>
        <sz val="11"/>
        <color rgb="FF000000"/>
        <rFont val="Century Schoolbook"/>
        <family val="1"/>
      </rPr>
      <t>531406 0701 003</t>
    </r>
    <r>
      <rPr>
        <sz val="11"/>
        <color rgb="FF000000"/>
        <rFont val="Arial Narrow"/>
        <family val="2"/>
      </rPr>
      <t xml:space="preserve"> Herramientas y Equipos Menores el valor de </t>
    </r>
    <r>
      <rPr>
        <sz val="11"/>
        <color rgb="FF000000"/>
        <rFont val="Century Schoolbook"/>
        <family val="1"/>
      </rPr>
      <t>$ 2.000,00</t>
    </r>
    <r>
      <rPr>
        <sz val="11"/>
        <color rgb="FF000000"/>
        <rFont val="Arial Narrow"/>
        <family val="2"/>
      </rPr>
      <t xml:space="preserve">, en la partida N° </t>
    </r>
    <r>
      <rPr>
        <sz val="11"/>
        <color rgb="FF000000"/>
        <rFont val="Century Schoolbook"/>
        <family val="1"/>
      </rPr>
      <t>530702 0701 002</t>
    </r>
    <r>
      <rPr>
        <sz val="11"/>
        <color rgb="FF000000"/>
        <rFont val="Arial Narrow"/>
        <family val="2"/>
      </rPr>
      <t xml:space="preserve"> Arrendamiento y Licencias de Uso de Paquetes Informáticos el valor de </t>
    </r>
    <r>
      <rPr>
        <sz val="11"/>
        <color rgb="FF000000"/>
        <rFont val="Century Schoolbook"/>
        <family val="1"/>
      </rPr>
      <t>$ 2.500,00</t>
    </r>
    <r>
      <rPr>
        <sz val="11"/>
        <color rgb="FF000000"/>
        <rFont val="Arial Narrow"/>
        <family val="2"/>
      </rPr>
      <t xml:space="preserve"> y en la partida N° </t>
    </r>
    <r>
      <rPr>
        <sz val="11"/>
        <color rgb="FF000000"/>
        <rFont val="Century Schoolbook"/>
        <family val="1"/>
      </rPr>
      <t>840106 0701</t>
    </r>
    <r>
      <rPr>
        <sz val="11"/>
        <color rgb="FF000000"/>
        <rFont val="Arial Narrow"/>
        <family val="2"/>
      </rPr>
      <t xml:space="preserve"> Herramientas el valor de </t>
    </r>
    <r>
      <rPr>
        <sz val="11"/>
        <color rgb="FF000000"/>
        <rFont val="Century Schoolbook"/>
        <family val="1"/>
      </rPr>
      <t xml:space="preserve">$ 6.300,00, </t>
    </r>
    <r>
      <rPr>
        <sz val="11"/>
        <color rgb="FF000000"/>
        <rFont val="Arial Narrow"/>
        <family val="2"/>
      </rPr>
      <t>para  adquisición de herramientas para las activdiades de mantenimiento preventivo y correctivo y paquete de programas para ingenieria de costos.</t>
    </r>
  </si>
  <si>
    <r>
      <t xml:space="preserve">Atendido favorablemete, en la partida N° </t>
    </r>
    <r>
      <rPr>
        <sz val="11"/>
        <rFont val="Century Schoolbook"/>
        <family val="1"/>
      </rPr>
      <t>531406 0701 003</t>
    </r>
    <r>
      <rPr>
        <sz val="11"/>
        <rFont val="Arial Narrow"/>
        <family val="2"/>
      </rPr>
      <t xml:space="preserve"> de Herramientas y Equipos Menores se incrementó el valor de </t>
    </r>
    <r>
      <rPr>
        <sz val="11"/>
        <rFont val="Century Schoolbook"/>
        <family val="1"/>
      </rPr>
      <t>$ 1.828,02.</t>
    </r>
  </si>
  <si>
    <r>
      <rPr>
        <sz val="11"/>
        <color rgb="FF000000"/>
        <rFont val="Arial Narrow"/>
        <family val="2"/>
      </rPr>
      <t>UTMACH-DAC-</t>
    </r>
    <r>
      <rPr>
        <sz val="11"/>
        <color rgb="FF000000"/>
        <rFont val="Century Schoolbook"/>
        <family val="1"/>
      </rPr>
      <t>2023-0221</t>
    </r>
    <r>
      <rPr>
        <sz val="11"/>
        <color rgb="FF000000"/>
        <rFont val="Arial Narrow"/>
        <family val="2"/>
      </rPr>
      <t>-M
UTMACH-DAC-</t>
    </r>
    <r>
      <rPr>
        <sz val="11"/>
        <color rgb="FF000000"/>
        <rFont val="Century Schoolbook"/>
        <family val="1"/>
      </rPr>
      <t>2023-0225</t>
    </r>
    <r>
      <rPr>
        <sz val="11"/>
        <color rgb="FF000000"/>
        <rFont val="Arial Narrow"/>
        <family val="2"/>
      </rPr>
      <t>-M
(Alcance al M_</t>
    </r>
    <r>
      <rPr>
        <sz val="11"/>
        <color rgb="FF000000"/>
        <rFont val="Century Schoolbook"/>
        <family val="1"/>
      </rPr>
      <t>0221</t>
    </r>
    <r>
      <rPr>
        <sz val="11"/>
        <color rgb="FF000000"/>
        <rFont val="Arial Narrow"/>
        <family val="2"/>
      </rPr>
      <t>)</t>
    </r>
  </si>
  <si>
    <t>31/07/2023
01/02/2023</t>
  </si>
  <si>
    <r>
      <t xml:space="preserve">Solicita reducción en las partida N° </t>
    </r>
    <r>
      <rPr>
        <sz val="11"/>
        <rFont val="Century Schoolbook"/>
        <family val="1"/>
      </rPr>
      <t>840107 0701</t>
    </r>
    <r>
      <rPr>
        <sz val="11"/>
        <rFont val="Arial Narrow"/>
        <family val="2"/>
      </rPr>
      <t xml:space="preserve"> Equipos, Sistemas y Paquetes Informáticos por el valor de </t>
    </r>
    <r>
      <rPr>
        <sz val="11"/>
        <rFont val="Century Schoolbook"/>
        <family val="1"/>
      </rPr>
      <t>$ 1.254,40</t>
    </r>
    <r>
      <rPr>
        <sz val="11"/>
        <rFont val="Arial Narrow"/>
        <family val="2"/>
      </rPr>
      <t xml:space="preserve"> y en la partida N° </t>
    </r>
    <r>
      <rPr>
        <sz val="11"/>
        <rFont val="Century Schoolbook"/>
        <family val="1"/>
      </rPr>
      <t>840103 0701</t>
    </r>
    <r>
      <rPr>
        <sz val="11"/>
        <rFont val="Arial Narrow"/>
        <family val="2"/>
      </rPr>
      <t xml:space="preserve"> Mobiliarios por el valor de </t>
    </r>
    <r>
      <rPr>
        <sz val="11"/>
        <rFont val="Century Schoolbook"/>
        <family val="1"/>
      </rPr>
      <t>$ 87,40</t>
    </r>
    <r>
      <rPr>
        <sz val="11"/>
        <rFont val="Arial Narrow"/>
        <family val="2"/>
      </rPr>
      <t>, valores que no serán utilizados por esta dirección, con la finalidad de que sean reasignados según su mejor criterio.</t>
    </r>
  </si>
  <si>
    <r>
      <rPr>
        <sz val="11"/>
        <color rgb="FF000000"/>
        <rFont val="Arial Narrow"/>
        <family val="2"/>
      </rPr>
      <t>UTMACH-DBUAC-</t>
    </r>
    <r>
      <rPr>
        <sz val="11"/>
        <color rgb="FF000000"/>
        <rFont val="Century Schoolbook"/>
        <family val="1"/>
      </rPr>
      <t>2023-0597</t>
    </r>
    <r>
      <rPr>
        <sz val="11"/>
        <color rgb="FF000000"/>
        <rFont val="Arial Narrow"/>
        <family val="2"/>
      </rPr>
      <t>-M</t>
    </r>
  </si>
  <si>
    <r>
      <rPr>
        <sz val="11"/>
        <color rgb="FF000000"/>
        <rFont val="Arial Narrow"/>
        <family val="2"/>
      </rPr>
      <t xml:space="preserve">Solicita la asignación de </t>
    </r>
    <r>
      <rPr>
        <sz val="11"/>
        <color rgb="FF000000"/>
        <rFont val="Century Schoolbook"/>
        <family val="1"/>
      </rPr>
      <t>$ 51.788,80</t>
    </r>
    <r>
      <rPr>
        <sz val="11"/>
        <color rgb="FF000000"/>
        <rFont val="Arial Narrow"/>
        <family val="2"/>
      </rPr>
      <t xml:space="preserve">, incluido IVA, para la adquisición de </t>
    </r>
    <r>
      <rPr>
        <sz val="11"/>
        <color rgb="FF000000"/>
        <rFont val="Century Schoolbook"/>
        <family val="1"/>
      </rPr>
      <t>16</t>
    </r>
    <r>
      <rPr>
        <sz val="11"/>
        <color rgb="FF000000"/>
        <rFont val="Arial Narrow"/>
        <family val="2"/>
      </rPr>
      <t xml:space="preserve"> ventiladores climatizadores vaporización centrifuga, que serán distribuidos de la siguiente manera: Coliseo Universitario, ocho (</t>
    </r>
    <r>
      <rPr>
        <sz val="11"/>
        <color rgb="FF000000"/>
        <rFont val="Century Schoolbook"/>
        <family val="1"/>
      </rPr>
      <t>8</t>
    </r>
    <r>
      <rPr>
        <sz val="11"/>
        <color rgb="FF000000"/>
        <rFont val="Arial Narrow"/>
        <family val="2"/>
      </rPr>
      <t>); patio de comidas ubicado frente a la FCE, tres (</t>
    </r>
    <r>
      <rPr>
        <sz val="11"/>
        <color rgb="FF000000"/>
        <rFont val="Century Schoolbook"/>
        <family val="1"/>
      </rPr>
      <t>3</t>
    </r>
    <r>
      <rPr>
        <sz val="11"/>
        <color rgb="FF000000"/>
        <rFont val="Arial Narrow"/>
        <family val="2"/>
      </rPr>
      <t>); patio de comidas ubicado frente a la FCS, tres (</t>
    </r>
    <r>
      <rPr>
        <sz val="11"/>
        <color rgb="FF000000"/>
        <rFont val="Century Schoolbook"/>
        <family val="1"/>
      </rPr>
      <t>3</t>
    </r>
    <r>
      <rPr>
        <sz val="11"/>
        <color rgb="FF000000"/>
        <rFont val="Arial Narrow"/>
        <family val="2"/>
      </rPr>
      <t>); y, patio de comidas ubicado en la FCA, dos (</t>
    </r>
    <r>
      <rPr>
        <sz val="11"/>
        <color rgb="FF000000"/>
        <rFont val="Century Schoolbook"/>
        <family val="1"/>
      </rPr>
      <t>2</t>
    </r>
    <r>
      <rPr>
        <sz val="11"/>
        <color rgb="FF000000"/>
        <rFont val="Arial Narrow"/>
        <family val="2"/>
      </rPr>
      <t>).</t>
    </r>
  </si>
  <si>
    <r>
      <rPr>
        <sz val="11"/>
        <color rgb="FF000000"/>
        <rFont val="Arial Narrow"/>
        <family val="2"/>
      </rPr>
      <t>UTMACH-DADM-</t>
    </r>
    <r>
      <rPr>
        <sz val="11"/>
        <color rgb="FF000000"/>
        <rFont val="Century Schoolbook"/>
        <family val="1"/>
      </rPr>
      <t>2023-0656</t>
    </r>
    <r>
      <rPr>
        <sz val="11"/>
        <color rgb="FF000000"/>
        <rFont val="Arial Narrow"/>
        <family val="2"/>
      </rPr>
      <t>-M</t>
    </r>
  </si>
  <si>
    <r>
      <rPr>
        <sz val="11"/>
        <color rgb="FF000000"/>
        <rFont val="Arial Narrow"/>
        <family val="2"/>
      </rPr>
      <t>La</t>
    </r>
    <r>
      <rPr>
        <b/>
        <sz val="11"/>
        <color rgb="FF000000"/>
        <rFont val="Arial Narrow"/>
        <family val="2"/>
      </rPr>
      <t xml:space="preserve"> Unidad de Bienes</t>
    </r>
    <r>
      <rPr>
        <sz val="11"/>
        <color rgb="FF000000"/>
        <rFont val="Arial Narrow"/>
        <family val="2"/>
      </rPr>
      <t xml:space="preserve"> solicita incremento en la partida N° </t>
    </r>
    <r>
      <rPr>
        <sz val="11"/>
        <color rgb="FF000000"/>
        <rFont val="Century Schoolbook"/>
        <family val="1"/>
      </rPr>
      <t>840107 0701</t>
    </r>
    <r>
      <rPr>
        <sz val="11"/>
        <color rgb="FF000000"/>
        <rFont val="Arial Narrow"/>
        <family val="2"/>
      </rPr>
      <t xml:space="preserve"> Equipos, Sistemas y Paquetes Informáticos por el valor de</t>
    </r>
    <r>
      <rPr>
        <sz val="11"/>
        <color rgb="FF000000"/>
        <rFont val="Century Schoolbook"/>
        <family val="1"/>
      </rPr>
      <t xml:space="preserve"> $ 4.150,00</t>
    </r>
    <r>
      <rPr>
        <sz val="11"/>
        <color rgb="FF000000"/>
        <rFont val="Arial Narrow"/>
        <family val="2"/>
      </rPr>
      <t xml:space="preserve"> y en la partida N° </t>
    </r>
    <r>
      <rPr>
        <sz val="11"/>
        <color rgb="FF000000"/>
        <rFont val="Century Schoolbook"/>
        <family val="1"/>
      </rPr>
      <t>840103 0701</t>
    </r>
    <r>
      <rPr>
        <sz val="11"/>
        <color rgb="FF000000"/>
        <rFont val="Arial Narrow"/>
        <family val="2"/>
      </rPr>
      <t xml:space="preserve"> Mobiliarios por el valor de </t>
    </r>
    <r>
      <rPr>
        <sz val="11"/>
        <color rgb="FF000000"/>
        <rFont val="Century Schoolbook"/>
        <family val="1"/>
      </rPr>
      <t>$ 600,00</t>
    </r>
    <r>
      <rPr>
        <sz val="11"/>
        <color rgb="FF000000"/>
        <rFont val="Arial Narrow"/>
        <family val="2"/>
      </rPr>
      <t xml:space="preserve">, para la compra de </t>
    </r>
    <r>
      <rPr>
        <sz val="11"/>
        <color rgb="FF000000"/>
        <rFont val="Century Schoolbook"/>
        <family val="1"/>
      </rPr>
      <t>2</t>
    </r>
    <r>
      <rPr>
        <sz val="11"/>
        <color rgb="FF000000"/>
        <rFont val="Arial Narrow"/>
        <family val="2"/>
      </rPr>
      <t xml:space="preserve"> computadores todo en uno software libre, </t>
    </r>
    <r>
      <rPr>
        <sz val="11"/>
        <color rgb="FF000000"/>
        <rFont val="Century Schoolbook"/>
        <family val="1"/>
      </rPr>
      <t>1</t>
    </r>
    <r>
      <rPr>
        <sz val="11"/>
        <color rgb="FF000000"/>
        <rFont val="Arial Narrow"/>
        <family val="2"/>
      </rPr>
      <t xml:space="preserve"> unidad de almacenamiento externo, </t>
    </r>
    <r>
      <rPr>
        <sz val="11"/>
        <color rgb="FF000000"/>
        <rFont val="Century Schoolbook"/>
        <family val="1"/>
      </rPr>
      <t>5</t>
    </r>
    <r>
      <rPr>
        <sz val="11"/>
        <color rgb="FF000000"/>
        <rFont val="Arial Narrow"/>
        <family val="2"/>
      </rPr>
      <t xml:space="preserve"> UPS, </t>
    </r>
    <r>
      <rPr>
        <sz val="11"/>
        <color rgb="FF000000"/>
        <rFont val="Century Schoolbook"/>
        <family val="1"/>
      </rPr>
      <t>1</t>
    </r>
    <r>
      <rPr>
        <sz val="11"/>
        <color rgb="FF000000"/>
        <rFont val="Arial Narrow"/>
        <family val="2"/>
      </rPr>
      <t xml:space="preserve"> impresora a tinta modelo </t>
    </r>
    <r>
      <rPr>
        <sz val="11"/>
        <color rgb="FF000000"/>
        <rFont val="Century Schoolbook"/>
        <family val="1"/>
      </rPr>
      <t>05</t>
    </r>
    <r>
      <rPr>
        <sz val="11"/>
        <color rgb="FF000000"/>
        <rFont val="Arial Narrow"/>
        <family val="2"/>
      </rPr>
      <t xml:space="preserve"> y </t>
    </r>
    <r>
      <rPr>
        <sz val="11"/>
        <color rgb="FF000000"/>
        <rFont val="Century Schoolbook"/>
        <family val="1"/>
      </rPr>
      <t>5</t>
    </r>
    <r>
      <rPr>
        <sz val="11"/>
        <color rgb="FF000000"/>
        <rFont val="Arial Narrow"/>
        <family val="2"/>
      </rPr>
      <t xml:space="preserve"> sillones.</t>
    </r>
  </si>
  <si>
    <r>
      <t xml:space="preserve">Atendido parcialmente, el incremento en la partida N° </t>
    </r>
    <r>
      <rPr>
        <sz val="11"/>
        <rFont val="Century Schoolbook"/>
        <family val="1"/>
      </rPr>
      <t>840107 0701</t>
    </r>
    <r>
      <rPr>
        <sz val="11"/>
        <rFont val="Arial Narrow"/>
        <family val="2"/>
      </rPr>
      <t xml:space="preserve"> Equipos, Sistemas y Paquetes Informáticos solo fue por el valor de </t>
    </r>
    <r>
      <rPr>
        <sz val="11"/>
        <rFont val="Century Schoolbook"/>
        <family val="1"/>
      </rPr>
      <t>$ 3.801,28</t>
    </r>
    <r>
      <rPr>
        <sz val="11"/>
        <rFont val="Arial Narrow"/>
        <family val="2"/>
      </rPr>
      <t xml:space="preserve">, por no detallar el precio unitario de los bienes y en la partida de Mobiliarios se atendió por el valor de </t>
    </r>
    <r>
      <rPr>
        <sz val="11"/>
        <rFont val="Century Schoolbook"/>
        <family val="1"/>
      </rPr>
      <t>$ 2.660,50</t>
    </r>
    <r>
      <rPr>
        <sz val="11"/>
        <rFont val="Arial Narrow"/>
        <family val="2"/>
      </rPr>
      <t>.</t>
    </r>
  </si>
  <si>
    <r>
      <rPr>
        <sz val="11"/>
        <color rgb="FF000000"/>
        <rFont val="Arial Narrow"/>
        <family val="2"/>
      </rPr>
      <t>UTMACH-FCQS-D-</t>
    </r>
    <r>
      <rPr>
        <sz val="11"/>
        <color rgb="FF000000"/>
        <rFont val="Century Schoolbook"/>
        <family val="1"/>
      </rPr>
      <t>2023-0905</t>
    </r>
    <r>
      <rPr>
        <sz val="11"/>
        <color rgb="FF000000"/>
        <rFont val="Arial Narrow"/>
        <family val="2"/>
      </rPr>
      <t>-M</t>
    </r>
  </si>
  <si>
    <r>
      <t xml:space="preserve">Solicita reducciones en varias partidas presupuestarias, así como también incrementos por un valor total de </t>
    </r>
    <r>
      <rPr>
        <sz val="11"/>
        <rFont val="Century Schoolbook"/>
        <family val="1"/>
      </rPr>
      <t>$ 60.435,55</t>
    </r>
    <r>
      <rPr>
        <sz val="11"/>
        <rFont val="Arial Narrow"/>
        <family val="2"/>
      </rPr>
      <t xml:space="preserve"> conforme a la solicitud de reforma presupuestaria anexa.</t>
    </r>
  </si>
  <si>
    <r>
      <rPr>
        <sz val="11"/>
        <color rgb="FF000000"/>
        <rFont val="Arial Narrow"/>
        <family val="2"/>
      </rPr>
      <t>UTMACH-FCE-D-</t>
    </r>
    <r>
      <rPr>
        <sz val="11"/>
        <color rgb="FF000000"/>
        <rFont val="Century Schoolbook"/>
        <family val="1"/>
      </rPr>
      <t>2023-0788</t>
    </r>
    <r>
      <rPr>
        <sz val="11"/>
        <color rgb="FF000000"/>
        <rFont val="Arial Narrow"/>
        <family val="2"/>
      </rPr>
      <t>-M</t>
    </r>
  </si>
  <si>
    <r>
      <t xml:space="preserve">Solicita asignación presupuestaria por el valor de </t>
    </r>
    <r>
      <rPr>
        <sz val="11"/>
        <rFont val="Century Schoolbook"/>
        <family val="1"/>
      </rPr>
      <t>$ 20.000.00</t>
    </r>
    <r>
      <rPr>
        <sz val="11"/>
        <rFont val="Arial Narrow"/>
        <family val="2"/>
      </rPr>
      <t xml:space="preserve"> en el rubro de mantenimiento y adecuación en el Plan Anual de Compras de la Facultad de Ciencias Empresariales para mantenimiento y reparación de batería sanitarias N° </t>
    </r>
    <r>
      <rPr>
        <sz val="11"/>
        <rFont val="Century Schoolbook"/>
        <family val="1"/>
      </rPr>
      <t>1</t>
    </r>
    <r>
      <rPr>
        <sz val="11"/>
        <rFont val="Arial Narrow"/>
        <family val="2"/>
      </rPr>
      <t xml:space="preserve"> y N° </t>
    </r>
    <r>
      <rPr>
        <sz val="11"/>
        <rFont val="Century Schoolbook"/>
        <family val="1"/>
      </rPr>
      <t>2.</t>
    </r>
  </si>
  <si>
    <r>
      <t>UTMACH-FCA-D-</t>
    </r>
    <r>
      <rPr>
        <sz val="11"/>
        <rFont val="Century Schoolbook"/>
        <family val="1"/>
      </rPr>
      <t>2023-0593</t>
    </r>
    <r>
      <rPr>
        <sz val="11"/>
        <rFont val="Arial Narrow"/>
        <family val="2"/>
      </rPr>
      <t>-M</t>
    </r>
  </si>
  <si>
    <r>
      <rPr>
        <sz val="11"/>
        <color rgb="FF000000"/>
        <rFont val="Arial Narrow"/>
        <family val="2"/>
      </rPr>
      <t xml:space="preserve">Solicita reducción en la partida presupuestaria N° </t>
    </r>
    <r>
      <rPr>
        <sz val="11"/>
        <color rgb="FF000000"/>
        <rFont val="Century Schoolbook"/>
        <family val="1"/>
      </rPr>
      <t>530402 0701 001</t>
    </r>
    <r>
      <rPr>
        <sz val="11"/>
        <color rgb="FF000000"/>
        <rFont val="Arial Narrow"/>
        <family val="2"/>
      </rPr>
      <t xml:space="preserve"> Edificios, Locales, Residencias y Cableado Estructurado (Instalación, Mantenimiento y Reparación) por el valor de </t>
    </r>
    <r>
      <rPr>
        <sz val="11"/>
        <color rgb="FF000000"/>
        <rFont val="Century Schoolbook"/>
        <family val="1"/>
      </rPr>
      <t>$ 25.760,00</t>
    </r>
    <r>
      <rPr>
        <sz val="11"/>
        <color rgb="FF000000"/>
        <rFont val="Arial Narrow"/>
        <family val="2"/>
      </rPr>
      <t xml:space="preserve"> y en la partida N° </t>
    </r>
    <r>
      <rPr>
        <sz val="11"/>
        <color rgb="FF000000"/>
        <rFont val="Century Schoolbook"/>
        <family val="1"/>
      </rPr>
      <t>840104 0701 003</t>
    </r>
    <r>
      <rPr>
        <sz val="11"/>
        <color rgb="FF000000"/>
        <rFont val="Arial Narrow"/>
        <family val="2"/>
      </rPr>
      <t xml:space="preserve"> Maquinarias y Equipos por el valor de </t>
    </r>
    <r>
      <rPr>
        <sz val="11"/>
        <color rgb="FF000000"/>
        <rFont val="Century Schoolbook"/>
        <family val="1"/>
      </rPr>
      <t>$ 4.000,00</t>
    </r>
    <r>
      <rPr>
        <sz val="11"/>
        <color rgb="FF000000"/>
        <rFont val="Arial Narrow"/>
        <family val="2"/>
      </rPr>
      <t xml:space="preserve">, e incremento en las partidas N° </t>
    </r>
    <r>
      <rPr>
        <sz val="11"/>
        <color rgb="FF000000"/>
        <rFont val="Century Schoolbook"/>
        <family val="1"/>
      </rPr>
      <t>840104 0701 001</t>
    </r>
    <r>
      <rPr>
        <sz val="11"/>
        <color rgb="FF000000"/>
        <rFont val="Arial Narrow"/>
        <family val="2"/>
      </rPr>
      <t xml:space="preserve"> Maquinarias y Equipos el valor de </t>
    </r>
    <r>
      <rPr>
        <sz val="11"/>
        <color rgb="FF000000"/>
        <rFont val="Century Schoolbook"/>
        <family val="1"/>
      </rPr>
      <t>$ 29.760,00</t>
    </r>
    <r>
      <rPr>
        <sz val="11"/>
        <color rgb="FF000000"/>
        <rFont val="Arial Narrow"/>
        <family val="2"/>
      </rPr>
      <t xml:space="preserve"> para la adquisición de una cámara de refrigeración, para la conservación de semilla y en la partida N° </t>
    </r>
    <r>
      <rPr>
        <sz val="11"/>
        <color rgb="FF000000"/>
        <rFont val="Century Schoolbook"/>
        <family val="1"/>
      </rPr>
      <t xml:space="preserve">530402 0701 001 </t>
    </r>
    <r>
      <rPr>
        <sz val="11"/>
        <color rgb="FF000000"/>
        <rFont val="Arial Narrow"/>
        <family val="2"/>
      </rPr>
      <t xml:space="preserve">Edificios, Locales, Residencias y Cableado Estructurado (Instalación, Mantenimiento y Reparación) el valor de </t>
    </r>
    <r>
      <rPr>
        <sz val="11"/>
        <color rgb="FF000000"/>
        <rFont val="Century Schoolbook"/>
        <family val="1"/>
      </rPr>
      <t>$ 36.000,00</t>
    </r>
    <r>
      <rPr>
        <sz val="11"/>
        <color rgb="FF000000"/>
        <rFont val="Arial Narrow"/>
        <family val="2"/>
      </rPr>
      <t xml:space="preserve"> para la adecuacion del salón auditorio de la Facultad de Ciencias Agropecuarias.</t>
    </r>
  </si>
  <si>
    <r>
      <t>UTMACH-FCS-D-</t>
    </r>
    <r>
      <rPr>
        <sz val="11"/>
        <rFont val="Century Schoolbook"/>
        <family val="1"/>
      </rPr>
      <t>2023-0863</t>
    </r>
    <r>
      <rPr>
        <sz val="11"/>
        <rFont val="Arial Narrow"/>
        <family val="2"/>
      </rPr>
      <t>-M</t>
    </r>
  </si>
  <si>
    <r>
      <rPr>
        <sz val="11"/>
        <color rgb="FF000000"/>
        <rFont val="Arial Narrow"/>
        <family val="2"/>
      </rPr>
      <t xml:space="preserve">Solicita incremento en la partida N° </t>
    </r>
    <r>
      <rPr>
        <sz val="11"/>
        <color rgb="FF000000"/>
        <rFont val="Century Schoolbook"/>
        <family val="1"/>
      </rPr>
      <t>530402 0701 001</t>
    </r>
    <r>
      <rPr>
        <sz val="11"/>
        <color rgb="FF000000"/>
        <rFont val="Arial Narrow"/>
        <family val="2"/>
      </rPr>
      <t xml:space="preserve"> Edificios, Locales, Residencias y Cableado Estructurado (Instalación, Mantenimiento y Reparación), por el valor de </t>
    </r>
    <r>
      <rPr>
        <sz val="11"/>
        <color rgb="FF000000"/>
        <rFont val="Century Schoolbook"/>
        <family val="1"/>
      </rPr>
      <t>$ 20.000,00</t>
    </r>
    <r>
      <rPr>
        <sz val="11"/>
        <color rgb="FF000000"/>
        <rFont val="Arial Narrow"/>
        <family val="2"/>
      </rPr>
      <t xml:space="preserve"> para la adecuación de la biblioteca del Campus Machala, cubículos de investigación de profesores en Campus Principal y Campus Machala y Consultorio Psicopedagógico.</t>
    </r>
  </si>
  <si>
    <r>
      <t>UTMACH-DF-UPSTO-</t>
    </r>
    <r>
      <rPr>
        <sz val="11"/>
        <rFont val="Century Schoolbook"/>
        <family val="1"/>
      </rPr>
      <t>2023-0786</t>
    </r>
    <r>
      <rPr>
        <sz val="11"/>
        <rFont val="Arial Narrow"/>
        <family val="2"/>
      </rPr>
      <t>-M</t>
    </r>
  </si>
  <si>
    <t>14/08/2023</t>
  </si>
  <si>
    <r>
      <t xml:space="preserve">La Unidad de Presupuesto solicita incremento en la partida N° </t>
    </r>
    <r>
      <rPr>
        <sz val="11"/>
        <rFont val="Century Schoolbook"/>
        <family val="1"/>
      </rPr>
      <t>83-530304 0701 001</t>
    </r>
    <r>
      <rPr>
        <sz val="11"/>
        <rFont val="Arial Narrow"/>
        <family val="2"/>
      </rPr>
      <t xml:space="preserve"> Viáticos y Subsistencias al Exterior con la finalidad de cumplir con los compromisos adquiridos.</t>
    </r>
  </si>
  <si>
    <r>
      <t>UTMACH-DBUAC-</t>
    </r>
    <r>
      <rPr>
        <sz val="11"/>
        <rFont val="Century Schoolbook"/>
        <family val="1"/>
      </rPr>
      <t>2023-0656</t>
    </r>
    <r>
      <rPr>
        <sz val="11"/>
        <rFont val="Arial Narrow"/>
        <family val="2"/>
      </rPr>
      <t>-M</t>
    </r>
  </si>
  <si>
    <r>
      <t xml:space="preserve">Solicita incremento en la partida N° </t>
    </r>
    <r>
      <rPr>
        <sz val="11"/>
        <rFont val="Century Schoolbook"/>
        <family val="1"/>
      </rPr>
      <t>530809 0701 003</t>
    </r>
    <r>
      <rPr>
        <sz val="11"/>
        <rFont val="Arial Narrow"/>
        <family val="2"/>
      </rPr>
      <t xml:space="preserve"> Medicamentos por el valor de </t>
    </r>
    <r>
      <rPr>
        <sz val="11"/>
        <rFont val="Century Schoolbook"/>
        <family val="1"/>
      </rPr>
      <t>$ 49.108,39</t>
    </r>
    <r>
      <rPr>
        <sz val="11"/>
        <rFont val="Arial Narrow"/>
        <family val="2"/>
      </rPr>
      <t xml:space="preserve"> para la adquisición de medicamentos para nuestra institución, con el objetivo de contribuir parte de su tratamiento médico, optimizando en la salud.</t>
    </r>
  </si>
  <si>
    <r>
      <t>UTMACH-DFP-</t>
    </r>
    <r>
      <rPr>
        <sz val="11"/>
        <rFont val="Century Schoolbook"/>
        <family val="1"/>
      </rPr>
      <t>2023-0261</t>
    </r>
    <r>
      <rPr>
        <sz val="11"/>
        <rFont val="Arial Narrow"/>
        <family val="2"/>
      </rPr>
      <t>-M</t>
    </r>
  </si>
  <si>
    <t>15/08/2024</t>
  </si>
  <si>
    <r>
      <t xml:space="preserve">Solicita incremento en la partida N° </t>
    </r>
    <r>
      <rPr>
        <sz val="11"/>
        <rFont val="Century Schoolbook"/>
        <family val="1"/>
      </rPr>
      <t>530701 0701 002</t>
    </r>
    <r>
      <rPr>
        <sz val="11"/>
        <rFont val="Arial Narrow"/>
        <family val="2"/>
      </rPr>
      <t xml:space="preserve"> Desarrollo, Actualización, Asistencia Técnica y Soporte de Sistemas Informáticos, por el valor de </t>
    </r>
    <r>
      <rPr>
        <sz val="11"/>
        <rFont val="Century Schoolbook"/>
        <family val="1"/>
      </rPr>
      <t>$ 134.400,00</t>
    </r>
    <r>
      <rPr>
        <sz val="11"/>
        <rFont val="Arial Narrow"/>
        <family val="2"/>
      </rPr>
      <t xml:space="preserve"> para la adquisición de una plataforma para creación, desarrollo e implementación de MOOC.</t>
    </r>
  </si>
  <si>
    <t>Será analizado en la próxima reforma.</t>
  </si>
  <si>
    <r>
      <t>UTMACH-DTH-</t>
    </r>
    <r>
      <rPr>
        <sz val="11"/>
        <rFont val="Century Schoolbook"/>
        <family val="1"/>
      </rPr>
      <t>2023-1131</t>
    </r>
    <r>
      <rPr>
        <sz val="11"/>
        <rFont val="Arial Narrow"/>
        <family val="2"/>
      </rPr>
      <t>-M</t>
    </r>
  </si>
  <si>
    <t>16/08/2023</t>
  </si>
  <si>
    <r>
      <t xml:space="preserve">Solicita incremento de recursos presupuestarios para la contratación por servicios profesionales de:
</t>
    </r>
    <r>
      <rPr>
        <sz val="11"/>
        <rFont val="Century Schoolbook"/>
        <family val="1"/>
      </rPr>
      <t>1</t>
    </r>
    <r>
      <rPr>
        <sz val="11"/>
        <rFont val="Arial Narrow"/>
        <family val="2"/>
      </rPr>
      <t xml:space="preserve"> Psicóloga Clínica del </t>
    </r>
    <r>
      <rPr>
        <sz val="11"/>
        <rFont val="Century Schoolbook"/>
        <family val="1"/>
      </rPr>
      <t>01</t>
    </r>
    <r>
      <rPr>
        <sz val="11"/>
        <rFont val="Arial Narrow"/>
        <family val="2"/>
      </rPr>
      <t xml:space="preserve"> al </t>
    </r>
    <r>
      <rPr>
        <sz val="11"/>
        <rFont val="Century Schoolbook"/>
        <family val="1"/>
      </rPr>
      <t>31</t>
    </r>
    <r>
      <rPr>
        <sz val="11"/>
        <rFont val="Arial Narrow"/>
        <family val="2"/>
      </rPr>
      <t xml:space="preserve"> de agosto de </t>
    </r>
    <r>
      <rPr>
        <sz val="11"/>
        <rFont val="Century Schoolbook"/>
        <family val="1"/>
      </rPr>
      <t>2023</t>
    </r>
    <r>
      <rPr>
        <sz val="11"/>
        <rFont val="Arial Narrow"/>
        <family val="2"/>
      </rPr>
      <t xml:space="preserve"> por </t>
    </r>
    <r>
      <rPr>
        <sz val="11"/>
        <rFont val="Century Schoolbook"/>
        <family val="1"/>
      </rPr>
      <t>$ 1.412,00</t>
    </r>
    <r>
      <rPr>
        <sz val="11"/>
        <rFont val="Arial Narrow"/>
        <family val="2"/>
      </rPr>
      <t xml:space="preserve"> mensuales.
</t>
    </r>
    <r>
      <rPr>
        <sz val="11"/>
        <rFont val="Century Schoolbook"/>
        <family val="1"/>
      </rPr>
      <t>1</t>
    </r>
    <r>
      <rPr>
        <sz val="11"/>
        <rFont val="Arial Narrow"/>
        <family val="2"/>
      </rPr>
      <t xml:space="preserve"> Técnico del </t>
    </r>
    <r>
      <rPr>
        <sz val="11"/>
        <rFont val="Century Schoolbook"/>
        <family val="1"/>
      </rPr>
      <t>01</t>
    </r>
    <r>
      <rPr>
        <sz val="11"/>
        <rFont val="Arial Narrow"/>
        <family val="2"/>
      </rPr>
      <t xml:space="preserve"> al </t>
    </r>
    <r>
      <rPr>
        <sz val="11"/>
        <rFont val="Century Schoolbook"/>
        <family val="1"/>
      </rPr>
      <t>31</t>
    </r>
    <r>
      <rPr>
        <sz val="11"/>
        <rFont val="Arial Narrow"/>
        <family val="2"/>
      </rPr>
      <t xml:space="preserve"> de julio de </t>
    </r>
    <r>
      <rPr>
        <sz val="11"/>
        <rFont val="Century Schoolbook"/>
        <family val="1"/>
      </rPr>
      <t>2023</t>
    </r>
    <r>
      <rPr>
        <sz val="11"/>
        <rFont val="Arial Narrow"/>
        <family val="2"/>
      </rPr>
      <t xml:space="preserve"> por </t>
    </r>
    <r>
      <rPr>
        <sz val="11"/>
        <rFont val="Century Schoolbook"/>
        <family val="1"/>
      </rPr>
      <t>$ 901,00</t>
    </r>
    <r>
      <rPr>
        <sz val="11"/>
        <rFont val="Arial Narrow"/>
        <family val="2"/>
      </rPr>
      <t xml:space="preserve"> mensuales.
</t>
    </r>
    <r>
      <rPr>
        <sz val="11"/>
        <rFont val="Century Schoolbook"/>
        <family val="1"/>
      </rPr>
      <t>1</t>
    </r>
    <r>
      <rPr>
        <sz val="11"/>
        <rFont val="Arial Narrow"/>
        <family val="2"/>
      </rPr>
      <t xml:space="preserve"> Supervisor de Obras e Infraestructura del </t>
    </r>
    <r>
      <rPr>
        <sz val="11"/>
        <rFont val="Century Schoolbook"/>
        <family val="1"/>
      </rPr>
      <t>01</t>
    </r>
    <r>
      <rPr>
        <sz val="11"/>
        <rFont val="Arial Narrow"/>
        <family val="2"/>
      </rPr>
      <t xml:space="preserve"> al </t>
    </r>
    <r>
      <rPr>
        <sz val="11"/>
        <rFont val="Century Schoolbook"/>
        <family val="1"/>
      </rPr>
      <t>31</t>
    </r>
    <r>
      <rPr>
        <sz val="11"/>
        <rFont val="Arial Narrow"/>
        <family val="2"/>
      </rPr>
      <t xml:space="preserve"> de agosto de </t>
    </r>
    <r>
      <rPr>
        <sz val="11"/>
        <rFont val="Century Schoolbook"/>
        <family val="1"/>
      </rPr>
      <t>2023</t>
    </r>
    <r>
      <rPr>
        <sz val="11"/>
        <rFont val="Arial Narrow"/>
        <family val="2"/>
      </rPr>
      <t xml:space="preserve"> por </t>
    </r>
    <r>
      <rPr>
        <sz val="11"/>
        <rFont val="Century Schoolbook"/>
        <family val="1"/>
      </rPr>
      <t>$ 1.412,00</t>
    </r>
    <r>
      <rPr>
        <sz val="11"/>
        <rFont val="Arial Narrow"/>
        <family val="2"/>
      </rPr>
      <t xml:space="preserve"> mensuales.
</t>
    </r>
    <r>
      <rPr>
        <sz val="11"/>
        <rFont val="Century Schoolbook"/>
        <family val="1"/>
      </rPr>
      <t>1</t>
    </r>
    <r>
      <rPr>
        <sz val="11"/>
        <rFont val="Arial Narrow"/>
        <family val="2"/>
      </rPr>
      <t xml:space="preserve"> Supervisor de Obras e Infraestructura del </t>
    </r>
    <r>
      <rPr>
        <sz val="11"/>
        <rFont val="Century Schoolbook"/>
        <family val="1"/>
      </rPr>
      <t>01</t>
    </r>
    <r>
      <rPr>
        <sz val="11"/>
        <rFont val="Arial Narrow"/>
        <family val="2"/>
      </rPr>
      <t xml:space="preserve"> de agosto al </t>
    </r>
    <r>
      <rPr>
        <sz val="11"/>
        <rFont val="Century Schoolbook"/>
        <family val="1"/>
      </rPr>
      <t>30</t>
    </r>
    <r>
      <rPr>
        <sz val="11"/>
        <rFont val="Arial Narrow"/>
        <family val="2"/>
      </rPr>
      <t xml:space="preserve"> de septiembre de </t>
    </r>
    <r>
      <rPr>
        <sz val="11"/>
        <rFont val="Century Schoolbook"/>
        <family val="1"/>
      </rPr>
      <t>2023</t>
    </r>
    <r>
      <rPr>
        <sz val="11"/>
        <rFont val="Arial Narrow"/>
        <family val="2"/>
      </rPr>
      <t xml:space="preserve"> por </t>
    </r>
    <r>
      <rPr>
        <sz val="11"/>
        <rFont val="Century Schoolbook"/>
        <family val="1"/>
      </rPr>
      <t>$ 1.412,00</t>
    </r>
    <r>
      <rPr>
        <sz val="11"/>
        <rFont val="Arial Narrow"/>
        <family val="2"/>
      </rPr>
      <t xml:space="preserve"> mensuales.</t>
    </r>
  </si>
  <si>
    <r>
      <t>UTMACH-FCA-D-</t>
    </r>
    <r>
      <rPr>
        <sz val="11"/>
        <rFont val="Century Schoolbook"/>
        <family val="1"/>
      </rPr>
      <t>2023-0617</t>
    </r>
    <r>
      <rPr>
        <sz val="11"/>
        <rFont val="Arial Narrow"/>
        <family val="2"/>
      </rPr>
      <t>-M</t>
    </r>
  </si>
  <si>
    <t>15/08/2023</t>
  </si>
  <si>
    <r>
      <t xml:space="preserve">Solicita incremento en la partida N° </t>
    </r>
    <r>
      <rPr>
        <sz val="11"/>
        <rFont val="Century Schoolbook"/>
        <family val="1"/>
      </rPr>
      <t>530402 0701 001</t>
    </r>
    <r>
      <rPr>
        <sz val="11"/>
        <rFont val="Arial Narrow"/>
        <family val="2"/>
      </rPr>
      <t xml:space="preserve"> Edificios, Locales, Residencias y Cableado Estructurado (Instalación, Mantenimiento y Reparación), por el valor de </t>
    </r>
    <r>
      <rPr>
        <sz val="11"/>
        <rFont val="Century Schoolbook"/>
        <family val="1"/>
      </rPr>
      <t>$ 31.960,45</t>
    </r>
    <r>
      <rPr>
        <sz val="11"/>
        <rFont val="Arial Narrow"/>
        <family val="2"/>
      </rPr>
      <t xml:space="preserve"> para cubrir el valor necesario para la CONSTRUCCIÓN DE UNA CUBIERTA EN EL BLOQUE 5 DE LA FCA.</t>
    </r>
  </si>
  <si>
    <r>
      <t>UTMACH-DADM-</t>
    </r>
    <r>
      <rPr>
        <sz val="11"/>
        <rFont val="Century Schoolbook"/>
        <family val="1"/>
      </rPr>
      <t>2023-0725</t>
    </r>
    <r>
      <rPr>
        <sz val="11"/>
        <rFont val="Arial Narrow"/>
        <family val="2"/>
      </rPr>
      <t>-M</t>
    </r>
  </si>
  <si>
    <r>
      <t xml:space="preserve">Solicita incremento en la partida N° </t>
    </r>
    <r>
      <rPr>
        <sz val="11"/>
        <rFont val="Century Schoolbook"/>
        <family val="1"/>
      </rPr>
      <t>840103</t>
    </r>
    <r>
      <rPr>
        <sz val="11"/>
        <rFont val="Arial Narrow"/>
        <family val="2"/>
      </rPr>
      <t xml:space="preserve"> Mobiliarios por el valor de </t>
    </r>
    <r>
      <rPr>
        <sz val="11"/>
        <rFont val="Century Schoolbook"/>
        <family val="1"/>
      </rPr>
      <t>$ 34.917,34</t>
    </r>
    <r>
      <rPr>
        <sz val="11"/>
        <rFont val="Arial Narrow"/>
        <family val="2"/>
      </rPr>
      <t xml:space="preserve"> para la compra de </t>
    </r>
    <r>
      <rPr>
        <sz val="11"/>
        <rFont val="Century Schoolbook"/>
        <family val="1"/>
      </rPr>
      <t>220</t>
    </r>
    <r>
      <rPr>
        <sz val="11"/>
        <rFont val="Arial Narrow"/>
        <family val="2"/>
      </rPr>
      <t xml:space="preserve"> mesas unipersonales catalogadas y en la partida N° </t>
    </r>
    <r>
      <rPr>
        <sz val="11"/>
        <rFont val="Century Schoolbook"/>
        <family val="1"/>
      </rPr>
      <t>531403</t>
    </r>
    <r>
      <rPr>
        <sz val="11"/>
        <rFont val="Arial Narrow"/>
        <family val="2"/>
      </rPr>
      <t xml:space="preserve"> Mobiliario por el valor de </t>
    </r>
    <r>
      <rPr>
        <sz val="11"/>
        <rFont val="Century Schoolbook"/>
        <family val="1"/>
      </rPr>
      <t>$ 47.077,63</t>
    </r>
    <r>
      <rPr>
        <sz val="11"/>
        <rFont val="Arial Narrow"/>
        <family val="2"/>
      </rPr>
      <t xml:space="preserve">  para la adquisición de </t>
    </r>
    <r>
      <rPr>
        <sz val="11"/>
        <rFont val="Century Schoolbook"/>
        <family val="1"/>
      </rPr>
      <t>720</t>
    </r>
    <r>
      <rPr>
        <sz val="11"/>
        <rFont val="Arial Narrow"/>
        <family val="2"/>
      </rPr>
      <t xml:space="preserve"> sillas requeridas.</t>
    </r>
  </si>
  <si>
    <r>
      <t xml:space="preserve">Atendido favorablemente, se incrementó el valor de </t>
    </r>
    <r>
      <rPr>
        <sz val="11"/>
        <color rgb="FF000000"/>
        <rFont val="Century Schoolbook"/>
        <family val="1"/>
      </rPr>
      <t>$ 64.443,90</t>
    </r>
    <r>
      <rPr>
        <sz val="11"/>
        <color rgb="FF000000"/>
        <rFont val="Arial Narrow"/>
        <family val="2"/>
      </rPr>
      <t xml:space="preserve"> en la partida </t>
    </r>
    <r>
      <rPr>
        <sz val="11"/>
        <color rgb="FF000000"/>
        <rFont val="Century Schoolbook"/>
        <family val="1"/>
      </rPr>
      <t>531403 0701 002</t>
    </r>
    <r>
      <rPr>
        <sz val="11"/>
        <color rgb="FF000000"/>
        <rFont val="Arial Narrow"/>
        <family val="2"/>
      </rPr>
      <t xml:space="preserve"> Mobiliario, de lo acordado en la reunión que se tuvo el </t>
    </r>
    <r>
      <rPr>
        <sz val="11"/>
        <color rgb="FF000000"/>
        <rFont val="Century Schoolbook"/>
        <family val="1"/>
      </rPr>
      <t>24/08/2023</t>
    </r>
    <r>
      <rPr>
        <sz val="11"/>
        <color rgb="FF000000"/>
        <rFont val="Arial Narrow"/>
        <family val="2"/>
      </rPr>
      <t xml:space="preserve"> en la DPLAN.</t>
    </r>
  </si>
  <si>
    <r>
      <t>UTMACH-DIDI-</t>
    </r>
    <r>
      <rPr>
        <sz val="11"/>
        <rFont val="Century Schoolbook"/>
        <family val="1"/>
      </rPr>
      <t>2023-0468</t>
    </r>
    <r>
      <rPr>
        <sz val="11"/>
        <rFont val="Arial Narrow"/>
        <family val="2"/>
      </rPr>
      <t>-M
(Alcance al M_</t>
    </r>
    <r>
      <rPr>
        <sz val="11"/>
        <rFont val="Century Schoolbook"/>
        <family val="1"/>
      </rPr>
      <t>0417</t>
    </r>
    <r>
      <rPr>
        <sz val="11"/>
        <rFont val="Arial Narrow"/>
        <family val="2"/>
      </rPr>
      <t>)</t>
    </r>
  </si>
  <si>
    <t>17/08/2023</t>
  </si>
  <si>
    <r>
      <t xml:space="preserve">Solicitud de reforma presupuestaria para el financiamiento de la cartera de proyectos de investigación </t>
    </r>
    <r>
      <rPr>
        <sz val="11"/>
        <rFont val="Century Schoolbook"/>
        <family val="1"/>
      </rPr>
      <t>2023.</t>
    </r>
  </si>
  <si>
    <r>
      <t>UTMACH-DADM-</t>
    </r>
    <r>
      <rPr>
        <sz val="11"/>
        <rFont val="Century Schoolbook"/>
        <family val="1"/>
      </rPr>
      <t>2023-0728</t>
    </r>
    <r>
      <rPr>
        <sz val="11"/>
        <rFont val="Arial Narrow"/>
        <family val="2"/>
      </rPr>
      <t>-M</t>
    </r>
  </si>
  <si>
    <r>
      <t xml:space="preserve">Solicita incremento para cubrir el requerimiento de las diferentes facultades para este año </t>
    </r>
    <r>
      <rPr>
        <sz val="11"/>
        <color rgb="FF000000"/>
        <rFont val="Century Schoolbook"/>
        <family val="1"/>
      </rPr>
      <t>2023</t>
    </r>
    <r>
      <rPr>
        <sz val="11"/>
        <color rgb="FF000000"/>
        <rFont val="Arial Narrow"/>
        <family val="2"/>
      </rPr>
      <t xml:space="preserve"> respecto a necesidad de mobiliario para fines académico.</t>
    </r>
  </si>
  <si>
    <r>
      <t>Tiene relación con el memorando N° UTMACH-DADM-</t>
    </r>
    <r>
      <rPr>
        <sz val="11"/>
        <color rgb="FF000000"/>
        <rFont val="Century Schoolbook"/>
        <family val="1"/>
      </rPr>
      <t>2023-0725</t>
    </r>
    <r>
      <rPr>
        <sz val="11"/>
        <color rgb="FF000000"/>
        <rFont val="Arial Narrow"/>
        <family val="2"/>
      </rPr>
      <t>-M y será atendido en la próxima reforma.</t>
    </r>
  </si>
  <si>
    <r>
      <t>UTMACH-FCQS-D-</t>
    </r>
    <r>
      <rPr>
        <sz val="11"/>
        <rFont val="Century Schoolbook"/>
        <family val="1"/>
      </rPr>
      <t>2023-0960</t>
    </r>
    <r>
      <rPr>
        <sz val="11"/>
        <rFont val="Arial Narrow"/>
        <family val="2"/>
      </rPr>
      <t>-M</t>
    </r>
  </si>
  <si>
    <r>
      <t xml:space="preserve">Solicita incremento en la partida N° </t>
    </r>
    <r>
      <rPr>
        <sz val="11"/>
        <color rgb="FF000000"/>
        <rFont val="Century Schoolbook"/>
        <family val="1"/>
      </rPr>
      <t>840104 0701 001</t>
    </r>
    <r>
      <rPr>
        <sz val="11"/>
        <color rgb="FF000000"/>
        <rFont val="Arial Narrow"/>
        <family val="2"/>
      </rPr>
      <t xml:space="preserve"> Maquinarias y Equipos por el valor de </t>
    </r>
    <r>
      <rPr>
        <sz val="11"/>
        <color rgb="FF000000"/>
        <rFont val="Century Schoolbook"/>
        <family val="1"/>
      </rPr>
      <t>$ 260,96</t>
    </r>
    <r>
      <rPr>
        <sz val="11"/>
        <color rgb="FF000000"/>
        <rFont val="Arial Narrow"/>
        <family val="2"/>
      </rPr>
      <t xml:space="preserve"> y reducción en la partida N° </t>
    </r>
    <r>
      <rPr>
        <sz val="11"/>
        <color rgb="FF000000"/>
        <rFont val="Century Schoolbook"/>
        <family val="1"/>
      </rPr>
      <t>840104 0701 003</t>
    </r>
    <r>
      <rPr>
        <sz val="11"/>
        <color rgb="FF000000"/>
        <rFont val="Arial Narrow"/>
        <family val="2"/>
      </rPr>
      <t xml:space="preserve"> Maquinarias y Equipos por el mismo valor, en razón de que en el estudio realizado recientemente el valor de las cotizaciones que se invertieron.</t>
    </r>
  </si>
  <si>
    <r>
      <t>UTMACH-DIRCOM-</t>
    </r>
    <r>
      <rPr>
        <sz val="11"/>
        <rFont val="Century Schoolbook"/>
        <family val="1"/>
      </rPr>
      <t>2023-0135</t>
    </r>
    <r>
      <rPr>
        <sz val="11"/>
        <rFont val="Arial Narrow"/>
        <family val="2"/>
      </rPr>
      <t>-M</t>
    </r>
  </si>
  <si>
    <t>18/08/2023</t>
  </si>
  <si>
    <r>
      <t xml:space="preserve">Solicita incremento en la partida N° </t>
    </r>
    <r>
      <rPr>
        <sz val="11"/>
        <color rgb="FF000000"/>
        <rFont val="Century Schoolbook"/>
        <family val="1"/>
      </rPr>
      <t>530404 0701 003</t>
    </r>
    <r>
      <rPr>
        <sz val="11"/>
        <color rgb="FF000000"/>
        <rFont val="Arial Narrow"/>
        <family val="2"/>
      </rPr>
      <t xml:space="preserve"> Maquinarias y Equipos (Instalación, Mantenimiento y Reparación) por el valor de </t>
    </r>
    <r>
      <rPr>
        <sz val="11"/>
        <color rgb="FF000000"/>
        <rFont val="Century Schoolbook"/>
        <family val="1"/>
      </rPr>
      <t>$ 2.184,00</t>
    </r>
    <r>
      <rPr>
        <sz val="11"/>
        <color rgb="FF000000"/>
        <rFont val="Arial Narrow"/>
        <family val="2"/>
      </rPr>
      <t xml:space="preserve"> para la reparación y mantenimiento de la imprenta.</t>
    </r>
  </si>
  <si>
    <t>Atendido favoramente.</t>
  </si>
  <si>
    <r>
      <t>UTMACH-DADM-UOIFM-</t>
    </r>
    <r>
      <rPr>
        <sz val="11"/>
        <rFont val="Century Schoolbook"/>
        <family val="1"/>
      </rPr>
      <t>2023-0240</t>
    </r>
    <r>
      <rPr>
        <sz val="11"/>
        <rFont val="Arial Narrow"/>
        <family val="2"/>
      </rPr>
      <t>-M</t>
    </r>
  </si>
  <si>
    <t>Dirección de Obras e Infraestructura Universitaria</t>
  </si>
  <si>
    <r>
      <t xml:space="preserve">Solicita recursos para la adquisición, montaje e instalación de inmuebles prefabricados para la UTMACH por el valor de </t>
    </r>
    <r>
      <rPr>
        <sz val="11"/>
        <color rgb="FF000000"/>
        <rFont val="Century Schoolbook"/>
        <family val="1"/>
      </rPr>
      <t>$ 33.636,00</t>
    </r>
    <r>
      <rPr>
        <sz val="11"/>
        <color rgb="FF000000"/>
        <rFont val="Arial Narrow"/>
        <family val="2"/>
      </rPr>
      <t xml:space="preserve"> de cada aula incluido el IVA, para </t>
    </r>
    <r>
      <rPr>
        <sz val="11"/>
        <color rgb="FF000000"/>
        <rFont val="Century Schoolbook"/>
        <family val="1"/>
      </rPr>
      <t>11</t>
    </r>
    <r>
      <rPr>
        <sz val="11"/>
        <color rgb="FF000000"/>
        <rFont val="Arial Narrow"/>
        <family val="2"/>
      </rPr>
      <t xml:space="preserve"> aulas, que dan un valor total de </t>
    </r>
    <r>
      <rPr>
        <sz val="11"/>
        <color rgb="FF000000"/>
        <rFont val="Century Schoolbook"/>
        <family val="1"/>
      </rPr>
      <t>$ 370.000,00.</t>
    </r>
  </si>
  <si>
    <r>
      <t xml:space="preserve">Atendido favoramente por el valor de </t>
    </r>
    <r>
      <rPr>
        <sz val="11"/>
        <color rgb="FF000000"/>
        <rFont val="Century Schoolbook"/>
        <family val="1"/>
      </rPr>
      <t>$ 369.996,00.</t>
    </r>
  </si>
  <si>
    <r>
      <t>UTMACH-DTIC-</t>
    </r>
    <r>
      <rPr>
        <sz val="11"/>
        <rFont val="Century Schoolbook"/>
        <family val="1"/>
      </rPr>
      <t>2023-0224</t>
    </r>
    <r>
      <rPr>
        <sz val="11"/>
        <rFont val="Arial Narrow"/>
        <family val="2"/>
      </rPr>
      <t>-M</t>
    </r>
  </si>
  <si>
    <t>21/08/2023</t>
  </si>
  <si>
    <r>
      <t xml:space="preserve">Solicita reducciones en varias partidas presupuestarias por un valor total de </t>
    </r>
    <r>
      <rPr>
        <sz val="11"/>
        <color rgb="FF000000"/>
        <rFont val="Century Schoolbook"/>
        <family val="1"/>
      </rPr>
      <t>$ 26.798,24</t>
    </r>
    <r>
      <rPr>
        <sz val="11"/>
        <color rgb="FF000000"/>
        <rFont val="Arial Narrow"/>
        <family val="2"/>
      </rPr>
      <t xml:space="preserve">, así como también incrementos por un valor total de </t>
    </r>
    <r>
      <rPr>
        <sz val="11"/>
        <color rgb="FF000000"/>
        <rFont val="Century Schoolbook"/>
        <family val="1"/>
      </rPr>
      <t>$ 132,628,56,</t>
    </r>
    <r>
      <rPr>
        <sz val="11"/>
        <color rgb="FF000000"/>
        <rFont val="Arial Narrow"/>
        <family val="2"/>
      </rPr>
      <t xml:space="preserve"> conforme a la solicitud de reforma presupuestaria anexa.</t>
    </r>
  </si>
  <si>
    <r>
      <t>UTMACH-DTH-</t>
    </r>
    <r>
      <rPr>
        <sz val="11"/>
        <rFont val="Century Schoolbook"/>
        <family val="1"/>
      </rPr>
      <t>2023-1164</t>
    </r>
    <r>
      <rPr>
        <sz val="11"/>
        <rFont val="Arial Narrow"/>
        <family val="2"/>
      </rPr>
      <t>-M</t>
    </r>
  </si>
  <si>
    <t>SOLICITUD DE ANALISIS PREVIO ACTUALIZACION DE PROYECTO DE INVERSION Y SOLICITUD DE RECURSOS PARA PETICIONES DE JUBILACION.</t>
  </si>
  <si>
    <r>
      <t>UTMACH-DADM-</t>
    </r>
    <r>
      <rPr>
        <sz val="11"/>
        <rFont val="Century Schoolbook"/>
        <family val="1"/>
      </rPr>
      <t>2023-0740</t>
    </r>
    <r>
      <rPr>
        <sz val="11"/>
        <rFont val="Arial Narrow"/>
        <family val="2"/>
      </rPr>
      <t>-M</t>
    </r>
  </si>
  <si>
    <r>
      <t xml:space="preserve">Solicita financiamiento para contratar los estudios estructurales de los edificios afectados por el sismo del </t>
    </r>
    <r>
      <rPr>
        <sz val="11"/>
        <color rgb="FF000000"/>
        <rFont val="Century Schoolbook"/>
        <family val="1"/>
      </rPr>
      <t>18</t>
    </r>
    <r>
      <rPr>
        <sz val="11"/>
        <color rgb="FF000000"/>
        <rFont val="Arial Narrow"/>
        <family val="2"/>
      </rPr>
      <t xml:space="preserve"> de marzo de </t>
    </r>
    <r>
      <rPr>
        <sz val="11"/>
        <color rgb="FF000000"/>
        <rFont val="Century Schoolbook"/>
        <family val="1"/>
      </rPr>
      <t>2023.</t>
    </r>
  </si>
  <si>
    <t>Atendido favorablemente</t>
  </si>
  <si>
    <r>
      <t>UTMACH-DADM-UCP-</t>
    </r>
    <r>
      <rPr>
        <sz val="11"/>
        <rFont val="Century Schoolbook"/>
        <family val="1"/>
      </rPr>
      <t>2023-1143</t>
    </r>
    <r>
      <rPr>
        <sz val="11"/>
        <rFont val="Arial Narrow"/>
        <family val="2"/>
      </rPr>
      <t>-M</t>
    </r>
  </si>
  <si>
    <t>23/08/2023</t>
  </si>
  <si>
    <t>Unificar necesidades de adquisición de aires acondicionados.</t>
  </si>
  <si>
    <r>
      <t>UTMACH-FCS-D-</t>
    </r>
    <r>
      <rPr>
        <sz val="11"/>
        <rFont val="Century Schoolbook"/>
        <family val="1"/>
      </rPr>
      <t>2023-0916</t>
    </r>
    <r>
      <rPr>
        <sz val="11"/>
        <rFont val="Arial Narrow"/>
        <family val="2"/>
      </rPr>
      <t>-M</t>
    </r>
  </si>
  <si>
    <t>Solicita financiamiento para pagar publicación de profesor titular de la carrera de Jurisprudencia.</t>
  </si>
  <si>
    <r>
      <rPr>
        <b/>
        <i/>
        <sz val="11"/>
        <color rgb="FF000000"/>
        <rFont val="Cambria"/>
        <family val="1"/>
      </rPr>
      <t xml:space="preserve">Nota: </t>
    </r>
    <r>
      <rPr>
        <i/>
        <sz val="11"/>
        <color rgb="FF000000"/>
        <rFont val="Cambria"/>
        <family val="1"/>
      </rPr>
      <t>Lo reprogramado con la fuente 002 dependerá de la recaudación institucional para incorporar los ingresos en el presupuesto 2023.</t>
    </r>
  </si>
  <si>
    <r>
      <t xml:space="preserve">Elaboración: </t>
    </r>
    <r>
      <rPr>
        <i/>
        <sz val="11"/>
        <color theme="1"/>
        <rFont val="Cambria"/>
        <family val="1"/>
      </rPr>
      <t>Ec. Eunice Basilio Banchón, Mgs. - Analista de Formulación y Control Presupuestario.</t>
    </r>
    <r>
      <rPr>
        <b/>
        <i/>
        <sz val="11"/>
        <color theme="1"/>
        <rFont val="Cambria"/>
        <family val="1"/>
      </rPr>
      <t/>
    </r>
  </si>
  <si>
    <r>
      <t xml:space="preserve">Fecha Inicio:  </t>
    </r>
    <r>
      <rPr>
        <i/>
        <sz val="11"/>
        <color rgb="FF000000"/>
        <rFont val="Century Schoolbook"/>
        <family val="1"/>
      </rPr>
      <t>30/06/2023</t>
    </r>
  </si>
  <si>
    <r>
      <rPr>
        <b/>
        <i/>
        <sz val="11"/>
        <color rgb="FF000000"/>
        <rFont val="Cambria"/>
        <family val="1"/>
      </rPr>
      <t xml:space="preserve">Fecha Fin: </t>
    </r>
    <r>
      <rPr>
        <i/>
        <sz val="11"/>
        <color rgb="FF000000"/>
        <rFont val="Cambria"/>
        <family val="1"/>
      </rPr>
      <t xml:space="preserve">     25</t>
    </r>
    <r>
      <rPr>
        <i/>
        <sz val="11"/>
        <color rgb="FF000000"/>
        <rFont val="Century Schoolbook"/>
        <family val="1"/>
      </rPr>
      <t>/08/2023</t>
    </r>
  </si>
  <si>
    <t>013 710704 0701 001</t>
  </si>
  <si>
    <t>013 710706 0701 001</t>
  </si>
  <si>
    <t>013 710704 0701 003</t>
  </si>
  <si>
    <t>013 710706 0701 003</t>
  </si>
  <si>
    <t>013 710710 0701 003</t>
  </si>
  <si>
    <t>010 730604 0701 202</t>
  </si>
  <si>
    <t>010 750501 0701 001</t>
  </si>
  <si>
    <t>006 730604 0701 003</t>
  </si>
  <si>
    <t>006 750107 0701 001</t>
  </si>
  <si>
    <t>001 730601 0701 202</t>
  </si>
  <si>
    <t>Machala, 05 de octubre de 2023</t>
  </si>
  <si>
    <t>PROYECTO DE REFORMA PRESUPUESTARIA NRO. 005/2023</t>
  </si>
  <si>
    <t>TIPO DE REFORMA INTRA 1</t>
  </si>
  <si>
    <t>RESUMEN DE SOLICITUDES PARA REFORMA PRESUPUESTARIA N° 005/2023 AL 05 DE OCTUBRE DE 2023</t>
  </si>
  <si>
    <r>
      <rPr>
        <sz val="11"/>
        <color rgb="FF000000"/>
        <rFont val="Arial Narrow"/>
      </rPr>
      <t>UTMACH-FCA-D-</t>
    </r>
    <r>
      <rPr>
        <sz val="11"/>
        <color rgb="FF000000"/>
        <rFont val="Century Schoolbook"/>
      </rPr>
      <t>2023-0660</t>
    </r>
    <r>
      <rPr>
        <sz val="11"/>
        <color rgb="FF000000"/>
        <rFont val="Arial Narrow"/>
      </rPr>
      <t>-M</t>
    </r>
  </si>
  <si>
    <r>
      <rPr>
        <sz val="11"/>
        <color rgb="FF000000"/>
        <rFont val="Arial Narrow"/>
      </rPr>
      <t xml:space="preserve">Solicita cambió de ítem en la partida N° </t>
    </r>
    <r>
      <rPr>
        <sz val="11"/>
        <color rgb="FF000000"/>
        <rFont val="Century Schoolbook"/>
      </rPr>
      <t xml:space="preserve">840104 0701 003 </t>
    </r>
    <r>
      <rPr>
        <sz val="11"/>
        <color rgb="FF000000"/>
        <rFont val="Arial Narrow"/>
      </rPr>
      <t xml:space="preserve">Maquinarias y Equipos, Neuroestimulador, por el valor de </t>
    </r>
    <r>
      <rPr>
        <sz val="11"/>
        <color rgb="FF000000"/>
        <rFont val="Century Schoolbook"/>
      </rPr>
      <t>$ 1.680,00</t>
    </r>
    <r>
      <rPr>
        <sz val="11"/>
        <color rgb="FF000000"/>
        <rFont val="Arial Narrow"/>
      </rPr>
      <t xml:space="preserve"> por los siguientes ítems:
</t>
    </r>
    <r>
      <rPr>
        <sz val="11"/>
        <color rgb="FF000000"/>
        <rFont val="Century Schoolbook"/>
      </rPr>
      <t>1</t>
    </r>
    <r>
      <rPr>
        <sz val="11"/>
        <color rgb="FF000000"/>
        <rFont val="Arial Narrow"/>
      </rPr>
      <t xml:space="preserve"> Bomba de infusión </t>
    </r>
    <r>
      <rPr>
        <sz val="11"/>
        <color rgb="FF000000"/>
        <rFont val="Century Schoolbook"/>
      </rPr>
      <t>$ 750,00
1</t>
    </r>
    <r>
      <rPr>
        <sz val="11"/>
        <color rgb="FF000000"/>
        <rFont val="Arial Narrow"/>
      </rPr>
      <t xml:space="preserve"> Bomba de jeringa </t>
    </r>
    <r>
      <rPr>
        <sz val="11"/>
        <color rgb="FF000000"/>
        <rFont val="Century Schoolbook"/>
      </rPr>
      <t>$ 750,00
1</t>
    </r>
    <r>
      <rPr>
        <sz val="11"/>
        <color rgb="FF000000"/>
        <rFont val="Arial Narrow"/>
      </rPr>
      <t xml:space="preserve"> Rasuradora semiprofesional desmontable </t>
    </r>
    <r>
      <rPr>
        <sz val="11"/>
        <color rgb="FF000000"/>
        <rFont val="Century Schoolbook"/>
      </rPr>
      <t>$ 180,00</t>
    </r>
  </si>
  <si>
    <r>
      <t>UTMACH-DAC-</t>
    </r>
    <r>
      <rPr>
        <sz val="11"/>
        <color rgb="FF000000"/>
        <rFont val="Century Schoolbook"/>
        <family val="1"/>
      </rPr>
      <t>2023-0275</t>
    </r>
    <r>
      <rPr>
        <sz val="11"/>
        <color rgb="FF000000"/>
        <rFont val="Arial Narrow"/>
        <family val="2"/>
      </rPr>
      <t>-M</t>
    </r>
  </si>
  <si>
    <r>
      <rPr>
        <sz val="11"/>
        <color rgb="FF000000"/>
        <rFont val="Arial Narrow"/>
        <family val="2"/>
      </rPr>
      <t xml:space="preserve">Solicita reducción de la partida N° </t>
    </r>
    <r>
      <rPr>
        <sz val="11"/>
        <color rgb="FF000000"/>
        <rFont val="Century Schoolbook"/>
        <family val="1"/>
      </rPr>
      <t>530402 0701 001</t>
    </r>
    <r>
      <rPr>
        <sz val="11"/>
        <color rgb="FF000000"/>
        <rFont val="Arial Narrow"/>
        <family val="2"/>
      </rPr>
      <t xml:space="preserve"> Edificios, Locales, Residencias y
Cableado Estructurado (Instalación, Mantenimiento y Reparación) por el valor de </t>
    </r>
    <r>
      <rPr>
        <sz val="11"/>
        <color rgb="FF000000"/>
        <rFont val="Century Schoolbook"/>
        <family val="1"/>
      </rPr>
      <t>$ 2.550,00</t>
    </r>
    <r>
      <rPr>
        <sz val="11"/>
        <color rgb="FF000000"/>
        <rFont val="Arial Narrow"/>
        <family val="2"/>
      </rPr>
      <t xml:space="preserve"> e incremento en la partida N° </t>
    </r>
    <r>
      <rPr>
        <sz val="11"/>
        <color rgb="FF000000"/>
        <rFont val="Century Schoolbook"/>
        <family val="1"/>
      </rPr>
      <t>8400103 0701 001</t>
    </r>
    <r>
      <rPr>
        <sz val="11"/>
        <color rgb="FF000000"/>
        <rFont val="Arial Narrow"/>
        <family val="2"/>
      </rPr>
      <t xml:space="preserve"> Mobiliarios por el valor de </t>
    </r>
    <r>
      <rPr>
        <sz val="11"/>
        <color rgb="FF000000"/>
        <rFont val="Century Schoolbook"/>
        <family val="1"/>
      </rPr>
      <t>$ 1.996,00</t>
    </r>
    <r>
      <rPr>
        <sz val="11"/>
        <color rgb="FF000000"/>
        <rFont val="Arial Narrow"/>
        <family val="2"/>
      </rPr>
      <t xml:space="preserve"> y en la partida N° </t>
    </r>
    <r>
      <rPr>
        <sz val="11"/>
        <color rgb="FF000000"/>
        <rFont val="Century Schoolbook"/>
        <family val="1"/>
      </rPr>
      <t>531403 0701 001</t>
    </r>
    <r>
      <rPr>
        <sz val="11"/>
        <color rgb="FF000000"/>
        <rFont val="Arial Narrow"/>
        <family val="2"/>
      </rPr>
      <t xml:space="preserve"> Mobiliarios por el valor de </t>
    </r>
    <r>
      <rPr>
        <sz val="11"/>
        <color rgb="FF000000"/>
        <rFont val="Century Schoolbook"/>
        <family val="1"/>
      </rPr>
      <t>$ 554,00</t>
    </r>
    <r>
      <rPr>
        <sz val="11"/>
        <color rgb="FF000000"/>
        <rFont val="Arial Narrow"/>
        <family val="2"/>
      </rPr>
      <t xml:space="preserve">, para complementar la adecuación planificada para la instancia durante el año en curso, dado que permitirá la adquisición de modulares en L con cajonera, mesa para impresora, mueble especial para archivo colgante y persianas. </t>
    </r>
  </si>
  <si>
    <r>
      <rPr>
        <sz val="11"/>
        <color rgb="FF000000"/>
        <rFont val="Arial Narrow"/>
        <family val="2"/>
      </rPr>
      <t>UTMACH-DBUAC-</t>
    </r>
    <r>
      <rPr>
        <sz val="11"/>
        <color rgb="FF000000"/>
        <rFont val="Century Schoolbook"/>
        <family val="1"/>
      </rPr>
      <t>2023-0792</t>
    </r>
    <r>
      <rPr>
        <sz val="11"/>
        <color rgb="FF000000"/>
        <rFont val="Arial Narrow"/>
        <family val="2"/>
      </rPr>
      <t>-M</t>
    </r>
  </si>
  <si>
    <t>18/09/2023</t>
  </si>
  <si>
    <r>
      <rPr>
        <sz val="11"/>
        <color rgb="FF000000"/>
        <rFont val="Arial Narrow"/>
        <family val="2"/>
      </rPr>
      <t xml:space="preserve">Solicita incremento en la partida presupuestaria N° 570201 0701 001 Seguros el valor de </t>
    </r>
    <r>
      <rPr>
        <sz val="11"/>
        <color rgb="FF000000"/>
        <rFont val="Century Schoolbook"/>
        <family val="1"/>
      </rPr>
      <t>$ 10. 000,00</t>
    </r>
    <r>
      <rPr>
        <sz val="11"/>
        <color rgb="FF000000"/>
        <rFont val="Arial Narrow"/>
        <family val="2"/>
      </rPr>
      <t>, para cancelar la póliza y factura de INCLUSIÓN, para cubrir el servicio SEGURO DE VIDA Y ACCIDENTES PERSONALES PARA NUESTROS ESTUDIANTES.
Además solicita incremento en la partida presupuestaria N° 530807 Material de Impresión, Fotografía y Reproducción por el valor de $ 800,00.</t>
    </r>
  </si>
  <si>
    <t>Atendido parcialmente, solo se atendió el incremento de $ 10.000,00 en Seguros.</t>
  </si>
  <si>
    <t>UTMACH-SG-2023-0299-M</t>
  </si>
  <si>
    <t>19/09/2023</t>
  </si>
  <si>
    <r>
      <rPr>
        <sz val="11"/>
        <color rgb="FF000000"/>
        <rFont val="Arial Narrow"/>
        <family val="2"/>
      </rPr>
      <t xml:space="preserve">La </t>
    </r>
    <r>
      <rPr>
        <b/>
        <sz val="11"/>
        <color rgb="FF000000"/>
        <rFont val="Arial Narrow"/>
        <family val="2"/>
      </rPr>
      <t>Unidad de Gestión Documental y Archivo</t>
    </r>
    <r>
      <rPr>
        <sz val="11"/>
        <color rgb="FF000000"/>
        <rFont val="Arial Narrow"/>
        <family val="2"/>
      </rPr>
      <t xml:space="preserve"> solicita la </t>
    </r>
    <r>
      <rPr>
        <b/>
        <sz val="11"/>
        <color rgb="FF000000"/>
        <rFont val="Arial Narrow"/>
        <family val="2"/>
      </rPr>
      <t>reprogramación operativa</t>
    </r>
    <r>
      <rPr>
        <sz val="11"/>
        <color rgb="FF000000"/>
        <rFont val="Arial Narrow"/>
        <family val="2"/>
      </rPr>
      <t xml:space="preserve"> según se detalla en el memorando N° UTMACH-SG-UGDA-2023-0044-M de fecha del 19/09/2023.</t>
    </r>
  </si>
  <si>
    <t>UTMACH-DIRCOM-2023-0162-M</t>
  </si>
  <si>
    <t>21/09/2023</t>
  </si>
  <si>
    <t>Solicita se proceda a considerar la desagregación de los valores para el proceso de Adquisición de Mobiliario de difusión de los servicios de Posgrado a la Dirección de Comunicación, que deberán ser tomados del POA como del PAC de la Dirección Administrativa, quedando de esta manera:
Adquisición de mobiliario para las actividades administrativas y académicas de la institución por un valor de $ 20.971,10.
Adquisición de mobiliario de difusión de los servicios de la Dirección de Posgrado por un valor de $ 1.304,58.</t>
  </si>
  <si>
    <t>UTMACH-DPLAN-2023-0260-M</t>
  </si>
  <si>
    <t>Director de Planificación</t>
  </si>
  <si>
    <t>Solicita se liquide la certificación presupuestaria N° 402 por el valor de $ 714,29 para que se pueda atender el financiamiento de los proyectos de inversión, con afectación al ítem 82-840104-001.</t>
  </si>
  <si>
    <t>UTMACH-DF-UPSTO-2023-1079-M</t>
  </si>
  <si>
    <t>27/09/2023</t>
  </si>
  <si>
    <t>Solicita incrementar partida N° 01-530606 0701 003 Honorarios por Contratos Civiles por el valor de $ 16.472,00 que no fueron incorporados en la reforma presupuestaria N° 004/2023 por no poder efectuarse la reversión del compromiso del contrato de servicio de seguridad y vigilancia.
En la partida N° 01-530704 0701 003 Mantenimiento y Reparación de Equipos y Paquetes Informáticos el valor de $ 1.420,03 y en la partida N° 01-530809 0701 003 Medicamentos por un valor total de $ 49.108,37.</t>
  </si>
  <si>
    <t>UTMACH-DR-UREM-2023-0328-M</t>
  </si>
  <si>
    <t>Unidad de Remuneraciones</t>
  </si>
  <si>
    <t>Solicita disponibilidad presupuestaria para cancelar renuncia voluntaria y compensación por desahucio, por lo que existe la necesidad de incrementar la partida N° 01-510709-0700-003 Renuncia Voluntaria el valor de $ 3.9000,00 para cubrir este beneficio a tres servidores sujetos al código de trabajo. Disminuir en la partida N° 01-510704-0700-003 Compensación por Desahucio el valor de $ 1.249,75 y en la partida N° 01-510706-0700-003 Beneficio por Jubilación el valor de $ 2.650,25.</t>
  </si>
  <si>
    <t>UTMACH-DAC-2023-0286-M</t>
  </si>
  <si>
    <t>22/09/2023</t>
  </si>
  <si>
    <t>Solicita reprogramación interna al Plan operativo anual 2023, se consideren las siguientes modificaciones en los planes operativos, variaciones que fortalecen el cumplimiento de los productos y/o servicios declarados por las instancias, según lo detallado en el memorando en el anexo ajunto del POA.</t>
  </si>
  <si>
    <t>UTMACH-FCE-D-2023-0996-M</t>
  </si>
  <si>
    <t>25/09/2023</t>
  </si>
  <si>
    <t>Solicita cambio de ítems entre unidades de la facultad, incremento y disminución de partidas conforme a las solicitudes de reformas anexas.</t>
  </si>
  <si>
    <t>Se movió en el POA la reforma financiada y movimientos de ítems entre carreras, a excepción de los incrementos.</t>
  </si>
  <si>
    <t>UTMACH-FCS-D-2023-1057-M</t>
  </si>
  <si>
    <t>Solicita cambio de ítems en la adquisición de equipos tecnologicos para la Carrera de Comunicación, ya que los mismos son indispensables en el laboratorio de esta carrera.</t>
  </si>
  <si>
    <t>UTMACH-DTIC-2023-0301-M
UTMACH-DTIC-2023-0310-M
(Alcance al M_0301)</t>
  </si>
  <si>
    <t>28/09/2023
04/10/2023</t>
  </si>
  <si>
    <r>
      <rPr>
        <sz val="11"/>
        <color rgb="FF000000"/>
        <rFont val="Arial Narrow"/>
      </rPr>
      <t xml:space="preserve">La </t>
    </r>
    <r>
      <rPr>
        <b/>
        <sz val="11"/>
        <color rgb="FF000000"/>
        <rFont val="Arial Narrow"/>
      </rPr>
      <t>Unidad de Redes y Telecomunicaciones</t>
    </r>
    <r>
      <rPr>
        <sz val="11"/>
        <color rgb="FF000000"/>
        <rFont val="Arial Narrow"/>
      </rPr>
      <t xml:space="preserve"> solicita incremento en la partida N° 530402 0701 Edificios, Locales, Residencias y Cableado Estructurado (Instalación, mantenimiento y reparación) por el valor de $ 4.518,62 y en la partida N° 840104 0701 Maquinarias y Equipos por el valor de $ 3.000,00.
La </t>
    </r>
    <r>
      <rPr>
        <b/>
        <sz val="11"/>
        <color rgb="FF000000"/>
        <rFont val="Arial Narrow"/>
      </rPr>
      <t>Unidad de Mantenimiento de Equipos Informáticos</t>
    </r>
    <r>
      <rPr>
        <sz val="11"/>
        <color rgb="FF000000"/>
        <rFont val="Arial Narrow"/>
      </rPr>
      <t xml:space="preserve"> solicita incremento en la partida N° 840107 0701 Equipos, Sistemas y Paquetes Informáticos el valor de $ 10.313,89.</t>
    </r>
  </si>
  <si>
    <t>Atendido parcialmente, solo se atendió el incremento de $ 10.313,89.</t>
  </si>
  <si>
    <t>UTMACH-VADM-2023-0953-M</t>
  </si>
  <si>
    <t>.03/10/2023</t>
  </si>
  <si>
    <t>Con el objetivo de fortalecer el plan de seguridad de la Universidad Técnica de Machala, se está trabajando en el proyecto de adecuaciones de seguridad en los ingresos vehiculares y peatonales por fases, en consecuencia, se dispone solicitar a quien corresponda la liberación de los recursos para invertir en otras necesidades y/o proyectos institucionales.</t>
  </si>
  <si>
    <t>UTMACH-DTH-2023-1352-M</t>
  </si>
  <si>
    <t>20/09/2023</t>
  </si>
  <si>
    <t>Solicita implementar el proyecto de inversión de procesos de desvinculación en la UTMACH durante el año 2023.</t>
  </si>
  <si>
    <r>
      <t xml:space="preserve">Fecha Inicio:  </t>
    </r>
    <r>
      <rPr>
        <i/>
        <sz val="11"/>
        <color rgb="FF000000"/>
        <rFont val="Century Schoolbook"/>
        <family val="1"/>
      </rPr>
      <t>04/09/2023</t>
    </r>
  </si>
  <si>
    <r>
      <t xml:space="preserve">Fecha Fin: </t>
    </r>
    <r>
      <rPr>
        <i/>
        <sz val="11"/>
        <color rgb="FF000000"/>
        <rFont val="Cambria"/>
        <family val="1"/>
      </rPr>
      <t xml:space="preserve">     05/10</t>
    </r>
    <r>
      <rPr>
        <i/>
        <sz val="11"/>
        <color rgb="FF000000"/>
        <rFont val="Century Schoolbook"/>
        <family val="1"/>
      </rPr>
      <t>/2023</t>
    </r>
  </si>
  <si>
    <t>510710 0700 003</t>
  </si>
  <si>
    <t>530425 0701 001</t>
  </si>
  <si>
    <t>570218 0701 003</t>
  </si>
  <si>
    <t>Intereses por Mora Patronal al IESS</t>
  </si>
  <si>
    <t>013 710706 0701 202</t>
  </si>
  <si>
    <t>840103 0701 202</t>
  </si>
  <si>
    <t>840108 0701 001</t>
  </si>
  <si>
    <t>Membresías</t>
  </si>
  <si>
    <t>840104 0701 202</t>
  </si>
  <si>
    <t>Machala, 25 de octubre de 2023</t>
  </si>
  <si>
    <t>RESUMEN</t>
  </si>
  <si>
    <t>PROYECTO DE JUBILADOS</t>
  </si>
  <si>
    <t>Reducción</t>
  </si>
  <si>
    <t>N° Partida</t>
  </si>
  <si>
    <t>Partida</t>
  </si>
  <si>
    <t>01</t>
  </si>
  <si>
    <t>Formacion académica - 82</t>
  </si>
  <si>
    <t>Gestion de la investigación - 83</t>
  </si>
  <si>
    <t>Gestion de la vinculación - 84</t>
  </si>
  <si>
    <t>Subtotal:</t>
  </si>
  <si>
    <t>Total Proyecto de Jubilados</t>
  </si>
  <si>
    <t>Inversión</t>
  </si>
  <si>
    <t>RESUMEN DE SOLICITUDES PARA REFORMA PRESUPUESTARIA N° 006/2023 AL 25 DE OCTUBRE DE 2023</t>
  </si>
  <si>
    <r>
      <rPr>
        <sz val="11"/>
        <color rgb="FF000000"/>
        <rFont val="Arial Narrow"/>
      </rPr>
      <t>UTMACH-DBUAC-</t>
    </r>
    <r>
      <rPr>
        <sz val="11"/>
        <color rgb="FF000000"/>
        <rFont val="Century Schoolbook"/>
      </rPr>
      <t>2023-0792</t>
    </r>
    <r>
      <rPr>
        <sz val="11"/>
        <color rgb="FF000000"/>
        <rFont val="Arial Narrow"/>
      </rPr>
      <t>-M</t>
    </r>
  </si>
  <si>
    <r>
      <rPr>
        <sz val="11"/>
        <color rgb="FF000000"/>
        <rFont val="Arial Narrow"/>
      </rPr>
      <t xml:space="preserve">Solicita incremento en la partida presupuestaria N° 570201 0701 001 Seguros el valor de </t>
    </r>
    <r>
      <rPr>
        <sz val="11"/>
        <color rgb="FF000000"/>
        <rFont val="Century Schoolbook"/>
      </rPr>
      <t>$ 10.000,00</t>
    </r>
    <r>
      <rPr>
        <sz val="11"/>
        <color rgb="FF000000"/>
        <rFont val="Arial Narrow"/>
      </rPr>
      <t>, para cancelar la póliza y factura de INCLUSIÓN, para cubrir el servicio SEGURO DE VIDA Y ACCIDENTES PERSONALES PARA NUESTROS ESTUDIANTES.
Además solicita incremento en la partida presupuestaria N° 530807 0701 003 Material de Impresión, Fotografía y Reproducción por el valor de $ 800,00.</t>
    </r>
  </si>
  <si>
    <t>Atendido favorablemente el incremento de $ 10.000,00 en Seguros en la Reforma Presupuestaria N° 005/2023.
Atendido favorablemente el incremento de $ 800,00.</t>
  </si>
  <si>
    <t>UTMACH-DADM-2023-0979-M</t>
  </si>
  <si>
    <r>
      <t xml:space="preserve">La </t>
    </r>
    <r>
      <rPr>
        <b/>
        <sz val="11"/>
        <color rgb="FF000000"/>
        <rFont val="Arial Narrow"/>
      </rPr>
      <t>Unidad de Control de Bienes</t>
    </r>
    <r>
      <rPr>
        <sz val="11"/>
        <color rgb="FF000000"/>
        <rFont val="Arial Narrow"/>
      </rPr>
      <t xml:space="preserve"> solicita incremento en la partida presupuestaria N° 840107 0701 002 Equipos, Sistemas y Paquetes Informáticos por el valor de $ 700,00 para la compra de 2 KIT ETIQUETADORA PORTATIL (Impresora+Maleta de Transporte+Bateria+Adaptador).</t>
    </r>
  </si>
  <si>
    <t>UTMACH-DADM-2023-0984-M</t>
  </si>
  <si>
    <t>Solicita presupuesto para el arreglo del Bus INTERNATIONAL 4700 FE, año de fabricación 2014 y capacidad de 40 pasajeros, por el valor de $ 41.091,52 (incluido el IVA), lo que permitirá aumentar la capacidad instalada del parque automotor institucional.</t>
  </si>
  <si>
    <t>No se atiende porque es extemporaneo.</t>
  </si>
  <si>
    <t>UTMACH-DIRCOM-2023-0163-M</t>
  </si>
  <si>
    <t>Solicita incremento en la partida presupuestaria N° 530807 0701 003 Materiales de Impresión, Fotografía, Reproducción y Publicaciones por un valor de $ 6.053,60, para la compra de Toners impresora laser color de producción Toshiba Estudio 6570C (color negro, magenta, cyan y yellow) y Tintas semilíquidas impresora InkJet color de producción RISO ComColor 9150R (color negro, magenta, cyan y yellow).</t>
  </si>
  <si>
    <t>UTMACH-DADM-2023-1003-M</t>
  </si>
  <si>
    <r>
      <rPr>
        <sz val="11"/>
        <color rgb="FF000000"/>
        <rFont val="Arial Narrow"/>
        <family val="2"/>
      </rPr>
      <t xml:space="preserve">La </t>
    </r>
    <r>
      <rPr>
        <b/>
        <sz val="11"/>
        <color rgb="FF000000"/>
        <rFont val="Arial Narrow"/>
        <family val="2"/>
      </rPr>
      <t>Unidad de Obras e Infraestructua Universitaria</t>
    </r>
    <r>
      <rPr>
        <sz val="11"/>
        <color rgb="FF000000"/>
        <rFont val="Arial Narrow"/>
        <family val="2"/>
      </rPr>
      <t xml:space="preserve"> solicita no disponer de los recursos de la partida presupuestaria 530209 0701 001 correspondiente a Servicio de Aseo, por el valor de $ 6.826,68.
Además solicita incrementos de acuerdo al detalle que se indica en el memorando.</t>
    </r>
  </si>
  <si>
    <t>UTMACH-DADM-UCP-2023-1464-M</t>
  </si>
  <si>
    <t>Solicita incremento en la partida N° 840104 0701 002 Maquinarias y Equipos por el valor de $ 320,00 pa pa la compra de un dispensador de agua, e incremento en la partida N° 840107 0701 002 Equipos, Sistemas y Paquetes Informáticos por el valor de $ 180,00 para la compra de un disco duro externo 3 TB.</t>
  </si>
  <si>
    <t>UTMACH-DADM-2023-1011-M</t>
  </si>
  <si>
    <r>
      <rPr>
        <sz val="11"/>
        <color rgb="FF000000"/>
        <rFont val="Arial Narrow"/>
      </rPr>
      <t xml:space="preserve">La </t>
    </r>
    <r>
      <rPr>
        <b/>
        <sz val="11"/>
        <color rgb="FF000000"/>
        <rFont val="Arial Narrow"/>
      </rPr>
      <t>Unidad de Obras e Infraestructua Universitaria</t>
    </r>
    <r>
      <rPr>
        <sz val="11"/>
        <color rgb="FF000000"/>
        <rFont val="Arial Narrow"/>
      </rPr>
      <t xml:space="preserve"> solicita incremento en la partida N° 530811 0701 Insumos, Materiales y Suminsitros para construcción, electricidad, plomeria, carpinteria, señalización vial, navegación, contra incendios y placas por el valor de $ 152.320,00 y en la partida N° 840106 0701 002 Herramientas por el valor de $ 13.380,00.</t>
    </r>
  </si>
  <si>
    <t>No atendido por conocimiento de las Directrices emitidas por el MEF.</t>
  </si>
  <si>
    <t>UTMACH-FCS-D-2023-1084-M</t>
  </si>
  <si>
    <t>Se solicita incremento en la partida N° 83 531407 Equipos, Sistemas y Paquetes Informáticos por el valor total de $ 11.552.80, en la partida N° 83 840107 Equipos, Sistemas y Paquetes Informáticos por el valor total de $ 36.662.08, en la partida N° 83 840103 Mobiliarios por el valor de $ 19.219,31, en la partida N° 82 840103 Mobiliarios por el valor de $ 560,00, en la partida N° 82 530807 Materiales de Impresión, Fotografía, Reproducción y Publicaciones el valor de $ 2.631,60 y en la partida N° 82 530402 0701 002 Edificios, Locales, Residencias y Cableado Estructurado (Instalación, Mantenimiento y Reparación) por el valor de $ 6.160,00, para adecuaciones para soportes y seguridad de tv y espacios de adecentamiento de la Facultad, con el objetivo de mejorar y adecuar los espacios de la Facultad.
Además solicita cambio en los nombres de los ítems, con la finalidad de mejorar y aclarar dichos ítems de la partida 840104 conforme a la solicitud de reforma adjunta.</t>
  </si>
  <si>
    <t>Los cambios de ítems se atendieron en la Reforma Presupuestaria N° 005/2023.
Atendido parcialmente, no se atendió el incremento de $ 6.160,00 por haberse declarado desierto por dos ocasiones la compra de los TV.</t>
  </si>
  <si>
    <t>UTMACH-FCE-D-2023-0996-M
UTMACH-FCE-D-2023-1078-M
(Alcance al M_0996)</t>
  </si>
  <si>
    <t>25/09/2023
23/10/2023</t>
  </si>
  <si>
    <t>Solicita cambio de ítems entre unidades de la facultad en la partida N° 840107 0701 003 Equipos, Sistemas y Paquetes Informáticos, incremento en la misma partida por el valor de $ 59.976,00 para compra de 40 computadoras y 3 impresoras, y disminución en la partida N° 530702 0701 003 ARRENDAMIENTO Y LICENCIAS DE USO DE PAQUETES INFORMATICOS por el valor de $ 1.500,00 e incremento en la partida N° 530239 0701 003 MEMBRESIAS por el mismo valor. Además solicita incremento en la partida N° 530702 0701 003 ARRENDAMIENTO Y LICENCIAS DE USO DE PAQUETES INFORMATICOS por el valor de $ 6.500,00 para la compra de una LICENCIA DE USO DE SOFTWARE.</t>
  </si>
  <si>
    <t>Los movimientos de ítems entre carreras se atendió en la Reforma Presupuestaria N° 005/2023.
Atendido favorablemente el primer memo enviado (UTMACH-FCE-D-2023-0996-M_25/09/2023) por $ 30.470,00 (20 computadores a $ 1.459,oo c/u y 3 impresoras a $ 430,00 c/u).</t>
  </si>
  <si>
    <t>UTMACH-DFP-2023-0351-M</t>
  </si>
  <si>
    <t>Solicita incremento en la partida N° 840107 0701 Equipos, Sistemas y Paquetes Informaticos el valor de $ 47.926,00 para la adquisición de 200 TABLET con PANTALLA DE 8.7 para que los aspirantes de nuestra Institución de Educación Superior rindan la prueba de admisión.</t>
  </si>
  <si>
    <t>Atendido parcialmente, solo se atendió el incremento de $ 10.313,89, en la Reforma Presupuestaria N° 005/2023.
El incremento de $ 7.518,62 no fue atendido.</t>
  </si>
  <si>
    <t>UTMACH-DIDI-2023-0642-M</t>
  </si>
  <si>
    <t>.02/10/2023</t>
  </si>
  <si>
    <t>Solicita eliminación de ítems, reprogramación de valores y en la ejecución cuatrimestral en la partida N° 840107 0701 003 Equipos, Paquetes y Sistemas Informáticos por el valor de $ 40.409,60, sin afectación presupuestaria. Además solicita reducción en la partida N° 530404 0701 003 Maquinarias y Equipos (Instalación, manteniniento y reparación) por el valor de $ 800,00 e incrementar en la partida N° 530303 0701 003 Viáticos y Subsistencias en el Interior por el mismo valor.</t>
  </si>
  <si>
    <t>UTMACH-FCA-D-2023-0772-M
UTMACH-FCA-D-2023-0775-M
(Alcance al M_0772)</t>
  </si>
  <si>
    <t>.04/10/2023</t>
  </si>
  <si>
    <t>Solicita reducción en la partida N° 530404 0701 003 Maquinarias y Equipos (Instalación, Mantenimiento y Reparación) por el valor de $ 448,00 y en la partida N° 530810 0701 001 Dispositivos Médicos para Laboratorio Clínico y de Patología el valor de $ 473,76 e incremento en las partidas N° 531403 0701 002 Mobiliarios por el valor de $ 371,76 y en la partida N° 840103 0701 002 Mobiliarios por el valor de $ 550,00.</t>
  </si>
  <si>
    <t>UTMACH-DTIC-2023-0320-M
UTMACH-DTIC-2023-0337-M (Alcance al M_0320)
UTMACH-DTIC-2023-0348-M 
(Alcance al M_0337)</t>
  </si>
  <si>
    <t>.06/10/2023
16/10/2023
19/10/2023</t>
  </si>
  <si>
    <r>
      <t xml:space="preserve">La </t>
    </r>
    <r>
      <rPr>
        <b/>
        <sz val="11"/>
        <color rgb="FF000000"/>
        <rFont val="Arial Narrow"/>
      </rPr>
      <t>Unidad de Redes y Telecomunicaciones</t>
    </r>
    <r>
      <rPr>
        <sz val="11"/>
        <color rgb="FF000000"/>
        <rFont val="Arial Narrow"/>
      </rPr>
      <t xml:space="preserve"> solicita incremento en la partida N° 530811 0701 001 Insumos, Materiales y Suministros para Construcción, Electricidad, Plomería, Carpintería, Señalización Vial, Navegación, Contra Incendios y Placas por el valor de $ 600,00 para la compra de 2 rollos de cable UTP CAT 6, e incremento en la partida N° 840104 0701 001 Maquinarias y Equipos por un valor de $ 5.500,00 para la compra de un Testeador de UTP.
La </t>
    </r>
    <r>
      <rPr>
        <b/>
        <sz val="11"/>
        <color rgb="FF000000"/>
        <rFont val="Arial Narrow"/>
      </rPr>
      <t>Unidad de Sistemas</t>
    </r>
    <r>
      <rPr>
        <sz val="11"/>
        <color rgb="FF000000"/>
        <rFont val="Arial Narrow"/>
      </rPr>
      <t xml:space="preserve"> solicita incremento en la partida N° 530702 0701 002 Arrendamiento y Licencias de Uso de Paquetes Informáticos por el valor de $ 12.325,00 para la compra de 5 Sencha Ext JS-Enterprise edition (Perpetual License) por un año.</t>
    </r>
  </si>
  <si>
    <t>Atendido parcialmente, a excepción del incremento de $ 12.325,00 en razón de que este valor si lo tienen en el POA ajustado a la Reforma Presupuestaria N° 005/2023.</t>
  </si>
  <si>
    <t>UTMACH-DTH-2023-1487-M
UTMACH-DTH-2023-1495-M (Alcance al M_1487)</t>
  </si>
  <si>
    <t>.06/10/2023
10/10/2023</t>
  </si>
  <si>
    <t>Solicita asignar recursos en la partida N° 530612 0701 003 Capacitación a Servidores Públicos el valor de $ 4.812,37 para pagar a la Universidad Internacional de La Rioja (UNIR), montos que ascienden a 2.521,00 € y 2.016,80 €, correspondientes a un compromiso pendiente de pago relacionado con el curso "Formación en Dirección y Gestión de Universidades", que fue llevado a cabo en dos fases entre los años 2020 y 2021.</t>
  </si>
  <si>
    <t>UTMACH-DIRCOM-2023-0175-M</t>
  </si>
  <si>
    <t>Solicita incremento en la partida N° 530207 0701 002 Difusión, Información y Publicidad por el valor de $ 3.000,00 con la finalidad de cancelar las publicaciones realizadas en diarios de la localidad y además cumplir con las peticiones de publicación de algunas dependencias.</t>
  </si>
  <si>
    <t>UTMACH-FCA-D-2023-0815-M</t>
  </si>
  <si>
    <t>13/10/2023</t>
  </si>
  <si>
    <t>Solicita reducción en la partida N° 530601 0701 003 Consultoría, Asesoría e Investigación 
Especializada por el valor de $ 43.680,00 e incremento en la partida N° 840104 0701 001 Maquinarias y Equipos por el mismo valor para la adquisición de 12 pantallas interactivas para las aulas de la FCA.</t>
  </si>
  <si>
    <t>Atendido favorablemente, por el valor de $ 90.500,00 para la adquisición de 15 pantallas interactivas.</t>
  </si>
  <si>
    <t>Dirección de Planificación</t>
  </si>
  <si>
    <t>Solicita incremento en la partida N° 530204 0701 002 Edición, Impresión, Reproducción, Publicaciones, Suscripciones, el valor de $ 6.300,00 para impresión de folletos del PEDI, DPLAN.</t>
  </si>
  <si>
    <t>UTMACH-DBUAC-2023-0979-M</t>
  </si>
  <si>
    <t>24/10/2023</t>
  </si>
  <si>
    <t>Dirección de Bienestar Universitaria, Arte y Cultura</t>
  </si>
  <si>
    <t>Solicita incremento en la partida N° 530425 0701 001 Instalación, Readecuación, Montaje de Exposiciones, Mantenimiento y Reparación de Espacios y Bienes Culturales, por el valor de $ 6.300,00 para dar mantenimiento al monumento de los próceres.</t>
  </si>
  <si>
    <t>UTMACH-DTH-2023-1352-M    UTMACH-ADM-CENTRAL-EMP-2023-3149-M</t>
  </si>
  <si>
    <t>14/10/2023</t>
  </si>
  <si>
    <t>De acuerdo con sumilla inserta de DPLAN que proceda a incorporar este trámite en la reforma N° 006, proyecto de inversión: “IMPLEMENTACIÓN DE PLANES INSTITUCIONALES DE RETIRO VOLUNTARIO Y OBLIGATORIO CON FINES DE JUBILACIÓN, DE LOS SERVIDORES DE LA UNIVERSIDAD TECNICA DE MACHALA, AÑO 2023”, con CUP N° 91640000.0000.389334, por un monto de $ 517.392,07.</t>
  </si>
  <si>
    <t>UTMACH-DADM-2023-1119-M</t>
  </si>
  <si>
    <t>17/10/2023</t>
  </si>
  <si>
    <t>La Unidad de Obras e Infraestructua Universitaria solicita desagregar en la partida N° 530404 0701 001 Maquinarias y Equipos (Mantenimiento, reparación e Instalación) por el valor de $ 9.200,00 de la siguiente manera:
Item 1: Mantenimiento de de varias maquinarias para trabajos de áreas verdes y escenarios deportivos $ 1.800,00 más IVA ($ 2.016,00).
Item 2: Servicio de mantenimiento preventivo y correctivo del sistema de bombas de la planta de tratamiento de aguas residuales de la UTMACH por $ 6.300,00 más IVA ($ 7.056,00).</t>
  </si>
  <si>
    <t>UTMACH-DF-UREM-2023-0367
UTMACH-DF-UREM-2023-0369 (Alcance al M_0367)</t>
  </si>
  <si>
    <t>17/10/2023
18/10/2023</t>
  </si>
  <si>
    <t>Solicita se asignen recursos en el ítem 570218 0701 003 Intereses por Mora Patronal al IESS por el valor de $ 3.439,95 para cancelar intereses por mora por planillas declaradas de aportes por las remuneraciones canceladas al docente Cun Carrión Jorge Vicente, desde septiembre del 2020 hasta mayo 2022.</t>
  </si>
  <si>
    <t>UTMACH-PG-2023-0573-M</t>
  </si>
  <si>
    <t>Procuraduría General</t>
  </si>
  <si>
    <t>Solicita ratificar o rectificar el criterio jurídico presentado, en cuanto a la devolución de los valores requeridos por el Sr. Miguel Ángel Maldonado Gutiérrez, ex – estudiante de la
Carrera de Ciencias de la Educación Mención Docencia en Informática, se adjunta el INFORME JURÍDICO N° INF-PG-396-2023, con las recomendaciones establecidas, por lo que se incrementa en la partida N° 580204 0701 003 Transferencias al Sector Privado No Financiero por el valor de $ 1.000,00.</t>
  </si>
  <si>
    <t>Solicita se asignen recursos en el ítem 570218 0701 003 Intereses por Mora Patronal al IESS por el valor de $ 1.560,00 para cancelar intereses por mora por planillas declaradas de aportes por las remuneraciones canceladas al docente Colón Velásquez.</t>
  </si>
  <si>
    <t>Atendido favorablemente por análisis de seguimiento.</t>
  </si>
  <si>
    <t>UTMACH-DBUAC-2023-0972-M</t>
  </si>
  <si>
    <t>Solicita incremento en la partida N° 840108 0701 001 Bienes Artísticos y Culturales por el valor de $ 6.300,00 y en la partida N° 840103 0701 001 Mobiliarios por el valor de $ 840,00, paraadquisición de escultoras para acondicionar el bosque universitario que es un espacio recreativo y de bienestar para toda la comunidad universitaria.</t>
  </si>
  <si>
    <t>Atendido parcialmente, solo se atendió el incremento de $ 2.520,00 en la partida N° 840108 0701 001 Bienes Artísticos y Culturales.</t>
  </si>
  <si>
    <t>UTMACH-FCQS-D-2023-1267-M</t>
  </si>
  <si>
    <t>23/10/2023</t>
  </si>
  <si>
    <t>Solicita reducción en la partida N° 530819 0701 003 Accesorios e Insumos Químicos y Orgánicos el valor de $ 318,18 y en la partida N° 530801 0701 001 Alimentos y Bebidas por el valor de $ 56,00 e incremento en la partida N° 530812 0701 003 Materiales Didácticos el valor de $ 318,18 y en la partida 530812 0701 001 Materiales Didácticos el valor de $ 56,00.
Además solicita reducción en la partida N° 530823 0701 002 Egreso para Sanidad Agropecuaria el valor de $ 619,36 y en la partida N° 530819 0701 002 Accesorios e Insumos Químicos y Orgánicos el valor de $ 162,40 e incremento en la partida N° 530812 0701 002 Materiales Didácticos el valor total de $ 871,76.</t>
  </si>
  <si>
    <t>UTMACH-DBUAC-2023-0990-M</t>
  </si>
  <si>
    <t>25/10/2023</t>
  </si>
  <si>
    <t>Solicita incremento en la partida N° 530402 Edificios, Locales, Residencias y Cableado Estructurado (Instalación, Mantenimiento y Reparación) por el valor de $ 161.023,10 para la mantenimiento y reparación del coliseo y gimnasio universitario.</t>
  </si>
  <si>
    <t>UTMACH-DADM-2023-1165-M</t>
  </si>
  <si>
    <t>Solicita incremento en las partidas N° 570102 0701 002 Tasas Generales, Patentes el valor de $ 22.150,00 para permisos de construcción y ampliación de infraestructura de las carreras de Medicina y Artes Plásticas, en la partida N° 570102 0701 003 Tasas Generales, Patentes el valor de $ 46.300,00 para permisos de construcción del CRAI y en la partida N° 570206 0701 003 Costas Judiciales, Trámites Notariales, Legalización de Documentos y Arreglos Extrajudiciales el valor de $ 2.000,00 para pago de notaría por registro de arreglo de vía.</t>
  </si>
  <si>
    <t>UTMACH-DADM-2023-1137-M</t>
  </si>
  <si>
    <t>19/10/2023</t>
  </si>
  <si>
    <t>Solicita trasladar el valor de los siguientes ítems del fondo general de caja chica, no han sido utilizados de manera emergente:
530106 servicio de Correo $250,00
530301 Pasajes al Interior $ 300,00
570206 costos Judiciales, Trámites Notariales, Legalización de Documentos y Arreglos Extrajudiciales $170,00
A las siguientes partidas:
530204 Edición, Impresión, Reproducción, Publicaciones, Suscripciones, Fotocopiado,
Traducción, Empastado, Enmarcación, Serigrafía, Fotografía, Carnetización, Filmación
e Imágenes Satelitales.
530811 Insumos, Materiales y Suministros para Construcción, Electricidad, Plomería,
Carpintería, Señalización Vial, Navegación, Contra Incendios y Placas.
530402 Edificios, Locales, Residencias y Cableado Estructurado (Instalación,
Mantenimiento y Reparación).</t>
  </si>
  <si>
    <r>
      <t xml:space="preserve">Fecha Inicio:  </t>
    </r>
    <r>
      <rPr>
        <i/>
        <sz val="11"/>
        <color rgb="FF000000"/>
        <rFont val="Century Schoolbook"/>
        <family val="1"/>
      </rPr>
      <t>05/10/2023</t>
    </r>
  </si>
  <si>
    <r>
      <rPr>
        <b/>
        <i/>
        <sz val="11"/>
        <color rgb="FF000000"/>
        <rFont val="Cambria"/>
      </rPr>
      <t xml:space="preserve">Fecha Fin: </t>
    </r>
    <r>
      <rPr>
        <i/>
        <sz val="11"/>
        <color rgb="FF000000"/>
        <rFont val="Cambria"/>
      </rPr>
      <t xml:space="preserve">     25/10</t>
    </r>
    <r>
      <rPr>
        <i/>
        <sz val="11"/>
        <color rgb="FF000000"/>
        <rFont val="Century Schoolbook"/>
      </rPr>
      <t>/2023</t>
    </r>
  </si>
  <si>
    <t>Adecuación y ampliación de la infraestructura de las carreras de Medicina y Artes Plásticas y Visuales de la Universidad Técnica de Machala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</si>
</sst>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43" formatCode="_ * #,##0.00_ ;_ * \-#,##0.00_ ;_ * &quot;-&quot;??_ ;_ @_ "/>
    <numFmt numFmtId="164" formatCode="_(&quot;$&quot;* #,##0.00_);_(&quot;$&quot;* \(#,##0.00\);_(&quot;$&quot;* &quot;-&quot;??_);_(@_)"/>
    <numFmt numFmtId="165" formatCode="_-&quot;$&quot;* #,##0.00_-;\-&quot;$&quot;* #,##0.00_-;_-&quot;$&quot;* &quot;-&quot;??_-;_-@_-"/>
    <numFmt numFmtId="166" formatCode="_-* #,##0.00_-;\-* #,##0.00_-;_-* &quot;-&quot;??_-;_-@_-"/>
    <numFmt numFmtId="167" formatCode="#,##0.00&quot; &quot;;&quot;-&quot;#,##0.00&quot; &quot;"/>
    <numFmt numFmtId="168" formatCode="#,##0.00_ ;\-#,##0.00\ "/>
    <numFmt numFmtId="169" formatCode="#,##0.000000000"/>
    <numFmt numFmtId="170" formatCode="[$USD $]#,##0.00"/>
    <numFmt numFmtId="171" formatCode="&quot;$&quot;#,##0.00"/>
    <numFmt numFmtId="172" formatCode="&quot;$&quot;\ #,##0.00"/>
    <numFmt numFmtId="173" formatCode="_(&quot;$&quot;\ * #,##0.00_);_(&quot;$&quot;\ * \(#,##0.00\);_(&quot;$&quot;\ * &quot;-&quot;??_);_(@_)"/>
    <numFmt numFmtId="174" formatCode="0.00_ ;\-0.00\ "/>
    <numFmt numFmtId="175" formatCode="#,##0_ ;\-#,##0\ "/>
    <numFmt numFmtId="176" formatCode="#,##0.0000_ ;\-#,##0.0000\ "/>
    <numFmt numFmtId="177" formatCode="dd/mm/yyyy"/>
    <numFmt numFmtId="178" formatCode="#,##0.000000_ ;\-#,##0.000000\ "/>
    <numFmt numFmtId="179" formatCode="_-* #,##0.00\ _€_-;\-* #,##0.00\ _€_-;_-* &quot;-&quot;??\ _€_-;_-@_-"/>
    <numFmt numFmtId="180" formatCode="dd/mm/yyyy;@"/>
    <numFmt numFmtId="181" formatCode="[$$-300A]#,##0.00"/>
    <numFmt numFmtId="182" formatCode="#,##0.0000;\-#,##0.0000"/>
    <numFmt numFmtId="183" formatCode="_(&quot;$&quot;\ * #,##0.000_);_(&quot;$&quot;\ * \(#,##0.000\);_(&quot;$&quot;\ * &quot;-&quot;??_);_(@_)"/>
    <numFmt numFmtId="184" formatCode="#,##0.00000_);\(#,##0.00000\)"/>
  </numFmts>
  <fonts count="419">
    <font>
      <sz val="10"/>
      <color rgb="FF000000"/>
      <name val="Arial"/>
      <scheme val="minor"/>
    </font>
    <font>
      <sz val="12"/>
      <color theme="1"/>
      <name val="Arial"/>
      <family val="2"/>
      <scheme val="minor"/>
    </font>
    <font>
      <sz val="12"/>
      <color theme="1"/>
      <name val="Arial"/>
      <family val="2"/>
      <scheme val="minor"/>
    </font>
    <font>
      <sz val="11"/>
      <color theme="1"/>
      <name val="Calibri"/>
      <family val="2"/>
    </font>
    <font>
      <sz val="10"/>
      <color theme="1"/>
      <name val="Calibri"/>
      <family val="2"/>
    </font>
    <font>
      <b/>
      <sz val="36"/>
      <color rgb="FF002060"/>
      <name val="Book Antiqua"/>
      <family val="1"/>
    </font>
    <font>
      <b/>
      <sz val="24"/>
      <color rgb="FF002060"/>
      <name val="Book Antiqua"/>
      <family val="1"/>
    </font>
    <font>
      <b/>
      <sz val="22"/>
      <color rgb="FF002060"/>
      <name val="Courgette"/>
    </font>
    <font>
      <sz val="12"/>
      <color theme="1"/>
      <name val="Calibri"/>
      <family val="2"/>
    </font>
    <font>
      <b/>
      <sz val="14"/>
      <color theme="1"/>
      <name val="Cambria"/>
      <family val="1"/>
    </font>
    <font>
      <b/>
      <sz val="24"/>
      <color rgb="FF0070C0"/>
      <name val="Book Antiqua"/>
      <family val="1"/>
    </font>
    <font>
      <b/>
      <sz val="11"/>
      <color theme="1"/>
      <name val="Arial Narrow"/>
      <family val="2"/>
    </font>
    <font>
      <b/>
      <sz val="12"/>
      <color theme="1"/>
      <name val="Arial Narrow"/>
      <family val="2"/>
    </font>
    <font>
      <sz val="12"/>
      <color theme="1"/>
      <name val="Arial Narrow"/>
      <family val="2"/>
    </font>
    <font>
      <sz val="11"/>
      <color theme="1"/>
      <name val="Arial Narrow"/>
      <family val="2"/>
    </font>
    <font>
      <sz val="10"/>
      <name val="Arial"/>
      <family val="2"/>
    </font>
    <font>
      <i/>
      <sz val="12"/>
      <color theme="1"/>
      <name val="Arial Narrow"/>
      <family val="2"/>
    </font>
    <font>
      <b/>
      <sz val="12"/>
      <color rgb="FF002060"/>
      <name val="Arial Narrow"/>
      <family val="2"/>
    </font>
    <font>
      <sz val="12"/>
      <color rgb="FF000000"/>
      <name val="Arial Narrow"/>
      <family val="2"/>
    </font>
    <font>
      <b/>
      <sz val="12"/>
      <color rgb="FF000000"/>
      <name val="Arial Narrow"/>
      <family val="2"/>
    </font>
    <font>
      <b/>
      <sz val="20"/>
      <color theme="1"/>
      <name val="Book Antiqua"/>
      <family val="1"/>
    </font>
    <font>
      <sz val="11"/>
      <color rgb="FF000000"/>
      <name val="Calibri"/>
      <family val="2"/>
    </font>
    <font>
      <b/>
      <sz val="10"/>
      <color rgb="FF000000"/>
      <name val="Arial Narrow"/>
      <family val="2"/>
    </font>
    <font>
      <sz val="10"/>
      <color rgb="FF000000"/>
      <name val="Arial Narrow"/>
      <family val="2"/>
    </font>
    <font>
      <sz val="10"/>
      <color theme="1"/>
      <name val="Arial Narrow"/>
      <family val="2"/>
    </font>
    <font>
      <sz val="8"/>
      <color rgb="FF000000"/>
      <name val="Arial Narrow"/>
      <family val="2"/>
    </font>
    <font>
      <sz val="10"/>
      <color theme="0"/>
      <name val="Arial Narrow"/>
      <family val="2"/>
    </font>
    <font>
      <b/>
      <sz val="10"/>
      <color theme="0"/>
      <name val="Arial Narrow"/>
      <family val="2"/>
    </font>
    <font>
      <b/>
      <sz val="11"/>
      <color rgb="FF000000"/>
      <name val="Arial Narrow"/>
      <family val="2"/>
    </font>
    <font>
      <sz val="11"/>
      <color rgb="FF000000"/>
      <name val="Arial Narrow"/>
      <family val="2"/>
    </font>
    <font>
      <b/>
      <sz val="11"/>
      <color theme="1"/>
      <name val="&quot;Arial Narrow&quot;"/>
    </font>
    <font>
      <b/>
      <sz val="14"/>
      <color rgb="FF000000"/>
      <name val="Cambria"/>
      <family val="1"/>
    </font>
    <font>
      <sz val="11"/>
      <color theme="1"/>
      <name val="Arial"/>
      <family val="2"/>
    </font>
    <font>
      <sz val="10"/>
      <color theme="1"/>
      <name val="Arial"/>
      <family val="2"/>
      <scheme val="minor"/>
    </font>
    <font>
      <sz val="11"/>
      <color theme="1"/>
      <name val="Century Schoolbook"/>
      <family val="1"/>
    </font>
    <font>
      <b/>
      <sz val="11"/>
      <color theme="1"/>
      <name val="Century Schoolbook"/>
      <family val="1"/>
    </font>
    <font>
      <sz val="11"/>
      <color theme="1"/>
      <name val="&quot;Arial Narrow&quot;"/>
    </font>
    <font>
      <sz val="11"/>
      <color rgb="FF000000"/>
      <name val="&quot;Arial Narrow&quot;"/>
    </font>
    <font>
      <b/>
      <sz val="10"/>
      <color theme="1"/>
      <name val="Arial Narrow"/>
      <family val="2"/>
    </font>
    <font>
      <sz val="10"/>
      <color theme="1"/>
      <name val="Century Schoolbook"/>
      <family val="1"/>
    </font>
    <font>
      <sz val="8"/>
      <color theme="1"/>
      <name val="Arial Narrow"/>
      <family val="2"/>
    </font>
    <font>
      <sz val="8"/>
      <color theme="1"/>
      <name val="Calibri"/>
      <family val="2"/>
    </font>
    <font>
      <b/>
      <sz val="14"/>
      <color theme="1"/>
      <name val="Century Schoolbook"/>
      <family val="1"/>
    </font>
    <font>
      <b/>
      <sz val="12"/>
      <color theme="1"/>
      <name val="Calibri"/>
      <family val="2"/>
    </font>
    <font>
      <sz val="10"/>
      <color theme="1"/>
      <name val="Arial"/>
      <family val="2"/>
    </font>
    <font>
      <b/>
      <sz val="11"/>
      <color theme="1"/>
      <name val="Arial"/>
      <family val="2"/>
    </font>
    <font>
      <b/>
      <sz val="8"/>
      <color rgb="FF002060"/>
      <name val="Book Antiqua"/>
      <family val="1"/>
    </font>
    <font>
      <b/>
      <sz val="8"/>
      <color rgb="FF002060"/>
      <name val="Courgette"/>
    </font>
    <font>
      <b/>
      <sz val="8"/>
      <color rgb="FF0070C0"/>
      <name val="Book Antiqua"/>
      <family val="1"/>
    </font>
    <font>
      <b/>
      <sz val="8"/>
      <color theme="1"/>
      <name val="Book Antiqua"/>
      <family val="1"/>
    </font>
    <font>
      <sz val="11"/>
      <color theme="0"/>
      <name val="Arial Narrow"/>
      <family val="2"/>
    </font>
    <font>
      <b/>
      <sz val="11"/>
      <color theme="0"/>
      <name val="Arial Narrow"/>
      <family val="2"/>
    </font>
    <font>
      <b/>
      <sz val="12"/>
      <color theme="1"/>
      <name val="Century Schoolbook"/>
      <family val="1"/>
    </font>
    <font>
      <b/>
      <sz val="13"/>
      <color theme="1"/>
      <name val="Century Schoolbook"/>
      <family val="1"/>
    </font>
    <font>
      <sz val="12"/>
      <color theme="1"/>
      <name val="Century Schoolbook"/>
      <family val="1"/>
    </font>
    <font>
      <sz val="24"/>
      <color theme="1"/>
      <name val="Calibri"/>
      <family val="2"/>
    </font>
    <font>
      <sz val="12"/>
      <color theme="1"/>
      <name val="Century"/>
      <family val="1"/>
    </font>
    <font>
      <sz val="8"/>
      <color theme="1"/>
      <name val="Century"/>
      <family val="1"/>
    </font>
    <font>
      <sz val="11"/>
      <color theme="1"/>
      <name val="Century"/>
      <family val="1"/>
    </font>
    <font>
      <sz val="10"/>
      <color theme="1"/>
      <name val="Century"/>
      <family val="1"/>
    </font>
    <font>
      <b/>
      <sz val="8"/>
      <color rgb="FF000000"/>
      <name val="Arial Narrow"/>
      <family val="2"/>
    </font>
    <font>
      <b/>
      <sz val="10"/>
      <color rgb="FFFF0000"/>
      <name val="Arial Narrow"/>
      <family val="2"/>
    </font>
    <font>
      <b/>
      <sz val="14"/>
      <color theme="1"/>
      <name val="Bodoni"/>
    </font>
    <font>
      <b/>
      <sz val="36"/>
      <color theme="0"/>
      <name val="Book Antiqua"/>
      <family val="1"/>
    </font>
    <font>
      <b/>
      <sz val="22"/>
      <color theme="0"/>
      <name val="Courgette"/>
    </font>
    <font>
      <b/>
      <sz val="20"/>
      <color theme="0"/>
      <name val="Book Antiqua"/>
      <family val="1"/>
    </font>
    <font>
      <sz val="12"/>
      <color theme="0"/>
      <name val="Calibri"/>
      <family val="2"/>
    </font>
    <font>
      <b/>
      <sz val="12"/>
      <color theme="0"/>
      <name val="Arial Narrow"/>
      <family val="2"/>
    </font>
    <font>
      <b/>
      <sz val="10"/>
      <color theme="1"/>
      <name val="Century Schoolbook"/>
      <family val="1"/>
    </font>
    <font>
      <sz val="10"/>
      <color theme="1"/>
      <name val="&quot;Arial Narrow&quot;"/>
    </font>
    <font>
      <sz val="10"/>
      <color rgb="FFFF0000"/>
      <name val="Arial Narrow"/>
      <family val="2"/>
    </font>
    <font>
      <b/>
      <sz val="14"/>
      <color rgb="FF002060"/>
      <name val="Cambria"/>
      <family val="1"/>
    </font>
    <font>
      <b/>
      <sz val="14"/>
      <color theme="1"/>
      <name val="Arial Narrow"/>
      <family val="2"/>
    </font>
    <font>
      <sz val="11"/>
      <color theme="1"/>
      <name val="&quot;Century Schoolbook&quot;"/>
    </font>
    <font>
      <sz val="11"/>
      <color rgb="FF002060"/>
      <name val="Calibri"/>
      <family val="2"/>
    </font>
    <font>
      <sz val="9"/>
      <color theme="1"/>
      <name val="Arial Narrow"/>
      <family val="2"/>
    </font>
    <font>
      <sz val="12"/>
      <color theme="0"/>
      <name val="Arial Narrow"/>
      <family val="2"/>
    </font>
    <font>
      <sz val="10"/>
      <color theme="0"/>
      <name val="Calibri"/>
      <family val="2"/>
    </font>
    <font>
      <sz val="10"/>
      <color theme="0"/>
      <name val="Arial"/>
      <family val="2"/>
      <scheme val="minor"/>
    </font>
    <font>
      <sz val="11"/>
      <color theme="0"/>
      <name val="Calibri"/>
      <family val="2"/>
    </font>
    <font>
      <sz val="11"/>
      <color theme="0"/>
      <name val="Arial"/>
      <family val="2"/>
    </font>
    <font>
      <sz val="10"/>
      <color theme="0"/>
      <name val="Arial"/>
      <family val="2"/>
    </font>
    <font>
      <b/>
      <sz val="9"/>
      <color theme="1"/>
      <name val="Century Schoolbook"/>
      <family val="1"/>
    </font>
    <font>
      <sz val="10"/>
      <color rgb="FF434343"/>
      <name val="Arial Narrow"/>
      <family val="2"/>
    </font>
    <font>
      <sz val="11"/>
      <color rgb="FFFF0000"/>
      <name val="Arial Narrow"/>
      <family val="2"/>
    </font>
    <font>
      <b/>
      <i/>
      <sz val="12"/>
      <color theme="1"/>
      <name val="Arial Narrow"/>
      <family val="2"/>
    </font>
    <font>
      <b/>
      <sz val="11"/>
      <color rgb="FFFF0000"/>
      <name val="Arial Narrow"/>
      <family val="2"/>
    </font>
    <font>
      <sz val="11"/>
      <color rgb="FF000000"/>
      <name val="Century Schoolbook"/>
      <family val="1"/>
    </font>
    <font>
      <i/>
      <sz val="10"/>
      <color theme="1"/>
      <name val="Arial Narrow"/>
      <family val="2"/>
    </font>
    <font>
      <b/>
      <sz val="9"/>
      <color rgb="FFFF0000"/>
      <name val="Arial Narrow"/>
      <family val="2"/>
    </font>
    <font>
      <b/>
      <sz val="9"/>
      <color theme="1"/>
      <name val="Arial Narrow"/>
      <family val="2"/>
    </font>
    <font>
      <sz val="10"/>
      <color rgb="FF000000"/>
      <name val="Arial"/>
      <family val="2"/>
      <scheme val="minor"/>
    </font>
    <font>
      <sz val="11"/>
      <color indexed="8"/>
      <name val="Calibri"/>
      <family val="2"/>
    </font>
    <font>
      <sz val="11"/>
      <color theme="1"/>
      <name val="Arial"/>
      <family val="2"/>
      <scheme val="minor"/>
    </font>
    <font>
      <b/>
      <sz val="14"/>
      <name val="Cambria"/>
      <family val="1"/>
    </font>
    <font>
      <b/>
      <sz val="10"/>
      <name val="Arial Narrow"/>
      <family val="2"/>
    </font>
    <font>
      <sz val="10"/>
      <name val="Arial Narrow"/>
      <family val="2"/>
    </font>
    <font>
      <b/>
      <sz val="9"/>
      <name val="Century Schoolbook"/>
      <family val="1"/>
    </font>
    <font>
      <sz val="12"/>
      <name val="Century Schoolbook"/>
      <family val="1"/>
    </font>
    <font>
      <sz val="10"/>
      <name val="Century Schoolbook"/>
      <family val="1"/>
    </font>
    <font>
      <b/>
      <sz val="9"/>
      <color rgb="FF000000"/>
      <name val="Century Schoolbook"/>
      <family val="1"/>
    </font>
    <font>
      <sz val="10"/>
      <color rgb="FF000000"/>
      <name val="Century Schoolbook"/>
      <family val="1"/>
    </font>
    <font>
      <sz val="10"/>
      <name val="Calibri"/>
      <family val="2"/>
    </font>
    <font>
      <sz val="11"/>
      <name val="Arial Narrow"/>
      <family val="2"/>
    </font>
    <font>
      <sz val="11"/>
      <name val="Century Schoolbook"/>
      <family val="1"/>
    </font>
    <font>
      <sz val="12"/>
      <color rgb="FF000000"/>
      <name val="Calibri"/>
      <family val="2"/>
    </font>
    <font>
      <sz val="12"/>
      <color rgb="FF000000"/>
      <name val="Century Schoolbook"/>
      <family val="1"/>
    </font>
    <font>
      <b/>
      <sz val="11"/>
      <color rgb="FF000000"/>
      <name val="Century Schoolbook"/>
      <family val="1"/>
    </font>
    <font>
      <sz val="9"/>
      <color indexed="81"/>
      <name val="Tahoma"/>
      <family val="2"/>
    </font>
    <font>
      <sz val="12"/>
      <name val="Century"/>
      <family val="1"/>
    </font>
    <font>
      <b/>
      <sz val="12"/>
      <color theme="1"/>
      <name val="Century"/>
      <family val="1"/>
    </font>
    <font>
      <sz val="10"/>
      <color rgb="FF000000"/>
      <name val="Century"/>
      <family val="1"/>
    </font>
    <font>
      <b/>
      <sz val="10"/>
      <color theme="1"/>
      <name val="Century"/>
      <family val="1"/>
    </font>
    <font>
      <sz val="12"/>
      <color rgb="FF000000"/>
      <name val="Century"/>
      <family val="1"/>
    </font>
    <font>
      <b/>
      <sz val="12"/>
      <color rgb="FF000000"/>
      <name val="Century"/>
      <family val="1"/>
    </font>
    <font>
      <sz val="10"/>
      <name val="Century"/>
      <family val="1"/>
    </font>
    <font>
      <sz val="14"/>
      <name val="Arial"/>
      <family val="2"/>
    </font>
    <font>
      <sz val="12"/>
      <color theme="0"/>
      <name val="Century"/>
      <family val="1"/>
    </font>
    <font>
      <b/>
      <sz val="11"/>
      <color rgb="FFFF0000"/>
      <name val="Arial"/>
      <family val="2"/>
    </font>
    <font>
      <sz val="11"/>
      <color theme="1"/>
      <name val="Arial"/>
      <family val="2"/>
    </font>
    <font>
      <sz val="10"/>
      <color rgb="FF000000"/>
      <name val="Arial"/>
      <family val="2"/>
    </font>
    <font>
      <sz val="11"/>
      <color rgb="FF000000"/>
      <name val="Arial"/>
      <family val="2"/>
    </font>
    <font>
      <b/>
      <sz val="11"/>
      <color rgb="FF000000"/>
      <name val="&quot;Arial Narrow&quot;"/>
    </font>
    <font>
      <b/>
      <sz val="11"/>
      <color rgb="FF000000"/>
      <name val="Arial"/>
      <family val="2"/>
    </font>
    <font>
      <b/>
      <sz val="11"/>
      <name val="Arial"/>
      <family val="2"/>
    </font>
    <font>
      <sz val="10"/>
      <color rgb="FF000000"/>
      <name val="Calibri"/>
      <family val="2"/>
    </font>
    <font>
      <b/>
      <sz val="22"/>
      <color rgb="FF002060"/>
      <name val="Brush Script MT"/>
      <family val="4"/>
    </font>
    <font>
      <b/>
      <sz val="20"/>
      <color rgb="FF000000"/>
      <name val="Book Antiqua"/>
      <family val="1"/>
    </font>
    <font>
      <b/>
      <sz val="14"/>
      <color rgb="FF000000"/>
      <name val="Bodoni MT"/>
      <family val="1"/>
    </font>
    <font>
      <b/>
      <sz val="10"/>
      <color rgb="FF000000"/>
      <name val="Century Schoolbook"/>
      <family val="1"/>
    </font>
    <font>
      <b/>
      <sz val="12"/>
      <color rgb="FF000000"/>
      <name val="Century Schoolbook"/>
      <family val="1"/>
    </font>
    <font>
      <b/>
      <sz val="10"/>
      <color rgb="FF000000"/>
      <name val="Arial"/>
      <family val="2"/>
    </font>
    <font>
      <b/>
      <sz val="14"/>
      <color rgb="FF000000"/>
      <name val="Century Schoolbook"/>
      <family val="1"/>
    </font>
    <font>
      <b/>
      <sz val="12"/>
      <color rgb="FF000000"/>
      <name val="Calibri"/>
      <family val="2"/>
    </font>
    <font>
      <b/>
      <sz val="10"/>
      <color rgb="FF00468C"/>
      <name val="Century Schoolbook"/>
      <family val="1"/>
    </font>
    <font>
      <sz val="9"/>
      <color rgb="FF000000"/>
      <name val="Century Schoolbook"/>
      <family val="1"/>
    </font>
    <font>
      <b/>
      <sz val="11"/>
      <name val="Arial Narrow"/>
      <family val="2"/>
    </font>
    <font>
      <b/>
      <sz val="10"/>
      <color rgb="FF000000"/>
      <name val="Calibri"/>
      <family val="2"/>
    </font>
    <font>
      <sz val="11"/>
      <name val="Arial"/>
      <family val="2"/>
    </font>
    <font>
      <b/>
      <sz val="11"/>
      <name val="Cambria"/>
      <family val="1"/>
    </font>
    <font>
      <b/>
      <sz val="11"/>
      <name val="Century Schoolbook"/>
      <family val="1"/>
    </font>
    <font>
      <sz val="11"/>
      <name val="&quot;Arial Narrow&quot;"/>
    </font>
    <font>
      <b/>
      <sz val="11"/>
      <color rgb="FF002060"/>
      <name val="Cambria"/>
      <family val="1"/>
    </font>
    <font>
      <sz val="9"/>
      <color rgb="FF000000"/>
      <name val="Arial Narrow"/>
      <family val="2"/>
    </font>
    <font>
      <sz val="11"/>
      <color rgb="FF548235"/>
      <name val="Calibri"/>
      <family val="2"/>
    </font>
    <font>
      <sz val="11"/>
      <color rgb="FF548235"/>
      <name val="Arial Narrow"/>
      <family val="2"/>
    </font>
    <font>
      <sz val="10"/>
      <color rgb="FF548235"/>
      <name val="Arial"/>
      <family val="2"/>
      <scheme val="minor"/>
    </font>
    <font>
      <b/>
      <sz val="12"/>
      <color theme="1"/>
      <name val="Arial"/>
      <family val="2"/>
    </font>
    <font>
      <sz val="12"/>
      <color theme="1"/>
      <name val="Arial"/>
      <family val="2"/>
    </font>
    <font>
      <sz val="12"/>
      <name val="Arial"/>
      <family val="2"/>
    </font>
    <font>
      <sz val="12"/>
      <color rgb="FF000000"/>
      <name val="Arial"/>
      <family val="2"/>
    </font>
    <font>
      <sz val="11"/>
      <name val="Century"/>
      <family val="1"/>
    </font>
    <font>
      <b/>
      <sz val="10"/>
      <color theme="1"/>
      <name val="Arial"/>
      <family val="2"/>
    </font>
    <font>
      <sz val="12"/>
      <color rgb="FFFF0000"/>
      <name val="Century"/>
      <family val="1"/>
    </font>
    <font>
      <sz val="10"/>
      <color rgb="FF000000"/>
      <name val="Arial"/>
      <family val="2"/>
      <charset val="1"/>
    </font>
    <font>
      <b/>
      <sz val="10"/>
      <color rgb="FF000000"/>
      <name val="Arial"/>
      <family val="2"/>
      <charset val="1"/>
    </font>
    <font>
      <sz val="10"/>
      <color rgb="FF000000"/>
      <name val="Arial Narrow"/>
      <family val="2"/>
      <charset val="1"/>
    </font>
    <font>
      <sz val="11"/>
      <color rgb="FF000000"/>
      <name val="Arial Narrow"/>
      <family val="2"/>
      <charset val="1"/>
    </font>
    <font>
      <sz val="11"/>
      <color rgb="FFFF0000"/>
      <name val="Calibri"/>
      <family val="2"/>
    </font>
    <font>
      <b/>
      <sz val="9"/>
      <color rgb="FF000000"/>
      <name val="Arial Narrow"/>
      <family val="2"/>
    </font>
    <font>
      <sz val="11"/>
      <color rgb="FF000000"/>
      <name val="Century"/>
      <family val="1"/>
    </font>
    <font>
      <i/>
      <sz val="12"/>
      <color theme="1"/>
      <name val="Arial"/>
      <family val="2"/>
    </font>
    <font>
      <b/>
      <sz val="14"/>
      <color theme="1"/>
      <name val="Arial"/>
      <family val="2"/>
    </font>
    <font>
      <sz val="10"/>
      <color rgb="FFFF0000"/>
      <name val="Arial"/>
      <family val="2"/>
    </font>
    <font>
      <b/>
      <sz val="9"/>
      <color rgb="FF000000"/>
      <name val="Arial"/>
      <family val="2"/>
    </font>
    <font>
      <b/>
      <sz val="12"/>
      <name val="Arial"/>
      <family val="2"/>
    </font>
    <font>
      <b/>
      <sz val="11"/>
      <color theme="0"/>
      <name val="Arial"/>
      <family val="2"/>
    </font>
    <font>
      <sz val="10"/>
      <color rgb="FF548235"/>
      <name val="Arial"/>
      <family val="2"/>
    </font>
    <font>
      <sz val="10"/>
      <name val="Courier"/>
      <family val="1"/>
    </font>
    <font>
      <b/>
      <sz val="14"/>
      <name val="Century Schoolbook"/>
      <family val="1"/>
    </font>
    <font>
      <sz val="10"/>
      <name val="Courier"/>
      <family val="3"/>
    </font>
    <font>
      <b/>
      <sz val="12"/>
      <color rgb="FFFF0000"/>
      <name val="Century Schoolbook"/>
      <family val="1"/>
    </font>
    <font>
      <b/>
      <sz val="10"/>
      <name val="Arial"/>
      <family val="2"/>
      <scheme val="minor"/>
    </font>
    <font>
      <b/>
      <sz val="9"/>
      <name val="Cambria"/>
      <family val="1"/>
    </font>
    <font>
      <sz val="10"/>
      <name val="Arial"/>
      <family val="2"/>
      <scheme val="minor"/>
    </font>
    <font>
      <b/>
      <sz val="10"/>
      <name val="Century Schoolbook"/>
      <family val="1"/>
    </font>
    <font>
      <sz val="8"/>
      <name val="Courier"/>
      <family val="3"/>
    </font>
    <font>
      <b/>
      <sz val="12"/>
      <color theme="8" tint="-0.499984740745262"/>
      <name val="Century Schoolbook"/>
      <family val="1"/>
    </font>
    <font>
      <sz val="10"/>
      <name val="Courier"/>
      <family val="1"/>
    </font>
    <font>
      <b/>
      <sz val="10"/>
      <name val="Cambria"/>
      <family val="1"/>
    </font>
    <font>
      <b/>
      <sz val="10"/>
      <color rgb="FFFF0000"/>
      <name val="Century Schoolbook"/>
      <family val="1"/>
    </font>
    <font>
      <sz val="10"/>
      <color rgb="FFFF0000"/>
      <name val="Century Schoolbook"/>
      <family val="1"/>
    </font>
    <font>
      <sz val="8"/>
      <name val="Century Schoolbook"/>
      <family val="1"/>
    </font>
    <font>
      <b/>
      <sz val="8"/>
      <name val="Century Schoolbook"/>
      <family val="1"/>
    </font>
    <font>
      <sz val="8"/>
      <color rgb="FFFF0000"/>
      <name val="Century Schoolbook"/>
      <family val="1"/>
    </font>
    <font>
      <sz val="8"/>
      <name val="Cambria"/>
      <family val="1"/>
    </font>
    <font>
      <b/>
      <sz val="10"/>
      <name val="Courier"/>
      <family val="1"/>
    </font>
    <font>
      <b/>
      <sz val="9"/>
      <color indexed="81"/>
      <name val="Tahoma"/>
      <family val="2"/>
    </font>
    <font>
      <sz val="10"/>
      <color rgb="FF000000"/>
      <name val="Brush Script MT"/>
      <family val="4"/>
    </font>
    <font>
      <b/>
      <sz val="12"/>
      <color rgb="FFFF0000"/>
      <name val="Arial Narrow"/>
      <family val="2"/>
    </font>
    <font>
      <b/>
      <sz val="14"/>
      <color rgb="FF1F3864"/>
      <name val="Arial Narrow"/>
      <family val="2"/>
    </font>
    <font>
      <b/>
      <sz val="12"/>
      <name val="Arial Narrow"/>
      <family val="2"/>
    </font>
    <font>
      <b/>
      <sz val="12"/>
      <name val="Century Schoolbook"/>
      <family val="1"/>
    </font>
    <font>
      <sz val="12"/>
      <color rgb="FFFF0000"/>
      <name val="Arial Narrow"/>
      <family val="2"/>
    </font>
    <font>
      <b/>
      <sz val="12"/>
      <color rgb="FF000000"/>
      <name val="Cambria"/>
      <family val="1"/>
    </font>
    <font>
      <b/>
      <sz val="10"/>
      <color rgb="FF000000"/>
      <name val="Cambria"/>
      <family val="1"/>
    </font>
    <font>
      <sz val="11"/>
      <color rgb="FF000000"/>
      <name val="Cambria"/>
      <family val="1"/>
    </font>
    <font>
      <i/>
      <sz val="11"/>
      <color rgb="FF000000"/>
      <name val="Cambria"/>
      <family val="1"/>
    </font>
    <font>
      <b/>
      <i/>
      <sz val="11"/>
      <color rgb="FF000000"/>
      <name val="Cambria"/>
      <family val="1"/>
    </font>
    <font>
      <i/>
      <sz val="11"/>
      <color rgb="FF000000"/>
      <name val="Century Schoolbook"/>
      <family val="1"/>
    </font>
    <font>
      <b/>
      <sz val="18"/>
      <color rgb="FF1F4E78"/>
      <name val="Book Antiqua"/>
      <family val="1"/>
    </font>
    <font>
      <b/>
      <sz val="14"/>
      <color rgb="FF0070C0"/>
      <name val="Book Antiqua"/>
      <family val="1"/>
    </font>
    <font>
      <b/>
      <sz val="16"/>
      <color rgb="FF1F4E78"/>
      <name val="Cambria"/>
      <family val="1"/>
    </font>
    <font>
      <b/>
      <i/>
      <sz val="14"/>
      <color rgb="FF1F4E78"/>
      <name val="Browallia nuevo"/>
    </font>
    <font>
      <b/>
      <sz val="20"/>
      <color rgb="FF002060"/>
      <name val="Brush Script MT"/>
      <family val="4"/>
    </font>
    <font>
      <sz val="12"/>
      <name val="Arial Narrow"/>
      <family val="2"/>
    </font>
    <font>
      <b/>
      <sz val="12"/>
      <color theme="1"/>
      <name val="Cambria"/>
      <family val="1"/>
    </font>
    <font>
      <b/>
      <sz val="12"/>
      <color rgb="FF002060"/>
      <name val="Cambria"/>
      <family val="1"/>
    </font>
    <font>
      <sz val="10"/>
      <color rgb="FF000000"/>
      <name val="Cambria"/>
      <family val="1"/>
    </font>
    <font>
      <sz val="10"/>
      <color rgb="FFFF0000"/>
      <name val="Century"/>
      <family val="1"/>
    </font>
    <font>
      <b/>
      <sz val="9"/>
      <color rgb="FFFF0000"/>
      <name val="Century Schoolbook"/>
      <family val="1"/>
    </font>
    <font>
      <b/>
      <sz val="10"/>
      <color rgb="FF000000"/>
      <name val="Arial"/>
      <family val="2"/>
      <scheme val="minor"/>
    </font>
    <font>
      <b/>
      <sz val="12"/>
      <color rgb="FF7030A0"/>
      <name val="Century"/>
      <family val="1"/>
    </font>
    <font>
      <sz val="10"/>
      <color rgb="FF000000"/>
      <name val="Arial"/>
      <family val="2"/>
      <scheme val="minor"/>
    </font>
    <font>
      <b/>
      <sz val="9"/>
      <color rgb="FF000000"/>
      <name val="Tahoma"/>
      <family val="2"/>
    </font>
    <font>
      <sz val="9"/>
      <color rgb="FF000000"/>
      <name val="Tahoma"/>
      <family val="2"/>
    </font>
    <font>
      <sz val="12"/>
      <color theme="5"/>
      <name val="Century Schoolbook"/>
      <family val="1"/>
    </font>
    <font>
      <b/>
      <sz val="12"/>
      <color theme="5"/>
      <name val="Century Schoolbook"/>
      <family val="1"/>
    </font>
    <font>
      <sz val="10"/>
      <color theme="5"/>
      <name val="Arial Narrow"/>
      <family val="2"/>
    </font>
    <font>
      <sz val="12"/>
      <color rgb="FF7030A0"/>
      <name val="Century Schoolbook"/>
      <family val="1"/>
    </font>
    <font>
      <b/>
      <sz val="12"/>
      <color rgb="FF7030A0"/>
      <name val="Century Schoolbook"/>
      <family val="1"/>
    </font>
    <font>
      <b/>
      <sz val="10"/>
      <color rgb="FF7030A0"/>
      <name val="Arial Narrow"/>
      <family val="2"/>
    </font>
    <font>
      <sz val="10"/>
      <color rgb="FF7030A0"/>
      <name val="Arial Narrow"/>
      <family val="2"/>
    </font>
    <font>
      <sz val="12"/>
      <color rgb="FF7030A0"/>
      <name val="Century"/>
      <family val="1"/>
    </font>
    <font>
      <sz val="10"/>
      <color rgb="FF7030A0"/>
      <name val="Arial"/>
      <family val="2"/>
    </font>
    <font>
      <b/>
      <sz val="10"/>
      <color rgb="FF7030A0"/>
      <name val="Century Schoolbook"/>
      <family val="1"/>
    </font>
    <font>
      <sz val="11"/>
      <color rgb="FF7030A0"/>
      <name val="Arial Narrow"/>
      <family val="2"/>
    </font>
    <font>
      <b/>
      <sz val="10"/>
      <color rgb="FF7030A0"/>
      <name val="Arial"/>
      <family val="2"/>
    </font>
    <font>
      <sz val="10"/>
      <color rgb="FF7030A0"/>
      <name val="Century Schoolbook"/>
      <family val="1"/>
    </font>
    <font>
      <sz val="10"/>
      <color rgb="FF000000"/>
      <name val="Tahoma"/>
      <family val="2"/>
    </font>
    <font>
      <b/>
      <sz val="10"/>
      <color rgb="FF000000"/>
      <name val="Tahoma"/>
      <family val="2"/>
    </font>
    <font>
      <sz val="12"/>
      <color rgb="FF7030A0"/>
      <name val="Arial"/>
      <family val="2"/>
    </font>
    <font>
      <b/>
      <sz val="11"/>
      <color rgb="FF7030A0"/>
      <name val="Arial Narrow"/>
      <family val="2"/>
    </font>
    <font>
      <sz val="11"/>
      <color rgb="FF7030A0"/>
      <name val="Arial"/>
      <family val="2"/>
    </font>
    <font>
      <i/>
      <sz val="11"/>
      <color theme="1"/>
      <name val="Arial"/>
      <family val="2"/>
    </font>
    <font>
      <b/>
      <i/>
      <sz val="11"/>
      <color theme="1"/>
      <name val="Arial"/>
      <family val="2"/>
    </font>
    <font>
      <b/>
      <sz val="18"/>
      <color rgb="FF0070C0"/>
      <name val="Cambria"/>
      <family val="1"/>
    </font>
    <font>
      <b/>
      <sz val="9"/>
      <color rgb="FF000000"/>
      <name val="Century"/>
      <family val="1"/>
    </font>
    <font>
      <b/>
      <sz val="10"/>
      <color rgb="FFFF0000"/>
      <name val="Cambria"/>
      <family val="1"/>
    </font>
    <font>
      <sz val="12"/>
      <color theme="1"/>
      <name val="Cambria"/>
      <family val="1"/>
    </font>
    <font>
      <b/>
      <sz val="11"/>
      <color theme="1"/>
      <name val="Century"/>
      <family val="1"/>
    </font>
    <font>
      <sz val="10"/>
      <name val="Cambria"/>
      <family val="1"/>
    </font>
    <font>
      <sz val="10"/>
      <color rgb="FF002060"/>
      <name val="Cambria"/>
      <family val="1"/>
    </font>
    <font>
      <b/>
      <sz val="11"/>
      <color theme="0"/>
      <name val="Calibri"/>
      <family val="2"/>
    </font>
    <font>
      <sz val="10"/>
      <name val="Courier"/>
      <family val="1"/>
    </font>
    <font>
      <b/>
      <sz val="8"/>
      <color theme="9"/>
      <name val="Century Schoolbook"/>
      <family val="1"/>
    </font>
    <font>
      <sz val="8"/>
      <color theme="9"/>
      <name val="Century Schoolbook"/>
      <family val="1"/>
    </font>
    <font>
      <sz val="10"/>
      <color rgb="FFFF0000"/>
      <name val="Courier"/>
      <family val="1"/>
    </font>
    <font>
      <sz val="9"/>
      <color rgb="FF000000"/>
      <name val="Tahoma"/>
      <family val="34"/>
    </font>
    <font>
      <sz val="10"/>
      <color rgb="FF000000"/>
      <name val="Courier"/>
      <family val="1"/>
    </font>
    <font>
      <b/>
      <sz val="8"/>
      <color rgb="FF000000"/>
      <name val="Tahoma"/>
      <family val="2"/>
    </font>
    <font>
      <sz val="8"/>
      <color rgb="FF000000"/>
      <name val="Tahoma"/>
      <family val="2"/>
    </font>
    <font>
      <b/>
      <sz val="9"/>
      <color rgb="FF000000"/>
      <name val="Courier"/>
      <family val="1"/>
    </font>
    <font>
      <b/>
      <sz val="9"/>
      <color rgb="FF000000"/>
      <name val="Tahoma"/>
      <family val="34"/>
    </font>
    <font>
      <b/>
      <sz val="8"/>
      <color rgb="FF000000"/>
      <name val="Tahoma"/>
      <family val="34"/>
    </font>
    <font>
      <sz val="8"/>
      <color rgb="FF000000"/>
      <name val="Tahoma"/>
      <family val="34"/>
    </font>
    <font>
      <b/>
      <sz val="7"/>
      <color rgb="FF000000"/>
      <name val="Tahoma"/>
      <family val="2"/>
    </font>
    <font>
      <sz val="7"/>
      <color rgb="FF000000"/>
      <name val="Tahoma"/>
      <family val="2"/>
    </font>
    <font>
      <sz val="9"/>
      <color rgb="FF000000"/>
      <name val="Courier"/>
      <family val="1"/>
    </font>
    <font>
      <sz val="10"/>
      <color rgb="FF000000"/>
      <name val="Tahoma"/>
      <family val="34"/>
    </font>
    <font>
      <sz val="7"/>
      <color rgb="FFFF0000"/>
      <name val="Tahoma"/>
      <family val="2"/>
    </font>
    <font>
      <sz val="11"/>
      <color theme="1"/>
      <name val="Arial"/>
      <family val="2"/>
    </font>
    <font>
      <b/>
      <sz val="18"/>
      <color rgb="FF002060"/>
      <name val="Book Antiqua"/>
      <family val="1"/>
    </font>
    <font>
      <b/>
      <sz val="14"/>
      <color rgb="FF1F497D"/>
      <name val="Brush Script MT Cursiva"/>
    </font>
    <font>
      <sz val="11"/>
      <color theme="1"/>
      <name val="Brush Script MT Cursiva"/>
    </font>
    <font>
      <b/>
      <sz val="16"/>
      <color rgb="FF002060"/>
      <name val="Cambria"/>
      <family val="1"/>
    </font>
    <font>
      <b/>
      <sz val="10"/>
      <color theme="1"/>
      <name val="Cambria"/>
      <family val="1"/>
    </font>
    <font>
      <sz val="11"/>
      <name val="Cambria"/>
      <family val="1"/>
    </font>
    <font>
      <i/>
      <sz val="11"/>
      <name val="Arial Narrow"/>
      <family val="2"/>
    </font>
    <font>
      <b/>
      <i/>
      <sz val="11"/>
      <color theme="1"/>
      <name val="Cambria"/>
      <family val="1"/>
    </font>
    <font>
      <i/>
      <sz val="11"/>
      <color theme="1"/>
      <name val="Cambria"/>
      <family val="1"/>
    </font>
    <font>
      <i/>
      <sz val="11"/>
      <color theme="1"/>
      <name val="Century Schoolbook"/>
      <family val="1"/>
    </font>
    <font>
      <sz val="11"/>
      <color rgb="FF0070C0"/>
      <name val="Arial"/>
      <family val="2"/>
    </font>
    <font>
      <b/>
      <sz val="10"/>
      <color rgb="FF000000"/>
      <name val="Century"/>
      <family val="1"/>
    </font>
    <font>
      <b/>
      <sz val="14"/>
      <name val="Bodoni MT"/>
      <family val="1"/>
    </font>
    <font>
      <sz val="12"/>
      <color rgb="FF000000"/>
      <name val="Cambria"/>
      <family val="1"/>
    </font>
    <font>
      <sz val="12"/>
      <name val="Cambria"/>
      <family val="1"/>
    </font>
    <font>
      <sz val="9"/>
      <color theme="1"/>
      <name val="Century Schoolbook"/>
      <family val="1"/>
    </font>
    <font>
      <b/>
      <sz val="8"/>
      <color rgb="FF000000"/>
      <name val="Arial"/>
      <family val="2"/>
    </font>
    <font>
      <sz val="8"/>
      <color rgb="FF000000"/>
      <name val="Arial"/>
      <family val="2"/>
    </font>
    <font>
      <sz val="10"/>
      <name val="Tahoma"/>
      <family val="2"/>
    </font>
    <font>
      <sz val="9"/>
      <color rgb="FF000000"/>
      <name val="Arial"/>
      <family val="2"/>
    </font>
    <font>
      <sz val="9"/>
      <color rgb="FF000000"/>
      <name val="Calibri"/>
      <family val="2"/>
    </font>
    <font>
      <sz val="8"/>
      <color rgb="FF000000"/>
      <name val="Calibri"/>
      <family val="2"/>
    </font>
    <font>
      <sz val="8"/>
      <color rgb="FF000000"/>
      <name val="Arial"/>
      <family val="2"/>
      <scheme val="minor"/>
    </font>
    <font>
      <sz val="8"/>
      <color rgb="FF000000"/>
      <name val="+mn-lt"/>
      <charset val="1"/>
    </font>
    <font>
      <b/>
      <sz val="8"/>
      <color rgb="FF000000"/>
      <name val="+mn-lt"/>
      <charset val="1"/>
    </font>
    <font>
      <sz val="7"/>
      <color rgb="FF000000"/>
      <name val="Arial"/>
      <family val="2"/>
    </font>
    <font>
      <sz val="10"/>
      <color theme="0"/>
      <name val="Century Schoolbook"/>
      <family val="1"/>
    </font>
    <font>
      <sz val="12"/>
      <color theme="0"/>
      <name val="Century Schoolbook"/>
      <family val="1"/>
    </font>
    <font>
      <b/>
      <sz val="12"/>
      <color theme="0"/>
      <name val="Century Schoolbook"/>
      <family val="1"/>
    </font>
    <font>
      <sz val="11"/>
      <color theme="1"/>
      <name val="Arial Narrow"/>
      <family val="1"/>
    </font>
    <font>
      <sz val="11"/>
      <color rgb="FF000000"/>
      <name val="Arial Narrow"/>
      <family val="1"/>
    </font>
    <font>
      <sz val="10"/>
      <name val="Arial Narrow"/>
      <family val="1"/>
    </font>
    <font>
      <sz val="10"/>
      <color theme="1"/>
      <name val="Arial Narrow"/>
      <family val="1"/>
    </font>
    <font>
      <sz val="10"/>
      <color rgb="FF000000"/>
      <name val="Arial Narrow"/>
      <family val="1"/>
    </font>
    <font>
      <sz val="12"/>
      <color rgb="FFFF0000"/>
      <name val="Century Schoolbook"/>
      <family val="1"/>
    </font>
    <font>
      <sz val="14"/>
      <name val="Cambria"/>
      <family val="1"/>
    </font>
    <font>
      <b/>
      <sz val="12"/>
      <color indexed="8"/>
      <name val="Cambria"/>
      <family val="1"/>
    </font>
    <font>
      <sz val="24"/>
      <color rgb="FF000000"/>
      <name val="Arial"/>
      <family val="2"/>
      <scheme val="minor"/>
    </font>
    <font>
      <sz val="10"/>
      <color indexed="8"/>
      <name val="Arial Narrow"/>
      <family val="2"/>
    </font>
    <font>
      <sz val="22"/>
      <color rgb="FF000000"/>
      <name val="Brush Script MT"/>
      <family val="4"/>
    </font>
    <font>
      <u/>
      <sz val="10"/>
      <color theme="1"/>
      <name val="Arial Narrow"/>
      <family val="2"/>
    </font>
    <font>
      <b/>
      <u/>
      <sz val="10"/>
      <color theme="1"/>
      <name val="Arial Narrow"/>
      <family val="2"/>
    </font>
    <font>
      <sz val="12"/>
      <color rgb="FF000000"/>
      <name val="Arial Narrow"/>
      <family val="1"/>
    </font>
    <font>
      <sz val="11"/>
      <name val="Arial Narrow"/>
      <family val="1"/>
    </font>
    <font>
      <sz val="12"/>
      <color rgb="FF000000"/>
      <name val="Arial"/>
      <family val="2"/>
      <scheme val="minor"/>
    </font>
    <font>
      <b/>
      <sz val="12"/>
      <name val="Cambria"/>
      <family val="1"/>
    </font>
    <font>
      <b/>
      <sz val="8"/>
      <color rgb="FF000000"/>
      <name val="Century Schoolbook"/>
      <family val="1"/>
    </font>
    <font>
      <b/>
      <sz val="10"/>
      <color theme="0"/>
      <name val="Century Schoolbook"/>
      <family val="1"/>
    </font>
    <font>
      <b/>
      <sz val="11"/>
      <color theme="0"/>
      <name val="Century Schoolbook"/>
      <family val="1"/>
    </font>
    <font>
      <sz val="11"/>
      <color rgb="FF000000"/>
      <name val="Arial"/>
      <family val="2"/>
      <scheme val="minor"/>
    </font>
    <font>
      <b/>
      <sz val="14"/>
      <color theme="1"/>
      <name val="Bodoni MT"/>
      <family val="1"/>
    </font>
    <font>
      <sz val="14"/>
      <name val="Bodoni MT"/>
      <family val="1"/>
    </font>
    <font>
      <sz val="14"/>
      <color rgb="FF000000"/>
      <name val="Bodoni MT"/>
      <family val="1"/>
    </font>
    <font>
      <b/>
      <sz val="12"/>
      <color theme="1"/>
      <name val="Bodoni MT"/>
      <family val="1"/>
    </font>
    <font>
      <sz val="10"/>
      <name val="Bodoni MT"/>
      <family val="1"/>
    </font>
    <font>
      <b/>
      <sz val="11"/>
      <name val="Bodoni MT"/>
      <family val="1"/>
    </font>
    <font>
      <sz val="11"/>
      <name val="Bodoni MT"/>
      <family val="1"/>
    </font>
    <font>
      <b/>
      <sz val="11"/>
      <color theme="1"/>
      <name val="Bodoni MT"/>
      <family val="1"/>
    </font>
    <font>
      <b/>
      <u/>
      <sz val="12"/>
      <color rgb="FF000000"/>
      <name val="Cambria"/>
      <family val="1"/>
    </font>
    <font>
      <b/>
      <u/>
      <sz val="12"/>
      <color theme="1"/>
      <name val="Cambria"/>
      <family val="1"/>
    </font>
    <font>
      <b/>
      <sz val="12"/>
      <color rgb="FFFFFFFF"/>
      <name val="Century Schoolbook"/>
      <family val="1"/>
    </font>
    <font>
      <b/>
      <sz val="12"/>
      <color theme="4" tint="-0.249977111117893"/>
      <name val="Century Schoolbook"/>
      <family val="1"/>
    </font>
    <font>
      <sz val="12"/>
      <color theme="4" tint="-0.249977111117893"/>
      <name val="Century Schoolbook"/>
      <family val="1"/>
    </font>
    <font>
      <sz val="10"/>
      <color theme="4" tint="-0.249977111117893"/>
      <name val="Arial Narrow"/>
      <family val="2"/>
    </font>
    <font>
      <sz val="12"/>
      <color theme="4" tint="-0.249977111117893"/>
      <name val="Century"/>
      <family val="1"/>
    </font>
    <font>
      <b/>
      <sz val="11"/>
      <color theme="4" tint="-0.249977111117893"/>
      <name val="Arial Narrow"/>
      <family val="2"/>
    </font>
    <font>
      <b/>
      <sz val="11"/>
      <color theme="4" tint="-0.249977111117893"/>
      <name val="Century"/>
      <family val="1"/>
    </font>
    <font>
      <sz val="11"/>
      <color theme="4" tint="-0.249977111117893"/>
      <name val="Century"/>
      <family val="1"/>
    </font>
    <font>
      <sz val="11"/>
      <color theme="4" tint="-0.249977111117893"/>
      <name val="Arial Narrow"/>
      <family val="2"/>
    </font>
    <font>
      <b/>
      <sz val="10"/>
      <color theme="4" tint="-0.249977111117893"/>
      <name val="Arial Narrow"/>
      <family val="2"/>
    </font>
    <font>
      <sz val="10"/>
      <color theme="4" tint="-0.249977111117893"/>
      <name val="Century"/>
      <family val="1"/>
    </font>
    <font>
      <b/>
      <sz val="12"/>
      <color theme="4" tint="-0.249977111117893"/>
      <name val="Century"/>
      <family val="1"/>
    </font>
    <font>
      <sz val="10"/>
      <color theme="4" tint="-0.249977111117893"/>
      <name val="Century Schoolbook"/>
      <family val="1"/>
    </font>
    <font>
      <b/>
      <sz val="11"/>
      <color theme="4" tint="-0.249977111117893"/>
      <name val="Arial Narrow"/>
    </font>
    <font>
      <b/>
      <sz val="10"/>
      <color theme="4" tint="-0.249977111117893"/>
      <name val="Century Schoolbook"/>
      <family val="1"/>
    </font>
    <font>
      <sz val="10"/>
      <color rgb="FF0070C0"/>
      <name val="Arial Narrow"/>
      <family val="2"/>
    </font>
    <font>
      <b/>
      <sz val="12"/>
      <color theme="7"/>
      <name val="Century Schoolbook"/>
      <family val="1"/>
    </font>
    <font>
      <sz val="10"/>
      <color rgb="FF0070C0"/>
      <name val="Arial"/>
      <family val="2"/>
    </font>
    <font>
      <b/>
      <sz val="9"/>
      <color rgb="FF000000"/>
      <name val="Century Schoolbook"/>
    </font>
    <font>
      <sz val="10"/>
      <color rgb="FF000000"/>
      <name val="Arial Narrow"/>
    </font>
    <font>
      <sz val="10"/>
      <color rgb="FF0070C0"/>
      <name val="Arial Narrow"/>
      <family val="1"/>
    </font>
    <font>
      <b/>
      <sz val="9"/>
      <color rgb="FF0070C0"/>
      <name val="Century Schoolbook"/>
    </font>
    <font>
      <sz val="10"/>
      <color rgb="FF0070C0"/>
      <name val="Arial Narrow"/>
    </font>
    <font>
      <sz val="12"/>
      <color rgb="FF0070C0"/>
      <name val="Century"/>
      <family val="1"/>
    </font>
    <font>
      <sz val="12"/>
      <color rgb="FF0070C0"/>
      <name val="Century Schoolbook"/>
      <family val="1"/>
    </font>
    <font>
      <sz val="11"/>
      <color rgb="FF0070C0"/>
      <name val="Arial Narrow"/>
      <family val="2"/>
    </font>
    <font>
      <b/>
      <sz val="10"/>
      <color rgb="FF000000"/>
      <name val="Arial Narrow"/>
    </font>
    <font>
      <b/>
      <sz val="10"/>
      <color rgb="FF0070C0"/>
      <name val="Arial Narrow"/>
    </font>
    <font>
      <sz val="10"/>
      <color theme="1"/>
      <name val="Arial Narrow"/>
    </font>
    <font>
      <b/>
      <sz val="10"/>
      <color rgb="FFFF0000"/>
      <name val="Cambria"/>
    </font>
    <font>
      <b/>
      <sz val="10"/>
      <color rgb="FF000000"/>
      <name val="Cambria"/>
    </font>
    <font>
      <sz val="10"/>
      <color rgb="FF000000"/>
      <name val="Cambria"/>
    </font>
    <font>
      <b/>
      <sz val="10"/>
      <color rgb="FF0070C0"/>
      <name val="Cambria"/>
    </font>
    <font>
      <sz val="10"/>
      <color rgb="FF0070C0"/>
      <name val="Cambria"/>
    </font>
    <font>
      <sz val="10"/>
      <color rgb="FF0070C0"/>
      <name val="Cambria"/>
      <family val="1"/>
    </font>
    <font>
      <sz val="12"/>
      <color rgb="FF0070C0"/>
      <name val="Cambria"/>
      <family val="1"/>
    </font>
    <font>
      <b/>
      <sz val="10"/>
      <name val="Cambria"/>
    </font>
    <font>
      <sz val="10"/>
      <name val="Cambria"/>
    </font>
    <font>
      <sz val="12"/>
      <color theme="7"/>
      <name val="Century Schoolbook"/>
      <family val="1"/>
    </font>
    <font>
      <b/>
      <sz val="12"/>
      <color rgb="FF0070C0"/>
      <name val="Century Schoolbook"/>
      <family val="1"/>
    </font>
    <font>
      <b/>
      <sz val="10"/>
      <color rgb="FF0070C0"/>
      <name val="Arial Narrow"/>
      <family val="2"/>
    </font>
    <font>
      <b/>
      <sz val="10"/>
      <color rgb="FF0070C0"/>
      <name val="Century Schoolbook"/>
      <family val="1"/>
    </font>
    <font>
      <sz val="10"/>
      <color rgb="FF0070C0"/>
      <name val="Century Schoolbook"/>
      <family val="1"/>
    </font>
    <font>
      <sz val="12"/>
      <color theme="4"/>
      <name val="Century Schoolbook"/>
      <family val="1"/>
    </font>
    <font>
      <b/>
      <sz val="12"/>
      <color theme="4"/>
      <name val="Century Schoolbook"/>
      <family val="1"/>
    </font>
    <font>
      <sz val="12"/>
      <color theme="4"/>
      <name val="Century"/>
      <family val="1"/>
    </font>
    <font>
      <sz val="11"/>
      <color theme="4"/>
      <name val="Arial Narrow"/>
      <family val="2"/>
    </font>
    <font>
      <sz val="11"/>
      <color theme="4"/>
      <name val="Century Schoolbook"/>
      <family val="1"/>
    </font>
    <font>
      <sz val="10"/>
      <color theme="4"/>
      <name val="Arial Narrow"/>
      <family val="2"/>
    </font>
    <font>
      <b/>
      <sz val="10"/>
      <color theme="4"/>
      <name val="Arial Narrow"/>
      <family val="2"/>
    </font>
    <font>
      <sz val="11"/>
      <color rgb="FF444444"/>
      <name val="Calibri"/>
      <family val="2"/>
      <charset val="1"/>
    </font>
    <font>
      <sz val="11"/>
      <color theme="4"/>
      <name val="Century"/>
      <family val="1"/>
    </font>
    <font>
      <b/>
      <sz val="10"/>
      <color theme="4"/>
      <name val="Century Schoolbook"/>
      <family val="1"/>
    </font>
    <font>
      <b/>
      <sz val="10"/>
      <color theme="4"/>
      <name val="Arial"/>
      <family val="2"/>
    </font>
    <font>
      <sz val="10"/>
      <color theme="4"/>
      <name val="Century Schoolbook"/>
      <family val="1"/>
    </font>
    <font>
      <b/>
      <i/>
      <sz val="12"/>
      <color rgb="FF000000"/>
      <name val="Arial Narrow"/>
    </font>
    <font>
      <i/>
      <sz val="12"/>
      <color rgb="FF000000"/>
      <name val="Arial Narrow"/>
    </font>
    <font>
      <b/>
      <i/>
      <sz val="11"/>
      <color rgb="FF000000"/>
      <name val="Arial"/>
    </font>
    <font>
      <i/>
      <sz val="11"/>
      <color rgb="FF000000"/>
      <name val="Arial"/>
    </font>
    <font>
      <sz val="11"/>
      <color theme="7"/>
      <name val="Calibri"/>
      <family val="2"/>
    </font>
    <font>
      <sz val="10"/>
      <color theme="7"/>
      <name val="Arial Narrow"/>
      <family val="2"/>
    </font>
    <font>
      <sz val="11"/>
      <color theme="7"/>
      <name val="&quot;Arial Narrow&quot;"/>
    </font>
    <font>
      <sz val="11"/>
      <color theme="7"/>
      <name val="Arial Narrow"/>
      <family val="2"/>
    </font>
    <font>
      <sz val="12"/>
      <color theme="7"/>
      <name val="Century"/>
      <family val="1"/>
    </font>
    <font>
      <b/>
      <sz val="12"/>
      <color theme="7"/>
      <name val="Century"/>
      <family val="1"/>
    </font>
    <font>
      <b/>
      <sz val="10"/>
      <color theme="7"/>
      <name val="Arial Narrow"/>
      <family val="2"/>
    </font>
    <font>
      <b/>
      <sz val="10"/>
      <color theme="7"/>
      <name val="Century Schoolbook"/>
      <family val="1"/>
    </font>
    <font>
      <sz val="10"/>
      <color theme="7"/>
      <name val="Century Schoolbook"/>
      <family val="1"/>
    </font>
    <font>
      <b/>
      <sz val="11"/>
      <color theme="7"/>
      <name val="Arial Narrow"/>
      <family val="2"/>
    </font>
    <font>
      <b/>
      <sz val="10"/>
      <color theme="7"/>
      <name val="Arial"/>
      <family val="2"/>
    </font>
    <font>
      <sz val="10"/>
      <color theme="7"/>
      <name val="Arial"/>
      <family val="2"/>
    </font>
    <font>
      <sz val="10"/>
      <color theme="7"/>
      <name val="Arial"/>
      <scheme val="minor"/>
    </font>
    <font>
      <b/>
      <sz val="9"/>
      <color rgb="FF000000"/>
      <name val="Century"/>
    </font>
    <font>
      <sz val="10"/>
      <color rgb="FF000000"/>
      <name val="Century"/>
    </font>
    <font>
      <sz val="9"/>
      <color rgb="FF000000"/>
      <name val="Century"/>
    </font>
    <font>
      <b/>
      <sz val="10"/>
      <color rgb="FFFF0000"/>
      <name val="Arial Narrow"/>
    </font>
    <font>
      <b/>
      <sz val="10"/>
      <color theme="1"/>
      <name val="Arial Narrow"/>
    </font>
    <font>
      <sz val="10"/>
      <color rgb="FFFF0000"/>
      <name val="Arial Narrow"/>
    </font>
    <font>
      <b/>
      <sz val="9"/>
      <color rgb="FF000000"/>
      <name val="Arial Narrow"/>
    </font>
    <font>
      <sz val="9"/>
      <name val="Century Schoolbook"/>
      <family val="1"/>
    </font>
    <font>
      <b/>
      <sz val="9"/>
      <color rgb="FF000000"/>
      <name val="Calibri"/>
      <family val="2"/>
    </font>
    <font>
      <b/>
      <sz val="9"/>
      <color indexed="81"/>
      <name val="Tahoma"/>
      <charset val="1"/>
    </font>
    <font>
      <sz val="9"/>
      <color indexed="81"/>
      <name val="Tahoma"/>
      <charset val="1"/>
    </font>
    <font>
      <sz val="11"/>
      <color theme="1"/>
      <name val="Arial"/>
    </font>
    <font>
      <b/>
      <i/>
      <sz val="14"/>
      <color rgb="FF1F497D"/>
      <name val="Brush Script MT Cursiva"/>
    </font>
    <font>
      <i/>
      <sz val="11"/>
      <color theme="1"/>
      <name val="Brush Script MT Cursiva"/>
    </font>
    <font>
      <sz val="11"/>
      <color rgb="FF000000"/>
      <name val="Arial Narrow"/>
    </font>
    <font>
      <sz val="11"/>
      <color rgb="FF000000"/>
      <name val="Century Schoolbook"/>
    </font>
    <font>
      <b/>
      <sz val="11"/>
      <color rgb="FF000000"/>
      <name val="Arial Narrow"/>
    </font>
    <font>
      <b/>
      <i/>
      <sz val="11"/>
      <color rgb="FF000000"/>
      <name val="Cambria"/>
    </font>
    <font>
      <i/>
      <sz val="11"/>
      <color rgb="FF000000"/>
      <name val="Cambria"/>
    </font>
    <font>
      <i/>
      <sz val="11"/>
      <color rgb="FF000000"/>
      <name val="Century Schoolbook"/>
    </font>
    <font>
      <sz val="8"/>
      <color theme="1"/>
      <name val="Arial"/>
      <family val="2"/>
      <scheme val="minor"/>
    </font>
    <font>
      <sz val="9"/>
      <color theme="1"/>
      <name val="Arial"/>
      <family val="2"/>
      <scheme val="minor"/>
    </font>
    <font>
      <sz val="9"/>
      <color theme="1"/>
      <name val="Tahoma"/>
      <family val="2"/>
    </font>
    <font>
      <b/>
      <sz val="9"/>
      <color theme="1"/>
      <name val="Tahoma"/>
      <family val="2"/>
    </font>
    <font>
      <sz val="11"/>
      <color theme="7" tint="-0.249977111117893"/>
      <name val="Arial Narrow"/>
      <family val="2"/>
    </font>
  </fonts>
  <fills count="57">
    <fill>
      <patternFill patternType="none"/>
    </fill>
    <fill>
      <patternFill patternType="gray125"/>
    </fill>
    <fill>
      <patternFill patternType="solid">
        <fgColor rgb="FFFABF8F"/>
        <bgColor rgb="FFFABF8F"/>
      </patternFill>
    </fill>
    <fill>
      <patternFill patternType="solid">
        <fgColor rgb="FFFFFFFF"/>
        <bgColor rgb="FFFFFFFF"/>
      </patternFill>
    </fill>
    <fill>
      <patternFill patternType="solid">
        <fgColor theme="0"/>
        <bgColor theme="0"/>
      </patternFill>
    </fill>
    <fill>
      <patternFill patternType="solid">
        <fgColor rgb="FF9BBB59"/>
        <bgColor rgb="FF9BBB59"/>
      </patternFill>
    </fill>
    <fill>
      <patternFill patternType="solid">
        <fgColor rgb="FFD99594"/>
        <bgColor rgb="FFD99594"/>
      </patternFill>
    </fill>
    <fill>
      <patternFill patternType="solid">
        <fgColor rgb="FFB8CCE4"/>
        <bgColor rgb="FFB8CCE4"/>
      </patternFill>
    </fill>
    <fill>
      <patternFill patternType="solid">
        <fgColor rgb="FFFBD4B4"/>
        <bgColor rgb="FFFBD4B4"/>
      </patternFill>
    </fill>
    <fill>
      <patternFill patternType="solid">
        <fgColor rgb="FFC2D69B"/>
        <bgColor rgb="FFC2D69B"/>
      </patternFill>
    </fill>
    <fill>
      <patternFill patternType="solid">
        <fgColor rgb="FFE5B8B7"/>
        <bgColor rgb="FFE5B8B7"/>
      </patternFill>
    </fill>
    <fill>
      <patternFill patternType="solid">
        <fgColor rgb="FFDBE5F1"/>
        <bgColor rgb="FFDBE5F1"/>
      </patternFill>
    </fill>
    <fill>
      <patternFill patternType="solid">
        <fgColor rgb="FFFDE9D9"/>
        <bgColor rgb="FFFDE9D9"/>
      </patternFill>
    </fill>
    <fill>
      <patternFill patternType="solid">
        <fgColor rgb="FFF3F3F3"/>
        <bgColor rgb="FFF3F3F3"/>
      </patternFill>
    </fill>
    <fill>
      <patternFill patternType="solid">
        <fgColor theme="0"/>
        <bgColor indexed="64"/>
      </patternFill>
    </fill>
    <fill>
      <patternFill patternType="solid">
        <fgColor rgb="FFFCE4D6"/>
        <bgColor indexed="64"/>
      </patternFill>
    </fill>
    <fill>
      <patternFill patternType="solid">
        <fgColor rgb="FFF4B084"/>
        <bgColor indexed="64"/>
      </patternFill>
    </fill>
    <fill>
      <patternFill patternType="solid">
        <fgColor rgb="FFFFFFFF"/>
        <bgColor indexed="64"/>
      </patternFill>
    </fill>
    <fill>
      <patternFill patternType="solid">
        <fgColor rgb="FFFFFFFF"/>
        <bgColor rgb="FF000000"/>
      </patternFill>
    </fill>
    <fill>
      <patternFill patternType="solid">
        <fgColor rgb="FFFABF8F"/>
        <bgColor rgb="FFFFFFFF"/>
      </patternFill>
    </fill>
    <fill>
      <patternFill patternType="solid">
        <fgColor rgb="FFFABF8F"/>
        <bgColor rgb="FF000000"/>
      </patternFill>
    </fill>
    <fill>
      <patternFill patternType="solid">
        <fgColor rgb="FFF8CBAD"/>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A568D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92D050"/>
        <bgColor rgb="FF92D050"/>
      </patternFill>
    </fill>
    <fill>
      <patternFill patternType="solid">
        <fgColor rgb="FF8EAADB"/>
        <bgColor rgb="FF8EAADB"/>
      </patternFill>
    </fill>
    <fill>
      <patternFill patternType="solid">
        <fgColor rgb="FFFFC000"/>
        <bgColor rgb="FFFFC000"/>
      </patternFill>
    </fill>
    <fill>
      <patternFill patternType="solid">
        <fgColor rgb="FFAEABAB"/>
        <bgColor rgb="FFAEABAB"/>
      </patternFill>
    </fill>
    <fill>
      <patternFill patternType="solid">
        <fgColor rgb="FFF7CAAC"/>
        <bgColor rgb="FFF7CAAC"/>
      </patternFill>
    </fill>
    <fill>
      <patternFill patternType="solid">
        <fgColor rgb="FFD6DCE4"/>
        <bgColor rgb="FFD6DCE4"/>
      </patternFill>
    </fill>
    <fill>
      <patternFill patternType="solid">
        <fgColor rgb="FFA568D2"/>
        <bgColor rgb="FFA568D2"/>
      </patternFill>
    </fill>
    <fill>
      <patternFill patternType="solid">
        <fgColor theme="4" tint="0.79998168889431442"/>
        <bgColor indexed="64"/>
      </patternFill>
    </fill>
    <fill>
      <patternFill patternType="solid">
        <fgColor theme="4" tint="0.79998168889431442"/>
        <bgColor theme="0"/>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bgColor indexed="64"/>
      </patternFill>
    </fill>
    <fill>
      <patternFill patternType="solid">
        <fgColor rgb="FF00B0F0"/>
        <bgColor indexed="64"/>
      </patternFill>
    </fill>
    <fill>
      <patternFill patternType="solid">
        <fgColor theme="8" tint="0.79998168889431442"/>
        <bgColor indexed="64"/>
      </patternFill>
    </fill>
    <fill>
      <patternFill patternType="solid">
        <fgColor theme="8" tint="0.79998168889431442"/>
        <bgColor rgb="FFFABF8F"/>
      </patternFill>
    </fill>
    <fill>
      <patternFill patternType="solid">
        <fgColor theme="8" tint="0.59999389629810485"/>
        <bgColor rgb="FFFABF8F"/>
      </patternFill>
    </fill>
    <fill>
      <patternFill patternType="solid">
        <fgColor rgb="FFFABF8F"/>
        <bgColor indexed="64"/>
      </patternFill>
    </fill>
    <fill>
      <patternFill patternType="solid">
        <fgColor rgb="FFFFF2CC"/>
        <bgColor indexed="64"/>
      </patternFill>
    </fill>
    <fill>
      <patternFill patternType="solid">
        <fgColor rgb="FFFFFF00"/>
        <bgColor rgb="FF000000"/>
      </patternFill>
    </fill>
    <fill>
      <patternFill patternType="solid">
        <fgColor rgb="FFF1BF8D"/>
        <bgColor indexed="64"/>
      </patternFill>
    </fill>
    <fill>
      <patternFill patternType="solid">
        <fgColor theme="4" tint="0.59999389629810485"/>
        <bgColor indexed="64"/>
      </patternFill>
    </fill>
    <fill>
      <patternFill patternType="solid">
        <fgColor theme="8" tint="0.59999389629810485"/>
        <bgColor rgb="FFFDE9D9"/>
      </patternFill>
    </fill>
    <fill>
      <patternFill patternType="solid">
        <fgColor theme="8" tint="0.59999389629810485"/>
        <bgColor rgb="FF000000"/>
      </patternFill>
    </fill>
    <fill>
      <patternFill patternType="solid">
        <fgColor rgb="FFF4B084"/>
        <bgColor rgb="FF000000"/>
      </patternFill>
    </fill>
    <fill>
      <patternFill patternType="solid">
        <fgColor theme="8" tint="0.59999389629810485"/>
        <bgColor rgb="FFFFFFFF"/>
      </patternFill>
    </fill>
    <fill>
      <patternFill patternType="solid">
        <fgColor theme="8" tint="0.79998168889431442"/>
        <bgColor rgb="FFFBD4B4"/>
      </patternFill>
    </fill>
  </fills>
  <borders count="1071">
    <border>
      <left/>
      <right/>
      <top/>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bottom style="hair">
        <color rgb="FF000000"/>
      </bottom>
      <diagonal/>
    </border>
    <border>
      <left style="thin">
        <color rgb="FF4D5D2C"/>
      </left>
      <right/>
      <top style="double">
        <color rgb="FF000000"/>
      </top>
      <bottom style="thin">
        <color rgb="FF4D5D2C"/>
      </bottom>
      <diagonal/>
    </border>
    <border>
      <left/>
      <right/>
      <top style="double">
        <color rgb="FF000000"/>
      </top>
      <bottom style="thin">
        <color rgb="FF4BACC6"/>
      </bottom>
      <diagonal/>
    </border>
    <border>
      <left style="medium">
        <color rgb="FF000000"/>
      </left>
      <right/>
      <top style="double">
        <color rgb="FF000000"/>
      </top>
      <bottom style="thin">
        <color rgb="FFB97034"/>
      </bottom>
      <diagonal/>
    </border>
    <border>
      <left/>
      <right/>
      <top style="double">
        <color rgb="FF000000"/>
      </top>
      <bottom style="thin">
        <color rgb="FFB97034"/>
      </bottom>
      <diagonal/>
    </border>
    <border>
      <left style="thin">
        <color rgb="FF4D5D2C"/>
      </left>
      <right style="thin">
        <color rgb="FF4D5D2C"/>
      </right>
      <top style="thin">
        <color rgb="FF4D5D2C"/>
      </top>
      <bottom/>
      <diagonal/>
    </border>
    <border>
      <left style="thin">
        <color rgb="FF4BACC6"/>
      </left>
      <right style="thin">
        <color rgb="FF4BACC6"/>
      </right>
      <top style="thin">
        <color rgb="FF4BACC6"/>
      </top>
      <bottom/>
      <diagonal/>
    </border>
    <border>
      <left style="thin">
        <color rgb="FF4BACC6"/>
      </left>
      <right/>
      <top style="thin">
        <color rgb="FF4BACC6"/>
      </top>
      <bottom style="thin">
        <color rgb="FF4BACC6"/>
      </bottom>
      <diagonal/>
    </border>
    <border>
      <left style="thin">
        <color rgb="FF4BACC6"/>
      </left>
      <right style="medium">
        <color rgb="FF000000"/>
      </right>
      <top style="thin">
        <color rgb="FF4BACC6"/>
      </top>
      <bottom/>
      <diagonal/>
    </border>
    <border>
      <left style="medium">
        <color rgb="FF000000"/>
      </left>
      <right/>
      <top style="thin">
        <color rgb="FFB97034"/>
      </top>
      <bottom style="thin">
        <color rgb="FFB97034"/>
      </bottom>
      <diagonal/>
    </border>
    <border>
      <left/>
      <right/>
      <top style="thin">
        <color rgb="FFB97034"/>
      </top>
      <bottom style="thin">
        <color rgb="FFB97034"/>
      </bottom>
      <diagonal/>
    </border>
    <border>
      <left/>
      <right style="thin">
        <color rgb="FFB97034"/>
      </right>
      <top style="thin">
        <color rgb="FFB97034"/>
      </top>
      <bottom style="thin">
        <color rgb="FFB97034"/>
      </bottom>
      <diagonal/>
    </border>
    <border>
      <left style="thin">
        <color rgb="FFB97034"/>
      </left>
      <right/>
      <top style="thin">
        <color rgb="FFB97034"/>
      </top>
      <bottom style="thin">
        <color rgb="FFB97034"/>
      </bottom>
      <diagonal/>
    </border>
    <border>
      <left style="thin">
        <color rgb="FFB97034"/>
      </left>
      <right style="double">
        <color rgb="FF000000"/>
      </right>
      <top style="thin">
        <color rgb="FFB97034"/>
      </top>
      <bottom/>
      <diagonal/>
    </border>
    <border>
      <left style="thin">
        <color rgb="FF4BACC6"/>
      </left>
      <right style="thin">
        <color rgb="FF4BACC6"/>
      </right>
      <top style="thin">
        <color rgb="FF4BACC6"/>
      </top>
      <bottom style="medium">
        <color rgb="FF000000"/>
      </bottom>
      <diagonal/>
    </border>
    <border>
      <left style="medium">
        <color rgb="FF000000"/>
      </left>
      <right style="thin">
        <color rgb="FFB97034"/>
      </right>
      <top style="thin">
        <color rgb="FFB97034"/>
      </top>
      <bottom style="medium">
        <color rgb="FF000000"/>
      </bottom>
      <diagonal/>
    </border>
    <border>
      <left style="thin">
        <color rgb="FFB97034"/>
      </left>
      <right style="thin">
        <color rgb="FFB97034"/>
      </right>
      <top style="thin">
        <color rgb="FFB97034"/>
      </top>
      <bottom style="medium">
        <color rgb="FF000000"/>
      </bottom>
      <diagonal/>
    </border>
    <border>
      <left style="thin">
        <color rgb="FFB97034"/>
      </left>
      <right style="double">
        <color rgb="FF000000"/>
      </right>
      <top/>
      <bottom style="medium">
        <color rgb="FF000000"/>
      </bottom>
      <diagonal/>
    </border>
    <border>
      <left style="thin">
        <color rgb="FFBFBFBF"/>
      </left>
      <right style="medium">
        <color rgb="FF000000"/>
      </right>
      <top style="medium">
        <color rgb="FF000000"/>
      </top>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right style="medium">
        <color rgb="FF000000"/>
      </right>
      <top/>
      <bottom/>
      <diagonal/>
    </border>
    <border>
      <left style="medium">
        <color rgb="FF000000"/>
      </left>
      <right style="thin">
        <color rgb="FFBFBFBF"/>
      </right>
      <top/>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BFBFBF"/>
      </right>
      <top style="thin">
        <color rgb="FFBFBFBF"/>
      </top>
      <bottom style="thin">
        <color rgb="FFCCCCCC"/>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double">
        <color rgb="FF000000"/>
      </left>
      <right/>
      <top style="thin">
        <color rgb="FF000000"/>
      </top>
      <bottom style="double">
        <color rgb="FF000000"/>
      </bottom>
      <diagonal/>
    </border>
    <border>
      <left/>
      <right style="double">
        <color rgb="FF000000"/>
      </right>
      <top style="double">
        <color rgb="FF000000"/>
      </top>
      <bottom/>
      <diagonal/>
    </border>
    <border>
      <left style="double">
        <color rgb="FF000000"/>
      </left>
      <right/>
      <top/>
      <bottom style="dotted">
        <color rgb="FFB7B7B7"/>
      </bottom>
      <diagonal/>
    </border>
    <border>
      <left/>
      <right/>
      <top/>
      <bottom style="dotted">
        <color rgb="FFB7B7B7"/>
      </bottom>
      <diagonal/>
    </border>
    <border>
      <left/>
      <right style="double">
        <color rgb="FF000000"/>
      </right>
      <top/>
      <bottom style="dotted">
        <color rgb="FFB7B7B7"/>
      </bottom>
      <diagonal/>
    </border>
    <border>
      <left style="double">
        <color rgb="FF000000"/>
      </left>
      <right/>
      <top style="dotted">
        <color rgb="FFB7B7B7"/>
      </top>
      <bottom style="dotted">
        <color rgb="FFB7B7B7"/>
      </bottom>
      <diagonal/>
    </border>
    <border>
      <left/>
      <right/>
      <top style="dotted">
        <color rgb="FFB7B7B7"/>
      </top>
      <bottom style="dotted">
        <color rgb="FFB7B7B7"/>
      </bottom>
      <diagonal/>
    </border>
    <border>
      <left/>
      <right style="double">
        <color rgb="FF000000"/>
      </right>
      <top style="dotted">
        <color rgb="FFB7B7B7"/>
      </top>
      <bottom style="dotted">
        <color rgb="FFB7B7B7"/>
      </bottom>
      <diagonal/>
    </border>
    <border>
      <left/>
      <right style="double">
        <color rgb="FF000000"/>
      </right>
      <top style="dotted">
        <color rgb="FFB7B7B7"/>
      </top>
      <bottom style="thin">
        <color rgb="FF000000"/>
      </bottom>
      <diagonal/>
    </border>
    <border>
      <left style="thin">
        <color rgb="FFAAAAAA"/>
      </left>
      <right/>
      <top/>
      <bottom/>
      <diagonal/>
    </border>
    <border>
      <left/>
      <right style="thin">
        <color rgb="FF4F6128"/>
      </right>
      <top style="double">
        <color rgb="FF000000"/>
      </top>
      <bottom/>
      <diagonal/>
    </border>
    <border>
      <left/>
      <right/>
      <top style="double">
        <color rgb="FF000000"/>
      </top>
      <bottom style="thin">
        <color rgb="FF4D5D2C"/>
      </bottom>
      <diagonal/>
    </border>
    <border>
      <left style="medium">
        <color rgb="FF000000"/>
      </left>
      <right/>
      <top style="double">
        <color rgb="FF000000"/>
      </top>
      <bottom style="thin">
        <color rgb="FFE36C09"/>
      </bottom>
      <diagonal/>
    </border>
    <border>
      <left/>
      <right style="double">
        <color rgb="FF000000"/>
      </right>
      <top style="double">
        <color rgb="FF000000"/>
      </top>
      <bottom style="thin">
        <color rgb="FFE36C09"/>
      </bottom>
      <diagonal/>
    </border>
    <border>
      <left/>
      <right style="thin">
        <color rgb="FF4F6128"/>
      </right>
      <top/>
      <bottom/>
      <diagonal/>
    </border>
    <border>
      <left style="thin">
        <color rgb="FF4F6128"/>
      </left>
      <right style="thin">
        <color rgb="FF4F6128"/>
      </right>
      <top/>
      <bottom/>
      <diagonal/>
    </border>
    <border>
      <left style="medium">
        <color rgb="FF000000"/>
      </left>
      <right/>
      <top style="thin">
        <color rgb="FFE36C09"/>
      </top>
      <bottom style="thin">
        <color rgb="FFE36C09"/>
      </bottom>
      <diagonal/>
    </border>
    <border>
      <left/>
      <right style="thin">
        <color rgb="FFE36C09"/>
      </right>
      <top style="thin">
        <color rgb="FFE36C09"/>
      </top>
      <bottom style="thin">
        <color rgb="FFE36C09"/>
      </bottom>
      <diagonal/>
    </border>
    <border>
      <left style="thin">
        <color rgb="FFE36C09"/>
      </left>
      <right/>
      <top style="thin">
        <color rgb="FFE36C09"/>
      </top>
      <bottom style="thin">
        <color rgb="FFE36C09"/>
      </bottom>
      <diagonal/>
    </border>
    <border>
      <left style="thin">
        <color rgb="FFE36C09"/>
      </left>
      <right style="double">
        <color rgb="FF000000"/>
      </right>
      <top style="thin">
        <color rgb="FFE36C09"/>
      </top>
      <bottom/>
      <diagonal/>
    </border>
    <border>
      <left/>
      <right style="thin">
        <color rgb="FF4F6128"/>
      </right>
      <top/>
      <bottom style="medium">
        <color rgb="FF000000"/>
      </bottom>
      <diagonal/>
    </border>
    <border>
      <left style="thin">
        <color rgb="FF4F6128"/>
      </left>
      <right style="thin">
        <color rgb="FF4F6128"/>
      </right>
      <top/>
      <bottom style="medium">
        <color rgb="FF000000"/>
      </bottom>
      <diagonal/>
    </border>
    <border>
      <left style="medium">
        <color rgb="FF000000"/>
      </left>
      <right/>
      <top style="thin">
        <color rgb="FFE36C09"/>
      </top>
      <bottom style="medium">
        <color rgb="FF000000"/>
      </bottom>
      <diagonal/>
    </border>
    <border>
      <left style="thin">
        <color rgb="FFE36C09"/>
      </left>
      <right style="thin">
        <color rgb="FFE36C09"/>
      </right>
      <top style="thin">
        <color rgb="FFE36C09"/>
      </top>
      <bottom style="medium">
        <color rgb="FF000000"/>
      </bottom>
      <diagonal/>
    </border>
    <border>
      <left/>
      <right style="thin">
        <color rgb="FFE36C09"/>
      </right>
      <top style="thin">
        <color rgb="FFE36C09"/>
      </top>
      <bottom style="medium">
        <color rgb="FF000000"/>
      </bottom>
      <diagonal/>
    </border>
    <border>
      <left style="thin">
        <color rgb="FFE36C09"/>
      </left>
      <right style="double">
        <color rgb="FF000000"/>
      </right>
      <top/>
      <bottom style="medium">
        <color rgb="FF000000"/>
      </bottom>
      <diagonal/>
    </border>
    <border>
      <left/>
      <right style="thin">
        <color rgb="FFBFBFBF"/>
      </right>
      <top style="medium">
        <color rgb="FF000000"/>
      </top>
      <bottom style="thin">
        <color rgb="FFBFBFBF"/>
      </bottom>
      <diagonal/>
    </border>
    <border>
      <left style="thin">
        <color rgb="FFBFBFBF"/>
      </left>
      <right style="double">
        <color rgb="FF000000"/>
      </right>
      <top style="medium">
        <color rgb="FF000000"/>
      </top>
      <bottom/>
      <diagonal/>
    </border>
    <border>
      <left style="thin">
        <color rgb="FFBFBFBF"/>
      </left>
      <right style="double">
        <color rgb="FF000000"/>
      </right>
      <top/>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style="thin">
        <color rgb="FFB7B7B7"/>
      </top>
      <bottom style="thin">
        <color rgb="FF000000"/>
      </bottom>
      <diagonal/>
    </border>
    <border>
      <left style="thin">
        <color rgb="FFBFBFBF"/>
      </left>
      <right style="double">
        <color rgb="FF000000"/>
      </right>
      <top/>
      <bottom style="thin">
        <color rgb="FF000000"/>
      </bottom>
      <diagonal/>
    </border>
    <border>
      <left style="thin">
        <color rgb="FFBFBFBF"/>
      </left>
      <right style="double">
        <color rgb="FF000000"/>
      </right>
      <top style="thin">
        <color rgb="FF000000"/>
      </top>
      <bottom/>
      <diagonal/>
    </border>
    <border>
      <left style="thin">
        <color rgb="FFBFBFBF"/>
      </left>
      <right/>
      <top/>
      <bottom style="double">
        <color rgb="FF000000"/>
      </bottom>
      <diagonal/>
    </border>
    <border>
      <left style="double">
        <color rgb="FF000000"/>
      </left>
      <right/>
      <top style="dotted">
        <color rgb="FFB7B7B7"/>
      </top>
      <bottom style="double">
        <color rgb="FF000000"/>
      </bottom>
      <diagonal/>
    </border>
    <border>
      <left/>
      <right/>
      <top style="dotted">
        <color rgb="FFB7B7B7"/>
      </top>
      <bottom style="double">
        <color rgb="FF000000"/>
      </bottom>
      <diagonal/>
    </border>
    <border>
      <left style="thin">
        <color rgb="FF4F6128"/>
      </left>
      <right style="thin">
        <color rgb="FF4F6128"/>
      </right>
      <top style="thin">
        <color rgb="FF4F6128"/>
      </top>
      <bottom/>
      <diagonal/>
    </border>
    <border>
      <left style="thin">
        <color rgb="FF000000"/>
      </left>
      <right style="thin">
        <color rgb="FF000000"/>
      </right>
      <top style="medium">
        <color rgb="FF000000"/>
      </top>
      <bottom/>
      <diagonal/>
    </border>
    <border>
      <left style="thin">
        <color rgb="FFA5A5A5"/>
      </left>
      <right style="thin">
        <color rgb="FFA5A5A5"/>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000000"/>
      </top>
      <bottom style="thin">
        <color rgb="FFA5A5A5"/>
      </bottom>
      <diagonal/>
    </border>
    <border>
      <left style="thin">
        <color rgb="FFA5A5A5"/>
      </left>
      <right style="thin">
        <color rgb="FF000000"/>
      </right>
      <top style="thin">
        <color rgb="FF000000"/>
      </top>
      <bottom style="thin">
        <color rgb="FFA5A5A5"/>
      </bottom>
      <diagonal/>
    </border>
    <border>
      <left style="thin">
        <color rgb="FF000000"/>
      </left>
      <right/>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style="thin">
        <color rgb="FF000000"/>
      </right>
      <top style="thin">
        <color rgb="FFA5A5A5"/>
      </top>
      <bottom style="thin">
        <color rgb="FF000000"/>
      </bottom>
      <diagonal/>
    </border>
    <border>
      <left/>
      <right style="medium">
        <color rgb="FF000000"/>
      </right>
      <top/>
      <bottom style="thin">
        <color rgb="FF000000"/>
      </bottom>
      <diagonal/>
    </border>
    <border>
      <left style="thin">
        <color rgb="FFA5A5A5"/>
      </left>
      <right style="thin">
        <color rgb="FF000000"/>
      </right>
      <top/>
      <bottom style="thin">
        <color rgb="FFA5A5A5"/>
      </bottom>
      <diagonal/>
    </border>
    <border>
      <left/>
      <right style="medium">
        <color rgb="FF000000"/>
      </right>
      <top style="thin">
        <color rgb="FF000000"/>
      </top>
      <bottom/>
      <diagonal/>
    </border>
    <border>
      <left style="thin">
        <color rgb="FF000000"/>
      </left>
      <right style="thin">
        <color rgb="FFBFBFBF"/>
      </right>
      <top/>
      <bottom/>
      <diagonal/>
    </border>
    <border>
      <left style="thin">
        <color rgb="FF000000"/>
      </left>
      <right style="double">
        <color rgb="FF000000"/>
      </right>
      <top/>
      <bottom/>
      <diagonal/>
    </border>
    <border>
      <left style="thin">
        <color rgb="FF000000"/>
      </left>
      <right style="thin">
        <color rgb="FFBFBFBF"/>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diagonal/>
    </border>
    <border>
      <left style="thin">
        <color rgb="FF000000"/>
      </left>
      <right style="thin">
        <color rgb="FFBFBFBF"/>
      </right>
      <top style="thin">
        <color rgb="FF000000"/>
      </top>
      <bottom/>
      <diagonal/>
    </border>
    <border>
      <left/>
      <right style="thin">
        <color rgb="FFBFBFBF"/>
      </right>
      <top style="thin">
        <color rgb="FF000000"/>
      </top>
      <bottom/>
      <diagonal/>
    </border>
    <border>
      <left/>
      <right style="thin">
        <color rgb="FFA5A5A5"/>
      </right>
      <top/>
      <bottom/>
      <diagonal/>
    </border>
    <border>
      <left style="medium">
        <color rgb="FF000000"/>
      </left>
      <right/>
      <top/>
      <bottom style="double">
        <color rgb="FF000000"/>
      </bottom>
      <diagonal/>
    </border>
    <border>
      <left style="double">
        <color rgb="FF000000"/>
      </left>
      <right style="thin">
        <color rgb="FF000000"/>
      </right>
      <top/>
      <bottom style="thin">
        <color rgb="FF000000"/>
      </bottom>
      <diagonal/>
    </border>
    <border>
      <left style="thin">
        <color theme="1"/>
      </left>
      <right style="thin">
        <color rgb="FFBFBFBF"/>
      </right>
      <top/>
      <bottom/>
      <diagonal/>
    </border>
    <border>
      <left style="medium">
        <color rgb="FF000000"/>
      </left>
      <right style="thin">
        <color rgb="FFBFBFBF"/>
      </right>
      <top/>
      <bottom style="thin">
        <color rgb="FFA5A5A5"/>
      </bottom>
      <diagonal/>
    </border>
    <border>
      <left/>
      <right style="thin">
        <color rgb="FFBFBFBF"/>
      </right>
      <top style="thin">
        <color rgb="FFBFBFBF"/>
      </top>
      <bottom style="thin">
        <color rgb="FFA5A5A5"/>
      </bottom>
      <diagonal/>
    </border>
    <border>
      <left style="thin">
        <color rgb="FFBFBFBF"/>
      </left>
      <right style="thin">
        <color rgb="FFBFBFBF"/>
      </right>
      <top style="thin">
        <color rgb="FFBFBFBF"/>
      </top>
      <bottom style="thin">
        <color rgb="FFA5A5A5"/>
      </bottom>
      <diagonal/>
    </border>
    <border>
      <left style="thin">
        <color theme="1"/>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theme="1"/>
      </left>
      <right style="thin">
        <color rgb="FFBFBFBF"/>
      </right>
      <top style="thin">
        <color rgb="FF000000"/>
      </top>
      <bottom/>
      <diagonal/>
    </border>
    <border>
      <left style="thin">
        <color rgb="FFBFBFBF"/>
      </left>
      <right style="thin">
        <color rgb="FFBFBFBF"/>
      </right>
      <top style="thin">
        <color rgb="FF000000"/>
      </top>
      <bottom/>
      <diagonal/>
    </border>
    <border>
      <left/>
      <right style="thin">
        <color rgb="FFBFBFBF"/>
      </right>
      <top/>
      <bottom style="thin">
        <color theme="1"/>
      </bottom>
      <diagonal/>
    </border>
    <border>
      <left style="thin">
        <color rgb="FFBFBFBF"/>
      </left>
      <right style="thin">
        <color rgb="FFBFBFBF"/>
      </right>
      <top/>
      <bottom style="thin">
        <color theme="1"/>
      </bottom>
      <diagonal/>
    </border>
    <border>
      <left/>
      <right style="thin">
        <color rgb="FFBFBFBF"/>
      </right>
      <top style="thin">
        <color theme="1"/>
      </top>
      <bottom/>
      <diagonal/>
    </border>
    <border>
      <left style="thin">
        <color rgb="FFBFBFBF"/>
      </left>
      <right style="thin">
        <color rgb="FFBFBFBF"/>
      </right>
      <top style="thin">
        <color theme="1"/>
      </top>
      <bottom/>
      <diagonal/>
    </border>
    <border>
      <left style="thin">
        <color rgb="FFE36C09"/>
      </left>
      <right style="thin">
        <color rgb="FFE36C09"/>
      </right>
      <top/>
      <bottom style="medium">
        <color rgb="FF000000"/>
      </bottom>
      <diagonal/>
    </border>
    <border>
      <left style="thin">
        <color rgb="FFE36C09"/>
      </left>
      <right/>
      <top/>
      <bottom style="medium">
        <color rgb="FF000000"/>
      </bottom>
      <diagonal/>
    </border>
    <border>
      <left/>
      <right/>
      <top style="medium">
        <color rgb="FF000000"/>
      </top>
      <bottom style="double">
        <color rgb="FF000000"/>
      </bottom>
      <diagonal/>
    </border>
    <border>
      <left style="thin">
        <color rgb="FFE36C09"/>
      </left>
      <right style="thin">
        <color rgb="FFE36C09"/>
      </right>
      <top style="medium">
        <color rgb="FF000000"/>
      </top>
      <bottom style="double">
        <color rgb="FF000000"/>
      </bottom>
      <diagonal/>
    </border>
    <border>
      <left/>
      <right style="double">
        <color rgb="FF000000"/>
      </right>
      <top style="medium">
        <color rgb="FF000000"/>
      </top>
      <bottom style="double">
        <color rgb="FF000000"/>
      </bottom>
      <diagonal/>
    </border>
    <border>
      <left style="medium">
        <color rgb="FF000000"/>
      </left>
      <right/>
      <top style="medium">
        <color rgb="FF000000"/>
      </top>
      <bottom style="double">
        <color rgb="FF000000"/>
      </bottom>
      <diagonal/>
    </border>
    <border>
      <left style="double">
        <color rgb="FF000000"/>
      </left>
      <right/>
      <top style="dotted">
        <color rgb="FFB7B7B7"/>
      </top>
      <bottom/>
      <diagonal/>
    </border>
    <border>
      <left/>
      <right/>
      <top style="dotted">
        <color rgb="FFB7B7B7"/>
      </top>
      <bottom/>
      <diagonal/>
    </border>
    <border>
      <left style="medium">
        <color rgb="FF000000"/>
      </left>
      <right/>
      <top style="thin">
        <color rgb="FFE36C09"/>
      </top>
      <bottom/>
      <diagonal/>
    </border>
    <border>
      <left style="thin">
        <color rgb="FFE36C09"/>
      </left>
      <right style="thin">
        <color rgb="FFE36C09"/>
      </right>
      <top style="thin">
        <color rgb="FFE36C09"/>
      </top>
      <bottom/>
      <diagonal/>
    </border>
    <border>
      <left/>
      <right style="thin">
        <color rgb="FFE36C09"/>
      </right>
      <top style="thin">
        <color rgb="FFE36C09"/>
      </top>
      <bottom/>
      <diagonal/>
    </border>
    <border>
      <left style="thin">
        <color rgb="FF000000"/>
      </left>
      <right style="thin">
        <color rgb="FFBFBFBF"/>
      </right>
      <top style="medium">
        <color rgb="FF000000"/>
      </top>
      <bottom/>
      <diagonal/>
    </border>
    <border>
      <left style="medium">
        <color rgb="FF000000"/>
      </left>
      <right style="thin">
        <color rgb="FFB7B7B7"/>
      </right>
      <top style="medium">
        <color rgb="FF000000"/>
      </top>
      <bottom style="thin">
        <color rgb="FFB7B7B7"/>
      </bottom>
      <diagonal/>
    </border>
    <border>
      <left style="thin">
        <color rgb="FFB7B7B7"/>
      </left>
      <right style="thin">
        <color rgb="FFB7B7B7"/>
      </right>
      <top style="medium">
        <color rgb="FF000000"/>
      </top>
      <bottom style="thin">
        <color rgb="FFB7B7B7"/>
      </bottom>
      <diagonal/>
    </border>
    <border>
      <left style="thin">
        <color rgb="FFB7B7B7"/>
      </left>
      <right style="double">
        <color rgb="FF000000"/>
      </right>
      <top style="medium">
        <color rgb="FF000000"/>
      </top>
      <bottom/>
      <diagonal/>
    </border>
    <border>
      <left style="medium">
        <color rgb="FF000000"/>
      </left>
      <right style="thin">
        <color rgb="FFB7B7B7"/>
      </right>
      <top style="thin">
        <color rgb="FFB7B7B7"/>
      </top>
      <bottom style="thin">
        <color rgb="FFB7B7B7"/>
      </bottom>
      <diagonal/>
    </border>
    <border>
      <left style="thin">
        <color rgb="FFB7B7B7"/>
      </left>
      <right style="double">
        <color rgb="FF000000"/>
      </right>
      <top/>
      <bottom/>
      <diagonal/>
    </border>
    <border>
      <left style="medium">
        <color rgb="FF000000"/>
      </left>
      <right style="thin">
        <color rgb="FFB7B7B7"/>
      </right>
      <top style="thin">
        <color rgb="FFB7B7B7"/>
      </top>
      <bottom/>
      <diagonal/>
    </border>
    <border>
      <left style="thin">
        <color rgb="FFB7B7B7"/>
      </left>
      <right style="thin">
        <color rgb="FFB7B7B7"/>
      </right>
      <top style="thin">
        <color rgb="FFB7B7B7"/>
      </top>
      <bottom/>
      <diagonal/>
    </border>
    <border>
      <left style="thin">
        <color rgb="FFB7B7B7"/>
      </left>
      <right style="thin">
        <color rgb="FFB7B7B7"/>
      </right>
      <top style="thin">
        <color rgb="FF000000"/>
      </top>
      <bottom style="thin">
        <color rgb="FFB7B7B7"/>
      </bottom>
      <diagonal/>
    </border>
    <border>
      <left style="thin">
        <color rgb="FFB7B7B7"/>
      </left>
      <right style="double">
        <color rgb="FF000000"/>
      </right>
      <top style="thin">
        <color rgb="FF000000"/>
      </top>
      <bottom/>
      <diagonal/>
    </border>
    <border>
      <left style="thin">
        <color rgb="FF7F7F7F"/>
      </left>
      <right/>
      <top/>
      <bottom/>
      <diagonal/>
    </border>
    <border>
      <left style="thin">
        <color rgb="FFB7B7B7"/>
      </left>
      <right style="thin">
        <color rgb="FFB7B7B7"/>
      </right>
      <top style="thin">
        <color rgb="FFB7B7B7"/>
      </top>
      <bottom style="thin">
        <color rgb="FFA5A5A5"/>
      </bottom>
      <diagonal/>
    </border>
    <border>
      <left style="medium">
        <color rgb="FF000000"/>
      </left>
      <right style="thin">
        <color rgb="FFB7B7B7"/>
      </right>
      <top style="thin">
        <color rgb="FFB7B7B7"/>
      </top>
      <bottom style="thin">
        <color rgb="FF000000"/>
      </bottom>
      <diagonal/>
    </border>
    <border>
      <left style="thin">
        <color rgb="FFB7B7B7"/>
      </left>
      <right style="thin">
        <color rgb="FFB7B7B7"/>
      </right>
      <top/>
      <bottom style="thin">
        <color rgb="FF000000"/>
      </bottom>
      <diagonal/>
    </border>
    <border>
      <left style="thin">
        <color rgb="FFB7B7B7"/>
      </left>
      <right style="double">
        <color rgb="FF000000"/>
      </right>
      <top/>
      <bottom style="thin">
        <color rgb="FF000000"/>
      </bottom>
      <diagonal/>
    </border>
    <border>
      <left style="thin">
        <color rgb="FFB7B7B7"/>
      </left>
      <right/>
      <top style="thin">
        <color rgb="FFB7B7B7"/>
      </top>
      <bottom style="thin">
        <color rgb="FFB7B7B7"/>
      </bottom>
      <diagonal/>
    </border>
    <border>
      <left/>
      <right style="thin">
        <color rgb="FFB7B7B7"/>
      </right>
      <top style="thin">
        <color rgb="FFB7B7B7"/>
      </top>
      <bottom style="thin">
        <color rgb="FFB7B7B7"/>
      </bottom>
      <diagonal/>
    </border>
    <border>
      <left/>
      <right style="thin">
        <color rgb="FFB7B7B7"/>
      </right>
      <top style="thin">
        <color rgb="FFB7B7B7"/>
      </top>
      <bottom/>
      <diagonal/>
    </border>
    <border>
      <left style="medium">
        <color rgb="FF000000"/>
      </left>
      <right style="thin">
        <color rgb="FFB7B7B7"/>
      </right>
      <top/>
      <bottom style="thin">
        <color rgb="FFB7B7B7"/>
      </bottom>
      <diagonal/>
    </border>
    <border>
      <left style="medium">
        <color rgb="FF000000"/>
      </left>
      <right style="thin">
        <color rgb="FFB7B7B7"/>
      </right>
      <top/>
      <bottom/>
      <diagonal/>
    </border>
    <border>
      <left style="thin">
        <color rgb="FFB7B7B7"/>
      </left>
      <right style="thin">
        <color rgb="FFB7B7B7"/>
      </right>
      <top/>
      <bottom/>
      <diagonal/>
    </border>
    <border>
      <left style="medium">
        <color rgb="FF000000"/>
      </left>
      <right/>
      <top style="medium">
        <color rgb="FF000000"/>
      </top>
      <bottom/>
      <diagonal/>
    </border>
    <border>
      <left style="medium">
        <color rgb="FF000000"/>
      </left>
      <right/>
      <top/>
      <bottom/>
      <diagonal/>
    </border>
    <border>
      <left style="thin">
        <color rgb="FFA5A5A5"/>
      </left>
      <right style="thin">
        <color rgb="FFBFBFBF"/>
      </right>
      <top/>
      <bottom/>
      <diagonal/>
    </border>
    <border>
      <left style="thin">
        <color rgb="FFA5A5A5"/>
      </left>
      <right style="thin">
        <color rgb="FFBFBFBF"/>
      </right>
      <top style="thin">
        <color rgb="FF000000"/>
      </top>
      <bottom/>
      <diagonal/>
    </border>
    <border>
      <left style="thin">
        <color rgb="FFA5A5A5"/>
      </left>
      <right style="thin">
        <color rgb="FFBFBFBF"/>
      </right>
      <top/>
      <bottom style="thin">
        <color rgb="FF000000"/>
      </bottom>
      <diagonal/>
    </border>
    <border>
      <left style="thin">
        <color rgb="FFA5A5A5"/>
      </left>
      <right style="double">
        <color rgb="FF000000"/>
      </right>
      <top/>
      <bottom style="thin">
        <color rgb="FF000000"/>
      </bottom>
      <diagonal/>
    </border>
    <border>
      <left style="thin">
        <color rgb="FFA5A5A5"/>
      </left>
      <right style="double">
        <color rgb="FF000000"/>
      </right>
      <top style="thin">
        <color rgb="FF000000"/>
      </top>
      <bottom/>
      <diagonal/>
    </border>
    <border>
      <left/>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000000"/>
      </top>
      <bottom style="thin">
        <color rgb="FFBFBFBF"/>
      </bottom>
      <diagonal/>
    </border>
    <border>
      <left style="thin">
        <color rgb="FF000000"/>
      </left>
      <right style="thin">
        <color rgb="FFBFBFBF"/>
      </right>
      <top style="thin">
        <color rgb="FFBFBFBF"/>
      </top>
      <bottom style="thin">
        <color rgb="FF000000"/>
      </bottom>
      <diagonal/>
    </border>
    <border>
      <left/>
      <right style="thin">
        <color rgb="FFA5A5A5"/>
      </right>
      <top style="thin">
        <color rgb="FF000000"/>
      </top>
      <bottom style="thin">
        <color rgb="FFA5A5A5"/>
      </bottom>
      <diagonal/>
    </border>
    <border>
      <left/>
      <right style="thin">
        <color rgb="FFA5A5A5"/>
      </right>
      <top style="thin">
        <color rgb="FFA5A5A5"/>
      </top>
      <bottom style="thin">
        <color rgb="FFA5A5A5"/>
      </bottom>
      <diagonal/>
    </border>
    <border>
      <left style="thin">
        <color rgb="FFBFBFBF"/>
      </left>
      <right/>
      <top style="thin">
        <color rgb="FFBFBFBF"/>
      </top>
      <bottom style="thin">
        <color rgb="FFBFBFBF"/>
      </bottom>
      <diagonal/>
    </border>
    <border>
      <left style="thin">
        <color rgb="FFA5A5A5"/>
      </left>
      <right/>
      <top style="thin">
        <color rgb="FF000000"/>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thin">
        <color rgb="FF000000"/>
      </bottom>
      <diagonal/>
    </border>
    <border>
      <left style="thin">
        <color rgb="FFBFBFBF"/>
      </left>
      <right/>
      <top style="thin">
        <color rgb="FFBFBFBF"/>
      </top>
      <bottom style="thin">
        <color rgb="FF000000"/>
      </bottom>
      <diagonal/>
    </border>
    <border>
      <left style="thin">
        <color rgb="FFE36C09"/>
      </left>
      <right/>
      <top style="thin">
        <color rgb="FF000000"/>
      </top>
      <bottom style="medium">
        <color rgb="FF000000"/>
      </bottom>
      <diagonal/>
    </border>
    <border>
      <left/>
      <right style="double">
        <color rgb="FF000000"/>
      </right>
      <top style="thin">
        <color rgb="FF000000"/>
      </top>
      <bottom style="medium">
        <color rgb="FF000000"/>
      </bottom>
      <diagonal/>
    </border>
    <border>
      <left/>
      <right/>
      <top style="thin">
        <color rgb="FF000000"/>
      </top>
      <bottom style="double">
        <color rgb="FF000000"/>
      </bottom>
      <diagonal/>
    </border>
    <border>
      <left style="thin">
        <color rgb="FFE36C09"/>
      </left>
      <right style="thin">
        <color rgb="FFE36C09"/>
      </right>
      <top style="thin">
        <color rgb="FF000000"/>
      </top>
      <bottom style="double">
        <color rgb="FF000000"/>
      </bottom>
      <diagonal/>
    </border>
    <border>
      <left style="thin">
        <color rgb="FFE36C09"/>
      </left>
      <right/>
      <top style="medium">
        <color rgb="FF000000"/>
      </top>
      <bottom style="double">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bottom style="thin">
        <color rgb="FFA5A5A5"/>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000000"/>
      </bottom>
      <diagonal/>
    </border>
    <border>
      <left style="medium">
        <color rgb="FF000000"/>
      </left>
      <right style="thin">
        <color rgb="FFA5A5A5"/>
      </right>
      <top style="thin">
        <color rgb="FF000000"/>
      </top>
      <bottom style="thin">
        <color rgb="FFA5A5A5"/>
      </bottom>
      <diagonal/>
    </border>
    <border>
      <left style="thin">
        <color rgb="FFBFBFBF"/>
      </left>
      <right style="thin">
        <color rgb="FFBFBFBF"/>
      </right>
      <top/>
      <bottom/>
      <diagonal/>
    </border>
    <border>
      <left/>
      <right style="double">
        <color rgb="FF000000"/>
      </right>
      <top/>
      <bottom style="thin">
        <color rgb="FF000000"/>
      </bottom>
      <diagonal/>
    </border>
    <border>
      <left style="medium">
        <color rgb="FF000000"/>
      </left>
      <right style="thin">
        <color rgb="FFCCCCCC"/>
      </right>
      <top style="thin">
        <color rgb="FF000000"/>
      </top>
      <bottom style="thin">
        <color rgb="FFCCCCCC"/>
      </bottom>
      <diagonal/>
    </border>
    <border>
      <left style="thin">
        <color rgb="FFCCCCCC"/>
      </left>
      <right style="thin">
        <color rgb="FFCCCCCC"/>
      </right>
      <top style="thin">
        <color rgb="FF000000"/>
      </top>
      <bottom style="thin">
        <color rgb="FFCCCCCC"/>
      </bottom>
      <diagonal/>
    </border>
    <border>
      <left style="medium">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medium">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double">
        <color rgb="FF000000"/>
      </right>
      <top style="thin">
        <color rgb="FF000000"/>
      </top>
      <bottom/>
      <diagonal/>
    </border>
    <border>
      <left style="thin">
        <color rgb="FFCCCCCC"/>
      </left>
      <right style="double">
        <color rgb="FF000000"/>
      </right>
      <top/>
      <bottom/>
      <diagonal/>
    </border>
    <border>
      <left style="thin">
        <color rgb="FFCCCCCC"/>
      </left>
      <right style="thin">
        <color rgb="FFCCCCCC"/>
      </right>
      <top style="thin">
        <color rgb="FFCCCCCC"/>
      </top>
      <bottom/>
      <diagonal/>
    </border>
    <border>
      <left style="thin">
        <color rgb="FFCCCCCC"/>
      </left>
      <right style="double">
        <color rgb="FF000000"/>
      </right>
      <top/>
      <bottom style="thin">
        <color rgb="FF000000"/>
      </bottom>
      <diagonal/>
    </border>
    <border>
      <left style="thin">
        <color rgb="FFB7B7B7"/>
      </left>
      <right/>
      <top style="thin">
        <color rgb="FF000000"/>
      </top>
      <bottom/>
      <diagonal/>
    </border>
    <border>
      <left style="thin">
        <color rgb="FFA5A5A5"/>
      </left>
      <right style="thin">
        <color rgb="FFB7B7B7"/>
      </right>
      <top style="thin">
        <color rgb="FF000000"/>
      </top>
      <bottom style="thin">
        <color rgb="FFB7B7B7"/>
      </bottom>
      <diagonal/>
    </border>
    <border>
      <left style="thin">
        <color rgb="FFB7B7B7"/>
      </left>
      <right style="thin">
        <color rgb="FFA5A5A5"/>
      </right>
      <top style="thin">
        <color rgb="FF000000"/>
      </top>
      <bottom style="thin">
        <color rgb="FFB7B7B7"/>
      </bottom>
      <diagonal/>
    </border>
    <border>
      <left style="thin">
        <color rgb="FFA5A5A5"/>
      </left>
      <right style="thin">
        <color rgb="FFB7B7B7"/>
      </right>
      <top style="thin">
        <color rgb="FFB7B7B7"/>
      </top>
      <bottom style="thin">
        <color rgb="FFB7B7B7"/>
      </bottom>
      <diagonal/>
    </border>
    <border>
      <left style="thin">
        <color rgb="FFB7B7B7"/>
      </left>
      <right/>
      <top/>
      <bottom style="thin">
        <color rgb="FF000000"/>
      </bottom>
      <diagonal/>
    </border>
    <border>
      <left style="thin">
        <color rgb="FFA5A5A5"/>
      </left>
      <right style="thin">
        <color rgb="FFA5A5A5"/>
      </right>
      <top style="thin">
        <color rgb="FFA5A5A5"/>
      </top>
      <bottom/>
      <diagonal/>
    </border>
    <border>
      <left style="thin">
        <color rgb="FFA5A5A5"/>
      </left>
      <right style="thin">
        <color rgb="FFB7B7B7"/>
      </right>
      <top style="thin">
        <color rgb="FFB7B7B7"/>
      </top>
      <bottom/>
      <diagonal/>
    </border>
    <border>
      <left style="thin">
        <color rgb="FFA5A5A5"/>
      </left>
      <right style="double">
        <color rgb="FF000000"/>
      </right>
      <top/>
      <bottom/>
      <diagonal/>
    </border>
    <border>
      <left style="medium">
        <color rgb="FF000000"/>
      </left>
      <right style="thin">
        <color rgb="FFB7B7B7"/>
      </right>
      <top style="thin">
        <color rgb="FF000000"/>
      </top>
      <bottom style="thin">
        <color rgb="FFB7B7B7"/>
      </bottom>
      <diagonal/>
    </border>
    <border>
      <left style="thin">
        <color rgb="FFA5A5A5"/>
      </left>
      <right style="thin">
        <color rgb="FFB7B7B7"/>
      </right>
      <top style="thin">
        <color rgb="FFB7B7B7"/>
      </top>
      <bottom style="thin">
        <color rgb="FF000000"/>
      </bottom>
      <diagonal/>
    </border>
    <border>
      <left style="thin">
        <color rgb="FFB7B7B7"/>
      </left>
      <right style="thin">
        <color rgb="FFA5A5A5"/>
      </right>
      <top style="thin">
        <color rgb="FFB7B7B7"/>
      </top>
      <bottom style="thin">
        <color rgb="FF000000"/>
      </bottom>
      <diagonal/>
    </border>
    <border>
      <left style="thin">
        <color rgb="FFB7B7B7"/>
      </left>
      <right style="thin">
        <color rgb="FFBFBFBF"/>
      </right>
      <top style="thin">
        <color rgb="FF000000"/>
      </top>
      <bottom/>
      <diagonal/>
    </border>
    <border>
      <left style="thin">
        <color rgb="FFB7B7B7"/>
      </left>
      <right style="thin">
        <color rgb="FFBFBFBF"/>
      </right>
      <top/>
      <bottom/>
      <diagonal/>
    </border>
    <border>
      <left style="thin">
        <color rgb="FFB7B7B7"/>
      </left>
      <right style="thin">
        <color rgb="FFBFBFBF"/>
      </right>
      <top/>
      <bottom style="thin">
        <color rgb="FF000000"/>
      </bottom>
      <diagonal/>
    </border>
    <border>
      <left style="thin">
        <color rgb="FFBFBFBF"/>
      </left>
      <right/>
      <top/>
      <bottom style="thin">
        <color rgb="FF000000"/>
      </bottom>
      <diagonal/>
    </border>
    <border>
      <left style="medium">
        <color rgb="FF000000"/>
      </left>
      <right style="thin">
        <color rgb="FFA5A5A5"/>
      </right>
      <top style="thin">
        <color rgb="FFA5A5A5"/>
      </top>
      <bottom/>
      <diagonal/>
    </border>
    <border>
      <left/>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E36C09"/>
      </left>
      <right style="thin">
        <color rgb="FFE36C09"/>
      </right>
      <top style="thin">
        <color rgb="FF000000"/>
      </top>
      <bottom style="medium">
        <color rgb="FF000000"/>
      </bottom>
      <diagonal/>
    </border>
    <border>
      <left style="thin">
        <color rgb="FFA5A5A5"/>
      </left>
      <right style="thin">
        <color rgb="FFA5A5A5"/>
      </right>
      <top/>
      <bottom/>
      <diagonal/>
    </border>
    <border>
      <left/>
      <right style="double">
        <color rgb="FF000000"/>
      </right>
      <top style="thin">
        <color rgb="FF000000"/>
      </top>
      <bottom/>
      <diagonal/>
    </border>
    <border>
      <left style="medium">
        <color rgb="FF000000"/>
      </left>
      <right style="thin">
        <color rgb="FFA5A5A5"/>
      </right>
      <top/>
      <bottom style="thin">
        <color rgb="FFA5A5A5"/>
      </bottom>
      <diagonal/>
    </border>
    <border>
      <left style="thin">
        <color rgb="FFB7B7B7"/>
      </left>
      <right style="medium">
        <color rgb="FF000000"/>
      </right>
      <top/>
      <bottom style="thin">
        <color rgb="FF000000"/>
      </bottom>
      <diagonal/>
    </border>
    <border>
      <left style="thin">
        <color rgb="FFB7B7B7"/>
      </left>
      <right/>
      <top/>
      <bottom/>
      <diagonal/>
    </border>
    <border>
      <left style="medium">
        <color rgb="FF000000"/>
      </left>
      <right/>
      <top/>
      <bottom style="medium">
        <color rgb="FF000000"/>
      </bottom>
      <diagonal/>
    </border>
    <border>
      <left style="thin">
        <color rgb="FFE36C09"/>
      </left>
      <right style="thin">
        <color rgb="FFE36C09"/>
      </right>
      <top/>
      <bottom style="double">
        <color rgb="FF000000"/>
      </bottom>
      <diagonal/>
    </border>
    <border>
      <left style="double">
        <color rgb="FF000000"/>
      </left>
      <right/>
      <top style="double">
        <color rgb="FF000000"/>
      </top>
      <bottom/>
      <diagonal/>
    </border>
    <border>
      <left/>
      <right style="thin">
        <color rgb="FFBFBFBF"/>
      </right>
      <top/>
      <bottom style="medium">
        <color rgb="FF000000"/>
      </bottom>
      <diagonal/>
    </border>
    <border>
      <left style="double">
        <color rgb="FF000000"/>
      </left>
      <right/>
      <top/>
      <bottom style="dotted">
        <color rgb="FFCCCCCC"/>
      </bottom>
      <diagonal/>
    </border>
    <border>
      <left/>
      <right/>
      <top/>
      <bottom style="dotted">
        <color rgb="FFCCCCCC"/>
      </bottom>
      <diagonal/>
    </border>
    <border>
      <left/>
      <right style="double">
        <color rgb="FF000000"/>
      </right>
      <top/>
      <bottom style="dotted">
        <color rgb="FFCCCCCC"/>
      </bottom>
      <diagonal/>
    </border>
    <border>
      <left style="double">
        <color rgb="FF000000"/>
      </left>
      <right/>
      <top style="dotted">
        <color rgb="FFCCCCCC"/>
      </top>
      <bottom style="dotted">
        <color rgb="FFCCCCCC"/>
      </bottom>
      <diagonal/>
    </border>
    <border>
      <left/>
      <right/>
      <top style="dotted">
        <color rgb="FFCCCCCC"/>
      </top>
      <bottom style="dotted">
        <color rgb="FFCCCCCC"/>
      </bottom>
      <diagonal/>
    </border>
    <border>
      <left/>
      <right style="double">
        <color rgb="FF000000"/>
      </right>
      <top style="dotted">
        <color rgb="FFCCCCCC"/>
      </top>
      <bottom style="dotted">
        <color rgb="FFCCCCCC"/>
      </bottom>
      <diagonal/>
    </border>
    <border>
      <left/>
      <right style="double">
        <color rgb="FF000000"/>
      </right>
      <top style="dotted">
        <color rgb="FFCCCCCC"/>
      </top>
      <bottom style="thin">
        <color rgb="FF000000"/>
      </bottom>
      <diagonal/>
    </border>
    <border>
      <left style="double">
        <color rgb="FF000000"/>
      </left>
      <right/>
      <top style="dotted">
        <color rgb="FFCCCCCC"/>
      </top>
      <bottom/>
      <diagonal/>
    </border>
    <border>
      <left/>
      <right/>
      <top style="dotted">
        <color rgb="FFCCCCCC"/>
      </top>
      <bottom/>
      <diagonal/>
    </border>
    <border>
      <left style="double">
        <color rgb="FF000000"/>
      </left>
      <right/>
      <top style="dotted">
        <color rgb="FFCCCCCC"/>
      </top>
      <bottom style="double">
        <color rgb="FF000000"/>
      </bottom>
      <diagonal/>
    </border>
    <border>
      <left/>
      <right/>
      <top style="dotted">
        <color rgb="FFCCCCCC"/>
      </top>
      <bottom style="double">
        <color rgb="FF000000"/>
      </bottom>
      <diagonal/>
    </border>
    <border>
      <left style="double">
        <color rgb="FF000000"/>
      </left>
      <right/>
      <top style="medium">
        <color rgb="FF000000"/>
      </top>
      <bottom/>
      <diagonal/>
    </border>
    <border>
      <left style="thin">
        <color theme="1"/>
      </left>
      <right style="thin">
        <color rgb="FFBFBFBF"/>
      </right>
      <top style="medium">
        <color rgb="FF000000"/>
      </top>
      <bottom/>
      <diagonal/>
    </border>
    <border>
      <left style="thin">
        <color rgb="FFBFBFBF"/>
      </left>
      <right/>
      <top style="medium">
        <color rgb="FF000000"/>
      </top>
      <bottom style="thin">
        <color rgb="FFBFBFBF"/>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7B7B7"/>
      </bottom>
      <diagonal/>
    </border>
    <border>
      <left style="thin">
        <color rgb="FFBFBFBF"/>
      </left>
      <right/>
      <top style="thin">
        <color rgb="FFBFBFBF"/>
      </top>
      <bottom style="thin">
        <color rgb="FFA5A5A5"/>
      </bottom>
      <diagonal/>
    </border>
    <border>
      <left style="medium">
        <color rgb="FF000000"/>
      </left>
      <right style="thin">
        <color rgb="FFBFBFBF"/>
      </right>
      <top style="thin">
        <color rgb="FFBFBFBF"/>
      </top>
      <bottom style="thin">
        <color rgb="FFA5A5A5"/>
      </bottom>
      <diagonal/>
    </border>
    <border>
      <left style="thin">
        <color rgb="FF000000"/>
      </left>
      <right/>
      <top/>
      <bottom style="medium">
        <color rgb="FF000000"/>
      </bottom>
      <diagonal/>
    </border>
    <border>
      <left/>
      <right/>
      <top style="medium">
        <color rgb="FF000000"/>
      </top>
      <bottom/>
      <diagonal/>
    </border>
    <border>
      <left style="medium">
        <color rgb="FF000000"/>
      </left>
      <right/>
      <top style="thin">
        <color rgb="FFBFBFBF"/>
      </top>
      <bottom style="thin">
        <color rgb="FFA5A5A5"/>
      </bottom>
      <diagonal/>
    </border>
    <border>
      <left/>
      <right/>
      <top style="thin">
        <color rgb="FFBFBFBF"/>
      </top>
      <bottom style="thin">
        <color rgb="FFBFBFBF"/>
      </bottom>
      <diagonal/>
    </border>
    <border>
      <left/>
      <right/>
      <top style="thin">
        <color rgb="FFBFBFBF"/>
      </top>
      <bottom style="thin">
        <color rgb="FF000000"/>
      </bottom>
      <diagonal/>
    </border>
    <border>
      <left style="medium">
        <color rgb="FF000000"/>
      </left>
      <right/>
      <top/>
      <bottom style="thin">
        <color rgb="FFBFBFBF"/>
      </bottom>
      <diagonal/>
    </border>
    <border>
      <left style="medium">
        <color rgb="FF000000"/>
      </left>
      <right style="thin">
        <color rgb="FFBFBFBF"/>
      </right>
      <top style="thin">
        <color rgb="FFB7B7B7"/>
      </top>
      <bottom style="thin">
        <color rgb="FFBFBFBF"/>
      </bottom>
      <diagonal/>
    </border>
    <border>
      <left/>
      <right style="thin">
        <color rgb="FFA5A5A5"/>
      </right>
      <top/>
      <bottom style="thin">
        <color rgb="FFA5A5A5"/>
      </bottom>
      <diagonal/>
    </border>
    <border>
      <left style="thin">
        <color rgb="FFA5A5A5"/>
      </left>
      <right/>
      <top/>
      <bottom style="thin">
        <color rgb="FFA5A5A5"/>
      </bottom>
      <diagonal/>
    </border>
    <border>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top style="thin">
        <color rgb="FF000000"/>
      </top>
      <bottom/>
      <diagonal/>
    </border>
    <border>
      <left/>
      <right style="thin">
        <color rgb="FFA5A5A5"/>
      </right>
      <top/>
      <bottom style="thin">
        <color rgb="FF000000"/>
      </bottom>
      <diagonal/>
    </border>
    <border>
      <left style="thin">
        <color rgb="FFA5A5A5"/>
      </left>
      <right style="thin">
        <color rgb="FFA5A5A5"/>
      </right>
      <top/>
      <bottom style="thin">
        <color rgb="FF000000"/>
      </bottom>
      <diagonal/>
    </border>
    <border>
      <left/>
      <right style="medium">
        <color rgb="FF000000"/>
      </right>
      <top/>
      <bottom style="double">
        <color rgb="FF000000"/>
      </bottom>
      <diagonal/>
    </border>
    <border>
      <left/>
      <right/>
      <top style="double">
        <color rgb="FF000000"/>
      </top>
      <bottom style="thin">
        <color rgb="FFE36C09"/>
      </bottom>
      <diagonal/>
    </border>
    <border>
      <left/>
      <right/>
      <top style="thin">
        <color rgb="FFE36C09"/>
      </top>
      <bottom style="thin">
        <color rgb="FFE36C09"/>
      </bottom>
      <diagonal/>
    </border>
    <border>
      <left style="thin">
        <color rgb="FFA5A5A5"/>
      </left>
      <right style="thin">
        <color rgb="FFCCCCCC"/>
      </right>
      <top style="thin">
        <color rgb="FFA5A5A5"/>
      </top>
      <bottom/>
      <diagonal/>
    </border>
    <border>
      <left style="thin">
        <color rgb="FFCCCCCC"/>
      </left>
      <right style="medium">
        <color rgb="FF000000"/>
      </right>
      <top/>
      <bottom/>
      <diagonal/>
    </border>
    <border>
      <left style="thin">
        <color rgb="FFCCCCCC"/>
      </left>
      <right style="thin">
        <color rgb="FFCCCCCC"/>
      </right>
      <top/>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A5A5A5"/>
      </left>
      <right style="thin">
        <color rgb="FFCCCCCC"/>
      </right>
      <top/>
      <bottom/>
      <diagonal/>
    </border>
    <border>
      <left/>
      <right style="thin">
        <color rgb="FFCCCCCC"/>
      </right>
      <top style="thin">
        <color rgb="FFCCCCCC"/>
      </top>
      <bottom style="thin">
        <color rgb="FFCCCCCC"/>
      </bottom>
      <diagonal/>
    </border>
    <border>
      <left/>
      <right style="thin">
        <color rgb="FFCCCCCC"/>
      </right>
      <top/>
      <bottom style="thin">
        <color rgb="FF000000"/>
      </bottom>
      <diagonal/>
    </border>
    <border>
      <left style="thin">
        <color rgb="FFA5A5A5"/>
      </left>
      <right style="thin">
        <color rgb="FFCCCCCC"/>
      </right>
      <top/>
      <bottom style="thin">
        <color rgb="FF000000"/>
      </bottom>
      <diagonal/>
    </border>
    <border>
      <left style="thin">
        <color rgb="FFCCCCCC"/>
      </left>
      <right style="thin">
        <color rgb="FFCCCCCC"/>
      </right>
      <top/>
      <bottom style="thin">
        <color rgb="FF000000"/>
      </bottom>
      <diagonal/>
    </border>
    <border>
      <left style="thin">
        <color rgb="FFCCCCCC"/>
      </left>
      <right style="medium">
        <color rgb="FF000000"/>
      </right>
      <top/>
      <bottom style="thin">
        <color rgb="FF000000"/>
      </bottom>
      <diagonal/>
    </border>
    <border>
      <left/>
      <right style="thin">
        <color rgb="FFCCCCCC"/>
      </right>
      <top style="thin">
        <color rgb="FFCCCCCC"/>
      </top>
      <bottom style="thin">
        <color rgb="FF000000"/>
      </bottom>
      <diagonal/>
    </border>
    <border>
      <left/>
      <right style="thin">
        <color rgb="FFCCCCCC"/>
      </right>
      <top/>
      <bottom/>
      <diagonal/>
    </border>
    <border>
      <left style="thin">
        <color rgb="FFCCCCCC"/>
      </left>
      <right style="thin">
        <color rgb="FFCCCCCC"/>
      </right>
      <top style="thin">
        <color rgb="FFA5A5A5"/>
      </top>
      <bottom/>
      <diagonal/>
    </border>
    <border>
      <left style="thin">
        <color rgb="FFCCCCCC"/>
      </left>
      <right style="medium">
        <color rgb="FF000000"/>
      </right>
      <top style="thin">
        <color rgb="FF000000"/>
      </top>
      <bottom/>
      <diagonal/>
    </border>
    <border>
      <left style="thin">
        <color rgb="FFCCCCCC"/>
      </left>
      <right style="thin">
        <color rgb="FFCCCCCC"/>
      </right>
      <top style="thin">
        <color rgb="FF000000"/>
      </top>
      <bottom/>
      <diagonal/>
    </border>
    <border>
      <left/>
      <right style="thin">
        <color rgb="FFCCCCCC"/>
      </right>
      <top style="thin">
        <color rgb="FF000000"/>
      </top>
      <bottom style="thin">
        <color rgb="FFCCCCCC"/>
      </bottom>
      <diagonal/>
    </border>
    <border>
      <left style="thin">
        <color rgb="FFA5A5A5"/>
      </left>
      <right/>
      <top/>
      <bottom/>
      <diagonal/>
    </border>
    <border>
      <left style="thin">
        <color rgb="FFA5A5A5"/>
      </left>
      <right/>
      <top/>
      <bottom style="thin">
        <color rgb="FF000000"/>
      </bottom>
      <diagonal/>
    </border>
    <border>
      <left/>
      <right style="thin">
        <color rgb="FFCCCCCC"/>
      </right>
      <top style="thin">
        <color rgb="FF000000"/>
      </top>
      <bottom/>
      <diagonal/>
    </border>
    <border>
      <left/>
      <right style="thin">
        <color rgb="FFCCCCCC"/>
      </right>
      <top style="thin">
        <color rgb="FFA5A5A5"/>
      </top>
      <bottom/>
      <diagonal/>
    </border>
    <border>
      <left style="thin">
        <color rgb="FFCCCCCC"/>
      </left>
      <right/>
      <top/>
      <bottom/>
      <diagonal/>
    </border>
    <border>
      <left style="thin">
        <color rgb="FFCCCCCC"/>
      </left>
      <right/>
      <top/>
      <bottom style="thin">
        <color rgb="FF000000"/>
      </bottom>
      <diagonal/>
    </border>
    <border>
      <left/>
      <right style="thin">
        <color rgb="FFCCCCCC"/>
      </right>
      <top style="thin">
        <color rgb="FFCCCCCC"/>
      </top>
      <bottom/>
      <diagonal/>
    </border>
    <border>
      <left style="thin">
        <color rgb="FFD9D9D9"/>
      </left>
      <right style="medium">
        <color rgb="FF000000"/>
      </right>
      <top style="thin">
        <color rgb="FF000000"/>
      </top>
      <bottom/>
      <diagonal/>
    </border>
    <border>
      <left style="thin">
        <color rgb="FFD9D9D9"/>
      </left>
      <right style="thin">
        <color rgb="FFD9D9D9"/>
      </right>
      <top style="thin">
        <color rgb="FF000000"/>
      </top>
      <bottom/>
      <diagonal/>
    </border>
    <border>
      <left/>
      <right style="thin">
        <color rgb="FFD9D9D9"/>
      </right>
      <top style="thin">
        <color rgb="FF000000"/>
      </top>
      <bottom/>
      <diagonal/>
    </border>
    <border>
      <left/>
      <right style="thin">
        <color rgb="FFD9D9D9"/>
      </right>
      <top style="thin">
        <color rgb="FF000000"/>
      </top>
      <bottom style="thin">
        <color rgb="FFD9D9D9"/>
      </bottom>
      <diagonal/>
    </border>
    <border>
      <left style="thin">
        <color rgb="FFD9D9D9"/>
      </left>
      <right style="thin">
        <color rgb="FFD9D9D9"/>
      </right>
      <top style="thin">
        <color rgb="FF000000"/>
      </top>
      <bottom style="thin">
        <color rgb="FFD9D9D9"/>
      </bottom>
      <diagonal/>
    </border>
    <border>
      <left style="thin">
        <color rgb="FFD9D9D9"/>
      </left>
      <right style="double">
        <color rgb="FF000000"/>
      </right>
      <top style="thin">
        <color rgb="FF000000"/>
      </top>
      <bottom/>
      <diagonal/>
    </border>
    <border>
      <left style="thin">
        <color rgb="FFD9D9D9"/>
      </left>
      <right style="medium">
        <color rgb="FF000000"/>
      </right>
      <top/>
      <bottom/>
      <diagonal/>
    </border>
    <border>
      <left style="thin">
        <color rgb="FFD9D9D9"/>
      </left>
      <right style="thin">
        <color rgb="FFD9D9D9"/>
      </right>
      <top/>
      <bottom/>
      <diagonal/>
    </border>
    <border>
      <left/>
      <right style="thin">
        <color rgb="FFD9D9D9"/>
      </right>
      <top/>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double">
        <color rgb="FF000000"/>
      </right>
      <top/>
      <bottom/>
      <diagonal/>
    </border>
    <border>
      <left style="thin">
        <color rgb="FFD9D9D9"/>
      </left>
      <right style="medium">
        <color rgb="FF000000"/>
      </right>
      <top/>
      <bottom style="thin">
        <color rgb="FF000000"/>
      </bottom>
      <diagonal/>
    </border>
    <border>
      <left style="thin">
        <color rgb="FFD9D9D9"/>
      </left>
      <right style="thin">
        <color rgb="FFD9D9D9"/>
      </right>
      <top/>
      <bottom style="thin">
        <color rgb="FF000000"/>
      </bottom>
      <diagonal/>
    </border>
    <border>
      <left/>
      <right style="thin">
        <color rgb="FFD9D9D9"/>
      </right>
      <top/>
      <bottom style="thin">
        <color rgb="FF000000"/>
      </bottom>
      <diagonal/>
    </border>
    <border>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double">
        <color rgb="FF000000"/>
      </right>
      <top/>
      <bottom style="thin">
        <color rgb="FF000000"/>
      </bottom>
      <diagonal/>
    </border>
    <border>
      <left style="thin">
        <color rgb="FFBFBFBF"/>
      </left>
      <right style="thin">
        <color rgb="FFD9D9D9"/>
      </right>
      <top style="thin">
        <color rgb="FF000000"/>
      </top>
      <bottom/>
      <diagonal/>
    </border>
    <border>
      <left/>
      <right style="thin">
        <color rgb="FFBFBFBF"/>
      </right>
      <top style="thin">
        <color rgb="FF000000"/>
      </top>
      <bottom style="thin">
        <color rgb="FFBFBFBF"/>
      </bottom>
      <diagonal/>
    </border>
    <border>
      <left style="thin">
        <color rgb="FFBFBFBF"/>
      </left>
      <right style="thin">
        <color rgb="FFD9D9D9"/>
      </right>
      <top/>
      <bottom/>
      <diagonal/>
    </border>
    <border>
      <left/>
      <right style="thin">
        <color rgb="FFBFBFBF"/>
      </right>
      <top style="thin">
        <color rgb="FFBFBFBF"/>
      </top>
      <bottom style="thin">
        <color rgb="FFBFBFBF"/>
      </bottom>
      <diagonal/>
    </border>
    <border>
      <left style="thin">
        <color rgb="FFBFBFBF"/>
      </left>
      <right style="thin">
        <color rgb="FFD9D9D9"/>
      </right>
      <top/>
      <bottom style="thin">
        <color rgb="FF000000"/>
      </bottom>
      <diagonal/>
    </border>
    <border>
      <left/>
      <right style="thin">
        <color rgb="FFBFBFBF"/>
      </right>
      <top style="thin">
        <color rgb="FFBFBFBF"/>
      </top>
      <bottom style="thin">
        <color rgb="FF000000"/>
      </bottom>
      <diagonal/>
    </border>
    <border>
      <left/>
      <right style="double">
        <color rgb="FF000000"/>
      </right>
      <top/>
      <bottom style="medium">
        <color rgb="FF000000"/>
      </bottom>
      <diagonal/>
    </border>
    <border>
      <left/>
      <right style="thin">
        <color rgb="FFCCCCCC"/>
      </right>
      <top style="medium">
        <color rgb="FF000000"/>
      </top>
      <bottom/>
      <diagonal/>
    </border>
    <border>
      <left style="thin">
        <color rgb="FFCCCCCC"/>
      </left>
      <right/>
      <top style="medium">
        <color rgb="FF000000"/>
      </top>
      <bottom/>
      <diagonal/>
    </border>
    <border>
      <left/>
      <right style="double">
        <color rgb="FF000000"/>
      </right>
      <top style="medium">
        <color rgb="FF000000"/>
      </top>
      <bottom/>
      <diagonal/>
    </border>
    <border>
      <left style="medium">
        <color rgb="FF000000"/>
      </left>
      <right style="thin">
        <color rgb="FFCCCCCC"/>
      </right>
      <top/>
      <bottom style="thin">
        <color rgb="FFCCCCCC"/>
      </bottom>
      <diagonal/>
    </border>
    <border>
      <left style="thin">
        <color rgb="FFCCCCCC"/>
      </left>
      <right/>
      <top style="thin">
        <color rgb="FF000000"/>
      </top>
      <bottom/>
      <diagonal/>
    </border>
    <border>
      <left style="thin">
        <color rgb="FFCCCCCC"/>
      </left>
      <right/>
      <top style="thin">
        <color rgb="FFCCCCCC"/>
      </top>
      <bottom style="thin">
        <color rgb="FFCCCCCC"/>
      </bottom>
      <diagonal/>
    </border>
    <border>
      <left style="medium">
        <color rgb="FF000000"/>
      </left>
      <right style="thin">
        <color rgb="FFCCCCCC"/>
      </right>
      <top/>
      <bottom style="thin">
        <color rgb="FF000000"/>
      </bottom>
      <diagonal/>
    </border>
    <border>
      <left style="medium">
        <color rgb="FF000000"/>
      </left>
      <right style="thin">
        <color rgb="FFCCCCCC"/>
      </right>
      <top style="thin">
        <color rgb="FFCCCCCC"/>
      </top>
      <bottom/>
      <diagonal/>
    </border>
    <border>
      <left style="thin">
        <color rgb="FFCCCCCC"/>
      </left>
      <right/>
      <top/>
      <bottom style="thin">
        <color rgb="FFCCCCCC"/>
      </bottom>
      <diagonal/>
    </border>
    <border>
      <left/>
      <right style="double">
        <color rgb="FF000000"/>
      </right>
      <top/>
      <bottom/>
      <diagonal/>
    </border>
    <border>
      <left style="thin">
        <color rgb="FFE36C09"/>
      </left>
      <right/>
      <top/>
      <bottom style="double">
        <color rgb="FF000000"/>
      </bottom>
      <diagonal/>
    </border>
    <border>
      <left/>
      <right style="double">
        <color rgb="FF000000"/>
      </right>
      <top/>
      <bottom style="double">
        <color rgb="FF000000"/>
      </bottom>
      <diagonal/>
    </border>
    <border>
      <left/>
      <right style="thin">
        <color rgb="FFBFBFBF"/>
      </right>
      <top/>
      <bottom style="thin">
        <color rgb="FFBFBFBF"/>
      </bottom>
      <diagonal/>
    </border>
    <border>
      <left style="thin">
        <color rgb="FFB7B7B7"/>
      </left>
      <right style="thin">
        <color rgb="FFBFBFBF"/>
      </right>
      <top/>
      <bottom style="thin">
        <color rgb="FFBFBFBF"/>
      </bottom>
      <diagonal/>
    </border>
    <border>
      <left style="thin">
        <color rgb="FFBFBFBF"/>
      </left>
      <right style="thin">
        <color rgb="FFB7B7B7"/>
      </right>
      <top style="thin">
        <color rgb="FF000000"/>
      </top>
      <bottom/>
      <diagonal/>
    </border>
    <border>
      <left style="thin">
        <color rgb="FFBFBFBF"/>
      </left>
      <right style="thin">
        <color rgb="FFB7B7B7"/>
      </right>
      <top/>
      <bottom/>
      <diagonal/>
    </border>
    <border>
      <left style="thin">
        <color rgb="FFBFBFBF"/>
      </left>
      <right style="thin">
        <color rgb="FFB7B7B7"/>
      </right>
      <top/>
      <bottom style="thin">
        <color rgb="FF000000"/>
      </bottom>
      <diagonal/>
    </border>
    <border>
      <left style="thin">
        <color rgb="FF000000"/>
      </left>
      <right/>
      <top style="medium">
        <color rgb="FF000000"/>
      </top>
      <bottom/>
      <diagonal/>
    </border>
    <border>
      <left/>
      <right style="thin">
        <color rgb="FFB7B7B7"/>
      </right>
      <top style="medium">
        <color rgb="FF000000"/>
      </top>
      <bottom/>
      <diagonal/>
    </border>
    <border>
      <left style="thin">
        <color rgb="FFB7B7B7"/>
      </left>
      <right style="thin">
        <color rgb="FFBFBFBF"/>
      </right>
      <top style="medium">
        <color rgb="FF000000"/>
      </top>
      <bottom/>
      <diagonal/>
    </border>
    <border>
      <left/>
      <right style="thin">
        <color rgb="FFB7B7B7"/>
      </right>
      <top style="thin">
        <color rgb="FF000000"/>
      </top>
      <bottom/>
      <diagonal/>
    </border>
    <border>
      <left/>
      <right style="thin">
        <color rgb="FFB7B7B7"/>
      </right>
      <top/>
      <bottom/>
      <diagonal/>
    </border>
    <border>
      <left/>
      <right style="thin">
        <color rgb="FFB7B7B7"/>
      </right>
      <top/>
      <bottom style="thin">
        <color rgb="FF000000"/>
      </bottom>
      <diagonal/>
    </border>
    <border>
      <left style="thin">
        <color rgb="FF000000"/>
      </left>
      <right style="thin">
        <color rgb="FFB7B7B7"/>
      </right>
      <top style="thin">
        <color rgb="FF000000"/>
      </top>
      <bottom style="thin">
        <color rgb="FF000000"/>
      </bottom>
      <diagonal/>
    </border>
    <border>
      <left style="thin">
        <color rgb="FFB7B7B7"/>
      </left>
      <right style="thin">
        <color rgb="FFB7B7B7"/>
      </right>
      <top style="thin">
        <color rgb="FF000000"/>
      </top>
      <bottom style="thin">
        <color rgb="FF000000"/>
      </bottom>
      <diagonal/>
    </border>
    <border>
      <left style="thin">
        <color rgb="FFB7B7B7"/>
      </left>
      <right style="double">
        <color rgb="FF000000"/>
      </right>
      <top style="thin">
        <color rgb="FF000000"/>
      </top>
      <bottom style="thin">
        <color rgb="FF000000"/>
      </bottom>
      <diagonal/>
    </border>
    <border>
      <left/>
      <right/>
      <top/>
      <bottom style="double">
        <color rgb="FF000000"/>
      </bottom>
      <diagonal/>
    </border>
    <border>
      <left/>
      <right style="thin">
        <color theme="1"/>
      </right>
      <top style="medium">
        <color rgb="FF000000"/>
      </top>
      <bottom/>
      <diagonal/>
    </border>
    <border>
      <left style="thin">
        <color rgb="FFB7B7B7"/>
      </left>
      <right style="thin">
        <color rgb="FFB7B7B7"/>
      </right>
      <top/>
      <bottom style="thin">
        <color rgb="FFB7B7B7"/>
      </bottom>
      <diagonal/>
    </border>
    <border>
      <left style="thin">
        <color rgb="FFB7B7B7"/>
      </left>
      <right style="thin">
        <color rgb="FFBFBFBF"/>
      </right>
      <top/>
      <bottom style="thin">
        <color rgb="FFB7B7B7"/>
      </bottom>
      <diagonal/>
    </border>
    <border>
      <left style="thin">
        <color rgb="FFB7B7B7"/>
      </left>
      <right style="thin">
        <color rgb="FFBFBFBF"/>
      </right>
      <top style="thin">
        <color rgb="FFB7B7B7"/>
      </top>
      <bottom style="thin">
        <color rgb="FFB7B7B7"/>
      </bottom>
      <diagonal/>
    </border>
    <border>
      <left style="thin">
        <color rgb="FFB7B7B7"/>
      </left>
      <right style="thin">
        <color rgb="FFBFBFBF"/>
      </right>
      <top style="thin">
        <color rgb="FFB7B7B7"/>
      </top>
      <bottom style="thin">
        <color rgb="FF000000"/>
      </bottom>
      <diagonal/>
    </border>
    <border>
      <left/>
      <right style="thin">
        <color rgb="FFB7B7B7"/>
      </right>
      <top/>
      <bottom style="thin">
        <color rgb="FFB7B7B7"/>
      </bottom>
      <diagonal/>
    </border>
    <border>
      <left/>
      <right style="thin">
        <color rgb="FFB7B7B7"/>
      </right>
      <top style="thin">
        <color rgb="FFB7B7B7"/>
      </top>
      <bottom style="thin">
        <color rgb="FFBFBFBF"/>
      </bottom>
      <diagonal/>
    </border>
    <border>
      <left style="thin">
        <color rgb="FFB7B7B7"/>
      </left>
      <right style="thin">
        <color rgb="FFB7B7B7"/>
      </right>
      <top style="thin">
        <color rgb="FFB7B7B7"/>
      </top>
      <bottom style="thin">
        <color rgb="FFBFBFBF"/>
      </bottom>
      <diagonal/>
    </border>
    <border>
      <left style="thin">
        <color rgb="FFB7B7B7"/>
      </left>
      <right style="thin">
        <color rgb="FFBFBFBF"/>
      </right>
      <top style="thin">
        <color rgb="FFB7B7B7"/>
      </top>
      <bottom style="thin">
        <color rgb="FFBFBFBF"/>
      </bottom>
      <diagonal/>
    </border>
    <border>
      <left/>
      <right style="thin">
        <color theme="1"/>
      </right>
      <top/>
      <bottom style="thin">
        <color rgb="FF000000"/>
      </bottom>
      <diagonal/>
    </border>
    <border>
      <left/>
      <right style="thin">
        <color theme="1"/>
      </right>
      <top style="thin">
        <color rgb="FF000000"/>
      </top>
      <bottom/>
      <diagonal/>
    </border>
    <border>
      <left style="thin">
        <color rgb="FFB7B7B7"/>
      </left>
      <right style="thin">
        <color rgb="FFB7B7B7"/>
      </right>
      <top style="thin">
        <color rgb="FFBFBFBF"/>
      </top>
      <bottom style="thin">
        <color rgb="FFB7B7B7"/>
      </bottom>
      <diagonal/>
    </border>
    <border>
      <left/>
      <right style="thin">
        <color theme="1"/>
      </right>
      <top/>
      <bottom/>
      <diagonal/>
    </border>
    <border>
      <left style="double">
        <color rgb="FF000000"/>
      </left>
      <right/>
      <top/>
      <bottom style="double">
        <color rgb="FF000000"/>
      </bottom>
      <diagonal/>
    </border>
    <border>
      <left style="thin">
        <color rgb="FFBFBFBF"/>
      </left>
      <right/>
      <top style="medium">
        <color rgb="FF000000"/>
      </top>
      <bottom/>
      <diagonal/>
    </border>
    <border>
      <left style="thin">
        <color rgb="FFBFBFBF"/>
      </left>
      <right/>
      <top/>
      <bottom style="medium">
        <color rgb="FF000000"/>
      </bottom>
      <diagonal/>
    </border>
    <border>
      <left/>
      <right/>
      <top/>
      <bottom/>
      <diagonal/>
    </border>
    <border>
      <left/>
      <right/>
      <top/>
      <bottom style="thin">
        <color rgb="FF000000"/>
      </bottom>
      <diagonal/>
    </border>
    <border>
      <left style="thin">
        <color rgb="FFE36C09"/>
      </left>
      <right style="thin">
        <color rgb="FFE36C09"/>
      </right>
      <top/>
      <bottom/>
      <diagonal/>
    </border>
    <border>
      <left style="thin">
        <color rgb="FFE36C09"/>
      </left>
      <right/>
      <top/>
      <bottom/>
      <diagonal/>
    </border>
    <border>
      <left/>
      <right style="thin">
        <color rgb="FFB7B7B7"/>
      </right>
      <top style="medium">
        <color rgb="FF000000"/>
      </top>
      <bottom style="thin">
        <color rgb="FFB7B7B7"/>
      </bottom>
      <diagonal/>
    </border>
    <border>
      <left/>
      <right style="thin">
        <color rgb="FFB7B7B7"/>
      </right>
      <top style="thin">
        <color rgb="FF000000"/>
      </top>
      <bottom style="thin">
        <color rgb="FFB7B7B7"/>
      </bottom>
      <diagonal/>
    </border>
    <border>
      <left/>
      <right/>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right style="thin">
        <color rgb="FF000000"/>
      </right>
      <top/>
      <bottom style="double">
        <color rgb="FF000000"/>
      </bottom>
      <diagonal/>
    </border>
    <border>
      <left style="thin">
        <color rgb="FF000000"/>
      </left>
      <right style="double">
        <color rgb="FF000000"/>
      </right>
      <top/>
      <bottom style="double">
        <color rgb="FF000000"/>
      </bottom>
      <diagonal/>
    </border>
    <border>
      <left/>
      <right style="thin">
        <color rgb="FF000000"/>
      </right>
      <top style="medium">
        <color rgb="FF000000"/>
      </top>
      <bottom/>
      <diagonal/>
    </border>
    <border>
      <left style="double">
        <color rgb="FF000000"/>
      </left>
      <right/>
      <top style="thin">
        <color rgb="FF000000"/>
      </top>
      <bottom style="thin">
        <color rgb="FF000000"/>
      </bottom>
      <diagonal/>
    </border>
    <border>
      <left/>
      <right/>
      <top style="double">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bottom style="medium">
        <color rgb="FF000000"/>
      </bottom>
      <diagonal/>
    </border>
    <border>
      <left/>
      <right style="thin">
        <color rgb="FFBFBFBF"/>
      </right>
      <top/>
      <bottom/>
      <diagonal/>
    </border>
    <border>
      <left style="thin">
        <color rgb="FFBFBFBF"/>
      </left>
      <right style="medium">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BFBFBF"/>
      </left>
      <right style="medium">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BFBFBF"/>
      </left>
      <right/>
      <top style="thin">
        <color rgb="FF000000"/>
      </top>
      <bottom/>
      <diagonal/>
    </border>
    <border>
      <left style="thin">
        <color rgb="FFBFBFBF"/>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BFBFBF"/>
      </left>
      <right style="medium">
        <color rgb="FF000000"/>
      </right>
      <top/>
      <bottom style="thin">
        <color rgb="FF000000"/>
      </bottom>
      <diagonal/>
    </border>
    <border>
      <left style="thin">
        <color rgb="FFBFBFBF"/>
      </left>
      <right style="thin">
        <color rgb="FFBFBFBF"/>
      </right>
      <top style="medium">
        <color rgb="FF000000"/>
      </top>
      <bottom/>
      <diagonal/>
    </border>
    <border>
      <left style="double">
        <color rgb="FF000000"/>
      </left>
      <right style="thin">
        <color theme="1"/>
      </right>
      <top/>
      <bottom/>
      <diagonal/>
    </border>
    <border>
      <left/>
      <right style="thin">
        <color rgb="FFBFBFBF"/>
      </right>
      <top style="medium">
        <color rgb="FF000000"/>
      </top>
      <bottom/>
      <diagonal/>
    </border>
    <border>
      <left/>
      <right style="thin">
        <color rgb="FFBFBFBF"/>
      </right>
      <top style="thin">
        <color rgb="FFBFBFBF"/>
      </top>
      <bottom/>
      <diagonal/>
    </border>
    <border>
      <left style="thin">
        <color rgb="FFBFBFBF"/>
      </left>
      <right style="medium">
        <color rgb="FF000000"/>
      </right>
      <top style="thin">
        <color rgb="FFBFBFBF"/>
      </top>
      <bottom/>
      <diagonal/>
    </border>
    <border>
      <left style="double">
        <color rgb="FF000000"/>
      </left>
      <right/>
      <top/>
      <bottom/>
      <diagonal/>
    </border>
    <border>
      <left/>
      <right/>
      <top/>
      <bottom style="thin">
        <color rgb="FFBFBFBF"/>
      </bottom>
      <diagonal/>
    </border>
    <border>
      <left style="thin">
        <color rgb="FFBFBFBF"/>
      </left>
      <right/>
      <top/>
      <bottom style="thin">
        <color rgb="FFBFBFBF"/>
      </bottom>
      <diagonal/>
    </border>
    <border>
      <left style="thin">
        <color rgb="FFBFBFBF"/>
      </left>
      <right/>
      <top style="thin">
        <color rgb="FF000000"/>
      </top>
      <bottom style="thin">
        <color rgb="FFBFBFBF"/>
      </bottom>
      <diagonal/>
    </border>
    <border>
      <left/>
      <right style="thin">
        <color rgb="FFBFBFBF"/>
      </right>
      <top/>
      <bottom style="thin">
        <color rgb="FF000000"/>
      </bottom>
      <diagonal/>
    </border>
    <border>
      <left style="thin">
        <color rgb="FFCCCCCC"/>
      </left>
      <right style="thin">
        <color rgb="FFCCCCCC"/>
      </right>
      <top style="medium">
        <color rgb="FF000000"/>
      </top>
      <bottom style="thin">
        <color rgb="FFCCCCCC"/>
      </bottom>
      <diagonal/>
    </border>
    <border>
      <left style="medium">
        <color rgb="FF000000"/>
      </left>
      <right style="thin">
        <color rgb="FFB7B7B7"/>
      </right>
      <top/>
      <bottom style="thin">
        <color rgb="FF000000"/>
      </bottom>
      <diagonal/>
    </border>
    <border>
      <left style="thin">
        <color rgb="FFB7B7B7"/>
      </left>
      <right style="thin">
        <color rgb="FFB7B7B7"/>
      </right>
      <top style="thin">
        <color rgb="FF000000"/>
      </top>
      <bottom/>
      <diagonal/>
    </border>
    <border>
      <left style="thin">
        <color rgb="FFB7B7B7"/>
      </left>
      <right/>
      <top style="thin">
        <color rgb="FF000000"/>
      </top>
      <bottom style="thin">
        <color rgb="FF000000"/>
      </bottom>
      <diagonal/>
    </border>
    <border>
      <left/>
      <right/>
      <top style="thin">
        <color rgb="FFCCCCCC"/>
      </top>
      <bottom style="thin">
        <color rgb="FFCCCCCC"/>
      </bottom>
      <diagonal/>
    </border>
    <border>
      <left/>
      <right/>
      <top/>
      <bottom style="thin">
        <color rgb="FFCCCCCC"/>
      </bottom>
      <diagonal/>
    </border>
    <border>
      <left style="thin">
        <color rgb="FFB7B7B7"/>
      </left>
      <right style="thin">
        <color rgb="FFB7B7B7"/>
      </right>
      <top style="medium">
        <color rgb="FF000000"/>
      </top>
      <bottom/>
      <diagonal/>
    </border>
    <border>
      <left style="thin">
        <color rgb="FFB7B7B7"/>
      </left>
      <right/>
      <top style="medium">
        <color rgb="FF000000"/>
      </top>
      <bottom/>
      <diagonal/>
    </border>
    <border>
      <left style="thin">
        <color rgb="FFE36C09"/>
      </left>
      <right/>
      <top style="thin">
        <color rgb="FFE36C09"/>
      </top>
      <bottom/>
      <diagonal/>
    </border>
    <border>
      <left style="double">
        <color indexed="64"/>
      </left>
      <right/>
      <top style="double">
        <color indexed="64"/>
      </top>
      <bottom/>
      <diagonal/>
    </border>
    <border>
      <left style="double">
        <color indexed="64"/>
      </left>
      <right/>
      <top/>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medium">
        <color indexed="64"/>
      </right>
      <top style="medium">
        <color indexed="64"/>
      </top>
      <bottom style="thin">
        <color indexed="64"/>
      </bottom>
      <diagonal/>
    </border>
    <border>
      <left style="medium">
        <color indexed="64"/>
      </left>
      <right style="thin">
        <color theme="0" tint="-0.24994659260841701"/>
      </right>
      <top style="medium">
        <color indexed="64"/>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medium">
        <color indexed="64"/>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top/>
      <bottom style="medium">
        <color indexed="64"/>
      </bottom>
      <diagonal/>
    </border>
    <border>
      <left style="medium">
        <color indexed="64"/>
      </left>
      <right/>
      <top/>
      <bottom style="medium">
        <color indexed="64"/>
      </bottom>
      <diagonal/>
    </border>
    <border>
      <left style="thin">
        <color theme="9" tint="-0.24994659260841701"/>
      </left>
      <right style="thin">
        <color theme="9" tint="-0.24994659260841701"/>
      </right>
      <top/>
      <bottom style="medium">
        <color indexed="64"/>
      </bottom>
      <diagonal/>
    </border>
    <border>
      <left style="thin">
        <color theme="9" tint="-0.24994659260841701"/>
      </left>
      <right/>
      <top/>
      <bottom style="medium">
        <color indexed="64"/>
      </bottom>
      <diagonal/>
    </border>
    <border>
      <left style="thin">
        <color theme="1"/>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top style="thin">
        <color indexed="64"/>
      </top>
      <bottom/>
      <diagonal/>
    </border>
    <border>
      <left style="thin">
        <color theme="0" tint="-0.24994659260841701"/>
      </left>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thin">
        <color theme="1"/>
      </left>
      <right style="thin">
        <color theme="0" tint="-0.24994659260841701"/>
      </right>
      <top/>
      <bottom/>
      <diagonal/>
    </border>
    <border>
      <left style="thin">
        <color theme="0" tint="-0.24994659260841701"/>
      </left>
      <right/>
      <top/>
      <bottom/>
      <diagonal/>
    </border>
    <border>
      <left style="thin">
        <color theme="1"/>
      </left>
      <right style="thin">
        <color theme="0" tint="-0.24994659260841701"/>
      </right>
      <top/>
      <bottom style="thin">
        <color indexed="64"/>
      </bottom>
      <diagonal/>
    </border>
    <border>
      <left style="thin">
        <color theme="0" tint="-0.24994659260841701"/>
      </left>
      <right/>
      <top/>
      <bottom style="thin">
        <color indexed="64"/>
      </bottom>
      <diagonal/>
    </border>
    <border>
      <left style="thin">
        <color theme="0" tint="-0.24994659260841701"/>
      </left>
      <right style="thin">
        <color theme="0" tint="-0.24994659260841701"/>
      </right>
      <top/>
      <bottom style="thin">
        <color rgb="FF000000"/>
      </bottom>
      <diagonal/>
    </border>
    <border>
      <left style="thin">
        <color theme="0" tint="-0.24994659260841701"/>
      </left>
      <right style="thin">
        <color theme="0" tint="-0.24994659260841701"/>
      </right>
      <top style="thin">
        <color rgb="FF000000"/>
      </top>
      <bottom/>
      <diagonal/>
    </border>
    <border>
      <left style="thin">
        <color theme="1"/>
      </left>
      <right style="thin">
        <color theme="0" tint="-0.24994659260841701"/>
      </right>
      <top style="thin">
        <color indexed="64"/>
      </top>
      <bottom/>
      <diagonal/>
    </border>
    <border>
      <left/>
      <right/>
      <top/>
      <bottom style="thin">
        <color indexed="64"/>
      </bottom>
      <diagonal/>
    </border>
    <border>
      <left style="thin">
        <color theme="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rgb="FFBFBFBF"/>
      </right>
      <top style="medium">
        <color rgb="FF000000"/>
      </top>
      <bottom style="thin">
        <color rgb="FFBFBFBF"/>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medium">
        <color indexed="64"/>
      </left>
      <right style="thin">
        <color rgb="FFBFBFBF"/>
      </right>
      <top/>
      <bottom style="thin">
        <color rgb="FFBFBFBF"/>
      </bottom>
      <diagonal/>
    </border>
    <border>
      <left style="thin">
        <color theme="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medium">
        <color indexed="64"/>
      </left>
      <right style="thin">
        <color rgb="FFBFBFBF"/>
      </right>
      <top style="thin">
        <color rgb="FFBFBFBF"/>
      </top>
      <bottom style="thin">
        <color rgb="FF000000"/>
      </bottom>
      <diagonal/>
    </border>
    <border>
      <left style="thin">
        <color theme="1"/>
      </left>
      <right style="thin">
        <color theme="0" tint="-0.24994659260841701"/>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thin">
        <color theme="1"/>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theme="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rgb="FFBFBFBF"/>
      </right>
      <top style="thin">
        <color rgb="FF000000"/>
      </top>
      <bottom style="thin">
        <color rgb="FFBFBFBF"/>
      </bottom>
      <diagonal/>
    </border>
    <border>
      <left style="thin">
        <color theme="1"/>
      </left>
      <right style="thin">
        <color theme="0" tint="-0.24994659260841701"/>
      </right>
      <top style="thin">
        <color theme="0" tint="-0.24994659260841701"/>
      </top>
      <bottom style="thin">
        <color rgb="FF000000"/>
      </bottom>
      <diagonal/>
    </border>
    <border>
      <left style="thin">
        <color theme="0" tint="-0.24994659260841701"/>
      </left>
      <right style="thin">
        <color theme="0" tint="-0.24994659260841701"/>
      </right>
      <top style="thin">
        <color theme="0" tint="-0.24994659260841701"/>
      </top>
      <bottom style="thin">
        <color rgb="FF000000"/>
      </bottom>
      <diagonal/>
    </border>
    <border>
      <left style="thin">
        <color theme="0" tint="-0.24994659260841701"/>
      </left>
      <right style="medium">
        <color indexed="64"/>
      </right>
      <top style="thin">
        <color theme="0" tint="-0.24994659260841701"/>
      </top>
      <bottom style="thin">
        <color rgb="FF000000"/>
      </bottom>
      <diagonal/>
    </border>
    <border>
      <left style="medium">
        <color indexed="64"/>
      </left>
      <right/>
      <top/>
      <bottom style="medium">
        <color rgb="FF000000"/>
      </bottom>
      <diagonal/>
    </border>
    <border>
      <left style="thin">
        <color theme="1"/>
      </left>
      <right/>
      <top style="thin">
        <color indexed="64"/>
      </top>
      <bottom/>
      <diagonal/>
    </border>
    <border>
      <left/>
      <right style="medium">
        <color indexed="64"/>
      </right>
      <top style="thin">
        <color indexed="64"/>
      </top>
      <bottom/>
      <diagonal/>
    </border>
    <border>
      <left style="thin">
        <color theme="1"/>
      </left>
      <right/>
      <top/>
      <bottom/>
      <diagonal/>
    </border>
    <border>
      <left/>
      <right style="medium">
        <color indexed="64"/>
      </right>
      <top/>
      <bottom/>
      <diagonal/>
    </border>
    <border>
      <left style="thin">
        <color theme="1"/>
      </left>
      <right/>
      <top/>
      <bottom style="thin">
        <color indexed="64"/>
      </bottom>
      <diagonal/>
    </border>
    <border>
      <left/>
      <right style="medium">
        <color indexed="64"/>
      </right>
      <top/>
      <bottom style="thin">
        <color indexed="64"/>
      </bottom>
      <diagonal/>
    </border>
    <border>
      <left style="thin">
        <color theme="0" tint="-0.24994659260841701"/>
      </left>
      <right style="medium">
        <color indexed="64"/>
      </right>
      <top style="thin">
        <color indexed="64"/>
      </top>
      <bottom/>
      <diagonal/>
    </border>
    <border>
      <left style="thin">
        <color theme="0" tint="-0.24994659260841701"/>
      </left>
      <right style="medium">
        <color indexed="64"/>
      </right>
      <top/>
      <bottom/>
      <diagonal/>
    </border>
    <border>
      <left style="thin">
        <color theme="0" tint="-0.24994659260841701"/>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9" tint="-0.24994659260841701"/>
      </left>
      <right/>
      <top style="thin">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otted">
        <color theme="0" tint="-0.24994659260841701"/>
      </top>
      <bottom/>
      <diagonal/>
    </border>
    <border>
      <left/>
      <right/>
      <top style="dotted">
        <color theme="0" tint="-0.24994659260841701"/>
      </top>
      <bottom style="dotted">
        <color theme="0" tint="-0.24994659260841701"/>
      </bottom>
      <diagonal/>
    </border>
    <border>
      <left style="thin">
        <color rgb="FFBFBFBF"/>
      </left>
      <right style="thin">
        <color rgb="FFBFBFBF"/>
      </right>
      <top/>
      <bottom style="thin">
        <color indexed="64"/>
      </bottom>
      <diagonal/>
    </border>
    <border>
      <left style="thin">
        <color rgb="FFBFBFBF"/>
      </left>
      <right style="thin">
        <color rgb="FFBFBFBF"/>
      </right>
      <top style="thin">
        <color rgb="FFBFBFBF"/>
      </top>
      <bottom style="thin">
        <color indexed="64"/>
      </bottom>
      <diagonal/>
    </border>
    <border>
      <left/>
      <right style="thin">
        <color rgb="FFA5A5A5"/>
      </right>
      <top style="thin">
        <color rgb="FFA5A5A5"/>
      </top>
      <bottom/>
      <diagonal/>
    </border>
    <border>
      <left style="thin">
        <color rgb="FFA5A5A5"/>
      </left>
      <right style="thin">
        <color rgb="FFA5A5A5"/>
      </right>
      <top style="thin">
        <color rgb="FFA5A5A5"/>
      </top>
      <bottom style="thin">
        <color rgb="FFBFBFBF"/>
      </bottom>
      <diagonal/>
    </border>
    <border>
      <left style="thin">
        <color rgb="FF70AD47"/>
      </left>
      <right style="thin">
        <color rgb="FF70AD47"/>
      </right>
      <top style="double">
        <color rgb="FF000000"/>
      </top>
      <bottom style="thin">
        <color rgb="FF70AD47"/>
      </bottom>
      <diagonal/>
    </border>
    <border>
      <left style="thin">
        <color rgb="FF70AD47"/>
      </left>
      <right style="thin">
        <color rgb="FF70AD47"/>
      </right>
      <top style="thin">
        <color rgb="FF70AD47"/>
      </top>
      <bottom style="thin">
        <color rgb="FF70AD47"/>
      </bottom>
      <diagonal/>
    </border>
    <border>
      <left style="thin">
        <color rgb="FF70AD47"/>
      </left>
      <right style="thin">
        <color rgb="FF70AD47"/>
      </right>
      <top style="thin">
        <color rgb="FF70AD47"/>
      </top>
      <bottom style="medium">
        <color rgb="FF000000"/>
      </bottom>
      <diagonal/>
    </border>
    <border>
      <left style="thin">
        <color rgb="FFC00000"/>
      </left>
      <right style="thin">
        <color rgb="FFC00000"/>
      </right>
      <top style="double">
        <color rgb="FF0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medium">
        <color rgb="FF000000"/>
      </bottom>
      <diagonal/>
    </border>
    <border>
      <left/>
      <right style="thin">
        <color rgb="FF5B9BD5"/>
      </right>
      <top style="double">
        <color rgb="FF000000"/>
      </top>
      <bottom style="thin">
        <color rgb="FF5B9BD5"/>
      </bottom>
      <diagonal/>
    </border>
    <border>
      <left style="thin">
        <color rgb="FF5B9BD5"/>
      </left>
      <right style="thin">
        <color rgb="FF5B9BD5"/>
      </right>
      <top style="double">
        <color rgb="FF000000"/>
      </top>
      <bottom style="thin">
        <color rgb="FF5B9BD5"/>
      </bottom>
      <diagonal/>
    </border>
    <border>
      <left style="thin">
        <color rgb="FF5B9BD5"/>
      </left>
      <right style="medium">
        <color rgb="FF000000"/>
      </right>
      <top style="double">
        <color rgb="FF000000"/>
      </top>
      <bottom style="thin">
        <color rgb="FF5B9BD5"/>
      </bottom>
      <diagonal/>
    </border>
    <border>
      <left/>
      <right style="thin">
        <color rgb="FF5B9BD5"/>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medium">
        <color rgb="FF000000"/>
      </right>
      <top style="thin">
        <color rgb="FF5B9BD5"/>
      </top>
      <bottom style="thin">
        <color rgb="FF5B9BD5"/>
      </bottom>
      <diagonal/>
    </border>
    <border>
      <left/>
      <right style="thin">
        <color rgb="FF5B9BD5"/>
      </right>
      <top style="thin">
        <color rgb="FF5B9BD5"/>
      </top>
      <bottom style="medium">
        <color rgb="FF000000"/>
      </bottom>
      <diagonal/>
    </border>
    <border>
      <left style="thin">
        <color rgb="FF5B9BD5"/>
      </left>
      <right style="thin">
        <color rgb="FF5B9BD5"/>
      </right>
      <top style="thin">
        <color rgb="FF5B9BD5"/>
      </top>
      <bottom style="medium">
        <color rgb="FF000000"/>
      </bottom>
      <diagonal/>
    </border>
    <border>
      <left style="thin">
        <color rgb="FF5B9BD5"/>
      </left>
      <right style="medium">
        <color rgb="FF000000"/>
      </right>
      <top style="thin">
        <color rgb="FF5B9BD5"/>
      </top>
      <bottom style="medium">
        <color rgb="FF000000"/>
      </bottom>
      <diagonal/>
    </border>
    <border>
      <left style="thin">
        <color rgb="FF70AD47"/>
      </left>
      <right/>
      <top style="double">
        <color rgb="FF000000"/>
      </top>
      <bottom style="thin">
        <color rgb="FF70AD47"/>
      </bottom>
      <diagonal/>
    </border>
    <border>
      <left style="thin">
        <color rgb="FF70AD47"/>
      </left>
      <right/>
      <top style="thin">
        <color rgb="FF70AD47"/>
      </top>
      <bottom style="thin">
        <color rgb="FF70AD47"/>
      </bottom>
      <diagonal/>
    </border>
    <border>
      <left style="thin">
        <color rgb="FF70AD47"/>
      </left>
      <right/>
      <top style="thin">
        <color rgb="FF70AD47"/>
      </top>
      <bottom style="medium">
        <color rgb="FF000000"/>
      </bottom>
      <diagonal/>
    </border>
    <border>
      <left style="thin">
        <color rgb="FF5B9BD5"/>
      </left>
      <right/>
      <top style="double">
        <color rgb="FF000000"/>
      </top>
      <bottom style="thin">
        <color rgb="FF5B9BD5"/>
      </bottom>
      <diagonal/>
    </border>
    <border>
      <left style="thin">
        <color rgb="FF5B9BD5"/>
      </left>
      <right/>
      <top style="thin">
        <color rgb="FF5B9BD5"/>
      </top>
      <bottom style="thin">
        <color rgb="FF5B9BD5"/>
      </bottom>
      <diagonal/>
    </border>
    <border>
      <left style="thin">
        <color rgb="FF5B9BD5"/>
      </left>
      <right/>
      <top style="thin">
        <color rgb="FF5B9BD5"/>
      </top>
      <bottom style="medium">
        <color rgb="FF000000"/>
      </bottom>
      <diagonal/>
    </border>
    <border>
      <left style="thin">
        <color rgb="FFED7D31"/>
      </left>
      <right style="thin">
        <color rgb="FFED7D31"/>
      </right>
      <top/>
      <bottom style="double">
        <color rgb="FF000000"/>
      </bottom>
      <diagonal/>
    </border>
    <border>
      <left style="medium">
        <color rgb="FF000000"/>
      </left>
      <right/>
      <top/>
      <bottom style="thin">
        <color rgb="FF000000"/>
      </bottom>
      <diagonal/>
    </border>
    <border>
      <left style="medium">
        <color rgb="FF000000"/>
      </left>
      <right/>
      <top style="thin">
        <color rgb="FFBFBFBF"/>
      </top>
      <bottom style="thin">
        <color rgb="FFBFBFBF"/>
      </bottom>
      <diagonal/>
    </border>
    <border>
      <left style="medium">
        <color rgb="FF000000"/>
      </left>
      <right/>
      <top style="thin">
        <color rgb="FF000000"/>
      </top>
      <bottom/>
      <diagonal/>
    </border>
    <border>
      <left style="thin">
        <color rgb="FFC00000"/>
      </left>
      <right style="thin">
        <color rgb="FFC00000"/>
      </right>
      <top/>
      <bottom style="thin">
        <color rgb="FFC00000"/>
      </bottom>
      <diagonal/>
    </border>
    <border>
      <left style="thin">
        <color rgb="FFBFBFBF"/>
      </left>
      <right style="thin">
        <color rgb="FFCCCCCC"/>
      </right>
      <top/>
      <bottom/>
      <diagonal/>
    </border>
    <border>
      <left style="thin">
        <color rgb="FFBFBFBF"/>
      </left>
      <right style="thin">
        <color rgb="FFCCCCCC"/>
      </right>
      <top/>
      <bottom style="thin">
        <color rgb="FF000000"/>
      </bottom>
      <diagonal/>
    </border>
    <border>
      <left style="thin">
        <color rgb="FFBFBFBF"/>
      </left>
      <right style="thin">
        <color rgb="FFCCCCCC"/>
      </right>
      <top style="thin">
        <color rgb="FF000000"/>
      </top>
      <bottom/>
      <diagonal/>
    </border>
    <border>
      <left style="thin">
        <color rgb="FFBFBFBF"/>
      </left>
      <right style="thin">
        <color rgb="FFCCCCCC"/>
      </right>
      <top style="thin">
        <color rgb="FFA5A5A5"/>
      </top>
      <bottom/>
      <diagonal/>
    </border>
    <border>
      <left style="thin">
        <color rgb="FFD9D9D9"/>
      </left>
      <right/>
      <top style="thin">
        <color rgb="FF000000"/>
      </top>
      <bottom/>
      <diagonal/>
    </border>
    <border>
      <left style="thin">
        <color rgb="FFD9D9D9"/>
      </left>
      <right/>
      <top/>
      <bottom/>
      <diagonal/>
    </border>
    <border>
      <left style="thin">
        <color rgb="FFD9D9D9"/>
      </left>
      <right/>
      <top/>
      <bottom style="thin">
        <color rgb="FF000000"/>
      </bottom>
      <diagonal/>
    </border>
    <border>
      <left style="thin">
        <color rgb="FFBFBFBF"/>
      </left>
      <right style="thin">
        <color rgb="FFCCCCCC"/>
      </right>
      <top style="medium">
        <color rgb="FF000000"/>
      </top>
      <bottom/>
      <diagonal/>
    </border>
    <border>
      <left style="thin">
        <color rgb="FFBFBFBF"/>
      </left>
      <right style="thin">
        <color rgb="FFCCCCCC"/>
      </right>
      <top/>
      <bottom style="thin">
        <color rgb="FFCCCCCC"/>
      </bottom>
      <diagonal/>
    </border>
    <border>
      <left style="thin">
        <color rgb="FFBFBFBF"/>
      </left>
      <right/>
      <top/>
      <bottom style="thin">
        <color rgb="FFCCCCCC"/>
      </bottom>
      <diagonal/>
    </border>
    <border>
      <left style="thin">
        <color rgb="FFCCCCCC"/>
      </left>
      <right style="thin">
        <color rgb="FFBFBFBF"/>
      </right>
      <top style="thin">
        <color rgb="FF000000"/>
      </top>
      <bottom style="thin">
        <color rgb="FFCCCCCC"/>
      </bottom>
      <diagonal/>
    </border>
    <border>
      <left style="thin">
        <color rgb="FFCCCCCC"/>
      </left>
      <right style="thin">
        <color rgb="FFBFBFBF"/>
      </right>
      <top style="thin">
        <color rgb="FFCCCCCC"/>
      </top>
      <bottom style="thin">
        <color rgb="FFCCCCCC"/>
      </bottom>
      <diagonal/>
    </border>
    <border>
      <left style="thin">
        <color rgb="FFCCCCCC"/>
      </left>
      <right style="thin">
        <color rgb="FFBFBFBF"/>
      </right>
      <top style="thin">
        <color rgb="FFCCCCCC"/>
      </top>
      <bottom style="thin">
        <color rgb="FF000000"/>
      </bottom>
      <diagonal/>
    </border>
    <border>
      <left style="thin">
        <color rgb="FFCCCCCC"/>
      </left>
      <right style="thin">
        <color rgb="FFBFBFBF"/>
      </right>
      <top/>
      <bottom style="thin">
        <color rgb="FFCCCCCC"/>
      </bottom>
      <diagonal/>
    </border>
    <border>
      <left style="thin">
        <color rgb="FFCCCCCC"/>
      </left>
      <right style="thin">
        <color rgb="FFBFBFBF"/>
      </right>
      <top style="thin">
        <color rgb="FFCCCCCC"/>
      </top>
      <bottom/>
      <diagonal/>
    </border>
    <border>
      <left style="medium">
        <color rgb="FF000000"/>
      </left>
      <right/>
      <top style="double">
        <color rgb="FF000000"/>
      </top>
      <bottom style="thin">
        <color rgb="FFED7D31"/>
      </bottom>
      <diagonal/>
    </border>
    <border>
      <left/>
      <right/>
      <top style="double">
        <color rgb="FF000000"/>
      </top>
      <bottom style="thin">
        <color rgb="FFED7D31"/>
      </bottom>
      <diagonal/>
    </border>
    <border>
      <left/>
      <right style="double">
        <color rgb="FF000000"/>
      </right>
      <top style="double">
        <color rgb="FF000000"/>
      </top>
      <bottom style="thin">
        <color rgb="FFED7D31"/>
      </bottom>
      <diagonal/>
    </border>
    <border>
      <left style="medium">
        <color rgb="FF000000"/>
      </left>
      <right/>
      <top/>
      <bottom style="thin">
        <color rgb="FFE36C09"/>
      </bottom>
      <diagonal/>
    </border>
    <border>
      <left/>
      <right/>
      <top/>
      <bottom style="thin">
        <color rgb="FFE36C09"/>
      </bottom>
      <diagonal/>
    </border>
    <border>
      <left/>
      <right style="thin">
        <color rgb="FFE36C09"/>
      </right>
      <top/>
      <bottom style="thin">
        <color rgb="FFE36C09"/>
      </bottom>
      <diagonal/>
    </border>
    <border>
      <left style="thin">
        <color rgb="FFE36C09"/>
      </left>
      <right/>
      <top/>
      <bottom style="thin">
        <color rgb="FFE36C09"/>
      </bottom>
      <diagonal/>
    </border>
    <border>
      <left style="thin">
        <color rgb="FFE36C09"/>
      </left>
      <right style="double">
        <color rgb="FF000000"/>
      </right>
      <top/>
      <bottom/>
      <diagonal/>
    </border>
    <border>
      <left style="thin">
        <color rgb="FF4F6128"/>
      </left>
      <right/>
      <top style="thin">
        <color rgb="FF4F6128"/>
      </top>
      <bottom/>
      <diagonal/>
    </border>
    <border>
      <left style="thin">
        <color rgb="FF4F6128"/>
      </left>
      <right/>
      <top/>
      <bottom style="medium">
        <color rgb="FF000000"/>
      </bottom>
      <diagonal/>
    </border>
    <border>
      <left/>
      <right style="double">
        <color auto="1"/>
      </right>
      <top/>
      <bottom/>
      <diagonal/>
    </border>
    <border>
      <left/>
      <right style="thin">
        <color rgb="FFBFBFBF"/>
      </right>
      <top/>
      <bottom style="thin">
        <color indexed="64"/>
      </bottom>
      <diagonal/>
    </border>
    <border>
      <left/>
      <right style="thin">
        <color rgb="FF000000"/>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right/>
      <top style="double">
        <color indexed="64"/>
      </top>
      <bottom/>
      <diagonal/>
    </border>
    <border>
      <left/>
      <right style="double">
        <color rgb="FF000000"/>
      </right>
      <top style="double">
        <color indexed="64"/>
      </top>
      <bottom/>
      <diagonal/>
    </border>
    <border>
      <left style="double">
        <color indexed="64"/>
      </left>
      <right/>
      <top/>
      <bottom style="dotted">
        <color rgb="FFBFBFBF"/>
      </bottom>
      <diagonal/>
    </border>
    <border>
      <left/>
      <right/>
      <top/>
      <bottom style="dotted">
        <color rgb="FFBFBFBF"/>
      </bottom>
      <diagonal/>
    </border>
    <border>
      <left/>
      <right style="double">
        <color indexed="64"/>
      </right>
      <top/>
      <bottom style="dotted">
        <color rgb="FFBFBFBF"/>
      </bottom>
      <diagonal/>
    </border>
    <border>
      <left style="double">
        <color indexed="64"/>
      </left>
      <right/>
      <top style="dotted">
        <color rgb="FFBFBFBF"/>
      </top>
      <bottom style="dotted">
        <color rgb="FFBFBFBF"/>
      </bottom>
      <diagonal/>
    </border>
    <border>
      <left/>
      <right/>
      <top style="dotted">
        <color rgb="FFBFBFBF"/>
      </top>
      <bottom style="dotted">
        <color rgb="FFBFBFBF"/>
      </bottom>
      <diagonal/>
    </border>
    <border>
      <left style="double">
        <color rgb="FF000000"/>
      </left>
      <right style="thin">
        <color rgb="FF000000"/>
      </right>
      <top style="medium">
        <color rgb="FF000000"/>
      </top>
      <bottom/>
      <diagonal/>
    </border>
    <border>
      <left style="double">
        <color rgb="FF000000"/>
      </left>
      <right style="thin">
        <color rgb="FF000000"/>
      </right>
      <top/>
      <bottom/>
      <diagonal/>
    </border>
    <border>
      <left/>
      <right/>
      <top style="thin">
        <color indexed="64"/>
      </top>
      <bottom/>
      <diagonal/>
    </border>
    <border>
      <left style="thin">
        <color rgb="FFBFBFBF"/>
      </left>
      <right style="thin">
        <color rgb="FFBFBFBF"/>
      </right>
      <top style="medium">
        <color indexed="64"/>
      </top>
      <bottom/>
      <diagonal/>
    </border>
    <border>
      <left style="thin">
        <color rgb="FFBFBFBF"/>
      </left>
      <right style="medium">
        <color indexed="64"/>
      </right>
      <top/>
      <bottom style="thin">
        <color rgb="FF000000"/>
      </bottom>
      <diagonal/>
    </border>
    <border>
      <left style="thin">
        <color rgb="FFBFBFBF"/>
      </left>
      <right style="medium">
        <color indexed="64"/>
      </right>
      <top/>
      <bottom/>
      <diagonal/>
    </border>
    <border>
      <left style="thin">
        <color rgb="FFBFBFBF"/>
      </left>
      <right style="medium">
        <color indexed="64"/>
      </right>
      <top style="thin">
        <color rgb="FF000000"/>
      </top>
      <bottom/>
      <diagonal/>
    </border>
    <border>
      <left style="medium">
        <color rgb="FF000000"/>
      </left>
      <right style="thin">
        <color rgb="FFB7B7B7"/>
      </right>
      <top style="thin">
        <color rgb="FFB7B7B7"/>
      </top>
      <bottom style="thin">
        <color rgb="FFBFBFBF"/>
      </bottom>
      <diagonal/>
    </border>
    <border>
      <left style="medium">
        <color rgb="FF000000"/>
      </left>
      <right style="thin">
        <color rgb="FFB7B7B7"/>
      </right>
      <top style="thin">
        <color rgb="FF000000"/>
      </top>
      <bottom style="thin">
        <color rgb="FFBFBFBF"/>
      </bottom>
      <diagonal/>
    </border>
    <border>
      <left style="thin">
        <color rgb="FFB7B7B7"/>
      </left>
      <right style="thin">
        <color rgb="FFB7B7B7"/>
      </right>
      <top style="thin">
        <color rgb="FF000000"/>
      </top>
      <bottom style="thin">
        <color rgb="FFBFBFBF"/>
      </bottom>
      <diagonal/>
    </border>
    <border>
      <left/>
      <right style="thin">
        <color rgb="FFB7B7B7"/>
      </right>
      <top style="thin">
        <color rgb="FFB7B7B7"/>
      </top>
      <bottom style="thin">
        <color rgb="FF000000"/>
      </bottom>
      <diagonal/>
    </border>
    <border>
      <left style="thin">
        <color rgb="FFB97034"/>
      </left>
      <right/>
      <top/>
      <bottom/>
      <diagonal/>
    </border>
    <border>
      <left/>
      <right style="thin">
        <color rgb="FFB97034"/>
      </right>
      <top/>
      <bottom/>
      <diagonal/>
    </border>
    <border>
      <left style="thin">
        <color rgb="FFA6A6A6"/>
      </left>
      <right style="thin">
        <color rgb="FFA6A6A6"/>
      </right>
      <top style="thin">
        <color rgb="FFA6A6A6"/>
      </top>
      <bottom style="thin">
        <color rgb="FFA6A6A6"/>
      </bottom>
      <diagonal/>
    </border>
    <border>
      <left/>
      <right/>
      <top style="thin">
        <color rgb="FFE36C09"/>
      </top>
      <bottom/>
      <diagonal/>
    </border>
    <border>
      <left style="thin">
        <color rgb="FFCCCCCC"/>
      </left>
      <right style="double">
        <color rgb="FF000000"/>
      </right>
      <top style="medium">
        <color rgb="FF000000"/>
      </top>
      <bottom/>
      <diagonal/>
    </border>
    <border>
      <left style="thin">
        <color rgb="FFCCCCCC"/>
      </left>
      <right style="double">
        <color rgb="FF000000"/>
      </right>
      <top/>
      <bottom style="thin">
        <color rgb="FFCCCCCC"/>
      </bottom>
      <diagonal/>
    </border>
    <border>
      <left style="thin">
        <color rgb="FF4D5D2C"/>
      </left>
      <right/>
      <top style="thin">
        <color rgb="FF4D5D2C"/>
      </top>
      <bottom/>
      <diagonal/>
    </border>
    <border>
      <left/>
      <right style="thin">
        <color rgb="FF4BACC6"/>
      </right>
      <top style="thin">
        <color rgb="FF4BACC6"/>
      </top>
      <bottom/>
      <diagonal/>
    </border>
    <border>
      <left style="thin">
        <color rgb="FF4F6128"/>
      </left>
      <right/>
      <top/>
      <bottom/>
      <diagonal/>
    </border>
    <border>
      <left style="thin">
        <color rgb="FFC00000"/>
      </left>
      <right style="thin">
        <color rgb="FFC00000"/>
      </right>
      <top style="thin">
        <color rgb="FFC00000"/>
      </top>
      <bottom/>
      <diagonal/>
    </border>
    <border>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right style="thin">
        <color rgb="FFA6A6A6"/>
      </right>
      <top/>
      <bottom style="thin">
        <color rgb="FFA6A6A6"/>
      </bottom>
      <diagonal/>
    </border>
    <border>
      <left style="thin">
        <color rgb="FFA6A6A6"/>
      </left>
      <right style="double">
        <color rgb="FF000000"/>
      </right>
      <top style="thin">
        <color rgb="FFA6A6A6"/>
      </top>
      <bottom style="thin">
        <color rgb="FFA6A6A6"/>
      </bottom>
      <diagonal/>
    </border>
    <border>
      <left/>
      <right style="double">
        <color rgb="FF000000"/>
      </right>
      <top style="thin">
        <color rgb="FFA6A6A6"/>
      </top>
      <bottom style="thin">
        <color rgb="FFA6A6A6"/>
      </bottom>
      <diagonal/>
    </border>
    <border>
      <left/>
      <right style="double">
        <color rgb="FF000000"/>
      </right>
      <top/>
      <bottom style="thin">
        <color rgb="FFA6A6A6"/>
      </bottom>
      <diagonal/>
    </border>
    <border>
      <left style="thin">
        <color rgb="FF5B9BD5"/>
      </left>
      <right style="thin">
        <color rgb="FF5B9BD5"/>
      </right>
      <top style="thin">
        <color rgb="FF5B9BD5"/>
      </top>
      <bottom/>
      <diagonal/>
    </border>
    <border>
      <left/>
      <right style="thin">
        <color rgb="FF5B9BD5"/>
      </right>
      <top style="thin">
        <color rgb="FF5B9BD5"/>
      </top>
      <bottom/>
      <diagonal/>
    </border>
    <border>
      <left style="thin">
        <color rgb="FF5B9BD5"/>
      </left>
      <right style="medium">
        <color rgb="FF000000"/>
      </right>
      <top style="thin">
        <color rgb="FF5B9BD5"/>
      </top>
      <bottom/>
      <diagonal/>
    </border>
    <border>
      <left style="thin">
        <color rgb="FF000000"/>
      </left>
      <right/>
      <top/>
      <bottom style="double">
        <color rgb="FF000000"/>
      </bottom>
      <diagonal/>
    </border>
    <border>
      <left style="thin">
        <color rgb="FFA5A5A5"/>
      </left>
      <right style="thin">
        <color rgb="FF000000"/>
      </right>
      <top style="thin">
        <color rgb="FFA5A5A5"/>
      </top>
      <bottom style="thin">
        <color rgb="FFBFBFBF"/>
      </bottom>
      <diagonal/>
    </border>
    <border>
      <left style="thin">
        <color rgb="FF000000"/>
      </left>
      <right style="thin">
        <color rgb="FFBFBFBF"/>
      </right>
      <top style="thin">
        <color rgb="FFBFBFBF"/>
      </top>
      <bottom/>
      <diagonal/>
    </border>
    <border>
      <left/>
      <right style="thin">
        <color rgb="FFA5A5A5"/>
      </right>
      <top/>
      <bottom style="medium">
        <color rgb="FF000000"/>
      </bottom>
      <diagonal/>
    </border>
    <border>
      <left style="thin">
        <color rgb="FFA5A5A5"/>
      </left>
      <right style="thin">
        <color rgb="FFA5A5A5"/>
      </right>
      <top/>
      <bottom style="medium">
        <color rgb="FF000000"/>
      </bottom>
      <diagonal/>
    </border>
    <border>
      <left style="thin">
        <color rgb="FFA5A5A5"/>
      </left>
      <right/>
      <top/>
      <bottom style="medium">
        <color rgb="FF000000"/>
      </bottom>
      <diagonal/>
    </border>
    <border>
      <left style="medium">
        <color indexed="64"/>
      </left>
      <right style="thin">
        <color theme="0" tint="-0.24994659260841701"/>
      </right>
      <top style="thin">
        <color theme="0" tint="-0.24994659260841701"/>
      </top>
      <bottom/>
      <diagonal/>
    </border>
    <border>
      <left style="thin">
        <color rgb="FFBFBFBF"/>
      </left>
      <right style="double">
        <color rgb="FF000000"/>
      </right>
      <top style="thin">
        <color rgb="FF000000"/>
      </top>
      <bottom style="thin">
        <color rgb="FFBFBFBF"/>
      </bottom>
      <diagonal/>
    </border>
    <border>
      <left style="thin">
        <color rgb="FFBFBFBF"/>
      </left>
      <right style="double">
        <color rgb="FF000000"/>
      </right>
      <top style="thin">
        <color rgb="FFBFBFBF"/>
      </top>
      <bottom style="thin">
        <color rgb="FFBFBFBF"/>
      </bottom>
      <diagonal/>
    </border>
    <border>
      <left style="thin">
        <color rgb="FFBFBFBF"/>
      </left>
      <right style="double">
        <color rgb="FF000000"/>
      </right>
      <top style="thin">
        <color rgb="FFBFBFBF"/>
      </top>
      <bottom style="thin">
        <color rgb="FF000000"/>
      </bottom>
      <diagonal/>
    </border>
    <border>
      <left style="thin">
        <color rgb="FFBFBFBF"/>
      </left>
      <right style="double">
        <color rgb="FF000000"/>
      </right>
      <top/>
      <bottom style="thin">
        <color rgb="FFBFBFBF"/>
      </bottom>
      <diagonal/>
    </border>
    <border>
      <left style="thin">
        <color rgb="FFBFBFBF"/>
      </left>
      <right style="double">
        <color rgb="FF000000"/>
      </right>
      <top style="thin">
        <color rgb="FFBFBFBF"/>
      </top>
      <bottom/>
      <diagonal/>
    </border>
    <border>
      <left style="medium">
        <color rgb="FF000000"/>
      </left>
      <right style="thin">
        <color rgb="FFBFBFBF"/>
      </right>
      <top style="thin">
        <color rgb="FFA5A5A5"/>
      </top>
      <bottom style="thin">
        <color rgb="FFBFBFBF"/>
      </bottom>
      <diagonal/>
    </border>
    <border>
      <left style="thin">
        <color rgb="FFBFBFBF"/>
      </left>
      <right style="thin">
        <color rgb="FFBFBFBF"/>
      </right>
      <top style="thin">
        <color rgb="FFA5A5A5"/>
      </top>
      <bottom style="thin">
        <color rgb="FFBFBFBF"/>
      </bottom>
      <diagonal/>
    </border>
    <border>
      <left style="thin">
        <color rgb="FFB7B7B7"/>
      </left>
      <right style="medium">
        <color rgb="FF000000"/>
      </right>
      <top style="thin">
        <color rgb="FF000000"/>
      </top>
      <bottom/>
      <diagonal/>
    </border>
    <border>
      <left style="thin">
        <color rgb="FFBFBFBF"/>
      </left>
      <right style="double">
        <color rgb="FF000000"/>
      </right>
      <top style="medium">
        <color rgb="FF000000"/>
      </top>
      <bottom style="thin">
        <color rgb="FFBFBFBF"/>
      </bottom>
      <diagonal/>
    </border>
    <border>
      <left style="medium">
        <color rgb="FF000000"/>
      </left>
      <right style="double">
        <color rgb="FF000000"/>
      </right>
      <top style="double">
        <color rgb="FF000000"/>
      </top>
      <bottom style="thin">
        <color rgb="FFE36C09"/>
      </bottom>
      <diagonal/>
    </border>
    <border>
      <left style="thin">
        <color rgb="FF7F7F7F"/>
      </left>
      <right/>
      <top style="thin">
        <color rgb="FF000000"/>
      </top>
      <bottom/>
      <diagonal/>
    </border>
    <border>
      <left style="thin">
        <color rgb="FF7F7F7F"/>
      </left>
      <right/>
      <top/>
      <bottom style="thin">
        <color rgb="FF000000"/>
      </bottom>
      <diagonal/>
    </border>
    <border>
      <left style="thin">
        <color rgb="FF70AD47"/>
      </left>
      <right/>
      <top style="double">
        <color rgb="FF000000"/>
      </top>
      <bottom/>
      <diagonal/>
    </border>
    <border>
      <left style="thin">
        <color rgb="FF70AD47"/>
      </left>
      <right style="thin">
        <color rgb="FF4F6128"/>
      </right>
      <top style="thin">
        <color rgb="FF4F6128"/>
      </top>
      <bottom/>
      <diagonal/>
    </border>
    <border>
      <left style="thin">
        <color rgb="FF70AD47"/>
      </left>
      <right style="thin">
        <color rgb="FF4F6128"/>
      </right>
      <top/>
      <bottom style="medium">
        <color rgb="FF000000"/>
      </bottom>
      <diagonal/>
    </border>
    <border>
      <left style="medium">
        <color rgb="FF000000"/>
      </left>
      <right style="thin">
        <color rgb="FFA5A5A5"/>
      </right>
      <top/>
      <bottom/>
      <diagonal/>
    </border>
    <border>
      <left style="medium">
        <color rgb="FF000000"/>
      </left>
      <right style="thin">
        <color rgb="FFA5A5A5"/>
      </right>
      <top style="thin">
        <color rgb="FFA5A5A5"/>
      </top>
      <bottom style="thin">
        <color rgb="FFBFBFBF"/>
      </bottom>
      <diagonal/>
    </border>
    <border>
      <left style="thin">
        <color rgb="FFED7D31"/>
      </left>
      <right style="thin">
        <color rgb="FFED7D31"/>
      </right>
      <top/>
      <bottom style="medium">
        <color rgb="FF000000"/>
      </bottom>
      <diagonal/>
    </border>
    <border>
      <left style="thin">
        <color rgb="FFED7D31"/>
      </left>
      <right style="thin">
        <color rgb="FFED7D31"/>
      </right>
      <top style="medium">
        <color rgb="FF000000"/>
      </top>
      <bottom style="double">
        <color rgb="FF000000"/>
      </bottom>
      <diagonal/>
    </border>
    <border>
      <left style="thin">
        <color rgb="FFED7D31"/>
      </left>
      <right style="thin">
        <color rgb="FFE36C09"/>
      </right>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thin">
        <color rgb="FF000000"/>
      </bottom>
      <diagonal/>
    </border>
    <border>
      <left style="thin">
        <color rgb="FFBFBFBF"/>
      </left>
      <right style="medium">
        <color rgb="FF000000"/>
      </right>
      <top style="thin">
        <color rgb="FF000000"/>
      </top>
      <bottom style="thin">
        <color rgb="FFBFBFBF"/>
      </bottom>
      <diagonal/>
    </border>
    <border>
      <left style="thin">
        <color rgb="FFBFBFBF"/>
      </left>
      <right style="medium">
        <color rgb="FF000000"/>
      </right>
      <top/>
      <bottom style="thin">
        <color rgb="FFBFBFBF"/>
      </bottom>
      <diagonal/>
    </border>
    <border>
      <left style="thin">
        <color rgb="FFED7D31"/>
      </left>
      <right style="thin">
        <color rgb="FFED7D31"/>
      </right>
      <top style="thin">
        <color rgb="FF000000"/>
      </top>
      <bottom style="medium">
        <color rgb="FF000000"/>
      </bottom>
      <diagonal/>
    </border>
    <border>
      <left style="thin">
        <color rgb="FFBFBFBF"/>
      </left>
      <right style="thin">
        <color rgb="FFBFBFBF"/>
      </right>
      <top style="thin">
        <color indexed="64"/>
      </top>
      <bottom/>
      <diagonal/>
    </border>
    <border>
      <left/>
      <right style="thin">
        <color rgb="FFB97034"/>
      </right>
      <top/>
      <bottom style="medium">
        <color rgb="FF000000"/>
      </bottom>
      <diagonal/>
    </border>
    <border>
      <left style="thin">
        <color rgb="FFB97034"/>
      </left>
      <right style="thin">
        <color rgb="FFB97034"/>
      </right>
      <top/>
      <bottom style="medium">
        <color rgb="FF000000"/>
      </bottom>
      <diagonal/>
    </border>
    <border>
      <left style="thin">
        <color rgb="FFB97034"/>
      </left>
      <right/>
      <top/>
      <bottom style="medium">
        <color rgb="FF00000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rgb="FF000000"/>
      </left>
      <right style="thin">
        <color rgb="FF000000"/>
      </right>
      <top/>
      <bottom style="thin">
        <color indexed="64"/>
      </bottom>
      <diagonal/>
    </border>
    <border>
      <left/>
      <right style="thin">
        <color indexed="64"/>
      </right>
      <top/>
      <bottom/>
      <diagonal/>
    </border>
    <border>
      <left/>
      <right style="thin">
        <color indexed="64"/>
      </right>
      <top style="thin">
        <color indexed="64"/>
      </top>
      <bottom/>
      <diagonal/>
    </border>
    <border>
      <left style="double">
        <color rgb="FF000000"/>
      </left>
      <right style="thin">
        <color rgb="FF000000"/>
      </right>
      <top style="thin">
        <color rgb="FF000000"/>
      </top>
      <bottom/>
      <diagonal/>
    </border>
    <border>
      <left style="double">
        <color rgb="FF000000"/>
      </left>
      <right style="double">
        <color indexed="64"/>
      </right>
      <top style="double">
        <color rgb="FF000000"/>
      </top>
      <bottom/>
      <diagonal/>
    </border>
    <border>
      <left/>
      <right style="double">
        <color indexed="64"/>
      </right>
      <top/>
      <bottom style="dotted">
        <color rgb="FFB7B7B7"/>
      </bottom>
      <diagonal/>
    </border>
    <border>
      <left/>
      <right style="double">
        <color indexed="64"/>
      </right>
      <top style="dotted">
        <color rgb="FFB7B7B7"/>
      </top>
      <bottom style="dotted">
        <color rgb="FFB7B7B7"/>
      </bottom>
      <diagonal/>
    </border>
    <border>
      <left/>
      <right style="double">
        <color indexed="64"/>
      </right>
      <top style="dotted">
        <color rgb="FFB7B7B7"/>
      </top>
      <bottom style="thin">
        <color rgb="FF000000"/>
      </bottom>
      <diagonal/>
    </border>
    <border>
      <left style="double">
        <color rgb="FF000000"/>
      </left>
      <right style="double">
        <color indexed="64"/>
      </right>
      <top/>
      <bottom/>
      <diagonal/>
    </border>
    <border>
      <left style="thin">
        <color rgb="FFBFBFBF"/>
      </left>
      <right/>
      <top style="thin">
        <color rgb="FF000000"/>
      </top>
      <bottom style="thin">
        <color indexed="64"/>
      </bottom>
      <diagonal/>
    </border>
    <border>
      <left style="thin">
        <color rgb="FFBFBFBF"/>
      </left>
      <right style="thin">
        <color rgb="FFBFBFBF"/>
      </right>
      <top style="thin">
        <color rgb="FF000000"/>
      </top>
      <bottom style="thin">
        <color indexed="64"/>
      </bottom>
      <diagonal/>
    </border>
    <border>
      <left style="thin">
        <color rgb="FFBFBFBF"/>
      </left>
      <right style="medium">
        <color rgb="FF000000"/>
      </right>
      <top style="thin">
        <color rgb="FF000000"/>
      </top>
      <bottom style="thin">
        <color indexed="64"/>
      </bottom>
      <diagonal/>
    </border>
    <border>
      <left style="medium">
        <color rgb="FF000000"/>
      </left>
      <right style="thin">
        <color rgb="FFBFBFBF"/>
      </right>
      <top style="thin">
        <color rgb="FFBFBFBF"/>
      </top>
      <bottom style="thin">
        <color indexed="64"/>
      </bottom>
      <diagonal/>
    </border>
    <border>
      <left style="thin">
        <color rgb="FFBFBFBF"/>
      </left>
      <right style="double">
        <color rgb="FF000000"/>
      </right>
      <top/>
      <bottom style="thin">
        <color indexed="64"/>
      </bottom>
      <diagonal/>
    </border>
    <border>
      <left style="thin">
        <color rgb="FFBFBFBF"/>
      </left>
      <right style="thin">
        <color rgb="FFBFBFBF"/>
      </right>
      <top style="medium">
        <color rgb="FF000000"/>
      </top>
      <bottom style="thin">
        <color indexed="64"/>
      </bottom>
      <diagonal/>
    </border>
    <border>
      <left style="thin">
        <color indexed="64"/>
      </left>
      <right/>
      <top/>
      <bottom style="medium">
        <color indexed="64"/>
      </bottom>
      <diagonal/>
    </border>
    <border>
      <left style="thin">
        <color rgb="FFBFBFBF"/>
      </left>
      <right style="thin">
        <color rgb="FFBFBFBF"/>
      </right>
      <top style="thin">
        <color indexed="64"/>
      </top>
      <bottom style="thin">
        <color indexed="64"/>
      </bottom>
      <diagonal/>
    </border>
    <border>
      <left style="thin">
        <color rgb="FFBFBFBF"/>
      </left>
      <right style="medium">
        <color rgb="FF000000"/>
      </right>
      <top/>
      <bottom style="thin">
        <color indexed="64"/>
      </bottom>
      <diagonal/>
    </border>
    <border>
      <left style="thin">
        <color rgb="FF000000"/>
      </left>
      <right style="thin">
        <color rgb="FFBFBFBF"/>
      </right>
      <top style="thin">
        <color indexed="64"/>
      </top>
      <bottom/>
      <diagonal/>
    </border>
    <border>
      <left style="thin">
        <color rgb="FFBFBFBF"/>
      </left>
      <right style="medium">
        <color rgb="FF000000"/>
      </right>
      <top style="thin">
        <color indexed="64"/>
      </top>
      <bottom/>
      <diagonal/>
    </border>
    <border>
      <left style="medium">
        <color rgb="FF000000"/>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double">
        <color rgb="FF000000"/>
      </left>
      <right style="thin">
        <color rgb="FF000000"/>
      </right>
      <top style="thin">
        <color rgb="FF000000"/>
      </top>
      <bottom style="thin">
        <color indexed="64"/>
      </bottom>
      <diagonal/>
    </border>
    <border>
      <left style="double">
        <color indexed="64"/>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thin">
        <color rgb="FF000000"/>
      </left>
      <right style="double">
        <color indexed="64"/>
      </right>
      <top style="double">
        <color indexed="64"/>
      </top>
      <bottom style="thin">
        <color rgb="FF000000"/>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double">
        <color indexed="64"/>
      </right>
      <top style="thin">
        <color rgb="FF000000"/>
      </top>
      <bottom style="double">
        <color indexed="64"/>
      </bottom>
      <diagonal/>
    </border>
    <border>
      <left/>
      <right style="thin">
        <color rgb="FFBFBFBF"/>
      </right>
      <top style="thin">
        <color rgb="FFBFBFBF"/>
      </top>
      <bottom style="thin">
        <color indexed="64"/>
      </bottom>
      <diagonal/>
    </border>
    <border>
      <left style="medium">
        <color rgb="FF000000"/>
      </left>
      <right style="thin">
        <color rgb="FFBFBFBF"/>
      </right>
      <top style="thin">
        <color rgb="FFBFBFBF"/>
      </top>
      <bottom style="thin">
        <color theme="0" tint="-0.249977111117893"/>
      </bottom>
      <diagonal/>
    </border>
    <border>
      <left/>
      <right style="thin">
        <color rgb="FFBFBFBF"/>
      </right>
      <top style="thin">
        <color rgb="FFBFBFBF"/>
      </top>
      <bottom style="thin">
        <color theme="0" tint="-0.249977111117893"/>
      </bottom>
      <diagonal/>
    </border>
    <border>
      <left style="thin">
        <color rgb="FFBFBFBF"/>
      </left>
      <right style="thin">
        <color rgb="FFBFBFBF"/>
      </right>
      <top style="thin">
        <color rgb="FFBFBFBF"/>
      </top>
      <bottom style="thin">
        <color theme="0" tint="-0.249977111117893"/>
      </bottom>
      <diagonal/>
    </border>
    <border>
      <left style="medium">
        <color indexed="64"/>
      </left>
      <right/>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rgb="FFBFBFBF"/>
      </left>
      <right style="thin">
        <color theme="0" tint="-0.249977111117893"/>
      </right>
      <top style="thin">
        <color rgb="FFBFBFBF"/>
      </top>
      <bottom style="thin">
        <color theme="0" tint="-0.249977111117893"/>
      </bottom>
      <diagonal/>
    </border>
    <border>
      <left style="medium">
        <color indexed="64"/>
      </left>
      <right/>
      <top/>
      <bottom style="thin">
        <color theme="0" tint="-0.249977111117893"/>
      </bottom>
      <diagonal/>
    </border>
    <border>
      <left style="thin">
        <color theme="0" tint="-0.249977111117893"/>
      </left>
      <right/>
      <top style="thin">
        <color rgb="FFBFBFBF"/>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rgb="FFBFBFBF"/>
      </top>
      <bottom style="thin">
        <color theme="0" tint="-0.249977111117893"/>
      </bottom>
      <diagonal/>
    </border>
    <border>
      <left style="thin">
        <color theme="0" tint="-0.249977111117893"/>
      </left>
      <right style="thin">
        <color theme="0" tint="-0.249977111117893"/>
      </right>
      <top/>
      <bottom style="thin">
        <color rgb="FFBFBFBF"/>
      </bottom>
      <diagonal/>
    </border>
    <border>
      <left style="thin">
        <color rgb="FFBFBFBF"/>
      </left>
      <right/>
      <top style="thin">
        <color rgb="FFBFBFBF"/>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medium">
        <color rgb="FF000000"/>
      </left>
      <right style="thin">
        <color theme="0" tint="-0.24994659260841701"/>
      </right>
      <top style="thin">
        <color rgb="FFBFBFBF"/>
      </top>
      <bottom style="thin">
        <color theme="0" tint="-0.24994659260841701"/>
      </bottom>
      <diagonal/>
    </border>
    <border>
      <left style="thin">
        <color theme="0" tint="-0.24994659260841701"/>
      </left>
      <right style="thin">
        <color theme="0" tint="-0.24994659260841701"/>
      </right>
      <top style="thin">
        <color rgb="FFBFBFBF"/>
      </top>
      <bottom style="thin">
        <color theme="0" tint="-0.24994659260841701"/>
      </bottom>
      <diagonal/>
    </border>
    <border>
      <left style="thin">
        <color theme="0" tint="-0.24994659260841701"/>
      </left>
      <right style="thin">
        <color rgb="FFBFBFBF"/>
      </right>
      <top style="thin">
        <color rgb="FFBFBFBF"/>
      </top>
      <bottom style="thin">
        <color theme="0" tint="-0.24994659260841701"/>
      </bottom>
      <diagonal/>
    </border>
    <border>
      <left style="medium">
        <color rgb="FF00000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FBFBF"/>
      </right>
      <top style="thin">
        <color theme="0" tint="-0.24994659260841701"/>
      </top>
      <bottom style="thin">
        <color theme="0" tint="-0.24994659260841701"/>
      </bottom>
      <diagonal/>
    </border>
    <border>
      <left style="medium">
        <color rgb="FF000000"/>
      </left>
      <right style="thin">
        <color theme="0" tint="-0.24994659260841701"/>
      </right>
      <top style="thin">
        <color theme="0" tint="-0.24994659260841701"/>
      </top>
      <bottom style="thin">
        <color rgb="FF000000"/>
      </bottom>
      <diagonal/>
    </border>
    <border>
      <left style="thin">
        <color theme="0" tint="-0.24994659260841701"/>
      </left>
      <right style="thin">
        <color rgb="FFBFBFBF"/>
      </right>
      <top style="thin">
        <color theme="0" tint="-0.24994659260841701"/>
      </top>
      <bottom style="thin">
        <color rgb="FF000000"/>
      </bottom>
      <diagonal/>
    </border>
    <border>
      <left style="medium">
        <color rgb="FF000000"/>
      </left>
      <right style="thin">
        <color theme="0" tint="-0.24994659260841701"/>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style="thin">
        <color theme="0" tint="-0.24994659260841701"/>
      </left>
      <right style="thin">
        <color rgb="FFBFBFBF"/>
      </right>
      <top style="thin">
        <color theme="0" tint="-0.24994659260841701"/>
      </top>
      <bottom style="thin">
        <color rgb="FFBFBFBF"/>
      </bottom>
      <diagonal/>
    </border>
    <border>
      <left style="thin">
        <color rgb="FF000000"/>
      </left>
      <right style="thin">
        <color rgb="FFBFBFBF"/>
      </right>
      <top style="thin">
        <color rgb="FFBFBFBF"/>
      </top>
      <bottom style="thin">
        <color indexed="64"/>
      </bottom>
      <diagonal/>
    </border>
    <border>
      <left style="thin">
        <color rgb="FFBFBFBF"/>
      </left>
      <right/>
      <top style="thin">
        <color rgb="FFBFBFBF"/>
      </top>
      <bottom style="thin">
        <color indexed="64"/>
      </bottom>
      <diagonal/>
    </border>
    <border>
      <left style="thin">
        <color rgb="FFBFBFBF"/>
      </left>
      <right style="double">
        <color rgb="FF000000"/>
      </right>
      <top style="thin">
        <color rgb="FFBFBFBF"/>
      </top>
      <bottom style="thin">
        <color indexed="64"/>
      </bottom>
      <diagonal/>
    </border>
    <border>
      <left style="thin">
        <color theme="0" tint="-0.24994659260841701"/>
      </left>
      <right style="thin">
        <color rgb="FFBFBFBF"/>
      </right>
      <top style="thin">
        <color indexed="64"/>
      </top>
      <bottom style="thin">
        <color theme="0" tint="-0.24994659260841701"/>
      </bottom>
      <diagonal/>
    </border>
    <border>
      <left style="medium">
        <color rgb="FF000000"/>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style="thin">
        <color rgb="FFBFBFBF"/>
      </right>
      <top style="thin">
        <color rgb="FF000000"/>
      </top>
      <bottom style="thin">
        <color theme="0" tint="-0.24994659260841701"/>
      </bottom>
      <diagonal/>
    </border>
    <border>
      <left style="double">
        <color rgb="FF000000"/>
      </left>
      <right/>
      <top style="double">
        <color rgb="FF000000"/>
      </top>
      <bottom style="thin">
        <color indexed="64"/>
      </bottom>
      <diagonal/>
    </border>
    <border>
      <left style="thin">
        <color rgb="FF000000"/>
      </left>
      <right style="thin">
        <color rgb="FF000000"/>
      </right>
      <top style="double">
        <color rgb="FF000000"/>
      </top>
      <bottom style="thin">
        <color indexed="64"/>
      </bottom>
      <diagonal/>
    </border>
    <border>
      <left style="thin">
        <color rgb="FF000000"/>
      </left>
      <right style="double">
        <color rgb="FF000000"/>
      </right>
      <top style="double">
        <color rgb="FF000000"/>
      </top>
      <bottom style="thin">
        <color indexed="64"/>
      </bottom>
      <diagonal/>
    </border>
    <border>
      <left style="thin">
        <color rgb="FFBFBFBF"/>
      </left>
      <right/>
      <top style="thin">
        <color indexed="64"/>
      </top>
      <bottom/>
      <diagonal/>
    </border>
    <border>
      <left style="medium">
        <color rgb="FF000000"/>
      </left>
      <right style="thin">
        <color rgb="FFB7B7B7"/>
      </right>
      <top style="thin">
        <color indexed="64"/>
      </top>
      <bottom style="thin">
        <color rgb="FFB7B7B7"/>
      </bottom>
      <diagonal/>
    </border>
    <border>
      <left style="thin">
        <color rgb="FFB7B7B7"/>
      </left>
      <right style="thin">
        <color rgb="FFB7B7B7"/>
      </right>
      <top style="thin">
        <color indexed="64"/>
      </top>
      <bottom style="thin">
        <color rgb="FFB7B7B7"/>
      </bottom>
      <diagonal/>
    </border>
    <border>
      <left style="thin">
        <color rgb="FFB7B7B7"/>
      </left>
      <right style="double">
        <color rgb="FF000000"/>
      </right>
      <top style="thin">
        <color indexed="64"/>
      </top>
      <bottom/>
      <diagonal/>
    </border>
    <border>
      <left style="thin">
        <color rgb="FFBFBFBF"/>
      </left>
      <right/>
      <top/>
      <bottom style="thin">
        <color indexed="64"/>
      </bottom>
      <diagonal/>
    </border>
    <border>
      <left style="thin">
        <color rgb="FFA5A5A5"/>
      </left>
      <right/>
      <top style="thin">
        <color rgb="FFA5A5A5"/>
      </top>
      <bottom/>
      <diagonal/>
    </border>
    <border>
      <left style="medium">
        <color rgb="FF000000"/>
      </left>
      <right style="thin">
        <color theme="0" tint="-0.24994659260841701"/>
      </right>
      <top style="thin">
        <color theme="0" tint="-0.24994659260841701"/>
      </top>
      <bottom style="thin">
        <color indexed="64"/>
      </bottom>
      <diagonal/>
    </border>
    <border>
      <left style="medium">
        <color rgb="FF000000"/>
      </left>
      <right/>
      <top style="thin">
        <color rgb="FFA5A5A5"/>
      </top>
      <bottom style="thin">
        <color rgb="FFA5A5A5"/>
      </bottom>
      <diagonal/>
    </border>
    <border>
      <left/>
      <right style="thin">
        <color rgb="FFA5A5A5"/>
      </right>
      <top style="thin">
        <color rgb="FFA5A5A5"/>
      </top>
      <bottom style="thin">
        <color rgb="FF000000"/>
      </bottom>
      <diagonal/>
    </border>
    <border>
      <left style="medium">
        <color rgb="FF000000"/>
      </left>
      <right style="double">
        <color rgb="FF000000"/>
      </right>
      <top/>
      <bottom style="medium">
        <color rgb="FF000000"/>
      </bottom>
      <diagonal/>
    </border>
    <border>
      <left style="medium">
        <color rgb="FF000000"/>
      </left>
      <right style="thin">
        <color rgb="FFCCCCCC"/>
      </right>
      <top style="medium">
        <color rgb="FF000000"/>
      </top>
      <bottom style="thin">
        <color rgb="FFCCCCCC"/>
      </bottom>
      <diagonal/>
    </border>
    <border>
      <left style="medium">
        <color rgb="FF000000"/>
      </left>
      <right style="thin">
        <color rgb="FFCCCCCC"/>
      </right>
      <top style="thin">
        <color rgb="FFCCCCCC"/>
      </top>
      <bottom style="thin">
        <color indexed="64"/>
      </bottom>
      <diagonal/>
    </border>
    <border>
      <left style="thin">
        <color rgb="FFBFBFBF"/>
      </left>
      <right style="thin">
        <color rgb="FFA5A5A5"/>
      </right>
      <top/>
      <bottom style="thin">
        <color rgb="FFBFBFBF"/>
      </bottom>
      <diagonal/>
    </border>
    <border>
      <left style="medium">
        <color rgb="FF000000"/>
      </left>
      <right style="thin">
        <color rgb="FFBFBFBF"/>
      </right>
      <top style="thin">
        <color rgb="FFA5A5A5"/>
      </top>
      <bottom style="thin">
        <color theme="0" tint="-0.249977111117893"/>
      </bottom>
      <diagonal/>
    </border>
    <border>
      <left style="thin">
        <color rgb="FFBFBFBF"/>
      </left>
      <right style="thin">
        <color rgb="FFBFBFBF"/>
      </right>
      <top style="thin">
        <color rgb="FFA5A5A5"/>
      </top>
      <bottom style="thin">
        <color theme="0" tint="-0.249977111117893"/>
      </bottom>
      <diagonal/>
    </border>
    <border>
      <left style="thin">
        <color theme="8"/>
      </left>
      <right style="thin">
        <color theme="8"/>
      </right>
      <top/>
      <bottom style="double">
        <color rgb="FF000000"/>
      </bottom>
      <diagonal/>
    </border>
    <border>
      <left style="thin">
        <color theme="8"/>
      </left>
      <right style="thin">
        <color theme="8"/>
      </right>
      <top/>
      <bottom style="medium">
        <color rgb="FF000000"/>
      </bottom>
      <diagonal/>
    </border>
    <border>
      <left style="thin">
        <color theme="8"/>
      </left>
      <right style="thin">
        <color rgb="FFE36C09"/>
      </right>
      <top/>
      <bottom style="medium">
        <color rgb="FF000000"/>
      </bottom>
      <diagonal/>
    </border>
    <border>
      <left/>
      <right/>
      <top/>
      <bottom style="dashed">
        <color theme="0" tint="-0.249977111117893"/>
      </bottom>
      <diagonal/>
    </border>
    <border>
      <left style="double">
        <color rgb="FF000000"/>
      </left>
      <right/>
      <top/>
      <bottom style="dashed">
        <color theme="0" tint="-0.249977111117893"/>
      </bottom>
      <diagonal/>
    </border>
    <border>
      <left/>
      <right style="double">
        <color rgb="FF000000"/>
      </right>
      <top/>
      <bottom style="dashed">
        <color theme="0" tint="-0.249977111117893"/>
      </bottom>
      <diagonal/>
    </border>
    <border>
      <left style="double">
        <color rgb="FF000000"/>
      </left>
      <right style="thin">
        <color indexed="64"/>
      </right>
      <top style="thin">
        <color indexed="64"/>
      </top>
      <bottom style="thin">
        <color indexed="64"/>
      </bottom>
      <diagonal/>
    </border>
    <border>
      <left style="thin">
        <color indexed="64"/>
      </left>
      <right style="double">
        <color rgb="FF000000"/>
      </right>
      <top/>
      <bottom style="thin">
        <color indexed="64"/>
      </bottom>
      <diagonal/>
    </border>
    <border>
      <left style="double">
        <color indexed="64"/>
      </left>
      <right style="thin">
        <color indexed="64"/>
      </right>
      <top style="double">
        <color indexed="64"/>
      </top>
      <bottom style="thin">
        <color rgb="FF000000"/>
      </bottom>
      <diagonal/>
    </border>
    <border>
      <left/>
      <right style="thin">
        <color indexed="64"/>
      </right>
      <top style="double">
        <color indexed="64"/>
      </top>
      <bottom style="thin">
        <color rgb="FF000000"/>
      </bottom>
      <diagonal/>
    </border>
    <border>
      <left/>
      <right style="double">
        <color indexed="64"/>
      </right>
      <top style="double">
        <color indexed="64"/>
      </top>
      <bottom style="thin">
        <color rgb="FF000000"/>
      </bottom>
      <diagonal/>
    </border>
    <border>
      <left style="double">
        <color rgb="FF000000"/>
      </left>
      <right/>
      <top style="dotted">
        <color theme="0" tint="-0.24994659260841701"/>
      </top>
      <bottom style="dotted">
        <color theme="0" tint="-0.24994659260841701"/>
      </bottom>
      <diagonal/>
    </border>
    <border>
      <left/>
      <right style="double">
        <color rgb="FF000000"/>
      </right>
      <top style="dotted">
        <color theme="0" tint="-0.24994659260841701"/>
      </top>
      <bottom style="dotted">
        <color theme="0" tint="-0.24994659260841701"/>
      </bottom>
      <diagonal/>
    </border>
    <border>
      <left/>
      <right style="double">
        <color rgb="FF000000"/>
      </right>
      <top style="dotted">
        <color theme="0" tint="-0.24994659260841701"/>
      </top>
      <bottom style="thin">
        <color auto="1"/>
      </bottom>
      <diagonal/>
    </border>
    <border>
      <left/>
      <right style="double">
        <color rgb="FF000000"/>
      </right>
      <top/>
      <bottom style="dotted">
        <color theme="0" tint="-0.24994659260841701"/>
      </bottom>
      <diagonal/>
    </border>
    <border>
      <left style="double">
        <color rgb="FF000000"/>
      </left>
      <right/>
      <top style="dotted">
        <color theme="0" tint="-0.24994659260841701"/>
      </top>
      <bottom style="dotted">
        <color rgb="FFBFBFBF"/>
      </bottom>
      <diagonal/>
    </border>
    <border>
      <left style="double">
        <color rgb="FF000000"/>
      </left>
      <right/>
      <top style="dotted">
        <color rgb="FFBFBFBF"/>
      </top>
      <bottom/>
      <diagonal/>
    </border>
    <border>
      <left/>
      <right style="double">
        <color rgb="FF000000"/>
      </right>
      <top style="dotted">
        <color rgb="FFBFBFBF"/>
      </top>
      <bottom/>
      <diagonal/>
    </border>
    <border>
      <left/>
      <right style="double">
        <color rgb="FF000000"/>
      </right>
      <top style="dotted">
        <color rgb="FFBFBFBF"/>
      </top>
      <bottom style="thin">
        <color rgb="FF000000"/>
      </bottom>
      <diagonal/>
    </border>
    <border>
      <left style="double">
        <color rgb="FF000000"/>
      </left>
      <right/>
      <top style="double">
        <color rgb="FF000000"/>
      </top>
      <bottom style="medium">
        <color rgb="FF000000"/>
      </bottom>
      <diagonal/>
    </border>
    <border>
      <left style="thin">
        <color rgb="FF4D5D2C"/>
      </left>
      <right style="thin">
        <color rgb="FF4D5D2C"/>
      </right>
      <top style="thin">
        <color rgb="FF4D5D2C"/>
      </top>
      <bottom style="medium">
        <color rgb="FF000000"/>
      </bottom>
      <diagonal/>
    </border>
    <border>
      <left style="thin">
        <color rgb="FF4D5D2C"/>
      </left>
      <right/>
      <top style="thin">
        <color rgb="FF4D5D2C"/>
      </top>
      <bottom style="medium">
        <color rgb="FF000000"/>
      </bottom>
      <diagonal/>
    </border>
    <border>
      <left/>
      <right style="thin">
        <color rgb="FF4BACC6"/>
      </right>
      <top style="thin">
        <color rgb="FF4BACC6"/>
      </top>
      <bottom style="medium">
        <color rgb="FF000000"/>
      </bottom>
      <diagonal/>
    </border>
    <border>
      <left style="thin">
        <color rgb="FF4BACC6"/>
      </left>
      <right style="medium">
        <color rgb="FF000000"/>
      </right>
      <top style="thin">
        <color rgb="FF4BACC6"/>
      </top>
      <bottom style="medium">
        <color rgb="FF000000"/>
      </bottom>
      <diagonal/>
    </border>
    <border>
      <left/>
      <right style="thin">
        <color rgb="FFBFBFBF"/>
      </right>
      <top style="thin">
        <color indexed="64"/>
      </top>
      <bottom/>
      <diagonal/>
    </border>
    <border>
      <left style="thin">
        <color theme="0" tint="-0.249977111117893"/>
      </left>
      <right style="thin">
        <color theme="0" tint="-0.249977111117893"/>
      </right>
      <top style="thin">
        <color rgb="FF000000"/>
      </top>
      <bottom style="thin">
        <color theme="0" tint="-0.249977111117893"/>
      </bottom>
      <diagonal/>
    </border>
    <border>
      <left style="thin">
        <color theme="0" tint="-0.249977111117893"/>
      </left>
      <right style="thin">
        <color theme="0" tint="-0.249977111117893"/>
      </right>
      <top style="thin">
        <color theme="0" tint="-0.249977111117893"/>
      </top>
      <bottom style="thin">
        <color rgb="FF000000"/>
      </bottom>
      <diagonal/>
    </border>
    <border>
      <left style="thin">
        <color indexed="64"/>
      </left>
      <right style="double">
        <color rgb="FF000000"/>
      </right>
      <top style="thin">
        <color indexed="64"/>
      </top>
      <bottom style="thin">
        <color indexed="64"/>
      </bottom>
      <diagonal/>
    </border>
    <border>
      <left/>
      <right style="double">
        <color rgb="FF000000"/>
      </right>
      <top style="dotted">
        <color rgb="FFB7B7B7"/>
      </top>
      <bottom style="dotted">
        <color theme="0" tint="-0.249977111117893"/>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top style="thin">
        <color rgb="FF000000"/>
      </top>
      <bottom style="thin">
        <color indexed="64"/>
      </bottom>
      <diagonal/>
    </border>
    <border>
      <left style="thin">
        <color theme="1"/>
      </left>
      <right style="thin">
        <color theme="1"/>
      </right>
      <top/>
      <bottom/>
      <diagonal/>
    </border>
    <border>
      <left style="thin">
        <color indexed="64"/>
      </left>
      <right style="thin">
        <color indexed="64"/>
      </right>
      <top style="thin">
        <color rgb="FF000000"/>
      </top>
      <bottom style="thin">
        <color indexed="64"/>
      </bottom>
      <diagonal/>
    </border>
    <border>
      <left/>
      <right style="thin">
        <color rgb="FFBFBFBF"/>
      </right>
      <top style="thin">
        <color rgb="FFA5A5A5"/>
      </top>
      <bottom style="thin">
        <color rgb="FFBFBFBF"/>
      </bottom>
      <diagonal/>
    </border>
    <border>
      <left/>
      <right style="thin">
        <color rgb="FFBFBFBF"/>
      </right>
      <top style="thin">
        <color indexed="64"/>
      </top>
      <bottom style="thin">
        <color rgb="FFBFBFBF"/>
      </bottom>
      <diagonal/>
    </border>
    <border>
      <left/>
      <right style="double">
        <color rgb="FF000000"/>
      </right>
      <top/>
      <bottom style="medium">
        <color indexed="64"/>
      </bottom>
      <diagonal/>
    </border>
    <border>
      <left style="medium">
        <color rgb="FF000000"/>
      </left>
      <right style="thin">
        <color rgb="FFBFBFBF"/>
      </right>
      <top/>
      <bottom style="thin">
        <color indexed="64"/>
      </bottom>
      <diagonal/>
    </border>
    <border>
      <left style="medium">
        <color rgb="FF000000"/>
      </left>
      <right/>
      <top/>
      <bottom style="medium">
        <color indexed="64"/>
      </bottom>
      <diagonal/>
    </border>
    <border>
      <left style="thin">
        <color rgb="FF000000"/>
      </left>
      <right style="thin">
        <color rgb="FF000000"/>
      </right>
      <top style="medium">
        <color indexed="64"/>
      </top>
      <bottom/>
      <diagonal/>
    </border>
    <border>
      <left style="double">
        <color rgb="FF000000"/>
      </left>
      <right/>
      <top style="medium">
        <color indexed="64"/>
      </top>
      <bottom/>
      <diagonal/>
    </border>
    <border>
      <left/>
      <right style="thin">
        <color indexed="64"/>
      </right>
      <top style="medium">
        <color rgb="FF000000"/>
      </top>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top style="thin">
        <color indexed="64"/>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top style="thin">
        <color theme="0" tint="-0.249977111117893"/>
      </top>
      <bottom style="thin">
        <color indexed="64"/>
      </bottom>
      <diagonal/>
    </border>
    <border>
      <left style="thin">
        <color indexed="64"/>
      </left>
      <right style="thin">
        <color theme="0" tint="-0.249977111117893"/>
      </right>
      <top style="thin">
        <color rgb="FF000000"/>
      </top>
      <bottom style="thin">
        <color theme="0" tint="-0.249977111117893"/>
      </bottom>
      <diagonal/>
    </border>
    <border>
      <left style="thin">
        <color theme="0" tint="-0.249977111117893"/>
      </left>
      <right/>
      <top style="thin">
        <color rgb="FF000000"/>
      </top>
      <bottom style="thin">
        <color theme="0" tint="-0.249977111117893"/>
      </bottom>
      <diagonal/>
    </border>
    <border>
      <left style="thin">
        <color indexed="64"/>
      </left>
      <right style="thin">
        <color theme="0" tint="-0.249977111117893"/>
      </right>
      <top style="thin">
        <color theme="0" tint="-0.249977111117893"/>
      </top>
      <bottom style="thin">
        <color rgb="FF000000"/>
      </bottom>
      <diagonal/>
    </border>
    <border>
      <left style="thin">
        <color theme="0" tint="-0.249977111117893"/>
      </left>
      <right/>
      <top style="thin">
        <color theme="0" tint="-0.249977111117893"/>
      </top>
      <bottom style="thin">
        <color rgb="FF000000"/>
      </bottom>
      <diagonal/>
    </border>
    <border>
      <left style="thin">
        <color indexed="64"/>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thin">
        <color theme="0" tint="-0.249977111117893"/>
      </right>
      <top/>
      <bottom style="thin">
        <color theme="0" tint="-0.249977111117893"/>
      </bottom>
      <diagonal/>
    </border>
    <border>
      <left style="double">
        <color rgb="FF000000"/>
      </left>
      <right style="thin">
        <color rgb="FF000000"/>
      </right>
      <top/>
      <bottom style="medium">
        <color indexed="64"/>
      </bottom>
      <diagonal/>
    </border>
    <border>
      <left style="thin">
        <color theme="0" tint="-0.249977111117893"/>
      </left>
      <right style="medium">
        <color indexed="64"/>
      </right>
      <top/>
      <bottom/>
      <diagonal/>
    </border>
    <border>
      <left style="thin">
        <color theme="0" tint="-0.249977111117893"/>
      </left>
      <right style="medium">
        <color indexed="64"/>
      </right>
      <top/>
      <bottom style="thin">
        <color rgb="FF000000"/>
      </bottom>
      <diagonal/>
    </border>
    <border>
      <left style="thin">
        <color theme="0" tint="-0.249977111117893"/>
      </left>
      <right/>
      <top/>
      <bottom style="thin">
        <color rgb="FF000000"/>
      </bottom>
      <diagonal/>
    </border>
    <border>
      <left/>
      <right style="thin">
        <color rgb="FFA6A6A6"/>
      </right>
      <top/>
      <bottom style="thin">
        <color theme="0" tint="-0.249977111117893"/>
      </bottom>
      <diagonal/>
    </border>
    <border>
      <left style="thin">
        <color rgb="FFA5A5A5"/>
      </left>
      <right style="thin">
        <color theme="0" tint="-0.249977111117893"/>
      </right>
      <top style="thin">
        <color rgb="FFA5A5A5"/>
      </top>
      <bottom style="thin">
        <color theme="0" tint="-0.249977111117893"/>
      </bottom>
      <diagonal/>
    </border>
    <border>
      <left style="thin">
        <color theme="0" tint="-0.249977111117893"/>
      </left>
      <right style="thin">
        <color theme="0" tint="-0.249977111117893"/>
      </right>
      <top style="thin">
        <color rgb="FFA5A5A5"/>
      </top>
      <bottom style="thin">
        <color theme="0" tint="-0.249977111117893"/>
      </bottom>
      <diagonal/>
    </border>
    <border>
      <left style="thin">
        <color theme="0" tint="-0.249977111117893"/>
      </left>
      <right style="thin">
        <color rgb="FFA5A5A5"/>
      </right>
      <top style="thin">
        <color rgb="FFA5A5A5"/>
      </top>
      <bottom style="thin">
        <color theme="0" tint="-0.249977111117893"/>
      </bottom>
      <diagonal/>
    </border>
    <border>
      <left style="thin">
        <color theme="0" tint="-0.249977111117893"/>
      </left>
      <right style="thin">
        <color rgb="FFA5A5A5"/>
      </right>
      <top style="thin">
        <color theme="0" tint="-0.249977111117893"/>
      </top>
      <bottom style="thin">
        <color theme="0" tint="-0.249977111117893"/>
      </bottom>
      <diagonal/>
    </border>
    <border>
      <left style="thin">
        <color rgb="FFBFBFBF"/>
      </left>
      <right style="thin">
        <color theme="0" tint="-0.249977111117893"/>
      </right>
      <top style="thin">
        <color theme="0" tint="-0.249977111117893"/>
      </top>
      <bottom style="thin">
        <color rgb="FFBFBFBF"/>
      </bottom>
      <diagonal/>
    </border>
    <border>
      <left style="thin">
        <color theme="0" tint="-0.249977111117893"/>
      </left>
      <right style="thin">
        <color theme="0" tint="-0.249977111117893"/>
      </right>
      <top style="thin">
        <color theme="0" tint="-0.249977111117893"/>
      </top>
      <bottom style="thin">
        <color rgb="FFA5A5A5"/>
      </bottom>
      <diagonal/>
    </border>
    <border>
      <left style="thin">
        <color theme="0" tint="-0.249977111117893"/>
      </left>
      <right style="thin">
        <color rgb="FFA5A5A5"/>
      </right>
      <top style="thin">
        <color theme="0" tint="-0.249977111117893"/>
      </top>
      <bottom style="thin">
        <color rgb="FFA5A5A5"/>
      </bottom>
      <diagonal/>
    </border>
    <border>
      <left style="thin">
        <color theme="0" tint="-0.24994659260841701"/>
      </left>
      <right style="thin">
        <color theme="0" tint="-0.24994659260841701"/>
      </right>
      <top style="thin">
        <color rgb="FFBFBFBF"/>
      </top>
      <bottom style="thin">
        <color theme="0" tint="-0.249977111117893"/>
      </bottom>
      <diagonal/>
    </border>
    <border>
      <left style="medium">
        <color rgb="FF000000"/>
      </left>
      <right style="thin">
        <color theme="0" tint="-0.249977111117893"/>
      </right>
      <top style="thin">
        <color rgb="FFB7B7B7"/>
      </top>
      <bottom style="thin">
        <color theme="0" tint="-0.249977111117893"/>
      </bottom>
      <diagonal/>
    </border>
    <border>
      <left style="thin">
        <color theme="0" tint="-0.249977111117893"/>
      </left>
      <right style="thin">
        <color theme="0" tint="-0.249977111117893"/>
      </right>
      <top style="thin">
        <color rgb="FFB7B7B7"/>
      </top>
      <bottom style="thin">
        <color theme="0" tint="-0.249977111117893"/>
      </bottom>
      <diagonal/>
    </border>
    <border>
      <left style="thin">
        <color theme="0" tint="-0.249977111117893"/>
      </left>
      <right style="thin">
        <color rgb="FFBFBFBF"/>
      </right>
      <top style="thin">
        <color rgb="FFBFBFBF"/>
      </top>
      <bottom style="thin">
        <color theme="0" tint="-0.249977111117893"/>
      </bottom>
      <diagonal/>
    </border>
    <border>
      <left style="medium">
        <color rgb="FF000000"/>
      </left>
      <right style="thin">
        <color theme="0" tint="-0.249977111117893"/>
      </right>
      <top style="thin">
        <color theme="0" tint="-0.249977111117893"/>
      </top>
      <bottom style="thin">
        <color theme="0" tint="-0.249977111117893"/>
      </bottom>
      <diagonal/>
    </border>
    <border>
      <left style="thin">
        <color theme="0" tint="-0.249977111117893"/>
      </left>
      <right style="thin">
        <color rgb="FFBFBFBF"/>
      </right>
      <top style="thin">
        <color theme="0" tint="-0.249977111117893"/>
      </top>
      <bottom style="thin">
        <color theme="0" tint="-0.249977111117893"/>
      </bottom>
      <diagonal/>
    </border>
    <border>
      <left style="medium">
        <color rgb="FF000000"/>
      </left>
      <right style="thin">
        <color theme="0" tint="-0.249977111117893"/>
      </right>
      <top style="thin">
        <color theme="0" tint="-0.249977111117893"/>
      </top>
      <bottom style="thin">
        <color rgb="FF000000"/>
      </bottom>
      <diagonal/>
    </border>
    <border>
      <left style="thin">
        <color theme="0" tint="-0.249977111117893"/>
      </left>
      <right style="thin">
        <color rgb="FFBFBFBF"/>
      </right>
      <top style="thin">
        <color theme="0" tint="-0.249977111117893"/>
      </top>
      <bottom style="thin">
        <color rgb="FF000000"/>
      </bottom>
      <diagonal/>
    </border>
    <border>
      <left style="thin">
        <color theme="0" tint="-0.249977111117893"/>
      </left>
      <right style="thin">
        <color rgb="FFB7B7B7"/>
      </right>
      <top style="thin">
        <color rgb="FFB7B7B7"/>
      </top>
      <bottom style="thin">
        <color theme="0" tint="-0.249977111117893"/>
      </bottom>
      <diagonal/>
    </border>
    <border>
      <left style="thin">
        <color theme="0" tint="-0.249977111117893"/>
      </left>
      <right style="thin">
        <color rgb="FFB7B7B7"/>
      </right>
      <top style="thin">
        <color theme="0" tint="-0.249977111117893"/>
      </top>
      <bottom style="thin">
        <color theme="0" tint="-0.249977111117893"/>
      </bottom>
      <diagonal/>
    </border>
    <border>
      <left style="medium">
        <color rgb="FF000000"/>
      </left>
      <right style="thin">
        <color theme="0" tint="-0.249977111117893"/>
      </right>
      <top style="thin">
        <color theme="0" tint="-0.249977111117893"/>
      </top>
      <bottom style="thin">
        <color rgb="FFB7B7B7"/>
      </bottom>
      <diagonal/>
    </border>
    <border>
      <left style="thin">
        <color theme="0" tint="-0.249977111117893"/>
      </left>
      <right style="thin">
        <color theme="0" tint="-0.249977111117893"/>
      </right>
      <top style="thin">
        <color theme="0" tint="-0.249977111117893"/>
      </top>
      <bottom style="thin">
        <color rgb="FFB7B7B7"/>
      </bottom>
      <diagonal/>
    </border>
    <border>
      <left style="thin">
        <color theme="0" tint="-0.249977111117893"/>
      </left>
      <right style="thin">
        <color rgb="FFB7B7B7"/>
      </right>
      <top style="thin">
        <color theme="0" tint="-0.249977111117893"/>
      </top>
      <bottom style="thin">
        <color rgb="FFB7B7B7"/>
      </bottom>
      <diagonal/>
    </border>
    <border>
      <left style="medium">
        <color rgb="FF000000"/>
      </left>
      <right style="thin">
        <color theme="0" tint="-0.249977111117893"/>
      </right>
      <top style="medium">
        <color rgb="FF000000"/>
      </top>
      <bottom style="thin">
        <color theme="0" tint="-0.249977111117893"/>
      </bottom>
      <diagonal/>
    </border>
    <border>
      <left style="thin">
        <color theme="0" tint="-0.249977111117893"/>
      </left>
      <right style="thin">
        <color theme="0" tint="-0.249977111117893"/>
      </right>
      <top style="medium">
        <color rgb="FF000000"/>
      </top>
      <bottom style="thin">
        <color theme="0" tint="-0.249977111117893"/>
      </bottom>
      <diagonal/>
    </border>
    <border>
      <left style="thin">
        <color theme="0" tint="-0.249977111117893"/>
      </left>
      <right style="double">
        <color rgb="FF000000"/>
      </right>
      <top style="medium">
        <color rgb="FF000000"/>
      </top>
      <bottom style="thin">
        <color theme="0" tint="-0.249977111117893"/>
      </bottom>
      <diagonal/>
    </border>
    <border>
      <left style="thin">
        <color theme="0" tint="-0.249977111117893"/>
      </left>
      <right style="double">
        <color rgb="FF000000"/>
      </right>
      <top style="thin">
        <color theme="0" tint="-0.249977111117893"/>
      </top>
      <bottom style="thin">
        <color theme="0" tint="-0.249977111117893"/>
      </bottom>
      <diagonal/>
    </border>
    <border>
      <left style="medium">
        <color rgb="FF000000"/>
      </left>
      <right style="thin">
        <color theme="0" tint="-0.249977111117893"/>
      </right>
      <top/>
      <bottom style="thin">
        <color theme="0" tint="-0.249977111117893"/>
      </bottom>
      <diagonal/>
    </border>
    <border>
      <left style="thin">
        <color rgb="FF000000"/>
      </left>
      <right style="thin">
        <color theme="0" tint="-0.249977111117893"/>
      </right>
      <top style="medium">
        <color rgb="FF000000"/>
      </top>
      <bottom style="thin">
        <color theme="0" tint="-0.249977111117893"/>
      </bottom>
      <diagonal/>
    </border>
    <border>
      <left style="thin">
        <color rgb="FF000000"/>
      </left>
      <right style="thin">
        <color theme="0" tint="-0.249977111117893"/>
      </right>
      <top style="thin">
        <color theme="0" tint="-0.249977111117893"/>
      </top>
      <bottom style="thin">
        <color theme="0" tint="-0.249977111117893"/>
      </bottom>
      <diagonal/>
    </border>
    <border>
      <left style="thin">
        <color rgb="FF000000"/>
      </left>
      <right style="thin">
        <color theme="0" tint="-0.249977111117893"/>
      </right>
      <top style="thin">
        <color theme="0" tint="-0.249977111117893"/>
      </top>
      <bottom style="thin">
        <color rgb="FF000000"/>
      </bottom>
      <diagonal/>
    </border>
    <border>
      <left style="thin">
        <color theme="0" tint="-0.249977111117893"/>
      </left>
      <right style="double">
        <color rgb="FF000000"/>
      </right>
      <top style="thin">
        <color theme="0" tint="-0.249977111117893"/>
      </top>
      <bottom style="thin">
        <color rgb="FF000000"/>
      </bottom>
      <diagonal/>
    </border>
    <border>
      <left style="medium">
        <color rgb="FF000000"/>
      </left>
      <right style="thin">
        <color theme="0" tint="-0.249977111117893"/>
      </right>
      <top style="thin">
        <color rgb="FF000000"/>
      </top>
      <bottom style="thin">
        <color theme="0" tint="-0.249977111117893"/>
      </bottom>
      <diagonal/>
    </border>
    <border>
      <left style="thin">
        <color theme="0" tint="-0.249977111117893"/>
      </left>
      <right/>
      <top style="medium">
        <color rgb="FF000000"/>
      </top>
      <bottom style="thin">
        <color theme="0" tint="-0.249977111117893"/>
      </bottom>
      <diagonal/>
    </border>
    <border>
      <left style="thin">
        <color rgb="FF000000"/>
      </left>
      <right style="thin">
        <color theme="0" tint="-0.249977111117893"/>
      </right>
      <top style="thin">
        <color rgb="FF000000"/>
      </top>
      <bottom style="thin">
        <color theme="0" tint="-0.249977111117893"/>
      </bottom>
      <diagonal/>
    </border>
    <border>
      <left style="thin">
        <color theme="0" tint="-0.249977111117893"/>
      </left>
      <right style="double">
        <color rgb="FF000000"/>
      </right>
      <top style="thin">
        <color rgb="FF000000"/>
      </top>
      <bottom style="thin">
        <color theme="0" tint="-0.249977111117893"/>
      </bottom>
      <diagonal/>
    </border>
    <border>
      <left style="thin">
        <color rgb="FF000000"/>
      </left>
      <right style="thin">
        <color theme="0" tint="-0.249977111117893"/>
      </right>
      <top style="thin">
        <color theme="0" tint="-0.249977111117893"/>
      </top>
      <bottom/>
      <diagonal/>
    </border>
    <border>
      <left style="medium">
        <color rgb="FF000000"/>
      </left>
      <right style="thin">
        <color theme="0" tint="-0.249977111117893"/>
      </right>
      <top style="thin">
        <color theme="0" tint="-0.249977111117893"/>
      </top>
      <bottom/>
      <diagonal/>
    </border>
    <border>
      <left style="thin">
        <color theme="0" tint="-0.249977111117893"/>
      </left>
      <right style="double">
        <color rgb="FF000000"/>
      </right>
      <top style="thin">
        <color theme="0" tint="-0.249977111117893"/>
      </top>
      <bottom/>
      <diagonal/>
    </border>
    <border>
      <left style="thin">
        <color rgb="FF000000"/>
      </left>
      <right style="thin">
        <color theme="0" tint="-0.249977111117893"/>
      </right>
      <top/>
      <bottom style="thin">
        <color theme="0" tint="-0.249977111117893"/>
      </bottom>
      <diagonal/>
    </border>
    <border>
      <left style="thin">
        <color theme="0" tint="-0.249977111117893"/>
      </left>
      <right style="double">
        <color rgb="FF000000"/>
      </right>
      <top/>
      <bottom style="thin">
        <color theme="0" tint="-0.249977111117893"/>
      </bottom>
      <diagonal/>
    </border>
    <border>
      <left style="thin">
        <color rgb="FF000000"/>
      </left>
      <right style="thin">
        <color theme="0" tint="-0.249977111117893"/>
      </right>
      <top style="thin">
        <color rgb="FF000000"/>
      </top>
      <bottom style="thin">
        <color rgb="FF000000"/>
      </bottom>
      <diagonal/>
    </border>
    <border>
      <left style="thin">
        <color theme="0" tint="-0.249977111117893"/>
      </left>
      <right style="thin">
        <color theme="0" tint="-0.249977111117893"/>
      </right>
      <top style="thin">
        <color rgb="FF000000"/>
      </top>
      <bottom style="thin">
        <color rgb="FF000000"/>
      </bottom>
      <diagonal/>
    </border>
    <border>
      <left style="thin">
        <color theme="0" tint="-0.249977111117893"/>
      </left>
      <right/>
      <top style="thin">
        <color rgb="FF000000"/>
      </top>
      <bottom style="thin">
        <color rgb="FF000000"/>
      </bottom>
      <diagonal/>
    </border>
    <border>
      <left style="medium">
        <color rgb="FF000000"/>
      </left>
      <right style="thin">
        <color theme="0" tint="-0.249977111117893"/>
      </right>
      <top style="thin">
        <color rgb="FF000000"/>
      </top>
      <bottom style="thin">
        <color rgb="FF000000"/>
      </bottom>
      <diagonal/>
    </border>
    <border>
      <left style="thin">
        <color theme="0" tint="-0.249977111117893"/>
      </left>
      <right style="double">
        <color rgb="FF000000"/>
      </right>
      <top style="thin">
        <color rgb="FF000000"/>
      </top>
      <bottom style="thin">
        <color rgb="FF000000"/>
      </bottom>
      <diagonal/>
    </border>
    <border>
      <left style="thin">
        <color rgb="FF4F6128"/>
      </left>
      <right style="thin">
        <color rgb="FF4F6128"/>
      </right>
      <top style="thin">
        <color rgb="FF4F6128"/>
      </top>
      <bottom style="medium">
        <color rgb="FF000000"/>
      </bottom>
      <diagonal/>
    </border>
    <border>
      <left style="thin">
        <color rgb="FF4F6128"/>
      </left>
      <right/>
      <top style="thin">
        <color rgb="FF4F6128"/>
      </top>
      <bottom style="medium">
        <color rgb="FF000000"/>
      </bottom>
      <diagonal/>
    </border>
    <border>
      <left style="thin">
        <color rgb="FFE36C09"/>
      </left>
      <right style="double">
        <color rgb="FF000000"/>
      </right>
      <top style="thin">
        <color rgb="FFE36C09"/>
      </top>
      <bottom style="medium">
        <color rgb="FF000000"/>
      </bottom>
      <diagonal/>
    </border>
    <border>
      <left/>
      <right/>
      <top style="double">
        <color rgb="FF000000"/>
      </top>
      <bottom style="thin">
        <color rgb="FF5B9BD5"/>
      </bottom>
      <diagonal/>
    </border>
    <border>
      <left style="thin">
        <color rgb="FF000000"/>
      </left>
      <right style="thin">
        <color theme="0" tint="-0.249977111117893"/>
      </right>
      <top/>
      <bottom style="thin">
        <color rgb="FF000000"/>
      </bottom>
      <diagonal/>
    </border>
    <border>
      <left style="thin">
        <color theme="0" tint="-0.249977111117893"/>
      </left>
      <right style="thin">
        <color theme="0" tint="-0.249977111117893"/>
      </right>
      <top/>
      <bottom style="thin">
        <color rgb="FF000000"/>
      </bottom>
      <diagonal/>
    </border>
    <border>
      <left style="medium">
        <color rgb="FF000000"/>
      </left>
      <right style="thin">
        <color theme="0" tint="-0.249977111117893"/>
      </right>
      <top/>
      <bottom style="thin">
        <color rgb="FF000000"/>
      </bottom>
      <diagonal/>
    </border>
    <border>
      <left style="thin">
        <color theme="0" tint="-0.249977111117893"/>
      </left>
      <right style="double">
        <color rgb="FF000000"/>
      </right>
      <top/>
      <bottom style="thin">
        <color rgb="FF000000"/>
      </bottom>
      <diagonal/>
    </border>
    <border>
      <left style="thin">
        <color theme="0" tint="-0.249977111117893"/>
      </left>
      <right style="thin">
        <color theme="0" tint="-0.249977111117893"/>
      </right>
      <top style="thin">
        <color rgb="FF000000"/>
      </top>
      <bottom/>
      <diagonal/>
    </border>
    <border>
      <left style="thin">
        <color theme="0" tint="-0.249977111117893"/>
      </left>
      <right/>
      <top style="thin">
        <color rgb="FF000000"/>
      </top>
      <bottom/>
      <diagonal/>
    </border>
    <border>
      <left style="medium">
        <color rgb="FF000000"/>
      </left>
      <right style="thin">
        <color theme="0" tint="-0.249977111117893"/>
      </right>
      <top style="thin">
        <color rgb="FF000000"/>
      </top>
      <bottom/>
      <diagonal/>
    </border>
    <border>
      <left style="thin">
        <color theme="0" tint="-0.249977111117893"/>
      </left>
      <right style="double">
        <color rgb="FF000000"/>
      </right>
      <top style="thin">
        <color rgb="FF000000"/>
      </top>
      <bottom/>
      <diagonal/>
    </border>
    <border>
      <left style="thin">
        <color rgb="FF000000"/>
      </left>
      <right style="thin">
        <color theme="0" tint="-0.249977111117893"/>
      </right>
      <top style="thin">
        <color rgb="FF000000"/>
      </top>
      <bottom/>
      <diagonal/>
    </border>
    <border>
      <left style="thin">
        <color rgb="FF000000"/>
      </left>
      <right style="thin">
        <color theme="0" tint="-0.249977111117893"/>
      </right>
      <top/>
      <bottom/>
      <diagonal/>
    </border>
    <border>
      <left style="medium">
        <color rgb="FF000000"/>
      </left>
      <right style="thin">
        <color theme="0" tint="-0.249977111117893"/>
      </right>
      <top/>
      <bottom/>
      <diagonal/>
    </border>
    <border>
      <left style="thin">
        <color theme="0" tint="-0.249977111117893"/>
      </left>
      <right style="double">
        <color rgb="FF000000"/>
      </right>
      <top/>
      <bottom/>
      <diagonal/>
    </border>
    <border>
      <left style="thin">
        <color theme="0" tint="-0.249977111117893"/>
      </left>
      <right style="medium">
        <color rgb="FF000000"/>
      </right>
      <top style="thin">
        <color rgb="FF000000"/>
      </top>
      <bottom/>
      <diagonal/>
    </border>
    <border>
      <left style="thin">
        <color theme="0" tint="-0.249977111117893"/>
      </left>
      <right style="medium">
        <color rgb="FF000000"/>
      </right>
      <top/>
      <bottom/>
      <diagonal/>
    </border>
    <border>
      <left style="thin">
        <color theme="0" tint="-0.249977111117893"/>
      </left>
      <right style="medium">
        <color rgb="FF000000"/>
      </right>
      <top/>
      <bottom style="thin">
        <color rgb="FF000000"/>
      </bottom>
      <diagonal/>
    </border>
    <border>
      <left style="thin">
        <color rgb="FFA5A5A5"/>
      </left>
      <right style="thin">
        <color rgb="FFA5A5A5"/>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style="double">
        <color rgb="FF000000"/>
      </right>
      <top style="medium">
        <color rgb="FF000000"/>
      </top>
      <bottom/>
      <diagonal/>
    </border>
    <border>
      <left style="double">
        <color indexed="64"/>
      </left>
      <right style="thin">
        <color rgb="FF000000"/>
      </right>
      <top style="thin">
        <color rgb="FF000000"/>
      </top>
      <bottom/>
      <diagonal/>
    </border>
    <border>
      <left style="thin">
        <color rgb="FF000000"/>
      </left>
      <right style="double">
        <color indexed="64"/>
      </right>
      <top style="thin">
        <color rgb="FF000000"/>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rgb="FF000000"/>
      </bottom>
      <diagonal/>
    </border>
    <border>
      <left/>
      <right style="double">
        <color auto="1"/>
      </right>
      <top style="thin">
        <color rgb="FF000000"/>
      </top>
      <bottom style="double">
        <color indexed="64"/>
      </bottom>
      <diagonal/>
    </border>
    <border>
      <left style="medium">
        <color rgb="FF000000"/>
      </left>
      <right style="thin">
        <color rgb="FFA5A5A5"/>
      </right>
      <top style="thin">
        <color rgb="FFA5A5A5"/>
      </top>
      <bottom style="thin">
        <color indexed="64"/>
      </bottom>
      <diagonal/>
    </border>
    <border>
      <left style="thin">
        <color rgb="FFA5A5A5"/>
      </left>
      <right style="thin">
        <color rgb="FFA5A5A5"/>
      </right>
      <top style="thin">
        <color rgb="FFA5A5A5"/>
      </top>
      <bottom style="thin">
        <color indexed="64"/>
      </bottom>
      <diagonal/>
    </border>
    <border>
      <left style="medium">
        <color rgb="FF000000"/>
      </left>
      <right style="double">
        <color rgb="FF000000"/>
      </right>
      <top style="double">
        <color rgb="FF000000"/>
      </top>
      <bottom style="thin">
        <color rgb="FFB97034"/>
      </bottom>
      <diagonal/>
    </border>
    <border>
      <left style="medium">
        <color rgb="FF000000"/>
      </left>
      <right/>
      <top style="double">
        <color rgb="FF000000"/>
      </top>
      <bottom style="thin">
        <color theme="8"/>
      </bottom>
      <diagonal/>
    </border>
    <border>
      <left/>
      <right/>
      <top style="double">
        <color rgb="FF000000"/>
      </top>
      <bottom style="thin">
        <color theme="8"/>
      </bottom>
      <diagonal/>
    </border>
    <border>
      <left/>
      <right style="double">
        <color rgb="FF000000"/>
      </right>
      <top style="double">
        <color rgb="FF000000"/>
      </top>
      <bottom style="thin">
        <color theme="8"/>
      </bottom>
      <diagonal/>
    </border>
    <border>
      <left style="thin">
        <color rgb="FFE36C09"/>
      </left>
      <right/>
      <top style="thin">
        <color theme="8"/>
      </top>
      <bottom/>
      <diagonal/>
    </border>
    <border>
      <left/>
      <right/>
      <top style="thin">
        <color theme="8"/>
      </top>
      <bottom/>
      <diagonal/>
    </border>
    <border>
      <left/>
      <right style="thin">
        <color rgb="FFE36C09"/>
      </right>
      <top style="thin">
        <color theme="8"/>
      </top>
      <bottom/>
      <diagonal/>
    </border>
    <border>
      <left style="double">
        <color rgb="FF000000"/>
      </left>
      <right/>
      <top/>
      <bottom style="medium">
        <color indexed="64"/>
      </bottom>
      <diagonal/>
    </border>
    <border>
      <left/>
      <right style="thin">
        <color rgb="FF4F6128"/>
      </right>
      <top/>
      <bottom style="medium">
        <color indexed="64"/>
      </bottom>
      <diagonal/>
    </border>
    <border>
      <left style="medium">
        <color rgb="FF000000"/>
      </left>
      <right style="thin">
        <color theme="0" tint="-0.24994659260841701"/>
      </right>
      <top/>
      <bottom style="thin">
        <color theme="0" tint="-0.24994659260841701"/>
      </bottom>
      <diagonal/>
    </border>
    <border>
      <left style="thin">
        <color theme="0" tint="-0.24994659260841701"/>
      </left>
      <right style="double">
        <color rgb="FF000000"/>
      </right>
      <top style="thin">
        <color rgb="FF000000"/>
      </top>
      <bottom style="thin">
        <color theme="0" tint="-0.24994659260841701"/>
      </bottom>
      <diagonal/>
    </border>
    <border>
      <left style="thin">
        <color theme="0" tint="-0.24994659260841701"/>
      </left>
      <right style="double">
        <color rgb="FF000000"/>
      </right>
      <top style="thin">
        <color theme="0" tint="-0.24994659260841701"/>
      </top>
      <bottom style="thin">
        <color theme="0" tint="-0.24994659260841701"/>
      </bottom>
      <diagonal/>
    </border>
    <border>
      <left style="thin">
        <color theme="0" tint="-0.24994659260841701"/>
      </left>
      <right style="double">
        <color rgb="FF000000"/>
      </right>
      <top style="thin">
        <color theme="0" tint="-0.24994659260841701"/>
      </top>
      <bottom/>
      <diagonal/>
    </border>
    <border>
      <left style="thin">
        <color theme="0" tint="-0.24994659260841701"/>
      </left>
      <right/>
      <top style="thin">
        <color rgb="FF000000"/>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double">
        <color rgb="FF000000"/>
      </right>
      <top style="medium">
        <color rgb="FF000000"/>
      </top>
      <bottom/>
      <diagonal/>
    </border>
    <border>
      <left style="thin">
        <color theme="0" tint="-0.24994659260841701"/>
      </left>
      <right style="double">
        <color rgb="FF000000"/>
      </right>
      <top/>
      <bottom/>
      <diagonal/>
    </border>
    <border>
      <left style="thin">
        <color theme="0" tint="-0.24994659260841701"/>
      </left>
      <right style="double">
        <color rgb="FF000000"/>
      </right>
      <top/>
      <bottom style="thin">
        <color rgb="FF000000"/>
      </bottom>
      <diagonal/>
    </border>
    <border>
      <left style="thin">
        <color theme="0" tint="-0.24994659260841701"/>
      </left>
      <right style="double">
        <color rgb="FF000000"/>
      </right>
      <top style="thin">
        <color rgb="FF000000"/>
      </top>
      <bottom/>
      <diagonal/>
    </border>
    <border>
      <left style="medium">
        <color theme="1"/>
      </left>
      <right/>
      <top style="double">
        <color rgb="FF000000"/>
      </top>
      <bottom style="thin">
        <color rgb="FFE36C09"/>
      </bottom>
      <diagonal/>
    </border>
    <border>
      <left style="medium">
        <color theme="1"/>
      </left>
      <right/>
      <top style="thin">
        <color rgb="FFE36C09"/>
      </top>
      <bottom style="thin">
        <color rgb="FFE36C09"/>
      </bottom>
      <diagonal/>
    </border>
    <border>
      <left style="medium">
        <color theme="1"/>
      </left>
      <right/>
      <top style="thin">
        <color rgb="FFE36C09"/>
      </top>
      <bottom style="medium">
        <color rgb="FF000000"/>
      </bottom>
      <diagonal/>
    </border>
    <border>
      <left style="medium">
        <color auto="1"/>
      </left>
      <right/>
      <top style="double">
        <color rgb="FF000000"/>
      </top>
      <bottom style="thin">
        <color rgb="FFE36C09"/>
      </bottom>
      <diagonal/>
    </border>
    <border>
      <left style="medium">
        <color auto="1"/>
      </left>
      <right/>
      <top style="thin">
        <color rgb="FFE36C09"/>
      </top>
      <bottom style="thin">
        <color rgb="FFE36C09"/>
      </bottom>
      <diagonal/>
    </border>
    <border>
      <left style="medium">
        <color auto="1"/>
      </left>
      <right/>
      <top style="thin">
        <color rgb="FFE36C09"/>
      </top>
      <bottom style="medium">
        <color rgb="FF000000"/>
      </bottom>
      <diagonal/>
    </border>
    <border>
      <left style="medium">
        <color rgb="FF000000"/>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medium">
        <color rgb="FF000000"/>
      </left>
      <right style="thin">
        <color theme="8"/>
      </right>
      <top style="thin">
        <color theme="8"/>
      </top>
      <bottom style="medium">
        <color indexed="64"/>
      </bottom>
      <diagonal/>
    </border>
    <border>
      <left style="thin">
        <color theme="8"/>
      </left>
      <right style="thin">
        <color theme="8"/>
      </right>
      <top style="thin">
        <color theme="8"/>
      </top>
      <bottom style="medium">
        <color indexed="64"/>
      </bottom>
      <diagonal/>
    </border>
    <border>
      <left style="thin">
        <color rgb="FF70AD47"/>
      </left>
      <right style="thin">
        <color rgb="FF70AD47"/>
      </right>
      <top style="thin">
        <color rgb="FF70AD47"/>
      </top>
      <bottom style="medium">
        <color indexed="64"/>
      </bottom>
      <diagonal/>
    </border>
    <border>
      <left style="thin">
        <color rgb="FF70AD47"/>
      </left>
      <right/>
      <top style="thin">
        <color rgb="FF70AD47"/>
      </top>
      <bottom style="medium">
        <color indexed="64"/>
      </bottom>
      <diagonal/>
    </border>
    <border>
      <left style="thin">
        <color rgb="FFC00000"/>
      </left>
      <right style="thin">
        <color rgb="FFC00000"/>
      </right>
      <top style="thin">
        <color rgb="FFC00000"/>
      </top>
      <bottom style="medium">
        <color indexed="64"/>
      </bottom>
      <diagonal/>
    </border>
    <border>
      <left/>
      <right style="thin">
        <color rgb="FF5B9BD5"/>
      </right>
      <top style="thin">
        <color rgb="FF5B9BD5"/>
      </top>
      <bottom style="medium">
        <color indexed="64"/>
      </bottom>
      <diagonal/>
    </border>
    <border>
      <left style="thin">
        <color rgb="FF5B9BD5"/>
      </left>
      <right style="thin">
        <color rgb="FF5B9BD5"/>
      </right>
      <top style="thin">
        <color rgb="FF5B9BD5"/>
      </top>
      <bottom style="medium">
        <color indexed="64"/>
      </bottom>
      <diagonal/>
    </border>
    <border>
      <left style="thin">
        <color rgb="FF5B9BD5"/>
      </left>
      <right/>
      <top style="thin">
        <color rgb="FF5B9BD5"/>
      </top>
      <bottom style="medium">
        <color indexed="64"/>
      </bottom>
      <diagonal/>
    </border>
    <border>
      <left style="medium">
        <color rgb="FF000000"/>
      </left>
      <right/>
      <top style="thin">
        <color rgb="FFE36C09"/>
      </top>
      <bottom style="medium">
        <color indexed="64"/>
      </bottom>
      <diagonal/>
    </border>
    <border>
      <left style="thin">
        <color rgb="FFE36C09"/>
      </left>
      <right style="thin">
        <color rgb="FFE36C09"/>
      </right>
      <top style="thin">
        <color rgb="FFE36C09"/>
      </top>
      <bottom style="medium">
        <color indexed="64"/>
      </bottom>
      <diagonal/>
    </border>
    <border>
      <left/>
      <right style="thin">
        <color rgb="FFE36C09"/>
      </right>
      <top style="thin">
        <color rgb="FFE36C09"/>
      </top>
      <bottom style="medium">
        <color indexed="64"/>
      </bottom>
      <diagonal/>
    </border>
    <border>
      <left style="thin">
        <color rgb="FFE36C09"/>
      </left>
      <right style="double">
        <color rgb="FF000000"/>
      </right>
      <top/>
      <bottom style="medium">
        <color indexed="64"/>
      </bottom>
      <diagonal/>
    </border>
    <border>
      <left style="double">
        <color rgb="FF000000"/>
      </left>
      <right style="thin">
        <color rgb="FF000000"/>
      </right>
      <top/>
      <bottom style="medium">
        <color rgb="FF000000"/>
      </bottom>
      <diagonal/>
    </border>
    <border>
      <left style="thin">
        <color indexed="64"/>
      </left>
      <right style="thin">
        <color rgb="FFB7B7B7"/>
      </right>
      <top style="medium">
        <color rgb="FF000000"/>
      </top>
      <bottom/>
      <diagonal/>
    </border>
    <border>
      <left style="thin">
        <color indexed="64"/>
      </left>
      <right style="thin">
        <color rgb="FFB7B7B7"/>
      </right>
      <top/>
      <bottom/>
      <diagonal/>
    </border>
    <border>
      <left style="thin">
        <color indexed="64"/>
      </left>
      <right style="thin">
        <color rgb="FFB7B7B7"/>
      </right>
      <top/>
      <bottom style="thin">
        <color rgb="FF000000"/>
      </bottom>
      <diagonal/>
    </border>
    <border>
      <left style="thin">
        <color indexed="64"/>
      </left>
      <right style="thin">
        <color rgb="FFB7B7B7"/>
      </right>
      <top/>
      <bottom style="medium">
        <color rgb="FF000000"/>
      </bottom>
      <diagonal/>
    </border>
    <border>
      <left style="thin">
        <color indexed="64"/>
      </left>
      <right style="thin">
        <color rgb="FFB7B7B7"/>
      </right>
      <top style="thin">
        <color rgb="FF000000"/>
      </top>
      <bottom/>
      <diagonal/>
    </border>
    <border>
      <left style="thin">
        <color indexed="64"/>
      </left>
      <right style="thin">
        <color rgb="FFBFBFBF"/>
      </right>
      <top style="medium">
        <color rgb="FF000000"/>
      </top>
      <bottom/>
      <diagonal/>
    </border>
    <border>
      <left style="thin">
        <color indexed="64"/>
      </left>
      <right style="thin">
        <color rgb="FFBFBFBF"/>
      </right>
      <top/>
      <bottom/>
      <diagonal/>
    </border>
    <border>
      <left style="thin">
        <color indexed="64"/>
      </left>
      <right style="thin">
        <color rgb="FFBFBFBF"/>
      </right>
      <top/>
      <bottom style="thin">
        <color rgb="FF000000"/>
      </bottom>
      <diagonal/>
    </border>
    <border>
      <left style="thin">
        <color indexed="64"/>
      </left>
      <right style="thin">
        <color rgb="FFBFBFBF"/>
      </right>
      <top style="thin">
        <color rgb="FF000000"/>
      </top>
      <bottom/>
      <diagonal/>
    </border>
    <border>
      <left style="thin">
        <color indexed="64"/>
      </left>
      <right style="thin">
        <color rgb="FFBFBFBF"/>
      </right>
      <top/>
      <bottom style="medium">
        <color rgb="FF000000"/>
      </bottom>
      <diagonal/>
    </border>
    <border>
      <left style="thin">
        <color indexed="64"/>
      </left>
      <right style="thin">
        <color rgb="FFB7B7B7"/>
      </right>
      <top/>
      <bottom style="thin">
        <color indexed="64"/>
      </bottom>
      <diagonal/>
    </border>
    <border>
      <left style="thin">
        <color rgb="FFB7B7B7"/>
      </left>
      <right style="thin">
        <color rgb="FFB7B7B7"/>
      </right>
      <top/>
      <bottom style="thin">
        <color indexed="64"/>
      </bottom>
      <diagonal/>
    </border>
    <border>
      <left style="thin">
        <color rgb="FFB7B7B7"/>
      </left>
      <right/>
      <top/>
      <bottom style="thin">
        <color indexed="64"/>
      </bottom>
      <diagonal/>
    </border>
    <border>
      <left style="thin">
        <color rgb="FFCCCCCC"/>
      </left>
      <right style="thin">
        <color rgb="FFCCCCCC"/>
      </right>
      <top style="thin">
        <color rgb="FFCCCCCC"/>
      </top>
      <bottom style="thin">
        <color indexed="64"/>
      </bottom>
      <diagonal/>
    </border>
    <border>
      <left/>
      <right style="double">
        <color rgb="FF000000"/>
      </right>
      <top/>
      <bottom style="thin">
        <color indexed="64"/>
      </bottom>
      <diagonal/>
    </border>
    <border>
      <left style="thin">
        <color rgb="FFCCCCCC"/>
      </left>
      <right style="double">
        <color rgb="FF000000"/>
      </right>
      <top/>
      <bottom style="thin">
        <color indexed="64"/>
      </bottom>
      <diagonal/>
    </border>
    <border>
      <left style="thin">
        <color indexed="64"/>
      </left>
      <right style="thin">
        <color rgb="FFBFBFBF"/>
      </right>
      <top/>
      <bottom style="thin">
        <color indexed="64"/>
      </bottom>
      <diagonal/>
    </border>
    <border>
      <left style="thin">
        <color rgb="FF000000"/>
      </left>
      <right style="thin">
        <color rgb="FFBFBFBF"/>
      </right>
      <top/>
      <bottom style="thin">
        <color indexed="64"/>
      </bottom>
      <diagonal/>
    </border>
    <border>
      <left style="thin">
        <color rgb="FF000000"/>
      </left>
      <right style="double">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top style="thin">
        <color rgb="FF000000"/>
      </top>
      <bottom style="medium">
        <color indexed="64"/>
      </bottom>
      <diagonal/>
    </border>
    <border>
      <left/>
      <right style="double">
        <color rgb="FF000000"/>
      </right>
      <top style="thin">
        <color rgb="FF000000"/>
      </top>
      <bottom style="medium">
        <color indexed="64"/>
      </bottom>
      <diagonal/>
    </border>
    <border>
      <left style="thin">
        <color theme="8"/>
      </left>
      <right style="thin">
        <color theme="8"/>
      </right>
      <top style="thin">
        <color rgb="FF000000"/>
      </top>
      <bottom style="medium">
        <color indexed="64"/>
      </bottom>
      <diagonal/>
    </border>
    <border>
      <left style="thin">
        <color rgb="FF000000"/>
      </left>
      <right/>
      <top/>
      <bottom style="medium">
        <color indexed="64"/>
      </bottom>
      <diagonal/>
    </border>
    <border>
      <left style="thin">
        <color theme="8"/>
      </left>
      <right style="thin">
        <color theme="8"/>
      </right>
      <top/>
      <bottom style="medium">
        <color indexed="64"/>
      </bottom>
      <diagonal/>
    </border>
    <border>
      <left style="thin">
        <color rgb="FFE36C09"/>
      </left>
      <right style="thin">
        <color rgb="FFE36C09"/>
      </right>
      <top/>
      <bottom style="medium">
        <color indexed="64"/>
      </bottom>
      <diagonal/>
    </border>
    <border>
      <left style="thin">
        <color rgb="FF000000"/>
      </left>
      <right style="thin">
        <color theme="0" tint="-0.249977111117893"/>
      </right>
      <top style="medium">
        <color indexed="64"/>
      </top>
      <bottom style="thin">
        <color theme="0" tint="-0.249977111117893"/>
      </bottom>
      <diagonal/>
    </border>
    <border>
      <left style="thin">
        <color theme="0" tint="-0.249977111117893"/>
      </left>
      <right style="thin">
        <color theme="0" tint="-0.249977111117893"/>
      </right>
      <top style="medium">
        <color indexed="64"/>
      </top>
      <bottom style="thin">
        <color theme="0" tint="-0.249977111117893"/>
      </bottom>
      <diagonal/>
    </border>
    <border>
      <left style="thin">
        <color theme="0" tint="-0.249977111117893"/>
      </left>
      <right/>
      <top style="medium">
        <color indexed="64"/>
      </top>
      <bottom style="thin">
        <color theme="0" tint="-0.249977111117893"/>
      </bottom>
      <diagonal/>
    </border>
    <border>
      <left style="medium">
        <color rgb="FF000000"/>
      </left>
      <right style="thin">
        <color theme="0" tint="-0.249977111117893"/>
      </right>
      <top style="medium">
        <color indexed="64"/>
      </top>
      <bottom style="thin">
        <color theme="0" tint="-0.249977111117893"/>
      </bottom>
      <diagonal/>
    </border>
    <border>
      <left style="thin">
        <color theme="0" tint="-0.249977111117893"/>
      </left>
      <right style="double">
        <color rgb="FF000000"/>
      </right>
      <top style="medium">
        <color indexed="64"/>
      </top>
      <bottom style="thin">
        <color theme="0" tint="-0.249977111117893"/>
      </bottom>
      <diagonal/>
    </border>
    <border>
      <left style="thin">
        <color rgb="FF000000"/>
      </left>
      <right style="thin">
        <color theme="0" tint="-0.249977111117893"/>
      </right>
      <top style="medium">
        <color indexed="64"/>
      </top>
      <bottom/>
      <diagonal/>
    </border>
    <border>
      <left style="thin">
        <color theme="0" tint="-0.249977111117893"/>
      </left>
      <right style="thin">
        <color theme="0" tint="-0.249977111117893"/>
      </right>
      <top style="medium">
        <color indexed="64"/>
      </top>
      <bottom/>
      <diagonal/>
    </border>
    <border>
      <left style="thin">
        <color theme="0" tint="-0.249977111117893"/>
      </left>
      <right/>
      <top style="medium">
        <color indexed="64"/>
      </top>
      <bottom/>
      <diagonal/>
    </border>
    <border>
      <left style="medium">
        <color rgb="FF000000"/>
      </left>
      <right style="thin">
        <color theme="0" tint="-0.249977111117893"/>
      </right>
      <top style="medium">
        <color indexed="64"/>
      </top>
      <bottom/>
      <diagonal/>
    </border>
    <border>
      <left style="thin">
        <color theme="0" tint="-0.249977111117893"/>
      </left>
      <right style="double">
        <color rgb="FF000000"/>
      </right>
      <top style="medium">
        <color indexed="64"/>
      </top>
      <bottom/>
      <diagonal/>
    </border>
    <border>
      <left/>
      <right style="medium">
        <color rgb="FF000000"/>
      </right>
      <top style="thin">
        <color rgb="FF000000"/>
      </top>
      <bottom style="medium">
        <color rgb="FF000000"/>
      </bottom>
      <diagonal/>
    </border>
    <border>
      <left style="medium">
        <color rgb="FF000000"/>
      </left>
      <right style="thin">
        <color theme="0" tint="-0.24994659260841701"/>
      </right>
      <top style="medium">
        <color rgb="FF000000"/>
      </top>
      <bottom style="thin">
        <color theme="0" tint="-0.24994659260841701"/>
      </bottom>
      <diagonal/>
    </border>
    <border>
      <left style="thin">
        <color rgb="FF000000"/>
      </left>
      <right style="double">
        <color rgb="FF000000"/>
      </right>
      <top style="thin">
        <color rgb="FF000000"/>
      </top>
      <bottom style="thin">
        <color indexed="64"/>
      </bottom>
      <diagonal/>
    </border>
    <border>
      <left style="medium">
        <color rgb="FF000000"/>
      </left>
      <right style="thin">
        <color rgb="FF000000"/>
      </right>
      <top/>
      <bottom style="thin">
        <color rgb="FF000000"/>
      </bottom>
      <diagonal/>
    </border>
    <border>
      <left style="thin">
        <color indexed="64"/>
      </left>
      <right/>
      <top style="medium">
        <color rgb="FF000000"/>
      </top>
      <bottom/>
      <diagonal/>
    </border>
    <border>
      <left style="thin">
        <color indexed="64"/>
      </left>
      <right/>
      <top/>
      <bottom style="medium">
        <color rgb="FF000000"/>
      </bottom>
      <diagonal/>
    </border>
    <border>
      <left/>
      <right style="thin">
        <color rgb="FF70AD47"/>
      </right>
      <top style="double">
        <color rgb="FF000000"/>
      </top>
      <bottom/>
      <diagonal/>
    </border>
    <border>
      <left/>
      <right style="thin">
        <color rgb="FF70AD47"/>
      </right>
      <top/>
      <bottom/>
      <diagonal/>
    </border>
    <border>
      <left/>
      <right style="thin">
        <color rgb="FF70AD47"/>
      </right>
      <top/>
      <bottom style="medium">
        <color rgb="FF000000"/>
      </bottom>
      <diagonal/>
    </border>
    <border>
      <left style="double">
        <color rgb="FF000000"/>
      </left>
      <right style="thin">
        <color indexed="64"/>
      </right>
      <top style="medium">
        <color rgb="FF000000"/>
      </top>
      <bottom/>
      <diagonal/>
    </border>
    <border>
      <left style="double">
        <color rgb="FF000000"/>
      </left>
      <right style="thin">
        <color indexed="64"/>
      </right>
      <top/>
      <bottom/>
      <diagonal/>
    </border>
    <border>
      <left style="double">
        <color rgb="FF000000"/>
      </left>
      <right style="thin">
        <color indexed="64"/>
      </right>
      <top/>
      <bottom style="medium">
        <color rgb="FF000000"/>
      </bottom>
      <diagonal/>
    </border>
    <border>
      <left style="thin">
        <color indexed="64"/>
      </left>
      <right style="thin">
        <color rgb="FF000000"/>
      </right>
      <top style="medium">
        <color rgb="FF000000"/>
      </top>
      <bottom/>
      <diagonal/>
    </border>
    <border>
      <left style="thin">
        <color indexed="64"/>
      </left>
      <right style="thin">
        <color rgb="FF000000"/>
      </right>
      <top/>
      <bottom/>
      <diagonal/>
    </border>
    <border>
      <left style="double">
        <color rgb="FF000000"/>
      </left>
      <right style="thin">
        <color indexed="64"/>
      </right>
      <top/>
      <bottom style="thin">
        <color indexed="64"/>
      </bottom>
      <diagonal/>
    </border>
    <border>
      <left style="thin">
        <color rgb="FF000000"/>
      </left>
      <right style="thin">
        <color rgb="FFBFBFBF"/>
      </right>
      <top style="thin">
        <color rgb="FF000000"/>
      </top>
      <bottom style="thin">
        <color indexed="64"/>
      </bottom>
      <diagonal/>
    </border>
    <border>
      <left style="medium">
        <color rgb="FF000000"/>
      </left>
      <right style="thin">
        <color rgb="FFB7B7B7"/>
      </right>
      <top style="thin">
        <color rgb="FFB7B7B7"/>
      </top>
      <bottom style="thin">
        <color indexed="64"/>
      </bottom>
      <diagonal/>
    </border>
    <border>
      <left style="thin">
        <color rgb="FFB7B7B7"/>
      </left>
      <right style="thin">
        <color rgb="FFB7B7B7"/>
      </right>
      <top style="thin">
        <color rgb="FFB7B7B7"/>
      </top>
      <bottom style="thin">
        <color indexed="64"/>
      </bottom>
      <diagonal/>
    </border>
    <border>
      <left style="thin">
        <color rgb="FFB7B7B7"/>
      </left>
      <right style="double">
        <color rgb="FF000000"/>
      </right>
      <top/>
      <bottom style="thin">
        <color indexed="64"/>
      </bottom>
      <diagonal/>
    </border>
    <border>
      <left style="thin">
        <color rgb="FFED7D31"/>
      </left>
      <right style="thin">
        <color rgb="FFED7D31"/>
      </right>
      <top/>
      <bottom style="medium">
        <color indexed="64"/>
      </bottom>
      <diagonal/>
    </border>
    <border>
      <left style="thin">
        <color rgb="FFED7D31"/>
      </left>
      <right style="thin">
        <color rgb="FFE36C09"/>
      </right>
      <top/>
      <bottom style="medium">
        <color rgb="FF000000"/>
      </bottom>
      <diagonal/>
    </border>
    <border>
      <left style="thin">
        <color indexed="64"/>
      </left>
      <right style="thin">
        <color rgb="FFBFBFBF"/>
      </right>
      <top style="thin">
        <color rgb="FF000000"/>
      </top>
      <bottom style="thin">
        <color rgb="FFBFBFBF"/>
      </bottom>
      <diagonal/>
    </border>
    <border>
      <left style="thin">
        <color indexed="64"/>
      </left>
      <right style="thin">
        <color rgb="FFBFBFBF"/>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7B7B7"/>
      </left>
      <right style="thin">
        <color theme="0" tint="-0.249977111117893"/>
      </right>
      <top style="thin">
        <color rgb="FFB7B7B7"/>
      </top>
      <bottom style="thin">
        <color theme="0" tint="-0.249977111117893"/>
      </bottom>
      <diagonal/>
    </border>
    <border>
      <left style="thin">
        <color theme="0" tint="-0.249977111117893"/>
      </left>
      <right style="thin">
        <color theme="0" tint="-0.249977111117893"/>
      </right>
      <top style="thin">
        <color rgb="FFCCCCCC"/>
      </top>
      <bottom style="thin">
        <color theme="0" tint="-0.249977111117893"/>
      </bottom>
      <diagonal/>
    </border>
    <border>
      <left style="thin">
        <color rgb="FFB7B7B7"/>
      </left>
      <right style="thin">
        <color theme="0" tint="-0.249977111117893"/>
      </right>
      <top style="thin">
        <color theme="0" tint="-0.249977111117893"/>
      </top>
      <bottom style="thin">
        <color theme="0" tint="-0.249977111117893"/>
      </bottom>
      <diagonal/>
    </border>
    <border>
      <left/>
      <right/>
      <top style="thin">
        <color indexed="64"/>
      </top>
      <bottom style="medium">
        <color rgb="FF000000"/>
      </bottom>
      <diagonal/>
    </border>
    <border>
      <left style="medium">
        <color rgb="FF000000"/>
      </left>
      <right/>
      <top style="thin">
        <color indexed="64"/>
      </top>
      <bottom style="medium">
        <color rgb="FF000000"/>
      </bottom>
      <diagonal/>
    </border>
    <border>
      <left style="thin">
        <color rgb="FFED7D31"/>
      </left>
      <right style="thin">
        <color rgb="FFED7D31"/>
      </right>
      <top style="thin">
        <color indexed="64"/>
      </top>
      <bottom style="medium">
        <color rgb="FF000000"/>
      </bottom>
      <diagonal/>
    </border>
    <border>
      <left/>
      <right style="double">
        <color rgb="FF000000"/>
      </right>
      <top style="thin">
        <color indexed="64"/>
      </top>
      <bottom style="medium">
        <color rgb="FF000000"/>
      </bottom>
      <diagonal/>
    </border>
    <border>
      <left style="double">
        <color rgb="FF000000"/>
      </left>
      <right/>
      <top/>
      <bottom style="thin">
        <color indexed="64"/>
      </bottom>
      <diagonal/>
    </border>
    <border>
      <left style="double">
        <color rgb="FF000000"/>
      </left>
      <right/>
      <top style="thin">
        <color indexed="64"/>
      </top>
      <bottom/>
      <diagonal/>
    </border>
    <border>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thin">
        <color rgb="FF000000"/>
      </right>
      <top style="thin">
        <color indexed="64"/>
      </top>
      <bottom/>
      <diagonal/>
    </border>
    <border>
      <left style="double">
        <color rgb="FF000000"/>
      </left>
      <right style="thin">
        <color rgb="FF000000"/>
      </right>
      <top style="thin">
        <color indexed="64"/>
      </top>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BFBFBF"/>
      </bottom>
      <diagonal/>
    </border>
    <border>
      <left style="thin">
        <color rgb="FFA5A5A5"/>
      </left>
      <right/>
      <top style="thin">
        <color theme="0" tint="-0.249977111117893"/>
      </top>
      <bottom style="thin">
        <color theme="0" tint="-0.249977111117893"/>
      </bottom>
      <diagonal/>
    </border>
    <border>
      <left style="thin">
        <color rgb="FFA5A5A5"/>
      </left>
      <right/>
      <top style="thin">
        <color rgb="FFA5A5A5"/>
      </top>
      <bottom style="thin">
        <color indexed="64"/>
      </bottom>
      <diagonal/>
    </border>
    <border>
      <left style="thin">
        <color theme="0" tint="-0.24994659260841701"/>
      </left>
      <right style="double">
        <color rgb="FF000000"/>
      </right>
      <top/>
      <bottom style="thin">
        <color indexed="64"/>
      </bottom>
      <diagonal/>
    </border>
    <border>
      <left style="double">
        <color rgb="FF000000"/>
      </left>
      <right style="thin">
        <color rgb="FF000000"/>
      </right>
      <top style="medium">
        <color indexed="64"/>
      </top>
      <bottom/>
      <diagonal/>
    </border>
    <border>
      <left style="double">
        <color rgb="FF000000"/>
      </left>
      <right style="thin">
        <color rgb="FF000000"/>
      </right>
      <top/>
      <bottom style="double">
        <color rgb="FF000000"/>
      </bottom>
      <diagonal/>
    </border>
    <border>
      <left style="thin">
        <color indexed="64"/>
      </left>
      <right style="thin">
        <color theme="1"/>
      </right>
      <top style="medium">
        <color rgb="FF000000"/>
      </top>
      <bottom/>
      <diagonal/>
    </border>
    <border>
      <left style="thin">
        <color indexed="64"/>
      </left>
      <right style="thin">
        <color theme="1"/>
      </right>
      <top/>
      <bottom/>
      <diagonal/>
    </border>
    <border>
      <left style="thin">
        <color rgb="FF000000"/>
      </left>
      <right style="thin">
        <color rgb="FFCCCCCC"/>
      </right>
      <top style="thin">
        <color rgb="FF000000"/>
      </top>
      <bottom/>
      <diagonal/>
    </border>
    <border>
      <left style="thin">
        <color rgb="FFCCCCCC"/>
      </left>
      <right style="thin">
        <color rgb="FFBFBFBF"/>
      </right>
      <top style="thin">
        <color rgb="FF000000"/>
      </top>
      <bottom/>
      <diagonal/>
    </border>
    <border>
      <left style="thin">
        <color rgb="FF000000"/>
      </left>
      <right style="thin">
        <color rgb="FFCCCCCC"/>
      </right>
      <top/>
      <bottom/>
      <diagonal/>
    </border>
    <border>
      <left style="thin">
        <color rgb="FFCCCCCC"/>
      </left>
      <right style="thin">
        <color rgb="FFBFBFBF"/>
      </right>
      <top/>
      <bottom/>
      <diagonal/>
    </border>
    <border>
      <left style="thin">
        <color rgb="FF000000"/>
      </left>
      <right style="thin">
        <color rgb="FFCCCCCC"/>
      </right>
      <top/>
      <bottom style="thin">
        <color indexed="64"/>
      </bottom>
      <diagonal/>
    </border>
    <border>
      <left style="thin">
        <color rgb="FFCCCCCC"/>
      </left>
      <right/>
      <top/>
      <bottom style="thin">
        <color indexed="64"/>
      </bottom>
      <diagonal/>
    </border>
    <border>
      <left style="thin">
        <color rgb="FFBFBFBF"/>
      </left>
      <right style="thin">
        <color rgb="FFCCCCCC"/>
      </right>
      <top/>
      <bottom style="thin">
        <color indexed="64"/>
      </bottom>
      <diagonal/>
    </border>
    <border>
      <left style="thin">
        <color rgb="FFCCCCCC"/>
      </left>
      <right style="thin">
        <color rgb="FFCCCCCC"/>
      </right>
      <top/>
      <bottom style="thin">
        <color indexed="64"/>
      </bottom>
      <diagonal/>
    </border>
    <border>
      <left style="thin">
        <color rgb="FFCCCCCC"/>
      </left>
      <right style="thin">
        <color rgb="FFBFBFBF"/>
      </right>
      <top/>
      <bottom style="thin">
        <color indexed="64"/>
      </bottom>
      <diagonal/>
    </border>
    <border>
      <left style="thin">
        <color theme="0" tint="-0.24994659260841701"/>
      </left>
      <right style="thin">
        <color theme="0" tint="-0.24994659260841701"/>
      </right>
      <top style="medium">
        <color rgb="FF000000"/>
      </top>
      <bottom style="thin">
        <color theme="0" tint="-0.24994659260841701"/>
      </bottom>
      <diagonal/>
    </border>
    <border>
      <left style="thin">
        <color theme="0" tint="-0.24994659260841701"/>
      </left>
      <right style="double">
        <color rgb="FF000000"/>
      </right>
      <top style="medium">
        <color rgb="FF000000"/>
      </top>
      <bottom style="thin">
        <color theme="0" tint="-0.24994659260841701"/>
      </bottom>
      <diagonal/>
    </border>
    <border>
      <left style="thin">
        <color theme="0" tint="-0.24994659260841701"/>
      </left>
      <right style="double">
        <color rgb="FF000000"/>
      </right>
      <top style="thin">
        <color theme="0" tint="-0.24994659260841701"/>
      </top>
      <bottom style="thin">
        <color rgb="FF000000"/>
      </bottom>
      <diagonal/>
    </border>
    <border>
      <left style="thin">
        <color theme="0" tint="-0.24994659260841701"/>
      </left>
      <right style="thin">
        <color rgb="FFBFBFBF"/>
      </right>
      <top style="thin">
        <color rgb="FF000000"/>
      </top>
      <bottom/>
      <diagonal/>
    </border>
    <border>
      <left style="thin">
        <color theme="0" tint="-0.24994659260841701"/>
      </left>
      <right style="thin">
        <color rgb="FFBFBFBF"/>
      </right>
      <top/>
      <bottom/>
      <diagonal/>
    </border>
    <border>
      <left style="thin">
        <color theme="0" tint="-0.24994659260841701"/>
      </left>
      <right style="thin">
        <color rgb="FFBFBFBF"/>
      </right>
      <top/>
      <bottom style="thin">
        <color rgb="FF000000"/>
      </bottom>
      <diagonal/>
    </border>
    <border>
      <left style="thin">
        <color rgb="FF000000"/>
      </left>
      <right/>
      <top style="medium">
        <color rgb="FF000000"/>
      </top>
      <bottom style="medium">
        <color indexed="64"/>
      </bottom>
      <diagonal/>
    </border>
    <border>
      <left/>
      <right/>
      <top style="medium">
        <color indexed="64"/>
      </top>
      <bottom style="double">
        <color indexed="64"/>
      </bottom>
      <diagonal/>
    </border>
    <border>
      <left/>
      <right/>
      <top style="medium">
        <color indexed="64"/>
      </top>
      <bottom style="double">
        <color rgb="FF000000"/>
      </bottom>
      <diagonal/>
    </border>
    <border>
      <left style="double">
        <color rgb="FF000000"/>
      </left>
      <right/>
      <top style="double">
        <color rgb="FF000000"/>
      </top>
      <bottom style="double">
        <color rgb="FF000000"/>
      </bottom>
      <diagonal/>
    </border>
    <border>
      <left/>
      <right style="medium">
        <color rgb="FF000000"/>
      </right>
      <top style="thin">
        <color indexed="64"/>
      </top>
      <bottom style="medium">
        <color rgb="FF000000"/>
      </bottom>
      <diagonal/>
    </border>
    <border>
      <left/>
      <right style="thin">
        <color rgb="FF000000"/>
      </right>
      <top style="thin">
        <color indexed="64"/>
      </top>
      <bottom style="medium">
        <color indexed="64"/>
      </bottom>
      <diagonal/>
    </border>
    <border>
      <left style="medium">
        <color rgb="FF000000"/>
      </left>
      <right style="thin">
        <color theme="8"/>
      </right>
      <top style="double">
        <color rgb="FF000000"/>
      </top>
      <bottom style="thin">
        <color theme="8"/>
      </bottom>
      <diagonal/>
    </border>
    <border>
      <left style="thin">
        <color theme="8"/>
      </left>
      <right style="thin">
        <color theme="8"/>
      </right>
      <top style="double">
        <color rgb="FF000000"/>
      </top>
      <bottom style="thin">
        <color theme="8"/>
      </bottom>
      <diagonal/>
    </border>
    <border>
      <left style="thin">
        <color theme="8"/>
      </left>
      <right style="double">
        <color rgb="FF000000"/>
      </right>
      <top style="double">
        <color rgb="FF000000"/>
      </top>
      <bottom style="thin">
        <color theme="8"/>
      </bottom>
      <diagonal/>
    </border>
    <border>
      <left style="thin">
        <color theme="8"/>
      </left>
      <right style="double">
        <color rgb="FF000000"/>
      </right>
      <top style="thin">
        <color theme="8"/>
      </top>
      <bottom style="thin">
        <color theme="8"/>
      </bottom>
      <diagonal/>
    </border>
    <border>
      <left style="thin">
        <color theme="8"/>
      </left>
      <right style="double">
        <color rgb="FF000000"/>
      </right>
      <top style="thin">
        <color theme="8"/>
      </top>
      <bottom style="medium">
        <color indexed="64"/>
      </bottom>
      <diagonal/>
    </border>
    <border>
      <left style="thin">
        <color theme="0" tint="-0.24994659260841701"/>
      </left>
      <right style="double">
        <color rgb="FF000000"/>
      </right>
      <top style="medium">
        <color indexed="64"/>
      </top>
      <bottom/>
      <diagonal/>
    </border>
    <border>
      <left style="thin">
        <color theme="0" tint="-0.24994659260841701"/>
      </left>
      <right style="double">
        <color rgb="FF000000"/>
      </right>
      <top style="thin">
        <color indexed="64"/>
      </top>
      <bottom/>
      <diagonal/>
    </border>
    <border>
      <left style="double">
        <color rgb="FF000000"/>
      </left>
      <right style="thin">
        <color theme="1"/>
      </right>
      <top style="medium">
        <color indexed="64"/>
      </top>
      <bottom/>
      <diagonal/>
    </border>
    <border>
      <left style="double">
        <color rgb="FF000000"/>
      </left>
      <right style="thin">
        <color theme="1"/>
      </right>
      <top/>
      <bottom style="thin">
        <color indexed="64"/>
      </bottom>
      <diagonal/>
    </border>
    <border>
      <left style="double">
        <color rgb="FF000000"/>
      </left>
      <right style="thin">
        <color theme="1"/>
      </right>
      <top style="thin">
        <color indexed="64"/>
      </top>
      <bottom/>
      <diagonal/>
    </border>
    <border>
      <left style="double">
        <color rgb="FF000000"/>
      </left>
      <right style="thin">
        <color theme="1"/>
      </right>
      <top style="medium">
        <color rgb="FF000000"/>
      </top>
      <bottom/>
      <diagonal/>
    </border>
    <border>
      <left style="double">
        <color rgb="FF000000"/>
      </left>
      <right style="thin">
        <color theme="1"/>
      </right>
      <top/>
      <bottom style="thin">
        <color rgb="FF000000"/>
      </bottom>
      <diagonal/>
    </border>
    <border>
      <left style="double">
        <color rgb="FF000000"/>
      </left>
      <right style="thin">
        <color theme="1"/>
      </right>
      <top style="thin">
        <color rgb="FF000000"/>
      </top>
      <bottom/>
      <diagonal/>
    </border>
    <border>
      <left/>
      <right style="double">
        <color rgb="FF000000"/>
      </right>
      <top style="thin">
        <color indexed="64"/>
      </top>
      <bottom style="medium">
        <color indexed="64"/>
      </bottom>
      <diagonal/>
    </border>
    <border>
      <left/>
      <right style="medium">
        <color rgb="FF000000"/>
      </right>
      <top style="thin">
        <color rgb="FF000000"/>
      </top>
      <bottom style="medium">
        <color indexed="64"/>
      </bottom>
      <diagonal/>
    </border>
    <border>
      <left/>
      <right/>
      <top style="thin">
        <color indexed="64"/>
      </top>
      <bottom style="double">
        <color rgb="FF000000"/>
      </bottom>
      <diagonal/>
    </border>
    <border>
      <left style="thin">
        <color theme="8" tint="0.39994506668294322"/>
      </left>
      <right style="thin">
        <color theme="8" tint="0.39994506668294322"/>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medium">
        <color rgb="FF000000"/>
      </left>
      <right style="double">
        <color rgb="FF000000"/>
      </right>
      <top style="thin">
        <color rgb="FF000000"/>
      </top>
      <bottom style="medium">
        <color rgb="FF000000"/>
      </bottom>
      <diagonal/>
    </border>
    <border>
      <left style="thin">
        <color theme="8" tint="0.39994506668294322"/>
      </left>
      <right style="thin">
        <color theme="8" tint="0.39994506668294322"/>
      </right>
      <top/>
      <bottom style="double">
        <color rgb="FF000000"/>
      </bottom>
      <diagonal/>
    </border>
    <border>
      <left style="thin">
        <color rgb="FF000000"/>
      </left>
      <right/>
      <top style="thin">
        <color indexed="64"/>
      </top>
      <bottom/>
      <diagonal/>
    </border>
    <border>
      <left style="thin">
        <color rgb="FF000000"/>
      </left>
      <right style="thin">
        <color theme="1"/>
      </right>
      <top style="medium">
        <color rgb="FF000000"/>
      </top>
      <bottom/>
      <diagonal/>
    </border>
    <border>
      <left style="thin">
        <color rgb="FF000000"/>
      </left>
      <right style="thin">
        <color theme="1"/>
      </right>
      <top/>
      <bottom/>
      <diagonal/>
    </border>
    <border>
      <left style="thin">
        <color rgb="FF000000"/>
      </left>
      <right style="thin">
        <color theme="1"/>
      </right>
      <top/>
      <bottom style="thin">
        <color indexed="64"/>
      </bottom>
      <diagonal/>
    </border>
    <border>
      <left style="thin">
        <color rgb="FF000000"/>
      </left>
      <right style="thin">
        <color theme="1"/>
      </right>
      <top style="thin">
        <color indexed="64"/>
      </top>
      <bottom/>
      <diagonal/>
    </border>
    <border>
      <left style="medium">
        <color rgb="FF000000"/>
      </left>
      <right style="thin">
        <color rgb="FFCCCCCC"/>
      </right>
      <top/>
      <bottom/>
      <diagonal/>
    </border>
    <border>
      <left style="thin">
        <color rgb="FFBFBFBF"/>
      </left>
      <right style="thin">
        <color theme="0" tint="-0.249977111117893"/>
      </right>
      <top/>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style="thin">
        <color rgb="FFB7B7B7"/>
      </right>
      <top style="thin">
        <color rgb="FFB7B7B7"/>
      </top>
      <bottom style="thin">
        <color theme="0" tint="-0.249977111117893"/>
      </bottom>
      <diagonal/>
    </border>
    <border>
      <left style="thin">
        <color rgb="FFB7B7B7"/>
      </left>
      <right/>
      <top style="thin">
        <color rgb="FFB7B7B7"/>
      </top>
      <bottom style="thin">
        <color theme="0" tint="-0.249977111117893"/>
      </bottom>
      <diagonal/>
    </border>
    <border>
      <left style="thin">
        <color rgb="FFA5A5A5"/>
      </left>
      <right style="thin">
        <color rgb="FFA5A5A5"/>
      </right>
      <top style="thin">
        <color rgb="FFA5A5A5"/>
      </top>
      <bottom style="thin">
        <color theme="0" tint="-0.249977111117893"/>
      </bottom>
      <diagonal/>
    </border>
    <border>
      <left/>
      <right style="thin">
        <color rgb="FFB7B7B7"/>
      </right>
      <top style="thin">
        <color rgb="FFB7B7B7"/>
      </top>
      <bottom style="thin">
        <color theme="0" tint="-0.249977111117893"/>
      </bottom>
      <diagonal/>
    </border>
    <border>
      <left style="medium">
        <color rgb="FF000000"/>
      </left>
      <right style="thin">
        <color rgb="FFA5A5A5"/>
      </right>
      <top style="thin">
        <color rgb="FFA5A5A5"/>
      </top>
      <bottom style="thin">
        <color theme="0" tint="-0.249977111117893"/>
      </bottom>
      <diagonal/>
    </border>
    <border>
      <left style="thin">
        <color rgb="FFB7B7B7"/>
      </left>
      <right style="thin">
        <color rgb="FFB7B7B7"/>
      </right>
      <top style="thin">
        <color rgb="FFB7B7B7"/>
      </top>
      <bottom style="thin">
        <color theme="0" tint="-0.249977111117893"/>
      </bottom>
      <diagonal/>
    </border>
    <border>
      <left style="thin">
        <color rgb="FF000000"/>
      </left>
      <right style="thin">
        <color rgb="FFBFBFBF"/>
      </right>
      <top style="thin">
        <color rgb="FF000000"/>
      </top>
      <bottom style="thin">
        <color rgb="FF000000"/>
      </bottom>
      <diagonal/>
    </border>
    <border>
      <left style="thin">
        <color rgb="FFBFBFBF"/>
      </left>
      <right/>
      <top style="thin">
        <color rgb="FF000000"/>
      </top>
      <bottom style="thin">
        <color rgb="FF000000"/>
      </bottom>
      <diagonal/>
    </border>
    <border>
      <left style="thin">
        <color rgb="FFB7B7B7"/>
      </left>
      <right style="thin">
        <color rgb="FFBFBFBF"/>
      </right>
      <top style="thin">
        <color rgb="FF000000"/>
      </top>
      <bottom style="thin">
        <color rgb="FF000000"/>
      </bottom>
      <diagonal/>
    </border>
    <border>
      <left style="thin">
        <color rgb="FFA5A5A5"/>
      </left>
      <right style="double">
        <color rgb="FF000000"/>
      </right>
      <top style="thin">
        <color rgb="FF000000"/>
      </top>
      <bottom style="thin">
        <color rgb="FF000000"/>
      </bottom>
      <diagonal/>
    </border>
    <border>
      <left style="thin">
        <color rgb="FFBFBFBF"/>
      </left>
      <right style="double">
        <color rgb="FF000000"/>
      </right>
      <top style="thin">
        <color rgb="FF000000"/>
      </top>
      <bottom style="thin">
        <color rgb="FF000000"/>
      </bottom>
      <diagonal/>
    </border>
    <border>
      <left style="thin">
        <color rgb="FFA6A6A6"/>
      </left>
      <right style="thin">
        <color rgb="FFA6A6A6"/>
      </right>
      <top style="thin">
        <color rgb="FFA6A6A6"/>
      </top>
      <bottom style="thin">
        <color rgb="FF000000"/>
      </bottom>
      <diagonal/>
    </border>
    <border>
      <left style="thin">
        <color rgb="FFBFBFBF"/>
      </left>
      <right style="thin">
        <color rgb="FFBFBFBF"/>
      </right>
      <top style="medium">
        <color rgb="FF000000"/>
      </top>
      <bottom style="thin">
        <color rgb="FF000000"/>
      </bottom>
      <diagonal/>
    </border>
    <border>
      <left style="thin">
        <color rgb="FFA5A5A5"/>
      </left>
      <right style="thin">
        <color theme="0" tint="-0.249977111117893"/>
      </right>
      <top/>
      <bottom style="thin">
        <color rgb="FFA5A5A5"/>
      </bottom>
      <diagonal/>
    </border>
    <border>
      <left style="thin">
        <color rgb="FFA5A5A5"/>
      </left>
      <right style="thin">
        <color theme="0" tint="-0.249977111117893"/>
      </right>
      <top style="thin">
        <color rgb="FFA5A5A5"/>
      </top>
      <bottom style="thin">
        <color rgb="FFA5A5A5"/>
      </bottom>
      <diagonal/>
    </border>
    <border>
      <left style="thin">
        <color rgb="FFA5A5A5"/>
      </left>
      <right style="thin">
        <color theme="0" tint="-0.249977111117893"/>
      </right>
      <top style="thin">
        <color rgb="FFA5A5A5"/>
      </top>
      <bottom style="thin">
        <color rgb="FF000000"/>
      </bottom>
      <diagonal/>
    </border>
    <border>
      <left style="thin">
        <color rgb="FFA5A5A5"/>
      </left>
      <right style="thin">
        <color theme="0" tint="-0.249977111117893"/>
      </right>
      <top style="thin">
        <color rgb="FF000000"/>
      </top>
      <bottom style="thin">
        <color rgb="FFA5A5A5"/>
      </bottom>
      <diagonal/>
    </border>
    <border>
      <left style="thin">
        <color rgb="FFA5A5A5"/>
      </left>
      <right style="thin">
        <color theme="0" tint="-0.249977111117893"/>
      </right>
      <top style="thin">
        <color rgb="FFA5A5A5"/>
      </top>
      <bottom/>
      <diagonal/>
    </border>
    <border>
      <left style="thin">
        <color rgb="FFA5A5A5"/>
      </left>
      <right style="thin">
        <color theme="0" tint="-0.249977111117893"/>
      </right>
      <top style="thin">
        <color rgb="FFA5A5A5"/>
      </top>
      <bottom style="thin">
        <color indexed="64"/>
      </bottom>
      <diagonal/>
    </border>
    <border>
      <left style="medium">
        <color rgb="FF000000"/>
      </left>
      <right style="thin">
        <color rgb="FFA5A5A5"/>
      </right>
      <top style="thin">
        <color theme="0" tint="-0.249977111117893"/>
      </top>
      <bottom style="thin">
        <color rgb="FFA5A5A5"/>
      </bottom>
      <diagonal/>
    </border>
    <border>
      <left style="thin">
        <color theme="0" tint="-0.249977111117893"/>
      </left>
      <right style="thin">
        <color rgb="FFA5A5A5"/>
      </right>
      <top style="thin">
        <color rgb="FF000000"/>
      </top>
      <bottom style="thin">
        <color rgb="FFA5A5A5"/>
      </bottom>
      <diagonal/>
    </border>
    <border>
      <left style="thin">
        <color indexed="64"/>
      </left>
      <right style="thin">
        <color rgb="FF000000"/>
      </right>
      <top/>
      <bottom style="medium">
        <color rgb="FF000000"/>
      </bottom>
      <diagonal/>
    </border>
    <border>
      <left style="thin">
        <color rgb="FFA5A5A5"/>
      </left>
      <right/>
      <top style="thin">
        <color rgb="FFA5A5A5"/>
      </top>
      <bottom style="thin">
        <color theme="0" tint="-0.249977111117893"/>
      </bottom>
      <diagonal/>
    </border>
    <border>
      <left style="thin">
        <color rgb="FFA5A5A5"/>
      </left>
      <right style="thin">
        <color rgb="FFA5A5A5"/>
      </right>
      <top/>
      <bottom style="thin">
        <color theme="0" tint="-0.249977111117893"/>
      </bottom>
      <diagonal/>
    </border>
    <border>
      <left style="thin">
        <color rgb="FFA5A5A5"/>
      </left>
      <right/>
      <top/>
      <bottom style="thin">
        <color theme="0" tint="-0.249977111117893"/>
      </bottom>
      <diagonal/>
    </border>
    <border>
      <left style="thin">
        <color rgb="FF000000"/>
      </left>
      <right/>
      <top/>
      <bottom style="thin">
        <color indexed="64"/>
      </bottom>
      <diagonal/>
    </border>
    <border>
      <left style="thin">
        <color rgb="FFBFBFBF"/>
      </left>
      <right style="thin">
        <color theme="0" tint="-0.249977111117893"/>
      </right>
      <top style="thin">
        <color rgb="FF000000"/>
      </top>
      <bottom/>
      <diagonal/>
    </border>
    <border>
      <left style="thin">
        <color rgb="FFBFBFBF"/>
      </left>
      <right style="thin">
        <color theme="0" tint="-0.249977111117893"/>
      </right>
      <top/>
      <bottom style="thin">
        <color rgb="FF000000"/>
      </bottom>
      <diagonal/>
    </border>
    <border>
      <left style="thin">
        <color theme="8"/>
      </left>
      <right/>
      <top style="thin">
        <color rgb="FFE36C09"/>
      </top>
      <bottom style="thin">
        <color rgb="FFE36C09"/>
      </bottom>
      <diagonal/>
    </border>
    <border>
      <left style="thin">
        <color rgb="FFE36C09"/>
      </left>
      <right style="thin">
        <color theme="8"/>
      </right>
      <top style="thin">
        <color rgb="FFE36C09"/>
      </top>
      <bottom style="thin">
        <color rgb="FFE36C09"/>
      </bottom>
      <diagonal/>
    </border>
    <border>
      <left/>
      <right style="double">
        <color rgb="FF000000"/>
      </right>
      <top style="thin">
        <color rgb="FFE36C09"/>
      </top>
      <bottom/>
      <diagonal/>
    </border>
    <border>
      <left style="medium">
        <color rgb="FF000000"/>
      </left>
      <right style="thin">
        <color rgb="FFBFBFBF"/>
      </right>
      <top style="thin">
        <color theme="0" tint="-0.249977111117893"/>
      </top>
      <bottom style="thin">
        <color theme="0" tint="-0.249977111117893"/>
      </bottom>
      <diagonal/>
    </border>
    <border>
      <left style="thin">
        <color rgb="FFBFBFBF"/>
      </left>
      <right style="thin">
        <color rgb="FFBFBFBF"/>
      </right>
      <top style="thin">
        <color theme="0" tint="-0.249977111117893"/>
      </top>
      <bottom style="thin">
        <color theme="0" tint="-0.249977111117893"/>
      </bottom>
      <diagonal/>
    </border>
    <border>
      <left style="thin">
        <color theme="0" tint="-0.249977111117893"/>
      </left>
      <right style="thin">
        <color theme="0" tint="-0.24994659260841701"/>
      </right>
      <top style="thin">
        <color theme="0" tint="-0.24994659260841701"/>
      </top>
      <bottom style="thin">
        <color theme="0" tint="-0.249977111117893"/>
      </bottom>
      <diagonal/>
    </border>
    <border>
      <left style="thin">
        <color theme="0" tint="-0.249977111117893"/>
      </left>
      <right style="thin">
        <color theme="0" tint="-0.24994659260841701"/>
      </right>
      <top style="thin">
        <color theme="0" tint="-0.249977111117893"/>
      </top>
      <bottom style="thin">
        <color theme="0" tint="-0.249977111117893"/>
      </bottom>
      <diagonal/>
    </border>
    <border>
      <left style="thin">
        <color rgb="FF000000"/>
      </left>
      <right style="thin">
        <color indexed="64"/>
      </right>
      <top style="thin">
        <color indexed="64"/>
      </top>
      <bottom/>
      <diagonal/>
    </border>
  </borders>
  <cellStyleXfs count="23">
    <xf numFmtId="0" fontId="0" fillId="0" borderId="0"/>
    <xf numFmtId="9" fontId="91" fillId="0" borderId="0" applyFont="0" applyFill="0" applyBorder="0" applyAlignment="0" applyProtection="0"/>
    <xf numFmtId="0" fontId="93" fillId="0" borderId="344"/>
    <xf numFmtId="0" fontId="2" fillId="0" borderId="344"/>
    <xf numFmtId="0" fontId="92" fillId="0" borderId="344"/>
    <xf numFmtId="0" fontId="93" fillId="0" borderId="344"/>
    <xf numFmtId="0" fontId="15" fillId="0" borderId="344"/>
    <xf numFmtId="0" fontId="15" fillId="0" borderId="344"/>
    <xf numFmtId="0" fontId="15" fillId="0" borderId="344"/>
    <xf numFmtId="0" fontId="32" fillId="0" borderId="344"/>
    <xf numFmtId="0" fontId="93" fillId="0" borderId="344"/>
    <xf numFmtId="0" fontId="168" fillId="0" borderId="344"/>
    <xf numFmtId="0" fontId="170" fillId="0" borderId="344"/>
    <xf numFmtId="43" fontId="15" fillId="0" borderId="344" applyFont="0" applyFill="0" applyBorder="0" applyAlignment="0" applyProtection="0"/>
    <xf numFmtId="173" fontId="178" fillId="0" borderId="344" applyFont="0" applyFill="0" applyBorder="0" applyAlignment="0" applyProtection="0"/>
    <xf numFmtId="0" fontId="91" fillId="0" borderId="344"/>
    <xf numFmtId="0" fontId="213" fillId="0" borderId="344"/>
    <xf numFmtId="0" fontId="244" fillId="0" borderId="344"/>
    <xf numFmtId="173" fontId="168" fillId="0" borderId="344" applyFont="0" applyFill="0" applyBorder="0" applyAlignment="0" applyProtection="0"/>
    <xf numFmtId="0" fontId="261" fillId="0" borderId="344"/>
    <xf numFmtId="0" fontId="168" fillId="0" borderId="344"/>
    <xf numFmtId="0" fontId="1" fillId="0" borderId="344"/>
    <xf numFmtId="0" fontId="405" fillId="0" borderId="344"/>
  </cellStyleXfs>
  <cellXfs count="11435">
    <xf numFmtId="0" fontId="0" fillId="0" borderId="0" xfId="0"/>
    <xf numFmtId="0" fontId="3" fillId="0" borderId="0" xfId="0" applyFont="1" applyAlignment="1">
      <alignment vertical="center"/>
    </xf>
    <xf numFmtId="0" fontId="4" fillId="0" borderId="0" xfId="0" applyFont="1" applyAlignment="1">
      <alignment vertical="center"/>
    </xf>
    <xf numFmtId="49" fontId="3" fillId="0" borderId="0" xfId="0" applyNumberFormat="1" applyFont="1" applyAlignment="1">
      <alignment vertical="center"/>
    </xf>
    <xf numFmtId="0" fontId="8" fillId="0" borderId="0" xfId="0" applyFont="1" applyAlignment="1">
      <alignment vertical="center"/>
    </xf>
    <xf numFmtId="0" fontId="9" fillId="0" borderId="0" xfId="0" applyFont="1" applyAlignment="1">
      <alignment horizontal="center" vertical="center" wrapText="1"/>
    </xf>
    <xf numFmtId="0" fontId="11" fillId="0" borderId="0" xfId="0" applyFont="1" applyAlignment="1">
      <alignment vertical="center"/>
    </xf>
    <xf numFmtId="0" fontId="3" fillId="0" borderId="0" xfId="0" applyFont="1" applyAlignment="1">
      <alignment vertical="center" wrapText="1"/>
    </xf>
    <xf numFmtId="0" fontId="3" fillId="0" borderId="0" xfId="0" applyFont="1"/>
    <xf numFmtId="49" fontId="11" fillId="0" borderId="0" xfId="0" applyNumberFormat="1" applyFont="1" applyAlignment="1">
      <alignment horizontal="center" vertical="center"/>
    </xf>
    <xf numFmtId="49" fontId="14" fillId="0" borderId="0" xfId="0" applyNumberFormat="1" applyFont="1" applyAlignment="1">
      <alignment horizontal="center" vertical="center"/>
    </xf>
    <xf numFmtId="0" fontId="8" fillId="0" borderId="0" xfId="0" applyFont="1" applyAlignment="1">
      <alignment vertical="center" wrapText="1"/>
    </xf>
    <xf numFmtId="0" fontId="13" fillId="0" borderId="0" xfId="0" applyFont="1" applyAlignment="1">
      <alignment vertical="center" wrapText="1"/>
    </xf>
    <xf numFmtId="0" fontId="13" fillId="0" borderId="0" xfId="0" applyFont="1" applyAlignment="1">
      <alignment vertical="center"/>
    </xf>
    <xf numFmtId="49" fontId="23" fillId="4" borderId="34" xfId="0" applyNumberFormat="1" applyFont="1" applyFill="1" applyBorder="1" applyAlignment="1">
      <alignment horizontal="center" vertical="center"/>
    </xf>
    <xf numFmtId="0" fontId="23" fillId="4" borderId="34" xfId="0" applyFont="1" applyFill="1" applyBorder="1" applyAlignment="1">
      <alignment horizontal="center" vertical="center" wrapText="1"/>
    </xf>
    <xf numFmtId="49" fontId="23" fillId="4" borderId="37" xfId="0" applyNumberFormat="1" applyFont="1" applyFill="1" applyBorder="1" applyAlignment="1">
      <alignment horizontal="center" vertical="center"/>
    </xf>
    <xf numFmtId="0" fontId="23" fillId="4" borderId="37" xfId="0" applyFont="1" applyFill="1" applyBorder="1" applyAlignment="1">
      <alignment horizontal="center" vertical="center" wrapText="1"/>
    </xf>
    <xf numFmtId="0" fontId="23" fillId="4" borderId="39" xfId="0" applyFont="1" applyFill="1" applyBorder="1" applyAlignment="1">
      <alignment horizontal="center" vertical="center" wrapText="1"/>
    </xf>
    <xf numFmtId="49" fontId="23" fillId="4" borderId="34" xfId="0" applyNumberFormat="1" applyFont="1" applyFill="1" applyBorder="1" applyAlignment="1">
      <alignment horizontal="center" vertical="center" wrapText="1"/>
    </xf>
    <xf numFmtId="49" fontId="23" fillId="4" borderId="39" xfId="0" applyNumberFormat="1" applyFont="1" applyFill="1" applyBorder="1" applyAlignment="1">
      <alignment horizontal="center" vertical="center"/>
    </xf>
    <xf numFmtId="49" fontId="23" fillId="4" borderId="40" xfId="0" applyNumberFormat="1" applyFont="1" applyFill="1" applyBorder="1" applyAlignment="1">
      <alignment horizontal="center" vertical="center"/>
    </xf>
    <xf numFmtId="49" fontId="23" fillId="4" borderId="43" xfId="0" applyNumberFormat="1" applyFont="1" applyFill="1" applyBorder="1" applyAlignment="1">
      <alignment horizontal="center" vertical="center"/>
    </xf>
    <xf numFmtId="0" fontId="23" fillId="4" borderId="43" xfId="0" applyFont="1" applyFill="1" applyBorder="1" applyAlignment="1">
      <alignment horizontal="center" vertical="center" wrapText="1"/>
    </xf>
    <xf numFmtId="49" fontId="26" fillId="4" borderId="34" xfId="0" applyNumberFormat="1" applyFont="1" applyFill="1" applyBorder="1" applyAlignment="1">
      <alignment horizontal="center" vertical="center"/>
    </xf>
    <xf numFmtId="0" fontId="26" fillId="4" borderId="34" xfId="0" applyFont="1" applyFill="1" applyBorder="1" applyAlignment="1">
      <alignment horizontal="center" vertical="center" wrapText="1"/>
    </xf>
    <xf numFmtId="49" fontId="26" fillId="4" borderId="37" xfId="0" applyNumberFormat="1" applyFont="1" applyFill="1" applyBorder="1" applyAlignment="1">
      <alignment horizontal="center" vertical="center"/>
    </xf>
    <xf numFmtId="0" fontId="26" fillId="4" borderId="37" xfId="0" applyFont="1" applyFill="1" applyBorder="1" applyAlignment="1">
      <alignment horizontal="center" vertical="center" wrapText="1"/>
    </xf>
    <xf numFmtId="0" fontId="32" fillId="0" borderId="0" xfId="0" applyFont="1" applyAlignment="1">
      <alignment vertical="center"/>
    </xf>
    <xf numFmtId="0" fontId="33" fillId="0" borderId="0" xfId="0" applyFont="1" applyAlignment="1">
      <alignment vertical="center"/>
    </xf>
    <xf numFmtId="49" fontId="34" fillId="3" borderId="5" xfId="0" applyNumberFormat="1" applyFont="1" applyFill="1" applyBorder="1" applyAlignment="1">
      <alignment horizontal="center" vertical="center"/>
    </xf>
    <xf numFmtId="49" fontId="34" fillId="0" borderId="5" xfId="0" applyNumberFormat="1" applyFont="1" applyBorder="1" applyAlignment="1">
      <alignment horizontal="center" vertical="center"/>
    </xf>
    <xf numFmtId="0" fontId="34" fillId="3" borderId="5" xfId="0" applyFont="1" applyFill="1" applyBorder="1" applyAlignment="1">
      <alignment horizontal="center" vertical="center"/>
    </xf>
    <xf numFmtId="168" fontId="35" fillId="2" borderId="9" xfId="0" applyNumberFormat="1" applyFont="1" applyFill="1" applyBorder="1" applyAlignment="1">
      <alignment horizontal="right" vertical="center"/>
    </xf>
    <xf numFmtId="0" fontId="36" fillId="0" borderId="0" xfId="0" applyFont="1" applyAlignment="1">
      <alignment vertical="center"/>
    </xf>
    <xf numFmtId="168" fontId="32" fillId="0" borderId="0" xfId="0" applyNumberFormat="1" applyFont="1" applyAlignment="1">
      <alignment vertical="center"/>
    </xf>
    <xf numFmtId="0" fontId="30" fillId="0" borderId="0" xfId="0" applyFont="1" applyAlignment="1">
      <alignment horizontal="right" vertical="center"/>
    </xf>
    <xf numFmtId="0" fontId="36" fillId="0" borderId="0" xfId="0" applyFont="1" applyAlignment="1">
      <alignment horizontal="center" vertical="center"/>
    </xf>
    <xf numFmtId="173" fontId="32" fillId="0" borderId="0" xfId="0" applyNumberFormat="1" applyFont="1" applyAlignment="1">
      <alignment vertical="center"/>
    </xf>
    <xf numFmtId="39" fontId="32" fillId="0" borderId="0" xfId="0" applyNumberFormat="1" applyFont="1" applyAlignment="1">
      <alignment vertical="center"/>
    </xf>
    <xf numFmtId="174" fontId="32" fillId="0" borderId="0" xfId="0" applyNumberFormat="1" applyFont="1" applyAlignment="1">
      <alignment vertical="center"/>
    </xf>
    <xf numFmtId="44" fontId="32" fillId="0" borderId="0" xfId="0" applyNumberFormat="1" applyFont="1" applyAlignment="1">
      <alignment vertical="center"/>
    </xf>
    <xf numFmtId="0" fontId="8" fillId="0" borderId="0" xfId="0" applyFont="1" applyAlignment="1">
      <alignment horizontal="center" vertical="center" wrapText="1"/>
    </xf>
    <xf numFmtId="0" fontId="24" fillId="0" borderId="30" xfId="0" applyFont="1" applyBorder="1" applyAlignment="1">
      <alignment horizontal="center" vertical="center" wrapText="1"/>
    </xf>
    <xf numFmtId="168" fontId="38" fillId="0" borderId="30" xfId="0" applyNumberFormat="1" applyFont="1" applyBorder="1" applyAlignment="1">
      <alignment vertical="center"/>
    </xf>
    <xf numFmtId="49" fontId="24" fillId="0" borderId="30" xfId="0" applyNumberFormat="1" applyFont="1" applyBorder="1" applyAlignment="1">
      <alignment horizontal="center" vertical="center"/>
    </xf>
    <xf numFmtId="0" fontId="24" fillId="0" borderId="33" xfId="0" applyFont="1" applyBorder="1" applyAlignment="1">
      <alignment horizontal="left" vertical="center"/>
    </xf>
    <xf numFmtId="0" fontId="24" fillId="0" borderId="34" xfId="0" applyFont="1" applyBorder="1" applyAlignment="1">
      <alignment horizontal="left" vertical="center" wrapText="1"/>
    </xf>
    <xf numFmtId="0" fontId="24" fillId="0" borderId="34" xfId="0" applyFont="1" applyBorder="1" applyAlignment="1">
      <alignment horizontal="center" vertical="center" wrapText="1"/>
    </xf>
    <xf numFmtId="168" fontId="24" fillId="0" borderId="34" xfId="0" applyNumberFormat="1" applyFont="1" applyBorder="1" applyAlignment="1">
      <alignment vertical="center"/>
    </xf>
    <xf numFmtId="168" fontId="38" fillId="0" borderId="34" xfId="0" applyNumberFormat="1" applyFont="1" applyBorder="1" applyAlignment="1">
      <alignment vertical="center"/>
    </xf>
    <xf numFmtId="49" fontId="24" fillId="0" borderId="34" xfId="0" applyNumberFormat="1" applyFont="1" applyBorder="1" applyAlignment="1">
      <alignment horizontal="center" vertical="center"/>
    </xf>
    <xf numFmtId="0" fontId="24" fillId="0" borderId="44" xfId="0" applyFont="1" applyBorder="1" applyAlignment="1">
      <alignment horizontal="left" vertical="center" wrapText="1"/>
    </xf>
    <xf numFmtId="0" fontId="24" fillId="0" borderId="44" xfId="0" applyFont="1" applyBorder="1" applyAlignment="1">
      <alignment horizontal="center" vertical="center" wrapText="1"/>
    </xf>
    <xf numFmtId="168" fontId="24" fillId="0" borderId="44" xfId="0" applyNumberFormat="1" applyFont="1" applyBorder="1" applyAlignment="1">
      <alignment vertical="center"/>
    </xf>
    <xf numFmtId="0" fontId="24" fillId="0" borderId="74" xfId="0" applyFont="1" applyBorder="1" applyAlignment="1">
      <alignment horizontal="center" vertical="center"/>
    </xf>
    <xf numFmtId="0" fontId="24" fillId="0" borderId="74" xfId="0" applyFont="1" applyBorder="1" applyAlignment="1">
      <alignment horizontal="left" vertical="center" wrapText="1"/>
    </xf>
    <xf numFmtId="0" fontId="24" fillId="0" borderId="74" xfId="0" applyFont="1" applyBorder="1" applyAlignment="1">
      <alignment horizontal="center" vertical="center" wrapText="1"/>
    </xf>
    <xf numFmtId="168" fontId="24" fillId="0" borderId="74" xfId="0" applyNumberFormat="1" applyFont="1" applyBorder="1" applyAlignment="1">
      <alignment vertical="center"/>
    </xf>
    <xf numFmtId="0" fontId="24" fillId="0" borderId="75" xfId="0" applyFont="1" applyBorder="1" applyAlignment="1">
      <alignment horizontal="center" vertical="center"/>
    </xf>
    <xf numFmtId="0" fontId="24" fillId="0" borderId="75" xfId="0" applyFont="1" applyBorder="1" applyAlignment="1">
      <alignment horizontal="left" vertical="center" wrapText="1"/>
    </xf>
    <xf numFmtId="0" fontId="24" fillId="0" borderId="75" xfId="0" applyFont="1" applyBorder="1" applyAlignment="1">
      <alignment horizontal="center" vertical="center" wrapText="1"/>
    </xf>
    <xf numFmtId="168" fontId="24" fillId="0" borderId="75" xfId="0" applyNumberFormat="1" applyFont="1" applyBorder="1" applyAlignment="1">
      <alignment vertical="center"/>
    </xf>
    <xf numFmtId="168" fontId="38" fillId="0" borderId="37" xfId="0" applyNumberFormat="1" applyFont="1" applyBorder="1" applyAlignment="1">
      <alignment vertical="center"/>
    </xf>
    <xf numFmtId="0" fontId="24" fillId="0" borderId="37" xfId="0" applyFont="1" applyBorder="1" applyAlignment="1">
      <alignment horizontal="center" vertical="center" wrapText="1"/>
    </xf>
    <xf numFmtId="49" fontId="24" fillId="0" borderId="37" xfId="0" applyNumberFormat="1" applyFont="1" applyBorder="1" applyAlignment="1">
      <alignment horizontal="center" vertical="center"/>
    </xf>
    <xf numFmtId="0" fontId="38" fillId="0" borderId="44" xfId="0" applyFont="1" applyBorder="1" applyAlignment="1">
      <alignment horizontal="left" vertical="center" wrapText="1"/>
    </xf>
    <xf numFmtId="168" fontId="38" fillId="0" borderId="44" xfId="0" applyNumberFormat="1" applyFont="1" applyBorder="1" applyAlignment="1">
      <alignment vertical="center"/>
    </xf>
    <xf numFmtId="0" fontId="23" fillId="0" borderId="44" xfId="0" applyFont="1" applyBorder="1" applyAlignment="1">
      <alignment horizontal="center" vertical="center" wrapText="1"/>
    </xf>
    <xf numFmtId="0" fontId="23" fillId="0" borderId="34" xfId="0" applyFont="1" applyBorder="1" applyAlignment="1">
      <alignment horizontal="center" vertical="center" wrapText="1"/>
    </xf>
    <xf numFmtId="0" fontId="24" fillId="0" borderId="36" xfId="0" applyFont="1" applyBorder="1" applyAlignment="1">
      <alignment horizontal="left" vertical="center"/>
    </xf>
    <xf numFmtId="0" fontId="24" fillId="0" borderId="37" xfId="0" applyFont="1" applyBorder="1" applyAlignment="1">
      <alignment horizontal="left" vertical="center" wrapText="1"/>
    </xf>
    <xf numFmtId="168" fontId="24" fillId="0" borderId="37" xfId="0" applyNumberFormat="1" applyFont="1" applyBorder="1" applyAlignment="1">
      <alignment vertical="center"/>
    </xf>
    <xf numFmtId="49" fontId="24" fillId="0" borderId="44" xfId="0" applyNumberFormat="1" applyFont="1" applyBorder="1" applyAlignment="1">
      <alignment horizontal="center" vertical="center"/>
    </xf>
    <xf numFmtId="0" fontId="24" fillId="0" borderId="37" xfId="0" applyFont="1" applyBorder="1" applyAlignment="1">
      <alignment horizontal="center" vertical="center"/>
    </xf>
    <xf numFmtId="0" fontId="38" fillId="0" borderId="38" xfId="0" applyFont="1" applyBorder="1" applyAlignment="1">
      <alignment horizontal="left" vertical="center"/>
    </xf>
    <xf numFmtId="0" fontId="24" fillId="0" borderId="39" xfId="0" applyFont="1" applyBorder="1" applyAlignment="1">
      <alignment horizontal="center" vertical="center" wrapText="1"/>
    </xf>
    <xf numFmtId="168" fontId="24" fillId="0" borderId="39" xfId="0" applyNumberFormat="1" applyFont="1" applyBorder="1" applyAlignment="1">
      <alignment vertical="center"/>
    </xf>
    <xf numFmtId="168" fontId="38" fillId="0" borderId="39" xfId="0" applyNumberFormat="1" applyFont="1" applyBorder="1" applyAlignment="1">
      <alignment vertical="center"/>
    </xf>
    <xf numFmtId="49" fontId="24" fillId="0" borderId="39" xfId="0" applyNumberFormat="1" applyFont="1" applyBorder="1" applyAlignment="1">
      <alignment horizontal="center" vertical="center"/>
    </xf>
    <xf numFmtId="0" fontId="24" fillId="0" borderId="0" xfId="0" applyFont="1" applyAlignment="1">
      <alignment vertical="center"/>
    </xf>
    <xf numFmtId="0" fontId="38" fillId="0" borderId="0" xfId="0" applyFont="1" applyAlignment="1">
      <alignment vertical="center"/>
    </xf>
    <xf numFmtId="0" fontId="24" fillId="0" borderId="0" xfId="0" applyFont="1" applyAlignment="1">
      <alignment horizontal="center" vertical="center"/>
    </xf>
    <xf numFmtId="0" fontId="24" fillId="0" borderId="0" xfId="0" applyFont="1" applyAlignment="1">
      <alignment horizontal="right" vertical="center"/>
    </xf>
    <xf numFmtId="0" fontId="38" fillId="0" borderId="0" xfId="0" applyFont="1" applyAlignment="1">
      <alignment vertical="center" wrapText="1"/>
    </xf>
    <xf numFmtId="0" fontId="32" fillId="0" borderId="0" xfId="0" applyFont="1" applyAlignment="1">
      <alignment horizontal="center" vertical="center"/>
    </xf>
    <xf numFmtId="0" fontId="24" fillId="0" borderId="0" xfId="0" applyFont="1" applyAlignment="1">
      <alignment vertical="center" wrapText="1"/>
    </xf>
    <xf numFmtId="0" fontId="34" fillId="0" borderId="5" xfId="0" applyFont="1" applyBorder="1" applyAlignment="1">
      <alignment horizontal="center" vertical="center"/>
    </xf>
    <xf numFmtId="0" fontId="40" fillId="0" borderId="0" xfId="0" applyFont="1" applyAlignment="1">
      <alignment horizontal="center" vertical="center" wrapText="1"/>
    </xf>
    <xf numFmtId="0" fontId="24" fillId="0" borderId="84" xfId="0" applyFont="1" applyBorder="1" applyAlignment="1">
      <alignment horizontal="center" vertical="center"/>
    </xf>
    <xf numFmtId="0" fontId="24" fillId="0" borderId="84" xfId="0" applyFont="1" applyBorder="1" applyAlignment="1">
      <alignment horizontal="center" vertical="center" wrapText="1"/>
    </xf>
    <xf numFmtId="168" fontId="38" fillId="0" borderId="84" xfId="0" applyNumberFormat="1" applyFont="1" applyBorder="1" applyAlignment="1">
      <alignment vertical="center"/>
    </xf>
    <xf numFmtId="49" fontId="24" fillId="0" borderId="84" xfId="0" applyNumberFormat="1" applyFont="1" applyBorder="1" applyAlignment="1">
      <alignment horizontal="center" vertical="center"/>
    </xf>
    <xf numFmtId="0" fontId="24" fillId="0" borderId="86" xfId="0" applyFont="1" applyBorder="1" applyAlignment="1">
      <alignment horizontal="center" vertical="center" wrapText="1"/>
    </xf>
    <xf numFmtId="49" fontId="24" fillId="0" borderId="86" xfId="0" applyNumberFormat="1" applyFont="1" applyBorder="1" applyAlignment="1">
      <alignment horizontal="center" vertical="center"/>
    </xf>
    <xf numFmtId="0" fontId="24" fillId="0" borderId="89" xfId="0" applyFont="1" applyBorder="1" applyAlignment="1">
      <alignment horizontal="center" vertical="center" wrapText="1"/>
    </xf>
    <xf numFmtId="0" fontId="23" fillId="0" borderId="86" xfId="0" applyFont="1" applyBorder="1" applyAlignment="1">
      <alignment horizontal="center" vertical="center" wrapText="1"/>
    </xf>
    <xf numFmtId="49" fontId="24" fillId="0" borderId="89" xfId="0" applyNumberFormat="1" applyFont="1" applyBorder="1" applyAlignment="1">
      <alignment horizontal="center" vertical="center"/>
    </xf>
    <xf numFmtId="0" fontId="12" fillId="0" borderId="0" xfId="0" applyFont="1" applyAlignment="1">
      <alignment vertical="center"/>
    </xf>
    <xf numFmtId="0" fontId="14"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horizontal="center" vertical="center"/>
    </xf>
    <xf numFmtId="0" fontId="11" fillId="0" borderId="0" xfId="0" applyFont="1" applyAlignment="1">
      <alignment horizontal="center" vertical="center" wrapText="1"/>
    </xf>
    <xf numFmtId="0" fontId="40" fillId="0" borderId="0" xfId="0" applyFont="1" applyAlignment="1">
      <alignment horizontal="center" vertical="center"/>
    </xf>
    <xf numFmtId="0" fontId="33" fillId="0" borderId="0" xfId="0" applyFont="1" applyAlignment="1">
      <alignment horizontal="center" vertical="center"/>
    </xf>
    <xf numFmtId="168" fontId="14" fillId="0" borderId="0" xfId="0" applyNumberFormat="1" applyFont="1" applyAlignment="1">
      <alignment vertical="center"/>
    </xf>
    <xf numFmtId="0" fontId="14" fillId="0" borderId="0" xfId="0" applyFont="1" applyAlignment="1">
      <alignment horizontal="right" vertical="center"/>
    </xf>
    <xf numFmtId="0" fontId="11" fillId="0" borderId="0" xfId="0" applyFont="1" applyAlignment="1">
      <alignment horizontal="right" vertical="center"/>
    </xf>
    <xf numFmtId="173" fontId="14" fillId="0" borderId="0" xfId="0" applyNumberFormat="1" applyFont="1" applyAlignment="1">
      <alignment vertical="center"/>
    </xf>
    <xf numFmtId="39" fontId="14" fillId="0" borderId="0" xfId="0" applyNumberFormat="1" applyFont="1" applyAlignment="1">
      <alignment vertical="center"/>
    </xf>
    <xf numFmtId="174" fontId="14" fillId="0" borderId="0" xfId="0" applyNumberFormat="1" applyFont="1" applyAlignment="1">
      <alignment vertical="center"/>
    </xf>
    <xf numFmtId="44" fontId="14" fillId="0" borderId="0" xfId="0" applyNumberFormat="1" applyFont="1" applyAlignment="1">
      <alignment vertical="center"/>
    </xf>
    <xf numFmtId="0" fontId="41" fillId="0" borderId="0" xfId="0" applyFont="1" applyAlignment="1">
      <alignment horizontal="center" vertical="center" wrapText="1"/>
    </xf>
    <xf numFmtId="0" fontId="24" fillId="4" borderId="86" xfId="0" applyFont="1" applyFill="1" applyBorder="1" applyAlignment="1">
      <alignment horizontal="center" vertical="center" wrapText="1"/>
    </xf>
    <xf numFmtId="49" fontId="24" fillId="4" borderId="86" xfId="0" applyNumberFormat="1" applyFont="1" applyFill="1" applyBorder="1" applyAlignment="1">
      <alignment horizontal="center" vertical="center"/>
    </xf>
    <xf numFmtId="49" fontId="24" fillId="4" borderId="87" xfId="0" applyNumberFormat="1" applyFont="1" applyFill="1" applyBorder="1" applyAlignment="1">
      <alignment horizontal="center" vertical="center"/>
    </xf>
    <xf numFmtId="0" fontId="24" fillId="4" borderId="84" xfId="0" applyFont="1" applyFill="1" applyBorder="1" applyAlignment="1">
      <alignment horizontal="center" vertical="center" wrapText="1"/>
    </xf>
    <xf numFmtId="49" fontId="24" fillId="4" borderId="84" xfId="0" applyNumberFormat="1" applyFont="1" applyFill="1" applyBorder="1" applyAlignment="1">
      <alignment horizontal="center" vertical="center"/>
    </xf>
    <xf numFmtId="49" fontId="24" fillId="4" borderId="85" xfId="0" applyNumberFormat="1" applyFont="1" applyFill="1" applyBorder="1" applyAlignment="1">
      <alignment horizontal="center" vertical="center"/>
    </xf>
    <xf numFmtId="0" fontId="24" fillId="4" borderId="89" xfId="0" applyFont="1" applyFill="1" applyBorder="1" applyAlignment="1">
      <alignment horizontal="center" vertical="center" wrapText="1"/>
    </xf>
    <xf numFmtId="49" fontId="24" fillId="4" borderId="89" xfId="0" applyNumberFormat="1" applyFont="1" applyFill="1" applyBorder="1" applyAlignment="1">
      <alignment horizontal="center" vertical="center"/>
    </xf>
    <xf numFmtId="49" fontId="24" fillId="4" borderId="90" xfId="0" applyNumberFormat="1" applyFont="1" applyFill="1" applyBorder="1" applyAlignment="1">
      <alignment horizontal="center" vertical="center"/>
    </xf>
    <xf numFmtId="0" fontId="23" fillId="4" borderId="86" xfId="0" applyFont="1" applyFill="1" applyBorder="1" applyAlignment="1">
      <alignment horizontal="center" vertical="center" wrapText="1"/>
    </xf>
    <xf numFmtId="0" fontId="23" fillId="4" borderId="87" xfId="0" applyFont="1" applyFill="1" applyBorder="1" applyAlignment="1">
      <alignment horizontal="center" vertical="center" wrapText="1"/>
    </xf>
    <xf numFmtId="0" fontId="23" fillId="4" borderId="85" xfId="0" applyFont="1" applyFill="1" applyBorder="1" applyAlignment="1">
      <alignment horizontal="center" vertical="center" wrapText="1"/>
    </xf>
    <xf numFmtId="0" fontId="14" fillId="0" borderId="0" xfId="0" applyFont="1" applyAlignment="1">
      <alignment vertical="center" wrapText="1"/>
    </xf>
    <xf numFmtId="168" fontId="14" fillId="0" borderId="0" xfId="0" applyNumberFormat="1" applyFont="1" applyAlignment="1">
      <alignment horizontal="right" vertical="center"/>
    </xf>
    <xf numFmtId="0" fontId="44" fillId="0" borderId="0" xfId="0" applyFont="1" applyAlignment="1">
      <alignment vertical="center"/>
    </xf>
    <xf numFmtId="0" fontId="24" fillId="0" borderId="107" xfId="0" applyFont="1" applyBorder="1" applyAlignment="1">
      <alignment horizontal="center" vertical="center" wrapText="1"/>
    </xf>
    <xf numFmtId="168" fontId="38" fillId="0" borderId="107" xfId="0" applyNumberFormat="1" applyFont="1" applyBorder="1" applyAlignment="1">
      <alignment vertical="center"/>
    </xf>
    <xf numFmtId="49" fontId="24" fillId="0" borderId="107" xfId="0" applyNumberFormat="1" applyFont="1" applyBorder="1" applyAlignment="1">
      <alignment horizontal="center" vertical="center"/>
    </xf>
    <xf numFmtId="0" fontId="38" fillId="0" borderId="44" xfId="0" applyFont="1" applyBorder="1" applyAlignment="1">
      <alignment horizontal="center" vertical="center" wrapText="1"/>
    </xf>
    <xf numFmtId="168" fontId="24" fillId="0" borderId="44" xfId="0" applyNumberFormat="1" applyFont="1" applyBorder="1" applyAlignment="1">
      <alignment horizontal="center" vertical="center"/>
    </xf>
    <xf numFmtId="168" fontId="24" fillId="0" borderId="34" xfId="0" applyNumberFormat="1" applyFont="1" applyBorder="1" applyAlignment="1">
      <alignment horizontal="center" vertical="center"/>
    </xf>
    <xf numFmtId="168" fontId="24" fillId="0" borderId="37" xfId="0" applyNumberFormat="1" applyFont="1" applyBorder="1" applyAlignment="1">
      <alignment horizontal="center" vertical="center"/>
    </xf>
    <xf numFmtId="0" fontId="38" fillId="0" borderId="39" xfId="0" applyFont="1" applyBorder="1" applyAlignment="1">
      <alignment horizontal="left" vertical="center" wrapText="1"/>
    </xf>
    <xf numFmtId="168" fontId="34" fillId="0" borderId="6" xfId="0" applyNumberFormat="1" applyFont="1" applyBorder="1" applyAlignment="1">
      <alignment horizontal="right"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applyAlignment="1">
      <alignment horizontal="center" vertical="center"/>
    </xf>
    <xf numFmtId="0" fontId="49" fillId="0" borderId="0" xfId="0" applyFont="1" applyAlignment="1">
      <alignment horizontal="center" vertical="center"/>
    </xf>
    <xf numFmtId="0" fontId="14" fillId="0" borderId="0" xfId="0" applyFont="1" applyAlignment="1">
      <alignment horizontal="left" vertical="center"/>
    </xf>
    <xf numFmtId="14" fontId="14" fillId="0" borderId="0" xfId="0" applyNumberFormat="1" applyFont="1" applyAlignment="1">
      <alignment horizontal="left" vertical="center"/>
    </xf>
    <xf numFmtId="0" fontId="14" fillId="0" borderId="0" xfId="0" applyFont="1"/>
    <xf numFmtId="1" fontId="34" fillId="3" borderId="5" xfId="0" applyNumberFormat="1" applyFont="1" applyFill="1" applyBorder="1" applyAlignment="1">
      <alignment horizontal="center" vertical="center" wrapText="1"/>
    </xf>
    <xf numFmtId="0" fontId="14" fillId="0" borderId="0" xfId="0" applyFont="1" applyAlignment="1">
      <alignment horizontal="right"/>
    </xf>
    <xf numFmtId="0" fontId="44" fillId="0" borderId="0" xfId="0" applyFont="1"/>
    <xf numFmtId="0" fontId="8" fillId="0" borderId="0" xfId="0" applyFont="1" applyAlignment="1">
      <alignment horizontal="left" vertical="center" wrapText="1"/>
    </xf>
    <xf numFmtId="49" fontId="24" fillId="0" borderId="129" xfId="0" applyNumberFormat="1" applyFont="1" applyBorder="1" applyAlignment="1">
      <alignment horizontal="center" vertical="center"/>
    </xf>
    <xf numFmtId="0" fontId="24" fillId="0" borderId="129" xfId="0" applyFont="1" applyBorder="1" applyAlignment="1">
      <alignment horizontal="center" vertical="center" wrapText="1"/>
    </xf>
    <xf numFmtId="49" fontId="24" fillId="0" borderId="131" xfId="0" applyNumberFormat="1" applyFont="1" applyBorder="1" applyAlignment="1">
      <alignment horizontal="left" vertical="center"/>
    </xf>
    <xf numFmtId="49" fontId="24" fillId="0" borderId="74" xfId="0" applyNumberFormat="1" applyFont="1" applyBorder="1" applyAlignment="1">
      <alignment horizontal="center" vertical="center"/>
    </xf>
    <xf numFmtId="0" fontId="23" fillId="0" borderId="74" xfId="0" applyFont="1" applyBorder="1" applyAlignment="1">
      <alignment vertical="center"/>
    </xf>
    <xf numFmtId="0" fontId="24" fillId="4" borderId="74" xfId="0" applyFont="1" applyFill="1" applyBorder="1" applyAlignment="1">
      <alignment horizontal="center" vertical="center" wrapText="1"/>
    </xf>
    <xf numFmtId="49" fontId="24" fillId="4" borderId="74" xfId="0" applyNumberFormat="1" applyFont="1" applyFill="1" applyBorder="1" applyAlignment="1">
      <alignment horizontal="center" vertical="center"/>
    </xf>
    <xf numFmtId="0" fontId="23" fillId="0" borderId="74" xfId="0" applyFont="1" applyBorder="1" applyAlignment="1">
      <alignment horizontal="left" vertical="center"/>
    </xf>
    <xf numFmtId="43" fontId="24" fillId="0" borderId="74" xfId="0" applyNumberFormat="1" applyFont="1" applyBorder="1" applyAlignment="1">
      <alignment vertical="center"/>
    </xf>
    <xf numFmtId="49" fontId="24" fillId="0" borderId="133" xfId="0" applyNumberFormat="1" applyFont="1" applyBorder="1" applyAlignment="1">
      <alignment horizontal="left" vertical="center"/>
    </xf>
    <xf numFmtId="49" fontId="24" fillId="0" borderId="134" xfId="0" applyNumberFormat="1" applyFont="1" applyBorder="1" applyAlignment="1">
      <alignment horizontal="center" vertical="center"/>
    </xf>
    <xf numFmtId="0" fontId="24" fillId="0" borderId="134" xfId="0" applyFont="1" applyBorder="1" applyAlignment="1">
      <alignment horizontal="left" vertical="center" wrapText="1"/>
    </xf>
    <xf numFmtId="0" fontId="24" fillId="0" borderId="134" xfId="0" applyFont="1" applyBorder="1" applyAlignment="1">
      <alignment horizontal="center" vertical="center" wrapText="1"/>
    </xf>
    <xf numFmtId="0" fontId="24" fillId="0" borderId="134" xfId="0" applyFont="1" applyBorder="1" applyAlignment="1">
      <alignment horizontal="center" vertical="center"/>
    </xf>
    <xf numFmtId="168" fontId="24" fillId="0" borderId="134" xfId="0" applyNumberFormat="1" applyFont="1" applyBorder="1" applyAlignment="1">
      <alignment vertical="center"/>
    </xf>
    <xf numFmtId="43" fontId="24" fillId="0" borderId="134" xfId="0" applyNumberFormat="1" applyFont="1" applyBorder="1" applyAlignment="1">
      <alignment vertical="center"/>
    </xf>
    <xf numFmtId="0" fontId="24" fillId="0" borderId="134" xfId="0" applyFont="1" applyBorder="1" applyAlignment="1">
      <alignment vertical="center"/>
    </xf>
    <xf numFmtId="49" fontId="24" fillId="4" borderId="134" xfId="0" applyNumberFormat="1" applyFont="1" applyFill="1" applyBorder="1" applyAlignment="1">
      <alignment horizontal="center" vertical="center"/>
    </xf>
    <xf numFmtId="49" fontId="24" fillId="0" borderId="135" xfId="0" applyNumberFormat="1" applyFont="1" applyBorder="1" applyAlignment="1">
      <alignment horizontal="center" vertical="center"/>
    </xf>
    <xf numFmtId="0" fontId="24" fillId="4" borderId="135" xfId="0" applyFont="1" applyFill="1" applyBorder="1" applyAlignment="1">
      <alignment horizontal="center" vertical="center" wrapText="1"/>
    </xf>
    <xf numFmtId="49" fontId="24" fillId="4" borderId="135" xfId="0" applyNumberFormat="1" applyFont="1" applyFill="1" applyBorder="1" applyAlignment="1">
      <alignment horizontal="center" vertical="center"/>
    </xf>
    <xf numFmtId="49" fontId="38" fillId="0" borderId="74" xfId="0" applyNumberFormat="1" applyFont="1" applyBorder="1" applyAlignment="1">
      <alignment horizontal="center" vertical="center"/>
    </xf>
    <xf numFmtId="49" fontId="24" fillId="4" borderId="75" xfId="0" applyNumberFormat="1" applyFont="1" applyFill="1" applyBorder="1" applyAlignment="1">
      <alignment horizontal="center" vertical="center"/>
    </xf>
    <xf numFmtId="0" fontId="24" fillId="0" borderId="135" xfId="0" applyFont="1" applyBorder="1" applyAlignment="1">
      <alignment horizontal="center" vertical="center" wrapText="1"/>
    </xf>
    <xf numFmtId="0" fontId="24" fillId="0" borderId="135" xfId="0" applyFont="1" applyBorder="1" applyAlignment="1">
      <alignment horizontal="center" vertical="center"/>
    </xf>
    <xf numFmtId="43" fontId="24" fillId="0" borderId="135" xfId="0" applyNumberFormat="1" applyFont="1" applyBorder="1" applyAlignment="1">
      <alignment vertical="center"/>
    </xf>
    <xf numFmtId="168" fontId="24" fillId="0" borderId="135" xfId="0" applyNumberFormat="1" applyFont="1" applyBorder="1" applyAlignment="1">
      <alignment vertical="center"/>
    </xf>
    <xf numFmtId="0" fontId="23" fillId="4" borderId="74" xfId="0" applyFont="1" applyFill="1" applyBorder="1" applyAlignment="1">
      <alignment horizontal="center" vertical="center" wrapText="1"/>
    </xf>
    <xf numFmtId="49" fontId="24" fillId="0" borderId="139" xfId="0" applyNumberFormat="1" applyFont="1" applyBorder="1" applyAlignment="1">
      <alignment horizontal="left" vertical="center"/>
    </xf>
    <xf numFmtId="49" fontId="24" fillId="0" borderId="75" xfId="0" applyNumberFormat="1" applyFont="1" applyBorder="1" applyAlignment="1">
      <alignment horizontal="center" vertical="center"/>
    </xf>
    <xf numFmtId="49" fontId="24" fillId="0" borderId="145" xfId="0" applyNumberFormat="1" applyFont="1" applyBorder="1" applyAlignment="1">
      <alignment horizontal="left" vertical="center"/>
    </xf>
    <xf numFmtId="49" fontId="24" fillId="0" borderId="146" xfId="0" applyNumberFormat="1" applyFont="1" applyBorder="1" applyAlignment="1">
      <alignment horizontal="left" vertical="center"/>
    </xf>
    <xf numFmtId="49" fontId="24" fillId="0" borderId="147" xfId="0" applyNumberFormat="1" applyFont="1" applyBorder="1" applyAlignment="1">
      <alignment horizontal="center" vertical="center"/>
    </xf>
    <xf numFmtId="0" fontId="24" fillId="4" borderId="43" xfId="0" applyFont="1" applyFill="1" applyBorder="1" applyAlignment="1">
      <alignment horizontal="center" vertical="center" wrapText="1"/>
    </xf>
    <xf numFmtId="49" fontId="24" fillId="4" borderId="37" xfId="0" applyNumberFormat="1" applyFont="1" applyFill="1" applyBorder="1" applyAlignment="1">
      <alignment horizontal="center" vertical="center"/>
    </xf>
    <xf numFmtId="0" fontId="24" fillId="4" borderId="44" xfId="0" applyFont="1" applyFill="1" applyBorder="1" applyAlignment="1">
      <alignment horizontal="center" vertical="center" wrapText="1"/>
    </xf>
    <xf numFmtId="49" fontId="24" fillId="4" borderId="44" xfId="0" applyNumberFormat="1" applyFont="1" applyFill="1" applyBorder="1" applyAlignment="1">
      <alignment horizontal="center" vertical="center"/>
    </xf>
    <xf numFmtId="0" fontId="24" fillId="4" borderId="34" xfId="0" applyFont="1" applyFill="1" applyBorder="1" applyAlignment="1">
      <alignment horizontal="center" vertical="center" wrapText="1"/>
    </xf>
    <xf numFmtId="49" fontId="24" fillId="4" borderId="34" xfId="0" applyNumberFormat="1" applyFont="1" applyFill="1" applyBorder="1" applyAlignment="1">
      <alignment horizontal="center" vertical="center"/>
    </xf>
    <xf numFmtId="0" fontId="24" fillId="4" borderId="37" xfId="0" applyFont="1" applyFill="1" applyBorder="1" applyAlignment="1">
      <alignment horizontal="center" vertical="center" wrapText="1"/>
    </xf>
    <xf numFmtId="0" fontId="24" fillId="4" borderId="39" xfId="0" applyFont="1" applyFill="1" applyBorder="1" applyAlignment="1">
      <alignment horizontal="center" vertical="center" wrapText="1"/>
    </xf>
    <xf numFmtId="49" fontId="24" fillId="4" borderId="39" xfId="0" applyNumberFormat="1" applyFont="1" applyFill="1" applyBorder="1" applyAlignment="1">
      <alignment horizontal="center" vertical="center"/>
    </xf>
    <xf numFmtId="49" fontId="23" fillId="4" borderId="86" xfId="0" applyNumberFormat="1" applyFont="1" applyFill="1" applyBorder="1" applyAlignment="1">
      <alignment horizontal="center" vertical="center"/>
    </xf>
    <xf numFmtId="0" fontId="52" fillId="2" borderId="169" xfId="0" applyFont="1" applyFill="1" applyBorder="1" applyAlignment="1">
      <alignment horizontal="center" vertical="center" wrapText="1"/>
    </xf>
    <xf numFmtId="39" fontId="52" fillId="2" borderId="169" xfId="0" applyNumberFormat="1" applyFont="1" applyFill="1" applyBorder="1" applyAlignment="1">
      <alignment horizontal="center" vertical="center"/>
    </xf>
    <xf numFmtId="0" fontId="13" fillId="0" borderId="0" xfId="0" applyFont="1"/>
    <xf numFmtId="0" fontId="11" fillId="0" borderId="0" xfId="0" applyFont="1"/>
    <xf numFmtId="2" fontId="14" fillId="0" borderId="0" xfId="0" applyNumberFormat="1" applyFont="1"/>
    <xf numFmtId="0" fontId="23" fillId="4" borderId="173" xfId="0" applyFont="1" applyFill="1" applyBorder="1" applyAlignment="1">
      <alignment horizontal="center" vertical="center" wrapText="1"/>
    </xf>
    <xf numFmtId="49" fontId="23" fillId="4" borderId="173" xfId="0" applyNumberFormat="1" applyFont="1" applyFill="1" applyBorder="1" applyAlignment="1">
      <alignment horizontal="center" vertical="center"/>
    </xf>
    <xf numFmtId="0" fontId="23" fillId="4" borderId="84" xfId="0" applyFont="1" applyFill="1" applyBorder="1" applyAlignment="1">
      <alignment horizontal="center" vertical="center" wrapText="1"/>
    </xf>
    <xf numFmtId="168" fontId="22" fillId="4" borderId="84" xfId="0" applyNumberFormat="1" applyFont="1" applyFill="1" applyBorder="1" applyAlignment="1">
      <alignment vertical="center"/>
    </xf>
    <xf numFmtId="49" fontId="23" fillId="4" borderId="84" xfId="0" applyNumberFormat="1" applyFont="1" applyFill="1" applyBorder="1" applyAlignment="1">
      <alignment horizontal="center" vertical="center"/>
    </xf>
    <xf numFmtId="0" fontId="23" fillId="4" borderId="89" xfId="0" applyFont="1" applyFill="1" applyBorder="1" applyAlignment="1">
      <alignment horizontal="center" vertical="center" wrapText="1"/>
    </xf>
    <xf numFmtId="49" fontId="23" fillId="4" borderId="89" xfId="0" applyNumberFormat="1" applyFont="1" applyFill="1" applyBorder="1" applyAlignment="1">
      <alignment horizontal="center" vertical="center"/>
    </xf>
    <xf numFmtId="0" fontId="23" fillId="4" borderId="180" xfId="0" applyFont="1" applyFill="1" applyBorder="1" applyAlignment="1">
      <alignment horizontal="center" vertical="center" wrapText="1"/>
    </xf>
    <xf numFmtId="0" fontId="23" fillId="4" borderId="182" xfId="0" applyFont="1" applyFill="1" applyBorder="1" applyAlignment="1">
      <alignment horizontal="center" vertical="center" wrapText="1"/>
    </xf>
    <xf numFmtId="0" fontId="24" fillId="0" borderId="182" xfId="0" applyFont="1" applyBorder="1"/>
    <xf numFmtId="0" fontId="23" fillId="4" borderId="194" xfId="0" applyFont="1" applyFill="1" applyBorder="1" applyAlignment="1">
      <alignment horizontal="center" vertical="center" wrapText="1"/>
    </xf>
    <xf numFmtId="49" fontId="23" fillId="4" borderId="194" xfId="0" applyNumberFormat="1" applyFont="1" applyFill="1" applyBorder="1" applyAlignment="1">
      <alignment horizontal="center" vertical="center"/>
    </xf>
    <xf numFmtId="0" fontId="24" fillId="4" borderId="153" xfId="0" applyFont="1" applyFill="1" applyBorder="1" applyAlignment="1">
      <alignment vertical="center"/>
    </xf>
    <xf numFmtId="0" fontId="24" fillId="0" borderId="0" xfId="0" applyFont="1"/>
    <xf numFmtId="0" fontId="4" fillId="0" borderId="0" xfId="0" applyFont="1"/>
    <xf numFmtId="168" fontId="3" fillId="0" borderId="0" xfId="0" applyNumberFormat="1" applyFont="1"/>
    <xf numFmtId="0" fontId="56" fillId="0" borderId="0" xfId="0" applyFont="1" applyAlignment="1">
      <alignment vertical="center" wrapText="1"/>
    </xf>
    <xf numFmtId="49" fontId="56" fillId="0" borderId="0" xfId="0" applyNumberFormat="1" applyFont="1" applyAlignment="1">
      <alignment vertical="center" wrapText="1"/>
    </xf>
    <xf numFmtId="1" fontId="56" fillId="0" borderId="0" xfId="0" applyNumberFormat="1"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center" vertical="center" wrapText="1"/>
    </xf>
    <xf numFmtId="49" fontId="24" fillId="0" borderId="230" xfId="0" applyNumberFormat="1" applyFont="1" applyBorder="1" applyAlignment="1">
      <alignment horizontal="center" vertical="center"/>
    </xf>
    <xf numFmtId="49" fontId="24" fillId="0" borderId="162" xfId="0" applyNumberFormat="1" applyFont="1" applyBorder="1" applyAlignment="1">
      <alignment horizontal="center" vertical="center"/>
    </xf>
    <xf numFmtId="49" fontId="24" fillId="0" borderId="166" xfId="0" applyNumberFormat="1" applyFont="1" applyBorder="1" applyAlignment="1">
      <alignment horizontal="center" vertical="center"/>
    </xf>
    <xf numFmtId="0" fontId="24" fillId="0" borderId="162" xfId="0" applyFont="1" applyBorder="1" applyAlignment="1">
      <alignment horizontal="center" vertical="center" wrapText="1"/>
    </xf>
    <xf numFmtId="49" fontId="24" fillId="0" borderId="231" xfId="0" applyNumberFormat="1" applyFont="1" applyBorder="1" applyAlignment="1">
      <alignment horizontal="center" vertical="center"/>
    </xf>
    <xf numFmtId="168" fontId="24" fillId="0" borderId="39" xfId="0" applyNumberFormat="1" applyFont="1" applyBorder="1" applyAlignment="1">
      <alignment horizontal="center" vertical="center"/>
    </xf>
    <xf numFmtId="49" fontId="24" fillId="0" borderId="233" xfId="0" applyNumberFormat="1" applyFont="1" applyBorder="1" applyAlignment="1">
      <alignment horizontal="center" vertical="center"/>
    </xf>
    <xf numFmtId="49" fontId="24" fillId="0" borderId="238" xfId="0" applyNumberFormat="1" applyFont="1" applyBorder="1" applyAlignment="1">
      <alignment horizontal="center" vertical="center"/>
    </xf>
    <xf numFmtId="0" fontId="24" fillId="0" borderId="89" xfId="0" applyFont="1" applyBorder="1"/>
    <xf numFmtId="49" fontId="24" fillId="0" borderId="239" xfId="0" applyNumberFormat="1" applyFont="1" applyBorder="1" applyAlignment="1">
      <alignment horizontal="center" vertical="center"/>
    </xf>
    <xf numFmtId="0" fontId="26" fillId="0" borderId="34" xfId="0" applyFont="1" applyBorder="1" applyAlignment="1">
      <alignment horizontal="center" vertical="center" wrapText="1"/>
    </xf>
    <xf numFmtId="0" fontId="24" fillId="0" borderId="84" xfId="0" applyFont="1" applyBorder="1"/>
    <xf numFmtId="0" fontId="12" fillId="2" borderId="169" xfId="0" applyFont="1" applyFill="1" applyBorder="1" applyAlignment="1">
      <alignment vertical="center" wrapText="1"/>
    </xf>
    <xf numFmtId="39" fontId="12" fillId="2" borderId="169" xfId="0" applyNumberFormat="1" applyFont="1" applyFill="1" applyBorder="1" applyAlignment="1">
      <alignment horizontal="right" vertical="center"/>
    </xf>
    <xf numFmtId="0" fontId="11" fillId="0" borderId="0" xfId="0" applyFont="1" applyAlignment="1">
      <alignment vertical="center" wrapText="1"/>
    </xf>
    <xf numFmtId="0" fontId="59" fillId="0" borderId="0" xfId="0" applyFont="1"/>
    <xf numFmtId="0" fontId="58" fillId="0" borderId="0" xfId="0" applyFont="1"/>
    <xf numFmtId="0" fontId="57" fillId="0" borderId="0" xfId="0" applyFont="1" applyAlignment="1">
      <alignment horizontal="center"/>
    </xf>
    <xf numFmtId="1" fontId="32" fillId="0" borderId="0" xfId="0" applyNumberFormat="1" applyFont="1" applyAlignment="1">
      <alignment vertical="center"/>
    </xf>
    <xf numFmtId="0" fontId="41" fillId="0" borderId="0" xfId="0" applyFont="1" applyAlignment="1">
      <alignment horizontal="center"/>
    </xf>
    <xf numFmtId="0" fontId="30" fillId="0" borderId="0" xfId="0" applyFont="1" applyAlignment="1">
      <alignment horizontal="center" vertical="center"/>
    </xf>
    <xf numFmtId="168" fontId="32" fillId="0" borderId="0" xfId="0" applyNumberFormat="1" applyFont="1" applyAlignment="1">
      <alignment horizontal="center" vertical="center"/>
    </xf>
    <xf numFmtId="173" fontId="32" fillId="0" borderId="0" xfId="0" applyNumberFormat="1" applyFont="1" applyAlignment="1">
      <alignment horizontal="center" vertical="center"/>
    </xf>
    <xf numFmtId="0" fontId="12" fillId="2" borderId="249" xfId="0" applyFont="1" applyFill="1" applyBorder="1" applyAlignment="1">
      <alignment vertical="center"/>
    </xf>
    <xf numFmtId="0" fontId="14" fillId="0" borderId="0" xfId="0" applyFont="1" applyAlignment="1">
      <alignment horizontal="left"/>
    </xf>
    <xf numFmtId="0" fontId="14" fillId="0" borderId="0" xfId="0" applyFont="1" applyAlignment="1">
      <alignment horizontal="center"/>
    </xf>
    <xf numFmtId="168" fontId="8" fillId="0" borderId="0" xfId="0" applyNumberFormat="1" applyFont="1" applyAlignment="1">
      <alignment vertical="center" wrapText="1"/>
    </xf>
    <xf numFmtId="0" fontId="24" fillId="0" borderId="255" xfId="0" applyFont="1" applyBorder="1" applyAlignment="1">
      <alignment horizontal="left" vertical="center" wrapText="1"/>
    </xf>
    <xf numFmtId="0" fontId="24" fillId="4" borderId="256" xfId="0" applyFont="1" applyFill="1" applyBorder="1" applyAlignment="1">
      <alignment horizontal="center" vertical="center" wrapText="1"/>
    </xf>
    <xf numFmtId="0" fontId="24" fillId="0" borderId="182" xfId="0" applyFont="1" applyBorder="1" applyAlignment="1">
      <alignment horizontal="left" vertical="center" wrapText="1"/>
    </xf>
    <xf numFmtId="0" fontId="24" fillId="0" borderId="182" xfId="0" applyFont="1" applyBorder="1" applyAlignment="1">
      <alignment horizontal="center" vertical="center" wrapText="1"/>
    </xf>
    <xf numFmtId="0" fontId="24" fillId="0" borderId="182" xfId="0" applyFont="1" applyBorder="1" applyAlignment="1">
      <alignment horizontal="center" vertical="center"/>
    </xf>
    <xf numFmtId="168" fontId="24" fillId="0" borderId="182" xfId="0" applyNumberFormat="1" applyFont="1" applyBorder="1" applyAlignment="1">
      <alignment horizontal="center" vertical="center"/>
    </xf>
    <xf numFmtId="0" fontId="24" fillId="0" borderId="258" xfId="0" applyFont="1" applyBorder="1" applyAlignment="1">
      <alignment horizontal="left" vertical="center" wrapText="1"/>
    </xf>
    <xf numFmtId="0" fontId="24" fillId="0" borderId="263" xfId="0" applyFont="1" applyBorder="1" applyAlignment="1">
      <alignment horizontal="left" vertical="center" wrapText="1"/>
    </xf>
    <xf numFmtId="0" fontId="24" fillId="0" borderId="184" xfId="0" applyFont="1" applyBorder="1" applyAlignment="1">
      <alignment horizontal="center" vertical="center" wrapText="1"/>
    </xf>
    <xf numFmtId="168" fontId="24" fillId="0" borderId="184" xfId="0" applyNumberFormat="1" applyFont="1" applyBorder="1" applyAlignment="1">
      <alignment horizontal="center" vertical="center"/>
    </xf>
    <xf numFmtId="0" fontId="24" fillId="0" borderId="268" xfId="0" applyFont="1" applyBorder="1" applyAlignment="1">
      <alignment horizontal="center" vertical="center" wrapText="1"/>
    </xf>
    <xf numFmtId="0" fontId="24" fillId="0" borderId="180" xfId="0" applyFont="1" applyBorder="1"/>
    <xf numFmtId="0" fontId="24" fillId="0" borderId="258" xfId="0" applyFont="1" applyBorder="1" applyAlignment="1">
      <alignment horizontal="center" vertical="center" wrapText="1"/>
    </xf>
    <xf numFmtId="0" fontId="24" fillId="0" borderId="182" xfId="0" applyFont="1" applyBorder="1" applyAlignment="1">
      <alignment horizontal="center"/>
    </xf>
    <xf numFmtId="49" fontId="24" fillId="0" borderId="182" xfId="0" applyNumberFormat="1" applyFont="1" applyBorder="1" applyAlignment="1">
      <alignment horizontal="center" vertical="center"/>
    </xf>
    <xf numFmtId="0" fontId="24" fillId="0" borderId="263" xfId="0" applyFont="1" applyBorder="1" applyAlignment="1">
      <alignment horizontal="center" vertical="center" wrapText="1"/>
    </xf>
    <xf numFmtId="0" fontId="24" fillId="0" borderId="184" xfId="0" applyFont="1" applyBorder="1" applyAlignment="1">
      <alignment horizontal="left" vertical="center" wrapText="1"/>
    </xf>
    <xf numFmtId="49" fontId="24" fillId="0" borderId="184" xfId="0" applyNumberFormat="1" applyFont="1" applyBorder="1" applyAlignment="1">
      <alignment horizontal="center" vertical="center"/>
    </xf>
    <xf numFmtId="0" fontId="38" fillId="0" borderId="180" xfId="0" applyFont="1" applyBorder="1" applyAlignment="1">
      <alignment horizontal="left" vertical="center" wrapText="1"/>
    </xf>
    <xf numFmtId="0" fontId="24" fillId="0" borderId="180" xfId="0" applyFont="1" applyBorder="1" applyAlignment="1">
      <alignment horizontal="center" vertical="center" wrapText="1"/>
    </xf>
    <xf numFmtId="49" fontId="24" fillId="0" borderId="180" xfId="0" applyNumberFormat="1" applyFont="1" applyBorder="1" applyAlignment="1">
      <alignment horizontal="center" vertical="center"/>
    </xf>
    <xf numFmtId="0" fontId="24" fillId="0" borderId="182" xfId="0" applyFont="1" applyBorder="1" applyAlignment="1">
      <alignment horizontal="left" vertical="top" wrapText="1"/>
    </xf>
    <xf numFmtId="0" fontId="24" fillId="0" borderId="275" xfId="0" applyFont="1" applyBorder="1" applyAlignment="1">
      <alignment horizontal="center" vertical="center" wrapText="1"/>
    </xf>
    <xf numFmtId="0" fontId="24" fillId="0" borderId="187" xfId="0" applyFont="1" applyBorder="1" applyAlignment="1">
      <alignment horizontal="left" vertical="center" wrapText="1"/>
    </xf>
    <xf numFmtId="0" fontId="24" fillId="0" borderId="187" xfId="0" applyFont="1" applyBorder="1" applyAlignment="1">
      <alignment horizontal="center" vertical="center" wrapText="1"/>
    </xf>
    <xf numFmtId="49" fontId="24" fillId="0" borderId="187" xfId="0" applyNumberFormat="1" applyFont="1" applyBorder="1" applyAlignment="1">
      <alignment horizontal="center" vertical="center"/>
    </xf>
    <xf numFmtId="0" fontId="24" fillId="0" borderId="279" xfId="0" applyFont="1" applyBorder="1" applyAlignment="1">
      <alignment horizontal="center" vertical="center" wrapText="1"/>
    </xf>
    <xf numFmtId="0" fontId="38" fillId="0" borderId="280" xfId="0" applyFont="1" applyBorder="1" applyAlignment="1">
      <alignment horizontal="left" vertical="center" wrapText="1"/>
    </xf>
    <xf numFmtId="0" fontId="24" fillId="0" borderId="280" xfId="0" applyFont="1" applyBorder="1" applyAlignment="1">
      <alignment horizontal="center" vertical="center" wrapText="1"/>
    </xf>
    <xf numFmtId="49" fontId="24" fillId="0" borderId="280" xfId="0" applyNumberFormat="1" applyFont="1" applyBorder="1" applyAlignment="1">
      <alignment horizontal="center" vertical="center"/>
    </xf>
    <xf numFmtId="0" fontId="24" fillId="0" borderId="285" xfId="0" applyFont="1" applyBorder="1" applyAlignment="1">
      <alignment horizontal="center" vertical="center" wrapText="1"/>
    </xf>
    <xf numFmtId="0" fontId="24" fillId="0" borderId="286" xfId="0" applyFont="1" applyBorder="1" applyAlignment="1">
      <alignment horizontal="left" vertical="center" wrapText="1"/>
    </xf>
    <xf numFmtId="0" fontId="24" fillId="0" borderId="286" xfId="0" applyFont="1" applyBorder="1" applyAlignment="1">
      <alignment horizontal="center" vertical="center" wrapText="1"/>
    </xf>
    <xf numFmtId="49" fontId="24" fillId="0" borderId="286" xfId="0" applyNumberFormat="1" applyFont="1" applyBorder="1" applyAlignment="1">
      <alignment horizontal="center" vertical="center"/>
    </xf>
    <xf numFmtId="0" fontId="24" fillId="0" borderId="291" xfId="0" applyFont="1" applyBorder="1" applyAlignment="1">
      <alignment horizontal="center" vertical="center" wrapText="1"/>
    </xf>
    <xf numFmtId="0" fontId="24" fillId="0" borderId="292" xfId="0" applyFont="1" applyBorder="1" applyAlignment="1">
      <alignment horizontal="left" vertical="center" wrapText="1"/>
    </xf>
    <xf numFmtId="0" fontId="24" fillId="0" borderId="292" xfId="0" applyFont="1" applyBorder="1" applyAlignment="1">
      <alignment horizontal="center" vertical="center" wrapText="1"/>
    </xf>
    <xf numFmtId="49" fontId="24" fillId="0" borderId="292" xfId="0" applyNumberFormat="1" applyFont="1" applyBorder="1" applyAlignment="1">
      <alignment horizontal="center" vertical="center"/>
    </xf>
    <xf numFmtId="0" fontId="22" fillId="3" borderId="295" xfId="0" applyFont="1" applyFill="1" applyBorder="1" applyAlignment="1">
      <alignment horizontal="right" vertical="center" wrapText="1"/>
    </xf>
    <xf numFmtId="0" fontId="24" fillId="0" borderId="39" xfId="0" applyFont="1" applyBorder="1" applyAlignment="1">
      <alignment horizontal="center" vertical="top" wrapText="1"/>
    </xf>
    <xf numFmtId="0" fontId="23" fillId="3" borderId="297" xfId="0" applyFont="1" applyFill="1" applyBorder="1" applyAlignment="1">
      <alignment horizontal="center" vertical="center" wrapText="1"/>
    </xf>
    <xf numFmtId="0" fontId="24" fillId="0" borderId="34" xfId="0" applyFont="1" applyBorder="1" applyAlignment="1">
      <alignment horizontal="center" vertical="center"/>
    </xf>
    <xf numFmtId="0" fontId="23" fillId="3" borderId="299" xfId="0" applyFont="1" applyFill="1" applyBorder="1" applyAlignment="1">
      <alignment horizontal="center" vertical="center" wrapText="1"/>
    </xf>
    <xf numFmtId="0" fontId="38" fillId="0" borderId="34" xfId="0" applyFont="1" applyBorder="1" applyAlignment="1">
      <alignment vertical="top" wrapText="1"/>
    </xf>
    <xf numFmtId="0" fontId="24" fillId="0" borderId="179" xfId="0" applyFont="1" applyBorder="1" applyAlignment="1">
      <alignment vertical="center"/>
    </xf>
    <xf numFmtId="0" fontId="24" fillId="0" borderId="180" xfId="0" applyFont="1" applyBorder="1" applyAlignment="1">
      <alignment vertical="center"/>
    </xf>
    <xf numFmtId="49" fontId="24" fillId="0" borderId="180" xfId="0" applyNumberFormat="1" applyFont="1" applyBorder="1" applyAlignment="1">
      <alignment vertical="center"/>
    </xf>
    <xf numFmtId="0" fontId="24" fillId="0" borderId="181" xfId="0" applyFont="1" applyBorder="1" applyAlignment="1">
      <alignment vertical="center"/>
    </xf>
    <xf numFmtId="0" fontId="24" fillId="0" borderId="182" xfId="0" applyFont="1" applyBorder="1" applyAlignment="1">
      <alignment vertical="center"/>
    </xf>
    <xf numFmtId="49" fontId="24" fillId="0" borderId="182" xfId="0" applyNumberFormat="1" applyFont="1" applyBorder="1" applyAlignment="1">
      <alignment vertical="center"/>
    </xf>
    <xf numFmtId="0" fontId="24" fillId="0" borderId="183" xfId="0" applyFont="1" applyBorder="1" applyAlignment="1">
      <alignment vertical="center"/>
    </xf>
    <xf numFmtId="0" fontId="24" fillId="0" borderId="184" xfId="0" applyFont="1" applyBorder="1" applyAlignment="1">
      <alignment vertical="center"/>
    </xf>
    <xf numFmtId="49" fontId="24" fillId="0" borderId="184" xfId="0" applyNumberFormat="1" applyFont="1" applyBorder="1" applyAlignment="1">
      <alignment vertical="center"/>
    </xf>
    <xf numFmtId="0" fontId="24" fillId="0" borderId="304" xfId="0" applyFont="1" applyBorder="1" applyAlignment="1">
      <alignment vertical="center"/>
    </xf>
    <xf numFmtId="0" fontId="24" fillId="0" borderId="308" xfId="0" applyFont="1" applyBorder="1" applyAlignment="1">
      <alignment vertical="center"/>
    </xf>
    <xf numFmtId="0" fontId="24" fillId="0" borderId="187" xfId="0" applyFont="1" applyBorder="1" applyAlignment="1">
      <alignment vertical="center"/>
    </xf>
    <xf numFmtId="49" fontId="24" fillId="0" borderId="187" xfId="0" applyNumberFormat="1" applyFont="1" applyBorder="1" applyAlignment="1">
      <alignment vertical="center"/>
    </xf>
    <xf numFmtId="0" fontId="60" fillId="2" borderId="312" xfId="0" applyFont="1" applyFill="1" applyBorder="1" applyAlignment="1">
      <alignment horizontal="center" vertical="center"/>
    </xf>
    <xf numFmtId="0" fontId="24" fillId="0" borderId="325" xfId="0" applyFont="1" applyBorder="1" applyAlignment="1">
      <alignment horizontal="center" vertical="center" wrapText="1"/>
    </xf>
    <xf numFmtId="49" fontId="24" fillId="0" borderId="325" xfId="0" applyNumberFormat="1" applyFont="1" applyBorder="1" applyAlignment="1">
      <alignment horizontal="center" vertical="center"/>
    </xf>
    <xf numFmtId="0" fontId="41" fillId="0" borderId="0" xfId="0" applyFont="1" applyAlignment="1">
      <alignment horizontal="center" vertical="center"/>
    </xf>
    <xf numFmtId="0" fontId="9" fillId="0" borderId="0" xfId="0" applyFont="1" applyAlignment="1">
      <alignment vertical="center" wrapText="1"/>
    </xf>
    <xf numFmtId="0" fontId="41" fillId="0" borderId="0" xfId="0" applyFont="1" applyAlignment="1">
      <alignment vertical="center" wrapText="1"/>
    </xf>
    <xf numFmtId="0" fontId="24" fillId="4" borderId="71" xfId="0" applyFont="1" applyFill="1" applyBorder="1" applyAlignment="1">
      <alignment horizontal="center" vertical="center" wrapText="1"/>
    </xf>
    <xf numFmtId="49" fontId="24" fillId="4" borderId="30" xfId="0" applyNumberFormat="1" applyFont="1" applyFill="1" applyBorder="1" applyAlignment="1">
      <alignment horizontal="center" vertical="center"/>
    </xf>
    <xf numFmtId="0" fontId="24" fillId="4" borderId="182" xfId="0" applyFont="1" applyFill="1" applyBorder="1"/>
    <xf numFmtId="0" fontId="24" fillId="4" borderId="182" xfId="0" applyFont="1" applyFill="1" applyBorder="1" applyAlignment="1">
      <alignment horizontal="center" vertical="center" wrapText="1"/>
    </xf>
    <xf numFmtId="49" fontId="24" fillId="4" borderId="182" xfId="0" applyNumberFormat="1" applyFont="1" applyFill="1" applyBorder="1" applyAlignment="1">
      <alignment horizontal="center" vertical="center"/>
    </xf>
    <xf numFmtId="0" fontId="24" fillId="4" borderId="184" xfId="0" applyFont="1" applyFill="1" applyBorder="1"/>
    <xf numFmtId="0" fontId="24" fillId="4" borderId="184" xfId="0" applyFont="1" applyFill="1" applyBorder="1" applyAlignment="1">
      <alignment horizontal="center" vertical="center" wrapText="1"/>
    </xf>
    <xf numFmtId="49" fontId="24" fillId="4" borderId="184" xfId="0" applyNumberFormat="1" applyFont="1" applyFill="1" applyBorder="1" applyAlignment="1">
      <alignment horizontal="center" vertical="center"/>
    </xf>
    <xf numFmtId="0" fontId="24" fillId="4" borderId="180" xfId="0" applyFont="1" applyFill="1" applyBorder="1" applyAlignment="1">
      <alignment horizontal="center" vertical="center" wrapText="1"/>
    </xf>
    <xf numFmtId="49" fontId="24" fillId="4" borderId="180" xfId="0" applyNumberFormat="1" applyFont="1" applyFill="1" applyBorder="1" applyAlignment="1">
      <alignment horizontal="center" vertical="center"/>
    </xf>
    <xf numFmtId="0" fontId="24" fillId="4" borderId="261" xfId="0" applyFont="1" applyFill="1" applyBorder="1" applyAlignment="1">
      <alignment horizontal="center" vertical="center" wrapText="1"/>
    </xf>
    <xf numFmtId="49" fontId="24" fillId="4" borderId="261" xfId="0" applyNumberFormat="1" applyFont="1" applyFill="1" applyBorder="1" applyAlignment="1">
      <alignment horizontal="center" vertical="center"/>
    </xf>
    <xf numFmtId="0" fontId="41" fillId="0" borderId="0" xfId="0" applyFont="1"/>
    <xf numFmtId="0" fontId="62" fillId="2" borderId="341" xfId="0" applyFont="1" applyFill="1" applyBorder="1" applyAlignment="1">
      <alignment vertical="center" textRotation="90" wrapText="1"/>
    </xf>
    <xf numFmtId="168" fontId="34" fillId="0" borderId="49" xfId="0" applyNumberFormat="1" applyFont="1" applyBorder="1" applyAlignment="1">
      <alignment horizontal="right" vertical="center"/>
    </xf>
    <xf numFmtId="168" fontId="34" fillId="0" borderId="52" xfId="0" applyNumberFormat="1" applyFont="1" applyBorder="1" applyAlignment="1">
      <alignment horizontal="right" vertical="center"/>
    </xf>
    <xf numFmtId="168" fontId="34" fillId="0" borderId="53" xfId="0" applyNumberFormat="1" applyFont="1" applyBorder="1" applyAlignment="1">
      <alignment horizontal="right" vertical="center"/>
    </xf>
    <xf numFmtId="0" fontId="23" fillId="0" borderId="74" xfId="0" applyFont="1" applyBorder="1" applyAlignment="1">
      <alignment horizontal="center" vertical="center" wrapText="1"/>
    </xf>
    <xf numFmtId="49" fontId="14" fillId="0" borderId="74" xfId="0" applyNumberFormat="1" applyFont="1" applyBorder="1" applyAlignment="1">
      <alignment horizontal="center" vertical="center"/>
    </xf>
    <xf numFmtId="0" fontId="14" fillId="0" borderId="74" xfId="0" applyFont="1" applyBorder="1" applyAlignment="1">
      <alignment horizontal="center" vertical="center" wrapText="1"/>
    </xf>
    <xf numFmtId="49" fontId="34" fillId="4" borderId="5" xfId="0" applyNumberFormat="1" applyFont="1" applyFill="1" applyBorder="1" applyAlignment="1">
      <alignment horizontal="center" vertical="center"/>
    </xf>
    <xf numFmtId="178" fontId="14" fillId="0" borderId="0" xfId="0" applyNumberFormat="1" applyFont="1" applyAlignment="1">
      <alignment vertical="center"/>
    </xf>
    <xf numFmtId="4" fontId="33" fillId="0" borderId="0" xfId="0" applyNumberFormat="1" applyFont="1" applyAlignment="1">
      <alignment vertical="center"/>
    </xf>
    <xf numFmtId="39" fontId="44" fillId="0" borderId="0" xfId="0" applyNumberFormat="1" applyFont="1" applyAlignment="1">
      <alignment vertical="center"/>
    </xf>
    <xf numFmtId="44" fontId="44" fillId="0" borderId="0" xfId="0" applyNumberFormat="1" applyFont="1" applyAlignment="1">
      <alignment vertical="center"/>
    </xf>
    <xf numFmtId="0" fontId="74" fillId="0" borderId="0" xfId="0" applyFont="1" applyAlignment="1">
      <alignment vertical="center"/>
    </xf>
    <xf numFmtId="171" fontId="14" fillId="0" borderId="0" xfId="0" applyNumberFormat="1" applyFont="1" applyAlignment="1">
      <alignment vertical="center"/>
    </xf>
    <xf numFmtId="0" fontId="11" fillId="0" borderId="0" xfId="0" applyFont="1" applyAlignment="1">
      <alignment horizontal="center" vertical="center"/>
    </xf>
    <xf numFmtId="168" fontId="14" fillId="0" borderId="0" xfId="0" applyNumberFormat="1" applyFont="1" applyAlignment="1">
      <alignment horizontal="center" vertical="center"/>
    </xf>
    <xf numFmtId="168" fontId="3" fillId="0" borderId="0" xfId="0" applyNumberFormat="1" applyFont="1" applyAlignment="1">
      <alignment vertical="center"/>
    </xf>
    <xf numFmtId="171" fontId="3" fillId="0" borderId="0" xfId="0" applyNumberFormat="1" applyFont="1" applyAlignment="1">
      <alignment vertical="center"/>
    </xf>
    <xf numFmtId="171" fontId="14" fillId="0" borderId="0" xfId="0" applyNumberFormat="1" applyFont="1" applyAlignment="1">
      <alignment horizontal="center" vertical="center"/>
    </xf>
    <xf numFmtId="173" fontId="3" fillId="0" borderId="0" xfId="0" applyNumberFormat="1" applyFont="1" applyAlignment="1">
      <alignment vertical="center"/>
    </xf>
    <xf numFmtId="39" fontId="3" fillId="0" borderId="0" xfId="0" applyNumberFormat="1" applyFont="1" applyAlignment="1">
      <alignment vertical="center"/>
    </xf>
    <xf numFmtId="174" fontId="3" fillId="0" borderId="0" xfId="0" applyNumberFormat="1" applyFont="1" applyAlignment="1">
      <alignment vertical="center"/>
    </xf>
    <xf numFmtId="44" fontId="3" fillId="0" borderId="0" xfId="0" applyNumberFormat="1" applyFont="1" applyAlignment="1">
      <alignment vertical="center"/>
    </xf>
    <xf numFmtId="171" fontId="11" fillId="0" borderId="0" xfId="0" applyNumberFormat="1" applyFont="1" applyAlignment="1">
      <alignment horizontal="center" vertical="center"/>
    </xf>
    <xf numFmtId="0" fontId="24" fillId="4" borderId="30" xfId="0" applyFont="1" applyFill="1" applyBorder="1" applyAlignment="1">
      <alignment horizontal="center" vertical="center" wrapText="1"/>
    </xf>
    <xf numFmtId="49" fontId="24" fillId="4" borderId="43" xfId="0" applyNumberFormat="1" applyFont="1" applyFill="1" applyBorder="1" applyAlignment="1">
      <alignment horizontal="center" vertical="center"/>
    </xf>
    <xf numFmtId="0" fontId="38" fillId="0" borderId="389" xfId="0" applyFont="1" applyBorder="1" applyAlignment="1">
      <alignment horizontal="left" vertical="center" wrapText="1"/>
    </xf>
    <xf numFmtId="0" fontId="24" fillId="0" borderId="389" xfId="0" applyFont="1" applyBorder="1" applyAlignment="1">
      <alignment horizontal="center" vertical="center" wrapText="1"/>
    </xf>
    <xf numFmtId="0" fontId="14" fillId="0" borderId="182" xfId="0" applyFont="1" applyBorder="1" applyAlignment="1">
      <alignment horizontal="center" vertical="center" wrapText="1"/>
    </xf>
    <xf numFmtId="0" fontId="23" fillId="0" borderId="182" xfId="0" applyFont="1" applyBorder="1" applyAlignment="1">
      <alignment horizontal="center" vertical="center" wrapText="1"/>
    </xf>
    <xf numFmtId="0" fontId="68" fillId="0" borderId="182" xfId="0" applyFont="1" applyBorder="1" applyAlignment="1">
      <alignment horizontal="center" vertical="center" wrapText="1"/>
    </xf>
    <xf numFmtId="0" fontId="14" fillId="0" borderId="182" xfId="0" applyFont="1" applyBorder="1" applyAlignment="1">
      <alignment horizontal="left" vertical="center" wrapText="1"/>
    </xf>
    <xf numFmtId="1" fontId="54" fillId="0" borderId="325" xfId="0" applyNumberFormat="1" applyFont="1" applyBorder="1" applyAlignment="1">
      <alignment horizontal="center" vertical="center" wrapText="1"/>
    </xf>
    <xf numFmtId="0" fontId="11" fillId="0" borderId="180" xfId="0" applyFont="1" applyBorder="1" applyAlignment="1">
      <alignment horizontal="left" vertical="center" wrapText="1"/>
    </xf>
    <xf numFmtId="0" fontId="14" fillId="0" borderId="0" xfId="0" applyFont="1" applyAlignment="1">
      <alignment horizontal="right" vertical="center" wrapText="1"/>
    </xf>
    <xf numFmtId="49" fontId="8" fillId="0" borderId="0" xfId="0" applyNumberFormat="1" applyFont="1" applyAlignment="1">
      <alignment vertical="center" wrapText="1"/>
    </xf>
    <xf numFmtId="49" fontId="38" fillId="0" borderId="74" xfId="0" applyNumberFormat="1" applyFont="1" applyBorder="1" applyAlignment="1">
      <alignment vertical="center"/>
    </xf>
    <xf numFmtId="49" fontId="38" fillId="4" borderId="74" xfId="0" applyNumberFormat="1" applyFont="1" applyFill="1" applyBorder="1" applyAlignment="1">
      <alignment vertical="center"/>
    </xf>
    <xf numFmtId="49" fontId="38" fillId="0" borderId="134" xfId="0" applyNumberFormat="1" applyFont="1" applyBorder="1" applyAlignment="1">
      <alignment vertical="center"/>
    </xf>
    <xf numFmtId="49" fontId="11" fillId="12" borderId="350" xfId="0" applyNumberFormat="1" applyFont="1" applyFill="1" applyBorder="1" applyAlignment="1">
      <alignment horizontal="right" vertical="center"/>
    </xf>
    <xf numFmtId="49" fontId="12" fillId="2" borderId="327" xfId="0" applyNumberFormat="1" applyFont="1" applyFill="1" applyBorder="1" applyAlignment="1">
      <alignment horizontal="right" vertical="center"/>
    </xf>
    <xf numFmtId="49" fontId="14" fillId="0" borderId="0" xfId="0" applyNumberFormat="1" applyFont="1" applyAlignment="1">
      <alignment horizontal="right" vertical="center"/>
    </xf>
    <xf numFmtId="49" fontId="11" fillId="0" borderId="0" xfId="0" applyNumberFormat="1" applyFont="1" applyAlignment="1">
      <alignment vertical="center" wrapText="1"/>
    </xf>
    <xf numFmtId="49" fontId="14" fillId="0" borderId="0" xfId="0" applyNumberFormat="1" applyFont="1" applyAlignment="1">
      <alignment vertical="center"/>
    </xf>
    <xf numFmtId="49" fontId="14" fillId="0" borderId="0" xfId="0" applyNumberFormat="1" applyFont="1"/>
    <xf numFmtId="49" fontId="0" fillId="0" borderId="0" xfId="0" applyNumberFormat="1"/>
    <xf numFmtId="49" fontId="38" fillId="0" borderId="84" xfId="0" applyNumberFormat="1" applyFont="1" applyBorder="1" applyAlignment="1">
      <alignment vertical="center"/>
    </xf>
    <xf numFmtId="49" fontId="42" fillId="2" borderId="311" xfId="0" applyNumberFormat="1" applyFont="1" applyFill="1" applyBorder="1" applyAlignment="1">
      <alignment horizontal="right" vertical="center"/>
    </xf>
    <xf numFmtId="49" fontId="32" fillId="0" borderId="0" xfId="0" applyNumberFormat="1" applyFont="1" applyAlignment="1">
      <alignment vertical="center"/>
    </xf>
    <xf numFmtId="49" fontId="38" fillId="0" borderId="329" xfId="0" applyNumberFormat="1" applyFont="1" applyBorder="1" applyAlignment="1">
      <alignment vertical="center"/>
    </xf>
    <xf numFmtId="49" fontId="38" fillId="0" borderId="135" xfId="0" applyNumberFormat="1" applyFont="1" applyBorder="1" applyAlignment="1">
      <alignment vertical="center"/>
    </xf>
    <xf numFmtId="49" fontId="11" fillId="0" borderId="0" xfId="0" applyNumberFormat="1" applyFont="1" applyAlignment="1">
      <alignment horizontal="center" vertical="center" wrapText="1"/>
    </xf>
    <xf numFmtId="49" fontId="33" fillId="0" borderId="0" xfId="0" applyNumberFormat="1" applyFont="1" applyAlignment="1">
      <alignment vertical="center"/>
    </xf>
    <xf numFmtId="49" fontId="38" fillId="0" borderId="30" xfId="0" applyNumberFormat="1" applyFont="1" applyBorder="1" applyAlignment="1">
      <alignment vertical="center"/>
    </xf>
    <xf numFmtId="49" fontId="38" fillId="0" borderId="34" xfId="0" applyNumberFormat="1" applyFont="1" applyBorder="1" applyAlignment="1">
      <alignment vertical="center"/>
    </xf>
    <xf numFmtId="49" fontId="38" fillId="0" borderId="43" xfId="0" applyNumberFormat="1" applyFont="1" applyBorder="1" applyAlignment="1">
      <alignment vertical="center"/>
    </xf>
    <xf numFmtId="49" fontId="38" fillId="0" borderId="37" xfId="0" applyNumberFormat="1" applyFont="1" applyBorder="1" applyAlignment="1">
      <alignment vertical="center"/>
    </xf>
    <xf numFmtId="49" fontId="38" fillId="0" borderId="44" xfId="0" applyNumberFormat="1" applyFont="1" applyBorder="1" applyAlignment="1">
      <alignment vertical="center"/>
    </xf>
    <xf numFmtId="49" fontId="38" fillId="0" borderId="39" xfId="0" applyNumberFormat="1" applyFont="1" applyBorder="1" applyAlignment="1">
      <alignment vertical="center"/>
    </xf>
    <xf numFmtId="49" fontId="24" fillId="0" borderId="0" xfId="0" applyNumberFormat="1" applyFont="1" applyAlignment="1">
      <alignment horizontal="right" vertical="center"/>
    </xf>
    <xf numFmtId="49" fontId="24" fillId="0" borderId="0" xfId="0" applyNumberFormat="1" applyFont="1" applyAlignment="1">
      <alignment vertical="center"/>
    </xf>
    <xf numFmtId="49" fontId="38" fillId="4" borderId="44" xfId="0" applyNumberFormat="1" applyFont="1" applyFill="1" applyBorder="1" applyAlignment="1">
      <alignment vertical="center"/>
    </xf>
    <xf numFmtId="49" fontId="24" fillId="4" borderId="34" xfId="0" applyNumberFormat="1" applyFont="1" applyFill="1" applyBorder="1" applyAlignment="1">
      <alignment vertical="center"/>
    </xf>
    <xf numFmtId="49" fontId="38" fillId="4" borderId="34" xfId="0" applyNumberFormat="1" applyFont="1" applyFill="1" applyBorder="1" applyAlignment="1">
      <alignment vertical="center"/>
    </xf>
    <xf numFmtId="49" fontId="38" fillId="4" borderId="37" xfId="0" applyNumberFormat="1" applyFont="1" applyFill="1" applyBorder="1" applyAlignment="1">
      <alignment vertical="center"/>
    </xf>
    <xf numFmtId="49" fontId="38" fillId="4" borderId="43" xfId="0" applyNumberFormat="1" applyFont="1" applyFill="1" applyBorder="1" applyAlignment="1">
      <alignment vertical="center"/>
    </xf>
    <xf numFmtId="49" fontId="38" fillId="4" borderId="39" xfId="0" applyNumberFormat="1" applyFont="1" applyFill="1" applyBorder="1" applyAlignment="1">
      <alignment vertical="center"/>
    </xf>
    <xf numFmtId="49" fontId="38" fillId="4" borderId="135" xfId="0" applyNumberFormat="1" applyFont="1" applyFill="1" applyBorder="1" applyAlignment="1">
      <alignment vertical="center"/>
    </xf>
    <xf numFmtId="49" fontId="52" fillId="2" borderId="311" xfId="0" applyNumberFormat="1" applyFont="1" applyFill="1" applyBorder="1" applyAlignment="1">
      <alignment horizontal="right" vertical="center"/>
    </xf>
    <xf numFmtId="49" fontId="12" fillId="2" borderId="311" xfId="0" applyNumberFormat="1" applyFont="1" applyFill="1" applyBorder="1" applyAlignment="1">
      <alignment horizontal="right" vertical="center"/>
    </xf>
    <xf numFmtId="49" fontId="22" fillId="4" borderId="34" xfId="0" applyNumberFormat="1" applyFont="1" applyFill="1" applyBorder="1" applyAlignment="1">
      <alignment vertical="center"/>
    </xf>
    <xf numFmtId="49" fontId="22" fillId="4" borderId="37" xfId="0" applyNumberFormat="1" applyFont="1" applyFill="1" applyBorder="1" applyAlignment="1">
      <alignment vertical="center"/>
    </xf>
    <xf numFmtId="49" fontId="22" fillId="4" borderId="39" xfId="0" applyNumberFormat="1" applyFont="1" applyFill="1" applyBorder="1" applyAlignment="1">
      <alignment vertical="center"/>
    </xf>
    <xf numFmtId="49" fontId="22" fillId="4" borderId="44" xfId="0" applyNumberFormat="1" applyFont="1" applyFill="1" applyBorder="1" applyAlignment="1">
      <alignment vertical="center"/>
    </xf>
    <xf numFmtId="49" fontId="24" fillId="0" borderId="74" xfId="0" applyNumberFormat="1" applyFont="1" applyBorder="1" applyAlignment="1">
      <alignment vertical="center"/>
    </xf>
    <xf numFmtId="49" fontId="24" fillId="0" borderId="134" xfId="0" applyNumberFormat="1" applyFont="1" applyBorder="1" applyAlignment="1">
      <alignment vertical="center"/>
    </xf>
    <xf numFmtId="49" fontId="24" fillId="0" borderId="75" xfId="0" applyNumberFormat="1" applyFont="1" applyBorder="1" applyAlignment="1">
      <alignment vertical="center"/>
    </xf>
    <xf numFmtId="49" fontId="38" fillId="0" borderId="75" xfId="0" applyNumberFormat="1" applyFont="1" applyBorder="1" applyAlignment="1">
      <alignment vertical="center"/>
    </xf>
    <xf numFmtId="49" fontId="38" fillId="0" borderId="44" xfId="0" applyNumberFormat="1" applyFont="1" applyBorder="1" applyAlignment="1">
      <alignment horizontal="center" vertical="center"/>
    </xf>
    <xf numFmtId="49" fontId="38" fillId="0" borderId="34" xfId="0" applyNumberFormat="1" applyFont="1" applyBorder="1" applyAlignment="1">
      <alignment horizontal="center" vertical="center"/>
    </xf>
    <xf numFmtId="49" fontId="38" fillId="0" borderId="37" xfId="0" applyNumberFormat="1" applyFont="1" applyBorder="1" applyAlignment="1">
      <alignment horizontal="center" vertical="center"/>
    </xf>
    <xf numFmtId="49" fontId="11" fillId="12" borderId="117" xfId="0" applyNumberFormat="1" applyFont="1" applyFill="1" applyBorder="1" applyAlignment="1">
      <alignment horizontal="center" vertical="center"/>
    </xf>
    <xf numFmtId="49" fontId="12" fillId="2" borderId="118" xfId="0" applyNumberFormat="1" applyFont="1" applyFill="1" applyBorder="1" applyAlignment="1">
      <alignment horizontal="right" vertical="center"/>
    </xf>
    <xf numFmtId="49" fontId="38" fillId="0" borderId="325" xfId="0" applyNumberFormat="1" applyFont="1" applyBorder="1" applyAlignment="1">
      <alignment vertical="center"/>
    </xf>
    <xf numFmtId="49" fontId="12" fillId="2" borderId="311" xfId="0" applyNumberFormat="1" applyFont="1" applyFill="1" applyBorder="1" applyAlignment="1">
      <alignment horizontal="center" vertical="center"/>
    </xf>
    <xf numFmtId="49" fontId="3" fillId="0" borderId="0" xfId="0" applyNumberFormat="1" applyFont="1"/>
    <xf numFmtId="49" fontId="24" fillId="0" borderId="180" xfId="0" applyNumberFormat="1" applyFont="1" applyBorder="1"/>
    <xf numFmtId="49" fontId="24" fillId="0" borderId="182" xfId="0" applyNumberFormat="1" applyFont="1" applyBorder="1"/>
    <xf numFmtId="49" fontId="38" fillId="0" borderId="182" xfId="0" applyNumberFormat="1" applyFont="1" applyBorder="1" applyAlignment="1">
      <alignment horizontal="center" vertical="center"/>
    </xf>
    <xf numFmtId="49" fontId="38" fillId="0" borderId="184" xfId="0" applyNumberFormat="1" applyFont="1" applyBorder="1" applyAlignment="1">
      <alignment horizontal="center" vertical="center"/>
    </xf>
    <xf numFmtId="49" fontId="38" fillId="0" borderId="180" xfId="0" applyNumberFormat="1" applyFont="1" applyBorder="1" applyAlignment="1">
      <alignment horizontal="center" vertical="center"/>
    </xf>
    <xf numFmtId="49" fontId="38" fillId="0" borderId="187" xfId="0" applyNumberFormat="1" applyFont="1" applyBorder="1" applyAlignment="1">
      <alignment horizontal="center" vertical="center"/>
    </xf>
    <xf numFmtId="49" fontId="24" fillId="0" borderId="180" xfId="0" applyNumberFormat="1" applyFont="1" applyBorder="1" applyAlignment="1">
      <alignment horizontal="center" vertical="center" wrapText="1"/>
    </xf>
    <xf numFmtId="49" fontId="24" fillId="0" borderId="182" xfId="0" applyNumberFormat="1" applyFont="1" applyBorder="1" applyAlignment="1">
      <alignment horizontal="center" vertical="center" wrapText="1"/>
    </xf>
    <xf numFmtId="49" fontId="24" fillId="0" borderId="184" xfId="0" applyNumberFormat="1" applyFont="1" applyBorder="1" applyAlignment="1">
      <alignment horizontal="center" vertical="center" wrapText="1"/>
    </xf>
    <xf numFmtId="49" fontId="38" fillId="0" borderId="280" xfId="0" applyNumberFormat="1" applyFont="1" applyBorder="1" applyAlignment="1">
      <alignment horizontal="center" vertical="center"/>
    </xf>
    <xf numFmtId="49" fontId="38" fillId="0" borderId="286" xfId="0" applyNumberFormat="1" applyFont="1" applyBorder="1" applyAlignment="1">
      <alignment horizontal="center" vertical="center"/>
    </xf>
    <xf numFmtId="49" fontId="38" fillId="0" borderId="292" xfId="0" applyNumberFormat="1" applyFont="1" applyBorder="1" applyAlignment="1">
      <alignment horizontal="center" vertical="center"/>
    </xf>
    <xf numFmtId="49" fontId="38" fillId="0" borderId="39" xfId="0" applyNumberFormat="1" applyFont="1" applyBorder="1" applyAlignment="1">
      <alignment horizontal="center" vertical="center"/>
    </xf>
    <xf numFmtId="49" fontId="24" fillId="0" borderId="256" xfId="0" applyNumberFormat="1" applyFont="1" applyBorder="1" applyAlignment="1">
      <alignment vertical="center"/>
    </xf>
    <xf numFmtId="49" fontId="19" fillId="2" borderId="327" xfId="0" applyNumberFormat="1" applyFont="1" applyFill="1" applyBorder="1" applyAlignment="1">
      <alignment horizontal="right" vertical="center"/>
    </xf>
    <xf numFmtId="49" fontId="22" fillId="4" borderId="86" xfId="0" applyNumberFormat="1" applyFont="1" applyFill="1" applyBorder="1" applyAlignment="1">
      <alignment vertical="center"/>
    </xf>
    <xf numFmtId="49" fontId="52" fillId="2" borderId="311" xfId="0" applyNumberFormat="1" applyFont="1" applyFill="1" applyBorder="1" applyAlignment="1">
      <alignment horizontal="center" vertical="center"/>
    </xf>
    <xf numFmtId="49" fontId="22" fillId="4" borderId="173" xfId="0" applyNumberFormat="1" applyFont="1" applyFill="1" applyBorder="1" applyAlignment="1">
      <alignment vertical="center"/>
    </xf>
    <xf numFmtId="49" fontId="22" fillId="4" borderId="84" xfId="0" applyNumberFormat="1" applyFont="1" applyFill="1" applyBorder="1" applyAlignment="1">
      <alignment vertical="center"/>
    </xf>
    <xf numFmtId="49" fontId="22" fillId="4" borderId="89" xfId="0" applyNumberFormat="1" applyFont="1" applyFill="1" applyBorder="1" applyAlignment="1">
      <alignment vertical="center"/>
    </xf>
    <xf numFmtId="49" fontId="23" fillId="4" borderId="84" xfId="0" applyNumberFormat="1" applyFont="1" applyFill="1" applyBorder="1" applyAlignment="1">
      <alignment horizontal="center" vertical="center" wrapText="1"/>
    </xf>
    <xf numFmtId="49" fontId="44" fillId="0" borderId="0" xfId="0" applyNumberFormat="1" applyFont="1"/>
    <xf numFmtId="49" fontId="38" fillId="4" borderId="256" xfId="0" applyNumberFormat="1" applyFont="1" applyFill="1" applyBorder="1" applyAlignment="1">
      <alignment vertical="center"/>
    </xf>
    <xf numFmtId="49" fontId="38" fillId="4" borderId="182" xfId="0" applyNumberFormat="1" applyFont="1" applyFill="1" applyBorder="1" applyAlignment="1">
      <alignment vertical="center"/>
    </xf>
    <xf numFmtId="49" fontId="38" fillId="4" borderId="184" xfId="0" applyNumberFormat="1" applyFont="1" applyFill="1" applyBorder="1" applyAlignment="1">
      <alignment vertical="center"/>
    </xf>
    <xf numFmtId="49" fontId="38" fillId="4" borderId="180" xfId="0" applyNumberFormat="1" applyFont="1" applyFill="1" applyBorder="1" applyAlignment="1">
      <alignment vertical="center"/>
    </xf>
    <xf numFmtId="49" fontId="38" fillId="4" borderId="109" xfId="0" applyNumberFormat="1" applyFont="1" applyFill="1" applyBorder="1" applyAlignment="1">
      <alignment vertical="center"/>
    </xf>
    <xf numFmtId="0" fontId="93" fillId="0" borderId="344" xfId="2"/>
    <xf numFmtId="0" fontId="0" fillId="0" borderId="0" xfId="0" applyAlignment="1">
      <alignment vertical="center"/>
    </xf>
    <xf numFmtId="49" fontId="24" fillId="0" borderId="386" xfId="0" applyNumberFormat="1" applyFont="1" applyBorder="1" applyAlignment="1">
      <alignment horizontal="center" vertical="center"/>
    </xf>
    <xf numFmtId="49" fontId="24" fillId="0" borderId="387" xfId="0" applyNumberFormat="1" applyFont="1" applyBorder="1" applyAlignment="1">
      <alignment horizontal="center" vertical="center"/>
    </xf>
    <xf numFmtId="0" fontId="14" fillId="0" borderId="344" xfId="2" applyFont="1"/>
    <xf numFmtId="0" fontId="33" fillId="0" borderId="344" xfId="2" applyFont="1"/>
    <xf numFmtId="0" fontId="39" fillId="0" borderId="344" xfId="2" applyFont="1" applyAlignment="1">
      <alignment horizontal="right"/>
    </xf>
    <xf numFmtId="49" fontId="39" fillId="0" borderId="344" xfId="2" applyNumberFormat="1" applyFont="1" applyAlignment="1">
      <alignment horizontal="right"/>
    </xf>
    <xf numFmtId="39" fontId="14" fillId="3" borderId="5" xfId="0" applyNumberFormat="1" applyFont="1" applyFill="1" applyBorder="1" applyAlignment="1">
      <alignment horizontal="left" vertical="center" wrapText="1" indent="1"/>
    </xf>
    <xf numFmtId="0" fontId="14" fillId="3" borderId="5" xfId="0" applyFont="1" applyFill="1" applyBorder="1" applyAlignment="1">
      <alignment horizontal="left" vertical="center" wrapText="1" indent="1"/>
    </xf>
    <xf numFmtId="0" fontId="24" fillId="4" borderId="173" xfId="0" applyFont="1" applyFill="1" applyBorder="1" applyAlignment="1">
      <alignment horizontal="center" vertical="center" wrapText="1"/>
    </xf>
    <xf numFmtId="49" fontId="24" fillId="4" borderId="173" xfId="0" applyNumberFormat="1" applyFont="1" applyFill="1" applyBorder="1" applyAlignment="1">
      <alignment horizontal="center" vertical="center"/>
    </xf>
    <xf numFmtId="0" fontId="12" fillId="2" borderId="118" xfId="0" applyFont="1" applyFill="1" applyBorder="1" applyAlignment="1">
      <alignment vertical="center" wrapText="1"/>
    </xf>
    <xf numFmtId="0" fontId="23" fillId="4" borderId="44" xfId="0" applyFont="1" applyFill="1" applyBorder="1" applyAlignment="1">
      <alignment horizontal="center" vertical="center" wrapText="1"/>
    </xf>
    <xf numFmtId="49" fontId="26" fillId="4" borderId="43" xfId="0" applyNumberFormat="1" applyFont="1" applyFill="1" applyBorder="1" applyAlignment="1">
      <alignment horizontal="center" vertical="center"/>
    </xf>
    <xf numFmtId="0" fontId="26" fillId="4" borderId="43" xfId="0" applyFont="1" applyFill="1" applyBorder="1" applyAlignment="1">
      <alignment horizontal="center" vertical="center" wrapText="1"/>
    </xf>
    <xf numFmtId="0" fontId="19" fillId="2" borderId="327" xfId="0" applyFont="1" applyFill="1" applyBorder="1" applyAlignment="1">
      <alignment horizontal="center" vertical="center"/>
    </xf>
    <xf numFmtId="44" fontId="35" fillId="0" borderId="312" xfId="0" applyNumberFormat="1" applyFont="1" applyBorder="1" applyAlignment="1">
      <alignment horizontal="right" vertical="center"/>
    </xf>
    <xf numFmtId="0" fontId="38" fillId="0" borderId="362" xfId="0" applyFont="1" applyBorder="1" applyAlignment="1">
      <alignment horizontal="left" vertical="center" wrapText="1"/>
    </xf>
    <xf numFmtId="0" fontId="24" fillId="0" borderId="41" xfId="0" applyFont="1" applyBorder="1" applyAlignment="1">
      <alignment horizontal="left" vertical="center"/>
    </xf>
    <xf numFmtId="0" fontId="24" fillId="0" borderId="43" xfId="0" applyFont="1" applyBorder="1" applyAlignment="1">
      <alignment horizontal="center" vertical="center" wrapText="1"/>
    </xf>
    <xf numFmtId="168" fontId="24" fillId="0" borderId="43" xfId="0" applyNumberFormat="1" applyFont="1" applyBorder="1" applyAlignment="1">
      <alignment vertical="center"/>
    </xf>
    <xf numFmtId="168" fontId="38" fillId="0" borderId="43" xfId="0" applyNumberFormat="1" applyFont="1" applyBorder="1" applyAlignment="1">
      <alignment vertical="center"/>
    </xf>
    <xf numFmtId="49" fontId="24" fillId="0" borderId="43" xfId="0" applyNumberFormat="1" applyFont="1" applyBorder="1" applyAlignment="1">
      <alignment horizontal="center" vertical="center"/>
    </xf>
    <xf numFmtId="0" fontId="24" fillId="0" borderId="43" xfId="0" applyFont="1" applyBorder="1" applyAlignment="1">
      <alignment horizontal="left" vertical="center" wrapText="1"/>
    </xf>
    <xf numFmtId="0" fontId="38" fillId="0" borderId="313" xfId="0" applyFont="1" applyBorder="1" applyAlignment="1">
      <alignment horizontal="left" vertical="center" wrapText="1"/>
    </xf>
    <xf numFmtId="0" fontId="38" fillId="0" borderId="41" xfId="0" applyFont="1" applyBorder="1" applyAlignment="1">
      <alignment horizontal="left" vertical="center"/>
    </xf>
    <xf numFmtId="168" fontId="24" fillId="0" borderId="0" xfId="0" applyNumberFormat="1" applyFont="1" applyAlignment="1">
      <alignment horizontal="right" vertical="center"/>
    </xf>
    <xf numFmtId="0" fontId="24" fillId="0" borderId="173" xfId="0" applyFont="1" applyBorder="1" applyAlignment="1">
      <alignment horizontal="center" vertical="center" wrapText="1"/>
    </xf>
    <xf numFmtId="49" fontId="24" fillId="0" borderId="173" xfId="0" applyNumberFormat="1" applyFont="1" applyBorder="1" applyAlignment="1">
      <alignment horizontal="center" vertical="center"/>
    </xf>
    <xf numFmtId="0" fontId="12" fillId="2" borderId="327" xfId="0" applyFont="1" applyFill="1" applyBorder="1" applyAlignment="1">
      <alignment horizontal="left" vertical="center"/>
    </xf>
    <xf numFmtId="0" fontId="12" fillId="2" borderId="327" xfId="0" applyFont="1" applyFill="1" applyBorder="1" applyAlignment="1">
      <alignment vertical="center"/>
    </xf>
    <xf numFmtId="0" fontId="35" fillId="12" borderId="350" xfId="0" applyFont="1" applyFill="1" applyBorder="1" applyAlignment="1">
      <alignment horizontal="center" vertical="center"/>
    </xf>
    <xf numFmtId="0" fontId="14" fillId="0" borderId="344" xfId="0" applyFont="1" applyBorder="1" applyAlignment="1">
      <alignment vertical="center"/>
    </xf>
    <xf numFmtId="0" fontId="34" fillId="3" borderId="377" xfId="0" applyFont="1" applyFill="1" applyBorder="1" applyAlignment="1">
      <alignment horizontal="center" vertical="center"/>
    </xf>
    <xf numFmtId="49" fontId="24" fillId="0" borderId="41" xfId="0" applyNumberFormat="1" applyFont="1" applyBorder="1" applyAlignment="1">
      <alignment horizontal="left" vertical="center"/>
    </xf>
    <xf numFmtId="0" fontId="24" fillId="0" borderId="297" xfId="0" applyFont="1" applyBorder="1" applyAlignment="1">
      <alignment horizontal="center" vertical="center" wrapText="1"/>
    </xf>
    <xf numFmtId="39" fontId="12" fillId="2" borderId="118" xfId="0" applyNumberFormat="1" applyFont="1" applyFill="1" applyBorder="1" applyAlignment="1">
      <alignment horizontal="right" vertical="center"/>
    </xf>
    <xf numFmtId="0" fontId="24" fillId="0" borderId="329" xfId="0" applyFont="1" applyBorder="1" applyAlignment="1">
      <alignment horizontal="center" vertical="center" wrapText="1"/>
    </xf>
    <xf numFmtId="0" fontId="24" fillId="0" borderId="329" xfId="0" applyFont="1" applyBorder="1" applyAlignment="1">
      <alignment horizontal="center" vertical="center"/>
    </xf>
    <xf numFmtId="168" fontId="24" fillId="0" borderId="329" xfId="0" applyNumberFormat="1" applyFont="1" applyBorder="1" applyAlignment="1">
      <alignment vertical="center"/>
    </xf>
    <xf numFmtId="49" fontId="24" fillId="4" borderId="329" xfId="0" applyNumberFormat="1" applyFont="1" applyFill="1" applyBorder="1" applyAlignment="1">
      <alignment horizontal="center" vertical="center"/>
    </xf>
    <xf numFmtId="49" fontId="24" fillId="0" borderId="329" xfId="0" applyNumberFormat="1" applyFont="1" applyBorder="1" applyAlignment="1">
      <alignment horizontal="center" vertical="center"/>
    </xf>
    <xf numFmtId="49" fontId="38" fillId="0" borderId="329" xfId="0" applyNumberFormat="1" applyFont="1" applyBorder="1" applyAlignment="1">
      <alignment horizontal="center" vertical="center"/>
    </xf>
    <xf numFmtId="0" fontId="12" fillId="2" borderId="327" xfId="0" applyFont="1" applyFill="1" applyBorder="1" applyAlignment="1">
      <alignment horizontal="center" vertical="center"/>
    </xf>
    <xf numFmtId="0" fontId="24" fillId="4" borderId="196" xfId="0" applyFont="1" applyFill="1" applyBorder="1" applyAlignment="1">
      <alignment vertical="center"/>
    </xf>
    <xf numFmtId="0" fontId="14" fillId="12" borderId="300" xfId="0" applyFont="1" applyFill="1" applyBorder="1" applyAlignment="1">
      <alignment horizontal="center" vertical="center"/>
    </xf>
    <xf numFmtId="0" fontId="39" fillId="0" borderId="0" xfId="0" applyFont="1" applyAlignment="1">
      <alignment horizontal="right"/>
    </xf>
    <xf numFmtId="0" fontId="24" fillId="0" borderId="386" xfId="0" applyFont="1" applyBorder="1" applyAlignment="1">
      <alignment horizontal="center" vertical="center" wrapText="1"/>
    </xf>
    <xf numFmtId="168" fontId="38" fillId="0" borderId="313" xfId="0" applyNumberFormat="1" applyFont="1" applyBorder="1" applyAlignment="1">
      <alignment vertical="center"/>
    </xf>
    <xf numFmtId="168" fontId="38" fillId="0" borderId="173" xfId="0" applyNumberFormat="1" applyFont="1" applyBorder="1" applyAlignment="1">
      <alignment vertical="center"/>
    </xf>
    <xf numFmtId="0" fontId="24" fillId="0" borderId="385" xfId="0" applyFont="1" applyBorder="1" applyAlignment="1">
      <alignment horizontal="center" vertical="center" wrapText="1"/>
    </xf>
    <xf numFmtId="0" fontId="12" fillId="2" borderId="341" xfId="0" applyFont="1" applyFill="1" applyBorder="1" applyAlignment="1">
      <alignment vertical="center" textRotation="90" wrapText="1"/>
    </xf>
    <xf numFmtId="0" fontId="12" fillId="2" borderId="327" xfId="0" applyFont="1" applyFill="1" applyBorder="1" applyAlignment="1">
      <alignment vertical="center" textRotation="90" wrapText="1"/>
    </xf>
    <xf numFmtId="0" fontId="24" fillId="0" borderId="256" xfId="0" applyFont="1" applyBorder="1" applyAlignment="1">
      <alignment horizontal="center" vertical="center" wrapText="1"/>
    </xf>
    <xf numFmtId="168" fontId="24" fillId="0" borderId="256" xfId="0" applyNumberFormat="1" applyFont="1" applyBorder="1" applyAlignment="1">
      <alignment horizontal="center" vertical="center"/>
    </xf>
    <xf numFmtId="0" fontId="23" fillId="3" borderId="258" xfId="0" applyFont="1" applyFill="1" applyBorder="1" applyAlignment="1">
      <alignment horizontal="left" vertical="center" wrapText="1"/>
    </xf>
    <xf numFmtId="0" fontId="38" fillId="0" borderId="295" xfId="0" applyFont="1" applyBorder="1" applyAlignment="1">
      <alignment horizontal="center" vertical="center" wrapText="1"/>
    </xf>
    <xf numFmtId="0" fontId="38" fillId="0" borderId="297" xfId="0" applyFont="1" applyBorder="1" applyAlignment="1">
      <alignment horizontal="center" vertical="center" wrapText="1"/>
    </xf>
    <xf numFmtId="0" fontId="38" fillId="0" borderId="299" xfId="0" applyFont="1" applyBorder="1" applyAlignment="1">
      <alignment horizontal="center" vertical="center" wrapText="1"/>
    </xf>
    <xf numFmtId="0" fontId="24" fillId="0" borderId="256" xfId="0" applyFont="1" applyBorder="1" applyAlignment="1">
      <alignment vertical="center"/>
    </xf>
    <xf numFmtId="0" fontId="40" fillId="0" borderId="178" xfId="0" applyFont="1" applyBorder="1" applyAlignment="1">
      <alignment horizontal="center"/>
    </xf>
    <xf numFmtId="0" fontId="11" fillId="0" borderId="344" xfId="0" applyFont="1" applyBorder="1" applyAlignment="1">
      <alignment vertical="center"/>
    </xf>
    <xf numFmtId="0" fontId="24" fillId="4" borderId="297" xfId="0" applyFont="1" applyFill="1" applyBorder="1" applyAlignment="1">
      <alignment horizontal="center" vertical="center" wrapText="1"/>
    </xf>
    <xf numFmtId="49" fontId="24" fillId="4" borderId="256" xfId="0" applyNumberFormat="1" applyFont="1" applyFill="1" applyBorder="1" applyAlignment="1">
      <alignment horizontal="center" vertical="center"/>
    </xf>
    <xf numFmtId="0" fontId="24" fillId="4" borderId="109" xfId="0" applyFont="1" applyFill="1" applyBorder="1" applyAlignment="1">
      <alignment horizontal="center" vertical="center" wrapText="1"/>
    </xf>
    <xf numFmtId="49" fontId="24" fillId="4" borderId="109" xfId="0" applyNumberFormat="1" applyFont="1" applyFill="1" applyBorder="1" applyAlignment="1">
      <alignment horizontal="center" vertical="center"/>
    </xf>
    <xf numFmtId="0" fontId="52" fillId="2" borderId="327" xfId="0" applyFont="1" applyFill="1" applyBorder="1" applyAlignment="1">
      <alignment vertical="center" wrapText="1"/>
    </xf>
    <xf numFmtId="39" fontId="52" fillId="2" borderId="327" xfId="0" applyNumberFormat="1" applyFont="1" applyFill="1" applyBorder="1" applyAlignment="1">
      <alignment horizontal="right" vertical="center"/>
    </xf>
    <xf numFmtId="4" fontId="52" fillId="2" borderId="327" xfId="0" applyNumberFormat="1" applyFont="1" applyFill="1" applyBorder="1" applyAlignment="1">
      <alignment horizontal="right" vertical="center" wrapText="1"/>
    </xf>
    <xf numFmtId="168" fontId="52" fillId="2" borderId="214" xfId="0" applyNumberFormat="1" applyFont="1" applyFill="1" applyBorder="1" applyAlignment="1">
      <alignment horizontal="right" vertical="center"/>
    </xf>
    <xf numFmtId="0" fontId="62" fillId="2" borderId="327" xfId="0" applyFont="1" applyFill="1" applyBorder="1" applyAlignment="1">
      <alignment vertical="center" textRotation="90" wrapText="1"/>
    </xf>
    <xf numFmtId="0" fontId="52" fillId="2" borderId="327" xfId="0" applyFont="1" applyFill="1" applyBorder="1" applyAlignment="1">
      <alignment horizontal="left" vertical="center"/>
    </xf>
    <xf numFmtId="0" fontId="52" fillId="2" borderId="327" xfId="0" applyFont="1" applyFill="1" applyBorder="1" applyAlignment="1">
      <alignment vertical="center"/>
    </xf>
    <xf numFmtId="0" fontId="52" fillId="2" borderId="327" xfId="0" applyFont="1" applyFill="1" applyBorder="1" applyAlignment="1">
      <alignment horizontal="right" vertical="center"/>
    </xf>
    <xf numFmtId="173" fontId="35" fillId="0" borderId="310" xfId="0" applyNumberFormat="1" applyFont="1" applyBorder="1" applyAlignment="1">
      <alignment horizontal="right" vertical="center"/>
    </xf>
    <xf numFmtId="0" fontId="38" fillId="0" borderId="329" xfId="0" applyFont="1" applyBorder="1" applyAlignment="1">
      <alignment horizontal="left" vertical="center"/>
    </xf>
    <xf numFmtId="0" fontId="11" fillId="0" borderId="344" xfId="0" applyFont="1" applyBorder="1" applyAlignment="1">
      <alignment horizontal="left" vertical="center"/>
    </xf>
    <xf numFmtId="0" fontId="14" fillId="0" borderId="344" xfId="0" applyFont="1" applyBorder="1" applyAlignment="1">
      <alignment horizontal="left" vertical="center"/>
    </xf>
    <xf numFmtId="0" fontId="39" fillId="0" borderId="389" xfId="0" applyFont="1" applyBorder="1" applyAlignment="1">
      <alignment horizontal="center" vertical="center" wrapText="1"/>
    </xf>
    <xf numFmtId="0" fontId="39" fillId="0" borderId="182" xfId="0" applyFont="1" applyBorder="1" applyAlignment="1">
      <alignment horizontal="center" vertical="center" wrapText="1"/>
    </xf>
    <xf numFmtId="0" fontId="39" fillId="0" borderId="184" xfId="0" applyFont="1" applyBorder="1" applyAlignment="1">
      <alignment horizontal="center" vertical="center" wrapText="1"/>
    </xf>
    <xf numFmtId="0" fontId="38" fillId="0" borderId="256" xfId="0" applyFont="1" applyBorder="1" applyAlignment="1">
      <alignment horizontal="left" vertical="center" wrapText="1"/>
    </xf>
    <xf numFmtId="0" fontId="39" fillId="0" borderId="256" xfId="0" applyFont="1" applyBorder="1" applyAlignment="1">
      <alignment horizontal="center" vertical="center" wrapText="1"/>
    </xf>
    <xf numFmtId="0" fontId="68" fillId="0" borderId="256" xfId="0" applyFont="1" applyBorder="1" applyAlignment="1">
      <alignment horizontal="center" vertical="center" wrapText="1"/>
    </xf>
    <xf numFmtId="0" fontId="23" fillId="0" borderId="256" xfId="0" applyFont="1" applyBorder="1" applyAlignment="1">
      <alignment horizontal="center" vertical="center" wrapText="1"/>
    </xf>
    <xf numFmtId="0" fontId="39" fillId="0" borderId="180" xfId="0" applyFont="1" applyBorder="1" applyAlignment="1">
      <alignment horizontal="center" vertical="center" wrapText="1"/>
    </xf>
    <xf numFmtId="0" fontId="39" fillId="0" borderId="187" xfId="0" applyFont="1" applyBorder="1" applyAlignment="1">
      <alignment horizontal="center" vertical="center" wrapText="1"/>
    </xf>
    <xf numFmtId="0" fontId="24" fillId="0" borderId="256" xfId="0" applyFont="1" applyBorder="1" applyAlignment="1">
      <alignment horizontal="left" vertical="center" wrapText="1"/>
    </xf>
    <xf numFmtId="0" fontId="24" fillId="0" borderId="0" xfId="0" applyFont="1" applyAlignment="1">
      <alignment horizontal="right" vertical="center" wrapText="1"/>
    </xf>
    <xf numFmtId="0" fontId="58" fillId="0" borderId="0" xfId="0" applyFont="1" applyAlignment="1">
      <alignment horizontal="left" vertical="center" wrapText="1"/>
    </xf>
    <xf numFmtId="0" fontId="22" fillId="4" borderId="174" xfId="0" applyFont="1" applyFill="1" applyBorder="1" applyAlignment="1">
      <alignment horizontal="left" vertical="center" indent="1"/>
    </xf>
    <xf numFmtId="0" fontId="22" fillId="4" borderId="174" xfId="0" applyFont="1" applyFill="1" applyBorder="1" applyAlignment="1">
      <alignment horizontal="left" vertical="center" wrapText="1" indent="1"/>
    </xf>
    <xf numFmtId="0" fontId="23" fillId="4" borderId="175" xfId="0" applyFont="1" applyFill="1" applyBorder="1" applyAlignment="1">
      <alignment horizontal="left" vertical="center" indent="1"/>
    </xf>
    <xf numFmtId="0" fontId="22" fillId="4" borderId="176" xfId="0" applyFont="1" applyFill="1" applyBorder="1" applyAlignment="1">
      <alignment horizontal="left" vertical="center" wrapText="1" indent="1"/>
    </xf>
    <xf numFmtId="0" fontId="23" fillId="4" borderId="174" xfId="0" applyFont="1" applyFill="1" applyBorder="1" applyAlignment="1">
      <alignment horizontal="left" vertical="center" indent="1"/>
    </xf>
    <xf numFmtId="0" fontId="22" fillId="4" borderId="175" xfId="0" applyFont="1" applyFill="1" applyBorder="1" applyAlignment="1">
      <alignment horizontal="left" vertical="center" indent="1"/>
    </xf>
    <xf numFmtId="0" fontId="23" fillId="4" borderId="204" xfId="0" applyFont="1" applyFill="1" applyBorder="1" applyAlignment="1">
      <alignment horizontal="left" vertical="center" indent="1"/>
    </xf>
    <xf numFmtId="0" fontId="22" fillId="4" borderId="176" xfId="0" applyFont="1" applyFill="1" applyBorder="1" applyAlignment="1">
      <alignment horizontal="left" vertical="center" indent="1"/>
    </xf>
    <xf numFmtId="0" fontId="22" fillId="4" borderId="210" xfId="0" applyFont="1" applyFill="1" applyBorder="1" applyAlignment="1">
      <alignment horizontal="left" vertical="center" indent="1"/>
    </xf>
    <xf numFmtId="0" fontId="23" fillId="4" borderId="139" xfId="0" applyFont="1" applyFill="1" applyBorder="1" applyAlignment="1">
      <alignment horizontal="left" vertical="center" indent="1"/>
    </xf>
    <xf numFmtId="0" fontId="22" fillId="4" borderId="174" xfId="0" applyFont="1" applyFill="1" applyBorder="1" applyAlignment="1">
      <alignment horizontal="center" vertical="center" indent="1"/>
    </xf>
    <xf numFmtId="0" fontId="23" fillId="4" borderId="174" xfId="0" applyFont="1" applyFill="1" applyBorder="1" applyAlignment="1">
      <alignment horizontal="center" vertical="center" indent="1"/>
    </xf>
    <xf numFmtId="0" fontId="23" fillId="4" borderId="175" xfId="0" applyFont="1" applyFill="1" applyBorder="1" applyAlignment="1">
      <alignment horizontal="center" vertical="center" indent="1"/>
    </xf>
    <xf numFmtId="0" fontId="22" fillId="4" borderId="176" xfId="0" applyFont="1" applyFill="1" applyBorder="1" applyAlignment="1">
      <alignment horizontal="center" vertical="center" wrapText="1" indent="1"/>
    </xf>
    <xf numFmtId="0" fontId="22" fillId="4" borderId="174" xfId="0" applyFont="1" applyFill="1" applyBorder="1" applyAlignment="1">
      <alignment horizontal="center" vertical="center" wrapText="1" indent="1"/>
    </xf>
    <xf numFmtId="0" fontId="22" fillId="4" borderId="175" xfId="0" applyFont="1" applyFill="1" applyBorder="1" applyAlignment="1">
      <alignment horizontal="center" vertical="center" indent="1"/>
    </xf>
    <xf numFmtId="0" fontId="22" fillId="4" borderId="210" xfId="0" applyFont="1" applyFill="1" applyBorder="1" applyAlignment="1">
      <alignment horizontal="center" vertical="center" indent="1"/>
    </xf>
    <xf numFmtId="39" fontId="23" fillId="4" borderId="84" xfId="0" applyNumberFormat="1" applyFont="1" applyFill="1" applyBorder="1" applyAlignment="1">
      <alignment horizontal="left" vertical="center" wrapText="1" indent="1"/>
    </xf>
    <xf numFmtId="39" fontId="22" fillId="4" borderId="84" xfId="0" applyNumberFormat="1" applyFont="1" applyFill="1" applyBorder="1" applyAlignment="1">
      <alignment horizontal="left" vertical="center" wrapText="1" indent="1"/>
    </xf>
    <xf numFmtId="0" fontId="23" fillId="4" borderId="89" xfId="0" applyFont="1" applyFill="1" applyBorder="1" applyAlignment="1">
      <alignment horizontal="left" vertical="center" wrapText="1" indent="1"/>
    </xf>
    <xf numFmtId="39" fontId="22" fillId="4" borderId="86" xfId="0" applyNumberFormat="1" applyFont="1" applyFill="1" applyBorder="1" applyAlignment="1">
      <alignment horizontal="left" vertical="center" wrapText="1" indent="1"/>
    </xf>
    <xf numFmtId="39" fontId="23" fillId="4" borderId="89" xfId="0" applyNumberFormat="1" applyFont="1" applyFill="1" applyBorder="1" applyAlignment="1">
      <alignment horizontal="left" vertical="center" wrapText="1" indent="1"/>
    </xf>
    <xf numFmtId="0" fontId="23" fillId="4" borderId="84" xfId="0" applyFont="1" applyFill="1" applyBorder="1" applyAlignment="1">
      <alignment horizontal="left" vertical="center" wrapText="1" indent="1"/>
    </xf>
    <xf numFmtId="0" fontId="22" fillId="4" borderId="173" xfId="0" applyFont="1" applyFill="1" applyBorder="1" applyAlignment="1">
      <alignment horizontal="left" vertical="center" wrapText="1" indent="1"/>
    </xf>
    <xf numFmtId="0" fontId="22" fillId="4" borderId="86" xfId="0" applyFont="1" applyFill="1" applyBorder="1" applyAlignment="1">
      <alignment horizontal="left" vertical="center" wrapText="1" indent="1"/>
    </xf>
    <xf numFmtId="0" fontId="23" fillId="4" borderId="173" xfId="0" applyFont="1" applyFill="1" applyBorder="1" applyAlignment="1">
      <alignment horizontal="left" vertical="center" wrapText="1" indent="1"/>
    </xf>
    <xf numFmtId="0" fontId="38" fillId="0" borderId="344" xfId="0" applyFont="1" applyBorder="1" applyAlignment="1">
      <alignment vertical="center"/>
    </xf>
    <xf numFmtId="0" fontId="24" fillId="0" borderId="344" xfId="0" applyFont="1" applyBorder="1" applyAlignment="1">
      <alignment vertical="center"/>
    </xf>
    <xf numFmtId="0" fontId="14" fillId="0" borderId="5" xfId="0" applyFont="1" applyBorder="1" applyAlignment="1">
      <alignment horizontal="left" vertical="center" wrapText="1" indent="1"/>
    </xf>
    <xf numFmtId="168" fontId="110" fillId="2" borderId="311" xfId="0" applyNumberFormat="1" applyFont="1" applyFill="1" applyBorder="1" applyAlignment="1">
      <alignment horizontal="right" vertical="center"/>
    </xf>
    <xf numFmtId="49" fontId="110" fillId="2" borderId="311" xfId="0" applyNumberFormat="1" applyFont="1" applyFill="1" applyBorder="1" applyAlignment="1">
      <alignment horizontal="center" vertical="center"/>
    </xf>
    <xf numFmtId="0" fontId="15" fillId="0" borderId="48" xfId="0" applyFont="1" applyBorder="1"/>
    <xf numFmtId="0" fontId="15" fillId="0" borderId="51" xfId="0" applyFont="1" applyBorder="1"/>
    <xf numFmtId="0" fontId="15" fillId="0" borderId="80" xfId="0" applyFont="1" applyBorder="1"/>
    <xf numFmtId="0" fontId="15" fillId="0" borderId="123" xfId="0" applyFont="1" applyBorder="1"/>
    <xf numFmtId="0" fontId="0" fillId="0" borderId="344" xfId="0" applyBorder="1"/>
    <xf numFmtId="0" fontId="24" fillId="0" borderId="33" xfId="0" applyFont="1" applyBorder="1" applyAlignment="1">
      <alignment vertical="center"/>
    </xf>
    <xf numFmtId="0" fontId="24" fillId="0" borderId="36" xfId="0" applyFont="1" applyBorder="1" applyAlignment="1">
      <alignment vertical="center"/>
    </xf>
    <xf numFmtId="0" fontId="38" fillId="0" borderId="29" xfId="0" applyFont="1" applyBorder="1" applyAlignment="1">
      <alignment horizontal="left" vertical="center" indent="1"/>
    </xf>
    <xf numFmtId="0" fontId="38" fillId="0" borderId="41" xfId="0" applyFont="1" applyBorder="1" applyAlignment="1">
      <alignment horizontal="left" vertical="center" indent="1"/>
    </xf>
    <xf numFmtId="0" fontId="38" fillId="0" borderId="38" xfId="0" applyFont="1" applyBorder="1" applyAlignment="1">
      <alignment horizontal="left" vertical="center" indent="1"/>
    </xf>
    <xf numFmtId="0" fontId="38" fillId="0" borderId="42" xfId="0" applyFont="1" applyBorder="1" applyAlignment="1">
      <alignment horizontal="left" vertical="center" indent="1"/>
    </xf>
    <xf numFmtId="0" fontId="38" fillId="0" borderId="295" xfId="0" applyFont="1" applyBorder="1" applyAlignment="1">
      <alignment horizontal="left" vertical="center" indent="1"/>
    </xf>
    <xf numFmtId="0" fontId="38" fillId="0" borderId="33" xfId="0" applyFont="1" applyBorder="1" applyAlignment="1">
      <alignment horizontal="left" vertical="center" indent="1"/>
    </xf>
    <xf numFmtId="0" fontId="38" fillId="0" borderId="36" xfId="0" applyFont="1" applyBorder="1" applyAlignment="1">
      <alignment horizontal="left" vertical="center" indent="1"/>
    </xf>
    <xf numFmtId="0" fontId="38" fillId="0" borderId="297" xfId="0" applyFont="1" applyBorder="1" applyAlignment="1">
      <alignment horizontal="left" vertical="center" indent="1"/>
    </xf>
    <xf numFmtId="0" fontId="38" fillId="0" borderId="174" xfId="0" applyFont="1" applyBorder="1" applyAlignment="1">
      <alignment horizontal="left" vertical="center" indent="1"/>
    </xf>
    <xf numFmtId="0" fontId="38" fillId="0" borderId="174" xfId="0" applyFont="1" applyBorder="1" applyAlignment="1">
      <alignment horizontal="left" indent="1"/>
    </xf>
    <xf numFmtId="0" fontId="38" fillId="0" borderId="175" xfId="0" applyFont="1" applyBorder="1" applyAlignment="1">
      <alignment horizontal="left" indent="1"/>
    </xf>
    <xf numFmtId="0" fontId="38" fillId="0" borderId="299" xfId="0" applyFont="1" applyBorder="1" applyAlignment="1">
      <alignment horizontal="left" vertical="center" indent="1"/>
    </xf>
    <xf numFmtId="0" fontId="38" fillId="0" borderId="30" xfId="0" applyFont="1" applyBorder="1" applyAlignment="1">
      <alignment horizontal="left" vertical="center" wrapText="1" indent="1"/>
    </xf>
    <xf numFmtId="0" fontId="24" fillId="0" borderId="34" xfId="0" applyFont="1" applyBorder="1" applyAlignment="1">
      <alignment horizontal="left" vertical="center" wrapText="1" indent="1"/>
    </xf>
    <xf numFmtId="0" fontId="24" fillId="0" borderId="44" xfId="0" applyFont="1" applyBorder="1" applyAlignment="1">
      <alignment horizontal="left" vertical="center" wrapText="1" indent="1"/>
    </xf>
    <xf numFmtId="0" fontId="24" fillId="0" borderId="37" xfId="0" applyFont="1" applyBorder="1" applyAlignment="1">
      <alignment horizontal="left" vertical="center" wrapText="1" indent="1"/>
    </xf>
    <xf numFmtId="0" fontId="38" fillId="0" borderId="44" xfId="0" applyFont="1" applyBorder="1" applyAlignment="1">
      <alignment horizontal="left" vertical="center" wrapText="1" indent="1"/>
    </xf>
    <xf numFmtId="0" fontId="38" fillId="0" borderId="39" xfId="0" applyFont="1" applyBorder="1" applyAlignment="1">
      <alignment horizontal="left" vertical="center" wrapText="1" indent="1"/>
    </xf>
    <xf numFmtId="0" fontId="38" fillId="0" borderId="313" xfId="0" applyFont="1" applyBorder="1" applyAlignment="1">
      <alignment horizontal="left" vertical="center" wrapText="1" indent="1"/>
    </xf>
    <xf numFmtId="0" fontId="24" fillId="0" borderId="43" xfId="0" applyFont="1" applyBorder="1" applyAlignment="1">
      <alignment horizontal="left" vertical="center" wrapText="1" indent="1"/>
    </xf>
    <xf numFmtId="0" fontId="38" fillId="4" borderId="39" xfId="0" applyFont="1" applyFill="1" applyBorder="1" applyAlignment="1">
      <alignment horizontal="left" vertical="center" wrapText="1" indent="1"/>
    </xf>
    <xf numFmtId="0" fontId="38" fillId="0" borderId="34" xfId="0" applyFont="1" applyBorder="1" applyAlignment="1">
      <alignment horizontal="left" vertical="center" wrapText="1" indent="1"/>
    </xf>
    <xf numFmtId="0" fontId="24" fillId="4" borderId="34" xfId="0" applyFont="1" applyFill="1" applyBorder="1" applyAlignment="1">
      <alignment horizontal="left" vertical="center" wrapText="1" indent="1"/>
    </xf>
    <xf numFmtId="0" fontId="24" fillId="0" borderId="84" xfId="0" applyFont="1" applyBorder="1" applyAlignment="1">
      <alignment horizontal="left" vertical="center" wrapText="1" indent="1"/>
    </xf>
    <xf numFmtId="0" fontId="24" fillId="0" borderId="89" xfId="0" applyFont="1" applyBorder="1" applyAlignment="1">
      <alignment indent="1"/>
    </xf>
    <xf numFmtId="0" fontId="38" fillId="0" borderId="173" xfId="0" applyFont="1" applyBorder="1" applyAlignment="1">
      <alignment horizontal="left" vertical="center" wrapText="1" indent="1"/>
    </xf>
    <xf numFmtId="0" fontId="26" fillId="0" borderId="34" xfId="0" applyFont="1" applyBorder="1" applyAlignment="1">
      <alignment horizontal="left" vertical="center" wrapText="1" indent="1"/>
    </xf>
    <xf numFmtId="0" fontId="38" fillId="0" borderId="295" xfId="0" applyFont="1" applyBorder="1" applyAlignment="1">
      <alignment horizontal="left" vertical="center" wrapText="1" indent="1"/>
    </xf>
    <xf numFmtId="0" fontId="24" fillId="0" borderId="84" xfId="0" applyFont="1" applyBorder="1" applyAlignment="1">
      <alignment indent="1"/>
    </xf>
    <xf numFmtId="0" fontId="24" fillId="0" borderId="44" xfId="0" applyFont="1" applyBorder="1" applyAlignment="1">
      <alignment horizontal="center" vertical="center" wrapText="1" indent="1"/>
    </xf>
    <xf numFmtId="0" fontId="24" fillId="0" borderId="43" xfId="0" applyFont="1" applyBorder="1"/>
    <xf numFmtId="0" fontId="24" fillId="4" borderId="37" xfId="0" applyFont="1" applyFill="1" applyBorder="1" applyAlignment="1">
      <alignment horizontal="left" vertical="center" wrapText="1" indent="1"/>
    </xf>
    <xf numFmtId="0" fontId="4" fillId="0" borderId="344" xfId="0" applyFont="1" applyBorder="1"/>
    <xf numFmtId="1" fontId="32" fillId="0" borderId="344" xfId="0" applyNumberFormat="1" applyFont="1" applyBorder="1" applyAlignment="1">
      <alignment vertical="center"/>
    </xf>
    <xf numFmtId="0" fontId="32" fillId="0" borderId="344" xfId="0" applyFont="1" applyBorder="1" applyAlignment="1">
      <alignment vertical="center"/>
    </xf>
    <xf numFmtId="0" fontId="59" fillId="0" borderId="344" xfId="0" applyFont="1" applyBorder="1"/>
    <xf numFmtId="0" fontId="38" fillId="4" borderId="30" xfId="0" applyFont="1" applyFill="1" applyBorder="1" applyAlignment="1">
      <alignment horizontal="left" vertical="center" wrapText="1" indent="1"/>
    </xf>
    <xf numFmtId="0" fontId="24" fillId="4" borderId="43" xfId="0" applyFont="1" applyFill="1" applyBorder="1" applyAlignment="1">
      <alignment horizontal="left" vertical="center" wrapText="1" indent="1"/>
    </xf>
    <xf numFmtId="0" fontId="38" fillId="4" borderId="44"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0" fontId="14" fillId="3" borderId="5" xfId="0" applyFont="1" applyFill="1" applyBorder="1" applyAlignment="1">
      <alignment vertical="center" indent="1"/>
    </xf>
    <xf numFmtId="0" fontId="14" fillId="3" borderId="5" xfId="0" applyFont="1" applyFill="1" applyBorder="1" applyAlignment="1">
      <alignment vertical="center" wrapText="1" indent="1"/>
    </xf>
    <xf numFmtId="0" fontId="8" fillId="0" borderId="344" xfId="0" applyFont="1" applyBorder="1" applyAlignment="1">
      <alignment vertical="center" wrapText="1"/>
    </xf>
    <xf numFmtId="0" fontId="8" fillId="0" borderId="327" xfId="0" applyFont="1" applyBorder="1" applyAlignment="1">
      <alignment vertical="center" wrapText="1"/>
    </xf>
    <xf numFmtId="49" fontId="24" fillId="0" borderId="523" xfId="0" applyNumberFormat="1" applyFont="1" applyBorder="1" applyAlignment="1">
      <alignment vertical="center"/>
    </xf>
    <xf numFmtId="49" fontId="24" fillId="0" borderId="524" xfId="0" applyNumberFormat="1" applyFont="1" applyBorder="1" applyAlignment="1">
      <alignment vertical="center"/>
    </xf>
    <xf numFmtId="49" fontId="24" fillId="0" borderId="525" xfId="0" applyNumberFormat="1" applyFont="1" applyBorder="1" applyAlignment="1">
      <alignment vertical="center"/>
    </xf>
    <xf numFmtId="49" fontId="24" fillId="0" borderId="526" xfId="0" applyNumberFormat="1" applyFont="1" applyBorder="1" applyAlignment="1">
      <alignment vertical="center"/>
    </xf>
    <xf numFmtId="49" fontId="24" fillId="0" borderId="34" xfId="0" applyNumberFormat="1" applyFont="1" applyBorder="1" applyAlignment="1">
      <alignment vertical="center"/>
    </xf>
    <xf numFmtId="49" fontId="24" fillId="0" borderId="37" xfId="0" applyNumberFormat="1" applyFont="1" applyBorder="1" applyAlignment="1">
      <alignment vertical="center"/>
    </xf>
    <xf numFmtId="49" fontId="24" fillId="0" borderId="527" xfId="0" applyNumberFormat="1" applyFont="1" applyBorder="1" applyAlignment="1">
      <alignment vertical="center"/>
    </xf>
    <xf numFmtId="0" fontId="14" fillId="0" borderId="5" xfId="0" applyFont="1" applyBorder="1" applyAlignment="1">
      <alignment vertical="center" wrapText="1" indent="1"/>
    </xf>
    <xf numFmtId="0" fontId="22" fillId="3" borderId="41" xfId="0" applyFont="1" applyFill="1" applyBorder="1" applyAlignment="1">
      <alignment horizontal="left" vertical="center" wrapText="1" indent="1"/>
    </xf>
    <xf numFmtId="0" fontId="23" fillId="3" borderId="33" xfId="0" applyFont="1" applyFill="1" applyBorder="1" applyAlignment="1">
      <alignment horizontal="left" vertical="center" wrapText="1" indent="1"/>
    </xf>
    <xf numFmtId="0" fontId="22" fillId="3" borderId="33" xfId="0" applyFont="1" applyFill="1" applyBorder="1" applyAlignment="1">
      <alignment horizontal="left" vertical="center" wrapText="1" indent="1"/>
    </xf>
    <xf numFmtId="0" fontId="38" fillId="0" borderId="324" xfId="0" applyFont="1" applyBorder="1" applyAlignment="1">
      <alignment horizontal="left" vertical="center" wrapText="1" indent="1"/>
    </xf>
    <xf numFmtId="0" fontId="24" fillId="0" borderId="325" xfId="0" applyFont="1" applyBorder="1" applyAlignment="1">
      <alignment horizontal="left" vertical="center" wrapText="1" indent="1"/>
    </xf>
    <xf numFmtId="0" fontId="38" fillId="0" borderId="325" xfId="0" applyFont="1" applyBorder="1" applyAlignment="1">
      <alignment horizontal="left" vertical="center" wrapText="1" indent="1"/>
    </xf>
    <xf numFmtId="0" fontId="24" fillId="0" borderId="211" xfId="0" applyFont="1" applyBorder="1" applyAlignment="1">
      <alignment horizontal="left" vertical="center" wrapText="1" indent="1"/>
    </xf>
    <xf numFmtId="0" fontId="38" fillId="0" borderId="41" xfId="0" applyFont="1" applyBorder="1" applyAlignment="1">
      <alignment horizontal="left" vertical="center" wrapText="1" indent="1"/>
    </xf>
    <xf numFmtId="0" fontId="24" fillId="0" borderId="33" xfId="0" applyFont="1" applyBorder="1" applyAlignment="1">
      <alignment horizontal="center" vertical="center" wrapText="1" indent="1"/>
    </xf>
    <xf numFmtId="0" fontId="24" fillId="0" borderId="41" xfId="0" applyFont="1" applyBorder="1" applyAlignment="1">
      <alignment horizontal="center" vertical="center" wrapText="1" indent="1"/>
    </xf>
    <xf numFmtId="0" fontId="24" fillId="0" borderId="36" xfId="0" applyFont="1" applyBorder="1" applyAlignment="1">
      <alignment horizontal="center" vertical="center" wrapText="1" indent="1"/>
    </xf>
    <xf numFmtId="0" fontId="38" fillId="0" borderId="240" xfId="0" applyFont="1" applyBorder="1" applyAlignment="1">
      <alignment horizontal="left" vertical="center" wrapText="1" indent="1"/>
    </xf>
    <xf numFmtId="0" fontId="38" fillId="0" borderId="41" xfId="0" applyFont="1" applyBorder="1" applyAlignment="1">
      <alignment horizontal="center" vertical="center" wrapText="1" indent="1"/>
    </xf>
    <xf numFmtId="0" fontId="38" fillId="0" borderId="240" xfId="0" applyFont="1" applyBorder="1" applyAlignment="1">
      <alignment horizontal="center" vertical="center" wrapText="1" indent="1"/>
    </xf>
    <xf numFmtId="0" fontId="38" fillId="0" borderId="38" xfId="0" applyFont="1" applyBorder="1" applyAlignment="1">
      <alignment horizontal="center" vertical="center" wrapText="1" indent="1"/>
    </xf>
    <xf numFmtId="0" fontId="24" fillId="0" borderId="42" xfId="0" applyFont="1" applyBorder="1" applyAlignment="1">
      <alignment horizontal="center" vertical="center" wrapText="1" indent="1"/>
    </xf>
    <xf numFmtId="0" fontId="24" fillId="0" borderId="324" xfId="0" applyFont="1" applyBorder="1" applyAlignment="1">
      <alignment horizontal="center" vertical="center" wrapText="1" indent="1"/>
    </xf>
    <xf numFmtId="0" fontId="23" fillId="0" borderId="0" xfId="0" applyFont="1" applyAlignment="1">
      <alignment vertical="center" indent="1"/>
    </xf>
    <xf numFmtId="49" fontId="110" fillId="0" borderId="34" xfId="0" applyNumberFormat="1" applyFont="1" applyBorder="1" applyAlignment="1">
      <alignment vertical="center"/>
    </xf>
    <xf numFmtId="49" fontId="110" fillId="0" borderId="37" xfId="0" applyNumberFormat="1" applyFont="1" applyBorder="1" applyAlignment="1">
      <alignment vertical="center"/>
    </xf>
    <xf numFmtId="49" fontId="110" fillId="0" borderId="44" xfId="0" applyNumberFormat="1" applyFont="1" applyBorder="1" applyAlignment="1">
      <alignment vertical="center"/>
    </xf>
    <xf numFmtId="49" fontId="110" fillId="0" borderId="43" xfId="0" applyNumberFormat="1" applyFont="1" applyBorder="1" applyAlignment="1">
      <alignment vertical="center"/>
    </xf>
    <xf numFmtId="49" fontId="110" fillId="0" borderId="39" xfId="0" applyNumberFormat="1" applyFont="1" applyBorder="1" applyAlignment="1">
      <alignment vertical="center"/>
    </xf>
    <xf numFmtId="49" fontId="110" fillId="0" borderId="30" xfId="0" applyNumberFormat="1" applyFont="1" applyBorder="1" applyAlignment="1">
      <alignment vertical="center"/>
    </xf>
    <xf numFmtId="49" fontId="110" fillId="0" borderId="325" xfId="0" applyNumberFormat="1" applyFont="1" applyBorder="1" applyAlignment="1">
      <alignment vertical="center"/>
    </xf>
    <xf numFmtId="0" fontId="14" fillId="0" borderId="4" xfId="0" applyFont="1" applyBorder="1" applyAlignment="1">
      <alignment horizontal="left" vertical="center" wrapText="1" indent="1"/>
    </xf>
    <xf numFmtId="0" fontId="24" fillId="0" borderId="177" xfId="0" applyFont="1" applyBorder="1" applyAlignment="1">
      <alignment horizontal="center" vertical="center" wrapText="1" indent="1"/>
    </xf>
    <xf numFmtId="0" fontId="38" fillId="0" borderId="177" xfId="0" applyFont="1" applyBorder="1" applyAlignment="1">
      <alignment vertical="center" wrapText="1" indent="1"/>
    </xf>
    <xf numFmtId="0" fontId="22" fillId="3" borderId="179" xfId="0" applyFont="1" applyFill="1" applyBorder="1" applyAlignment="1">
      <alignment horizontal="left" vertical="center" wrapText="1" indent="1"/>
    </xf>
    <xf numFmtId="0" fontId="24" fillId="4" borderId="131" xfId="0" applyFont="1" applyFill="1" applyBorder="1" applyAlignment="1">
      <alignment horizontal="left" vertical="center" wrapText="1" indent="1"/>
    </xf>
    <xf numFmtId="0" fontId="24" fillId="4" borderId="41" xfId="0" applyFont="1" applyFill="1" applyBorder="1" applyAlignment="1">
      <alignment horizontal="left" vertical="center" wrapText="1" indent="1"/>
    </xf>
    <xf numFmtId="0" fontId="38" fillId="4" borderId="41" xfId="0" applyFont="1" applyFill="1" applyBorder="1" applyAlignment="1">
      <alignment horizontal="left" vertical="center" wrapText="1" indent="1"/>
    </xf>
    <xf numFmtId="0" fontId="24" fillId="4" borderId="36" xfId="0" applyFont="1" applyFill="1" applyBorder="1" applyAlignment="1">
      <alignment horizontal="left" vertical="center" wrapText="1" indent="1"/>
    </xf>
    <xf numFmtId="0" fontId="38" fillId="4" borderId="304" xfId="0" applyFont="1" applyFill="1" applyBorder="1" applyAlignment="1">
      <alignment horizontal="left" vertical="center" wrapText="1" indent="1"/>
    </xf>
    <xf numFmtId="0" fontId="24" fillId="4" borderId="181" xfId="0" applyFont="1" applyFill="1" applyBorder="1" applyAlignment="1">
      <alignment horizontal="left" vertical="center" wrapText="1" indent="1"/>
    </xf>
    <xf numFmtId="0" fontId="38" fillId="4" borderId="181" xfId="0" applyFont="1" applyFill="1" applyBorder="1" applyAlignment="1">
      <alignment horizontal="left" vertical="center" wrapText="1" indent="1"/>
    </xf>
    <xf numFmtId="0" fontId="24" fillId="4" borderId="183" xfId="0" applyFont="1" applyFill="1" applyBorder="1" applyAlignment="1">
      <alignment horizontal="left" vertical="center" wrapText="1" indent="1"/>
    </xf>
    <xf numFmtId="0" fontId="24" fillId="4" borderId="33" xfId="0" applyFont="1" applyFill="1" applyBorder="1" applyAlignment="1">
      <alignment horizontal="left" vertical="center" wrapText="1" indent="1"/>
    </xf>
    <xf numFmtId="0" fontId="24" fillId="4" borderId="42" xfId="0" applyFont="1" applyFill="1" applyBorder="1" applyAlignment="1">
      <alignment horizontal="left" vertical="center" wrapText="1" indent="1"/>
    </xf>
    <xf numFmtId="0" fontId="38" fillId="4" borderId="179" xfId="0" applyFont="1" applyFill="1" applyBorder="1" applyAlignment="1">
      <alignment horizontal="left" vertical="center" wrapText="1" indent="1"/>
    </xf>
    <xf numFmtId="0" fontId="38" fillId="4" borderId="38" xfId="0" applyFont="1" applyFill="1" applyBorder="1" applyAlignment="1">
      <alignment horizontal="left" vertical="center" wrapText="1" indent="1"/>
    </xf>
    <xf numFmtId="0" fontId="24" fillId="0" borderId="181" xfId="0" applyFont="1" applyBorder="1" applyAlignment="1">
      <alignment horizontal="left" vertical="center" wrapText="1" indent="1"/>
    </xf>
    <xf numFmtId="0" fontId="24" fillId="4" borderId="307" xfId="0" applyFont="1" applyFill="1" applyBorder="1" applyAlignment="1">
      <alignment horizontal="left" vertical="center" wrapText="1" indent="1"/>
    </xf>
    <xf numFmtId="0" fontId="24" fillId="4" borderId="32" xfId="0" applyFont="1" applyFill="1" applyBorder="1" applyAlignment="1">
      <alignment horizontal="left" vertical="center" wrapText="1" indent="1"/>
    </xf>
    <xf numFmtId="0" fontId="38" fillId="4" borderId="329" xfId="0" applyFont="1" applyFill="1" applyBorder="1" applyAlignment="1">
      <alignment horizontal="left" vertical="center" wrapText="1" indent="1"/>
    </xf>
    <xf numFmtId="0" fontId="24" fillId="4" borderId="74" xfId="0" applyFont="1" applyFill="1" applyBorder="1" applyAlignment="1">
      <alignment horizontal="left" vertical="center" wrapText="1" indent="1"/>
    </xf>
    <xf numFmtId="0" fontId="38" fillId="4" borderId="256" xfId="0" applyFont="1" applyFill="1" applyBorder="1" applyAlignment="1">
      <alignment wrapText="1" indent="1"/>
    </xf>
    <xf numFmtId="0" fontId="24" fillId="4" borderId="182" xfId="0" applyFont="1" applyFill="1" applyBorder="1" applyAlignment="1">
      <alignment wrapText="1" indent="1"/>
    </xf>
    <xf numFmtId="0" fontId="24" fillId="4" borderId="184" xfId="0" applyFont="1" applyFill="1" applyBorder="1" applyAlignment="1">
      <alignment wrapText="1" indent="1"/>
    </xf>
    <xf numFmtId="0" fontId="24" fillId="4" borderId="182" xfId="0" applyFont="1" applyFill="1" applyBorder="1" applyAlignment="1">
      <alignment horizontal="left" vertical="center" wrapText="1" indent="1"/>
    </xf>
    <xf numFmtId="0" fontId="38" fillId="4" borderId="256" xfId="0" applyFont="1" applyFill="1" applyBorder="1" applyAlignment="1">
      <alignment horizontal="left" vertical="center" wrapText="1" indent="1"/>
    </xf>
    <xf numFmtId="0" fontId="14" fillId="3" borderId="103" xfId="0" applyFont="1" applyFill="1" applyBorder="1" applyAlignment="1">
      <alignment horizontal="left" vertical="center" wrapText="1" indent="1"/>
    </xf>
    <xf numFmtId="0" fontId="14" fillId="3" borderId="377" xfId="0" applyFont="1" applyFill="1" applyBorder="1" applyAlignment="1">
      <alignment vertical="center" wrapText="1" indent="1"/>
    </xf>
    <xf numFmtId="1" fontId="34" fillId="3" borderId="377" xfId="0" applyNumberFormat="1" applyFont="1" applyFill="1" applyBorder="1" applyAlignment="1">
      <alignment horizontal="center" vertical="center"/>
    </xf>
    <xf numFmtId="0" fontId="24" fillId="0" borderId="344" xfId="0" applyFont="1" applyBorder="1" applyAlignment="1">
      <alignment vertical="center" wrapText="1" indent="1"/>
    </xf>
    <xf numFmtId="0" fontId="38" fillId="4" borderId="197" xfId="0" applyFont="1" applyFill="1" applyBorder="1" applyAlignment="1">
      <alignment horizontal="left" vertical="center" wrapText="1" indent="1"/>
    </xf>
    <xf numFmtId="0" fontId="24" fillId="4" borderId="131" xfId="0" applyFont="1" applyFill="1" applyBorder="1" applyAlignment="1">
      <alignment horizontal="center" vertical="center" indent="1"/>
    </xf>
    <xf numFmtId="0" fontId="38" fillId="4" borderId="131" xfId="0" applyFont="1" applyFill="1" applyBorder="1" applyAlignment="1">
      <alignment horizontal="center" vertical="center" wrapText="1" indent="1"/>
    </xf>
    <xf numFmtId="0" fontId="24" fillId="4" borderId="143" xfId="0" applyFont="1" applyFill="1" applyBorder="1" applyAlignment="1">
      <alignment indent="1"/>
    </xf>
    <xf numFmtId="0" fontId="24" fillId="4" borderId="139" xfId="0" applyFont="1" applyFill="1" applyBorder="1" applyAlignment="1">
      <alignment horizontal="center" vertical="center" indent="1"/>
    </xf>
    <xf numFmtId="0" fontId="38" fillId="4" borderId="41" xfId="0" applyFont="1" applyFill="1" applyBorder="1" applyAlignment="1">
      <alignment horizontal="center" vertical="center" indent="1"/>
    </xf>
    <xf numFmtId="0" fontId="24" fillId="4" borderId="33" xfId="0" applyFont="1" applyFill="1" applyBorder="1" applyAlignment="1">
      <alignment horizontal="center" vertical="center" indent="1"/>
    </xf>
    <xf numFmtId="0" fontId="24" fillId="4" borderId="36" xfId="0" applyFont="1" applyFill="1" applyBorder="1" applyAlignment="1">
      <alignment horizontal="center" vertical="center" indent="1"/>
    </xf>
    <xf numFmtId="0" fontId="38" fillId="4" borderId="41" xfId="0" applyFont="1" applyFill="1" applyBorder="1" applyAlignment="1">
      <alignment horizontal="center" vertical="center" wrapText="1" indent="1"/>
    </xf>
    <xf numFmtId="0" fontId="24" fillId="4" borderId="41" xfId="0" applyFont="1" applyFill="1" applyBorder="1" applyAlignment="1">
      <alignment horizontal="center" vertical="center" indent="1"/>
    </xf>
    <xf numFmtId="0" fontId="38" fillId="4" borderId="145" xfId="0" applyFont="1" applyFill="1" applyBorder="1" applyAlignment="1">
      <alignment horizontal="center" vertical="center" wrapText="1" indent="1"/>
    </xf>
    <xf numFmtId="0" fontId="38" fillId="4" borderId="131" xfId="0" applyFont="1" applyFill="1" applyBorder="1" applyAlignment="1">
      <alignment horizontal="left" vertical="center" wrapText="1" indent="1"/>
    </xf>
    <xf numFmtId="0" fontId="38" fillId="4" borderId="38" xfId="0" applyFont="1" applyFill="1" applyBorder="1" applyAlignment="1">
      <alignment horizontal="center" vertical="center" indent="1"/>
    </xf>
    <xf numFmtId="0" fontId="24" fillId="4" borderId="42" xfId="0" applyFont="1" applyFill="1" applyBorder="1" applyAlignment="1">
      <alignment horizontal="center" vertical="center" indent="1"/>
    </xf>
    <xf numFmtId="0" fontId="38" fillId="4" borderId="74" xfId="0" applyFont="1" applyFill="1" applyBorder="1" applyAlignment="1">
      <alignment horizontal="left" vertical="center" wrapText="1" indent="1"/>
    </xf>
    <xf numFmtId="0" fontId="24" fillId="4" borderId="75" xfId="0" applyFont="1" applyFill="1" applyBorder="1" applyAlignment="1">
      <alignment horizontal="left" vertical="center" wrapText="1" indent="1"/>
    </xf>
    <xf numFmtId="0" fontId="38" fillId="4" borderId="135" xfId="0" applyFont="1" applyFill="1" applyBorder="1" applyAlignment="1">
      <alignment horizontal="left" vertical="center" wrapText="1" indent="1"/>
    </xf>
    <xf numFmtId="0" fontId="24" fillId="4" borderId="335" xfId="0" applyFont="1" applyFill="1" applyBorder="1" applyAlignment="1">
      <alignment horizontal="left" vertical="center" wrapText="1" indent="1"/>
    </xf>
    <xf numFmtId="0" fontId="38" fillId="4" borderId="295" xfId="0" applyFont="1" applyFill="1" applyBorder="1" applyAlignment="1">
      <alignment horizontal="left" vertical="center" wrapText="1" indent="1"/>
    </xf>
    <xf numFmtId="0" fontId="23" fillId="0" borderId="325" xfId="0" applyFont="1" applyBorder="1" applyAlignment="1">
      <alignment horizontal="left" vertical="center" wrapText="1" indent="1"/>
    </xf>
    <xf numFmtId="0" fontId="28" fillId="0" borderId="0" xfId="0" applyFont="1" applyAlignment="1">
      <alignment vertical="center"/>
    </xf>
    <xf numFmtId="49" fontId="34" fillId="17" borderId="5" xfId="0" applyNumberFormat="1" applyFont="1" applyFill="1" applyBorder="1" applyAlignment="1">
      <alignment horizontal="center" vertical="center"/>
    </xf>
    <xf numFmtId="178" fontId="14" fillId="0" borderId="344" xfId="0" applyNumberFormat="1" applyFont="1" applyBorder="1" applyAlignment="1">
      <alignment horizontal="center" vertical="center"/>
    </xf>
    <xf numFmtId="168" fontId="14" fillId="0" borderId="344" xfId="0" applyNumberFormat="1" applyFont="1" applyBorder="1" applyAlignment="1">
      <alignment horizontal="center" vertical="center"/>
    </xf>
    <xf numFmtId="0" fontId="24" fillId="0" borderId="147" xfId="0" applyFont="1" applyBorder="1" applyAlignment="1">
      <alignment horizontal="left" vertical="center" wrapText="1"/>
    </xf>
    <xf numFmtId="49" fontId="38" fillId="0" borderId="145" xfId="0" applyNumberFormat="1" applyFont="1" applyBorder="1" applyAlignment="1">
      <alignment horizontal="left" vertical="center" wrapText="1"/>
    </xf>
    <xf numFmtId="168" fontId="24" fillId="0" borderId="329" xfId="0" applyNumberFormat="1" applyFont="1" applyBorder="1" applyAlignment="1">
      <alignment horizontal="center" vertical="center"/>
    </xf>
    <xf numFmtId="0" fontId="72" fillId="0" borderId="344" xfId="0" applyFont="1" applyBorder="1" applyAlignment="1">
      <alignment vertical="center" textRotation="90" wrapText="1"/>
    </xf>
    <xf numFmtId="0" fontId="3" fillId="0" borderId="344" xfId="0" applyFont="1" applyBorder="1" applyAlignment="1">
      <alignment vertical="center"/>
    </xf>
    <xf numFmtId="2" fontId="11" fillId="0" borderId="0" xfId="0" applyNumberFormat="1" applyFont="1" applyAlignment="1">
      <alignment vertical="center" wrapText="1"/>
    </xf>
    <xf numFmtId="0" fontId="52" fillId="15" borderId="350" xfId="0" applyFont="1" applyFill="1" applyBorder="1" applyAlignment="1">
      <alignment horizontal="center" vertical="center"/>
    </xf>
    <xf numFmtId="49" fontId="53" fillId="15" borderId="350" xfId="0" applyNumberFormat="1" applyFont="1" applyFill="1" applyBorder="1" applyAlignment="1">
      <alignment horizontal="center" vertical="center"/>
    </xf>
    <xf numFmtId="43" fontId="24" fillId="0" borderId="75" xfId="0" applyNumberFormat="1" applyFont="1" applyBorder="1" applyAlignment="1">
      <alignment vertical="center"/>
    </xf>
    <xf numFmtId="0" fontId="24" fillId="0" borderId="147" xfId="0" applyFont="1" applyBorder="1" applyAlignment="1">
      <alignment horizontal="center" vertical="center" wrapText="1"/>
    </xf>
    <xf numFmtId="0" fontId="24" fillId="0" borderId="147" xfId="0" applyFont="1" applyBorder="1" applyAlignment="1">
      <alignment horizontal="center" vertical="center"/>
    </xf>
    <xf numFmtId="168" fontId="24" fillId="0" borderId="147" xfId="0" applyNumberFormat="1" applyFont="1" applyBorder="1" applyAlignment="1">
      <alignment vertical="center"/>
    </xf>
    <xf numFmtId="43" fontId="24" fillId="0" borderId="147" xfId="0" applyNumberFormat="1" applyFont="1" applyBorder="1" applyAlignment="1">
      <alignment vertical="center"/>
    </xf>
    <xf numFmtId="49" fontId="24" fillId="0" borderId="147" xfId="0" applyNumberFormat="1" applyFont="1" applyBorder="1" applyAlignment="1">
      <alignment vertical="center"/>
    </xf>
    <xf numFmtId="0" fontId="23" fillId="0" borderId="75" xfId="0" applyFont="1" applyBorder="1" applyAlignment="1">
      <alignment vertical="center"/>
    </xf>
    <xf numFmtId="0" fontId="23" fillId="0" borderId="329" xfId="0" applyFont="1" applyBorder="1" applyAlignment="1">
      <alignment horizontal="left" vertical="center"/>
    </xf>
    <xf numFmtId="43" fontId="24" fillId="0" borderId="329" xfId="0" applyNumberFormat="1" applyFont="1" applyBorder="1" applyAlignment="1">
      <alignment vertical="center"/>
    </xf>
    <xf numFmtId="49" fontId="24" fillId="0" borderId="197" xfId="0" applyNumberFormat="1" applyFont="1" applyBorder="1" applyAlignment="1">
      <alignment horizontal="left" vertical="center"/>
    </xf>
    <xf numFmtId="0" fontId="24" fillId="0" borderId="135" xfId="0" applyFont="1" applyBorder="1" applyAlignment="1">
      <alignment horizontal="left" vertical="center" wrapText="1"/>
    </xf>
    <xf numFmtId="49" fontId="24" fillId="0" borderId="135" xfId="0" applyNumberFormat="1" applyFont="1" applyBorder="1" applyAlignment="1">
      <alignment vertical="center"/>
    </xf>
    <xf numFmtId="0" fontId="23" fillId="0" borderId="134" xfId="0" applyFont="1" applyBorder="1" applyAlignment="1">
      <alignment horizontal="left" vertical="center"/>
    </xf>
    <xf numFmtId="0" fontId="23" fillId="0" borderId="135" xfId="0" applyFont="1" applyBorder="1" applyAlignment="1">
      <alignment vertical="center"/>
    </xf>
    <xf numFmtId="49" fontId="38" fillId="0" borderId="146" xfId="0" applyNumberFormat="1" applyFont="1" applyBorder="1" applyAlignment="1">
      <alignment horizontal="left" vertical="center" wrapText="1"/>
    </xf>
    <xf numFmtId="49" fontId="38" fillId="0" borderId="147" xfId="0" applyNumberFormat="1" applyFont="1" applyBorder="1" applyAlignment="1">
      <alignment horizontal="center" vertical="center"/>
    </xf>
    <xf numFmtId="0" fontId="38" fillId="0" borderId="147" xfId="0" applyFont="1" applyBorder="1" applyAlignment="1">
      <alignment horizontal="left" vertical="center"/>
    </xf>
    <xf numFmtId="168" fontId="24" fillId="0" borderId="147" xfId="0" applyNumberFormat="1" applyFont="1" applyBorder="1" applyAlignment="1">
      <alignment horizontal="center" vertical="center"/>
    </xf>
    <xf numFmtId="49" fontId="38" fillId="0" borderId="147" xfId="0" applyNumberFormat="1" applyFont="1" applyBorder="1" applyAlignment="1">
      <alignment vertical="center"/>
    </xf>
    <xf numFmtId="49" fontId="24" fillId="0" borderId="559" xfId="0" applyNumberFormat="1" applyFont="1" applyBorder="1" applyAlignment="1">
      <alignment horizontal="left" vertical="center"/>
    </xf>
    <xf numFmtId="49" fontId="24" fillId="0" borderId="335" xfId="0" applyNumberFormat="1" applyFont="1" applyBorder="1" applyAlignment="1">
      <alignment horizontal="center" vertical="center"/>
    </xf>
    <xf numFmtId="0" fontId="24" fillId="0" borderId="335" xfId="0" applyFont="1" applyBorder="1" applyAlignment="1">
      <alignment horizontal="left" vertical="center" wrapText="1"/>
    </xf>
    <xf numFmtId="0" fontId="24" fillId="0" borderId="335" xfId="0" applyFont="1" applyBorder="1" applyAlignment="1">
      <alignment horizontal="center" vertical="center" wrapText="1"/>
    </xf>
    <xf numFmtId="0" fontId="24" fillId="0" borderId="335" xfId="0" applyFont="1" applyBorder="1" applyAlignment="1">
      <alignment horizontal="center" vertical="center"/>
    </xf>
    <xf numFmtId="168" fontId="24" fillId="0" borderId="335" xfId="0" applyNumberFormat="1" applyFont="1" applyBorder="1" applyAlignment="1">
      <alignment vertical="center"/>
    </xf>
    <xf numFmtId="43" fontId="24" fillId="0" borderId="335" xfId="0" applyNumberFormat="1" applyFont="1" applyBorder="1" applyAlignment="1">
      <alignment vertical="center"/>
    </xf>
    <xf numFmtId="49" fontId="24" fillId="0" borderId="335" xfId="0" applyNumberFormat="1" applyFont="1" applyBorder="1" applyAlignment="1">
      <alignment vertical="center"/>
    </xf>
    <xf numFmtId="49" fontId="24" fillId="0" borderId="560" xfId="0" applyNumberFormat="1" applyFont="1" applyBorder="1" applyAlignment="1">
      <alignment horizontal="left" vertical="center"/>
    </xf>
    <xf numFmtId="49" fontId="24" fillId="0" borderId="561" xfId="0" applyNumberFormat="1" applyFont="1" applyBorder="1" applyAlignment="1">
      <alignment horizontal="center" vertical="center"/>
    </xf>
    <xf numFmtId="0" fontId="24" fillId="0" borderId="561" xfId="0" applyFont="1" applyBorder="1" applyAlignment="1">
      <alignment horizontal="left" vertical="center" wrapText="1"/>
    </xf>
    <xf numFmtId="0" fontId="24" fillId="0" borderId="561" xfId="0" applyFont="1" applyBorder="1" applyAlignment="1">
      <alignment horizontal="center" vertical="center" wrapText="1"/>
    </xf>
    <xf numFmtId="0" fontId="24" fillId="0" borderId="561" xfId="0" applyFont="1" applyBorder="1" applyAlignment="1">
      <alignment horizontal="center" vertical="center"/>
    </xf>
    <xf numFmtId="168" fontId="24" fillId="0" borderId="561" xfId="0" applyNumberFormat="1" applyFont="1" applyBorder="1" applyAlignment="1">
      <alignment vertical="center"/>
    </xf>
    <xf numFmtId="43" fontId="24" fillId="0" borderId="561" xfId="0" applyNumberFormat="1" applyFont="1" applyBorder="1" applyAlignment="1">
      <alignment vertical="center"/>
    </xf>
    <xf numFmtId="49" fontId="24" fillId="0" borderId="561" xfId="0" applyNumberFormat="1" applyFont="1" applyBorder="1" applyAlignment="1">
      <alignment vertical="center"/>
    </xf>
    <xf numFmtId="49" fontId="8" fillId="0" borderId="344" xfId="0" applyNumberFormat="1" applyFont="1" applyBorder="1" applyAlignment="1">
      <alignment horizontal="right" vertical="center" wrapText="1"/>
    </xf>
    <xf numFmtId="0" fontId="8" fillId="0" borderId="344" xfId="0" applyFont="1" applyBorder="1" applyAlignment="1">
      <alignment horizontal="left" vertical="center" wrapText="1"/>
    </xf>
    <xf numFmtId="49" fontId="8" fillId="0" borderId="344" xfId="0" applyNumberFormat="1" applyFont="1" applyBorder="1" applyAlignment="1">
      <alignment vertical="center" wrapText="1"/>
    </xf>
    <xf numFmtId="0" fontId="52" fillId="15" borderId="350" xfId="0" applyFont="1" applyFill="1" applyBorder="1" applyAlignment="1">
      <alignment horizontal="center" vertical="center" indent="1"/>
    </xf>
    <xf numFmtId="49" fontId="112" fillId="0" borderId="74" xfId="0" applyNumberFormat="1" applyFont="1" applyBorder="1" applyAlignment="1">
      <alignment horizontal="center" vertical="center"/>
    </xf>
    <xf numFmtId="0" fontId="24" fillId="0" borderId="74" xfId="0" applyFont="1" applyBorder="1" applyAlignment="1">
      <alignment horizontal="left" vertical="center" wrapText="1" indent="1"/>
    </xf>
    <xf numFmtId="0" fontId="38" fillId="0" borderId="135" xfId="0" applyFont="1" applyBorder="1" applyAlignment="1">
      <alignment horizontal="left" vertical="center" wrapText="1" indent="1"/>
    </xf>
    <xf numFmtId="0" fontId="38" fillId="0" borderId="329" xfId="0" applyFont="1" applyBorder="1" applyAlignment="1">
      <alignment horizontal="left" vertical="center" wrapText="1" indent="1"/>
    </xf>
    <xf numFmtId="0" fontId="24" fillId="0" borderId="329" xfId="0" applyFont="1" applyBorder="1" applyAlignment="1">
      <alignment horizontal="left" vertical="center" wrapText="1" indent="1"/>
    </xf>
    <xf numFmtId="0" fontId="24" fillId="0" borderId="75" xfId="0" applyFont="1" applyBorder="1" applyAlignment="1">
      <alignment horizontal="left" vertical="center" wrapText="1" indent="1"/>
    </xf>
    <xf numFmtId="0" fontId="24" fillId="0" borderId="89" xfId="0" applyFont="1" applyBorder="1" applyAlignment="1">
      <alignment horizontal="left" vertical="center" wrapText="1" indent="1"/>
    </xf>
    <xf numFmtId="0" fontId="38" fillId="0" borderId="38" xfId="0" applyFont="1" applyBorder="1" applyAlignment="1">
      <alignment horizontal="left" vertical="center" wrapText="1" indent="1"/>
    </xf>
    <xf numFmtId="0" fontId="38" fillId="0" borderId="33" xfId="0" applyFont="1" applyBorder="1" applyAlignment="1">
      <alignment horizontal="left" vertical="center" wrapText="1" indent="1"/>
    </xf>
    <xf numFmtId="0" fontId="38" fillId="0" borderId="42" xfId="0" applyFont="1" applyBorder="1" applyAlignment="1">
      <alignment horizontal="left" vertical="center" wrapText="1" indent="1"/>
    </xf>
    <xf numFmtId="170" fontId="34" fillId="0" borderId="49" xfId="0" applyNumberFormat="1" applyFont="1" applyBorder="1" applyAlignment="1">
      <alignment horizontal="right" vertical="center" indent="1"/>
    </xf>
    <xf numFmtId="170" fontId="34" fillId="0" borderId="52" xfId="0" applyNumberFormat="1" applyFont="1" applyBorder="1" applyAlignment="1">
      <alignment horizontal="right" vertical="center" indent="1"/>
    </xf>
    <xf numFmtId="170" fontId="34" fillId="0" borderId="53" xfId="0" applyNumberFormat="1" applyFont="1" applyBorder="1" applyAlignment="1">
      <alignment horizontal="right" vertical="center" indent="1"/>
    </xf>
    <xf numFmtId="170" fontId="35" fillId="0" borderId="310" xfId="0" applyNumberFormat="1" applyFont="1" applyBorder="1" applyAlignment="1">
      <alignment horizontal="right" vertical="center" indent="1"/>
    </xf>
    <xf numFmtId="170" fontId="35" fillId="0" borderId="312" xfId="0" applyNumberFormat="1" applyFont="1" applyBorder="1" applyAlignment="1">
      <alignment horizontal="right" vertical="center" indent="1"/>
    </xf>
    <xf numFmtId="170" fontId="34" fillId="0" borderId="219" xfId="0" applyNumberFormat="1" applyFont="1" applyBorder="1" applyAlignment="1">
      <alignment horizontal="right" vertical="center" indent="1"/>
    </xf>
    <xf numFmtId="170" fontId="34" fillId="0" borderId="222" xfId="0" applyNumberFormat="1" applyFont="1" applyBorder="1" applyAlignment="1">
      <alignment horizontal="right" vertical="center" indent="1"/>
    </xf>
    <xf numFmtId="170" fontId="34" fillId="0" borderId="223" xfId="0" applyNumberFormat="1" applyFont="1" applyBorder="1" applyAlignment="1">
      <alignment horizontal="right" vertical="center" indent="1"/>
    </xf>
    <xf numFmtId="0" fontId="14" fillId="3" borderId="5" xfId="0" applyFont="1" applyFill="1" applyBorder="1" applyAlignment="1">
      <alignment horizontal="left" vertical="center" indent="1"/>
    </xf>
    <xf numFmtId="49" fontId="14" fillId="0" borderId="5" xfId="0" applyNumberFormat="1" applyFont="1" applyBorder="1" applyAlignment="1">
      <alignment vertical="center" wrapText="1" indent="1"/>
    </xf>
    <xf numFmtId="49" fontId="14" fillId="3" borderId="4" xfId="0" applyNumberFormat="1" applyFont="1" applyFill="1" applyBorder="1" applyAlignment="1">
      <alignment horizontal="left" vertical="center" wrapText="1" indent="1"/>
    </xf>
    <xf numFmtId="0" fontId="14" fillId="4" borderId="4" xfId="0" applyFont="1" applyFill="1" applyBorder="1" applyAlignment="1">
      <alignment horizontal="left" vertical="center" wrapText="1" indent="1"/>
    </xf>
    <xf numFmtId="0" fontId="13" fillId="0" borderId="344" xfId="0" applyFont="1" applyBorder="1" applyAlignment="1">
      <alignment vertical="center" wrapText="1"/>
    </xf>
    <xf numFmtId="0" fontId="12" fillId="0" borderId="344" xfId="0" applyFont="1" applyBorder="1" applyAlignment="1">
      <alignment vertical="center" wrapText="1"/>
    </xf>
    <xf numFmtId="1" fontId="12" fillId="0" borderId="344" xfId="0" applyNumberFormat="1" applyFont="1" applyBorder="1" applyAlignment="1">
      <alignment vertical="center" wrapText="1"/>
    </xf>
    <xf numFmtId="49" fontId="13" fillId="0" borderId="344" xfId="0" applyNumberFormat="1" applyFont="1" applyBorder="1" applyAlignment="1">
      <alignment vertical="center" wrapText="1"/>
    </xf>
    <xf numFmtId="49" fontId="23" fillId="4" borderId="44" xfId="0" applyNumberFormat="1" applyFont="1" applyFill="1" applyBorder="1" applyAlignment="1">
      <alignment horizontal="center" vertical="center"/>
    </xf>
    <xf numFmtId="0" fontId="113" fillId="4" borderId="34" xfId="0" applyFont="1" applyFill="1" applyBorder="1" applyAlignment="1">
      <alignment horizontal="center" vertical="center" wrapText="1"/>
    </xf>
    <xf numFmtId="0" fontId="113" fillId="4" borderId="37" xfId="0" applyFont="1" applyFill="1" applyBorder="1" applyAlignment="1">
      <alignment horizontal="center" vertical="center" wrapText="1"/>
    </xf>
    <xf numFmtId="0" fontId="113" fillId="4" borderId="39" xfId="0" applyFont="1" applyFill="1" applyBorder="1" applyAlignment="1">
      <alignment horizontal="center" vertical="center" wrapText="1"/>
    </xf>
    <xf numFmtId="0" fontId="113" fillId="4" borderId="44" xfId="0" applyFont="1" applyFill="1" applyBorder="1" applyAlignment="1">
      <alignment horizontal="center" vertical="center" wrapText="1"/>
    </xf>
    <xf numFmtId="0" fontId="23" fillId="4" borderId="34" xfId="0" applyFont="1" applyFill="1" applyBorder="1" applyAlignment="1">
      <alignment horizontal="left" vertical="center" wrapText="1" indent="1"/>
    </xf>
    <xf numFmtId="0" fontId="23" fillId="4" borderId="37" xfId="0" applyFont="1" applyFill="1" applyBorder="1" applyAlignment="1">
      <alignment horizontal="left" vertical="center" wrapText="1" indent="1"/>
    </xf>
    <xf numFmtId="49" fontId="22" fillId="4" borderId="39" xfId="0" applyNumberFormat="1" applyFont="1" applyFill="1" applyBorder="1" applyAlignment="1">
      <alignment horizontal="left" vertical="center" wrapText="1" indent="1"/>
    </xf>
    <xf numFmtId="49" fontId="23" fillId="4" borderId="34" xfId="0" applyNumberFormat="1" applyFont="1" applyFill="1" applyBorder="1" applyAlignment="1">
      <alignment horizontal="left" vertical="center" wrapText="1" indent="1"/>
    </xf>
    <xf numFmtId="0" fontId="22" fillId="4" borderId="39" xfId="0" applyFont="1" applyFill="1" applyBorder="1" applyAlignment="1">
      <alignment horizontal="left" vertical="center" wrapText="1" indent="1"/>
    </xf>
    <xf numFmtId="0" fontId="22" fillId="4" borderId="34" xfId="0" applyFont="1" applyFill="1" applyBorder="1" applyAlignment="1">
      <alignment horizontal="left" vertical="center" wrapText="1" indent="1" readingOrder="1"/>
    </xf>
    <xf numFmtId="0" fontId="22" fillId="4" borderId="44" xfId="0" applyFont="1" applyFill="1" applyBorder="1" applyAlignment="1">
      <alignment horizontal="left" vertical="center" wrapText="1" indent="1" readingOrder="1"/>
    </xf>
    <xf numFmtId="0" fontId="23" fillId="4" borderId="43" xfId="0" applyFont="1" applyFill="1" applyBorder="1" applyAlignment="1">
      <alignment horizontal="left" vertical="center" wrapText="1" indent="1"/>
    </xf>
    <xf numFmtId="49" fontId="111" fillId="4" borderId="37" xfId="0" applyNumberFormat="1" applyFont="1" applyFill="1" applyBorder="1" applyAlignment="1">
      <alignment horizontal="center" vertical="center"/>
    </xf>
    <xf numFmtId="0" fontId="23" fillId="4" borderId="33" xfId="0" applyFont="1" applyFill="1" applyBorder="1" applyAlignment="1">
      <alignment horizontal="left" vertical="center" indent="1"/>
    </xf>
    <xf numFmtId="0" fontId="22" fillId="4" borderId="33" xfId="0" applyFont="1" applyFill="1" applyBorder="1" applyAlignment="1">
      <alignment horizontal="left" vertical="center" indent="1"/>
    </xf>
    <xf numFmtId="0" fontId="23" fillId="4" borderId="36" xfId="0" applyFont="1" applyFill="1" applyBorder="1" applyAlignment="1">
      <alignment horizontal="left" vertical="center" indent="1"/>
    </xf>
    <xf numFmtId="49" fontId="22" fillId="4" borderId="38" xfId="0" applyNumberFormat="1" applyFont="1" applyFill="1" applyBorder="1" applyAlignment="1">
      <alignment horizontal="left" vertical="center" indent="1"/>
    </xf>
    <xf numFmtId="0" fontId="22" fillId="4" borderId="38" xfId="0" applyFont="1" applyFill="1" applyBorder="1" applyAlignment="1">
      <alignment horizontal="left" vertical="center" indent="1"/>
    </xf>
    <xf numFmtId="0" fontId="23" fillId="4" borderId="42" xfId="0" applyFont="1" applyFill="1" applyBorder="1" applyAlignment="1">
      <alignment horizontal="left" vertical="center" indent="1"/>
    </xf>
    <xf numFmtId="0" fontId="22" fillId="4" borderId="41" xfId="0" applyFont="1" applyFill="1" applyBorder="1" applyAlignment="1">
      <alignment horizontal="left" vertical="center" indent="1"/>
    </xf>
    <xf numFmtId="0" fontId="26" fillId="4" borderId="33" xfId="0" applyFont="1" applyFill="1" applyBorder="1" applyAlignment="1">
      <alignment horizontal="left" vertical="center" indent="1"/>
    </xf>
    <xf numFmtId="0" fontId="26" fillId="4" borderId="42" xfId="0" applyFont="1" applyFill="1" applyBorder="1" applyAlignment="1">
      <alignment horizontal="left" vertical="center" indent="1"/>
    </xf>
    <xf numFmtId="0" fontId="26" fillId="4" borderId="36" xfId="0" applyFont="1" applyFill="1" applyBorder="1" applyAlignment="1">
      <alignment horizontal="left" vertical="center" indent="1"/>
    </xf>
    <xf numFmtId="44" fontId="35" fillId="0" borderId="312" xfId="0" applyNumberFormat="1" applyFont="1" applyBorder="1" applyAlignment="1">
      <alignment horizontal="right" vertical="center" indent="1"/>
    </xf>
    <xf numFmtId="0" fontId="23" fillId="4" borderId="154" xfId="0" applyFont="1" applyFill="1" applyBorder="1" applyAlignment="1">
      <alignment vertical="center" wrapText="1"/>
    </xf>
    <xf numFmtId="0" fontId="38" fillId="17" borderId="149" xfId="0" applyFont="1" applyFill="1" applyBorder="1" applyAlignment="1">
      <alignment horizontal="left" vertical="center" wrapText="1" indent="1"/>
    </xf>
    <xf numFmtId="0" fontId="38" fillId="17" borderId="44" xfId="0" applyFont="1" applyFill="1" applyBorder="1" applyAlignment="1">
      <alignment vertical="center" indent="1"/>
    </xf>
    <xf numFmtId="0" fontId="24" fillId="17" borderId="44" xfId="0" applyFont="1" applyFill="1" applyBorder="1" applyAlignment="1">
      <alignment horizontal="center" vertical="center" wrapText="1"/>
    </xf>
    <xf numFmtId="49" fontId="110" fillId="17" borderId="44" xfId="0" applyNumberFormat="1" applyFont="1" applyFill="1" applyBorder="1" applyAlignment="1">
      <alignment horizontal="center" vertical="center"/>
    </xf>
    <xf numFmtId="49" fontId="38" fillId="17" borderId="34" xfId="0" applyNumberFormat="1" applyFont="1" applyFill="1" applyBorder="1" applyAlignment="1">
      <alignment horizontal="right" vertical="center"/>
    </xf>
    <xf numFmtId="0" fontId="38" fillId="17" borderId="510" xfId="0" applyFont="1" applyFill="1" applyBorder="1" applyAlignment="1">
      <alignment horizontal="left" indent="1"/>
    </xf>
    <xf numFmtId="0" fontId="24" fillId="17" borderId="34" xfId="0" applyFont="1" applyFill="1" applyBorder="1" applyAlignment="1">
      <alignment horizontal="left" vertical="center" wrapText="1" indent="1"/>
    </xf>
    <xf numFmtId="0" fontId="24" fillId="17" borderId="34" xfId="0" applyFont="1" applyFill="1" applyBorder="1" applyAlignment="1">
      <alignment horizontal="center" vertical="center" wrapText="1"/>
    </xf>
    <xf numFmtId="49" fontId="38" fillId="17" borderId="43" xfId="0" applyNumberFormat="1" applyFont="1" applyFill="1" applyBorder="1" applyAlignment="1">
      <alignment horizontal="right" vertical="center"/>
    </xf>
    <xf numFmtId="49" fontId="24" fillId="4" borderId="92" xfId="0" applyNumberFormat="1" applyFont="1" applyFill="1" applyBorder="1" applyAlignment="1">
      <alignment horizontal="center" vertical="center"/>
    </xf>
    <xf numFmtId="0" fontId="72" fillId="2" borderId="327" xfId="0" applyFont="1" applyFill="1" applyBorder="1" applyAlignment="1">
      <alignment vertical="center" wrapText="1"/>
    </xf>
    <xf numFmtId="49" fontId="0" fillId="0" borderId="0" xfId="0" applyNumberFormat="1" applyAlignment="1">
      <alignment vertical="center"/>
    </xf>
    <xf numFmtId="0" fontId="38" fillId="0" borderId="29" xfId="0" applyFont="1" applyBorder="1" applyAlignment="1">
      <alignment horizontal="left" vertical="center" wrapText="1" indent="1"/>
    </xf>
    <xf numFmtId="0" fontId="24" fillId="0" borderId="33" xfId="0" applyFont="1" applyBorder="1" applyAlignment="1">
      <alignment horizontal="left" vertical="center" indent="1"/>
    </xf>
    <xf numFmtId="0" fontId="24" fillId="0" borderId="41" xfId="0" applyFont="1" applyBorder="1" applyAlignment="1">
      <alignment horizontal="left" vertical="center" indent="1"/>
    </xf>
    <xf numFmtId="0" fontId="24" fillId="0" borderId="42" xfId="0" applyFont="1" applyBorder="1" applyAlignment="1">
      <alignment horizontal="left" vertical="center" indent="1"/>
    </xf>
    <xf numFmtId="0" fontId="24" fillId="0" borderId="36" xfId="0" applyFont="1" applyBorder="1" applyAlignment="1">
      <alignment horizontal="left" vertical="center" indent="1"/>
    </xf>
    <xf numFmtId="170" fontId="35" fillId="0" borderId="49" xfId="0" applyNumberFormat="1" applyFont="1" applyBorder="1" applyAlignment="1">
      <alignment horizontal="right" vertical="center" indent="1"/>
    </xf>
    <xf numFmtId="49" fontId="38" fillId="0" borderId="34" xfId="0" applyNumberFormat="1" applyFont="1" applyBorder="1" applyAlignment="1">
      <alignment horizontal="left" vertical="center" indent="1"/>
    </xf>
    <xf numFmtId="0" fontId="24" fillId="0" borderId="174" xfId="0" applyFont="1" applyBorder="1" applyAlignment="1">
      <alignment horizontal="left" vertical="center" indent="1"/>
    </xf>
    <xf numFmtId="0" fontId="24" fillId="0" borderId="175" xfId="0" applyFont="1" applyBorder="1" applyAlignment="1">
      <alignment horizontal="left" vertical="center" indent="1"/>
    </xf>
    <xf numFmtId="0" fontId="38" fillId="0" borderId="176" xfId="0" applyFont="1" applyBorder="1" applyAlignment="1">
      <alignment horizontal="left" vertical="center" indent="1"/>
    </xf>
    <xf numFmtId="0" fontId="38" fillId="0" borderId="210" xfId="0" applyFont="1" applyBorder="1" applyAlignment="1">
      <alignment horizontal="left" vertical="center" indent="1"/>
    </xf>
    <xf numFmtId="0" fontId="38" fillId="0" borderId="86" xfId="0" applyFont="1" applyBorder="1" applyAlignment="1">
      <alignment horizontal="left" vertical="center" wrapText="1" indent="1"/>
    </xf>
    <xf numFmtId="49" fontId="38" fillId="0" borderId="84" xfId="0" applyNumberFormat="1" applyFont="1" applyBorder="1" applyAlignment="1">
      <alignment horizontal="left" vertical="center" indent="1"/>
    </xf>
    <xf numFmtId="49" fontId="38" fillId="0" borderId="86" xfId="0" applyNumberFormat="1" applyFont="1" applyBorder="1" applyAlignment="1">
      <alignment horizontal="left" vertical="center" indent="1"/>
    </xf>
    <xf numFmtId="49" fontId="38" fillId="0" borderId="89" xfId="0" applyNumberFormat="1" applyFont="1" applyBorder="1" applyAlignment="1">
      <alignment horizontal="left" vertical="center" indent="1"/>
    </xf>
    <xf numFmtId="0" fontId="0" fillId="0" borderId="344" xfId="0" applyBorder="1" applyAlignment="1">
      <alignment vertical="center"/>
    </xf>
    <xf numFmtId="0" fontId="24" fillId="0" borderId="177" xfId="0" applyFont="1" applyBorder="1" applyAlignment="1">
      <alignment vertical="center" indent="1"/>
    </xf>
    <xf numFmtId="0" fontId="14" fillId="0" borderId="344" xfId="0" applyFont="1" applyBorder="1" applyAlignment="1">
      <alignment horizontal="left" vertical="center" wrapText="1"/>
    </xf>
    <xf numFmtId="0" fontId="14" fillId="0" borderId="344" xfId="0" applyFont="1" applyBorder="1" applyAlignment="1">
      <alignment vertical="center" wrapText="1"/>
    </xf>
    <xf numFmtId="0" fontId="22" fillId="4" borderId="38" xfId="0" applyFont="1" applyFill="1" applyBorder="1" applyAlignment="1">
      <alignment horizontal="left" vertical="center" wrapText="1" indent="1"/>
    </xf>
    <xf numFmtId="0" fontId="22" fillId="4" borderId="33" xfId="0" applyFont="1" applyFill="1" applyBorder="1" applyAlignment="1">
      <alignment horizontal="left" vertical="center" wrapText="1" indent="1"/>
    </xf>
    <xf numFmtId="0" fontId="24" fillId="0" borderId="34" xfId="0" applyFont="1" applyBorder="1"/>
    <xf numFmtId="0" fontId="22" fillId="4" borderId="42" xfId="0" applyFont="1" applyFill="1" applyBorder="1" applyAlignment="1">
      <alignment horizontal="left" vertical="center" wrapText="1" indent="1"/>
    </xf>
    <xf numFmtId="0" fontId="22" fillId="4" borderId="36" xfId="0" applyFont="1" applyFill="1" applyBorder="1" applyAlignment="1">
      <alignment horizontal="left" vertical="center" wrapText="1" indent="1"/>
    </xf>
    <xf numFmtId="0" fontId="23" fillId="4" borderId="234" xfId="0" applyFont="1" applyFill="1" applyBorder="1" applyAlignment="1">
      <alignment horizontal="left" vertical="center" indent="1"/>
    </xf>
    <xf numFmtId="49" fontId="23" fillId="4" borderId="107" xfId="0" applyNumberFormat="1" applyFont="1" applyFill="1" applyBorder="1" applyAlignment="1">
      <alignment horizontal="center" vertical="center"/>
    </xf>
    <xf numFmtId="0" fontId="23" fillId="4" borderId="210" xfId="0" applyFont="1" applyFill="1" applyBorder="1" applyAlignment="1">
      <alignment horizontal="left" vertical="center" indent="1"/>
    </xf>
    <xf numFmtId="0" fontId="24" fillId="4" borderId="486" xfId="0" applyFont="1" applyFill="1" applyBorder="1" applyAlignment="1">
      <alignment horizontal="center" vertical="center" wrapText="1"/>
    </xf>
    <xf numFmtId="49" fontId="24" fillId="4" borderId="486" xfId="0" applyNumberFormat="1" applyFont="1" applyFill="1" applyBorder="1" applyAlignment="1">
      <alignment horizontal="center" vertical="center"/>
    </xf>
    <xf numFmtId="49" fontId="24" fillId="4" borderId="583" xfId="0" applyNumberFormat="1" applyFont="1" applyFill="1" applyBorder="1" applyAlignment="1">
      <alignment horizontal="center" vertical="center"/>
    </xf>
    <xf numFmtId="0" fontId="41" fillId="0" borderId="344" xfId="0" applyFont="1" applyBorder="1" applyAlignment="1">
      <alignment horizontal="center" vertical="center" wrapText="1"/>
    </xf>
    <xf numFmtId="49" fontId="42" fillId="2" borderId="327" xfId="0" applyNumberFormat="1" applyFont="1" applyFill="1" applyBorder="1" applyAlignment="1">
      <alignment horizontal="right" vertical="center"/>
    </xf>
    <xf numFmtId="0" fontId="24" fillId="4" borderId="34" xfId="0" applyFont="1" applyFill="1" applyBorder="1" applyAlignment="1">
      <alignment horizontal="center" vertical="center"/>
    </xf>
    <xf numFmtId="0" fontId="23" fillId="4" borderId="39" xfId="0" applyFont="1" applyFill="1" applyBorder="1" applyAlignment="1">
      <alignment horizontal="left" vertical="center" wrapText="1" indent="1"/>
    </xf>
    <xf numFmtId="0" fontId="38" fillId="4" borderId="33" xfId="0" applyFont="1" applyFill="1" applyBorder="1" applyAlignment="1">
      <alignment horizontal="left" vertical="center" wrapText="1" indent="1"/>
    </xf>
    <xf numFmtId="0" fontId="38" fillId="4" borderId="36" xfId="0" applyFont="1" applyFill="1" applyBorder="1" applyAlignment="1">
      <alignment horizontal="left" vertical="center" wrapText="1" indent="1"/>
    </xf>
    <xf numFmtId="0" fontId="24" fillId="4" borderId="34" xfId="0" applyFont="1" applyFill="1" applyBorder="1" applyAlignment="1">
      <alignment horizontal="left" vertical="center" indent="1"/>
    </xf>
    <xf numFmtId="0" fontId="38" fillId="4" borderId="29" xfId="0" applyFont="1" applyFill="1" applyBorder="1" applyAlignment="1">
      <alignment horizontal="left" vertical="center" wrapText="1" indent="1"/>
    </xf>
    <xf numFmtId="0" fontId="22" fillId="4" borderId="41" xfId="0" applyFont="1" applyFill="1" applyBorder="1" applyAlignment="1">
      <alignment horizontal="left" vertical="center" wrapText="1" indent="1"/>
    </xf>
    <xf numFmtId="0" fontId="23" fillId="4" borderId="44" xfId="0" applyFont="1" applyFill="1" applyBorder="1" applyAlignment="1">
      <alignment horizontal="left" vertical="center" wrapText="1" indent="1"/>
    </xf>
    <xf numFmtId="0" fontId="22" fillId="4" borderId="44" xfId="0" applyFont="1" applyFill="1" applyBorder="1" applyAlignment="1">
      <alignment horizontal="left" vertical="center" wrapText="1" indent="1"/>
    </xf>
    <xf numFmtId="0" fontId="24" fillId="4" borderId="43" xfId="0" applyFont="1" applyFill="1" applyBorder="1" applyAlignment="1">
      <alignment horizontal="left" vertical="center" indent="1"/>
    </xf>
    <xf numFmtId="0" fontId="24" fillId="4" borderId="39" xfId="0" applyFont="1" applyFill="1" applyBorder="1" applyAlignment="1">
      <alignment horizontal="left" vertical="center" indent="1"/>
    </xf>
    <xf numFmtId="0" fontId="38" fillId="4" borderId="37" xfId="0" applyFont="1" applyFill="1" applyBorder="1" applyAlignment="1">
      <alignment horizontal="left" vertical="center" wrapText="1" indent="1"/>
    </xf>
    <xf numFmtId="0" fontId="24" fillId="4" borderId="39" xfId="0" applyFont="1" applyFill="1" applyBorder="1" applyAlignment="1">
      <alignment vertical="center"/>
    </xf>
    <xf numFmtId="0" fontId="24" fillId="4" borderId="34" xfId="0" applyFont="1" applyFill="1" applyBorder="1" applyAlignment="1">
      <alignment vertical="center"/>
    </xf>
    <xf numFmtId="0" fontId="24" fillId="4" borderId="37" xfId="0" applyFont="1" applyFill="1" applyBorder="1" applyAlignment="1">
      <alignment vertical="center"/>
    </xf>
    <xf numFmtId="0" fontId="24" fillId="4" borderId="44" xfId="0" applyFont="1" applyFill="1" applyBorder="1" applyAlignment="1">
      <alignment vertical="center"/>
    </xf>
    <xf numFmtId="49" fontId="38" fillId="4" borderId="30" xfId="0" applyNumberFormat="1" applyFont="1" applyFill="1" applyBorder="1" applyAlignment="1">
      <alignment horizontal="left" vertical="center" indent="1"/>
    </xf>
    <xf numFmtId="49" fontId="38" fillId="4" borderId="34" xfId="0" applyNumberFormat="1" applyFont="1" applyFill="1" applyBorder="1" applyAlignment="1">
      <alignment horizontal="left" vertical="center" indent="1"/>
    </xf>
    <xf numFmtId="49" fontId="38" fillId="4" borderId="43" xfId="0" applyNumberFormat="1" applyFont="1" applyFill="1" applyBorder="1" applyAlignment="1">
      <alignment horizontal="left" vertical="center" indent="1"/>
    </xf>
    <xf numFmtId="49" fontId="38" fillId="4" borderId="39" xfId="0" applyNumberFormat="1" applyFont="1" applyFill="1" applyBorder="1" applyAlignment="1">
      <alignment horizontal="left" vertical="center" indent="1"/>
    </xf>
    <xf numFmtId="49" fontId="38" fillId="4" borderId="37" xfId="0" applyNumberFormat="1" applyFont="1" applyFill="1" applyBorder="1" applyAlignment="1">
      <alignment horizontal="left" vertical="center" indent="1"/>
    </xf>
    <xf numFmtId="49" fontId="38" fillId="4" borderId="44" xfId="0" applyNumberFormat="1" applyFont="1" applyFill="1" applyBorder="1" applyAlignment="1">
      <alignment horizontal="left" vertical="center" indent="1"/>
    </xf>
    <xf numFmtId="49" fontId="24" fillId="4" borderId="37" xfId="0" applyNumberFormat="1" applyFont="1" applyFill="1" applyBorder="1" applyAlignment="1">
      <alignment horizontal="left" vertical="center" indent="1"/>
    </xf>
    <xf numFmtId="49" fontId="24" fillId="4" borderId="34" xfId="0" applyNumberFormat="1" applyFont="1" applyFill="1" applyBorder="1" applyAlignment="1">
      <alignment horizontal="left" vertical="center" indent="1"/>
    </xf>
    <xf numFmtId="0" fontId="24" fillId="0" borderId="134" xfId="0" applyFont="1" applyBorder="1" applyAlignment="1">
      <alignment horizontal="left" vertical="center" wrapText="1" indent="1"/>
    </xf>
    <xf numFmtId="2" fontId="8" fillId="0" borderId="344" xfId="0" applyNumberFormat="1" applyFont="1" applyBorder="1" applyAlignment="1">
      <alignment vertical="center" wrapText="1"/>
    </xf>
    <xf numFmtId="0" fontId="13" fillId="0" borderId="344" xfId="0" applyFont="1" applyBorder="1"/>
    <xf numFmtId="0" fontId="11" fillId="0" borderId="344" xfId="0" applyFont="1" applyBorder="1"/>
    <xf numFmtId="0" fontId="14" fillId="0" borderId="344" xfId="0" applyFont="1" applyBorder="1"/>
    <xf numFmtId="0" fontId="52" fillId="2" borderId="327" xfId="0" applyFont="1" applyFill="1" applyBorder="1" applyAlignment="1">
      <alignment horizontal="center" vertical="center" wrapText="1"/>
    </xf>
    <xf numFmtId="49" fontId="52" fillId="2" borderId="327" xfId="0" applyNumberFormat="1" applyFont="1" applyFill="1" applyBorder="1" applyAlignment="1">
      <alignment horizontal="center" vertical="center"/>
    </xf>
    <xf numFmtId="168" fontId="52" fillId="2" borderId="170" xfId="0" applyNumberFormat="1" applyFont="1" applyFill="1" applyBorder="1" applyAlignment="1">
      <alignment horizontal="right" vertical="center"/>
    </xf>
    <xf numFmtId="49" fontId="38" fillId="0" borderId="128" xfId="0" applyNumberFormat="1" applyFont="1" applyBorder="1" applyAlignment="1">
      <alignment horizontal="left" vertical="center" wrapText="1" indent="1"/>
    </xf>
    <xf numFmtId="0" fontId="24" fillId="0" borderId="131" xfId="0" applyFont="1" applyBorder="1" applyAlignment="1">
      <alignment horizontal="left" vertical="center" wrapText="1" indent="1"/>
    </xf>
    <xf numFmtId="0" fontId="24" fillId="0" borderId="133" xfId="0" applyFont="1" applyBorder="1" applyAlignment="1">
      <alignment horizontal="left" vertical="center" wrapText="1" indent="1"/>
    </xf>
    <xf numFmtId="0" fontId="38" fillId="0" borderId="131" xfId="0" applyFont="1" applyBorder="1" applyAlignment="1">
      <alignment horizontal="left" vertical="center" wrapText="1" indent="1"/>
    </xf>
    <xf numFmtId="0" fontId="24" fillId="0" borderId="139" xfId="0" applyFont="1" applyBorder="1" applyAlignment="1">
      <alignment horizontal="left" vertical="center" wrapText="1" indent="1"/>
    </xf>
    <xf numFmtId="0" fontId="38" fillId="0" borderId="128" xfId="0" applyFont="1" applyBorder="1" applyAlignment="1">
      <alignment horizontal="left" vertical="center" wrapText="1" indent="1"/>
    </xf>
    <xf numFmtId="0" fontId="38" fillId="0" borderId="145" xfId="0" applyFont="1" applyBorder="1" applyAlignment="1">
      <alignment horizontal="left" vertical="center" wrapText="1" indent="1"/>
    </xf>
    <xf numFmtId="0" fontId="38" fillId="0" borderId="129" xfId="0" applyFont="1" applyBorder="1" applyAlignment="1">
      <alignment horizontal="left" vertical="center" wrapText="1" indent="1"/>
    </xf>
    <xf numFmtId="0" fontId="24" fillId="0" borderId="33" xfId="0" applyFont="1" applyBorder="1" applyAlignment="1">
      <alignment horizontal="left" vertical="center" wrapText="1" indent="1"/>
    </xf>
    <xf numFmtId="0" fontId="24" fillId="0" borderId="36" xfId="0" applyFont="1" applyBorder="1" applyAlignment="1">
      <alignment horizontal="left" vertical="center" wrapText="1" indent="1"/>
    </xf>
    <xf numFmtId="168" fontId="34" fillId="0" borderId="49" xfId="0" applyNumberFormat="1" applyFont="1" applyBorder="1" applyAlignment="1">
      <alignment horizontal="right" vertical="center" indent="1"/>
    </xf>
    <xf numFmtId="168" fontId="34" fillId="0" borderId="52" xfId="0" applyNumberFormat="1" applyFont="1" applyBorder="1" applyAlignment="1">
      <alignment horizontal="right" vertical="center" indent="1"/>
    </xf>
    <xf numFmtId="168" fontId="34" fillId="0" borderId="53" xfId="0" applyNumberFormat="1" applyFont="1" applyBorder="1" applyAlignment="1">
      <alignment horizontal="right" vertical="center" indent="1"/>
    </xf>
    <xf numFmtId="173" fontId="35" fillId="0" borderId="310" xfId="0" applyNumberFormat="1" applyFont="1" applyBorder="1" applyAlignment="1">
      <alignment horizontal="right" vertical="center" indent="1"/>
    </xf>
    <xf numFmtId="0" fontId="23" fillId="0" borderId="39" xfId="0" applyFont="1" applyBorder="1" applyAlignment="1">
      <alignment horizontal="center" vertical="center" wrapText="1"/>
    </xf>
    <xf numFmtId="168" fontId="34" fillId="17" borderId="6" xfId="0" applyNumberFormat="1" applyFont="1" applyFill="1" applyBorder="1" applyAlignment="1">
      <alignment horizontal="right" vertical="center"/>
    </xf>
    <xf numFmtId="168" fontId="73" fillId="0" borderId="0" xfId="0" applyNumberFormat="1" applyFont="1" applyAlignment="1">
      <alignment horizontal="right" vertical="center"/>
    </xf>
    <xf numFmtId="49" fontId="73" fillId="0" borderId="0" xfId="0" applyNumberFormat="1" applyFont="1" applyAlignment="1">
      <alignment horizontal="right" vertical="center"/>
    </xf>
    <xf numFmtId="49" fontId="24" fillId="0" borderId="0" xfId="0" applyNumberFormat="1" applyFont="1" applyAlignment="1">
      <alignment horizontal="center" vertical="center"/>
    </xf>
    <xf numFmtId="49" fontId="24" fillId="0" borderId="0" xfId="0" applyNumberFormat="1" applyFont="1" applyAlignment="1">
      <alignment vertical="center" wrapText="1"/>
    </xf>
    <xf numFmtId="49" fontId="24" fillId="0" borderId="0" xfId="0" applyNumberFormat="1" applyFont="1" applyAlignment="1">
      <alignment horizontal="right" vertical="center" wrapText="1"/>
    </xf>
    <xf numFmtId="49" fontId="14" fillId="0" borderId="5" xfId="0" applyNumberFormat="1" applyFont="1" applyBorder="1" applyAlignment="1">
      <alignment horizontal="left" vertical="center" wrapText="1" indent="1"/>
    </xf>
    <xf numFmtId="49" fontId="14" fillId="0" borderId="4" xfId="0" applyNumberFormat="1" applyFont="1" applyBorder="1" applyAlignment="1">
      <alignment horizontal="left" vertical="center" wrapText="1" indent="1"/>
    </xf>
    <xf numFmtId="0" fontId="43" fillId="0" borderId="344" xfId="0" applyFont="1" applyBorder="1" applyAlignment="1">
      <alignment vertical="center" wrapText="1"/>
    </xf>
    <xf numFmtId="49" fontId="43" fillId="0" borderId="344" xfId="0" applyNumberFormat="1" applyFont="1" applyBorder="1" applyAlignment="1">
      <alignment vertical="center" wrapText="1"/>
    </xf>
    <xf numFmtId="4" fontId="12" fillId="2" borderId="327" xfId="0" applyNumberFormat="1" applyFont="1" applyFill="1" applyBorder="1" applyAlignment="1">
      <alignment vertical="center" wrapText="1"/>
    </xf>
    <xf numFmtId="0" fontId="0" fillId="0" borderId="0" xfId="0" applyAlignment="1">
      <alignment vertical="center" wrapText="1"/>
    </xf>
    <xf numFmtId="0" fontId="38" fillId="0" borderId="348" xfId="0" applyFont="1" applyBorder="1" applyAlignment="1">
      <alignment horizontal="left" vertical="center" wrapText="1" indent="1"/>
    </xf>
    <xf numFmtId="0" fontId="24" fillId="0" borderId="143" xfId="0" applyFont="1" applyBorder="1" applyAlignment="1">
      <alignment horizontal="left" vertical="center" wrapText="1" indent="1"/>
    </xf>
    <xf numFmtId="0" fontId="38" fillId="0" borderId="143" xfId="0" applyFont="1" applyBorder="1" applyAlignment="1">
      <alignment horizontal="left" vertical="center" wrapText="1" indent="1"/>
    </xf>
    <xf numFmtId="0" fontId="24" fillId="0" borderId="144" xfId="0" applyFont="1" applyBorder="1" applyAlignment="1">
      <alignment horizontal="left" vertical="center" wrapText="1" indent="1"/>
    </xf>
    <xf numFmtId="0" fontId="38" fillId="0" borderId="349" xfId="0" applyFont="1" applyBorder="1" applyAlignment="1">
      <alignment horizontal="left" vertical="center" wrapText="1" indent="1"/>
    </xf>
    <xf numFmtId="0" fontId="24" fillId="0" borderId="562" xfId="0" applyFont="1" applyBorder="1" applyAlignment="1">
      <alignment horizontal="left" vertical="center" wrapText="1" indent="1"/>
    </xf>
    <xf numFmtId="0" fontId="38" fillId="0" borderId="333" xfId="0" applyFont="1" applyBorder="1" applyAlignment="1">
      <alignment horizontal="left" vertical="center" wrapText="1" indent="1"/>
    </xf>
    <xf numFmtId="0" fontId="38" fillId="0" borderId="197" xfId="0" applyFont="1" applyBorder="1" applyAlignment="1">
      <alignment horizontal="left" vertical="center" wrapText="1" indent="1"/>
    </xf>
    <xf numFmtId="49" fontId="112" fillId="0" borderId="129" xfId="0" applyNumberFormat="1" applyFont="1" applyBorder="1" applyAlignment="1">
      <alignment horizontal="center" vertical="center"/>
    </xf>
    <xf numFmtId="49" fontId="38" fillId="0" borderId="329" xfId="0" applyNumberFormat="1" applyFont="1" applyBorder="1" applyAlignment="1">
      <alignment horizontal="left" vertical="center" wrapText="1" indent="1"/>
    </xf>
    <xf numFmtId="49" fontId="38" fillId="0" borderId="74" xfId="0" applyNumberFormat="1" applyFont="1" applyBorder="1" applyAlignment="1">
      <alignment horizontal="left" vertical="center" wrapText="1" indent="1"/>
    </xf>
    <xf numFmtId="49" fontId="24" fillId="0" borderId="74" xfId="0" applyNumberFormat="1" applyFont="1" applyBorder="1" applyAlignment="1">
      <alignment horizontal="left" vertical="center" wrapText="1" indent="1"/>
    </xf>
    <xf numFmtId="49" fontId="24" fillId="0" borderId="75" xfId="0" applyNumberFormat="1" applyFont="1" applyBorder="1" applyAlignment="1">
      <alignment horizontal="left" vertical="center" wrapText="1" indent="1"/>
    </xf>
    <xf numFmtId="0" fontId="38" fillId="0" borderId="129" xfId="0" applyFont="1" applyBorder="1" applyAlignment="1">
      <alignment vertical="center" wrapText="1" indent="1"/>
    </xf>
    <xf numFmtId="0" fontId="24" fillId="0" borderId="74" xfId="0" applyFont="1" applyBorder="1" applyAlignment="1">
      <alignment vertical="center" wrapText="1" indent="1"/>
    </xf>
    <xf numFmtId="0" fontId="24" fillId="0" borderId="135" xfId="0" applyFont="1" applyBorder="1" applyAlignment="1">
      <alignment horizontal="left" vertical="center" wrapText="1" indent="1"/>
    </xf>
    <xf numFmtId="0" fontId="24" fillId="0" borderId="134" xfId="0" applyFont="1" applyBorder="1" applyAlignment="1">
      <alignment vertical="center" wrapText="1" indent="1"/>
    </xf>
    <xf numFmtId="0" fontId="24" fillId="0" borderId="75" xfId="0" applyFont="1" applyBorder="1" applyAlignment="1">
      <alignment vertical="center" wrapText="1" indent="1"/>
    </xf>
    <xf numFmtId="49" fontId="38" fillId="0" borderId="129" xfId="0" applyNumberFormat="1" applyFont="1" applyBorder="1" applyAlignment="1">
      <alignment horizontal="left" vertical="center" wrapText="1" indent="1"/>
    </xf>
    <xf numFmtId="49" fontId="38" fillId="0" borderId="134" xfId="0" applyNumberFormat="1" applyFont="1" applyBorder="1" applyAlignment="1">
      <alignment horizontal="left" vertical="center" wrapText="1" indent="1"/>
    </xf>
    <xf numFmtId="49" fontId="38" fillId="0" borderId="135" xfId="0" applyNumberFormat="1" applyFont="1" applyBorder="1" applyAlignment="1">
      <alignment horizontal="left" vertical="center" wrapText="1" indent="1"/>
    </xf>
    <xf numFmtId="49" fontId="38" fillId="0" borderId="75" xfId="0" applyNumberFormat="1" applyFont="1" applyBorder="1" applyAlignment="1">
      <alignment horizontal="left" vertical="center" wrapText="1" indent="1"/>
    </xf>
    <xf numFmtId="0" fontId="3" fillId="0" borderId="344" xfId="0" applyFont="1" applyBorder="1" applyAlignment="1">
      <alignment vertical="center" wrapText="1"/>
    </xf>
    <xf numFmtId="0" fontId="4" fillId="0" borderId="344" xfId="0" applyFont="1" applyBorder="1" applyAlignment="1">
      <alignment vertical="center" wrapText="1"/>
    </xf>
    <xf numFmtId="4" fontId="0" fillId="0" borderId="0" xfId="0" applyNumberFormat="1"/>
    <xf numFmtId="4" fontId="14" fillId="0" borderId="0" xfId="0" applyNumberFormat="1" applyFont="1" applyAlignment="1">
      <alignment vertical="center"/>
    </xf>
    <xf numFmtId="0" fontId="39" fillId="17" borderId="256" xfId="0" applyFont="1" applyFill="1" applyBorder="1" applyAlignment="1">
      <alignment horizontal="center" vertical="center" wrapText="1"/>
    </xf>
    <xf numFmtId="0" fontId="24" fillId="17" borderId="256" xfId="0" applyFont="1" applyFill="1" applyBorder="1" applyAlignment="1">
      <alignment horizontal="center" vertical="center" wrapText="1"/>
    </xf>
    <xf numFmtId="0" fontId="39" fillId="17" borderId="182" xfId="0" applyFont="1" applyFill="1" applyBorder="1" applyAlignment="1">
      <alignment horizontal="center" vertical="center" wrapText="1"/>
    </xf>
    <xf numFmtId="0" fontId="24" fillId="17" borderId="182" xfId="0" applyFont="1" applyFill="1" applyBorder="1" applyAlignment="1">
      <alignment horizontal="center" vertical="center" wrapText="1"/>
    </xf>
    <xf numFmtId="49" fontId="39" fillId="17" borderId="182" xfId="0" applyNumberFormat="1" applyFont="1" applyFill="1" applyBorder="1" applyAlignment="1">
      <alignment horizontal="right" vertical="center" wrapText="1"/>
    </xf>
    <xf numFmtId="0" fontId="34" fillId="17" borderId="5" xfId="0" applyFont="1" applyFill="1" applyBorder="1" applyAlignment="1">
      <alignment horizontal="center" vertical="center"/>
    </xf>
    <xf numFmtId="0" fontId="4" fillId="0" borderId="0" xfId="0" applyFont="1" applyAlignment="1">
      <alignment horizontal="left" vertical="center" wrapText="1"/>
    </xf>
    <xf numFmtId="0" fontId="5" fillId="0" borderId="0" xfId="0" applyFont="1" applyAlignment="1">
      <alignment vertical="center" wrapText="1"/>
    </xf>
    <xf numFmtId="0" fontId="7" fillId="0" borderId="0" xfId="0" applyFont="1" applyAlignment="1">
      <alignment vertical="center" wrapText="1"/>
    </xf>
    <xf numFmtId="0" fontId="10" fillId="0" borderId="0" xfId="0" applyFont="1" applyAlignment="1">
      <alignment vertical="center" wrapText="1"/>
    </xf>
    <xf numFmtId="0" fontId="106" fillId="0" borderId="362" xfId="0" applyFont="1" applyBorder="1" applyAlignment="1">
      <alignment horizontal="center" vertical="center" wrapText="1" indent="1"/>
    </xf>
    <xf numFmtId="0" fontId="106" fillId="0" borderId="539" xfId="0" applyFont="1" applyBorder="1" applyAlignment="1">
      <alignment horizontal="center" vertical="center" wrapText="1" indent="1"/>
    </xf>
    <xf numFmtId="0" fontId="98" fillId="0" borderId="362" xfId="0" applyFont="1" applyBorder="1" applyAlignment="1">
      <alignment horizontal="center" vertical="center" wrapText="1" indent="1"/>
    </xf>
    <xf numFmtId="0" fontId="98" fillId="0" borderId="539" xfId="0" applyFont="1" applyBorder="1" applyAlignment="1">
      <alignment horizontal="center" vertical="center" wrapText="1" indent="1"/>
    </xf>
    <xf numFmtId="49" fontId="24" fillId="0" borderId="174" xfId="0" applyNumberFormat="1" applyFont="1" applyBorder="1" applyAlignment="1">
      <alignment horizontal="left" vertical="center" indent="1"/>
    </xf>
    <xf numFmtId="49" fontId="38" fillId="0" borderId="89" xfId="0" applyNumberFormat="1" applyFont="1" applyBorder="1" applyAlignment="1">
      <alignment vertical="center"/>
    </xf>
    <xf numFmtId="49" fontId="38" fillId="0" borderId="86" xfId="0" applyNumberFormat="1" applyFont="1" applyBorder="1" applyAlignment="1">
      <alignment vertical="center"/>
    </xf>
    <xf numFmtId="49" fontId="38" fillId="0" borderId="173" xfId="0" applyNumberFormat="1" applyFont="1" applyBorder="1" applyAlignment="1">
      <alignment vertical="center"/>
    </xf>
    <xf numFmtId="0" fontId="38" fillId="17" borderId="41" xfId="0" applyFont="1" applyFill="1" applyBorder="1" applyAlignment="1">
      <alignment horizontal="left" vertical="center" wrapText="1" indent="1"/>
    </xf>
    <xf numFmtId="0" fontId="38" fillId="17" borderId="44" xfId="0" applyFont="1" applyFill="1" applyBorder="1" applyAlignment="1">
      <alignment horizontal="left" vertical="center" wrapText="1" indent="1"/>
    </xf>
    <xf numFmtId="0" fontId="24" fillId="17" borderId="44" xfId="0" applyFont="1" applyFill="1" applyBorder="1" applyAlignment="1">
      <alignment vertical="center"/>
    </xf>
    <xf numFmtId="49" fontId="38" fillId="17" borderId="44" xfId="0" applyNumberFormat="1" applyFont="1" applyFill="1" applyBorder="1" applyAlignment="1">
      <alignment horizontal="left" vertical="center" indent="1"/>
    </xf>
    <xf numFmtId="0" fontId="38" fillId="17" borderId="33" xfId="0" applyFont="1" applyFill="1" applyBorder="1" applyAlignment="1">
      <alignment horizontal="left" vertical="center" wrapText="1" indent="1"/>
    </xf>
    <xf numFmtId="0" fontId="24" fillId="17" borderId="34" xfId="0" applyFont="1" applyFill="1" applyBorder="1" applyAlignment="1">
      <alignment horizontal="center" vertical="center"/>
    </xf>
    <xf numFmtId="49" fontId="38" fillId="17" borderId="34" xfId="0" applyNumberFormat="1" applyFont="1" applyFill="1" applyBorder="1" applyAlignment="1">
      <alignment horizontal="left" vertical="center" indent="1"/>
    </xf>
    <xf numFmtId="0" fontId="14" fillId="17" borderId="5" xfId="0" applyFont="1" applyFill="1" applyBorder="1" applyAlignment="1">
      <alignment horizontal="left" vertical="center" wrapText="1" indent="1"/>
    </xf>
    <xf numFmtId="1" fontId="34" fillId="17" borderId="5" xfId="0" applyNumberFormat="1" applyFont="1" applyFill="1" applyBorder="1" applyAlignment="1">
      <alignment horizontal="center" vertical="center"/>
    </xf>
    <xf numFmtId="0" fontId="14" fillId="17" borderId="4" xfId="0" applyFont="1" applyFill="1" applyBorder="1" applyAlignment="1">
      <alignment horizontal="left" vertical="center" wrapText="1" indent="1"/>
    </xf>
    <xf numFmtId="0" fontId="14" fillId="17" borderId="5" xfId="0" applyFont="1" applyFill="1" applyBorder="1" applyAlignment="1">
      <alignment horizontal="left" vertical="center" indent="1"/>
    </xf>
    <xf numFmtId="1" fontId="34" fillId="17" borderId="5" xfId="0" applyNumberFormat="1" applyFont="1" applyFill="1" applyBorder="1" applyAlignment="1">
      <alignment horizontal="center" vertical="center" wrapText="1"/>
    </xf>
    <xf numFmtId="49" fontId="14" fillId="17" borderId="4" xfId="0" applyNumberFormat="1" applyFont="1" applyFill="1" applyBorder="1" applyAlignment="1">
      <alignment horizontal="left" vertical="center" wrapText="1" indent="1"/>
    </xf>
    <xf numFmtId="49" fontId="14" fillId="17" borderId="5" xfId="0" applyNumberFormat="1" applyFont="1" applyFill="1" applyBorder="1" applyAlignment="1">
      <alignment vertical="center" wrapText="1" indent="1"/>
    </xf>
    <xf numFmtId="0" fontId="14" fillId="17" borderId="5" xfId="0" applyFont="1" applyFill="1" applyBorder="1" applyAlignment="1">
      <alignment vertical="center" wrapText="1" indent="1"/>
    </xf>
    <xf numFmtId="0" fontId="14" fillId="17" borderId="377" xfId="0" applyFont="1" applyFill="1" applyBorder="1" applyAlignment="1">
      <alignment vertical="center" wrapText="1" indent="1"/>
    </xf>
    <xf numFmtId="0" fontId="34" fillId="17" borderId="377" xfId="0" applyFont="1" applyFill="1" applyBorder="1" applyAlignment="1">
      <alignment horizontal="center" vertical="center"/>
    </xf>
    <xf numFmtId="168" fontId="34" fillId="17" borderId="178" xfId="0" applyNumberFormat="1" applyFont="1" applyFill="1" applyBorder="1" applyAlignment="1">
      <alignment horizontal="right" vertical="center"/>
    </xf>
    <xf numFmtId="0" fontId="14" fillId="17" borderId="377" xfId="0" applyFont="1" applyFill="1" applyBorder="1" applyAlignment="1">
      <alignment vertical="center" indent="1"/>
    </xf>
    <xf numFmtId="39" fontId="14" fillId="17" borderId="5" xfId="0" applyNumberFormat="1" applyFont="1" applyFill="1" applyBorder="1" applyAlignment="1">
      <alignment horizontal="left" vertical="center" wrapText="1" indent="1"/>
    </xf>
    <xf numFmtId="49" fontId="34" fillId="17" borderId="367" xfId="0" applyNumberFormat="1" applyFont="1" applyFill="1" applyBorder="1" applyAlignment="1">
      <alignment horizontal="center" vertical="center"/>
    </xf>
    <xf numFmtId="1" fontId="34" fillId="17" borderId="377" xfId="0" applyNumberFormat="1" applyFont="1" applyFill="1" applyBorder="1" applyAlignment="1">
      <alignment horizontal="center" vertical="center"/>
    </xf>
    <xf numFmtId="0" fontId="14" fillId="17" borderId="365" xfId="0" applyFont="1" applyFill="1" applyBorder="1" applyAlignment="1">
      <alignment vertical="center" wrapText="1" indent="1"/>
    </xf>
    <xf numFmtId="0" fontId="14" fillId="17" borderId="367" xfId="0" applyFont="1" applyFill="1" applyBorder="1" applyAlignment="1">
      <alignment vertical="center" wrapText="1" indent="1"/>
    </xf>
    <xf numFmtId="0" fontId="29" fillId="17" borderId="5" xfId="0" applyFont="1" applyFill="1" applyBorder="1" applyAlignment="1">
      <alignment horizontal="left" vertical="center" wrapText="1" indent="1"/>
    </xf>
    <xf numFmtId="49" fontId="87" fillId="17" borderId="5" xfId="0" applyNumberFormat="1" applyFont="1" applyFill="1" applyBorder="1" applyAlignment="1">
      <alignment horizontal="center" vertical="center"/>
    </xf>
    <xf numFmtId="0" fontId="34" fillId="17" borderId="5" xfId="0" applyFont="1" applyFill="1" applyBorder="1" applyAlignment="1">
      <alignment horizontal="center" vertical="center" wrapText="1"/>
    </xf>
    <xf numFmtId="0" fontId="39" fillId="17" borderId="184" xfId="0" applyFont="1" applyFill="1" applyBorder="1" applyAlignment="1">
      <alignment horizontal="center" vertical="center" wrapText="1"/>
    </xf>
    <xf numFmtId="0" fontId="24" fillId="17" borderId="184" xfId="0" applyFont="1" applyFill="1" applyBorder="1" applyAlignment="1">
      <alignment horizontal="center" vertical="center" wrapText="1"/>
    </xf>
    <xf numFmtId="0" fontId="68" fillId="17" borderId="184" xfId="0" applyFont="1" applyFill="1" applyBorder="1" applyAlignment="1">
      <alignment horizontal="center" vertical="center" wrapText="1"/>
    </xf>
    <xf numFmtId="0" fontId="38" fillId="17" borderId="184" xfId="0" applyFont="1" applyFill="1" applyBorder="1" applyAlignment="1">
      <alignment horizontal="left" vertical="center" wrapText="1"/>
    </xf>
    <xf numFmtId="0" fontId="23" fillId="17" borderId="34" xfId="0" applyFont="1" applyFill="1" applyBorder="1" applyAlignment="1">
      <alignment horizontal="left" vertical="center" wrapText="1" indent="1"/>
    </xf>
    <xf numFmtId="0" fontId="113" fillId="17" borderId="34" xfId="0" applyFont="1" applyFill="1" applyBorder="1" applyAlignment="1">
      <alignment horizontal="center" vertical="center" wrapText="1"/>
    </xf>
    <xf numFmtId="0" fontId="23" fillId="17" borderId="34" xfId="0" applyFont="1" applyFill="1" applyBorder="1" applyAlignment="1">
      <alignment horizontal="center" vertical="center" wrapText="1"/>
    </xf>
    <xf numFmtId="49" fontId="22" fillId="17" borderId="34" xfId="0" applyNumberFormat="1" applyFont="1" applyFill="1" applyBorder="1" applyAlignment="1">
      <alignment vertical="center"/>
    </xf>
    <xf numFmtId="0" fontId="23" fillId="17" borderId="37" xfId="0" applyFont="1" applyFill="1" applyBorder="1" applyAlignment="1">
      <alignment horizontal="left" vertical="center" wrapText="1" indent="1"/>
    </xf>
    <xf numFmtId="0" fontId="113" fillId="17" borderId="37" xfId="0" applyFont="1" applyFill="1" applyBorder="1" applyAlignment="1">
      <alignment horizontal="center" vertical="center" wrapText="1"/>
    </xf>
    <xf numFmtId="0" fontId="23" fillId="17" borderId="37" xfId="0" applyFont="1" applyFill="1" applyBorder="1" applyAlignment="1">
      <alignment horizontal="center" vertical="center" wrapText="1"/>
    </xf>
    <xf numFmtId="49" fontId="22" fillId="17" borderId="37" xfId="0" applyNumberFormat="1" applyFont="1" applyFill="1" applyBorder="1" applyAlignment="1">
      <alignment vertical="center"/>
    </xf>
    <xf numFmtId="49" fontId="22" fillId="17" borderId="44" xfId="0" applyNumberFormat="1" applyFont="1" applyFill="1" applyBorder="1" applyAlignment="1">
      <alignment horizontal="left" vertical="center" wrapText="1" indent="1" readingOrder="1"/>
    </xf>
    <xf numFmtId="0" fontId="113" fillId="17" borderId="39" xfId="0" applyFont="1" applyFill="1" applyBorder="1" applyAlignment="1">
      <alignment horizontal="center" vertical="center" wrapText="1"/>
    </xf>
    <xf numFmtId="0" fontId="23" fillId="17" borderId="39" xfId="0" applyFont="1" applyFill="1" applyBorder="1" applyAlignment="1">
      <alignment horizontal="center" vertical="center" wrapText="1"/>
    </xf>
    <xf numFmtId="49" fontId="22" fillId="17" borderId="39" xfId="0" applyNumberFormat="1" applyFont="1" applyFill="1" applyBorder="1" applyAlignment="1">
      <alignment vertical="center"/>
    </xf>
    <xf numFmtId="49" fontId="23" fillId="17" borderId="34" xfId="0" applyNumberFormat="1" applyFont="1" applyFill="1" applyBorder="1" applyAlignment="1">
      <alignment horizontal="left" vertical="center" wrapText="1" indent="1"/>
    </xf>
    <xf numFmtId="49" fontId="23" fillId="17" borderId="34" xfId="0" applyNumberFormat="1" applyFont="1" applyFill="1" applyBorder="1" applyAlignment="1">
      <alignment horizontal="center" vertical="center" wrapText="1"/>
    </xf>
    <xf numFmtId="49" fontId="26" fillId="17" borderId="34" xfId="0" applyNumberFormat="1" applyFont="1" applyFill="1" applyBorder="1" applyAlignment="1">
      <alignment horizontal="left" vertical="center" wrapText="1" indent="1"/>
    </xf>
    <xf numFmtId="0" fontId="117" fillId="17" borderId="34" xfId="0" applyFont="1" applyFill="1" applyBorder="1" applyAlignment="1">
      <alignment horizontal="center" vertical="center" wrapText="1"/>
    </xf>
    <xf numFmtId="49" fontId="26" fillId="17" borderId="34" xfId="0" applyNumberFormat="1" applyFont="1" applyFill="1" applyBorder="1" applyAlignment="1">
      <alignment horizontal="center" vertical="center" wrapText="1"/>
    </xf>
    <xf numFmtId="49" fontId="27" fillId="17" borderId="34" xfId="0" applyNumberFormat="1" applyFont="1" applyFill="1" applyBorder="1" applyAlignment="1">
      <alignment vertical="center"/>
    </xf>
    <xf numFmtId="0" fontId="26" fillId="17" borderId="43" xfId="0" applyFont="1" applyFill="1" applyBorder="1" applyAlignment="1">
      <alignment horizontal="left" vertical="center" wrapText="1" indent="1"/>
    </xf>
    <xf numFmtId="0" fontId="117" fillId="17" borderId="43" xfId="0" applyFont="1" applyFill="1" applyBorder="1" applyAlignment="1">
      <alignment horizontal="center" vertical="center" wrapText="1"/>
    </xf>
    <xf numFmtId="0" fontId="26" fillId="17" borderId="43" xfId="0" applyFont="1" applyFill="1" applyBorder="1" applyAlignment="1">
      <alignment horizontal="center" vertical="center" wrapText="1"/>
    </xf>
    <xf numFmtId="49" fontId="27" fillId="17" borderId="43" xfId="0" applyNumberFormat="1" applyFont="1" applyFill="1" applyBorder="1" applyAlignment="1">
      <alignment vertical="center"/>
    </xf>
    <xf numFmtId="0" fontId="26" fillId="17" borderId="37" xfId="0" applyFont="1" applyFill="1" applyBorder="1" applyAlignment="1">
      <alignment horizontal="left" vertical="center" wrapText="1" indent="1"/>
    </xf>
    <xf numFmtId="0" fontId="117" fillId="17" borderId="37" xfId="0" applyFont="1" applyFill="1" applyBorder="1" applyAlignment="1">
      <alignment horizontal="center" vertical="center" wrapText="1"/>
    </xf>
    <xf numFmtId="0" fontId="26" fillId="17" borderId="37" xfId="0" applyFont="1" applyFill="1" applyBorder="1" applyAlignment="1">
      <alignment horizontal="center" vertical="center" wrapText="1"/>
    </xf>
    <xf numFmtId="49" fontId="27" fillId="17" borderId="37" xfId="0" applyNumberFormat="1" applyFont="1" applyFill="1" applyBorder="1" applyAlignment="1">
      <alignment vertical="center"/>
    </xf>
    <xf numFmtId="0" fontId="23" fillId="17" borderId="43" xfId="0" applyFont="1" applyFill="1" applyBorder="1" applyAlignment="1">
      <alignment horizontal="left" vertical="center" wrapText="1" indent="1"/>
    </xf>
    <xf numFmtId="0" fontId="113" fillId="17" borderId="43" xfId="0" applyFont="1" applyFill="1" applyBorder="1" applyAlignment="1">
      <alignment horizontal="center" vertical="center" wrapText="1"/>
    </xf>
    <xf numFmtId="0" fontId="23" fillId="17" borderId="43" xfId="0" applyFont="1" applyFill="1" applyBorder="1" applyAlignment="1">
      <alignment horizontal="center" vertical="center" wrapText="1"/>
    </xf>
    <xf numFmtId="49" fontId="22" fillId="17" borderId="44" xfId="0" applyNumberFormat="1" applyFont="1" applyFill="1" applyBorder="1" applyAlignment="1">
      <alignment vertical="center"/>
    </xf>
    <xf numFmtId="49" fontId="22" fillId="17" borderId="40" xfId="0" applyNumberFormat="1" applyFont="1" applyFill="1" applyBorder="1" applyAlignment="1">
      <alignment vertical="center"/>
    </xf>
    <xf numFmtId="0" fontId="120" fillId="0" borderId="0" xfId="0" applyFont="1"/>
    <xf numFmtId="0" fontId="148" fillId="0" borderId="0" xfId="0" applyFont="1" applyAlignment="1">
      <alignment vertical="center" wrapText="1"/>
    </xf>
    <xf numFmtId="49" fontId="160" fillId="17" borderId="5" xfId="0" applyNumberFormat="1" applyFont="1" applyFill="1" applyBorder="1" applyAlignment="1">
      <alignment horizontal="center" vertical="center"/>
    </xf>
    <xf numFmtId="0" fontId="29" fillId="17" borderId="4" xfId="0" applyFont="1" applyFill="1" applyBorder="1" applyAlignment="1">
      <alignment horizontal="left" vertical="center" wrapText="1" indent="1"/>
    </xf>
    <xf numFmtId="0" fontId="87" fillId="17" borderId="5" xfId="0" applyFont="1" applyFill="1" applyBorder="1" applyAlignment="1">
      <alignment horizontal="center" vertical="center"/>
    </xf>
    <xf numFmtId="0" fontId="120" fillId="0" borderId="0" xfId="0" applyFont="1" applyAlignment="1">
      <alignment vertical="center"/>
    </xf>
    <xf numFmtId="0" fontId="38" fillId="17" borderId="30" xfId="0" applyFont="1" applyFill="1" applyBorder="1" applyAlignment="1">
      <alignment horizontal="left" vertical="center" wrapText="1" indent="1"/>
    </xf>
    <xf numFmtId="0" fontId="24" fillId="17" borderId="30" xfId="0" applyFont="1" applyFill="1" applyBorder="1" applyAlignment="1">
      <alignment horizontal="center" vertical="center" wrapText="1"/>
    </xf>
    <xf numFmtId="49" fontId="38" fillId="17" borderId="44" xfId="0" applyNumberFormat="1" applyFont="1" applyFill="1" applyBorder="1" applyAlignment="1">
      <alignment vertical="center"/>
    </xf>
    <xf numFmtId="49" fontId="24" fillId="17" borderId="30" xfId="0" applyNumberFormat="1" applyFont="1" applyFill="1" applyBorder="1" applyAlignment="1">
      <alignment horizontal="center" vertical="center"/>
    </xf>
    <xf numFmtId="0" fontId="24" fillId="17" borderId="33" xfId="0" applyFont="1" applyFill="1" applyBorder="1" applyAlignment="1">
      <alignment horizontal="left" vertical="center" indent="1"/>
    </xf>
    <xf numFmtId="49" fontId="38" fillId="17" borderId="34" xfId="0" applyNumberFormat="1" applyFont="1" applyFill="1" applyBorder="1" applyAlignment="1">
      <alignment vertical="center"/>
    </xf>
    <xf numFmtId="49" fontId="24" fillId="17" borderId="34" xfId="0" applyNumberFormat="1" applyFont="1" applyFill="1" applyBorder="1" applyAlignment="1">
      <alignment horizontal="center" vertical="center"/>
    </xf>
    <xf numFmtId="0" fontId="24" fillId="17" borderId="41" xfId="0" applyFont="1" applyFill="1" applyBorder="1" applyAlignment="1">
      <alignment horizontal="left" vertical="center" indent="1"/>
    </xf>
    <xf numFmtId="0" fontId="24" fillId="17" borderId="44" xfId="0" applyFont="1" applyFill="1" applyBorder="1" applyAlignment="1">
      <alignment horizontal="left" vertical="center" wrapText="1" indent="1"/>
    </xf>
    <xf numFmtId="0" fontId="38" fillId="17" borderId="32" xfId="0" applyFont="1" applyFill="1" applyBorder="1" applyAlignment="1">
      <alignment horizontal="left" vertical="center" indent="1"/>
    </xf>
    <xf numFmtId="0" fontId="24" fillId="17" borderId="177" xfId="0" applyFont="1" applyFill="1" applyBorder="1" applyAlignment="1">
      <alignment horizontal="left" vertical="center" wrapText="1" indent="1"/>
    </xf>
    <xf numFmtId="0" fontId="24" fillId="17" borderId="43" xfId="0" applyFont="1" applyFill="1" applyBorder="1" applyAlignment="1">
      <alignment horizontal="center" vertical="center" wrapText="1"/>
    </xf>
    <xf numFmtId="0" fontId="24" fillId="17" borderId="75" xfId="0" applyFont="1" applyFill="1" applyBorder="1" applyAlignment="1">
      <alignment horizontal="left" vertical="center" indent="1"/>
    </xf>
    <xf numFmtId="0" fontId="24" fillId="17" borderId="75" xfId="0" applyFont="1" applyFill="1" applyBorder="1" applyAlignment="1">
      <alignment horizontal="left" vertical="center" wrapText="1" indent="1"/>
    </xf>
    <xf numFmtId="0" fontId="24" fillId="17" borderId="75" xfId="0" applyFont="1" applyFill="1" applyBorder="1" applyAlignment="1">
      <alignment horizontal="center" vertical="center" wrapText="1"/>
    </xf>
    <xf numFmtId="49" fontId="38" fillId="17" borderId="37" xfId="0" applyNumberFormat="1" applyFont="1" applyFill="1" applyBorder="1" applyAlignment="1">
      <alignment vertical="center"/>
    </xf>
    <xf numFmtId="0" fontId="24" fillId="17" borderId="37" xfId="0" applyFont="1" applyFill="1" applyBorder="1" applyAlignment="1">
      <alignment horizontal="center" vertical="center" wrapText="1"/>
    </xf>
    <xf numFmtId="49" fontId="24" fillId="17" borderId="37" xfId="0" applyNumberFormat="1" applyFont="1" applyFill="1" applyBorder="1" applyAlignment="1">
      <alignment horizontal="center" vertical="center"/>
    </xf>
    <xf numFmtId="0" fontId="23" fillId="17" borderId="44" xfId="0" applyFont="1" applyFill="1" applyBorder="1" applyAlignment="1">
      <alignment horizontal="center" vertical="center" wrapText="1"/>
    </xf>
    <xf numFmtId="0" fontId="24" fillId="17" borderId="42" xfId="0" applyFont="1" applyFill="1" applyBorder="1" applyAlignment="1">
      <alignment horizontal="left" vertical="center" indent="1"/>
    </xf>
    <xf numFmtId="0" fontId="24" fillId="17" borderId="43" xfId="0" applyFont="1" applyFill="1" applyBorder="1" applyAlignment="1">
      <alignment horizontal="left" vertical="center" wrapText="1" indent="1"/>
    </xf>
    <xf numFmtId="49" fontId="38" fillId="17" borderId="43" xfId="0" applyNumberFormat="1" applyFont="1" applyFill="1" applyBorder="1" applyAlignment="1">
      <alignment vertical="center"/>
    </xf>
    <xf numFmtId="49" fontId="24" fillId="17" borderId="43" xfId="0" applyNumberFormat="1" applyFont="1" applyFill="1" applyBorder="1" applyAlignment="1">
      <alignment horizontal="center" vertical="center"/>
    </xf>
    <xf numFmtId="0" fontId="24" fillId="17" borderId="36" xfId="0" applyFont="1" applyFill="1" applyBorder="1" applyAlignment="1">
      <alignment horizontal="left" vertical="center" indent="1"/>
    </xf>
    <xf numFmtId="0" fontId="24" fillId="17" borderId="37" xfId="0" applyFont="1" applyFill="1" applyBorder="1" applyAlignment="1">
      <alignment horizontal="left" vertical="center" wrapText="1" indent="1"/>
    </xf>
    <xf numFmtId="0" fontId="38" fillId="17" borderId="313" xfId="0" applyFont="1" applyFill="1" applyBorder="1" applyAlignment="1">
      <alignment horizontal="left" vertical="center" wrapText="1" indent="1"/>
    </xf>
    <xf numFmtId="49" fontId="24" fillId="17" borderId="44" xfId="0" applyNumberFormat="1" applyFont="1" applyFill="1" applyBorder="1" applyAlignment="1">
      <alignment horizontal="center" vertical="center"/>
    </xf>
    <xf numFmtId="0" fontId="38" fillId="17" borderId="41" xfId="0" applyFont="1" applyFill="1" applyBorder="1" applyAlignment="1">
      <alignment horizontal="left" vertical="center" indent="1"/>
    </xf>
    <xf numFmtId="0" fontId="38" fillId="17" borderId="295" xfId="0" applyFont="1" applyFill="1" applyBorder="1" applyAlignment="1">
      <alignment horizontal="left" vertical="center" wrapText="1" indent="1"/>
    </xf>
    <xf numFmtId="0" fontId="24" fillId="17" borderId="39" xfId="0" applyFont="1" applyFill="1" applyBorder="1" applyAlignment="1">
      <alignment horizontal="center" vertical="center" wrapText="1"/>
    </xf>
    <xf numFmtId="49" fontId="38" fillId="17" borderId="39" xfId="0" applyNumberFormat="1" applyFont="1" applyFill="1" applyBorder="1" applyAlignment="1">
      <alignment vertical="center"/>
    </xf>
    <xf numFmtId="49" fontId="24" fillId="17" borderId="39" xfId="0" applyNumberFormat="1" applyFont="1" applyFill="1" applyBorder="1" applyAlignment="1">
      <alignment horizontal="center" vertical="center"/>
    </xf>
    <xf numFmtId="0" fontId="24" fillId="17" borderId="83" xfId="0" applyFont="1" applyFill="1" applyBorder="1" applyAlignment="1">
      <alignment horizontal="center" vertical="center" wrapText="1"/>
    </xf>
    <xf numFmtId="49" fontId="38" fillId="17" borderId="173" xfId="0" applyNumberFormat="1" applyFont="1" applyFill="1" applyBorder="1" applyAlignment="1">
      <alignment horizontal="left" vertical="center" indent="1"/>
    </xf>
    <xf numFmtId="49" fontId="24" fillId="17" borderId="83" xfId="0" applyNumberFormat="1" applyFont="1" applyFill="1" applyBorder="1" applyAlignment="1">
      <alignment horizontal="center" vertical="center"/>
    </xf>
    <xf numFmtId="0" fontId="24" fillId="17" borderId="174" xfId="0" applyFont="1" applyFill="1" applyBorder="1" applyAlignment="1">
      <alignment horizontal="left" vertical="center" indent="1"/>
    </xf>
    <xf numFmtId="0" fontId="24" fillId="17" borderId="486" xfId="0" applyFont="1" applyFill="1" applyBorder="1" applyAlignment="1">
      <alignment horizontal="center" vertical="center" wrapText="1"/>
    </xf>
    <xf numFmtId="49" fontId="38" fillId="17" borderId="486" xfId="0" applyNumberFormat="1" applyFont="1" applyFill="1" applyBorder="1" applyAlignment="1">
      <alignment horizontal="left" vertical="center" indent="1"/>
    </xf>
    <xf numFmtId="49" fontId="24" fillId="17" borderId="583" xfId="0" applyNumberFormat="1" applyFont="1" applyFill="1" applyBorder="1" applyAlignment="1">
      <alignment horizontal="center" vertical="center"/>
    </xf>
    <xf numFmtId="0" fontId="38" fillId="17" borderId="174" xfId="0" applyFont="1" applyFill="1" applyBorder="1" applyAlignment="1">
      <alignment horizontal="left" vertical="center" wrapText="1" indent="1"/>
    </xf>
    <xf numFmtId="0" fontId="38" fillId="17" borderId="173" xfId="0" applyFont="1" applyFill="1" applyBorder="1" applyAlignment="1">
      <alignment horizontal="left" vertical="center" wrapText="1" indent="1"/>
    </xf>
    <xf numFmtId="0" fontId="24" fillId="17" borderId="173" xfId="0" applyFont="1" applyFill="1" applyBorder="1" applyAlignment="1">
      <alignment horizontal="center" vertical="center" wrapText="1"/>
    </xf>
    <xf numFmtId="49" fontId="24" fillId="17" borderId="173" xfId="0" applyNumberFormat="1" applyFont="1" applyFill="1" applyBorder="1" applyAlignment="1">
      <alignment horizontal="center" vertical="center"/>
    </xf>
    <xf numFmtId="49" fontId="24" fillId="17" borderId="92" xfId="0" applyNumberFormat="1" applyFont="1" applyFill="1" applyBorder="1" applyAlignment="1">
      <alignment horizontal="center" vertical="center"/>
    </xf>
    <xf numFmtId="0" fontId="24" fillId="17" borderId="84" xfId="0" applyFont="1" applyFill="1" applyBorder="1" applyAlignment="1">
      <alignment horizontal="left" vertical="center" wrapText="1" indent="1"/>
    </xf>
    <xf numFmtId="0" fontId="24" fillId="17" borderId="84" xfId="0" applyFont="1" applyFill="1" applyBorder="1" applyAlignment="1">
      <alignment horizontal="center" vertical="center" wrapText="1"/>
    </xf>
    <xf numFmtId="49" fontId="38" fillId="17" borderId="84" xfId="0" applyNumberFormat="1" applyFont="1" applyFill="1" applyBorder="1" applyAlignment="1">
      <alignment horizontal="left" vertical="center" indent="1"/>
    </xf>
    <xf numFmtId="49" fontId="24" fillId="17" borderId="85" xfId="0" applyNumberFormat="1" applyFont="1" applyFill="1" applyBorder="1" applyAlignment="1">
      <alignment horizontal="center" vertical="center"/>
    </xf>
    <xf numFmtId="0" fontId="24" fillId="17" borderId="204" xfId="0" applyFont="1" applyFill="1" applyBorder="1" applyAlignment="1">
      <alignment horizontal="left" vertical="center" indent="1"/>
    </xf>
    <xf numFmtId="0" fontId="24" fillId="17" borderId="194" xfId="0" applyFont="1" applyFill="1" applyBorder="1" applyAlignment="1">
      <alignment horizontal="left" vertical="center" wrapText="1" indent="1"/>
    </xf>
    <xf numFmtId="0" fontId="24" fillId="17" borderId="194" xfId="0" applyFont="1" applyFill="1" applyBorder="1" applyAlignment="1">
      <alignment horizontal="center" vertical="center" wrapText="1"/>
    </xf>
    <xf numFmtId="49" fontId="38" fillId="17" borderId="194" xfId="0" applyNumberFormat="1" applyFont="1" applyFill="1" applyBorder="1" applyAlignment="1">
      <alignment horizontal="left" vertical="center" indent="1"/>
    </xf>
    <xf numFmtId="0" fontId="38" fillId="17" borderId="176" xfId="0" applyFont="1" applyFill="1" applyBorder="1" applyAlignment="1">
      <alignment horizontal="left" vertical="center" indent="1"/>
    </xf>
    <xf numFmtId="0" fontId="38" fillId="17" borderId="86" xfId="0" applyFont="1" applyFill="1" applyBorder="1" applyAlignment="1">
      <alignment horizontal="left" vertical="center" wrapText="1" indent="1"/>
    </xf>
    <xf numFmtId="0" fontId="24" fillId="17" borderId="86" xfId="0" applyFont="1" applyFill="1" applyBorder="1" applyAlignment="1">
      <alignment horizontal="center" vertical="center" wrapText="1"/>
    </xf>
    <xf numFmtId="49" fontId="38" fillId="17" borderId="86" xfId="0" applyNumberFormat="1" applyFont="1" applyFill="1" applyBorder="1" applyAlignment="1">
      <alignment horizontal="left" vertical="center" indent="1"/>
    </xf>
    <xf numFmtId="0" fontId="23" fillId="17" borderId="86" xfId="0" applyFont="1" applyFill="1" applyBorder="1" applyAlignment="1">
      <alignment horizontal="center" vertical="center" wrapText="1"/>
    </xf>
    <xf numFmtId="0" fontId="23" fillId="17" borderId="87" xfId="0" applyFont="1" applyFill="1" applyBorder="1" applyAlignment="1">
      <alignment horizontal="center" vertical="center" wrapText="1"/>
    </xf>
    <xf numFmtId="0" fontId="23" fillId="17" borderId="85" xfId="0" applyFont="1" applyFill="1" applyBorder="1" applyAlignment="1">
      <alignment horizontal="center" vertical="center" wrapText="1"/>
    </xf>
    <xf numFmtId="0" fontId="38" fillId="17" borderId="174" xfId="0" applyFont="1" applyFill="1" applyBorder="1" applyAlignment="1">
      <alignment horizontal="left" vertical="center" indent="1"/>
    </xf>
    <xf numFmtId="0" fontId="24" fillId="17" borderId="175" xfId="0" applyFont="1" applyFill="1" applyBorder="1" applyAlignment="1">
      <alignment horizontal="left" vertical="center" indent="1"/>
    </xf>
    <xf numFmtId="0" fontId="24" fillId="17" borderId="89" xfId="0" applyFont="1" applyFill="1" applyBorder="1" applyAlignment="1">
      <alignment horizontal="left" vertical="center" wrapText="1" indent="1"/>
    </xf>
    <xf numFmtId="0" fontId="24" fillId="17" borderId="89" xfId="0" applyFont="1" applyFill="1" applyBorder="1" applyAlignment="1">
      <alignment horizontal="center" vertical="center" wrapText="1"/>
    </xf>
    <xf numFmtId="49" fontId="38" fillId="17" borderId="89" xfId="0" applyNumberFormat="1" applyFont="1" applyFill="1" applyBorder="1" applyAlignment="1">
      <alignment horizontal="left" vertical="center" indent="1"/>
    </xf>
    <xf numFmtId="49" fontId="24" fillId="17" borderId="90" xfId="0" applyNumberFormat="1" applyFont="1" applyFill="1" applyBorder="1" applyAlignment="1">
      <alignment horizontal="center" vertical="center"/>
    </xf>
    <xf numFmtId="49" fontId="24" fillId="17" borderId="486" xfId="0" applyNumberFormat="1" applyFont="1" applyFill="1" applyBorder="1" applyAlignment="1">
      <alignment horizontal="center" vertical="center"/>
    </xf>
    <xf numFmtId="0" fontId="24" fillId="17" borderId="84" xfId="0" applyFont="1" applyFill="1" applyBorder="1" applyAlignment="1">
      <alignment vertical="center" wrapText="1" indent="1"/>
    </xf>
    <xf numFmtId="49" fontId="24" fillId="17" borderId="84" xfId="0" applyNumberFormat="1" applyFont="1" applyFill="1" applyBorder="1" applyAlignment="1">
      <alignment horizontal="center" vertical="center"/>
    </xf>
    <xf numFmtId="49" fontId="24" fillId="17" borderId="194" xfId="0" applyNumberFormat="1" applyFont="1" applyFill="1" applyBorder="1" applyAlignment="1">
      <alignment horizontal="center" vertical="center"/>
    </xf>
    <xf numFmtId="49" fontId="24" fillId="17" borderId="86" xfId="0" applyNumberFormat="1" applyFont="1" applyFill="1" applyBorder="1" applyAlignment="1">
      <alignment horizontal="center" vertical="center"/>
    </xf>
    <xf numFmtId="49" fontId="24" fillId="17" borderId="87" xfId="0" applyNumberFormat="1" applyFont="1" applyFill="1" applyBorder="1" applyAlignment="1">
      <alignment horizontal="center" vertical="center"/>
    </xf>
    <xf numFmtId="0" fontId="24" fillId="17" borderId="89" xfId="0" applyFont="1" applyFill="1" applyBorder="1" applyAlignment="1">
      <alignment horizontal="left" vertical="center" indent="1"/>
    </xf>
    <xf numFmtId="49" fontId="24" fillId="17" borderId="89" xfId="0" applyNumberFormat="1" applyFont="1" applyFill="1" applyBorder="1" applyAlignment="1">
      <alignment horizontal="center" vertical="center"/>
    </xf>
    <xf numFmtId="0" fontId="38" fillId="17" borderId="210" xfId="0" applyFont="1" applyFill="1" applyBorder="1" applyAlignment="1">
      <alignment horizontal="left" vertical="center" wrapText="1" indent="1"/>
    </xf>
    <xf numFmtId="0" fontId="23" fillId="17" borderId="173" xfId="0" applyFont="1" applyFill="1" applyBorder="1" applyAlignment="1">
      <alignment horizontal="center" vertical="center" wrapText="1"/>
    </xf>
    <xf numFmtId="0" fontId="23" fillId="17" borderId="92" xfId="0" applyFont="1" applyFill="1" applyBorder="1" applyAlignment="1">
      <alignment horizontal="center" vertical="center" wrapText="1"/>
    </xf>
    <xf numFmtId="0" fontId="24" fillId="17" borderId="174" xfId="0" applyFont="1" applyFill="1" applyBorder="1" applyAlignment="1">
      <alignment horizontal="left" vertical="center" wrapText="1" indent="1"/>
    </xf>
    <xf numFmtId="0" fontId="23" fillId="17" borderId="583" xfId="0" applyFont="1" applyFill="1" applyBorder="1" applyAlignment="1">
      <alignment horizontal="center" vertical="center" wrapText="1"/>
    </xf>
    <xf numFmtId="0" fontId="24" fillId="17" borderId="175" xfId="0" applyFont="1" applyFill="1" applyBorder="1" applyAlignment="1">
      <alignment horizontal="left" vertical="center" wrapText="1" indent="1"/>
    </xf>
    <xf numFmtId="0" fontId="38" fillId="17" borderId="176" xfId="0" applyFont="1" applyFill="1" applyBorder="1" applyAlignment="1">
      <alignment horizontal="left" vertical="center" wrapText="1" indent="1"/>
    </xf>
    <xf numFmtId="0" fontId="38" fillId="17" borderId="86" xfId="0" applyFont="1" applyFill="1" applyBorder="1" applyAlignment="1">
      <alignment horizontal="left" vertical="center" indent="1"/>
    </xf>
    <xf numFmtId="0" fontId="24" fillId="17" borderId="84" xfId="0" applyFont="1" applyFill="1" applyBorder="1" applyAlignment="1">
      <alignment horizontal="left" vertical="center" indent="1"/>
    </xf>
    <xf numFmtId="0" fontId="38" fillId="17" borderId="84" xfId="0" applyFont="1" applyFill="1" applyBorder="1" applyAlignment="1">
      <alignment horizontal="left" vertical="center" indent="1"/>
    </xf>
    <xf numFmtId="0" fontId="24" fillId="17" borderId="176" xfId="0" applyFont="1" applyFill="1" applyBorder="1" applyAlignment="1">
      <alignment horizontal="left" vertical="center" wrapText="1" indent="1"/>
    </xf>
    <xf numFmtId="0" fontId="24" fillId="17" borderId="86" xfId="0" applyFont="1" applyFill="1" applyBorder="1" applyAlignment="1">
      <alignment horizontal="left" vertical="center" wrapText="1" indent="1"/>
    </xf>
    <xf numFmtId="0" fontId="24" fillId="17" borderId="84" xfId="0" applyFont="1" applyFill="1" applyBorder="1" applyAlignment="1">
      <alignment vertical="center" indent="1"/>
    </xf>
    <xf numFmtId="0" fontId="24" fillId="17" borderId="89" xfId="0" applyFont="1" applyFill="1" applyBorder="1" applyAlignment="1">
      <alignment vertical="center" indent="1"/>
    </xf>
    <xf numFmtId="49" fontId="38" fillId="17" borderId="174" xfId="0" applyNumberFormat="1" applyFont="1" applyFill="1" applyBorder="1" applyAlignment="1">
      <alignment horizontal="left" vertical="center" wrapText="1" indent="1"/>
    </xf>
    <xf numFmtId="0" fontId="24" fillId="17" borderId="486" xfId="0" applyFont="1" applyFill="1" applyBorder="1" applyAlignment="1">
      <alignment vertical="center" wrapText="1" indent="1"/>
    </xf>
    <xf numFmtId="0" fontId="24" fillId="17" borderId="210" xfId="0" applyFont="1" applyFill="1" applyBorder="1" applyAlignment="1">
      <alignment horizontal="left" vertical="center" wrapText="1" indent="1"/>
    </xf>
    <xf numFmtId="0" fontId="24" fillId="17" borderId="173" xfId="0" applyFont="1" applyFill="1" applyBorder="1" applyAlignment="1">
      <alignment horizontal="left" vertical="center" wrapText="1" indent="1"/>
    </xf>
    <xf numFmtId="0" fontId="38" fillId="17" borderId="38" xfId="0" applyFont="1" applyFill="1" applyBorder="1" applyAlignment="1">
      <alignment horizontal="left" vertical="center"/>
    </xf>
    <xf numFmtId="0" fontId="38" fillId="17" borderId="313" xfId="0" applyFont="1" applyFill="1" applyBorder="1" applyAlignment="1">
      <alignment horizontal="left" vertical="center" wrapText="1"/>
    </xf>
    <xf numFmtId="168" fontId="24" fillId="17" borderId="44" xfId="0" applyNumberFormat="1" applyFont="1" applyFill="1" applyBorder="1" applyAlignment="1">
      <alignment vertical="center"/>
    </xf>
    <xf numFmtId="168" fontId="38" fillId="17" borderId="44" xfId="0" applyNumberFormat="1" applyFont="1" applyFill="1" applyBorder="1" applyAlignment="1">
      <alignment vertical="center"/>
    </xf>
    <xf numFmtId="0" fontId="24" fillId="17" borderId="41" xfId="0" applyFont="1" applyFill="1" applyBorder="1" applyAlignment="1">
      <alignment horizontal="left" vertical="center"/>
    </xf>
    <xf numFmtId="0" fontId="24" fillId="17" borderId="34" xfId="0" applyFont="1" applyFill="1" applyBorder="1" applyAlignment="1">
      <alignment horizontal="left" vertical="center" wrapText="1"/>
    </xf>
    <xf numFmtId="168" fontId="24" fillId="17" borderId="34" xfId="0" applyNumberFormat="1" applyFont="1" applyFill="1" applyBorder="1" applyAlignment="1">
      <alignment vertical="center"/>
    </xf>
    <xf numFmtId="168" fontId="38" fillId="17" borderId="34" xfId="0" applyNumberFormat="1" applyFont="1" applyFill="1" applyBorder="1" applyAlignment="1">
      <alignment vertical="center"/>
    </xf>
    <xf numFmtId="0" fontId="24" fillId="17" borderId="33" xfId="0" applyFont="1" applyFill="1" applyBorder="1" applyAlignment="1">
      <alignment horizontal="left" vertical="center"/>
    </xf>
    <xf numFmtId="0" fontId="24" fillId="17" borderId="36" xfId="0" applyFont="1" applyFill="1" applyBorder="1" applyAlignment="1">
      <alignment horizontal="left" vertical="center"/>
    </xf>
    <xf numFmtId="0" fontId="24" fillId="17" borderId="37" xfId="0" applyFont="1" applyFill="1" applyBorder="1" applyAlignment="1">
      <alignment horizontal="center" vertical="center"/>
    </xf>
    <xf numFmtId="0" fontId="24" fillId="17" borderId="43" xfId="0" applyFont="1" applyFill="1" applyBorder="1" applyAlignment="1">
      <alignment horizontal="left" vertical="center" wrapText="1"/>
    </xf>
    <xf numFmtId="168" fontId="24" fillId="17" borderId="43" xfId="0" applyNumberFormat="1" applyFont="1" applyFill="1" applyBorder="1" applyAlignment="1">
      <alignment vertical="center"/>
    </xf>
    <xf numFmtId="168" fontId="24" fillId="17" borderId="37" xfId="0" applyNumberFormat="1" applyFont="1" applyFill="1" applyBorder="1" applyAlignment="1">
      <alignment vertical="center"/>
    </xf>
    <xf numFmtId="168" fontId="38" fillId="17" borderId="43" xfId="0" applyNumberFormat="1" applyFont="1" applyFill="1" applyBorder="1" applyAlignment="1">
      <alignment vertical="center"/>
    </xf>
    <xf numFmtId="0" fontId="38" fillId="17" borderId="39" xfId="0" applyFont="1" applyFill="1" applyBorder="1" applyAlignment="1">
      <alignment horizontal="left" vertical="center" wrapText="1" indent="1"/>
    </xf>
    <xf numFmtId="168" fontId="38" fillId="17" borderId="37" xfId="0" applyNumberFormat="1" applyFont="1" applyFill="1" applyBorder="1" applyAlignment="1">
      <alignment vertical="center"/>
    </xf>
    <xf numFmtId="0" fontId="22" fillId="17" borderId="29" xfId="0" applyFont="1" applyFill="1" applyBorder="1" applyAlignment="1">
      <alignment horizontal="left" vertical="center" wrapText="1" indent="1"/>
    </xf>
    <xf numFmtId="0" fontId="22" fillId="17" borderId="30" xfId="0" applyFont="1" applyFill="1" applyBorder="1" applyAlignment="1">
      <alignment horizontal="left" vertical="center" indent="1"/>
    </xf>
    <xf numFmtId="0" fontId="22" fillId="17" borderId="33" xfId="0" applyFont="1" applyFill="1" applyBorder="1" applyAlignment="1">
      <alignment horizontal="left" vertical="center" wrapText="1" indent="1"/>
    </xf>
    <xf numFmtId="0" fontId="22" fillId="17" borderId="42" xfId="0" applyFont="1" applyFill="1" applyBorder="1" applyAlignment="1">
      <alignment horizontal="left" vertical="center" wrapText="1" indent="1"/>
    </xf>
    <xf numFmtId="49" fontId="38" fillId="17" borderId="43" xfId="0" applyNumberFormat="1" applyFont="1" applyFill="1" applyBorder="1" applyAlignment="1">
      <alignment horizontal="left" vertical="center" indent="1"/>
    </xf>
    <xf numFmtId="0" fontId="22" fillId="17" borderId="38" xfId="0" applyFont="1" applyFill="1" applyBorder="1" applyAlignment="1">
      <alignment horizontal="left" vertical="center" wrapText="1" indent="1"/>
    </xf>
    <xf numFmtId="0" fontId="23" fillId="17" borderId="39" xfId="0" applyFont="1" applyFill="1" applyBorder="1" applyAlignment="1">
      <alignment horizontal="left" vertical="center" wrapText="1" indent="1"/>
    </xf>
    <xf numFmtId="49" fontId="38" fillId="17" borderId="39" xfId="0" applyNumberFormat="1" applyFont="1" applyFill="1" applyBorder="1" applyAlignment="1">
      <alignment horizontal="left" vertical="center" indent="1"/>
    </xf>
    <xf numFmtId="0" fontId="22" fillId="17" borderId="36" xfId="0" applyFont="1" applyFill="1" applyBorder="1" applyAlignment="1">
      <alignment horizontal="left" vertical="center" wrapText="1" indent="1"/>
    </xf>
    <xf numFmtId="0" fontId="24" fillId="17" borderId="37" xfId="0" applyFont="1" applyFill="1" applyBorder="1" applyAlignment="1">
      <alignment horizontal="left" vertical="center" indent="1"/>
    </xf>
    <xf numFmtId="0" fontId="24" fillId="17" borderId="37" xfId="0" applyFont="1" applyFill="1" applyBorder="1" applyAlignment="1">
      <alignment vertical="center"/>
    </xf>
    <xf numFmtId="49" fontId="38" fillId="17" borderId="37" xfId="0" applyNumberFormat="1" applyFont="1" applyFill="1" applyBorder="1" applyAlignment="1">
      <alignment horizontal="left" vertical="center" indent="1"/>
    </xf>
    <xf numFmtId="0" fontId="38" fillId="17" borderId="38" xfId="0" applyFont="1" applyFill="1" applyBorder="1" applyAlignment="1">
      <alignment horizontal="left" vertical="center" wrapText="1" indent="1"/>
    </xf>
    <xf numFmtId="0" fontId="22" fillId="17" borderId="39" xfId="0" applyFont="1" applyFill="1" applyBorder="1" applyAlignment="1">
      <alignment horizontal="left" vertical="center" indent="1"/>
    </xf>
    <xf numFmtId="0" fontId="38" fillId="17" borderId="36" xfId="0" applyFont="1" applyFill="1" applyBorder="1" applyAlignment="1">
      <alignment horizontal="left" vertical="center" wrapText="1" indent="1"/>
    </xf>
    <xf numFmtId="0" fontId="24" fillId="17" borderId="44" xfId="0" applyFont="1" applyFill="1" applyBorder="1" applyAlignment="1">
      <alignment indent="1"/>
    </xf>
    <xf numFmtId="0" fontId="24" fillId="17" borderId="44" xfId="0" applyFont="1" applyFill="1" applyBorder="1"/>
    <xf numFmtId="0" fontId="24" fillId="17" borderId="34" xfId="0" applyFont="1" applyFill="1" applyBorder="1" applyAlignment="1">
      <alignment indent="1"/>
    </xf>
    <xf numFmtId="0" fontId="24" fillId="17" borderId="34" xfId="0" applyFont="1" applyFill="1" applyBorder="1"/>
    <xf numFmtId="0" fontId="38" fillId="17" borderId="42" xfId="0" applyFont="1" applyFill="1" applyBorder="1" applyAlignment="1">
      <alignment horizontal="left" vertical="center" wrapText="1" indent="1"/>
    </xf>
    <xf numFmtId="0" fontId="24" fillId="17" borderId="43" xfId="0" applyFont="1" applyFill="1" applyBorder="1" applyAlignment="1">
      <alignment indent="1"/>
    </xf>
    <xf numFmtId="0" fontId="24" fillId="17" borderId="43" xfId="0" applyFont="1" applyFill="1" applyBorder="1"/>
    <xf numFmtId="0" fontId="24" fillId="17" borderId="39" xfId="0" applyFont="1" applyFill="1" applyBorder="1" applyAlignment="1">
      <alignment indent="1"/>
    </xf>
    <xf numFmtId="0" fontId="24" fillId="17" borderId="39" xfId="0" applyFont="1" applyFill="1" applyBorder="1"/>
    <xf numFmtId="0" fontId="24" fillId="17" borderId="34" xfId="0" applyFont="1" applyFill="1" applyBorder="1" applyAlignment="1">
      <alignment horizontal="left" vertical="center" indent="1"/>
    </xf>
    <xf numFmtId="0" fontId="38" fillId="17" borderId="34" xfId="0" applyFont="1" applyFill="1" applyBorder="1" applyAlignment="1">
      <alignment horizontal="left" vertical="center" wrapText="1" indent="1"/>
    </xf>
    <xf numFmtId="0" fontId="24" fillId="17" borderId="43" xfId="0" applyFont="1" applyFill="1" applyBorder="1" applyAlignment="1">
      <alignment vertical="center"/>
    </xf>
    <xf numFmtId="0" fontId="24" fillId="17" borderId="34" xfId="0" applyFont="1" applyFill="1" applyBorder="1" applyAlignment="1">
      <alignment vertical="center"/>
    </xf>
    <xf numFmtId="0" fontId="24" fillId="17" borderId="43" xfId="0" applyFont="1" applyFill="1" applyBorder="1" applyAlignment="1">
      <alignment horizontal="left" vertical="center" indent="1"/>
    </xf>
    <xf numFmtId="0" fontId="24" fillId="17" borderId="44" xfId="0" applyFont="1" applyFill="1" applyBorder="1" applyAlignment="1">
      <alignment horizontal="left" vertical="center" indent="1"/>
    </xf>
    <xf numFmtId="0" fontId="24" fillId="17" borderId="129" xfId="0" applyFont="1" applyFill="1" applyBorder="1" applyAlignment="1">
      <alignment horizontal="center" vertical="center" wrapText="1"/>
    </xf>
    <xf numFmtId="49" fontId="38" fillId="17" borderId="129" xfId="0" applyNumberFormat="1" applyFont="1" applyFill="1" applyBorder="1" applyAlignment="1">
      <alignment vertical="center"/>
    </xf>
    <xf numFmtId="49" fontId="24" fillId="17" borderId="129" xfId="0" applyNumberFormat="1" applyFont="1" applyFill="1" applyBorder="1" applyAlignment="1">
      <alignment horizontal="center" vertical="center"/>
    </xf>
    <xf numFmtId="49" fontId="24" fillId="17" borderId="131" xfId="0" applyNumberFormat="1" applyFont="1" applyFill="1" applyBorder="1" applyAlignment="1">
      <alignment horizontal="left" vertical="center" indent="1"/>
    </xf>
    <xf numFmtId="0" fontId="24" fillId="17" borderId="74" xfId="0" applyFont="1" applyFill="1" applyBorder="1" applyAlignment="1">
      <alignment horizontal="center" vertical="center"/>
    </xf>
    <xf numFmtId="49" fontId="38" fillId="17" borderId="74" xfId="0" applyNumberFormat="1" applyFont="1" applyFill="1" applyBorder="1" applyAlignment="1">
      <alignment vertical="center"/>
    </xf>
    <xf numFmtId="0" fontId="24" fillId="17" borderId="74" xfId="0" applyFont="1" applyFill="1" applyBorder="1" applyAlignment="1">
      <alignment horizontal="center" vertical="center" wrapText="1"/>
    </xf>
    <xf numFmtId="49" fontId="24" fillId="17" borderId="74" xfId="0" applyNumberFormat="1" applyFont="1" applyFill="1" applyBorder="1" applyAlignment="1">
      <alignment horizontal="center" vertical="center"/>
    </xf>
    <xf numFmtId="0" fontId="24" fillId="17" borderId="74" xfId="0" applyFont="1" applyFill="1" applyBorder="1" applyAlignment="1">
      <alignment horizontal="left" vertical="center" wrapText="1" indent="1"/>
    </xf>
    <xf numFmtId="49" fontId="24" fillId="17" borderId="74" xfId="0" applyNumberFormat="1" applyFont="1" applyFill="1" applyBorder="1" applyAlignment="1">
      <alignment vertical="center"/>
    </xf>
    <xf numFmtId="0" fontId="24" fillId="17" borderId="134" xfId="0" applyFont="1" applyFill="1" applyBorder="1" applyAlignment="1">
      <alignment horizontal="left" vertical="center" wrapText="1" indent="1"/>
    </xf>
    <xf numFmtId="0" fontId="24" fillId="17" borderId="134" xfId="0" applyFont="1" applyFill="1" applyBorder="1" applyAlignment="1">
      <alignment horizontal="center" vertical="center"/>
    </xf>
    <xf numFmtId="49" fontId="24" fillId="17" borderId="134" xfId="0" applyNumberFormat="1" applyFont="1" applyFill="1" applyBorder="1" applyAlignment="1">
      <alignment vertical="center"/>
    </xf>
    <xf numFmtId="0" fontId="24" fillId="17" borderId="134" xfId="0" applyFont="1" applyFill="1" applyBorder="1" applyAlignment="1">
      <alignment horizontal="center" vertical="center" wrapText="1"/>
    </xf>
    <xf numFmtId="49" fontId="24" fillId="17" borderId="134" xfId="0" applyNumberFormat="1" applyFont="1" applyFill="1" applyBorder="1" applyAlignment="1">
      <alignment horizontal="center" vertical="center"/>
    </xf>
    <xf numFmtId="49" fontId="38" fillId="17" borderId="197" xfId="0" applyNumberFormat="1" applyFont="1" applyFill="1" applyBorder="1" applyAlignment="1">
      <alignment horizontal="left" vertical="center" wrapText="1" indent="1"/>
    </xf>
    <xf numFmtId="49" fontId="112" fillId="17" borderId="135" xfId="0" applyNumberFormat="1" applyFont="1" applyFill="1" applyBorder="1" applyAlignment="1">
      <alignment horizontal="center" vertical="center"/>
    </xf>
    <xf numFmtId="0" fontId="38" fillId="17" borderId="135" xfId="0" applyFont="1" applyFill="1" applyBorder="1" applyAlignment="1">
      <alignment horizontal="left" vertical="center" wrapText="1" indent="1"/>
    </xf>
    <xf numFmtId="49" fontId="38" fillId="17" borderId="135" xfId="0" applyNumberFormat="1" applyFont="1" applyFill="1" applyBorder="1" applyAlignment="1">
      <alignment vertical="center"/>
    </xf>
    <xf numFmtId="0" fontId="24" fillId="17" borderId="135" xfId="0" applyFont="1" applyFill="1" applyBorder="1" applyAlignment="1">
      <alignment horizontal="center" vertical="center" wrapText="1"/>
    </xf>
    <xf numFmtId="49" fontId="24" fillId="17" borderId="135" xfId="0" applyNumberFormat="1" applyFont="1" applyFill="1" applyBorder="1" applyAlignment="1">
      <alignment horizontal="center" vertical="center"/>
    </xf>
    <xf numFmtId="49" fontId="38" fillId="17" borderId="131" xfId="0" applyNumberFormat="1" applyFont="1" applyFill="1" applyBorder="1" applyAlignment="1">
      <alignment horizontal="left" vertical="center" indent="1"/>
    </xf>
    <xf numFmtId="49" fontId="112" fillId="17" borderId="74" xfId="0" applyNumberFormat="1" applyFont="1" applyFill="1" applyBorder="1" applyAlignment="1">
      <alignment horizontal="center" vertical="center"/>
    </xf>
    <xf numFmtId="49" fontId="38" fillId="17" borderId="75" xfId="0" applyNumberFormat="1" applyFont="1" applyFill="1" applyBorder="1" applyAlignment="1">
      <alignment vertical="center"/>
    </xf>
    <xf numFmtId="49" fontId="24" fillId="17" borderId="75" xfId="0" applyNumberFormat="1" applyFont="1" applyFill="1" applyBorder="1" applyAlignment="1">
      <alignment horizontal="center" vertical="center"/>
    </xf>
    <xf numFmtId="49" fontId="38" fillId="17" borderId="145" xfId="0" applyNumberFormat="1" applyFont="1" applyFill="1" applyBorder="1" applyAlignment="1">
      <alignment horizontal="left" vertical="center" wrapText="1" indent="1"/>
    </xf>
    <xf numFmtId="0" fontId="38" fillId="17" borderId="329" xfId="0" applyFont="1" applyFill="1" applyBorder="1" applyAlignment="1">
      <alignment horizontal="left" vertical="center" wrapText="1" indent="1"/>
    </xf>
    <xf numFmtId="49" fontId="38" fillId="17" borderId="329" xfId="0" applyNumberFormat="1" applyFont="1" applyFill="1" applyBorder="1" applyAlignment="1">
      <alignment vertical="center"/>
    </xf>
    <xf numFmtId="0" fontId="24" fillId="17" borderId="329" xfId="0" applyFont="1" applyFill="1" applyBorder="1" applyAlignment="1">
      <alignment horizontal="center" vertical="center" wrapText="1"/>
    </xf>
    <xf numFmtId="49" fontId="24" fillId="17" borderId="329" xfId="0" applyNumberFormat="1" applyFont="1" applyFill="1" applyBorder="1" applyAlignment="1">
      <alignment horizontal="center" vertical="center"/>
    </xf>
    <xf numFmtId="49" fontId="24" fillId="17" borderId="131" xfId="0" applyNumberFormat="1" applyFont="1" applyFill="1" applyBorder="1" applyAlignment="1">
      <alignment horizontal="left" vertical="center" wrapText="1" indent="1"/>
    </xf>
    <xf numFmtId="49" fontId="24" fillId="17" borderId="139" xfId="0" applyNumberFormat="1" applyFont="1" applyFill="1" applyBorder="1" applyAlignment="1">
      <alignment horizontal="left" vertical="center" indent="1"/>
    </xf>
    <xf numFmtId="0" fontId="24" fillId="17" borderId="135" xfId="0" applyFont="1" applyFill="1" applyBorder="1" applyAlignment="1">
      <alignment horizontal="center" vertical="center"/>
    </xf>
    <xf numFmtId="0" fontId="23" fillId="17" borderId="135" xfId="0" applyFont="1" applyFill="1" applyBorder="1" applyAlignment="1">
      <alignment horizontal="center" vertical="center" wrapText="1"/>
    </xf>
    <xf numFmtId="0" fontId="23" fillId="17" borderId="74" xfId="0" applyFont="1" applyFill="1" applyBorder="1" applyAlignment="1">
      <alignment horizontal="center" vertical="center" wrapText="1"/>
    </xf>
    <xf numFmtId="49" fontId="38" fillId="17" borderId="131" xfId="0" applyNumberFormat="1" applyFont="1" applyFill="1" applyBorder="1" applyAlignment="1">
      <alignment horizontal="left" vertical="center" wrapText="1" indent="1"/>
    </xf>
    <xf numFmtId="0" fontId="38" fillId="17" borderId="84" xfId="0" applyFont="1" applyFill="1" applyBorder="1" applyAlignment="1">
      <alignment horizontal="left" vertical="center" wrapText="1" indent="1"/>
    </xf>
    <xf numFmtId="0" fontId="24" fillId="17" borderId="84" xfId="0" applyFont="1" applyFill="1" applyBorder="1" applyAlignment="1">
      <alignment horizontal="center" vertical="center"/>
    </xf>
    <xf numFmtId="49" fontId="38" fillId="17" borderId="84" xfId="0" applyNumberFormat="1" applyFont="1" applyFill="1" applyBorder="1" applyAlignment="1">
      <alignment vertical="center"/>
    </xf>
    <xf numFmtId="49" fontId="24" fillId="17" borderId="143" xfId="0" applyNumberFormat="1" applyFont="1" applyFill="1" applyBorder="1" applyAlignment="1">
      <alignment horizontal="center" vertical="center"/>
    </xf>
    <xf numFmtId="0" fontId="24" fillId="17" borderId="89" xfId="0" applyFont="1" applyFill="1" applyBorder="1" applyAlignment="1">
      <alignment horizontal="center" vertical="center"/>
    </xf>
    <xf numFmtId="49" fontId="24" fillId="17" borderId="89" xfId="0" applyNumberFormat="1" applyFont="1" applyFill="1" applyBorder="1" applyAlignment="1">
      <alignment vertical="center"/>
    </xf>
    <xf numFmtId="0" fontId="24" fillId="17" borderId="74" xfId="0" applyFont="1" applyFill="1" applyBorder="1" applyAlignment="1">
      <alignment horizontal="left" vertical="center" indent="1"/>
    </xf>
    <xf numFmtId="0" fontId="38" fillId="17" borderId="74" xfId="0" applyFont="1" applyFill="1" applyBorder="1" applyAlignment="1">
      <alignment horizontal="left" vertical="center" wrapText="1" indent="1"/>
    </xf>
    <xf numFmtId="49" fontId="24" fillId="17" borderId="75" xfId="0" applyNumberFormat="1" applyFont="1" applyFill="1" applyBorder="1" applyAlignment="1">
      <alignment vertical="center"/>
    </xf>
    <xf numFmtId="0" fontId="24" fillId="17" borderId="135" xfId="0" applyFont="1" applyFill="1" applyBorder="1" applyAlignment="1">
      <alignment vertical="center"/>
    </xf>
    <xf numFmtId="49" fontId="24" fillId="17" borderId="145" xfId="0" applyNumberFormat="1" applyFont="1" applyFill="1" applyBorder="1" applyAlignment="1">
      <alignment horizontal="left" vertical="center" indent="1"/>
    </xf>
    <xf numFmtId="0" fontId="24" fillId="17" borderId="329" xfId="0" applyFont="1" applyFill="1" applyBorder="1" applyAlignment="1">
      <alignment horizontal="left" vertical="center" wrapText="1" indent="1"/>
    </xf>
    <xf numFmtId="0" fontId="24" fillId="17" borderId="41" xfId="0" applyFont="1" applyFill="1" applyBorder="1" applyAlignment="1">
      <alignment horizontal="left" vertical="center" wrapText="1" indent="1"/>
    </xf>
    <xf numFmtId="0" fontId="24" fillId="17" borderId="33" xfId="0" applyFont="1" applyFill="1" applyBorder="1" applyAlignment="1">
      <alignment horizontal="left" vertical="center" wrapText="1" indent="1"/>
    </xf>
    <xf numFmtId="0" fontId="38" fillId="17" borderId="35" xfId="0" applyFont="1" applyFill="1" applyBorder="1" applyAlignment="1">
      <alignment horizontal="left" vertical="center" wrapText="1" indent="1"/>
    </xf>
    <xf numFmtId="0" fontId="24" fillId="17" borderId="38" xfId="0" applyFont="1" applyFill="1" applyBorder="1" applyAlignment="1">
      <alignment horizontal="left" vertical="center" wrapText="1" indent="1"/>
    </xf>
    <xf numFmtId="0" fontId="24" fillId="17" borderId="36" xfId="0" applyFont="1" applyFill="1" applyBorder="1" applyAlignment="1">
      <alignment horizontal="left" vertical="center" wrapText="1" indent="1"/>
    </xf>
    <xf numFmtId="49" fontId="38" fillId="17" borderId="44" xfId="0" applyNumberFormat="1" applyFont="1" applyFill="1" applyBorder="1" applyAlignment="1">
      <alignment horizontal="right" vertical="center"/>
    </xf>
    <xf numFmtId="49" fontId="24" fillId="17" borderId="34" xfId="0" applyNumberFormat="1" applyFont="1" applyFill="1" applyBorder="1" applyAlignment="1">
      <alignment vertical="center"/>
    </xf>
    <xf numFmtId="49" fontId="24" fillId="17" borderId="37" xfId="0" applyNumberFormat="1" applyFont="1" applyFill="1" applyBorder="1" applyAlignment="1">
      <alignment vertical="center"/>
    </xf>
    <xf numFmtId="49" fontId="38" fillId="17" borderId="109" xfId="0" applyNumberFormat="1" applyFont="1" applyFill="1" applyBorder="1" applyAlignment="1">
      <alignment vertical="center"/>
    </xf>
    <xf numFmtId="39" fontId="38" fillId="17" borderId="84" xfId="0" applyNumberFormat="1" applyFont="1" applyFill="1" applyBorder="1" applyAlignment="1">
      <alignment horizontal="left" vertical="center" wrapText="1" indent="1"/>
    </xf>
    <xf numFmtId="0" fontId="24" fillId="17" borderId="84" xfId="0" applyFont="1" applyFill="1" applyBorder="1" applyAlignment="1">
      <alignment vertical="center"/>
    </xf>
    <xf numFmtId="39" fontId="24" fillId="17" borderId="84" xfId="0" applyNumberFormat="1" applyFont="1" applyFill="1" applyBorder="1" applyAlignment="1">
      <alignment horizontal="left" vertical="center" wrapText="1" indent="1"/>
    </xf>
    <xf numFmtId="49" fontId="24" fillId="17" borderId="84" xfId="0" applyNumberFormat="1" applyFont="1" applyFill="1" applyBorder="1" applyAlignment="1">
      <alignment vertical="center"/>
    </xf>
    <xf numFmtId="39" fontId="24" fillId="17" borderId="89" xfId="0" applyNumberFormat="1" applyFont="1" applyFill="1" applyBorder="1" applyAlignment="1">
      <alignment horizontal="left" vertical="center" wrapText="1" indent="1"/>
    </xf>
    <xf numFmtId="0" fontId="24" fillId="17" borderId="89" xfId="0" applyFont="1" applyFill="1" applyBorder="1" applyAlignment="1">
      <alignment vertical="center"/>
    </xf>
    <xf numFmtId="39" fontId="38" fillId="17" borderId="173" xfId="0" applyNumberFormat="1" applyFont="1" applyFill="1" applyBorder="1" applyAlignment="1">
      <alignment horizontal="left" vertical="center" wrapText="1" indent="1"/>
    </xf>
    <xf numFmtId="49" fontId="38" fillId="17" borderId="173" xfId="0" applyNumberFormat="1" applyFont="1" applyFill="1" applyBorder="1" applyAlignment="1">
      <alignment horizontal="right" vertical="center"/>
    </xf>
    <xf numFmtId="0" fontId="24" fillId="17" borderId="243" xfId="0" applyFont="1" applyFill="1" applyBorder="1" applyAlignment="1">
      <alignment horizontal="center" vertical="center" wrapText="1"/>
    </xf>
    <xf numFmtId="0" fontId="24" fillId="17" borderId="605" xfId="0" applyFont="1" applyFill="1" applyBorder="1" applyAlignment="1">
      <alignment horizontal="left" vertical="center" wrapText="1" indent="1"/>
    </xf>
    <xf numFmtId="0" fontId="24" fillId="17" borderId="164" xfId="0" applyFont="1" applyFill="1" applyBorder="1" applyAlignment="1">
      <alignment horizontal="center" vertical="center" wrapText="1"/>
    </xf>
    <xf numFmtId="49" fontId="38" fillId="17" borderId="84" xfId="0" applyNumberFormat="1" applyFont="1" applyFill="1" applyBorder="1" applyAlignment="1">
      <alignment horizontal="right" vertical="center"/>
    </xf>
    <xf numFmtId="49" fontId="24" fillId="17" borderId="297" xfId="0" applyNumberFormat="1" applyFont="1" applyFill="1" applyBorder="1" applyAlignment="1">
      <alignment horizontal="center" vertical="center"/>
    </xf>
    <xf numFmtId="49" fontId="24" fillId="17" borderId="344" xfId="0" applyNumberFormat="1" applyFont="1" applyFill="1" applyBorder="1" applyAlignment="1">
      <alignment horizontal="center" vertical="center"/>
    </xf>
    <xf numFmtId="39" fontId="38" fillId="17" borderId="86" xfId="0" applyNumberFormat="1" applyFont="1" applyFill="1" applyBorder="1" applyAlignment="1">
      <alignment horizontal="left" vertical="center" wrapText="1" indent="1"/>
    </xf>
    <xf numFmtId="0" fontId="24" fillId="17" borderId="86" xfId="0" applyFont="1" applyFill="1" applyBorder="1" applyAlignment="1">
      <alignment vertical="center"/>
    </xf>
    <xf numFmtId="49" fontId="38" fillId="17" borderId="86" xfId="0" applyNumberFormat="1" applyFont="1" applyFill="1" applyBorder="1" applyAlignment="1">
      <alignment horizontal="right" vertical="center"/>
    </xf>
    <xf numFmtId="0" fontId="24" fillId="17" borderId="173" xfId="0" applyFont="1" applyFill="1" applyBorder="1" applyAlignment="1">
      <alignment horizontal="center" vertical="center"/>
    </xf>
    <xf numFmtId="0" fontId="24" fillId="17" borderId="163" xfId="0" applyFont="1" applyFill="1" applyBorder="1" applyAlignment="1">
      <alignment horizontal="center" vertical="center" wrapText="1"/>
    </xf>
    <xf numFmtId="0" fontId="38" fillId="17" borderId="175" xfId="0" applyFont="1" applyFill="1" applyBorder="1" applyAlignment="1">
      <alignment horizontal="left" vertical="center" wrapText="1" indent="1"/>
    </xf>
    <xf numFmtId="49" fontId="38" fillId="17" borderId="89" xfId="0" applyNumberFormat="1" applyFont="1" applyFill="1" applyBorder="1" applyAlignment="1">
      <alignment vertical="center"/>
    </xf>
    <xf numFmtId="49" fontId="24" fillId="17" borderId="345" xfId="0" applyNumberFormat="1" applyFont="1" applyFill="1" applyBorder="1" applyAlignment="1">
      <alignment horizontal="center" vertical="center"/>
    </xf>
    <xf numFmtId="0" fontId="23" fillId="17" borderId="173" xfId="0" applyFont="1" applyFill="1" applyBorder="1" applyAlignment="1">
      <alignment horizontal="left" vertical="center" wrapText="1" indent="1"/>
    </xf>
    <xf numFmtId="49" fontId="22" fillId="17" borderId="173" xfId="0" applyNumberFormat="1" applyFont="1" applyFill="1" applyBorder="1" applyAlignment="1">
      <alignment vertical="center"/>
    </xf>
    <xf numFmtId="49" fontId="23" fillId="17" borderId="173" xfId="0" applyNumberFormat="1" applyFont="1" applyFill="1" applyBorder="1" applyAlignment="1">
      <alignment horizontal="center" vertical="center"/>
    </xf>
    <xf numFmtId="39" fontId="24" fillId="17" borderId="173" xfId="0" applyNumberFormat="1" applyFont="1" applyFill="1" applyBorder="1" applyAlignment="1">
      <alignment horizontal="right" vertical="center"/>
    </xf>
    <xf numFmtId="49" fontId="38" fillId="17" borderId="173" xfId="0" applyNumberFormat="1" applyFont="1" applyFill="1" applyBorder="1" applyAlignment="1">
      <alignment vertical="center"/>
    </xf>
    <xf numFmtId="39" fontId="24" fillId="17" borderId="84" xfId="0" applyNumberFormat="1" applyFont="1" applyFill="1" applyBorder="1" applyAlignment="1">
      <alignment horizontal="center" vertical="center"/>
    </xf>
    <xf numFmtId="39" fontId="24" fillId="17" borderId="86" xfId="0" applyNumberFormat="1" applyFont="1" applyFill="1" applyBorder="1" applyAlignment="1">
      <alignment horizontal="center" vertical="center"/>
    </xf>
    <xf numFmtId="0" fontId="24" fillId="17" borderId="604" xfId="0" applyFont="1" applyFill="1" applyBorder="1" applyAlignment="1">
      <alignment horizontal="left" vertical="center" wrapText="1" indent="1"/>
    </xf>
    <xf numFmtId="39" fontId="24" fillId="17" borderId="89" xfId="0" applyNumberFormat="1" applyFont="1" applyFill="1" applyBorder="1" applyAlignment="1">
      <alignment horizontal="center" vertical="center"/>
    </xf>
    <xf numFmtId="39" fontId="24" fillId="17" borderId="86" xfId="0" applyNumberFormat="1" applyFont="1" applyFill="1" applyBorder="1" applyAlignment="1">
      <alignment horizontal="right" vertical="center"/>
    </xf>
    <xf numFmtId="0" fontId="38" fillId="17" borderId="594" xfId="0" applyFont="1" applyFill="1" applyBorder="1" applyAlignment="1">
      <alignment horizontal="left" vertical="center" wrapText="1" indent="1"/>
    </xf>
    <xf numFmtId="49" fontId="24" fillId="17" borderId="595" xfId="0" applyNumberFormat="1" applyFont="1" applyFill="1" applyBorder="1" applyAlignment="1">
      <alignment horizontal="center" vertical="center"/>
    </xf>
    <xf numFmtId="39" fontId="24" fillId="17" borderId="34" xfId="0" applyNumberFormat="1" applyFont="1" applyFill="1" applyBorder="1" applyAlignment="1">
      <alignment horizontal="center" vertical="center"/>
    </xf>
    <xf numFmtId="49" fontId="38" fillId="17" borderId="37" xfId="0" applyNumberFormat="1" applyFont="1" applyFill="1" applyBorder="1" applyAlignment="1">
      <alignment horizontal="right" vertical="center"/>
    </xf>
    <xf numFmtId="39" fontId="24" fillId="17" borderId="37" xfId="0" applyNumberFormat="1" applyFont="1" applyFill="1" applyBorder="1" applyAlignment="1">
      <alignment horizontal="center" vertical="center"/>
    </xf>
    <xf numFmtId="49" fontId="38" fillId="17" borderId="39" xfId="0" applyNumberFormat="1" applyFont="1" applyFill="1" applyBorder="1" applyAlignment="1">
      <alignment horizontal="right" vertical="center"/>
    </xf>
    <xf numFmtId="0" fontId="38" fillId="17" borderId="234" xfId="0" applyFont="1" applyFill="1" applyBorder="1" applyAlignment="1">
      <alignment horizontal="left" vertical="center" wrapText="1" indent="1"/>
    </xf>
    <xf numFmtId="39" fontId="24" fillId="17" borderId="107" xfId="0" applyNumberFormat="1" applyFont="1" applyFill="1" applyBorder="1" applyAlignment="1">
      <alignment horizontal="left" vertical="center" wrapText="1" indent="1"/>
    </xf>
    <xf numFmtId="0" fontId="24" fillId="17" borderId="107" xfId="0" applyFont="1" applyFill="1" applyBorder="1" applyAlignment="1">
      <alignment horizontal="center" vertical="center" wrapText="1"/>
    </xf>
    <xf numFmtId="49" fontId="24" fillId="17" borderId="107" xfId="0" applyNumberFormat="1" applyFont="1" applyFill="1" applyBorder="1" applyAlignment="1">
      <alignment horizontal="center" vertical="center"/>
    </xf>
    <xf numFmtId="0" fontId="24" fillId="17" borderId="204" xfId="0" applyFont="1" applyFill="1" applyBorder="1" applyAlignment="1">
      <alignment horizontal="left" vertical="center" wrapText="1" indent="1"/>
    </xf>
    <xf numFmtId="49" fontId="38" fillId="17" borderId="194" xfId="0" applyNumberFormat="1" applyFont="1" applyFill="1" applyBorder="1" applyAlignment="1">
      <alignment vertical="center"/>
    </xf>
    <xf numFmtId="49" fontId="38" fillId="17" borderId="86" xfId="0" applyNumberFormat="1" applyFont="1" applyFill="1" applyBorder="1" applyAlignment="1">
      <alignment vertical="center"/>
    </xf>
    <xf numFmtId="0" fontId="22" fillId="17" borderId="176" xfId="0" applyFont="1" applyFill="1" applyBorder="1" applyAlignment="1">
      <alignment horizontal="left" vertical="center" wrapText="1" indent="1"/>
    </xf>
    <xf numFmtId="0" fontId="22" fillId="17" borderId="173" xfId="0" applyFont="1" applyFill="1" applyBorder="1" applyAlignment="1">
      <alignment horizontal="left" vertical="center" wrapText="1" indent="1"/>
    </xf>
    <xf numFmtId="49" fontId="22" fillId="17" borderId="84" xfId="0" applyNumberFormat="1" applyFont="1" applyFill="1" applyBorder="1" applyAlignment="1">
      <alignment vertical="center"/>
    </xf>
    <xf numFmtId="0" fontId="23" fillId="17" borderId="84" xfId="0" applyFont="1" applyFill="1" applyBorder="1" applyAlignment="1">
      <alignment horizontal="center" vertical="center" wrapText="1"/>
    </xf>
    <xf numFmtId="49" fontId="23" fillId="17" borderId="84" xfId="0" applyNumberFormat="1" applyFont="1" applyFill="1" applyBorder="1" applyAlignment="1">
      <alignment horizontal="center" vertical="center"/>
    </xf>
    <xf numFmtId="0" fontId="24" fillId="17" borderId="310" xfId="0" applyFont="1" applyFill="1" applyBorder="1" applyAlignment="1">
      <alignment vertical="center"/>
    </xf>
    <xf numFmtId="0" fontId="22" fillId="17" borderId="174" xfId="0" applyFont="1" applyFill="1" applyBorder="1" applyAlignment="1">
      <alignment horizontal="center" vertical="center" indent="1"/>
    </xf>
    <xf numFmtId="0" fontId="23" fillId="17" borderId="84" xfId="0" applyFont="1" applyFill="1" applyBorder="1" applyAlignment="1">
      <alignment horizontal="left" vertical="center" wrapText="1" indent="1"/>
    </xf>
    <xf numFmtId="0" fontId="22" fillId="17" borderId="175" xfId="0" applyFont="1" applyFill="1" applyBorder="1" applyAlignment="1">
      <alignment horizontal="center" vertical="center" indent="1"/>
    </xf>
    <xf numFmtId="0" fontId="23" fillId="17" borderId="89" xfId="0" applyFont="1" applyFill="1" applyBorder="1" applyAlignment="1">
      <alignment horizontal="left" vertical="center" wrapText="1" indent="1"/>
    </xf>
    <xf numFmtId="0" fontId="23" fillId="17" borderId="89" xfId="0" applyFont="1" applyFill="1" applyBorder="1" applyAlignment="1">
      <alignment horizontal="center" vertical="center" wrapText="1"/>
    </xf>
    <xf numFmtId="49" fontId="22" fillId="17" borderId="89" xfId="0" applyNumberFormat="1" applyFont="1" applyFill="1" applyBorder="1" applyAlignment="1">
      <alignment vertical="center"/>
    </xf>
    <xf numFmtId="49" fontId="23" fillId="17" borderId="89" xfId="0" applyNumberFormat="1" applyFont="1" applyFill="1" applyBorder="1" applyAlignment="1">
      <alignment horizontal="center" vertical="center"/>
    </xf>
    <xf numFmtId="0" fontId="24" fillId="17" borderId="178" xfId="0" applyFont="1" applyFill="1" applyBorder="1" applyAlignment="1">
      <alignment vertical="center"/>
    </xf>
    <xf numFmtId="0" fontId="22" fillId="17" borderId="210" xfId="0" applyFont="1" applyFill="1" applyBorder="1" applyAlignment="1">
      <alignment horizontal="center" vertical="center" indent="1"/>
    </xf>
    <xf numFmtId="39" fontId="22" fillId="17" borderId="86" xfId="0" applyNumberFormat="1" applyFont="1" applyFill="1" applyBorder="1" applyAlignment="1">
      <alignment horizontal="left" vertical="center" wrapText="1" indent="1"/>
    </xf>
    <xf numFmtId="49" fontId="22" fillId="17" borderId="86" xfId="0" applyNumberFormat="1" applyFont="1" applyFill="1" applyBorder="1" applyAlignment="1">
      <alignment vertical="center"/>
    </xf>
    <xf numFmtId="49" fontId="23" fillId="17" borderId="86" xfId="0" applyNumberFormat="1" applyFont="1" applyFill="1" applyBorder="1" applyAlignment="1">
      <alignment horizontal="center" vertical="center"/>
    </xf>
    <xf numFmtId="0" fontId="23" fillId="17" borderId="174" xfId="0" applyFont="1" applyFill="1" applyBorder="1" applyAlignment="1">
      <alignment horizontal="center" vertical="center" indent="1"/>
    </xf>
    <xf numFmtId="39" fontId="23" fillId="17" borderId="84" xfId="0" applyNumberFormat="1" applyFont="1" applyFill="1" applyBorder="1" applyAlignment="1">
      <alignment horizontal="left" vertical="center" wrapText="1" indent="1"/>
    </xf>
    <xf numFmtId="49" fontId="22" fillId="17" borderId="194" xfId="0" applyNumberFormat="1" applyFont="1" applyFill="1" applyBorder="1" applyAlignment="1">
      <alignment vertical="center"/>
    </xf>
    <xf numFmtId="0" fontId="23" fillId="17" borderId="194" xfId="0" applyFont="1" applyFill="1" applyBorder="1" applyAlignment="1">
      <alignment horizontal="center" vertical="center" wrapText="1"/>
    </xf>
    <xf numFmtId="49" fontId="23" fillId="17" borderId="194" xfId="0" applyNumberFormat="1" applyFont="1" applyFill="1" applyBorder="1" applyAlignment="1">
      <alignment horizontal="center" vertical="center"/>
    </xf>
    <xf numFmtId="0" fontId="23" fillId="17" borderId="176" xfId="0" applyFont="1" applyFill="1" applyBorder="1" applyAlignment="1">
      <alignment horizontal="center" vertical="center" indent="1"/>
    </xf>
    <xf numFmtId="0" fontId="23" fillId="17" borderId="175" xfId="0" applyFont="1" applyFill="1" applyBorder="1" applyAlignment="1">
      <alignment horizontal="center" vertical="center" indent="1"/>
    </xf>
    <xf numFmtId="39" fontId="23" fillId="17" borderId="89" xfId="0" applyNumberFormat="1" applyFont="1" applyFill="1" applyBorder="1" applyAlignment="1">
      <alignment horizontal="left" vertical="center" wrapText="1" indent="1"/>
    </xf>
    <xf numFmtId="0" fontId="23" fillId="17" borderId="210" xfId="0" applyFont="1" applyFill="1" applyBorder="1" applyAlignment="1">
      <alignment horizontal="center" vertical="center" indent="1"/>
    </xf>
    <xf numFmtId="39" fontId="23" fillId="17" borderId="173" xfId="0" applyNumberFormat="1" applyFont="1" applyFill="1" applyBorder="1" applyAlignment="1">
      <alignment horizontal="left" vertical="center" wrapText="1" indent="1"/>
    </xf>
    <xf numFmtId="49" fontId="23" fillId="17" borderId="84" xfId="0" applyNumberFormat="1" applyFont="1" applyFill="1" applyBorder="1" applyAlignment="1">
      <alignment vertical="center"/>
    </xf>
    <xf numFmtId="0" fontId="22" fillId="17" borderId="86" xfId="0" applyFont="1" applyFill="1" applyBorder="1" applyAlignment="1">
      <alignment horizontal="left" vertical="center" wrapText="1" indent="1"/>
    </xf>
    <xf numFmtId="0" fontId="22" fillId="17" borderId="176" xfId="0" applyFont="1" applyFill="1" applyBorder="1" applyAlignment="1">
      <alignment horizontal="right" vertical="center" wrapText="1" indent="1"/>
    </xf>
    <xf numFmtId="49" fontId="23" fillId="17" borderId="34" xfId="0" applyNumberFormat="1" applyFont="1" applyFill="1" applyBorder="1" applyAlignment="1">
      <alignment horizontal="center" vertical="center"/>
    </xf>
    <xf numFmtId="0" fontId="23" fillId="17" borderId="107" xfId="0" applyFont="1" applyFill="1" applyBorder="1" applyAlignment="1">
      <alignment horizontal="center" vertical="center" wrapText="1"/>
    </xf>
    <xf numFmtId="0" fontId="22" fillId="17" borderId="176" xfId="0" applyFont="1" applyFill="1" applyBorder="1" applyAlignment="1">
      <alignment horizontal="center" vertical="center" wrapText="1" indent="1"/>
    </xf>
    <xf numFmtId="49" fontId="24" fillId="17" borderId="134" xfId="0" applyNumberFormat="1" applyFont="1" applyFill="1" applyBorder="1"/>
    <xf numFmtId="0" fontId="111" fillId="17" borderId="34" xfId="0" applyFont="1" applyFill="1" applyBorder="1" applyAlignment="1">
      <alignment horizontal="center" vertical="center"/>
    </xf>
    <xf numFmtId="49" fontId="23" fillId="17" borderId="107" xfId="0" applyNumberFormat="1" applyFont="1" applyFill="1" applyBorder="1" applyAlignment="1">
      <alignment horizontal="center" vertical="center"/>
    </xf>
    <xf numFmtId="49" fontId="22" fillId="17" borderId="244" xfId="0" applyNumberFormat="1" applyFont="1" applyFill="1" applyBorder="1" applyAlignment="1">
      <alignment vertical="center"/>
    </xf>
    <xf numFmtId="0" fontId="23" fillId="17" borderId="161" xfId="0" applyFont="1" applyFill="1" applyBorder="1" applyAlignment="1">
      <alignment horizontal="center" vertical="center" wrapText="1"/>
    </xf>
    <xf numFmtId="49" fontId="22" fillId="17" borderId="247" xfId="0" applyNumberFormat="1" applyFont="1" applyFill="1" applyBorder="1" applyAlignment="1">
      <alignment vertical="center"/>
    </xf>
    <xf numFmtId="0" fontId="23" fillId="17" borderId="485" xfId="0" applyFont="1" applyFill="1" applyBorder="1" applyAlignment="1">
      <alignment horizontal="center" vertical="center" wrapText="1"/>
    </xf>
    <xf numFmtId="39" fontId="23" fillId="17" borderId="194" xfId="0" applyNumberFormat="1" applyFont="1" applyFill="1" applyBorder="1" applyAlignment="1">
      <alignment horizontal="left" vertical="center" wrapText="1" indent="1"/>
    </xf>
    <xf numFmtId="39" fontId="22" fillId="17" borderId="174" xfId="0" applyNumberFormat="1" applyFont="1" applyFill="1" applyBorder="1" applyAlignment="1">
      <alignment horizontal="left" vertical="center" indent="1"/>
    </xf>
    <xf numFmtId="0" fontId="22" fillId="17" borderId="174" xfId="0" applyFont="1" applyFill="1" applyBorder="1" applyAlignment="1">
      <alignment horizontal="left" vertical="center" indent="1"/>
    </xf>
    <xf numFmtId="39" fontId="22" fillId="17" borderId="84" xfId="0" applyNumberFormat="1" applyFont="1" applyFill="1" applyBorder="1" applyAlignment="1">
      <alignment horizontal="left" vertical="center" wrapText="1" indent="1"/>
    </xf>
    <xf numFmtId="0" fontId="23" fillId="17" borderId="204" xfId="0" applyFont="1" applyFill="1" applyBorder="1" applyAlignment="1">
      <alignment horizontal="left" vertical="center" indent="1"/>
    </xf>
    <xf numFmtId="0" fontId="111" fillId="17" borderId="39" xfId="0" applyFont="1" applyFill="1" applyBorder="1" applyAlignment="1">
      <alignment horizontal="center" vertical="center"/>
    </xf>
    <xf numFmtId="0" fontId="22" fillId="17" borderId="33" xfId="0" applyFont="1" applyFill="1" applyBorder="1" applyAlignment="1">
      <alignment horizontal="left" vertical="center" indent="1"/>
    </xf>
    <xf numFmtId="39" fontId="22" fillId="17" borderId="33" xfId="0" applyNumberFormat="1" applyFont="1" applyFill="1" applyBorder="1" applyAlignment="1">
      <alignment horizontal="left" vertical="center" indent="1"/>
    </xf>
    <xf numFmtId="39" fontId="22" fillId="17" borderId="42" xfId="0" applyNumberFormat="1" applyFont="1" applyFill="1" applyBorder="1" applyAlignment="1">
      <alignment horizontal="left" vertical="center" indent="1"/>
    </xf>
    <xf numFmtId="49" fontId="22" fillId="17" borderId="43" xfId="0" applyNumberFormat="1" applyFont="1" applyFill="1" applyBorder="1" applyAlignment="1">
      <alignment vertical="center"/>
    </xf>
    <xf numFmtId="0" fontId="38" fillId="17" borderId="34" xfId="0" applyFont="1" applyFill="1" applyBorder="1" applyAlignment="1">
      <alignment vertical="center" indent="1"/>
    </xf>
    <xf numFmtId="49" fontId="24" fillId="17" borderId="34" xfId="0" applyNumberFormat="1" applyFont="1" applyFill="1" applyBorder="1"/>
    <xf numFmtId="0" fontId="23" fillId="17" borderId="174" xfId="0" applyFont="1" applyFill="1" applyBorder="1" applyAlignment="1">
      <alignment horizontal="left" vertical="center" indent="1"/>
    </xf>
    <xf numFmtId="0" fontId="22" fillId="17" borderId="175" xfId="0" applyFont="1" applyFill="1" applyBorder="1" applyAlignment="1">
      <alignment horizontal="left" vertical="center" indent="1"/>
    </xf>
    <xf numFmtId="49" fontId="24" fillId="17" borderId="243" xfId="0" applyNumberFormat="1" applyFont="1" applyFill="1" applyBorder="1" applyAlignment="1">
      <alignment horizontal="center" vertical="center"/>
    </xf>
    <xf numFmtId="49" fontId="24" fillId="17" borderId="164" xfId="0" applyNumberFormat="1" applyFont="1" applyFill="1" applyBorder="1" applyAlignment="1">
      <alignment horizontal="center" vertical="center"/>
    </xf>
    <xf numFmtId="49" fontId="24" fillId="17" borderId="165" xfId="0" applyNumberFormat="1" applyFont="1" applyFill="1" applyBorder="1" applyAlignment="1">
      <alignment horizontal="center" vertical="center"/>
    </xf>
    <xf numFmtId="49" fontId="24" fillId="17" borderId="174" xfId="0" applyNumberFormat="1" applyFont="1" applyFill="1" applyBorder="1" applyAlignment="1">
      <alignment horizontal="left" vertical="center" indent="1"/>
    </xf>
    <xf numFmtId="0" fontId="38" fillId="17" borderId="33" xfId="0" applyFont="1" applyFill="1" applyBorder="1" applyAlignment="1">
      <alignment horizontal="left" vertical="center" indent="1"/>
    </xf>
    <xf numFmtId="0" fontId="38" fillId="17" borderId="36" xfId="0" applyFont="1" applyFill="1" applyBorder="1" applyAlignment="1">
      <alignment horizontal="left" vertical="center" indent="1"/>
    </xf>
    <xf numFmtId="0" fontId="38" fillId="17" borderId="148" xfId="0" applyFont="1" applyFill="1" applyBorder="1" applyAlignment="1">
      <alignment horizontal="left" vertical="center" wrapText="1" indent="1"/>
    </xf>
    <xf numFmtId="49" fontId="38" fillId="17" borderId="30" xfId="0" applyNumberFormat="1" applyFont="1" applyFill="1" applyBorder="1" applyAlignment="1">
      <alignment horizontal="right" vertical="center" wrapText="1"/>
    </xf>
    <xf numFmtId="49" fontId="38" fillId="17" borderId="34" xfId="0" applyNumberFormat="1" applyFont="1" applyFill="1" applyBorder="1" applyAlignment="1">
      <alignment horizontal="right" vertical="center" wrapText="1"/>
    </xf>
    <xf numFmtId="0" fontId="38" fillId="17" borderId="149" xfId="0" applyFont="1" applyFill="1" applyBorder="1" applyAlignment="1">
      <alignment horizontal="left" indent="1"/>
    </xf>
    <xf numFmtId="0" fontId="24" fillId="17" borderId="43" xfId="0" applyFont="1" applyFill="1" applyBorder="1" applyAlignment="1">
      <alignment horizontal="center"/>
    </xf>
    <xf numFmtId="0" fontId="38" fillId="17" borderId="511" xfId="0" applyFont="1" applyFill="1" applyBorder="1" applyAlignment="1">
      <alignment horizontal="left" vertical="center" wrapText="1" indent="1"/>
    </xf>
    <xf numFmtId="0" fontId="38" fillId="17" borderId="39" xfId="0" applyFont="1" applyFill="1" applyBorder="1" applyAlignment="1">
      <alignment vertical="center" wrapText="1" indent="1"/>
    </xf>
    <xf numFmtId="0" fontId="38" fillId="17" borderId="34" xfId="0" applyFont="1" applyFill="1" applyBorder="1" applyAlignment="1">
      <alignment vertical="top" wrapText="1" indent="1"/>
    </xf>
    <xf numFmtId="0" fontId="38" fillId="17" borderId="509" xfId="0" applyFont="1" applyFill="1" applyBorder="1" applyAlignment="1">
      <alignment horizontal="left" indent="1"/>
    </xf>
    <xf numFmtId="49" fontId="38" fillId="17" borderId="39" xfId="0" applyNumberFormat="1" applyFont="1" applyFill="1" applyBorder="1" applyAlignment="1">
      <alignment horizontal="right" vertical="center" wrapText="1"/>
    </xf>
    <xf numFmtId="0" fontId="38" fillId="17" borderId="44" xfId="0" applyFont="1" applyFill="1" applyBorder="1" applyAlignment="1">
      <alignment vertical="center" wrapText="1" indent="1"/>
    </xf>
    <xf numFmtId="49" fontId="110" fillId="17" borderId="34" xfId="0" applyNumberFormat="1" applyFont="1" applyFill="1" applyBorder="1" applyAlignment="1">
      <alignment vertical="center"/>
    </xf>
    <xf numFmtId="49" fontId="24" fillId="17" borderId="34" xfId="0" applyNumberFormat="1" applyFont="1" applyFill="1" applyBorder="1" applyAlignment="1">
      <alignment horizontal="left" vertical="center" wrapText="1" indent="1"/>
    </xf>
    <xf numFmtId="49" fontId="110" fillId="17" borderId="37" xfId="0" applyNumberFormat="1" applyFont="1" applyFill="1" applyBorder="1" applyAlignment="1">
      <alignment vertical="center"/>
    </xf>
    <xf numFmtId="49" fontId="110" fillId="17" borderId="44" xfId="0" applyNumberFormat="1" applyFont="1" applyFill="1" applyBorder="1" applyAlignment="1">
      <alignment vertical="center"/>
    </xf>
    <xf numFmtId="0" fontId="24" fillId="17" borderId="182" xfId="0" applyFont="1" applyFill="1" applyBorder="1" applyAlignment="1">
      <alignment vertical="center"/>
    </xf>
    <xf numFmtId="49" fontId="24" fillId="17" borderId="182" xfId="0" applyNumberFormat="1" applyFont="1" applyFill="1" applyBorder="1" applyAlignment="1">
      <alignment vertical="center"/>
    </xf>
    <xf numFmtId="0" fontId="24" fillId="17" borderId="184" xfId="0" applyFont="1" applyFill="1" applyBorder="1" applyAlignment="1">
      <alignment vertical="center"/>
    </xf>
    <xf numFmtId="49" fontId="24" fillId="17" borderId="184" xfId="0" applyNumberFormat="1" applyFont="1" applyFill="1" applyBorder="1" applyAlignment="1">
      <alignment vertical="center"/>
    </xf>
    <xf numFmtId="0" fontId="24" fillId="17" borderId="44" xfId="0" applyFont="1" applyFill="1" applyBorder="1" applyAlignment="1">
      <alignment horizontal="center" vertical="top" wrapText="1"/>
    </xf>
    <xf numFmtId="49" fontId="24" fillId="17" borderId="44" xfId="0" applyNumberFormat="1" applyFont="1" applyFill="1" applyBorder="1" applyAlignment="1">
      <alignment vertical="center"/>
    </xf>
    <xf numFmtId="0" fontId="38" fillId="17" borderId="34" xfId="0" applyFont="1" applyFill="1" applyBorder="1" applyAlignment="1">
      <alignment vertical="center"/>
    </xf>
    <xf numFmtId="0" fontId="24" fillId="17" borderId="34" xfId="0" applyFont="1" applyFill="1" applyBorder="1" applyAlignment="1">
      <alignment vertical="center" indent="1"/>
    </xf>
    <xf numFmtId="0" fontId="24" fillId="17" borderId="256" xfId="0" applyFont="1" applyFill="1" applyBorder="1" applyAlignment="1">
      <alignment vertical="center"/>
    </xf>
    <xf numFmtId="49" fontId="24" fillId="17" borderId="256" xfId="0" applyNumberFormat="1" applyFont="1" applyFill="1" applyBorder="1" applyAlignment="1">
      <alignment vertical="center"/>
    </xf>
    <xf numFmtId="0" fontId="24" fillId="17" borderId="187" xfId="0" applyFont="1" applyFill="1" applyBorder="1" applyAlignment="1">
      <alignment vertical="center"/>
    </xf>
    <xf numFmtId="49" fontId="24" fillId="17" borderId="187" xfId="0" applyNumberFormat="1" applyFont="1" applyFill="1" applyBorder="1" applyAlignment="1">
      <alignment vertical="center"/>
    </xf>
    <xf numFmtId="0" fontId="24" fillId="17" borderId="180" xfId="0" applyFont="1" applyFill="1" applyBorder="1" applyAlignment="1">
      <alignment vertical="center"/>
    </xf>
    <xf numFmtId="49" fontId="24" fillId="17" borderId="180" xfId="0" applyNumberFormat="1" applyFont="1" applyFill="1" applyBorder="1" applyAlignment="1">
      <alignment vertical="center"/>
    </xf>
    <xf numFmtId="0" fontId="24" fillId="17" borderId="182" xfId="0" applyFont="1" applyFill="1" applyBorder="1" applyAlignment="1">
      <alignment horizontal="left" vertical="center" wrapText="1" indent="1"/>
    </xf>
    <xf numFmtId="49" fontId="38" fillId="17" borderId="182" xfId="0" applyNumberFormat="1" applyFont="1" applyFill="1" applyBorder="1" applyAlignment="1">
      <alignment vertical="center"/>
    </xf>
    <xf numFmtId="0" fontId="24" fillId="17" borderId="184" xfId="0" applyFont="1" applyFill="1" applyBorder="1" applyAlignment="1">
      <alignment horizontal="left" vertical="center" wrapText="1" indent="1"/>
    </xf>
    <xf numFmtId="49" fontId="38" fillId="17" borderId="184" xfId="0" applyNumberFormat="1" applyFont="1" applyFill="1" applyBorder="1" applyAlignment="1">
      <alignment vertical="center"/>
    </xf>
    <xf numFmtId="49" fontId="38" fillId="17" borderId="180" xfId="0" applyNumberFormat="1" applyFont="1" applyFill="1" applyBorder="1" applyAlignment="1">
      <alignment vertical="center"/>
    </xf>
    <xf numFmtId="49" fontId="24" fillId="17" borderId="182" xfId="0" applyNumberFormat="1" applyFont="1" applyFill="1" applyBorder="1"/>
    <xf numFmtId="0" fontId="38" fillId="17" borderId="256" xfId="0" applyFont="1" applyFill="1" applyBorder="1" applyAlignment="1">
      <alignment horizontal="left" vertical="center" wrapText="1" indent="1"/>
    </xf>
    <xf numFmtId="49" fontId="38" fillId="17" borderId="256" xfId="0" applyNumberFormat="1" applyFont="1" applyFill="1" applyBorder="1" applyAlignment="1">
      <alignment vertical="center"/>
    </xf>
    <xf numFmtId="0" fontId="24" fillId="17" borderId="261" xfId="0" applyFont="1" applyFill="1" applyBorder="1" applyAlignment="1">
      <alignment horizontal="left" vertical="center" wrapText="1" indent="1"/>
    </xf>
    <xf numFmtId="0" fontId="24" fillId="17" borderId="261" xfId="0" applyFont="1" applyFill="1" applyBorder="1" applyAlignment="1">
      <alignment horizontal="center" vertical="center" wrapText="1"/>
    </xf>
    <xf numFmtId="49" fontId="38" fillId="17" borderId="261" xfId="0" applyNumberFormat="1" applyFont="1" applyFill="1" applyBorder="1" applyAlignment="1">
      <alignment vertical="center"/>
    </xf>
    <xf numFmtId="49" fontId="33" fillId="17" borderId="74" xfId="0" applyNumberFormat="1" applyFont="1" applyFill="1" applyBorder="1" applyAlignment="1">
      <alignment horizontal="left" vertical="center" wrapText="1" indent="1"/>
    </xf>
    <xf numFmtId="49" fontId="38" fillId="17" borderId="134" xfId="0" applyNumberFormat="1" applyFont="1" applyFill="1" applyBorder="1" applyAlignment="1">
      <alignment vertical="center"/>
    </xf>
    <xf numFmtId="0" fontId="24" fillId="17" borderId="143" xfId="0" applyFont="1" applyFill="1" applyBorder="1" applyAlignment="1">
      <alignment horizontal="left" vertical="center" wrapText="1" indent="1"/>
    </xf>
    <xf numFmtId="49" fontId="24" fillId="17" borderId="74" xfId="0" applyNumberFormat="1" applyFont="1" applyFill="1" applyBorder="1" applyAlignment="1">
      <alignment horizontal="left" vertical="center" wrapText="1" indent="1"/>
    </xf>
    <xf numFmtId="0" fontId="24" fillId="17" borderId="144" xfId="0" applyFont="1" applyFill="1" applyBorder="1" applyAlignment="1">
      <alignment horizontal="left" vertical="center" wrapText="1" indent="1"/>
    </xf>
    <xf numFmtId="49" fontId="24" fillId="17" borderId="134" xfId="0" applyNumberFormat="1" applyFont="1" applyFill="1" applyBorder="1" applyAlignment="1">
      <alignment horizontal="left" vertical="center" wrapText="1" indent="1"/>
    </xf>
    <xf numFmtId="0" fontId="38" fillId="17" borderId="349" xfId="0" applyFont="1" applyFill="1" applyBorder="1" applyAlignment="1">
      <alignment horizontal="left" vertical="center" wrapText="1" indent="1"/>
    </xf>
    <xf numFmtId="49" fontId="38" fillId="17" borderId="135" xfId="0" applyNumberFormat="1" applyFont="1" applyFill="1" applyBorder="1" applyAlignment="1">
      <alignment horizontal="left" vertical="center" wrapText="1" indent="1"/>
    </xf>
    <xf numFmtId="49" fontId="38" fillId="17" borderId="74" xfId="0" applyNumberFormat="1" applyFont="1" applyFill="1" applyBorder="1" applyAlignment="1">
      <alignment horizontal="left" vertical="center" wrapText="1" indent="1"/>
    </xf>
    <xf numFmtId="0" fontId="24" fillId="17" borderId="562" xfId="0" applyFont="1" applyFill="1" applyBorder="1" applyAlignment="1">
      <alignment horizontal="left" vertical="center" wrapText="1" indent="1"/>
    </xf>
    <xf numFmtId="49" fontId="38" fillId="17" borderId="75" xfId="0" applyNumberFormat="1" applyFont="1" applyFill="1" applyBorder="1" applyAlignment="1">
      <alignment horizontal="left" vertical="center" wrapText="1" indent="1"/>
    </xf>
    <xf numFmtId="0" fontId="38" fillId="17" borderId="333" xfId="0" applyFont="1" applyFill="1" applyBorder="1" applyAlignment="1">
      <alignment horizontal="left" vertical="center" wrapText="1" indent="1"/>
    </xf>
    <xf numFmtId="49" fontId="38" fillId="17" borderId="329" xfId="0" applyNumberFormat="1" applyFont="1" applyFill="1" applyBorder="1" applyAlignment="1">
      <alignment horizontal="left" vertical="center" wrapText="1" indent="1"/>
    </xf>
    <xf numFmtId="0" fontId="38" fillId="17" borderId="143" xfId="0" applyFont="1" applyFill="1" applyBorder="1" applyAlignment="1">
      <alignment horizontal="left" vertical="center" wrapText="1" indent="1"/>
    </xf>
    <xf numFmtId="49" fontId="24" fillId="17" borderId="349" xfId="0" applyNumberFormat="1" applyFont="1" applyFill="1" applyBorder="1" applyAlignment="1">
      <alignment horizontal="left" vertical="center" wrapText="1" indent="1"/>
    </xf>
    <xf numFmtId="49" fontId="24" fillId="17" borderId="143" xfId="0" applyNumberFormat="1" applyFont="1" applyFill="1" applyBorder="1" applyAlignment="1">
      <alignment horizontal="left" vertical="center" wrapText="1" indent="1"/>
    </xf>
    <xf numFmtId="49" fontId="24" fillId="17" borderId="562" xfId="0" applyNumberFormat="1" applyFont="1" applyFill="1" applyBorder="1" applyAlignment="1">
      <alignment horizontal="left" vertical="center" wrapText="1" indent="1"/>
    </xf>
    <xf numFmtId="49" fontId="24" fillId="17" borderId="75" xfId="0" applyNumberFormat="1" applyFont="1" applyFill="1" applyBorder="1" applyAlignment="1">
      <alignment horizontal="left" vertical="center" wrapText="1" indent="1"/>
    </xf>
    <xf numFmtId="49" fontId="38" fillId="17" borderId="333" xfId="0" applyNumberFormat="1" applyFont="1" applyFill="1" applyBorder="1" applyAlignment="1">
      <alignment horizontal="left" vertical="center" wrapText="1" indent="1"/>
    </xf>
    <xf numFmtId="49" fontId="38" fillId="17" borderId="143" xfId="0" applyNumberFormat="1" applyFont="1" applyFill="1" applyBorder="1" applyAlignment="1">
      <alignment horizontal="left" vertical="center" wrapText="1" indent="1"/>
    </xf>
    <xf numFmtId="49" fontId="14" fillId="17" borderId="74" xfId="0" applyNumberFormat="1" applyFont="1" applyFill="1" applyBorder="1" applyAlignment="1">
      <alignment horizontal="center" vertical="center"/>
    </xf>
    <xf numFmtId="49" fontId="14" fillId="17" borderId="75" xfId="0" applyNumberFormat="1" applyFont="1" applyFill="1" applyBorder="1" applyAlignment="1">
      <alignment horizontal="center" vertical="center"/>
    </xf>
    <xf numFmtId="49" fontId="38" fillId="17" borderId="134" xfId="0" applyNumberFormat="1" applyFont="1" applyFill="1" applyBorder="1" applyAlignment="1">
      <alignment horizontal="left" vertical="center" wrapText="1" indent="1"/>
    </xf>
    <xf numFmtId="0" fontId="24" fillId="17" borderId="131" xfId="0" applyFont="1" applyFill="1" applyBorder="1" applyAlignment="1">
      <alignment horizontal="left" vertical="center" wrapText="1" indent="1"/>
    </xf>
    <xf numFmtId="0" fontId="24" fillId="17" borderId="133" xfId="0" applyFont="1" applyFill="1" applyBorder="1" applyAlignment="1">
      <alignment horizontal="left" vertical="center" wrapText="1" indent="1"/>
    </xf>
    <xf numFmtId="0" fontId="24" fillId="17" borderId="139" xfId="0" applyFont="1" applyFill="1" applyBorder="1" applyAlignment="1">
      <alignment horizontal="left" vertical="center" wrapText="1" indent="1"/>
    </xf>
    <xf numFmtId="0" fontId="38" fillId="17" borderId="197" xfId="0" applyFont="1" applyFill="1" applyBorder="1" applyAlignment="1">
      <alignment horizontal="left" vertical="center" wrapText="1" indent="1"/>
    </xf>
    <xf numFmtId="0" fontId="38" fillId="17" borderId="145" xfId="0" applyFont="1" applyFill="1" applyBorder="1" applyAlignment="1">
      <alignment horizontal="left" vertical="center" wrapText="1" indent="1"/>
    </xf>
    <xf numFmtId="0" fontId="38" fillId="17" borderId="128" xfId="0" applyFont="1" applyFill="1" applyBorder="1" applyAlignment="1">
      <alignment horizontal="left" vertical="center" wrapText="1" indent="1"/>
    </xf>
    <xf numFmtId="0" fontId="38" fillId="17" borderId="131" xfId="0" applyFont="1" applyFill="1" applyBorder="1" applyAlignment="1">
      <alignment horizontal="left" vertical="center" wrapText="1" indent="1"/>
    </xf>
    <xf numFmtId="49" fontId="148" fillId="0" borderId="0" xfId="0" applyNumberFormat="1" applyFont="1" applyAlignment="1">
      <alignment vertical="center" wrapText="1"/>
    </xf>
    <xf numFmtId="49" fontId="147" fillId="2" borderId="311" xfId="0" applyNumberFormat="1" applyFont="1" applyFill="1" applyBorder="1" applyAlignment="1">
      <alignment horizontal="right" vertical="center"/>
    </xf>
    <xf numFmtId="0" fontId="38" fillId="17" borderId="389" xfId="0" applyFont="1" applyFill="1" applyBorder="1" applyAlignment="1">
      <alignment horizontal="left" vertical="center" wrapText="1"/>
    </xf>
    <xf numFmtId="0" fontId="39" fillId="17" borderId="389" xfId="0" applyFont="1" applyFill="1" applyBorder="1" applyAlignment="1">
      <alignment horizontal="center" vertical="center" wrapText="1"/>
    </xf>
    <xf numFmtId="0" fontId="24" fillId="17" borderId="389" xfId="0" applyFont="1" applyFill="1" applyBorder="1" applyAlignment="1">
      <alignment horizontal="center" vertical="center" wrapText="1"/>
    </xf>
    <xf numFmtId="0" fontId="24" fillId="17" borderId="182" xfId="0" applyFont="1" applyFill="1" applyBorder="1" applyAlignment="1">
      <alignment horizontal="left" vertical="center" wrapText="1"/>
    </xf>
    <xf numFmtId="0" fontId="24" fillId="17" borderId="184" xfId="0" applyFont="1" applyFill="1" applyBorder="1" applyAlignment="1">
      <alignment horizontal="left" vertical="center" wrapText="1"/>
    </xf>
    <xf numFmtId="0" fontId="38" fillId="17" borderId="256" xfId="0" applyFont="1" applyFill="1" applyBorder="1" applyAlignment="1">
      <alignment horizontal="left" vertical="center" wrapText="1"/>
    </xf>
    <xf numFmtId="0" fontId="68" fillId="17" borderId="256" xfId="0" applyFont="1" applyFill="1" applyBorder="1" applyAlignment="1">
      <alignment horizontal="center" vertical="center" wrapText="1"/>
    </xf>
    <xf numFmtId="168" fontId="23" fillId="17" borderId="256" xfId="0" applyNumberFormat="1" applyFont="1" applyFill="1" applyBorder="1" applyAlignment="1">
      <alignment horizontal="center" vertical="center" wrapText="1"/>
    </xf>
    <xf numFmtId="0" fontId="23" fillId="17" borderId="256" xfId="0" applyFont="1" applyFill="1" applyBorder="1" applyAlignment="1">
      <alignment horizontal="center" vertical="center" wrapText="1"/>
    </xf>
    <xf numFmtId="0" fontId="23" fillId="17" borderId="182" xfId="0" applyFont="1" applyFill="1" applyBorder="1" applyAlignment="1">
      <alignment horizontal="center" vertical="center" wrapText="1"/>
    </xf>
    <xf numFmtId="0" fontId="29" fillId="17" borderId="182" xfId="0" applyFont="1" applyFill="1" applyBorder="1" applyAlignment="1">
      <alignment horizontal="center" vertical="center" wrapText="1"/>
    </xf>
    <xf numFmtId="0" fontId="68" fillId="17" borderId="182" xfId="0" applyFont="1" applyFill="1" applyBorder="1" applyAlignment="1">
      <alignment horizontal="center" vertical="center" wrapText="1"/>
    </xf>
    <xf numFmtId="0" fontId="148" fillId="0" borderId="344" xfId="3" applyFont="1" applyAlignment="1">
      <alignment vertical="center" wrapText="1"/>
    </xf>
    <xf numFmtId="0" fontId="119" fillId="0" borderId="344" xfId="2" applyFont="1" applyAlignment="1">
      <alignment vertical="center" wrapText="1"/>
    </xf>
    <xf numFmtId="49" fontId="147" fillId="0" borderId="405" xfId="2" applyNumberFormat="1" applyFont="1" applyBorder="1" applyAlignment="1">
      <alignment vertical="center"/>
    </xf>
    <xf numFmtId="0" fontId="119" fillId="0" borderId="344" xfId="2" applyFont="1"/>
    <xf numFmtId="49" fontId="147" fillId="0" borderId="411" xfId="2" applyNumberFormat="1" applyFont="1" applyBorder="1" applyAlignment="1">
      <alignment vertical="center"/>
    </xf>
    <xf numFmtId="49" fontId="147" fillId="0" borderId="414" xfId="2" applyNumberFormat="1" applyFont="1" applyBorder="1" applyAlignment="1">
      <alignment vertical="center"/>
    </xf>
    <xf numFmtId="49" fontId="147" fillId="0" borderId="418" xfId="2" applyNumberFormat="1" applyFont="1" applyBorder="1" applyAlignment="1">
      <alignment vertical="center"/>
    </xf>
    <xf numFmtId="49" fontId="147" fillId="0" borderId="415" xfId="2" applyNumberFormat="1" applyFont="1" applyBorder="1" applyAlignment="1">
      <alignment vertical="center"/>
    </xf>
    <xf numFmtId="49" fontId="165" fillId="0" borderId="424" xfId="2" applyNumberFormat="1" applyFont="1" applyBorder="1" applyAlignment="1">
      <alignment vertical="center"/>
    </xf>
    <xf numFmtId="49" fontId="165" fillId="0" borderId="411" xfId="2" applyNumberFormat="1" applyFont="1" applyBorder="1" applyAlignment="1">
      <alignment vertical="center"/>
    </xf>
    <xf numFmtId="49" fontId="165" fillId="0" borderId="415" xfId="2" applyNumberFormat="1" applyFont="1" applyBorder="1" applyAlignment="1">
      <alignment vertical="center"/>
    </xf>
    <xf numFmtId="49" fontId="165" fillId="17" borderId="411" xfId="2" applyNumberFormat="1" applyFont="1" applyFill="1" applyBorder="1" applyAlignment="1">
      <alignment vertical="center"/>
    </xf>
    <xf numFmtId="49" fontId="165" fillId="17" borderId="415" xfId="2" applyNumberFormat="1" applyFont="1" applyFill="1" applyBorder="1" applyAlignment="1">
      <alignment vertical="center"/>
    </xf>
    <xf numFmtId="49" fontId="147" fillId="0" borderId="406" xfId="2" applyNumberFormat="1" applyFont="1" applyBorder="1" applyAlignment="1">
      <alignment vertical="center"/>
    </xf>
    <xf numFmtId="49" fontId="147" fillId="17" borderId="411" xfId="2" applyNumberFormat="1" applyFont="1" applyFill="1" applyBorder="1" applyAlignment="1">
      <alignment vertical="center"/>
    </xf>
    <xf numFmtId="49" fontId="147" fillId="17" borderId="415" xfId="2" applyNumberFormat="1" applyFont="1" applyFill="1" applyBorder="1" applyAlignment="1">
      <alignment vertical="center"/>
    </xf>
    <xf numFmtId="49" fontId="147" fillId="17" borderId="418" xfId="2" applyNumberFormat="1" applyFont="1" applyFill="1" applyBorder="1" applyAlignment="1">
      <alignment vertical="center"/>
    </xf>
    <xf numFmtId="49" fontId="165" fillId="17" borderId="418" xfId="2" applyNumberFormat="1" applyFont="1" applyFill="1" applyBorder="1" applyAlignment="1">
      <alignment vertical="center"/>
    </xf>
    <xf numFmtId="0" fontId="119" fillId="0" borderId="444" xfId="2" applyFont="1" applyBorder="1"/>
    <xf numFmtId="49" fontId="147" fillId="0" borderId="30" xfId="0" applyNumberFormat="1" applyFont="1" applyBorder="1" applyAlignment="1">
      <alignment vertical="center"/>
    </xf>
    <xf numFmtId="49" fontId="147" fillId="0" borderId="34" xfId="0" applyNumberFormat="1" applyFont="1" applyBorder="1" applyAlignment="1">
      <alignment vertical="center"/>
    </xf>
    <xf numFmtId="49" fontId="147" fillId="0" borderId="37" xfId="0" applyNumberFormat="1" applyFont="1" applyBorder="1" applyAlignment="1">
      <alignment vertical="center"/>
    </xf>
    <xf numFmtId="49" fontId="147" fillId="0" borderId="44" xfId="0" applyNumberFormat="1" applyFont="1" applyBorder="1" applyAlignment="1">
      <alignment vertical="center"/>
    </xf>
    <xf numFmtId="49" fontId="147" fillId="0" borderId="39" xfId="0" applyNumberFormat="1" applyFont="1" applyBorder="1" applyAlignment="1">
      <alignment vertical="center"/>
    </xf>
    <xf numFmtId="49" fontId="147" fillId="0" borderId="424" xfId="2" applyNumberFormat="1" applyFont="1" applyBorder="1" applyAlignment="1">
      <alignment vertical="center"/>
    </xf>
    <xf numFmtId="49" fontId="165" fillId="0" borderId="418" xfId="2" applyNumberFormat="1" applyFont="1" applyBorder="1" applyAlignment="1">
      <alignment vertical="center"/>
    </xf>
    <xf numFmtId="0" fontId="162" fillId="0" borderId="0" xfId="0" applyFont="1" applyAlignment="1" applyProtection="1">
      <alignment vertical="center" wrapText="1"/>
      <protection locked="0"/>
    </xf>
    <xf numFmtId="0" fontId="120" fillId="0" borderId="344" xfId="2" applyFont="1" applyAlignment="1">
      <alignment horizontal="right"/>
    </xf>
    <xf numFmtId="49" fontId="120" fillId="0" borderId="344" xfId="2" applyNumberFormat="1" applyFont="1" applyAlignment="1">
      <alignment horizontal="right"/>
    </xf>
    <xf numFmtId="0" fontId="120" fillId="0" borderId="0" xfId="0" applyFont="1" applyAlignment="1" applyProtection="1">
      <alignment vertical="center" wrapText="1"/>
      <protection locked="0"/>
    </xf>
    <xf numFmtId="0" fontId="120" fillId="0" borderId="344" xfId="0" applyFont="1" applyBorder="1" applyAlignment="1" applyProtection="1">
      <alignment vertical="center" wrapText="1"/>
      <protection locked="0"/>
    </xf>
    <xf numFmtId="168" fontId="120" fillId="0" borderId="344" xfId="2" applyNumberFormat="1" applyFont="1" applyAlignment="1">
      <alignment horizontal="right" vertical="center"/>
    </xf>
    <xf numFmtId="49" fontId="120" fillId="0" borderId="344" xfId="2" applyNumberFormat="1" applyFont="1" applyAlignment="1">
      <alignment horizontal="right" vertical="center"/>
    </xf>
    <xf numFmtId="0" fontId="149" fillId="0" borderId="481" xfId="3" applyFont="1" applyBorder="1" applyAlignment="1" applyProtection="1">
      <alignment horizontal="left" vertical="center" wrapText="1" indent="4"/>
      <protection locked="0"/>
    </xf>
    <xf numFmtId="0" fontId="149" fillId="0" borderId="482" xfId="3" applyFont="1" applyBorder="1" applyAlignment="1" applyProtection="1">
      <alignment horizontal="left" vertical="center" wrapText="1" indent="4"/>
      <protection locked="0"/>
    </xf>
    <xf numFmtId="0" fontId="150" fillId="0" borderId="482" xfId="0" applyFont="1" applyBorder="1" applyAlignment="1">
      <alignment horizontal="left" indent="1"/>
    </xf>
    <xf numFmtId="0" fontId="162" fillId="0" borderId="0" xfId="0" applyFont="1" applyAlignment="1">
      <alignment vertical="center" wrapText="1"/>
    </xf>
    <xf numFmtId="0" fontId="0" fillId="0" borderId="0" xfId="0" applyAlignment="1">
      <alignment wrapText="1"/>
    </xf>
    <xf numFmtId="0" fontId="68" fillId="17" borderId="389" xfId="0" applyFont="1" applyFill="1" applyBorder="1" applyAlignment="1">
      <alignment horizontal="center" vertical="center" wrapText="1"/>
    </xf>
    <xf numFmtId="49" fontId="68" fillId="17" borderId="389" xfId="0" applyNumberFormat="1" applyFont="1" applyFill="1" applyBorder="1" applyAlignment="1">
      <alignment vertical="center" wrapText="1"/>
    </xf>
    <xf numFmtId="49" fontId="24" fillId="17" borderId="389" xfId="0" applyNumberFormat="1" applyFont="1" applyFill="1" applyBorder="1" applyAlignment="1">
      <alignment horizontal="center" vertical="center" wrapText="1"/>
    </xf>
    <xf numFmtId="49" fontId="68" fillId="17" borderId="182" xfId="0" applyNumberFormat="1" applyFont="1" applyFill="1" applyBorder="1" applyAlignment="1">
      <alignment vertical="center" wrapText="1"/>
    </xf>
    <xf numFmtId="49" fontId="24" fillId="17" borderId="182" xfId="0" applyNumberFormat="1" applyFont="1" applyFill="1" applyBorder="1" applyAlignment="1">
      <alignment horizontal="center" vertical="center" wrapText="1"/>
    </xf>
    <xf numFmtId="49" fontId="68" fillId="17" borderId="184" xfId="0" applyNumberFormat="1" applyFont="1" applyFill="1" applyBorder="1" applyAlignment="1">
      <alignment vertical="center" wrapText="1"/>
    </xf>
    <xf numFmtId="49" fontId="24" fillId="17" borderId="184" xfId="0" applyNumberFormat="1" applyFont="1" applyFill="1" applyBorder="1" applyAlignment="1">
      <alignment horizontal="center" vertical="center" wrapText="1"/>
    </xf>
    <xf numFmtId="49" fontId="68" fillId="17" borderId="256" xfId="0" applyNumberFormat="1" applyFont="1" applyFill="1" applyBorder="1" applyAlignment="1">
      <alignment vertical="center" wrapText="1"/>
    </xf>
    <xf numFmtId="49" fontId="24" fillId="17" borderId="256" xfId="0" applyNumberFormat="1" applyFont="1" applyFill="1" applyBorder="1" applyAlignment="1">
      <alignment horizontal="center" vertical="center" wrapText="1"/>
    </xf>
    <xf numFmtId="49" fontId="68" fillId="0" borderId="256" xfId="0" applyNumberFormat="1" applyFont="1" applyBorder="1" applyAlignment="1">
      <alignment vertical="center" wrapText="1"/>
    </xf>
    <xf numFmtId="49" fontId="24" fillId="0" borderId="256" xfId="0" applyNumberFormat="1" applyFont="1" applyBorder="1" applyAlignment="1">
      <alignment horizontal="center" vertical="center" wrapText="1"/>
    </xf>
    <xf numFmtId="49" fontId="68" fillId="0" borderId="182" xfId="0" applyNumberFormat="1" applyFont="1" applyBorder="1" applyAlignment="1">
      <alignment vertical="center" wrapText="1"/>
    </xf>
    <xf numFmtId="49" fontId="68" fillId="0" borderId="184" xfId="0" applyNumberFormat="1" applyFont="1" applyBorder="1" applyAlignment="1">
      <alignment vertical="center" wrapText="1"/>
    </xf>
    <xf numFmtId="0" fontId="68" fillId="0" borderId="389" xfId="0" applyFont="1" applyBorder="1" applyAlignment="1">
      <alignment horizontal="center" vertical="center" wrapText="1"/>
    </xf>
    <xf numFmtId="49" fontId="68" fillId="0" borderId="389" xfId="0" applyNumberFormat="1" applyFont="1" applyBorder="1" applyAlignment="1">
      <alignment vertical="center" wrapText="1"/>
    </xf>
    <xf numFmtId="49" fontId="24" fillId="0" borderId="389" xfId="0" applyNumberFormat="1" applyFont="1" applyBorder="1" applyAlignment="1">
      <alignment horizontal="center" vertical="center" wrapText="1"/>
    </xf>
    <xf numFmtId="0" fontId="68" fillId="0" borderId="180" xfId="0" applyFont="1" applyBorder="1" applyAlignment="1">
      <alignment horizontal="center" vertical="center" wrapText="1"/>
    </xf>
    <xf numFmtId="49" fontId="68" fillId="0" borderId="180" xfId="0" applyNumberFormat="1" applyFont="1" applyBorder="1" applyAlignment="1">
      <alignment vertical="center" wrapText="1"/>
    </xf>
    <xf numFmtId="0" fontId="35" fillId="0" borderId="180" xfId="0" applyFont="1" applyBorder="1" applyAlignment="1">
      <alignment horizontal="center" vertical="center" wrapText="1"/>
    </xf>
    <xf numFmtId="49" fontId="14" fillId="0" borderId="182" xfId="0" applyNumberFormat="1" applyFont="1" applyBorder="1" applyAlignment="1">
      <alignment horizontal="center" vertical="center" wrapText="1"/>
    </xf>
    <xf numFmtId="49" fontId="68" fillId="0" borderId="187" xfId="0" applyNumberFormat="1" applyFont="1" applyBorder="1" applyAlignment="1">
      <alignment vertical="center" wrapText="1"/>
    </xf>
    <xf numFmtId="49" fontId="24" fillId="0" borderId="187" xfId="0" applyNumberFormat="1" applyFont="1" applyBorder="1" applyAlignment="1">
      <alignment horizontal="center" vertical="center" wrapText="1"/>
    </xf>
    <xf numFmtId="0" fontId="68" fillId="0" borderId="389" xfId="0" applyFont="1" applyBorder="1" applyAlignment="1">
      <alignment horizontal="right" vertical="center" wrapText="1"/>
    </xf>
    <xf numFmtId="0" fontId="39" fillId="0" borderId="182" xfId="0" applyFont="1" applyBorder="1" applyAlignment="1">
      <alignment horizontal="right" vertical="center" wrapText="1"/>
    </xf>
    <xf numFmtId="0" fontId="68" fillId="0" borderId="182" xfId="0" applyFont="1" applyBorder="1" applyAlignment="1">
      <alignment horizontal="right" vertical="center" wrapText="1"/>
    </xf>
    <xf numFmtId="0" fontId="39" fillId="0" borderId="187" xfId="0" applyFont="1" applyBorder="1" applyAlignment="1">
      <alignment horizontal="right" vertical="center" wrapText="1"/>
    </xf>
    <xf numFmtId="0" fontId="68" fillId="0" borderId="180" xfId="0" applyFont="1" applyBorder="1" applyAlignment="1">
      <alignment horizontal="right" vertical="center" wrapText="1"/>
    </xf>
    <xf numFmtId="0" fontId="39" fillId="0" borderId="184" xfId="0" applyFont="1" applyBorder="1" applyAlignment="1">
      <alignment horizontal="right" vertical="center" wrapText="1"/>
    </xf>
    <xf numFmtId="0" fontId="68" fillId="0" borderId="256" xfId="0" applyFont="1" applyBorder="1" applyAlignment="1">
      <alignment horizontal="right" vertical="center" wrapText="1"/>
    </xf>
    <xf numFmtId="0" fontId="11" fillId="0" borderId="344" xfId="0" applyFont="1" applyBorder="1" applyAlignment="1">
      <alignment vertical="center" wrapText="1"/>
    </xf>
    <xf numFmtId="1" fontId="14" fillId="0" borderId="344" xfId="0" applyNumberFormat="1" applyFont="1" applyBorder="1" applyAlignment="1">
      <alignment vertical="center" wrapText="1"/>
    </xf>
    <xf numFmtId="0" fontId="33" fillId="0" borderId="0" xfId="0" applyFont="1" applyAlignment="1">
      <alignment wrapText="1"/>
    </xf>
    <xf numFmtId="1" fontId="14" fillId="0" borderId="0" xfId="0" applyNumberFormat="1" applyFont="1" applyAlignment="1">
      <alignment vertical="center" wrapText="1"/>
    </xf>
    <xf numFmtId="49" fontId="14" fillId="0" borderId="0" xfId="0" applyNumberFormat="1" applyFont="1" applyAlignment="1">
      <alignment vertical="center" wrapText="1"/>
    </xf>
    <xf numFmtId="0" fontId="33" fillId="0" borderId="0" xfId="0" applyFont="1" applyAlignment="1">
      <alignment vertical="center" wrapText="1"/>
    </xf>
    <xf numFmtId="2" fontId="14" fillId="0" borderId="0" xfId="0" applyNumberFormat="1" applyFont="1" applyAlignment="1">
      <alignment vertical="center" wrapText="1"/>
    </xf>
    <xf numFmtId="49" fontId="34" fillId="17" borderId="5" xfId="0" applyNumberFormat="1" applyFont="1" applyFill="1" applyBorder="1" applyAlignment="1">
      <alignment horizontal="center" vertical="center" wrapText="1"/>
    </xf>
    <xf numFmtId="173" fontId="35" fillId="16" borderId="9" xfId="0" applyNumberFormat="1" applyFont="1" applyFill="1" applyBorder="1" applyAlignment="1">
      <alignment horizontal="right" vertical="center" wrapText="1"/>
    </xf>
    <xf numFmtId="0" fontId="29" fillId="0" borderId="0" xfId="0" applyFont="1" applyAlignment="1">
      <alignment vertical="center" wrapText="1"/>
    </xf>
    <xf numFmtId="4" fontId="104" fillId="0" borderId="549" xfId="0" applyNumberFormat="1" applyFont="1" applyBorder="1" applyAlignment="1">
      <alignment horizontal="right" vertical="center" wrapText="1" indent="1"/>
    </xf>
    <xf numFmtId="0" fontId="104" fillId="0" borderId="543" xfId="0" applyFont="1" applyBorder="1" applyAlignment="1">
      <alignment horizontal="right" vertical="center" wrapText="1" indent="1"/>
    </xf>
    <xf numFmtId="4" fontId="140" fillId="3" borderId="538" xfId="0" applyNumberFormat="1" applyFont="1" applyFill="1" applyBorder="1" applyAlignment="1">
      <alignment horizontal="right" vertical="center" wrapText="1" indent="1"/>
    </xf>
    <xf numFmtId="4" fontId="140" fillId="3" borderId="480" xfId="0" applyNumberFormat="1" applyFont="1" applyFill="1" applyBorder="1" applyAlignment="1">
      <alignment horizontal="right" vertical="center" wrapText="1" indent="1"/>
    </xf>
    <xf numFmtId="49" fontId="0" fillId="0" borderId="0" xfId="0" applyNumberFormat="1" applyAlignment="1">
      <alignment wrapText="1"/>
    </xf>
    <xf numFmtId="0" fontId="120" fillId="0" borderId="0" xfId="0" applyFont="1" applyAlignment="1">
      <alignment wrapText="1"/>
    </xf>
    <xf numFmtId="0" fontId="169" fillId="0" borderId="344" xfId="11" applyFont="1" applyAlignment="1">
      <alignment vertical="center"/>
    </xf>
    <xf numFmtId="168" fontId="99" fillId="0" borderId="344" xfId="11" applyNumberFormat="1" applyFont="1" applyAlignment="1">
      <alignment vertical="center"/>
    </xf>
    <xf numFmtId="0" fontId="168" fillId="0" borderId="344" xfId="11" applyAlignment="1">
      <alignment vertical="center"/>
    </xf>
    <xf numFmtId="0" fontId="171" fillId="0" borderId="344" xfId="12" applyFont="1" applyAlignment="1">
      <alignment vertical="center"/>
    </xf>
    <xf numFmtId="0" fontId="99" fillId="0" borderId="344" xfId="12" applyFont="1" applyAlignment="1">
      <alignment vertical="center"/>
    </xf>
    <xf numFmtId="37" fontId="170" fillId="0" borderId="344" xfId="12" applyNumberFormat="1" applyAlignment="1">
      <alignment vertical="center"/>
    </xf>
    <xf numFmtId="37" fontId="172" fillId="22" borderId="620" xfId="12" applyNumberFormat="1" applyFont="1" applyFill="1" applyBorder="1" applyAlignment="1">
      <alignment horizontal="center" vertical="center"/>
    </xf>
    <xf numFmtId="37" fontId="172" fillId="23" borderId="621" xfId="12" applyNumberFormat="1" applyFont="1" applyFill="1" applyBorder="1" applyAlignment="1">
      <alignment horizontal="center" vertical="center"/>
    </xf>
    <xf numFmtId="37" fontId="172" fillId="24" borderId="621" xfId="12" applyNumberFormat="1" applyFont="1" applyFill="1" applyBorder="1" applyAlignment="1">
      <alignment horizontal="center" vertical="center"/>
    </xf>
    <xf numFmtId="0" fontId="172" fillId="25" borderId="621" xfId="11" applyFont="1" applyFill="1" applyBorder="1" applyAlignment="1">
      <alignment horizontal="center" vertical="center" wrapText="1"/>
    </xf>
    <xf numFmtId="0" fontId="172" fillId="26" borderId="621" xfId="11" applyFont="1" applyFill="1" applyBorder="1" applyAlignment="1">
      <alignment horizontal="center" vertical="center" wrapText="1"/>
    </xf>
    <xf numFmtId="168" fontId="173" fillId="0" borderId="344" xfId="11" applyNumberFormat="1" applyFont="1" applyAlignment="1">
      <alignment vertical="center"/>
    </xf>
    <xf numFmtId="37" fontId="172" fillId="22" borderId="621" xfId="12" applyNumberFormat="1" applyFont="1" applyFill="1" applyBorder="1" applyAlignment="1">
      <alignment horizontal="center" vertical="center"/>
    </xf>
    <xf numFmtId="0" fontId="172" fillId="25" borderId="621" xfId="11" applyFont="1" applyFill="1" applyBorder="1" applyAlignment="1">
      <alignment horizontal="center" vertical="center"/>
    </xf>
    <xf numFmtId="0" fontId="172" fillId="26" borderId="621" xfId="11" applyFont="1" applyFill="1" applyBorder="1" applyAlignment="1">
      <alignment horizontal="center" vertical="center"/>
    </xf>
    <xf numFmtId="49" fontId="99" fillId="22" borderId="621" xfId="13" applyNumberFormat="1" applyFont="1" applyFill="1" applyBorder="1" applyAlignment="1">
      <alignment horizontal="center" vertical="center"/>
    </xf>
    <xf numFmtId="0" fontId="174" fillId="0" borderId="623" xfId="12" applyFont="1" applyBorder="1" applyAlignment="1">
      <alignment vertical="center"/>
    </xf>
    <xf numFmtId="43" fontId="99" fillId="14" borderId="621" xfId="13" applyFont="1" applyFill="1" applyBorder="1" applyAlignment="1" applyProtection="1">
      <alignment vertical="center"/>
    </xf>
    <xf numFmtId="0" fontId="99" fillId="24" borderId="621" xfId="11" applyFont="1" applyFill="1" applyBorder="1" applyAlignment="1">
      <alignment horizontal="center" vertical="center"/>
    </xf>
    <xf numFmtId="49" fontId="99" fillId="25" borderId="621" xfId="13" applyNumberFormat="1" applyFont="1" applyFill="1" applyBorder="1" applyAlignment="1">
      <alignment horizontal="center" vertical="center"/>
    </xf>
    <xf numFmtId="49" fontId="99" fillId="23" borderId="621" xfId="13" applyNumberFormat="1" applyFont="1" applyFill="1" applyBorder="1" applyAlignment="1">
      <alignment horizontal="center" vertical="center"/>
    </xf>
    <xf numFmtId="49" fontId="174" fillId="0" borderId="622" xfId="12" applyNumberFormat="1" applyFont="1" applyBorder="1" applyAlignment="1">
      <alignment horizontal="center" vertical="center"/>
    </xf>
    <xf numFmtId="0" fontId="172" fillId="0" borderId="624" xfId="12" applyFont="1" applyBorder="1" applyAlignment="1">
      <alignment vertical="center"/>
    </xf>
    <xf numFmtId="43" fontId="175" fillId="14" borderId="621" xfId="13" applyFont="1" applyFill="1" applyBorder="1" applyAlignment="1" applyProtection="1">
      <alignment vertical="center"/>
    </xf>
    <xf numFmtId="49" fontId="99" fillId="0" borderId="344" xfId="12" applyNumberFormat="1" applyFont="1" applyAlignment="1">
      <alignment vertical="center"/>
    </xf>
    <xf numFmtId="0" fontId="99" fillId="0" borderId="344" xfId="12" applyFont="1" applyAlignment="1">
      <alignment horizontal="left" vertical="center" indent="1"/>
    </xf>
    <xf numFmtId="4" fontId="99" fillId="0" borderId="344" xfId="12" applyNumberFormat="1" applyFont="1" applyAlignment="1">
      <alignment vertical="center"/>
    </xf>
    <xf numFmtId="43" fontId="170" fillId="0" borderId="344" xfId="13" applyFont="1" applyFill="1" applyAlignment="1" applyProtection="1">
      <alignment vertical="center"/>
    </xf>
    <xf numFmtId="43" fontId="176" fillId="0" borderId="344" xfId="13" applyFont="1" applyFill="1" applyAlignment="1" applyProtection="1">
      <alignment vertical="center"/>
    </xf>
    <xf numFmtId="0" fontId="177" fillId="0" borderId="344" xfId="11" applyFont="1" applyAlignment="1">
      <alignment vertical="center"/>
    </xf>
    <xf numFmtId="0" fontId="168" fillId="0" borderId="344" xfId="11" applyAlignment="1">
      <alignment horizontal="left" vertical="center" indent="1"/>
    </xf>
    <xf numFmtId="4" fontId="99" fillId="0" borderId="344" xfId="11" applyNumberFormat="1" applyFont="1" applyAlignment="1">
      <alignment vertical="center"/>
    </xf>
    <xf numFmtId="43" fontId="99" fillId="0" borderId="344" xfId="11" applyNumberFormat="1" applyFont="1" applyAlignment="1">
      <alignment vertical="center"/>
    </xf>
    <xf numFmtId="173" fontId="99" fillId="0" borderId="344" xfId="14" applyFont="1" applyFill="1" applyAlignment="1">
      <alignment vertical="center"/>
    </xf>
    <xf numFmtId="0" fontId="179" fillId="0" borderId="621" xfId="11" applyFont="1" applyBorder="1" applyAlignment="1">
      <alignment horizontal="center" vertical="center"/>
    </xf>
    <xf numFmtId="49" fontId="179" fillId="0" borderId="621" xfId="11" applyNumberFormat="1" applyFont="1" applyBorder="1" applyAlignment="1">
      <alignment horizontal="center" vertical="center" wrapText="1"/>
    </xf>
    <xf numFmtId="49" fontId="179" fillId="22" borderId="621" xfId="11" applyNumberFormat="1" applyFont="1" applyFill="1" applyBorder="1" applyAlignment="1">
      <alignment horizontal="center" vertical="center" wrapText="1"/>
    </xf>
    <xf numFmtId="49" fontId="179" fillId="27" borderId="621" xfId="11" applyNumberFormat="1" applyFont="1" applyFill="1" applyBorder="1" applyAlignment="1">
      <alignment horizontal="center" vertical="center" wrapText="1"/>
    </xf>
    <xf numFmtId="49" fontId="179" fillId="24" borderId="623" xfId="11" applyNumberFormat="1" applyFont="1" applyFill="1" applyBorder="1" applyAlignment="1">
      <alignment horizontal="center" vertical="center" wrapText="1"/>
    </xf>
    <xf numFmtId="175" fontId="179" fillId="25" borderId="621" xfId="11" applyNumberFormat="1" applyFont="1" applyFill="1" applyBorder="1" applyAlignment="1">
      <alignment horizontal="center" vertical="center"/>
    </xf>
    <xf numFmtId="175" fontId="179" fillId="26" borderId="621" xfId="11" applyNumberFormat="1" applyFont="1" applyFill="1" applyBorder="1" applyAlignment="1">
      <alignment horizontal="center" vertical="center"/>
    </xf>
    <xf numFmtId="0" fontId="180" fillId="14" borderId="625" xfId="11" applyFont="1" applyFill="1" applyBorder="1" applyAlignment="1">
      <alignment horizontal="center" vertical="center"/>
    </xf>
    <xf numFmtId="0" fontId="180" fillId="0" borderId="626" xfId="11" applyFont="1" applyBorder="1" applyAlignment="1">
      <alignment vertical="center"/>
    </xf>
    <xf numFmtId="168" fontId="99" fillId="0" borderId="621" xfId="11" applyNumberFormat="1" applyFont="1" applyBorder="1" applyAlignment="1">
      <alignment vertical="center"/>
    </xf>
    <xf numFmtId="168" fontId="168" fillId="0" borderId="621" xfId="11" applyNumberFormat="1" applyBorder="1" applyAlignment="1">
      <alignment vertical="center"/>
    </xf>
    <xf numFmtId="168" fontId="99" fillId="0" borderId="620" xfId="11" applyNumberFormat="1" applyFont="1" applyBorder="1" applyAlignment="1">
      <alignment vertical="center"/>
    </xf>
    <xf numFmtId="0" fontId="99" fillId="0" borderId="621" xfId="11" applyFont="1" applyBorder="1" applyAlignment="1">
      <alignment horizontal="left" vertical="center"/>
    </xf>
    <xf numFmtId="168" fontId="99" fillId="0" borderId="623" xfId="11" applyNumberFormat="1" applyFont="1" applyBorder="1" applyAlignment="1">
      <alignment vertical="center"/>
    </xf>
    <xf numFmtId="168" fontId="168" fillId="0" borderId="344" xfId="11" applyNumberFormat="1" applyAlignment="1">
      <alignment vertical="center"/>
    </xf>
    <xf numFmtId="0" fontId="99" fillId="0" borderId="621" xfId="11" applyFont="1" applyBorder="1" applyAlignment="1">
      <alignment vertical="center"/>
    </xf>
    <xf numFmtId="168" fontId="175" fillId="0" borderId="621" xfId="11" applyNumberFormat="1" applyFont="1" applyBorder="1" applyAlignment="1">
      <alignment vertical="center"/>
    </xf>
    <xf numFmtId="0" fontId="99" fillId="22" borderId="621" xfId="11" applyFont="1" applyFill="1" applyBorder="1" applyAlignment="1">
      <alignment horizontal="center" vertical="center"/>
    </xf>
    <xf numFmtId="0" fontId="99" fillId="23" borderId="621" xfId="11" applyFont="1" applyFill="1" applyBorder="1" applyAlignment="1">
      <alignment horizontal="center" vertical="center"/>
    </xf>
    <xf numFmtId="168" fontId="39" fillId="0" borderId="621" xfId="11" applyNumberFormat="1" applyFont="1" applyBorder="1" applyAlignment="1">
      <alignment vertical="center"/>
    </xf>
    <xf numFmtId="168" fontId="99" fillId="14" borderId="621" xfId="11" applyNumberFormat="1" applyFont="1" applyFill="1" applyBorder="1" applyAlignment="1">
      <alignment vertical="center"/>
    </xf>
    <xf numFmtId="168" fontId="181" fillId="0" borderId="621" xfId="11" applyNumberFormat="1" applyFont="1" applyBorder="1" applyAlignment="1">
      <alignment vertical="center"/>
    </xf>
    <xf numFmtId="0" fontId="99" fillId="25" borderId="621" xfId="11" applyFont="1" applyFill="1" applyBorder="1" applyAlignment="1">
      <alignment horizontal="center" vertical="center"/>
    </xf>
    <xf numFmtId="168" fontId="99" fillId="0" borderId="619" xfId="11" applyNumberFormat="1" applyFont="1" applyBorder="1" applyAlignment="1">
      <alignment vertical="center"/>
    </xf>
    <xf numFmtId="168" fontId="99" fillId="14" borderId="619" xfId="11" applyNumberFormat="1" applyFont="1" applyFill="1" applyBorder="1" applyAlignment="1">
      <alignment vertical="center"/>
    </xf>
    <xf numFmtId="168" fontId="99" fillId="0" borderId="627" xfId="11" applyNumberFormat="1" applyFont="1" applyBorder="1" applyAlignment="1">
      <alignment vertical="center"/>
    </xf>
    <xf numFmtId="0" fontId="99" fillId="25" borderId="621" xfId="11" applyFont="1" applyFill="1" applyBorder="1" applyAlignment="1">
      <alignment horizontal="center" vertical="center" wrapText="1"/>
    </xf>
    <xf numFmtId="0" fontId="175" fillId="0" borderId="621" xfId="11" applyFont="1" applyBorder="1" applyAlignment="1">
      <alignment vertical="center"/>
    </xf>
    <xf numFmtId="168" fontId="175" fillId="0" borderId="621" xfId="13" applyNumberFormat="1" applyFont="1" applyBorder="1" applyAlignment="1" applyProtection="1">
      <alignment vertical="center"/>
    </xf>
    <xf numFmtId="168" fontId="175" fillId="0" borderId="621" xfId="13" applyNumberFormat="1" applyFont="1" applyFill="1" applyBorder="1" applyAlignment="1" applyProtection="1">
      <alignment vertical="center"/>
    </xf>
    <xf numFmtId="43" fontId="182" fillId="0" borderId="344" xfId="13" applyFont="1" applyFill="1" applyBorder="1" applyAlignment="1" applyProtection="1">
      <alignment vertical="center"/>
    </xf>
    <xf numFmtId="168" fontId="183" fillId="0" borderId="344" xfId="14" applyNumberFormat="1" applyFont="1" applyFill="1" applyBorder="1" applyAlignment="1" applyProtection="1">
      <alignment vertical="center"/>
    </xf>
    <xf numFmtId="168" fontId="183" fillId="0" borderId="344" xfId="13" applyNumberFormat="1" applyFont="1" applyFill="1" applyBorder="1" applyAlignment="1" applyProtection="1">
      <alignment vertical="center"/>
    </xf>
    <xf numFmtId="168" fontId="183" fillId="0" borderId="344" xfId="13" applyNumberFormat="1" applyFont="1" applyBorder="1" applyAlignment="1" applyProtection="1">
      <alignment vertical="center"/>
    </xf>
    <xf numFmtId="49" fontId="183" fillId="0" borderId="344" xfId="14" applyNumberFormat="1" applyFont="1" applyBorder="1" applyAlignment="1" applyProtection="1">
      <alignment vertical="center"/>
    </xf>
    <xf numFmtId="43" fontId="183" fillId="0" borderId="344" xfId="13" applyFont="1" applyFill="1" applyBorder="1" applyAlignment="1" applyProtection="1">
      <alignment vertical="center"/>
    </xf>
    <xf numFmtId="43" fontId="183" fillId="0" borderId="344" xfId="13" applyFont="1" applyBorder="1" applyAlignment="1" applyProtection="1">
      <alignment vertical="center"/>
    </xf>
    <xf numFmtId="39" fontId="168" fillId="0" borderId="344" xfId="11" applyNumberFormat="1" applyAlignment="1">
      <alignment vertical="center"/>
    </xf>
    <xf numFmtId="49" fontId="180" fillId="14" borderId="619" xfId="11" applyNumberFormat="1" applyFont="1" applyFill="1" applyBorder="1" applyAlignment="1">
      <alignment horizontal="center" vertical="center"/>
    </xf>
    <xf numFmtId="0" fontId="180" fillId="0" borderId="554" xfId="11" applyFont="1" applyBorder="1" applyAlignment="1">
      <alignment vertical="center"/>
    </xf>
    <xf numFmtId="0" fontId="99" fillId="0" borderId="621" xfId="11" applyFont="1" applyBorder="1" applyAlignment="1">
      <alignment horizontal="center" vertical="center"/>
    </xf>
    <xf numFmtId="43" fontId="184" fillId="0" borderId="344" xfId="11" applyNumberFormat="1" applyFont="1" applyAlignment="1">
      <alignment vertical="center"/>
    </xf>
    <xf numFmtId="0" fontId="182" fillId="0" borderId="344" xfId="11" applyFont="1" applyAlignment="1">
      <alignment vertical="center"/>
    </xf>
    <xf numFmtId="43" fontId="182" fillId="0" borderId="344" xfId="11" applyNumberFormat="1" applyFont="1" applyAlignment="1">
      <alignment vertical="center"/>
    </xf>
    <xf numFmtId="0" fontId="99" fillId="28" borderId="621" xfId="11" applyFont="1" applyFill="1" applyBorder="1" applyAlignment="1">
      <alignment horizontal="center" vertical="center"/>
    </xf>
    <xf numFmtId="175" fontId="99" fillId="26" borderId="621" xfId="11" applyNumberFormat="1" applyFont="1" applyFill="1" applyBorder="1" applyAlignment="1">
      <alignment horizontal="center" vertical="center"/>
    </xf>
    <xf numFmtId="0" fontId="179" fillId="0" borderId="619" xfId="11" applyFont="1" applyBorder="1" applyAlignment="1">
      <alignment horizontal="center" vertical="center"/>
    </xf>
    <xf numFmtId="0" fontId="180" fillId="14" borderId="619" xfId="11" applyFont="1" applyFill="1" applyBorder="1" applyAlignment="1">
      <alignment horizontal="center" vertical="center"/>
    </xf>
    <xf numFmtId="0" fontId="180" fillId="0" borderId="619" xfId="11" applyFont="1" applyBorder="1" applyAlignment="1">
      <alignment vertical="center"/>
    </xf>
    <xf numFmtId="168" fontId="181" fillId="0" borderId="344" xfId="11" applyNumberFormat="1" applyFont="1" applyAlignment="1">
      <alignment vertical="center"/>
    </xf>
    <xf numFmtId="0" fontId="185" fillId="0" borderId="344" xfId="11" applyFont="1" applyAlignment="1">
      <alignment horizontal="center" vertical="center"/>
    </xf>
    <xf numFmtId="168" fontId="185" fillId="0" borderId="621" xfId="11" applyNumberFormat="1" applyFont="1" applyBorder="1" applyAlignment="1">
      <alignment horizontal="center" vertical="center"/>
    </xf>
    <xf numFmtId="168" fontId="99" fillId="14" borderId="623" xfId="11" applyNumberFormat="1" applyFont="1" applyFill="1" applyBorder="1" applyAlignment="1">
      <alignment vertical="center"/>
    </xf>
    <xf numFmtId="168" fontId="39" fillId="0" borderId="619" xfId="11" applyNumberFormat="1" applyFont="1" applyBorder="1" applyAlignment="1">
      <alignment vertical="center"/>
    </xf>
    <xf numFmtId="168" fontId="181" fillId="0" borderId="619" xfId="11" applyNumberFormat="1" applyFont="1" applyBorder="1" applyAlignment="1">
      <alignment vertical="center"/>
    </xf>
    <xf numFmtId="0" fontId="96" fillId="0" borderId="344" xfId="11" applyFont="1" applyAlignment="1">
      <alignment vertical="center"/>
    </xf>
    <xf numFmtId="44" fontId="182" fillId="0" borderId="344" xfId="11" applyNumberFormat="1" applyFont="1" applyAlignment="1">
      <alignment vertical="center"/>
    </xf>
    <xf numFmtId="39" fontId="182" fillId="0" borderId="344" xfId="11" applyNumberFormat="1" applyFont="1" applyAlignment="1">
      <alignment vertical="center"/>
    </xf>
    <xf numFmtId="43" fontId="182" fillId="0" borderId="344" xfId="13" applyFont="1" applyFill="1" applyAlignment="1" applyProtection="1">
      <alignment vertical="center"/>
    </xf>
    <xf numFmtId="43" fontId="104" fillId="0" borderId="344" xfId="13" applyFont="1" applyFill="1" applyAlignment="1" applyProtection="1">
      <alignment vertical="center"/>
    </xf>
    <xf numFmtId="0" fontId="176" fillId="0" borderId="344" xfId="11" applyFont="1" applyAlignment="1">
      <alignment vertical="center"/>
    </xf>
    <xf numFmtId="0" fontId="175" fillId="0" borderId="619" xfId="11" applyFont="1" applyBorder="1" applyAlignment="1">
      <alignment vertical="center"/>
    </xf>
    <xf numFmtId="0" fontId="99" fillId="0" borderId="623" xfId="11" applyFont="1" applyBorder="1" applyAlignment="1">
      <alignment vertical="center"/>
    </xf>
    <xf numFmtId="0" fontId="175" fillId="0" borderId="623" xfId="11" applyFont="1" applyBorder="1" applyAlignment="1">
      <alignment vertical="center"/>
    </xf>
    <xf numFmtId="0" fontId="168" fillId="0" borderId="621" xfId="11" applyBorder="1" applyAlignment="1">
      <alignment horizontal="center" vertical="center"/>
    </xf>
    <xf numFmtId="0" fontId="99" fillId="0" borderId="344" xfId="11" applyFont="1" applyAlignment="1">
      <alignment vertical="center"/>
    </xf>
    <xf numFmtId="179" fontId="99" fillId="0" borderId="344" xfId="11" applyNumberFormat="1" applyFont="1" applyAlignment="1">
      <alignment vertical="center"/>
    </xf>
    <xf numFmtId="0" fontId="175" fillId="0" borderId="344" xfId="11" applyFont="1" applyAlignment="1">
      <alignment vertical="center"/>
    </xf>
    <xf numFmtId="39" fontId="175" fillId="0" borderId="344" xfId="11" applyNumberFormat="1" applyFont="1" applyAlignment="1">
      <alignment vertical="center"/>
    </xf>
    <xf numFmtId="168" fontId="175" fillId="22" borderId="344" xfId="14" applyNumberFormat="1" applyFont="1" applyFill="1" applyBorder="1" applyAlignment="1">
      <alignment horizontal="right" vertical="center"/>
    </xf>
    <xf numFmtId="168" fontId="175" fillId="0" borderId="344" xfId="14" applyNumberFormat="1" applyFont="1" applyFill="1" applyBorder="1" applyAlignment="1">
      <alignment horizontal="right" vertical="center"/>
    </xf>
    <xf numFmtId="4" fontId="175" fillId="0" borderId="344" xfId="11" applyNumberFormat="1" applyFont="1" applyAlignment="1">
      <alignment vertical="center"/>
    </xf>
    <xf numFmtId="43" fontId="175" fillId="0" borderId="344" xfId="13" applyFont="1" applyBorder="1" applyAlignment="1">
      <alignment vertical="center"/>
    </xf>
    <xf numFmtId="43" fontId="175" fillId="0" borderId="344" xfId="13" applyFont="1" applyAlignment="1">
      <alignment vertical="center"/>
    </xf>
    <xf numFmtId="173" fontId="0" fillId="0" borderId="344" xfId="14" applyFont="1" applyAlignment="1">
      <alignment vertical="center"/>
    </xf>
    <xf numFmtId="43" fontId="99" fillId="0" borderId="344" xfId="13" applyFont="1" applyAlignment="1">
      <alignment horizontal="right" vertical="center"/>
    </xf>
    <xf numFmtId="168" fontId="97" fillId="0" borderId="344" xfId="11" applyNumberFormat="1" applyFont="1" applyAlignment="1">
      <alignment vertical="center"/>
    </xf>
    <xf numFmtId="0" fontId="179" fillId="0" borderId="344" xfId="11" applyFont="1" applyAlignment="1">
      <alignment horizontal="right" vertical="center"/>
    </xf>
    <xf numFmtId="0" fontId="99" fillId="26" borderId="621" xfId="11" applyFont="1" applyFill="1" applyBorder="1" applyAlignment="1">
      <alignment horizontal="center" vertical="center"/>
    </xf>
    <xf numFmtId="168" fontId="175" fillId="0" borderId="344" xfId="11" applyNumberFormat="1" applyFont="1" applyAlignment="1">
      <alignment vertical="center"/>
    </xf>
    <xf numFmtId="0" fontId="99" fillId="0" borderId="344" xfId="11" applyFont="1" applyAlignment="1">
      <alignment horizontal="center" vertical="center"/>
    </xf>
    <xf numFmtId="0" fontId="186" fillId="0" borderId="621" xfId="11" applyFont="1" applyBorder="1" applyAlignment="1">
      <alignment horizontal="center" vertical="center"/>
    </xf>
    <xf numFmtId="0" fontId="186" fillId="0" borderId="621" xfId="11" applyFont="1" applyBorder="1" applyAlignment="1">
      <alignment vertical="center"/>
    </xf>
    <xf numFmtId="0" fontId="91" fillId="0" borderId="344" xfId="15"/>
    <xf numFmtId="168" fontId="13" fillId="0" borderId="344" xfId="15" applyNumberFormat="1" applyFont="1" applyAlignment="1">
      <alignment vertical="center"/>
    </xf>
    <xf numFmtId="0" fontId="12" fillId="0" borderId="344" xfId="15" applyFont="1" applyAlignment="1">
      <alignment vertical="center"/>
    </xf>
    <xf numFmtId="0" fontId="12" fillId="0" borderId="344" xfId="15" applyFont="1" applyAlignment="1">
      <alignment vertical="center" wrapText="1"/>
    </xf>
    <xf numFmtId="0" fontId="13" fillId="0" borderId="344" xfId="15" applyFont="1" applyAlignment="1">
      <alignment vertical="center"/>
    </xf>
    <xf numFmtId="0" fontId="13" fillId="0" borderId="344" xfId="15" applyFont="1" applyAlignment="1">
      <alignment vertical="center" wrapText="1"/>
    </xf>
    <xf numFmtId="37" fontId="13" fillId="0" borderId="344" xfId="15" applyNumberFormat="1" applyFont="1" applyAlignment="1">
      <alignment vertical="center"/>
    </xf>
    <xf numFmtId="168" fontId="12" fillId="0" borderId="344" xfId="15" applyNumberFormat="1" applyFont="1" applyAlignment="1">
      <alignment vertical="center"/>
    </xf>
    <xf numFmtId="0" fontId="12" fillId="0" borderId="365" xfId="15" applyFont="1" applyBorder="1" applyAlignment="1">
      <alignment horizontal="center" vertical="center"/>
    </xf>
    <xf numFmtId="0" fontId="12" fillId="0" borderId="365" xfId="15" applyFont="1" applyBorder="1" applyAlignment="1">
      <alignment horizontal="center" vertical="center" wrapText="1"/>
    </xf>
    <xf numFmtId="37" fontId="12" fillId="30" borderId="376" xfId="15" applyNumberFormat="1" applyFont="1" applyFill="1" applyBorder="1" applyAlignment="1">
      <alignment horizontal="center" vertical="center"/>
    </xf>
    <xf numFmtId="37" fontId="12" fillId="31" borderId="5" xfId="15" applyNumberFormat="1" applyFont="1" applyFill="1" applyBorder="1" applyAlignment="1">
      <alignment horizontal="center" vertical="center"/>
    </xf>
    <xf numFmtId="37" fontId="12" fillId="32" borderId="5" xfId="15" applyNumberFormat="1" applyFont="1" applyFill="1" applyBorder="1" applyAlignment="1">
      <alignment horizontal="center" vertical="center"/>
    </xf>
    <xf numFmtId="0" fontId="12" fillId="33" borderId="5" xfId="15" applyFont="1" applyFill="1" applyBorder="1" applyAlignment="1">
      <alignment horizontal="center" vertical="center" wrapText="1"/>
    </xf>
    <xf numFmtId="0" fontId="12" fillId="34" borderId="5" xfId="15" applyFont="1" applyFill="1" applyBorder="1" applyAlignment="1">
      <alignment horizontal="center" vertical="center" wrapText="1"/>
    </xf>
    <xf numFmtId="0" fontId="15" fillId="0" borderId="367" xfId="15" applyFont="1" applyBorder="1"/>
    <xf numFmtId="37" fontId="12" fillId="30" borderId="5" xfId="15" applyNumberFormat="1" applyFont="1" applyFill="1" applyBorder="1" applyAlignment="1">
      <alignment horizontal="center" vertical="center"/>
    </xf>
    <xf numFmtId="0" fontId="12" fillId="33" borderId="5" xfId="15" applyFont="1" applyFill="1" applyBorder="1" applyAlignment="1">
      <alignment horizontal="center" vertical="center"/>
    </xf>
    <xf numFmtId="0" fontId="12" fillId="34" borderId="5" xfId="15" applyFont="1" applyFill="1" applyBorder="1" applyAlignment="1">
      <alignment horizontal="center" vertical="center"/>
    </xf>
    <xf numFmtId="49" fontId="13" fillId="4" borderId="5" xfId="15" applyNumberFormat="1" applyFont="1" applyFill="1" applyBorder="1" applyAlignment="1">
      <alignment horizontal="center" vertical="center"/>
    </xf>
    <xf numFmtId="0" fontId="13" fillId="4" borderId="375" xfId="15" applyFont="1" applyFill="1" applyBorder="1" applyAlignment="1">
      <alignment vertical="center" wrapText="1"/>
    </xf>
    <xf numFmtId="43" fontId="13" fillId="4" borderId="5" xfId="15" applyNumberFormat="1" applyFont="1" applyFill="1" applyBorder="1" applyAlignment="1">
      <alignment vertical="center"/>
    </xf>
    <xf numFmtId="0" fontId="13" fillId="0" borderId="5" xfId="15" applyFont="1" applyBorder="1" applyAlignment="1">
      <alignment vertical="center"/>
    </xf>
    <xf numFmtId="4" fontId="13" fillId="0" borderId="5" xfId="15" applyNumberFormat="1" applyFont="1" applyBorder="1" applyAlignment="1">
      <alignment vertical="center"/>
    </xf>
    <xf numFmtId="49" fontId="13" fillId="0" borderId="367" xfId="15" applyNumberFormat="1" applyFont="1" applyBorder="1" applyAlignment="1">
      <alignment horizontal="center" vertical="center"/>
    </xf>
    <xf numFmtId="0" fontId="12" fillId="0" borderId="88" xfId="15" applyFont="1" applyBorder="1" applyAlignment="1">
      <alignment horizontal="right" vertical="center" wrapText="1"/>
    </xf>
    <xf numFmtId="43" fontId="12" fillId="4" borderId="5" xfId="15" applyNumberFormat="1" applyFont="1" applyFill="1" applyBorder="1" applyAlignment="1">
      <alignment vertical="center"/>
    </xf>
    <xf numFmtId="49" fontId="13" fillId="0" borderId="344" xfId="15" applyNumberFormat="1" applyFont="1" applyAlignment="1">
      <alignment vertical="center"/>
    </xf>
    <xf numFmtId="0" fontId="13" fillId="0" borderId="344" xfId="15" applyFont="1" applyAlignment="1">
      <alignment horizontal="left" vertical="center" wrapText="1"/>
    </xf>
    <xf numFmtId="4" fontId="13" fillId="0" borderId="344" xfId="15" applyNumberFormat="1" applyFont="1" applyAlignment="1">
      <alignment vertical="center"/>
    </xf>
    <xf numFmtId="43" fontId="13" fillId="0" borderId="344" xfId="15" applyNumberFormat="1" applyFont="1" applyAlignment="1">
      <alignment vertical="center"/>
    </xf>
    <xf numFmtId="0" fontId="12" fillId="0" borderId="5" xfId="15" applyFont="1" applyBorder="1" applyAlignment="1">
      <alignment horizontal="center" vertical="center"/>
    </xf>
    <xf numFmtId="0" fontId="12" fillId="0" borderId="5" xfId="15" applyFont="1" applyBorder="1" applyAlignment="1">
      <alignment horizontal="center" vertical="center" wrapText="1"/>
    </xf>
    <xf numFmtId="0" fontId="191" fillId="29" borderId="5" xfId="15" applyFont="1" applyFill="1" applyBorder="1" applyAlignment="1">
      <alignment horizontal="center" vertical="center" wrapText="1"/>
    </xf>
    <xf numFmtId="49" fontId="12" fillId="0" borderId="5" xfId="15" applyNumberFormat="1" applyFont="1" applyBorder="1" applyAlignment="1">
      <alignment horizontal="center" vertical="center" wrapText="1"/>
    </xf>
    <xf numFmtId="49" fontId="12" fillId="30" borderId="5" xfId="15" applyNumberFormat="1" applyFont="1" applyFill="1" applyBorder="1" applyAlignment="1">
      <alignment horizontal="center" vertical="center" wrapText="1"/>
    </xf>
    <xf numFmtId="49" fontId="12" fillId="35" borderId="5" xfId="15" applyNumberFormat="1" applyFont="1" applyFill="1" applyBorder="1" applyAlignment="1">
      <alignment horizontal="center" vertical="center" wrapText="1"/>
    </xf>
    <xf numFmtId="49" fontId="12" fillId="32" borderId="5" xfId="15" applyNumberFormat="1" applyFont="1" applyFill="1" applyBorder="1" applyAlignment="1">
      <alignment horizontal="center" vertical="center" wrapText="1"/>
    </xf>
    <xf numFmtId="175" fontId="12" fillId="36" borderId="5" xfId="15" applyNumberFormat="1" applyFont="1" applyFill="1" applyBorder="1" applyAlignment="1">
      <alignment horizontal="center" vertical="center"/>
    </xf>
    <xf numFmtId="175" fontId="12" fillId="34" borderId="5" xfId="15" applyNumberFormat="1" applyFont="1" applyFill="1" applyBorder="1" applyAlignment="1">
      <alignment horizontal="center" vertical="center"/>
    </xf>
    <xf numFmtId="0" fontId="189" fillId="4" borderId="5" xfId="15" applyFont="1" applyFill="1" applyBorder="1" applyAlignment="1">
      <alignment horizontal="center" vertical="center"/>
    </xf>
    <xf numFmtId="0" fontId="189" fillId="0" borderId="5" xfId="15" applyFont="1" applyBorder="1" applyAlignment="1">
      <alignment vertical="center" wrapText="1"/>
    </xf>
    <xf numFmtId="168" fontId="171" fillId="37" borderId="5" xfId="15" applyNumberFormat="1" applyFont="1" applyFill="1" applyBorder="1" applyAlignment="1">
      <alignment vertical="center" wrapText="1"/>
    </xf>
    <xf numFmtId="168" fontId="13" fillId="0" borderId="5" xfId="15" applyNumberFormat="1" applyFont="1" applyBorder="1" applyAlignment="1">
      <alignment vertical="center"/>
    </xf>
    <xf numFmtId="168" fontId="54" fillId="37" borderId="5" xfId="15" applyNumberFormat="1" applyFont="1" applyFill="1" applyBorder="1" applyAlignment="1">
      <alignment vertical="center" wrapText="1"/>
    </xf>
    <xf numFmtId="0" fontId="13" fillId="4" borderId="5" xfId="15" applyFont="1" applyFill="1" applyBorder="1" applyAlignment="1">
      <alignment horizontal="center" vertical="center"/>
    </xf>
    <xf numFmtId="49" fontId="13" fillId="0" borderId="5" xfId="15" applyNumberFormat="1" applyFont="1" applyBorder="1" applyAlignment="1">
      <alignment vertical="center" wrapText="1"/>
    </xf>
    <xf numFmtId="168" fontId="13" fillId="4" borderId="5" xfId="15" applyNumberFormat="1" applyFont="1" applyFill="1" applyBorder="1" applyAlignment="1">
      <alignment vertical="center"/>
    </xf>
    <xf numFmtId="0" fontId="13" fillId="4" borderId="5" xfId="15" applyFont="1" applyFill="1" applyBorder="1" applyAlignment="1">
      <alignment vertical="center" wrapText="1"/>
    </xf>
    <xf numFmtId="168" fontId="54" fillId="38" borderId="5" xfId="15" applyNumberFormat="1" applyFont="1" applyFill="1" applyBorder="1" applyAlignment="1">
      <alignment vertical="center" wrapText="1"/>
    </xf>
    <xf numFmtId="49" fontId="13" fillId="4" borderId="5" xfId="15" applyNumberFormat="1" applyFont="1" applyFill="1" applyBorder="1" applyAlignment="1">
      <alignment vertical="center" wrapText="1"/>
    </xf>
    <xf numFmtId="168" fontId="192" fillId="37" borderId="376" xfId="15" applyNumberFormat="1" applyFont="1" applyFill="1" applyBorder="1"/>
    <xf numFmtId="168" fontId="12" fillId="0" borderId="5" xfId="15" applyNumberFormat="1" applyFont="1" applyBorder="1" applyAlignment="1">
      <alignment vertical="center"/>
    </xf>
    <xf numFmtId="168" fontId="52" fillId="37" borderId="5" xfId="15" applyNumberFormat="1" applyFont="1" applyFill="1" applyBorder="1" applyAlignment="1">
      <alignment vertical="center" wrapText="1"/>
    </xf>
    <xf numFmtId="43" fontId="13" fillId="0" borderId="344" xfId="15" applyNumberFormat="1" applyFont="1" applyAlignment="1">
      <alignment vertical="center" wrapText="1"/>
    </xf>
    <xf numFmtId="49" fontId="12" fillId="32" borderId="375" xfId="15" applyNumberFormat="1" applyFont="1" applyFill="1" applyBorder="1" applyAlignment="1">
      <alignment horizontal="center" vertical="center" wrapText="1"/>
    </xf>
    <xf numFmtId="49" fontId="189" fillId="4" borderId="365" xfId="15" applyNumberFormat="1" applyFont="1" applyFill="1" applyBorder="1" applyAlignment="1">
      <alignment horizontal="center" vertical="center"/>
    </xf>
    <xf numFmtId="0" fontId="189" fillId="0" borderId="364" xfId="15" applyFont="1" applyBorder="1" applyAlignment="1">
      <alignment vertical="center" wrapText="1"/>
    </xf>
    <xf numFmtId="168" fontId="171" fillId="37" borderId="364" xfId="15" applyNumberFormat="1" applyFont="1" applyFill="1" applyBorder="1" applyAlignment="1">
      <alignment vertical="center"/>
    </xf>
    <xf numFmtId="168" fontId="193" fillId="0" borderId="5" xfId="15" applyNumberFormat="1" applyFont="1" applyBorder="1" applyAlignment="1">
      <alignment vertical="center"/>
    </xf>
    <xf numFmtId="168" fontId="54" fillId="37" borderId="5" xfId="15" applyNumberFormat="1" applyFont="1" applyFill="1" applyBorder="1" applyAlignment="1">
      <alignment vertical="center"/>
    </xf>
    <xf numFmtId="168" fontId="13" fillId="4" borderId="375" xfId="15" applyNumberFormat="1" applyFont="1" applyFill="1" applyBorder="1" applyAlignment="1">
      <alignment vertical="center"/>
    </xf>
    <xf numFmtId="0" fontId="13" fillId="4" borderId="5" xfId="15" applyFont="1" applyFill="1" applyBorder="1" applyAlignment="1">
      <alignment horizontal="left" vertical="center" wrapText="1"/>
    </xf>
    <xf numFmtId="168" fontId="52" fillId="37" borderId="5" xfId="15" applyNumberFormat="1" applyFont="1" applyFill="1" applyBorder="1" applyAlignment="1">
      <alignment vertical="center"/>
    </xf>
    <xf numFmtId="43" fontId="193" fillId="0" borderId="344" xfId="15" applyNumberFormat="1" applyFont="1" applyAlignment="1">
      <alignment vertical="center"/>
    </xf>
    <xf numFmtId="0" fontId="189" fillId="4" borderId="365" xfId="15" applyFont="1" applyFill="1" applyBorder="1" applyAlignment="1">
      <alignment horizontal="center" vertical="center"/>
    </xf>
    <xf numFmtId="0" fontId="189" fillId="0" borderId="365" xfId="15" applyFont="1" applyBorder="1" applyAlignment="1">
      <alignment vertical="center" wrapText="1"/>
    </xf>
    <xf numFmtId="168" fontId="171" fillId="37" borderId="365" xfId="15" applyNumberFormat="1" applyFont="1" applyFill="1" applyBorder="1" applyAlignment="1">
      <alignment vertical="center" wrapText="1"/>
    </xf>
    <xf numFmtId="39" fontId="13" fillId="4" borderId="5" xfId="15" applyNumberFormat="1" applyFont="1" applyFill="1" applyBorder="1" applyAlignment="1">
      <alignment vertical="center" wrapText="1"/>
    </xf>
    <xf numFmtId="4" fontId="13" fillId="4" borderId="5" xfId="15" applyNumberFormat="1" applyFont="1" applyFill="1" applyBorder="1" applyAlignment="1">
      <alignment horizontal="center" vertical="center"/>
    </xf>
    <xf numFmtId="168" fontId="52" fillId="38" borderId="5" xfId="15" applyNumberFormat="1" applyFont="1" applyFill="1" applyBorder="1" applyAlignment="1">
      <alignment vertical="center" wrapText="1"/>
    </xf>
    <xf numFmtId="44" fontId="13" fillId="0" borderId="344" xfId="15" applyNumberFormat="1" applyFont="1" applyAlignment="1">
      <alignment vertical="center" wrapText="1"/>
    </xf>
    <xf numFmtId="39" fontId="13" fillId="0" borderId="344" xfId="15" applyNumberFormat="1" applyFont="1" applyAlignment="1">
      <alignment vertical="center"/>
    </xf>
    <xf numFmtId="0" fontId="191" fillId="29" borderId="365" xfId="15" applyFont="1" applyFill="1" applyBorder="1" applyAlignment="1">
      <alignment horizontal="center" vertical="center" wrapText="1"/>
    </xf>
    <xf numFmtId="168" fontId="13" fillId="0" borderId="375" xfId="15" applyNumberFormat="1" applyFont="1" applyBorder="1" applyAlignment="1">
      <alignment vertical="center"/>
    </xf>
    <xf numFmtId="168" fontId="54" fillId="37" borderId="621" xfId="15" applyNumberFormat="1" applyFont="1" applyFill="1" applyBorder="1" applyAlignment="1">
      <alignment vertical="center" wrapText="1"/>
    </xf>
    <xf numFmtId="168" fontId="54" fillId="37" borderId="375" xfId="15" applyNumberFormat="1" applyFont="1" applyFill="1" applyBorder="1" applyAlignment="1">
      <alignment vertical="center" wrapText="1"/>
    </xf>
    <xf numFmtId="49" fontId="13" fillId="4" borderId="375" xfId="15" applyNumberFormat="1" applyFont="1" applyFill="1" applyBorder="1" applyAlignment="1">
      <alignment vertical="center" wrapText="1"/>
    </xf>
    <xf numFmtId="168" fontId="54" fillId="37" borderId="369" xfId="15" applyNumberFormat="1" applyFont="1" applyFill="1" applyBorder="1" applyAlignment="1">
      <alignment vertical="center" wrapText="1"/>
    </xf>
    <xf numFmtId="168" fontId="192" fillId="37" borderId="621" xfId="15" applyNumberFormat="1" applyFont="1" applyFill="1" applyBorder="1"/>
    <xf numFmtId="168" fontId="12" fillId="0" borderId="376" xfId="15" applyNumberFormat="1" applyFont="1" applyBorder="1" applyAlignment="1">
      <alignment vertical="center"/>
    </xf>
    <xf numFmtId="168" fontId="12" fillId="0" borderId="375" xfId="15" applyNumberFormat="1" applyFont="1" applyBorder="1" applyAlignment="1">
      <alignment vertical="center"/>
    </xf>
    <xf numFmtId="168" fontId="52" fillId="37" borderId="621" xfId="15" applyNumberFormat="1" applyFont="1" applyFill="1" applyBorder="1" applyAlignment="1">
      <alignment vertical="center" wrapText="1"/>
    </xf>
    <xf numFmtId="168" fontId="192" fillId="37" borderId="377" xfId="15" applyNumberFormat="1" applyFont="1" applyFill="1" applyBorder="1"/>
    <xf numFmtId="1" fontId="56" fillId="0" borderId="177" xfId="0" applyNumberFormat="1" applyFont="1" applyBorder="1" applyAlignment="1">
      <alignment horizontal="center" vertical="center" wrapText="1"/>
    </xf>
    <xf numFmtId="1" fontId="56" fillId="0" borderId="111" xfId="0" applyNumberFormat="1" applyFont="1" applyBorder="1" applyAlignment="1">
      <alignment horizontal="center" vertical="center" wrapText="1"/>
    </xf>
    <xf numFmtId="49" fontId="58" fillId="17" borderId="5" xfId="0" applyNumberFormat="1" applyFont="1" applyFill="1" applyBorder="1" applyAlignment="1">
      <alignment horizontal="center" vertical="center"/>
    </xf>
    <xf numFmtId="0" fontId="56" fillId="17" borderId="34" xfId="0" applyFont="1" applyFill="1" applyBorder="1" applyAlignment="1">
      <alignment horizontal="center" vertical="center" wrapText="1"/>
    </xf>
    <xf numFmtId="39" fontId="56" fillId="17" borderId="44" xfId="0" applyNumberFormat="1" applyFont="1" applyFill="1" applyBorder="1" applyAlignment="1">
      <alignment vertical="center"/>
    </xf>
    <xf numFmtId="39" fontId="56" fillId="17" borderId="177" xfId="0" applyNumberFormat="1" applyFont="1" applyFill="1" applyBorder="1" applyAlignment="1">
      <alignment vertical="center"/>
    </xf>
    <xf numFmtId="0" fontId="56" fillId="17" borderId="75" xfId="0" applyFont="1" applyFill="1" applyBorder="1" applyAlignment="1">
      <alignment horizontal="center" vertical="center" wrapText="1"/>
    </xf>
    <xf numFmtId="0" fontId="56" fillId="0" borderId="34" xfId="0" applyFont="1" applyBorder="1" applyAlignment="1">
      <alignment horizontal="center" vertical="center" wrapText="1"/>
    </xf>
    <xf numFmtId="0" fontId="58" fillId="17" borderId="5" xfId="0" applyFont="1" applyFill="1" applyBorder="1" applyAlignment="1">
      <alignment horizontal="center" vertical="center"/>
    </xf>
    <xf numFmtId="168" fontId="58" fillId="17" borderId="6" xfId="0" applyNumberFormat="1" applyFont="1" applyFill="1" applyBorder="1" applyAlignment="1">
      <alignment horizontal="right" vertical="center"/>
    </xf>
    <xf numFmtId="0" fontId="56" fillId="17" borderId="486" xfId="0" applyFont="1" applyFill="1" applyBorder="1" applyAlignment="1">
      <alignment horizontal="center" vertical="center" wrapText="1"/>
    </xf>
    <xf numFmtId="0" fontId="56" fillId="17" borderId="173" xfId="0" applyFont="1" applyFill="1" applyBorder="1" applyAlignment="1">
      <alignment horizontal="center" vertical="center" wrapText="1"/>
    </xf>
    <xf numFmtId="0" fontId="56" fillId="17" borderId="84" xfId="0" applyFont="1" applyFill="1" applyBorder="1" applyAlignment="1">
      <alignment horizontal="center" vertical="center" wrapText="1"/>
    </xf>
    <xf numFmtId="0" fontId="56" fillId="17" borderId="194" xfId="0" applyFont="1" applyFill="1" applyBorder="1" applyAlignment="1">
      <alignment horizontal="center" vertical="center" wrapText="1"/>
    </xf>
    <xf numFmtId="0" fontId="56" fillId="17" borderId="86" xfId="0" applyFont="1" applyFill="1" applyBorder="1" applyAlignment="1">
      <alignment horizontal="center" vertical="center" wrapText="1"/>
    </xf>
    <xf numFmtId="0" fontId="56" fillId="17" borderId="89" xfId="0" applyFont="1" applyFill="1" applyBorder="1" applyAlignment="1">
      <alignment horizontal="center" vertical="center" wrapText="1"/>
    </xf>
    <xf numFmtId="0" fontId="56" fillId="17" borderId="84" xfId="0" applyFont="1" applyFill="1" applyBorder="1" applyAlignment="1">
      <alignment horizontal="center" vertical="center"/>
    </xf>
    <xf numFmtId="0" fontId="56" fillId="17" borderId="89" xfId="0" applyFont="1" applyFill="1" applyBorder="1" applyAlignment="1">
      <alignment horizontal="center" vertical="center"/>
    </xf>
    <xf numFmtId="0" fontId="56" fillId="0" borderId="86"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89" xfId="0" applyFont="1" applyBorder="1" applyAlignment="1">
      <alignment horizontal="center" vertical="center" wrapText="1"/>
    </xf>
    <xf numFmtId="1" fontId="56" fillId="0" borderId="109" xfId="0" applyNumberFormat="1" applyFont="1" applyBorder="1" applyAlignment="1">
      <alignment horizontal="center" vertical="center" wrapText="1"/>
    </xf>
    <xf numFmtId="39" fontId="56" fillId="17" borderId="39" xfId="0" applyNumberFormat="1" applyFont="1" applyFill="1" applyBorder="1" applyAlignment="1">
      <alignment vertical="center"/>
    </xf>
    <xf numFmtId="0" fontId="56" fillId="4" borderId="34" xfId="0" applyFont="1" applyFill="1" applyBorder="1" applyAlignment="1">
      <alignment horizontal="center" vertical="center" wrapText="1"/>
    </xf>
    <xf numFmtId="49" fontId="59" fillId="17" borderId="74" xfId="0" applyNumberFormat="1" applyFont="1" applyFill="1" applyBorder="1" applyAlignment="1">
      <alignment horizontal="center" vertical="center"/>
    </xf>
    <xf numFmtId="0" fontId="56" fillId="17" borderId="74" xfId="0" applyFont="1" applyFill="1" applyBorder="1" applyAlignment="1">
      <alignment horizontal="center" vertical="center" wrapText="1"/>
    </xf>
    <xf numFmtId="168" fontId="56" fillId="17" borderId="74" xfId="0" applyNumberFormat="1" applyFont="1" applyFill="1" applyBorder="1" applyAlignment="1">
      <alignment vertical="center"/>
    </xf>
    <xf numFmtId="43" fontId="56" fillId="17" borderId="74" xfId="0" applyNumberFormat="1" applyFont="1" applyFill="1" applyBorder="1" applyAlignment="1">
      <alignment vertical="center"/>
    </xf>
    <xf numFmtId="49" fontId="59" fillId="17" borderId="135" xfId="0" applyNumberFormat="1" applyFont="1" applyFill="1" applyBorder="1" applyAlignment="1">
      <alignment horizontal="center" vertical="center"/>
    </xf>
    <xf numFmtId="43" fontId="56" fillId="17" borderId="74" xfId="0" applyNumberFormat="1" applyFont="1" applyFill="1" applyBorder="1" applyAlignment="1">
      <alignment horizontal="center" vertical="center"/>
    </xf>
    <xf numFmtId="49" fontId="59" fillId="17" borderId="75" xfId="0" applyNumberFormat="1" applyFont="1" applyFill="1" applyBorder="1" applyAlignment="1">
      <alignment horizontal="center" vertical="center"/>
    </xf>
    <xf numFmtId="168" fontId="56" fillId="17" borderId="75" xfId="0" applyNumberFormat="1" applyFont="1" applyFill="1" applyBorder="1" applyAlignment="1">
      <alignment vertical="center"/>
    </xf>
    <xf numFmtId="0" fontId="56" fillId="17" borderId="329" xfId="0" applyFont="1" applyFill="1" applyBorder="1" applyAlignment="1">
      <alignment horizontal="center" vertical="center" wrapText="1"/>
    </xf>
    <xf numFmtId="168" fontId="56" fillId="17" borderId="329" xfId="0" applyNumberFormat="1" applyFont="1" applyFill="1" applyBorder="1" applyAlignment="1">
      <alignment vertical="center"/>
    </xf>
    <xf numFmtId="49" fontId="59" fillId="17" borderId="74" xfId="0" applyNumberFormat="1" applyFont="1" applyFill="1" applyBorder="1" applyAlignment="1">
      <alignment horizontal="center" vertical="center" wrapText="1"/>
    </xf>
    <xf numFmtId="0" fontId="56" fillId="17" borderId="135" xfId="0" applyFont="1" applyFill="1" applyBorder="1" applyAlignment="1">
      <alignment horizontal="center" vertical="center" wrapText="1"/>
    </xf>
    <xf numFmtId="0" fontId="56" fillId="17" borderId="135" xfId="0" applyFont="1" applyFill="1" applyBorder="1" applyAlignment="1">
      <alignment vertical="center"/>
    </xf>
    <xf numFmtId="43" fontId="56" fillId="17" borderId="135" xfId="0" applyNumberFormat="1" applyFont="1" applyFill="1" applyBorder="1" applyAlignment="1">
      <alignment vertical="center"/>
    </xf>
    <xf numFmtId="168" fontId="56" fillId="17" borderId="135" xfId="0" applyNumberFormat="1" applyFont="1" applyFill="1" applyBorder="1" applyAlignment="1">
      <alignment vertical="center"/>
    </xf>
    <xf numFmtId="49" fontId="59" fillId="17" borderId="329" xfId="0" applyNumberFormat="1" applyFont="1" applyFill="1" applyBorder="1" applyAlignment="1">
      <alignment horizontal="center" vertical="center"/>
    </xf>
    <xf numFmtId="0" fontId="56" fillId="17" borderId="74" xfId="0" applyFont="1" applyFill="1" applyBorder="1" applyAlignment="1">
      <alignment horizontal="center" vertical="center"/>
    </xf>
    <xf numFmtId="0" fontId="23" fillId="17" borderId="160" xfId="0" applyFont="1" applyFill="1" applyBorder="1" applyAlignment="1">
      <alignment horizontal="center" vertical="center"/>
    </xf>
    <xf numFmtId="0" fontId="23" fillId="17" borderId="210" xfId="0" applyFont="1" applyFill="1" applyBorder="1" applyAlignment="1">
      <alignment horizontal="left" vertical="center"/>
    </xf>
    <xf numFmtId="0" fontId="23" fillId="17" borderId="242" xfId="0" applyFont="1" applyFill="1" applyBorder="1" applyAlignment="1">
      <alignment horizontal="center" vertical="center"/>
    </xf>
    <xf numFmtId="0" fontId="22" fillId="17" borderId="210" xfId="0" applyFont="1" applyFill="1" applyBorder="1" applyAlignment="1">
      <alignment horizontal="left" vertical="center"/>
    </xf>
    <xf numFmtId="0" fontId="23" fillId="17" borderId="160" xfId="0" applyFont="1" applyFill="1" applyBorder="1" applyAlignment="1">
      <alignment horizontal="left" vertical="center"/>
    </xf>
    <xf numFmtId="0" fontId="23" fillId="17" borderId="160" xfId="0" applyFont="1" applyFill="1" applyBorder="1" applyAlignment="1">
      <alignment vertical="center"/>
    </xf>
    <xf numFmtId="0" fontId="23" fillId="17" borderId="210" xfId="0" applyFont="1" applyFill="1" applyBorder="1" applyAlignment="1">
      <alignment vertical="center"/>
    </xf>
    <xf numFmtId="168" fontId="56" fillId="0" borderId="84" xfId="0" applyNumberFormat="1" applyFont="1" applyBorder="1" applyAlignment="1">
      <alignment vertical="center"/>
    </xf>
    <xf numFmtId="0" fontId="28" fillId="0" borderId="344" xfId="0" applyFont="1" applyBorder="1" applyAlignment="1">
      <alignment vertical="center"/>
    </xf>
    <xf numFmtId="49" fontId="58" fillId="0" borderId="5" xfId="0" applyNumberFormat="1" applyFont="1" applyBorder="1" applyAlignment="1">
      <alignment horizontal="center" vertical="center"/>
    </xf>
    <xf numFmtId="49" fontId="59" fillId="0" borderId="84" xfId="0" applyNumberFormat="1" applyFont="1" applyBorder="1" applyAlignment="1">
      <alignment horizontal="center" vertical="center"/>
    </xf>
    <xf numFmtId="0" fontId="32" fillId="0" borderId="0" xfId="0" applyFont="1" applyAlignment="1">
      <alignment horizontal="left" vertical="center" wrapText="1"/>
    </xf>
    <xf numFmtId="49" fontId="58" fillId="3" borderId="5" xfId="0" applyNumberFormat="1" applyFont="1" applyFill="1" applyBorder="1" applyAlignment="1">
      <alignment horizontal="center" vertical="center"/>
    </xf>
    <xf numFmtId="1" fontId="56" fillId="0" borderId="325" xfId="0" applyNumberFormat="1" applyFont="1" applyBorder="1" applyAlignment="1">
      <alignment horizontal="center" vertical="center" wrapText="1"/>
    </xf>
    <xf numFmtId="0" fontId="56" fillId="0" borderId="177" xfId="0" applyFont="1" applyBorder="1" applyAlignment="1">
      <alignment horizontal="center" vertical="center"/>
    </xf>
    <xf numFmtId="0" fontId="56" fillId="0" borderId="129"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134" xfId="0" applyFont="1" applyBorder="1" applyAlignment="1">
      <alignment horizontal="center" vertical="center" wrapText="1"/>
    </xf>
    <xf numFmtId="0" fontId="56" fillId="0" borderId="135" xfId="0" applyFont="1" applyBorder="1" applyAlignment="1">
      <alignment horizontal="center" vertical="center" wrapText="1"/>
    </xf>
    <xf numFmtId="0" fontId="56" fillId="0" borderId="74" xfId="0" applyFont="1" applyBorder="1" applyAlignment="1">
      <alignment horizontal="center" vertical="center"/>
    </xf>
    <xf numFmtId="0" fontId="56" fillId="0" borderId="329" xfId="0" applyFont="1" applyBorder="1" applyAlignment="1">
      <alignment horizontal="center" vertical="center" wrapText="1"/>
    </xf>
    <xf numFmtId="49" fontId="59" fillId="0" borderId="74" xfId="0" applyNumberFormat="1" applyFont="1" applyBorder="1" applyAlignment="1">
      <alignment horizontal="center" vertical="center"/>
    </xf>
    <xf numFmtId="49" fontId="59" fillId="0" borderId="134" xfId="0" applyNumberFormat="1" applyFont="1" applyBorder="1" applyAlignment="1">
      <alignment horizontal="center" vertical="center"/>
    </xf>
    <xf numFmtId="49" fontId="45" fillId="12" borderId="347" xfId="0" applyNumberFormat="1" applyFont="1" applyFill="1" applyBorder="1" applyAlignment="1">
      <alignment horizontal="right" vertical="center"/>
    </xf>
    <xf numFmtId="49" fontId="45" fillId="12" borderId="370" xfId="0" applyNumberFormat="1" applyFont="1" applyFill="1" applyBorder="1" applyAlignment="1">
      <alignment horizontal="right" vertical="center"/>
    </xf>
    <xf numFmtId="49" fontId="45" fillId="12" borderId="117" xfId="0" applyNumberFormat="1" applyFont="1" applyFill="1" applyBorder="1" applyAlignment="1">
      <alignment horizontal="right" vertical="center"/>
    </xf>
    <xf numFmtId="0" fontId="32" fillId="0" borderId="0" xfId="0" applyFont="1"/>
    <xf numFmtId="0" fontId="45" fillId="0" borderId="0" xfId="0" applyFont="1"/>
    <xf numFmtId="0" fontId="45" fillId="0" borderId="0" xfId="0" applyFont="1" applyAlignment="1">
      <alignment vertical="center"/>
    </xf>
    <xf numFmtId="0" fontId="32" fillId="0" borderId="0" xfId="0" applyFont="1" applyAlignment="1">
      <alignment horizontal="right" vertical="center"/>
    </xf>
    <xf numFmtId="49" fontId="32" fillId="0" borderId="0" xfId="0" applyNumberFormat="1" applyFont="1" applyAlignment="1">
      <alignment horizontal="right" vertical="center"/>
    </xf>
    <xf numFmtId="4" fontId="32" fillId="0" borderId="0" xfId="0" applyNumberFormat="1" applyFont="1" applyAlignment="1">
      <alignment vertical="center"/>
    </xf>
    <xf numFmtId="168" fontId="44" fillId="0" borderId="0" xfId="0" applyNumberFormat="1" applyFont="1" applyAlignment="1">
      <alignment vertical="center"/>
    </xf>
    <xf numFmtId="1" fontId="44" fillId="0" borderId="0" xfId="0" applyNumberFormat="1" applyFont="1" applyAlignment="1">
      <alignment vertical="center"/>
    </xf>
    <xf numFmtId="0" fontId="45" fillId="0" borderId="0" xfId="0" applyFont="1" applyAlignment="1">
      <alignment horizontal="right" vertical="center"/>
    </xf>
    <xf numFmtId="173" fontId="44" fillId="0" borderId="0" xfId="0" applyNumberFormat="1" applyFont="1" applyAlignment="1">
      <alignment vertical="center"/>
    </xf>
    <xf numFmtId="174" fontId="44" fillId="0" borderId="0" xfId="0" applyNumberFormat="1" applyFont="1" applyAlignment="1">
      <alignment vertical="center"/>
    </xf>
    <xf numFmtId="0" fontId="58" fillId="17" borderId="365" xfId="0" applyFont="1" applyFill="1" applyBorder="1" applyAlignment="1">
      <alignment horizontal="center" vertical="center"/>
    </xf>
    <xf numFmtId="49" fontId="58" fillId="17" borderId="365" xfId="0" applyNumberFormat="1" applyFont="1" applyFill="1" applyBorder="1" applyAlignment="1">
      <alignment horizontal="center" vertical="center"/>
    </xf>
    <xf numFmtId="49" fontId="58" fillId="17" borderId="367" xfId="0" applyNumberFormat="1" applyFont="1" applyFill="1" applyBorder="1" applyAlignment="1">
      <alignment horizontal="center" vertical="center"/>
    </xf>
    <xf numFmtId="0" fontId="32" fillId="0" borderId="344" xfId="2" applyFont="1" applyAlignment="1">
      <alignment vertical="center" wrapText="1"/>
    </xf>
    <xf numFmtId="0" fontId="32" fillId="0" borderId="344" xfId="2" applyFont="1"/>
    <xf numFmtId="49" fontId="44" fillId="17" borderId="463" xfId="2" applyNumberFormat="1" applyFont="1" applyFill="1" applyBorder="1" applyAlignment="1">
      <alignment horizontal="right"/>
    </xf>
    <xf numFmtId="0" fontId="44" fillId="0" borderId="344" xfId="2" applyFont="1"/>
    <xf numFmtId="0" fontId="44" fillId="0" borderId="344" xfId="2" applyFont="1" applyAlignment="1">
      <alignment horizontal="right"/>
    </xf>
    <xf numFmtId="49" fontId="44" fillId="0" borderId="344" xfId="2" applyNumberFormat="1" applyFont="1" applyAlignment="1">
      <alignment horizontal="right"/>
    </xf>
    <xf numFmtId="0" fontId="121" fillId="0" borderId="344" xfId="2" applyFont="1"/>
    <xf numFmtId="49" fontId="121" fillId="0" borderId="344" xfId="2" applyNumberFormat="1" applyFont="1"/>
    <xf numFmtId="168" fontId="121" fillId="0" borderId="344" xfId="2" applyNumberFormat="1" applyFont="1"/>
    <xf numFmtId="0" fontId="121" fillId="0" borderId="344" xfId="2" applyFont="1" applyAlignment="1">
      <alignment vertical="center"/>
    </xf>
    <xf numFmtId="168" fontId="44" fillId="0" borderId="344" xfId="2" applyNumberFormat="1" applyFont="1" applyAlignment="1">
      <alignment horizontal="right" vertical="center"/>
    </xf>
    <xf numFmtId="49" fontId="44" fillId="0" borderId="344" xfId="2" applyNumberFormat="1" applyFont="1" applyAlignment="1">
      <alignment horizontal="right" vertical="center"/>
    </xf>
    <xf numFmtId="49" fontId="32" fillId="0" borderId="344" xfId="2" applyNumberFormat="1" applyFont="1"/>
    <xf numFmtId="168" fontId="45" fillId="0" borderId="344" xfId="2" applyNumberFormat="1" applyFont="1" applyAlignment="1">
      <alignment vertical="center"/>
    </xf>
    <xf numFmtId="49" fontId="45" fillId="0" borderId="344" xfId="2" applyNumberFormat="1" applyFont="1" applyAlignment="1">
      <alignment vertical="center"/>
    </xf>
    <xf numFmtId="4" fontId="121" fillId="0" borderId="344" xfId="2" applyNumberFormat="1" applyFont="1"/>
    <xf numFmtId="0" fontId="32" fillId="0" borderId="0" xfId="0" applyFont="1" applyAlignment="1">
      <alignment vertical="center" wrapText="1"/>
    </xf>
    <xf numFmtId="0" fontId="45" fillId="0" borderId="0" xfId="0" applyFont="1" applyAlignment="1">
      <alignment vertical="center" wrapText="1"/>
    </xf>
    <xf numFmtId="0" fontId="44" fillId="0" borderId="0" xfId="0" applyFont="1" applyAlignment="1">
      <alignment vertical="center" wrapText="1"/>
    </xf>
    <xf numFmtId="0" fontId="44" fillId="0" borderId="344" xfId="0" applyFont="1" applyBorder="1" applyAlignment="1">
      <alignment vertical="center" wrapText="1"/>
    </xf>
    <xf numFmtId="0" fontId="196" fillId="0" borderId="377" xfId="0" applyFont="1" applyBorder="1" applyAlignment="1">
      <alignment vertical="center" wrapText="1"/>
    </xf>
    <xf numFmtId="0" fontId="196" fillId="0" borderId="540" xfId="0" applyFont="1" applyBorder="1" applyAlignment="1">
      <alignment vertical="center" wrapText="1"/>
    </xf>
    <xf numFmtId="0" fontId="196" fillId="0" borderId="374" xfId="0" applyFont="1" applyBorder="1" applyAlignment="1">
      <alignment vertical="center" wrapText="1"/>
    </xf>
    <xf numFmtId="0" fontId="196" fillId="0" borderId="620" xfId="0" applyFont="1" applyBorder="1" applyAlignment="1">
      <alignment vertical="center" wrapText="1"/>
    </xf>
    <xf numFmtId="0" fontId="196" fillId="0" borderId="629" xfId="0" applyFont="1" applyBorder="1" applyAlignment="1">
      <alignment vertical="center" wrapText="1"/>
    </xf>
    <xf numFmtId="0" fontId="196" fillId="0" borderId="542" xfId="0" applyFont="1" applyBorder="1" applyAlignment="1">
      <alignment vertical="center" wrapText="1"/>
    </xf>
    <xf numFmtId="0" fontId="196" fillId="0" borderId="376" xfId="0" applyFont="1" applyBorder="1" applyAlignment="1">
      <alignment vertical="center" wrapText="1"/>
    </xf>
    <xf numFmtId="0" fontId="198" fillId="0" borderId="0" xfId="0" applyFont="1" applyAlignment="1">
      <alignment vertical="center"/>
    </xf>
    <xf numFmtId="0" fontId="21" fillId="0" borderId="344" xfId="0" applyFont="1" applyBorder="1" applyAlignment="1">
      <alignment vertical="center"/>
    </xf>
    <xf numFmtId="0" fontId="195" fillId="0" borderId="377" xfId="0" applyFont="1" applyBorder="1" applyAlignment="1">
      <alignment horizontal="center" vertical="center" wrapText="1"/>
    </xf>
    <xf numFmtId="0" fontId="194" fillId="0" borderId="377" xfId="0" applyFont="1" applyBorder="1" applyAlignment="1">
      <alignment horizontal="center" vertical="center"/>
    </xf>
    <xf numFmtId="0" fontId="87" fillId="0" borderId="367" xfId="0" applyFont="1" applyBorder="1" applyAlignment="1">
      <alignment horizontal="center" vertical="center"/>
    </xf>
    <xf numFmtId="0" fontId="87" fillId="0" borderId="366" xfId="0" applyFont="1" applyBorder="1" applyAlignment="1">
      <alignment horizontal="center" vertical="center"/>
    </xf>
    <xf numFmtId="0" fontId="87" fillId="0" borderId="621" xfId="0" applyFont="1" applyBorder="1" applyAlignment="1">
      <alignment horizontal="center" vertical="center"/>
    </xf>
    <xf numFmtId="0" fontId="87" fillId="0" borderId="625" xfId="0" applyFont="1" applyBorder="1" applyAlignment="1">
      <alignment horizontal="center" vertical="center"/>
    </xf>
    <xf numFmtId="0" fontId="0" fillId="0" borderId="0" xfId="0" applyAlignment="1">
      <alignment horizontal="center" vertical="center"/>
    </xf>
    <xf numFmtId="0" fontId="103" fillId="0" borderId="377" xfId="0" applyFont="1" applyBorder="1" applyAlignment="1">
      <alignment horizontal="left" vertical="center" wrapText="1" indent="1"/>
    </xf>
    <xf numFmtId="0" fontId="29" fillId="0" borderId="377" xfId="0" applyFont="1" applyBorder="1" applyAlignment="1">
      <alignment horizontal="left" vertical="center" wrapText="1" indent="1"/>
    </xf>
    <xf numFmtId="0" fontId="103" fillId="0" borderId="540" xfId="0" applyFont="1" applyBorder="1" applyAlignment="1">
      <alignment horizontal="left" vertical="center" wrapText="1" indent="1"/>
    </xf>
    <xf numFmtId="0" fontId="29" fillId="0" borderId="374" xfId="0" applyFont="1" applyBorder="1" applyAlignment="1">
      <alignment horizontal="left" vertical="center" wrapText="1" indent="1"/>
    </xf>
    <xf numFmtId="0" fontId="103" fillId="0" borderId="620" xfId="0" applyFont="1" applyBorder="1" applyAlignment="1">
      <alignment horizontal="left" vertical="center" wrapText="1" indent="1"/>
    </xf>
    <xf numFmtId="0" fontId="103" fillId="0" borderId="629" xfId="0" applyFont="1" applyBorder="1" applyAlignment="1">
      <alignment horizontal="left" vertical="center" wrapText="1" indent="1"/>
    </xf>
    <xf numFmtId="0" fontId="29" fillId="0" borderId="542" xfId="0" applyFont="1" applyBorder="1" applyAlignment="1">
      <alignment horizontal="left" vertical="center" wrapText="1" indent="1"/>
    </xf>
    <xf numFmtId="0" fontId="29" fillId="0" borderId="629" xfId="0" applyFont="1" applyBorder="1" applyAlignment="1">
      <alignment horizontal="left" vertical="center" wrapText="1" indent="1"/>
    </xf>
    <xf numFmtId="0" fontId="29" fillId="0" borderId="376" xfId="0" applyFont="1" applyBorder="1" applyAlignment="1">
      <alignment horizontal="left" vertical="center" wrapText="1" indent="1"/>
    </xf>
    <xf numFmtId="0" fontId="87" fillId="0" borderId="377" xfId="0" applyFont="1" applyBorder="1" applyAlignment="1">
      <alignment horizontal="center" vertical="center" wrapText="1"/>
    </xf>
    <xf numFmtId="0" fontId="29" fillId="0" borderId="377" xfId="0" applyFont="1" applyBorder="1" applyAlignment="1">
      <alignment horizontal="center" vertical="center" wrapText="1"/>
    </xf>
    <xf numFmtId="0" fontId="196" fillId="0" borderId="377" xfId="0" applyFont="1" applyBorder="1" applyAlignment="1">
      <alignment horizontal="center" vertical="center" wrapText="1"/>
    </xf>
    <xf numFmtId="14" fontId="87" fillId="0" borderId="540" xfId="0" applyNumberFormat="1" applyFont="1" applyBorder="1" applyAlignment="1">
      <alignment horizontal="center" vertical="center" wrapText="1"/>
    </xf>
    <xf numFmtId="0" fontId="29" fillId="0" borderId="444" xfId="0" applyFont="1" applyBorder="1" applyAlignment="1">
      <alignment horizontal="center" vertical="center" wrapText="1"/>
    </xf>
    <xf numFmtId="0" fontId="196" fillId="0" borderId="628" xfId="0" applyFont="1" applyBorder="1" applyAlignment="1">
      <alignment horizontal="center" vertical="center" wrapText="1"/>
    </xf>
    <xf numFmtId="14" fontId="87" fillId="0" borderId="374" xfId="0" applyNumberFormat="1" applyFont="1" applyBorder="1" applyAlignment="1">
      <alignment horizontal="center" vertical="center" wrapText="1"/>
    </xf>
    <xf numFmtId="0" fontId="29" fillId="0" borderId="374" xfId="0" applyFont="1" applyBorder="1" applyAlignment="1">
      <alignment horizontal="center" vertical="center" wrapText="1"/>
    </xf>
    <xf numFmtId="0" fontId="196" fillId="0" borderId="374" xfId="0" applyFont="1" applyBorder="1" applyAlignment="1">
      <alignment horizontal="center" vertical="center" wrapText="1"/>
    </xf>
    <xf numFmtId="0" fontId="87" fillId="0" borderId="620" xfId="0" applyFont="1" applyBorder="1" applyAlignment="1">
      <alignment horizontal="center" vertical="center" wrapText="1"/>
    </xf>
    <xf numFmtId="0" fontId="29" fillId="0" borderId="373" xfId="0" applyFont="1" applyBorder="1" applyAlignment="1">
      <alignment horizontal="center" vertical="center" wrapText="1"/>
    </xf>
    <xf numFmtId="0" fontId="196" fillId="0" borderId="373" xfId="0" applyFont="1" applyBorder="1" applyAlignment="1">
      <alignment horizontal="center" vertical="center" wrapText="1"/>
    </xf>
    <xf numFmtId="0" fontId="87" fillId="0" borderId="629" xfId="0" applyFont="1" applyBorder="1" applyAlignment="1">
      <alignment horizontal="center" vertical="center" wrapText="1"/>
    </xf>
    <xf numFmtId="0" fontId="29" fillId="0" borderId="630" xfId="0" applyFont="1" applyBorder="1" applyAlignment="1">
      <alignment horizontal="center" vertical="center" wrapText="1"/>
    </xf>
    <xf numFmtId="0" fontId="196" fillId="0" borderId="630" xfId="0" applyFont="1" applyBorder="1" applyAlignment="1">
      <alignment horizontal="center" vertical="center" wrapText="1"/>
    </xf>
    <xf numFmtId="0" fontId="29" fillId="0" borderId="620" xfId="0" applyFont="1" applyBorder="1" applyAlignment="1">
      <alignment horizontal="center" vertical="center" wrapText="1"/>
    </xf>
    <xf numFmtId="0" fontId="196" fillId="0" borderId="620" xfId="0" applyFont="1" applyBorder="1" applyAlignment="1">
      <alignment horizontal="center" vertical="center" wrapText="1"/>
    </xf>
    <xf numFmtId="0" fontId="87" fillId="0" borderId="542" xfId="0" applyFont="1" applyBorder="1" applyAlignment="1">
      <alignment horizontal="center" vertical="center" wrapText="1"/>
    </xf>
    <xf numFmtId="0" fontId="29" fillId="0" borderId="542" xfId="0" applyFont="1" applyBorder="1" applyAlignment="1">
      <alignment horizontal="center" vertical="center" wrapText="1"/>
    </xf>
    <xf numFmtId="0" fontId="196" fillId="0" borderId="542" xfId="0" applyFont="1" applyBorder="1" applyAlignment="1">
      <alignment horizontal="center" vertical="center" wrapText="1"/>
    </xf>
    <xf numFmtId="14" fontId="87" fillId="0" borderId="542" xfId="0" applyNumberFormat="1" applyFont="1" applyBorder="1" applyAlignment="1">
      <alignment horizontal="center" vertical="center" wrapText="1"/>
    </xf>
    <xf numFmtId="0" fontId="29" fillId="0" borderId="629" xfId="0" applyFont="1" applyBorder="1" applyAlignment="1">
      <alignment horizontal="center" vertical="center" wrapText="1"/>
    </xf>
    <xf numFmtId="0" fontId="196" fillId="0" borderId="629" xfId="0" applyFont="1" applyBorder="1" applyAlignment="1">
      <alignment horizontal="center" vertical="center" wrapText="1"/>
    </xf>
    <xf numFmtId="0" fontId="87" fillId="0" borderId="376" xfId="0" applyFont="1" applyBorder="1" applyAlignment="1">
      <alignment horizontal="center" vertical="center" wrapText="1"/>
    </xf>
    <xf numFmtId="0" fontId="29" fillId="0" borderId="376" xfId="0" applyFont="1" applyBorder="1" applyAlignment="1">
      <alignment horizontal="center" vertical="center" wrapText="1"/>
    </xf>
    <xf numFmtId="0" fontId="196" fillId="0" borderId="376" xfId="0" applyFont="1" applyBorder="1" applyAlignment="1">
      <alignment horizontal="center" vertical="center" wrapText="1"/>
    </xf>
    <xf numFmtId="14" fontId="87" fillId="0" borderId="377" xfId="0" applyNumberFormat="1" applyFont="1" applyBorder="1" applyAlignment="1">
      <alignment horizontal="center" vertical="center" wrapText="1"/>
    </xf>
    <xf numFmtId="0" fontId="196" fillId="0" borderId="367" xfId="0" applyFont="1" applyBorder="1" applyAlignment="1">
      <alignment horizontal="center" vertical="center" wrapText="1"/>
    </xf>
    <xf numFmtId="0" fontId="121" fillId="0" borderId="542" xfId="0" applyFont="1" applyBorder="1" applyAlignment="1">
      <alignment horizontal="left" vertical="center" wrapText="1" indent="1"/>
    </xf>
    <xf numFmtId="0" fontId="29" fillId="0" borderId="620" xfId="0" applyFont="1" applyBorder="1" applyAlignment="1">
      <alignment horizontal="left" vertical="center" wrapText="1" indent="1"/>
    </xf>
    <xf numFmtId="0" fontId="29" fillId="0" borderId="630" xfId="0" applyFont="1" applyBorder="1" applyAlignment="1">
      <alignment horizontal="left" vertical="center" wrapText="1" indent="1"/>
    </xf>
    <xf numFmtId="0" fontId="103" fillId="0" borderId="542" xfId="0" applyFont="1" applyBorder="1" applyAlignment="1">
      <alignment horizontal="left" vertical="center" wrapText="1" indent="1"/>
    </xf>
    <xf numFmtId="0" fontId="29" fillId="0" borderId="345" xfId="0" applyFont="1" applyBorder="1" applyAlignment="1">
      <alignment horizontal="left" vertical="center" wrapText="1" indent="1"/>
    </xf>
    <xf numFmtId="0" fontId="29" fillId="0" borderId="5" xfId="0" applyFont="1" applyBorder="1" applyAlignment="1">
      <alignment horizontal="left" vertical="center" wrapText="1" indent="1"/>
    </xf>
    <xf numFmtId="0" fontId="198" fillId="0" borderId="344" xfId="0" applyFont="1" applyBorder="1" applyAlignment="1">
      <alignment horizontal="left" vertical="center"/>
    </xf>
    <xf numFmtId="49" fontId="120" fillId="0" borderId="344" xfId="2" applyNumberFormat="1" applyFont="1" applyAlignment="1">
      <alignment vertical="center"/>
    </xf>
    <xf numFmtId="49" fontId="44" fillId="0" borderId="344" xfId="2" applyNumberFormat="1" applyFont="1" applyAlignment="1">
      <alignment vertical="center"/>
    </xf>
    <xf numFmtId="49" fontId="121" fillId="0" borderId="344" xfId="2" applyNumberFormat="1" applyFont="1" applyAlignment="1">
      <alignment vertical="center"/>
    </xf>
    <xf numFmtId="49" fontId="32" fillId="0" borderId="344" xfId="2" applyNumberFormat="1" applyFont="1" applyAlignment="1">
      <alignment vertical="center"/>
    </xf>
    <xf numFmtId="49" fontId="39" fillId="0" borderId="344" xfId="2" applyNumberFormat="1" applyFont="1" applyAlignment="1">
      <alignment vertical="center"/>
    </xf>
    <xf numFmtId="0" fontId="22" fillId="0" borderId="44" xfId="0" applyFont="1" applyBorder="1" applyAlignment="1">
      <alignment horizontal="left" vertical="center" wrapText="1" indent="1"/>
    </xf>
    <xf numFmtId="0" fontId="22" fillId="0" borderId="39" xfId="0" applyFont="1" applyBorder="1" applyAlignment="1">
      <alignment horizontal="left" vertical="center" wrapText="1" indent="1"/>
    </xf>
    <xf numFmtId="168" fontId="14" fillId="0" borderId="365" xfId="0" applyNumberFormat="1" applyFont="1" applyBorder="1" applyAlignment="1">
      <alignment vertical="center" wrapText="1" indent="1"/>
    </xf>
    <xf numFmtId="49" fontId="56" fillId="17" borderId="365" xfId="0" applyNumberFormat="1" applyFont="1" applyFill="1" applyBorder="1" applyAlignment="1">
      <alignment horizontal="center" vertical="center"/>
    </xf>
    <xf numFmtId="168" fontId="35" fillId="2" borderId="355" xfId="0" applyNumberFormat="1" applyFont="1" applyFill="1" applyBorder="1" applyAlignment="1">
      <alignment horizontal="right" vertical="center"/>
    </xf>
    <xf numFmtId="0" fontId="58" fillId="17" borderId="621" xfId="0" applyFont="1" applyFill="1" applyBorder="1" applyAlignment="1">
      <alignment horizontal="center" vertical="center"/>
    </xf>
    <xf numFmtId="49" fontId="58" fillId="17" borderId="621" xfId="0" applyNumberFormat="1" applyFont="1" applyFill="1" applyBorder="1" applyAlignment="1">
      <alignment horizontal="center" vertical="center"/>
    </xf>
    <xf numFmtId="49" fontId="56" fillId="17" borderId="621" xfId="0" applyNumberFormat="1" applyFont="1" applyFill="1" applyBorder="1" applyAlignment="1">
      <alignment horizontal="center" vertical="center"/>
    </xf>
    <xf numFmtId="0" fontId="111" fillId="0" borderId="34" xfId="0" applyFont="1" applyBorder="1" applyAlignment="1">
      <alignment horizontal="center" vertical="center"/>
    </xf>
    <xf numFmtId="0" fontId="22" fillId="0" borderId="33" xfId="0" applyFont="1" applyBorder="1" applyAlignment="1">
      <alignment horizontal="left" vertical="center" wrapText="1" indent="1"/>
    </xf>
    <xf numFmtId="0" fontId="38" fillId="0" borderId="36" xfId="0" applyFont="1" applyBorder="1" applyAlignment="1">
      <alignment horizontal="left" vertical="center" wrapText="1" indent="1"/>
    </xf>
    <xf numFmtId="0" fontId="38" fillId="0" borderId="44" xfId="0" applyFont="1" applyBorder="1" applyAlignment="1">
      <alignment horizontal="left" vertical="center" indent="1"/>
    </xf>
    <xf numFmtId="0" fontId="24" fillId="0" borderId="34" xfId="0" applyFont="1" applyBorder="1" applyAlignment="1">
      <alignment horizontal="left" vertical="center" indent="1"/>
    </xf>
    <xf numFmtId="0" fontId="23" fillId="0" borderId="34" xfId="0" applyFont="1" applyBorder="1" applyAlignment="1">
      <alignment horizontal="left" vertical="center" wrapText="1" indent="1"/>
    </xf>
    <xf numFmtId="0" fontId="113" fillId="0" borderId="34" xfId="0" applyFont="1" applyBorder="1" applyAlignment="1">
      <alignment horizontal="center" vertical="center" wrapText="1"/>
    </xf>
    <xf numFmtId="0" fontId="23" fillId="0" borderId="37" xfId="0" applyFont="1" applyBorder="1" applyAlignment="1">
      <alignment horizontal="left" vertical="center" wrapText="1" indent="1"/>
    </xf>
    <xf numFmtId="0" fontId="113" fillId="0" borderId="37" xfId="0" applyFont="1" applyBorder="1" applyAlignment="1">
      <alignment horizontal="center" vertical="center" wrapText="1"/>
    </xf>
    <xf numFmtId="0" fontId="22" fillId="0" borderId="34" xfId="0" applyFont="1" applyBorder="1" applyAlignment="1">
      <alignment horizontal="left" vertical="center" wrapText="1" indent="1"/>
    </xf>
    <xf numFmtId="49" fontId="22" fillId="0" borderId="38" xfId="0" applyNumberFormat="1" applyFont="1" applyBorder="1" applyAlignment="1">
      <alignment horizontal="left" vertical="center" indent="1"/>
    </xf>
    <xf numFmtId="49" fontId="22" fillId="0" borderId="39" xfId="0" applyNumberFormat="1" applyFont="1" applyBorder="1" applyAlignment="1">
      <alignment horizontal="left" vertical="center" wrapText="1" indent="1"/>
    </xf>
    <xf numFmtId="0" fontId="113" fillId="0" borderId="39" xfId="0" applyFont="1" applyBorder="1" applyAlignment="1">
      <alignment horizontal="center" vertical="center" wrapText="1"/>
    </xf>
    <xf numFmtId="0" fontId="23" fillId="0" borderId="33" xfId="0" applyFont="1" applyBorder="1" applyAlignment="1">
      <alignment horizontal="left" vertical="center" indent="1"/>
    </xf>
    <xf numFmtId="49" fontId="111" fillId="0" borderId="34" xfId="0" applyNumberFormat="1" applyFont="1" applyBorder="1" applyAlignment="1">
      <alignment horizontal="center" vertical="center"/>
    </xf>
    <xf numFmtId="49" fontId="23" fillId="0" borderId="34" xfId="0" applyNumberFormat="1" applyFont="1" applyBorder="1" applyAlignment="1">
      <alignment horizontal="left" vertical="center" wrapText="1" indent="1"/>
    </xf>
    <xf numFmtId="49" fontId="23" fillId="0" borderId="34" xfId="0" applyNumberFormat="1" applyFont="1" applyBorder="1" applyAlignment="1">
      <alignment horizontal="center" vertical="center" wrapText="1"/>
    </xf>
    <xf numFmtId="0" fontId="23" fillId="0" borderId="36" xfId="0" applyFont="1" applyBorder="1" applyAlignment="1">
      <alignment horizontal="left" vertical="center" indent="1"/>
    </xf>
    <xf numFmtId="0" fontId="23" fillId="0" borderId="37" xfId="0" applyFont="1" applyBorder="1" applyAlignment="1">
      <alignment horizontal="center" vertical="center" wrapText="1"/>
    </xf>
    <xf numFmtId="49" fontId="22" fillId="0" borderId="41" xfId="0" applyNumberFormat="1" applyFont="1" applyBorder="1" applyAlignment="1">
      <alignment horizontal="left" vertical="center" indent="1"/>
    </xf>
    <xf numFmtId="49" fontId="22" fillId="0" borderId="44" xfId="0" applyNumberFormat="1" applyFont="1" applyBorder="1" applyAlignment="1">
      <alignment horizontal="left" vertical="center" wrapText="1" indent="1"/>
    </xf>
    <xf numFmtId="0" fontId="114" fillId="0" borderId="44" xfId="0" applyFont="1" applyBorder="1" applyAlignment="1">
      <alignment horizontal="center" vertical="center" wrapText="1"/>
    </xf>
    <xf numFmtId="0" fontId="22" fillId="0" borderId="44" xfId="0" applyFont="1" applyBorder="1" applyAlignment="1">
      <alignment horizontal="center" vertical="center" wrapText="1"/>
    </xf>
    <xf numFmtId="0" fontId="23" fillId="0" borderId="42" xfId="0" applyFont="1" applyBorder="1" applyAlignment="1">
      <alignment horizontal="left" vertical="center" indent="1"/>
    </xf>
    <xf numFmtId="0" fontId="22" fillId="0" borderId="38" xfId="0" applyFont="1" applyBorder="1" applyAlignment="1">
      <alignment horizontal="left" vertical="center" indent="1"/>
    </xf>
    <xf numFmtId="49" fontId="111" fillId="0" borderId="39" xfId="0" applyNumberFormat="1" applyFont="1" applyBorder="1" applyAlignment="1">
      <alignment horizontal="center" vertical="center"/>
    </xf>
    <xf numFmtId="49" fontId="59" fillId="0" borderId="129" xfId="0" applyNumberFormat="1" applyFont="1" applyBorder="1" applyAlignment="1">
      <alignment horizontal="center" vertical="center"/>
    </xf>
    <xf numFmtId="0" fontId="38" fillId="0" borderId="129" xfId="0" applyFont="1" applyBorder="1" applyAlignment="1">
      <alignment horizontal="left" vertical="center" indent="1"/>
    </xf>
    <xf numFmtId="168" fontId="56" fillId="0" borderId="129" xfId="0" applyNumberFormat="1" applyFont="1" applyBorder="1" applyAlignment="1">
      <alignment horizontal="center" vertical="center"/>
    </xf>
    <xf numFmtId="49" fontId="24" fillId="0" borderId="131" xfId="0" applyNumberFormat="1" applyFont="1" applyBorder="1" applyAlignment="1">
      <alignment horizontal="left" vertical="center" indent="1"/>
    </xf>
    <xf numFmtId="168" fontId="56" fillId="0" borderId="74" xfId="0" applyNumberFormat="1" applyFont="1" applyBorder="1" applyAlignment="1">
      <alignment vertical="center"/>
    </xf>
    <xf numFmtId="0" fontId="23" fillId="0" borderId="74" xfId="0" applyFont="1" applyBorder="1" applyAlignment="1">
      <alignment horizontal="left" vertical="center" indent="1"/>
    </xf>
    <xf numFmtId="43" fontId="56" fillId="0" borderId="74" xfId="0" applyNumberFormat="1" applyFont="1" applyBorder="1" applyAlignment="1">
      <alignment vertical="center"/>
    </xf>
    <xf numFmtId="0" fontId="56" fillId="0" borderId="74" xfId="0" applyFont="1" applyBorder="1" applyAlignment="1">
      <alignment vertical="center"/>
    </xf>
    <xf numFmtId="49" fontId="24" fillId="0" borderId="133" xfId="0" applyNumberFormat="1" applyFont="1" applyBorder="1" applyAlignment="1">
      <alignment horizontal="left" vertical="center" indent="1"/>
    </xf>
    <xf numFmtId="168" fontId="56" fillId="0" borderId="134" xfId="0" applyNumberFormat="1" applyFont="1" applyBorder="1" applyAlignment="1">
      <alignment vertical="center"/>
    </xf>
    <xf numFmtId="43" fontId="56" fillId="0" borderId="134" xfId="0" applyNumberFormat="1" applyFont="1" applyBorder="1" applyAlignment="1">
      <alignment vertical="center"/>
    </xf>
    <xf numFmtId="0" fontId="56" fillId="0" borderId="134" xfId="0" applyFont="1" applyBorder="1" applyAlignment="1">
      <alignment vertical="center"/>
    </xf>
    <xf numFmtId="49" fontId="38" fillId="0" borderId="197" xfId="0" applyNumberFormat="1" applyFont="1" applyBorder="1" applyAlignment="1">
      <alignment horizontal="left" vertical="center" wrapText="1" indent="1"/>
    </xf>
    <xf numFmtId="49" fontId="112" fillId="0" borderId="135" xfId="0" applyNumberFormat="1" applyFont="1" applyBorder="1" applyAlignment="1">
      <alignment horizontal="center" vertical="center"/>
    </xf>
    <xf numFmtId="49" fontId="59" fillId="0" borderId="135" xfId="0" applyNumberFormat="1" applyFont="1" applyBorder="1" applyAlignment="1">
      <alignment horizontal="center" vertical="center"/>
    </xf>
    <xf numFmtId="49" fontId="38" fillId="0" borderId="131" xfId="0" applyNumberFormat="1" applyFont="1" applyBorder="1" applyAlignment="1">
      <alignment horizontal="left" vertical="center" indent="1"/>
    </xf>
    <xf numFmtId="43" fontId="56" fillId="0" borderId="74" xfId="0" applyNumberFormat="1" applyFont="1" applyBorder="1" applyAlignment="1">
      <alignment horizontal="center" vertical="center"/>
    </xf>
    <xf numFmtId="49" fontId="38" fillId="0" borderId="139" xfId="0" applyNumberFormat="1" applyFont="1" applyBorder="1" applyAlignment="1">
      <alignment horizontal="left" vertical="center" indent="1"/>
    </xf>
    <xf numFmtId="49" fontId="112" fillId="0" borderId="75" xfId="0" applyNumberFormat="1" applyFont="1" applyBorder="1" applyAlignment="1">
      <alignment horizontal="center" vertical="center"/>
    </xf>
    <xf numFmtId="49" fontId="59" fillId="0" borderId="75" xfId="0" applyNumberFormat="1" applyFont="1" applyBorder="1" applyAlignment="1">
      <alignment horizontal="center" vertical="center"/>
    </xf>
    <xf numFmtId="49" fontId="38" fillId="0" borderId="145" xfId="0" applyNumberFormat="1" applyFont="1" applyBorder="1" applyAlignment="1">
      <alignment horizontal="left" vertical="center" wrapText="1" indent="1"/>
    </xf>
    <xf numFmtId="49" fontId="112" fillId="0" borderId="329" xfId="0" applyNumberFormat="1" applyFont="1" applyBorder="1" applyAlignment="1">
      <alignment horizontal="center" vertical="center"/>
    </xf>
    <xf numFmtId="0" fontId="110" fillId="0" borderId="329" xfId="0" applyFont="1" applyBorder="1" applyAlignment="1">
      <alignment horizontal="left" vertical="center"/>
    </xf>
    <xf numFmtId="168" fontId="56" fillId="0" borderId="329" xfId="0" applyNumberFormat="1" applyFont="1" applyBorder="1" applyAlignment="1">
      <alignment vertical="center"/>
    </xf>
    <xf numFmtId="0" fontId="23" fillId="0" borderId="74" xfId="0" applyFont="1" applyBorder="1" applyAlignment="1">
      <alignment horizontal="left" vertical="center" wrapText="1" indent="1"/>
    </xf>
    <xf numFmtId="49" fontId="24" fillId="0" borderId="139" xfId="0" applyNumberFormat="1" applyFont="1" applyBorder="1" applyAlignment="1">
      <alignment horizontal="left" vertical="center" indent="1"/>
    </xf>
    <xf numFmtId="0" fontId="24" fillId="0" borderId="134" xfId="0" applyFont="1" applyBorder="1" applyAlignment="1">
      <alignment vertical="center" indent="1"/>
    </xf>
    <xf numFmtId="168" fontId="56" fillId="0" borderId="135" xfId="0" applyNumberFormat="1" applyFont="1" applyBorder="1" applyAlignment="1">
      <alignment vertical="center"/>
    </xf>
    <xf numFmtId="49" fontId="38" fillId="0" borderId="131" xfId="0" applyNumberFormat="1" applyFont="1" applyBorder="1" applyAlignment="1">
      <alignment horizontal="left" vertical="center" wrapText="1" indent="1"/>
    </xf>
    <xf numFmtId="0" fontId="56" fillId="0" borderId="84" xfId="0" applyFont="1" applyBorder="1" applyAlignment="1">
      <alignment vertical="center"/>
    </xf>
    <xf numFmtId="0" fontId="24" fillId="0" borderId="75" xfId="0" applyFont="1" applyBorder="1" applyAlignment="1">
      <alignment vertical="center" indent="1"/>
    </xf>
    <xf numFmtId="0" fontId="56" fillId="0" borderId="75" xfId="0" applyFont="1" applyBorder="1" applyAlignment="1">
      <alignment vertical="center"/>
    </xf>
    <xf numFmtId="0" fontId="38" fillId="0" borderId="74" xfId="0" applyFont="1" applyBorder="1" applyAlignment="1">
      <alignment horizontal="left" vertical="center" wrapText="1" indent="1"/>
    </xf>
    <xf numFmtId="0" fontId="24" fillId="0" borderId="74" xfId="0" applyFont="1" applyBorder="1" applyAlignment="1">
      <alignment horizontal="left" vertical="center" indent="1"/>
    </xf>
    <xf numFmtId="49" fontId="24" fillId="0" borderId="559" xfId="0" applyNumberFormat="1" applyFont="1" applyBorder="1" applyAlignment="1">
      <alignment horizontal="left" vertical="center" indent="1"/>
    </xf>
    <xf numFmtId="49" fontId="24" fillId="0" borderId="145" xfId="0" applyNumberFormat="1" applyFont="1" applyBorder="1" applyAlignment="1">
      <alignment horizontal="left" vertical="center" indent="1"/>
    </xf>
    <xf numFmtId="49" fontId="59" fillId="0" borderId="329" xfId="0" applyNumberFormat="1" applyFont="1" applyBorder="1" applyAlignment="1">
      <alignment horizontal="center" vertical="center"/>
    </xf>
    <xf numFmtId="49" fontId="24" fillId="0" borderId="390" xfId="0" applyNumberFormat="1" applyFont="1" applyBorder="1" applyAlignment="1">
      <alignment horizontal="left" vertical="center" indent="1"/>
    </xf>
    <xf numFmtId="49" fontId="59" fillId="0" borderId="140" xfId="0" applyNumberFormat="1" applyFont="1" applyBorder="1" applyAlignment="1">
      <alignment horizontal="center" vertical="center"/>
    </xf>
    <xf numFmtId="39" fontId="38" fillId="0" borderId="86" xfId="0" applyNumberFormat="1" applyFont="1" applyBorder="1" applyAlignment="1">
      <alignment horizontal="left" vertical="center" wrapText="1" indent="1"/>
    </xf>
    <xf numFmtId="3" fontId="24" fillId="0" borderId="86" xfId="0" applyNumberFormat="1" applyFont="1" applyBorder="1" applyAlignment="1">
      <alignment horizontal="center" vertical="center"/>
    </xf>
    <xf numFmtId="49" fontId="38" fillId="0" borderId="86" xfId="0" applyNumberFormat="1" applyFont="1" applyBorder="1" applyAlignment="1">
      <alignment horizontal="right" vertical="center"/>
    </xf>
    <xf numFmtId="39" fontId="24" fillId="0" borderId="84" xfId="0" applyNumberFormat="1" applyFont="1" applyBorder="1" applyAlignment="1">
      <alignment horizontal="left" vertical="center" wrapText="1" indent="1"/>
    </xf>
    <xf numFmtId="39" fontId="38" fillId="0" borderId="84" xfId="0" applyNumberFormat="1" applyFont="1" applyBorder="1" applyAlignment="1">
      <alignment horizontal="left" vertical="center" wrapText="1" indent="1"/>
    </xf>
    <xf numFmtId="49" fontId="38" fillId="0" borderId="84" xfId="0" applyNumberFormat="1" applyFont="1" applyBorder="1" applyAlignment="1">
      <alignment horizontal="right" vertical="center"/>
    </xf>
    <xf numFmtId="0" fontId="38" fillId="0" borderId="595" xfId="0" applyFont="1" applyBorder="1" applyAlignment="1">
      <alignment horizontal="left" vertical="center" wrapText="1" indent="1"/>
    </xf>
    <xf numFmtId="0" fontId="24" fillId="0" borderId="595" xfId="0" applyFont="1" applyBorder="1" applyAlignment="1">
      <alignment horizontal="center" vertical="center" wrapText="1"/>
    </xf>
    <xf numFmtId="49" fontId="38" fillId="0" borderId="595" xfId="0" applyNumberFormat="1" applyFont="1" applyBorder="1" applyAlignment="1">
      <alignment horizontal="right" vertical="center"/>
    </xf>
    <xf numFmtId="39" fontId="24" fillId="0" borderId="595" xfId="0" applyNumberFormat="1" applyFont="1" applyBorder="1" applyAlignment="1">
      <alignment horizontal="center" vertical="center"/>
    </xf>
    <xf numFmtId="49" fontId="38" fillId="0" borderId="34" xfId="0" applyNumberFormat="1" applyFont="1" applyBorder="1" applyAlignment="1">
      <alignment horizontal="right" vertical="center"/>
    </xf>
    <xf numFmtId="39" fontId="24" fillId="0" borderId="34" xfId="0" applyNumberFormat="1" applyFont="1" applyBorder="1" applyAlignment="1">
      <alignment horizontal="center" vertical="center"/>
    </xf>
    <xf numFmtId="49" fontId="38" fillId="0" borderId="37" xfId="0" applyNumberFormat="1" applyFont="1" applyBorder="1" applyAlignment="1">
      <alignment horizontal="right" vertical="center"/>
    </xf>
    <xf numFmtId="39" fontId="24" fillId="0" borderId="37" xfId="0" applyNumberFormat="1" applyFont="1" applyBorder="1" applyAlignment="1">
      <alignment horizontal="center" vertical="center"/>
    </xf>
    <xf numFmtId="39" fontId="38" fillId="0" borderId="39" xfId="0" applyNumberFormat="1" applyFont="1" applyBorder="1" applyAlignment="1">
      <alignment horizontal="left" vertical="center" wrapText="1" indent="1"/>
    </xf>
    <xf numFmtId="49" fontId="38" fillId="0" borderId="39" xfId="0" applyNumberFormat="1" applyFont="1" applyBorder="1" applyAlignment="1">
      <alignment horizontal="right" vertical="center"/>
    </xf>
    <xf numFmtId="39" fontId="24" fillId="0" borderId="39" xfId="0" applyNumberFormat="1" applyFont="1" applyBorder="1" applyAlignment="1">
      <alignment horizontal="center" vertical="center"/>
    </xf>
    <xf numFmtId="39" fontId="24" fillId="0" borderId="34" xfId="0" applyNumberFormat="1" applyFont="1" applyBorder="1" applyAlignment="1">
      <alignment horizontal="left" vertical="center" wrapText="1" indent="1"/>
    </xf>
    <xf numFmtId="39" fontId="24" fillId="0" borderId="86" xfId="0" applyNumberFormat="1" applyFont="1" applyBorder="1" applyAlignment="1">
      <alignment horizontal="right" vertical="center"/>
    </xf>
    <xf numFmtId="39" fontId="24" fillId="0" borderId="84" xfId="0" applyNumberFormat="1" applyFont="1" applyBorder="1" applyAlignment="1">
      <alignment horizontal="center" vertical="center"/>
    </xf>
    <xf numFmtId="0" fontId="24" fillId="0" borderId="84" xfId="0" applyFont="1" applyBorder="1" applyAlignment="1">
      <alignment vertical="center"/>
    </xf>
    <xf numFmtId="49" fontId="24" fillId="0" borderId="84" xfId="0" applyNumberFormat="1" applyFont="1" applyBorder="1" applyAlignment="1">
      <alignment vertical="center"/>
    </xf>
    <xf numFmtId="0" fontId="24" fillId="0" borderId="86" xfId="0" applyFont="1" applyBorder="1" applyAlignment="1">
      <alignment vertical="center"/>
    </xf>
    <xf numFmtId="39" fontId="24" fillId="0" borderId="194" xfId="0" applyNumberFormat="1" applyFont="1" applyBorder="1" applyAlignment="1">
      <alignment horizontal="left" vertical="center" wrapText="1" indent="1"/>
    </xf>
    <xf numFmtId="0" fontId="24" fillId="0" borderId="194" xfId="0" applyFont="1" applyBorder="1" applyAlignment="1">
      <alignment horizontal="center" vertical="center" wrapText="1"/>
    </xf>
    <xf numFmtId="39" fontId="24" fillId="0" borderId="89" xfId="0" applyNumberFormat="1" applyFont="1" applyBorder="1" applyAlignment="1">
      <alignment horizontal="left" vertical="center" wrapText="1" indent="1"/>
    </xf>
    <xf numFmtId="49" fontId="22" fillId="0" borderId="173" xfId="0" applyNumberFormat="1" applyFont="1" applyBorder="1" applyAlignment="1">
      <alignment vertical="center"/>
    </xf>
    <xf numFmtId="0" fontId="111" fillId="0" borderId="39" xfId="0" applyFont="1" applyBorder="1" applyAlignment="1">
      <alignment horizontal="center" vertical="center"/>
    </xf>
    <xf numFmtId="39" fontId="22" fillId="0" borderId="39" xfId="0" applyNumberFormat="1" applyFont="1" applyBorder="1" applyAlignment="1">
      <alignment horizontal="left" vertical="center" wrapText="1" indent="1"/>
    </xf>
    <xf numFmtId="39" fontId="23" fillId="0" borderId="34" xfId="0" applyNumberFormat="1" applyFont="1" applyBorder="1" applyAlignment="1">
      <alignment horizontal="left" vertical="center" wrapText="1" indent="1"/>
    </xf>
    <xf numFmtId="39" fontId="22" fillId="0" borderId="34" xfId="0" applyNumberFormat="1" applyFont="1" applyBorder="1" applyAlignment="1">
      <alignment horizontal="left" vertical="center" wrapText="1" indent="1"/>
    </xf>
    <xf numFmtId="39" fontId="23" fillId="0" borderId="43" xfId="0" applyNumberFormat="1" applyFont="1" applyBorder="1" applyAlignment="1">
      <alignment horizontal="left" vertical="center" wrapText="1" indent="1"/>
    </xf>
    <xf numFmtId="0" fontId="23" fillId="0" borderId="43" xfId="0" applyFont="1" applyBorder="1" applyAlignment="1">
      <alignment horizontal="center" vertical="center" wrapText="1"/>
    </xf>
    <xf numFmtId="0" fontId="38" fillId="0" borderId="34" xfId="0" applyFont="1" applyBorder="1" applyAlignment="1">
      <alignment vertical="center" indent="1"/>
    </xf>
    <xf numFmtId="0" fontId="38" fillId="0" borderId="34" xfId="0" applyFont="1" applyBorder="1"/>
    <xf numFmtId="0" fontId="24" fillId="0" borderId="34" xfId="0" applyFont="1" applyBorder="1" applyAlignment="1">
      <alignment vertical="center" wrapText="1" indent="1"/>
    </xf>
    <xf numFmtId="0" fontId="23" fillId="0" borderId="84" xfId="0" applyFont="1" applyBorder="1" applyAlignment="1">
      <alignment horizontal="center" vertical="center" wrapText="1"/>
    </xf>
    <xf numFmtId="0" fontId="23" fillId="0" borderId="86" xfId="0" applyFont="1" applyBorder="1" applyAlignment="1">
      <alignment horizontal="left" vertical="center" wrapText="1" indent="1"/>
    </xf>
    <xf numFmtId="0" fontId="22" fillId="0" borderId="86" xfId="0" applyFont="1" applyBorder="1" applyAlignment="1">
      <alignment horizontal="left" vertical="center" wrapText="1" indent="1"/>
    </xf>
    <xf numFmtId="0" fontId="23" fillId="0" borderId="84" xfId="0" applyFont="1" applyBorder="1" applyAlignment="1">
      <alignment horizontal="left" vertical="center" wrapText="1" indent="1"/>
    </xf>
    <xf numFmtId="0" fontId="23" fillId="0" borderId="89" xfId="0" applyFont="1" applyBorder="1" applyAlignment="1">
      <alignment horizontal="left" vertical="center" wrapText="1" indent="1"/>
    </xf>
    <xf numFmtId="0" fontId="23" fillId="0" borderId="89" xfId="0" applyFont="1" applyBorder="1" applyAlignment="1">
      <alignment horizontal="center" vertical="center" wrapText="1"/>
    </xf>
    <xf numFmtId="39" fontId="23" fillId="0" borderId="86" xfId="0" applyNumberFormat="1" applyFont="1" applyBorder="1" applyAlignment="1">
      <alignment horizontal="left" vertical="center" wrapText="1" indent="1"/>
    </xf>
    <xf numFmtId="0" fontId="24" fillId="0" borderId="344" xfId="0" applyFont="1" applyBorder="1" applyAlignment="1">
      <alignment indent="1"/>
    </xf>
    <xf numFmtId="0" fontId="129" fillId="0" borderId="160" xfId="0" applyFont="1" applyBorder="1" applyAlignment="1">
      <alignment horizontal="center" vertical="center"/>
    </xf>
    <xf numFmtId="0" fontId="106" fillId="0" borderId="160" xfId="0" applyFont="1" applyBorder="1" applyAlignment="1">
      <alignment horizontal="center" vertical="center" wrapText="1"/>
    </xf>
    <xf numFmtId="0" fontId="23" fillId="0" borderId="160" xfId="0" applyFont="1" applyBorder="1" applyAlignment="1">
      <alignment horizontal="center" vertical="center" wrapText="1"/>
    </xf>
    <xf numFmtId="0" fontId="101" fillId="0" borderId="242" xfId="0" applyFont="1" applyBorder="1" applyAlignment="1">
      <alignment horizontal="center" vertical="center"/>
    </xf>
    <xf numFmtId="0" fontId="38" fillId="0" borderId="43" xfId="0" applyFont="1" applyBorder="1" applyAlignment="1">
      <alignment horizontal="left" vertical="center" wrapText="1" indent="1"/>
    </xf>
    <xf numFmtId="0" fontId="38" fillId="0" borderId="43" xfId="0" applyFont="1" applyBorder="1" applyAlignment="1">
      <alignment horizontal="center" vertical="center" wrapText="1"/>
    </xf>
    <xf numFmtId="0" fontId="38" fillId="0" borderId="297" xfId="0" applyFont="1" applyBorder="1" applyAlignment="1">
      <alignment horizontal="left" vertical="center" wrapText="1" indent="1"/>
    </xf>
    <xf numFmtId="0" fontId="38" fillId="0" borderId="35" xfId="0" applyFont="1" applyBorder="1" applyAlignment="1">
      <alignment horizontal="left" vertical="center" wrapText="1" indent="1"/>
    </xf>
    <xf numFmtId="0" fontId="24" fillId="0" borderId="107" xfId="0" applyFont="1" applyBorder="1" applyAlignment="1">
      <alignment horizontal="left" vertical="center" wrapText="1" indent="1"/>
    </xf>
    <xf numFmtId="168" fontId="24" fillId="0" borderId="107" xfId="0" applyNumberFormat="1" applyFont="1" applyBorder="1" applyAlignment="1">
      <alignment horizontal="center" vertical="center"/>
    </xf>
    <xf numFmtId="0" fontId="38" fillId="0" borderId="234" xfId="0" applyFont="1" applyBorder="1" applyAlignment="1">
      <alignment horizontal="left" vertical="center" wrapText="1" indent="1"/>
    </xf>
    <xf numFmtId="0" fontId="38" fillId="0" borderId="344" xfId="0" applyFont="1" applyBorder="1" applyAlignment="1">
      <alignment horizontal="left" wrapText="1" indent="1"/>
    </xf>
    <xf numFmtId="0" fontId="24" fillId="0" borderId="43" xfId="0" applyFont="1" applyBorder="1" applyAlignment="1">
      <alignment indent="1"/>
    </xf>
    <xf numFmtId="49" fontId="24" fillId="0" borderId="297" xfId="0" applyNumberFormat="1" applyFont="1" applyBorder="1" applyAlignment="1">
      <alignment horizontal="left" vertical="center" indent="1"/>
    </xf>
    <xf numFmtId="0" fontId="38" fillId="0" borderId="237" xfId="0" applyFont="1" applyBorder="1" applyAlignment="1">
      <alignment horizontal="left" vertical="center" indent="1"/>
    </xf>
    <xf numFmtId="0" fontId="38" fillId="0" borderId="345" xfId="0" applyFont="1" applyBorder="1" applyAlignment="1">
      <alignment horizontal="left" indent="1"/>
    </xf>
    <xf numFmtId="0" fontId="38" fillId="0" borderId="240" xfId="0" applyFont="1" applyBorder="1" applyAlignment="1">
      <alignment horizontal="left" vertical="center" indent="1"/>
    </xf>
    <xf numFmtId="0" fontId="38" fillId="0" borderId="241" xfId="0" applyFont="1" applyBorder="1" applyAlignment="1">
      <alignment horizontal="left" vertical="center" wrapText="1" indent="1"/>
    </xf>
    <xf numFmtId="0" fontId="38" fillId="0" borderId="210" xfId="0" applyFont="1" applyBorder="1" applyAlignment="1">
      <alignment horizontal="left" vertical="center" wrapText="1" indent="1"/>
    </xf>
    <xf numFmtId="0" fontId="38" fillId="0" borderId="44" xfId="0" applyFont="1" applyBorder="1" applyAlignment="1">
      <alignment vertical="center" indent="1"/>
    </xf>
    <xf numFmtId="0" fontId="38" fillId="0" borderId="180" xfId="0" applyFont="1" applyBorder="1" applyAlignment="1">
      <alignment horizontal="left" vertical="center" wrapText="1" indent="1"/>
    </xf>
    <xf numFmtId="0" fontId="24" fillId="0" borderId="182" xfId="0" applyFont="1" applyBorder="1" applyAlignment="1">
      <alignment wrapText="1" indent="1"/>
    </xf>
    <xf numFmtId="0" fontId="24" fillId="0" borderId="184" xfId="0" applyFont="1" applyBorder="1" applyAlignment="1">
      <alignment wrapText="1" indent="1"/>
    </xf>
    <xf numFmtId="0" fontId="24" fillId="0" borderId="182" xfId="0" applyFont="1" applyBorder="1" applyAlignment="1">
      <alignment horizontal="left" vertical="center" wrapText="1" indent="1"/>
    </xf>
    <xf numFmtId="0" fontId="24" fillId="0" borderId="184" xfId="0" applyFont="1" applyBorder="1" applyAlignment="1">
      <alignment horizontal="left" vertical="center" wrapText="1" indent="1"/>
    </xf>
    <xf numFmtId="0" fontId="38" fillId="0" borderId="180" xfId="0" applyFont="1" applyBorder="1" applyAlignment="1">
      <alignment vertical="center" wrapText="1" indent="1"/>
    </xf>
    <xf numFmtId="0" fontId="38" fillId="0" borderId="180" xfId="0" applyFont="1" applyBorder="1" applyAlignment="1">
      <alignment vertical="center"/>
    </xf>
    <xf numFmtId="0" fontId="24" fillId="0" borderId="182" xfId="0" applyFont="1" applyBorder="1" applyAlignment="1">
      <alignment vertical="center" wrapText="1" indent="1"/>
    </xf>
    <xf numFmtId="0" fontId="38" fillId="0" borderId="256" xfId="0" applyFont="1" applyBorder="1" applyAlignment="1">
      <alignment horizontal="left" vertical="center" wrapText="1" indent="1"/>
    </xf>
    <xf numFmtId="49" fontId="24" fillId="0" borderId="135" xfId="0" applyNumberFormat="1" applyFont="1" applyBorder="1" applyAlignment="1">
      <alignment horizontal="center" vertical="center" wrapText="1" indent="1"/>
    </xf>
    <xf numFmtId="49" fontId="14" fillId="0" borderId="74" xfId="0" applyNumberFormat="1" applyFont="1" applyBorder="1" applyAlignment="1">
      <alignment horizontal="left" vertical="center" wrapText="1" indent="1"/>
    </xf>
    <xf numFmtId="0" fontId="14" fillId="0" borderId="74" xfId="0" applyFont="1" applyBorder="1" applyAlignment="1">
      <alignment horizontal="left" vertical="center" wrapText="1" indent="1"/>
    </xf>
    <xf numFmtId="0" fontId="24" fillId="0" borderId="129" xfId="0" applyFont="1" applyBorder="1" applyAlignment="1">
      <alignment horizontal="center" vertical="center"/>
    </xf>
    <xf numFmtId="0" fontId="38" fillId="0" borderId="135" xfId="0" applyFont="1" applyBorder="1" applyAlignment="1">
      <alignment horizontal="center" vertical="center" wrapText="1"/>
    </xf>
    <xf numFmtId="0" fontId="58" fillId="0" borderId="367" xfId="0" applyFont="1" applyBorder="1" applyAlignment="1">
      <alignment horizontal="center" vertical="center"/>
    </xf>
    <xf numFmtId="0" fontId="58" fillId="0" borderId="5" xfId="0" applyFont="1" applyBorder="1" applyAlignment="1">
      <alignment horizontal="center" vertical="center"/>
    </xf>
    <xf numFmtId="0" fontId="58" fillId="0" borderId="365" xfId="0" applyFont="1" applyBorder="1" applyAlignment="1">
      <alignment horizontal="center" vertical="center"/>
    </xf>
    <xf numFmtId="168" fontId="24" fillId="0" borderId="256" xfId="0" applyNumberFormat="1" applyFont="1" applyBorder="1" applyAlignment="1">
      <alignment vertical="center" wrapText="1"/>
    </xf>
    <xf numFmtId="0" fontId="33" fillId="0" borderId="182" xfId="0" applyFont="1" applyBorder="1" applyAlignment="1">
      <alignment vertical="center" wrapText="1"/>
    </xf>
    <xf numFmtId="0" fontId="33" fillId="0" borderId="184" xfId="0" applyFont="1" applyBorder="1" applyAlignment="1">
      <alignment vertical="center" wrapText="1"/>
    </xf>
    <xf numFmtId="0" fontId="33" fillId="0" borderId="180" xfId="0" applyFont="1" applyBorder="1" applyAlignment="1">
      <alignment vertical="center" wrapText="1"/>
    </xf>
    <xf numFmtId="0" fontId="39" fillId="0" borderId="180" xfId="0" applyFont="1" applyBorder="1" applyAlignment="1">
      <alignment vertical="center" wrapText="1"/>
    </xf>
    <xf numFmtId="0" fontId="39" fillId="0" borderId="182" xfId="0" applyFont="1" applyBorder="1" applyAlignment="1">
      <alignment vertical="center" wrapText="1"/>
    </xf>
    <xf numFmtId="0" fontId="39" fillId="0" borderId="184" xfId="0" applyFont="1" applyBorder="1" applyAlignment="1">
      <alignment vertical="center" wrapText="1"/>
    </xf>
    <xf numFmtId="49" fontId="99" fillId="26" borderId="621" xfId="13" applyNumberFormat="1" applyFont="1" applyFill="1" applyBorder="1" applyAlignment="1">
      <alignment horizontal="center" vertical="center"/>
    </xf>
    <xf numFmtId="0" fontId="99" fillId="41" borderId="621" xfId="11" applyFont="1" applyFill="1" applyBorder="1" applyAlignment="1">
      <alignment vertical="center"/>
    </xf>
    <xf numFmtId="0" fontId="99" fillId="40" borderId="621" xfId="11" applyFont="1" applyFill="1" applyBorder="1" applyAlignment="1">
      <alignment vertical="center"/>
    </xf>
    <xf numFmtId="0" fontId="99" fillId="40" borderId="621" xfId="11" applyFont="1" applyFill="1" applyBorder="1" applyAlignment="1">
      <alignment horizontal="left" vertical="center"/>
    </xf>
    <xf numFmtId="0" fontId="99" fillId="40" borderId="623" xfId="11" applyFont="1" applyFill="1" applyBorder="1" applyAlignment="1">
      <alignment vertical="center"/>
    </xf>
    <xf numFmtId="0" fontId="179" fillId="0" borderId="344" xfId="11" applyFont="1" applyAlignment="1">
      <alignment horizontal="center" vertical="center"/>
    </xf>
    <xf numFmtId="0" fontId="99" fillId="42" borderId="621" xfId="11" applyFont="1" applyFill="1" applyBorder="1" applyAlignment="1">
      <alignment horizontal="center" vertical="center"/>
    </xf>
    <xf numFmtId="0" fontId="168" fillId="39" borderId="344" xfId="11" applyFill="1" applyAlignment="1">
      <alignment vertical="center"/>
    </xf>
    <xf numFmtId="0" fontId="95" fillId="0" borderId="344" xfId="11" applyFont="1" applyAlignment="1">
      <alignment vertical="center"/>
    </xf>
    <xf numFmtId="168" fontId="99" fillId="43" borderId="621" xfId="11" applyNumberFormat="1" applyFont="1" applyFill="1" applyBorder="1" applyAlignment="1">
      <alignment vertical="center"/>
    </xf>
    <xf numFmtId="168" fontId="99" fillId="29" borderId="621" xfId="11" applyNumberFormat="1" applyFont="1" applyFill="1" applyBorder="1" applyAlignment="1">
      <alignment vertical="center"/>
    </xf>
    <xf numFmtId="168" fontId="99" fillId="43" borderId="619" xfId="11" applyNumberFormat="1" applyFont="1" applyFill="1" applyBorder="1" applyAlignment="1">
      <alignment vertical="center"/>
    </xf>
    <xf numFmtId="0" fontId="168" fillId="0" borderId="344" xfId="11"/>
    <xf numFmtId="0" fontId="158" fillId="0" borderId="344" xfId="0" applyFont="1" applyBorder="1" applyAlignment="1">
      <alignment vertical="center" wrapText="1"/>
    </xf>
    <xf numFmtId="49" fontId="11" fillId="0" borderId="344" xfId="0" applyNumberFormat="1" applyFont="1" applyBorder="1" applyAlignment="1">
      <alignment horizontal="center" vertical="center" wrapText="1"/>
    </xf>
    <xf numFmtId="49" fontId="14" fillId="0" borderId="344" xfId="0" applyNumberFormat="1" applyFont="1" applyBorder="1" applyAlignment="1">
      <alignment horizontal="center" vertical="center" wrapText="1"/>
    </xf>
    <xf numFmtId="0" fontId="3" fillId="0" borderId="344" xfId="0" applyFont="1" applyBorder="1" applyAlignment="1">
      <alignment horizontal="right" vertical="center" wrapText="1"/>
    </xf>
    <xf numFmtId="0" fontId="3" fillId="0" borderId="344" xfId="0" applyFont="1" applyBorder="1" applyAlignment="1">
      <alignment horizontal="left" vertical="center" wrapText="1"/>
    </xf>
    <xf numFmtId="0" fontId="32" fillId="0" borderId="344" xfId="0" applyFont="1" applyBorder="1" applyAlignment="1">
      <alignment vertical="center" wrapText="1"/>
    </xf>
    <xf numFmtId="0" fontId="120" fillId="0" borderId="0" xfId="0" applyFont="1" applyAlignment="1">
      <alignment vertical="center" wrapText="1"/>
    </xf>
    <xf numFmtId="0" fontId="91" fillId="0" borderId="0" xfId="0" applyFont="1" applyAlignment="1">
      <alignment vertical="center" wrapText="1"/>
    </xf>
    <xf numFmtId="4" fontId="0" fillId="0" borderId="0" xfId="0" applyNumberFormat="1" applyAlignment="1">
      <alignment vertical="center" wrapText="1"/>
    </xf>
    <xf numFmtId="2" fontId="0" fillId="0" borderId="0" xfId="0" applyNumberFormat="1" applyAlignment="1">
      <alignment vertical="center" wrapText="1"/>
    </xf>
    <xf numFmtId="169" fontId="3" fillId="0" borderId="344" xfId="0" applyNumberFormat="1" applyFont="1" applyBorder="1" applyAlignment="1">
      <alignment vertical="center" wrapText="1"/>
    </xf>
    <xf numFmtId="171" fontId="0" fillId="0" borderId="0" xfId="0" applyNumberFormat="1" applyAlignment="1">
      <alignment vertical="center" wrapText="1"/>
    </xf>
    <xf numFmtId="0" fontId="147" fillId="0" borderId="0" xfId="0" applyFont="1" applyAlignment="1">
      <alignment horizontal="left" vertical="center" wrapText="1"/>
    </xf>
    <xf numFmtId="0" fontId="147" fillId="44" borderId="7" xfId="0" applyFont="1" applyFill="1" applyBorder="1" applyAlignment="1">
      <alignment horizontal="center" vertical="center" wrapText="1"/>
    </xf>
    <xf numFmtId="0" fontId="13" fillId="0" borderId="10" xfId="0" applyFont="1" applyBorder="1" applyAlignment="1">
      <alignment horizontal="left" vertical="center" wrapText="1"/>
    </xf>
    <xf numFmtId="0" fontId="12" fillId="0" borderId="0" xfId="0" applyFont="1" applyAlignment="1">
      <alignment horizontal="right" vertical="center" wrapText="1"/>
    </xf>
    <xf numFmtId="0" fontId="18" fillId="0" borderId="10" xfId="0" applyFont="1" applyBorder="1" applyAlignment="1">
      <alignment horizontal="left" vertical="center" wrapText="1"/>
    </xf>
    <xf numFmtId="0" fontId="13" fillId="0" borderId="10" xfId="0" applyFont="1" applyBorder="1" applyAlignment="1">
      <alignment vertical="center" wrapText="1"/>
    </xf>
    <xf numFmtId="170" fontId="34" fillId="0" borderId="633" xfId="0" applyNumberFormat="1" applyFont="1" applyBorder="1" applyAlignment="1">
      <alignment horizontal="right" vertical="center" indent="1"/>
    </xf>
    <xf numFmtId="170" fontId="34" fillId="0" borderId="634" xfId="0" applyNumberFormat="1" applyFont="1" applyBorder="1" applyAlignment="1">
      <alignment horizontal="right" vertical="center" indent="1"/>
    </xf>
    <xf numFmtId="170" fontId="34" fillId="0" borderId="635" xfId="0" applyNumberFormat="1" applyFont="1" applyBorder="1" applyAlignment="1">
      <alignment horizontal="right" vertical="center" indent="1"/>
    </xf>
    <xf numFmtId="170" fontId="35" fillId="0" borderId="538" xfId="0" applyNumberFormat="1" applyFont="1" applyBorder="1" applyAlignment="1">
      <alignment horizontal="right" vertical="center" indent="1"/>
    </xf>
    <xf numFmtId="0" fontId="116" fillId="0" borderId="0" xfId="0" applyFont="1"/>
    <xf numFmtId="49" fontId="28" fillId="0" borderId="0" xfId="0" applyNumberFormat="1" applyFont="1" applyAlignment="1">
      <alignment vertical="center"/>
    </xf>
    <xf numFmtId="0" fontId="21" fillId="0" borderId="0" xfId="0" applyFont="1" applyAlignment="1">
      <alignment vertical="center"/>
    </xf>
    <xf numFmtId="0" fontId="30" fillId="0" borderId="0" xfId="0" applyFont="1" applyAlignment="1">
      <alignment horizontal="center" vertical="center" wrapText="1"/>
    </xf>
    <xf numFmtId="171" fontId="21" fillId="0" borderId="0" xfId="0" applyNumberFormat="1" applyFont="1" applyAlignment="1">
      <alignment vertical="center"/>
    </xf>
    <xf numFmtId="49" fontId="21" fillId="0" borderId="0" xfId="0" applyNumberFormat="1" applyFont="1" applyAlignment="1">
      <alignment vertical="center"/>
    </xf>
    <xf numFmtId="0" fontId="31" fillId="0" borderId="0" xfId="0" applyFont="1" applyAlignment="1">
      <alignment vertical="center" wrapText="1"/>
    </xf>
    <xf numFmtId="0" fontId="21" fillId="0" borderId="0" xfId="0" applyFont="1" applyAlignment="1">
      <alignment vertical="center" wrapText="1"/>
    </xf>
    <xf numFmtId="167" fontId="21" fillId="0" borderId="0" xfId="0" applyNumberFormat="1" applyFont="1" applyAlignment="1">
      <alignment vertical="center"/>
    </xf>
    <xf numFmtId="2" fontId="21" fillId="0" borderId="0" xfId="0" applyNumberFormat="1" applyFont="1" applyAlignment="1">
      <alignment vertical="center"/>
    </xf>
    <xf numFmtId="4" fontId="144" fillId="0" borderId="0" xfId="0" applyNumberFormat="1" applyFont="1" applyAlignment="1">
      <alignment vertical="center"/>
    </xf>
    <xf numFmtId="172" fontId="21" fillId="0" borderId="0" xfId="0" applyNumberFormat="1" applyFont="1" applyAlignment="1">
      <alignment vertical="center"/>
    </xf>
    <xf numFmtId="0" fontId="15" fillId="0" borderId="0" xfId="0" applyFont="1"/>
    <xf numFmtId="49" fontId="29" fillId="0" borderId="0" xfId="0" applyNumberFormat="1" applyFont="1" applyAlignment="1">
      <alignment vertical="center"/>
    </xf>
    <xf numFmtId="0" fontId="23" fillId="4" borderId="640" xfId="0" applyFont="1" applyFill="1" applyBorder="1" applyAlignment="1">
      <alignment horizontal="left" vertical="center" indent="1"/>
    </xf>
    <xf numFmtId="0" fontId="23" fillId="4" borderId="484" xfId="0" applyFont="1" applyFill="1" applyBorder="1" applyAlignment="1">
      <alignment horizontal="left" vertical="center" wrapText="1" indent="1"/>
    </xf>
    <xf numFmtId="0" fontId="113" fillId="4" borderId="484" xfId="0" applyFont="1" applyFill="1" applyBorder="1" applyAlignment="1">
      <alignment horizontal="center" vertical="center" wrapText="1"/>
    </xf>
    <xf numFmtId="0" fontId="23" fillId="4" borderId="484" xfId="0" applyFont="1" applyFill="1" applyBorder="1" applyAlignment="1">
      <alignment horizontal="center" vertical="center" wrapText="1"/>
    </xf>
    <xf numFmtId="49" fontId="22" fillId="4" borderId="484" xfId="0" applyNumberFormat="1" applyFont="1" applyFill="1" applyBorder="1" applyAlignment="1">
      <alignment vertical="center"/>
    </xf>
    <xf numFmtId="49" fontId="23" fillId="4" borderId="484" xfId="0" applyNumberFormat="1" applyFont="1" applyFill="1" applyBorder="1" applyAlignment="1">
      <alignment horizontal="center" vertical="center"/>
    </xf>
    <xf numFmtId="0" fontId="21" fillId="0" borderId="54" xfId="0" applyFont="1" applyBorder="1" applyAlignment="1">
      <alignment vertical="center"/>
    </xf>
    <xf numFmtId="0" fontId="38" fillId="0" borderId="0" xfId="0" applyFont="1" applyAlignment="1">
      <alignment horizontal="center" vertical="center" wrapText="1"/>
    </xf>
    <xf numFmtId="49" fontId="38" fillId="0" borderId="0" xfId="0" applyNumberFormat="1" applyFont="1" applyAlignment="1">
      <alignment horizontal="center" vertical="center" wrapText="1"/>
    </xf>
    <xf numFmtId="168" fontId="24" fillId="0" borderId="0" xfId="0" applyNumberFormat="1" applyFont="1" applyAlignment="1">
      <alignment vertical="center"/>
    </xf>
    <xf numFmtId="168" fontId="38" fillId="0" borderId="0" xfId="0" applyNumberFormat="1" applyFont="1" applyAlignment="1">
      <alignment horizontal="center" vertical="center"/>
    </xf>
    <xf numFmtId="49" fontId="38" fillId="0" borderId="0" xfId="0" applyNumberFormat="1" applyFont="1" applyAlignment="1">
      <alignment horizontal="center" vertical="center"/>
    </xf>
    <xf numFmtId="168" fontId="24" fillId="0" borderId="0" xfId="0" applyNumberFormat="1" applyFont="1" applyAlignment="1">
      <alignment horizontal="center" vertical="center"/>
    </xf>
    <xf numFmtId="0" fontId="116" fillId="0" borderId="344" xfId="0" applyFont="1" applyBorder="1"/>
    <xf numFmtId="49" fontId="45" fillId="0" borderId="0" xfId="0" applyNumberFormat="1" applyFont="1" applyAlignment="1">
      <alignment horizontal="center" vertical="center"/>
    </xf>
    <xf numFmtId="0" fontId="45" fillId="0" borderId="0" xfId="0" applyFont="1" applyAlignment="1">
      <alignment horizontal="center" vertical="center"/>
    </xf>
    <xf numFmtId="49" fontId="32" fillId="0" borderId="0" xfId="0" applyNumberFormat="1" applyFont="1" applyAlignment="1">
      <alignment horizontal="center" vertical="center"/>
    </xf>
    <xf numFmtId="4" fontId="39" fillId="0" borderId="0" xfId="0" applyNumberFormat="1" applyFont="1" applyAlignment="1">
      <alignment horizontal="right"/>
    </xf>
    <xf numFmtId="49" fontId="33" fillId="0" borderId="0" xfId="0" applyNumberFormat="1" applyFont="1"/>
    <xf numFmtId="39" fontId="32" fillId="0" borderId="0" xfId="0" applyNumberFormat="1" applyFont="1" applyAlignment="1">
      <alignment horizontal="center" vertical="center"/>
    </xf>
    <xf numFmtId="174" fontId="32" fillId="0" borderId="0" xfId="0" applyNumberFormat="1" applyFont="1" applyAlignment="1">
      <alignment horizontal="center" vertical="center"/>
    </xf>
    <xf numFmtId="4" fontId="34" fillId="0" borderId="0" xfId="0" applyNumberFormat="1" applyFont="1" applyAlignment="1">
      <alignment horizontal="right" vertical="center"/>
    </xf>
    <xf numFmtId="44" fontId="32" fillId="0" borderId="0" xfId="0" applyNumberFormat="1" applyFont="1" applyAlignment="1">
      <alignment horizontal="center" vertical="center"/>
    </xf>
    <xf numFmtId="0" fontId="33" fillId="0" borderId="0" xfId="0" applyFont="1"/>
    <xf numFmtId="0" fontId="62" fillId="0" borderId="0" xfId="0" applyFont="1" applyAlignment="1">
      <alignment horizontal="center" vertical="center" textRotation="90" wrapText="1"/>
    </xf>
    <xf numFmtId="49" fontId="24" fillId="0" borderId="649" xfId="0" applyNumberFormat="1" applyFont="1" applyBorder="1" applyAlignment="1">
      <alignment horizontal="center" vertical="center"/>
    </xf>
    <xf numFmtId="49" fontId="70" fillId="17" borderId="649" xfId="0" applyNumberFormat="1" applyFont="1" applyFill="1" applyBorder="1" applyAlignment="1">
      <alignment vertical="center"/>
    </xf>
    <xf numFmtId="0" fontId="70" fillId="17" borderId="649" xfId="0" applyFont="1" applyFill="1" applyBorder="1" applyAlignment="1">
      <alignment horizontal="center" vertical="center" wrapText="1"/>
    </xf>
    <xf numFmtId="49" fontId="70" fillId="0" borderId="649" xfId="0" applyNumberFormat="1" applyFont="1" applyBorder="1" applyAlignment="1">
      <alignment horizontal="center" vertical="center"/>
    </xf>
    <xf numFmtId="0" fontId="70" fillId="17" borderId="34" xfId="0" applyFont="1" applyFill="1" applyBorder="1" applyAlignment="1">
      <alignment horizontal="center" vertical="center" wrapText="1"/>
    </xf>
    <xf numFmtId="49" fontId="70" fillId="17" borderId="34" xfId="0" applyNumberFormat="1" applyFont="1" applyFill="1" applyBorder="1" applyAlignment="1">
      <alignment vertical="center"/>
    </xf>
    <xf numFmtId="49" fontId="70" fillId="0" borderId="34" xfId="0" applyNumberFormat="1" applyFont="1" applyBorder="1" applyAlignment="1">
      <alignment horizontal="center" vertical="center"/>
    </xf>
    <xf numFmtId="0" fontId="70" fillId="0" borderId="33" xfId="0" applyFont="1" applyBorder="1" applyAlignment="1">
      <alignment vertical="center"/>
    </xf>
    <xf numFmtId="168" fontId="11" fillId="0" borderId="0" xfId="0" applyNumberFormat="1" applyFont="1" applyAlignment="1">
      <alignment horizontal="center" vertical="center"/>
    </xf>
    <xf numFmtId="4" fontId="14" fillId="0" borderId="0" xfId="0" applyNumberFormat="1" applyFont="1" applyAlignment="1">
      <alignment horizontal="center" vertical="center"/>
    </xf>
    <xf numFmtId="49" fontId="14" fillId="0" borderId="0" xfId="0" applyNumberFormat="1" applyFont="1" applyAlignment="1">
      <alignment horizontal="right"/>
    </xf>
    <xf numFmtId="171" fontId="45" fillId="0" borderId="0" xfId="0" applyNumberFormat="1" applyFont="1" applyAlignment="1">
      <alignment horizontal="center" vertical="center"/>
    </xf>
    <xf numFmtId="49" fontId="39" fillId="0" borderId="0" xfId="0" applyNumberFormat="1" applyFont="1" applyAlignment="1">
      <alignment horizontal="right"/>
    </xf>
    <xf numFmtId="0" fontId="70" fillId="0" borderId="84" xfId="0" applyFont="1" applyBorder="1" applyAlignment="1">
      <alignment horizontal="center" vertical="center" wrapText="1"/>
    </xf>
    <xf numFmtId="0" fontId="70" fillId="17" borderId="74" xfId="0" applyFont="1" applyFill="1" applyBorder="1" applyAlignment="1">
      <alignment horizontal="center" vertical="center" wrapText="1"/>
    </xf>
    <xf numFmtId="0" fontId="70" fillId="17" borderId="84" xfId="0" applyFont="1" applyFill="1" applyBorder="1" applyAlignment="1">
      <alignment horizontal="center" vertical="center" wrapText="1"/>
    </xf>
    <xf numFmtId="0" fontId="70" fillId="17" borderId="486" xfId="0" applyFont="1" applyFill="1" applyBorder="1" applyAlignment="1">
      <alignment horizontal="center" vertical="center" wrapText="1"/>
    </xf>
    <xf numFmtId="0" fontId="70" fillId="17" borderId="486" xfId="0" applyFont="1" applyFill="1" applyBorder="1" applyAlignment="1">
      <alignment horizontal="left" vertical="center" wrapText="1" indent="1"/>
    </xf>
    <xf numFmtId="0" fontId="153" fillId="17" borderId="486" xfId="0" applyFont="1" applyFill="1" applyBorder="1" applyAlignment="1">
      <alignment horizontal="center" vertical="center" wrapText="1"/>
    </xf>
    <xf numFmtId="39" fontId="70" fillId="17" borderId="84" xfId="0" applyNumberFormat="1" applyFont="1" applyFill="1" applyBorder="1" applyAlignment="1">
      <alignment horizontal="left" vertical="center" wrapText="1" indent="1"/>
    </xf>
    <xf numFmtId="39" fontId="70" fillId="17" borderId="84" xfId="0" applyNumberFormat="1" applyFont="1" applyFill="1" applyBorder="1" applyAlignment="1">
      <alignment horizontal="center" vertical="center"/>
    </xf>
    <xf numFmtId="0" fontId="70" fillId="17" borderId="33" xfId="0" applyFont="1" applyFill="1" applyBorder="1" applyAlignment="1">
      <alignment horizontal="left" vertical="center" wrapText="1" indent="1"/>
    </xf>
    <xf numFmtId="49" fontId="0" fillId="0" borderId="344" xfId="0" applyNumberFormat="1" applyBorder="1"/>
    <xf numFmtId="4" fontId="39" fillId="0" borderId="0" xfId="0" applyNumberFormat="1" applyFont="1" applyAlignment="1">
      <alignment horizontal="right" vertical="center"/>
    </xf>
    <xf numFmtId="180" fontId="14" fillId="0" borderId="0" xfId="0" applyNumberFormat="1" applyFont="1"/>
    <xf numFmtId="0" fontId="211" fillId="0" borderId="0" xfId="0" applyFont="1"/>
    <xf numFmtId="0" fontId="38" fillId="0" borderId="177" xfId="0" applyFont="1" applyBorder="1" applyAlignment="1">
      <alignment horizontal="left" vertical="center" wrapText="1" indent="1"/>
    </xf>
    <xf numFmtId="0" fontId="24" fillId="0" borderId="177" xfId="0" applyFont="1" applyBorder="1" applyAlignment="1">
      <alignment horizontal="center" vertical="center" wrapText="1"/>
    </xf>
    <xf numFmtId="0" fontId="61" fillId="17" borderId="174" xfId="0" applyFont="1" applyFill="1" applyBorder="1" applyAlignment="1">
      <alignment horizontal="left" vertical="center" wrapText="1" indent="1"/>
    </xf>
    <xf numFmtId="0" fontId="61" fillId="17" borderId="84" xfId="0" applyFont="1" applyFill="1" applyBorder="1" applyAlignment="1">
      <alignment horizontal="left" vertical="center" wrapText="1" indent="1"/>
    </xf>
    <xf numFmtId="2" fontId="34" fillId="0" borderId="0" xfId="0" applyNumberFormat="1" applyFont="1" applyAlignment="1">
      <alignment horizontal="right" vertical="center"/>
    </xf>
    <xf numFmtId="0" fontId="39" fillId="0" borderId="0" xfId="0" applyFont="1" applyAlignment="1">
      <alignment horizontal="right" vertical="center"/>
    </xf>
    <xf numFmtId="49" fontId="70" fillId="4" borderId="37" xfId="0" applyNumberFormat="1" applyFont="1" applyFill="1" applyBorder="1" applyAlignment="1">
      <alignment horizontal="center" vertical="center"/>
    </xf>
    <xf numFmtId="0" fontId="70" fillId="0" borderId="37" xfId="0" applyFont="1" applyBorder="1" applyAlignment="1">
      <alignment horizontal="left" vertical="center" wrapText="1" indent="1"/>
    </xf>
    <xf numFmtId="0" fontId="86" fillId="0" borderId="0" xfId="0" applyFont="1" applyAlignment="1">
      <alignment horizontal="center" vertical="center"/>
    </xf>
    <xf numFmtId="0" fontId="84" fillId="0" borderId="0" xfId="0" applyFont="1" applyAlignment="1">
      <alignment horizontal="center" vertical="center"/>
    </xf>
    <xf numFmtId="0" fontId="84" fillId="0" borderId="0" xfId="0" applyFont="1" applyAlignment="1">
      <alignment horizontal="center"/>
    </xf>
    <xf numFmtId="0" fontId="24" fillId="0" borderId="0" xfId="0" applyFont="1" applyAlignment="1">
      <alignment horizontal="right"/>
    </xf>
    <xf numFmtId="1" fontId="24" fillId="0" borderId="0" xfId="0" applyNumberFormat="1" applyFont="1" applyAlignment="1">
      <alignment horizontal="center"/>
    </xf>
    <xf numFmtId="0" fontId="24" fillId="0" borderId="0" xfId="0" applyFont="1" applyAlignment="1">
      <alignment horizontal="right" wrapText="1"/>
    </xf>
    <xf numFmtId="0" fontId="24" fillId="0" borderId="0" xfId="0" applyFont="1" applyAlignment="1">
      <alignment horizontal="center"/>
    </xf>
    <xf numFmtId="1" fontId="24" fillId="0" borderId="0" xfId="0" applyNumberFormat="1" applyFont="1" applyAlignment="1">
      <alignment horizontal="center" wrapText="1"/>
    </xf>
    <xf numFmtId="0" fontId="123" fillId="0" borderId="0" xfId="0" applyFont="1" applyAlignment="1">
      <alignment horizontal="center" vertical="center"/>
    </xf>
    <xf numFmtId="0" fontId="121" fillId="0" borderId="0" xfId="0" applyFont="1" applyAlignment="1">
      <alignment horizontal="center" vertical="center"/>
    </xf>
    <xf numFmtId="168" fontId="121" fillId="0" borderId="0" xfId="0" applyNumberFormat="1" applyFont="1" applyAlignment="1">
      <alignment horizontal="center" vertical="center"/>
    </xf>
    <xf numFmtId="0" fontId="103" fillId="17" borderId="654" xfId="0" applyFont="1" applyFill="1" applyBorder="1" applyAlignment="1">
      <alignment horizontal="left" vertical="center" wrapText="1" indent="1"/>
    </xf>
    <xf numFmtId="0" fontId="103" fillId="17" borderId="5" xfId="0" applyFont="1" applyFill="1" applyBorder="1" applyAlignment="1">
      <alignment horizontal="left" vertical="center" wrapText="1" indent="1"/>
    </xf>
    <xf numFmtId="49" fontId="104" fillId="17" borderId="5" xfId="0" applyNumberFormat="1" applyFont="1" applyFill="1" applyBorder="1" applyAlignment="1">
      <alignment horizontal="center" vertical="center"/>
    </xf>
    <xf numFmtId="168" fontId="24" fillId="0" borderId="43" xfId="0" applyNumberFormat="1" applyFont="1" applyBorder="1" applyAlignment="1">
      <alignment horizontal="center" vertical="center"/>
    </xf>
    <xf numFmtId="0" fontId="61" fillId="0" borderId="313" xfId="0" applyFont="1" applyBorder="1" applyAlignment="1">
      <alignment horizontal="left" vertical="center" wrapText="1" indent="1"/>
    </xf>
    <xf numFmtId="168" fontId="38" fillId="0" borderId="484" xfId="0" applyNumberFormat="1" applyFont="1" applyBorder="1" applyAlignment="1">
      <alignment vertical="center"/>
    </xf>
    <xf numFmtId="0" fontId="24" fillId="0" borderId="484" xfId="0" applyFont="1" applyBorder="1" applyAlignment="1">
      <alignment horizontal="center" vertical="center" wrapText="1"/>
    </xf>
    <xf numFmtId="49" fontId="24" fillId="0" borderId="484" xfId="0" applyNumberFormat="1" applyFont="1" applyBorder="1" applyAlignment="1">
      <alignment horizontal="center" vertical="center"/>
    </xf>
    <xf numFmtId="168" fontId="14" fillId="0" borderId="0" xfId="0" applyNumberFormat="1" applyFont="1"/>
    <xf numFmtId="168" fontId="38" fillId="0" borderId="177" xfId="0" applyNumberFormat="1" applyFont="1" applyBorder="1" applyAlignment="1">
      <alignment vertical="center"/>
    </xf>
    <xf numFmtId="49" fontId="24" fillId="0" borderId="177" xfId="0" applyNumberFormat="1" applyFont="1" applyBorder="1" applyAlignment="1">
      <alignment horizontal="center" vertical="center"/>
    </xf>
    <xf numFmtId="0" fontId="38" fillId="0" borderId="640" xfId="0" applyFont="1" applyBorder="1" applyAlignment="1">
      <alignment horizontal="left" vertical="center" indent="1"/>
    </xf>
    <xf numFmtId="0" fontId="24" fillId="0" borderId="484" xfId="0" applyFont="1" applyBorder="1" applyAlignment="1">
      <alignment horizontal="left" vertical="center" wrapText="1" indent="1"/>
    </xf>
    <xf numFmtId="0" fontId="38" fillId="0" borderId="658" xfId="0" applyFont="1" applyBorder="1" applyAlignment="1">
      <alignment horizontal="left" vertical="center" wrapText="1" indent="1"/>
    </xf>
    <xf numFmtId="0" fontId="24" fillId="0" borderId="660" xfId="0" applyFont="1" applyBorder="1" applyAlignment="1">
      <alignment horizontal="left" vertical="center" wrapText="1" indent="1"/>
    </xf>
    <xf numFmtId="0" fontId="24" fillId="0" borderId="660" xfId="0" applyFont="1" applyBorder="1" applyAlignment="1">
      <alignment horizontal="center" vertical="center" wrapText="1"/>
    </xf>
    <xf numFmtId="168" fontId="38" fillId="0" borderId="660" xfId="0" applyNumberFormat="1" applyFont="1" applyBorder="1" applyAlignment="1">
      <alignment vertical="center"/>
    </xf>
    <xf numFmtId="49" fontId="24" fillId="0" borderId="660" xfId="0" applyNumberFormat="1" applyFont="1" applyBorder="1" applyAlignment="1">
      <alignment horizontal="center" vertical="center"/>
    </xf>
    <xf numFmtId="49" fontId="70" fillId="4" borderId="34" xfId="0" applyNumberFormat="1" applyFont="1" applyFill="1" applyBorder="1" applyAlignment="1">
      <alignment horizontal="center" vertical="center"/>
    </xf>
    <xf numFmtId="0" fontId="24" fillId="24" borderId="34" xfId="0" applyFont="1" applyFill="1" applyBorder="1" applyAlignment="1">
      <alignment horizontal="left" vertical="center" wrapText="1" indent="1"/>
    </xf>
    <xf numFmtId="0" fontId="24" fillId="24" borderId="34" xfId="0" applyFont="1" applyFill="1" applyBorder="1" applyAlignment="1">
      <alignment horizontal="left" vertical="center" indent="1"/>
    </xf>
    <xf numFmtId="0" fontId="33" fillId="0" borderId="344" xfId="0" applyFont="1" applyBorder="1" applyAlignment="1">
      <alignment wrapText="1"/>
    </xf>
    <xf numFmtId="0" fontId="70" fillId="4" borderId="84" xfId="0" applyFont="1" applyFill="1" applyBorder="1" applyAlignment="1">
      <alignment horizontal="center" vertical="center" wrapText="1"/>
    </xf>
    <xf numFmtId="39" fontId="61" fillId="17" borderId="173" xfId="0" applyNumberFormat="1" applyFont="1" applyFill="1" applyBorder="1" applyAlignment="1">
      <alignment horizontal="left" vertical="center" wrapText="1" indent="1"/>
    </xf>
    <xf numFmtId="0" fontId="61" fillId="17" borderId="33" xfId="0" applyFont="1" applyFill="1" applyBorder="1" applyAlignment="1">
      <alignment horizontal="left" vertical="center" wrapText="1" indent="1"/>
    </xf>
    <xf numFmtId="0" fontId="14" fillId="0" borderId="0" xfId="0" applyFont="1" applyAlignment="1">
      <alignment horizontal="center" vertical="center" wrapText="1"/>
    </xf>
    <xf numFmtId="49" fontId="14" fillId="0" borderId="0" xfId="0" applyNumberFormat="1" applyFont="1" applyAlignment="1">
      <alignment horizontal="center" vertical="center" wrapText="1"/>
    </xf>
    <xf numFmtId="0" fontId="78" fillId="0" borderId="0" xfId="0" applyFont="1" applyAlignment="1">
      <alignment vertical="center"/>
    </xf>
    <xf numFmtId="2" fontId="174" fillId="0" borderId="0" xfId="0" applyNumberFormat="1" applyFont="1" applyAlignment="1">
      <alignment vertical="center"/>
    </xf>
    <xf numFmtId="49" fontId="78" fillId="0" borderId="0" xfId="0" applyNumberFormat="1" applyFont="1" applyAlignment="1">
      <alignment vertical="center"/>
    </xf>
    <xf numFmtId="0" fontId="79" fillId="0" borderId="0" xfId="0" applyFont="1" applyAlignment="1">
      <alignment vertical="center"/>
    </xf>
    <xf numFmtId="0" fontId="50" fillId="0" borderId="0" xfId="0" applyFont="1" applyAlignment="1">
      <alignment vertical="center"/>
    </xf>
    <xf numFmtId="0" fontId="33" fillId="0" borderId="344" xfId="0" applyFont="1" applyBorder="1" applyAlignment="1">
      <alignment vertical="center"/>
    </xf>
    <xf numFmtId="168" fontId="146" fillId="0" borderId="344" xfId="0" applyNumberFormat="1" applyFont="1" applyBorder="1" applyAlignment="1">
      <alignment horizontal="left" vertical="center"/>
    </xf>
    <xf numFmtId="4" fontId="33" fillId="0" borderId="344" xfId="0" applyNumberFormat="1" applyFont="1" applyBorder="1" applyAlignment="1">
      <alignment vertical="center"/>
    </xf>
    <xf numFmtId="0" fontId="32" fillId="0" borderId="344" xfId="0" applyFont="1" applyBorder="1" applyAlignment="1">
      <alignment horizontal="center" vertical="center"/>
    </xf>
    <xf numFmtId="39" fontId="32" fillId="0" borderId="344" xfId="0" applyNumberFormat="1" applyFont="1" applyBorder="1" applyAlignment="1">
      <alignment vertical="center"/>
    </xf>
    <xf numFmtId="0" fontId="80" fillId="0" borderId="344" xfId="0" applyFont="1" applyBorder="1" applyAlignment="1">
      <alignment vertical="center"/>
    </xf>
    <xf numFmtId="1" fontId="80" fillId="0" borderId="344" xfId="0" applyNumberFormat="1" applyFont="1" applyBorder="1" applyAlignment="1">
      <alignment vertical="center"/>
    </xf>
    <xf numFmtId="0" fontId="80" fillId="0" borderId="344" xfId="0" applyFont="1" applyBorder="1" applyAlignment="1">
      <alignment horizontal="center" vertical="center"/>
    </xf>
    <xf numFmtId="0" fontId="36" fillId="0" borderId="344" xfId="0" applyFont="1" applyBorder="1" applyAlignment="1">
      <alignment vertical="center"/>
    </xf>
    <xf numFmtId="0" fontId="76" fillId="0" borderId="0" xfId="0" applyFont="1" applyAlignment="1">
      <alignment vertical="center"/>
    </xf>
    <xf numFmtId="0" fontId="51" fillId="0" borderId="0" xfId="0" applyFont="1" applyAlignment="1">
      <alignment vertical="center"/>
    </xf>
    <xf numFmtId="0" fontId="77" fillId="0" borderId="0" xfId="0" applyFont="1" applyAlignment="1">
      <alignment vertical="center"/>
    </xf>
    <xf numFmtId="0" fontId="29" fillId="0" borderId="344" xfId="0" applyFont="1" applyBorder="1" applyAlignment="1">
      <alignment vertical="center" wrapText="1"/>
    </xf>
    <xf numFmtId="39" fontId="29" fillId="0" borderId="344" xfId="0" applyNumberFormat="1" applyFont="1" applyBorder="1" applyAlignment="1">
      <alignment vertical="center" wrapText="1"/>
    </xf>
    <xf numFmtId="0" fontId="50" fillId="0" borderId="0" xfId="0" applyFont="1" applyAlignment="1">
      <alignment vertical="center" wrapText="1"/>
    </xf>
    <xf numFmtId="0" fontId="91" fillId="0" borderId="0" xfId="0" applyFont="1" applyAlignment="1">
      <alignment wrapText="1"/>
    </xf>
    <xf numFmtId="0" fontId="28" fillId="0" borderId="0" xfId="0" applyFont="1" applyAlignment="1">
      <alignment horizontal="right" vertical="center" wrapText="1"/>
    </xf>
    <xf numFmtId="0" fontId="29" fillId="0" borderId="0" xfId="0" applyFont="1" applyAlignment="1">
      <alignment horizontal="center" vertical="center" wrapText="1"/>
    </xf>
    <xf numFmtId="168" fontId="14" fillId="0" borderId="344" xfId="0" applyNumberFormat="1" applyFont="1" applyBorder="1" applyAlignment="1">
      <alignment vertical="center" wrapText="1"/>
    </xf>
    <xf numFmtId="173" fontId="14" fillId="0" borderId="344" xfId="0" applyNumberFormat="1" applyFont="1" applyBorder="1" applyAlignment="1">
      <alignment vertical="center" wrapText="1"/>
    </xf>
    <xf numFmtId="39" fontId="14" fillId="0" borderId="344" xfId="0" applyNumberFormat="1" applyFont="1" applyBorder="1" applyAlignment="1">
      <alignment vertical="center" wrapText="1"/>
    </xf>
    <xf numFmtId="168" fontId="29" fillId="0" borderId="344" xfId="0" applyNumberFormat="1" applyFont="1" applyBorder="1" applyAlignment="1">
      <alignment vertical="center" wrapText="1"/>
    </xf>
    <xf numFmtId="174" fontId="29" fillId="0" borderId="344" xfId="0" applyNumberFormat="1" applyFont="1" applyBorder="1" applyAlignment="1">
      <alignment vertical="center" wrapText="1"/>
    </xf>
    <xf numFmtId="44" fontId="29" fillId="0" borderId="344" xfId="0" applyNumberFormat="1" applyFont="1" applyBorder="1" applyAlignment="1">
      <alignment vertical="center" wrapText="1"/>
    </xf>
    <xf numFmtId="44" fontId="14" fillId="0" borderId="0" xfId="0" applyNumberFormat="1" applyFont="1" applyAlignment="1">
      <alignment vertical="center" wrapText="1"/>
    </xf>
    <xf numFmtId="14" fontId="14" fillId="0" borderId="344" xfId="0" applyNumberFormat="1" applyFont="1" applyBorder="1" applyAlignment="1">
      <alignment horizontal="left" vertical="center" wrapText="1"/>
    </xf>
    <xf numFmtId="168" fontId="104" fillId="3" borderId="549" xfId="0" applyNumberFormat="1" applyFont="1" applyFill="1" applyBorder="1" applyAlignment="1">
      <alignment horizontal="right" vertical="center" wrapText="1" indent="1"/>
    </xf>
    <xf numFmtId="168" fontId="104" fillId="3" borderId="543" xfId="0" applyNumberFormat="1" applyFont="1" applyFill="1" applyBorder="1" applyAlignment="1">
      <alignment horizontal="right" vertical="center" wrapText="1" indent="1"/>
    </xf>
    <xf numFmtId="49" fontId="14" fillId="0" borderId="187" xfId="0" applyNumberFormat="1" applyFont="1" applyBorder="1" applyAlignment="1">
      <alignment horizontal="center" vertical="center" wrapText="1"/>
    </xf>
    <xf numFmtId="175" fontId="14" fillId="0" borderId="0" xfId="0" applyNumberFormat="1" applyFont="1" applyAlignment="1">
      <alignment horizontal="center" vertical="center"/>
    </xf>
    <xf numFmtId="168" fontId="145" fillId="0" borderId="0" xfId="0" applyNumberFormat="1" applyFont="1" applyAlignment="1">
      <alignment vertical="center"/>
    </xf>
    <xf numFmtId="2" fontId="14" fillId="0" borderId="0" xfId="0" applyNumberFormat="1" applyFont="1" applyAlignment="1">
      <alignment horizontal="right" vertical="center"/>
    </xf>
    <xf numFmtId="168" fontId="14" fillId="0" borderId="0" xfId="0" applyNumberFormat="1" applyFont="1" applyAlignment="1">
      <alignment vertical="center" wrapText="1"/>
    </xf>
    <xf numFmtId="49" fontId="14" fillId="0" borderId="0" xfId="0" applyNumberFormat="1" applyFont="1" applyAlignment="1">
      <alignment horizontal="left" vertical="center"/>
    </xf>
    <xf numFmtId="0" fontId="14" fillId="0" borderId="0" xfId="0" applyFont="1" applyAlignment="1">
      <alignment wrapText="1"/>
    </xf>
    <xf numFmtId="168" fontId="14" fillId="0" borderId="0" xfId="0" applyNumberFormat="1" applyFont="1" applyAlignment="1">
      <alignment horizontal="right"/>
    </xf>
    <xf numFmtId="1" fontId="24" fillId="0" borderId="0" xfId="0" applyNumberFormat="1" applyFont="1" applyAlignment="1">
      <alignment horizontal="center" vertical="center" wrapText="1"/>
    </xf>
    <xf numFmtId="177" fontId="14" fillId="0" borderId="344" xfId="0" applyNumberFormat="1" applyFont="1" applyBorder="1" applyAlignment="1">
      <alignment horizontal="left" vertical="center"/>
    </xf>
    <xf numFmtId="0" fontId="44" fillId="0" borderId="0" xfId="0" applyFont="1" applyAlignment="1">
      <alignment horizontal="right" vertical="center"/>
    </xf>
    <xf numFmtId="0" fontId="44" fillId="0" borderId="0" xfId="0" applyFont="1" applyAlignment="1">
      <alignment horizontal="center" vertical="center"/>
    </xf>
    <xf numFmtId="49" fontId="44" fillId="0" borderId="0" xfId="0" applyNumberFormat="1" applyFont="1" applyAlignment="1">
      <alignment horizontal="right" vertical="center"/>
    </xf>
    <xf numFmtId="49" fontId="44" fillId="0" borderId="0" xfId="0" applyNumberFormat="1" applyFont="1" applyAlignment="1">
      <alignment horizontal="right"/>
    </xf>
    <xf numFmtId="0" fontId="44" fillId="0" borderId="0" xfId="0" applyFont="1" applyAlignment="1">
      <alignment horizontal="center"/>
    </xf>
    <xf numFmtId="0" fontId="44" fillId="0" borderId="0" xfId="0" applyFont="1" applyAlignment="1">
      <alignment wrapText="1"/>
    </xf>
    <xf numFmtId="0" fontId="24" fillId="0" borderId="0" xfId="0" applyFont="1" applyAlignment="1">
      <alignment wrapText="1"/>
    </xf>
    <xf numFmtId="0" fontId="51" fillId="0" borderId="0" xfId="0" applyFont="1" applyAlignment="1">
      <alignment vertical="center" wrapText="1"/>
    </xf>
    <xf numFmtId="0" fontId="81" fillId="0" borderId="0" xfId="0" applyFont="1" applyAlignment="1">
      <alignment vertical="center" wrapText="1"/>
    </xf>
    <xf numFmtId="49" fontId="81" fillId="0" borderId="0" xfId="0" applyNumberFormat="1" applyFont="1" applyAlignment="1">
      <alignment vertical="center" wrapText="1"/>
    </xf>
    <xf numFmtId="49" fontId="44" fillId="0" borderId="0" xfId="0" applyNumberFormat="1" applyFont="1" applyAlignment="1">
      <alignment vertical="center" wrapText="1"/>
    </xf>
    <xf numFmtId="0" fontId="80" fillId="0" borderId="0" xfId="0" applyFont="1" applyAlignment="1">
      <alignment vertical="center" wrapText="1"/>
    </xf>
    <xf numFmtId="0" fontId="45" fillId="0" borderId="0" xfId="0" applyFont="1" applyAlignment="1">
      <alignment horizontal="center" vertical="center" wrapText="1"/>
    </xf>
    <xf numFmtId="0" fontId="166" fillId="0" borderId="0" xfId="0" applyFont="1" applyAlignment="1">
      <alignment horizontal="center" vertical="center" wrapText="1"/>
    </xf>
    <xf numFmtId="168" fontId="44" fillId="0" borderId="344" xfId="0" applyNumberFormat="1" applyFont="1" applyBorder="1" applyAlignment="1">
      <alignment vertical="center" wrapText="1"/>
    </xf>
    <xf numFmtId="0" fontId="32" fillId="0" borderId="0" xfId="0" applyFont="1" applyAlignment="1">
      <alignment horizontal="center" vertical="center" wrapText="1"/>
    </xf>
    <xf numFmtId="168" fontId="80" fillId="0" borderId="0" xfId="0" applyNumberFormat="1" applyFont="1" applyAlignment="1">
      <alignment horizontal="center" vertical="center" wrapText="1"/>
    </xf>
    <xf numFmtId="168" fontId="32" fillId="0" borderId="0" xfId="0" applyNumberFormat="1" applyFont="1" applyAlignment="1">
      <alignment horizontal="center" vertical="center" wrapText="1"/>
    </xf>
    <xf numFmtId="4" fontId="167" fillId="0" borderId="344" xfId="0" applyNumberFormat="1" applyFont="1" applyBorder="1" applyAlignment="1">
      <alignment horizontal="left" vertical="top" wrapText="1"/>
    </xf>
    <xf numFmtId="0" fontId="120" fillId="0" borderId="344" xfId="0" applyFont="1" applyBorder="1" applyAlignment="1">
      <alignment vertical="center" wrapText="1"/>
    </xf>
    <xf numFmtId="49" fontId="120" fillId="0" borderId="0" xfId="0" applyNumberFormat="1" applyFont="1" applyAlignment="1">
      <alignment vertical="center" wrapText="1"/>
    </xf>
    <xf numFmtId="0" fontId="121" fillId="0" borderId="0" xfId="0" applyFont="1" applyAlignment="1">
      <alignment horizontal="center" vertical="center" wrapText="1"/>
    </xf>
    <xf numFmtId="4" fontId="44" fillId="0" borderId="344" xfId="0" applyNumberFormat="1" applyFont="1" applyBorder="1" applyAlignment="1">
      <alignment vertical="center" wrapText="1"/>
    </xf>
    <xf numFmtId="0" fontId="121" fillId="0" borderId="0" xfId="0" applyFont="1" applyAlignment="1">
      <alignment vertical="center" wrapText="1"/>
    </xf>
    <xf numFmtId="49" fontId="121" fillId="0" borderId="0" xfId="0" applyNumberFormat="1" applyFont="1" applyAlignment="1">
      <alignment vertical="center" wrapText="1"/>
    </xf>
    <xf numFmtId="0" fontId="80" fillId="0" borderId="0" xfId="0" applyFont="1" applyAlignment="1">
      <alignment horizontal="right" vertical="center" wrapText="1"/>
    </xf>
    <xf numFmtId="0" fontId="121" fillId="0" borderId="344" xfId="0" applyFont="1" applyBorder="1" applyAlignment="1">
      <alignment vertical="center" wrapText="1"/>
    </xf>
    <xf numFmtId="1" fontId="121" fillId="0" borderId="344" xfId="0" applyNumberFormat="1" applyFont="1" applyBorder="1" applyAlignment="1">
      <alignment vertical="center" wrapText="1"/>
    </xf>
    <xf numFmtId="0" fontId="121" fillId="0" borderId="344" xfId="0" applyFont="1" applyBorder="1" applyAlignment="1">
      <alignment horizontal="center" vertical="center" wrapText="1"/>
    </xf>
    <xf numFmtId="0" fontId="123" fillId="0" borderId="0" xfId="0" applyFont="1" applyAlignment="1">
      <alignment horizontal="center" vertical="center" wrapText="1"/>
    </xf>
    <xf numFmtId="168" fontId="121" fillId="0" borderId="0" xfId="0" applyNumberFormat="1" applyFont="1" applyAlignment="1">
      <alignment horizontal="center" vertical="center" wrapText="1"/>
    </xf>
    <xf numFmtId="173" fontId="121" fillId="0" borderId="0" xfId="0" applyNumberFormat="1" applyFont="1" applyAlignment="1">
      <alignment horizontal="center" vertical="center" wrapText="1"/>
    </xf>
    <xf numFmtId="39" fontId="121" fillId="0" borderId="0" xfId="0" applyNumberFormat="1" applyFont="1" applyAlignment="1">
      <alignment horizontal="center" vertical="center" wrapText="1"/>
    </xf>
    <xf numFmtId="174" fontId="121" fillId="0" borderId="0" xfId="0" applyNumberFormat="1" applyFont="1" applyAlignment="1">
      <alignment horizontal="center" vertical="center" wrapText="1"/>
    </xf>
    <xf numFmtId="49" fontId="123" fillId="0" borderId="0" xfId="0" applyNumberFormat="1" applyFont="1" applyAlignment="1">
      <alignment horizontal="center" vertical="center" wrapText="1"/>
    </xf>
    <xf numFmtId="4" fontId="121" fillId="0" borderId="0" xfId="0" applyNumberFormat="1" applyFont="1" applyAlignment="1">
      <alignment horizontal="right" vertical="center" wrapText="1"/>
    </xf>
    <xf numFmtId="49" fontId="121" fillId="0" borderId="0" xfId="0" applyNumberFormat="1" applyFont="1" applyAlignment="1">
      <alignment horizontal="center" vertical="center" wrapText="1"/>
    </xf>
    <xf numFmtId="4" fontId="120" fillId="0" borderId="0" xfId="0" applyNumberFormat="1" applyFont="1" applyAlignment="1">
      <alignment horizontal="right" vertical="center" wrapText="1"/>
    </xf>
    <xf numFmtId="44" fontId="80" fillId="0" borderId="0" xfId="0" applyNumberFormat="1" applyFont="1" applyAlignment="1">
      <alignment horizontal="center" vertical="center" wrapText="1"/>
    </xf>
    <xf numFmtId="0" fontId="78" fillId="0" borderId="0" xfId="0" applyFont="1" applyAlignment="1">
      <alignment vertical="center" wrapText="1"/>
    </xf>
    <xf numFmtId="49" fontId="78" fillId="0" borderId="0" xfId="0" applyNumberFormat="1" applyFont="1" applyAlignment="1">
      <alignment vertical="center" wrapText="1"/>
    </xf>
    <xf numFmtId="39" fontId="80" fillId="0" borderId="0" xfId="0" applyNumberFormat="1" applyFont="1" applyAlignment="1">
      <alignment horizontal="center" vertical="center" wrapText="1"/>
    </xf>
    <xf numFmtId="49" fontId="80" fillId="0" borderId="0" xfId="0" applyNumberFormat="1" applyFont="1" applyAlignment="1">
      <alignment vertical="center" wrapText="1"/>
    </xf>
    <xf numFmtId="1" fontId="121" fillId="0" borderId="0" xfId="0" applyNumberFormat="1" applyFont="1" applyAlignment="1">
      <alignment vertical="center" wrapText="1"/>
    </xf>
    <xf numFmtId="0" fontId="80" fillId="0" borderId="0" xfId="0" applyFont="1" applyAlignment="1">
      <alignment horizontal="center" vertical="center" wrapText="1"/>
    </xf>
    <xf numFmtId="0" fontId="78" fillId="0" borderId="0" xfId="0" applyFont="1" applyAlignment="1">
      <alignment wrapText="1"/>
    </xf>
    <xf numFmtId="49" fontId="78" fillId="0" borderId="0" xfId="0" applyNumberFormat="1" applyFont="1" applyAlignment="1">
      <alignment wrapText="1"/>
    </xf>
    <xf numFmtId="0" fontId="79" fillId="0" borderId="0" xfId="0" applyFont="1" applyAlignment="1">
      <alignment vertical="center" wrapText="1"/>
    </xf>
    <xf numFmtId="39" fontId="121" fillId="0" borderId="344" xfId="0" applyNumberFormat="1" applyFont="1" applyBorder="1" applyAlignment="1">
      <alignment vertical="center" wrapText="1"/>
    </xf>
    <xf numFmtId="39" fontId="121" fillId="0" borderId="0" xfId="0" applyNumberFormat="1" applyFont="1" applyAlignment="1">
      <alignment vertical="center" wrapText="1"/>
    </xf>
    <xf numFmtId="1" fontId="32" fillId="0" borderId="344" xfId="0" applyNumberFormat="1" applyFont="1" applyBorder="1" applyAlignment="1">
      <alignment vertical="center" wrapText="1"/>
    </xf>
    <xf numFmtId="0" fontId="32" fillId="0" borderId="344" xfId="0" applyFont="1" applyBorder="1" applyAlignment="1">
      <alignment horizontal="center" vertical="center" wrapText="1"/>
    </xf>
    <xf numFmtId="0" fontId="123" fillId="0" borderId="0" xfId="0" applyFont="1" applyAlignment="1">
      <alignment vertical="center" wrapText="1"/>
    </xf>
    <xf numFmtId="49" fontId="112" fillId="0" borderId="142" xfId="0" applyNumberFormat="1" applyFont="1" applyBorder="1" applyAlignment="1">
      <alignment horizontal="center" vertical="center"/>
    </xf>
    <xf numFmtId="0" fontId="38" fillId="0" borderId="84" xfId="0" applyFont="1" applyBorder="1" applyAlignment="1">
      <alignment horizontal="left" vertical="center" wrapText="1" indent="1"/>
    </xf>
    <xf numFmtId="43" fontId="56" fillId="0" borderId="84" xfId="0" applyNumberFormat="1" applyFont="1" applyBorder="1" applyAlignment="1">
      <alignment vertical="center"/>
    </xf>
    <xf numFmtId="0" fontId="95" fillId="17" borderId="176" xfId="0" applyFont="1" applyFill="1" applyBorder="1" applyAlignment="1">
      <alignment horizontal="left" vertical="center" wrapText="1" indent="1"/>
    </xf>
    <xf numFmtId="0" fontId="95" fillId="17" borderId="86" xfId="0" applyFont="1" applyFill="1" applyBorder="1" applyAlignment="1">
      <alignment horizontal="left" vertical="center" wrapText="1" indent="1"/>
    </xf>
    <xf numFmtId="0" fontId="109" fillId="17" borderId="86" xfId="0" applyFont="1" applyFill="1" applyBorder="1" applyAlignment="1">
      <alignment horizontal="center" vertical="center" wrapText="1"/>
    </xf>
    <xf numFmtId="0" fontId="96" fillId="17" borderId="86" xfId="0" applyFont="1" applyFill="1" applyBorder="1" applyAlignment="1">
      <alignment horizontal="center" vertical="center" wrapText="1"/>
    </xf>
    <xf numFmtId="0" fontId="96" fillId="17" borderId="84" xfId="0" applyFont="1" applyFill="1" applyBorder="1" applyAlignment="1">
      <alignment horizontal="center" vertical="center" wrapText="1"/>
    </xf>
    <xf numFmtId="0" fontId="95" fillId="17" borderId="210" xfId="0" applyFont="1" applyFill="1" applyBorder="1" applyAlignment="1">
      <alignment horizontal="left" vertical="center" wrapText="1" indent="1"/>
    </xf>
    <xf numFmtId="0" fontId="95" fillId="17" borderId="173" xfId="0" applyFont="1" applyFill="1" applyBorder="1" applyAlignment="1">
      <alignment horizontal="left" vertical="center" indent="1"/>
    </xf>
    <xf numFmtId="0" fontId="109" fillId="17" borderId="173" xfId="0" applyFont="1" applyFill="1" applyBorder="1" applyAlignment="1">
      <alignment horizontal="center" vertical="center" wrapText="1"/>
    </xf>
    <xf numFmtId="0" fontId="96" fillId="17" borderId="173" xfId="0" applyFont="1" applyFill="1" applyBorder="1" applyAlignment="1">
      <alignment horizontal="center" vertical="center" wrapText="1"/>
    </xf>
    <xf numFmtId="49" fontId="95" fillId="17" borderId="173" xfId="0" applyNumberFormat="1" applyFont="1" applyFill="1" applyBorder="1" applyAlignment="1">
      <alignment horizontal="left" vertical="center" indent="1"/>
    </xf>
    <xf numFmtId="0" fontId="96" fillId="17" borderId="174" xfId="0" applyFont="1" applyFill="1" applyBorder="1" applyAlignment="1">
      <alignment horizontal="left" vertical="center" wrapText="1" indent="1"/>
    </xf>
    <xf numFmtId="0" fontId="96" fillId="17" borderId="486" xfId="0" applyFont="1" applyFill="1" applyBorder="1" applyAlignment="1">
      <alignment horizontal="left" vertical="center" indent="1"/>
    </xf>
    <xf numFmtId="0" fontId="109" fillId="17" borderId="486" xfId="0" applyFont="1" applyFill="1" applyBorder="1" applyAlignment="1">
      <alignment horizontal="center" vertical="center" wrapText="1"/>
    </xf>
    <xf numFmtId="0" fontId="96" fillId="17" borderId="486" xfId="0" applyFont="1" applyFill="1" applyBorder="1" applyAlignment="1">
      <alignment horizontal="center" vertical="center" wrapText="1"/>
    </xf>
    <xf numFmtId="49" fontId="95" fillId="17" borderId="486" xfId="0" applyNumberFormat="1" applyFont="1" applyFill="1" applyBorder="1" applyAlignment="1">
      <alignment horizontal="left" vertical="center" indent="1"/>
    </xf>
    <xf numFmtId="0" fontId="95" fillId="17" borderId="174" xfId="0" applyFont="1" applyFill="1" applyBorder="1" applyAlignment="1">
      <alignment horizontal="left" vertical="center" wrapText="1" indent="1"/>
    </xf>
    <xf numFmtId="0" fontId="95" fillId="17" borderId="173" xfId="0" applyFont="1" applyFill="1" applyBorder="1" applyAlignment="1">
      <alignment horizontal="left" vertical="center" wrapText="1" indent="1"/>
    </xf>
    <xf numFmtId="49" fontId="95" fillId="17" borderId="84" xfId="0" applyNumberFormat="1" applyFont="1" applyFill="1" applyBorder="1" applyAlignment="1">
      <alignment horizontal="left" vertical="center" indent="1"/>
    </xf>
    <xf numFmtId="0" fontId="63" fillId="4" borderId="344" xfId="16" applyFont="1" applyFill="1" applyAlignment="1">
      <alignment horizontal="center" vertical="center"/>
    </xf>
    <xf numFmtId="0" fontId="213" fillId="0" borderId="344" xfId="16"/>
    <xf numFmtId="0" fontId="64" fillId="4" borderId="344" xfId="16" applyFont="1" applyFill="1" applyAlignment="1">
      <alignment horizontal="center" vertical="center"/>
    </xf>
    <xf numFmtId="0" fontId="65" fillId="4" borderId="344" xfId="16" applyFont="1" applyFill="1" applyAlignment="1">
      <alignment horizontal="center" vertical="center"/>
    </xf>
    <xf numFmtId="0" fontId="8" fillId="0" borderId="344" xfId="16" applyFont="1" applyAlignment="1">
      <alignment vertical="center" wrapText="1"/>
    </xf>
    <xf numFmtId="49" fontId="8" fillId="0" borderId="344" xfId="16" applyNumberFormat="1" applyFont="1" applyAlignment="1">
      <alignment vertical="center" wrapText="1"/>
    </xf>
    <xf numFmtId="0" fontId="8" fillId="0" borderId="344" xfId="16" applyFont="1" applyAlignment="1">
      <alignment horizontal="center" vertical="center" wrapText="1"/>
    </xf>
    <xf numFmtId="0" fontId="41" fillId="0" borderId="344" xfId="16" applyFont="1" applyAlignment="1">
      <alignment horizontal="center" vertical="center" wrapText="1"/>
    </xf>
    <xf numFmtId="0" fontId="66" fillId="4" borderId="344" xfId="16" applyFont="1" applyFill="1" applyAlignment="1">
      <alignment vertical="center" wrapText="1"/>
    </xf>
    <xf numFmtId="0" fontId="67" fillId="4" borderId="344" xfId="16" applyFont="1" applyFill="1" applyAlignment="1">
      <alignment horizontal="center" vertical="center" wrapText="1"/>
    </xf>
    <xf numFmtId="49" fontId="38" fillId="0" borderId="41" xfId="16" applyNumberFormat="1" applyFont="1" applyBorder="1" applyAlignment="1">
      <alignment horizontal="left" vertical="center" wrapText="1" indent="1"/>
    </xf>
    <xf numFmtId="0" fontId="68" fillId="0" borderId="44" xfId="16" applyFont="1" applyBorder="1" applyAlignment="1">
      <alignment horizontal="center" vertical="center"/>
    </xf>
    <xf numFmtId="0" fontId="38" fillId="0" borderId="44" xfId="16" applyFont="1" applyBorder="1" applyAlignment="1">
      <alignment horizontal="left" vertical="center" wrapText="1" indent="1"/>
    </xf>
    <xf numFmtId="0" fontId="24" fillId="0" borderId="44" xfId="16" applyFont="1" applyBorder="1" applyAlignment="1">
      <alignment horizontal="center" vertical="center" wrapText="1"/>
    </xf>
    <xf numFmtId="39" fontId="54" fillId="0" borderId="44" xfId="16" applyNumberFormat="1" applyFont="1" applyBorder="1" applyAlignment="1">
      <alignment horizontal="right" vertical="center"/>
    </xf>
    <xf numFmtId="39" fontId="52" fillId="0" borderId="44" xfId="16" applyNumberFormat="1" applyFont="1" applyBorder="1" applyAlignment="1">
      <alignment horizontal="right" vertical="center"/>
    </xf>
    <xf numFmtId="49" fontId="52" fillId="0" borderId="44" xfId="16" applyNumberFormat="1" applyFont="1" applyBorder="1" applyAlignment="1">
      <alignment horizontal="center" vertical="center"/>
    </xf>
    <xf numFmtId="49" fontId="152" fillId="0" borderId="44" xfId="16" applyNumberFormat="1" applyFont="1" applyBorder="1" applyAlignment="1">
      <alignment horizontal="left" vertical="center" wrapText="1" indent="1"/>
    </xf>
    <xf numFmtId="49" fontId="24" fillId="0" borderId="44" xfId="16" applyNumberFormat="1" applyFont="1" applyBorder="1" applyAlignment="1">
      <alignment horizontal="center" vertical="center"/>
    </xf>
    <xf numFmtId="0" fontId="26" fillId="4" borderId="344" xfId="16" applyFont="1" applyFill="1" applyAlignment="1">
      <alignment horizontal="left" vertical="center" wrapText="1"/>
    </xf>
    <xf numFmtId="0" fontId="24" fillId="0" borderId="33" xfId="16" applyFont="1" applyBorder="1" applyAlignment="1">
      <alignment horizontal="left" vertical="center" wrapText="1" indent="1"/>
    </xf>
    <xf numFmtId="0" fontId="39" fillId="0" borderId="34" xfId="16" applyFont="1" applyBorder="1" applyAlignment="1">
      <alignment horizontal="center" vertical="center"/>
    </xf>
    <xf numFmtId="0" fontId="24" fillId="0" borderId="34" xfId="16" applyFont="1" applyBorder="1" applyAlignment="1">
      <alignment horizontal="left" vertical="center" wrapText="1" indent="1"/>
    </xf>
    <xf numFmtId="0" fontId="54" fillId="0" borderId="34" xfId="16" applyFont="1" applyBorder="1" applyAlignment="1">
      <alignment horizontal="center" vertical="center" wrapText="1"/>
    </xf>
    <xf numFmtId="0" fontId="24" fillId="0" borderId="34" xfId="16" applyFont="1" applyBorder="1" applyAlignment="1">
      <alignment horizontal="center" vertical="center" wrapText="1"/>
    </xf>
    <xf numFmtId="39" fontId="54" fillId="0" borderId="34" xfId="16" applyNumberFormat="1" applyFont="1" applyBorder="1" applyAlignment="1">
      <alignment horizontal="right" vertical="center"/>
    </xf>
    <xf numFmtId="39" fontId="52" fillId="0" borderId="34" xfId="16" applyNumberFormat="1" applyFont="1" applyBorder="1" applyAlignment="1">
      <alignment horizontal="right" vertical="center"/>
    </xf>
    <xf numFmtId="49" fontId="52" fillId="0" borderId="34" xfId="16" applyNumberFormat="1" applyFont="1" applyBorder="1" applyAlignment="1">
      <alignment horizontal="center" vertical="center"/>
    </xf>
    <xf numFmtId="49" fontId="152" fillId="0" borderId="34" xfId="16" applyNumberFormat="1" applyFont="1" applyBorder="1" applyAlignment="1">
      <alignment horizontal="left" vertical="center" wrapText="1" indent="1"/>
    </xf>
    <xf numFmtId="49" fontId="24" fillId="0" borderId="34" xfId="16" applyNumberFormat="1" applyFont="1" applyBorder="1" applyAlignment="1">
      <alignment horizontal="center" vertical="center"/>
    </xf>
    <xf numFmtId="0" fontId="68" fillId="0" borderId="34" xfId="16" applyFont="1" applyBorder="1" applyAlignment="1">
      <alignment horizontal="center" vertical="center"/>
    </xf>
    <xf numFmtId="0" fontId="38" fillId="0" borderId="34" xfId="16" applyFont="1" applyBorder="1" applyAlignment="1">
      <alignment horizontal="left" vertical="center" wrapText="1" indent="1"/>
    </xf>
    <xf numFmtId="0" fontId="24" fillId="14" borderId="34" xfId="16" applyFont="1" applyFill="1" applyBorder="1" applyAlignment="1">
      <alignment horizontal="center" vertical="center" wrapText="1"/>
    </xf>
    <xf numFmtId="39" fontId="54" fillId="14" borderId="34" xfId="16" applyNumberFormat="1" applyFont="1" applyFill="1" applyBorder="1" applyAlignment="1">
      <alignment horizontal="right" vertical="center"/>
    </xf>
    <xf numFmtId="39" fontId="52" fillId="14" borderId="34" xfId="16" applyNumberFormat="1" applyFont="1" applyFill="1" applyBorder="1" applyAlignment="1">
      <alignment horizontal="right" vertical="center"/>
    </xf>
    <xf numFmtId="49" fontId="52" fillId="14" borderId="34" xfId="16" applyNumberFormat="1" applyFont="1" applyFill="1" applyBorder="1" applyAlignment="1">
      <alignment horizontal="center" vertical="center"/>
    </xf>
    <xf numFmtId="49" fontId="152" fillId="14" borderId="34" xfId="16" applyNumberFormat="1" applyFont="1" applyFill="1" applyBorder="1" applyAlignment="1">
      <alignment horizontal="left" vertical="center" wrapText="1" indent="1"/>
    </xf>
    <xf numFmtId="0" fontId="24" fillId="0" borderId="42" xfId="16" applyFont="1" applyBorder="1" applyAlignment="1">
      <alignment horizontal="left" vertical="center" wrapText="1" indent="1"/>
    </xf>
    <xf numFmtId="0" fontId="39" fillId="0" borderId="43" xfId="16" applyFont="1" applyBorder="1" applyAlignment="1">
      <alignment horizontal="center" vertical="center"/>
    </xf>
    <xf numFmtId="0" fontId="24" fillId="0" borderId="43" xfId="16" applyFont="1" applyBorder="1" applyAlignment="1">
      <alignment horizontal="left" vertical="center" wrapText="1" indent="1"/>
    </xf>
    <xf numFmtId="0" fontId="54" fillId="0" borderId="43" xfId="16" applyFont="1" applyBorder="1" applyAlignment="1">
      <alignment horizontal="center" vertical="center" wrapText="1"/>
    </xf>
    <xf numFmtId="0" fontId="24" fillId="14" borderId="43" xfId="16" applyFont="1" applyFill="1" applyBorder="1" applyAlignment="1">
      <alignment horizontal="center" vertical="center" wrapText="1"/>
    </xf>
    <xf numFmtId="39" fontId="54" fillId="14" borderId="43" xfId="16" applyNumberFormat="1" applyFont="1" applyFill="1" applyBorder="1" applyAlignment="1">
      <alignment horizontal="right" vertical="center"/>
    </xf>
    <xf numFmtId="39" fontId="52" fillId="14" borderId="43" xfId="16" applyNumberFormat="1" applyFont="1" applyFill="1" applyBorder="1" applyAlignment="1">
      <alignment horizontal="right" vertical="center"/>
    </xf>
    <xf numFmtId="49" fontId="52" fillId="14" borderId="43" xfId="16" applyNumberFormat="1" applyFont="1" applyFill="1" applyBorder="1" applyAlignment="1">
      <alignment horizontal="center" vertical="center"/>
    </xf>
    <xf numFmtId="49" fontId="152" fillId="14" borderId="43" xfId="16" applyNumberFormat="1" applyFont="1" applyFill="1" applyBorder="1" applyAlignment="1">
      <alignment horizontal="left" vertical="center" wrapText="1" indent="1"/>
    </xf>
    <xf numFmtId="49" fontId="24" fillId="0" borderId="43" xfId="16" applyNumberFormat="1" applyFont="1" applyBorder="1" applyAlignment="1">
      <alignment horizontal="center" vertical="center"/>
    </xf>
    <xf numFmtId="0" fontId="68" fillId="0" borderId="39" xfId="16" applyFont="1" applyBorder="1" applyAlignment="1">
      <alignment horizontal="center" vertical="center"/>
    </xf>
    <xf numFmtId="0" fontId="68" fillId="14" borderId="39" xfId="16" applyFont="1" applyFill="1" applyBorder="1" applyAlignment="1">
      <alignment horizontal="center" vertical="center"/>
    </xf>
    <xf numFmtId="0" fontId="24" fillId="14" borderId="39" xfId="16" applyFont="1" applyFill="1" applyBorder="1" applyAlignment="1">
      <alignment horizontal="center" vertical="center" wrapText="1"/>
    </xf>
    <xf numFmtId="39" fontId="54" fillId="14" borderId="39" xfId="16" applyNumberFormat="1" applyFont="1" applyFill="1" applyBorder="1" applyAlignment="1">
      <alignment horizontal="right" vertical="center"/>
    </xf>
    <xf numFmtId="39" fontId="52" fillId="14" borderId="39" xfId="16" applyNumberFormat="1" applyFont="1" applyFill="1" applyBorder="1" applyAlignment="1">
      <alignment horizontal="right" vertical="center"/>
    </xf>
    <xf numFmtId="49" fontId="52" fillId="14" borderId="39" xfId="16" applyNumberFormat="1" applyFont="1" applyFill="1" applyBorder="1" applyAlignment="1">
      <alignment horizontal="center" vertical="center"/>
    </xf>
    <xf numFmtId="49" fontId="152" fillId="14" borderId="39" xfId="16" applyNumberFormat="1" applyFont="1" applyFill="1" applyBorder="1" applyAlignment="1">
      <alignment horizontal="left" vertical="center" wrapText="1" indent="1"/>
    </xf>
    <xf numFmtId="0" fontId="23" fillId="0" borderId="39" xfId="16" applyFont="1" applyBorder="1" applyAlignment="1">
      <alignment horizontal="center" vertical="center" wrapText="1"/>
    </xf>
    <xf numFmtId="0" fontId="39" fillId="14" borderId="34" xfId="16" applyFont="1" applyFill="1" applyBorder="1" applyAlignment="1">
      <alignment horizontal="center" vertical="center"/>
    </xf>
    <xf numFmtId="0" fontId="23" fillId="0" borderId="34" xfId="16" applyFont="1" applyBorder="1" applyAlignment="1">
      <alignment horizontal="center" vertical="center" wrapText="1"/>
    </xf>
    <xf numFmtId="0" fontId="24" fillId="0" borderId="36" xfId="16" applyFont="1" applyBorder="1" applyAlignment="1">
      <alignment horizontal="left" vertical="center" wrapText="1" indent="1"/>
    </xf>
    <xf numFmtId="0" fontId="39" fillId="0" borderId="37" xfId="16" applyFont="1" applyBorder="1" applyAlignment="1">
      <alignment horizontal="center" vertical="center"/>
    </xf>
    <xf numFmtId="0" fontId="24" fillId="0" borderId="37" xfId="16" applyFont="1" applyBorder="1" applyAlignment="1">
      <alignment horizontal="left" vertical="center" wrapText="1" indent="1"/>
    </xf>
    <xf numFmtId="0" fontId="54" fillId="0" borderId="37" xfId="16" applyFont="1" applyBorder="1" applyAlignment="1">
      <alignment horizontal="center" vertical="center" wrapText="1"/>
    </xf>
    <xf numFmtId="0" fontId="24" fillId="14" borderId="37" xfId="16" applyFont="1" applyFill="1" applyBorder="1" applyAlignment="1">
      <alignment horizontal="center" vertical="center" wrapText="1"/>
    </xf>
    <xf numFmtId="39" fontId="54" fillId="14" borderId="37" xfId="16" applyNumberFormat="1" applyFont="1" applyFill="1" applyBorder="1" applyAlignment="1">
      <alignment horizontal="right" vertical="center"/>
    </xf>
    <xf numFmtId="39" fontId="52" fillId="14" borderId="37" xfId="16" applyNumberFormat="1" applyFont="1" applyFill="1" applyBorder="1" applyAlignment="1">
      <alignment horizontal="right" vertical="center"/>
    </xf>
    <xf numFmtId="49" fontId="52" fillId="14" borderId="37" xfId="16" applyNumberFormat="1" applyFont="1" applyFill="1" applyBorder="1" applyAlignment="1">
      <alignment horizontal="center" vertical="center"/>
    </xf>
    <xf numFmtId="49" fontId="152" fillId="14" borderId="37" xfId="16" applyNumberFormat="1" applyFont="1" applyFill="1" applyBorder="1" applyAlignment="1">
      <alignment horizontal="left" vertical="center" wrapText="1" indent="1"/>
    </xf>
    <xf numFmtId="0" fontId="24" fillId="0" borderId="37" xfId="16" applyFont="1" applyBorder="1" applyAlignment="1">
      <alignment horizontal="center" vertical="center" wrapText="1"/>
    </xf>
    <xf numFmtId="49" fontId="24" fillId="0" borderId="37" xfId="16" applyNumberFormat="1" applyFont="1" applyBorder="1" applyAlignment="1">
      <alignment horizontal="center" vertical="center"/>
    </xf>
    <xf numFmtId="0" fontId="38" fillId="0" borderId="41" xfId="16" applyFont="1" applyBorder="1" applyAlignment="1">
      <alignment horizontal="left" vertical="center" wrapText="1" indent="1"/>
    </xf>
    <xf numFmtId="0" fontId="24" fillId="14" borderId="44" xfId="16" applyFont="1" applyFill="1" applyBorder="1" applyAlignment="1">
      <alignment horizontal="center" vertical="center" wrapText="1"/>
    </xf>
    <xf numFmtId="39" fontId="54" fillId="14" borderId="44" xfId="16" applyNumberFormat="1" applyFont="1" applyFill="1" applyBorder="1" applyAlignment="1">
      <alignment horizontal="right" vertical="center"/>
    </xf>
    <xf numFmtId="39" fontId="52" fillId="14" borderId="44" xfId="16" applyNumberFormat="1" applyFont="1" applyFill="1" applyBorder="1" applyAlignment="1">
      <alignment horizontal="right" vertical="center"/>
    </xf>
    <xf numFmtId="49" fontId="52" fillId="14" borderId="44" xfId="16" applyNumberFormat="1" applyFont="1" applyFill="1" applyBorder="1" applyAlignment="1">
      <alignment horizontal="center" vertical="center"/>
    </xf>
    <xf numFmtId="49" fontId="152" fillId="14" borderId="44" xfId="16" applyNumberFormat="1" applyFont="1" applyFill="1" applyBorder="1" applyAlignment="1">
      <alignment horizontal="left" vertical="center" wrapText="1" indent="1"/>
    </xf>
    <xf numFmtId="0" fontId="38" fillId="0" borderId="38" xfId="16" applyFont="1" applyBorder="1" applyAlignment="1">
      <alignment horizontal="left" vertical="center" wrapText="1" indent="1"/>
    </xf>
    <xf numFmtId="0" fontId="38" fillId="0" borderId="39" xfId="16" applyFont="1" applyBorder="1" applyAlignment="1">
      <alignment horizontal="left" vertical="center" wrapText="1" indent="1"/>
    </xf>
    <xf numFmtId="49" fontId="24" fillId="0" borderId="39" xfId="16" applyNumberFormat="1" applyFont="1" applyBorder="1" applyAlignment="1">
      <alignment horizontal="center" vertical="center"/>
    </xf>
    <xf numFmtId="0" fontId="38" fillId="0" borderId="33" xfId="16" applyFont="1" applyBorder="1" applyAlignment="1">
      <alignment horizontal="left" vertical="center" wrapText="1" indent="1"/>
    </xf>
    <xf numFmtId="0" fontId="38" fillId="4" borderId="41" xfId="16" applyFont="1" applyFill="1" applyBorder="1" applyAlignment="1">
      <alignment horizontal="left" vertical="center" wrapText="1" indent="1"/>
    </xf>
    <xf numFmtId="0" fontId="68" fillId="14" borderId="44" xfId="16" applyFont="1" applyFill="1" applyBorder="1" applyAlignment="1">
      <alignment horizontal="center" vertical="center"/>
    </xf>
    <xf numFmtId="0" fontId="54" fillId="17" borderId="44" xfId="16" applyFont="1" applyFill="1" applyBorder="1" applyAlignment="1">
      <alignment horizontal="center" vertical="center" wrapText="1"/>
    </xf>
    <xf numFmtId="0" fontId="29" fillId="14" borderId="34" xfId="16" applyFont="1" applyFill="1" applyBorder="1" applyAlignment="1">
      <alignment horizontal="center" vertical="center" wrapText="1"/>
    </xf>
    <xf numFmtId="49" fontId="24" fillId="17" borderId="34" xfId="16" applyNumberFormat="1" applyFont="1" applyFill="1" applyBorder="1" applyAlignment="1">
      <alignment horizontal="center" vertical="center"/>
    </xf>
    <xf numFmtId="0" fontId="39" fillId="14" borderId="43" xfId="16" applyFont="1" applyFill="1" applyBorder="1" applyAlignment="1">
      <alignment horizontal="center" vertical="center"/>
    </xf>
    <xf numFmtId="0" fontId="24" fillId="17" borderId="43" xfId="16" applyFont="1" applyFill="1" applyBorder="1" applyAlignment="1">
      <alignment horizontal="left" vertical="center" wrapText="1" indent="1"/>
    </xf>
    <xf numFmtId="0" fontId="54" fillId="17" borderId="43" xfId="16" applyFont="1" applyFill="1" applyBorder="1" applyAlignment="1">
      <alignment horizontal="center" vertical="center" wrapText="1"/>
    </xf>
    <xf numFmtId="49" fontId="24" fillId="17" borderId="43" xfId="16" applyNumberFormat="1" applyFont="1" applyFill="1" applyBorder="1" applyAlignment="1">
      <alignment horizontal="center" vertical="center"/>
    </xf>
    <xf numFmtId="0" fontId="38" fillId="17" borderId="39" xfId="16" applyFont="1" applyFill="1" applyBorder="1" applyAlignment="1">
      <alignment horizontal="left" vertical="center" wrapText="1" indent="1"/>
    </xf>
    <xf numFmtId="0" fontId="54" fillId="17" borderId="39" xfId="16" applyFont="1" applyFill="1" applyBorder="1" applyAlignment="1">
      <alignment horizontal="center" vertical="center" wrapText="1"/>
    </xf>
    <xf numFmtId="49" fontId="24" fillId="17" borderId="39" xfId="16" applyNumberFormat="1" applyFont="1" applyFill="1" applyBorder="1" applyAlignment="1">
      <alignment horizontal="center" vertical="center"/>
    </xf>
    <xf numFmtId="0" fontId="24" fillId="17" borderId="34" xfId="16" applyFont="1" applyFill="1" applyBorder="1" applyAlignment="1">
      <alignment horizontal="left" vertical="center" wrapText="1" indent="1"/>
    </xf>
    <xf numFmtId="0" fontId="54" fillId="17" borderId="34" xfId="16" applyFont="1" applyFill="1" applyBorder="1" applyAlignment="1">
      <alignment horizontal="center" vertical="center" wrapText="1"/>
    </xf>
    <xf numFmtId="49" fontId="38" fillId="0" borderId="33" xfId="16" applyNumberFormat="1" applyFont="1" applyBorder="1" applyAlignment="1">
      <alignment horizontal="left" vertical="center" wrapText="1" indent="1"/>
    </xf>
    <xf numFmtId="0" fontId="39" fillId="14" borderId="37" xfId="16" applyFont="1" applyFill="1" applyBorder="1" applyAlignment="1">
      <alignment horizontal="center" vertical="center"/>
    </xf>
    <xf numFmtId="49" fontId="24" fillId="17" borderId="37" xfId="16" applyNumberFormat="1" applyFont="1" applyFill="1" applyBorder="1" applyAlignment="1">
      <alignment horizontal="center" vertical="center"/>
    </xf>
    <xf numFmtId="49" fontId="24" fillId="17" borderId="44" xfId="16" applyNumberFormat="1" applyFont="1" applyFill="1" applyBorder="1" applyAlignment="1">
      <alignment horizontal="center" vertical="center"/>
    </xf>
    <xf numFmtId="49" fontId="38" fillId="17" borderId="33" xfId="16" applyNumberFormat="1" applyFont="1" applyFill="1" applyBorder="1" applyAlignment="1">
      <alignment horizontal="left" vertical="center" wrapText="1" indent="1"/>
    </xf>
    <xf numFmtId="0" fontId="68" fillId="14" borderId="34" xfId="16" applyFont="1" applyFill="1" applyBorder="1" applyAlignment="1">
      <alignment horizontal="center" vertical="center"/>
    </xf>
    <xf numFmtId="49" fontId="213" fillId="0" borderId="344" xfId="16" applyNumberFormat="1"/>
    <xf numFmtId="0" fontId="54" fillId="17" borderId="37" xfId="16" applyFont="1" applyFill="1" applyBorder="1" applyAlignment="1">
      <alignment horizontal="center" vertical="center" wrapText="1"/>
    </xf>
    <xf numFmtId="0" fontId="24" fillId="17" borderId="33" xfId="16" applyFont="1" applyFill="1" applyBorder="1" applyAlignment="1">
      <alignment horizontal="left" vertical="center" wrapText="1" indent="1"/>
    </xf>
    <xf numFmtId="0" fontId="50" fillId="4" borderId="344" xfId="16" applyFont="1" applyFill="1" applyAlignment="1">
      <alignment horizontal="left" vertical="center" wrapText="1"/>
    </xf>
    <xf numFmtId="0" fontId="14" fillId="14" borderId="34" xfId="16" applyFont="1" applyFill="1" applyBorder="1" applyAlignment="1">
      <alignment horizontal="center" vertical="center" wrapText="1"/>
    </xf>
    <xf numFmtId="0" fontId="23" fillId="17" borderId="34" xfId="16" applyFont="1" applyFill="1" applyBorder="1" applyAlignment="1">
      <alignment horizontal="left" vertical="center" wrapText="1" indent="1"/>
    </xf>
    <xf numFmtId="0" fontId="23" fillId="14" borderId="34" xfId="16" applyFont="1" applyFill="1" applyBorder="1" applyAlignment="1">
      <alignment horizontal="center" vertical="center" wrapText="1"/>
    </xf>
    <xf numFmtId="49" fontId="14" fillId="17" borderId="34" xfId="16" applyNumberFormat="1" applyFont="1" applyFill="1" applyBorder="1" applyAlignment="1">
      <alignment horizontal="center" vertical="center"/>
    </xf>
    <xf numFmtId="0" fontId="38" fillId="17" borderId="34" xfId="16" applyFont="1" applyFill="1" applyBorder="1" applyAlignment="1">
      <alignment horizontal="left" vertical="center" wrapText="1" indent="1"/>
    </xf>
    <xf numFmtId="0" fontId="38" fillId="17" borderId="33" xfId="16" applyFont="1" applyFill="1" applyBorder="1" applyAlignment="1">
      <alignment horizontal="left" vertical="center" wrapText="1" indent="1"/>
    </xf>
    <xf numFmtId="49" fontId="24" fillId="4" borderId="34" xfId="16" applyNumberFormat="1" applyFont="1" applyFill="1" applyBorder="1" applyAlignment="1">
      <alignment horizontal="center" vertical="center"/>
    </xf>
    <xf numFmtId="0" fontId="52" fillId="17" borderId="34" xfId="16" applyFont="1" applyFill="1" applyBorder="1" applyAlignment="1">
      <alignment horizontal="center" vertical="center" wrapText="1"/>
    </xf>
    <xf numFmtId="0" fontId="38" fillId="14" borderId="34" xfId="16" applyFont="1" applyFill="1" applyBorder="1" applyAlignment="1">
      <alignment horizontal="center" vertical="center" wrapText="1"/>
    </xf>
    <xf numFmtId="49" fontId="152" fillId="4" borderId="34" xfId="16" applyNumberFormat="1" applyFont="1" applyFill="1" applyBorder="1" applyAlignment="1">
      <alignment horizontal="left" vertical="center" wrapText="1" indent="1"/>
    </xf>
    <xf numFmtId="0" fontId="24" fillId="4" borderId="34" xfId="16" applyFont="1" applyFill="1" applyBorder="1" applyAlignment="1">
      <alignment horizontal="center" vertical="center" wrapText="1"/>
    </xf>
    <xf numFmtId="0" fontId="24" fillId="17" borderId="34" xfId="16" applyFont="1" applyFill="1" applyBorder="1" applyAlignment="1">
      <alignment horizontal="center" vertical="center" wrapText="1"/>
    </xf>
    <xf numFmtId="39" fontId="54" fillId="17" borderId="34" xfId="16" applyNumberFormat="1" applyFont="1" applyFill="1" applyBorder="1" applyAlignment="1">
      <alignment horizontal="right" vertical="center"/>
    </xf>
    <xf numFmtId="0" fontId="38" fillId="17" borderId="38" xfId="16" applyFont="1" applyFill="1" applyBorder="1" applyAlignment="1">
      <alignment horizontal="left" vertical="center" wrapText="1" indent="1"/>
    </xf>
    <xf numFmtId="0" fontId="39" fillId="14" borderId="39" xfId="16" applyFont="1" applyFill="1" applyBorder="1" applyAlignment="1">
      <alignment horizontal="center" vertical="center"/>
    </xf>
    <xf numFmtId="0" fontId="24" fillId="17" borderId="39" xfId="16" applyFont="1" applyFill="1" applyBorder="1" applyAlignment="1">
      <alignment horizontal="left" vertical="center" wrapText="1" indent="1"/>
    </xf>
    <xf numFmtId="0" fontId="24" fillId="17" borderId="39" xfId="16" applyFont="1" applyFill="1" applyBorder="1" applyAlignment="1">
      <alignment horizontal="center" vertical="center" wrapText="1"/>
    </xf>
    <xf numFmtId="39" fontId="54" fillId="17" borderId="39" xfId="16" applyNumberFormat="1" applyFont="1" applyFill="1" applyBorder="1" applyAlignment="1">
      <alignment horizontal="right" vertical="center"/>
    </xf>
    <xf numFmtId="39" fontId="52" fillId="17" borderId="39" xfId="16" applyNumberFormat="1" applyFont="1" applyFill="1" applyBorder="1" applyAlignment="1">
      <alignment horizontal="right" vertical="center"/>
    </xf>
    <xf numFmtId="49" fontId="52" fillId="17" borderId="39" xfId="16" applyNumberFormat="1" applyFont="1" applyFill="1" applyBorder="1" applyAlignment="1">
      <alignment horizontal="center" vertical="center"/>
    </xf>
    <xf numFmtId="49" fontId="152" fillId="4" borderId="39" xfId="16" applyNumberFormat="1" applyFont="1" applyFill="1" applyBorder="1" applyAlignment="1">
      <alignment horizontal="left" vertical="center" wrapText="1" indent="1"/>
    </xf>
    <xf numFmtId="0" fontId="24" fillId="4" borderId="39" xfId="16" applyFont="1" applyFill="1" applyBorder="1" applyAlignment="1">
      <alignment horizontal="center" vertical="center" wrapText="1"/>
    </xf>
    <xf numFmtId="49" fontId="24" fillId="4" borderId="39" xfId="16" applyNumberFormat="1" applyFont="1" applyFill="1" applyBorder="1" applyAlignment="1">
      <alignment horizontal="center" vertical="center"/>
    </xf>
    <xf numFmtId="39" fontId="52" fillId="17" borderId="34" xfId="16" applyNumberFormat="1" applyFont="1" applyFill="1" applyBorder="1" applyAlignment="1">
      <alignment horizontal="right" vertical="center"/>
    </xf>
    <xf numFmtId="49" fontId="52" fillId="17" borderId="34" xfId="16" applyNumberFormat="1" applyFont="1" applyFill="1" applyBorder="1" applyAlignment="1">
      <alignment horizontal="center" vertical="center"/>
    </xf>
    <xf numFmtId="39" fontId="54" fillId="0" borderId="37" xfId="16" applyNumberFormat="1" applyFont="1" applyBorder="1" applyAlignment="1">
      <alignment horizontal="right" vertical="center"/>
    </xf>
    <xf numFmtId="39" fontId="52" fillId="0" borderId="37" xfId="16" applyNumberFormat="1" applyFont="1" applyBorder="1" applyAlignment="1">
      <alignment horizontal="right" vertical="center"/>
    </xf>
    <xf numFmtId="49" fontId="52" fillId="0" borderId="37" xfId="16" applyNumberFormat="1" applyFont="1" applyBorder="1" applyAlignment="1">
      <alignment horizontal="center" vertical="center"/>
    </xf>
    <xf numFmtId="49" fontId="152" fillId="0" borderId="37" xfId="16" applyNumberFormat="1" applyFont="1" applyBorder="1" applyAlignment="1">
      <alignment horizontal="left" vertical="center" wrapText="1" indent="1"/>
    </xf>
    <xf numFmtId="0" fontId="38" fillId="12" borderId="350" xfId="16" applyFont="1" applyFill="1" applyBorder="1" applyAlignment="1">
      <alignment vertical="center"/>
    </xf>
    <xf numFmtId="49" fontId="45" fillId="12" borderId="350" xfId="16" applyNumberFormat="1" applyFont="1" applyFill="1" applyBorder="1" applyAlignment="1">
      <alignment horizontal="left" vertical="center" wrapText="1" indent="1"/>
    </xf>
    <xf numFmtId="0" fontId="27" fillId="4" borderId="344" xfId="16" applyFont="1" applyFill="1" applyAlignment="1">
      <alignment horizontal="center" vertical="center"/>
    </xf>
    <xf numFmtId="0" fontId="38" fillId="0" borderId="29" xfId="16" applyFont="1" applyBorder="1" applyAlignment="1">
      <alignment horizontal="left" vertical="center" wrapText="1" indent="1"/>
    </xf>
    <xf numFmtId="0" fontId="38" fillId="0" borderId="30" xfId="16" applyFont="1" applyBorder="1" applyAlignment="1">
      <alignment horizontal="left" vertical="center" wrapText="1" indent="1"/>
    </xf>
    <xf numFmtId="0" fontId="24" fillId="0" borderId="30" xfId="16" applyFont="1" applyBorder="1" applyAlignment="1">
      <alignment horizontal="center" vertical="center" wrapText="1"/>
    </xf>
    <xf numFmtId="39" fontId="54" fillId="0" borderId="30" xfId="16" applyNumberFormat="1" applyFont="1" applyBorder="1" applyAlignment="1">
      <alignment vertical="center"/>
    </xf>
    <xf numFmtId="39" fontId="54" fillId="0" borderId="44" xfId="16" applyNumberFormat="1" applyFont="1" applyBorder="1" applyAlignment="1">
      <alignment vertical="center"/>
    </xf>
    <xf numFmtId="39" fontId="52" fillId="0" borderId="44" xfId="16" applyNumberFormat="1" applyFont="1" applyBorder="1" applyAlignment="1">
      <alignment vertical="center"/>
    </xf>
    <xf numFmtId="49" fontId="24" fillId="0" borderId="30" xfId="16" applyNumberFormat="1" applyFont="1" applyBorder="1" applyAlignment="1">
      <alignment horizontal="center" vertical="center"/>
    </xf>
    <xf numFmtId="39" fontId="54" fillId="0" borderId="34" xfId="16" applyNumberFormat="1" applyFont="1" applyBorder="1" applyAlignment="1">
      <alignment vertical="center"/>
    </xf>
    <xf numFmtId="39" fontId="52" fillId="0" borderId="34" xfId="16" applyNumberFormat="1" applyFont="1" applyBorder="1" applyAlignment="1">
      <alignment vertical="center"/>
    </xf>
    <xf numFmtId="0" fontId="24" fillId="0" borderId="43" xfId="16" applyFont="1" applyBorder="1" applyAlignment="1">
      <alignment horizontal="center" vertical="center" wrapText="1"/>
    </xf>
    <xf numFmtId="39" fontId="54" fillId="0" borderId="43" xfId="16" applyNumberFormat="1" applyFont="1" applyBorder="1" applyAlignment="1">
      <alignment vertical="center"/>
    </xf>
    <xf numFmtId="39" fontId="52" fillId="0" borderId="43" xfId="16" applyNumberFormat="1" applyFont="1" applyBorder="1" applyAlignment="1">
      <alignment vertical="center"/>
    </xf>
    <xf numFmtId="49" fontId="52" fillId="0" borderId="43" xfId="16" applyNumberFormat="1" applyFont="1" applyBorder="1" applyAlignment="1">
      <alignment horizontal="center" vertical="center"/>
    </xf>
    <xf numFmtId="49" fontId="152" fillId="0" borderId="43" xfId="16" applyNumberFormat="1" applyFont="1" applyBorder="1" applyAlignment="1">
      <alignment horizontal="left" vertical="center" wrapText="1" indent="1"/>
    </xf>
    <xf numFmtId="0" fontId="24" fillId="0" borderId="39" xfId="16" applyFont="1" applyBorder="1" applyAlignment="1">
      <alignment horizontal="center" vertical="center" wrapText="1"/>
    </xf>
    <xf numFmtId="39" fontId="54" fillId="0" borderId="39" xfId="16" applyNumberFormat="1" applyFont="1" applyBorder="1" applyAlignment="1">
      <alignment vertical="center"/>
    </xf>
    <xf numFmtId="39" fontId="52" fillId="0" borderId="39" xfId="16" applyNumberFormat="1" applyFont="1" applyBorder="1" applyAlignment="1">
      <alignment vertical="center"/>
    </xf>
    <xf numFmtId="49" fontId="52" fillId="0" borderId="39" xfId="16" applyNumberFormat="1" applyFont="1" applyBorder="1" applyAlignment="1">
      <alignment horizontal="center" vertical="center"/>
    </xf>
    <xf numFmtId="49" fontId="152" fillId="0" borderId="39" xfId="16" applyNumberFormat="1" applyFont="1" applyBorder="1" applyAlignment="1">
      <alignment horizontal="left" vertical="center" wrapText="1" indent="1"/>
    </xf>
    <xf numFmtId="39" fontId="54" fillId="0" borderId="37" xfId="16" applyNumberFormat="1" applyFont="1" applyBorder="1" applyAlignment="1">
      <alignment vertical="center"/>
    </xf>
    <xf numFmtId="39" fontId="52" fillId="0" borderId="37" xfId="16" applyNumberFormat="1" applyFont="1" applyBorder="1" applyAlignment="1">
      <alignment vertical="center"/>
    </xf>
    <xf numFmtId="39" fontId="54" fillId="14" borderId="34" xfId="16" applyNumberFormat="1" applyFont="1" applyFill="1" applyBorder="1" applyAlignment="1">
      <alignment vertical="center"/>
    </xf>
    <xf numFmtId="39" fontId="52" fillId="14" borderId="34" xfId="16" applyNumberFormat="1" applyFont="1" applyFill="1" applyBorder="1" applyAlignment="1">
      <alignment vertical="center"/>
    </xf>
    <xf numFmtId="39" fontId="54" fillId="14" borderId="43" xfId="16" applyNumberFormat="1" applyFont="1" applyFill="1" applyBorder="1" applyAlignment="1">
      <alignment vertical="center"/>
    </xf>
    <xf numFmtId="39" fontId="52" fillId="14" borderId="43" xfId="16" applyNumberFormat="1" applyFont="1" applyFill="1" applyBorder="1" applyAlignment="1">
      <alignment vertical="center"/>
    </xf>
    <xf numFmtId="39" fontId="54" fillId="14" borderId="649" xfId="16" applyNumberFormat="1" applyFont="1" applyFill="1" applyBorder="1" applyAlignment="1">
      <alignment horizontal="right" vertical="center"/>
    </xf>
    <xf numFmtId="39" fontId="54" fillId="14" borderId="44" xfId="16" applyNumberFormat="1" applyFont="1" applyFill="1" applyBorder="1" applyAlignment="1">
      <alignment vertical="center"/>
    </xf>
    <xf numFmtId="39" fontId="52" fillId="14" borderId="44" xfId="16" applyNumberFormat="1" applyFont="1" applyFill="1" applyBorder="1" applyAlignment="1">
      <alignment vertical="center"/>
    </xf>
    <xf numFmtId="0" fontId="23" fillId="0" borderId="44" xfId="16" applyFont="1" applyBorder="1" applyAlignment="1">
      <alignment horizontal="center" vertical="center" wrapText="1"/>
    </xf>
    <xf numFmtId="0" fontId="24" fillId="0" borderId="38" xfId="16" applyFont="1" applyBorder="1" applyAlignment="1">
      <alignment horizontal="left" vertical="center" wrapText="1" indent="1"/>
    </xf>
    <xf numFmtId="0" fontId="24" fillId="0" borderId="39" xfId="16" applyFont="1" applyBorder="1" applyAlignment="1">
      <alignment horizontal="left" vertical="center" wrapText="1" indent="1"/>
    </xf>
    <xf numFmtId="49" fontId="38" fillId="0" borderId="29" xfId="16" applyNumberFormat="1" applyFont="1" applyBorder="1" applyAlignment="1">
      <alignment horizontal="left" vertical="center" wrapText="1" indent="1"/>
    </xf>
    <xf numFmtId="0" fontId="68" fillId="14" borderId="30" xfId="16" applyFont="1" applyFill="1" applyBorder="1" applyAlignment="1">
      <alignment horizontal="center" vertical="center"/>
    </xf>
    <xf numFmtId="0" fontId="38" fillId="17" borderId="30" xfId="16" applyFont="1" applyFill="1" applyBorder="1" applyAlignment="1">
      <alignment horizontal="left" vertical="center" wrapText="1" indent="1"/>
    </xf>
    <xf numFmtId="0" fontId="54" fillId="17" borderId="30" xfId="16" applyFont="1" applyFill="1" applyBorder="1" applyAlignment="1">
      <alignment horizontal="center" vertical="center" wrapText="1"/>
    </xf>
    <xf numFmtId="0" fontId="24" fillId="17" borderId="30" xfId="16" applyFont="1" applyFill="1" applyBorder="1" applyAlignment="1">
      <alignment horizontal="center" vertical="center" wrapText="1"/>
    </xf>
    <xf numFmtId="39" fontId="54" fillId="17" borderId="30" xfId="16" applyNumberFormat="1" applyFont="1" applyFill="1" applyBorder="1" applyAlignment="1">
      <alignment horizontal="right" vertical="center"/>
    </xf>
    <xf numFmtId="49" fontId="52" fillId="14" borderId="30" xfId="16" applyNumberFormat="1" applyFont="1" applyFill="1" applyBorder="1" applyAlignment="1">
      <alignment horizontal="center" vertical="center"/>
    </xf>
    <xf numFmtId="49" fontId="24" fillId="17" borderId="30" xfId="16" applyNumberFormat="1" applyFont="1" applyFill="1" applyBorder="1" applyAlignment="1">
      <alignment horizontal="center" vertical="center"/>
    </xf>
    <xf numFmtId="0" fontId="14" fillId="17" borderId="34" xfId="16" applyFont="1" applyFill="1" applyBorder="1" applyAlignment="1">
      <alignment horizontal="center" vertical="center" wrapText="1"/>
    </xf>
    <xf numFmtId="0" fontId="24" fillId="17" borderId="34" xfId="16" applyFont="1" applyFill="1" applyBorder="1" applyAlignment="1">
      <alignment vertical="center"/>
    </xf>
    <xf numFmtId="0" fontId="54" fillId="17" borderId="34" xfId="16" applyFont="1" applyFill="1" applyBorder="1" applyAlignment="1">
      <alignment horizontal="center" vertical="center"/>
    </xf>
    <xf numFmtId="0" fontId="24" fillId="17" borderId="34" xfId="16" applyFont="1" applyFill="1" applyBorder="1" applyAlignment="1">
      <alignment horizontal="center" vertical="center"/>
    </xf>
    <xf numFmtId="49" fontId="54" fillId="14" borderId="34" xfId="16" applyNumberFormat="1" applyFont="1" applyFill="1" applyBorder="1" applyAlignment="1">
      <alignment horizontal="center" vertical="center"/>
    </xf>
    <xf numFmtId="49" fontId="44" fillId="14" borderId="34" xfId="16" applyNumberFormat="1" applyFont="1" applyFill="1" applyBorder="1" applyAlignment="1">
      <alignment horizontal="left" vertical="center" wrapText="1" indent="1"/>
    </xf>
    <xf numFmtId="0" fontId="39" fillId="4" borderId="37" xfId="16" applyFont="1" applyFill="1" applyBorder="1" applyAlignment="1">
      <alignment horizontal="center" vertical="center"/>
    </xf>
    <xf numFmtId="0" fontId="24" fillId="17" borderId="37" xfId="16" applyFont="1" applyFill="1" applyBorder="1" applyAlignment="1">
      <alignment horizontal="left" vertical="center" wrapText="1" indent="1"/>
    </xf>
    <xf numFmtId="0" fontId="14" fillId="17" borderId="37" xfId="16" applyFont="1" applyFill="1" applyBorder="1" applyAlignment="1">
      <alignment horizontal="center" vertical="center" wrapText="1"/>
    </xf>
    <xf numFmtId="39" fontId="54" fillId="17" borderId="37" xfId="16" applyNumberFormat="1" applyFont="1" applyFill="1" applyBorder="1" applyAlignment="1">
      <alignment horizontal="right" vertical="center"/>
    </xf>
    <xf numFmtId="0" fontId="24" fillId="17" borderId="37" xfId="16" applyFont="1" applyFill="1" applyBorder="1" applyAlignment="1">
      <alignment horizontal="center" vertical="center" wrapText="1"/>
    </xf>
    <xf numFmtId="49" fontId="24" fillId="4" borderId="37" xfId="16" applyNumberFormat="1" applyFont="1" applyFill="1" applyBorder="1" applyAlignment="1">
      <alignment horizontal="center" vertical="center"/>
    </xf>
    <xf numFmtId="0" fontId="38" fillId="17" borderId="44" xfId="16" applyFont="1" applyFill="1" applyBorder="1" applyAlignment="1">
      <alignment horizontal="left" vertical="center" wrapText="1" indent="1"/>
    </xf>
    <xf numFmtId="0" fontId="24" fillId="17" borderId="44" xfId="16" applyFont="1" applyFill="1" applyBorder="1" applyAlignment="1">
      <alignment horizontal="center" vertical="center" wrapText="1"/>
    </xf>
    <xf numFmtId="39" fontId="54" fillId="17" borderId="44" xfId="16" applyNumberFormat="1" applyFont="1" applyFill="1" applyBorder="1" applyAlignment="1">
      <alignment horizontal="right" vertical="center"/>
    </xf>
    <xf numFmtId="0" fontId="23" fillId="17" borderId="44" xfId="16" applyFont="1" applyFill="1" applyBorder="1" applyAlignment="1">
      <alignment horizontal="center" vertical="center" wrapText="1"/>
    </xf>
    <xf numFmtId="0" fontId="24" fillId="17" borderId="43" xfId="16" applyFont="1" applyFill="1" applyBorder="1" applyAlignment="1">
      <alignment horizontal="center" vertical="center" wrapText="1"/>
    </xf>
    <xf numFmtId="49" fontId="70" fillId="0" borderId="43" xfId="16" applyNumberFormat="1" applyFont="1" applyBorder="1" applyAlignment="1">
      <alignment horizontal="center" vertical="center"/>
    </xf>
    <xf numFmtId="49" fontId="38" fillId="0" borderId="38" xfId="16" applyNumberFormat="1" applyFont="1" applyBorder="1" applyAlignment="1">
      <alignment horizontal="left" vertical="center" wrapText="1" indent="1"/>
    </xf>
    <xf numFmtId="0" fontId="39" fillId="17" borderId="34" xfId="16" applyFont="1" applyFill="1" applyBorder="1" applyAlignment="1">
      <alignment horizontal="center" vertical="center"/>
    </xf>
    <xf numFmtId="49" fontId="54" fillId="14" borderId="43" xfId="16" applyNumberFormat="1" applyFont="1" applyFill="1" applyBorder="1" applyAlignment="1">
      <alignment horizontal="center" vertical="center"/>
    </xf>
    <xf numFmtId="49" fontId="44" fillId="14" borderId="43" xfId="16" applyNumberFormat="1" applyFont="1" applyFill="1" applyBorder="1" applyAlignment="1">
      <alignment horizontal="left" vertical="center" wrapText="1" indent="1"/>
    </xf>
    <xf numFmtId="39" fontId="54" fillId="0" borderId="43" xfId="16" applyNumberFormat="1" applyFont="1" applyBorder="1" applyAlignment="1">
      <alignment horizontal="right" vertical="center"/>
    </xf>
    <xf numFmtId="0" fontId="68" fillId="0" borderId="30" xfId="16" applyFont="1" applyBorder="1" applyAlignment="1">
      <alignment horizontal="center" vertical="center"/>
    </xf>
    <xf numFmtId="0" fontId="54" fillId="0" borderId="30" xfId="16" applyFont="1" applyBorder="1" applyAlignment="1">
      <alignment horizontal="center" vertical="center" wrapText="1"/>
    </xf>
    <xf numFmtId="39" fontId="54" fillId="0" borderId="30" xfId="16" applyNumberFormat="1" applyFont="1" applyBorder="1" applyAlignment="1">
      <alignment horizontal="right" vertical="center"/>
    </xf>
    <xf numFmtId="39" fontId="52" fillId="0" borderId="30" xfId="16" applyNumberFormat="1" applyFont="1" applyBorder="1" applyAlignment="1">
      <alignment horizontal="right" vertical="center"/>
    </xf>
    <xf numFmtId="49" fontId="52" fillId="0" borderId="30" xfId="16" applyNumberFormat="1" applyFont="1" applyBorder="1" applyAlignment="1">
      <alignment horizontal="center" vertical="center"/>
    </xf>
    <xf numFmtId="0" fontId="68" fillId="17" borderId="34" xfId="16" applyFont="1" applyFill="1" applyBorder="1" applyAlignment="1">
      <alignment horizontal="center" vertical="center"/>
    </xf>
    <xf numFmtId="49" fontId="152" fillId="17" borderId="34" xfId="16" applyNumberFormat="1" applyFont="1" applyFill="1" applyBorder="1" applyAlignment="1">
      <alignment horizontal="left" vertical="center" wrapText="1" indent="1"/>
    </xf>
    <xf numFmtId="0" fontId="24" fillId="17" borderId="42" xfId="16" applyFont="1" applyFill="1" applyBorder="1" applyAlignment="1">
      <alignment horizontal="left" vertical="center" wrapText="1" indent="1"/>
    </xf>
    <xf numFmtId="0" fontId="39" fillId="17" borderId="43" xfId="16" applyFont="1" applyFill="1" applyBorder="1" applyAlignment="1">
      <alignment horizontal="center" vertical="center"/>
    </xf>
    <xf numFmtId="39" fontId="54" fillId="17" borderId="43" xfId="16" applyNumberFormat="1" applyFont="1" applyFill="1" applyBorder="1" applyAlignment="1">
      <alignment horizontal="right" vertical="center"/>
    </xf>
    <xf numFmtId="39" fontId="52" fillId="17" borderId="43" xfId="16" applyNumberFormat="1" applyFont="1" applyFill="1" applyBorder="1" applyAlignment="1">
      <alignment horizontal="right" vertical="center"/>
    </xf>
    <xf numFmtId="49" fontId="52" fillId="17" borderId="43" xfId="16" applyNumberFormat="1" applyFont="1" applyFill="1" applyBorder="1" applyAlignment="1">
      <alignment horizontal="center" vertical="center"/>
    </xf>
    <xf numFmtId="49" fontId="152" fillId="17" borderId="43" xfId="16" applyNumberFormat="1" applyFont="1" applyFill="1" applyBorder="1" applyAlignment="1">
      <alignment horizontal="left" vertical="center" wrapText="1" indent="1"/>
    </xf>
    <xf numFmtId="49" fontId="38" fillId="17" borderId="38" xfId="16" applyNumberFormat="1" applyFont="1" applyFill="1" applyBorder="1" applyAlignment="1">
      <alignment horizontal="left" vertical="center" wrapText="1" indent="1"/>
    </xf>
    <xf numFmtId="49" fontId="52" fillId="14" borderId="39" xfId="16" applyNumberFormat="1" applyFont="1" applyFill="1" applyBorder="1" applyAlignment="1">
      <alignment horizontal="center" vertical="center" wrapText="1"/>
    </xf>
    <xf numFmtId="49" fontId="152" fillId="17" borderId="39" xfId="16" applyNumberFormat="1" applyFont="1" applyFill="1" applyBorder="1" applyAlignment="1">
      <alignment horizontal="left" vertical="center" wrapText="1" indent="1"/>
    </xf>
    <xf numFmtId="0" fontId="23" fillId="17" borderId="39" xfId="16" applyFont="1" applyFill="1" applyBorder="1" applyAlignment="1">
      <alignment horizontal="center" vertical="center" wrapText="1"/>
    </xf>
    <xf numFmtId="39" fontId="54" fillId="14" borderId="34" xfId="16" applyNumberFormat="1" applyFont="1" applyFill="1" applyBorder="1" applyAlignment="1">
      <alignment horizontal="right" vertical="center" wrapText="1"/>
    </xf>
    <xf numFmtId="49" fontId="54" fillId="14" borderId="34" xfId="16" applyNumberFormat="1" applyFont="1" applyFill="1" applyBorder="1" applyAlignment="1">
      <alignment horizontal="center" vertical="center" wrapText="1"/>
    </xf>
    <xf numFmtId="49" fontId="44" fillId="17" borderId="34" xfId="16" applyNumberFormat="1" applyFont="1" applyFill="1" applyBorder="1" applyAlignment="1">
      <alignment horizontal="left" vertical="center" wrapText="1" indent="1"/>
    </xf>
    <xf numFmtId="0" fontId="23" fillId="17" borderId="34" xfId="16" applyFont="1" applyFill="1" applyBorder="1" applyAlignment="1">
      <alignment horizontal="center" vertical="center" wrapText="1"/>
    </xf>
    <xf numFmtId="49" fontId="52" fillId="14" borderId="34" xfId="16" applyNumberFormat="1" applyFont="1" applyFill="1" applyBorder="1" applyAlignment="1">
      <alignment horizontal="center" vertical="center" wrapText="1"/>
    </xf>
    <xf numFmtId="0" fontId="24" fillId="17" borderId="36" xfId="16" applyFont="1" applyFill="1" applyBorder="1" applyAlignment="1">
      <alignment horizontal="left" vertical="center" wrapText="1" indent="1"/>
    </xf>
    <xf numFmtId="49" fontId="152" fillId="17" borderId="37" xfId="16" applyNumberFormat="1" applyFont="1" applyFill="1" applyBorder="1" applyAlignment="1">
      <alignment horizontal="left" vertical="center" wrapText="1" indent="1"/>
    </xf>
    <xf numFmtId="49" fontId="152" fillId="17" borderId="44" xfId="16" applyNumberFormat="1" applyFont="1" applyFill="1" applyBorder="1" applyAlignment="1">
      <alignment horizontal="left" vertical="center" wrapText="1" indent="1"/>
    </xf>
    <xf numFmtId="0" fontId="68" fillId="17" borderId="39" xfId="16" applyFont="1" applyFill="1" applyBorder="1" applyAlignment="1">
      <alignment horizontal="center" vertical="center"/>
    </xf>
    <xf numFmtId="39" fontId="52" fillId="0" borderId="43" xfId="16" applyNumberFormat="1" applyFont="1" applyBorder="1" applyAlignment="1">
      <alignment horizontal="right" vertical="center"/>
    </xf>
    <xf numFmtId="39" fontId="54" fillId="0" borderId="39" xfId="16" applyNumberFormat="1" applyFont="1" applyBorder="1" applyAlignment="1">
      <alignment horizontal="right" vertical="center"/>
    </xf>
    <xf numFmtId="39" fontId="52" fillId="0" borderId="39" xfId="16" applyNumberFormat="1" applyFont="1" applyBorder="1" applyAlignment="1">
      <alignment horizontal="right" vertical="center"/>
    </xf>
    <xf numFmtId="49" fontId="35" fillId="12" borderId="350" xfId="16" applyNumberFormat="1" applyFont="1" applyFill="1" applyBorder="1" applyAlignment="1">
      <alignment horizontal="right" vertical="center"/>
    </xf>
    <xf numFmtId="4" fontId="72" fillId="2" borderId="350" xfId="16" applyNumberFormat="1" applyFont="1" applyFill="1" applyBorder="1" applyAlignment="1">
      <alignment vertical="center" wrapText="1"/>
    </xf>
    <xf numFmtId="168" fontId="52" fillId="2" borderId="607" xfId="16" applyNumberFormat="1" applyFont="1" applyFill="1" applyBorder="1" applyAlignment="1">
      <alignment horizontal="right" vertical="center"/>
    </xf>
    <xf numFmtId="49" fontId="52" fillId="2" borderId="118" xfId="16" applyNumberFormat="1" applyFont="1" applyFill="1" applyBorder="1" applyAlignment="1">
      <alignment horizontal="right" vertical="center"/>
    </xf>
    <xf numFmtId="49" fontId="147" fillId="2" borderId="118" xfId="16" applyNumberFormat="1" applyFont="1" applyFill="1" applyBorder="1" applyAlignment="1">
      <alignment horizontal="left" vertical="center" wrapText="1" indent="1"/>
    </xf>
    <xf numFmtId="4" fontId="67" fillId="4" borderId="344" xfId="16" applyNumberFormat="1" applyFont="1" applyFill="1" applyAlignment="1">
      <alignment horizontal="center" vertical="center" wrapText="1"/>
    </xf>
    <xf numFmtId="0" fontId="14" fillId="0" borderId="344" xfId="16" applyFont="1" applyAlignment="1">
      <alignment vertical="center"/>
    </xf>
    <xf numFmtId="0" fontId="11" fillId="0" borderId="344" xfId="16" applyFont="1" applyAlignment="1">
      <alignment vertical="center"/>
    </xf>
    <xf numFmtId="0" fontId="11" fillId="0" borderId="344" xfId="16" applyFont="1" applyAlignment="1">
      <alignment horizontal="left" vertical="center"/>
    </xf>
    <xf numFmtId="0" fontId="14" fillId="0" borderId="344" xfId="16" applyFont="1" applyAlignment="1">
      <alignment horizontal="left" vertical="center" wrapText="1"/>
    </xf>
    <xf numFmtId="0" fontId="14" fillId="4" borderId="344" xfId="16" applyFont="1" applyFill="1" applyAlignment="1">
      <alignment vertical="center"/>
    </xf>
    <xf numFmtId="2" fontId="91" fillId="0" borderId="344" xfId="16" applyNumberFormat="1" applyFont="1"/>
    <xf numFmtId="2" fontId="213" fillId="0" borderId="344" xfId="16" applyNumberFormat="1"/>
    <xf numFmtId="0" fontId="40" fillId="0" borderId="344" xfId="16" applyFont="1" applyAlignment="1">
      <alignment horizontal="center" vertical="center"/>
    </xf>
    <xf numFmtId="0" fontId="50" fillId="4" borderId="344" xfId="16" applyFont="1" applyFill="1" applyAlignment="1">
      <alignment vertical="center"/>
    </xf>
    <xf numFmtId="0" fontId="33" fillId="4" borderId="344" xfId="16" applyFont="1" applyFill="1" applyAlignment="1">
      <alignment vertical="center"/>
    </xf>
    <xf numFmtId="0" fontId="33" fillId="0" borderId="344" xfId="16" applyFont="1" applyAlignment="1">
      <alignment vertical="center"/>
    </xf>
    <xf numFmtId="0" fontId="32" fillId="0" borderId="344" xfId="16" applyFont="1" applyAlignment="1">
      <alignment vertical="center"/>
    </xf>
    <xf numFmtId="1" fontId="32" fillId="0" borderId="344" xfId="16" applyNumberFormat="1" applyFont="1" applyAlignment="1">
      <alignment vertical="center"/>
    </xf>
    <xf numFmtId="0" fontId="32" fillId="0" borderId="344" xfId="16" applyFont="1" applyAlignment="1">
      <alignment horizontal="center" vertical="center"/>
    </xf>
    <xf numFmtId="0" fontId="14" fillId="0" borderId="344" xfId="16" applyFont="1" applyAlignment="1">
      <alignment vertical="center" wrapText="1"/>
    </xf>
    <xf numFmtId="0" fontId="11" fillId="4" borderId="344" xfId="16" applyFont="1" applyFill="1" applyAlignment="1">
      <alignment horizontal="center" vertical="center"/>
    </xf>
    <xf numFmtId="49" fontId="24" fillId="4" borderId="344" xfId="16" applyNumberFormat="1" applyFont="1" applyFill="1" applyAlignment="1">
      <alignment horizontal="right" vertical="center" wrapText="1"/>
    </xf>
    <xf numFmtId="49" fontId="14" fillId="0" borderId="344" xfId="16" applyNumberFormat="1" applyFont="1" applyAlignment="1">
      <alignment horizontal="left" vertical="center" wrapText="1"/>
    </xf>
    <xf numFmtId="0" fontId="14" fillId="0" borderId="344" xfId="16" applyFont="1" applyAlignment="1">
      <alignment horizontal="center" vertical="center"/>
    </xf>
    <xf numFmtId="0" fontId="14" fillId="3" borderId="344" xfId="16" applyFont="1" applyFill="1" applyAlignment="1">
      <alignment vertical="center" wrapText="1"/>
    </xf>
    <xf numFmtId="168" fontId="14" fillId="0" borderId="344" xfId="16" applyNumberFormat="1" applyFont="1" applyAlignment="1">
      <alignment horizontal="right" vertical="center"/>
    </xf>
    <xf numFmtId="49" fontId="14" fillId="0" borderId="103" xfId="16" applyNumberFormat="1" applyFont="1" applyBorder="1" applyAlignment="1">
      <alignment horizontal="left" vertical="center" wrapText="1" indent="1"/>
    </xf>
    <xf numFmtId="0" fontId="14" fillId="14" borderId="377" xfId="16" applyFont="1" applyFill="1" applyBorder="1" applyAlignment="1">
      <alignment vertical="center" wrapText="1" indent="1"/>
    </xf>
    <xf numFmtId="0" fontId="34" fillId="17" borderId="377" xfId="16" applyFont="1" applyFill="1" applyBorder="1" applyAlignment="1">
      <alignment horizontal="center" vertical="center"/>
    </xf>
    <xf numFmtId="49" fontId="34" fillId="17" borderId="367" xfId="16" applyNumberFormat="1" applyFont="1" applyFill="1" applyBorder="1" applyAlignment="1">
      <alignment horizontal="center" vertical="center"/>
    </xf>
    <xf numFmtId="49" fontId="58" fillId="17" borderId="5" xfId="16" applyNumberFormat="1" applyFont="1" applyFill="1" applyBorder="1" applyAlignment="1">
      <alignment horizontal="center" vertical="center"/>
    </xf>
    <xf numFmtId="168" fontId="14" fillId="4" borderId="344" xfId="16" applyNumberFormat="1" applyFont="1" applyFill="1" applyAlignment="1">
      <alignment horizontal="center" vertical="center"/>
    </xf>
    <xf numFmtId="0" fontId="14" fillId="4" borderId="344" xfId="16" applyFont="1" applyFill="1" applyAlignment="1">
      <alignment horizontal="center" vertical="center"/>
    </xf>
    <xf numFmtId="0" fontId="14" fillId="3" borderId="344" xfId="16" applyFont="1" applyFill="1" applyAlignment="1">
      <alignment horizontal="center" vertical="center"/>
    </xf>
    <xf numFmtId="168" fontId="14" fillId="3" borderId="344" xfId="16" applyNumberFormat="1" applyFont="1" applyFill="1" applyAlignment="1">
      <alignment horizontal="right" vertical="center"/>
    </xf>
    <xf numFmtId="2" fontId="146" fillId="0" borderId="344" xfId="16" applyNumberFormat="1" applyFont="1" applyAlignment="1">
      <alignment horizontal="left" vertical="top"/>
    </xf>
    <xf numFmtId="0" fontId="14" fillId="3" borderId="344" xfId="16" applyFont="1" applyFill="1" applyAlignment="1">
      <alignment horizontal="left" vertical="center" wrapText="1"/>
    </xf>
    <xf numFmtId="0" fontId="14" fillId="3" borderId="103" xfId="16" applyFont="1" applyFill="1" applyBorder="1" applyAlignment="1">
      <alignment horizontal="left" vertical="center" wrapText="1" indent="1"/>
    </xf>
    <xf numFmtId="0" fontId="14" fillId="3" borderId="344" xfId="16" applyFont="1" applyFill="1" applyAlignment="1">
      <alignment vertical="center"/>
    </xf>
    <xf numFmtId="2" fontId="14" fillId="0" borderId="344" xfId="16" applyNumberFormat="1" applyFont="1" applyAlignment="1">
      <alignment horizontal="right" vertical="center" wrapText="1"/>
    </xf>
    <xf numFmtId="0" fontId="14" fillId="14" borderId="377" xfId="16" applyFont="1" applyFill="1" applyBorder="1" applyAlignment="1">
      <alignment horizontal="left" vertical="center" indent="1"/>
    </xf>
    <xf numFmtId="4" fontId="213" fillId="0" borderId="344" xfId="16" applyNumberFormat="1"/>
    <xf numFmtId="0" fontId="24" fillId="4" borderId="344" xfId="16" applyFont="1" applyFill="1" applyAlignment="1">
      <alignment horizontal="right" vertical="center"/>
    </xf>
    <xf numFmtId="0" fontId="24" fillId="4" borderId="344" xfId="16" applyFont="1" applyFill="1" applyAlignment="1">
      <alignment vertical="center"/>
    </xf>
    <xf numFmtId="0" fontId="14" fillId="4" borderId="344" xfId="16" applyFont="1" applyFill="1" applyAlignment="1">
      <alignment horizontal="right" vertical="center"/>
    </xf>
    <xf numFmtId="0" fontId="14" fillId="0" borderId="344" xfId="16" applyFont="1"/>
    <xf numFmtId="0" fontId="24" fillId="4" borderId="344" xfId="16" applyFont="1" applyFill="1" applyAlignment="1">
      <alignment vertical="center" wrapText="1"/>
    </xf>
    <xf numFmtId="0" fontId="36" fillId="0" borderId="344" xfId="16" applyFont="1" applyAlignment="1">
      <alignment vertical="center"/>
    </xf>
    <xf numFmtId="49" fontId="32" fillId="0" borderId="344" xfId="16" applyNumberFormat="1" applyFont="1" applyAlignment="1">
      <alignment vertical="center"/>
    </xf>
    <xf numFmtId="0" fontId="14" fillId="0" borderId="344" xfId="16" applyFont="1" applyAlignment="1">
      <alignment horizontal="right"/>
    </xf>
    <xf numFmtId="0" fontId="30" fillId="0" borderId="344" xfId="16" applyFont="1" applyAlignment="1">
      <alignment horizontal="center" vertical="center"/>
    </xf>
    <xf numFmtId="0" fontId="36" fillId="0" borderId="344" xfId="16" applyFont="1" applyAlignment="1">
      <alignment horizontal="center" vertical="center"/>
    </xf>
    <xf numFmtId="0" fontId="44" fillId="0" borderId="344" xfId="16" applyFont="1"/>
    <xf numFmtId="168" fontId="34" fillId="0" borderId="49" xfId="16" applyNumberFormat="1" applyFont="1" applyBorder="1" applyAlignment="1">
      <alignment horizontal="right" vertical="center" indent="1"/>
    </xf>
    <xf numFmtId="168" fontId="34" fillId="0" borderId="52" xfId="16" applyNumberFormat="1" applyFont="1" applyBorder="1" applyAlignment="1">
      <alignment horizontal="right" vertical="center" indent="1"/>
    </xf>
    <xf numFmtId="168" fontId="32" fillId="0" borderId="344" xfId="16" applyNumberFormat="1" applyFont="1" applyAlignment="1">
      <alignment horizontal="center" vertical="center"/>
    </xf>
    <xf numFmtId="168" fontId="34" fillId="0" borderId="53" xfId="16" applyNumberFormat="1" applyFont="1" applyBorder="1" applyAlignment="1">
      <alignment horizontal="right" vertical="center" indent="1"/>
    </xf>
    <xf numFmtId="173" fontId="32" fillId="0" borderId="344" xfId="16" applyNumberFormat="1" applyFont="1" applyAlignment="1">
      <alignment horizontal="center" vertical="center"/>
    </xf>
    <xf numFmtId="2" fontId="32" fillId="0" borderId="344" xfId="16" applyNumberFormat="1" applyFont="1" applyAlignment="1">
      <alignment horizontal="center" vertical="center"/>
    </xf>
    <xf numFmtId="39" fontId="32" fillId="0" borderId="344" xfId="16" applyNumberFormat="1" applyFont="1" applyAlignment="1">
      <alignment horizontal="center" vertical="center"/>
    </xf>
    <xf numFmtId="0" fontId="32" fillId="4" borderId="344" xfId="16" applyFont="1" applyFill="1" applyAlignment="1">
      <alignment vertical="center"/>
    </xf>
    <xf numFmtId="49" fontId="32" fillId="4" borderId="344" xfId="16" applyNumberFormat="1" applyFont="1" applyFill="1" applyAlignment="1">
      <alignment vertical="center"/>
    </xf>
    <xf numFmtId="0" fontId="44" fillId="4" borderId="344" xfId="16" applyFont="1" applyFill="1"/>
    <xf numFmtId="0" fontId="14" fillId="4" borderId="344" xfId="16" applyFont="1" applyFill="1"/>
    <xf numFmtId="174" fontId="32" fillId="0" borderId="344" xfId="16" applyNumberFormat="1" applyFont="1" applyAlignment="1">
      <alignment horizontal="center" vertical="center"/>
    </xf>
    <xf numFmtId="0" fontId="45" fillId="4" borderId="344" xfId="16" applyFont="1" applyFill="1" applyAlignment="1">
      <alignment horizontal="center" vertical="center"/>
    </xf>
    <xf numFmtId="49" fontId="45" fillId="4" borderId="344" xfId="16" applyNumberFormat="1" applyFont="1" applyFill="1" applyAlignment="1">
      <alignment horizontal="center" vertical="center"/>
    </xf>
    <xf numFmtId="4" fontId="34" fillId="4" borderId="344" xfId="16" applyNumberFormat="1" applyFont="1" applyFill="1" applyAlignment="1">
      <alignment horizontal="right" vertical="center"/>
    </xf>
    <xf numFmtId="0" fontId="32" fillId="4" borderId="344" xfId="16" applyFont="1" applyFill="1" applyAlignment="1">
      <alignment horizontal="center" vertical="center"/>
    </xf>
    <xf numFmtId="49" fontId="32" fillId="4" borderId="344" xfId="16" applyNumberFormat="1" applyFont="1" applyFill="1" applyAlignment="1">
      <alignment horizontal="center" vertical="center"/>
    </xf>
    <xf numFmtId="4" fontId="39" fillId="4" borderId="344" xfId="16" applyNumberFormat="1" applyFont="1" applyFill="1" applyAlignment="1">
      <alignment horizontal="right"/>
    </xf>
    <xf numFmtId="44" fontId="32" fillId="0" borderId="344" xfId="16" applyNumberFormat="1" applyFont="1" applyAlignment="1">
      <alignment horizontal="center" vertical="center"/>
    </xf>
    <xf numFmtId="0" fontId="33" fillId="4" borderId="344" xfId="16" applyFont="1" applyFill="1"/>
    <xf numFmtId="49" fontId="33" fillId="4" borderId="344" xfId="16" applyNumberFormat="1" applyFont="1" applyFill="1"/>
    <xf numFmtId="173" fontId="35" fillId="0" borderId="310" xfId="16" applyNumberFormat="1" applyFont="1" applyBorder="1" applyAlignment="1">
      <alignment horizontal="right" vertical="center" indent="1"/>
    </xf>
    <xf numFmtId="44" fontId="35" fillId="0" borderId="312" xfId="16" applyNumberFormat="1" applyFont="1" applyBorder="1" applyAlignment="1">
      <alignment horizontal="right" vertical="center" indent="1"/>
    </xf>
    <xf numFmtId="0" fontId="91" fillId="0" borderId="344" xfId="16" applyFont="1"/>
    <xf numFmtId="168" fontId="35" fillId="46" borderId="9" xfId="16" applyNumberFormat="1" applyFont="1" applyFill="1" applyBorder="1" applyAlignment="1">
      <alignment horizontal="right" vertical="center"/>
    </xf>
    <xf numFmtId="0" fontId="14" fillId="0" borderId="344" xfId="16" applyFont="1" applyAlignment="1">
      <alignment horizontal="left" vertical="center"/>
    </xf>
    <xf numFmtId="14" fontId="34" fillId="0" borderId="344" xfId="16" applyNumberFormat="1" applyFont="1" applyAlignment="1">
      <alignment horizontal="left" vertical="center"/>
    </xf>
    <xf numFmtId="0" fontId="24" fillId="0" borderId="640" xfId="16" applyFont="1" applyBorder="1" applyAlignment="1">
      <alignment horizontal="left" vertical="center" wrapText="1" indent="1"/>
    </xf>
    <xf numFmtId="49" fontId="91" fillId="0" borderId="344" xfId="16" applyNumberFormat="1" applyFont="1"/>
    <xf numFmtId="0" fontId="38" fillId="0" borderId="39" xfId="16" applyFont="1" applyBorder="1" applyAlignment="1">
      <alignment vertical="center" wrapText="1" indent="1"/>
    </xf>
    <xf numFmtId="0" fontId="38" fillId="0" borderId="34" xfId="16" applyFont="1" applyBorder="1" applyAlignment="1">
      <alignment vertical="center" wrapText="1" indent="1"/>
    </xf>
    <xf numFmtId="0" fontId="213" fillId="0" borderId="661" xfId="16" applyBorder="1"/>
    <xf numFmtId="0" fontId="24" fillId="0" borderId="510" xfId="16" applyFont="1" applyBorder="1" applyAlignment="1">
      <alignment horizontal="left" vertical="center" wrapText="1" indent="1"/>
    </xf>
    <xf numFmtId="0" fontId="23" fillId="0" borderId="295" xfId="16" applyFont="1" applyBorder="1" applyAlignment="1">
      <alignment horizontal="center" vertical="center" wrapText="1"/>
    </xf>
    <xf numFmtId="0" fontId="23" fillId="0" borderId="297" xfId="16" applyFont="1" applyBorder="1" applyAlignment="1">
      <alignment horizontal="center" vertical="center" wrapText="1"/>
    </xf>
    <xf numFmtId="49" fontId="24" fillId="0" borderId="297" xfId="16" applyNumberFormat="1" applyFont="1" applyBorder="1" applyAlignment="1">
      <alignment horizontal="center" vertical="center"/>
    </xf>
    <xf numFmtId="0" fontId="39" fillId="0" borderId="44" xfId="16" applyFont="1" applyBorder="1" applyAlignment="1">
      <alignment horizontal="center" vertical="center"/>
    </xf>
    <xf numFmtId="0" fontId="24" fillId="0" borderId="44" xfId="16" applyFont="1" applyBorder="1" applyAlignment="1">
      <alignment horizontal="left" vertical="center" wrapText="1" indent="1"/>
    </xf>
    <xf numFmtId="0" fontId="213" fillId="0" borderId="665" xfId="16" applyBorder="1"/>
    <xf numFmtId="0" fontId="54" fillId="0" borderId="660" xfId="16" applyFont="1" applyBorder="1" applyAlignment="1">
      <alignment horizontal="center" vertical="center" wrapText="1"/>
    </xf>
    <xf numFmtId="0" fontId="24" fillId="0" borderId="660" xfId="16" applyFont="1" applyBorder="1" applyAlignment="1">
      <alignment horizontal="center" vertical="center" wrapText="1"/>
    </xf>
    <xf numFmtId="39" fontId="54" fillId="0" borderId="660" xfId="16" applyNumberFormat="1" applyFont="1" applyBorder="1" applyAlignment="1">
      <alignment horizontal="right" vertical="center"/>
    </xf>
    <xf numFmtId="49" fontId="52" fillId="14" borderId="660" xfId="16" applyNumberFormat="1" applyFont="1" applyFill="1" applyBorder="1" applyAlignment="1">
      <alignment horizontal="center" vertical="center"/>
    </xf>
    <xf numFmtId="49" fontId="152" fillId="14" borderId="660" xfId="16" applyNumberFormat="1" applyFont="1" applyFill="1" applyBorder="1" applyAlignment="1">
      <alignment horizontal="left" vertical="center" wrapText="1" indent="1"/>
    </xf>
    <xf numFmtId="0" fontId="24" fillId="0" borderId="666" xfId="16" applyFont="1" applyBorder="1" applyAlignment="1">
      <alignment horizontal="center" vertical="center" wrapText="1"/>
    </xf>
    <xf numFmtId="0" fontId="213" fillId="0" borderId="667" xfId="16" applyBorder="1"/>
    <xf numFmtId="0" fontId="39" fillId="0" borderId="668" xfId="16" applyFont="1" applyBorder="1" applyAlignment="1">
      <alignment horizontal="center" vertical="center"/>
    </xf>
    <xf numFmtId="0" fontId="24" fillId="0" borderId="659" xfId="16" applyFont="1" applyBorder="1" applyAlignment="1">
      <alignment horizontal="left" vertical="center" wrapText="1" indent="1"/>
    </xf>
    <xf numFmtId="0" fontId="39" fillId="0" borderId="670" xfId="16" applyFont="1" applyBorder="1" applyAlignment="1">
      <alignment horizontal="center" vertical="center"/>
    </xf>
    <xf numFmtId="0" fontId="213" fillId="0" borderId="671" xfId="16" applyBorder="1"/>
    <xf numFmtId="39" fontId="52" fillId="14" borderId="659" xfId="16" applyNumberFormat="1" applyFont="1" applyFill="1" applyBorder="1" applyAlignment="1">
      <alignment horizontal="right" vertical="center"/>
    </xf>
    <xf numFmtId="39" fontId="54" fillId="0" borderId="672" xfId="16" applyNumberFormat="1" applyFont="1" applyBorder="1" applyAlignment="1">
      <alignment horizontal="right" vertical="center"/>
    </xf>
    <xf numFmtId="39" fontId="54" fillId="14" borderId="670" xfId="16" applyNumberFormat="1" applyFont="1" applyFill="1" applyBorder="1" applyAlignment="1">
      <alignment horizontal="right" vertical="center"/>
    </xf>
    <xf numFmtId="0" fontId="213" fillId="0" borderId="674" xfId="16" applyBorder="1"/>
    <xf numFmtId="0" fontId="213" fillId="0" borderId="675" xfId="16" applyBorder="1"/>
    <xf numFmtId="49" fontId="213" fillId="0" borderId="675" xfId="16" applyNumberFormat="1" applyBorder="1"/>
    <xf numFmtId="0" fontId="213" fillId="0" borderId="676" xfId="16" applyBorder="1"/>
    <xf numFmtId="0" fontId="39" fillId="0" borderId="484" xfId="16" applyFont="1" applyBorder="1" applyAlignment="1">
      <alignment horizontal="center" vertical="center"/>
    </xf>
    <xf numFmtId="0" fontId="24" fillId="0" borderId="484" xfId="16" applyFont="1" applyBorder="1" applyAlignment="1">
      <alignment horizontal="left" vertical="center" wrapText="1" indent="1"/>
    </xf>
    <xf numFmtId="0" fontId="54" fillId="0" borderId="484" xfId="16" applyFont="1" applyBorder="1" applyAlignment="1">
      <alignment horizontal="center" vertical="center" wrapText="1"/>
    </xf>
    <xf numFmtId="0" fontId="24" fillId="0" borderId="484" xfId="16" applyFont="1" applyBorder="1" applyAlignment="1">
      <alignment horizontal="center" vertical="center" wrapText="1"/>
    </xf>
    <xf numFmtId="39" fontId="54" fillId="0" borderId="484" xfId="16" applyNumberFormat="1" applyFont="1" applyBorder="1" applyAlignment="1">
      <alignment horizontal="right" vertical="center"/>
    </xf>
    <xf numFmtId="39" fontId="54" fillId="14" borderId="484" xfId="16" applyNumberFormat="1" applyFont="1" applyFill="1" applyBorder="1" applyAlignment="1">
      <alignment horizontal="right" vertical="center"/>
    </xf>
    <xf numFmtId="39" fontId="52" fillId="14" borderId="484" xfId="16" applyNumberFormat="1" applyFont="1" applyFill="1" applyBorder="1" applyAlignment="1">
      <alignment horizontal="right" vertical="center"/>
    </xf>
    <xf numFmtId="49" fontId="52" fillId="14" borderId="484" xfId="16" applyNumberFormat="1" applyFont="1" applyFill="1" applyBorder="1" applyAlignment="1">
      <alignment horizontal="center" vertical="center"/>
    </xf>
    <xf numFmtId="49" fontId="152" fillId="14" borderId="484" xfId="16" applyNumberFormat="1" applyFont="1" applyFill="1" applyBorder="1" applyAlignment="1">
      <alignment horizontal="left" vertical="center" wrapText="1" indent="1"/>
    </xf>
    <xf numFmtId="49" fontId="24" fillId="0" borderId="484" xfId="16" applyNumberFormat="1" applyFont="1" applyBorder="1" applyAlignment="1">
      <alignment horizontal="center" vertical="center"/>
    </xf>
    <xf numFmtId="0" fontId="24" fillId="0" borderId="162" xfId="16" applyFont="1" applyBorder="1" applyAlignment="1">
      <alignment horizontal="center" vertical="center" wrapText="1"/>
    </xf>
    <xf numFmtId="49" fontId="38" fillId="0" borderId="677" xfId="16" applyNumberFormat="1" applyFont="1" applyBorder="1" applyAlignment="1">
      <alignment horizontal="left" vertical="center" wrapText="1" indent="1"/>
    </xf>
    <xf numFmtId="0" fontId="68" fillId="14" borderId="678" xfId="16" applyFont="1" applyFill="1" applyBorder="1" applyAlignment="1">
      <alignment horizontal="center" vertical="center"/>
    </xf>
    <xf numFmtId="0" fontId="38" fillId="0" borderId="680" xfId="16" applyFont="1" applyBorder="1" applyAlignment="1">
      <alignment horizontal="left" vertical="center" wrapText="1" indent="1"/>
    </xf>
    <xf numFmtId="39" fontId="54" fillId="14" borderId="681" xfId="16" applyNumberFormat="1" applyFont="1" applyFill="1" applyBorder="1" applyAlignment="1">
      <alignment horizontal="right" vertical="center"/>
    </xf>
    <xf numFmtId="0" fontId="24" fillId="0" borderId="680" xfId="16" applyFont="1" applyBorder="1" applyAlignment="1">
      <alignment horizontal="left" vertical="center" wrapText="1" indent="1"/>
    </xf>
    <xf numFmtId="0" fontId="24" fillId="0" borderId="411" xfId="16" applyFont="1" applyBorder="1" applyAlignment="1">
      <alignment horizontal="left" vertical="center" wrapText="1" indent="1"/>
    </xf>
    <xf numFmtId="0" fontId="36" fillId="0" borderId="411" xfId="16" applyFont="1" applyBorder="1" applyAlignment="1">
      <alignment horizontal="center"/>
    </xf>
    <xf numFmtId="0" fontId="24" fillId="0" borderId="682" xfId="16" applyFont="1" applyBorder="1" applyAlignment="1">
      <alignment horizontal="left" vertical="center" wrapText="1" indent="1"/>
    </xf>
    <xf numFmtId="39" fontId="54" fillId="14" borderId="683" xfId="16" applyNumberFormat="1" applyFont="1" applyFill="1" applyBorder="1" applyAlignment="1">
      <alignment horizontal="right" vertical="center"/>
    </xf>
    <xf numFmtId="0" fontId="23" fillId="0" borderId="34" xfId="16" applyFont="1" applyBorder="1" applyAlignment="1">
      <alignment horizontal="left" vertical="center" wrapText="1" indent="1"/>
    </xf>
    <xf numFmtId="49" fontId="38" fillId="17" borderId="684" xfId="16" applyNumberFormat="1" applyFont="1" applyFill="1" applyBorder="1" applyAlignment="1">
      <alignment horizontal="left" vertical="center" wrapText="1" indent="1"/>
    </xf>
    <xf numFmtId="0" fontId="68" fillId="14" borderId="685" xfId="16" applyFont="1" applyFill="1" applyBorder="1" applyAlignment="1">
      <alignment horizontal="center" vertical="center"/>
    </xf>
    <xf numFmtId="0" fontId="39" fillId="14" borderId="685" xfId="16" applyFont="1" applyFill="1" applyBorder="1" applyAlignment="1">
      <alignment horizontal="center" vertical="center"/>
    </xf>
    <xf numFmtId="0" fontId="38" fillId="0" borderId="685" xfId="16" applyFont="1" applyBorder="1" applyAlignment="1">
      <alignment horizontal="left" vertical="center" wrapText="1" indent="1"/>
    </xf>
    <xf numFmtId="0" fontId="54" fillId="17" borderId="685" xfId="16" applyFont="1" applyFill="1" applyBorder="1" applyAlignment="1">
      <alignment horizontal="center" vertical="center" wrapText="1"/>
    </xf>
    <xf numFmtId="0" fontId="24" fillId="14" borderId="686" xfId="16" applyFont="1" applyFill="1" applyBorder="1" applyAlignment="1">
      <alignment horizontal="center" vertical="center" wrapText="1"/>
    </xf>
    <xf numFmtId="0" fontId="24" fillId="0" borderId="649" xfId="16" applyFont="1" applyBorder="1" applyAlignment="1">
      <alignment horizontal="center" vertical="center" wrapText="1"/>
    </xf>
    <xf numFmtId="0" fontId="38" fillId="17" borderId="41" xfId="16" applyFont="1" applyFill="1" applyBorder="1" applyAlignment="1">
      <alignment horizontal="left" vertical="center" wrapText="1" indent="1"/>
    </xf>
    <xf numFmtId="0" fontId="38" fillId="0" borderId="649" xfId="16" applyFont="1" applyBorder="1" applyAlignment="1">
      <alignment horizontal="left" vertical="center" wrapText="1" indent="1"/>
    </xf>
    <xf numFmtId="0" fontId="68" fillId="14" borderId="649" xfId="16" applyFont="1" applyFill="1" applyBorder="1" applyAlignment="1">
      <alignment horizontal="center" vertical="center" wrapText="1"/>
    </xf>
    <xf numFmtId="0" fontId="39" fillId="14" borderId="484" xfId="16" applyFont="1" applyFill="1" applyBorder="1" applyAlignment="1">
      <alignment horizontal="center" vertical="center"/>
    </xf>
    <xf numFmtId="49" fontId="38" fillId="17" borderId="640" xfId="16" applyNumberFormat="1" applyFont="1" applyFill="1" applyBorder="1" applyAlignment="1">
      <alignment horizontal="left" vertical="center" wrapText="1" indent="1"/>
    </xf>
    <xf numFmtId="0" fontId="68" fillId="14" borderId="484" xfId="16" applyFont="1" applyFill="1" applyBorder="1" applyAlignment="1">
      <alignment horizontal="center" vertical="center"/>
    </xf>
    <xf numFmtId="0" fontId="29" fillId="14" borderId="484" xfId="16" applyFont="1" applyFill="1" applyBorder="1" applyAlignment="1">
      <alignment horizontal="center" vertical="center" wrapText="1"/>
    </xf>
    <xf numFmtId="0" fontId="24" fillId="14" borderId="484" xfId="16" applyFont="1" applyFill="1" applyBorder="1" applyAlignment="1">
      <alignment horizontal="center" vertical="center" wrapText="1"/>
    </xf>
    <xf numFmtId="0" fontId="23" fillId="0" borderId="484" xfId="16" applyFont="1" applyBorder="1" applyAlignment="1">
      <alignment horizontal="left" vertical="center" wrapText="1" indent="1"/>
    </xf>
    <xf numFmtId="49" fontId="24" fillId="17" borderId="484" xfId="16" applyNumberFormat="1" applyFont="1" applyFill="1" applyBorder="1" applyAlignment="1">
      <alignment horizontal="center" vertical="center"/>
    </xf>
    <xf numFmtId="0" fontId="213" fillId="0" borderId="425" xfId="16" applyBorder="1"/>
    <xf numFmtId="0" fontId="213" fillId="0" borderId="424" xfId="16" applyBorder="1"/>
    <xf numFmtId="0" fontId="24" fillId="14" borderId="411" xfId="16" applyFont="1" applyFill="1" applyBorder="1" applyAlignment="1">
      <alignment horizontal="center" vertical="center" wrapText="1"/>
    </xf>
    <xf numFmtId="39" fontId="54" fillId="14" borderId="411" xfId="16" applyNumberFormat="1" applyFont="1" applyFill="1" applyBorder="1" applyAlignment="1">
      <alignment horizontal="right" vertical="center"/>
    </xf>
    <xf numFmtId="0" fontId="24" fillId="0" borderId="684" xfId="16" applyFont="1" applyBorder="1" applyAlignment="1">
      <alignment horizontal="left" vertical="center" wrapText="1" indent="1"/>
    </xf>
    <xf numFmtId="0" fontId="24" fillId="17" borderId="685" xfId="16" applyFont="1" applyFill="1" applyBorder="1" applyAlignment="1">
      <alignment horizontal="left" vertical="center" wrapText="1" indent="1"/>
    </xf>
    <xf numFmtId="0" fontId="24" fillId="14" borderId="685" xfId="16" applyFont="1" applyFill="1" applyBorder="1" applyAlignment="1">
      <alignment horizontal="center" vertical="center" wrapText="1"/>
    </xf>
    <xf numFmtId="39" fontId="54" fillId="14" borderId="685" xfId="16" applyNumberFormat="1" applyFont="1" applyFill="1" applyBorder="1" applyAlignment="1">
      <alignment horizontal="right" vertical="center"/>
    </xf>
    <xf numFmtId="39" fontId="52" fillId="14" borderId="685" xfId="16" applyNumberFormat="1" applyFont="1" applyFill="1" applyBorder="1" applyAlignment="1">
      <alignment horizontal="right" vertical="center"/>
    </xf>
    <xf numFmtId="49" fontId="52" fillId="14" borderId="686" xfId="16" applyNumberFormat="1" applyFont="1" applyFill="1" applyBorder="1" applyAlignment="1">
      <alignment horizontal="center" vertical="center"/>
    </xf>
    <xf numFmtId="0" fontId="23" fillId="14" borderId="424" xfId="16" applyFont="1" applyFill="1" applyBorder="1" applyAlignment="1">
      <alignment horizontal="center" vertical="center" wrapText="1"/>
    </xf>
    <xf numFmtId="0" fontId="23" fillId="14" borderId="411" xfId="16" applyFont="1" applyFill="1" applyBorder="1" applyAlignment="1">
      <alignment horizontal="center" vertical="center" wrapText="1"/>
    </xf>
    <xf numFmtId="0" fontId="38" fillId="4" borderId="684" xfId="16" applyFont="1" applyFill="1" applyBorder="1" applyAlignment="1">
      <alignment horizontal="left" vertical="center" wrapText="1" indent="1"/>
    </xf>
    <xf numFmtId="0" fontId="24" fillId="0" borderId="691" xfId="16" applyFont="1" applyBorder="1" applyAlignment="1">
      <alignment horizontal="left" vertical="center" wrapText="1" indent="1"/>
    </xf>
    <xf numFmtId="0" fontId="22" fillId="0" borderId="692" xfId="16" applyFont="1" applyBorder="1" applyAlignment="1">
      <alignment horizontal="left" vertical="center" wrapText="1"/>
    </xf>
    <xf numFmtId="0" fontId="23" fillId="0" borderId="692" xfId="16" applyFont="1" applyBorder="1" applyAlignment="1">
      <alignment horizontal="center" vertical="center" wrapText="1"/>
    </xf>
    <xf numFmtId="39" fontId="54" fillId="17" borderId="693" xfId="16" applyNumberFormat="1" applyFont="1" applyFill="1" applyBorder="1" applyAlignment="1">
      <alignment horizontal="right" vertical="center"/>
    </xf>
    <xf numFmtId="0" fontId="24" fillId="14" borderId="411" xfId="16" applyFont="1" applyFill="1" applyBorder="1" applyAlignment="1">
      <alignment horizontal="left" vertical="center" wrapText="1" indent="1"/>
    </xf>
    <xf numFmtId="39" fontId="54" fillId="17" borderId="681" xfId="16" applyNumberFormat="1" applyFont="1" applyFill="1" applyBorder="1" applyAlignment="1">
      <alignment horizontal="right" vertical="center"/>
    </xf>
    <xf numFmtId="0" fontId="24" fillId="0" borderId="685" xfId="16" applyFont="1" applyBorder="1" applyAlignment="1">
      <alignment horizontal="left" vertical="center" wrapText="1" indent="1"/>
    </xf>
    <xf numFmtId="0" fontId="24" fillId="0" borderId="685" xfId="16" applyFont="1" applyBorder="1" applyAlignment="1">
      <alignment horizontal="center" vertical="center" wrapText="1"/>
    </xf>
    <xf numFmtId="39" fontId="54" fillId="0" borderId="685" xfId="16" applyNumberFormat="1" applyFont="1" applyBorder="1" applyAlignment="1">
      <alignment vertical="center"/>
    </xf>
    <xf numFmtId="39" fontId="54" fillId="0" borderId="686" xfId="16" applyNumberFormat="1" applyFont="1" applyBorder="1" applyAlignment="1">
      <alignment vertical="center"/>
    </xf>
    <xf numFmtId="0" fontId="23" fillId="0" borderId="411" xfId="16" applyFont="1" applyBorder="1" applyAlignment="1">
      <alignment horizontal="left" vertical="center" wrapText="1" indent="1"/>
    </xf>
    <xf numFmtId="49" fontId="111" fillId="0" borderId="44" xfId="0" applyNumberFormat="1" applyFont="1" applyBorder="1" applyAlignment="1">
      <alignment horizontal="center" vertical="center"/>
    </xf>
    <xf numFmtId="0" fontId="23" fillId="0" borderId="658" xfId="0" applyFont="1" applyBorder="1" applyAlignment="1">
      <alignment horizontal="left" vertical="center" indent="1"/>
    </xf>
    <xf numFmtId="49" fontId="111" fillId="0" borderId="660" xfId="0" applyNumberFormat="1" applyFont="1" applyBorder="1" applyAlignment="1">
      <alignment horizontal="center" vertical="center"/>
    </xf>
    <xf numFmtId="49" fontId="23" fillId="0" borderId="660" xfId="0" applyNumberFormat="1" applyFont="1" applyBorder="1" applyAlignment="1">
      <alignment horizontal="left" vertical="center" wrapText="1" indent="1"/>
    </xf>
    <xf numFmtId="168" fontId="98" fillId="0" borderId="549" xfId="0" applyNumberFormat="1" applyFont="1" applyBorder="1" applyAlignment="1">
      <alignment horizontal="right" vertical="center" wrapText="1" indent="1"/>
    </xf>
    <xf numFmtId="168" fontId="98" fillId="0" borderId="543" xfId="0" applyNumberFormat="1" applyFont="1" applyBorder="1" applyAlignment="1">
      <alignment horizontal="right" vertical="center" wrapText="1" indent="1"/>
    </xf>
    <xf numFmtId="168" fontId="192" fillId="3" borderId="538" xfId="0" applyNumberFormat="1" applyFont="1" applyFill="1" applyBorder="1" applyAlignment="1">
      <alignment horizontal="right" vertical="center" wrapText="1" indent="1"/>
    </xf>
    <xf numFmtId="168" fontId="98" fillId="3" borderId="549" xfId="0" applyNumberFormat="1" applyFont="1" applyFill="1" applyBorder="1" applyAlignment="1">
      <alignment horizontal="right" vertical="center" wrapText="1" indent="1"/>
    </xf>
    <xf numFmtId="168" fontId="98" fillId="3" borderId="543" xfId="0" applyNumberFormat="1" applyFont="1" applyFill="1" applyBorder="1" applyAlignment="1">
      <alignment horizontal="right" vertical="center" wrapText="1" indent="1"/>
    </xf>
    <xf numFmtId="168" fontId="192" fillId="3" borderId="480" xfId="0" applyNumberFormat="1" applyFont="1" applyFill="1" applyBorder="1" applyAlignment="1">
      <alignment horizontal="right" vertical="center" wrapText="1" indent="1"/>
    </xf>
    <xf numFmtId="0" fontId="29" fillId="0" borderId="4" xfId="0" applyFont="1" applyBorder="1" applyAlignment="1">
      <alignment horizontal="left" vertical="center" wrapText="1" indent="1"/>
    </xf>
    <xf numFmtId="0" fontId="54" fillId="17" borderId="5" xfId="0" applyFont="1" applyFill="1" applyBorder="1" applyAlignment="1">
      <alignment horizontal="center" vertical="center" wrapText="1"/>
    </xf>
    <xf numFmtId="49" fontId="54" fillId="17" borderId="5" xfId="0" applyNumberFormat="1" applyFont="1" applyFill="1" applyBorder="1" applyAlignment="1">
      <alignment horizontal="center" vertical="center" wrapText="1"/>
    </xf>
    <xf numFmtId="49" fontId="106" fillId="17" borderId="5" xfId="0" applyNumberFormat="1" applyFont="1" applyFill="1" applyBorder="1" applyAlignment="1">
      <alignment horizontal="center" vertical="center" wrapText="1"/>
    </xf>
    <xf numFmtId="168" fontId="130" fillId="16" borderId="9" xfId="0" applyNumberFormat="1" applyFont="1" applyFill="1" applyBorder="1" applyAlignment="1">
      <alignment horizontal="right" vertical="center"/>
    </xf>
    <xf numFmtId="39" fontId="216" fillId="14" borderId="34" xfId="16" applyNumberFormat="1" applyFont="1" applyFill="1" applyBorder="1" applyAlignment="1">
      <alignment horizontal="right" vertical="center"/>
    </xf>
    <xf numFmtId="39" fontId="217" fillId="14" borderId="34" xfId="16" applyNumberFormat="1" applyFont="1" applyFill="1" applyBorder="1" applyAlignment="1">
      <alignment horizontal="right" vertical="center"/>
    </xf>
    <xf numFmtId="0" fontId="218" fillId="17" borderId="34" xfId="16" applyFont="1" applyFill="1" applyBorder="1" applyAlignment="1">
      <alignment horizontal="left" vertical="center" wrapText="1" indent="1"/>
    </xf>
    <xf numFmtId="0" fontId="216" fillId="17" borderId="34" xfId="16" applyFont="1" applyFill="1" applyBorder="1" applyAlignment="1">
      <alignment horizontal="center" vertical="center" wrapText="1"/>
    </xf>
    <xf numFmtId="0" fontId="218" fillId="14" borderId="34" xfId="16" applyFont="1" applyFill="1" applyBorder="1" applyAlignment="1">
      <alignment horizontal="center" vertical="center" wrapText="1"/>
    </xf>
    <xf numFmtId="168" fontId="212" fillId="0" borderId="329" xfId="0" applyNumberFormat="1" applyFont="1" applyBorder="1" applyAlignment="1">
      <alignment vertical="center"/>
    </xf>
    <xf numFmtId="39" fontId="222" fillId="17" borderId="84" xfId="0" applyNumberFormat="1" applyFont="1" applyFill="1" applyBorder="1" applyAlignment="1">
      <alignment horizontal="left" vertical="center" wrapText="1" indent="1"/>
    </xf>
    <xf numFmtId="0" fontId="222" fillId="0" borderId="84" xfId="0" applyFont="1" applyBorder="1" applyAlignment="1">
      <alignment horizontal="center" vertical="center" wrapText="1"/>
    </xf>
    <xf numFmtId="0" fontId="22" fillId="0" borderId="41" xfId="0" applyFont="1" applyBorder="1" applyAlignment="1">
      <alignment horizontal="left" vertical="center" indent="1"/>
    </xf>
    <xf numFmtId="0" fontId="113" fillId="0" borderId="44" xfId="0" applyFont="1" applyBorder="1" applyAlignment="1">
      <alignment horizontal="center" vertical="center" wrapText="1"/>
    </xf>
    <xf numFmtId="0" fontId="93" fillId="0" borderId="680" xfId="16" applyFont="1" applyBorder="1" applyAlignment="1">
      <alignment horizontal="left" vertical="center" wrapText="1" indent="1"/>
    </xf>
    <xf numFmtId="0" fontId="61" fillId="0" borderId="33" xfId="0" applyFont="1" applyBorder="1" applyAlignment="1">
      <alignment horizontal="left" vertical="center" wrapText="1" indent="1"/>
    </xf>
    <xf numFmtId="0" fontId="70" fillId="0" borderId="37" xfId="0" applyFont="1" applyBorder="1" applyAlignment="1">
      <alignment horizontal="center" vertical="center"/>
    </xf>
    <xf numFmtId="49" fontId="38" fillId="0" borderId="37" xfId="0" applyNumberFormat="1" applyFont="1" applyBorder="1" applyAlignment="1">
      <alignment horizontal="left" vertical="center" indent="1"/>
    </xf>
    <xf numFmtId="49" fontId="70" fillId="0" borderId="37" xfId="0" applyNumberFormat="1" applyFont="1" applyBorder="1" applyAlignment="1">
      <alignment horizontal="center" vertical="center"/>
    </xf>
    <xf numFmtId="0" fontId="222" fillId="0" borderId="39" xfId="0" applyFont="1" applyBorder="1" applyAlignment="1">
      <alignment horizontal="center" vertical="center" wrapText="1"/>
    </xf>
    <xf numFmtId="0" fontId="24" fillId="17" borderId="75" xfId="0" applyFont="1" applyFill="1" applyBorder="1" applyAlignment="1">
      <alignment vertical="center" indent="1"/>
    </xf>
    <xf numFmtId="0" fontId="56" fillId="17" borderId="75" xfId="0" applyFont="1" applyFill="1" applyBorder="1" applyAlignment="1">
      <alignment vertical="center"/>
    </xf>
    <xf numFmtId="0" fontId="24" fillId="17" borderId="75" xfId="0" applyFont="1" applyFill="1" applyBorder="1" applyAlignment="1">
      <alignment horizontal="center" vertical="center"/>
    </xf>
    <xf numFmtId="0" fontId="222" fillId="17" borderId="34" xfId="0" applyFont="1" applyFill="1" applyBorder="1" applyAlignment="1">
      <alignment horizontal="left" vertical="center" wrapText="1" indent="1"/>
    </xf>
    <xf numFmtId="0" fontId="96" fillId="0" borderId="84" xfId="0" applyFont="1" applyBorder="1" applyAlignment="1">
      <alignment horizontal="center" vertical="center" wrapText="1"/>
    </xf>
    <xf numFmtId="49" fontId="96" fillId="0" borderId="84" xfId="0" applyNumberFormat="1" applyFont="1" applyBorder="1" applyAlignment="1">
      <alignment horizontal="center" vertical="center"/>
    </xf>
    <xf numFmtId="0" fontId="219" fillId="0" borderId="44" xfId="0" applyFont="1" applyBorder="1" applyAlignment="1">
      <alignment horizontal="center" vertical="center" indent="1"/>
    </xf>
    <xf numFmtId="0" fontId="222" fillId="0" borderId="44" xfId="0" applyFont="1" applyBorder="1" applyAlignment="1">
      <alignment horizontal="center" vertical="center" indent="1"/>
    </xf>
    <xf numFmtId="49" fontId="222" fillId="17" borderId="84" xfId="0" applyNumberFormat="1" applyFont="1" applyFill="1" applyBorder="1" applyAlignment="1">
      <alignment horizontal="center" vertical="center"/>
    </xf>
    <xf numFmtId="0" fontId="223" fillId="17" borderId="34" xfId="0" applyFont="1" applyFill="1" applyBorder="1" applyAlignment="1">
      <alignment horizontal="center" vertical="center" wrapText="1"/>
    </xf>
    <xf numFmtId="0" fontId="222" fillId="17" borderId="34" xfId="0" applyFont="1" applyFill="1" applyBorder="1" applyAlignment="1">
      <alignment horizontal="center" vertical="center" wrapText="1"/>
    </xf>
    <xf numFmtId="39" fontId="223" fillId="17" borderId="34" xfId="0" applyNumberFormat="1" applyFont="1" applyFill="1" applyBorder="1" applyAlignment="1">
      <alignment vertical="center"/>
    </xf>
    <xf numFmtId="0" fontId="222" fillId="17" borderId="242" xfId="0" applyFont="1" applyFill="1" applyBorder="1" applyAlignment="1">
      <alignment horizontal="center" vertical="center"/>
    </xf>
    <xf numFmtId="0" fontId="221" fillId="0" borderId="329" xfId="0" applyFont="1" applyBorder="1" applyAlignment="1">
      <alignment horizontal="left" vertical="center" wrapText="1" indent="1"/>
    </xf>
    <xf numFmtId="0" fontId="222" fillId="0" borderId="74" xfId="0" applyFont="1" applyBorder="1" applyAlignment="1">
      <alignment horizontal="left" vertical="center" wrapText="1" indent="1"/>
    </xf>
    <xf numFmtId="0" fontId="68" fillId="0" borderId="411" xfId="16" applyFont="1" applyBorder="1" applyAlignment="1">
      <alignment horizontal="center" vertical="center"/>
    </xf>
    <xf numFmtId="0" fontId="24" fillId="0" borderId="411" xfId="16" applyFont="1" applyBorder="1" applyAlignment="1">
      <alignment horizontal="center" vertical="center" wrapText="1"/>
    </xf>
    <xf numFmtId="0" fontId="39" fillId="0" borderId="411" xfId="16" applyFont="1" applyBorder="1" applyAlignment="1">
      <alignment horizontal="center" vertical="center"/>
    </xf>
    <xf numFmtId="0" fontId="54" fillId="0" borderId="411" xfId="16" applyFont="1" applyBorder="1" applyAlignment="1">
      <alignment horizontal="center" vertical="center"/>
    </xf>
    <xf numFmtId="0" fontId="15" fillId="0" borderId="73" xfId="16" applyFont="1" applyBorder="1"/>
    <xf numFmtId="0" fontId="129" fillId="14" borderId="411" xfId="16" applyFont="1" applyFill="1" applyBorder="1" applyAlignment="1">
      <alignment horizontal="center" vertical="center"/>
    </xf>
    <xf numFmtId="168" fontId="130" fillId="14" borderId="411" xfId="16" applyNumberFormat="1" applyFont="1" applyFill="1" applyBorder="1" applyAlignment="1">
      <alignment horizontal="right" vertical="center"/>
    </xf>
    <xf numFmtId="0" fontId="95" fillId="0" borderId="424" xfId="16" applyFont="1" applyBorder="1" applyAlignment="1">
      <alignment horizontal="left" vertical="center" wrapText="1" indent="1"/>
    </xf>
    <xf numFmtId="0" fontId="95" fillId="0" borderId="685" xfId="16" applyFont="1" applyBorder="1" applyAlignment="1">
      <alignment horizontal="left" vertical="center" wrapText="1" indent="1"/>
    </xf>
    <xf numFmtId="2" fontId="44" fillId="0" borderId="0" xfId="0" applyNumberFormat="1" applyFont="1" applyAlignment="1">
      <alignment vertical="center" wrapText="1"/>
    </xf>
    <xf numFmtId="168" fontId="32" fillId="0" borderId="344" xfId="2" applyNumberFormat="1" applyFont="1" applyAlignment="1">
      <alignment vertical="center"/>
    </xf>
    <xf numFmtId="49" fontId="14" fillId="17" borderId="134" xfId="0" applyNumberFormat="1" applyFont="1" applyFill="1" applyBorder="1" applyAlignment="1">
      <alignment horizontal="center" vertical="center"/>
    </xf>
    <xf numFmtId="0" fontId="24" fillId="17" borderId="144" xfId="0" applyFont="1" applyFill="1" applyBorder="1" applyAlignment="1">
      <alignment horizontal="center" vertical="center" wrapText="1"/>
    </xf>
    <xf numFmtId="0" fontId="91" fillId="0" borderId="344" xfId="15" applyAlignment="1">
      <alignment vertical="center"/>
    </xf>
    <xf numFmtId="0" fontId="125" fillId="0" borderId="344" xfId="15" applyFont="1" applyAlignment="1">
      <alignment vertical="center"/>
    </xf>
    <xf numFmtId="0" fontId="31" fillId="0" borderId="344" xfId="15" applyFont="1" applyAlignment="1">
      <alignment vertical="center" wrapText="1"/>
    </xf>
    <xf numFmtId="0" fontId="94" fillId="0" borderId="344" xfId="15" applyFont="1" applyAlignment="1">
      <alignment vertical="center" wrapText="1"/>
    </xf>
    <xf numFmtId="0" fontId="102" fillId="0" borderId="344" xfId="15" applyFont="1" applyAlignment="1">
      <alignment vertical="center"/>
    </xf>
    <xf numFmtId="0" fontId="138" fillId="0" borderId="344" xfId="15" applyFont="1" applyAlignment="1">
      <alignment vertical="center"/>
    </xf>
    <xf numFmtId="0" fontId="29" fillId="0" borderId="344" xfId="15" applyFont="1" applyAlignment="1">
      <alignment vertical="center"/>
    </xf>
    <xf numFmtId="0" fontId="103" fillId="0" borderId="344" xfId="15" applyFont="1" applyAlignment="1">
      <alignment vertical="center"/>
    </xf>
    <xf numFmtId="0" fontId="15" fillId="0" borderId="344" xfId="15" applyFont="1" applyAlignment="1">
      <alignment vertical="center"/>
    </xf>
    <xf numFmtId="0" fontId="138" fillId="0" borderId="344" xfId="15" applyFont="1" applyAlignment="1">
      <alignment horizontal="right" vertical="center"/>
    </xf>
    <xf numFmtId="4" fontId="140" fillId="3" borderId="480" xfId="15" applyNumberFormat="1" applyFont="1" applyFill="1" applyBorder="1" applyAlignment="1">
      <alignment horizontal="right" vertical="center" indent="1"/>
    </xf>
    <xf numFmtId="0" fontId="104" fillId="3" borderId="543" xfId="15" applyFont="1" applyFill="1" applyBorder="1" applyAlignment="1">
      <alignment horizontal="right" vertical="center" indent="1"/>
    </xf>
    <xf numFmtId="0" fontId="104" fillId="0" borderId="344" xfId="15" applyFont="1" applyAlignment="1">
      <alignment vertical="center"/>
    </xf>
    <xf numFmtId="4" fontId="104" fillId="3" borderId="549" xfId="15" applyNumberFormat="1" applyFont="1" applyFill="1" applyBorder="1" applyAlignment="1">
      <alignment horizontal="right" vertical="center" indent="1"/>
    </xf>
    <xf numFmtId="0" fontId="99" fillId="0" borderId="344" xfId="15" applyFont="1" applyAlignment="1">
      <alignment vertical="center"/>
    </xf>
    <xf numFmtId="0" fontId="124" fillId="0" borderId="344" xfId="15" applyFont="1" applyAlignment="1">
      <alignment vertical="center"/>
    </xf>
    <xf numFmtId="0" fontId="104" fillId="3" borderId="549" xfId="15" applyFont="1" applyFill="1" applyBorder="1" applyAlignment="1">
      <alignment horizontal="right" vertical="center" indent="1"/>
    </xf>
    <xf numFmtId="0" fontId="121" fillId="0" borderId="344" xfId="15" applyFont="1" applyAlignment="1">
      <alignment vertical="center"/>
    </xf>
    <xf numFmtId="0" fontId="121" fillId="0" borderId="344" xfId="15" applyFont="1" applyAlignment="1">
      <alignment horizontal="right" vertical="center"/>
    </xf>
    <xf numFmtId="0" fontId="120" fillId="0" borderId="344" xfId="15" applyFont="1" applyAlignment="1">
      <alignment vertical="center"/>
    </xf>
    <xf numFmtId="4" fontId="140" fillId="3" borderId="538" xfId="15" applyNumberFormat="1" applyFont="1" applyFill="1" applyBorder="1" applyAlignment="1">
      <alignment horizontal="right" vertical="center" indent="1"/>
    </xf>
    <xf numFmtId="0" fontId="107" fillId="0" borderId="344" xfId="15" applyFont="1" applyAlignment="1">
      <alignment vertical="center"/>
    </xf>
    <xf numFmtId="0" fontId="28" fillId="0" borderId="344" xfId="15" applyFont="1" applyAlignment="1">
      <alignment horizontal="right" vertical="center"/>
    </xf>
    <xf numFmtId="0" fontId="104" fillId="0" borderId="543" xfId="15" applyFont="1" applyBorder="1" applyAlignment="1">
      <alignment horizontal="right" vertical="center" indent="1"/>
    </xf>
    <xf numFmtId="0" fontId="37" fillId="0" borderId="344" xfId="15" applyFont="1" applyAlignment="1">
      <alignment horizontal="center" vertical="center"/>
    </xf>
    <xf numFmtId="168" fontId="121" fillId="0" borderId="344" xfId="15" applyNumberFormat="1" applyFont="1" applyAlignment="1">
      <alignment horizontal="center" vertical="center"/>
    </xf>
    <xf numFmtId="0" fontId="29" fillId="0" borderId="344" xfId="15" applyFont="1" applyAlignment="1">
      <alignment horizontal="right" vertical="center"/>
    </xf>
    <xf numFmtId="4" fontId="104" fillId="0" borderId="549" xfId="15" applyNumberFormat="1" applyFont="1" applyBorder="1" applyAlignment="1">
      <alignment horizontal="right" vertical="center" indent="1"/>
    </xf>
    <xf numFmtId="0" fontId="121" fillId="0" borderId="344" xfId="15" applyFont="1" applyAlignment="1">
      <alignment horizontal="center" vertical="center"/>
    </xf>
    <xf numFmtId="0" fontId="137" fillId="0" borderId="344" xfId="15" applyFont="1" applyAlignment="1">
      <alignment vertical="center"/>
    </xf>
    <xf numFmtId="0" fontId="122" fillId="0" borderId="344" xfId="15" applyFont="1" applyAlignment="1">
      <alignment horizontal="center" vertical="center"/>
    </xf>
    <xf numFmtId="0" fontId="141" fillId="0" borderId="344" xfId="15" applyFont="1" applyAlignment="1">
      <alignment vertical="center"/>
    </xf>
    <xf numFmtId="4" fontId="102" fillId="0" borderId="344" xfId="15" applyNumberFormat="1" applyFont="1" applyAlignment="1">
      <alignment vertical="center"/>
    </xf>
    <xf numFmtId="4" fontId="104" fillId="0" borderId="543" xfId="15" applyNumberFormat="1" applyFont="1" applyBorder="1" applyAlignment="1">
      <alignment horizontal="right" vertical="center" indent="1"/>
    </xf>
    <xf numFmtId="49" fontId="104" fillId="0" borderId="542" xfId="15" applyNumberFormat="1" applyFont="1" applyBorder="1" applyAlignment="1">
      <alignment horizontal="center" vertical="center"/>
    </xf>
    <xf numFmtId="0" fontId="104" fillId="0" borderId="542" xfId="15" applyFont="1" applyBorder="1" applyAlignment="1">
      <alignment horizontal="center" vertical="center"/>
    </xf>
    <xf numFmtId="0" fontId="103" fillId="0" borderId="542" xfId="15" applyFont="1" applyBorder="1" applyAlignment="1">
      <alignment horizontal="left" vertical="center" wrapText="1" indent="1"/>
    </xf>
    <xf numFmtId="0" fontId="103" fillId="0" borderId="544" xfId="15" applyFont="1" applyBorder="1" applyAlignment="1">
      <alignment horizontal="left" vertical="center" wrapText="1" indent="1"/>
    </xf>
    <xf numFmtId="4" fontId="103" fillId="0" borderId="344" xfId="15" applyNumberFormat="1" applyFont="1" applyAlignment="1">
      <alignment vertical="center"/>
    </xf>
    <xf numFmtId="0" fontId="103" fillId="0" borderId="541" xfId="15" applyFont="1" applyBorder="1" applyAlignment="1">
      <alignment horizontal="left" vertical="center" wrapText="1" indent="1"/>
    </xf>
    <xf numFmtId="0" fontId="136" fillId="0" borderId="344" xfId="15" applyFont="1" applyAlignment="1">
      <alignment vertical="center"/>
    </xf>
    <xf numFmtId="0" fontId="21" fillId="0" borderId="344" xfId="15" applyFont="1" applyAlignment="1">
      <alignment vertical="center"/>
    </xf>
    <xf numFmtId="0" fontId="136" fillId="0" borderId="344" xfId="15" applyFont="1" applyAlignment="1">
      <alignment vertical="center" wrapText="1"/>
    </xf>
    <xf numFmtId="0" fontId="28" fillId="0" borderId="344" xfId="15" applyFont="1" applyAlignment="1">
      <alignment vertical="center"/>
    </xf>
    <xf numFmtId="0" fontId="130" fillId="2" borderId="327" xfId="15" applyFont="1" applyFill="1" applyBorder="1" applyAlignment="1">
      <alignment vertical="center"/>
    </xf>
    <xf numFmtId="0" fontId="132" fillId="2" borderId="327" xfId="15" applyFont="1" applyFill="1" applyBorder="1" applyAlignment="1">
      <alignment vertical="center"/>
    </xf>
    <xf numFmtId="0" fontId="132" fillId="2" borderId="327" xfId="15" applyFont="1" applyFill="1" applyBorder="1" applyAlignment="1">
      <alignment vertical="center" wrapText="1"/>
    </xf>
    <xf numFmtId="0" fontId="107" fillId="2" borderId="350" xfId="15" applyFont="1" applyFill="1" applyBorder="1" applyAlignment="1">
      <alignment vertical="center"/>
    </xf>
    <xf numFmtId="0" fontId="132" fillId="2" borderId="350" xfId="15" applyFont="1" applyFill="1" applyBorder="1" applyAlignment="1">
      <alignment vertical="center"/>
    </xf>
    <xf numFmtId="0" fontId="132" fillId="2" borderId="350" xfId="15" applyFont="1" applyFill="1" applyBorder="1" applyAlignment="1">
      <alignment vertical="center" wrapText="1"/>
    </xf>
    <xf numFmtId="0" fontId="105" fillId="0" borderId="344" xfId="15" applyFont="1" applyAlignment="1">
      <alignment vertical="center" wrapText="1"/>
    </xf>
    <xf numFmtId="49" fontId="221" fillId="17" borderId="41" xfId="0" applyNumberFormat="1" applyFont="1" applyFill="1" applyBorder="1" applyAlignment="1">
      <alignment horizontal="left" vertical="center" indent="1"/>
    </xf>
    <xf numFmtId="0" fontId="221" fillId="17" borderId="39" xfId="0" applyFont="1" applyFill="1" applyBorder="1" applyAlignment="1">
      <alignment horizontal="left" vertical="center" wrapText="1" indent="1"/>
    </xf>
    <xf numFmtId="0" fontId="222" fillId="17" borderId="39" xfId="0" applyFont="1" applyFill="1" applyBorder="1" applyAlignment="1">
      <alignment horizontal="center" vertical="center" wrapText="1"/>
    </xf>
    <xf numFmtId="39" fontId="223" fillId="17" borderId="39" xfId="0" applyNumberFormat="1" applyFont="1" applyFill="1" applyBorder="1" applyAlignment="1">
      <alignment vertical="center"/>
    </xf>
    <xf numFmtId="39" fontId="223" fillId="17" borderId="44" xfId="0" applyNumberFormat="1" applyFont="1" applyFill="1" applyBorder="1" applyAlignment="1">
      <alignment vertical="center"/>
    </xf>
    <xf numFmtId="49" fontId="222" fillId="17" borderId="33" xfId="0" applyNumberFormat="1" applyFont="1" applyFill="1" applyBorder="1" applyAlignment="1">
      <alignment horizontal="left" vertical="center"/>
    </xf>
    <xf numFmtId="49" fontId="221" fillId="17" borderId="34" xfId="0" applyNumberFormat="1" applyFont="1" applyFill="1" applyBorder="1" applyAlignment="1">
      <alignment vertical="center"/>
    </xf>
    <xf numFmtId="49" fontId="221" fillId="17" borderId="39" xfId="0" applyNumberFormat="1" applyFont="1" applyFill="1" applyBorder="1" applyAlignment="1">
      <alignment vertical="center"/>
    </xf>
    <xf numFmtId="49" fontId="222" fillId="0" borderId="39" xfId="0" applyNumberFormat="1" applyFont="1" applyBorder="1" applyAlignment="1">
      <alignment horizontal="center" vertical="center"/>
    </xf>
    <xf numFmtId="49" fontId="222" fillId="0" borderId="34" xfId="0" applyNumberFormat="1" applyFont="1" applyBorder="1" applyAlignment="1">
      <alignment horizontal="center" vertical="center"/>
    </xf>
    <xf numFmtId="0" fontId="222" fillId="0" borderId="34" xfId="0" applyFont="1" applyBorder="1" applyAlignment="1">
      <alignment horizontal="center" vertical="center" wrapText="1"/>
    </xf>
    <xf numFmtId="0" fontId="222" fillId="0" borderId="43" xfId="0" applyFont="1" applyBorder="1" applyAlignment="1">
      <alignment horizontal="center" vertical="center" wrapText="1"/>
    </xf>
    <xf numFmtId="49" fontId="221" fillId="0" borderId="43" xfId="0" applyNumberFormat="1" applyFont="1" applyBorder="1" applyAlignment="1">
      <alignment vertical="center"/>
    </xf>
    <xf numFmtId="49" fontId="222" fillId="0" borderId="43" xfId="0" applyNumberFormat="1" applyFont="1" applyBorder="1" applyAlignment="1">
      <alignment horizontal="center" vertical="center"/>
    </xf>
    <xf numFmtId="0" fontId="231" fillId="0" borderId="411" xfId="2" applyFont="1" applyBorder="1" applyAlignment="1">
      <alignment horizontal="center" vertical="center" wrapText="1"/>
    </xf>
    <xf numFmtId="0" fontId="227" fillId="0" borderId="411" xfId="2" applyFont="1" applyBorder="1" applyAlignment="1">
      <alignment horizontal="left" vertical="center" wrapText="1" indent="1"/>
    </xf>
    <xf numFmtId="0" fontId="233" fillId="0" borderId="411" xfId="2" applyFont="1" applyBorder="1"/>
    <xf numFmtId="0" fontId="227" fillId="0" borderId="703" xfId="2" applyFont="1" applyBorder="1" applyAlignment="1">
      <alignment horizontal="left" vertical="center" wrapText="1" indent="1"/>
    </xf>
    <xf numFmtId="0" fontId="224" fillId="0" borderId="415" xfId="0" applyFont="1" applyBorder="1" applyAlignment="1">
      <alignment horizontal="left" vertical="center" wrapText="1" indent="1"/>
    </xf>
    <xf numFmtId="0" fontId="224" fillId="0" borderId="411" xfId="2" applyFont="1" applyBorder="1" applyAlignment="1">
      <alignment horizontal="center" vertical="center" wrapText="1"/>
    </xf>
    <xf numFmtId="168" fontId="231" fillId="0" borderId="411" xfId="2" applyNumberFormat="1" applyFont="1" applyBorder="1" applyAlignment="1">
      <alignment vertical="center"/>
    </xf>
    <xf numFmtId="49" fontId="222" fillId="0" borderId="37" xfId="0" applyNumberFormat="1" applyFont="1" applyBorder="1" applyAlignment="1">
      <alignment horizontal="center" vertical="center"/>
    </xf>
    <xf numFmtId="168" fontId="231" fillId="0" borderId="415" xfId="2" applyNumberFormat="1" applyFont="1" applyBorder="1" applyAlignment="1">
      <alignment vertical="center"/>
    </xf>
    <xf numFmtId="0" fontId="101" fillId="14" borderId="411" xfId="16" applyFont="1" applyFill="1" applyBorder="1" applyAlignment="1">
      <alignment horizontal="center" vertical="center"/>
    </xf>
    <xf numFmtId="0" fontId="129" fillId="0" borderId="692" xfId="16" applyFont="1" applyBorder="1" applyAlignment="1">
      <alignment horizontal="center" vertical="center"/>
    </xf>
    <xf numFmtId="0" fontId="101" fillId="0" borderId="411" xfId="16" applyFont="1" applyBorder="1" applyAlignment="1">
      <alignment horizontal="center" vertical="center"/>
    </xf>
    <xf numFmtId="0" fontId="39" fillId="4" borderId="411" xfId="16" applyFont="1" applyFill="1" applyBorder="1" applyAlignment="1">
      <alignment horizontal="center" vertical="center"/>
    </xf>
    <xf numFmtId="0" fontId="39" fillId="14" borderId="411" xfId="16" applyFont="1" applyFill="1" applyBorder="1" applyAlignment="1">
      <alignment horizontal="center" vertical="center"/>
    </xf>
    <xf numFmtId="49" fontId="222" fillId="4" borderId="34" xfId="0" applyNumberFormat="1" applyFont="1" applyFill="1" applyBorder="1" applyAlignment="1">
      <alignment horizontal="center" vertical="center"/>
    </xf>
    <xf numFmtId="0" fontId="14" fillId="14" borderId="377" xfId="16" applyFont="1" applyFill="1" applyBorder="1" applyAlignment="1">
      <alignment horizontal="left" vertical="center" wrapText="1" indent="1"/>
    </xf>
    <xf numFmtId="49" fontId="222" fillId="0" borderId="34" xfId="16" applyNumberFormat="1" applyFont="1" applyBorder="1" applyAlignment="1">
      <alignment horizontal="center" vertical="center"/>
    </xf>
    <xf numFmtId="0" fontId="222" fillId="0" borderId="34" xfId="16" applyFont="1" applyBorder="1" applyAlignment="1">
      <alignment horizontal="center" vertical="center" wrapText="1"/>
    </xf>
    <xf numFmtId="0" fontId="222" fillId="17" borderId="74" xfId="0" applyFont="1" applyFill="1" applyBorder="1" applyAlignment="1">
      <alignment horizontal="center" vertical="center" wrapText="1"/>
    </xf>
    <xf numFmtId="0" fontId="24" fillId="17" borderId="562" xfId="0" applyFont="1" applyFill="1" applyBorder="1" applyAlignment="1">
      <alignment horizontal="center" vertical="center" wrapText="1"/>
    </xf>
    <xf numFmtId="0" fontId="0" fillId="0" borderId="344" xfId="0" applyBorder="1" applyAlignment="1">
      <alignment vertical="center" wrapText="1"/>
    </xf>
    <xf numFmtId="0" fontId="14" fillId="3" borderId="344" xfId="0" applyFont="1" applyFill="1" applyBorder="1" applyAlignment="1">
      <alignment horizontal="left" vertical="center" wrapText="1" indent="1"/>
    </xf>
    <xf numFmtId="168" fontId="222" fillId="17" borderId="34" xfId="0" applyNumberFormat="1" applyFont="1" applyFill="1" applyBorder="1" applyAlignment="1">
      <alignment vertical="center"/>
    </xf>
    <xf numFmtId="49" fontId="221" fillId="17" borderId="37" xfId="0" applyNumberFormat="1" applyFont="1" applyFill="1" applyBorder="1" applyAlignment="1">
      <alignment vertical="center"/>
    </xf>
    <xf numFmtId="0" fontId="222" fillId="0" borderId="37" xfId="0" applyFont="1" applyBorder="1" applyAlignment="1">
      <alignment horizontal="center" vertical="center" wrapText="1"/>
    </xf>
    <xf numFmtId="4" fontId="11" fillId="0" borderId="344" xfId="0" applyNumberFormat="1" applyFont="1" applyBorder="1" applyAlignment="1">
      <alignment horizontal="center" vertical="center"/>
    </xf>
    <xf numFmtId="0" fontId="45" fillId="0" borderId="344" xfId="0" applyFont="1" applyBorder="1"/>
    <xf numFmtId="0" fontId="45" fillId="0" borderId="344" xfId="0" applyFont="1" applyBorder="1" applyAlignment="1">
      <alignment vertical="center"/>
    </xf>
    <xf numFmtId="0" fontId="32" fillId="0" borderId="344" xfId="0" applyFont="1" applyBorder="1"/>
    <xf numFmtId="0" fontId="32" fillId="0" borderId="444" xfId="2" applyFont="1" applyBorder="1"/>
    <xf numFmtId="168" fontId="34" fillId="0" borderId="178" xfId="0" applyNumberFormat="1" applyFont="1" applyBorder="1" applyAlignment="1">
      <alignment horizontal="right" vertical="center"/>
    </xf>
    <xf numFmtId="168" fontId="34" fillId="0" borderId="6" xfId="0" applyNumberFormat="1" applyFont="1" applyBorder="1" applyAlignment="1">
      <alignment vertical="center"/>
    </xf>
    <xf numFmtId="168" fontId="34" fillId="0" borderId="655" xfId="0" applyNumberFormat="1" applyFont="1" applyBorder="1" applyAlignment="1">
      <alignment horizontal="right" vertical="center"/>
    </xf>
    <xf numFmtId="168" fontId="104" fillId="0" borderId="655" xfId="0" applyNumberFormat="1" applyFont="1" applyBorder="1" applyAlignment="1">
      <alignment horizontal="right" vertical="center"/>
    </xf>
    <xf numFmtId="0" fontId="24" fillId="17" borderId="704" xfId="0" applyFont="1" applyFill="1" applyBorder="1" applyAlignment="1">
      <alignment horizontal="left" vertical="center" wrapText="1" indent="1"/>
    </xf>
    <xf numFmtId="0" fontId="24" fillId="17" borderId="160" xfId="0" applyFont="1" applyFill="1" applyBorder="1" applyAlignment="1">
      <alignment horizontal="center" vertical="center" wrapText="1"/>
    </xf>
    <xf numFmtId="0" fontId="24" fillId="17" borderId="161" xfId="0" applyFont="1" applyFill="1" applyBorder="1" applyAlignment="1">
      <alignment horizontal="center" vertical="center" wrapText="1"/>
    </xf>
    <xf numFmtId="0" fontId="24" fillId="17" borderId="705" xfId="0" applyFont="1" applyFill="1" applyBorder="1" applyAlignment="1">
      <alignment horizontal="center" vertical="center" wrapText="1"/>
    </xf>
    <xf numFmtId="39" fontId="24" fillId="17" borderId="173" xfId="0" applyNumberFormat="1" applyFont="1" applyFill="1" applyBorder="1" applyAlignment="1">
      <alignment horizontal="center" vertical="center"/>
    </xf>
    <xf numFmtId="168" fontId="54" fillId="0" borderId="6" xfId="0" applyNumberFormat="1" applyFont="1" applyBorder="1" applyAlignment="1">
      <alignment horizontal="right" vertical="center"/>
    </xf>
    <xf numFmtId="168" fontId="106" fillId="0" borderId="6" xfId="0" applyNumberFormat="1" applyFont="1" applyBorder="1" applyAlignment="1">
      <alignment horizontal="right" vertical="center"/>
    </xf>
    <xf numFmtId="0" fontId="24" fillId="0" borderId="209" xfId="0" applyFont="1" applyBorder="1" applyAlignment="1">
      <alignment vertical="center" wrapText="1"/>
    </xf>
    <xf numFmtId="49" fontId="38" fillId="17" borderId="111" xfId="0" applyNumberFormat="1" applyFont="1" applyFill="1" applyBorder="1" applyAlignment="1">
      <alignment vertical="center"/>
    </xf>
    <xf numFmtId="0" fontId="24" fillId="0" borderId="111" xfId="0" applyFont="1" applyBorder="1" applyAlignment="1">
      <alignment horizontal="center" vertical="center" wrapText="1"/>
    </xf>
    <xf numFmtId="49" fontId="24" fillId="0" borderId="111" xfId="0" applyNumberFormat="1" applyFont="1" applyBorder="1" applyAlignment="1">
      <alignment horizontal="center" vertical="center"/>
    </xf>
    <xf numFmtId="49" fontId="222" fillId="0" borderId="44" xfId="0" applyNumberFormat="1" applyFont="1" applyBorder="1" applyAlignment="1">
      <alignment horizontal="center" vertical="center"/>
    </xf>
    <xf numFmtId="39" fontId="113" fillId="17" borderId="34" xfId="0" applyNumberFormat="1" applyFont="1" applyFill="1" applyBorder="1" applyAlignment="1">
      <alignment vertical="center"/>
    </xf>
    <xf numFmtId="49" fontId="23" fillId="0" borderId="34" xfId="0" applyNumberFormat="1" applyFont="1" applyBorder="1" applyAlignment="1">
      <alignment horizontal="center" vertical="center"/>
    </xf>
    <xf numFmtId="0" fontId="38" fillId="17" borderId="707" xfId="0" applyFont="1" applyFill="1" applyBorder="1" applyAlignment="1">
      <alignment horizontal="center" vertical="center" wrapText="1"/>
    </xf>
    <xf numFmtId="0" fontId="24" fillId="17" borderId="181" xfId="0" applyFont="1" applyFill="1" applyBorder="1" applyAlignment="1">
      <alignment horizontal="center" vertical="center" wrapText="1"/>
    </xf>
    <xf numFmtId="0" fontId="38" fillId="17" borderId="181" xfId="0" applyFont="1" applyFill="1" applyBorder="1" applyAlignment="1">
      <alignment horizontal="center" vertical="center" wrapText="1"/>
    </xf>
    <xf numFmtId="0" fontId="24" fillId="17" borderId="183" xfId="0" applyFont="1" applyFill="1" applyBorder="1" applyAlignment="1">
      <alignment horizontal="center" vertical="center" wrapText="1"/>
    </xf>
    <xf numFmtId="0" fontId="38" fillId="17" borderId="304" xfId="0" applyFont="1" applyFill="1" applyBorder="1" applyAlignment="1">
      <alignment horizontal="center" vertical="center" wrapText="1"/>
    </xf>
    <xf numFmtId="0" fontId="24" fillId="0" borderId="181" xfId="0" applyFont="1" applyBorder="1" applyAlignment="1">
      <alignment horizontal="center" vertical="center" wrapText="1"/>
    </xf>
    <xf numFmtId="0" fontId="24" fillId="0" borderId="183" xfId="0" applyFont="1" applyBorder="1" applyAlignment="1">
      <alignment horizontal="center" vertical="center" wrapText="1"/>
    </xf>
    <xf numFmtId="0" fontId="38" fillId="0" borderId="304" xfId="0" applyFont="1" applyBorder="1" applyAlignment="1">
      <alignment horizontal="center" vertical="center" wrapText="1"/>
    </xf>
    <xf numFmtId="0" fontId="38" fillId="0" borderId="181" xfId="0" applyFont="1" applyBorder="1" applyAlignment="1">
      <alignment horizontal="center" vertical="center" wrapText="1"/>
    </xf>
    <xf numFmtId="0" fontId="38" fillId="0" borderId="707" xfId="0" applyFont="1" applyBorder="1" applyAlignment="1">
      <alignment horizontal="center" vertical="center" wrapText="1"/>
    </xf>
    <xf numFmtId="0" fontId="38" fillId="0" borderId="179" xfId="0" applyFont="1" applyBorder="1" applyAlignment="1">
      <alignment horizontal="center" vertical="center" wrapText="1"/>
    </xf>
    <xf numFmtId="0" fontId="38" fillId="17" borderId="708" xfId="0" applyFont="1" applyFill="1" applyBorder="1" applyAlignment="1">
      <alignment horizontal="center" vertical="center" wrapText="1"/>
    </xf>
    <xf numFmtId="0" fontId="38" fillId="0" borderId="179" xfId="0" applyFont="1" applyBorder="1" applyAlignment="1">
      <alignment horizontal="right" vertical="center" wrapText="1"/>
    </xf>
    <xf numFmtId="0" fontId="24" fillId="0" borderId="181" xfId="0" applyFont="1" applyBorder="1" applyAlignment="1">
      <alignment horizontal="right" vertical="center" wrapText="1"/>
    </xf>
    <xf numFmtId="0" fontId="38" fillId="0" borderId="181" xfId="0" applyFont="1" applyBorder="1" applyAlignment="1">
      <alignment horizontal="right" vertical="center" wrapText="1"/>
    </xf>
    <xf numFmtId="0" fontId="24" fillId="0" borderId="183" xfId="0" applyFont="1" applyBorder="1" applyAlignment="1">
      <alignment horizontal="right" vertical="center" wrapText="1"/>
    </xf>
    <xf numFmtId="0" fontId="38" fillId="0" borderId="304" xfId="0" applyFont="1" applyBorder="1" applyAlignment="1">
      <alignment horizontal="right" vertical="center" wrapText="1"/>
    </xf>
    <xf numFmtId="0" fontId="24" fillId="0" borderId="304" xfId="0" applyFont="1" applyBorder="1" applyAlignment="1">
      <alignment horizontal="right" vertical="center" wrapText="1"/>
    </xf>
    <xf numFmtId="0" fontId="38" fillId="0" borderId="707" xfId="0" applyFont="1" applyBorder="1" applyAlignment="1">
      <alignment horizontal="right" vertical="center" wrapText="1"/>
    </xf>
    <xf numFmtId="0" fontId="24" fillId="0" borderId="308" xfId="0" applyFont="1" applyBorder="1" applyAlignment="1">
      <alignment horizontal="right" vertical="center" wrapText="1"/>
    </xf>
    <xf numFmtId="49" fontId="14" fillId="0" borderId="344" xfId="0" applyNumberFormat="1" applyFont="1" applyBorder="1" applyAlignment="1">
      <alignment vertical="center" wrapText="1"/>
    </xf>
    <xf numFmtId="2" fontId="11" fillId="0" borderId="344" xfId="0" applyNumberFormat="1" applyFont="1" applyBorder="1" applyAlignment="1">
      <alignment horizontal="center" vertical="center" wrapText="1"/>
    </xf>
    <xf numFmtId="49" fontId="52" fillId="2" borderId="327" xfId="0" applyNumberFormat="1" applyFont="1" applyFill="1" applyBorder="1" applyAlignment="1">
      <alignment horizontal="right" vertical="center" wrapText="1"/>
    </xf>
    <xf numFmtId="168" fontId="58" fillId="17" borderId="98" xfId="0" applyNumberFormat="1" applyFont="1" applyFill="1" applyBorder="1" applyAlignment="1">
      <alignment horizontal="right" vertical="center"/>
    </xf>
    <xf numFmtId="168" fontId="87" fillId="17" borderId="6" xfId="0" applyNumberFormat="1" applyFont="1" applyFill="1" applyBorder="1" applyAlignment="1">
      <alignment horizontal="right" vertical="center"/>
    </xf>
    <xf numFmtId="0" fontId="68" fillId="0" borderId="187" xfId="0" applyFont="1" applyBorder="1" applyAlignment="1">
      <alignment horizontal="center" vertical="center" wrapText="1"/>
    </xf>
    <xf numFmtId="0" fontId="24" fillId="17" borderId="187" xfId="0" applyFont="1" applyFill="1" applyBorder="1" applyAlignment="1">
      <alignment horizontal="center" vertical="center" wrapText="1"/>
    </xf>
    <xf numFmtId="49" fontId="24" fillId="17" borderId="187" xfId="0" applyNumberFormat="1" applyFont="1" applyFill="1" applyBorder="1" applyAlignment="1">
      <alignment horizontal="center" vertical="center" wrapText="1"/>
    </xf>
    <xf numFmtId="0" fontId="29" fillId="17" borderId="256" xfId="0" applyFont="1" applyFill="1" applyBorder="1" applyAlignment="1">
      <alignment horizontal="center" vertical="center" wrapText="1"/>
    </xf>
    <xf numFmtId="0" fontId="14" fillId="0" borderId="344" xfId="0" applyFont="1" applyBorder="1" applyAlignment="1">
      <alignment horizontal="center" vertical="center" wrapText="1"/>
    </xf>
    <xf numFmtId="0" fontId="22" fillId="17" borderId="41" xfId="0" applyFont="1" applyFill="1" applyBorder="1" applyAlignment="1">
      <alignment horizontal="center" vertical="center" indent="1"/>
    </xf>
    <xf numFmtId="49" fontId="95" fillId="0" borderId="44" xfId="0" applyNumberFormat="1" applyFont="1" applyBorder="1" applyAlignment="1">
      <alignment vertical="center"/>
    </xf>
    <xf numFmtId="0" fontId="96" fillId="0" borderId="44" xfId="0" applyFont="1" applyBorder="1" applyAlignment="1">
      <alignment horizontal="center" vertical="center" wrapText="1"/>
    </xf>
    <xf numFmtId="49" fontId="96" fillId="0" borderId="44" xfId="0" applyNumberFormat="1" applyFont="1" applyBorder="1" applyAlignment="1">
      <alignment horizontal="center" vertical="center"/>
    </xf>
    <xf numFmtId="49" fontId="23" fillId="17" borderId="709" xfId="0" applyNumberFormat="1" applyFont="1" applyFill="1" applyBorder="1" applyAlignment="1">
      <alignment horizontal="center" vertical="center"/>
    </xf>
    <xf numFmtId="0" fontId="61" fillId="0" borderId="44" xfId="0" applyFont="1" applyBorder="1" applyAlignment="1">
      <alignment horizontal="left" vertical="center" wrapText="1" indent="1"/>
    </xf>
    <xf numFmtId="0" fontId="22" fillId="17" borderId="710" xfId="0" applyFont="1" applyFill="1" applyBorder="1" applyAlignment="1">
      <alignment horizontal="center" vertical="center" indent="1"/>
    </xf>
    <xf numFmtId="168" fontId="14" fillId="0" borderId="344" xfId="0" applyNumberFormat="1" applyFont="1" applyBorder="1" applyAlignment="1">
      <alignment horizontal="center" vertical="center" wrapText="1"/>
    </xf>
    <xf numFmtId="0" fontId="24" fillId="4" borderId="178" xfId="0" applyFont="1" applyFill="1" applyBorder="1" applyAlignment="1">
      <alignment horizontal="left" indent="1"/>
    </xf>
    <xf numFmtId="49" fontId="11" fillId="12" borderId="205" xfId="0" applyNumberFormat="1" applyFont="1" applyFill="1" applyBorder="1" applyAlignment="1">
      <alignment horizontal="center" vertical="center"/>
    </xf>
    <xf numFmtId="49" fontId="12" fillId="2" borderId="327" xfId="0" applyNumberFormat="1" applyFont="1" applyFill="1" applyBorder="1" applyAlignment="1">
      <alignment horizontal="center" vertical="center"/>
    </xf>
    <xf numFmtId="49" fontId="22" fillId="4" borderId="194" xfId="0" applyNumberFormat="1" applyFont="1" applyFill="1" applyBorder="1" applyAlignment="1">
      <alignment vertical="center"/>
    </xf>
    <xf numFmtId="49" fontId="22" fillId="17" borderId="101" xfId="0" applyNumberFormat="1" applyFont="1" applyFill="1" applyBorder="1" applyAlignment="1">
      <alignment vertical="center"/>
    </xf>
    <xf numFmtId="170" fontId="34" fillId="0" borderId="178" xfId="0" applyNumberFormat="1" applyFont="1" applyBorder="1" applyAlignment="1">
      <alignment horizontal="right" vertical="center" indent="1"/>
    </xf>
    <xf numFmtId="2" fontId="4" fillId="0" borderId="0" xfId="0" applyNumberFormat="1" applyFont="1" applyAlignment="1">
      <alignment vertical="center" wrapText="1"/>
    </xf>
    <xf numFmtId="2" fontId="3" fillId="0" borderId="0" xfId="0" applyNumberFormat="1" applyFont="1" applyAlignment="1">
      <alignment vertical="center" wrapText="1"/>
    </xf>
    <xf numFmtId="2" fontId="9" fillId="0" borderId="0" xfId="0" applyNumberFormat="1" applyFont="1" applyAlignment="1">
      <alignment horizontal="center" vertical="center" wrapText="1"/>
    </xf>
    <xf numFmtId="2" fontId="8" fillId="0" borderId="0" xfId="0" applyNumberFormat="1" applyFont="1" applyAlignment="1">
      <alignment horizontal="center" vertical="center" wrapText="1"/>
    </xf>
    <xf numFmtId="2" fontId="4" fillId="0" borderId="344" xfId="0" applyNumberFormat="1" applyFont="1" applyBorder="1" applyAlignment="1">
      <alignment horizontal="left" vertical="center" wrapText="1"/>
    </xf>
    <xf numFmtId="2" fontId="4" fillId="0" borderId="344" xfId="0" applyNumberFormat="1" applyFont="1" applyBorder="1" applyAlignment="1">
      <alignment vertical="center" wrapText="1"/>
    </xf>
    <xf numFmtId="2" fontId="206" fillId="45" borderId="2" xfId="0" applyNumberFormat="1" applyFont="1" applyFill="1" applyBorder="1" applyAlignment="1">
      <alignment horizontal="center" vertical="center" wrapText="1"/>
    </xf>
    <xf numFmtId="2" fontId="12" fillId="44" borderId="8" xfId="0" applyNumberFormat="1" applyFont="1" applyFill="1" applyBorder="1" applyAlignment="1">
      <alignment horizontal="center" vertical="center" wrapText="1"/>
    </xf>
    <xf numFmtId="2" fontId="8" fillId="0" borderId="344" xfId="0" applyNumberFormat="1" applyFont="1" applyBorder="1" applyAlignment="1">
      <alignment horizontal="left" vertical="center" wrapText="1"/>
    </xf>
    <xf numFmtId="2" fontId="8" fillId="0" borderId="0" xfId="0" applyNumberFormat="1" applyFont="1" applyAlignment="1">
      <alignment horizontal="left" vertical="center" wrapText="1"/>
    </xf>
    <xf numFmtId="2" fontId="8" fillId="0" borderId="0" xfId="0" applyNumberFormat="1" applyFont="1" applyAlignment="1">
      <alignment vertical="center" wrapText="1"/>
    </xf>
    <xf numFmtId="2" fontId="105" fillId="0" borderId="0" xfId="0" applyNumberFormat="1" applyFont="1" applyAlignment="1">
      <alignment horizontal="left" vertical="center" wrapText="1"/>
    </xf>
    <xf numFmtId="2" fontId="105" fillId="0" borderId="0" xfId="0" applyNumberFormat="1" applyFont="1" applyAlignment="1">
      <alignment vertical="center" wrapText="1"/>
    </xf>
    <xf numFmtId="2" fontId="13" fillId="0" borderId="0" xfId="0" applyNumberFormat="1" applyFont="1" applyAlignment="1">
      <alignment horizontal="left" vertical="center" wrapText="1"/>
    </xf>
    <xf numFmtId="2" fontId="13" fillId="0" borderId="0" xfId="0" applyNumberFormat="1" applyFont="1" applyAlignment="1">
      <alignment vertical="center" wrapText="1"/>
    </xf>
    <xf numFmtId="2" fontId="17" fillId="0" borderId="0" xfId="0" applyNumberFormat="1" applyFont="1" applyAlignment="1">
      <alignment horizontal="center" vertical="center" wrapText="1"/>
    </xf>
    <xf numFmtId="2" fontId="147" fillId="0" borderId="0" xfId="0" applyNumberFormat="1" applyFont="1" applyAlignment="1">
      <alignment horizontal="left" vertical="center" wrapText="1"/>
    </xf>
    <xf numFmtId="2" fontId="161" fillId="0" borderId="0" xfId="0" applyNumberFormat="1" applyFont="1" applyAlignment="1">
      <alignment vertical="center" wrapText="1"/>
    </xf>
    <xf numFmtId="2" fontId="148" fillId="0" borderId="0" xfId="0" applyNumberFormat="1" applyFont="1" applyAlignment="1">
      <alignment vertical="center" wrapText="1"/>
    </xf>
    <xf numFmtId="2" fontId="150" fillId="0" borderId="0" xfId="0" applyNumberFormat="1" applyFont="1" applyAlignment="1">
      <alignment vertical="center" wrapText="1"/>
    </xf>
    <xf numFmtId="2" fontId="148" fillId="0" borderId="0" xfId="0" applyNumberFormat="1" applyFont="1" applyAlignment="1">
      <alignment horizontal="left" vertical="center" wrapText="1"/>
    </xf>
    <xf numFmtId="2" fontId="0" fillId="0" borderId="344" xfId="0" applyNumberFormat="1" applyBorder="1" applyAlignment="1">
      <alignment vertical="center" wrapText="1"/>
    </xf>
    <xf numFmtId="2" fontId="14" fillId="17" borderId="344" xfId="0" applyNumberFormat="1" applyFont="1" applyFill="1" applyBorder="1" applyAlignment="1">
      <alignment vertical="center" wrapText="1" indent="1"/>
    </xf>
    <xf numFmtId="168" fontId="32" fillId="0" borderId="344" xfId="0" applyNumberFormat="1" applyFont="1" applyBorder="1" applyAlignment="1">
      <alignment vertical="center"/>
    </xf>
    <xf numFmtId="170" fontId="34" fillId="0" borderId="717" xfId="0" applyNumberFormat="1" applyFont="1" applyBorder="1" applyAlignment="1">
      <alignment horizontal="right" vertical="center" indent="1"/>
    </xf>
    <xf numFmtId="2" fontId="34" fillId="17" borderId="344" xfId="0" applyNumberFormat="1" applyFont="1" applyFill="1" applyBorder="1" applyAlignment="1">
      <alignment horizontal="center" vertical="center" wrapText="1"/>
    </xf>
    <xf numFmtId="164" fontId="3" fillId="0" borderId="0" xfId="0" applyNumberFormat="1" applyFont="1" applyAlignment="1">
      <alignment vertical="center"/>
    </xf>
    <xf numFmtId="49" fontId="34" fillId="0" borderId="5" xfId="0" applyNumberFormat="1" applyFont="1" applyBorder="1" applyAlignment="1">
      <alignment horizontal="center" vertical="center" wrapText="1"/>
    </xf>
    <xf numFmtId="168" fontId="34" fillId="0" borderId="6" xfId="0" applyNumberFormat="1" applyFont="1" applyBorder="1" applyAlignment="1">
      <alignment horizontal="right" vertical="center" wrapText="1"/>
    </xf>
    <xf numFmtId="4" fontId="0" fillId="0" borderId="344" xfId="0" applyNumberFormat="1" applyBorder="1"/>
    <xf numFmtId="168" fontId="58" fillId="17" borderId="719" xfId="0" applyNumberFormat="1" applyFont="1" applyFill="1" applyBorder="1" applyAlignment="1">
      <alignment horizontal="right" vertical="center"/>
    </xf>
    <xf numFmtId="168" fontId="14" fillId="0" borderId="344" xfId="0" applyNumberFormat="1" applyFont="1" applyBorder="1" applyAlignment="1">
      <alignment horizontal="right" vertical="center"/>
    </xf>
    <xf numFmtId="0" fontId="11" fillId="0" borderId="344" xfId="0" applyFont="1" applyBorder="1" applyAlignment="1">
      <alignment horizontal="center" vertical="center"/>
    </xf>
    <xf numFmtId="173" fontId="240" fillId="0" borderId="310" xfId="0" applyNumberFormat="1" applyFont="1" applyBorder="1" applyAlignment="1">
      <alignment horizontal="right" vertical="center"/>
    </xf>
    <xf numFmtId="44" fontId="240" fillId="0" borderId="312" xfId="0" applyNumberFormat="1" applyFont="1" applyBorder="1" applyAlignment="1">
      <alignment horizontal="right" vertical="center"/>
    </xf>
    <xf numFmtId="0" fontId="149" fillId="0" borderId="344" xfId="3" applyFont="1" applyAlignment="1" applyProtection="1">
      <alignment horizontal="left" vertical="center" wrapText="1" indent="4"/>
      <protection locked="0"/>
    </xf>
    <xf numFmtId="168" fontId="54" fillId="0" borderId="310" xfId="3" applyNumberFormat="1" applyFont="1" applyBorder="1" applyAlignment="1">
      <alignment horizontal="right" vertical="center"/>
    </xf>
    <xf numFmtId="168" fontId="54" fillId="0" borderId="724" xfId="3" applyNumberFormat="1" applyFont="1" applyBorder="1" applyAlignment="1">
      <alignment horizontal="right" vertical="center"/>
    </xf>
    <xf numFmtId="168" fontId="54" fillId="0" borderId="725" xfId="3" applyNumberFormat="1" applyFont="1" applyBorder="1" applyAlignment="1">
      <alignment horizontal="right" vertical="center"/>
    </xf>
    <xf numFmtId="0" fontId="165" fillId="0" borderId="344" xfId="3" applyFont="1" applyAlignment="1" applyProtection="1">
      <alignment horizontal="left" vertical="center" wrapText="1" indent="4"/>
      <protection locked="0"/>
    </xf>
    <xf numFmtId="173" fontId="35" fillId="0" borderId="310" xfId="3" applyNumberFormat="1" applyFont="1" applyBorder="1" applyAlignment="1">
      <alignment horizontal="right" vertical="center"/>
    </xf>
    <xf numFmtId="0" fontId="150" fillId="0" borderId="344" xfId="0" applyFont="1" applyBorder="1" applyAlignment="1">
      <alignment horizontal="left" indent="1"/>
    </xf>
    <xf numFmtId="168" fontId="54" fillId="0" borderId="726" xfId="3" applyNumberFormat="1" applyFont="1" applyBorder="1" applyAlignment="1">
      <alignment horizontal="right" vertical="center"/>
    </xf>
    <xf numFmtId="168" fontId="106" fillId="0" borderId="729" xfId="0" applyNumberFormat="1" applyFont="1" applyBorder="1" applyAlignment="1">
      <alignment horizontal="right" vertical="center"/>
    </xf>
    <xf numFmtId="174" fontId="106" fillId="0" borderId="730" xfId="0" applyNumberFormat="1" applyFont="1" applyBorder="1" applyAlignment="1">
      <alignment horizontal="right" vertical="center"/>
    </xf>
    <xf numFmtId="0" fontId="165" fillId="0" borderId="327" xfId="0" applyFont="1" applyBorder="1" applyAlignment="1">
      <alignment horizontal="left" vertical="center" wrapText="1" indent="1"/>
    </xf>
    <xf numFmtId="44" fontId="107" fillId="0" borderId="312" xfId="0" applyNumberFormat="1" applyFont="1" applyBorder="1" applyAlignment="1">
      <alignment horizontal="right" vertical="center"/>
    </xf>
    <xf numFmtId="49" fontId="14" fillId="0" borderId="718" xfId="0" applyNumberFormat="1" applyFont="1" applyBorder="1" applyAlignment="1">
      <alignment horizontal="left" vertical="center" wrapText="1" indent="1"/>
    </xf>
    <xf numFmtId="49" fontId="147" fillId="0" borderId="463" xfId="2" applyNumberFormat="1" applyFont="1" applyBorder="1" applyAlignment="1">
      <alignment vertical="center"/>
    </xf>
    <xf numFmtId="0" fontId="38" fillId="17" borderId="737" xfId="0" applyFont="1" applyFill="1" applyBorder="1" applyAlignment="1">
      <alignment horizontal="left" vertical="center" wrapText="1" indent="1"/>
    </xf>
    <xf numFmtId="0" fontId="24" fillId="17" borderId="737" xfId="0" applyFont="1" applyFill="1" applyBorder="1" applyAlignment="1">
      <alignment horizontal="center" vertical="center" wrapText="1"/>
    </xf>
    <xf numFmtId="0" fontId="0" fillId="0" borderId="662" xfId="0" applyBorder="1"/>
    <xf numFmtId="0" fontId="24" fillId="17" borderId="738" xfId="0" applyFont="1" applyFill="1" applyBorder="1" applyAlignment="1">
      <alignment horizontal="left" vertical="center" wrapText="1" indent="1"/>
    </xf>
    <xf numFmtId="0" fontId="24" fillId="17" borderId="738" xfId="0" applyFont="1" applyFill="1" applyBorder="1" applyAlignment="1">
      <alignment horizontal="center" vertical="center" wrapText="1"/>
    </xf>
    <xf numFmtId="49" fontId="38" fillId="17" borderId="737" xfId="0" applyNumberFormat="1" applyFont="1" applyFill="1" applyBorder="1" applyAlignment="1">
      <alignment vertical="center"/>
    </xf>
    <xf numFmtId="49" fontId="38" fillId="17" borderId="662" xfId="0" applyNumberFormat="1" applyFont="1" applyFill="1" applyBorder="1" applyAlignment="1">
      <alignment vertical="center"/>
    </xf>
    <xf numFmtId="49" fontId="38" fillId="17" borderId="738" xfId="0" applyNumberFormat="1" applyFont="1" applyFill="1" applyBorder="1" applyAlignment="1">
      <alignment vertical="center"/>
    </xf>
    <xf numFmtId="10" fontId="54" fillId="0" borderId="10" xfId="0" applyNumberFormat="1" applyFont="1" applyBorder="1" applyAlignment="1">
      <alignment horizontal="center" vertical="center" wrapText="1"/>
    </xf>
    <xf numFmtId="10" fontId="52" fillId="0" borderId="0" xfId="0" applyNumberFormat="1" applyFont="1" applyAlignment="1">
      <alignment horizontal="center" vertical="center" wrapText="1"/>
    </xf>
    <xf numFmtId="0" fontId="240" fillId="12" borderId="344" xfId="0" applyFont="1" applyFill="1" applyBorder="1" applyAlignment="1">
      <alignment horizontal="right" vertical="center"/>
    </xf>
    <xf numFmtId="0" fontId="240" fillId="12" borderId="366" xfId="0" applyFont="1" applyFill="1" applyBorder="1" applyAlignment="1">
      <alignment horizontal="right" vertical="center"/>
    </xf>
    <xf numFmtId="0" fontId="240" fillId="12" borderId="350" xfId="0" applyFont="1" applyFill="1" applyBorder="1" applyAlignment="1">
      <alignment horizontal="right" vertical="center"/>
    </xf>
    <xf numFmtId="0" fontId="15" fillId="29" borderId="327" xfId="0" applyFont="1" applyFill="1" applyBorder="1"/>
    <xf numFmtId="171" fontId="54" fillId="0" borderId="10" xfId="0" applyNumberFormat="1" applyFont="1" applyBorder="1" applyAlignment="1">
      <alignment horizontal="right" vertical="center" wrapText="1"/>
    </xf>
    <xf numFmtId="171" fontId="52" fillId="0" borderId="0" xfId="0" applyNumberFormat="1" applyFont="1" applyAlignment="1">
      <alignment horizontal="right" vertical="center" wrapText="1"/>
    </xf>
    <xf numFmtId="2" fontId="3" fillId="0" borderId="0" xfId="0" applyNumberFormat="1" applyFont="1" applyAlignment="1">
      <alignment horizontal="center" vertical="center" wrapText="1"/>
    </xf>
    <xf numFmtId="2" fontId="3" fillId="0" borderId="344" xfId="0" applyNumberFormat="1" applyFont="1" applyBorder="1" applyAlignment="1">
      <alignment horizontal="center" vertical="center" wrapText="1"/>
    </xf>
    <xf numFmtId="2" fontId="8" fillId="0" borderId="344" xfId="0" applyNumberFormat="1" applyFont="1" applyBorder="1" applyAlignment="1">
      <alignment horizontal="center" vertical="center" wrapText="1"/>
    </xf>
    <xf numFmtId="2" fontId="105" fillId="0" borderId="0" xfId="0" applyNumberFormat="1" applyFont="1" applyAlignment="1">
      <alignment horizontal="center" vertical="center" wrapText="1"/>
    </xf>
    <xf numFmtId="2" fontId="13"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2" fontId="18" fillId="0" borderId="0" xfId="0" applyNumberFormat="1" applyFont="1" applyAlignment="1">
      <alignment horizontal="center" vertical="center" wrapText="1"/>
    </xf>
    <xf numFmtId="2" fontId="0" fillId="0" borderId="344" xfId="0" applyNumberFormat="1" applyBorder="1" applyAlignment="1">
      <alignment horizontal="center" vertical="center" wrapText="1"/>
    </xf>
    <xf numFmtId="2" fontId="0" fillId="0" borderId="0" xfId="0" applyNumberFormat="1" applyAlignment="1">
      <alignment horizontal="center" vertical="center" wrapText="1"/>
    </xf>
    <xf numFmtId="2" fontId="0" fillId="0" borderId="0" xfId="0" applyNumberFormat="1" applyAlignment="1">
      <alignment horizontal="right" vertical="center" wrapText="1"/>
    </xf>
    <xf numFmtId="2" fontId="3" fillId="0" borderId="344" xfId="0" applyNumberFormat="1" applyFont="1" applyBorder="1" applyAlignment="1">
      <alignment horizontal="right" vertical="center" wrapText="1"/>
    </xf>
    <xf numFmtId="2" fontId="8" fillId="0" borderId="344" xfId="0" applyNumberFormat="1" applyFont="1" applyBorder="1" applyAlignment="1">
      <alignment horizontal="right" vertical="center" wrapText="1"/>
    </xf>
    <xf numFmtId="2" fontId="8" fillId="0" borderId="0" xfId="0" applyNumberFormat="1" applyFont="1" applyAlignment="1">
      <alignment horizontal="right" vertical="center" wrapText="1"/>
    </xf>
    <xf numFmtId="2" fontId="0" fillId="0" borderId="344" xfId="0" applyNumberFormat="1" applyBorder="1" applyAlignment="1">
      <alignment horizontal="right" vertical="center" wrapText="1"/>
    </xf>
    <xf numFmtId="171" fontId="106" fillId="0" borderId="10" xfId="0" applyNumberFormat="1" applyFont="1" applyBorder="1" applyAlignment="1">
      <alignment horizontal="right" vertical="center" wrapText="1"/>
    </xf>
    <xf numFmtId="171" fontId="3" fillId="0" borderId="344" xfId="0" applyNumberFormat="1" applyFont="1" applyBorder="1" applyAlignment="1">
      <alignment vertical="center" wrapText="1"/>
    </xf>
    <xf numFmtId="171" fontId="32" fillId="0" borderId="344" xfId="0" applyNumberFormat="1" applyFont="1" applyBorder="1" applyAlignment="1">
      <alignment vertical="center" wrapText="1"/>
    </xf>
    <xf numFmtId="49" fontId="23" fillId="0" borderId="44" xfId="0" applyNumberFormat="1" applyFont="1" applyBorder="1" applyAlignment="1">
      <alignment horizontal="center" vertical="center"/>
    </xf>
    <xf numFmtId="168" fontId="34" fillId="0" borderId="740" xfId="0" applyNumberFormat="1" applyFont="1" applyBorder="1" applyAlignment="1">
      <alignment horizontal="right" vertical="center"/>
    </xf>
    <xf numFmtId="168" fontId="58" fillId="17" borderId="178" xfId="0" applyNumberFormat="1" applyFont="1" applyFill="1" applyBorder="1" applyAlignment="1">
      <alignment horizontal="right" vertical="center"/>
    </xf>
    <xf numFmtId="170" fontId="34" fillId="0" borderId="740" xfId="0" applyNumberFormat="1" applyFont="1" applyBorder="1" applyAlignment="1">
      <alignment horizontal="right" vertical="center" indent="1"/>
    </xf>
    <xf numFmtId="2" fontId="13" fillId="14" borderId="5" xfId="0" applyNumberFormat="1" applyFont="1" applyFill="1" applyBorder="1" applyAlignment="1">
      <alignment horizontal="left" vertical="center" wrapText="1" indent="1"/>
    </xf>
    <xf numFmtId="168" fontId="34" fillId="0" borderId="740" xfId="16" applyNumberFormat="1" applyFont="1" applyBorder="1" applyAlignment="1">
      <alignment horizontal="right" vertical="center" indent="1"/>
    </xf>
    <xf numFmtId="168" fontId="34" fillId="0" borderId="178" xfId="16" applyNumberFormat="1" applyFont="1" applyBorder="1" applyAlignment="1">
      <alignment horizontal="right" vertical="center" indent="1"/>
    </xf>
    <xf numFmtId="49" fontId="58" fillId="0" borderId="621" xfId="0" applyNumberFormat="1" applyFont="1" applyBorder="1" applyAlignment="1">
      <alignment horizontal="center" vertical="center"/>
    </xf>
    <xf numFmtId="168" fontId="34" fillId="17" borderId="98" xfId="0" applyNumberFormat="1" applyFont="1" applyFill="1" applyBorder="1" applyAlignment="1">
      <alignment horizontal="right" vertical="center"/>
    </xf>
    <xf numFmtId="171" fontId="3" fillId="0" borderId="0" xfId="0" applyNumberFormat="1" applyFont="1" applyAlignment="1">
      <alignment vertical="center" wrapText="1"/>
    </xf>
    <xf numFmtId="2" fontId="0" fillId="14" borderId="0" xfId="0" applyNumberFormat="1" applyFill="1" applyAlignment="1">
      <alignment horizontal="center" vertical="center" wrapText="1"/>
    </xf>
    <xf numFmtId="2" fontId="0" fillId="14" borderId="0" xfId="0" applyNumberFormat="1" applyFill="1" applyAlignment="1">
      <alignment horizontal="right" vertical="center" wrapText="1"/>
    </xf>
    <xf numFmtId="0" fontId="0" fillId="14" borderId="0" xfId="0" applyFill="1" applyAlignment="1">
      <alignment vertical="center" wrapText="1"/>
    </xf>
    <xf numFmtId="171" fontId="13" fillId="14" borderId="5" xfId="0" applyNumberFormat="1" applyFont="1" applyFill="1" applyBorder="1" applyAlignment="1">
      <alignment horizontal="right" vertical="center" wrapText="1" indent="1"/>
    </xf>
    <xf numFmtId="2" fontId="58" fillId="17" borderId="344" xfId="0" applyNumberFormat="1" applyFont="1" applyFill="1" applyBorder="1" applyAlignment="1">
      <alignment horizontal="center" vertical="center" wrapText="1"/>
    </xf>
    <xf numFmtId="0" fontId="243" fillId="0" borderId="0" xfId="0" applyFont="1" applyAlignment="1">
      <alignment horizontal="center" vertical="center" wrapText="1"/>
    </xf>
    <xf numFmtId="0" fontId="169" fillId="0" borderId="344" xfId="17" applyFont="1" applyAlignment="1">
      <alignment vertical="center"/>
    </xf>
    <xf numFmtId="168" fontId="99" fillId="0" borderId="344" xfId="17" applyNumberFormat="1" applyFont="1" applyAlignment="1">
      <alignment vertical="center"/>
    </xf>
    <xf numFmtId="0" fontId="244" fillId="0" borderId="344" xfId="17" applyAlignment="1">
      <alignment vertical="center"/>
    </xf>
    <xf numFmtId="0" fontId="172" fillId="25" borderId="621" xfId="17" applyFont="1" applyFill="1" applyBorder="1" applyAlignment="1">
      <alignment horizontal="center" vertical="center" wrapText="1"/>
    </xf>
    <xf numFmtId="0" fontId="172" fillId="26" borderId="621" xfId="17" applyFont="1" applyFill="1" applyBorder="1" applyAlignment="1">
      <alignment horizontal="center" vertical="center" wrapText="1"/>
    </xf>
    <xf numFmtId="168" fontId="173" fillId="0" borderId="344" xfId="17" applyNumberFormat="1" applyFont="1" applyAlignment="1">
      <alignment vertical="center"/>
    </xf>
    <xf numFmtId="0" fontId="172" fillId="25" borderId="621" xfId="17" applyFont="1" applyFill="1" applyBorder="1" applyAlignment="1">
      <alignment horizontal="center" vertical="center"/>
    </xf>
    <xf numFmtId="0" fontId="172" fillId="26" borderId="621" xfId="17" applyFont="1" applyFill="1" applyBorder="1" applyAlignment="1">
      <alignment horizontal="center" vertical="center"/>
    </xf>
    <xf numFmtId="0" fontId="174" fillId="0" borderId="624" xfId="12" applyFont="1" applyBorder="1" applyAlignment="1">
      <alignment vertical="center"/>
    </xf>
    <xf numFmtId="0" fontId="99" fillId="24" borderId="621" xfId="17" applyFont="1" applyFill="1" applyBorder="1" applyAlignment="1">
      <alignment horizontal="center" vertical="center"/>
    </xf>
    <xf numFmtId="0" fontId="177" fillId="0" borderId="344" xfId="17" applyFont="1" applyAlignment="1">
      <alignment vertical="center"/>
    </xf>
    <xf numFmtId="0" fontId="244" fillId="0" borderId="344" xfId="17" applyAlignment="1">
      <alignment horizontal="left" vertical="center" indent="1"/>
    </xf>
    <xf numFmtId="4" fontId="99" fillId="0" borderId="344" xfId="17" applyNumberFormat="1" applyFont="1" applyAlignment="1">
      <alignment vertical="center"/>
    </xf>
    <xf numFmtId="43" fontId="99" fillId="0" borderId="344" xfId="17" applyNumberFormat="1" applyFont="1" applyAlignment="1">
      <alignment vertical="center"/>
    </xf>
    <xf numFmtId="173" fontId="99" fillId="0" borderId="344" xfId="18" applyFont="1" applyFill="1" applyAlignment="1">
      <alignment vertical="center"/>
    </xf>
    <xf numFmtId="0" fontId="179" fillId="0" borderId="621" xfId="17" applyFont="1" applyBorder="1" applyAlignment="1">
      <alignment horizontal="center" vertical="center"/>
    </xf>
    <xf numFmtId="49" fontId="179" fillId="0" borderId="621" xfId="17" applyNumberFormat="1" applyFont="1" applyBorder="1" applyAlignment="1">
      <alignment horizontal="center" vertical="center" wrapText="1"/>
    </xf>
    <xf numFmtId="49" fontId="179" fillId="22" borderId="621" xfId="17" applyNumberFormat="1" applyFont="1" applyFill="1" applyBorder="1" applyAlignment="1">
      <alignment horizontal="center" vertical="center" wrapText="1"/>
    </xf>
    <xf numFmtId="49" fontId="179" fillId="27" borderId="621" xfId="17" applyNumberFormat="1" applyFont="1" applyFill="1" applyBorder="1" applyAlignment="1">
      <alignment horizontal="center" vertical="center" wrapText="1"/>
    </xf>
    <xf numFmtId="49" fontId="179" fillId="24" borderId="623" xfId="17" applyNumberFormat="1" applyFont="1" applyFill="1" applyBorder="1" applyAlignment="1">
      <alignment horizontal="center" vertical="center" wrapText="1"/>
    </xf>
    <xf numFmtId="175" fontId="179" fillId="25" borderId="621" xfId="17" applyNumberFormat="1" applyFont="1" applyFill="1" applyBorder="1" applyAlignment="1">
      <alignment horizontal="center" vertical="center"/>
    </xf>
    <xf numFmtId="175" fontId="179" fillId="26" borderId="621" xfId="17" applyNumberFormat="1" applyFont="1" applyFill="1" applyBorder="1" applyAlignment="1">
      <alignment horizontal="center" vertical="center"/>
    </xf>
    <xf numFmtId="0" fontId="180" fillId="14" borderId="625" xfId="17" applyFont="1" applyFill="1" applyBorder="1" applyAlignment="1">
      <alignment horizontal="center" vertical="center"/>
    </xf>
    <xf numFmtId="0" fontId="180" fillId="0" borderId="626" xfId="17" applyFont="1" applyBorder="1" applyAlignment="1">
      <alignment vertical="center"/>
    </xf>
    <xf numFmtId="168" fontId="99" fillId="0" borderId="621" xfId="17" applyNumberFormat="1" applyFont="1" applyBorder="1" applyAlignment="1">
      <alignment vertical="center"/>
    </xf>
    <xf numFmtId="168" fontId="244" fillId="0" borderId="621" xfId="17" applyNumberFormat="1" applyBorder="1" applyAlignment="1">
      <alignment vertical="center"/>
    </xf>
    <xf numFmtId="168" fontId="99" fillId="0" borderId="620" xfId="17" applyNumberFormat="1" applyFont="1" applyBorder="1" applyAlignment="1">
      <alignment vertical="center"/>
    </xf>
    <xf numFmtId="0" fontId="99" fillId="0" borderId="621" xfId="17" applyFont="1" applyBorder="1" applyAlignment="1">
      <alignment horizontal="left" vertical="center"/>
    </xf>
    <xf numFmtId="168" fontId="99" fillId="39" borderId="621" xfId="17" applyNumberFormat="1" applyFont="1" applyFill="1" applyBorder="1" applyAlignment="1">
      <alignment vertical="center"/>
    </xf>
    <xf numFmtId="168" fontId="99" fillId="40" borderId="621" xfId="17" applyNumberFormat="1" applyFont="1" applyFill="1" applyBorder="1" applyAlignment="1">
      <alignment vertical="center"/>
    </xf>
    <xf numFmtId="168" fontId="99" fillId="0" borderId="623" xfId="17" applyNumberFormat="1" applyFont="1" applyBorder="1" applyAlignment="1">
      <alignment vertical="center"/>
    </xf>
    <xf numFmtId="168" fontId="244" fillId="0" borderId="344" xfId="17" applyNumberFormat="1" applyAlignment="1">
      <alignment vertical="center"/>
    </xf>
    <xf numFmtId="0" fontId="99" fillId="0" borderId="621" xfId="17" applyFont="1" applyBorder="1" applyAlignment="1">
      <alignment vertical="center"/>
    </xf>
    <xf numFmtId="168" fontId="175" fillId="0" borderId="621" xfId="17" applyNumberFormat="1" applyFont="1" applyBorder="1" applyAlignment="1">
      <alignment vertical="center"/>
    </xf>
    <xf numFmtId="0" fontId="99" fillId="22" borderId="621" xfId="17" applyFont="1" applyFill="1" applyBorder="1" applyAlignment="1">
      <alignment horizontal="center" vertical="center"/>
    </xf>
    <xf numFmtId="168" fontId="99" fillId="28" borderId="621" xfId="17" applyNumberFormat="1" applyFont="1" applyFill="1" applyBorder="1" applyAlignment="1">
      <alignment vertical="center"/>
    </xf>
    <xf numFmtId="0" fontId="99" fillId="23" borderId="621" xfId="17" applyFont="1" applyFill="1" applyBorder="1" applyAlignment="1">
      <alignment horizontal="center" vertical="center"/>
    </xf>
    <xf numFmtId="168" fontId="39" fillId="0" borderId="621" xfId="17" applyNumberFormat="1" applyFont="1" applyBorder="1" applyAlignment="1">
      <alignment vertical="center"/>
    </xf>
    <xf numFmtId="168" fontId="99" fillId="14" borderId="621" xfId="17" applyNumberFormat="1" applyFont="1" applyFill="1" applyBorder="1" applyAlignment="1">
      <alignment vertical="center"/>
    </xf>
    <xf numFmtId="0" fontId="99" fillId="25" borderId="621" xfId="17" applyFont="1" applyFill="1" applyBorder="1" applyAlignment="1">
      <alignment horizontal="center" vertical="center"/>
    </xf>
    <xf numFmtId="168" fontId="99" fillId="0" borderId="619" xfId="17" applyNumberFormat="1" applyFont="1" applyBorder="1" applyAlignment="1">
      <alignment vertical="center"/>
    </xf>
    <xf numFmtId="168" fontId="99" fillId="14" borderId="619" xfId="17" applyNumberFormat="1" applyFont="1" applyFill="1" applyBorder="1" applyAlignment="1">
      <alignment vertical="center"/>
    </xf>
    <xf numFmtId="168" fontId="99" fillId="0" borderId="627" xfId="17" applyNumberFormat="1" applyFont="1" applyBorder="1" applyAlignment="1">
      <alignment vertical="center"/>
    </xf>
    <xf numFmtId="0" fontId="99" fillId="26" borderId="621" xfId="17" applyFont="1" applyFill="1" applyBorder="1" applyAlignment="1">
      <alignment horizontal="center" vertical="center"/>
    </xf>
    <xf numFmtId="0" fontId="99" fillId="25" borderId="621" xfId="17" applyFont="1" applyFill="1" applyBorder="1" applyAlignment="1">
      <alignment horizontal="center" vertical="center" wrapText="1"/>
    </xf>
    <xf numFmtId="0" fontId="175" fillId="0" borderId="621" xfId="17" applyFont="1" applyBorder="1" applyAlignment="1">
      <alignment vertical="center"/>
    </xf>
    <xf numFmtId="168" fontId="175" fillId="40" borderId="621" xfId="13" applyNumberFormat="1" applyFont="1" applyFill="1" applyBorder="1" applyAlignment="1" applyProtection="1">
      <alignment vertical="center"/>
    </xf>
    <xf numFmtId="168" fontId="183" fillId="0" borderId="344" xfId="18" applyNumberFormat="1" applyFont="1" applyFill="1" applyBorder="1" applyAlignment="1" applyProtection="1">
      <alignment vertical="center"/>
    </xf>
    <xf numFmtId="168" fontId="245" fillId="0" borderId="344" xfId="13" applyNumberFormat="1" applyFont="1" applyBorder="1" applyAlignment="1" applyProtection="1">
      <alignment vertical="center"/>
    </xf>
    <xf numFmtId="49" fontId="183" fillId="0" borderId="344" xfId="18" applyNumberFormat="1" applyFont="1" applyBorder="1" applyAlignment="1" applyProtection="1">
      <alignment vertical="center"/>
    </xf>
    <xf numFmtId="39" fontId="244" fillId="0" borderId="344" xfId="17" applyNumberFormat="1" applyAlignment="1">
      <alignment vertical="center"/>
    </xf>
    <xf numFmtId="49" fontId="180" fillId="14" borderId="619" xfId="17" applyNumberFormat="1" applyFont="1" applyFill="1" applyBorder="1" applyAlignment="1">
      <alignment horizontal="center" vertical="center"/>
    </xf>
    <xf numFmtId="0" fontId="180" fillId="0" borderId="554" xfId="17" applyFont="1" applyBorder="1" applyAlignment="1">
      <alignment vertical="center"/>
    </xf>
    <xf numFmtId="168" fontId="181" fillId="0" borderId="621" xfId="17" applyNumberFormat="1" applyFont="1" applyBorder="1" applyAlignment="1">
      <alignment vertical="center"/>
    </xf>
    <xf numFmtId="0" fontId="99" fillId="40" borderId="621" xfId="17" applyFont="1" applyFill="1" applyBorder="1" applyAlignment="1">
      <alignment vertical="center"/>
    </xf>
    <xf numFmtId="0" fontId="99" fillId="40" borderId="621" xfId="17" applyFont="1" applyFill="1" applyBorder="1" applyAlignment="1">
      <alignment horizontal="left" vertical="center"/>
    </xf>
    <xf numFmtId="175" fontId="99" fillId="26" borderId="621" xfId="17" applyNumberFormat="1" applyFont="1" applyFill="1" applyBorder="1" applyAlignment="1">
      <alignment horizontal="center" vertical="center"/>
    </xf>
    <xf numFmtId="168" fontId="39" fillId="28" borderId="621" xfId="17" applyNumberFormat="1" applyFont="1" applyFill="1" applyBorder="1" applyAlignment="1">
      <alignment vertical="center"/>
    </xf>
    <xf numFmtId="0" fontId="99" fillId="0" borderId="621" xfId="17" applyFont="1" applyBorder="1" applyAlignment="1">
      <alignment horizontal="center" vertical="center"/>
    </xf>
    <xf numFmtId="43" fontId="184" fillId="0" borderId="344" xfId="17" applyNumberFormat="1" applyFont="1" applyAlignment="1">
      <alignment vertical="center"/>
    </xf>
    <xf numFmtId="0" fontId="182" fillId="0" borderId="344" xfId="17" applyFont="1" applyAlignment="1">
      <alignment vertical="center"/>
    </xf>
    <xf numFmtId="43" fontId="246" fillId="0" borderId="344" xfId="13" applyFont="1" applyFill="1" applyBorder="1" applyAlignment="1" applyProtection="1">
      <alignment vertical="center"/>
    </xf>
    <xf numFmtId="43" fontId="182" fillId="0" borderId="344" xfId="17" applyNumberFormat="1" applyFont="1" applyAlignment="1">
      <alignment vertical="center"/>
    </xf>
    <xf numFmtId="0" fontId="179" fillId="0" borderId="619" xfId="17" applyFont="1" applyBorder="1" applyAlignment="1">
      <alignment horizontal="center" vertical="center"/>
    </xf>
    <xf numFmtId="0" fontId="180" fillId="14" borderId="619" xfId="17" applyFont="1" applyFill="1" applyBorder="1" applyAlignment="1">
      <alignment horizontal="center" vertical="center"/>
    </xf>
    <xf numFmtId="0" fontId="180" fillId="0" borderId="619" xfId="17" applyFont="1" applyBorder="1" applyAlignment="1">
      <alignment vertical="center"/>
    </xf>
    <xf numFmtId="168" fontId="181" fillId="0" borderId="344" xfId="17" applyNumberFormat="1" applyFont="1" applyAlignment="1">
      <alignment vertical="center"/>
    </xf>
    <xf numFmtId="0" fontId="185" fillId="0" borderId="344" xfId="17" applyFont="1" applyAlignment="1">
      <alignment horizontal="center" vertical="center"/>
    </xf>
    <xf numFmtId="168" fontId="185" fillId="0" borderId="621" xfId="17" applyNumberFormat="1" applyFont="1" applyBorder="1" applyAlignment="1">
      <alignment horizontal="center" vertical="center"/>
    </xf>
    <xf numFmtId="168" fontId="99" fillId="14" borderId="623" xfId="17" applyNumberFormat="1" applyFont="1" applyFill="1" applyBorder="1" applyAlignment="1">
      <alignment vertical="center"/>
    </xf>
    <xf numFmtId="168" fontId="99" fillId="28" borderId="619" xfId="17" applyNumberFormat="1" applyFont="1" applyFill="1" applyBorder="1" applyAlignment="1">
      <alignment vertical="center"/>
    </xf>
    <xf numFmtId="168" fontId="99" fillId="39" borderId="619" xfId="17" applyNumberFormat="1" applyFont="1" applyFill="1" applyBorder="1" applyAlignment="1">
      <alignment vertical="center"/>
    </xf>
    <xf numFmtId="168" fontId="39" fillId="0" borderId="619" xfId="17" applyNumberFormat="1" applyFont="1" applyBorder="1" applyAlignment="1">
      <alignment vertical="center"/>
    </xf>
    <xf numFmtId="168" fontId="181" fillId="0" borderId="619" xfId="17" applyNumberFormat="1" applyFont="1" applyBorder="1" applyAlignment="1">
      <alignment vertical="center"/>
    </xf>
    <xf numFmtId="0" fontId="96" fillId="0" borderId="344" xfId="17" applyFont="1" applyAlignment="1">
      <alignment vertical="center"/>
    </xf>
    <xf numFmtId="44" fontId="182" fillId="0" borderId="344" xfId="17" applyNumberFormat="1" applyFont="1" applyAlignment="1">
      <alignment vertical="center"/>
    </xf>
    <xf numFmtId="39" fontId="182" fillId="0" borderId="344" xfId="17" applyNumberFormat="1" applyFont="1" applyAlignment="1">
      <alignment vertical="center"/>
    </xf>
    <xf numFmtId="0" fontId="176" fillId="0" borderId="344" xfId="17" applyFont="1" applyAlignment="1">
      <alignment vertical="center"/>
    </xf>
    <xf numFmtId="0" fontId="99" fillId="0" borderId="623" xfId="17" applyFont="1" applyBorder="1" applyAlignment="1">
      <alignment vertical="center"/>
    </xf>
    <xf numFmtId="0" fontId="175" fillId="0" borderId="623" xfId="17" applyFont="1" applyBorder="1" applyAlignment="1">
      <alignment vertical="center"/>
    </xf>
    <xf numFmtId="0" fontId="244" fillId="0" borderId="621" xfId="17" applyBorder="1" applyAlignment="1">
      <alignment horizontal="center" vertical="center"/>
    </xf>
    <xf numFmtId="0" fontId="99" fillId="0" borderId="344" xfId="17" applyFont="1" applyAlignment="1">
      <alignment vertical="center"/>
    </xf>
    <xf numFmtId="179" fontId="99" fillId="0" borderId="344" xfId="17" applyNumberFormat="1" applyFont="1" applyAlignment="1">
      <alignment vertical="center"/>
    </xf>
    <xf numFmtId="0" fontId="175" fillId="0" borderId="344" xfId="17" applyFont="1" applyAlignment="1">
      <alignment vertical="center"/>
    </xf>
    <xf numFmtId="39" fontId="175" fillId="0" borderId="344" xfId="17" applyNumberFormat="1" applyFont="1" applyAlignment="1">
      <alignment vertical="center"/>
    </xf>
    <xf numFmtId="182" fontId="175" fillId="0" borderId="344" xfId="17" applyNumberFormat="1" applyFont="1" applyAlignment="1">
      <alignment vertical="center"/>
    </xf>
    <xf numFmtId="182" fontId="175" fillId="22" borderId="344" xfId="18" applyNumberFormat="1" applyFont="1" applyFill="1" applyBorder="1" applyAlignment="1">
      <alignment horizontal="right" vertical="center"/>
    </xf>
    <xf numFmtId="182" fontId="99" fillId="0" borderId="344" xfId="17" applyNumberFormat="1" applyFont="1" applyAlignment="1">
      <alignment vertical="center"/>
    </xf>
    <xf numFmtId="168" fontId="175" fillId="0" borderId="344" xfId="18" applyNumberFormat="1" applyFont="1" applyFill="1" applyBorder="1" applyAlignment="1">
      <alignment horizontal="right" vertical="center"/>
    </xf>
    <xf numFmtId="4" fontId="175" fillId="0" borderId="344" xfId="17" applyNumberFormat="1" applyFont="1" applyAlignment="1">
      <alignment vertical="center"/>
    </xf>
    <xf numFmtId="168" fontId="180" fillId="0" borderId="344" xfId="17" applyNumberFormat="1" applyFont="1" applyAlignment="1">
      <alignment vertical="center"/>
    </xf>
    <xf numFmtId="183" fontId="0" fillId="0" borderId="344" xfId="18" applyNumberFormat="1" applyFont="1" applyAlignment="1">
      <alignment vertical="center"/>
    </xf>
    <xf numFmtId="165" fontId="175" fillId="0" borderId="621" xfId="17" applyNumberFormat="1" applyFont="1" applyBorder="1" applyAlignment="1">
      <alignment vertical="center"/>
    </xf>
    <xf numFmtId="0" fontId="247" fillId="0" borderId="344" xfId="17" applyFont="1" applyAlignment="1">
      <alignment vertical="center"/>
    </xf>
    <xf numFmtId="168" fontId="175" fillId="0" borderId="344" xfId="17" applyNumberFormat="1" applyFont="1" applyAlignment="1">
      <alignment vertical="center"/>
    </xf>
    <xf numFmtId="168" fontId="247" fillId="0" borderId="344" xfId="17" applyNumberFormat="1" applyFont="1" applyAlignment="1">
      <alignment vertical="center"/>
    </xf>
    <xf numFmtId="176" fontId="99" fillId="0" borderId="621" xfId="17" applyNumberFormat="1" applyFont="1" applyBorder="1" applyAlignment="1">
      <alignment vertical="center"/>
    </xf>
    <xf numFmtId="165" fontId="175" fillId="0" borderId="344" xfId="17" applyNumberFormat="1" applyFont="1" applyAlignment="1">
      <alignment vertical="center"/>
    </xf>
    <xf numFmtId="165" fontId="99" fillId="0" borderId="344" xfId="17" applyNumberFormat="1" applyFont="1" applyAlignment="1">
      <alignment vertical="center"/>
    </xf>
    <xf numFmtId="176" fontId="175" fillId="0" borderId="621" xfId="17" applyNumberFormat="1" applyFont="1" applyBorder="1" applyAlignment="1">
      <alignment vertical="center"/>
    </xf>
    <xf numFmtId="0" fontId="244" fillId="0" borderId="344" xfId="17" applyAlignment="1">
      <alignment horizontal="left" vertical="center"/>
    </xf>
    <xf numFmtId="168" fontId="186" fillId="0" borderId="344" xfId="17" applyNumberFormat="1" applyFont="1" applyAlignment="1">
      <alignment vertical="center"/>
    </xf>
    <xf numFmtId="0" fontId="44" fillId="0" borderId="344" xfId="19" applyFont="1" applyAlignment="1">
      <alignment vertical="center"/>
    </xf>
    <xf numFmtId="177" fontId="44" fillId="0" borderId="344" xfId="19" applyNumberFormat="1" applyFont="1" applyAlignment="1">
      <alignment vertical="center"/>
    </xf>
    <xf numFmtId="0" fontId="261" fillId="0" borderId="344" xfId="19"/>
    <xf numFmtId="0" fontId="3" fillId="0" borderId="344" xfId="19" applyFont="1" applyAlignment="1">
      <alignment vertical="center"/>
    </xf>
    <xf numFmtId="177" fontId="3" fillId="0" borderId="344" xfId="19" applyNumberFormat="1" applyFont="1" applyAlignment="1">
      <alignment vertical="center"/>
    </xf>
    <xf numFmtId="0" fontId="266" fillId="0" borderId="367" xfId="19" applyFont="1" applyBorder="1" applyAlignment="1">
      <alignment horizontal="center" vertical="center" wrapText="1"/>
    </xf>
    <xf numFmtId="0" fontId="206" fillId="0" borderId="367" xfId="19" applyFont="1" applyBorder="1" applyAlignment="1">
      <alignment horizontal="center" vertical="center"/>
    </xf>
    <xf numFmtId="0" fontId="104" fillId="0" borderId="5" xfId="19" applyFont="1" applyBorder="1" applyAlignment="1">
      <alignment horizontal="center" vertical="center"/>
    </xf>
    <xf numFmtId="0" fontId="103" fillId="0" borderId="5" xfId="19" applyFont="1" applyBorder="1" applyAlignment="1">
      <alignment horizontal="left" vertical="center" wrapText="1" indent="1"/>
    </xf>
    <xf numFmtId="177" fontId="104" fillId="0" borderId="5" xfId="19" applyNumberFormat="1" applyFont="1" applyBorder="1" applyAlignment="1">
      <alignment horizontal="center" vertical="center" wrapText="1"/>
    </xf>
    <xf numFmtId="0" fontId="103" fillId="0" borderId="5" xfId="19" applyFont="1" applyBorder="1" applyAlignment="1">
      <alignment horizontal="center" vertical="center" wrapText="1"/>
    </xf>
    <xf numFmtId="0" fontId="267" fillId="0" borderId="5" xfId="19" applyFont="1" applyBorder="1" applyAlignment="1">
      <alignment horizontal="center" vertical="center" wrapText="1"/>
    </xf>
    <xf numFmtId="0" fontId="267" fillId="0" borderId="370" xfId="19" applyFont="1" applyBorder="1" applyAlignment="1">
      <alignment horizontal="center" vertical="center" wrapText="1"/>
    </xf>
    <xf numFmtId="0" fontId="103" fillId="0" borderId="621" xfId="19" applyFont="1" applyBorder="1" applyAlignment="1">
      <alignment horizontal="left" vertical="center" wrapText="1" indent="1"/>
    </xf>
    <xf numFmtId="0" fontId="138" fillId="0" borderId="344" xfId="19" applyFont="1"/>
    <xf numFmtId="0" fontId="103" fillId="0" borderId="741" xfId="19" applyFont="1" applyBorder="1" applyAlignment="1">
      <alignment horizontal="center" vertical="center" wrapText="1"/>
    </xf>
    <xf numFmtId="0" fontId="103" fillId="0" borderId="744" xfId="19" applyFont="1" applyBorder="1" applyAlignment="1">
      <alignment horizontal="left" vertical="center" wrapText="1" indent="1"/>
    </xf>
    <xf numFmtId="177" fontId="104" fillId="0" borderId="744" xfId="19" applyNumberFormat="1" applyFont="1" applyBorder="1" applyAlignment="1">
      <alignment horizontal="center" vertical="center" wrapText="1"/>
    </xf>
    <xf numFmtId="0" fontId="267" fillId="0" borderId="744" xfId="19" applyFont="1" applyBorder="1" applyAlignment="1">
      <alignment horizontal="center" vertical="center" wrapText="1"/>
    </xf>
    <xf numFmtId="0" fontId="267" fillId="0" borderId="745" xfId="19" applyFont="1" applyBorder="1" applyAlignment="1">
      <alignment horizontal="center" vertical="center" wrapText="1"/>
    </xf>
    <xf numFmtId="0" fontId="267" fillId="0" borderId="373" xfId="19" applyFont="1" applyBorder="1" applyAlignment="1">
      <alignment horizontal="center" vertical="center" wrapText="1"/>
    </xf>
    <xf numFmtId="0" fontId="267" fillId="0" borderId="746" xfId="19" applyFont="1" applyBorder="1" applyAlignment="1">
      <alignment horizontal="center" vertical="center" wrapText="1"/>
    </xf>
    <xf numFmtId="0" fontId="267" fillId="0" borderId="621" xfId="19" applyFont="1" applyBorder="1" applyAlignment="1">
      <alignment horizontal="center" vertical="center" wrapText="1"/>
    </xf>
    <xf numFmtId="0" fontId="103" fillId="0" borderId="376" xfId="19" applyFont="1" applyBorder="1" applyAlignment="1">
      <alignment horizontal="left" vertical="center" wrapText="1" indent="1"/>
    </xf>
    <xf numFmtId="0" fontId="103" fillId="0" borderId="365" xfId="19" applyFont="1" applyBorder="1" applyAlignment="1">
      <alignment horizontal="left" vertical="center" wrapText="1" indent="1"/>
    </xf>
    <xf numFmtId="177" fontId="104" fillId="0" borderId="365" xfId="19" applyNumberFormat="1" applyFont="1" applyBorder="1" applyAlignment="1">
      <alignment horizontal="center" vertical="center" wrapText="1"/>
    </xf>
    <xf numFmtId="0" fontId="103" fillId="0" borderId="365" xfId="19" applyFont="1" applyBorder="1" applyAlignment="1">
      <alignment horizontal="center" vertical="center" wrapText="1"/>
    </xf>
    <xf numFmtId="0" fontId="267" fillId="0" borderId="365" xfId="19" applyFont="1" applyBorder="1" applyAlignment="1">
      <alignment horizontal="center" vertical="center" wrapText="1"/>
    </xf>
    <xf numFmtId="0" fontId="267" fillId="0" borderId="366" xfId="19" applyFont="1" applyBorder="1" applyAlignment="1">
      <alignment horizontal="center" vertical="center" wrapText="1"/>
    </xf>
    <xf numFmtId="177" fontId="104" fillId="0" borderId="621" xfId="19" applyNumberFormat="1" applyFont="1" applyBorder="1" applyAlignment="1">
      <alignment horizontal="center" vertical="center" wrapText="1"/>
    </xf>
    <xf numFmtId="0" fontId="103" fillId="0" borderId="619" xfId="19" applyFont="1" applyBorder="1" applyAlignment="1">
      <alignment horizontal="left" vertical="center" wrapText="1" indent="1"/>
    </xf>
    <xf numFmtId="177" fontId="104" fillId="0" borderId="619" xfId="19" applyNumberFormat="1" applyFont="1" applyBorder="1" applyAlignment="1">
      <alignment horizontal="center" vertical="center" wrapText="1"/>
    </xf>
    <xf numFmtId="0" fontId="103" fillId="0" borderId="619" xfId="19" applyFont="1" applyBorder="1" applyAlignment="1">
      <alignment horizontal="center" vertical="center" wrapText="1"/>
    </xf>
    <xf numFmtId="0" fontId="267" fillId="0" borderId="619" xfId="19" applyFont="1" applyBorder="1" applyAlignment="1">
      <alignment horizontal="center" vertical="center" wrapText="1"/>
    </xf>
    <xf numFmtId="0" fontId="103" fillId="0" borderId="621" xfId="19" applyFont="1" applyBorder="1" applyAlignment="1">
      <alignment horizontal="center" vertical="center" wrapText="1"/>
    </xf>
    <xf numFmtId="0" fontId="267" fillId="0" borderId="626" xfId="19" applyFont="1" applyBorder="1" applyAlignment="1">
      <alignment horizontal="left" vertical="center" indent="1"/>
    </xf>
    <xf numFmtId="0" fontId="103" fillId="0" borderId="369" xfId="19" applyFont="1" applyBorder="1" applyAlignment="1">
      <alignment horizontal="center" vertical="center" wrapText="1"/>
    </xf>
    <xf numFmtId="0" fontId="267" fillId="0" borderId="375" xfId="19" applyFont="1" applyBorder="1" applyAlignment="1">
      <alignment horizontal="center" vertical="center" wrapText="1"/>
    </xf>
    <xf numFmtId="0" fontId="103" fillId="0" borderId="375" xfId="19" applyFont="1" applyBorder="1" applyAlignment="1">
      <alignment horizontal="left" vertical="center" wrapText="1" indent="1"/>
    </xf>
    <xf numFmtId="0" fontId="103" fillId="0" borderId="367" xfId="19" applyFont="1" applyBorder="1" applyAlignment="1">
      <alignment horizontal="left" vertical="center" wrapText="1" indent="1"/>
    </xf>
    <xf numFmtId="0" fontId="103" fillId="0" borderId="366" xfId="19" applyFont="1" applyBorder="1" applyAlignment="1">
      <alignment horizontal="left" vertical="center" wrapText="1" indent="1"/>
    </xf>
    <xf numFmtId="0" fontId="103" fillId="0" borderId="369" xfId="19" applyFont="1" applyBorder="1" applyAlignment="1">
      <alignment horizontal="left" vertical="center" wrapText="1" indent="1"/>
    </xf>
    <xf numFmtId="0" fontId="267" fillId="0" borderId="376" xfId="19" applyFont="1" applyBorder="1" applyAlignment="1">
      <alignment horizontal="center" vertical="center" wrapText="1"/>
    </xf>
    <xf numFmtId="0" fontId="103" fillId="0" borderId="88" xfId="19" applyFont="1" applyBorder="1" applyAlignment="1">
      <alignment horizontal="left" vertical="center" wrapText="1" indent="1"/>
    </xf>
    <xf numFmtId="0" fontId="103" fillId="0" borderId="370" xfId="19" applyFont="1" applyBorder="1" applyAlignment="1">
      <alignment horizontal="center" vertical="center" wrapText="1"/>
    </xf>
    <xf numFmtId="0" fontId="267" fillId="0" borderId="741" xfId="19" applyFont="1" applyBorder="1" applyAlignment="1">
      <alignment horizontal="center" vertical="center" wrapText="1"/>
    </xf>
    <xf numFmtId="0" fontId="103" fillId="0" borderId="741" xfId="19" applyFont="1" applyBorder="1" applyAlignment="1">
      <alignment horizontal="left" vertical="center" wrapText="1" indent="1"/>
    </xf>
    <xf numFmtId="0" fontId="103" fillId="0" borderId="747" xfId="19" applyFont="1" applyBorder="1" applyAlignment="1">
      <alignment horizontal="left" vertical="center" wrapText="1" indent="1"/>
    </xf>
    <xf numFmtId="177" fontId="104" fillId="0" borderId="747" xfId="19" applyNumberFormat="1" applyFont="1" applyBorder="1" applyAlignment="1">
      <alignment horizontal="center" vertical="center" wrapText="1"/>
    </xf>
    <xf numFmtId="0" fontId="103" fillId="0" borderId="747" xfId="19" applyFont="1" applyBorder="1" applyAlignment="1">
      <alignment horizontal="center" vertical="center" wrapText="1"/>
    </xf>
    <xf numFmtId="0" fontId="267" fillId="0" borderId="747" xfId="19" applyFont="1" applyBorder="1" applyAlignment="1">
      <alignment horizontal="center" vertical="center" wrapText="1"/>
    </xf>
    <xf numFmtId="0" fontId="267" fillId="0" borderId="626" xfId="19" applyFont="1" applyBorder="1" applyAlignment="1">
      <alignment horizontal="center" vertical="center" wrapText="1"/>
    </xf>
    <xf numFmtId="0" fontId="15" fillId="0" borderId="344" xfId="19" applyFont="1" applyAlignment="1">
      <alignment wrapText="1"/>
    </xf>
    <xf numFmtId="0" fontId="103" fillId="0" borderId="748" xfId="19" applyFont="1" applyBorder="1" applyAlignment="1">
      <alignment horizontal="left" vertical="center" wrapText="1" indent="1"/>
    </xf>
    <xf numFmtId="0" fontId="269" fillId="0" borderId="344" xfId="19" applyFont="1" applyAlignment="1">
      <alignment vertical="center"/>
    </xf>
    <xf numFmtId="14" fontId="270" fillId="0" borderId="344" xfId="19" applyNumberFormat="1" applyFont="1" applyAlignment="1">
      <alignment horizontal="left" vertical="center"/>
    </xf>
    <xf numFmtId="0" fontId="198" fillId="0" borderId="344" xfId="19" applyFont="1" applyAlignment="1">
      <alignment vertical="center"/>
    </xf>
    <xf numFmtId="177" fontId="271" fillId="0" borderId="344" xfId="19" applyNumberFormat="1" applyFont="1" applyAlignment="1">
      <alignment horizontal="left" vertical="center"/>
    </xf>
    <xf numFmtId="0" fontId="32" fillId="0" borderId="344" xfId="19" applyFont="1"/>
    <xf numFmtId="0" fontId="272" fillId="0" borderId="344" xfId="19" applyFont="1"/>
    <xf numFmtId="49" fontId="54" fillId="14" borderId="5" xfId="0" applyNumberFormat="1" applyFont="1" applyFill="1" applyBorder="1" applyAlignment="1">
      <alignment horizontal="center" vertical="center" wrapText="1" indent="1"/>
    </xf>
    <xf numFmtId="168" fontId="213" fillId="0" borderId="344" xfId="16" applyNumberFormat="1"/>
    <xf numFmtId="49" fontId="22" fillId="39" borderId="38" xfId="0" applyNumberFormat="1" applyFont="1" applyFill="1" applyBorder="1" applyAlignment="1">
      <alignment horizontal="left" vertical="center" indent="1"/>
    </xf>
    <xf numFmtId="49" fontId="22" fillId="39" borderId="39" xfId="0" applyNumberFormat="1" applyFont="1" applyFill="1" applyBorder="1" applyAlignment="1">
      <alignment horizontal="left" vertical="center" wrapText="1" indent="1"/>
    </xf>
    <xf numFmtId="0" fontId="113" fillId="39" borderId="39" xfId="0" applyFont="1" applyFill="1" applyBorder="1" applyAlignment="1">
      <alignment horizontal="center" vertical="center" wrapText="1"/>
    </xf>
    <xf numFmtId="0" fontId="23" fillId="39" borderId="39" xfId="0" applyFont="1" applyFill="1" applyBorder="1" applyAlignment="1">
      <alignment horizontal="center" vertical="center" wrapText="1"/>
    </xf>
    <xf numFmtId="0" fontId="23" fillId="39" borderId="33" xfId="0" applyFont="1" applyFill="1" applyBorder="1" applyAlignment="1">
      <alignment horizontal="left" vertical="center" indent="1"/>
    </xf>
    <xf numFmtId="49" fontId="23" fillId="39" borderId="34" xfId="0" applyNumberFormat="1" applyFont="1" applyFill="1" applyBorder="1" applyAlignment="1">
      <alignment horizontal="left" vertical="center" wrapText="1" indent="1"/>
    </xf>
    <xf numFmtId="0" fontId="113" fillId="39" borderId="34" xfId="0" applyFont="1" applyFill="1" applyBorder="1" applyAlignment="1">
      <alignment horizontal="center" vertical="center" wrapText="1"/>
    </xf>
    <xf numFmtId="49" fontId="23" fillId="39" borderId="34" xfId="0" applyNumberFormat="1" applyFont="1" applyFill="1" applyBorder="1" applyAlignment="1">
      <alignment horizontal="center" vertical="center" wrapText="1"/>
    </xf>
    <xf numFmtId="49" fontId="22" fillId="39" borderId="33" xfId="0" applyNumberFormat="1" applyFont="1" applyFill="1" applyBorder="1" applyAlignment="1">
      <alignment horizontal="left" vertical="center" indent="1"/>
    </xf>
    <xf numFmtId="49" fontId="22" fillId="39" borderId="34" xfId="0" applyNumberFormat="1" applyFont="1" applyFill="1" applyBorder="1" applyAlignment="1">
      <alignment horizontal="left" vertical="center" wrapText="1" indent="1"/>
    </xf>
    <xf numFmtId="0" fontId="23" fillId="39" borderId="34" xfId="0" applyFont="1" applyFill="1" applyBorder="1" applyAlignment="1">
      <alignment horizontal="center" vertical="center" wrapText="1"/>
    </xf>
    <xf numFmtId="49" fontId="23" fillId="39" borderId="40" xfId="0" applyNumberFormat="1" applyFont="1" applyFill="1" applyBorder="1" applyAlignment="1">
      <alignment horizontal="left" vertical="center" wrapText="1" indent="1"/>
    </xf>
    <xf numFmtId="0" fontId="113" fillId="39" borderId="40" xfId="0" applyFont="1" applyFill="1" applyBorder="1" applyAlignment="1">
      <alignment horizontal="center" vertical="center" wrapText="1"/>
    </xf>
    <xf numFmtId="49" fontId="23" fillId="39" borderId="40" xfId="0" applyNumberFormat="1" applyFont="1" applyFill="1" applyBorder="1" applyAlignment="1">
      <alignment horizontal="center" vertical="center" wrapText="1"/>
    </xf>
    <xf numFmtId="49" fontId="24" fillId="0" borderId="34" xfId="0" applyNumberFormat="1" applyFont="1" applyBorder="1" applyAlignment="1">
      <alignment horizontal="left" vertical="center" wrapText="1" indent="1"/>
    </xf>
    <xf numFmtId="49" fontId="24" fillId="0" borderId="34" xfId="0" applyNumberFormat="1" applyFont="1" applyBorder="1" applyAlignment="1">
      <alignment horizontal="center" vertical="center" wrapText="1"/>
    </xf>
    <xf numFmtId="49" fontId="38" fillId="39" borderId="38" xfId="0" applyNumberFormat="1" applyFont="1" applyFill="1" applyBorder="1" applyAlignment="1">
      <alignment horizontal="left" vertical="center" indent="1"/>
    </xf>
    <xf numFmtId="49" fontId="112" fillId="39" borderId="39" xfId="0" applyNumberFormat="1" applyFont="1" applyFill="1" applyBorder="1" applyAlignment="1">
      <alignment horizontal="center" vertical="center"/>
    </xf>
    <xf numFmtId="49" fontId="38" fillId="39" borderId="39" xfId="0" applyNumberFormat="1" applyFont="1" applyFill="1" applyBorder="1" applyAlignment="1">
      <alignment horizontal="left" vertical="center" wrapText="1" indent="1"/>
    </xf>
    <xf numFmtId="0" fontId="56" fillId="39" borderId="39" xfId="0" applyFont="1" applyFill="1" applyBorder="1" applyAlignment="1">
      <alignment horizontal="center" vertical="center" wrapText="1"/>
    </xf>
    <xf numFmtId="0" fontId="24" fillId="39" borderId="39" xfId="0" applyFont="1" applyFill="1" applyBorder="1" applyAlignment="1">
      <alignment horizontal="center" vertical="center" wrapText="1"/>
    </xf>
    <xf numFmtId="0" fontId="24" fillId="39" borderId="33" xfId="0" applyFont="1" applyFill="1" applyBorder="1" applyAlignment="1">
      <alignment horizontal="left" vertical="center" indent="1"/>
    </xf>
    <xf numFmtId="49" fontId="24" fillId="39" borderId="34" xfId="0" applyNumberFormat="1" applyFont="1" applyFill="1" applyBorder="1" applyAlignment="1">
      <alignment horizontal="left" vertical="center" wrapText="1" indent="1"/>
    </xf>
    <xf numFmtId="0" fontId="56" fillId="39" borderId="34" xfId="0" applyFont="1" applyFill="1" applyBorder="1" applyAlignment="1">
      <alignment horizontal="center" vertical="center" wrapText="1"/>
    </xf>
    <xf numFmtId="49" fontId="24" fillId="39" borderId="34" xfId="0" applyNumberFormat="1" applyFont="1" applyFill="1" applyBorder="1" applyAlignment="1">
      <alignment horizontal="center" vertical="center" wrapText="1"/>
    </xf>
    <xf numFmtId="0" fontId="222" fillId="39" borderId="34" xfId="0" applyFont="1" applyFill="1" applyBorder="1" applyAlignment="1">
      <alignment horizontal="center" vertical="center" wrapText="1"/>
    </xf>
    <xf numFmtId="49" fontId="22" fillId="14" borderId="38" xfId="0" applyNumberFormat="1" applyFont="1" applyFill="1" applyBorder="1" applyAlignment="1">
      <alignment horizontal="left" vertical="center" indent="1"/>
    </xf>
    <xf numFmtId="49" fontId="22" fillId="14" borderId="39" xfId="0" applyNumberFormat="1" applyFont="1" applyFill="1" applyBorder="1" applyAlignment="1">
      <alignment horizontal="left" vertical="center" wrapText="1" indent="1"/>
    </xf>
    <xf numFmtId="0" fontId="113" fillId="14" borderId="39" xfId="0" applyFont="1" applyFill="1" applyBorder="1" applyAlignment="1">
      <alignment horizontal="center" vertical="center" wrapText="1"/>
    </xf>
    <xf numFmtId="0" fontId="23" fillId="14" borderId="39" xfId="0" applyFont="1" applyFill="1" applyBorder="1" applyAlignment="1">
      <alignment horizontal="center" vertical="center" wrapText="1"/>
    </xf>
    <xf numFmtId="0" fontId="24" fillId="39" borderId="34" xfId="0" applyFont="1" applyFill="1" applyBorder="1" applyAlignment="1">
      <alignment horizontal="center" vertical="center" wrapText="1"/>
    </xf>
    <xf numFmtId="0" fontId="24" fillId="39" borderId="34" xfId="0" applyFont="1" applyFill="1" applyBorder="1" applyAlignment="1">
      <alignment horizontal="left" vertical="center" wrapText="1" indent="1"/>
    </xf>
    <xf numFmtId="39" fontId="56" fillId="39" borderId="34" xfId="0" applyNumberFormat="1" applyFont="1" applyFill="1" applyBorder="1" applyAlignment="1">
      <alignment vertical="center"/>
    </xf>
    <xf numFmtId="0" fontId="38" fillId="39" borderId="41" xfId="0" applyFont="1" applyFill="1" applyBorder="1" applyAlignment="1">
      <alignment horizontal="left" vertical="center" wrapText="1" indent="1"/>
    </xf>
    <xf numFmtId="0" fontId="38" fillId="39" borderId="44" xfId="0" applyFont="1" applyFill="1" applyBorder="1" applyAlignment="1">
      <alignment horizontal="left" vertical="center" wrapText="1" indent="1"/>
    </xf>
    <xf numFmtId="0" fontId="24" fillId="39" borderId="44" xfId="0" applyFont="1" applyFill="1" applyBorder="1" applyAlignment="1">
      <alignment horizontal="center" vertical="center" wrapText="1"/>
    </xf>
    <xf numFmtId="0" fontId="38" fillId="39" borderId="172" xfId="0" applyFont="1" applyFill="1" applyBorder="1" applyAlignment="1">
      <alignment horizontal="left" vertical="center" indent="1"/>
    </xf>
    <xf numFmtId="0" fontId="38" fillId="39" borderId="83" xfId="0" applyFont="1" applyFill="1" applyBorder="1" applyAlignment="1">
      <alignment horizontal="left" vertical="center" wrapText="1" indent="1"/>
    </xf>
    <xf numFmtId="0" fontId="56" fillId="39" borderId="83" xfId="0" applyFont="1" applyFill="1" applyBorder="1" applyAlignment="1">
      <alignment horizontal="center" vertical="center" wrapText="1"/>
    </xf>
    <xf numFmtId="0" fontId="24" fillId="39" borderId="83" xfId="0" applyFont="1" applyFill="1" applyBorder="1" applyAlignment="1">
      <alignment horizontal="center" vertical="center" wrapText="1"/>
    </xf>
    <xf numFmtId="0" fontId="24" fillId="39" borderId="174" xfId="0" applyFont="1" applyFill="1" applyBorder="1" applyAlignment="1">
      <alignment horizontal="left" vertical="center" indent="1"/>
    </xf>
    <xf numFmtId="0" fontId="24" fillId="39" borderId="486" xfId="0" applyFont="1" applyFill="1" applyBorder="1" applyAlignment="1">
      <alignment horizontal="left" vertical="center" wrapText="1" indent="1"/>
    </xf>
    <xf numFmtId="0" fontId="56" fillId="39" borderId="486" xfId="0" applyFont="1" applyFill="1" applyBorder="1" applyAlignment="1">
      <alignment horizontal="center" vertical="center" wrapText="1"/>
    </xf>
    <xf numFmtId="0" fontId="24" fillId="39" borderId="486" xfId="0" applyFont="1" applyFill="1" applyBorder="1" applyAlignment="1">
      <alignment horizontal="center" vertical="center" wrapText="1"/>
    </xf>
    <xf numFmtId="0" fontId="38" fillId="39" borderId="174" xfId="0" applyFont="1" applyFill="1" applyBorder="1" applyAlignment="1">
      <alignment horizontal="left" vertical="center" wrapText="1" indent="1"/>
    </xf>
    <xf numFmtId="0" fontId="38" fillId="39" borderId="173" xfId="0" applyFont="1" applyFill="1" applyBorder="1" applyAlignment="1">
      <alignment horizontal="left" vertical="center" wrapText="1" indent="1"/>
    </xf>
    <xf numFmtId="0" fontId="56" fillId="39" borderId="173" xfId="0" applyFont="1" applyFill="1" applyBorder="1" applyAlignment="1">
      <alignment horizontal="center" vertical="center" wrapText="1"/>
    </xf>
    <xf numFmtId="0" fontId="24" fillId="39" borderId="173" xfId="0" applyFont="1" applyFill="1" applyBorder="1" applyAlignment="1">
      <alignment horizontal="center" vertical="center" wrapText="1"/>
    </xf>
    <xf numFmtId="0" fontId="24" fillId="39" borderId="84" xfId="0" applyFont="1" applyFill="1" applyBorder="1" applyAlignment="1">
      <alignment horizontal="left" vertical="center" wrapText="1" indent="1"/>
    </xf>
    <xf numFmtId="0" fontId="56" fillId="39" borderId="84" xfId="0" applyFont="1" applyFill="1" applyBorder="1" applyAlignment="1">
      <alignment horizontal="center" vertical="center" wrapText="1"/>
    </xf>
    <xf numFmtId="0" fontId="24" fillId="39" borderId="84" xfId="0" applyFont="1" applyFill="1" applyBorder="1" applyAlignment="1">
      <alignment horizontal="center" vertical="center" wrapText="1"/>
    </xf>
    <xf numFmtId="0" fontId="24" fillId="39" borderId="194" xfId="0" applyFont="1" applyFill="1" applyBorder="1" applyAlignment="1">
      <alignment horizontal="left" vertical="center" wrapText="1" indent="1"/>
    </xf>
    <xf numFmtId="0" fontId="24" fillId="39" borderId="194" xfId="0" applyFont="1" applyFill="1" applyBorder="1" applyAlignment="1">
      <alignment horizontal="center" vertical="center" wrapText="1"/>
    </xf>
    <xf numFmtId="0" fontId="38" fillId="39" borderId="174" xfId="0" applyFont="1" applyFill="1" applyBorder="1" applyAlignment="1">
      <alignment horizontal="left" vertical="center" indent="1"/>
    </xf>
    <xf numFmtId="3" fontId="56" fillId="39" borderId="84" xfId="0" applyNumberFormat="1" applyFont="1" applyFill="1" applyBorder="1" applyAlignment="1">
      <alignment horizontal="center" vertical="center" wrapText="1"/>
    </xf>
    <xf numFmtId="0" fontId="24" fillId="39" borderId="175" xfId="0" applyFont="1" applyFill="1" applyBorder="1" applyAlignment="1">
      <alignment horizontal="left" vertical="center" indent="1"/>
    </xf>
    <xf numFmtId="0" fontId="24" fillId="39" borderId="89" xfId="0" applyFont="1" applyFill="1" applyBorder="1" applyAlignment="1">
      <alignment horizontal="left" vertical="center" wrapText="1" indent="1"/>
    </xf>
    <xf numFmtId="0" fontId="56" fillId="39" borderId="89" xfId="0" applyFont="1" applyFill="1" applyBorder="1" applyAlignment="1">
      <alignment horizontal="center" vertical="center" wrapText="1"/>
    </xf>
    <xf numFmtId="0" fontId="24" fillId="39" borderId="89" xfId="0" applyFont="1" applyFill="1" applyBorder="1" applyAlignment="1">
      <alignment horizontal="center" vertical="center" wrapText="1"/>
    </xf>
    <xf numFmtId="0" fontId="38" fillId="39" borderId="210" xfId="0" applyFont="1" applyFill="1" applyBorder="1" applyAlignment="1">
      <alignment horizontal="left" vertical="center" indent="1"/>
    </xf>
    <xf numFmtId="0" fontId="24" fillId="39" borderId="486" xfId="0" applyFont="1" applyFill="1" applyBorder="1" applyAlignment="1">
      <alignment vertical="center" wrapText="1" indent="1"/>
    </xf>
    <xf numFmtId="0" fontId="38" fillId="39" borderId="176" xfId="0" applyFont="1" applyFill="1" applyBorder="1" applyAlignment="1">
      <alignment horizontal="left" vertical="center" indent="1"/>
    </xf>
    <xf numFmtId="0" fontId="38" fillId="39" borderId="86" xfId="0" applyFont="1" applyFill="1" applyBorder="1" applyAlignment="1">
      <alignment horizontal="left" vertical="center" wrapText="1" indent="1"/>
    </xf>
    <xf numFmtId="0" fontId="56" fillId="39" borderId="86" xfId="0" applyFont="1" applyFill="1" applyBorder="1" applyAlignment="1">
      <alignment horizontal="center" vertical="center" wrapText="1"/>
    </xf>
    <xf numFmtId="0" fontId="24" fillId="39" borderId="86" xfId="0" applyFont="1" applyFill="1" applyBorder="1" applyAlignment="1">
      <alignment horizontal="center" vertical="center" wrapText="1"/>
    </xf>
    <xf numFmtId="0" fontId="38" fillId="39" borderId="176" xfId="0" applyFont="1" applyFill="1" applyBorder="1" applyAlignment="1">
      <alignment horizontal="left" vertical="center" wrapText="1" indent="1"/>
    </xf>
    <xf numFmtId="0" fontId="24" fillId="39" borderId="174" xfId="0" applyFont="1" applyFill="1" applyBorder="1" applyAlignment="1">
      <alignment horizontal="left" vertical="center" wrapText="1" indent="1"/>
    </xf>
    <xf numFmtId="0" fontId="38" fillId="39" borderId="86" xfId="0" applyFont="1" applyFill="1" applyBorder="1" applyAlignment="1">
      <alignment horizontal="left" vertical="center" indent="1"/>
    </xf>
    <xf numFmtId="0" fontId="24" fillId="39" borderId="84" xfId="0" applyFont="1" applyFill="1" applyBorder="1" applyAlignment="1">
      <alignment horizontal="left" vertical="center" indent="1"/>
    </xf>
    <xf numFmtId="0" fontId="24" fillId="39" borderId="486" xfId="0" applyFont="1" applyFill="1" applyBorder="1" applyAlignment="1">
      <alignment horizontal="left" vertical="center" indent="1"/>
    </xf>
    <xf numFmtId="0" fontId="23" fillId="39" borderId="44" xfId="0" applyFont="1" applyFill="1" applyBorder="1" applyAlignment="1">
      <alignment horizontal="center" vertical="center" wrapText="1"/>
    </xf>
    <xf numFmtId="0" fontId="56" fillId="14" borderId="44" xfId="0" applyFont="1" applyFill="1" applyBorder="1" applyAlignment="1">
      <alignment horizontal="center" vertical="center" wrapText="1"/>
    </xf>
    <xf numFmtId="0" fontId="24" fillId="14" borderId="44" xfId="0" applyFont="1" applyFill="1" applyBorder="1" applyAlignment="1">
      <alignment horizontal="center" vertical="center" wrapText="1"/>
    </xf>
    <xf numFmtId="39" fontId="56" fillId="14" borderId="44" xfId="0" applyNumberFormat="1" applyFont="1" applyFill="1" applyBorder="1" applyAlignment="1">
      <alignment vertical="center"/>
    </xf>
    <xf numFmtId="49" fontId="38" fillId="14" borderId="44" xfId="0" applyNumberFormat="1" applyFont="1" applyFill="1" applyBorder="1" applyAlignment="1">
      <alignment vertical="center"/>
    </xf>
    <xf numFmtId="49" fontId="24" fillId="14" borderId="44" xfId="0" applyNumberFormat="1" applyFont="1" applyFill="1" applyBorder="1" applyAlignment="1">
      <alignment horizontal="center" vertical="center"/>
    </xf>
    <xf numFmtId="49" fontId="38" fillId="17" borderId="41" xfId="0" applyNumberFormat="1" applyFont="1" applyFill="1" applyBorder="1" applyAlignment="1">
      <alignment horizontal="left" vertical="center" indent="1"/>
    </xf>
    <xf numFmtId="49" fontId="24" fillId="17" borderId="33" xfId="0" applyNumberFormat="1" applyFont="1" applyFill="1" applyBorder="1" applyAlignment="1">
      <alignment horizontal="left" vertical="center"/>
    </xf>
    <xf numFmtId="0" fontId="38" fillId="39" borderId="38" xfId="0" applyFont="1" applyFill="1" applyBorder="1" applyAlignment="1">
      <alignment horizontal="left" vertical="center" wrapText="1" indent="1"/>
    </xf>
    <xf numFmtId="0" fontId="38" fillId="39" borderId="39" xfId="0" applyFont="1" applyFill="1" applyBorder="1" applyAlignment="1">
      <alignment horizontal="left" vertical="center" wrapText="1" indent="1"/>
    </xf>
    <xf numFmtId="0" fontId="38" fillId="39" borderId="33" xfId="0" applyFont="1" applyFill="1" applyBorder="1" applyAlignment="1">
      <alignment horizontal="left" vertical="center" wrapText="1" indent="1"/>
    </xf>
    <xf numFmtId="0" fontId="38" fillId="39" borderId="34" xfId="0" applyFont="1" applyFill="1" applyBorder="1" applyAlignment="1">
      <alignment horizontal="left" vertical="center" wrapText="1" indent="1"/>
    </xf>
    <xf numFmtId="0" fontId="22" fillId="39" borderId="34" xfId="0" applyFont="1" applyFill="1" applyBorder="1" applyAlignment="1">
      <alignment horizontal="left" vertical="center" wrapText="1" indent="1"/>
    </xf>
    <xf numFmtId="0" fontId="24" fillId="39" borderId="34" xfId="0" applyFont="1" applyFill="1" applyBorder="1" applyAlignment="1">
      <alignment vertical="center"/>
    </xf>
    <xf numFmtId="0" fontId="24" fillId="39" borderId="34" xfId="0" applyFont="1" applyFill="1" applyBorder="1" applyAlignment="1">
      <alignment horizontal="center" vertical="center"/>
    </xf>
    <xf numFmtId="2" fontId="24" fillId="39" borderId="34" xfId="0" applyNumberFormat="1" applyFont="1" applyFill="1" applyBorder="1" applyAlignment="1">
      <alignment horizontal="left" vertical="center" wrapText="1" indent="1"/>
    </xf>
    <xf numFmtId="49" fontId="59" fillId="39" borderId="74" xfId="0" applyNumberFormat="1" applyFont="1" applyFill="1" applyBorder="1" applyAlignment="1">
      <alignment horizontal="center" vertical="center"/>
    </xf>
    <xf numFmtId="0" fontId="23" fillId="39" borderId="74" xfId="0" applyFont="1" applyFill="1" applyBorder="1" applyAlignment="1">
      <alignment vertical="center" indent="1"/>
    </xf>
    <xf numFmtId="0" fontId="56" fillId="39" borderId="74" xfId="0" applyFont="1" applyFill="1" applyBorder="1" applyAlignment="1">
      <alignment horizontal="center" vertical="center" wrapText="1"/>
    </xf>
    <xf numFmtId="0" fontId="24" fillId="39" borderId="74" xfId="0" applyFont="1" applyFill="1" applyBorder="1" applyAlignment="1">
      <alignment horizontal="center" vertical="center"/>
    </xf>
    <xf numFmtId="168" fontId="56" fillId="39" borderId="74" xfId="0" applyNumberFormat="1" applyFont="1" applyFill="1" applyBorder="1" applyAlignment="1">
      <alignment vertical="center"/>
    </xf>
    <xf numFmtId="0" fontId="23" fillId="39" borderId="74" xfId="0" applyFont="1" applyFill="1" applyBorder="1" applyAlignment="1">
      <alignment horizontal="left" vertical="center" indent="1"/>
    </xf>
    <xf numFmtId="43" fontId="56" fillId="39" borderId="74" xfId="0" applyNumberFormat="1" applyFont="1" applyFill="1" applyBorder="1" applyAlignment="1">
      <alignment vertical="center"/>
    </xf>
    <xf numFmtId="0" fontId="56" fillId="39" borderId="75" xfId="0" applyFont="1" applyFill="1" applyBorder="1" applyAlignment="1">
      <alignment horizontal="center" vertical="center" wrapText="1"/>
    </xf>
    <xf numFmtId="43" fontId="56" fillId="39" borderId="74" xfId="0" applyNumberFormat="1" applyFont="1" applyFill="1" applyBorder="1" applyAlignment="1">
      <alignment horizontal="center" vertical="center"/>
    </xf>
    <xf numFmtId="0" fontId="24" fillId="39" borderId="74" xfId="0" applyFont="1" applyFill="1" applyBorder="1" applyAlignment="1">
      <alignment horizontal="left" vertical="center" wrapText="1" indent="1"/>
    </xf>
    <xf numFmtId="49" fontId="59" fillId="39" borderId="75" xfId="0" applyNumberFormat="1" applyFont="1" applyFill="1" applyBorder="1" applyAlignment="1">
      <alignment horizontal="center" vertical="center"/>
    </xf>
    <xf numFmtId="0" fontId="23" fillId="39" borderId="75" xfId="0" applyFont="1" applyFill="1" applyBorder="1" applyAlignment="1">
      <alignment horizontal="left" vertical="center" indent="1"/>
    </xf>
    <xf numFmtId="0" fontId="24" fillId="39" borderId="75" xfId="0" applyFont="1" applyFill="1" applyBorder="1" applyAlignment="1">
      <alignment horizontal="center" vertical="center"/>
    </xf>
    <xf numFmtId="168" fontId="56" fillId="39" borderId="75" xfId="0" applyNumberFormat="1" applyFont="1" applyFill="1" applyBorder="1" applyAlignment="1">
      <alignment vertical="center"/>
    </xf>
    <xf numFmtId="49" fontId="38" fillId="39" borderId="145" xfId="0" applyNumberFormat="1" applyFont="1" applyFill="1" applyBorder="1" applyAlignment="1">
      <alignment horizontal="left" vertical="center" wrapText="1" indent="1"/>
    </xf>
    <xf numFmtId="49" fontId="112" fillId="39" borderId="135" xfId="0" applyNumberFormat="1" applyFont="1" applyFill="1" applyBorder="1" applyAlignment="1">
      <alignment horizontal="center" vertical="center"/>
    </xf>
    <xf numFmtId="49" fontId="59" fillId="39" borderId="135" xfId="0" applyNumberFormat="1" applyFont="1" applyFill="1" applyBorder="1" applyAlignment="1">
      <alignment horizontal="center" vertical="center"/>
    </xf>
    <xf numFmtId="0" fontId="38" fillId="39" borderId="135" xfId="0" applyFont="1" applyFill="1" applyBorder="1" applyAlignment="1">
      <alignment horizontal="left" vertical="center" wrapText="1" indent="1"/>
    </xf>
    <xf numFmtId="0" fontId="56" fillId="39" borderId="135" xfId="0" applyFont="1" applyFill="1" applyBorder="1" applyAlignment="1">
      <alignment horizontal="center" vertical="center" wrapText="1"/>
    </xf>
    <xf numFmtId="0" fontId="24" fillId="39" borderId="135" xfId="0" applyFont="1" applyFill="1" applyBorder="1" applyAlignment="1">
      <alignment horizontal="center" vertical="center"/>
    </xf>
    <xf numFmtId="0" fontId="56" fillId="39" borderId="135" xfId="0" applyFont="1" applyFill="1" applyBorder="1" applyAlignment="1">
      <alignment vertical="center"/>
    </xf>
    <xf numFmtId="43" fontId="56" fillId="39" borderId="135" xfId="0" applyNumberFormat="1" applyFont="1" applyFill="1" applyBorder="1" applyAlignment="1">
      <alignment vertical="center"/>
    </xf>
    <xf numFmtId="168" fontId="56" fillId="39" borderId="135" xfId="0" applyNumberFormat="1" applyFont="1" applyFill="1" applyBorder="1" applyAlignment="1">
      <alignment vertical="center"/>
    </xf>
    <xf numFmtId="49" fontId="24" fillId="39" borderId="131" xfId="0" applyNumberFormat="1" applyFont="1" applyFill="1" applyBorder="1" applyAlignment="1">
      <alignment horizontal="left" vertical="center" wrapText="1" indent="1"/>
    </xf>
    <xf numFmtId="49" fontId="59" fillId="39" borderId="74" xfId="0" applyNumberFormat="1" applyFont="1" applyFill="1" applyBorder="1" applyAlignment="1">
      <alignment horizontal="center" vertical="center" wrapText="1"/>
    </xf>
    <xf numFmtId="0" fontId="24" fillId="39" borderId="74" xfId="0" applyFont="1" applyFill="1" applyBorder="1" applyAlignment="1">
      <alignment horizontal="left" vertical="center" indent="1"/>
    </xf>
    <xf numFmtId="49" fontId="59" fillId="39" borderId="329" xfId="0" applyNumberFormat="1" applyFont="1" applyFill="1" applyBorder="1" applyAlignment="1">
      <alignment horizontal="center" vertical="center"/>
    </xf>
    <xf numFmtId="0" fontId="24" fillId="39" borderId="329" xfId="0" applyFont="1" applyFill="1" applyBorder="1" applyAlignment="1">
      <alignment horizontal="left" vertical="center" wrapText="1" indent="1"/>
    </xf>
    <xf numFmtId="0" fontId="56" fillId="39" borderId="329" xfId="0" applyFont="1" applyFill="1" applyBorder="1" applyAlignment="1">
      <alignment horizontal="center" vertical="center" wrapText="1"/>
    </xf>
    <xf numFmtId="0" fontId="24" fillId="39" borderId="329" xfId="0" applyFont="1" applyFill="1" applyBorder="1" applyAlignment="1">
      <alignment horizontal="center" vertical="center"/>
    </xf>
    <xf numFmtId="43" fontId="56" fillId="39" borderId="329" xfId="0" applyNumberFormat="1" applyFont="1" applyFill="1" applyBorder="1" applyAlignment="1">
      <alignment horizontal="center" vertical="center"/>
    </xf>
    <xf numFmtId="168" fontId="56" fillId="39" borderId="329" xfId="0" applyNumberFormat="1" applyFont="1" applyFill="1" applyBorder="1" applyAlignment="1">
      <alignment vertical="center"/>
    </xf>
    <xf numFmtId="0" fontId="24" fillId="39" borderId="75" xfId="0" applyFont="1" applyFill="1" applyBorder="1" applyAlignment="1">
      <alignment horizontal="left" vertical="center" wrapText="1" indent="1"/>
    </xf>
    <xf numFmtId="43" fontId="56" fillId="39" borderId="75" xfId="0" applyNumberFormat="1" applyFont="1" applyFill="1" applyBorder="1" applyAlignment="1">
      <alignment horizontal="center" vertical="center"/>
    </xf>
    <xf numFmtId="39" fontId="24" fillId="39" borderId="84" xfId="0" applyNumberFormat="1" applyFont="1" applyFill="1" applyBorder="1" applyAlignment="1">
      <alignment horizontal="left" vertical="center" wrapText="1" indent="1"/>
    </xf>
    <xf numFmtId="39" fontId="38" fillId="0" borderId="173" xfId="0" applyNumberFormat="1" applyFont="1" applyBorder="1" applyAlignment="1">
      <alignment horizontal="left" vertical="center" wrapText="1" indent="1"/>
    </xf>
    <xf numFmtId="0" fontId="23" fillId="39" borderId="34" xfId="0" applyFont="1" applyFill="1" applyBorder="1" applyAlignment="1">
      <alignment horizontal="left" vertical="center" wrapText="1" indent="1"/>
    </xf>
    <xf numFmtId="49" fontId="38" fillId="17" borderId="244" xfId="0" applyNumberFormat="1" applyFont="1" applyFill="1" applyBorder="1" applyAlignment="1">
      <alignment vertical="center"/>
    </xf>
    <xf numFmtId="0" fontId="24" fillId="0" borderId="161" xfId="0" applyFont="1" applyBorder="1" applyAlignment="1">
      <alignment horizontal="center" vertical="center" wrapText="1"/>
    </xf>
    <xf numFmtId="0" fontId="24" fillId="17" borderId="174" xfId="0" applyFont="1" applyFill="1" applyBorder="1" applyAlignment="1">
      <alignment horizontal="center" vertical="center" indent="1"/>
    </xf>
    <xf numFmtId="0" fontId="38" fillId="0" borderId="173" xfId="0" applyFont="1" applyBorder="1" applyAlignment="1">
      <alignment horizontal="center" vertical="center" wrapText="1"/>
    </xf>
    <xf numFmtId="49" fontId="38" fillId="0" borderId="173" xfId="0" applyNumberFormat="1" applyFont="1" applyBorder="1" applyAlignment="1">
      <alignment horizontal="center" vertical="center"/>
    </xf>
    <xf numFmtId="39" fontId="24" fillId="0" borderId="173" xfId="0" applyNumberFormat="1" applyFont="1" applyBorder="1" applyAlignment="1">
      <alignment horizontal="left" vertical="center" wrapText="1" indent="1"/>
    </xf>
    <xf numFmtId="39" fontId="24" fillId="39" borderId="173" xfId="0" applyNumberFormat="1" applyFont="1" applyFill="1" applyBorder="1" applyAlignment="1">
      <alignment horizontal="left" vertical="center" wrapText="1" indent="1"/>
    </xf>
    <xf numFmtId="0" fontId="38" fillId="0" borderId="84" xfId="0" applyFont="1" applyBorder="1" applyAlignment="1">
      <alignment horizontal="center" vertical="center" wrapText="1"/>
    </xf>
    <xf numFmtId="49" fontId="38" fillId="0" borderId="84" xfId="0" applyNumberFormat="1" applyFont="1" applyBorder="1" applyAlignment="1">
      <alignment horizontal="center" vertical="center"/>
    </xf>
    <xf numFmtId="49" fontId="38" fillId="0" borderId="194" xfId="0" applyNumberFormat="1" applyFont="1" applyBorder="1" applyAlignment="1">
      <alignment vertical="center"/>
    </xf>
    <xf numFmtId="0" fontId="38" fillId="0" borderId="194" xfId="0" applyFont="1" applyBorder="1" applyAlignment="1">
      <alignment horizontal="center" vertical="center" wrapText="1"/>
    </xf>
    <xf numFmtId="49" fontId="38" fillId="0" borderId="194" xfId="0" applyNumberFormat="1" applyFont="1" applyBorder="1" applyAlignment="1">
      <alignment horizontal="center" vertical="center"/>
    </xf>
    <xf numFmtId="0" fontId="38" fillId="17" borderId="174" xfId="0" applyFont="1" applyFill="1" applyBorder="1" applyAlignment="1">
      <alignment horizontal="center" vertical="center" indent="1"/>
    </xf>
    <xf numFmtId="49" fontId="38" fillId="0" borderId="702" xfId="0" applyNumberFormat="1" applyFont="1" applyBorder="1" applyAlignment="1">
      <alignment horizontal="center" vertical="center"/>
    </xf>
    <xf numFmtId="49" fontId="38" fillId="0" borderId="165" xfId="0" applyNumberFormat="1" applyFont="1" applyBorder="1" applyAlignment="1">
      <alignment horizontal="center" vertical="center"/>
    </xf>
    <xf numFmtId="0" fontId="24" fillId="0" borderId="44" xfId="0" applyFont="1" applyBorder="1" applyAlignment="1">
      <alignment horizontal="center" vertical="center" indent="1"/>
    </xf>
    <xf numFmtId="0" fontId="24" fillId="39" borderId="74" xfId="0" applyFont="1" applyFill="1" applyBorder="1" applyAlignment="1">
      <alignment horizontal="center" vertical="center" wrapText="1"/>
    </xf>
    <xf numFmtId="0" fontId="23" fillId="14" borderId="107" xfId="0" applyFont="1" applyFill="1" applyBorder="1" applyAlignment="1">
      <alignment horizontal="left" vertical="center" wrapText="1" indent="1"/>
    </xf>
    <xf numFmtId="0" fontId="38" fillId="4" borderId="176" xfId="0" applyFont="1" applyFill="1" applyBorder="1" applyAlignment="1">
      <alignment horizontal="left" vertical="center" wrapText="1" indent="1"/>
    </xf>
    <xf numFmtId="0" fontId="38" fillId="4" borderId="174" xfId="0" applyFont="1" applyFill="1" applyBorder="1" applyAlignment="1">
      <alignment horizontal="center" vertical="center" indent="1"/>
    </xf>
    <xf numFmtId="0" fontId="24" fillId="4" borderId="174" xfId="0" applyFont="1" applyFill="1" applyBorder="1" applyAlignment="1">
      <alignment horizontal="center" vertical="center" indent="1"/>
    </xf>
    <xf numFmtId="0" fontId="24" fillId="0" borderId="565" xfId="0" applyFont="1" applyBorder="1" applyAlignment="1">
      <alignment horizontal="left" vertical="center" wrapText="1" indent="1"/>
    </xf>
    <xf numFmtId="0" fontId="54" fillId="0" borderId="573" xfId="0" applyFont="1" applyBorder="1" applyAlignment="1">
      <alignment horizontal="center" vertical="center"/>
    </xf>
    <xf numFmtId="0" fontId="24" fillId="0" borderId="573" xfId="0" applyFont="1" applyBorder="1" applyAlignment="1">
      <alignment horizontal="center" vertical="center"/>
    </xf>
    <xf numFmtId="0" fontId="24" fillId="0" borderId="574" xfId="0" applyFont="1" applyBorder="1" applyAlignment="1">
      <alignment horizontal="left" vertical="center" wrapText="1" indent="1"/>
    </xf>
    <xf numFmtId="0" fontId="54" fillId="0" borderId="575" xfId="0" applyFont="1" applyBorder="1" applyAlignment="1">
      <alignment horizontal="center" vertical="center"/>
    </xf>
    <xf numFmtId="0" fontId="24" fillId="0" borderId="575" xfId="0" applyFont="1" applyBorder="1" applyAlignment="1">
      <alignment horizontal="center" vertical="center"/>
    </xf>
    <xf numFmtId="0" fontId="24" fillId="4" borderId="175" xfId="0" applyFont="1" applyFill="1" applyBorder="1" applyAlignment="1">
      <alignment horizontal="center" vertical="center" indent="1"/>
    </xf>
    <xf numFmtId="0" fontId="24" fillId="0" borderId="248" xfId="0" applyFont="1" applyBorder="1" applyAlignment="1">
      <alignment horizontal="left" vertical="center" wrapText="1" indent="1"/>
    </xf>
    <xf numFmtId="0" fontId="24" fillId="0" borderId="248" xfId="0" applyFont="1" applyBorder="1" applyAlignment="1">
      <alignment horizontal="center" vertical="center" wrapText="1"/>
    </xf>
    <xf numFmtId="0" fontId="38" fillId="0" borderId="111" xfId="0" applyFont="1" applyBorder="1" applyAlignment="1">
      <alignment horizontal="left" vertical="center" wrapText="1" indent="1"/>
    </xf>
    <xf numFmtId="0" fontId="101" fillId="39" borderId="242" xfId="0" applyFont="1" applyFill="1" applyBorder="1" applyAlignment="1">
      <alignment horizontal="center" vertical="center"/>
    </xf>
    <xf numFmtId="0" fontId="106" fillId="39" borderId="242" xfId="0" applyFont="1" applyFill="1" applyBorder="1" applyAlignment="1">
      <alignment horizontal="center" vertical="center" wrapText="1"/>
    </xf>
    <xf numFmtId="0" fontId="23" fillId="39" borderId="242" xfId="0" applyFont="1" applyFill="1" applyBorder="1" applyAlignment="1">
      <alignment horizontal="center" vertical="center" wrapText="1"/>
    </xf>
    <xf numFmtId="0" fontId="228" fillId="39" borderId="242" xfId="0" applyFont="1" applyFill="1" applyBorder="1" applyAlignment="1">
      <alignment horizontal="center" vertical="center"/>
    </xf>
    <xf numFmtId="0" fontId="219" fillId="39" borderId="242" xfId="0" applyFont="1" applyFill="1" applyBorder="1" applyAlignment="1">
      <alignment horizontal="center" vertical="center" wrapText="1"/>
    </xf>
    <xf numFmtId="0" fontId="222" fillId="39" borderId="242" xfId="0" applyFont="1" applyFill="1" applyBorder="1" applyAlignment="1">
      <alignment horizontal="center" vertical="center" wrapText="1"/>
    </xf>
    <xf numFmtId="0" fontId="38" fillId="14" borderId="648" xfId="0" applyFont="1" applyFill="1" applyBorder="1" applyAlignment="1">
      <alignment horizontal="left" vertical="center" wrapText="1" indent="1"/>
    </xf>
    <xf numFmtId="0" fontId="38" fillId="14" borderId="649" xfId="0" applyFont="1" applyFill="1" applyBorder="1" applyAlignment="1">
      <alignment horizontal="left" vertical="center" wrapText="1" indent="1"/>
    </xf>
    <xf numFmtId="0" fontId="24" fillId="14" borderId="649" xfId="0" applyFont="1" applyFill="1" applyBorder="1" applyAlignment="1">
      <alignment horizontal="center" vertical="top" wrapText="1"/>
    </xf>
    <xf numFmtId="0" fontId="24" fillId="14" borderId="33" xfId="0" applyFont="1" applyFill="1" applyBorder="1" applyAlignment="1">
      <alignment horizontal="left" vertical="center" wrapText="1" indent="1"/>
    </xf>
    <xf numFmtId="168" fontId="24" fillId="39" borderId="34" xfId="0" applyNumberFormat="1" applyFont="1" applyFill="1" applyBorder="1" applyAlignment="1">
      <alignment horizontal="center" vertical="center"/>
    </xf>
    <xf numFmtId="49" fontId="38" fillId="0" borderId="297" xfId="0" applyNumberFormat="1" applyFont="1" applyBorder="1" applyAlignment="1">
      <alignment horizontal="left" vertical="center" indent="1"/>
    </xf>
    <xf numFmtId="0" fontId="39" fillId="39" borderId="34" xfId="16" applyFont="1" applyFill="1" applyBorder="1" applyAlignment="1">
      <alignment horizontal="center" vertical="center"/>
    </xf>
    <xf numFmtId="0" fontId="24" fillId="39" borderId="34" xfId="16" applyFont="1" applyFill="1" applyBorder="1" applyAlignment="1">
      <alignment horizontal="left" vertical="center" wrapText="1" indent="1"/>
    </xf>
    <xf numFmtId="0" fontId="54" fillId="39" borderId="34" xfId="16" applyFont="1" applyFill="1" applyBorder="1" applyAlignment="1">
      <alignment horizontal="center" vertical="center" wrapText="1"/>
    </xf>
    <xf numFmtId="0" fontId="24" fillId="39" borderId="34" xfId="16" applyFont="1" applyFill="1" applyBorder="1" applyAlignment="1">
      <alignment horizontal="center" vertical="center" wrapText="1"/>
    </xf>
    <xf numFmtId="39" fontId="54" fillId="39" borderId="34" xfId="16" applyNumberFormat="1" applyFont="1" applyFill="1" applyBorder="1" applyAlignment="1">
      <alignment horizontal="right" vertical="center"/>
    </xf>
    <xf numFmtId="39" fontId="52" fillId="39" borderId="39" xfId="16" applyNumberFormat="1" applyFont="1" applyFill="1" applyBorder="1" applyAlignment="1">
      <alignment horizontal="right" vertical="center"/>
    </xf>
    <xf numFmtId="0" fontId="39" fillId="0" borderId="297" xfId="16" applyFont="1" applyBorder="1" applyAlignment="1">
      <alignment horizontal="center" vertical="center"/>
    </xf>
    <xf numFmtId="0" fontId="54" fillId="0" borderId="297" xfId="16" applyFont="1" applyBorder="1" applyAlignment="1">
      <alignment horizontal="center" vertical="center" wrapText="1"/>
    </xf>
    <xf numFmtId="0" fontId="24" fillId="0" borderId="297" xfId="16" applyFont="1" applyBorder="1" applyAlignment="1">
      <alignment horizontal="center" vertical="center" wrapText="1"/>
    </xf>
    <xf numFmtId="39" fontId="54" fillId="0" borderId="297" xfId="16" applyNumberFormat="1" applyFont="1" applyBorder="1" applyAlignment="1">
      <alignment horizontal="right" vertical="center"/>
    </xf>
    <xf numFmtId="0" fontId="30" fillId="0" borderId="313" xfId="16" applyFont="1" applyBorder="1" applyAlignment="1">
      <alignment horizontal="left" vertical="center" indent="1"/>
    </xf>
    <xf numFmtId="0" fontId="36" fillId="0" borderId="297" xfId="16" applyFont="1" applyBorder="1" applyAlignment="1">
      <alignment horizontal="center"/>
    </xf>
    <xf numFmtId="0" fontId="68" fillId="0" borderId="685" xfId="16" applyFont="1" applyBorder="1" applyAlignment="1">
      <alignment horizontal="center" vertical="center"/>
    </xf>
    <xf numFmtId="39" fontId="54" fillId="0" borderId="411" xfId="16" applyNumberFormat="1" applyFont="1" applyBorder="1" applyAlignment="1">
      <alignment horizontal="right" vertical="center"/>
    </xf>
    <xf numFmtId="168" fontId="52" fillId="0" borderId="411" xfId="16" applyNumberFormat="1" applyFont="1" applyBorder="1" applyAlignment="1">
      <alignment horizontal="right" vertical="center"/>
    </xf>
    <xf numFmtId="49" fontId="52" fillId="0" borderId="686" xfId="16" applyNumberFormat="1" applyFont="1" applyBorder="1" applyAlignment="1">
      <alignment horizontal="center" vertical="center"/>
    </xf>
    <xf numFmtId="0" fontId="38" fillId="0" borderId="43" xfId="16" applyFont="1" applyBorder="1" applyAlignment="1">
      <alignment vertical="center" wrapText="1" indent="1"/>
    </xf>
    <xf numFmtId="39" fontId="54" fillId="39" borderId="43" xfId="16" applyNumberFormat="1" applyFont="1" applyFill="1" applyBorder="1" applyAlignment="1">
      <alignment horizontal="right" vertical="center"/>
    </xf>
    <xf numFmtId="0" fontId="24" fillId="39" borderId="484" xfId="16" applyFont="1" applyFill="1" applyBorder="1" applyAlignment="1">
      <alignment horizontal="left" vertical="center" wrapText="1" indent="1"/>
    </xf>
    <xf numFmtId="0" fontId="24" fillId="39" borderId="484" xfId="16" applyFont="1" applyFill="1" applyBorder="1" applyAlignment="1">
      <alignment horizontal="center" vertical="center" wrapText="1"/>
    </xf>
    <xf numFmtId="39" fontId="54" fillId="39" borderId="484" xfId="16" applyNumberFormat="1" applyFont="1" applyFill="1" applyBorder="1" applyAlignment="1">
      <alignment horizontal="right" vertical="center"/>
    </xf>
    <xf numFmtId="0" fontId="39" fillId="39" borderId="37" xfId="16" applyFont="1" applyFill="1" applyBorder="1" applyAlignment="1">
      <alignment horizontal="center" vertical="center"/>
    </xf>
    <xf numFmtId="0" fontId="24" fillId="39" borderId="37" xfId="16" applyFont="1" applyFill="1" applyBorder="1" applyAlignment="1">
      <alignment horizontal="left" vertical="center" wrapText="1" indent="1"/>
    </xf>
    <xf numFmtId="0" fontId="54" fillId="39" borderId="37" xfId="16" applyFont="1" applyFill="1" applyBorder="1" applyAlignment="1">
      <alignment horizontal="center" vertical="center" wrapText="1"/>
    </xf>
    <xf numFmtId="39" fontId="52" fillId="39" borderId="34" xfId="16" applyNumberFormat="1" applyFont="1" applyFill="1" applyBorder="1" applyAlignment="1">
      <alignment horizontal="right" vertical="center"/>
    </xf>
    <xf numFmtId="39" fontId="52" fillId="14" borderId="30" xfId="16" applyNumberFormat="1" applyFont="1" applyFill="1" applyBorder="1" applyAlignment="1">
      <alignment horizontal="right" vertical="center"/>
    </xf>
    <xf numFmtId="0" fontId="38" fillId="0" borderId="678" xfId="16" applyFont="1" applyBorder="1" applyAlignment="1">
      <alignment horizontal="left" vertical="center" wrapText="1" indent="1"/>
    </xf>
    <xf numFmtId="0" fontId="24" fillId="17" borderId="679" xfId="16" applyFont="1" applyFill="1" applyBorder="1" applyAlignment="1">
      <alignment horizontal="center" vertical="center" wrapText="1"/>
    </xf>
    <xf numFmtId="0" fontId="24" fillId="0" borderId="681" xfId="16" applyFont="1" applyBorder="1" applyAlignment="1">
      <alignment horizontal="center" vertical="center" wrapText="1"/>
    </xf>
    <xf numFmtId="0" fontId="54" fillId="17" borderId="678" xfId="16" applyFont="1" applyFill="1" applyBorder="1" applyAlignment="1">
      <alignment horizontal="center" vertical="center" wrapText="1"/>
    </xf>
    <xf numFmtId="0" fontId="24" fillId="17" borderId="678" xfId="16" applyFont="1" applyFill="1" applyBorder="1" applyAlignment="1">
      <alignment horizontal="center" vertical="center" wrapText="1"/>
    </xf>
    <xf numFmtId="39" fontId="54" fillId="14" borderId="679" xfId="16" applyNumberFormat="1" applyFont="1" applyFill="1" applyBorder="1" applyAlignment="1">
      <alignment horizontal="right" vertical="center"/>
    </xf>
    <xf numFmtId="0" fontId="39" fillId="0" borderId="411" xfId="16" applyFont="1" applyBorder="1" applyAlignment="1">
      <alignment horizontal="left" vertical="center" indent="1"/>
    </xf>
    <xf numFmtId="0" fontId="30" fillId="0" borderId="411" xfId="16" applyFont="1" applyBorder="1" applyAlignment="1">
      <alignment horizontal="left" vertical="center" indent="1"/>
    </xf>
    <xf numFmtId="0" fontId="24" fillId="0" borderId="463" xfId="16" applyFont="1" applyBorder="1" applyAlignment="1">
      <alignment horizontal="left" vertical="center" indent="1"/>
    </xf>
    <xf numFmtId="0" fontId="69" fillId="39" borderId="34" xfId="16" applyFont="1" applyFill="1" applyBorder="1" applyAlignment="1">
      <alignment wrapText="1" indent="1"/>
    </xf>
    <xf numFmtId="49" fontId="24" fillId="39" borderId="34" xfId="16" applyNumberFormat="1" applyFont="1" applyFill="1" applyBorder="1" applyAlignment="1">
      <alignment horizontal="center" vertical="center"/>
    </xf>
    <xf numFmtId="0" fontId="24" fillId="39" borderId="34" xfId="16" applyFont="1" applyFill="1" applyBorder="1" applyAlignment="1">
      <alignment horizontal="left" vertical="center" indent="1"/>
    </xf>
    <xf numFmtId="0" fontId="23" fillId="39" borderId="34" xfId="16" applyFont="1" applyFill="1" applyBorder="1" applyAlignment="1">
      <alignment horizontal="left" vertical="center" wrapText="1" indent="1"/>
    </xf>
    <xf numFmtId="0" fontId="29" fillId="39" borderId="34" xfId="16" applyFont="1" applyFill="1" applyBorder="1" applyAlignment="1">
      <alignment horizontal="center" vertical="center" wrapText="1"/>
    </xf>
    <xf numFmtId="0" fontId="38" fillId="39" borderId="74" xfId="0" applyFont="1" applyFill="1" applyBorder="1" applyAlignment="1">
      <alignment horizontal="left" vertical="center" wrapText="1" indent="1"/>
    </xf>
    <xf numFmtId="0" fontId="35" fillId="17" borderId="256" xfId="0" applyFont="1" applyFill="1" applyBorder="1" applyAlignment="1">
      <alignment horizontal="center" vertical="center" wrapText="1"/>
    </xf>
    <xf numFmtId="0" fontId="14" fillId="17" borderId="182" xfId="0" applyFont="1" applyFill="1" applyBorder="1" applyAlignment="1">
      <alignment horizontal="center" vertical="center" wrapText="1"/>
    </xf>
    <xf numFmtId="0" fontId="11" fillId="0" borderId="256" xfId="0" applyFont="1" applyBorder="1" applyAlignment="1">
      <alignment vertical="center" wrapText="1" indent="1"/>
    </xf>
    <xf numFmtId="0" fontId="14" fillId="39" borderId="182" xfId="0" applyFont="1" applyFill="1" applyBorder="1" applyAlignment="1">
      <alignment vertical="center" wrapText="1" indent="1"/>
    </xf>
    <xf numFmtId="0" fontId="24" fillId="39" borderId="182" xfId="0" applyFont="1" applyFill="1" applyBorder="1" applyAlignment="1">
      <alignment horizontal="center" vertical="center" wrapText="1"/>
    </xf>
    <xf numFmtId="0" fontId="35" fillId="18" borderId="256" xfId="0" applyFont="1" applyFill="1" applyBorder="1" applyAlignment="1">
      <alignment horizontal="center" vertical="center" wrapText="1"/>
    </xf>
    <xf numFmtId="0" fontId="39" fillId="18" borderId="256" xfId="0" applyFont="1" applyFill="1" applyBorder="1" applyAlignment="1">
      <alignment horizontal="center" vertical="center" wrapText="1"/>
    </xf>
    <xf numFmtId="0" fontId="24" fillId="18" borderId="256" xfId="0" applyFont="1" applyFill="1" applyBorder="1" applyAlignment="1">
      <alignment horizontal="center" vertical="center" wrapText="1"/>
    </xf>
    <xf numFmtId="0" fontId="68" fillId="18" borderId="256" xfId="0" applyFont="1" applyFill="1" applyBorder="1" applyAlignment="1">
      <alignment vertical="center" wrapText="1"/>
    </xf>
    <xf numFmtId="0" fontId="39" fillId="18" borderId="182" xfId="0" applyFont="1" applyFill="1" applyBorder="1" applyAlignment="1">
      <alignment horizontal="center" vertical="center" wrapText="1"/>
    </xf>
    <xf numFmtId="0" fontId="24" fillId="18" borderId="182" xfId="0" applyFont="1" applyFill="1" applyBorder="1" applyAlignment="1">
      <alignment horizontal="center" vertical="center" wrapText="1"/>
    </xf>
    <xf numFmtId="0" fontId="39" fillId="18" borderId="182" xfId="0" applyFont="1" applyFill="1" applyBorder="1" applyAlignment="1">
      <alignment horizontal="right" vertical="center" wrapText="1"/>
    </xf>
    <xf numFmtId="0" fontId="35" fillId="0" borderId="182" xfId="0" applyFont="1" applyBorder="1" applyAlignment="1">
      <alignment horizontal="center" vertical="center" wrapText="1"/>
    </xf>
    <xf numFmtId="0" fontId="35" fillId="0" borderId="256" xfId="0" applyFont="1" applyBorder="1" applyAlignment="1">
      <alignment horizontal="center" vertical="center" wrapText="1"/>
    </xf>
    <xf numFmtId="0" fontId="34" fillId="0" borderId="187" xfId="0" applyFont="1" applyBorder="1" applyAlignment="1">
      <alignment horizontal="center" vertical="center" wrapText="1"/>
    </xf>
    <xf numFmtId="0" fontId="24" fillId="39" borderId="43" xfId="0" applyFont="1" applyFill="1" applyBorder="1" applyAlignment="1">
      <alignment horizontal="center" vertical="center" wrapText="1"/>
    </xf>
    <xf numFmtId="49" fontId="52" fillId="39" borderId="34" xfId="16" applyNumberFormat="1" applyFont="1" applyFill="1" applyBorder="1" applyAlignment="1">
      <alignment horizontal="center" vertical="center"/>
    </xf>
    <xf numFmtId="0" fontId="24" fillId="39" borderId="84" xfId="0" applyFont="1" applyFill="1" applyBorder="1" applyAlignment="1">
      <alignment vertical="center" wrapText="1" indent="1"/>
    </xf>
    <xf numFmtId="0" fontId="38" fillId="17" borderId="204" xfId="0" applyFont="1" applyFill="1" applyBorder="1" applyAlignment="1">
      <alignment horizontal="left" vertical="center" indent="1"/>
    </xf>
    <xf numFmtId="0" fontId="38" fillId="39" borderId="204" xfId="0" applyFont="1" applyFill="1" applyBorder="1" applyAlignment="1">
      <alignment horizontal="left" vertical="center" indent="1"/>
    </xf>
    <xf numFmtId="0" fontId="38" fillId="39" borderId="194" xfId="0" applyFont="1" applyFill="1" applyBorder="1" applyAlignment="1">
      <alignment horizontal="left" vertical="center" wrapText="1" indent="1"/>
    </xf>
    <xf numFmtId="49" fontId="38" fillId="39" borderId="194" xfId="0" applyNumberFormat="1" applyFont="1" applyFill="1" applyBorder="1" applyAlignment="1">
      <alignment vertical="center"/>
    </xf>
    <xf numFmtId="49" fontId="24" fillId="39" borderId="194" xfId="0" applyNumberFormat="1" applyFont="1" applyFill="1" applyBorder="1" applyAlignment="1">
      <alignment horizontal="center" vertical="center"/>
    </xf>
    <xf numFmtId="0" fontId="96" fillId="39" borderId="84" xfId="0" applyFont="1" applyFill="1" applyBorder="1" applyAlignment="1">
      <alignment horizontal="left" vertical="center" wrapText="1" indent="1"/>
    </xf>
    <xf numFmtId="0" fontId="109" fillId="39" borderId="84" xfId="0" applyFont="1" applyFill="1" applyBorder="1" applyAlignment="1">
      <alignment horizontal="center" vertical="center" wrapText="1"/>
    </xf>
    <xf numFmtId="0" fontId="96" fillId="39" borderId="84" xfId="0" applyFont="1" applyFill="1" applyBorder="1" applyAlignment="1">
      <alignment horizontal="center" vertical="center" wrapText="1"/>
    </xf>
    <xf numFmtId="0" fontId="23" fillId="39" borderId="85" xfId="0" applyFont="1" applyFill="1" applyBorder="1" applyAlignment="1">
      <alignment horizontal="center" vertical="center" wrapText="1"/>
    </xf>
    <xf numFmtId="0" fontId="38" fillId="39" borderId="149" xfId="0" applyFont="1" applyFill="1" applyBorder="1" applyAlignment="1">
      <alignment horizontal="left" vertical="center" wrapText="1" indent="1"/>
    </xf>
    <xf numFmtId="49" fontId="38" fillId="39" borderId="39" xfId="0" applyNumberFormat="1" applyFont="1" applyFill="1" applyBorder="1" applyAlignment="1">
      <alignment horizontal="right" vertical="center"/>
    </xf>
    <xf numFmtId="49" fontId="24" fillId="39" borderId="39" xfId="0" applyNumberFormat="1" applyFont="1" applyFill="1" applyBorder="1" applyAlignment="1">
      <alignment horizontal="center" vertical="center"/>
    </xf>
    <xf numFmtId="0" fontId="38" fillId="39" borderId="510" xfId="0" applyFont="1" applyFill="1" applyBorder="1" applyAlignment="1">
      <alignment horizontal="left" indent="1"/>
    </xf>
    <xf numFmtId="49" fontId="38" fillId="39" borderId="34" xfId="0" applyNumberFormat="1" applyFont="1" applyFill="1" applyBorder="1" applyAlignment="1">
      <alignment horizontal="right" vertical="center"/>
    </xf>
    <xf numFmtId="49" fontId="24" fillId="39" borderId="34" xfId="0" applyNumberFormat="1" applyFont="1" applyFill="1" applyBorder="1" applyAlignment="1">
      <alignment horizontal="center" vertical="center"/>
    </xf>
    <xf numFmtId="49" fontId="24" fillId="39" borderId="84" xfId="0" applyNumberFormat="1" applyFont="1" applyFill="1" applyBorder="1" applyAlignment="1">
      <alignment horizontal="center" vertical="center"/>
    </xf>
    <xf numFmtId="39" fontId="24" fillId="39" borderId="84" xfId="0" applyNumberFormat="1" applyFont="1" applyFill="1" applyBorder="1" applyAlignment="1">
      <alignment horizontal="center" vertical="center"/>
    </xf>
    <xf numFmtId="0" fontId="38" fillId="39" borderId="210" xfId="0" applyFont="1" applyFill="1" applyBorder="1" applyAlignment="1">
      <alignment horizontal="left" vertical="center" wrapText="1" indent="1"/>
    </xf>
    <xf numFmtId="0" fontId="24" fillId="39" borderId="44" xfId="0" applyFont="1" applyFill="1" applyBorder="1" applyAlignment="1">
      <alignment horizontal="center" vertical="center" indent="1"/>
    </xf>
    <xf numFmtId="49" fontId="38" fillId="39" borderId="44" xfId="0" applyNumberFormat="1" applyFont="1" applyFill="1" applyBorder="1" applyAlignment="1">
      <alignment vertical="center"/>
    </xf>
    <xf numFmtId="49" fontId="24" fillId="39" borderId="44" xfId="0" applyNumberFormat="1" applyFont="1" applyFill="1" applyBorder="1" applyAlignment="1">
      <alignment horizontal="center" vertical="center"/>
    </xf>
    <xf numFmtId="49" fontId="24" fillId="39" borderId="709" xfId="0" applyNumberFormat="1" applyFont="1" applyFill="1" applyBorder="1" applyAlignment="1">
      <alignment horizontal="center" vertical="center"/>
    </xf>
    <xf numFmtId="0" fontId="38" fillId="39" borderId="41" xfId="0" applyFont="1" applyFill="1" applyBorder="1" applyAlignment="1">
      <alignment horizontal="center" vertical="center" indent="1"/>
    </xf>
    <xf numFmtId="0" fontId="24" fillId="39" borderId="44" xfId="0" applyFont="1" applyFill="1" applyBorder="1" applyAlignment="1">
      <alignment horizontal="left" vertical="center" wrapText="1" indent="1"/>
    </xf>
    <xf numFmtId="0" fontId="38" fillId="0" borderId="41" xfId="0" applyFont="1" applyBorder="1" applyAlignment="1">
      <alignment horizontal="center" vertical="center" indent="1"/>
    </xf>
    <xf numFmtId="49" fontId="24" fillId="0" borderId="709" xfId="0" applyNumberFormat="1" applyFont="1" applyBorder="1" applyAlignment="1">
      <alignment horizontal="center" vertical="center"/>
    </xf>
    <xf numFmtId="0" fontId="22" fillId="0" borderId="36" xfId="0" applyFont="1" applyBorder="1" applyAlignment="1">
      <alignment horizontal="left" vertical="center" wrapText="1" indent="1"/>
    </xf>
    <xf numFmtId="0" fontId="24" fillId="0" borderId="37" xfId="0" applyFont="1" applyBorder="1" applyAlignment="1">
      <alignment vertical="center" wrapText="1" indent="1"/>
    </xf>
    <xf numFmtId="49" fontId="24" fillId="0" borderId="37" xfId="0" applyNumberFormat="1" applyFont="1" applyBorder="1"/>
    <xf numFmtId="0" fontId="24" fillId="0" borderId="37" xfId="0" applyFont="1" applyBorder="1"/>
    <xf numFmtId="49" fontId="22" fillId="0" borderId="135" xfId="0" applyNumberFormat="1" applyFont="1" applyBorder="1" applyAlignment="1">
      <alignment vertical="center"/>
    </xf>
    <xf numFmtId="0" fontId="23" fillId="0" borderId="135" xfId="0" applyFont="1" applyBorder="1" applyAlignment="1">
      <alignment horizontal="center" vertical="center" wrapText="1"/>
    </xf>
    <xf numFmtId="49" fontId="23" fillId="0" borderId="135" xfId="0" applyNumberFormat="1" applyFont="1" applyBorder="1" applyAlignment="1">
      <alignment horizontal="center" vertical="center"/>
    </xf>
    <xf numFmtId="0" fontId="24" fillId="0" borderId="131" xfId="0" applyFont="1" applyBorder="1" applyAlignment="1">
      <alignment horizontal="left" vertical="center" indent="1"/>
    </xf>
    <xf numFmtId="49" fontId="22" fillId="0" borderId="74" xfId="0" applyNumberFormat="1" applyFont="1" applyBorder="1" applyAlignment="1">
      <alignment vertical="center"/>
    </xf>
    <xf numFmtId="0" fontId="22" fillId="0" borderId="131" xfId="0" applyFont="1" applyBorder="1" applyAlignment="1">
      <alignment horizontal="left" vertical="center" wrapText="1" indent="1"/>
    </xf>
    <xf numFmtId="0" fontId="22" fillId="0" borderId="74" xfId="0" applyFont="1" applyBorder="1" applyAlignment="1">
      <alignment horizontal="left" vertical="center" wrapText="1" indent="1"/>
    </xf>
    <xf numFmtId="49" fontId="23" fillId="0" borderId="74" xfId="0" applyNumberFormat="1" applyFont="1" applyBorder="1" applyAlignment="1">
      <alignment horizontal="center" vertical="center"/>
    </xf>
    <xf numFmtId="0" fontId="23" fillId="0" borderId="131" xfId="0" applyFont="1" applyBorder="1" applyAlignment="1">
      <alignment horizontal="left" vertical="center" indent="1"/>
    </xf>
    <xf numFmtId="0" fontId="22" fillId="0" borderId="38" xfId="0" applyFont="1" applyBorder="1" applyAlignment="1">
      <alignment horizontal="left" vertical="center" wrapText="1" indent="1"/>
    </xf>
    <xf numFmtId="49" fontId="22" fillId="0" borderId="39" xfId="0" applyNumberFormat="1" applyFont="1" applyBorder="1" applyAlignment="1">
      <alignment vertical="center"/>
    </xf>
    <xf numFmtId="49" fontId="23" fillId="0" borderId="39" xfId="0" applyNumberFormat="1" applyFont="1" applyBorder="1" applyAlignment="1">
      <alignment horizontal="center" vertical="center"/>
    </xf>
    <xf numFmtId="49" fontId="22" fillId="0" borderId="34" xfId="0" applyNumberFormat="1" applyFont="1" applyBorder="1" applyAlignment="1">
      <alignment vertical="center"/>
    </xf>
    <xf numFmtId="39" fontId="54" fillId="39" borderId="34" xfId="16" applyNumberFormat="1" applyFont="1" applyFill="1" applyBorder="1" applyAlignment="1">
      <alignment horizontal="right" vertical="center" wrapText="1"/>
    </xf>
    <xf numFmtId="39" fontId="52" fillId="39" borderId="34" xfId="16" applyNumberFormat="1" applyFont="1" applyFill="1" applyBorder="1" applyAlignment="1">
      <alignment horizontal="right" vertical="center" wrapText="1"/>
    </xf>
    <xf numFmtId="39" fontId="52" fillId="39" borderId="649" xfId="16" applyNumberFormat="1" applyFont="1" applyFill="1" applyBorder="1" applyAlignment="1">
      <alignment horizontal="right" vertical="center"/>
    </xf>
    <xf numFmtId="49" fontId="152" fillId="39" borderId="34" xfId="16" applyNumberFormat="1" applyFont="1" applyFill="1" applyBorder="1" applyAlignment="1">
      <alignment horizontal="left" vertical="center" wrapText="1" indent="1"/>
    </xf>
    <xf numFmtId="0" fontId="24" fillId="0" borderId="41" xfId="16" applyFont="1" applyBorder="1" applyAlignment="1">
      <alignment horizontal="left" vertical="center" wrapText="1" indent="1"/>
    </xf>
    <xf numFmtId="49" fontId="24" fillId="14" borderId="34" xfId="16" applyNumberFormat="1" applyFont="1" applyFill="1" applyBorder="1" applyAlignment="1">
      <alignment horizontal="center" vertical="center"/>
    </xf>
    <xf numFmtId="49" fontId="38" fillId="39" borderId="33" xfId="16" applyNumberFormat="1" applyFont="1" applyFill="1" applyBorder="1" applyAlignment="1">
      <alignment horizontal="left" vertical="center" wrapText="1" indent="1"/>
    </xf>
    <xf numFmtId="0" fontId="68" fillId="39" borderId="34" xfId="16" applyFont="1" applyFill="1" applyBorder="1" applyAlignment="1">
      <alignment horizontal="center" vertical="center"/>
    </xf>
    <xf numFmtId="0" fontId="22" fillId="39" borderId="34" xfId="16" applyFont="1" applyFill="1" applyBorder="1" applyAlignment="1">
      <alignment horizontal="left" vertical="center" wrapText="1" indent="1"/>
    </xf>
    <xf numFmtId="0" fontId="14" fillId="39" borderId="34" xfId="16" applyFont="1" applyFill="1" applyBorder="1" applyAlignment="1">
      <alignment horizontal="center" vertical="center" wrapText="1"/>
    </xf>
    <xf numFmtId="49" fontId="38" fillId="39" borderId="684" xfId="16" applyNumberFormat="1" applyFont="1" applyFill="1" applyBorder="1" applyAlignment="1">
      <alignment horizontal="left" vertical="center" wrapText="1" indent="1"/>
    </xf>
    <xf numFmtId="0" fontId="39" fillId="39" borderId="685" xfId="16" applyFont="1" applyFill="1" applyBorder="1" applyAlignment="1">
      <alignment horizontal="center" vertical="center"/>
    </xf>
    <xf numFmtId="0" fontId="38" fillId="39" borderId="685" xfId="16" applyFont="1" applyFill="1" applyBorder="1" applyAlignment="1">
      <alignment horizontal="left" vertical="center" wrapText="1" indent="1"/>
    </xf>
    <xf numFmtId="0" fontId="54" fillId="39" borderId="685" xfId="16" applyFont="1" applyFill="1" applyBorder="1" applyAlignment="1">
      <alignment horizontal="center" vertical="center" wrapText="1"/>
    </xf>
    <xf numFmtId="0" fontId="24" fillId="39" borderId="686" xfId="16" applyFont="1" applyFill="1" applyBorder="1" applyAlignment="1">
      <alignment horizontal="center" vertical="center" wrapText="1"/>
    </xf>
    <xf numFmtId="49" fontId="70" fillId="39" borderId="34" xfId="16" applyNumberFormat="1" applyFont="1" applyFill="1" applyBorder="1" applyAlignment="1">
      <alignment horizontal="center" vertical="center"/>
    </xf>
    <xf numFmtId="0" fontId="24" fillId="0" borderId="0" xfId="0" applyFont="1" applyAlignment="1">
      <alignment horizontal="left" vertical="center" wrapText="1" indent="1"/>
    </xf>
    <xf numFmtId="0" fontId="129" fillId="0" borderId="313" xfId="0" applyFont="1" applyBorder="1"/>
    <xf numFmtId="0" fontId="22" fillId="0" borderId="313" xfId="0" applyFont="1" applyBorder="1" applyAlignment="1">
      <alignment wrapText="1"/>
    </xf>
    <xf numFmtId="0" fontId="106" fillId="0" borderId="313" xfId="0" applyFont="1" applyBorder="1" applyAlignment="1">
      <alignment wrapText="1"/>
    </xf>
    <xf numFmtId="0" fontId="23" fillId="0" borderId="313" xfId="0" applyFont="1" applyBorder="1" applyAlignment="1">
      <alignment wrapText="1"/>
    </xf>
    <xf numFmtId="0" fontId="106" fillId="0" borderId="313" xfId="0" applyFont="1" applyBorder="1"/>
    <xf numFmtId="0" fontId="130" fillId="0" borderId="313" xfId="0" applyFont="1" applyBorder="1"/>
    <xf numFmtId="0" fontId="96" fillId="0" borderId="313" xfId="0" applyFont="1" applyBorder="1"/>
    <xf numFmtId="0" fontId="101" fillId="0" borderId="313" xfId="0" applyFont="1" applyBorder="1"/>
    <xf numFmtId="0" fontId="101" fillId="0" borderId="539" xfId="0" applyFont="1" applyBorder="1"/>
    <xf numFmtId="0" fontId="23" fillId="0" borderId="539" xfId="0" applyFont="1" applyBorder="1" applyAlignment="1">
      <alignment wrapText="1"/>
    </xf>
    <xf numFmtId="0" fontId="106" fillId="0" borderId="539" xfId="0" applyFont="1" applyBorder="1" applyAlignment="1">
      <alignment wrapText="1"/>
    </xf>
    <xf numFmtId="0" fontId="106" fillId="0" borderId="539" xfId="0" applyFont="1" applyBorder="1"/>
    <xf numFmtId="0" fontId="130" fillId="0" borderId="539" xfId="0" applyFont="1" applyBorder="1"/>
    <xf numFmtId="0" fontId="96" fillId="0" borderId="539" xfId="0" applyFont="1" applyBorder="1"/>
    <xf numFmtId="0" fontId="175" fillId="0" borderId="313" xfId="0" applyFont="1" applyBorder="1"/>
    <xf numFmtId="0" fontId="95" fillId="0" borderId="313" xfId="0" applyFont="1" applyBorder="1" applyAlignment="1">
      <alignment wrapText="1"/>
    </xf>
    <xf numFmtId="0" fontId="98" fillId="0" borderId="313" xfId="0" applyFont="1" applyBorder="1" applyAlignment="1">
      <alignment wrapText="1"/>
    </xf>
    <xf numFmtId="0" fontId="96" fillId="0" borderId="313" xfId="0" applyFont="1" applyBorder="1" applyAlignment="1">
      <alignment wrapText="1"/>
    </xf>
    <xf numFmtId="0" fontId="98" fillId="0" borderId="313" xfId="0" applyFont="1" applyBorder="1"/>
    <xf numFmtId="0" fontId="192" fillId="0" borderId="313" xfId="0" applyFont="1" applyBorder="1"/>
    <xf numFmtId="0" fontId="99" fillId="0" borderId="313" xfId="0" applyFont="1" applyBorder="1"/>
    <xf numFmtId="0" fontId="99" fillId="0" borderId="539" xfId="0" applyFont="1" applyBorder="1"/>
    <xf numFmtId="0" fontId="96" fillId="0" borderId="362" xfId="0" applyFont="1" applyBorder="1" applyAlignment="1">
      <alignment wrapText="1"/>
    </xf>
    <xf numFmtId="0" fontId="98" fillId="0" borderId="362" xfId="0" applyFont="1" applyBorder="1" applyAlignment="1">
      <alignment wrapText="1"/>
    </xf>
    <xf numFmtId="0" fontId="98" fillId="0" borderId="362" xfId="0" applyFont="1" applyBorder="1"/>
    <xf numFmtId="0" fontId="192" fillId="0" borderId="362" xfId="0" applyFont="1" applyBorder="1"/>
    <xf numFmtId="0" fontId="96" fillId="0" borderId="362" xfId="0" applyFont="1" applyBorder="1"/>
    <xf numFmtId="0" fontId="95" fillId="0" borderId="750" xfId="0" applyFont="1" applyBorder="1" applyAlignment="1">
      <alignment wrapText="1"/>
    </xf>
    <xf numFmtId="0" fontId="98" fillId="0" borderId="750" xfId="0" applyFont="1" applyBorder="1" applyAlignment="1">
      <alignment wrapText="1"/>
    </xf>
    <xf numFmtId="0" fontId="96" fillId="0" borderId="750" xfId="0" applyFont="1" applyBorder="1" applyAlignment="1">
      <alignment wrapText="1"/>
    </xf>
    <xf numFmtId="0" fontId="98" fillId="0" borderId="750" xfId="0" applyFont="1" applyBorder="1"/>
    <xf numFmtId="0" fontId="192" fillId="0" borderId="750" xfId="0" applyFont="1" applyBorder="1"/>
    <xf numFmtId="0" fontId="96" fillId="0" borderId="750" xfId="0" applyFont="1" applyBorder="1"/>
    <xf numFmtId="0" fontId="96" fillId="0" borderId="539" xfId="0" applyFont="1" applyBorder="1" applyAlignment="1">
      <alignment wrapText="1"/>
    </xf>
    <xf numFmtId="0" fontId="98" fillId="0" borderId="539" xfId="0" applyFont="1" applyBorder="1" applyAlignment="1">
      <alignment wrapText="1"/>
    </xf>
    <xf numFmtId="0" fontId="98" fillId="0" borderId="539" xfId="0" applyFont="1" applyBorder="1"/>
    <xf numFmtId="0" fontId="192" fillId="0" borderId="539" xfId="0" applyFont="1" applyBorder="1"/>
    <xf numFmtId="0" fontId="129" fillId="0" borderId="41" xfId="0" applyFont="1" applyBorder="1"/>
    <xf numFmtId="0" fontId="101" fillId="0" borderId="41" xfId="0" applyFont="1" applyBorder="1"/>
    <xf numFmtId="0" fontId="101" fillId="0" borderId="752" xfId="0" applyFont="1" applyBorder="1"/>
    <xf numFmtId="0" fontId="175" fillId="0" borderId="41" xfId="0" applyFont="1" applyBorder="1"/>
    <xf numFmtId="0" fontId="99" fillId="0" borderId="41" xfId="0" applyFont="1" applyBorder="1"/>
    <xf numFmtId="0" fontId="99" fillId="0" borderId="752" xfId="0" applyFont="1" applyBorder="1"/>
    <xf numFmtId="0" fontId="192" fillId="44" borderId="427" xfId="0" applyFont="1" applyFill="1" applyBorder="1"/>
    <xf numFmtId="0" fontId="8" fillId="0" borderId="344" xfId="0" applyFont="1" applyBorder="1" applyAlignment="1">
      <alignment horizontal="center" vertical="center" wrapText="1"/>
    </xf>
    <xf numFmtId="49" fontId="35" fillId="44" borderId="117" xfId="0" applyNumberFormat="1" applyFont="1" applyFill="1" applyBorder="1" applyAlignment="1">
      <alignment horizontal="right" vertical="center"/>
    </xf>
    <xf numFmtId="0" fontId="38" fillId="14" borderId="41" xfId="0" applyFont="1" applyFill="1" applyBorder="1" applyAlignment="1">
      <alignment horizontal="left" vertical="center" indent="1"/>
    </xf>
    <xf numFmtId="0" fontId="24" fillId="14" borderId="41" xfId="0" applyFont="1" applyFill="1" applyBorder="1" applyAlignment="1">
      <alignment horizontal="left" vertical="center" indent="1"/>
    </xf>
    <xf numFmtId="0" fontId="23" fillId="39" borderId="41" xfId="0" applyFont="1" applyFill="1" applyBorder="1" applyAlignment="1">
      <alignment horizontal="left" vertical="center" indent="1"/>
    </xf>
    <xf numFmtId="0" fontId="222" fillId="0" borderId="36" xfId="0" applyFont="1" applyBorder="1" applyAlignment="1">
      <alignment horizontal="left" vertical="center" indent="1"/>
    </xf>
    <xf numFmtId="0" fontId="24" fillId="0" borderId="162" xfId="0" applyFont="1" applyBorder="1" applyAlignment="1">
      <alignment horizontal="left" vertical="center" wrapText="1" indent="1"/>
    </xf>
    <xf numFmtId="0" fontId="38" fillId="14" borderId="385" xfId="0" applyFont="1" applyFill="1" applyBorder="1" applyAlignment="1">
      <alignment horizontal="left" vertical="center" wrapText="1" indent="1"/>
    </xf>
    <xf numFmtId="0" fontId="24" fillId="14" borderId="162" xfId="0" applyFont="1" applyFill="1" applyBorder="1" applyAlignment="1">
      <alignment horizontal="left" vertical="center" wrapText="1" indent="1"/>
    </xf>
    <xf numFmtId="0" fontId="22" fillId="39" borderId="313" xfId="0" applyFont="1" applyFill="1" applyBorder="1" applyAlignment="1">
      <alignment horizontal="left" vertical="center" wrapText="1" indent="1"/>
    </xf>
    <xf numFmtId="0" fontId="24" fillId="39" borderId="43" xfId="0" applyFont="1" applyFill="1" applyBorder="1" applyAlignment="1">
      <alignment horizontal="left" vertical="center" wrapText="1" indent="1"/>
    </xf>
    <xf numFmtId="168" fontId="14" fillId="0" borderId="5" xfId="0" applyNumberFormat="1" applyFont="1" applyBorder="1" applyAlignment="1">
      <alignment vertical="center" wrapText="1" indent="1"/>
    </xf>
    <xf numFmtId="49" fontId="56" fillId="17" borderId="375" xfId="0" applyNumberFormat="1" applyFont="1" applyFill="1" applyBorder="1" applyAlignment="1">
      <alignment horizontal="center" vertical="center"/>
    </xf>
    <xf numFmtId="0" fontId="24" fillId="39" borderId="565" xfId="0" applyFont="1" applyFill="1" applyBorder="1" applyAlignment="1">
      <alignment horizontal="left" vertical="center" wrapText="1" indent="1"/>
    </xf>
    <xf numFmtId="0" fontId="24" fillId="39" borderId="574" xfId="0" applyFont="1" applyFill="1" applyBorder="1" applyAlignment="1">
      <alignment horizontal="left" vertical="center" wrapText="1" indent="1"/>
    </xf>
    <xf numFmtId="0" fontId="54" fillId="39" borderId="573" xfId="0" applyFont="1" applyFill="1" applyBorder="1" applyAlignment="1">
      <alignment horizontal="center" vertical="center"/>
    </xf>
    <xf numFmtId="0" fontId="24" fillId="39" borderId="573" xfId="0" applyFont="1" applyFill="1" applyBorder="1" applyAlignment="1">
      <alignment horizontal="center" vertical="center"/>
    </xf>
    <xf numFmtId="0" fontId="54" fillId="39" borderId="575" xfId="0" applyFont="1" applyFill="1" applyBorder="1" applyAlignment="1">
      <alignment horizontal="center" vertical="center"/>
    </xf>
    <xf numFmtId="0" fontId="24" fillId="39" borderId="575" xfId="0" applyFont="1" applyFill="1" applyBorder="1" applyAlignment="1">
      <alignment horizontal="center" vertical="center"/>
    </xf>
    <xf numFmtId="0" fontId="54" fillId="39" borderId="313" xfId="0" applyFont="1" applyFill="1" applyBorder="1" applyAlignment="1">
      <alignment horizontal="center" vertical="center"/>
    </xf>
    <xf numFmtId="0" fontId="24" fillId="39" borderId="313" xfId="0" applyFont="1" applyFill="1" applyBorder="1" applyAlignment="1">
      <alignment horizontal="center" vertical="center"/>
    </xf>
    <xf numFmtId="0" fontId="54" fillId="39" borderId="777" xfId="0" applyFont="1" applyFill="1" applyBorder="1" applyAlignment="1">
      <alignment horizontal="center" vertical="center"/>
    </xf>
    <xf numFmtId="0" fontId="24" fillId="39" borderId="676" xfId="0" applyFont="1" applyFill="1" applyBorder="1" applyAlignment="1">
      <alignment horizontal="left" vertical="center" wrapText="1" indent="1"/>
    </xf>
    <xf numFmtId="0" fontId="24" fillId="39" borderId="676" xfId="0" applyFont="1" applyFill="1" applyBorder="1" applyAlignment="1">
      <alignment horizontal="center" vertical="center"/>
    </xf>
    <xf numFmtId="0" fontId="24" fillId="0" borderId="662" xfId="0" applyFont="1" applyBorder="1" applyAlignment="1">
      <alignment horizontal="left" vertical="center" wrapText="1" indent="1"/>
    </xf>
    <xf numFmtId="0" fontId="24" fillId="0" borderId="662" xfId="0" applyFont="1" applyBorder="1" applyAlignment="1">
      <alignment horizontal="center" vertical="center" wrapText="1"/>
    </xf>
    <xf numFmtId="0" fontId="24" fillId="17" borderId="84" xfId="0" applyFont="1" applyFill="1" applyBorder="1" applyAlignment="1">
      <alignment horizontal="center" vertical="center" wrapText="1" indent="1"/>
    </xf>
    <xf numFmtId="39" fontId="24" fillId="0" borderId="173" xfId="0" applyNumberFormat="1" applyFont="1" applyBorder="1" applyAlignment="1">
      <alignment horizontal="center" vertical="center" wrapText="1" indent="1"/>
    </xf>
    <xf numFmtId="39" fontId="24" fillId="39" borderId="173" xfId="0" applyNumberFormat="1" applyFont="1" applyFill="1" applyBorder="1" applyAlignment="1">
      <alignment horizontal="center" vertical="center" wrapText="1" indent="1"/>
    </xf>
    <xf numFmtId="49" fontId="38" fillId="17" borderId="779" xfId="0" applyNumberFormat="1" applyFont="1" applyFill="1" applyBorder="1" applyAlignment="1">
      <alignment vertical="center"/>
    </xf>
    <xf numFmtId="0" fontId="24" fillId="17" borderId="779" xfId="0" applyFont="1" applyFill="1" applyBorder="1" applyAlignment="1">
      <alignment horizontal="center" vertical="center" wrapText="1"/>
    </xf>
    <xf numFmtId="49" fontId="24" fillId="17" borderId="779" xfId="0" applyNumberFormat="1" applyFont="1" applyFill="1" applyBorder="1" applyAlignment="1">
      <alignment horizontal="center" vertical="center"/>
    </xf>
    <xf numFmtId="49" fontId="24" fillId="17" borderId="780" xfId="0" applyNumberFormat="1" applyFont="1" applyFill="1" applyBorder="1" applyAlignment="1">
      <alignment horizontal="center" vertical="center"/>
    </xf>
    <xf numFmtId="0" fontId="24" fillId="17" borderId="662" xfId="0" applyFont="1" applyFill="1" applyBorder="1" applyAlignment="1">
      <alignment horizontal="center" vertical="center" wrapText="1"/>
    </xf>
    <xf numFmtId="49" fontId="24" fillId="17" borderId="662" xfId="0" applyNumberFormat="1" applyFont="1" applyFill="1" applyBorder="1" applyAlignment="1">
      <alignment horizontal="center" vertical="center"/>
    </xf>
    <xf numFmtId="49" fontId="24" fillId="17" borderId="781" xfId="0" applyNumberFormat="1" applyFont="1" applyFill="1" applyBorder="1" applyAlignment="1">
      <alignment horizontal="center" vertical="center"/>
    </xf>
    <xf numFmtId="49" fontId="24" fillId="17" borderId="770" xfId="0" applyNumberFormat="1" applyFont="1" applyFill="1" applyBorder="1" applyAlignment="1">
      <alignment horizontal="center" vertical="center"/>
    </xf>
    <xf numFmtId="0" fontId="24" fillId="17" borderId="783" xfId="0" applyFont="1" applyFill="1" applyBorder="1" applyAlignment="1">
      <alignment horizontal="center" vertical="center" wrapText="1"/>
    </xf>
    <xf numFmtId="49" fontId="24" fillId="17" borderId="783" xfId="0" applyNumberFormat="1" applyFont="1" applyFill="1" applyBorder="1" applyAlignment="1">
      <alignment horizontal="center" vertical="center"/>
    </xf>
    <xf numFmtId="49" fontId="24" fillId="17" borderId="784" xfId="0" applyNumberFormat="1" applyFont="1" applyFill="1" applyBorder="1" applyAlignment="1">
      <alignment horizontal="center" vertical="center"/>
    </xf>
    <xf numFmtId="0" fontId="22" fillId="0" borderId="160" xfId="0" applyFont="1" applyBorder="1" applyAlignment="1">
      <alignment horizontal="left" vertical="center" wrapText="1" indent="1"/>
    </xf>
    <xf numFmtId="0" fontId="23" fillId="39" borderId="242" xfId="0" applyFont="1" applyFill="1" applyBorder="1" applyAlignment="1">
      <alignment horizontal="left" vertical="center" wrapText="1" indent="1"/>
    </xf>
    <xf numFmtId="0" fontId="24" fillId="17" borderId="89" xfId="0" applyFont="1" applyFill="1" applyBorder="1" applyAlignment="1">
      <alignment horizontal="left" vertical="center" wrapText="1" indent="2"/>
    </xf>
    <xf numFmtId="0" fontId="222" fillId="39" borderId="242" xfId="0" applyFont="1" applyFill="1" applyBorder="1" applyAlignment="1">
      <alignment horizontal="left" vertical="center" wrapText="1" indent="1"/>
    </xf>
    <xf numFmtId="0" fontId="24" fillId="17" borderId="84" xfId="0" applyFont="1" applyFill="1" applyBorder="1" applyAlignment="1">
      <alignment horizontal="left" vertical="center" wrapText="1" indent="2"/>
    </xf>
    <xf numFmtId="0" fontId="54" fillId="39" borderId="484" xfId="16" applyFont="1" applyFill="1" applyBorder="1" applyAlignment="1">
      <alignment horizontal="center" vertical="center" wrapText="1"/>
    </xf>
    <xf numFmtId="0" fontId="106" fillId="0" borderId="424" xfId="16" applyFont="1" applyBorder="1" applyAlignment="1">
      <alignment horizontal="center" vertical="center" wrapText="1"/>
    </xf>
    <xf numFmtId="168" fontId="106" fillId="14" borderId="411" xfId="16" applyNumberFormat="1" applyFont="1" applyFill="1" applyBorder="1" applyAlignment="1">
      <alignment vertical="center"/>
    </xf>
    <xf numFmtId="0" fontId="39" fillId="14" borderId="162" xfId="16" applyFont="1" applyFill="1" applyBorder="1" applyAlignment="1">
      <alignment horizontal="center" vertical="center"/>
    </xf>
    <xf numFmtId="0" fontId="68" fillId="0" borderId="313" xfId="16" applyFont="1" applyBorder="1" applyAlignment="1">
      <alignment horizontal="center" vertical="center"/>
    </xf>
    <xf numFmtId="0" fontId="39" fillId="0" borderId="313" xfId="16" applyFont="1" applyBorder="1" applyAlignment="1">
      <alignment horizontal="center" vertical="center"/>
    </xf>
    <xf numFmtId="168" fontId="54" fillId="39" borderId="34" xfId="16" applyNumberFormat="1" applyFont="1" applyFill="1" applyBorder="1" applyAlignment="1">
      <alignment vertical="center"/>
    </xf>
    <xf numFmtId="168" fontId="54" fillId="14" borderId="34" xfId="16" applyNumberFormat="1" applyFont="1" applyFill="1" applyBorder="1" applyAlignment="1">
      <alignment vertical="center"/>
    </xf>
    <xf numFmtId="168" fontId="54" fillId="14" borderId="484" xfId="16" applyNumberFormat="1" applyFont="1" applyFill="1" applyBorder="1" applyAlignment="1">
      <alignment vertical="center"/>
    </xf>
    <xf numFmtId="0" fontId="24" fillId="39" borderId="37" xfId="16" applyFont="1" applyFill="1" applyBorder="1" applyAlignment="1">
      <alignment horizontal="center" vertical="center" wrapText="1"/>
    </xf>
    <xf numFmtId="39" fontId="54" fillId="39" borderId="37" xfId="16" applyNumberFormat="1" applyFont="1" applyFill="1" applyBorder="1" applyAlignment="1">
      <alignment horizontal="right" vertical="center" wrapText="1"/>
    </xf>
    <xf numFmtId="0" fontId="39" fillId="14" borderId="44" xfId="16" applyFont="1" applyFill="1" applyBorder="1" applyAlignment="1">
      <alignment horizontal="center" vertical="center"/>
    </xf>
    <xf numFmtId="39" fontId="220" fillId="14" borderId="44" xfId="16" applyNumberFormat="1" applyFont="1" applyFill="1" applyBorder="1" applyAlignment="1">
      <alignment horizontal="right" vertical="center" wrapText="1"/>
    </xf>
    <xf numFmtId="49" fontId="220" fillId="14" borderId="44" xfId="16" applyNumberFormat="1" applyFont="1" applyFill="1" applyBorder="1" applyAlignment="1">
      <alignment horizontal="center" vertical="center" wrapText="1"/>
    </xf>
    <xf numFmtId="4" fontId="32" fillId="0" borderId="344" xfId="16" applyNumberFormat="1" applyFont="1" applyAlignment="1">
      <alignment vertical="center"/>
    </xf>
    <xf numFmtId="168" fontId="34" fillId="0" borderId="178" xfId="16" applyNumberFormat="1" applyFont="1" applyBorder="1" applyAlignment="1">
      <alignment horizontal="right" vertical="center"/>
    </xf>
    <xf numFmtId="0" fontId="0" fillId="0" borderId="665" xfId="0" applyBorder="1" applyAlignment="1">
      <alignment vertical="center"/>
    </xf>
    <xf numFmtId="0" fontId="0" fillId="0" borderId="669" xfId="0" applyBorder="1" applyAlignment="1">
      <alignment vertical="center"/>
    </xf>
    <xf numFmtId="0" fontId="24" fillId="0" borderId="786" xfId="0" applyFont="1" applyBorder="1" applyAlignment="1">
      <alignment horizontal="left" vertical="center" wrapText="1" indent="1"/>
    </xf>
    <xf numFmtId="0" fontId="24" fillId="0" borderId="787" xfId="0" applyFont="1" applyBorder="1" applyAlignment="1">
      <alignment vertical="center" wrapText="1" indent="1"/>
    </xf>
    <xf numFmtId="0" fontId="24" fillId="0" borderId="787" xfId="0" applyFont="1" applyBorder="1" applyAlignment="1">
      <alignment horizontal="center" vertical="center" wrapText="1"/>
    </xf>
    <xf numFmtId="49" fontId="38" fillId="17" borderId="788" xfId="0" applyNumberFormat="1" applyFont="1" applyFill="1" applyBorder="1" applyAlignment="1">
      <alignment horizontal="left" vertical="center" wrapText="1" indent="1"/>
    </xf>
    <xf numFmtId="0" fontId="24" fillId="0" borderId="789" xfId="0" applyFont="1" applyBorder="1" applyAlignment="1">
      <alignment horizontal="left" vertical="center" wrapText="1" indent="1"/>
    </xf>
    <xf numFmtId="0" fontId="24" fillId="0" borderId="662" xfId="0" applyFont="1" applyBorder="1" applyAlignment="1">
      <alignment vertical="center" wrapText="1" indent="1"/>
    </xf>
    <xf numFmtId="49" fontId="38" fillId="17" borderId="790" xfId="0" applyNumberFormat="1" applyFont="1" applyFill="1" applyBorder="1" applyAlignment="1">
      <alignment horizontal="left" vertical="center" wrapText="1" indent="1"/>
    </xf>
    <xf numFmtId="0" fontId="38" fillId="0" borderId="789" xfId="0" applyFont="1" applyBorder="1" applyAlignment="1">
      <alignment horizontal="left" vertical="center" wrapText="1" indent="1"/>
    </xf>
    <xf numFmtId="0" fontId="38" fillId="0" borderId="662" xfId="0" applyFont="1" applyBorder="1" applyAlignment="1">
      <alignment horizontal="left" vertical="center" wrapText="1" indent="1"/>
    </xf>
    <xf numFmtId="0" fontId="24" fillId="0" borderId="791" xfId="0" applyFont="1" applyBorder="1" applyAlignment="1">
      <alignment horizontal="left" vertical="center" wrapText="1" indent="1"/>
    </xf>
    <xf numFmtId="0" fontId="24" fillId="0" borderId="738" xfId="0" applyFont="1" applyBorder="1" applyAlignment="1">
      <alignment vertical="center" wrapText="1" indent="1"/>
    </xf>
    <xf numFmtId="0" fontId="24" fillId="0" borderId="738" xfId="0" applyFont="1" applyBorder="1" applyAlignment="1">
      <alignment horizontal="center" vertical="center" wrapText="1"/>
    </xf>
    <xf numFmtId="49" fontId="38" fillId="17" borderId="792" xfId="0" applyNumberFormat="1" applyFont="1" applyFill="1" applyBorder="1" applyAlignment="1">
      <alignment horizontal="left" vertical="center" wrapText="1" indent="1"/>
    </xf>
    <xf numFmtId="0" fontId="38" fillId="0" borderId="786" xfId="0" applyFont="1" applyBorder="1" applyAlignment="1">
      <alignment horizontal="left" vertical="center" wrapText="1" indent="1"/>
    </xf>
    <xf numFmtId="0" fontId="24" fillId="0" borderId="787" xfId="0" applyFont="1" applyBorder="1" applyAlignment="1">
      <alignment horizontal="left" vertical="center" wrapText="1" indent="1"/>
    </xf>
    <xf numFmtId="49" fontId="38" fillId="17" borderId="787" xfId="0" applyNumberFormat="1" applyFont="1" applyFill="1" applyBorder="1" applyAlignment="1">
      <alignment horizontal="left" vertical="center" wrapText="1" indent="1"/>
    </xf>
    <xf numFmtId="0" fontId="24" fillId="17" borderId="787" xfId="0" applyFont="1" applyFill="1" applyBorder="1" applyAlignment="1">
      <alignment horizontal="center" vertical="center" wrapText="1"/>
    </xf>
    <xf numFmtId="49" fontId="14" fillId="0" borderId="787" xfId="0" applyNumberFormat="1" applyFont="1" applyBorder="1" applyAlignment="1">
      <alignment horizontal="center" vertical="center"/>
    </xf>
    <xf numFmtId="49" fontId="24" fillId="0" borderId="793" xfId="0" applyNumberFormat="1" applyFont="1" applyBorder="1" applyAlignment="1">
      <alignment horizontal="center" vertical="center"/>
    </xf>
    <xf numFmtId="49" fontId="38" fillId="0" borderId="662" xfId="0" applyNumberFormat="1" applyFont="1" applyBorder="1" applyAlignment="1">
      <alignment horizontal="left" vertical="center" wrapText="1" indent="1"/>
    </xf>
    <xf numFmtId="49" fontId="14" fillId="0" borderId="662" xfId="0" applyNumberFormat="1" applyFont="1" applyBorder="1" applyAlignment="1">
      <alignment horizontal="center" vertical="center"/>
    </xf>
    <xf numFmtId="49" fontId="24" fillId="0" borderId="794" xfId="0" applyNumberFormat="1" applyFont="1" applyBorder="1" applyAlignment="1">
      <alignment horizontal="center" vertical="center"/>
    </xf>
    <xf numFmtId="0" fontId="38" fillId="0" borderId="791" xfId="0" applyFont="1" applyBorder="1" applyAlignment="1">
      <alignment horizontal="left" vertical="center" wrapText="1" indent="1"/>
    </xf>
    <xf numFmtId="0" fontId="24" fillId="0" borderId="738" xfId="0" applyFont="1" applyBorder="1" applyAlignment="1">
      <alignment horizontal="left" vertical="center" wrapText="1" indent="1"/>
    </xf>
    <xf numFmtId="49" fontId="38" fillId="0" borderId="738" xfId="0" applyNumberFormat="1" applyFont="1" applyBorder="1" applyAlignment="1">
      <alignment horizontal="left" vertical="center" wrapText="1" indent="1"/>
    </xf>
    <xf numFmtId="49" fontId="14" fillId="0" borderId="738" xfId="0" applyNumberFormat="1" applyFont="1" applyBorder="1" applyAlignment="1">
      <alignment horizontal="center" vertical="center"/>
    </xf>
    <xf numFmtId="49" fontId="24" fillId="0" borderId="768" xfId="0" applyNumberFormat="1" applyFont="1" applyBorder="1" applyAlignment="1">
      <alignment horizontal="center" vertical="center"/>
    </xf>
    <xf numFmtId="0" fontId="0" fillId="0" borderId="676" xfId="0" applyBorder="1" applyAlignment="1">
      <alignment vertical="center"/>
    </xf>
    <xf numFmtId="0" fontId="0" fillId="0" borderId="674" xfId="0" applyBorder="1" applyAlignment="1">
      <alignment vertical="center"/>
    </xf>
    <xf numFmtId="0" fontId="0" fillId="0" borderId="673" xfId="0" applyBorder="1" applyAlignment="1">
      <alignment vertical="center"/>
    </xf>
    <xf numFmtId="0" fontId="0" fillId="0" borderId="663" xfId="0" applyBorder="1" applyAlignment="1">
      <alignment vertical="center"/>
    </xf>
    <xf numFmtId="0" fontId="0" fillId="0" borderId="662" xfId="0" applyBorder="1" applyAlignment="1">
      <alignment vertical="center"/>
    </xf>
    <xf numFmtId="0" fontId="0" fillId="0" borderId="761" xfId="0" applyBorder="1" applyAlignment="1">
      <alignment vertical="center"/>
    </xf>
    <xf numFmtId="0" fontId="24" fillId="0" borderId="795" xfId="0" applyFont="1" applyBorder="1" applyAlignment="1">
      <alignment horizontal="left" vertical="center" wrapText="1" indent="1"/>
    </xf>
    <xf numFmtId="0" fontId="24" fillId="0" borderId="796" xfId="0" applyFont="1" applyBorder="1" applyAlignment="1">
      <alignment horizontal="left" vertical="center" wrapText="1" indent="1"/>
    </xf>
    <xf numFmtId="0" fontId="24" fillId="0" borderId="796" xfId="0" applyFont="1" applyBorder="1" applyAlignment="1">
      <alignment horizontal="center" vertical="center" wrapText="1"/>
    </xf>
    <xf numFmtId="49" fontId="38" fillId="0" borderId="796" xfId="0" applyNumberFormat="1" applyFont="1" applyBorder="1" applyAlignment="1">
      <alignment horizontal="left" vertical="center" wrapText="1" indent="1"/>
    </xf>
    <xf numFmtId="49" fontId="24" fillId="0" borderId="797" xfId="0" applyNumberFormat="1" applyFont="1" applyBorder="1" applyAlignment="1">
      <alignment horizontal="center" vertical="center"/>
    </xf>
    <xf numFmtId="168" fontId="0" fillId="0" borderId="0" xfId="0" applyNumberFormat="1" applyAlignment="1">
      <alignment vertical="center"/>
    </xf>
    <xf numFmtId="0" fontId="152" fillId="0" borderId="799" xfId="0" applyFont="1" applyBorder="1" applyAlignment="1">
      <alignment horizontal="left" vertical="center" wrapText="1"/>
    </xf>
    <xf numFmtId="0" fontId="44" fillId="0" borderId="799" xfId="0" applyFont="1" applyBorder="1" applyAlignment="1">
      <alignment horizontal="center" vertical="center" wrapText="1"/>
    </xf>
    <xf numFmtId="49" fontId="152" fillId="0" borderId="799" xfId="0" applyNumberFormat="1" applyFont="1" applyBorder="1" applyAlignment="1">
      <alignment vertical="center"/>
    </xf>
    <xf numFmtId="49" fontId="44" fillId="4" borderId="799" xfId="0" applyNumberFormat="1" applyFont="1" applyFill="1" applyBorder="1" applyAlignment="1">
      <alignment horizontal="center" vertical="center"/>
    </xf>
    <xf numFmtId="49" fontId="44" fillId="0" borderId="799" xfId="0" applyNumberFormat="1" applyFont="1" applyBorder="1" applyAlignment="1">
      <alignment horizontal="center" vertical="center"/>
    </xf>
    <xf numFmtId="0" fontId="44" fillId="0" borderId="662" xfId="0" applyFont="1" applyBorder="1" applyAlignment="1">
      <alignment horizontal="left" vertical="center" wrapText="1"/>
    </xf>
    <xf numFmtId="0" fontId="44" fillId="0" borderId="662" xfId="0" applyFont="1" applyBorder="1" applyAlignment="1">
      <alignment horizontal="center" vertical="center" wrapText="1"/>
    </xf>
    <xf numFmtId="168" fontId="152" fillId="0" borderId="662" xfId="0" applyNumberFormat="1" applyFont="1" applyBorder="1" applyAlignment="1">
      <alignment vertical="center"/>
    </xf>
    <xf numFmtId="49" fontId="152" fillId="0" borderId="662" xfId="0" applyNumberFormat="1" applyFont="1" applyBorder="1" applyAlignment="1">
      <alignment vertical="center"/>
    </xf>
    <xf numFmtId="49" fontId="44" fillId="4" borderId="662" xfId="0" applyNumberFormat="1" applyFont="1" applyFill="1" applyBorder="1" applyAlignment="1">
      <alignment horizontal="center" vertical="center"/>
    </xf>
    <xf numFmtId="49" fontId="44" fillId="0" borderId="662" xfId="0" applyNumberFormat="1" applyFont="1" applyBorder="1" applyAlignment="1">
      <alignment horizontal="center" vertical="center"/>
    </xf>
    <xf numFmtId="0" fontId="120" fillId="4" borderId="662" xfId="0" applyFont="1" applyFill="1" applyBorder="1" applyAlignment="1">
      <alignment horizontal="center" vertical="center" wrapText="1"/>
    </xf>
    <xf numFmtId="0" fontId="120" fillId="0" borderId="662" xfId="0" applyFont="1" applyBorder="1" applyAlignment="1">
      <alignment horizontal="center" vertical="center" wrapText="1"/>
    </xf>
    <xf numFmtId="0" fontId="44" fillId="17" borderId="662" xfId="0" applyFont="1" applyFill="1" applyBorder="1" applyAlignment="1">
      <alignment horizontal="center" vertical="center"/>
    </xf>
    <xf numFmtId="0" fontId="44" fillId="17" borderId="662" xfId="0" applyFont="1" applyFill="1" applyBorder="1" applyAlignment="1">
      <alignment horizontal="center" vertical="center" wrapText="1"/>
    </xf>
    <xf numFmtId="168" fontId="152" fillId="17" borderId="662" xfId="0" applyNumberFormat="1" applyFont="1" applyFill="1" applyBorder="1" applyAlignment="1">
      <alignment vertical="center"/>
    </xf>
    <xf numFmtId="49" fontId="152" fillId="17" borderId="662" xfId="0" applyNumberFormat="1" applyFont="1" applyFill="1" applyBorder="1" applyAlignment="1">
      <alignment vertical="center"/>
    </xf>
    <xf numFmtId="49" fontId="44" fillId="17" borderId="662" xfId="0" applyNumberFormat="1" applyFont="1" applyFill="1" applyBorder="1" applyAlignment="1">
      <alignment horizontal="center" vertical="center"/>
    </xf>
    <xf numFmtId="49" fontId="152" fillId="17" borderId="662" xfId="0" applyNumberFormat="1" applyFont="1" applyFill="1" applyBorder="1" applyAlignment="1">
      <alignment horizontal="right" vertical="center"/>
    </xf>
    <xf numFmtId="0" fontId="44" fillId="17" borderId="799" xfId="0" applyFont="1" applyFill="1" applyBorder="1" applyAlignment="1">
      <alignment vertical="center" wrapText="1"/>
    </xf>
    <xf numFmtId="0" fontId="44" fillId="17" borderId="662" xfId="0" applyFont="1" applyFill="1" applyBorder="1" applyAlignment="1">
      <alignment vertical="center"/>
    </xf>
    <xf numFmtId="0" fontId="120" fillId="17" borderId="662" xfId="0" applyFont="1" applyFill="1" applyBorder="1" applyAlignment="1">
      <alignment horizontal="center" vertical="center" wrapText="1"/>
    </xf>
    <xf numFmtId="0" fontId="44" fillId="4" borderId="662" xfId="0" applyFont="1" applyFill="1" applyBorder="1" applyAlignment="1">
      <alignment horizontal="center" vertical="center" wrapText="1"/>
    </xf>
    <xf numFmtId="49" fontId="152" fillId="4" borderId="662" xfId="0" applyNumberFormat="1" applyFont="1" applyFill="1" applyBorder="1" applyAlignment="1">
      <alignment vertical="center"/>
    </xf>
    <xf numFmtId="0" fontId="152" fillId="0" borderId="737" xfId="0" applyFont="1" applyBorder="1" applyAlignment="1">
      <alignment horizontal="left" vertical="center" wrapText="1"/>
    </xf>
    <xf numFmtId="0" fontId="44" fillId="0" borderId="737" xfId="0" applyFont="1" applyBorder="1" applyAlignment="1">
      <alignment horizontal="center" vertical="center" wrapText="1"/>
    </xf>
    <xf numFmtId="49" fontId="152" fillId="0" borderId="737" xfId="0" applyNumberFormat="1" applyFont="1" applyBorder="1" applyAlignment="1">
      <alignment vertical="center"/>
    </xf>
    <xf numFmtId="0" fontId="44" fillId="17" borderId="737" xfId="0" applyFont="1" applyFill="1" applyBorder="1" applyAlignment="1">
      <alignment horizontal="center" vertical="center" wrapText="1"/>
    </xf>
    <xf numFmtId="49" fontId="152" fillId="17" borderId="799" xfId="0" applyNumberFormat="1" applyFont="1" applyFill="1" applyBorder="1" applyAlignment="1">
      <alignment horizontal="right" vertical="center"/>
    </xf>
    <xf numFmtId="0" fontId="44" fillId="17" borderId="799" xfId="0" applyFont="1" applyFill="1" applyBorder="1" applyAlignment="1">
      <alignment horizontal="center" vertical="center" wrapText="1"/>
    </xf>
    <xf numFmtId="49" fontId="44" fillId="0" borderId="662" xfId="0" applyNumberFormat="1" applyFont="1" applyBorder="1" applyAlignment="1">
      <alignment vertical="center"/>
    </xf>
    <xf numFmtId="49" fontId="44" fillId="17" borderId="662" xfId="0" applyNumberFormat="1" applyFont="1" applyFill="1" applyBorder="1" applyAlignment="1">
      <alignment vertical="center"/>
    </xf>
    <xf numFmtId="0" fontId="44" fillId="0" borderId="738" xfId="0" applyFont="1" applyBorder="1" applyAlignment="1">
      <alignment horizontal="left" vertical="center" wrapText="1"/>
    </xf>
    <xf numFmtId="0" fontId="44" fillId="0" borderId="738" xfId="0" applyFont="1" applyBorder="1" applyAlignment="1">
      <alignment horizontal="center" vertical="center" wrapText="1"/>
    </xf>
    <xf numFmtId="49" fontId="152" fillId="0" borderId="738" xfId="0" applyNumberFormat="1" applyFont="1" applyBorder="1" applyAlignment="1">
      <alignment vertical="center"/>
    </xf>
    <xf numFmtId="49" fontId="44" fillId="0" borderId="738" xfId="0" applyNumberFormat="1" applyFont="1" applyBorder="1" applyAlignment="1">
      <alignment horizontal="center" vertical="center"/>
    </xf>
    <xf numFmtId="0" fontId="44" fillId="4" borderId="738" xfId="0" applyFont="1" applyFill="1" applyBorder="1" applyAlignment="1">
      <alignment horizontal="center" vertical="center" wrapText="1"/>
    </xf>
    <xf numFmtId="49" fontId="152" fillId="4" borderId="738" xfId="0" applyNumberFormat="1" applyFont="1" applyFill="1" applyBorder="1" applyAlignment="1">
      <alignment vertical="center"/>
    </xf>
    <xf numFmtId="49" fontId="44" fillId="4" borderId="738" xfId="0" applyNumberFormat="1" applyFont="1" applyFill="1" applyBorder="1" applyAlignment="1">
      <alignment horizontal="center" vertical="center"/>
    </xf>
    <xf numFmtId="0" fontId="120" fillId="4" borderId="737" xfId="0" applyFont="1" applyFill="1" applyBorder="1" applyAlignment="1">
      <alignment horizontal="center" vertical="center" wrapText="1"/>
    </xf>
    <xf numFmtId="0" fontId="120" fillId="0" borderId="737" xfId="0" applyFont="1" applyBorder="1" applyAlignment="1">
      <alignment horizontal="center" vertical="center" wrapText="1"/>
    </xf>
    <xf numFmtId="0" fontId="44" fillId="17" borderId="738" xfId="0" applyFont="1" applyFill="1" applyBorder="1" applyAlignment="1">
      <alignment horizontal="center" vertical="center" wrapText="1"/>
    </xf>
    <xf numFmtId="49" fontId="152" fillId="17" borderId="738" xfId="0" applyNumberFormat="1" applyFont="1" applyFill="1" applyBorder="1" applyAlignment="1">
      <alignment vertical="center"/>
    </xf>
    <xf numFmtId="0" fontId="44" fillId="0" borderId="770" xfId="0" applyFont="1" applyBorder="1" applyAlignment="1">
      <alignment horizontal="left" vertical="center" wrapText="1"/>
    </xf>
    <xf numFmtId="0" fontId="44" fillId="0" borderId="770" xfId="0" applyFont="1" applyBorder="1" applyAlignment="1">
      <alignment horizontal="center" vertical="center" wrapText="1"/>
    </xf>
    <xf numFmtId="168" fontId="152" fillId="0" borderId="770" xfId="0" applyNumberFormat="1" applyFont="1" applyBorder="1" applyAlignment="1">
      <alignment vertical="center"/>
    </xf>
    <xf numFmtId="49" fontId="152" fillId="0" borderId="770" xfId="0" applyNumberFormat="1" applyFont="1" applyBorder="1" applyAlignment="1">
      <alignment vertical="center"/>
    </xf>
    <xf numFmtId="49" fontId="44" fillId="4" borderId="770" xfId="0" applyNumberFormat="1" applyFont="1" applyFill="1" applyBorder="1" applyAlignment="1">
      <alignment horizontal="center" vertical="center"/>
    </xf>
    <xf numFmtId="49" fontId="44" fillId="0" borderId="770" xfId="0" applyNumberFormat="1" applyFont="1" applyBorder="1" applyAlignment="1">
      <alignment horizontal="center" vertical="center"/>
    </xf>
    <xf numFmtId="0" fontId="152" fillId="0" borderId="674" xfId="0" applyFont="1" applyBorder="1" applyAlignment="1">
      <alignment horizontal="left" vertical="center" wrapText="1"/>
    </xf>
    <xf numFmtId="0" fontId="44" fillId="0" borderId="674" xfId="0" applyFont="1" applyBorder="1" applyAlignment="1">
      <alignment horizontal="center" vertical="center" wrapText="1"/>
    </xf>
    <xf numFmtId="49" fontId="152" fillId="17" borderId="674" xfId="0" applyNumberFormat="1" applyFont="1" applyFill="1" applyBorder="1" applyAlignment="1">
      <alignment vertical="center"/>
    </xf>
    <xf numFmtId="0" fontId="44" fillId="17" borderId="674" xfId="0" applyFont="1" applyFill="1" applyBorder="1" applyAlignment="1">
      <alignment horizontal="center" vertical="center" wrapText="1"/>
    </xf>
    <xf numFmtId="49" fontId="44" fillId="17" borderId="674" xfId="0" applyNumberFormat="1" applyFont="1" applyFill="1" applyBorder="1" applyAlignment="1">
      <alignment horizontal="center" vertical="center"/>
    </xf>
    <xf numFmtId="49" fontId="44" fillId="0" borderId="674" xfId="0" applyNumberFormat="1" applyFont="1" applyBorder="1" applyAlignment="1">
      <alignment horizontal="center" vertical="center"/>
    </xf>
    <xf numFmtId="49" fontId="152" fillId="17" borderId="737" xfId="0" applyNumberFormat="1" applyFont="1" applyFill="1" applyBorder="1" applyAlignment="1">
      <alignment vertical="center"/>
    </xf>
    <xf numFmtId="49" fontId="44" fillId="17" borderId="737" xfId="0" applyNumberFormat="1" applyFont="1" applyFill="1" applyBorder="1" applyAlignment="1">
      <alignment horizontal="center" vertical="center"/>
    </xf>
    <xf numFmtId="49" fontId="44" fillId="0" borderId="737" xfId="0" applyNumberFormat="1" applyFont="1" applyBorder="1" applyAlignment="1">
      <alignment horizontal="center" vertical="center"/>
    </xf>
    <xf numFmtId="49" fontId="44" fillId="17" borderId="738" xfId="0" applyNumberFormat="1" applyFont="1" applyFill="1" applyBorder="1" applyAlignment="1">
      <alignment horizontal="center" vertical="center"/>
    </xf>
    <xf numFmtId="0" fontId="44" fillId="17" borderId="770" xfId="0" applyFont="1" applyFill="1" applyBorder="1" applyAlignment="1">
      <alignment horizontal="center" vertical="center" wrapText="1"/>
    </xf>
    <xf numFmtId="49" fontId="152" fillId="17" borderId="770" xfId="0" applyNumberFormat="1" applyFont="1" applyFill="1" applyBorder="1" applyAlignment="1">
      <alignment vertical="center"/>
    </xf>
    <xf numFmtId="49" fontId="44" fillId="17" borderId="770" xfId="0" applyNumberFormat="1" applyFont="1" applyFill="1" applyBorder="1" applyAlignment="1">
      <alignment horizontal="center" vertical="center"/>
    </xf>
    <xf numFmtId="168" fontId="152" fillId="17" borderId="674" xfId="0" applyNumberFormat="1" applyFont="1" applyFill="1" applyBorder="1" applyAlignment="1">
      <alignment vertical="center"/>
    </xf>
    <xf numFmtId="49" fontId="152" fillId="0" borderId="674" xfId="0" applyNumberFormat="1" applyFont="1" applyBorder="1" applyAlignment="1">
      <alignment vertical="center"/>
    </xf>
    <xf numFmtId="0" fontId="120" fillId="0" borderId="674" xfId="0" applyFont="1" applyBorder="1" applyAlignment="1">
      <alignment horizontal="center" vertical="center" wrapText="1"/>
    </xf>
    <xf numFmtId="0" fontId="120" fillId="17" borderId="737" xfId="0" applyFont="1" applyFill="1" applyBorder="1" applyAlignment="1">
      <alignment horizontal="center" vertical="center" wrapText="1"/>
    </xf>
    <xf numFmtId="0" fontId="120" fillId="17" borderId="738" xfId="0" applyFont="1" applyFill="1" applyBorder="1" applyAlignment="1">
      <alignment horizontal="center" vertical="center" wrapText="1"/>
    </xf>
    <xf numFmtId="0" fontId="120" fillId="4" borderId="674" xfId="0" applyFont="1" applyFill="1" applyBorder="1" applyAlignment="1">
      <alignment horizontal="center" vertical="center" wrapText="1"/>
    </xf>
    <xf numFmtId="0" fontId="44" fillId="4" borderId="674" xfId="0" applyFont="1" applyFill="1" applyBorder="1" applyAlignment="1">
      <alignment horizontal="center" vertical="center" wrapText="1"/>
    </xf>
    <xf numFmtId="49" fontId="44" fillId="4" borderId="674" xfId="0" applyNumberFormat="1" applyFont="1" applyFill="1" applyBorder="1" applyAlignment="1">
      <alignment horizontal="center" vertical="center"/>
    </xf>
    <xf numFmtId="0" fontId="44" fillId="4" borderId="737" xfId="0" applyFont="1" applyFill="1" applyBorder="1" applyAlignment="1">
      <alignment horizontal="center" vertical="center" wrapText="1"/>
    </xf>
    <xf numFmtId="49" fontId="44" fillId="4" borderId="737" xfId="0" applyNumberFormat="1" applyFont="1" applyFill="1" applyBorder="1" applyAlignment="1">
      <alignment horizontal="center" vertical="center"/>
    </xf>
    <xf numFmtId="0" fontId="44" fillId="4" borderId="770" xfId="0" applyFont="1" applyFill="1" applyBorder="1" applyAlignment="1">
      <alignment horizontal="center" vertical="center" wrapText="1"/>
    </xf>
    <xf numFmtId="49" fontId="152" fillId="4" borderId="770" xfId="0" applyNumberFormat="1" applyFont="1" applyFill="1" applyBorder="1" applyAlignment="1">
      <alignment vertical="center"/>
    </xf>
    <xf numFmtId="0" fontId="44" fillId="0" borderId="737" xfId="0" applyFont="1" applyBorder="1" applyAlignment="1">
      <alignment vertical="center" wrapText="1"/>
    </xf>
    <xf numFmtId="49" fontId="44" fillId="0" borderId="738" xfId="0" applyNumberFormat="1" applyFont="1" applyBorder="1" applyAlignment="1">
      <alignment vertical="center"/>
    </xf>
    <xf numFmtId="0" fontId="44" fillId="17" borderId="738" xfId="0" applyFont="1" applyFill="1" applyBorder="1" applyAlignment="1">
      <alignment vertical="center"/>
    </xf>
    <xf numFmtId="0" fontId="152" fillId="0" borderId="674" xfId="0" applyFont="1" applyBorder="1" applyAlignment="1">
      <alignment horizontal="center" vertical="center" wrapText="1"/>
    </xf>
    <xf numFmtId="49" fontId="44" fillId="17" borderId="674" xfId="0" applyNumberFormat="1" applyFont="1" applyFill="1" applyBorder="1" applyAlignment="1">
      <alignment vertical="center"/>
    </xf>
    <xf numFmtId="49" fontId="44" fillId="0" borderId="770" xfId="0" applyNumberFormat="1" applyFont="1" applyBorder="1" applyAlignment="1">
      <alignment vertical="center"/>
    </xf>
    <xf numFmtId="0" fontId="44" fillId="0" borderId="817" xfId="0" applyFont="1" applyBorder="1" applyAlignment="1">
      <alignment horizontal="center" vertical="center" wrapText="1"/>
    </xf>
    <xf numFmtId="49" fontId="152" fillId="0" borderId="817" xfId="0" applyNumberFormat="1" applyFont="1" applyBorder="1" applyAlignment="1">
      <alignment vertical="center"/>
    </xf>
    <xf numFmtId="49" fontId="44" fillId="0" borderId="817" xfId="0" applyNumberFormat="1" applyFont="1" applyBorder="1" applyAlignment="1">
      <alignment horizontal="center" vertical="center"/>
    </xf>
    <xf numFmtId="168" fontId="14" fillId="0" borderId="344" xfId="0" applyNumberFormat="1" applyFont="1" applyBorder="1" applyAlignment="1">
      <alignment vertical="center"/>
    </xf>
    <xf numFmtId="0" fontId="38" fillId="0" borderId="674" xfId="0" applyFont="1" applyBorder="1" applyAlignment="1">
      <alignment horizontal="center" vertical="center"/>
    </xf>
    <xf numFmtId="0" fontId="24" fillId="0" borderId="674" xfId="0" applyFont="1" applyBorder="1" applyAlignment="1">
      <alignment horizontal="center" vertical="center" wrapText="1"/>
    </xf>
    <xf numFmtId="49" fontId="38" fillId="0" borderId="674" xfId="0" applyNumberFormat="1" applyFont="1" applyBorder="1" applyAlignment="1">
      <alignment vertical="center"/>
    </xf>
    <xf numFmtId="49" fontId="24" fillId="0" borderId="674" xfId="0" applyNumberFormat="1" applyFont="1" applyBorder="1" applyAlignment="1">
      <alignment horizontal="center" vertical="center"/>
    </xf>
    <xf numFmtId="0" fontId="24" fillId="0" borderId="662" xfId="0" applyFont="1" applyBorder="1" applyAlignment="1">
      <alignment horizontal="center" vertical="center"/>
    </xf>
    <xf numFmtId="2" fontId="24" fillId="0" borderId="662" xfId="0" applyNumberFormat="1" applyFont="1" applyBorder="1" applyAlignment="1">
      <alignment horizontal="center" vertical="center" wrapText="1"/>
    </xf>
    <xf numFmtId="168" fontId="38" fillId="0" borderId="662" xfId="0" applyNumberFormat="1" applyFont="1" applyBorder="1" applyAlignment="1">
      <alignment vertical="center"/>
    </xf>
    <xf numFmtId="49" fontId="38" fillId="0" borderId="662" xfId="0" applyNumberFormat="1" applyFont="1" applyBorder="1" applyAlignment="1">
      <alignment horizontal="center" vertical="center"/>
    </xf>
    <xf numFmtId="49" fontId="38" fillId="0" borderId="662" xfId="0" applyNumberFormat="1" applyFont="1" applyBorder="1" applyAlignment="1">
      <alignment vertical="center"/>
    </xf>
    <xf numFmtId="49" fontId="24" fillId="0" borderId="662" xfId="0" applyNumberFormat="1" applyFont="1" applyBorder="1" applyAlignment="1">
      <alignment horizontal="center" vertical="center"/>
    </xf>
    <xf numFmtId="0" fontId="38" fillId="0" borderId="662" xfId="0" applyFont="1" applyBorder="1" applyAlignment="1">
      <alignment horizontal="center" vertical="center"/>
    </xf>
    <xf numFmtId="0" fontId="14" fillId="0" borderId="662" xfId="0" applyFont="1" applyBorder="1" applyAlignment="1">
      <alignment horizontal="center" vertical="center" wrapText="1"/>
    </xf>
    <xf numFmtId="0" fontId="38" fillId="0" borderId="662" xfId="0" applyFont="1" applyBorder="1" applyAlignment="1">
      <alignment horizontal="center" vertical="center" wrapText="1"/>
    </xf>
    <xf numFmtId="0" fontId="24" fillId="39" borderId="662" xfId="0" applyFont="1" applyFill="1" applyBorder="1" applyAlignment="1">
      <alignment horizontal="center" vertical="center" wrapText="1"/>
    </xf>
    <xf numFmtId="0" fontId="14" fillId="39" borderId="662" xfId="0" applyFont="1" applyFill="1" applyBorder="1" applyAlignment="1">
      <alignment horizontal="center" vertical="center" wrapText="1"/>
    </xf>
    <xf numFmtId="49" fontId="222" fillId="0" borderId="662" xfId="0" applyNumberFormat="1" applyFont="1" applyBorder="1" applyAlignment="1">
      <alignment horizontal="center" vertical="center"/>
    </xf>
    <xf numFmtId="2" fontId="14" fillId="39" borderId="662" xfId="0" applyNumberFormat="1" applyFont="1" applyFill="1" applyBorder="1" applyAlignment="1">
      <alignment horizontal="center" vertical="center" wrapText="1"/>
    </xf>
    <xf numFmtId="168" fontId="38" fillId="0" borderId="662" xfId="0" applyNumberFormat="1" applyFont="1" applyBorder="1" applyAlignment="1">
      <alignment horizontal="center" vertical="center"/>
    </xf>
    <xf numFmtId="49" fontId="24" fillId="4" borderId="662" xfId="0" applyNumberFormat="1" applyFont="1" applyFill="1" applyBorder="1" applyAlignment="1">
      <alignment horizontal="center" vertical="center"/>
    </xf>
    <xf numFmtId="0" fontId="222" fillId="0" borderId="662" xfId="0" applyFont="1" applyBorder="1" applyAlignment="1">
      <alignment horizontal="center" vertical="center" wrapText="1"/>
    </xf>
    <xf numFmtId="49" fontId="221" fillId="0" borderId="662" xfId="0" applyNumberFormat="1" applyFont="1" applyBorder="1" applyAlignment="1">
      <alignment vertical="center"/>
    </xf>
    <xf numFmtId="0" fontId="24" fillId="4" borderId="662" xfId="0" applyFont="1" applyFill="1" applyBorder="1" applyAlignment="1">
      <alignment horizontal="center" vertical="center" wrapText="1"/>
    </xf>
    <xf numFmtId="49" fontId="38" fillId="4" borderId="662" xfId="0" applyNumberFormat="1" applyFont="1" applyFill="1" applyBorder="1" applyAlignment="1">
      <alignment vertical="center"/>
    </xf>
    <xf numFmtId="168" fontId="38" fillId="4" borderId="662" xfId="0" applyNumberFormat="1" applyFont="1" applyFill="1" applyBorder="1" applyAlignment="1">
      <alignment vertical="center"/>
    </xf>
    <xf numFmtId="168" fontId="38" fillId="0" borderId="799" xfId="0" applyNumberFormat="1" applyFont="1" applyBorder="1" applyAlignment="1">
      <alignment vertical="center"/>
    </xf>
    <xf numFmtId="49" fontId="38" fillId="0" borderId="799" xfId="0" applyNumberFormat="1" applyFont="1" applyBorder="1" applyAlignment="1">
      <alignment vertical="center"/>
    </xf>
    <xf numFmtId="0" fontId="24" fillId="0" borderId="799" xfId="0" applyFont="1" applyBorder="1" applyAlignment="1">
      <alignment horizontal="center" vertical="center" wrapText="1"/>
    </xf>
    <xf numFmtId="49" fontId="24" fillId="0" borderId="799" xfId="0" applyNumberFormat="1" applyFont="1" applyBorder="1" applyAlignment="1">
      <alignment horizontal="center" vertical="center"/>
    </xf>
    <xf numFmtId="0" fontId="24" fillId="17" borderId="662" xfId="0" applyFont="1" applyFill="1" applyBorder="1" applyAlignment="1">
      <alignment horizontal="left" vertical="center" wrapText="1"/>
    </xf>
    <xf numFmtId="168" fontId="24" fillId="17" borderId="662" xfId="0" applyNumberFormat="1" applyFont="1" applyFill="1" applyBorder="1" applyAlignment="1">
      <alignment vertical="center"/>
    </xf>
    <xf numFmtId="0" fontId="38" fillId="17" borderId="662" xfId="0" applyFont="1" applyFill="1" applyBorder="1" applyAlignment="1">
      <alignment horizontal="center" vertical="center"/>
    </xf>
    <xf numFmtId="0" fontId="14" fillId="17" borderId="662" xfId="0" applyFont="1" applyFill="1" applyBorder="1" applyAlignment="1">
      <alignment horizontal="center" vertical="center" wrapText="1"/>
    </xf>
    <xf numFmtId="0" fontId="38" fillId="4" borderId="662" xfId="0" applyFont="1" applyFill="1" applyBorder="1" applyAlignment="1">
      <alignment horizontal="center" vertical="center"/>
    </xf>
    <xf numFmtId="0" fontId="23" fillId="0" borderId="662" xfId="0" applyFont="1" applyBorder="1" applyAlignment="1">
      <alignment horizontal="center" vertical="center" wrapText="1"/>
    </xf>
    <xf numFmtId="49" fontId="24" fillId="0" borderId="799" xfId="0" applyNumberFormat="1" applyFont="1" applyBorder="1" applyAlignment="1">
      <alignment vertical="center"/>
    </xf>
    <xf numFmtId="49" fontId="24" fillId="0" borderId="662" xfId="0" applyNumberFormat="1" applyFont="1" applyBorder="1" applyAlignment="1">
      <alignment vertical="center"/>
    </xf>
    <xf numFmtId="49" fontId="38" fillId="17" borderId="799" xfId="0" applyNumberFormat="1" applyFont="1" applyFill="1" applyBorder="1" applyAlignment="1">
      <alignment vertical="center"/>
    </xf>
    <xf numFmtId="0" fontId="24" fillId="17" borderId="799" xfId="0" applyFont="1" applyFill="1" applyBorder="1" applyAlignment="1">
      <alignment horizontal="center" vertical="center" wrapText="1"/>
    </xf>
    <xf numFmtId="49" fontId="24" fillId="17" borderId="799" xfId="0" applyNumberFormat="1" applyFont="1" applyFill="1" applyBorder="1" applyAlignment="1">
      <alignment horizontal="center" vertical="center"/>
    </xf>
    <xf numFmtId="168" fontId="24" fillId="39" borderId="662" xfId="0" applyNumberFormat="1" applyFont="1" applyFill="1" applyBorder="1" applyAlignment="1">
      <alignment horizontal="center" vertical="center" wrapText="1"/>
    </xf>
    <xf numFmtId="0" fontId="23" fillId="17" borderId="662" xfId="0" applyFont="1" applyFill="1" applyBorder="1" applyAlignment="1">
      <alignment horizontal="center" vertical="center" wrapText="1"/>
    </xf>
    <xf numFmtId="0" fontId="70" fillId="0" borderId="662" xfId="0" applyFont="1" applyBorder="1" applyAlignment="1">
      <alignment horizontal="center" vertical="center"/>
    </xf>
    <xf numFmtId="49" fontId="24" fillId="17" borderId="662" xfId="0" applyNumberFormat="1" applyFont="1" applyFill="1" applyBorder="1" applyAlignment="1">
      <alignment horizontal="center" vertical="center" wrapText="1"/>
    </xf>
    <xf numFmtId="0" fontId="24" fillId="17" borderId="662" xfId="0" applyFont="1" applyFill="1" applyBorder="1" applyAlignment="1">
      <alignment vertical="center"/>
    </xf>
    <xf numFmtId="0" fontId="24" fillId="4" borderId="738" xfId="0" applyFont="1" applyFill="1" applyBorder="1" applyAlignment="1">
      <alignment horizontal="center" vertical="center" wrapText="1"/>
    </xf>
    <xf numFmtId="49" fontId="38" fillId="4" borderId="738" xfId="0" applyNumberFormat="1" applyFont="1" applyFill="1" applyBorder="1" applyAlignment="1">
      <alignment horizontal="center" vertical="center"/>
    </xf>
    <xf numFmtId="49" fontId="38" fillId="4" borderId="738" xfId="0" applyNumberFormat="1" applyFont="1" applyFill="1" applyBorder="1" applyAlignment="1">
      <alignment vertical="center"/>
    </xf>
    <xf numFmtId="49" fontId="24" fillId="4" borderId="738" xfId="0" applyNumberFormat="1" applyFont="1" applyFill="1" applyBorder="1" applyAlignment="1">
      <alignment horizontal="center" vertical="center"/>
    </xf>
    <xf numFmtId="0" fontId="38" fillId="4" borderId="738" xfId="0" applyFont="1" applyFill="1" applyBorder="1" applyAlignment="1">
      <alignment horizontal="center" vertical="center"/>
    </xf>
    <xf numFmtId="49" fontId="38" fillId="0" borderId="738" xfId="0" applyNumberFormat="1" applyFont="1" applyBorder="1" applyAlignment="1">
      <alignment vertical="center"/>
    </xf>
    <xf numFmtId="49" fontId="24" fillId="0" borderId="738" xfId="0" applyNumberFormat="1" applyFont="1" applyBorder="1" applyAlignment="1">
      <alignment horizontal="center" vertical="center"/>
    </xf>
    <xf numFmtId="0" fontId="38" fillId="0" borderId="737" xfId="0" applyFont="1" applyBorder="1" applyAlignment="1">
      <alignment horizontal="center" vertical="center"/>
    </xf>
    <xf numFmtId="0" fontId="24" fillId="0" borderId="737" xfId="0" applyFont="1" applyBorder="1" applyAlignment="1">
      <alignment horizontal="center" vertical="center" wrapText="1"/>
    </xf>
    <xf numFmtId="49" fontId="24" fillId="17" borderId="737" xfId="0" applyNumberFormat="1" applyFont="1" applyFill="1" applyBorder="1" applyAlignment="1">
      <alignment horizontal="center" vertical="center"/>
    </xf>
    <xf numFmtId="0" fontId="24" fillId="39" borderId="738" xfId="0" applyFont="1" applyFill="1" applyBorder="1" applyAlignment="1">
      <alignment horizontal="center" vertical="center" wrapText="1"/>
    </xf>
    <xf numFmtId="49" fontId="38" fillId="0" borderId="738" xfId="0" applyNumberFormat="1" applyFont="1" applyBorder="1" applyAlignment="1">
      <alignment horizontal="center" vertical="center"/>
    </xf>
    <xf numFmtId="49" fontId="24" fillId="17" borderId="738" xfId="0" applyNumberFormat="1" applyFont="1" applyFill="1" applyBorder="1" applyAlignment="1">
      <alignment horizontal="center" vertical="center"/>
    </xf>
    <xf numFmtId="0" fontId="24" fillId="0" borderId="770" xfId="0" applyFont="1" applyBorder="1" applyAlignment="1">
      <alignment horizontal="center" vertical="center" wrapText="1"/>
    </xf>
    <xf numFmtId="2" fontId="24" fillId="0" borderId="770" xfId="0" applyNumberFormat="1" applyFont="1" applyBorder="1" applyAlignment="1">
      <alignment horizontal="center" vertical="center" wrapText="1"/>
    </xf>
    <xf numFmtId="49" fontId="38" fillId="0" borderId="770" xfId="0" applyNumberFormat="1" applyFont="1" applyBorder="1" applyAlignment="1">
      <alignment horizontal="center" vertical="center"/>
    </xf>
    <xf numFmtId="49" fontId="38" fillId="0" borderId="770" xfId="0" applyNumberFormat="1" applyFont="1" applyBorder="1" applyAlignment="1">
      <alignment vertical="center"/>
    </xf>
    <xf numFmtId="49" fontId="24" fillId="0" borderId="770" xfId="0" applyNumberFormat="1" applyFont="1" applyBorder="1" applyAlignment="1">
      <alignment horizontal="center" vertical="center"/>
    </xf>
    <xf numFmtId="0" fontId="38" fillId="0" borderId="674" xfId="0" applyFont="1" applyBorder="1" applyAlignment="1">
      <alignment horizontal="center" vertical="center" wrapText="1"/>
    </xf>
    <xf numFmtId="49" fontId="38" fillId="17" borderId="674" xfId="0" applyNumberFormat="1" applyFont="1" applyFill="1" applyBorder="1" applyAlignment="1">
      <alignment vertical="center"/>
    </xf>
    <xf numFmtId="0" fontId="24" fillId="17" borderId="674" xfId="0" applyFont="1" applyFill="1" applyBorder="1" applyAlignment="1">
      <alignment horizontal="center" vertical="center" wrapText="1"/>
    </xf>
    <xf numFmtId="49" fontId="24" fillId="17" borderId="674" xfId="0" applyNumberFormat="1" applyFont="1" applyFill="1" applyBorder="1" applyAlignment="1">
      <alignment horizontal="center" vertical="center"/>
    </xf>
    <xf numFmtId="49" fontId="38" fillId="0" borderId="737" xfId="0" applyNumberFormat="1" applyFont="1" applyBorder="1" applyAlignment="1">
      <alignment vertical="center"/>
    </xf>
    <xf numFmtId="49" fontId="24" fillId="0" borderId="737" xfId="0" applyNumberFormat="1" applyFont="1" applyBorder="1" applyAlignment="1">
      <alignment horizontal="center" vertical="center"/>
    </xf>
    <xf numFmtId="0" fontId="38" fillId="0" borderId="770" xfId="0" applyFont="1" applyBorder="1" applyAlignment="1">
      <alignment horizontal="center" vertical="center"/>
    </xf>
    <xf numFmtId="49" fontId="38" fillId="17" borderId="770" xfId="0" applyNumberFormat="1" applyFont="1" applyFill="1" applyBorder="1" applyAlignment="1">
      <alignment vertical="center"/>
    </xf>
    <xf numFmtId="0" fontId="24" fillId="17" borderId="770" xfId="0" applyFont="1" applyFill="1" applyBorder="1" applyAlignment="1">
      <alignment horizontal="center" vertical="center" wrapText="1"/>
    </xf>
    <xf numFmtId="49" fontId="24" fillId="4" borderId="770" xfId="0" applyNumberFormat="1" applyFont="1" applyFill="1" applyBorder="1" applyAlignment="1">
      <alignment horizontal="center" vertical="center"/>
    </xf>
    <xf numFmtId="0" fontId="24" fillId="4" borderId="674" xfId="0" applyFont="1" applyFill="1" applyBorder="1" applyAlignment="1">
      <alignment horizontal="center" vertical="center" wrapText="1"/>
    </xf>
    <xf numFmtId="49" fontId="24" fillId="4" borderId="674" xfId="0" applyNumberFormat="1" applyFont="1" applyFill="1" applyBorder="1" applyAlignment="1">
      <alignment horizontal="center" vertical="center"/>
    </xf>
    <xf numFmtId="0" fontId="24" fillId="4" borderId="737" xfId="0" applyFont="1" applyFill="1" applyBorder="1" applyAlignment="1">
      <alignment horizontal="center" vertical="center" wrapText="1"/>
    </xf>
    <xf numFmtId="49" fontId="24" fillId="4" borderId="737" xfId="0" applyNumberFormat="1" applyFont="1" applyFill="1" applyBorder="1" applyAlignment="1">
      <alignment horizontal="center" vertical="center"/>
    </xf>
    <xf numFmtId="0" fontId="222" fillId="0" borderId="738" xfId="0" applyFont="1" applyBorder="1" applyAlignment="1">
      <alignment horizontal="center" vertical="center" wrapText="1"/>
    </xf>
    <xf numFmtId="49" fontId="70" fillId="4" borderId="738" xfId="0" applyNumberFormat="1" applyFont="1" applyFill="1" applyBorder="1" applyAlignment="1">
      <alignment horizontal="center" vertical="center"/>
    </xf>
    <xf numFmtId="49" fontId="38" fillId="4" borderId="674" xfId="0" applyNumberFormat="1" applyFont="1" applyFill="1" applyBorder="1" applyAlignment="1">
      <alignment vertical="center"/>
    </xf>
    <xf numFmtId="0" fontId="38" fillId="17" borderId="737" xfId="0" applyFont="1" applyFill="1" applyBorder="1" applyAlignment="1">
      <alignment horizontal="center" vertical="center"/>
    </xf>
    <xf numFmtId="0" fontId="38" fillId="17" borderId="738" xfId="0" applyFont="1" applyFill="1" applyBorder="1" applyAlignment="1">
      <alignment horizontal="center" vertical="center"/>
    </xf>
    <xf numFmtId="168" fontId="24" fillId="17" borderId="738" xfId="0" applyNumberFormat="1" applyFont="1" applyFill="1" applyBorder="1" applyAlignment="1">
      <alignment vertical="center"/>
    </xf>
    <xf numFmtId="0" fontId="38" fillId="0" borderId="738" xfId="0" applyFont="1" applyBorder="1" applyAlignment="1">
      <alignment horizontal="center" vertical="center"/>
    </xf>
    <xf numFmtId="0" fontId="24" fillId="17" borderId="770" xfId="0" applyFont="1" applyFill="1" applyBorder="1" applyAlignment="1">
      <alignment horizontal="left" vertical="center" wrapText="1"/>
    </xf>
    <xf numFmtId="168" fontId="24" fillId="17" borderId="770" xfId="0" applyNumberFormat="1" applyFont="1" applyFill="1" applyBorder="1" applyAlignment="1">
      <alignment vertical="center"/>
    </xf>
    <xf numFmtId="0" fontId="38" fillId="17" borderId="674" xfId="0" applyFont="1" applyFill="1" applyBorder="1" applyAlignment="1">
      <alignment horizontal="center" vertical="center"/>
    </xf>
    <xf numFmtId="168" fontId="24" fillId="17" borderId="737" xfId="0" applyNumberFormat="1" applyFont="1" applyFill="1" applyBorder="1" applyAlignment="1">
      <alignment vertical="center"/>
    </xf>
    <xf numFmtId="0" fontId="38" fillId="17" borderId="770" xfId="0" applyFont="1" applyFill="1" applyBorder="1" applyAlignment="1">
      <alignment horizontal="center" vertical="center"/>
    </xf>
    <xf numFmtId="0" fontId="38" fillId="4" borderId="674" xfId="0" applyFont="1" applyFill="1" applyBorder="1" applyAlignment="1">
      <alignment horizontal="center" vertical="center"/>
    </xf>
    <xf numFmtId="0" fontId="23" fillId="0" borderId="737" xfId="0" applyFont="1" applyBorder="1" applyAlignment="1">
      <alignment horizontal="center" vertical="center" wrapText="1"/>
    </xf>
    <xf numFmtId="0" fontId="24" fillId="4" borderId="770" xfId="0" applyFont="1" applyFill="1" applyBorder="1" applyAlignment="1">
      <alignment horizontal="center" vertical="center" wrapText="1"/>
    </xf>
    <xf numFmtId="49" fontId="38" fillId="4" borderId="770" xfId="0" applyNumberFormat="1" applyFont="1" applyFill="1" applyBorder="1" applyAlignment="1">
      <alignment vertical="center"/>
    </xf>
    <xf numFmtId="0" fontId="23" fillId="0" borderId="674" xfId="0" applyFont="1" applyBorder="1" applyAlignment="1">
      <alignment horizontal="center" vertical="center" wrapText="1"/>
    </xf>
    <xf numFmtId="0" fontId="23" fillId="17" borderId="737" xfId="0" applyFont="1" applyFill="1" applyBorder="1" applyAlignment="1">
      <alignment horizontal="center" vertical="center" wrapText="1"/>
    </xf>
    <xf numFmtId="0" fontId="24" fillId="39" borderId="770" xfId="0" applyFont="1" applyFill="1" applyBorder="1" applyAlignment="1">
      <alignment horizontal="center" vertical="center" wrapText="1"/>
    </xf>
    <xf numFmtId="49" fontId="70" fillId="17" borderId="770" xfId="0" applyNumberFormat="1" applyFont="1" applyFill="1" applyBorder="1" applyAlignment="1">
      <alignment horizontal="center" vertical="center"/>
    </xf>
    <xf numFmtId="0" fontId="24" fillId="17" borderId="737" xfId="0" applyFont="1" applyFill="1" applyBorder="1" applyAlignment="1">
      <alignment horizontal="left" vertical="center" wrapText="1"/>
    </xf>
    <xf numFmtId="49" fontId="24" fillId="17" borderId="738" xfId="0" applyNumberFormat="1" applyFont="1" applyFill="1" applyBorder="1" applyAlignment="1">
      <alignment horizontal="center" vertical="center" wrapText="1"/>
    </xf>
    <xf numFmtId="49" fontId="24" fillId="17" borderId="770" xfId="0" applyNumberFormat="1" applyFont="1" applyFill="1" applyBorder="1" applyAlignment="1">
      <alignment horizontal="center" vertical="center" wrapText="1"/>
    </xf>
    <xf numFmtId="0" fontId="24" fillId="17" borderId="737" xfId="0" applyFont="1" applyFill="1" applyBorder="1" applyAlignment="1">
      <alignment vertical="center"/>
    </xf>
    <xf numFmtId="0" fontId="24" fillId="17" borderId="738" xfId="0" applyFont="1" applyFill="1" applyBorder="1" applyAlignment="1">
      <alignment vertical="center"/>
    </xf>
    <xf numFmtId="0" fontId="38" fillId="0" borderId="674" xfId="0" applyFont="1" applyBorder="1" applyAlignment="1">
      <alignment horizontal="left" vertical="center" wrapText="1" indent="1"/>
    </xf>
    <xf numFmtId="0" fontId="24" fillId="0" borderId="770" xfId="0" applyFont="1" applyBorder="1" applyAlignment="1">
      <alignment horizontal="left" vertical="center" wrapText="1" indent="1"/>
    </xf>
    <xf numFmtId="0" fontId="38" fillId="0" borderId="770" xfId="0" applyFont="1" applyBorder="1" applyAlignment="1">
      <alignment horizontal="left" vertical="center" wrapText="1" indent="1"/>
    </xf>
    <xf numFmtId="0" fontId="24" fillId="0" borderId="737" xfId="0" applyFont="1" applyBorder="1" applyAlignment="1">
      <alignment horizontal="left" vertical="center" wrapText="1" indent="1"/>
    </xf>
    <xf numFmtId="0" fontId="38" fillId="0" borderId="737" xfId="0" applyFont="1" applyBorder="1" applyAlignment="1">
      <alignment horizontal="left" vertical="center" wrapText="1" indent="1"/>
    </xf>
    <xf numFmtId="0" fontId="14" fillId="0" borderId="662" xfId="0" applyFont="1" applyBorder="1" applyAlignment="1">
      <alignment horizontal="left" vertical="center" wrapText="1" indent="1"/>
    </xf>
    <xf numFmtId="0" fontId="38" fillId="0" borderId="799" xfId="0" applyFont="1" applyBorder="1" applyAlignment="1">
      <alignment horizontal="left" vertical="center" wrapText="1" indent="1"/>
    </xf>
    <xf numFmtId="0" fontId="24" fillId="4" borderId="662" xfId="0" applyFont="1" applyFill="1" applyBorder="1" applyAlignment="1">
      <alignment horizontal="left" vertical="center" wrapText="1" indent="1"/>
    </xf>
    <xf numFmtId="0" fontId="24" fillId="4" borderId="738" xfId="0" applyFont="1" applyFill="1" applyBorder="1" applyAlignment="1">
      <alignment horizontal="left" vertical="center" wrapText="1" indent="1"/>
    </xf>
    <xf numFmtId="0" fontId="38" fillId="0" borderId="802" xfId="0" applyFont="1" applyBorder="1" applyAlignment="1">
      <alignment horizontal="left" vertical="center" wrapText="1" indent="1"/>
    </xf>
    <xf numFmtId="0" fontId="24" fillId="0" borderId="812" xfId="0" applyFont="1" applyBorder="1" applyAlignment="1">
      <alignment horizontal="left" vertical="center" wrapText="1" indent="1"/>
    </xf>
    <xf numFmtId="0" fontId="11" fillId="0" borderId="807" xfId="0" applyFont="1" applyBorder="1" applyAlignment="1">
      <alignment horizontal="left" vertical="center" wrapText="1" indent="1"/>
    </xf>
    <xf numFmtId="0" fontId="11" fillId="0" borderId="789" xfId="0" applyFont="1" applyBorder="1" applyAlignment="1">
      <alignment horizontal="left" vertical="center" wrapText="1" indent="1"/>
    </xf>
    <xf numFmtId="0" fontId="11" fillId="0" borderId="791" xfId="0" applyFont="1" applyBorder="1" applyAlignment="1">
      <alignment horizontal="left" vertical="center" wrapText="1" indent="1"/>
    </xf>
    <xf numFmtId="0" fontId="11" fillId="0" borderId="802" xfId="0" applyFont="1" applyBorder="1" applyAlignment="1">
      <alignment horizontal="left" vertical="center" wrapText="1" indent="1"/>
    </xf>
    <xf numFmtId="0" fontId="38" fillId="0" borderId="812" xfId="0" applyFont="1" applyBorder="1" applyAlignment="1">
      <alignment horizontal="left" vertical="center" wrapText="1" indent="1"/>
    </xf>
    <xf numFmtId="0" fontId="24" fillId="0" borderId="807" xfId="0" applyFont="1" applyBorder="1" applyAlignment="1">
      <alignment horizontal="left" vertical="center" wrapText="1" indent="1"/>
    </xf>
    <xf numFmtId="0" fontId="28" fillId="0" borderId="789" xfId="0" applyFont="1" applyBorder="1" applyAlignment="1">
      <alignment horizontal="left" indent="1"/>
    </xf>
    <xf numFmtId="0" fontId="38" fillId="0" borderId="807" xfId="0" applyFont="1" applyBorder="1" applyAlignment="1">
      <alignment horizontal="left" vertical="center" wrapText="1" indent="1"/>
    </xf>
    <xf numFmtId="0" fontId="24" fillId="4" borderId="789" xfId="0" applyFont="1" applyFill="1" applyBorder="1" applyAlignment="1">
      <alignment horizontal="left" vertical="center" wrapText="1" indent="1"/>
    </xf>
    <xf numFmtId="0" fontId="24" fillId="4" borderId="791" xfId="0" applyFont="1" applyFill="1" applyBorder="1" applyAlignment="1">
      <alignment horizontal="left" vertical="center" wrapText="1" indent="1"/>
    </xf>
    <xf numFmtId="0" fontId="38" fillId="0" borderId="798" xfId="0" applyFont="1" applyBorder="1" applyAlignment="1">
      <alignment horizontal="left" vertical="center" wrapText="1" indent="1"/>
    </xf>
    <xf numFmtId="0" fontId="24" fillId="17" borderId="812" xfId="0" applyFont="1" applyFill="1" applyBorder="1" applyAlignment="1">
      <alignment horizontal="left" vertical="center" wrapText="1" indent="1"/>
    </xf>
    <xf numFmtId="0" fontId="38" fillId="17" borderId="807" xfId="0" applyFont="1" applyFill="1" applyBorder="1" applyAlignment="1">
      <alignment horizontal="left" vertical="center" wrapText="1" indent="1"/>
    </xf>
    <xf numFmtId="0" fontId="38" fillId="17" borderId="789" xfId="0" applyFont="1" applyFill="1" applyBorder="1" applyAlignment="1">
      <alignment horizontal="left" vertical="center" wrapText="1" indent="1"/>
    </xf>
    <xf numFmtId="0" fontId="38" fillId="17" borderId="791" xfId="0" applyFont="1" applyFill="1" applyBorder="1" applyAlignment="1">
      <alignment horizontal="left" vertical="center" wrapText="1" indent="1"/>
    </xf>
    <xf numFmtId="0" fontId="11" fillId="17" borderId="802" xfId="0" applyFont="1" applyFill="1" applyBorder="1" applyAlignment="1">
      <alignment horizontal="left" vertical="center" wrapText="1" indent="1"/>
    </xf>
    <xf numFmtId="0" fontId="38" fillId="17" borderId="812" xfId="0" applyFont="1" applyFill="1" applyBorder="1" applyAlignment="1">
      <alignment horizontal="left" vertical="center" wrapText="1" indent="1"/>
    </xf>
    <xf numFmtId="0" fontId="38" fillId="4" borderId="802" xfId="0" applyFont="1" applyFill="1" applyBorder="1" applyAlignment="1">
      <alignment horizontal="left" vertical="center" wrapText="1" indent="1"/>
    </xf>
    <xf numFmtId="0" fontId="38" fillId="4" borderId="789" xfId="0" applyFont="1" applyFill="1" applyBorder="1" applyAlignment="1">
      <alignment horizontal="left" vertical="center" wrapText="1" indent="1"/>
    </xf>
    <xf numFmtId="0" fontId="38" fillId="4" borderId="791" xfId="0" applyFont="1" applyFill="1" applyBorder="1" applyAlignment="1">
      <alignment horizontal="left" vertical="center" wrapText="1" indent="1"/>
    </xf>
    <xf numFmtId="0" fontId="24" fillId="4" borderId="812" xfId="0" applyFont="1" applyFill="1" applyBorder="1" applyAlignment="1">
      <alignment horizontal="left" vertical="center" wrapText="1" indent="1"/>
    </xf>
    <xf numFmtId="0" fontId="11" fillId="4" borderId="802" xfId="0" applyFont="1" applyFill="1" applyBorder="1" applyAlignment="1">
      <alignment horizontal="left" vertical="center" wrapText="1" indent="1"/>
    </xf>
    <xf numFmtId="0" fontId="11" fillId="4" borderId="789" xfId="0" applyFont="1" applyFill="1" applyBorder="1" applyAlignment="1">
      <alignment horizontal="left" vertical="center" wrapText="1" indent="1"/>
    </xf>
    <xf numFmtId="0" fontId="24" fillId="17" borderId="789" xfId="0" applyFont="1" applyFill="1" applyBorder="1" applyAlignment="1">
      <alignment horizontal="left" vertical="center" wrapText="1" indent="1"/>
    </xf>
    <xf numFmtId="0" fontId="38" fillId="17" borderId="802" xfId="0" applyFont="1" applyFill="1" applyBorder="1" applyAlignment="1">
      <alignment horizontal="left" vertical="center" wrapText="1" indent="1"/>
    </xf>
    <xf numFmtId="0" fontId="24" fillId="17" borderId="791" xfId="0" applyFont="1" applyFill="1" applyBorder="1" applyAlignment="1">
      <alignment horizontal="left" vertical="center" wrapText="1" indent="1"/>
    </xf>
    <xf numFmtId="0" fontId="11" fillId="0" borderId="737" xfId="0" applyFont="1" applyBorder="1" applyAlignment="1">
      <alignment horizontal="left" vertical="center" wrapText="1" indent="1"/>
    </xf>
    <xf numFmtId="0" fontId="11" fillId="0" borderId="662" xfId="0" applyFont="1" applyBorder="1" applyAlignment="1">
      <alignment horizontal="left" vertical="center" wrapText="1" indent="1"/>
    </xf>
    <xf numFmtId="0" fontId="14" fillId="39" borderId="662" xfId="0" applyFont="1" applyFill="1" applyBorder="1" applyAlignment="1">
      <alignment horizontal="left" vertical="center" wrapText="1" indent="1"/>
    </xf>
    <xf numFmtId="0" fontId="11" fillId="39" borderId="662" xfId="0" applyFont="1" applyFill="1" applyBorder="1" applyAlignment="1">
      <alignment horizontal="left" vertical="center" wrapText="1" indent="1"/>
    </xf>
    <xf numFmtId="0" fontId="38" fillId="39" borderId="662" xfId="0" applyFont="1" applyFill="1" applyBorder="1" applyAlignment="1">
      <alignment horizontal="left" vertical="center" wrapText="1" indent="1"/>
    </xf>
    <xf numFmtId="0" fontId="24" fillId="39" borderId="738" xfId="0" applyFont="1" applyFill="1" applyBorder="1" applyAlignment="1">
      <alignment horizontal="left" vertical="center" wrapText="1" indent="1"/>
    </xf>
    <xf numFmtId="0" fontId="11" fillId="0" borderId="674" xfId="0" applyFont="1" applyBorder="1" applyAlignment="1">
      <alignment horizontal="left" vertical="center" wrapText="1" indent="1"/>
    </xf>
    <xf numFmtId="0" fontId="23" fillId="39" borderId="662" xfId="0" applyFont="1" applyFill="1" applyBorder="1" applyAlignment="1">
      <alignment horizontal="left" vertical="center" wrapText="1" indent="1"/>
    </xf>
    <xf numFmtId="0" fontId="38" fillId="0" borderId="662" xfId="0" applyFont="1" applyBorder="1" applyAlignment="1">
      <alignment horizontal="left" vertical="center" indent="1"/>
    </xf>
    <xf numFmtId="0" fontId="24" fillId="39" borderId="662" xfId="0" applyFont="1" applyFill="1" applyBorder="1" applyAlignment="1">
      <alignment horizontal="left" vertical="center" wrapText="1" indent="1"/>
    </xf>
    <xf numFmtId="0" fontId="29" fillId="0" borderId="662" xfId="0" applyFont="1" applyBorder="1" applyAlignment="1">
      <alignment horizontal="left" vertical="center" wrapText="1" indent="1"/>
    </xf>
    <xf numFmtId="0" fontId="232" fillId="0" borderId="662" xfId="0" applyFont="1" applyBorder="1" applyAlignment="1">
      <alignment horizontal="left" vertical="center" wrapText="1" indent="1"/>
    </xf>
    <xf numFmtId="0" fontId="222" fillId="0" borderId="738" xfId="0" applyFont="1" applyBorder="1" applyAlignment="1">
      <alignment horizontal="left" vertical="center" wrapText="1" indent="1"/>
    </xf>
    <xf numFmtId="0" fontId="24" fillId="17" borderId="770" xfId="0" applyFont="1" applyFill="1" applyBorder="1" applyAlignment="1">
      <alignment horizontal="left" vertical="center" wrapText="1" indent="1"/>
    </xf>
    <xf numFmtId="0" fontId="38" fillId="17" borderId="737" xfId="0" applyFont="1" applyFill="1" applyBorder="1" applyAlignment="1">
      <alignment horizontal="left" vertical="center" indent="1"/>
    </xf>
    <xf numFmtId="0" fontId="38" fillId="17" borderId="662" xfId="0" applyFont="1" applyFill="1" applyBorder="1" applyAlignment="1">
      <alignment horizontal="left" vertical="center" indent="1"/>
    </xf>
    <xf numFmtId="0" fontId="38" fillId="17" borderId="738" xfId="0" applyFont="1" applyFill="1" applyBorder="1" applyAlignment="1">
      <alignment horizontal="left" vertical="center" indent="1"/>
    </xf>
    <xf numFmtId="0" fontId="11" fillId="17" borderId="674" xfId="0" applyFont="1" applyFill="1" applyBorder="1" applyAlignment="1">
      <alignment horizontal="left" vertical="center" wrapText="1" indent="1"/>
    </xf>
    <xf numFmtId="0" fontId="24" fillId="17" borderId="662" xfId="0" applyFont="1" applyFill="1" applyBorder="1" applyAlignment="1">
      <alignment horizontal="left" vertical="center" wrapText="1" indent="1"/>
    </xf>
    <xf numFmtId="0" fontId="24" fillId="17" borderId="662" xfId="0" applyFont="1" applyFill="1" applyBorder="1" applyAlignment="1">
      <alignment horizontal="left" vertical="center" indent="1"/>
    </xf>
    <xf numFmtId="0" fontId="38" fillId="17" borderId="770" xfId="0" applyFont="1" applyFill="1" applyBorder="1" applyAlignment="1">
      <alignment horizontal="left" vertical="center" indent="1"/>
    </xf>
    <xf numFmtId="0" fontId="38" fillId="0" borderId="770" xfId="0" applyFont="1" applyBorder="1" applyAlignment="1">
      <alignment horizontal="left" vertical="center" indent="1"/>
    </xf>
    <xf numFmtId="0" fontId="38" fillId="0" borderId="737" xfId="0" applyFont="1" applyBorder="1" applyAlignment="1">
      <alignment horizontal="left" vertical="center" indent="1"/>
    </xf>
    <xf numFmtId="0" fontId="38" fillId="0" borderId="738" xfId="0" applyFont="1" applyBorder="1" applyAlignment="1">
      <alignment horizontal="left" vertical="center" indent="1"/>
    </xf>
    <xf numFmtId="0" fontId="38" fillId="4" borderId="674" xfId="0" applyFont="1" applyFill="1" applyBorder="1" applyAlignment="1">
      <alignment horizontal="left" vertical="center" wrapText="1" indent="1"/>
    </xf>
    <xf numFmtId="0" fontId="38" fillId="4" borderId="662" xfId="0" applyFont="1" applyFill="1" applyBorder="1" applyAlignment="1">
      <alignment horizontal="left" vertical="center" indent="1"/>
    </xf>
    <xf numFmtId="0" fontId="38" fillId="4" borderId="738" xfId="0" applyFont="1" applyFill="1" applyBorder="1" applyAlignment="1">
      <alignment horizontal="left" vertical="center" indent="1"/>
    </xf>
    <xf numFmtId="0" fontId="38" fillId="4" borderId="662" xfId="0" applyFont="1" applyFill="1" applyBorder="1" applyAlignment="1">
      <alignment horizontal="left" vertical="center" wrapText="1" indent="1"/>
    </xf>
    <xf numFmtId="0" fontId="38" fillId="4" borderId="770" xfId="0" applyFont="1" applyFill="1" applyBorder="1" applyAlignment="1">
      <alignment horizontal="left" vertical="center" wrapText="1" indent="1"/>
    </xf>
    <xf numFmtId="0" fontId="24" fillId="39" borderId="770" xfId="0" applyFont="1" applyFill="1" applyBorder="1" applyAlignment="1">
      <alignment horizontal="left" vertical="center" wrapText="1" indent="1"/>
    </xf>
    <xf numFmtId="0" fontId="38" fillId="17" borderId="674" xfId="0" applyFont="1" applyFill="1" applyBorder="1" applyAlignment="1">
      <alignment horizontal="left" vertical="center" wrapText="1" indent="1"/>
    </xf>
    <xf numFmtId="0" fontId="24" fillId="17" borderId="737" xfId="0" applyFont="1" applyFill="1" applyBorder="1" applyAlignment="1">
      <alignment horizontal="left" vertical="center" wrapText="1" indent="1"/>
    </xf>
    <xf numFmtId="49" fontId="14" fillId="17" borderId="357" xfId="0" applyNumberFormat="1" applyFont="1" applyFill="1" applyBorder="1" applyAlignment="1">
      <alignment horizontal="left" vertical="center" wrapText="1" indent="1"/>
    </xf>
    <xf numFmtId="49" fontId="14" fillId="17" borderId="360" xfId="0" applyNumberFormat="1" applyFont="1" applyFill="1" applyBorder="1" applyAlignment="1">
      <alignment horizontal="left" vertical="center" wrapText="1" indent="1"/>
    </xf>
    <xf numFmtId="49" fontId="14" fillId="17" borderId="650" xfId="0" applyNumberFormat="1" applyFont="1" applyFill="1" applyBorder="1" applyAlignment="1">
      <alignment horizontal="left" vertical="center" wrapText="1" indent="1"/>
    </xf>
    <xf numFmtId="0" fontId="14" fillId="39" borderId="738" xfId="0" applyFont="1" applyFill="1" applyBorder="1" applyAlignment="1">
      <alignment horizontal="center" vertical="center" wrapText="1"/>
    </xf>
    <xf numFmtId="0" fontId="11" fillId="39" borderId="674" xfId="0" applyFont="1" applyFill="1" applyBorder="1" applyAlignment="1">
      <alignment horizontal="left" vertical="center" wrapText="1" indent="1"/>
    </xf>
    <xf numFmtId="0" fontId="24" fillId="39" borderId="674" xfId="0" applyFont="1" applyFill="1" applyBorder="1" applyAlignment="1">
      <alignment horizontal="center" vertical="center" wrapText="1"/>
    </xf>
    <xf numFmtId="0" fontId="14" fillId="0" borderId="738" xfId="0" applyFont="1" applyBorder="1" applyAlignment="1">
      <alignment horizontal="center" vertical="center" wrapText="1"/>
    </xf>
    <xf numFmtId="0" fontId="38" fillId="4" borderId="798" xfId="0" applyFont="1" applyFill="1" applyBorder="1" applyAlignment="1">
      <alignment horizontal="left" vertical="center" wrapText="1" indent="1"/>
    </xf>
    <xf numFmtId="0" fontId="38" fillId="17" borderId="798" xfId="0" applyFont="1" applyFill="1" applyBorder="1" applyAlignment="1">
      <alignment horizontal="left" vertical="center" wrapText="1" indent="1"/>
    </xf>
    <xf numFmtId="168" fontId="58" fillId="0" borderId="6" xfId="0" applyNumberFormat="1" applyFont="1" applyBorder="1" applyAlignment="1">
      <alignment horizontal="right" vertical="center"/>
    </xf>
    <xf numFmtId="0" fontId="44" fillId="0" borderId="344" xfId="0" applyFont="1" applyBorder="1" applyAlignment="1">
      <alignment vertical="center"/>
    </xf>
    <xf numFmtId="0" fontId="14" fillId="0" borderId="344" xfId="0" applyFont="1" applyBorder="1" applyAlignment="1">
      <alignment horizontal="center" vertical="center"/>
    </xf>
    <xf numFmtId="168" fontId="11" fillId="0" borderId="344" xfId="0" applyNumberFormat="1" applyFont="1" applyBorder="1" applyAlignment="1">
      <alignment horizontal="right" vertical="center"/>
    </xf>
    <xf numFmtId="171" fontId="14" fillId="0" borderId="344" xfId="0" applyNumberFormat="1" applyFont="1" applyBorder="1" applyAlignment="1">
      <alignment horizontal="right" vertical="center"/>
    </xf>
    <xf numFmtId="168" fontId="58" fillId="0" borderId="97" xfId="0" applyNumberFormat="1" applyFont="1" applyBorder="1" applyAlignment="1">
      <alignment horizontal="right" vertical="center"/>
    </xf>
    <xf numFmtId="168" fontId="58" fillId="0" borderId="98" xfId="0" applyNumberFormat="1" applyFont="1" applyBorder="1" applyAlignment="1">
      <alignment horizontal="right" vertical="center"/>
    </xf>
    <xf numFmtId="168" fontId="160" fillId="0" borderId="6" xfId="0" applyNumberFormat="1" applyFont="1" applyBorder="1" applyAlignment="1">
      <alignment horizontal="right" vertical="center"/>
    </xf>
    <xf numFmtId="168" fontId="58" fillId="0" borderId="310" xfId="0" applyNumberFormat="1" applyFont="1" applyBorder="1" applyAlignment="1">
      <alignment horizontal="right" vertical="center"/>
    </xf>
    <xf numFmtId="168" fontId="58" fillId="0" borderId="739" xfId="0" applyNumberFormat="1" applyFont="1" applyBorder="1" applyAlignment="1">
      <alignment horizontal="right" vertical="center"/>
    </xf>
    <xf numFmtId="49" fontId="38" fillId="0" borderId="799" xfId="0" applyNumberFormat="1" applyFont="1" applyBorder="1" applyAlignment="1">
      <alignment horizontal="right" vertical="center"/>
    </xf>
    <xf numFmtId="49" fontId="38" fillId="0" borderId="662" xfId="0" applyNumberFormat="1" applyFont="1" applyBorder="1" applyAlignment="1">
      <alignment horizontal="right" vertical="center"/>
    </xf>
    <xf numFmtId="49" fontId="38" fillId="17" borderId="662" xfId="0" applyNumberFormat="1" applyFont="1" applyFill="1" applyBorder="1" applyAlignment="1">
      <alignment horizontal="right" vertical="center"/>
    </xf>
    <xf numFmtId="168" fontId="23" fillId="0" borderId="662" xfId="0" applyNumberFormat="1" applyFont="1" applyBorder="1" applyAlignment="1">
      <alignment horizontal="center" vertical="center" wrapText="1"/>
    </xf>
    <xf numFmtId="0" fontId="226" fillId="0" borderId="662" xfId="0" applyFont="1" applyBorder="1" applyAlignment="1">
      <alignment horizontal="center" vertical="center" wrapText="1"/>
    </xf>
    <xf numFmtId="49" fontId="221" fillId="17" borderId="662" xfId="0" applyNumberFormat="1" applyFont="1" applyFill="1" applyBorder="1" applyAlignment="1">
      <alignment horizontal="right" vertical="center"/>
    </xf>
    <xf numFmtId="0" fontId="226" fillId="17" borderId="662" xfId="0" applyFont="1" applyFill="1" applyBorder="1" applyAlignment="1">
      <alignment horizontal="center" vertical="center" wrapText="1"/>
    </xf>
    <xf numFmtId="49" fontId="226" fillId="0" borderId="662" xfId="0" applyNumberFormat="1" applyFont="1" applyBorder="1" applyAlignment="1">
      <alignment horizontal="center" vertical="center"/>
    </xf>
    <xf numFmtId="0" fontId="222" fillId="17" borderId="662" xfId="0" applyFont="1" applyFill="1" applyBorder="1" applyAlignment="1">
      <alignment horizontal="center" vertical="center" wrapText="1"/>
    </xf>
    <xf numFmtId="0" fontId="36" fillId="0" borderId="662" xfId="0" applyFont="1" applyBorder="1" applyAlignment="1">
      <alignment horizontal="left" vertical="center" wrapText="1" indent="1"/>
    </xf>
    <xf numFmtId="0" fontId="69" fillId="0" borderId="662" xfId="0" applyFont="1" applyBorder="1" applyAlignment="1">
      <alignment horizontal="center" vertical="center" wrapText="1"/>
    </xf>
    <xf numFmtId="0" fontId="69" fillId="17" borderId="662" xfId="0" applyFont="1" applyFill="1" applyBorder="1" applyAlignment="1">
      <alignment horizontal="center" vertical="center" wrapText="1"/>
    </xf>
    <xf numFmtId="49" fontId="69" fillId="0" borderId="662" xfId="0" applyNumberFormat="1" applyFont="1" applyBorder="1" applyAlignment="1">
      <alignment horizontal="center" vertical="center" wrapText="1"/>
    </xf>
    <xf numFmtId="168" fontId="24" fillId="17" borderId="662" xfId="0" applyNumberFormat="1" applyFont="1" applyFill="1" applyBorder="1" applyAlignment="1">
      <alignment horizontal="center" vertical="center"/>
    </xf>
    <xf numFmtId="168" fontId="24" fillId="4" borderId="662" xfId="0" applyNumberFormat="1" applyFont="1" applyFill="1" applyBorder="1" applyAlignment="1">
      <alignment horizontal="center" vertical="center" wrapText="1"/>
    </xf>
    <xf numFmtId="0" fontId="22" fillId="39" borderId="662" xfId="0" applyFont="1" applyFill="1" applyBorder="1" applyAlignment="1">
      <alignment horizontal="left" vertical="center" wrapText="1"/>
    </xf>
    <xf numFmtId="0" fontId="23" fillId="39" borderId="662" xfId="0" applyFont="1" applyFill="1" applyBorder="1" applyAlignment="1">
      <alignment horizontal="center" vertical="center" wrapText="1"/>
    </xf>
    <xf numFmtId="168" fontId="38" fillId="17" borderId="662" xfId="0" applyNumberFormat="1" applyFont="1" applyFill="1" applyBorder="1" applyAlignment="1">
      <alignment horizontal="center" vertical="center" wrapText="1"/>
    </xf>
    <xf numFmtId="0" fontId="38" fillId="17" borderId="662" xfId="0" applyFont="1" applyFill="1" applyBorder="1" applyAlignment="1">
      <alignment horizontal="left" vertical="center" wrapText="1" indent="1"/>
    </xf>
    <xf numFmtId="49" fontId="38" fillId="0" borderId="662" xfId="0" applyNumberFormat="1" applyFont="1" applyBorder="1" applyAlignment="1">
      <alignment horizontal="right" vertical="center" wrapText="1"/>
    </xf>
    <xf numFmtId="0" fontId="38" fillId="0" borderId="798" xfId="0" applyFont="1" applyBorder="1" applyAlignment="1">
      <alignment horizontal="left" vertical="center" indent="1"/>
    </xf>
    <xf numFmtId="0" fontId="24" fillId="0" borderId="789" xfId="0" applyFont="1" applyBorder="1" applyAlignment="1">
      <alignment horizontal="left" vertical="center" indent="1"/>
    </xf>
    <xf numFmtId="0" fontId="38" fillId="0" borderId="789" xfId="0" applyFont="1" applyBorder="1" applyAlignment="1">
      <alignment horizontal="left" vertical="center" indent="1"/>
    </xf>
    <xf numFmtId="0" fontId="38" fillId="17" borderId="789" xfId="0" applyFont="1" applyFill="1" applyBorder="1" applyAlignment="1">
      <alignment horizontal="left" vertical="center" indent="1"/>
    </xf>
    <xf numFmtId="0" fontId="221" fillId="17" borderId="789" xfId="0" applyFont="1" applyFill="1" applyBorder="1" applyAlignment="1">
      <alignment horizontal="left" vertical="center" indent="1"/>
    </xf>
    <xf numFmtId="0" fontId="24" fillId="17" borderId="789" xfId="0" applyFont="1" applyFill="1" applyBorder="1" applyAlignment="1">
      <alignment horizontal="left" vertical="center" indent="1"/>
    </xf>
    <xf numFmtId="0" fontId="38" fillId="39" borderId="789" xfId="0" applyFont="1" applyFill="1" applyBorder="1" applyAlignment="1">
      <alignment horizontal="left" vertical="center" indent="1"/>
    </xf>
    <xf numFmtId="0" fontId="11" fillId="0" borderId="789" xfId="0" applyFont="1" applyBorder="1" applyAlignment="1">
      <alignment horizontal="left" vertical="center" indent="1"/>
    </xf>
    <xf numFmtId="0" fontId="38" fillId="4" borderId="789" xfId="0" applyFont="1" applyFill="1" applyBorder="1" applyAlignment="1">
      <alignment horizontal="left" vertical="center" indent="1"/>
    </xf>
    <xf numFmtId="0" fontId="38" fillId="17" borderId="807" xfId="0" applyFont="1" applyFill="1" applyBorder="1" applyAlignment="1">
      <alignment horizontal="left" vertical="center" indent="1"/>
    </xf>
    <xf numFmtId="49" fontId="38" fillId="17" borderId="737" xfId="0" applyNumberFormat="1" applyFont="1" applyFill="1" applyBorder="1" applyAlignment="1">
      <alignment horizontal="right" vertical="center"/>
    </xf>
    <xf numFmtId="0" fontId="24" fillId="17" borderId="791" xfId="0" applyFont="1" applyFill="1" applyBorder="1" applyAlignment="1">
      <alignment horizontal="left" vertical="center" indent="1"/>
    </xf>
    <xf numFmtId="49" fontId="38" fillId="17" borderId="738" xfId="0" applyNumberFormat="1" applyFont="1" applyFill="1" applyBorder="1" applyAlignment="1">
      <alignment horizontal="right" vertical="center"/>
    </xf>
    <xf numFmtId="0" fontId="24" fillId="0" borderId="812" xfId="0" applyFont="1" applyBorder="1" applyAlignment="1">
      <alignment horizontal="left" vertical="center" indent="1"/>
    </xf>
    <xf numFmtId="49" fontId="38" fillId="0" borderId="770" xfId="0" applyNumberFormat="1" applyFont="1" applyBorder="1" applyAlignment="1">
      <alignment horizontal="right" vertical="center"/>
    </xf>
    <xf numFmtId="0" fontId="38" fillId="17" borderId="802" xfId="0" applyFont="1" applyFill="1" applyBorder="1" applyAlignment="1">
      <alignment horizontal="left" vertical="center" indent="1"/>
    </xf>
    <xf numFmtId="0" fontId="221" fillId="0" borderId="674" xfId="0" applyFont="1" applyBorder="1" applyAlignment="1">
      <alignment horizontal="left" vertical="center" wrapText="1" indent="1"/>
    </xf>
    <xf numFmtId="0" fontId="222" fillId="0" borderId="674" xfId="0" applyFont="1" applyBorder="1" applyAlignment="1">
      <alignment horizontal="center" vertical="center" wrapText="1"/>
    </xf>
    <xf numFmtId="49" fontId="38" fillId="17" borderId="674" xfId="0" applyNumberFormat="1" applyFont="1" applyFill="1" applyBorder="1" applyAlignment="1">
      <alignment horizontal="right" vertical="center"/>
    </xf>
    <xf numFmtId="0" fontId="38" fillId="0" borderId="807" xfId="0" applyFont="1" applyBorder="1" applyAlignment="1">
      <alignment horizontal="left" vertical="center" indent="1"/>
    </xf>
    <xf numFmtId="49" fontId="38" fillId="0" borderId="737" xfId="0" applyNumberFormat="1" applyFont="1" applyBorder="1" applyAlignment="1">
      <alignment horizontal="right" vertical="center"/>
    </xf>
    <xf numFmtId="0" fontId="24" fillId="0" borderId="791" xfId="0" applyFont="1" applyBorder="1" applyAlignment="1">
      <alignment horizontal="left" vertical="center" indent="1"/>
    </xf>
    <xf numFmtId="49" fontId="38" fillId="0" borderId="738" xfId="0" applyNumberFormat="1" applyFont="1" applyBorder="1" applyAlignment="1">
      <alignment horizontal="right" vertical="center"/>
    </xf>
    <xf numFmtId="0" fontId="38" fillId="17" borderId="812" xfId="0" applyFont="1" applyFill="1" applyBorder="1" applyAlignment="1">
      <alignment horizontal="left" vertical="center" indent="1"/>
    </xf>
    <xf numFmtId="0" fontId="14" fillId="0" borderId="770" xfId="0" applyFont="1" applyBorder="1" applyAlignment="1">
      <alignment horizontal="center" vertical="center" wrapText="1"/>
    </xf>
    <xf numFmtId="49" fontId="38" fillId="17" borderId="770" xfId="0" applyNumberFormat="1" applyFont="1" applyFill="1" applyBorder="1" applyAlignment="1">
      <alignment horizontal="right" vertical="center"/>
    </xf>
    <xf numFmtId="0" fontId="38" fillId="0" borderId="802" xfId="0" applyFont="1" applyBorder="1" applyAlignment="1">
      <alignment horizontal="left" vertical="center" indent="1"/>
    </xf>
    <xf numFmtId="49" fontId="38" fillId="0" borderId="674" xfId="0" applyNumberFormat="1" applyFont="1" applyBorder="1" applyAlignment="1">
      <alignment horizontal="right" vertical="center"/>
    </xf>
    <xf numFmtId="0" fontId="38" fillId="0" borderId="737" xfId="0" applyFont="1" applyBorder="1" applyAlignment="1">
      <alignment horizontal="center" vertical="center" wrapText="1"/>
    </xf>
    <xf numFmtId="0" fontId="24" fillId="0" borderId="737" xfId="0" applyFont="1" applyBorder="1" applyAlignment="1">
      <alignment horizontal="center" vertical="center"/>
    </xf>
    <xf numFmtId="0" fontId="24" fillId="0" borderId="802" xfId="0" applyFont="1" applyBorder="1" applyAlignment="1">
      <alignment horizontal="left" vertical="center" indent="1"/>
    </xf>
    <xf numFmtId="0" fontId="38" fillId="0" borderId="791" xfId="0" applyFont="1" applyBorder="1" applyAlignment="1">
      <alignment horizontal="left" vertical="center" indent="1"/>
    </xf>
    <xf numFmtId="4" fontId="24" fillId="0" borderId="674" xfId="0" applyNumberFormat="1" applyFont="1" applyBorder="1" applyAlignment="1">
      <alignment horizontal="center" vertical="center" wrapText="1"/>
    </xf>
    <xf numFmtId="0" fontId="38" fillId="0" borderId="812" xfId="0" applyFont="1" applyBorder="1" applyAlignment="1">
      <alignment horizontal="left" vertical="center" indent="1"/>
    </xf>
    <xf numFmtId="0" fontId="33" fillId="0" borderId="738" xfId="0" applyFont="1" applyBorder="1" applyAlignment="1">
      <alignment horizontal="left" vertical="center" indent="1"/>
    </xf>
    <xf numFmtId="0" fontId="33" fillId="0" borderId="738" xfId="0" applyFont="1" applyBorder="1" applyAlignment="1">
      <alignment horizontal="center" vertical="center"/>
    </xf>
    <xf numFmtId="49" fontId="33" fillId="17" borderId="738" xfId="0" applyNumberFormat="1" applyFont="1" applyFill="1" applyBorder="1" applyAlignment="1">
      <alignment vertical="center"/>
    </xf>
    <xf numFmtId="0" fontId="33" fillId="17" borderId="738" xfId="0" applyFont="1" applyFill="1" applyBorder="1" applyAlignment="1">
      <alignment horizontal="center" vertical="center"/>
    </xf>
    <xf numFmtId="0" fontId="91" fillId="2" borderId="361" xfId="15" applyFill="1" applyBorder="1" applyAlignment="1">
      <alignment vertical="center"/>
    </xf>
    <xf numFmtId="0" fontId="91" fillId="2" borderId="341" xfId="15" applyFill="1" applyBorder="1" applyAlignment="1">
      <alignment vertical="center"/>
    </xf>
    <xf numFmtId="0" fontId="22" fillId="0" borderId="674" xfId="15" applyFont="1" applyBorder="1" applyAlignment="1">
      <alignment horizontal="left" vertical="center" wrapText="1" indent="1"/>
    </xf>
    <xf numFmtId="0" fontId="129" fillId="0" borderId="674" xfId="15" applyFont="1" applyBorder="1" applyAlignment="1">
      <alignment horizontal="center" vertical="center"/>
    </xf>
    <xf numFmtId="0" fontId="23" fillId="0" borderId="674" xfId="15" applyFont="1" applyBorder="1" applyAlignment="1">
      <alignment horizontal="center" vertical="center" wrapText="1"/>
    </xf>
    <xf numFmtId="0" fontId="130" fillId="0" borderId="674" xfId="15" applyFont="1" applyBorder="1" applyAlignment="1">
      <alignment vertical="center"/>
    </xf>
    <xf numFmtId="0" fontId="23" fillId="17" borderId="674" xfId="15" applyFont="1" applyFill="1" applyBorder="1" applyAlignment="1">
      <alignment horizontal="center" vertical="center" wrapText="1"/>
    </xf>
    <xf numFmtId="0" fontId="23" fillId="17" borderId="674" xfId="15" applyFont="1" applyFill="1" applyBorder="1" applyAlignment="1">
      <alignment horizontal="center" vertical="center"/>
    </xf>
    <xf numFmtId="0" fontId="23" fillId="0" borderId="674" xfId="15" applyFont="1" applyBorder="1" applyAlignment="1">
      <alignment horizontal="center" vertical="center"/>
    </xf>
    <xf numFmtId="0" fontId="23" fillId="0" borderId="662" xfId="15" applyFont="1" applyBorder="1" applyAlignment="1">
      <alignment horizontal="left" vertical="center" wrapText="1" indent="1"/>
    </xf>
    <xf numFmtId="0" fontId="22" fillId="0" borderId="662" xfId="15" applyFont="1" applyBorder="1" applyAlignment="1">
      <alignment horizontal="left" vertical="center" wrapText="1" indent="1"/>
    </xf>
    <xf numFmtId="0" fontId="106" fillId="3" borderId="662" xfId="15" applyFont="1" applyFill="1" applyBorder="1" applyAlignment="1">
      <alignment horizontal="center" vertical="center" wrapText="1"/>
    </xf>
    <xf numFmtId="0" fontId="129" fillId="0" borderId="662" xfId="15" applyFont="1" applyBorder="1" applyAlignment="1">
      <alignment horizontal="center" vertical="center"/>
    </xf>
    <xf numFmtId="0" fontId="101" fillId="0" borderId="662" xfId="15" applyFont="1" applyBorder="1" applyAlignment="1">
      <alignment horizontal="center" vertical="center"/>
    </xf>
    <xf numFmtId="0" fontId="23" fillId="39" borderId="662" xfId="15" applyFont="1" applyFill="1" applyBorder="1" applyAlignment="1">
      <alignment horizontal="left" vertical="center" wrapText="1" indent="1"/>
    </xf>
    <xf numFmtId="0" fontId="23" fillId="39" borderId="662" xfId="15" applyFont="1" applyFill="1" applyBorder="1" applyAlignment="1">
      <alignment horizontal="center" vertical="center" wrapText="1"/>
    </xf>
    <xf numFmtId="0" fontId="130" fillId="0" borderId="662" xfId="15" applyFont="1" applyBorder="1" applyAlignment="1">
      <alignment vertical="center"/>
    </xf>
    <xf numFmtId="0" fontId="23" fillId="17" borderId="662" xfId="15" applyFont="1" applyFill="1" applyBorder="1" applyAlignment="1">
      <alignment horizontal="center" vertical="center" wrapText="1"/>
    </xf>
    <xf numFmtId="0" fontId="23" fillId="17" borderId="662" xfId="15" applyFont="1" applyFill="1" applyBorder="1" applyAlignment="1">
      <alignment horizontal="center" vertical="center"/>
    </xf>
    <xf numFmtId="0" fontId="23" fillId="0" borderId="662" xfId="15" applyFont="1" applyBorder="1" applyAlignment="1">
      <alignment horizontal="center" vertical="center"/>
    </xf>
    <xf numFmtId="0" fontId="22" fillId="17" borderId="662" xfId="15" applyFont="1" applyFill="1" applyBorder="1" applyAlignment="1">
      <alignment horizontal="left" vertical="center" wrapText="1" indent="1"/>
    </xf>
    <xf numFmtId="0" fontId="23" fillId="0" borderId="662" xfId="15" applyFont="1" applyBorder="1" applyAlignment="1">
      <alignment horizontal="center" vertical="center" wrapText="1"/>
    </xf>
    <xf numFmtId="0" fontId="96" fillId="0" borderId="662" xfId="15" applyFont="1" applyBorder="1" applyAlignment="1">
      <alignment horizontal="center" vertical="center" wrapText="1"/>
    </xf>
    <xf numFmtId="0" fontId="70" fillId="17" borderId="662" xfId="15" applyFont="1" applyFill="1" applyBorder="1" applyAlignment="1">
      <alignment horizontal="center" vertical="center"/>
    </xf>
    <xf numFmtId="0" fontId="101" fillId="0" borderId="662" xfId="15" applyFont="1" applyBorder="1" applyAlignment="1">
      <alignment vertical="center"/>
    </xf>
    <xf numFmtId="0" fontId="23" fillId="0" borderId="662" xfId="15" applyFont="1" applyBorder="1" applyAlignment="1">
      <alignment vertical="center" wrapText="1"/>
    </xf>
    <xf numFmtId="0" fontId="129" fillId="0" borderId="662" xfId="15" applyFont="1" applyBorder="1" applyAlignment="1">
      <alignment vertical="center"/>
    </xf>
    <xf numFmtId="0" fontId="101" fillId="17" borderId="662" xfId="15" applyFont="1" applyFill="1" applyBorder="1" applyAlignment="1">
      <alignment vertical="center"/>
    </xf>
    <xf numFmtId="0" fontId="23" fillId="17" borderId="662" xfId="15" applyFont="1" applyFill="1" applyBorder="1" applyAlignment="1">
      <alignment horizontal="left" vertical="center" wrapText="1" indent="1"/>
    </xf>
    <xf numFmtId="0" fontId="23" fillId="17" borderId="662" xfId="15" applyFont="1" applyFill="1" applyBorder="1" applyAlignment="1">
      <alignment vertical="center" wrapText="1"/>
    </xf>
    <xf numFmtId="0" fontId="130" fillId="17" borderId="662" xfId="15" applyFont="1" applyFill="1" applyBorder="1" applyAlignment="1">
      <alignment vertical="center"/>
    </xf>
    <xf numFmtId="0" fontId="129" fillId="17" borderId="662" xfId="15" applyFont="1" applyFill="1" applyBorder="1" applyAlignment="1">
      <alignment vertical="center"/>
    </xf>
    <xf numFmtId="49" fontId="273" fillId="17" borderId="662" xfId="15" applyNumberFormat="1" applyFont="1" applyFill="1" applyBorder="1" applyAlignment="1">
      <alignment horizontal="center" vertical="center"/>
    </xf>
    <xf numFmtId="0" fontId="29" fillId="0" borderId="662" xfId="15" applyFont="1" applyBorder="1" applyAlignment="1">
      <alignment horizontal="center" vertical="center" wrapText="1"/>
    </xf>
    <xf numFmtId="0" fontId="123" fillId="0" borderId="662" xfId="15" applyFont="1" applyBorder="1" applyAlignment="1">
      <alignment horizontal="left" vertical="center" wrapText="1" indent="1"/>
    </xf>
    <xf numFmtId="0" fontId="120" fillId="0" borderId="662" xfId="15" applyFont="1" applyBorder="1" applyAlignment="1">
      <alignment vertical="center" wrapText="1"/>
    </xf>
    <xf numFmtId="49" fontId="273" fillId="0" borderId="662" xfId="15" applyNumberFormat="1" applyFont="1" applyBorder="1" applyAlignment="1">
      <alignment horizontal="center" vertical="center"/>
    </xf>
    <xf numFmtId="0" fontId="131" fillId="0" borderId="662" xfId="15" applyFont="1" applyBorder="1" applyAlignment="1">
      <alignment vertical="center"/>
    </xf>
    <xf numFmtId="0" fontId="120" fillId="0" borderId="662" xfId="15" applyFont="1" applyBorder="1" applyAlignment="1">
      <alignment horizontal="left" vertical="center" wrapText="1" indent="1"/>
    </xf>
    <xf numFmtId="0" fontId="121" fillId="0" borderId="662" xfId="15" applyFont="1" applyBorder="1" applyAlignment="1">
      <alignment vertical="center" wrapText="1"/>
    </xf>
    <xf numFmtId="0" fontId="29" fillId="0" borderId="662" xfId="15" applyFont="1" applyBorder="1" applyAlignment="1">
      <alignment horizontal="center" vertical="center"/>
    </xf>
    <xf numFmtId="0" fontId="154" fillId="17" borderId="662" xfId="15" applyFont="1" applyFill="1" applyBorder="1" applyAlignment="1">
      <alignment wrapText="1"/>
    </xf>
    <xf numFmtId="49" fontId="273" fillId="17" borderId="662" xfId="15" applyNumberFormat="1" applyFont="1" applyFill="1" applyBorder="1" applyAlignment="1">
      <alignment wrapText="1"/>
    </xf>
    <xf numFmtId="0" fontId="156" fillId="0" borderId="662" xfId="15" applyFont="1" applyBorder="1" applyAlignment="1">
      <alignment wrapText="1"/>
    </xf>
    <xf numFmtId="0" fontId="156" fillId="0" borderId="662" xfId="15" applyFont="1" applyBorder="1"/>
    <xf numFmtId="0" fontId="154" fillId="17" borderId="662" xfId="15" applyFont="1" applyFill="1" applyBorder="1" applyAlignment="1">
      <alignment horizontal="left" wrapText="1" indent="1"/>
    </xf>
    <xf numFmtId="0" fontId="157" fillId="0" borderId="662" xfId="15" applyFont="1" applyBorder="1" applyAlignment="1">
      <alignment wrapText="1"/>
    </xf>
    <xf numFmtId="0" fontId="157" fillId="0" borderId="662" xfId="15" applyFont="1" applyBorder="1"/>
    <xf numFmtId="0" fontId="23" fillId="0" borderId="738" xfId="15" applyFont="1" applyBorder="1" applyAlignment="1">
      <alignment horizontal="left" vertical="center" wrapText="1" indent="1"/>
    </xf>
    <xf numFmtId="49" fontId="273" fillId="0" borderId="674" xfId="15" applyNumberFormat="1" applyFont="1" applyBorder="1" applyAlignment="1">
      <alignment horizontal="center" vertical="center"/>
    </xf>
    <xf numFmtId="0" fontId="22" fillId="0" borderId="674" xfId="15" applyFont="1" applyBorder="1" applyAlignment="1">
      <alignment vertical="center"/>
    </xf>
    <xf numFmtId="0" fontId="23" fillId="0" borderId="662" xfId="15" applyFont="1" applyBorder="1" applyAlignment="1">
      <alignment vertical="center"/>
    </xf>
    <xf numFmtId="0" fontId="22" fillId="0" borderId="662" xfId="15" applyFont="1" applyBorder="1" applyAlignment="1">
      <alignment vertical="center"/>
    </xf>
    <xf numFmtId="0" fontId="21" fillId="0" borderId="662" xfId="15" applyFont="1" applyBorder="1" applyAlignment="1">
      <alignment horizontal="left" vertical="center" indent="1"/>
    </xf>
    <xf numFmtId="0" fontId="22" fillId="17" borderId="662" xfId="15" applyFont="1" applyFill="1" applyBorder="1" applyAlignment="1">
      <alignment vertical="center"/>
    </xf>
    <xf numFmtId="0" fontId="23" fillId="3" borderId="662" xfId="15" applyFont="1" applyFill="1" applyBorder="1" applyAlignment="1">
      <alignment horizontal="center" vertical="center"/>
    </xf>
    <xf numFmtId="0" fontId="225" fillId="0" borderId="662" xfId="15" applyFont="1" applyBorder="1" applyAlignment="1">
      <alignment horizontal="center" vertical="center"/>
    </xf>
    <xf numFmtId="0" fontId="222" fillId="0" borderId="662" xfId="15" applyFont="1" applyBorder="1" applyAlignment="1">
      <alignment horizontal="center" vertical="center"/>
    </xf>
    <xf numFmtId="0" fontId="23" fillId="0" borderId="662" xfId="15" applyFont="1" applyBorder="1" applyAlignment="1">
      <alignment horizontal="left" vertical="center" indent="1"/>
    </xf>
    <xf numFmtId="0" fontId="21" fillId="0" borderId="662" xfId="15" applyFont="1" applyBorder="1" applyAlignment="1">
      <alignment horizontal="center" vertical="center"/>
    </xf>
    <xf numFmtId="0" fontId="101" fillId="0" borderId="662" xfId="15" applyFont="1" applyBorder="1" applyAlignment="1">
      <alignment horizontal="center" vertical="center" wrapText="1"/>
    </xf>
    <xf numFmtId="0" fontId="129" fillId="14" borderId="662" xfId="15" applyFont="1" applyFill="1" applyBorder="1" applyAlignment="1">
      <alignment horizontal="center" vertical="center"/>
    </xf>
    <xf numFmtId="0" fontId="101" fillId="14" borderId="662" xfId="15" applyFont="1" applyFill="1" applyBorder="1" applyAlignment="1">
      <alignment horizontal="center" vertical="center"/>
    </xf>
    <xf numFmtId="0" fontId="22" fillId="14" borderId="662" xfId="15" applyFont="1" applyFill="1" applyBorder="1" applyAlignment="1">
      <alignment horizontal="left" vertical="center" indent="1"/>
    </xf>
    <xf numFmtId="0" fontId="23" fillId="14" borderId="662" xfId="15" applyFont="1" applyFill="1" applyBorder="1" applyAlignment="1">
      <alignment horizontal="center" vertical="center" wrapText="1"/>
    </xf>
    <xf numFmtId="0" fontId="23" fillId="14" borderId="662" xfId="15" applyFont="1" applyFill="1" applyBorder="1" applyAlignment="1">
      <alignment horizontal="left" vertical="center" indent="1"/>
    </xf>
    <xf numFmtId="49" fontId="273" fillId="14" borderId="662" xfId="15" applyNumberFormat="1" applyFont="1" applyFill="1" applyBorder="1" applyAlignment="1">
      <alignment horizontal="center" vertical="center"/>
    </xf>
    <xf numFmtId="0" fontId="99" fillId="0" borderId="662" xfId="15" applyFont="1" applyBorder="1" applyAlignment="1">
      <alignment horizontal="center" vertical="center"/>
    </xf>
    <xf numFmtId="0" fontId="134" fillId="0" borderId="662" xfId="15" applyFont="1" applyBorder="1" applyAlignment="1">
      <alignment horizontal="center" vertical="center"/>
    </xf>
    <xf numFmtId="0" fontId="29" fillId="0" borderId="662" xfId="15" applyFont="1" applyBorder="1" applyAlignment="1">
      <alignment horizontal="left" vertical="center" wrapText="1" indent="1"/>
    </xf>
    <xf numFmtId="49" fontId="273" fillId="3" borderId="662" xfId="15" applyNumberFormat="1" applyFont="1" applyFill="1" applyBorder="1" applyAlignment="1">
      <alignment horizontal="center" vertical="center"/>
    </xf>
    <xf numFmtId="0" fontId="22" fillId="3" borderId="662" xfId="15" applyFont="1" applyFill="1" applyBorder="1" applyAlignment="1">
      <alignment vertical="center"/>
    </xf>
    <xf numFmtId="0" fontId="22" fillId="3" borderId="662" xfId="15" applyFont="1" applyFill="1" applyBorder="1" applyAlignment="1">
      <alignment horizontal="left" vertical="center" wrapText="1" indent="1"/>
    </xf>
    <xf numFmtId="0" fontId="101" fillId="0" borderId="738" xfId="15" applyFont="1" applyBorder="1" applyAlignment="1">
      <alignment horizontal="center" vertical="center"/>
    </xf>
    <xf numFmtId="0" fontId="23" fillId="0" borderId="738" xfId="15" applyFont="1" applyBorder="1" applyAlignment="1">
      <alignment horizontal="center" vertical="center" wrapText="1"/>
    </xf>
    <xf numFmtId="0" fontId="130" fillId="0" borderId="738" xfId="15" applyFont="1" applyBorder="1" applyAlignment="1">
      <alignment vertical="center"/>
    </xf>
    <xf numFmtId="0" fontId="23" fillId="0" borderId="738" xfId="15" applyFont="1" applyBorder="1" applyAlignment="1">
      <alignment horizontal="center" vertical="center"/>
    </xf>
    <xf numFmtId="0" fontId="22" fillId="0" borderId="737" xfId="15" applyFont="1" applyBorder="1" applyAlignment="1">
      <alignment horizontal="left" vertical="center" wrapText="1" indent="1"/>
    </xf>
    <xf numFmtId="0" fontId="23" fillId="0" borderId="770" xfId="15" applyFont="1" applyBorder="1" applyAlignment="1">
      <alignment horizontal="left" vertical="center" wrapText="1" indent="1"/>
    </xf>
    <xf numFmtId="0" fontId="22" fillId="0" borderId="802" xfId="15" applyFont="1" applyBorder="1" applyAlignment="1">
      <alignment horizontal="left" vertical="center" wrapText="1" indent="1"/>
    </xf>
    <xf numFmtId="0" fontId="22" fillId="0" borderId="789" xfId="15" applyFont="1" applyBorder="1" applyAlignment="1">
      <alignment horizontal="left" vertical="center" wrapText="1" indent="1"/>
    </xf>
    <xf numFmtId="0" fontId="130" fillId="3" borderId="662" xfId="15" applyFont="1" applyFill="1" applyBorder="1" applyAlignment="1">
      <alignment vertical="center"/>
    </xf>
    <xf numFmtId="0" fontId="101" fillId="3" borderId="662" xfId="15" applyFont="1" applyFill="1" applyBorder="1" applyAlignment="1">
      <alignment horizontal="center" vertical="center"/>
    </xf>
    <xf numFmtId="0" fontId="23" fillId="3" borderId="674" xfId="15" applyFont="1" applyFill="1" applyBorder="1" applyAlignment="1">
      <alignment horizontal="center" vertical="center"/>
    </xf>
    <xf numFmtId="0" fontId="29" fillId="3" borderId="662" xfId="15" applyFont="1" applyFill="1" applyBorder="1" applyAlignment="1">
      <alignment horizontal="left" vertical="center" wrapText="1" indent="1"/>
    </xf>
    <xf numFmtId="0" fontId="101" fillId="17" borderId="662" xfId="15" applyFont="1" applyFill="1" applyBorder="1" applyAlignment="1">
      <alignment horizontal="center" vertical="center"/>
    </xf>
    <xf numFmtId="0" fontId="129" fillId="17" borderId="662" xfId="15" applyFont="1" applyFill="1" applyBorder="1" applyAlignment="1">
      <alignment horizontal="center" vertical="center"/>
    </xf>
    <xf numFmtId="0" fontId="130" fillId="17" borderId="674" xfId="15" applyFont="1" applyFill="1" applyBorder="1" applyAlignment="1">
      <alignment vertical="center"/>
    </xf>
    <xf numFmtId="0" fontId="23" fillId="0" borderId="738" xfId="15" applyFont="1" applyBorder="1" applyAlignment="1">
      <alignment vertical="center" wrapText="1"/>
    </xf>
    <xf numFmtId="0" fontId="23" fillId="0" borderId="738" xfId="15" applyFont="1" applyBorder="1" applyAlignment="1">
      <alignment vertical="center"/>
    </xf>
    <xf numFmtId="49" fontId="273" fillId="0" borderId="738" xfId="15" applyNumberFormat="1" applyFont="1" applyBorder="1" applyAlignment="1">
      <alignment horizontal="center" vertical="center"/>
    </xf>
    <xf numFmtId="0" fontId="22" fillId="0" borderId="738" xfId="15" applyFont="1" applyBorder="1" applyAlignment="1">
      <alignment vertical="center"/>
    </xf>
    <xf numFmtId="0" fontId="129" fillId="0" borderId="738" xfId="15" applyFont="1" applyBorder="1" applyAlignment="1">
      <alignment horizontal="center" vertical="center"/>
    </xf>
    <xf numFmtId="0" fontId="23" fillId="3" borderId="738" xfId="15" applyFont="1" applyFill="1" applyBorder="1" applyAlignment="1">
      <alignment horizontal="center" vertical="center"/>
    </xf>
    <xf numFmtId="0" fontId="106" fillId="3" borderId="737" xfId="15" applyFont="1" applyFill="1" applyBorder="1" applyAlignment="1">
      <alignment horizontal="center" vertical="center" wrapText="1"/>
    </xf>
    <xf numFmtId="0" fontId="22" fillId="17" borderId="737" xfId="15" applyFont="1" applyFill="1" applyBorder="1" applyAlignment="1">
      <alignment horizontal="left" vertical="center" wrapText="1" indent="1"/>
    </xf>
    <xf numFmtId="0" fontId="129" fillId="0" borderId="737" xfId="15" applyFont="1" applyBorder="1" applyAlignment="1">
      <alignment horizontal="center" vertical="center"/>
    </xf>
    <xf numFmtId="0" fontId="23" fillId="0" borderId="737" xfId="15" applyFont="1" applyBorder="1" applyAlignment="1">
      <alignment horizontal="center" vertical="center" wrapText="1"/>
    </xf>
    <xf numFmtId="0" fontId="130" fillId="0" borderId="737" xfId="15" applyFont="1" applyBorder="1" applyAlignment="1">
      <alignment vertical="center"/>
    </xf>
    <xf numFmtId="0" fontId="23" fillId="17" borderId="737" xfId="15" applyFont="1" applyFill="1" applyBorder="1" applyAlignment="1">
      <alignment horizontal="center" vertical="center" wrapText="1"/>
    </xf>
    <xf numFmtId="0" fontId="23" fillId="17" borderId="737" xfId="15" applyFont="1" applyFill="1" applyBorder="1" applyAlignment="1">
      <alignment horizontal="center" vertical="center"/>
    </xf>
    <xf numFmtId="0" fontId="23" fillId="0" borderId="737" xfId="15" applyFont="1" applyBorder="1" applyAlignment="1">
      <alignment horizontal="center" vertical="center"/>
    </xf>
    <xf numFmtId="49" fontId="273" fillId="0" borderId="737" xfId="15" applyNumberFormat="1" applyFont="1" applyBorder="1" applyAlignment="1">
      <alignment horizontal="center" vertical="center"/>
    </xf>
    <xf numFmtId="0" fontId="22" fillId="0" borderId="737" xfId="15" applyFont="1" applyBorder="1" applyAlignment="1">
      <alignment vertical="center"/>
    </xf>
    <xf numFmtId="0" fontId="101" fillId="0" borderId="737" xfId="15" applyFont="1" applyBorder="1" applyAlignment="1">
      <alignment horizontal="center" vertical="center"/>
    </xf>
    <xf numFmtId="0" fontId="23" fillId="3" borderId="737" xfId="15" applyFont="1" applyFill="1" applyBorder="1" applyAlignment="1">
      <alignment horizontal="center" vertical="center"/>
    </xf>
    <xf numFmtId="0" fontId="101" fillId="0" borderId="737" xfId="15" applyFont="1" applyBorder="1" applyAlignment="1">
      <alignment horizontal="center" vertical="center" wrapText="1"/>
    </xf>
    <xf numFmtId="0" fontId="130" fillId="17" borderId="737" xfId="15" applyFont="1" applyFill="1" applyBorder="1" applyAlignment="1">
      <alignment vertical="center"/>
    </xf>
    <xf numFmtId="0" fontId="22" fillId="17" borderId="807" xfId="15" applyFont="1" applyFill="1" applyBorder="1" applyAlignment="1">
      <alignment horizontal="left" vertical="center" wrapText="1" indent="1"/>
    </xf>
    <xf numFmtId="0" fontId="129" fillId="17" borderId="789" xfId="15" applyFont="1" applyFill="1" applyBorder="1" applyAlignment="1">
      <alignment horizontal="left" vertical="center" indent="1"/>
    </xf>
    <xf numFmtId="0" fontId="101" fillId="17" borderId="789" xfId="15" applyFont="1" applyFill="1" applyBorder="1" applyAlignment="1">
      <alignment horizontal="left" vertical="center" indent="1"/>
    </xf>
    <xf numFmtId="0" fontId="22" fillId="17" borderId="789" xfId="15" applyFont="1" applyFill="1" applyBorder="1" applyAlignment="1">
      <alignment horizontal="left" vertical="center" wrapText="1" indent="1"/>
    </xf>
    <xf numFmtId="0" fontId="22" fillId="17" borderId="789" xfId="15" applyFont="1" applyFill="1" applyBorder="1" applyAlignment="1">
      <alignment horizontal="left" vertical="center" indent="1"/>
    </xf>
    <xf numFmtId="0" fontId="131" fillId="0" borderId="789" xfId="15" applyFont="1" applyBorder="1" applyAlignment="1">
      <alignment horizontal="left" vertical="center" wrapText="1" indent="1"/>
    </xf>
    <xf numFmtId="0" fontId="129" fillId="0" borderId="789" xfId="15" applyFont="1" applyBorder="1" applyAlignment="1">
      <alignment horizontal="left" vertical="center" indent="1"/>
    </xf>
    <xf numFmtId="0" fontId="101" fillId="0" borderId="789" xfId="15" applyFont="1" applyBorder="1" applyAlignment="1">
      <alignment horizontal="left" vertical="center" indent="1"/>
    </xf>
    <xf numFmtId="0" fontId="155" fillId="17" borderId="789" xfId="15" applyFont="1" applyFill="1" applyBorder="1" applyAlignment="1">
      <alignment horizontal="left" wrapText="1" indent="1"/>
    </xf>
    <xf numFmtId="0" fontId="22" fillId="0" borderId="807" xfId="15" applyFont="1" applyBorder="1" applyAlignment="1">
      <alignment horizontal="left" vertical="center" indent="1"/>
    </xf>
    <xf numFmtId="0" fontId="23" fillId="0" borderId="789" xfId="15" applyFont="1" applyBorder="1" applyAlignment="1">
      <alignment vertical="center"/>
    </xf>
    <xf numFmtId="0" fontId="22" fillId="0" borderId="789" xfId="15" applyFont="1" applyBorder="1" applyAlignment="1">
      <alignment vertical="center"/>
    </xf>
    <xf numFmtId="0" fontId="129" fillId="0" borderId="807" xfId="15" applyFont="1" applyBorder="1" applyAlignment="1">
      <alignment horizontal="left" vertical="center" indent="1"/>
    </xf>
    <xf numFmtId="0" fontId="101" fillId="0" borderId="791" xfId="15" applyFont="1" applyBorder="1" applyAlignment="1">
      <alignment horizontal="left" vertical="center" indent="1"/>
    </xf>
    <xf numFmtId="0" fontId="22" fillId="0" borderId="807" xfId="15" applyFont="1" applyBorder="1" applyAlignment="1">
      <alignment horizontal="left" vertical="center" wrapText="1" indent="1"/>
    </xf>
    <xf numFmtId="0" fontId="129" fillId="0" borderId="789" xfId="15" applyFont="1" applyBorder="1" applyAlignment="1">
      <alignment horizontal="left" vertical="center" wrapText="1" indent="1"/>
    </xf>
    <xf numFmtId="0" fontId="101" fillId="3" borderId="789" xfId="15" applyFont="1" applyFill="1" applyBorder="1" applyAlignment="1">
      <alignment horizontal="left" vertical="center" indent="1"/>
    </xf>
    <xf numFmtId="0" fontId="129" fillId="0" borderId="807" xfId="15" applyFont="1" applyBorder="1" applyAlignment="1">
      <alignment horizontal="left" vertical="center" wrapText="1" indent="1"/>
    </xf>
    <xf numFmtId="0" fontId="21" fillId="0" borderId="761" xfId="15" applyFont="1" applyBorder="1" applyAlignment="1">
      <alignment horizontal="left" vertical="center" indent="1"/>
    </xf>
    <xf numFmtId="0" fontId="129" fillId="0" borderId="802" xfId="15" applyFont="1" applyBorder="1" applyAlignment="1">
      <alignment horizontal="left" vertical="center" wrapText="1" indent="1"/>
    </xf>
    <xf numFmtId="0" fontId="106" fillId="3" borderId="738" xfId="15" applyFont="1" applyFill="1" applyBorder="1" applyAlignment="1">
      <alignment horizontal="center" vertical="center" wrapText="1"/>
    </xf>
    <xf numFmtId="0" fontId="101" fillId="17" borderId="791" xfId="15" applyFont="1" applyFill="1" applyBorder="1" applyAlignment="1">
      <alignment horizontal="left" vertical="center" indent="1"/>
    </xf>
    <xf numFmtId="0" fontId="101" fillId="0" borderId="738" xfId="15" applyFont="1" applyBorder="1" applyAlignment="1">
      <alignment vertical="center"/>
    </xf>
    <xf numFmtId="0" fontId="23" fillId="17" borderId="738" xfId="15" applyFont="1" applyFill="1" applyBorder="1" applyAlignment="1">
      <alignment horizontal="center" vertical="center" wrapText="1"/>
    </xf>
    <xf numFmtId="0" fontId="23" fillId="17" borderId="738" xfId="15" applyFont="1" applyFill="1" applyBorder="1" applyAlignment="1">
      <alignment horizontal="center" vertical="center"/>
    </xf>
    <xf numFmtId="0" fontId="101" fillId="17" borderId="812" xfId="15" applyFont="1" applyFill="1" applyBorder="1" applyAlignment="1">
      <alignment horizontal="left" vertical="center" indent="1"/>
    </xf>
    <xf numFmtId="0" fontId="101" fillId="0" borderId="770" xfId="15" applyFont="1" applyBorder="1" applyAlignment="1">
      <alignment horizontal="center" vertical="center"/>
    </xf>
    <xf numFmtId="0" fontId="23" fillId="0" borderId="770" xfId="15" applyFont="1" applyBorder="1" applyAlignment="1">
      <alignment horizontal="center" vertical="center" wrapText="1"/>
    </xf>
    <xf numFmtId="0" fontId="130" fillId="0" borderId="770" xfId="15" applyFont="1" applyBorder="1" applyAlignment="1">
      <alignment vertical="center"/>
    </xf>
    <xf numFmtId="0" fontId="23" fillId="17" borderId="770" xfId="15" applyFont="1" applyFill="1" applyBorder="1" applyAlignment="1">
      <alignment horizontal="center" vertical="center" wrapText="1"/>
    </xf>
    <xf numFmtId="0" fontId="23" fillId="17" borderId="770" xfId="15" applyFont="1" applyFill="1" applyBorder="1" applyAlignment="1">
      <alignment horizontal="center" vertical="center"/>
    </xf>
    <xf numFmtId="0" fontId="23" fillId="0" borderId="770" xfId="15" applyFont="1" applyBorder="1" applyAlignment="1">
      <alignment horizontal="center" vertical="center"/>
    </xf>
    <xf numFmtId="0" fontId="129" fillId="17" borderId="802" xfId="15" applyFont="1" applyFill="1" applyBorder="1" applyAlignment="1">
      <alignment horizontal="left" vertical="center" indent="1"/>
    </xf>
    <xf numFmtId="0" fontId="129" fillId="0" borderId="674" xfId="15" applyFont="1" applyBorder="1" applyAlignment="1">
      <alignment vertical="center"/>
    </xf>
    <xf numFmtId="0" fontId="23" fillId="0" borderId="674" xfId="15" applyFont="1" applyBorder="1" applyAlignment="1">
      <alignment vertical="center" wrapText="1"/>
    </xf>
    <xf numFmtId="0" fontId="129" fillId="17" borderId="807" xfId="15" applyFont="1" applyFill="1" applyBorder="1" applyAlignment="1">
      <alignment horizontal="left" vertical="center" indent="1"/>
    </xf>
    <xf numFmtId="0" fontId="129" fillId="17" borderId="737" xfId="15" applyFont="1" applyFill="1" applyBorder="1" applyAlignment="1">
      <alignment vertical="center"/>
    </xf>
    <xf numFmtId="0" fontId="23" fillId="17" borderId="737" xfId="15" applyFont="1" applyFill="1" applyBorder="1" applyAlignment="1">
      <alignment vertical="center" wrapText="1"/>
    </xf>
    <xf numFmtId="0" fontId="101" fillId="17" borderId="738" xfId="15" applyFont="1" applyFill="1" applyBorder="1" applyAlignment="1">
      <alignment vertical="center"/>
    </xf>
    <xf numFmtId="0" fontId="23" fillId="17" borderId="738" xfId="15" applyFont="1" applyFill="1" applyBorder="1" applyAlignment="1">
      <alignment horizontal="left" vertical="center" wrapText="1" indent="1"/>
    </xf>
    <xf numFmtId="0" fontId="23" fillId="17" borderId="738" xfId="15" applyFont="1" applyFill="1" applyBorder="1" applyAlignment="1">
      <alignment vertical="center" wrapText="1"/>
    </xf>
    <xf numFmtId="0" fontId="130" fillId="17" borderId="738" xfId="15" applyFont="1" applyFill="1" applyBorder="1" applyAlignment="1">
      <alignment vertical="center"/>
    </xf>
    <xf numFmtId="0" fontId="101" fillId="17" borderId="770" xfId="15" applyFont="1" applyFill="1" applyBorder="1" applyAlignment="1">
      <alignment vertical="center"/>
    </xf>
    <xf numFmtId="0" fontId="23" fillId="17" borderId="770" xfId="15" applyFont="1" applyFill="1" applyBorder="1" applyAlignment="1">
      <alignment horizontal="left" vertical="center" wrapText="1" indent="1"/>
    </xf>
    <xf numFmtId="0" fontId="23" fillId="17" borderId="770" xfId="15" applyFont="1" applyFill="1" applyBorder="1" applyAlignment="1">
      <alignment vertical="center" wrapText="1"/>
    </xf>
    <xf numFmtId="0" fontId="130" fillId="17" borderId="770" xfId="15" applyFont="1" applyFill="1" applyBorder="1" applyAlignment="1">
      <alignment vertical="center"/>
    </xf>
    <xf numFmtId="49" fontId="273" fillId="17" borderId="674" xfId="15" applyNumberFormat="1" applyFont="1" applyFill="1" applyBorder="1" applyAlignment="1">
      <alignment horizontal="center" vertical="center"/>
    </xf>
    <xf numFmtId="0" fontId="129" fillId="0" borderId="737" xfId="15" applyFont="1" applyBorder="1" applyAlignment="1">
      <alignment vertical="center"/>
    </xf>
    <xf numFmtId="0" fontId="23" fillId="0" borderId="737" xfId="15" applyFont="1" applyBorder="1" applyAlignment="1">
      <alignment vertical="center" wrapText="1"/>
    </xf>
    <xf numFmtId="0" fontId="129" fillId="0" borderId="812" xfId="15" applyFont="1" applyBorder="1" applyAlignment="1">
      <alignment horizontal="left" vertical="center" indent="1"/>
    </xf>
    <xf numFmtId="0" fontId="129" fillId="0" borderId="770" xfId="15" applyFont="1" applyBorder="1" applyAlignment="1">
      <alignment vertical="center"/>
    </xf>
    <xf numFmtId="0" fontId="23" fillId="0" borderId="770" xfId="15" applyFont="1" applyBorder="1" applyAlignment="1">
      <alignment vertical="center" wrapText="1"/>
    </xf>
    <xf numFmtId="0" fontId="129" fillId="0" borderId="802" xfId="15" applyFont="1" applyBorder="1" applyAlignment="1">
      <alignment horizontal="left" vertical="center" indent="1"/>
    </xf>
    <xf numFmtId="0" fontId="22" fillId="39" borderId="41" xfId="0" applyFont="1" applyFill="1" applyBorder="1" applyAlignment="1">
      <alignment horizontal="left" vertical="center" indent="1"/>
    </xf>
    <xf numFmtId="0" fontId="101" fillId="0" borderId="812" xfId="15" applyFont="1" applyBorder="1" applyAlignment="1">
      <alignment horizontal="left" vertical="center" indent="1"/>
    </xf>
    <xf numFmtId="0" fontId="101" fillId="0" borderId="770" xfId="15" applyFont="1" applyBorder="1" applyAlignment="1">
      <alignment vertical="center"/>
    </xf>
    <xf numFmtId="0" fontId="22" fillId="0" borderId="816" xfId="15" applyFont="1" applyBorder="1" applyAlignment="1">
      <alignment horizontal="left" vertical="center" wrapText="1" indent="1"/>
    </xf>
    <xf numFmtId="0" fontId="23" fillId="0" borderId="817" xfId="15" applyFont="1" applyBorder="1" applyAlignment="1">
      <alignment horizontal="left" vertical="center" wrapText="1" indent="1"/>
    </xf>
    <xf numFmtId="0" fontId="22" fillId="0" borderId="817" xfId="15" applyFont="1" applyBorder="1" applyAlignment="1">
      <alignment horizontal="left" vertical="center" wrapText="1" indent="1"/>
    </xf>
    <xf numFmtId="0" fontId="100" fillId="0" borderId="817" xfId="15" applyFont="1" applyBorder="1" applyAlignment="1">
      <alignment horizontal="left" vertical="center" wrapText="1" indent="1"/>
    </xf>
    <xf numFmtId="0" fontId="106" fillId="0" borderId="817" xfId="15" applyFont="1" applyBorder="1" applyAlignment="1">
      <alignment horizontal="center" vertical="center" wrapText="1"/>
    </xf>
    <xf numFmtId="0" fontId="23" fillId="0" borderId="818" xfId="15" applyFont="1" applyBorder="1" applyAlignment="1">
      <alignment horizontal="left" vertical="center" wrapText="1" indent="1"/>
    </xf>
    <xf numFmtId="0" fontId="129" fillId="0" borderId="819" xfId="15" applyFont="1" applyBorder="1" applyAlignment="1">
      <alignment horizontal="left" vertical="center" indent="1"/>
    </xf>
    <xf numFmtId="0" fontId="129" fillId="0" borderId="817" xfId="15" applyFont="1" applyBorder="1" applyAlignment="1">
      <alignment vertical="center"/>
    </xf>
    <xf numFmtId="0" fontId="23" fillId="0" borderId="817" xfId="15" applyFont="1" applyBorder="1" applyAlignment="1">
      <alignment vertical="center" wrapText="1"/>
    </xf>
    <xf numFmtId="0" fontId="130" fillId="0" borderId="817" xfId="15" applyFont="1" applyBorder="1" applyAlignment="1">
      <alignment vertical="center"/>
    </xf>
    <xf numFmtId="0" fontId="23" fillId="0" borderId="817" xfId="15" applyFont="1" applyBorder="1" applyAlignment="1">
      <alignment horizontal="center" vertical="center" wrapText="1"/>
    </xf>
    <xf numFmtId="0" fontId="23" fillId="0" borderId="817" xfId="15" applyFont="1" applyBorder="1" applyAlignment="1">
      <alignment horizontal="center" vertical="center"/>
    </xf>
    <xf numFmtId="0" fontId="23" fillId="0" borderId="820" xfId="15" applyFont="1" applyBorder="1" applyAlignment="1">
      <alignment vertical="center" wrapText="1"/>
    </xf>
    <xf numFmtId="0" fontId="22" fillId="0" borderId="825" xfId="15" applyFont="1" applyBorder="1" applyAlignment="1">
      <alignment horizontal="left" vertical="center" wrapText="1" indent="1"/>
    </xf>
    <xf numFmtId="0" fontId="23" fillId="0" borderId="826" xfId="15" applyFont="1" applyBorder="1" applyAlignment="1">
      <alignment horizontal="left" vertical="center" wrapText="1" indent="1"/>
    </xf>
    <xf numFmtId="0" fontId="22" fillId="0" borderId="826" xfId="15" applyFont="1" applyBorder="1" applyAlignment="1">
      <alignment horizontal="left" vertical="center" wrapText="1" indent="1"/>
    </xf>
    <xf numFmtId="0" fontId="100" fillId="0" borderId="826" xfId="15" applyFont="1" applyBorder="1" applyAlignment="1">
      <alignment horizontal="left" vertical="center" wrapText="1" indent="1"/>
    </xf>
    <xf numFmtId="0" fontId="106" fillId="0" borderId="826" xfId="15" applyFont="1" applyBorder="1" applyAlignment="1">
      <alignment horizontal="center" vertical="center" wrapText="1"/>
    </xf>
    <xf numFmtId="0" fontId="23" fillId="0" borderId="776" xfId="15" applyFont="1" applyBorder="1" applyAlignment="1">
      <alignment horizontal="left" vertical="center" wrapText="1" indent="1"/>
    </xf>
    <xf numFmtId="0" fontId="129" fillId="0" borderId="827" xfId="15" applyFont="1" applyBorder="1" applyAlignment="1">
      <alignment horizontal="left" vertical="center" indent="1"/>
    </xf>
    <xf numFmtId="0" fontId="129" fillId="0" borderId="826" xfId="15" applyFont="1" applyBorder="1" applyAlignment="1">
      <alignment vertical="center"/>
    </xf>
    <xf numFmtId="0" fontId="23" fillId="0" borderId="826" xfId="15" applyFont="1" applyBorder="1" applyAlignment="1">
      <alignment vertical="center" wrapText="1"/>
    </xf>
    <xf numFmtId="0" fontId="130" fillId="0" borderId="826" xfId="15" applyFont="1" applyBorder="1" applyAlignment="1">
      <alignment vertical="center"/>
    </xf>
    <xf numFmtId="0" fontId="23" fillId="0" borderId="826" xfId="15" applyFont="1" applyBorder="1" applyAlignment="1">
      <alignment horizontal="center" vertical="center" wrapText="1"/>
    </xf>
    <xf numFmtId="0" fontId="23" fillId="0" borderId="826" xfId="15" applyFont="1" applyBorder="1" applyAlignment="1">
      <alignment horizontal="center" vertical="center"/>
    </xf>
    <xf numFmtId="0" fontId="23" fillId="0" borderId="828" xfId="15" applyFont="1" applyBorder="1" applyAlignment="1">
      <alignment vertical="center" wrapText="1"/>
    </xf>
    <xf numFmtId="0" fontId="22" fillId="0" borderId="807" xfId="15" applyFont="1" applyBorder="1" applyAlignment="1">
      <alignment vertical="center"/>
    </xf>
    <xf numFmtId="0" fontId="22" fillId="0" borderId="791" xfId="15" applyFont="1" applyBorder="1" applyAlignment="1">
      <alignment vertical="center"/>
    </xf>
    <xf numFmtId="0" fontId="23" fillId="0" borderId="812" xfId="15" applyFont="1" applyBorder="1" applyAlignment="1">
      <alignment vertical="center"/>
    </xf>
    <xf numFmtId="49" fontId="273" fillId="0" borderId="770" xfId="15" applyNumberFormat="1" applyFont="1" applyBorder="1" applyAlignment="1">
      <alignment horizontal="center" vertical="center"/>
    </xf>
    <xf numFmtId="0" fontId="22" fillId="0" borderId="770" xfId="15" applyFont="1" applyBorder="1" applyAlignment="1">
      <alignment vertical="center"/>
    </xf>
    <xf numFmtId="0" fontId="23" fillId="0" borderId="802" xfId="15" applyFont="1" applyBorder="1" applyAlignment="1">
      <alignment vertical="center"/>
    </xf>
    <xf numFmtId="0" fontId="23" fillId="0" borderId="807" xfId="15" applyFont="1" applyBorder="1" applyAlignment="1">
      <alignment vertical="center"/>
    </xf>
    <xf numFmtId="49" fontId="273" fillId="17" borderId="738" xfId="15" applyNumberFormat="1" applyFont="1" applyFill="1" applyBorder="1" applyAlignment="1">
      <alignment horizontal="center" vertical="center"/>
    </xf>
    <xf numFmtId="0" fontId="22" fillId="17" borderId="738" xfId="15" applyFont="1" applyFill="1" applyBorder="1" applyAlignment="1">
      <alignment vertical="center"/>
    </xf>
    <xf numFmtId="0" fontId="21" fillId="0" borderId="770" xfId="15" applyFont="1" applyBorder="1" applyAlignment="1">
      <alignment horizontal="left" vertical="center" indent="1"/>
    </xf>
    <xf numFmtId="0" fontId="21" fillId="0" borderId="771" xfId="15" applyFont="1" applyBorder="1" applyAlignment="1">
      <alignment horizontal="left" vertical="center" indent="1"/>
    </xf>
    <xf numFmtId="0" fontId="22" fillId="0" borderId="812" xfId="15" applyFont="1" applyBorder="1" applyAlignment="1">
      <alignment vertical="center"/>
    </xf>
    <xf numFmtId="0" fontId="23" fillId="17" borderId="674" xfId="15" applyFont="1" applyFill="1" applyBorder="1" applyAlignment="1">
      <alignment horizontal="left" vertical="center" wrapText="1" indent="1"/>
    </xf>
    <xf numFmtId="0" fontId="22" fillId="17" borderId="674" xfId="15" applyFont="1" applyFill="1" applyBorder="1" applyAlignment="1">
      <alignment vertical="center"/>
    </xf>
    <xf numFmtId="49" fontId="273" fillId="3" borderId="738" xfId="15" applyNumberFormat="1" applyFont="1" applyFill="1" applyBorder="1" applyAlignment="1">
      <alignment horizontal="center" vertical="center"/>
    </xf>
    <xf numFmtId="0" fontId="22" fillId="3" borderId="738" xfId="15" applyFont="1" applyFill="1" applyBorder="1" applyAlignment="1">
      <alignment vertical="center"/>
    </xf>
    <xf numFmtId="49" fontId="273" fillId="17" borderId="770" xfId="15" applyNumberFormat="1" applyFont="1" applyFill="1" applyBorder="1" applyAlignment="1">
      <alignment horizontal="center" vertical="center"/>
    </xf>
    <xf numFmtId="0" fontId="22" fillId="17" borderId="770" xfId="15" applyFont="1" applyFill="1" applyBorder="1" applyAlignment="1">
      <alignment vertical="center"/>
    </xf>
    <xf numFmtId="49" fontId="273" fillId="3" borderId="674" xfId="15" applyNumberFormat="1" applyFont="1" applyFill="1" applyBorder="1" applyAlignment="1">
      <alignment horizontal="center" vertical="center"/>
    </xf>
    <xf numFmtId="0" fontId="22" fillId="3" borderId="674" xfId="15" applyFont="1" applyFill="1" applyBorder="1" applyAlignment="1">
      <alignment vertical="center"/>
    </xf>
    <xf numFmtId="0" fontId="222" fillId="0" borderId="737" xfId="15" applyFont="1" applyBorder="1" applyAlignment="1">
      <alignment horizontal="center" vertical="center"/>
    </xf>
    <xf numFmtId="0" fontId="23" fillId="0" borderId="738" xfId="15" applyFont="1" applyBorder="1" applyAlignment="1">
      <alignment horizontal="left" vertical="center" indent="1"/>
    </xf>
    <xf numFmtId="0" fontId="129" fillId="0" borderId="770" xfId="15" applyFont="1" applyBorder="1" applyAlignment="1">
      <alignment horizontal="center" vertical="center"/>
    </xf>
    <xf numFmtId="0" fontId="23" fillId="3" borderId="770" xfId="15" applyFont="1" applyFill="1" applyBorder="1" applyAlignment="1">
      <alignment horizontal="center" vertical="center"/>
    </xf>
    <xf numFmtId="0" fontId="101" fillId="0" borderId="674" xfId="15" applyFont="1" applyBorder="1" applyAlignment="1">
      <alignment horizontal="center" vertical="center"/>
    </xf>
    <xf numFmtId="0" fontId="23" fillId="3" borderId="817" xfId="15" applyFont="1" applyFill="1" applyBorder="1" applyAlignment="1">
      <alignment horizontal="center" vertical="center" wrapText="1"/>
    </xf>
    <xf numFmtId="0" fontId="23" fillId="3" borderId="817" xfId="15" applyFont="1" applyFill="1" applyBorder="1" applyAlignment="1">
      <alignment horizontal="left" vertical="center" wrapText="1" indent="1"/>
    </xf>
    <xf numFmtId="0" fontId="23" fillId="17" borderId="817" xfId="15" applyFont="1" applyFill="1" applyBorder="1" applyAlignment="1">
      <alignment horizontal="center" vertical="center" wrapText="1"/>
    </xf>
    <xf numFmtId="0" fontId="23" fillId="17" borderId="817" xfId="15" applyFont="1" applyFill="1" applyBorder="1" applyAlignment="1">
      <alignment horizontal="center" vertical="center"/>
    </xf>
    <xf numFmtId="0" fontId="23" fillId="3" borderId="817" xfId="15" applyFont="1" applyFill="1" applyBorder="1" applyAlignment="1">
      <alignment horizontal="center" vertical="center"/>
    </xf>
    <xf numFmtId="0" fontId="129" fillId="0" borderId="737" xfId="15" applyFont="1" applyBorder="1" applyAlignment="1">
      <alignment horizontal="center" vertical="center" wrapText="1"/>
    </xf>
    <xf numFmtId="0" fontId="23" fillId="3" borderId="829" xfId="15" applyFont="1" applyFill="1" applyBorder="1" applyAlignment="1">
      <alignment horizontal="left" vertical="center" wrapText="1" indent="1"/>
    </xf>
    <xf numFmtId="0" fontId="23" fillId="3" borderId="830" xfId="15" applyFont="1" applyFill="1" applyBorder="1" applyAlignment="1">
      <alignment horizontal="left" vertical="center" wrapText="1" indent="1"/>
    </xf>
    <xf numFmtId="0" fontId="22" fillId="0" borderId="829" xfId="15" applyFont="1" applyBorder="1" applyAlignment="1">
      <alignment horizontal="left" vertical="center" wrapText="1" indent="1"/>
    </xf>
    <xf numFmtId="0" fontId="23" fillId="0" borderId="829" xfId="15" applyFont="1" applyBorder="1" applyAlignment="1">
      <alignment horizontal="center" vertical="center" wrapText="1"/>
    </xf>
    <xf numFmtId="49" fontId="273" fillId="0" borderId="829" xfId="15" applyNumberFormat="1" applyFont="1" applyBorder="1" applyAlignment="1">
      <alignment horizontal="center" vertical="center"/>
    </xf>
    <xf numFmtId="0" fontId="22" fillId="0" borderId="829" xfId="15" applyFont="1" applyBorder="1" applyAlignment="1">
      <alignment vertical="center"/>
    </xf>
    <xf numFmtId="0" fontId="23" fillId="17" borderId="829" xfId="15" applyFont="1" applyFill="1" applyBorder="1" applyAlignment="1">
      <alignment horizontal="center" vertical="center" wrapText="1"/>
    </xf>
    <xf numFmtId="0" fontId="23" fillId="17" borderId="829" xfId="15" applyFont="1" applyFill="1" applyBorder="1" applyAlignment="1">
      <alignment horizontal="center" vertical="center"/>
    </xf>
    <xf numFmtId="0" fontId="23" fillId="3" borderId="829" xfId="15" applyFont="1" applyFill="1" applyBorder="1" applyAlignment="1">
      <alignment horizontal="center" vertical="center"/>
    </xf>
    <xf numFmtId="0" fontId="23" fillId="0" borderId="832" xfId="15" applyFont="1" applyBorder="1" applyAlignment="1">
      <alignment vertical="center"/>
    </xf>
    <xf numFmtId="49" fontId="273" fillId="0" borderId="770" xfId="15" applyNumberFormat="1" applyFont="1" applyBorder="1" applyAlignment="1">
      <alignment horizontal="center" vertical="center" wrapText="1"/>
    </xf>
    <xf numFmtId="0" fontId="22" fillId="39" borderId="789" xfId="0" applyFont="1" applyFill="1" applyBorder="1" applyAlignment="1">
      <alignment horizontal="left" vertical="center" indent="1"/>
    </xf>
    <xf numFmtId="0" fontId="99" fillId="0" borderId="770" xfId="15" applyFont="1" applyBorder="1" applyAlignment="1">
      <alignment horizontal="center" vertical="center"/>
    </xf>
    <xf numFmtId="0" fontId="101" fillId="0" borderId="807" xfId="15" applyFont="1" applyBorder="1" applyAlignment="1">
      <alignment horizontal="left" vertical="center" indent="1"/>
    </xf>
    <xf numFmtId="0" fontId="130" fillId="0" borderId="738" xfId="15" applyFont="1" applyBorder="1" applyAlignment="1">
      <alignment horizontal="center" vertical="center"/>
    </xf>
    <xf numFmtId="0" fontId="130" fillId="0" borderId="674" xfId="15" applyFont="1" applyBorder="1" applyAlignment="1">
      <alignment horizontal="center" vertical="center"/>
    </xf>
    <xf numFmtId="0" fontId="106" fillId="3" borderId="817" xfId="15" applyFont="1" applyFill="1" applyBorder="1" applyAlignment="1">
      <alignment horizontal="center" vertical="center" wrapText="1"/>
    </xf>
    <xf numFmtId="0" fontId="101" fillId="0" borderId="819" xfId="15" applyFont="1" applyBorder="1" applyAlignment="1">
      <alignment horizontal="left" vertical="center" indent="1"/>
    </xf>
    <xf numFmtId="0" fontId="101" fillId="0" borderId="817" xfId="15" applyFont="1" applyBorder="1" applyAlignment="1">
      <alignment horizontal="center" vertical="center"/>
    </xf>
    <xf numFmtId="0" fontId="87" fillId="0" borderId="817" xfId="15" applyFont="1" applyBorder="1" applyAlignment="1">
      <alignment horizontal="center" vertical="center" wrapText="1"/>
    </xf>
    <xf numFmtId="0" fontId="129" fillId="0" borderId="817" xfId="15" applyFont="1" applyBorder="1" applyAlignment="1">
      <alignment horizontal="center" vertical="center"/>
    </xf>
    <xf numFmtId="0" fontId="22" fillId="0" borderId="834" xfId="15" applyFont="1" applyBorder="1" applyAlignment="1">
      <alignment horizontal="left" vertical="center" wrapText="1" indent="1"/>
    </xf>
    <xf numFmtId="0" fontId="23" fillId="0" borderId="669" xfId="15" applyFont="1" applyBorder="1" applyAlignment="1">
      <alignment horizontal="left" vertical="center" wrapText="1" indent="1"/>
    </xf>
    <xf numFmtId="0" fontId="22" fillId="0" borderId="669" xfId="15" applyFont="1" applyBorder="1" applyAlignment="1">
      <alignment horizontal="left" vertical="center" wrapText="1" indent="1"/>
    </xf>
    <xf numFmtId="0" fontId="106" fillId="3" borderId="669" xfId="15" applyFont="1" applyFill="1" applyBorder="1" applyAlignment="1">
      <alignment horizontal="center" vertical="center" wrapText="1"/>
    </xf>
    <xf numFmtId="0" fontId="23" fillId="0" borderId="664" xfId="15" applyFont="1" applyBorder="1" applyAlignment="1">
      <alignment horizontal="left" vertical="center" wrapText="1" indent="1"/>
    </xf>
    <xf numFmtId="0" fontId="101" fillId="0" borderId="835" xfId="15" applyFont="1" applyBorder="1" applyAlignment="1">
      <alignment horizontal="left" vertical="center" indent="1"/>
    </xf>
    <xf numFmtId="0" fontId="101" fillId="0" borderId="669" xfId="15" applyFont="1" applyBorder="1" applyAlignment="1">
      <alignment horizontal="center" vertical="center"/>
    </xf>
    <xf numFmtId="0" fontId="23" fillId="0" borderId="669" xfId="15" applyFont="1" applyBorder="1" applyAlignment="1">
      <alignment horizontal="center" vertical="center" wrapText="1"/>
    </xf>
    <xf numFmtId="0" fontId="130" fillId="0" borderId="669" xfId="15" applyFont="1" applyBorder="1" applyAlignment="1">
      <alignment vertical="center"/>
    </xf>
    <xf numFmtId="0" fontId="23" fillId="0" borderId="669" xfId="15" applyFont="1" applyBorder="1" applyAlignment="1">
      <alignment horizontal="center" vertical="center"/>
    </xf>
    <xf numFmtId="0" fontId="23" fillId="0" borderId="836" xfId="15" applyFont="1" applyBorder="1" applyAlignment="1">
      <alignment vertical="center" wrapText="1"/>
    </xf>
    <xf numFmtId="0" fontId="129" fillId="0" borderId="812" xfId="15" applyFont="1" applyBorder="1" applyAlignment="1">
      <alignment horizontal="left" vertical="center" wrapText="1" indent="1"/>
    </xf>
    <xf numFmtId="0" fontId="130" fillId="3" borderId="817" xfId="15" applyFont="1" applyFill="1" applyBorder="1" applyAlignment="1">
      <alignment vertical="center"/>
    </xf>
    <xf numFmtId="0" fontId="106" fillId="0" borderId="669" xfId="15" applyFont="1" applyBorder="1" applyAlignment="1">
      <alignment horizontal="center" vertical="center" wrapText="1"/>
    </xf>
    <xf numFmtId="0" fontId="129" fillId="0" borderId="669" xfId="15" applyFont="1" applyBorder="1" applyAlignment="1">
      <alignment horizontal="center" vertical="center"/>
    </xf>
    <xf numFmtId="0" fontId="23" fillId="3" borderId="669" xfId="15" applyFont="1" applyFill="1" applyBorder="1" applyAlignment="1">
      <alignment horizontal="left" vertical="center" wrapText="1" indent="1"/>
    </xf>
    <xf numFmtId="0" fontId="23" fillId="3" borderId="669" xfId="15" applyFont="1" applyFill="1" applyBorder="1" applyAlignment="1">
      <alignment horizontal="center" vertical="center" wrapText="1"/>
    </xf>
    <xf numFmtId="0" fontId="130" fillId="3" borderId="669" xfId="15" applyFont="1" applyFill="1" applyBorder="1" applyAlignment="1">
      <alignment vertical="center"/>
    </xf>
    <xf numFmtId="0" fontId="23" fillId="3" borderId="669" xfId="15" applyFont="1" applyFill="1" applyBorder="1" applyAlignment="1">
      <alignment horizontal="center" vertical="center"/>
    </xf>
    <xf numFmtId="0" fontId="101" fillId="3" borderId="669" xfId="15" applyFont="1" applyFill="1" applyBorder="1" applyAlignment="1">
      <alignment horizontal="left" vertical="center" indent="1"/>
    </xf>
    <xf numFmtId="0" fontId="101" fillId="3" borderId="669" xfId="15" applyFont="1" applyFill="1" applyBorder="1" applyAlignment="1">
      <alignment horizontal="center" vertical="center"/>
    </xf>
    <xf numFmtId="49" fontId="273" fillId="3" borderId="669" xfId="15" applyNumberFormat="1" applyFont="1" applyFill="1" applyBorder="1" applyAlignment="1">
      <alignment horizontal="center" vertical="center"/>
    </xf>
    <xf numFmtId="0" fontId="129" fillId="3" borderId="669" xfId="15" applyFont="1" applyFill="1" applyBorder="1" applyAlignment="1">
      <alignment vertical="center"/>
    </xf>
    <xf numFmtId="0" fontId="129" fillId="3" borderId="669" xfId="15" applyFont="1" applyFill="1" applyBorder="1" applyAlignment="1">
      <alignment horizontal="center" vertical="center"/>
    </xf>
    <xf numFmtId="0" fontId="129" fillId="0" borderId="819" xfId="15" applyFont="1" applyBorder="1" applyAlignment="1">
      <alignment horizontal="left" vertical="center" wrapText="1" indent="1"/>
    </xf>
    <xf numFmtId="0" fontId="129" fillId="0" borderId="826" xfId="15" applyFont="1" applyBorder="1" applyAlignment="1">
      <alignment horizontal="center" vertical="center"/>
    </xf>
    <xf numFmtId="0" fontId="101" fillId="0" borderId="826" xfId="15" applyFont="1" applyBorder="1" applyAlignment="1">
      <alignment horizontal="center" vertical="center"/>
    </xf>
    <xf numFmtId="0" fontId="23" fillId="3" borderId="826" xfId="15" applyFont="1" applyFill="1" applyBorder="1" applyAlignment="1">
      <alignment horizontal="center" vertical="center"/>
    </xf>
    <xf numFmtId="0" fontId="129" fillId="17" borderId="737" xfId="15" applyFont="1" applyFill="1" applyBorder="1" applyAlignment="1">
      <alignment horizontal="center" vertical="center"/>
    </xf>
    <xf numFmtId="0" fontId="101" fillId="17" borderId="738" xfId="15" applyFont="1" applyFill="1" applyBorder="1" applyAlignment="1">
      <alignment horizontal="center" vertical="center"/>
    </xf>
    <xf numFmtId="0" fontId="101" fillId="17" borderId="770" xfId="15" applyFont="1" applyFill="1" applyBorder="1" applyAlignment="1">
      <alignment horizontal="center" vertical="center"/>
    </xf>
    <xf numFmtId="0" fontId="29" fillId="0" borderId="817" xfId="15" applyFont="1" applyBorder="1" applyAlignment="1">
      <alignment horizontal="left" vertical="center" wrapText="1" indent="1"/>
    </xf>
    <xf numFmtId="0" fontId="130" fillId="17" borderId="817" xfId="15" applyFont="1" applyFill="1" applyBorder="1" applyAlignment="1">
      <alignment vertical="center"/>
    </xf>
    <xf numFmtId="0" fontId="21" fillId="0" borderId="820" xfId="15" applyFont="1" applyBorder="1" applyAlignment="1">
      <alignment vertical="center"/>
    </xf>
    <xf numFmtId="0" fontId="101" fillId="0" borderId="770" xfId="15" applyFont="1" applyBorder="1" applyAlignment="1">
      <alignment horizontal="center" vertical="center" wrapText="1"/>
    </xf>
    <xf numFmtId="0" fontId="129" fillId="17" borderId="819" xfId="15" applyFont="1" applyFill="1" applyBorder="1" applyAlignment="1">
      <alignment horizontal="left" vertical="center" wrapText="1" indent="1"/>
    </xf>
    <xf numFmtId="0" fontId="101" fillId="17" borderId="817" xfId="15" applyFont="1" applyFill="1" applyBorder="1" applyAlignment="1">
      <alignment horizontal="center" vertical="center"/>
    </xf>
    <xf numFmtId="0" fontId="23" fillId="17" borderId="817" xfId="15" applyFont="1" applyFill="1" applyBorder="1" applyAlignment="1">
      <alignment horizontal="left" vertical="center" wrapText="1" indent="1"/>
    </xf>
    <xf numFmtId="0" fontId="129" fillId="0" borderId="835" xfId="15" applyFont="1" applyBorder="1" applyAlignment="1">
      <alignment horizontal="left" vertical="center" wrapText="1" indent="1"/>
    </xf>
    <xf numFmtId="0" fontId="130" fillId="17" borderId="669" xfId="15" applyFont="1" applyFill="1" applyBorder="1" applyAlignment="1">
      <alignment vertical="center"/>
    </xf>
    <xf numFmtId="0" fontId="23" fillId="17" borderId="669" xfId="15" applyFont="1" applyFill="1" applyBorder="1" applyAlignment="1">
      <alignment horizontal="center" vertical="center" wrapText="1"/>
    </xf>
    <xf numFmtId="0" fontId="23" fillId="17" borderId="669" xfId="15" applyFont="1" applyFill="1" applyBorder="1" applyAlignment="1">
      <alignment horizontal="center" vertical="center"/>
    </xf>
    <xf numFmtId="0" fontId="21" fillId="0" borderId="836" xfId="15" applyFont="1" applyBorder="1" applyAlignment="1">
      <alignment vertical="center"/>
    </xf>
    <xf numFmtId="0" fontId="130" fillId="17" borderId="817" xfId="15" applyFont="1" applyFill="1" applyBorder="1" applyAlignment="1">
      <alignment horizontal="left" vertical="center" indent="1"/>
    </xf>
    <xf numFmtId="0" fontId="130" fillId="17" borderId="817" xfId="15" applyFont="1" applyFill="1" applyBorder="1" applyAlignment="1">
      <alignment horizontal="center" vertical="center"/>
    </xf>
    <xf numFmtId="49" fontId="273" fillId="17" borderId="817" xfId="15" applyNumberFormat="1" applyFont="1" applyFill="1" applyBorder="1" applyAlignment="1">
      <alignment horizontal="center" vertical="center" wrapText="1"/>
    </xf>
    <xf numFmtId="0" fontId="23" fillId="17" borderId="817" xfId="15" applyFont="1" applyFill="1" applyBorder="1" applyAlignment="1">
      <alignment vertical="center" wrapText="1"/>
    </xf>
    <xf numFmtId="0" fontId="100" fillId="0" borderId="669" xfId="15" applyFont="1" applyBorder="1" applyAlignment="1">
      <alignment horizontal="left" vertical="center" wrapText="1" indent="1"/>
    </xf>
    <xf numFmtId="0" fontId="129" fillId="17" borderId="835" xfId="15" applyFont="1" applyFill="1" applyBorder="1" applyAlignment="1">
      <alignment horizontal="left" vertical="center" wrapText="1" indent="1"/>
    </xf>
    <xf numFmtId="0" fontId="101" fillId="17" borderId="669" xfId="15" applyFont="1" applyFill="1" applyBorder="1" applyAlignment="1">
      <alignment horizontal="center" vertical="center"/>
    </xf>
    <xf numFmtId="0" fontId="23" fillId="17" borderId="669" xfId="15" applyFont="1" applyFill="1" applyBorder="1" applyAlignment="1">
      <alignment horizontal="left" vertical="center" wrapText="1" indent="1"/>
    </xf>
    <xf numFmtId="0" fontId="130" fillId="17" borderId="669" xfId="15" applyFont="1" applyFill="1" applyBorder="1" applyAlignment="1">
      <alignment horizontal="center" vertical="center"/>
    </xf>
    <xf numFmtId="0" fontId="129" fillId="3" borderId="819" xfId="15" applyFont="1" applyFill="1" applyBorder="1" applyAlignment="1">
      <alignment horizontal="left" vertical="center" wrapText="1" indent="1"/>
    </xf>
    <xf numFmtId="0" fontId="101" fillId="3" borderId="817" xfId="15" applyFont="1" applyFill="1" applyBorder="1" applyAlignment="1">
      <alignment horizontal="center" vertical="center"/>
    </xf>
    <xf numFmtId="0" fontId="129" fillId="3" borderId="802" xfId="15" applyFont="1" applyFill="1" applyBorder="1" applyAlignment="1">
      <alignment horizontal="left" vertical="center" wrapText="1" indent="1"/>
    </xf>
    <xf numFmtId="49" fontId="273" fillId="3" borderId="817" xfId="15" applyNumberFormat="1" applyFont="1" applyFill="1" applyBorder="1" applyAlignment="1">
      <alignment horizontal="center" vertical="center" wrapText="1"/>
    </xf>
    <xf numFmtId="0" fontId="23" fillId="3" borderId="817" xfId="15" applyFont="1" applyFill="1" applyBorder="1" applyAlignment="1">
      <alignment vertical="center" wrapText="1"/>
    </xf>
    <xf numFmtId="0" fontId="129" fillId="3" borderId="835" xfId="15" applyFont="1" applyFill="1" applyBorder="1" applyAlignment="1">
      <alignment horizontal="left" vertical="center" wrapText="1" indent="1"/>
    </xf>
    <xf numFmtId="49" fontId="273" fillId="3" borderId="669" xfId="15" applyNumberFormat="1" applyFont="1" applyFill="1" applyBorder="1" applyAlignment="1">
      <alignment horizontal="center" vertical="center" wrapText="1"/>
    </xf>
    <xf numFmtId="0" fontId="23" fillId="3" borderId="669" xfId="15" applyFont="1" applyFill="1" applyBorder="1" applyAlignment="1">
      <alignment vertical="center" wrapText="1"/>
    </xf>
    <xf numFmtId="49" fontId="273" fillId="0" borderId="817" xfId="15" applyNumberFormat="1" applyFont="1" applyBorder="1" applyAlignment="1">
      <alignment horizontal="center" vertical="center" wrapText="1"/>
    </xf>
    <xf numFmtId="0" fontId="29" fillId="0" borderId="817" xfId="15" applyFont="1" applyBorder="1" applyAlignment="1">
      <alignment horizontal="center" vertical="center" wrapText="1"/>
    </xf>
    <xf numFmtId="0" fontId="130" fillId="0" borderId="669" xfId="15" applyFont="1" applyBorder="1" applyAlignment="1">
      <alignment horizontal="left" vertical="center" indent="1"/>
    </xf>
    <xf numFmtId="49" fontId="273" fillId="0" borderId="669" xfId="15" applyNumberFormat="1" applyFont="1" applyBorder="1" applyAlignment="1">
      <alignment horizontal="center" vertical="center" wrapText="1"/>
    </xf>
    <xf numFmtId="0" fontId="23" fillId="0" borderId="669" xfId="15" applyFont="1" applyBorder="1" applyAlignment="1">
      <alignment vertical="center" wrapText="1"/>
    </xf>
    <xf numFmtId="0" fontId="129" fillId="3" borderId="827" xfId="15" applyFont="1" applyFill="1" applyBorder="1" applyAlignment="1">
      <alignment horizontal="left" vertical="center" wrapText="1" indent="1"/>
    </xf>
    <xf numFmtId="49" fontId="273" fillId="0" borderId="826" xfId="15" applyNumberFormat="1" applyFont="1" applyBorder="1" applyAlignment="1">
      <alignment horizontal="center" vertical="center" wrapText="1"/>
    </xf>
    <xf numFmtId="0" fontId="29" fillId="0" borderId="826" xfId="15" applyFont="1" applyBorder="1" applyAlignment="1">
      <alignment horizontal="center" vertical="center" wrapText="1"/>
    </xf>
    <xf numFmtId="0" fontId="21" fillId="0" borderId="828" xfId="15" applyFont="1" applyBorder="1" applyAlignment="1">
      <alignment vertical="center"/>
    </xf>
    <xf numFmtId="49" fontId="23" fillId="0" borderId="43" xfId="0" applyNumberFormat="1" applyFont="1" applyBorder="1" applyAlignment="1">
      <alignment horizontal="center" vertical="center"/>
    </xf>
    <xf numFmtId="0" fontId="22" fillId="17" borderId="791" xfId="15" applyFont="1" applyFill="1" applyBorder="1" applyAlignment="1">
      <alignment horizontal="left" vertical="center" indent="1"/>
    </xf>
    <xf numFmtId="0" fontId="107" fillId="2" borderId="350" xfId="15" applyFont="1" applyFill="1" applyBorder="1" applyAlignment="1">
      <alignment horizontal="right" vertical="center" wrapText="1" indent="1"/>
    </xf>
    <xf numFmtId="0" fontId="130" fillId="2" borderId="327" xfId="15" applyFont="1" applyFill="1" applyBorder="1" applyAlignment="1">
      <alignment horizontal="right" vertical="center" wrapText="1" indent="1"/>
    </xf>
    <xf numFmtId="49" fontId="38" fillId="39" borderId="44" xfId="0" applyNumberFormat="1" applyFont="1" applyFill="1" applyBorder="1" applyAlignment="1">
      <alignment horizontal="left" vertical="center" indent="1"/>
    </xf>
    <xf numFmtId="49" fontId="38" fillId="39" borderId="34" xfId="0" applyNumberFormat="1" applyFont="1" applyFill="1" applyBorder="1" applyAlignment="1">
      <alignment horizontal="left" vertical="center" indent="1"/>
    </xf>
    <xf numFmtId="0" fontId="38" fillId="3" borderId="33" xfId="0" applyFont="1" applyFill="1" applyBorder="1" applyAlignment="1">
      <alignment horizontal="left" vertical="center" wrapText="1" indent="1"/>
    </xf>
    <xf numFmtId="0" fontId="38" fillId="0" borderId="177" xfId="16" applyFont="1" applyBorder="1" applyAlignment="1">
      <alignment vertical="center" wrapText="1" indent="1"/>
    </xf>
    <xf numFmtId="39" fontId="54" fillId="14" borderId="44" xfId="16" applyNumberFormat="1" applyFont="1" applyFill="1" applyBorder="1" applyAlignment="1">
      <alignment horizontal="right" vertical="center" wrapText="1"/>
    </xf>
    <xf numFmtId="0" fontId="24" fillId="0" borderId="344" xfId="16" applyFont="1" applyAlignment="1">
      <alignment horizontal="center" vertical="center" wrapText="1"/>
    </xf>
    <xf numFmtId="39" fontId="54" fillId="14" borderId="43" xfId="16" applyNumberFormat="1" applyFont="1" applyFill="1" applyBorder="1" applyAlignment="1">
      <alignment horizontal="right" vertical="center" wrapText="1"/>
    </xf>
    <xf numFmtId="0" fontId="68" fillId="0" borderId="662" xfId="15" applyFont="1" applyBorder="1" applyAlignment="1">
      <alignment horizontal="center" vertical="center"/>
    </xf>
    <xf numFmtId="0" fontId="39" fillId="0" borderId="662" xfId="15" applyFont="1" applyBorder="1" applyAlignment="1">
      <alignment horizontal="center" vertical="center" wrapText="1"/>
    </xf>
    <xf numFmtId="0" fontId="38" fillId="0" borderId="662" xfId="15" applyFont="1" applyBorder="1" applyAlignment="1">
      <alignment horizontal="left" vertical="center" wrapText="1" indent="1"/>
    </xf>
    <xf numFmtId="0" fontId="24" fillId="0" borderId="662" xfId="15" applyFont="1" applyBorder="1" applyAlignment="1">
      <alignment horizontal="center" vertical="center" wrapText="1"/>
    </xf>
    <xf numFmtId="0" fontId="52" fillId="0" borderId="662" xfId="15" applyFont="1" applyBorder="1" applyAlignment="1">
      <alignment vertical="center"/>
    </xf>
    <xf numFmtId="0" fontId="24" fillId="17" borderId="662" xfId="15" applyFont="1" applyFill="1" applyBorder="1" applyAlignment="1">
      <alignment horizontal="center" vertical="center" wrapText="1"/>
    </xf>
    <xf numFmtId="0" fontId="24" fillId="17" borderId="662" xfId="15" applyFont="1" applyFill="1" applyBorder="1" applyAlignment="1">
      <alignment horizontal="center" vertical="center"/>
    </xf>
    <xf numFmtId="0" fontId="39" fillId="0" borderId="662" xfId="15" applyFont="1" applyBorder="1" applyAlignment="1">
      <alignment horizontal="center" vertical="center"/>
    </xf>
    <xf numFmtId="0" fontId="24" fillId="0" borderId="662" xfId="15" applyFont="1" applyBorder="1" applyAlignment="1">
      <alignment horizontal="left" vertical="center" wrapText="1" indent="1"/>
    </xf>
    <xf numFmtId="0" fontId="38" fillId="0" borderId="662" xfId="15" applyFont="1" applyBorder="1" applyAlignment="1">
      <alignment vertical="center"/>
    </xf>
    <xf numFmtId="0" fontId="68" fillId="0" borderId="737" xfId="15" applyFont="1" applyBorder="1" applyAlignment="1">
      <alignment horizontal="center" vertical="center"/>
    </xf>
    <xf numFmtId="0" fontId="38" fillId="0" borderId="737" xfId="15" applyFont="1" applyBorder="1" applyAlignment="1">
      <alignment horizontal="left" vertical="center" indent="1"/>
    </xf>
    <xf numFmtId="0" fontId="24" fillId="0" borderId="737" xfId="15" applyFont="1" applyBorder="1" applyAlignment="1">
      <alignment horizontal="center" vertical="center" wrapText="1"/>
    </xf>
    <xf numFmtId="0" fontId="52" fillId="0" borderId="737" xfId="15" applyFont="1" applyBorder="1" applyAlignment="1">
      <alignment vertical="center"/>
    </xf>
    <xf numFmtId="0" fontId="24" fillId="0" borderId="737" xfId="15" applyFont="1" applyBorder="1" applyAlignment="1">
      <alignment horizontal="center" vertical="center"/>
    </xf>
    <xf numFmtId="0" fontId="24" fillId="0" borderId="662" xfId="15" applyFont="1" applyBorder="1" applyAlignment="1">
      <alignment horizontal="center" vertical="center"/>
    </xf>
    <xf numFmtId="0" fontId="23" fillId="39" borderId="662" xfId="15" applyFont="1" applyFill="1" applyBorder="1" applyAlignment="1">
      <alignment horizontal="center" vertical="center"/>
    </xf>
    <xf numFmtId="0" fontId="39" fillId="0" borderId="737" xfId="15" applyFont="1" applyBorder="1" applyAlignment="1">
      <alignment horizontal="center" vertical="center"/>
    </xf>
    <xf numFmtId="0" fontId="38" fillId="0" borderId="737" xfId="15" applyFont="1" applyBorder="1" applyAlignment="1">
      <alignment horizontal="left" vertical="center" wrapText="1" indent="1"/>
    </xf>
    <xf numFmtId="0" fontId="24" fillId="17" borderId="737" xfId="15" applyFont="1" applyFill="1" applyBorder="1" applyAlignment="1">
      <alignment horizontal="center" vertical="center" wrapText="1"/>
    </xf>
    <xf numFmtId="0" fontId="24" fillId="17" borderId="737" xfId="15" applyFont="1" applyFill="1" applyBorder="1" applyAlignment="1">
      <alignment horizontal="center" vertical="center"/>
    </xf>
    <xf numFmtId="0" fontId="68" fillId="0" borderId="737" xfId="15" applyFont="1" applyBorder="1" applyAlignment="1">
      <alignment horizontal="center" vertical="center" wrapText="1"/>
    </xf>
    <xf numFmtId="0" fontId="39" fillId="0" borderId="737" xfId="15" applyFont="1" applyBorder="1" applyAlignment="1">
      <alignment horizontal="center" vertical="center" wrapText="1"/>
    </xf>
    <xf numFmtId="0" fontId="24" fillId="3" borderId="737" xfId="15" applyFont="1" applyFill="1" applyBorder="1" applyAlignment="1">
      <alignment horizontal="center" vertical="center" wrapText="1"/>
    </xf>
    <xf numFmtId="0" fontId="24" fillId="39" borderId="662" xfId="15" applyFont="1" applyFill="1" applyBorder="1" applyAlignment="1">
      <alignment horizontal="center" vertical="center"/>
    </xf>
    <xf numFmtId="0" fontId="68" fillId="0" borderId="674" xfId="15" applyFont="1" applyBorder="1" applyAlignment="1">
      <alignment horizontal="center" vertical="center"/>
    </xf>
    <xf numFmtId="0" fontId="38" fillId="0" borderId="674" xfId="15" applyFont="1" applyBorder="1" applyAlignment="1">
      <alignment horizontal="left" vertical="center" wrapText="1" indent="1"/>
    </xf>
    <xf numFmtId="0" fontId="24" fillId="0" borderId="674" xfId="15" applyFont="1" applyBorder="1" applyAlignment="1">
      <alignment horizontal="center" vertical="center" wrapText="1"/>
    </xf>
    <xf numFmtId="0" fontId="52" fillId="0" borderId="674" xfId="15" applyFont="1" applyBorder="1" applyAlignment="1">
      <alignment vertical="center"/>
    </xf>
    <xf numFmtId="0" fontId="24" fillId="17" borderId="674" xfId="15" applyFont="1" applyFill="1" applyBorder="1" applyAlignment="1">
      <alignment horizontal="center" vertical="center" wrapText="1"/>
    </xf>
    <xf numFmtId="0" fontId="24" fillId="17" borderId="674" xfId="15" applyFont="1" applyFill="1" applyBorder="1" applyAlignment="1">
      <alignment horizontal="center" vertical="center"/>
    </xf>
    <xf numFmtId="0" fontId="24" fillId="3" borderId="674" xfId="15" applyFont="1" applyFill="1" applyBorder="1" applyAlignment="1">
      <alignment horizontal="center" vertical="center"/>
    </xf>
    <xf numFmtId="0" fontId="68" fillId="0" borderId="770" xfId="15" applyFont="1" applyBorder="1" applyAlignment="1">
      <alignment horizontal="center" vertical="center"/>
    </xf>
    <xf numFmtId="0" fontId="39" fillId="0" borderId="770" xfId="15" applyFont="1" applyBorder="1" applyAlignment="1">
      <alignment horizontal="center" vertical="center" wrapText="1"/>
    </xf>
    <xf numFmtId="0" fontId="24" fillId="0" borderId="770" xfId="15" applyFont="1" applyBorder="1" applyAlignment="1">
      <alignment horizontal="left" vertical="center" wrapText="1" indent="1"/>
    </xf>
    <xf numFmtId="0" fontId="24" fillId="0" borderId="770" xfId="15" applyFont="1" applyBorder="1" applyAlignment="1">
      <alignment horizontal="center" vertical="center" wrapText="1"/>
    </xf>
    <xf numFmtId="0" fontId="38" fillId="0" borderId="770" xfId="15" applyFont="1" applyBorder="1" applyAlignment="1">
      <alignment vertical="center"/>
    </xf>
    <xf numFmtId="0" fontId="24" fillId="17" borderId="770" xfId="15" applyFont="1" applyFill="1" applyBorder="1" applyAlignment="1">
      <alignment horizontal="center" vertical="center" wrapText="1"/>
    </xf>
    <xf numFmtId="0" fontId="24" fillId="17" borderId="770" xfId="15" applyFont="1" applyFill="1" applyBorder="1" applyAlignment="1">
      <alignment horizontal="center" vertical="center"/>
    </xf>
    <xf numFmtId="0" fontId="24" fillId="3" borderId="737" xfId="15" applyFont="1" applyFill="1" applyBorder="1" applyAlignment="1">
      <alignment horizontal="center" vertical="center"/>
    </xf>
    <xf numFmtId="0" fontId="23" fillId="39" borderId="770" xfId="15" applyFont="1" applyFill="1" applyBorder="1" applyAlignment="1">
      <alignment horizontal="center" vertical="center"/>
    </xf>
    <xf numFmtId="0" fontId="23" fillId="39" borderId="738" xfId="15" applyFont="1" applyFill="1" applyBorder="1" applyAlignment="1">
      <alignment horizontal="center" vertical="center"/>
    </xf>
    <xf numFmtId="0" fontId="24" fillId="39" borderId="770" xfId="15" applyFont="1" applyFill="1" applyBorder="1" applyAlignment="1">
      <alignment horizontal="center" vertical="center"/>
    </xf>
    <xf numFmtId="0" fontId="24" fillId="0" borderId="662" xfId="15" applyFont="1" applyBorder="1" applyAlignment="1">
      <alignment horizontal="left" vertical="center" indent="1"/>
    </xf>
    <xf numFmtId="0" fontId="278" fillId="39" borderId="674" xfId="15" applyFont="1" applyFill="1" applyBorder="1" applyAlignment="1">
      <alignment vertical="center"/>
    </xf>
    <xf numFmtId="0" fontId="279" fillId="39" borderId="674" xfId="15" applyFont="1" applyFill="1" applyBorder="1" applyAlignment="1">
      <alignment vertical="center" wrapText="1"/>
    </xf>
    <xf numFmtId="0" fontId="25" fillId="39" borderId="674" xfId="15" applyFont="1" applyFill="1" applyBorder="1" applyAlignment="1">
      <alignment horizontal="center" vertical="center" wrapText="1"/>
    </xf>
    <xf numFmtId="0" fontId="278" fillId="39" borderId="789" xfId="15" applyFont="1" applyFill="1" applyBorder="1" applyAlignment="1">
      <alignment horizontal="left" vertical="center" wrapText="1" indent="1"/>
    </xf>
    <xf numFmtId="0" fontId="278" fillId="39" borderId="662" xfId="15" applyFont="1" applyFill="1" applyBorder="1" applyAlignment="1">
      <alignment vertical="center"/>
    </xf>
    <xf numFmtId="0" fontId="25" fillId="39" borderId="662" xfId="15" applyFont="1" applyFill="1" applyBorder="1" applyAlignment="1">
      <alignment horizontal="center" vertical="center" wrapText="1"/>
    </xf>
    <xf numFmtId="0" fontId="24" fillId="14" borderId="662" xfId="0" applyFont="1" applyFill="1" applyBorder="1" applyAlignment="1">
      <alignment horizontal="left" vertical="center" wrapText="1" indent="1"/>
    </xf>
    <xf numFmtId="0" fontId="14" fillId="14" borderId="662" xfId="0" applyFont="1" applyFill="1" applyBorder="1" applyAlignment="1">
      <alignment horizontal="center" vertical="center" wrapText="1"/>
    </xf>
    <xf numFmtId="0" fontId="38" fillId="39" borderId="674" xfId="0" applyFont="1" applyFill="1" applyBorder="1" applyAlignment="1">
      <alignment horizontal="left" vertical="center" wrapText="1" indent="1"/>
    </xf>
    <xf numFmtId="49" fontId="38" fillId="39" borderId="674" xfId="0" applyNumberFormat="1" applyFont="1" applyFill="1" applyBorder="1" applyAlignment="1">
      <alignment horizontal="right" vertical="center"/>
    </xf>
    <xf numFmtId="0" fontId="23" fillId="39" borderId="674" xfId="0" applyFont="1" applyFill="1" applyBorder="1" applyAlignment="1">
      <alignment horizontal="center" vertical="center" wrapText="1"/>
    </xf>
    <xf numFmtId="49" fontId="38" fillId="39" borderId="662" xfId="0" applyNumberFormat="1" applyFont="1" applyFill="1" applyBorder="1" applyAlignment="1">
      <alignment horizontal="right" vertical="center"/>
    </xf>
    <xf numFmtId="49" fontId="24" fillId="39" borderId="662" xfId="0" applyNumberFormat="1" applyFont="1" applyFill="1" applyBorder="1" applyAlignment="1">
      <alignment horizontal="center" vertical="center"/>
    </xf>
    <xf numFmtId="0" fontId="23" fillId="39" borderId="37" xfId="0" applyFont="1" applyFill="1" applyBorder="1" applyAlignment="1">
      <alignment horizontal="left" vertical="center" wrapText="1" indent="1"/>
    </xf>
    <xf numFmtId="0" fontId="24" fillId="39" borderId="37" xfId="0" applyFont="1" applyFill="1" applyBorder="1" applyAlignment="1">
      <alignment horizontal="center" vertical="center"/>
    </xf>
    <xf numFmtId="49" fontId="24" fillId="39" borderId="37" xfId="0" applyNumberFormat="1" applyFont="1" applyFill="1" applyBorder="1" applyAlignment="1">
      <alignment horizontal="center" vertical="center"/>
    </xf>
    <xf numFmtId="0" fontId="56" fillId="39" borderId="208" xfId="0" applyFont="1" applyFill="1" applyBorder="1" applyAlignment="1">
      <alignment horizontal="center" vertical="center" wrapText="1"/>
    </xf>
    <xf numFmtId="0" fontId="24" fillId="39" borderId="208" xfId="0" applyFont="1" applyFill="1" applyBorder="1" applyAlignment="1">
      <alignment horizontal="center" vertical="center" wrapText="1"/>
    </xf>
    <xf numFmtId="49" fontId="38" fillId="17" borderId="208" xfId="0" applyNumberFormat="1" applyFont="1" applyFill="1" applyBorder="1" applyAlignment="1">
      <alignment horizontal="left" vertical="center" indent="1"/>
    </xf>
    <xf numFmtId="0" fontId="24" fillId="17" borderId="208" xfId="0" applyFont="1" applyFill="1" applyBorder="1" applyAlignment="1">
      <alignment horizontal="center" vertical="center" wrapText="1"/>
    </xf>
    <xf numFmtId="0" fontId="24" fillId="39" borderId="840" xfId="0" applyFont="1" applyFill="1" applyBorder="1" applyAlignment="1">
      <alignment horizontal="left" vertical="center" wrapText="1" indent="1"/>
    </xf>
    <xf numFmtId="0" fontId="56" fillId="39" borderId="840" xfId="0" applyFont="1" applyFill="1" applyBorder="1" applyAlignment="1">
      <alignment horizontal="center" vertical="center" wrapText="1"/>
    </xf>
    <xf numFmtId="0" fontId="24" fillId="39" borderId="840" xfId="0" applyFont="1" applyFill="1" applyBorder="1" applyAlignment="1">
      <alignment horizontal="center" vertical="center" wrapText="1"/>
    </xf>
    <xf numFmtId="49" fontId="38" fillId="17" borderId="840" xfId="0" applyNumberFormat="1" applyFont="1" applyFill="1" applyBorder="1" applyAlignment="1">
      <alignment horizontal="left" vertical="center" indent="1"/>
    </xf>
    <xf numFmtId="0" fontId="24" fillId="17" borderId="840" xfId="0" applyFont="1" applyFill="1" applyBorder="1" applyAlignment="1">
      <alignment horizontal="center" vertical="center" wrapText="1"/>
    </xf>
    <xf numFmtId="0" fontId="38" fillId="39" borderId="208" xfId="0" applyFont="1" applyFill="1" applyBorder="1" applyAlignment="1">
      <alignment horizontal="left" vertical="center" wrapText="1" indent="1"/>
    </xf>
    <xf numFmtId="0" fontId="38" fillId="39" borderId="802" xfId="0" applyFont="1" applyFill="1" applyBorder="1" applyAlignment="1">
      <alignment horizontal="left" vertical="center" wrapText="1" indent="1"/>
    </xf>
    <xf numFmtId="49" fontId="24" fillId="39" borderId="674" xfId="0" applyNumberFormat="1" applyFont="1" applyFill="1" applyBorder="1" applyAlignment="1">
      <alignment horizontal="center" vertical="center"/>
    </xf>
    <xf numFmtId="0" fontId="24" fillId="39" borderId="789" xfId="0" applyFont="1" applyFill="1" applyBorder="1" applyAlignment="1">
      <alignment horizontal="left" vertical="center" wrapText="1" indent="1"/>
    </xf>
    <xf numFmtId="49" fontId="38" fillId="39" borderId="662" xfId="0" applyNumberFormat="1" applyFont="1" applyFill="1" applyBorder="1" applyAlignment="1">
      <alignment vertical="center"/>
    </xf>
    <xf numFmtId="0" fontId="24" fillId="39" borderId="812" xfId="0" applyFont="1" applyFill="1" applyBorder="1" applyAlignment="1">
      <alignment horizontal="left" vertical="center" wrapText="1" indent="1"/>
    </xf>
    <xf numFmtId="49" fontId="38" fillId="39" borderId="770" xfId="0" applyNumberFormat="1" applyFont="1" applyFill="1" applyBorder="1" applyAlignment="1">
      <alignment vertical="center"/>
    </xf>
    <xf numFmtId="49" fontId="24" fillId="39" borderId="770" xfId="0" applyNumberFormat="1" applyFont="1" applyFill="1" applyBorder="1" applyAlignment="1">
      <alignment horizontal="center" vertical="center"/>
    </xf>
    <xf numFmtId="168" fontId="24" fillId="39" borderId="674" xfId="0" applyNumberFormat="1" applyFont="1" applyFill="1" applyBorder="1" applyAlignment="1">
      <alignment vertical="center"/>
    </xf>
    <xf numFmtId="49" fontId="38" fillId="39" borderId="674" xfId="0" applyNumberFormat="1" applyFont="1" applyFill="1" applyBorder="1" applyAlignment="1">
      <alignment vertical="center"/>
    </xf>
    <xf numFmtId="0" fontId="24" fillId="39" borderId="674" xfId="0" applyFont="1" applyFill="1" applyBorder="1" applyAlignment="1">
      <alignment horizontal="left" vertical="center" wrapText="1"/>
    </xf>
    <xf numFmtId="168" fontId="24" fillId="39" borderId="662" xfId="0" applyNumberFormat="1" applyFont="1" applyFill="1" applyBorder="1" applyAlignment="1">
      <alignment vertical="center"/>
    </xf>
    <xf numFmtId="2" fontId="11" fillId="0" borderId="0" xfId="0" applyNumberFormat="1" applyFont="1" applyAlignment="1">
      <alignment horizontal="center" vertical="center"/>
    </xf>
    <xf numFmtId="0" fontId="38" fillId="39" borderId="41" xfId="16" applyFont="1" applyFill="1" applyBorder="1" applyAlignment="1">
      <alignment horizontal="left" vertical="center" wrapText="1" indent="1"/>
    </xf>
    <xf numFmtId="0" fontId="68" fillId="39" borderId="44" xfId="16" applyFont="1" applyFill="1" applyBorder="1" applyAlignment="1">
      <alignment horizontal="center" vertical="center"/>
    </xf>
    <xf numFmtId="0" fontId="38" fillId="39" borderId="44" xfId="16" applyFont="1" applyFill="1" applyBorder="1" applyAlignment="1">
      <alignment horizontal="left" vertical="center" wrapText="1" indent="1"/>
    </xf>
    <xf numFmtId="49" fontId="14" fillId="0" borderId="34" xfId="16" applyNumberFormat="1" applyFont="1" applyBorder="1" applyAlignment="1">
      <alignment horizontal="center" vertical="center"/>
    </xf>
    <xf numFmtId="0" fontId="44" fillId="0" borderId="674" xfId="0" applyFont="1" applyBorder="1" applyAlignment="1">
      <alignment horizontal="left" vertical="center" wrapText="1"/>
    </xf>
    <xf numFmtId="0" fontId="148" fillId="0" borderId="674" xfId="0" applyFont="1" applyBorder="1" applyAlignment="1">
      <alignment horizontal="center" vertical="center" wrapText="1"/>
    </xf>
    <xf numFmtId="49" fontId="147" fillId="0" borderId="674" xfId="0" applyNumberFormat="1" applyFont="1" applyBorder="1" applyAlignment="1">
      <alignment vertical="center" wrapText="1"/>
    </xf>
    <xf numFmtId="0" fontId="148" fillId="0" borderId="662" xfId="0" applyFont="1" applyBorder="1" applyAlignment="1">
      <alignment horizontal="center" vertical="center" wrapText="1"/>
    </xf>
    <xf numFmtId="49" fontId="147" fillId="0" borderId="662" xfId="0" applyNumberFormat="1" applyFont="1" applyBorder="1" applyAlignment="1">
      <alignment vertical="center" wrapText="1"/>
    </xf>
    <xf numFmtId="0" fontId="148" fillId="0" borderId="738" xfId="0" applyFont="1" applyBorder="1" applyAlignment="1">
      <alignment horizontal="center" vertical="center" wrapText="1"/>
    </xf>
    <xf numFmtId="49" fontId="147" fillId="0" borderId="738" xfId="0" applyNumberFormat="1" applyFont="1" applyBorder="1" applyAlignment="1">
      <alignment vertical="center" wrapText="1"/>
    </xf>
    <xf numFmtId="0" fontId="148" fillId="0" borderId="770" xfId="0" applyFont="1" applyBorder="1" applyAlignment="1">
      <alignment horizontal="center" vertical="center" wrapText="1"/>
    </xf>
    <xf numFmtId="49" fontId="147" fillId="0" borderId="770" xfId="0" applyNumberFormat="1" applyFont="1" applyBorder="1" applyAlignment="1">
      <alignment vertical="center" wrapText="1"/>
    </xf>
    <xf numFmtId="0" fontId="152" fillId="0" borderId="799" xfId="0" applyFont="1" applyBorder="1" applyAlignment="1">
      <alignment horizontal="center" vertical="center" wrapText="1"/>
    </xf>
    <xf numFmtId="0" fontId="148" fillId="0" borderId="799" xfId="0" applyFont="1" applyBorder="1" applyAlignment="1">
      <alignment horizontal="center" vertical="center" wrapText="1"/>
    </xf>
    <xf numFmtId="49" fontId="147" fillId="0" borderId="799" xfId="0" applyNumberFormat="1" applyFont="1" applyBorder="1" applyAlignment="1">
      <alignment vertical="center" wrapText="1"/>
    </xf>
    <xf numFmtId="49" fontId="147" fillId="17" borderId="662" xfId="0" applyNumberFormat="1" applyFont="1" applyFill="1" applyBorder="1" applyAlignment="1">
      <alignment vertical="center" wrapText="1"/>
    </xf>
    <xf numFmtId="0" fontId="152" fillId="0" borderId="662" xfId="0" applyFont="1" applyBorder="1" applyAlignment="1">
      <alignment horizontal="center" vertical="center" wrapText="1"/>
    </xf>
    <xf numFmtId="0" fontId="152" fillId="0" borderId="662" xfId="0" applyFont="1" applyBorder="1" applyAlignment="1">
      <alignment horizontal="left" vertical="center" wrapText="1"/>
    </xf>
    <xf numFmtId="49" fontId="148" fillId="0" borderId="662" xfId="0" applyNumberFormat="1" applyFont="1" applyBorder="1" applyAlignment="1">
      <alignment horizontal="center" vertical="center" wrapText="1"/>
    </xf>
    <xf numFmtId="49" fontId="148" fillId="17" borderId="662" xfId="0" applyNumberFormat="1" applyFont="1" applyFill="1" applyBorder="1" applyAlignment="1">
      <alignment vertical="center" wrapText="1"/>
    </xf>
    <xf numFmtId="49" fontId="148" fillId="39" borderId="662" xfId="0" applyNumberFormat="1" applyFont="1" applyFill="1" applyBorder="1" applyAlignment="1">
      <alignment vertical="center" wrapText="1"/>
    </xf>
    <xf numFmtId="49" fontId="44" fillId="17" borderId="662" xfId="0" applyNumberFormat="1" applyFont="1" applyFill="1" applyBorder="1" applyAlignment="1">
      <alignment horizontal="left" vertical="center" wrapText="1"/>
    </xf>
    <xf numFmtId="49" fontId="147" fillId="4" borderId="662" xfId="0" applyNumberFormat="1" applyFont="1" applyFill="1" applyBorder="1" applyAlignment="1">
      <alignment vertical="center" wrapText="1"/>
    </xf>
    <xf numFmtId="49" fontId="44" fillId="0" borderId="662" xfId="0" applyNumberFormat="1" applyFont="1" applyBorder="1" applyAlignment="1">
      <alignment horizontal="left" vertical="center" wrapText="1"/>
    </xf>
    <xf numFmtId="49" fontId="152" fillId="0" borderId="662" xfId="0" applyNumberFormat="1" applyFont="1" applyBorder="1" applyAlignment="1">
      <alignment horizontal="left" vertical="center" wrapText="1"/>
    </xf>
    <xf numFmtId="49" fontId="162" fillId="0" borderId="662" xfId="0" applyNumberFormat="1" applyFont="1" applyBorder="1" applyAlignment="1">
      <alignment horizontal="left" vertical="center" wrapText="1"/>
    </xf>
    <xf numFmtId="49" fontId="147" fillId="17" borderId="799" xfId="0" applyNumberFormat="1" applyFont="1" applyFill="1" applyBorder="1" applyAlignment="1">
      <alignment vertical="center" wrapText="1"/>
    </xf>
    <xf numFmtId="0" fontId="152" fillId="0" borderId="737" xfId="0" applyFont="1" applyBorder="1" applyAlignment="1">
      <alignment horizontal="center" vertical="center" wrapText="1"/>
    </xf>
    <xf numFmtId="0" fontId="148" fillId="0" borderId="737" xfId="0" applyFont="1" applyBorder="1" applyAlignment="1">
      <alignment horizontal="center" vertical="center" wrapText="1"/>
    </xf>
    <xf numFmtId="49" fontId="147" fillId="0" borderId="737" xfId="0" applyNumberFormat="1" applyFont="1" applyBorder="1" applyAlignment="1">
      <alignment vertical="center" wrapText="1"/>
    </xf>
    <xf numFmtId="49" fontId="147" fillId="17" borderId="770" xfId="0" applyNumberFormat="1" applyFont="1" applyFill="1" applyBorder="1" applyAlignment="1">
      <alignment vertical="center" wrapText="1"/>
    </xf>
    <xf numFmtId="49" fontId="147" fillId="17" borderId="737" xfId="0" applyNumberFormat="1" applyFont="1" applyFill="1" applyBorder="1" applyAlignment="1">
      <alignment vertical="center" wrapText="1"/>
    </xf>
    <xf numFmtId="49" fontId="147" fillId="17" borderId="738" xfId="0" applyNumberFormat="1" applyFont="1" applyFill="1" applyBorder="1" applyAlignment="1">
      <alignment vertical="center" wrapText="1"/>
    </xf>
    <xf numFmtId="49" fontId="147" fillId="4" borderId="737" xfId="0" applyNumberFormat="1" applyFont="1" applyFill="1" applyBorder="1" applyAlignment="1">
      <alignment vertical="center" wrapText="1"/>
    </xf>
    <xf numFmtId="49" fontId="147" fillId="4" borderId="738" xfId="0" applyNumberFormat="1" applyFont="1" applyFill="1" applyBorder="1" applyAlignment="1">
      <alignment vertical="center" wrapText="1"/>
    </xf>
    <xf numFmtId="0" fontId="44" fillId="0" borderId="737" xfId="0" applyFont="1" applyBorder="1" applyAlignment="1">
      <alignment horizontal="left" vertical="center" wrapText="1"/>
    </xf>
    <xf numFmtId="49" fontId="44" fillId="0" borderId="738" xfId="0" applyNumberFormat="1" applyFont="1" applyBorder="1" applyAlignment="1">
      <alignment horizontal="left" vertical="center" wrapText="1"/>
    </xf>
    <xf numFmtId="49" fontId="44" fillId="0" borderId="674" xfId="0" applyNumberFormat="1" applyFont="1" applyBorder="1" applyAlignment="1">
      <alignment horizontal="left" vertical="center" wrapText="1"/>
    </xf>
    <xf numFmtId="49" fontId="44" fillId="0" borderId="737" xfId="0" applyNumberFormat="1" applyFont="1" applyBorder="1" applyAlignment="1">
      <alignment horizontal="left" vertical="center" wrapText="1"/>
    </xf>
    <xf numFmtId="49" fontId="44" fillId="0" borderId="770" xfId="0" applyNumberFormat="1" applyFont="1" applyBorder="1" applyAlignment="1">
      <alignment horizontal="left" vertical="center" wrapText="1"/>
    </xf>
    <xf numFmtId="49" fontId="147" fillId="0" borderId="674" xfId="0" applyNumberFormat="1" applyFont="1" applyBorder="1" applyAlignment="1">
      <alignment horizontal="left" vertical="center" wrapText="1"/>
    </xf>
    <xf numFmtId="49" fontId="44" fillId="17" borderId="737" xfId="0" applyNumberFormat="1" applyFont="1" applyFill="1" applyBorder="1" applyAlignment="1">
      <alignment horizontal="left" vertical="center" wrapText="1"/>
    </xf>
    <xf numFmtId="49" fontId="44" fillId="17" borderId="738" xfId="0" applyNumberFormat="1" applyFont="1" applyFill="1" applyBorder="1" applyAlignment="1">
      <alignment horizontal="left" vertical="center" wrapText="1"/>
    </xf>
    <xf numFmtId="49" fontId="44" fillId="17" borderId="770" xfId="0" applyNumberFormat="1" applyFont="1" applyFill="1" applyBorder="1" applyAlignment="1">
      <alignment horizontal="left" vertical="center" wrapText="1"/>
    </xf>
    <xf numFmtId="49" fontId="44" fillId="17" borderId="674" xfId="0" applyNumberFormat="1" applyFont="1" applyFill="1" applyBorder="1" applyAlignment="1">
      <alignment horizontal="left" vertical="center" wrapText="1"/>
    </xf>
    <xf numFmtId="49" fontId="147" fillId="4" borderId="770" xfId="0" applyNumberFormat="1" applyFont="1" applyFill="1" applyBorder="1" applyAlignment="1">
      <alignment vertical="center" wrapText="1"/>
    </xf>
    <xf numFmtId="49" fontId="147" fillId="17" borderId="674" xfId="0" applyNumberFormat="1" applyFont="1" applyFill="1" applyBorder="1" applyAlignment="1">
      <alignment vertical="center" wrapText="1"/>
    </xf>
    <xf numFmtId="49" fontId="147" fillId="4" borderId="674" xfId="0" applyNumberFormat="1" applyFont="1" applyFill="1" applyBorder="1" applyAlignment="1">
      <alignment vertical="center" wrapText="1"/>
    </xf>
    <xf numFmtId="0" fontId="70" fillId="0" borderId="841" xfId="0" applyFont="1" applyBorder="1" applyAlignment="1">
      <alignment vertical="center"/>
    </xf>
    <xf numFmtId="0" fontId="24" fillId="0" borderId="770" xfId="0" applyFont="1" applyBorder="1" applyAlignment="1">
      <alignment vertical="center" wrapText="1" indent="1"/>
    </xf>
    <xf numFmtId="49" fontId="24" fillId="0" borderId="770" xfId="0" applyNumberFormat="1" applyFont="1" applyBorder="1" applyAlignment="1">
      <alignment vertical="center"/>
    </xf>
    <xf numFmtId="0" fontId="24" fillId="0" borderId="770" xfId="0" applyFont="1" applyBorder="1" applyAlignment="1">
      <alignment horizontal="center" vertical="center"/>
    </xf>
    <xf numFmtId="49" fontId="222" fillId="39" borderId="662" xfId="0" applyNumberFormat="1" applyFont="1" applyFill="1" applyBorder="1" applyAlignment="1">
      <alignment horizontal="center" vertical="center"/>
    </xf>
    <xf numFmtId="0" fontId="11" fillId="39" borderId="789" xfId="0" applyFont="1" applyFill="1" applyBorder="1" applyAlignment="1">
      <alignment horizontal="left" vertical="center" wrapText="1" indent="1"/>
    </xf>
    <xf numFmtId="49" fontId="24" fillId="39" borderId="738" xfId="0" applyNumberFormat="1" applyFont="1" applyFill="1" applyBorder="1" applyAlignment="1">
      <alignment horizontal="center" vertical="center"/>
    </xf>
    <xf numFmtId="0" fontId="38" fillId="39" borderId="789" xfId="0" applyFont="1" applyFill="1" applyBorder="1" applyAlignment="1">
      <alignment horizontal="left" vertical="center" wrapText="1" indent="1"/>
    </xf>
    <xf numFmtId="0" fontId="14" fillId="39" borderId="770" xfId="0" applyFont="1" applyFill="1" applyBorder="1" applyAlignment="1">
      <alignment horizontal="center" vertical="center" wrapText="1"/>
    </xf>
    <xf numFmtId="0" fontId="24" fillId="4" borderId="325" xfId="0" applyFont="1" applyFill="1" applyBorder="1" applyAlignment="1">
      <alignment horizontal="left" vertical="center" wrapText="1" indent="1"/>
    </xf>
    <xf numFmtId="0" fontId="24" fillId="0" borderId="392" xfId="0" applyFont="1" applyBorder="1" applyAlignment="1">
      <alignment horizontal="left" vertical="center" wrapText="1" indent="1"/>
    </xf>
    <xf numFmtId="0" fontId="11" fillId="18" borderId="181" xfId="0" applyFont="1" applyFill="1" applyBorder="1" applyAlignment="1">
      <alignment horizontal="left" vertical="center" wrapText="1" indent="1"/>
    </xf>
    <xf numFmtId="0" fontId="38" fillId="18" borderId="181" xfId="0" applyFont="1" applyFill="1" applyBorder="1" applyAlignment="1">
      <alignment horizontal="left" vertical="center" wrapText="1" indent="1"/>
    </xf>
    <xf numFmtId="0" fontId="11" fillId="17" borderId="181" xfId="0" applyFont="1" applyFill="1" applyBorder="1" applyAlignment="1">
      <alignment horizontal="left" vertical="center" wrapText="1" indent="1"/>
    </xf>
    <xf numFmtId="0" fontId="38" fillId="17" borderId="181" xfId="0" applyFont="1" applyFill="1" applyBorder="1" applyAlignment="1">
      <alignment horizontal="left" vertical="center" wrapText="1" indent="1"/>
    </xf>
    <xf numFmtId="0" fontId="38" fillId="0" borderId="181" xfId="0" applyFont="1" applyBorder="1" applyAlignment="1">
      <alignment horizontal="left" vertical="center" wrapText="1" indent="1"/>
    </xf>
    <xf numFmtId="0" fontId="38" fillId="17" borderId="183" xfId="0" applyFont="1" applyFill="1" applyBorder="1" applyAlignment="1">
      <alignment horizontal="left" vertical="center" wrapText="1" indent="1"/>
    </xf>
    <xf numFmtId="0" fontId="11" fillId="17" borderId="304" xfId="0" applyFont="1" applyFill="1" applyBorder="1" applyAlignment="1">
      <alignment horizontal="left" vertical="center" wrapText="1" indent="1"/>
    </xf>
    <xf numFmtId="0" fontId="38" fillId="17" borderId="308" xfId="0" applyFont="1" applyFill="1" applyBorder="1" applyAlignment="1">
      <alignment horizontal="left" vertical="center" wrapText="1" indent="1"/>
    </xf>
    <xf numFmtId="0" fontId="38" fillId="17" borderId="308" xfId="0" applyFont="1" applyFill="1" applyBorder="1" applyAlignment="1">
      <alignment horizontal="left" vertical="center" indent="1"/>
    </xf>
    <xf numFmtId="0" fontId="11" fillId="18" borderId="256" xfId="0" applyFont="1" applyFill="1" applyBorder="1" applyAlignment="1">
      <alignment horizontal="left" vertical="center" wrapText="1" indent="1"/>
    </xf>
    <xf numFmtId="0" fontId="14" fillId="18" borderId="182" xfId="0" applyFont="1" applyFill="1" applyBorder="1" applyAlignment="1">
      <alignment horizontal="left" vertical="center" wrapText="1" indent="1"/>
    </xf>
    <xf numFmtId="0" fontId="11" fillId="0" borderId="182" xfId="0" applyFont="1" applyBorder="1" applyAlignment="1">
      <alignment horizontal="left" vertical="center" wrapText="1" indent="1"/>
    </xf>
    <xf numFmtId="0" fontId="14" fillId="0" borderId="182" xfId="0" applyFont="1" applyBorder="1" applyAlignment="1">
      <alignment horizontal="left" vertical="center" wrapText="1" indent="1"/>
    </xf>
    <xf numFmtId="0" fontId="11" fillId="0" borderId="256" xfId="0" applyFont="1" applyBorder="1" applyAlignment="1">
      <alignment horizontal="left" vertical="center" wrapText="1" indent="1"/>
    </xf>
    <xf numFmtId="0" fontId="14" fillId="0" borderId="187" xfId="0" applyFont="1" applyBorder="1" applyAlignment="1">
      <alignment horizontal="left" vertical="center" wrapText="1" indent="1"/>
    </xf>
    <xf numFmtId="0" fontId="11" fillId="0" borderId="187" xfId="0" applyFont="1" applyBorder="1" applyAlignment="1">
      <alignment horizontal="left" vertical="center" wrapText="1" indent="1"/>
    </xf>
    <xf numFmtId="0" fontId="54" fillId="18" borderId="182" xfId="0" applyFont="1" applyFill="1" applyBorder="1" applyAlignment="1">
      <alignment horizontal="center" vertical="center" wrapText="1"/>
    </xf>
    <xf numFmtId="0" fontId="54" fillId="0" borderId="182" xfId="0" applyFont="1" applyBorder="1" applyAlignment="1">
      <alignment horizontal="center" vertical="center" wrapText="1"/>
    </xf>
    <xf numFmtId="0" fontId="54" fillId="0" borderId="184" xfId="0" applyFont="1" applyBorder="1" applyAlignment="1">
      <alignment horizontal="center" vertical="center" wrapText="1"/>
    </xf>
    <xf numFmtId="0" fontId="54" fillId="0" borderId="187" xfId="0" applyFont="1" applyBorder="1" applyAlignment="1">
      <alignment horizontal="center" vertical="center" wrapText="1"/>
    </xf>
    <xf numFmtId="49" fontId="52" fillId="15" borderId="256" xfId="0" applyNumberFormat="1" applyFont="1" applyFill="1" applyBorder="1" applyAlignment="1">
      <alignment horizontal="center" vertical="center" wrapText="1"/>
    </xf>
    <xf numFmtId="49" fontId="52" fillId="0" borderId="182" xfId="0" applyNumberFormat="1" applyFont="1" applyBorder="1" applyAlignment="1">
      <alignment horizontal="center" vertical="center" wrapText="1"/>
    </xf>
    <xf numFmtId="49" fontId="52" fillId="0" borderId="182" xfId="0" applyNumberFormat="1" applyFont="1" applyBorder="1" applyAlignment="1">
      <alignment vertical="center" wrapText="1"/>
    </xf>
    <xf numFmtId="49" fontId="52" fillId="0" borderId="184" xfId="0" applyNumberFormat="1" applyFont="1" applyBorder="1" applyAlignment="1">
      <alignment vertical="center" wrapText="1"/>
    </xf>
    <xf numFmtId="49" fontId="52" fillId="0" borderId="256" xfId="0" applyNumberFormat="1" applyFont="1" applyBorder="1" applyAlignment="1">
      <alignment horizontal="center" vertical="center" wrapText="1"/>
    </xf>
    <xf numFmtId="49" fontId="52" fillId="0" borderId="187" xfId="0" applyNumberFormat="1" applyFont="1" applyBorder="1" applyAlignment="1">
      <alignment horizontal="center" vertical="center" wrapText="1"/>
    </xf>
    <xf numFmtId="0" fontId="38" fillId="17" borderId="304" xfId="0" applyFont="1" applyFill="1" applyBorder="1" applyAlignment="1">
      <alignment horizontal="left" vertical="center" wrapText="1" indent="1"/>
    </xf>
    <xf numFmtId="0" fontId="24" fillId="0" borderId="308" xfId="0" applyFont="1" applyBorder="1" applyAlignment="1">
      <alignment horizontal="left" vertical="center" wrapText="1" indent="1"/>
    </xf>
    <xf numFmtId="0" fontId="24" fillId="0" borderId="183" xfId="0" applyFont="1" applyBorder="1" applyAlignment="1">
      <alignment horizontal="left" vertical="center" wrapText="1" indent="1"/>
    </xf>
    <xf numFmtId="0" fontId="34" fillId="0" borderId="256" xfId="0" applyFont="1" applyBorder="1" applyAlignment="1">
      <alignment horizontal="center" vertical="center" wrapText="1"/>
    </xf>
    <xf numFmtId="0" fontId="34" fillId="17" borderId="256" xfId="0" applyFont="1" applyFill="1" applyBorder="1" applyAlignment="1">
      <alignment horizontal="center" vertical="center" wrapText="1"/>
    </xf>
    <xf numFmtId="0" fontId="34" fillId="17" borderId="182" xfId="0" applyFont="1" applyFill="1" applyBorder="1" applyAlignment="1">
      <alignment horizontal="center" vertical="center" wrapText="1"/>
    </xf>
    <xf numFmtId="0" fontId="34" fillId="39" borderId="182" xfId="0" applyFont="1" applyFill="1" applyBorder="1" applyAlignment="1">
      <alignment horizontal="center" vertical="center" wrapText="1"/>
    </xf>
    <xf numFmtId="0" fontId="34" fillId="0" borderId="182" xfId="0" applyFont="1" applyBorder="1" applyAlignment="1">
      <alignment horizontal="center" vertical="center" wrapText="1"/>
    </xf>
    <xf numFmtId="0" fontId="35" fillId="0" borderId="187" xfId="0" applyFont="1" applyBorder="1" applyAlignment="1">
      <alignment horizontal="center" vertical="center" wrapText="1"/>
    </xf>
    <xf numFmtId="0" fontId="35" fillId="0" borderId="184" xfId="0" applyFont="1" applyBorder="1" applyAlignment="1">
      <alignment horizontal="center" vertical="center" wrapText="1"/>
    </xf>
    <xf numFmtId="168" fontId="54" fillId="0" borderId="256" xfId="0" applyNumberFormat="1" applyFont="1" applyBorder="1" applyAlignment="1">
      <alignment vertical="center" wrapText="1"/>
    </xf>
    <xf numFmtId="0" fontId="54" fillId="0" borderId="256" xfId="0" applyFont="1" applyBorder="1" applyAlignment="1">
      <alignment horizontal="center" vertical="center" wrapText="1"/>
    </xf>
    <xf numFmtId="0" fontId="54" fillId="39" borderId="182" xfId="0" applyFont="1" applyFill="1" applyBorder="1" applyAlignment="1">
      <alignment horizontal="center" vertical="center" wrapText="1"/>
    </xf>
    <xf numFmtId="49" fontId="54" fillId="0" borderId="182" xfId="0" applyNumberFormat="1" applyFont="1" applyBorder="1" applyAlignment="1">
      <alignment horizontal="center" vertical="center" wrapText="1"/>
    </xf>
    <xf numFmtId="49" fontId="52" fillId="0" borderId="187" xfId="0" applyNumberFormat="1" applyFont="1" applyBorder="1" applyAlignment="1">
      <alignment vertical="center" wrapText="1"/>
    </xf>
    <xf numFmtId="0" fontId="38" fillId="39" borderId="145" xfId="0" applyFont="1" applyFill="1" applyBorder="1" applyAlignment="1">
      <alignment horizontal="left" vertical="center" wrapText="1" indent="1"/>
    </xf>
    <xf numFmtId="0" fontId="38" fillId="39" borderId="329" xfId="0" applyFont="1" applyFill="1" applyBorder="1" applyAlignment="1">
      <alignment horizontal="left" vertical="center" wrapText="1" indent="1"/>
    </xf>
    <xf numFmtId="0" fontId="103" fillId="17" borderId="843" xfId="0" applyFont="1" applyFill="1" applyBorder="1" applyAlignment="1">
      <alignment horizontal="left" vertical="center" wrapText="1" indent="1"/>
    </xf>
    <xf numFmtId="0" fontId="103" fillId="17" borderId="365" xfId="0" applyFont="1" applyFill="1" applyBorder="1" applyAlignment="1">
      <alignment horizontal="left" vertical="center" wrapText="1" indent="1"/>
    </xf>
    <xf numFmtId="49" fontId="104" fillId="17" borderId="365" xfId="0" applyNumberFormat="1" applyFont="1" applyFill="1" applyBorder="1" applyAlignment="1">
      <alignment horizontal="center" vertical="center"/>
    </xf>
    <xf numFmtId="49" fontId="34" fillId="17" borderId="365" xfId="0" applyNumberFormat="1" applyFont="1" applyFill="1" applyBorder="1" applyAlignment="1">
      <alignment horizontal="center" vertical="center"/>
    </xf>
    <xf numFmtId="168" fontId="34" fillId="0" borderId="844" xfId="0" applyNumberFormat="1" applyFont="1" applyBorder="1" applyAlignment="1">
      <alignment horizontal="right" vertical="center"/>
    </xf>
    <xf numFmtId="0" fontId="131" fillId="39" borderId="802" xfId="15" applyFont="1" applyFill="1" applyBorder="1" applyAlignment="1">
      <alignment horizontal="left" vertical="center" wrapText="1" indent="1"/>
    </xf>
    <xf numFmtId="0" fontId="131" fillId="39" borderId="674" xfId="15" applyFont="1" applyFill="1" applyBorder="1" applyAlignment="1">
      <alignment horizontal="left" vertical="center" wrapText="1" indent="1"/>
    </xf>
    <xf numFmtId="0" fontId="120" fillId="39" borderId="662" xfId="15" applyFont="1" applyFill="1" applyBorder="1" applyAlignment="1">
      <alignment horizontal="left" vertical="center" wrapText="1" indent="1"/>
    </xf>
    <xf numFmtId="0" fontId="120" fillId="39" borderId="662" xfId="15" applyFont="1" applyFill="1" applyBorder="1" applyAlignment="1">
      <alignment horizontal="center" vertical="center" wrapText="1"/>
    </xf>
    <xf numFmtId="0" fontId="22" fillId="0" borderId="812" xfId="15" applyFont="1" applyBorder="1" applyAlignment="1">
      <alignment horizontal="left" vertical="center" wrapText="1" indent="1"/>
    </xf>
    <xf numFmtId="0" fontId="38" fillId="0" borderId="807" xfId="15" applyFont="1" applyBorder="1" applyAlignment="1">
      <alignment horizontal="left" vertical="center" wrapText="1" indent="1"/>
    </xf>
    <xf numFmtId="0" fontId="38" fillId="0" borderId="789" xfId="15" applyFont="1" applyBorder="1" applyAlignment="1">
      <alignment horizontal="left" vertical="center" wrapText="1" indent="1"/>
    </xf>
    <xf numFmtId="0" fontId="22" fillId="0" borderId="791" xfId="15" applyFont="1" applyBorder="1" applyAlignment="1">
      <alignment horizontal="left" vertical="center" wrapText="1" indent="1"/>
    </xf>
    <xf numFmtId="0" fontId="22" fillId="0" borderId="831" xfId="15" applyFont="1" applyBorder="1" applyAlignment="1">
      <alignment horizontal="left" vertical="center" wrapText="1" indent="1"/>
    </xf>
    <xf numFmtId="0" fontId="22" fillId="14" borderId="789" xfId="15" applyFont="1" applyFill="1" applyBorder="1" applyAlignment="1">
      <alignment horizontal="left" vertical="center" wrapText="1" indent="1"/>
    </xf>
    <xf numFmtId="0" fontId="23" fillId="14" borderId="789" xfId="15" applyFont="1" applyFill="1" applyBorder="1" applyAlignment="1">
      <alignment horizontal="left" vertical="center" indent="1"/>
    </xf>
    <xf numFmtId="0" fontId="23" fillId="0" borderId="789" xfId="15" applyFont="1" applyBorder="1" applyAlignment="1">
      <alignment horizontal="left" vertical="center" wrapText="1" indent="1"/>
    </xf>
    <xf numFmtId="0" fontId="23" fillId="0" borderId="791" xfId="15" applyFont="1" applyBorder="1" applyAlignment="1">
      <alignment horizontal="left" vertical="center" wrapText="1" indent="1"/>
    </xf>
    <xf numFmtId="0" fontId="38" fillId="0" borderId="802" xfId="15" applyFont="1" applyBorder="1" applyAlignment="1">
      <alignment horizontal="left" vertical="center" wrapText="1" indent="1"/>
    </xf>
    <xf numFmtId="0" fontId="38" fillId="0" borderId="812" xfId="15" applyFont="1" applyBorder="1" applyAlignment="1">
      <alignment horizontal="left" vertical="center" wrapText="1" indent="1"/>
    </xf>
    <xf numFmtId="0" fontId="22" fillId="0" borderId="791" xfId="15" applyFont="1" applyBorder="1" applyAlignment="1">
      <alignment horizontal="left" vertical="center" indent="1"/>
    </xf>
    <xf numFmtId="0" fontId="24" fillId="0" borderId="789" xfId="15" applyFont="1" applyBorder="1" applyAlignment="1">
      <alignment horizontal="left" vertical="center" wrapText="1" indent="1"/>
    </xf>
    <xf numFmtId="0" fontId="38" fillId="0" borderId="789" xfId="15" applyFont="1" applyBorder="1" applyAlignment="1">
      <alignment horizontal="left" vertical="center" indent="1"/>
    </xf>
    <xf numFmtId="0" fontId="22" fillId="0" borderId="789" xfId="15" applyFont="1" applyBorder="1" applyAlignment="1">
      <alignment horizontal="left" vertical="center" indent="1"/>
    </xf>
    <xf numFmtId="0" fontId="22" fillId="3" borderId="789" xfId="15" applyFont="1" applyFill="1" applyBorder="1" applyAlignment="1">
      <alignment horizontal="left" vertical="center" wrapText="1" indent="1"/>
    </xf>
    <xf numFmtId="0" fontId="22" fillId="3" borderId="791" xfId="15" applyFont="1" applyFill="1" applyBorder="1" applyAlignment="1">
      <alignment horizontal="left" vertical="center" wrapText="1" indent="1"/>
    </xf>
    <xf numFmtId="0" fontId="22" fillId="3" borderId="802" xfId="15" applyFont="1" applyFill="1" applyBorder="1" applyAlignment="1">
      <alignment horizontal="left" vertical="center" indent="1"/>
    </xf>
    <xf numFmtId="0" fontId="23" fillId="3" borderId="789" xfId="15" applyFont="1" applyFill="1" applyBorder="1" applyAlignment="1">
      <alignment horizontal="left" vertical="center" indent="1"/>
    </xf>
    <xf numFmtId="0" fontId="22" fillId="3" borderId="789" xfId="15" applyFont="1" applyFill="1" applyBorder="1" applyAlignment="1">
      <alignment horizontal="left" vertical="center" indent="1"/>
    </xf>
    <xf numFmtId="0" fontId="23" fillId="3" borderId="812" xfId="15" applyFont="1" applyFill="1" applyBorder="1" applyAlignment="1">
      <alignment horizontal="left" vertical="center" indent="1"/>
    </xf>
    <xf numFmtId="0" fontId="23" fillId="0" borderId="789" xfId="15" applyFont="1" applyBorder="1" applyAlignment="1">
      <alignment horizontal="left" vertical="center" indent="1"/>
    </xf>
    <xf numFmtId="0" fontId="23" fillId="0" borderId="791" xfId="15" applyFont="1" applyBorder="1" applyAlignment="1">
      <alignment horizontal="left" vertical="center" indent="1"/>
    </xf>
    <xf numFmtId="0" fontId="22" fillId="0" borderId="802" xfId="15" applyFont="1" applyBorder="1" applyAlignment="1">
      <alignment horizontal="left" vertical="center" indent="1"/>
    </xf>
    <xf numFmtId="0" fontId="23" fillId="0" borderId="812" xfId="15" applyFont="1" applyBorder="1" applyAlignment="1">
      <alignment horizontal="left" vertical="center" indent="1"/>
    </xf>
    <xf numFmtId="0" fontId="23" fillId="0" borderId="802" xfId="15" applyFont="1" applyBorder="1" applyAlignment="1">
      <alignment horizontal="left" vertical="center" indent="1"/>
    </xf>
    <xf numFmtId="0" fontId="22" fillId="0" borderId="812" xfId="15" applyFont="1" applyBorder="1" applyAlignment="1">
      <alignment horizontal="left" vertical="center" indent="1"/>
    </xf>
    <xf numFmtId="0" fontId="23" fillId="0" borderId="807" xfId="15" applyFont="1" applyBorder="1" applyAlignment="1">
      <alignment horizontal="left" vertical="center" indent="1"/>
    </xf>
    <xf numFmtId="0" fontId="22" fillId="0" borderId="789" xfId="15" applyFont="1" applyBorder="1" applyAlignment="1">
      <alignment vertical="center" wrapText="1" indent="1"/>
    </xf>
    <xf numFmtId="0" fontId="22" fillId="0" borderId="807" xfId="15" applyFont="1" applyBorder="1" applyAlignment="1">
      <alignment vertical="center" wrapText="1" indent="1"/>
    </xf>
    <xf numFmtId="0" fontId="16" fillId="0" borderId="344" xfId="0" applyFont="1" applyBorder="1" applyAlignment="1">
      <alignment horizontal="left" vertical="center"/>
    </xf>
    <xf numFmtId="0" fontId="234" fillId="0" borderId="0" xfId="0" applyFont="1" applyAlignment="1">
      <alignment horizontal="left" vertical="center"/>
    </xf>
    <xf numFmtId="0" fontId="54" fillId="17" borderId="5" xfId="0" applyFont="1" applyFill="1" applyBorder="1" applyAlignment="1">
      <alignment horizontal="center" vertical="center"/>
    </xf>
    <xf numFmtId="0" fontId="24" fillId="4" borderId="33" xfId="0" applyFont="1" applyFill="1" applyBorder="1" applyAlignment="1">
      <alignment horizontal="left" vertical="center" indent="1"/>
    </xf>
    <xf numFmtId="0" fontId="38" fillId="14" borderId="789" xfId="0" applyFont="1" applyFill="1" applyBorder="1" applyAlignment="1">
      <alignment horizontal="left" vertical="center" indent="1"/>
    </xf>
    <xf numFmtId="0" fontId="24" fillId="14" borderId="662" xfId="0" applyFont="1" applyFill="1" applyBorder="1" applyAlignment="1">
      <alignment horizontal="center" vertical="center" wrapText="1"/>
    </xf>
    <xf numFmtId="49" fontId="38" fillId="14" borderId="662" xfId="0" applyNumberFormat="1" applyFont="1" applyFill="1" applyBorder="1" applyAlignment="1">
      <alignment horizontal="right" vertical="center"/>
    </xf>
    <xf numFmtId="49" fontId="24" fillId="14" borderId="662" xfId="0" applyNumberFormat="1" applyFont="1" applyFill="1" applyBorder="1" applyAlignment="1">
      <alignment horizontal="center" vertical="center"/>
    </xf>
    <xf numFmtId="0" fontId="106" fillId="18" borderId="344" xfId="0" applyFont="1" applyFill="1" applyBorder="1" applyAlignment="1">
      <alignment wrapText="1"/>
    </xf>
    <xf numFmtId="0" fontId="98" fillId="18" borderId="344" xfId="0" applyFont="1" applyFill="1" applyBorder="1" applyAlignment="1">
      <alignment wrapText="1"/>
    </xf>
    <xf numFmtId="181" fontId="0" fillId="0" borderId="344" xfId="0" applyNumberFormat="1" applyBorder="1" applyAlignment="1">
      <alignment vertical="center" wrapText="1"/>
    </xf>
    <xf numFmtId="0" fontId="14" fillId="14" borderId="662" xfId="0" applyFont="1" applyFill="1" applyBorder="1" applyAlignment="1">
      <alignment horizontal="left" vertical="center" wrapText="1" indent="1"/>
    </xf>
    <xf numFmtId="0" fontId="24" fillId="39" borderId="182" xfId="0" applyFont="1" applyFill="1" applyBorder="1" applyAlignment="1">
      <alignment horizontal="left" vertical="center" wrapText="1" indent="1"/>
    </xf>
    <xf numFmtId="0" fontId="24" fillId="39" borderId="184" xfId="0" applyFont="1" applyFill="1" applyBorder="1" applyAlignment="1">
      <alignment horizontal="left" vertical="center" wrapText="1" indent="1"/>
    </xf>
    <xf numFmtId="0" fontId="54" fillId="39" borderId="184" xfId="0" applyFont="1" applyFill="1" applyBorder="1" applyAlignment="1">
      <alignment horizontal="center" vertical="center" wrapText="1"/>
    </xf>
    <xf numFmtId="0" fontId="24" fillId="39" borderId="184" xfId="0" applyFont="1" applyFill="1" applyBorder="1" applyAlignment="1">
      <alignment horizontal="center" vertical="center" wrapText="1"/>
    </xf>
    <xf numFmtId="0" fontId="24" fillId="39" borderId="134" xfId="0" applyFont="1" applyFill="1" applyBorder="1" applyAlignment="1">
      <alignment horizontal="center" vertical="center"/>
    </xf>
    <xf numFmtId="2" fontId="206" fillId="45" borderId="3" xfId="0" applyNumberFormat="1" applyFont="1" applyFill="1" applyBorder="1" applyAlignment="1">
      <alignment horizontal="center" vertical="center" wrapText="1"/>
    </xf>
    <xf numFmtId="181" fontId="52" fillId="44" borderId="9" xfId="0" applyNumberFormat="1" applyFont="1" applyFill="1" applyBorder="1" applyAlignment="1">
      <alignment horizontal="right" vertical="center" wrapText="1"/>
    </xf>
    <xf numFmtId="2" fontId="205" fillId="14" borderId="5" xfId="0" applyNumberFormat="1" applyFont="1" applyFill="1" applyBorder="1" applyAlignment="1">
      <alignment horizontal="left" vertical="center" wrapText="1" indent="1"/>
    </xf>
    <xf numFmtId="49" fontId="98" fillId="14" borderId="5" xfId="0" applyNumberFormat="1" applyFont="1" applyFill="1" applyBorder="1" applyAlignment="1">
      <alignment horizontal="center" vertical="center" wrapText="1" indent="1"/>
    </xf>
    <xf numFmtId="0" fontId="206" fillId="45" borderId="1" xfId="0" applyFont="1" applyFill="1" applyBorder="1" applyAlignment="1">
      <alignment horizontal="center" vertical="center" wrapText="1"/>
    </xf>
    <xf numFmtId="49" fontId="13" fillId="0" borderId="4" xfId="0" applyNumberFormat="1" applyFont="1" applyBorder="1" applyAlignment="1">
      <alignment horizontal="left" vertical="center" wrapText="1" indent="1"/>
    </xf>
    <xf numFmtId="171" fontId="130" fillId="0" borderId="0" xfId="0" applyNumberFormat="1" applyFont="1" applyAlignment="1">
      <alignment horizontal="right" vertical="center" wrapText="1"/>
    </xf>
    <xf numFmtId="0" fontId="169" fillId="0" borderId="344" xfId="20" applyFont="1" applyAlignment="1">
      <alignment vertical="center"/>
    </xf>
    <xf numFmtId="168" fontId="99" fillId="0" borderId="344" xfId="20" applyNumberFormat="1" applyFont="1" applyAlignment="1">
      <alignment vertical="center"/>
    </xf>
    <xf numFmtId="0" fontId="168" fillId="0" borderId="344" xfId="20" applyAlignment="1">
      <alignment vertical="center"/>
    </xf>
    <xf numFmtId="0" fontId="172" fillId="25" borderId="621" xfId="20" applyFont="1" applyFill="1" applyBorder="1" applyAlignment="1">
      <alignment horizontal="center" vertical="center" wrapText="1"/>
    </xf>
    <xf numFmtId="0" fontId="172" fillId="26" borderId="621" xfId="20" applyFont="1" applyFill="1" applyBorder="1" applyAlignment="1">
      <alignment horizontal="center" vertical="center" wrapText="1"/>
    </xf>
    <xf numFmtId="168" fontId="173" fillId="0" borderId="344" xfId="20" applyNumberFormat="1" applyFont="1" applyAlignment="1">
      <alignment vertical="center"/>
    </xf>
    <xf numFmtId="0" fontId="172" fillId="25" borderId="621" xfId="20" applyFont="1" applyFill="1" applyBorder="1" applyAlignment="1">
      <alignment horizontal="center" vertical="center"/>
    </xf>
    <xf numFmtId="0" fontId="172" fillId="26" borderId="621" xfId="20" applyFont="1" applyFill="1" applyBorder="1" applyAlignment="1">
      <alignment horizontal="center" vertical="center"/>
    </xf>
    <xf numFmtId="43" fontId="99" fillId="39" borderId="621" xfId="13" applyFont="1" applyFill="1" applyBorder="1" applyAlignment="1" applyProtection="1">
      <alignment vertical="center"/>
    </xf>
    <xf numFmtId="0" fontId="99" fillId="24" borderId="621" xfId="20" applyFont="1" applyFill="1" applyBorder="1" applyAlignment="1">
      <alignment horizontal="center" vertical="center"/>
    </xf>
    <xf numFmtId="0" fontId="177" fillId="0" borderId="344" xfId="20" applyFont="1" applyAlignment="1">
      <alignment vertical="center"/>
    </xf>
    <xf numFmtId="0" fontId="168" fillId="0" borderId="344" xfId="20" applyAlignment="1">
      <alignment horizontal="left" vertical="center" indent="1"/>
    </xf>
    <xf numFmtId="4" fontId="99" fillId="0" borderId="344" xfId="20" applyNumberFormat="1" applyFont="1" applyAlignment="1">
      <alignment vertical="center"/>
    </xf>
    <xf numFmtId="43" fontId="99" fillId="0" borderId="344" xfId="20" applyNumberFormat="1" applyFont="1" applyAlignment="1">
      <alignment vertical="center"/>
    </xf>
    <xf numFmtId="0" fontId="179" fillId="0" borderId="621" xfId="20" applyFont="1" applyBorder="1" applyAlignment="1">
      <alignment horizontal="center" vertical="center"/>
    </xf>
    <xf numFmtId="49" fontId="179" fillId="0" borderId="621" xfId="20" applyNumberFormat="1" applyFont="1" applyBorder="1" applyAlignment="1">
      <alignment horizontal="center" vertical="center" wrapText="1"/>
    </xf>
    <xf numFmtId="49" fontId="179" fillId="22" borderId="621" xfId="20" applyNumberFormat="1" applyFont="1" applyFill="1" applyBorder="1" applyAlignment="1">
      <alignment horizontal="center" vertical="center" wrapText="1"/>
    </xf>
    <xf numFmtId="49" fontId="179" fillId="51" borderId="621" xfId="20" applyNumberFormat="1" applyFont="1" applyFill="1" applyBorder="1" applyAlignment="1">
      <alignment horizontal="center" vertical="center" wrapText="1"/>
    </xf>
    <xf numFmtId="49" fontId="179" fillId="24" borderId="623" xfId="20" applyNumberFormat="1" applyFont="1" applyFill="1" applyBorder="1" applyAlignment="1">
      <alignment horizontal="center" vertical="center" wrapText="1"/>
    </xf>
    <xf numFmtId="175" fontId="179" fillId="25" borderId="621" xfId="20" applyNumberFormat="1" applyFont="1" applyFill="1" applyBorder="1" applyAlignment="1">
      <alignment horizontal="center" vertical="center"/>
    </xf>
    <xf numFmtId="175" fontId="179" fillId="26" borderId="621" xfId="20" applyNumberFormat="1" applyFont="1" applyFill="1" applyBorder="1" applyAlignment="1">
      <alignment horizontal="center" vertical="center"/>
    </xf>
    <xf numFmtId="0" fontId="180" fillId="14" borderId="625" xfId="20" applyFont="1" applyFill="1" applyBorder="1" applyAlignment="1">
      <alignment horizontal="center" vertical="center"/>
    </xf>
    <xf numFmtId="0" fontId="180" fillId="0" borderId="626" xfId="20" applyFont="1" applyBorder="1" applyAlignment="1">
      <alignment vertical="center"/>
    </xf>
    <xf numFmtId="168" fontId="99" fillId="0" borderId="621" xfId="20" applyNumberFormat="1" applyFont="1" applyBorder="1" applyAlignment="1">
      <alignment vertical="center"/>
    </xf>
    <xf numFmtId="168" fontId="168" fillId="0" borderId="621" xfId="20" applyNumberFormat="1" applyBorder="1" applyAlignment="1">
      <alignment vertical="center"/>
    </xf>
    <xf numFmtId="168" fontId="99" fillId="0" borderId="620" xfId="20" applyNumberFormat="1" applyFont="1" applyBorder="1" applyAlignment="1">
      <alignment vertical="center"/>
    </xf>
    <xf numFmtId="0" fontId="99" fillId="0" borderId="621" xfId="20" applyFont="1" applyBorder="1" applyAlignment="1">
      <alignment horizontal="left" vertical="center"/>
    </xf>
    <xf numFmtId="168" fontId="99" fillId="40" borderId="621" xfId="20" applyNumberFormat="1" applyFont="1" applyFill="1" applyBorder="1" applyAlignment="1">
      <alignment vertical="center"/>
    </xf>
    <xf numFmtId="168" fontId="99" fillId="0" borderId="623" xfId="20" applyNumberFormat="1" applyFont="1" applyBorder="1" applyAlignment="1">
      <alignment vertical="center"/>
    </xf>
    <xf numFmtId="168" fontId="168" fillId="0" borderId="344" xfId="20" applyNumberFormat="1" applyAlignment="1">
      <alignment vertical="center"/>
    </xf>
    <xf numFmtId="0" fontId="99" fillId="0" borderId="621" xfId="20" applyFont="1" applyBorder="1" applyAlignment="1">
      <alignment vertical="center"/>
    </xf>
    <xf numFmtId="49" fontId="99" fillId="51" borderId="621" xfId="13" applyNumberFormat="1" applyFont="1" applyFill="1" applyBorder="1" applyAlignment="1">
      <alignment horizontal="center" vertical="center"/>
    </xf>
    <xf numFmtId="168" fontId="175" fillId="0" borderId="621" xfId="20" applyNumberFormat="1" applyFont="1" applyBorder="1" applyAlignment="1">
      <alignment vertical="center"/>
    </xf>
    <xf numFmtId="0" fontId="99" fillId="22" borderId="621" xfId="20" applyFont="1" applyFill="1" applyBorder="1" applyAlignment="1">
      <alignment horizontal="center" vertical="center"/>
    </xf>
    <xf numFmtId="168" fontId="99" fillId="14" borderId="621" xfId="20" applyNumberFormat="1" applyFont="1" applyFill="1" applyBorder="1" applyAlignment="1">
      <alignment vertical="center"/>
    </xf>
    <xf numFmtId="0" fontId="99" fillId="51" borderId="621" xfId="20" applyFont="1" applyFill="1" applyBorder="1" applyAlignment="1">
      <alignment horizontal="center" vertical="center"/>
    </xf>
    <xf numFmtId="168" fontId="280" fillId="0" borderId="621" xfId="20" applyNumberFormat="1" applyFont="1" applyBorder="1" applyAlignment="1">
      <alignment vertical="center"/>
    </xf>
    <xf numFmtId="168" fontId="39" fillId="0" borderId="621" xfId="20" applyNumberFormat="1" applyFont="1" applyBorder="1" applyAlignment="1">
      <alignment vertical="center"/>
    </xf>
    <xf numFmtId="0" fontId="99" fillId="25" borderId="621" xfId="20" applyFont="1" applyFill="1" applyBorder="1" applyAlignment="1">
      <alignment horizontal="center" vertical="center"/>
    </xf>
    <xf numFmtId="168" fontId="99" fillId="0" borderId="619" xfId="20" applyNumberFormat="1" applyFont="1" applyBorder="1" applyAlignment="1">
      <alignment vertical="center"/>
    </xf>
    <xf numFmtId="168" fontId="99" fillId="14" borderId="619" xfId="20" applyNumberFormat="1" applyFont="1" applyFill="1" applyBorder="1" applyAlignment="1">
      <alignment vertical="center"/>
    </xf>
    <xf numFmtId="168" fontId="99" fillId="0" borderId="627" xfId="20" applyNumberFormat="1" applyFont="1" applyBorder="1" applyAlignment="1">
      <alignment vertical="center"/>
    </xf>
    <xf numFmtId="0" fontId="99" fillId="26" borderId="621" xfId="20" applyFont="1" applyFill="1" applyBorder="1" applyAlignment="1">
      <alignment horizontal="center" vertical="center"/>
    </xf>
    <xf numFmtId="0" fontId="99" fillId="25" borderId="621" xfId="20" applyFont="1" applyFill="1" applyBorder="1" applyAlignment="1">
      <alignment horizontal="center" vertical="center" wrapText="1"/>
    </xf>
    <xf numFmtId="0" fontId="175" fillId="0" borderId="621" xfId="20" applyFont="1" applyBorder="1" applyAlignment="1">
      <alignment vertical="center"/>
    </xf>
    <xf numFmtId="39" fontId="168" fillId="0" borderId="344" xfId="20" applyNumberFormat="1" applyAlignment="1">
      <alignment vertical="center"/>
    </xf>
    <xf numFmtId="49" fontId="180" fillId="14" borderId="619" xfId="20" applyNumberFormat="1" applyFont="1" applyFill="1" applyBorder="1" applyAlignment="1">
      <alignment horizontal="center" vertical="center"/>
    </xf>
    <xf numFmtId="0" fontId="180" fillId="0" borderId="554" xfId="20" applyFont="1" applyBorder="1" applyAlignment="1">
      <alignment vertical="center"/>
    </xf>
    <xf numFmtId="168" fontId="181" fillId="0" borderId="621" xfId="20" applyNumberFormat="1" applyFont="1" applyBorder="1" applyAlignment="1">
      <alignment vertical="center"/>
    </xf>
    <xf numFmtId="175" fontId="99" fillId="26" borderId="621" xfId="20" applyNumberFormat="1" applyFont="1" applyFill="1" applyBorder="1" applyAlignment="1">
      <alignment horizontal="center" vertical="center"/>
    </xf>
    <xf numFmtId="0" fontId="99" fillId="0" borderId="621" xfId="20" applyFont="1" applyBorder="1" applyAlignment="1">
      <alignment horizontal="center" vertical="center"/>
    </xf>
    <xf numFmtId="43" fontId="184" fillId="0" borderId="344" xfId="20" applyNumberFormat="1" applyFont="1" applyAlignment="1">
      <alignment vertical="center"/>
    </xf>
    <xf numFmtId="0" fontId="182" fillId="0" borderId="344" xfId="20" applyFont="1" applyAlignment="1">
      <alignment vertical="center"/>
    </xf>
    <xf numFmtId="43" fontId="182" fillId="0" borderId="344" xfId="20" applyNumberFormat="1" applyFont="1" applyAlignment="1">
      <alignment vertical="center"/>
    </xf>
    <xf numFmtId="0" fontId="179" fillId="0" borderId="619" xfId="20" applyFont="1" applyBorder="1" applyAlignment="1">
      <alignment horizontal="center" vertical="center"/>
    </xf>
    <xf numFmtId="49" fontId="179" fillId="27" borderId="621" xfId="20" applyNumberFormat="1" applyFont="1" applyFill="1" applyBorder="1" applyAlignment="1">
      <alignment horizontal="center" vertical="center" wrapText="1"/>
    </xf>
    <xf numFmtId="0" fontId="180" fillId="14" borderId="619" xfId="20" applyFont="1" applyFill="1" applyBorder="1" applyAlignment="1">
      <alignment horizontal="center" vertical="center"/>
    </xf>
    <xf numFmtId="0" fontId="180" fillId="0" borderId="619" xfId="20" applyFont="1" applyBorder="1" applyAlignment="1">
      <alignment vertical="center"/>
    </xf>
    <xf numFmtId="168" fontId="181" fillId="0" borderId="344" xfId="20" applyNumberFormat="1" applyFont="1" applyAlignment="1">
      <alignment vertical="center"/>
    </xf>
    <xf numFmtId="0" fontId="185" fillId="0" borderId="344" xfId="20" applyFont="1" applyAlignment="1">
      <alignment horizontal="center" vertical="center"/>
    </xf>
    <xf numFmtId="168" fontId="185" fillId="0" borderId="621" xfId="20" applyNumberFormat="1" applyFont="1" applyBorder="1" applyAlignment="1">
      <alignment horizontal="center" vertical="center"/>
    </xf>
    <xf numFmtId="168" fontId="99" fillId="14" borderId="623" xfId="20" applyNumberFormat="1" applyFont="1" applyFill="1" applyBorder="1" applyAlignment="1">
      <alignment vertical="center"/>
    </xf>
    <xf numFmtId="168" fontId="39" fillId="0" borderId="619" xfId="20" applyNumberFormat="1" applyFont="1" applyBorder="1" applyAlignment="1">
      <alignment vertical="center"/>
    </xf>
    <xf numFmtId="168" fontId="181" fillId="0" borderId="619" xfId="20" applyNumberFormat="1" applyFont="1" applyBorder="1" applyAlignment="1">
      <alignment vertical="center"/>
    </xf>
    <xf numFmtId="0" fontId="96" fillId="0" borderId="344" xfId="20" applyFont="1" applyAlignment="1">
      <alignment vertical="center"/>
    </xf>
    <xf numFmtId="44" fontId="182" fillId="0" borderId="344" xfId="20" applyNumberFormat="1" applyFont="1" applyAlignment="1">
      <alignment vertical="center"/>
    </xf>
    <xf numFmtId="39" fontId="182" fillId="0" borderId="344" xfId="20" applyNumberFormat="1" applyFont="1" applyAlignment="1">
      <alignment vertical="center"/>
    </xf>
    <xf numFmtId="0" fontId="176" fillId="0" borderId="344" xfId="20" applyFont="1" applyAlignment="1">
      <alignment vertical="center"/>
    </xf>
    <xf numFmtId="0" fontId="99" fillId="0" borderId="623" xfId="20" applyFont="1" applyBorder="1" applyAlignment="1">
      <alignment vertical="center"/>
    </xf>
    <xf numFmtId="0" fontId="175" fillId="0" borderId="623" xfId="20" applyFont="1" applyBorder="1" applyAlignment="1">
      <alignment vertical="center"/>
    </xf>
    <xf numFmtId="0" fontId="168" fillId="0" borderId="621" xfId="20" applyBorder="1" applyAlignment="1">
      <alignment horizontal="center" vertical="center"/>
    </xf>
    <xf numFmtId="168" fontId="175" fillId="14" borderId="621" xfId="20" applyNumberFormat="1" applyFont="1" applyFill="1" applyBorder="1" applyAlignment="1">
      <alignment vertical="center"/>
    </xf>
    <xf numFmtId="0" fontId="99" fillId="0" borderId="344" xfId="20" applyFont="1" applyAlignment="1">
      <alignment vertical="center"/>
    </xf>
    <xf numFmtId="179" fontId="99" fillId="0" borderId="344" xfId="20" applyNumberFormat="1" applyFont="1" applyAlignment="1">
      <alignment vertical="center"/>
    </xf>
    <xf numFmtId="0" fontId="175" fillId="0" borderId="344" xfId="20" applyFont="1" applyAlignment="1">
      <alignment vertical="center"/>
    </xf>
    <xf numFmtId="39" fontId="175" fillId="0" borderId="344" xfId="20" applyNumberFormat="1" applyFont="1" applyAlignment="1">
      <alignment vertical="center"/>
    </xf>
    <xf numFmtId="39" fontId="175" fillId="22" borderId="344" xfId="18" applyNumberFormat="1" applyFont="1" applyFill="1" applyBorder="1" applyAlignment="1">
      <alignment horizontal="right" vertical="center"/>
    </xf>
    <xf numFmtId="182" fontId="99" fillId="0" borderId="344" xfId="20" applyNumberFormat="1" applyFont="1" applyAlignment="1">
      <alignment vertical="center"/>
    </xf>
    <xf numFmtId="4" fontId="175" fillId="0" borderId="344" xfId="20" applyNumberFormat="1" applyFont="1" applyAlignment="1">
      <alignment vertical="center"/>
    </xf>
    <xf numFmtId="168" fontId="180" fillId="0" borderId="344" xfId="20" applyNumberFormat="1" applyFont="1" applyAlignment="1">
      <alignment vertical="center"/>
    </xf>
    <xf numFmtId="4" fontId="180" fillId="0" borderId="344" xfId="20" applyNumberFormat="1" applyFont="1" applyAlignment="1">
      <alignment vertical="center"/>
    </xf>
    <xf numFmtId="166" fontId="99" fillId="0" borderId="344" xfId="20" applyNumberFormat="1" applyFont="1" applyAlignment="1">
      <alignment vertical="center"/>
    </xf>
    <xf numFmtId="0" fontId="180" fillId="0" borderId="344" xfId="20" applyFont="1" applyAlignment="1">
      <alignment vertical="center"/>
    </xf>
    <xf numFmtId="0" fontId="175" fillId="0" borderId="621" xfId="20" applyFont="1" applyBorder="1" applyAlignment="1">
      <alignment horizontal="center" vertical="center"/>
    </xf>
    <xf numFmtId="0" fontId="247" fillId="0" borderId="344" xfId="20" applyFont="1" applyAlignment="1">
      <alignment vertical="center"/>
    </xf>
    <xf numFmtId="165" fontId="175" fillId="0" borderId="621" xfId="20" applyNumberFormat="1" applyFont="1" applyBorder="1" applyAlignment="1">
      <alignment vertical="center"/>
    </xf>
    <xf numFmtId="168" fontId="175" fillId="0" borderId="344" xfId="20" applyNumberFormat="1" applyFont="1" applyAlignment="1">
      <alignment vertical="center"/>
    </xf>
    <xf numFmtId="168" fontId="247" fillId="0" borderId="344" xfId="20" applyNumberFormat="1" applyFont="1" applyAlignment="1">
      <alignment vertical="center"/>
    </xf>
    <xf numFmtId="165" fontId="175" fillId="0" borderId="344" xfId="20" applyNumberFormat="1" applyFont="1" applyAlignment="1">
      <alignment vertical="center"/>
    </xf>
    <xf numFmtId="0" fontId="168" fillId="0" borderId="344" xfId="20" applyAlignment="1">
      <alignment horizontal="left" vertical="center"/>
    </xf>
    <xf numFmtId="168" fontId="175" fillId="0" borderId="846" xfId="20" applyNumberFormat="1" applyFont="1" applyBorder="1" applyAlignment="1">
      <alignment vertical="center"/>
    </xf>
    <xf numFmtId="168" fontId="175" fillId="0" borderId="847" xfId="20" applyNumberFormat="1" applyFont="1" applyBorder="1" applyAlignment="1">
      <alignment vertical="center"/>
    </xf>
    <xf numFmtId="168" fontId="175" fillId="0" borderId="848" xfId="20" applyNumberFormat="1" applyFont="1" applyBorder="1" applyAlignment="1">
      <alignment vertical="center"/>
    </xf>
    <xf numFmtId="168" fontId="99" fillId="0" borderId="850" xfId="20" applyNumberFormat="1" applyFont="1" applyBorder="1" applyAlignment="1">
      <alignment vertical="center"/>
    </xf>
    <xf numFmtId="168" fontId="99" fillId="0" borderId="851" xfId="20" applyNumberFormat="1" applyFont="1" applyBorder="1" applyAlignment="1">
      <alignment vertical="center"/>
    </xf>
    <xf numFmtId="168" fontId="99" fillId="0" borderId="852" xfId="20" applyNumberFormat="1" applyFont="1" applyBorder="1" applyAlignment="1">
      <alignment vertical="center"/>
    </xf>
    <xf numFmtId="0" fontId="169" fillId="0" borderId="344" xfId="20" applyFont="1" applyAlignment="1">
      <alignment vertical="center" wrapText="1"/>
    </xf>
    <xf numFmtId="0" fontId="99" fillId="0" borderId="344" xfId="12" applyFont="1" applyAlignment="1">
      <alignment vertical="center" wrapText="1"/>
    </xf>
    <xf numFmtId="0" fontId="179" fillId="0" borderId="621" xfId="11" applyFont="1" applyBorder="1" applyAlignment="1">
      <alignment horizontal="center" vertical="center" wrapText="1"/>
    </xf>
    <xf numFmtId="0" fontId="99" fillId="0" borderId="621" xfId="11" applyFont="1" applyBorder="1" applyAlignment="1">
      <alignment vertical="center" wrapText="1"/>
    </xf>
    <xf numFmtId="168" fontId="99" fillId="0" borderId="621" xfId="21" applyNumberFormat="1" applyFont="1" applyBorder="1" applyAlignment="1">
      <alignment vertical="center"/>
    </xf>
    <xf numFmtId="0" fontId="99" fillId="0" borderId="344" xfId="11" applyFont="1" applyAlignment="1">
      <alignment vertical="center" wrapText="1"/>
    </xf>
    <xf numFmtId="0" fontId="168" fillId="0" borderId="344" xfId="20" applyAlignment="1">
      <alignment horizontal="left" vertical="center" wrapText="1"/>
    </xf>
    <xf numFmtId="0" fontId="179" fillId="0" borderId="621" xfId="20" applyFont="1" applyBorder="1" applyAlignment="1">
      <alignment horizontal="center" vertical="center" wrapText="1"/>
    </xf>
    <xf numFmtId="0" fontId="180" fillId="0" borderId="626" xfId="20" applyFont="1" applyBorder="1" applyAlignment="1">
      <alignment vertical="center" wrapText="1"/>
    </xf>
    <xf numFmtId="0" fontId="99" fillId="0" borderId="621" xfId="20" applyFont="1" applyBorder="1" applyAlignment="1">
      <alignment horizontal="left" vertical="center" wrapText="1"/>
    </xf>
    <xf numFmtId="0" fontId="99" fillId="0" borderId="621" xfId="20" applyFont="1" applyBorder="1" applyAlignment="1">
      <alignment vertical="center" wrapText="1"/>
    </xf>
    <xf numFmtId="0" fontId="175" fillId="0" borderId="621" xfId="20" applyFont="1" applyBorder="1" applyAlignment="1">
      <alignment vertical="center" wrapText="1"/>
    </xf>
    <xf numFmtId="43" fontId="182" fillId="0" borderId="344" xfId="13" applyFont="1" applyFill="1" applyBorder="1" applyAlignment="1" applyProtection="1">
      <alignment vertical="center" wrapText="1"/>
    </xf>
    <xf numFmtId="0" fontId="180" fillId="0" borderId="554" xfId="20" applyFont="1" applyBorder="1" applyAlignment="1">
      <alignment vertical="center" wrapText="1"/>
    </xf>
    <xf numFmtId="0" fontId="182" fillId="0" borderId="344" xfId="20" applyFont="1" applyAlignment="1">
      <alignment vertical="center" wrapText="1"/>
    </xf>
    <xf numFmtId="43" fontId="182" fillId="0" borderId="344" xfId="20" applyNumberFormat="1" applyFont="1" applyAlignment="1">
      <alignment vertical="center" wrapText="1"/>
    </xf>
    <xf numFmtId="0" fontId="179" fillId="0" borderId="619" xfId="20" applyFont="1" applyBorder="1" applyAlignment="1">
      <alignment horizontal="center" vertical="center" wrapText="1"/>
    </xf>
    <xf numFmtId="0" fontId="180" fillId="0" borderId="619" xfId="20" applyFont="1" applyBorder="1" applyAlignment="1">
      <alignment vertical="center" wrapText="1"/>
    </xf>
    <xf numFmtId="44" fontId="182" fillId="0" borderId="344" xfId="20" applyNumberFormat="1" applyFont="1" applyAlignment="1">
      <alignment vertical="center" wrapText="1"/>
    </xf>
    <xf numFmtId="0" fontId="99" fillId="0" borderId="623" xfId="20" applyFont="1" applyBorder="1" applyAlignment="1">
      <alignment vertical="center" wrapText="1"/>
    </xf>
    <xf numFmtId="0" fontId="175" fillId="0" borderId="623" xfId="20" applyFont="1" applyBorder="1" applyAlignment="1">
      <alignment vertical="center" wrapText="1"/>
    </xf>
    <xf numFmtId="0" fontId="99" fillId="0" borderId="344" xfId="20" applyFont="1" applyAlignment="1">
      <alignment vertical="center" wrapText="1"/>
    </xf>
    <xf numFmtId="0" fontId="175" fillId="0" borderId="344" xfId="20" applyFont="1" applyAlignment="1">
      <alignment vertical="center" wrapText="1"/>
    </xf>
    <xf numFmtId="39" fontId="175" fillId="0" borderId="344" xfId="20" applyNumberFormat="1" applyFont="1" applyAlignment="1">
      <alignment vertical="center" wrapText="1"/>
    </xf>
    <xf numFmtId="4" fontId="175" fillId="0" borderId="344" xfId="20" applyNumberFormat="1" applyFont="1" applyAlignment="1">
      <alignment vertical="center" wrapText="1"/>
    </xf>
    <xf numFmtId="0" fontId="168" fillId="0" borderId="344" xfId="20" applyAlignment="1">
      <alignment vertical="center" wrapText="1"/>
    </xf>
    <xf numFmtId="0" fontId="32" fillId="0" borderId="344" xfId="9"/>
    <xf numFmtId="0" fontId="272" fillId="0" borderId="344" xfId="9" applyFont="1"/>
    <xf numFmtId="0" fontId="3" fillId="0" borderId="344" xfId="9" applyFont="1" applyAlignment="1">
      <alignment vertical="center"/>
    </xf>
    <xf numFmtId="177" fontId="3" fillId="0" borderId="344" xfId="9" applyNumberFormat="1" applyFont="1" applyAlignment="1">
      <alignment vertical="center"/>
    </xf>
    <xf numFmtId="0" fontId="198" fillId="0" borderId="344" xfId="9" applyFont="1" applyAlignment="1">
      <alignment vertical="center"/>
    </xf>
    <xf numFmtId="177" fontId="271" fillId="0" borderId="344" xfId="9" applyNumberFormat="1" applyFont="1" applyAlignment="1">
      <alignment horizontal="left" vertical="center"/>
    </xf>
    <xf numFmtId="14" fontId="270" fillId="0" borderId="344" xfId="9" applyNumberFormat="1" applyFont="1" applyAlignment="1">
      <alignment horizontal="left" vertical="center"/>
    </xf>
    <xf numFmtId="0" fontId="269" fillId="0" borderId="344" xfId="9" applyFont="1" applyAlignment="1">
      <alignment vertical="center"/>
    </xf>
    <xf numFmtId="0" fontId="138" fillId="0" borderId="344" xfId="9" applyFont="1"/>
    <xf numFmtId="0" fontId="103" fillId="0" borderId="344" xfId="9" applyFont="1" applyAlignment="1">
      <alignment horizontal="left" vertical="center" wrapText="1" indent="1"/>
    </xf>
    <xf numFmtId="0" fontId="29" fillId="0" borderId="344" xfId="9" applyFont="1" applyAlignment="1">
      <alignment horizontal="left" vertical="center" wrapText="1" indent="1"/>
    </xf>
    <xf numFmtId="0" fontId="103" fillId="0" borderId="344" xfId="9" applyFont="1" applyAlignment="1">
      <alignment horizontal="center" vertical="center" wrapText="1"/>
    </xf>
    <xf numFmtId="177" fontId="104" fillId="0" borderId="344" xfId="9" applyNumberFormat="1" applyFont="1" applyAlignment="1">
      <alignment horizontal="center" vertical="center" wrapText="1"/>
    </xf>
    <xf numFmtId="0" fontId="103" fillId="0" borderId="5" xfId="9" applyFont="1" applyBorder="1" applyAlignment="1">
      <alignment horizontal="left" vertical="center" wrapText="1" indent="1"/>
    </xf>
    <xf numFmtId="0" fontId="29" fillId="0" borderId="375" xfId="9" applyFont="1" applyBorder="1" applyAlignment="1">
      <alignment horizontal="left" vertical="center" wrapText="1" indent="1"/>
    </xf>
    <xf numFmtId="0" fontId="103" fillId="0" borderId="5" xfId="9" applyFont="1" applyBorder="1" applyAlignment="1">
      <alignment horizontal="center" vertical="center" wrapText="1"/>
    </xf>
    <xf numFmtId="177" fontId="104" fillId="0" borderId="5" xfId="9" applyNumberFormat="1" applyFont="1" applyBorder="1" applyAlignment="1">
      <alignment horizontal="center" vertical="center" wrapText="1"/>
    </xf>
    <xf numFmtId="0" fontId="104" fillId="0" borderId="5" xfId="9" applyFont="1" applyBorder="1" applyAlignment="1">
      <alignment horizontal="center" vertical="center"/>
    </xf>
    <xf numFmtId="0" fontId="29" fillId="0" borderId="627" xfId="9" applyFont="1" applyBorder="1" applyAlignment="1">
      <alignment horizontal="left" vertical="center" wrapText="1" indent="1"/>
    </xf>
    <xf numFmtId="0" fontId="103" fillId="0" borderId="365" xfId="9" applyFont="1" applyBorder="1" applyAlignment="1">
      <alignment horizontal="center" vertical="center" wrapText="1"/>
    </xf>
    <xf numFmtId="177" fontId="104" fillId="0" borderId="619" xfId="9" applyNumberFormat="1" applyFont="1" applyBorder="1" applyAlignment="1">
      <alignment horizontal="center" vertical="center" wrapText="1"/>
    </xf>
    <xf numFmtId="0" fontId="103" fillId="0" borderId="365" xfId="9" applyFont="1" applyBorder="1" applyAlignment="1">
      <alignment horizontal="left" vertical="center" wrapText="1" indent="1"/>
    </xf>
    <xf numFmtId="0" fontId="104" fillId="0" borderId="365" xfId="9" applyFont="1" applyBorder="1" applyAlignment="1">
      <alignment horizontal="center" vertical="center"/>
    </xf>
    <xf numFmtId="0" fontId="29" fillId="0" borderId="366" xfId="9" applyFont="1" applyBorder="1" applyAlignment="1">
      <alignment horizontal="left" vertical="center" wrapText="1" indent="1"/>
    </xf>
    <xf numFmtId="0" fontId="29" fillId="0" borderId="88" xfId="9" applyFont="1" applyBorder="1" applyAlignment="1">
      <alignment horizontal="left" vertical="center" wrapText="1" indent="1"/>
    </xf>
    <xf numFmtId="0" fontId="103" fillId="0" borderId="375" xfId="9" applyFont="1" applyBorder="1" applyAlignment="1">
      <alignment horizontal="center" vertical="center" wrapText="1"/>
    </xf>
    <xf numFmtId="0" fontId="29" fillId="0" borderId="367" xfId="9" applyFont="1" applyBorder="1" applyAlignment="1">
      <alignment horizontal="left" vertical="center" wrapText="1" indent="1"/>
    </xf>
    <xf numFmtId="0" fontId="103" fillId="0" borderId="369" xfId="9" applyFont="1" applyBorder="1" applyAlignment="1">
      <alignment horizontal="center" vertical="center" wrapText="1"/>
    </xf>
    <xf numFmtId="0" fontId="103" fillId="0" borderId="375" xfId="9" applyFont="1" applyBorder="1" applyAlignment="1">
      <alignment horizontal="left" vertical="center" wrapText="1" indent="1"/>
    </xf>
    <xf numFmtId="0" fontId="103" fillId="0" borderId="367" xfId="9" applyFont="1" applyBorder="1" applyAlignment="1">
      <alignment horizontal="left" vertical="center" wrapText="1" indent="1"/>
    </xf>
    <xf numFmtId="0" fontId="103" fillId="0" borderId="621" xfId="9" applyFont="1" applyBorder="1" applyAlignment="1">
      <alignment horizontal="left" vertical="center" wrapText="1" indent="1"/>
    </xf>
    <xf numFmtId="0" fontId="267" fillId="0" borderId="626" xfId="9" applyFont="1" applyBorder="1" applyAlignment="1">
      <alignment horizontal="left" vertical="center" indent="1"/>
    </xf>
    <xf numFmtId="0" fontId="29" fillId="0" borderId="5" xfId="9" applyFont="1" applyBorder="1" applyAlignment="1">
      <alignment horizontal="left" vertical="center" wrapText="1" indent="1"/>
    </xf>
    <xf numFmtId="0" fontId="103" fillId="0" borderId="619" xfId="9" applyFont="1" applyBorder="1" applyAlignment="1">
      <alignment horizontal="center" vertical="center" wrapText="1"/>
    </xf>
    <xf numFmtId="0" fontId="103" fillId="0" borderId="369" xfId="9" applyFont="1" applyBorder="1" applyAlignment="1">
      <alignment horizontal="left" vertical="center" wrapText="1" indent="1"/>
    </xf>
    <xf numFmtId="0" fontId="103" fillId="0" borderId="853" xfId="9" applyFont="1" applyBorder="1" applyAlignment="1">
      <alignment horizontal="center" vertical="center" wrapText="1"/>
    </xf>
    <xf numFmtId="0" fontId="29" fillId="0" borderId="621" xfId="9" applyFont="1" applyBorder="1" applyAlignment="1">
      <alignment horizontal="left" vertical="center" wrapText="1" indent="1"/>
    </xf>
    <xf numFmtId="0" fontId="103" fillId="0" borderId="621" xfId="9" applyFont="1" applyBorder="1" applyAlignment="1">
      <alignment horizontal="center" vertical="center" wrapText="1"/>
    </xf>
    <xf numFmtId="0" fontId="29" fillId="14" borderId="5" xfId="9" applyFont="1" applyFill="1" applyBorder="1" applyAlignment="1">
      <alignment horizontal="left" vertical="center" wrapText="1" indent="1"/>
    </xf>
    <xf numFmtId="177" fontId="104" fillId="0" borderId="621" xfId="9" applyNumberFormat="1" applyFont="1" applyBorder="1" applyAlignment="1">
      <alignment horizontal="center" vertical="center" wrapText="1"/>
    </xf>
    <xf numFmtId="0" fontId="103" fillId="0" borderId="619" xfId="9" applyFont="1" applyBorder="1" applyAlignment="1">
      <alignment horizontal="left" vertical="center" wrapText="1" indent="1"/>
    </xf>
    <xf numFmtId="0" fontId="29" fillId="0" borderId="619" xfId="9" applyFont="1" applyBorder="1" applyAlignment="1">
      <alignment horizontal="left" vertical="center" wrapText="1" indent="1"/>
    </xf>
    <xf numFmtId="177" fontId="104" fillId="0" borderId="365" xfId="9" applyNumberFormat="1" applyFont="1" applyBorder="1" applyAlignment="1">
      <alignment horizontal="center" vertical="center" wrapText="1"/>
    </xf>
    <xf numFmtId="0" fontId="29" fillId="0" borderId="365" xfId="9" applyFont="1" applyBorder="1" applyAlignment="1">
      <alignment horizontal="left" vertical="center" wrapText="1" indent="1"/>
    </xf>
    <xf numFmtId="0" fontId="103" fillId="0" borderId="741" xfId="9" applyFont="1" applyBorder="1" applyAlignment="1">
      <alignment horizontal="center" vertical="center" wrapText="1"/>
    </xf>
    <xf numFmtId="177" fontId="104" fillId="0" borderId="744" xfId="9" applyNumberFormat="1" applyFont="1" applyBorder="1" applyAlignment="1">
      <alignment horizontal="center" vertical="center" wrapText="1"/>
    </xf>
    <xf numFmtId="0" fontId="29" fillId="0" borderId="744" xfId="9" applyFont="1" applyBorder="1" applyAlignment="1">
      <alignment horizontal="left" vertical="center" wrapText="1" indent="1"/>
    </xf>
    <xf numFmtId="0" fontId="206" fillId="0" borderId="365" xfId="9" applyFont="1" applyBorder="1" applyAlignment="1">
      <alignment horizontal="center" vertical="center" wrapText="1"/>
    </xf>
    <xf numFmtId="0" fontId="206" fillId="0" borderId="365" xfId="9" applyFont="1" applyBorder="1" applyAlignment="1">
      <alignment horizontal="center" vertical="center"/>
    </xf>
    <xf numFmtId="177" fontId="206" fillId="0" borderId="365" xfId="9" applyNumberFormat="1" applyFont="1" applyBorder="1" applyAlignment="1">
      <alignment horizontal="center" vertical="center" wrapText="1"/>
    </xf>
    <xf numFmtId="0" fontId="44" fillId="0" borderId="344" xfId="9" applyFont="1" applyAlignment="1">
      <alignment vertical="center"/>
    </xf>
    <xf numFmtId="177" fontId="44" fillId="0" borderId="344" xfId="9" applyNumberFormat="1" applyFont="1" applyAlignment="1">
      <alignment vertical="center"/>
    </xf>
    <xf numFmtId="49" fontId="179" fillId="0" borderId="619" xfId="0" applyNumberFormat="1" applyFont="1" applyBorder="1" applyAlignment="1">
      <alignment horizontal="center" vertical="center" wrapText="1"/>
    </xf>
    <xf numFmtId="0" fontId="96" fillId="0" borderId="621" xfId="0" applyFont="1" applyBorder="1" applyAlignment="1">
      <alignment horizontal="left" vertical="center" indent="1"/>
    </xf>
    <xf numFmtId="0" fontId="96" fillId="0" borderId="621" xfId="0" applyFont="1" applyBorder="1" applyAlignment="1">
      <alignment horizontal="left" vertical="center" wrapText="1" indent="1"/>
    </xf>
    <xf numFmtId="0" fontId="42" fillId="2" borderId="327" xfId="0" applyFont="1" applyFill="1" applyBorder="1" applyAlignment="1">
      <alignment vertical="center" wrapText="1"/>
    </xf>
    <xf numFmtId="0" fontId="11" fillId="0" borderId="79" xfId="0" applyFont="1" applyBorder="1" applyAlignment="1">
      <alignment horizontal="left" vertical="center" wrapText="1" indent="1"/>
    </xf>
    <xf numFmtId="0" fontId="24" fillId="0" borderId="372" xfId="0" applyFont="1" applyBorder="1" applyAlignment="1">
      <alignment vertical="center" wrapText="1" indent="1"/>
    </xf>
    <xf numFmtId="0" fontId="40" fillId="0" borderId="209" xfId="0" applyFont="1" applyBorder="1" applyAlignment="1">
      <alignment horizontal="center"/>
    </xf>
    <xf numFmtId="0" fontId="40" fillId="0" borderId="310" xfId="0" applyFont="1" applyBorder="1" applyAlignment="1">
      <alignment horizontal="center"/>
    </xf>
    <xf numFmtId="0" fontId="14" fillId="0" borderId="47" xfId="0" applyFont="1" applyBorder="1" applyAlignment="1">
      <alignment horizontal="left" vertical="center" wrapText="1" indent="1"/>
    </xf>
    <xf numFmtId="0" fontId="14" fillId="0" borderId="50" xfId="0" applyFont="1" applyBorder="1" applyAlignment="1">
      <alignment horizontal="left" vertical="center" wrapText="1" indent="1"/>
    </xf>
    <xf numFmtId="0" fontId="11" fillId="0" borderId="122" xfId="0" applyFont="1" applyBorder="1" applyAlignment="1">
      <alignment horizontal="left" vertical="center" wrapText="1" indent="1"/>
    </xf>
    <xf numFmtId="0" fontId="24" fillId="0" borderId="674" xfId="0" applyFont="1" applyBorder="1" applyAlignment="1">
      <alignment horizontal="left" vertical="center" wrapText="1" indent="1"/>
    </xf>
    <xf numFmtId="0" fontId="24" fillId="4" borderId="737" xfId="0" applyFont="1" applyFill="1" applyBorder="1" applyAlignment="1">
      <alignment horizontal="left" vertical="center" wrapText="1" indent="1"/>
    </xf>
    <xf numFmtId="0" fontId="38" fillId="0" borderId="738" xfId="0" applyFont="1" applyBorder="1" applyAlignment="1">
      <alignment horizontal="left" vertical="center" wrapText="1" indent="1"/>
    </xf>
    <xf numFmtId="0" fontId="24" fillId="4" borderId="770" xfId="0" applyFont="1" applyFill="1" applyBorder="1" applyAlignment="1">
      <alignment horizontal="left" vertical="center" wrapText="1" indent="1"/>
    </xf>
    <xf numFmtId="0" fontId="24" fillId="4" borderId="674" xfId="0" applyFont="1" applyFill="1" applyBorder="1" applyAlignment="1">
      <alignment horizontal="left" vertical="center" wrapText="1" indent="1"/>
    </xf>
    <xf numFmtId="0" fontId="23" fillId="0" borderId="737" xfId="15" applyFont="1" applyBorder="1" applyAlignment="1">
      <alignment horizontal="left" vertical="center" wrapText="1" indent="1"/>
    </xf>
    <xf numFmtId="0" fontId="22" fillId="0" borderId="738" xfId="15" applyFont="1" applyBorder="1" applyAlignment="1">
      <alignment horizontal="left" vertical="center" wrapText="1" indent="1"/>
    </xf>
    <xf numFmtId="0" fontId="23" fillId="0" borderId="674" xfId="15" applyFont="1" applyBorder="1" applyAlignment="1">
      <alignment horizontal="left" vertical="center" wrapText="1" indent="1"/>
    </xf>
    <xf numFmtId="0" fontId="22" fillId="0" borderId="770" xfId="15" applyFont="1" applyBorder="1" applyAlignment="1">
      <alignment horizontal="left" vertical="center" wrapText="1" indent="1"/>
    </xf>
    <xf numFmtId="0" fontId="23" fillId="3" borderId="662" xfId="15" applyFont="1" applyFill="1" applyBorder="1" applyAlignment="1">
      <alignment horizontal="left" vertical="center" wrapText="1" indent="1"/>
    </xf>
    <xf numFmtId="0" fontId="23" fillId="3" borderId="738" xfId="15" applyFont="1" applyFill="1" applyBorder="1" applyAlignment="1">
      <alignment horizontal="left" vertical="center" wrapText="1" indent="1"/>
    </xf>
    <xf numFmtId="0" fontId="23" fillId="3" borderId="674" xfId="15" applyFont="1" applyFill="1" applyBorder="1" applyAlignment="1">
      <alignment horizontal="left" vertical="center" wrapText="1" indent="1"/>
    </xf>
    <xf numFmtId="0" fontId="23" fillId="3" borderId="737" xfId="15" applyFont="1" applyFill="1" applyBorder="1" applyAlignment="1">
      <alignment horizontal="center" vertical="center" wrapText="1"/>
    </xf>
    <xf numFmtId="0" fontId="23" fillId="3" borderId="662" xfId="15" applyFont="1" applyFill="1" applyBorder="1" applyAlignment="1">
      <alignment horizontal="center" vertical="center" wrapText="1"/>
    </xf>
    <xf numFmtId="0" fontId="23" fillId="3" borderId="738" xfId="15" applyFont="1" applyFill="1" applyBorder="1" applyAlignment="1">
      <alignment horizontal="center" vertical="center" wrapText="1"/>
    </xf>
    <xf numFmtId="0" fontId="23" fillId="3" borderId="770" xfId="15" applyFont="1" applyFill="1" applyBorder="1" applyAlignment="1">
      <alignment horizontal="center" vertical="center" wrapText="1"/>
    </xf>
    <xf numFmtId="0" fontId="23" fillId="3" borderId="673" xfId="15" applyFont="1" applyFill="1" applyBorder="1" applyAlignment="1">
      <alignment horizontal="left" vertical="center" wrapText="1" indent="1"/>
    </xf>
    <xf numFmtId="0" fontId="23" fillId="3" borderId="674" xfId="15" applyFont="1" applyFill="1" applyBorder="1" applyAlignment="1">
      <alignment horizontal="center" vertical="center" wrapText="1"/>
    </xf>
    <xf numFmtId="0" fontId="23" fillId="3" borderId="829" xfId="15" applyFont="1" applyFill="1" applyBorder="1" applyAlignment="1">
      <alignment horizontal="center" vertical="center" wrapText="1"/>
    </xf>
    <xf numFmtId="0" fontId="23" fillId="0" borderId="829" xfId="15" applyFont="1" applyBorder="1" applyAlignment="1">
      <alignment horizontal="left" vertical="center" wrapText="1" indent="1"/>
    </xf>
    <xf numFmtId="0" fontId="15" fillId="0" borderId="310" xfId="0" applyFont="1" applyBorder="1" applyAlignment="1">
      <alignment wrapText="1"/>
    </xf>
    <xf numFmtId="0" fontId="44" fillId="0" borderId="310" xfId="0" applyFont="1" applyBorder="1" applyAlignment="1">
      <alignment wrapText="1"/>
    </xf>
    <xf numFmtId="0" fontId="44" fillId="0" borderId="178" xfId="0" applyFont="1" applyBorder="1" applyAlignment="1">
      <alignment wrapText="1"/>
    </xf>
    <xf numFmtId="0" fontId="129" fillId="0" borderId="44" xfId="0" applyFont="1" applyBorder="1" applyAlignment="1">
      <alignment horizontal="center" vertical="center"/>
    </xf>
    <xf numFmtId="49" fontId="129" fillId="4" borderId="44" xfId="0" applyNumberFormat="1" applyFont="1" applyFill="1" applyBorder="1" applyAlignment="1">
      <alignment horizontal="center" vertical="center"/>
    </xf>
    <xf numFmtId="0" fontId="101" fillId="0" borderId="34" xfId="0" applyFont="1" applyBorder="1" applyAlignment="1">
      <alignment horizontal="center" vertical="center"/>
    </xf>
    <xf numFmtId="49" fontId="101" fillId="4" borderId="34" xfId="0" applyNumberFormat="1" applyFont="1" applyFill="1" applyBorder="1" applyAlignment="1">
      <alignment horizontal="center" vertical="center"/>
    </xf>
    <xf numFmtId="0" fontId="129" fillId="0" borderId="34" xfId="0" applyFont="1" applyBorder="1" applyAlignment="1">
      <alignment horizontal="center" vertical="center"/>
    </xf>
    <xf numFmtId="49" fontId="129" fillId="4" borderId="34" xfId="0" applyNumberFormat="1" applyFont="1" applyFill="1" applyBorder="1" applyAlignment="1">
      <alignment horizontal="center" vertical="center"/>
    </xf>
    <xf numFmtId="0" fontId="101" fillId="0" borderId="37" xfId="0" applyFont="1" applyBorder="1" applyAlignment="1">
      <alignment horizontal="center" vertical="center"/>
    </xf>
    <xf numFmtId="49" fontId="101" fillId="4" borderId="37" xfId="0" applyNumberFormat="1" applyFont="1" applyFill="1" applyBorder="1" applyAlignment="1">
      <alignment horizontal="center" vertical="center"/>
    </xf>
    <xf numFmtId="0" fontId="129" fillId="39" borderId="39" xfId="0" applyFont="1" applyFill="1" applyBorder="1" applyAlignment="1">
      <alignment horizontal="center" vertical="center"/>
    </xf>
    <xf numFmtId="49" fontId="129" fillId="39" borderId="39" xfId="0" applyNumberFormat="1" applyFont="1" applyFill="1" applyBorder="1" applyAlignment="1">
      <alignment horizontal="center" vertical="center"/>
    </xf>
    <xf numFmtId="0" fontId="101" fillId="39" borderId="34" xfId="0" applyFont="1" applyFill="1" applyBorder="1" applyAlignment="1">
      <alignment horizontal="center" vertical="center"/>
    </xf>
    <xf numFmtId="49" fontId="101" fillId="39" borderId="34" xfId="0" applyNumberFormat="1" applyFont="1" applyFill="1" applyBorder="1" applyAlignment="1">
      <alignment horizontal="center" vertical="center"/>
    </xf>
    <xf numFmtId="0" fontId="129" fillId="39" borderId="34" xfId="0" applyFont="1" applyFill="1" applyBorder="1" applyAlignment="1">
      <alignment horizontal="center" vertical="center"/>
    </xf>
    <xf numFmtId="49" fontId="129" fillId="39" borderId="34" xfId="0" applyNumberFormat="1" applyFont="1" applyFill="1" applyBorder="1" applyAlignment="1">
      <alignment horizontal="center" vertical="center"/>
    </xf>
    <xf numFmtId="49" fontId="101" fillId="0" borderId="37" xfId="0" applyNumberFormat="1" applyFont="1" applyBorder="1" applyAlignment="1">
      <alignment horizontal="center" vertical="center"/>
    </xf>
    <xf numFmtId="0" fontId="129" fillId="0" borderId="39" xfId="0" applyFont="1" applyBorder="1" applyAlignment="1">
      <alignment horizontal="center" vertical="center"/>
    </xf>
    <xf numFmtId="49" fontId="129" fillId="4" borderId="39" xfId="0" applyNumberFormat="1" applyFont="1" applyFill="1" applyBorder="1" applyAlignment="1">
      <alignment horizontal="center" vertical="center"/>
    </xf>
    <xf numFmtId="49" fontId="129" fillId="0" borderId="39" xfId="0" applyNumberFormat="1" applyFont="1" applyBorder="1" applyAlignment="1">
      <alignment horizontal="center" vertical="center"/>
    </xf>
    <xf numFmtId="49" fontId="101" fillId="0" borderId="34" xfId="0" applyNumberFormat="1" applyFont="1" applyBorder="1" applyAlignment="1">
      <alignment horizontal="center" vertical="center"/>
    </xf>
    <xf numFmtId="49" fontId="129" fillId="0" borderId="44" xfId="0" applyNumberFormat="1" applyFont="1" applyBorder="1" applyAlignment="1">
      <alignment horizontal="center" vertical="center"/>
    </xf>
    <xf numFmtId="0" fontId="101" fillId="0" borderId="43" xfId="0" applyFont="1" applyBorder="1" applyAlignment="1">
      <alignment horizontal="center" vertical="center"/>
    </xf>
    <xf numFmtId="49" fontId="101" fillId="39" borderId="40" xfId="0" applyNumberFormat="1" applyFont="1" applyFill="1" applyBorder="1" applyAlignment="1">
      <alignment horizontal="center" vertical="center"/>
    </xf>
    <xf numFmtId="0" fontId="129" fillId="14" borderId="39" xfId="0" applyFont="1" applyFill="1" applyBorder="1" applyAlignment="1">
      <alignment horizontal="center" vertical="center"/>
    </xf>
    <xf numFmtId="49" fontId="129" fillId="14" borderId="39" xfId="0" applyNumberFormat="1" applyFont="1" applyFill="1" applyBorder="1" applyAlignment="1">
      <alignment horizontal="center" vertical="center"/>
    </xf>
    <xf numFmtId="49" fontId="101" fillId="0" borderId="44" xfId="0" applyNumberFormat="1" applyFont="1" applyBorder="1" applyAlignment="1">
      <alignment horizontal="center" vertical="center"/>
    </xf>
    <xf numFmtId="49" fontId="101" fillId="4" borderId="43" xfId="0" applyNumberFormat="1" applyFont="1" applyFill="1" applyBorder="1" applyAlignment="1">
      <alignment horizontal="center" vertical="center"/>
    </xf>
    <xf numFmtId="0" fontId="129" fillId="0" borderId="660" xfId="0" applyFont="1" applyBorder="1" applyAlignment="1">
      <alignment horizontal="center" vertical="center"/>
    </xf>
    <xf numFmtId="0" fontId="129" fillId="0" borderId="37" xfId="0" applyFont="1" applyBorder="1" applyAlignment="1">
      <alignment horizontal="center" vertical="center"/>
    </xf>
    <xf numFmtId="49" fontId="68" fillId="39" borderId="39" xfId="0" applyNumberFormat="1" applyFont="1" applyFill="1" applyBorder="1" applyAlignment="1">
      <alignment horizontal="center" vertical="center"/>
    </xf>
    <xf numFmtId="0" fontId="39" fillId="39" borderId="34" xfId="0" applyFont="1" applyFill="1" applyBorder="1" applyAlignment="1">
      <alignment horizontal="center" vertical="center"/>
    </xf>
    <xf numFmtId="0" fontId="101" fillId="4" borderId="34" xfId="0" applyFont="1" applyFill="1" applyBorder="1" applyAlignment="1">
      <alignment horizontal="center" vertical="center"/>
    </xf>
    <xf numFmtId="0" fontId="288" fillId="4" borderId="34" xfId="0" applyFont="1" applyFill="1" applyBorder="1" applyAlignment="1">
      <alignment horizontal="center" vertical="center"/>
    </xf>
    <xf numFmtId="0" fontId="288" fillId="4" borderId="43" xfId="0" applyFont="1" applyFill="1" applyBorder="1" applyAlignment="1">
      <alignment horizontal="center" vertical="center"/>
    </xf>
    <xf numFmtId="0" fontId="288" fillId="4" borderId="37" xfId="0" applyFont="1" applyFill="1" applyBorder="1" applyAlignment="1">
      <alignment horizontal="center" vertical="center"/>
    </xf>
    <xf numFmtId="0" fontId="129" fillId="4" borderId="39" xfId="0" applyFont="1" applyFill="1" applyBorder="1" applyAlignment="1">
      <alignment horizontal="center" vertical="center"/>
    </xf>
    <xf numFmtId="0" fontId="101" fillId="4" borderId="484" xfId="0" applyFont="1" applyFill="1" applyBorder="1" applyAlignment="1">
      <alignment horizontal="center" vertical="center"/>
    </xf>
    <xf numFmtId="49" fontId="39" fillId="39" borderId="34" xfId="0" applyNumberFormat="1" applyFont="1" applyFill="1" applyBorder="1" applyAlignment="1">
      <alignment horizontal="center" vertical="center"/>
    </xf>
    <xf numFmtId="49" fontId="39" fillId="4" borderId="313" xfId="0" applyNumberFormat="1" applyFont="1" applyFill="1" applyBorder="1" applyAlignment="1">
      <alignment horizontal="center" vertical="center"/>
    </xf>
    <xf numFmtId="49" fontId="288" fillId="4" borderId="43" xfId="0" applyNumberFormat="1" applyFont="1" applyFill="1" applyBorder="1" applyAlignment="1">
      <alignment horizontal="center" vertical="center"/>
    </xf>
    <xf numFmtId="49" fontId="288" fillId="4" borderId="37" xfId="0" applyNumberFormat="1" applyFont="1" applyFill="1" applyBorder="1" applyAlignment="1">
      <alignment horizontal="center" vertical="center"/>
    </xf>
    <xf numFmtId="49" fontId="101" fillId="4" borderId="484" xfId="0" applyNumberFormat="1" applyFont="1" applyFill="1" applyBorder="1" applyAlignment="1">
      <alignment horizontal="center" vertical="center"/>
    </xf>
    <xf numFmtId="0" fontId="129" fillId="4" borderId="44" xfId="0" applyFont="1" applyFill="1" applyBorder="1" applyAlignment="1">
      <alignment horizontal="center" vertical="center"/>
    </xf>
    <xf numFmtId="0" fontId="101" fillId="4" borderId="37" xfId="0" applyFont="1" applyFill="1" applyBorder="1" applyAlignment="1">
      <alignment horizontal="center" vertical="center"/>
    </xf>
    <xf numFmtId="0" fontId="68" fillId="39" borderId="39" xfId="0" applyFont="1" applyFill="1" applyBorder="1" applyAlignment="1">
      <alignment horizontal="center" vertical="center"/>
    </xf>
    <xf numFmtId="49" fontId="68" fillId="39" borderId="39" xfId="0" applyNumberFormat="1" applyFont="1" applyFill="1" applyBorder="1" applyAlignment="1">
      <alignment horizontal="center" vertical="center" wrapText="1"/>
    </xf>
    <xf numFmtId="0" fontId="39" fillId="4" borderId="34" xfId="0" applyFont="1" applyFill="1" applyBorder="1" applyAlignment="1">
      <alignment horizontal="center" vertical="center"/>
    </xf>
    <xf numFmtId="49" fontId="39" fillId="4" borderId="34" xfId="0" applyNumberFormat="1" applyFont="1" applyFill="1" applyBorder="1" applyAlignment="1">
      <alignment horizontal="center" vertical="center"/>
    </xf>
    <xf numFmtId="49" fontId="129" fillId="39" borderId="39" xfId="0" applyNumberFormat="1" applyFont="1" applyFill="1" applyBorder="1" applyAlignment="1">
      <alignment horizontal="center" vertical="center" wrapText="1"/>
    </xf>
    <xf numFmtId="0" fontId="38" fillId="39" borderId="38" xfId="0" applyFont="1" applyFill="1" applyBorder="1" applyAlignment="1">
      <alignment horizontal="left" vertical="center" indent="1"/>
    </xf>
    <xf numFmtId="0" fontId="22" fillId="39" borderId="38" xfId="0" applyFont="1" applyFill="1" applyBorder="1" applyAlignment="1">
      <alignment horizontal="left" vertical="center" indent="1"/>
    </xf>
    <xf numFmtId="168" fontId="106" fillId="4" borderId="44" xfId="0" applyNumberFormat="1" applyFont="1" applyFill="1" applyBorder="1" applyAlignment="1">
      <alignment horizontal="right" vertical="center"/>
    </xf>
    <xf numFmtId="168" fontId="130" fillId="4" borderId="44" xfId="0" applyNumberFormat="1" applyFont="1" applyFill="1" applyBorder="1" applyAlignment="1">
      <alignment horizontal="right" vertical="center"/>
    </xf>
    <xf numFmtId="49" fontId="130" fillId="4" borderId="44" xfId="0" applyNumberFormat="1" applyFont="1" applyFill="1" applyBorder="1" applyAlignment="1">
      <alignment horizontal="center" vertical="center"/>
    </xf>
    <xf numFmtId="168" fontId="106" fillId="4" borderId="34" xfId="0" applyNumberFormat="1" applyFont="1" applyFill="1" applyBorder="1" applyAlignment="1">
      <alignment horizontal="right" vertical="center"/>
    </xf>
    <xf numFmtId="168" fontId="130" fillId="4" borderId="34" xfId="0" applyNumberFormat="1" applyFont="1" applyFill="1" applyBorder="1" applyAlignment="1">
      <alignment horizontal="right" vertical="center"/>
    </xf>
    <xf numFmtId="49" fontId="130" fillId="4" borderId="34" xfId="0" applyNumberFormat="1" applyFont="1" applyFill="1" applyBorder="1" applyAlignment="1">
      <alignment horizontal="center" vertical="center"/>
    </xf>
    <xf numFmtId="168" fontId="106" fillId="17" borderId="34" xfId="0" applyNumberFormat="1" applyFont="1" applyFill="1" applyBorder="1" applyAlignment="1">
      <alignment horizontal="right" vertical="center"/>
    </xf>
    <xf numFmtId="168" fontId="130" fillId="17" borderId="34" xfId="0" applyNumberFormat="1" applyFont="1" applyFill="1" applyBorder="1" applyAlignment="1">
      <alignment horizontal="right" vertical="center"/>
    </xf>
    <xf numFmtId="49" fontId="130" fillId="17" borderId="34" xfId="0" applyNumberFormat="1" applyFont="1" applyFill="1" applyBorder="1" applyAlignment="1">
      <alignment horizontal="center" vertical="center"/>
    </xf>
    <xf numFmtId="168" fontId="106" fillId="4" borderId="37" xfId="0" applyNumberFormat="1" applyFont="1" applyFill="1" applyBorder="1" applyAlignment="1">
      <alignment horizontal="right" vertical="center"/>
    </xf>
    <xf numFmtId="168" fontId="106" fillId="17" borderId="37" xfId="0" applyNumberFormat="1" applyFont="1" applyFill="1" applyBorder="1" applyAlignment="1">
      <alignment horizontal="right" vertical="center"/>
    </xf>
    <xf numFmtId="168" fontId="130" fillId="17" borderId="37" xfId="0" applyNumberFormat="1" applyFont="1" applyFill="1" applyBorder="1" applyAlignment="1">
      <alignment horizontal="right" vertical="center"/>
    </xf>
    <xf numFmtId="49" fontId="130" fillId="17" borderId="37" xfId="0" applyNumberFormat="1" applyFont="1" applyFill="1" applyBorder="1" applyAlignment="1">
      <alignment horizontal="center" vertical="center"/>
    </xf>
    <xf numFmtId="168" fontId="106" fillId="39" borderId="39" xfId="0" applyNumberFormat="1" applyFont="1" applyFill="1" applyBorder="1" applyAlignment="1">
      <alignment horizontal="right" vertical="center"/>
    </xf>
    <xf numFmtId="168" fontId="130" fillId="39" borderId="39" xfId="0" applyNumberFormat="1" applyFont="1" applyFill="1" applyBorder="1" applyAlignment="1">
      <alignment horizontal="right" vertical="center"/>
    </xf>
    <xf numFmtId="49" fontId="130" fillId="39" borderId="39" xfId="0" applyNumberFormat="1" applyFont="1" applyFill="1" applyBorder="1" applyAlignment="1">
      <alignment horizontal="center" vertical="center"/>
    </xf>
    <xf numFmtId="168" fontId="106" fillId="39" borderId="34" xfId="0" applyNumberFormat="1" applyFont="1" applyFill="1" applyBorder="1" applyAlignment="1">
      <alignment horizontal="right" vertical="center"/>
    </xf>
    <xf numFmtId="168" fontId="130" fillId="39" borderId="34" xfId="0" applyNumberFormat="1" applyFont="1" applyFill="1" applyBorder="1" applyAlignment="1">
      <alignment horizontal="right" vertical="center"/>
    </xf>
    <xf numFmtId="49" fontId="130" fillId="39" borderId="34" xfId="0" applyNumberFormat="1" applyFont="1" applyFill="1" applyBorder="1" applyAlignment="1">
      <alignment horizontal="center" vertical="center"/>
    </xf>
    <xf numFmtId="168" fontId="106" fillId="0" borderId="37" xfId="0" applyNumberFormat="1" applyFont="1" applyBorder="1" applyAlignment="1">
      <alignment horizontal="right" vertical="center"/>
    </xf>
    <xf numFmtId="168" fontId="130" fillId="0" borderId="37" xfId="0" applyNumberFormat="1" applyFont="1" applyBorder="1" applyAlignment="1">
      <alignment horizontal="right" vertical="center"/>
    </xf>
    <xf numFmtId="49" fontId="130" fillId="0" borderId="37" xfId="0" applyNumberFormat="1" applyFont="1" applyBorder="1" applyAlignment="1">
      <alignment horizontal="center" vertical="center"/>
    </xf>
    <xf numFmtId="168" fontId="106" fillId="4" borderId="39" xfId="0" applyNumberFormat="1" applyFont="1" applyFill="1" applyBorder="1" applyAlignment="1">
      <alignment horizontal="right" vertical="center"/>
    </xf>
    <xf numFmtId="168" fontId="106" fillId="17" borderId="39" xfId="0" applyNumberFormat="1" applyFont="1" applyFill="1" applyBorder="1" applyAlignment="1">
      <alignment horizontal="right" vertical="center"/>
    </xf>
    <xf numFmtId="168" fontId="130" fillId="17" borderId="39" xfId="0" applyNumberFormat="1" applyFont="1" applyFill="1" applyBorder="1" applyAlignment="1">
      <alignment horizontal="right" vertical="center"/>
    </xf>
    <xf numFmtId="49" fontId="130" fillId="17" borderId="39" xfId="0" applyNumberFormat="1" applyFont="1" applyFill="1" applyBorder="1" applyAlignment="1">
      <alignment horizontal="center" vertical="center"/>
    </xf>
    <xf numFmtId="168" fontId="130" fillId="4" borderId="37" xfId="0" applyNumberFormat="1" applyFont="1" applyFill="1" applyBorder="1" applyAlignment="1">
      <alignment horizontal="right" vertical="center"/>
    </xf>
    <xf numFmtId="49" fontId="130" fillId="4" borderId="37" xfId="0" applyNumberFormat="1" applyFont="1" applyFill="1" applyBorder="1" applyAlignment="1">
      <alignment horizontal="center" vertical="center"/>
    </xf>
    <xf numFmtId="168" fontId="130" fillId="4" borderId="39" xfId="0" applyNumberFormat="1" applyFont="1" applyFill="1" applyBorder="1" applyAlignment="1">
      <alignment horizontal="right" vertical="center"/>
    </xf>
    <xf numFmtId="49" fontId="130" fillId="4" borderId="39" xfId="0" applyNumberFormat="1" applyFont="1" applyFill="1" applyBorder="1" applyAlignment="1">
      <alignment horizontal="center" vertical="center"/>
    </xf>
    <xf numFmtId="168" fontId="106" fillId="0" borderId="39" xfId="0" applyNumberFormat="1" applyFont="1" applyBorder="1" applyAlignment="1">
      <alignment horizontal="right" vertical="center"/>
    </xf>
    <xf numFmtId="168" fontId="130" fillId="0" borderId="39" xfId="0" applyNumberFormat="1" applyFont="1" applyBorder="1" applyAlignment="1">
      <alignment horizontal="right" vertical="center"/>
    </xf>
    <xf numFmtId="49" fontId="130" fillId="0" borderId="39" xfId="0" applyNumberFormat="1" applyFont="1" applyBorder="1" applyAlignment="1">
      <alignment horizontal="center" vertical="center"/>
    </xf>
    <xf numFmtId="168" fontId="106" fillId="0" borderId="34" xfId="0" applyNumberFormat="1" applyFont="1" applyBorder="1" applyAlignment="1">
      <alignment horizontal="right" vertical="center"/>
    </xf>
    <xf numFmtId="168" fontId="130" fillId="0" borderId="34" xfId="0" applyNumberFormat="1" applyFont="1" applyBorder="1" applyAlignment="1">
      <alignment horizontal="right" vertical="center"/>
    </xf>
    <xf numFmtId="49" fontId="130" fillId="0" borderId="34" xfId="0" applyNumberFormat="1" applyFont="1" applyBorder="1" applyAlignment="1">
      <alignment horizontal="center" vertical="center"/>
    </xf>
    <xf numFmtId="168" fontId="130" fillId="0" borderId="44" xfId="0" applyNumberFormat="1" applyFont="1" applyBorder="1" applyAlignment="1">
      <alignment horizontal="right" vertical="center"/>
    </xf>
    <xf numFmtId="49" fontId="130" fillId="0" borderId="44" xfId="0" applyNumberFormat="1" applyFont="1" applyBorder="1" applyAlignment="1">
      <alignment horizontal="center" vertical="center"/>
    </xf>
    <xf numFmtId="168" fontId="106" fillId="39" borderId="40" xfId="0" applyNumberFormat="1" applyFont="1" applyFill="1" applyBorder="1" applyAlignment="1">
      <alignment horizontal="right" vertical="center"/>
    </xf>
    <xf numFmtId="168" fontId="130" fillId="0" borderId="40" xfId="0" applyNumberFormat="1" applyFont="1" applyBorder="1" applyAlignment="1">
      <alignment horizontal="right" vertical="center"/>
    </xf>
    <xf numFmtId="49" fontId="130" fillId="0" borderId="40" xfId="0" applyNumberFormat="1" applyFont="1" applyBorder="1" applyAlignment="1">
      <alignment horizontal="center" vertical="center"/>
    </xf>
    <xf numFmtId="168" fontId="106" fillId="14" borderId="39" xfId="0" applyNumberFormat="1" applyFont="1" applyFill="1" applyBorder="1" applyAlignment="1">
      <alignment horizontal="right" vertical="center"/>
    </xf>
    <xf numFmtId="168" fontId="130" fillId="14" borderId="39" xfId="0" applyNumberFormat="1" applyFont="1" applyFill="1" applyBorder="1" applyAlignment="1">
      <alignment horizontal="right" vertical="center"/>
    </xf>
    <xf numFmtId="49" fontId="130" fillId="14" borderId="39" xfId="0" applyNumberFormat="1" applyFont="1" applyFill="1" applyBorder="1" applyAlignment="1">
      <alignment horizontal="center" vertical="center"/>
    </xf>
    <xf numFmtId="168" fontId="106" fillId="0" borderId="44" xfId="0" applyNumberFormat="1" applyFont="1" applyBorder="1" applyAlignment="1">
      <alignment horizontal="right" vertical="center"/>
    </xf>
    <xf numFmtId="168" fontId="106" fillId="0" borderId="109" xfId="0" applyNumberFormat="1" applyFont="1" applyBorder="1" applyAlignment="1">
      <alignment horizontal="right" vertical="center"/>
    </xf>
    <xf numFmtId="168" fontId="106" fillId="17" borderId="43" xfId="0" applyNumberFormat="1" applyFont="1" applyFill="1" applyBorder="1" applyAlignment="1">
      <alignment horizontal="right" vertical="center"/>
    </xf>
    <xf numFmtId="168" fontId="54" fillId="17" borderId="34" xfId="0" applyNumberFormat="1" applyFont="1" applyFill="1" applyBorder="1" applyAlignment="1">
      <alignment horizontal="right" vertical="center"/>
    </xf>
    <xf numFmtId="168" fontId="54" fillId="39" borderId="39" xfId="0" applyNumberFormat="1" applyFont="1" applyFill="1" applyBorder="1" applyAlignment="1">
      <alignment horizontal="right" vertical="center"/>
    </xf>
    <xf numFmtId="168" fontId="52" fillId="39" borderId="34" xfId="0" applyNumberFormat="1" applyFont="1" applyFill="1" applyBorder="1" applyAlignment="1">
      <alignment horizontal="right" vertical="center"/>
    </xf>
    <xf numFmtId="49" fontId="52" fillId="39" borderId="44" xfId="0" applyNumberFormat="1" applyFont="1" applyFill="1" applyBorder="1" applyAlignment="1">
      <alignment horizontal="center" vertical="center"/>
    </xf>
    <xf numFmtId="168" fontId="54" fillId="39" borderId="34" xfId="0" applyNumberFormat="1" applyFont="1" applyFill="1" applyBorder="1" applyAlignment="1">
      <alignment horizontal="right" vertical="center"/>
    </xf>
    <xf numFmtId="49" fontId="52" fillId="39" borderId="34" xfId="0" applyNumberFormat="1" applyFont="1" applyFill="1" applyBorder="1" applyAlignment="1">
      <alignment horizontal="center" vertical="center"/>
    </xf>
    <xf numFmtId="168" fontId="289" fillId="17" borderId="34" xfId="0" applyNumberFormat="1" applyFont="1" applyFill="1" applyBorder="1" applyAlignment="1">
      <alignment horizontal="right" vertical="center"/>
    </xf>
    <xf numFmtId="168" fontId="290" fillId="17" borderId="34" xfId="0" applyNumberFormat="1" applyFont="1" applyFill="1" applyBorder="1" applyAlignment="1">
      <alignment horizontal="right" vertical="center"/>
    </xf>
    <xf numFmtId="49" fontId="290" fillId="17" borderId="34" xfId="0" applyNumberFormat="1" applyFont="1" applyFill="1" applyBorder="1" applyAlignment="1">
      <alignment horizontal="center" vertical="center"/>
    </xf>
    <xf numFmtId="168" fontId="289" fillId="17" borderId="43" xfId="0" applyNumberFormat="1" applyFont="1" applyFill="1" applyBorder="1" applyAlignment="1">
      <alignment horizontal="right" vertical="center"/>
    </xf>
    <xf numFmtId="168" fontId="289" fillId="17" borderId="40" xfId="0" applyNumberFormat="1" applyFont="1" applyFill="1" applyBorder="1" applyAlignment="1">
      <alignment horizontal="right" vertical="center"/>
    </xf>
    <xf numFmtId="168" fontId="290" fillId="17" borderId="43" xfId="0" applyNumberFormat="1" applyFont="1" applyFill="1" applyBorder="1" applyAlignment="1">
      <alignment horizontal="right" vertical="center"/>
    </xf>
    <xf numFmtId="49" fontId="290" fillId="17" borderId="43" xfId="0" applyNumberFormat="1" applyFont="1" applyFill="1" applyBorder="1" applyAlignment="1">
      <alignment horizontal="center" vertical="center"/>
    </xf>
    <xf numFmtId="168" fontId="289" fillId="17" borderId="37" xfId="0" applyNumberFormat="1" applyFont="1" applyFill="1" applyBorder="1" applyAlignment="1">
      <alignment horizontal="right" vertical="center"/>
    </xf>
    <xf numFmtId="168" fontId="289" fillId="17" borderId="109" xfId="0" applyNumberFormat="1" applyFont="1" applyFill="1" applyBorder="1" applyAlignment="1">
      <alignment horizontal="right" vertical="center"/>
    </xf>
    <xf numFmtId="168" fontId="290" fillId="17" borderId="37" xfId="0" applyNumberFormat="1" applyFont="1" applyFill="1" applyBorder="1" applyAlignment="1">
      <alignment horizontal="right" vertical="center"/>
    </xf>
    <xf numFmtId="49" fontId="290" fillId="17" borderId="37" xfId="0" applyNumberFormat="1" applyFont="1" applyFill="1" applyBorder="1" applyAlignment="1">
      <alignment horizontal="center" vertical="center"/>
    </xf>
    <xf numFmtId="168" fontId="106" fillId="4" borderId="484" xfId="0" applyNumberFormat="1" applyFont="1" applyFill="1" applyBorder="1" applyAlignment="1">
      <alignment horizontal="right" vertical="center"/>
    </xf>
    <xf numFmtId="168" fontId="130" fillId="4" borderId="484" xfId="0" applyNumberFormat="1" applyFont="1" applyFill="1" applyBorder="1" applyAlignment="1">
      <alignment horizontal="right" vertical="center"/>
    </xf>
    <xf numFmtId="49" fontId="130" fillId="4" borderId="484" xfId="0" applyNumberFormat="1" applyFont="1" applyFill="1" applyBorder="1" applyAlignment="1">
      <alignment horizontal="center" vertical="center"/>
    </xf>
    <xf numFmtId="167" fontId="106" fillId="4" borderId="44" xfId="0" applyNumberFormat="1" applyFont="1" applyFill="1" applyBorder="1" applyAlignment="1">
      <alignment horizontal="right" vertical="center"/>
    </xf>
    <xf numFmtId="4" fontId="106" fillId="4" borderId="44" xfId="0" applyNumberFormat="1" applyFont="1" applyFill="1" applyBorder="1" applyAlignment="1">
      <alignment horizontal="right" vertical="center"/>
    </xf>
    <xf numFmtId="4" fontId="130" fillId="4" borderId="44" xfId="0" applyNumberFormat="1" applyFont="1" applyFill="1" applyBorder="1" applyAlignment="1">
      <alignment horizontal="right" vertical="center"/>
    </xf>
    <xf numFmtId="167" fontId="106" fillId="4" borderId="34" xfId="0" applyNumberFormat="1" applyFont="1" applyFill="1" applyBorder="1" applyAlignment="1">
      <alignment horizontal="right" vertical="center"/>
    </xf>
    <xf numFmtId="4" fontId="106" fillId="4" borderId="34" xfId="0" applyNumberFormat="1" applyFont="1" applyFill="1" applyBorder="1" applyAlignment="1">
      <alignment horizontal="right" vertical="center"/>
    </xf>
    <xf numFmtId="4" fontId="130" fillId="4" borderId="34" xfId="0" applyNumberFormat="1" applyFont="1" applyFill="1" applyBorder="1" applyAlignment="1">
      <alignment horizontal="right" vertical="center"/>
    </xf>
    <xf numFmtId="167" fontId="106" fillId="4" borderId="37" xfId="0" applyNumberFormat="1" applyFont="1" applyFill="1" applyBorder="1" applyAlignment="1">
      <alignment horizontal="right" vertical="center"/>
    </xf>
    <xf numFmtId="4" fontId="106" fillId="4" borderId="37" xfId="0" applyNumberFormat="1" applyFont="1" applyFill="1" applyBorder="1" applyAlignment="1">
      <alignment horizontal="right" vertical="center"/>
    </xf>
    <xf numFmtId="4" fontId="130" fillId="4" borderId="37" xfId="0" applyNumberFormat="1" applyFont="1" applyFill="1" applyBorder="1" applyAlignment="1">
      <alignment horizontal="right" vertical="center"/>
    </xf>
    <xf numFmtId="167" fontId="54" fillId="39" borderId="39" xfId="0" applyNumberFormat="1" applyFont="1" applyFill="1" applyBorder="1" applyAlignment="1">
      <alignment horizontal="right" vertical="center"/>
    </xf>
    <xf numFmtId="4" fontId="54" fillId="39" borderId="39" xfId="0" applyNumberFormat="1" applyFont="1" applyFill="1" applyBorder="1" applyAlignment="1">
      <alignment horizontal="right" vertical="center"/>
    </xf>
    <xf numFmtId="4" fontId="52" fillId="39" borderId="39" xfId="0" applyNumberFormat="1" applyFont="1" applyFill="1" applyBorder="1" applyAlignment="1">
      <alignment horizontal="right" vertical="center"/>
    </xf>
    <xf numFmtId="49" fontId="52" fillId="39" borderId="39" xfId="0" applyNumberFormat="1" applyFont="1" applyFill="1" applyBorder="1" applyAlignment="1">
      <alignment horizontal="center" vertical="center"/>
    </xf>
    <xf numFmtId="167" fontId="54" fillId="39" borderId="34" xfId="0" applyNumberFormat="1" applyFont="1" applyFill="1" applyBorder="1" applyAlignment="1">
      <alignment horizontal="right" vertical="center"/>
    </xf>
    <xf numFmtId="4" fontId="52" fillId="39" borderId="34" xfId="0" applyNumberFormat="1" applyFont="1" applyFill="1" applyBorder="1" applyAlignment="1">
      <alignment horizontal="right" vertical="center"/>
    </xf>
    <xf numFmtId="167" fontId="54" fillId="4" borderId="34" xfId="0" applyNumberFormat="1" applyFont="1" applyFill="1" applyBorder="1" applyAlignment="1">
      <alignment horizontal="right" vertical="center"/>
    </xf>
    <xf numFmtId="4" fontId="54" fillId="4" borderId="34" xfId="0" applyNumberFormat="1" applyFont="1" applyFill="1" applyBorder="1" applyAlignment="1">
      <alignment horizontal="right" vertical="center"/>
    </xf>
    <xf numFmtId="4" fontId="52" fillId="4" borderId="34" xfId="0" applyNumberFormat="1" applyFont="1" applyFill="1" applyBorder="1" applyAlignment="1">
      <alignment horizontal="right" vertical="center"/>
    </xf>
    <xf numFmtId="49" fontId="52" fillId="4" borderId="34" xfId="0" applyNumberFormat="1" applyFont="1" applyFill="1" applyBorder="1" applyAlignment="1">
      <alignment horizontal="center" vertical="center"/>
    </xf>
    <xf numFmtId="167" fontId="106" fillId="4" borderId="39" xfId="0" applyNumberFormat="1" applyFont="1" applyFill="1" applyBorder="1" applyAlignment="1">
      <alignment horizontal="right" vertical="center"/>
    </xf>
    <xf numFmtId="4" fontId="106" fillId="4" borderId="39" xfId="0" applyNumberFormat="1" applyFont="1" applyFill="1" applyBorder="1" applyAlignment="1">
      <alignment horizontal="right" vertical="center"/>
    </xf>
    <xf numFmtId="4" fontId="130" fillId="4" borderId="39" xfId="0" applyNumberFormat="1" applyFont="1" applyFill="1" applyBorder="1" applyAlignment="1">
      <alignment horizontal="right" vertical="center"/>
    </xf>
    <xf numFmtId="167" fontId="106" fillId="39" borderId="39" xfId="0" applyNumberFormat="1" applyFont="1" applyFill="1" applyBorder="1" applyAlignment="1">
      <alignment horizontal="right" vertical="center"/>
    </xf>
    <xf numFmtId="167" fontId="106" fillId="39" borderId="34" xfId="0" applyNumberFormat="1" applyFont="1" applyFill="1" applyBorder="1" applyAlignment="1">
      <alignment horizontal="right" vertical="center"/>
    </xf>
    <xf numFmtId="167" fontId="130" fillId="44" borderId="617" xfId="0" applyNumberFormat="1" applyFont="1" applyFill="1" applyBorder="1" applyAlignment="1">
      <alignment horizontal="right" vertical="center"/>
    </xf>
    <xf numFmtId="168" fontId="52" fillId="50" borderId="119" xfId="0" applyNumberFormat="1" applyFont="1" applyFill="1" applyBorder="1" applyAlignment="1">
      <alignment horizontal="right" vertical="center"/>
    </xf>
    <xf numFmtId="167" fontId="130" fillId="2" borderId="617" xfId="0" applyNumberFormat="1" applyFont="1" applyFill="1" applyBorder="1" applyAlignment="1">
      <alignment horizontal="right" vertical="center"/>
    </xf>
    <xf numFmtId="0" fontId="291" fillId="0" borderId="47" xfId="0" applyFont="1" applyBorder="1" applyAlignment="1">
      <alignment horizontal="left" vertical="center" indent="1"/>
    </xf>
    <xf numFmtId="0" fontId="292" fillId="0" borderId="50" xfId="0" applyFont="1" applyBorder="1" applyAlignment="1">
      <alignment horizontal="left" vertical="center" indent="1"/>
    </xf>
    <xf numFmtId="49" fontId="130" fillId="44" borderId="616" xfId="0" applyNumberFormat="1" applyFont="1" applyFill="1" applyBorder="1" applyAlignment="1">
      <alignment horizontal="right" vertical="center"/>
    </xf>
    <xf numFmtId="4" fontId="52" fillId="2" borderId="118" xfId="0" applyNumberFormat="1" applyFont="1" applyFill="1" applyBorder="1" applyAlignment="1">
      <alignment horizontal="left" vertical="center" wrapText="1" indent="1"/>
    </xf>
    <xf numFmtId="4" fontId="52" fillId="2" borderId="118" xfId="0" applyNumberFormat="1" applyFont="1" applyFill="1" applyBorder="1" applyAlignment="1">
      <alignment horizontal="right" vertical="center" wrapText="1"/>
    </xf>
    <xf numFmtId="0" fontId="130" fillId="2" borderId="350" xfId="0" applyFont="1" applyFill="1" applyBorder="1" applyAlignment="1">
      <alignment horizontal="center" vertical="center"/>
    </xf>
    <xf numFmtId="0" fontId="130" fillId="2" borderId="216" xfId="0" applyFont="1" applyFill="1" applyBorder="1" applyAlignment="1">
      <alignment horizontal="center" vertical="center"/>
    </xf>
    <xf numFmtId="49" fontId="130" fillId="2" borderId="616" xfId="0" applyNumberFormat="1" applyFont="1" applyFill="1" applyBorder="1" applyAlignment="1">
      <alignment horizontal="right" vertical="center"/>
    </xf>
    <xf numFmtId="49" fontId="130" fillId="2" borderId="618" xfId="0" applyNumberFormat="1" applyFont="1" applyFill="1" applyBorder="1" applyAlignment="1">
      <alignment horizontal="center" vertical="center"/>
    </xf>
    <xf numFmtId="0" fontId="101" fillId="0" borderId="0" xfId="0" applyFont="1"/>
    <xf numFmtId="0" fontId="130" fillId="44" borderId="350" xfId="0" applyFont="1" applyFill="1" applyBorder="1" applyAlignment="1">
      <alignment horizontal="center" vertical="center"/>
    </xf>
    <xf numFmtId="49" fontId="130" fillId="44" borderId="618" xfId="0" applyNumberFormat="1" applyFont="1" applyFill="1" applyBorder="1" applyAlignment="1">
      <alignment horizontal="center" vertical="center"/>
    </xf>
    <xf numFmtId="0" fontId="52" fillId="2" borderId="118" xfId="0" applyFont="1" applyFill="1" applyBorder="1" applyAlignment="1">
      <alignment vertical="center" wrapText="1"/>
    </xf>
    <xf numFmtId="39" fontId="52" fillId="2" borderId="118" xfId="0" applyNumberFormat="1" applyFont="1" applyFill="1" applyBorder="1" applyAlignment="1">
      <alignment horizontal="right" vertical="center"/>
    </xf>
    <xf numFmtId="49" fontId="52" fillId="2" borderId="118" xfId="0" applyNumberFormat="1" applyFont="1" applyFill="1" applyBorder="1" applyAlignment="1">
      <alignment horizontal="right" vertical="center"/>
    </xf>
    <xf numFmtId="4" fontId="52" fillId="2" borderId="118" xfId="0" applyNumberFormat="1" applyFont="1" applyFill="1" applyBorder="1" applyAlignment="1">
      <alignment horizontal="center" vertical="center" wrapText="1"/>
    </xf>
    <xf numFmtId="0" fontId="101" fillId="0" borderId="0" xfId="0" applyFont="1" applyAlignment="1">
      <alignment vertical="center"/>
    </xf>
    <xf numFmtId="0" fontId="68" fillId="0" borderId="71" xfId="0" applyFont="1" applyBorder="1" applyAlignment="1">
      <alignment horizontal="center" vertical="center"/>
    </xf>
    <xf numFmtId="0" fontId="39" fillId="17" borderId="297" xfId="0" applyFont="1" applyFill="1" applyBorder="1" applyAlignment="1">
      <alignment horizontal="center" vertical="center"/>
    </xf>
    <xf numFmtId="0" fontId="39" fillId="17" borderId="313" xfId="0" applyFont="1" applyFill="1" applyBorder="1" applyAlignment="1">
      <alignment horizontal="center" vertical="center"/>
    </xf>
    <xf numFmtId="0" fontId="68" fillId="17" borderId="362" xfId="0" applyFont="1" applyFill="1" applyBorder="1" applyAlignment="1">
      <alignment horizontal="center" vertical="center"/>
    </xf>
    <xf numFmtId="0" fontId="39" fillId="17" borderId="362" xfId="0" applyFont="1" applyFill="1" applyBorder="1" applyAlignment="1">
      <alignment horizontal="center" vertical="center"/>
    </xf>
    <xf numFmtId="0" fontId="39" fillId="17" borderId="75" xfId="0" applyFont="1" applyFill="1" applyBorder="1" applyAlignment="1">
      <alignment horizontal="center" vertical="center"/>
    </xf>
    <xf numFmtId="0" fontId="68" fillId="0" borderId="313" xfId="0" applyFont="1" applyBorder="1" applyAlignment="1">
      <alignment horizontal="center" vertical="center"/>
    </xf>
    <xf numFmtId="0" fontId="68" fillId="17" borderId="313" xfId="0" applyFont="1" applyFill="1" applyBorder="1" applyAlignment="1">
      <alignment horizontal="center" vertical="center"/>
    </xf>
    <xf numFmtId="0" fontId="39" fillId="17" borderId="382" xfId="0" applyFont="1" applyFill="1" applyBorder="1" applyAlignment="1">
      <alignment horizontal="center" vertical="center"/>
    </xf>
    <xf numFmtId="0" fontId="39" fillId="17" borderId="299" xfId="0" applyFont="1" applyFill="1" applyBorder="1" applyAlignment="1">
      <alignment horizontal="center" vertical="center"/>
    </xf>
    <xf numFmtId="0" fontId="39" fillId="0" borderId="297" xfId="0" applyFont="1" applyBorder="1" applyAlignment="1">
      <alignment horizontal="center" vertical="center"/>
    </xf>
    <xf numFmtId="0" fontId="39" fillId="0" borderId="382" xfId="0" applyFont="1" applyBorder="1" applyAlignment="1">
      <alignment horizontal="center" vertical="center"/>
    </xf>
    <xf numFmtId="0" fontId="39" fillId="0" borderId="299" xfId="0" applyFont="1" applyBorder="1" applyAlignment="1">
      <alignment horizontal="center" vertical="center"/>
    </xf>
    <xf numFmtId="0" fontId="39" fillId="0" borderId="37" xfId="0" applyFont="1" applyBorder="1" applyAlignment="1">
      <alignment horizontal="center" vertical="center"/>
    </xf>
    <xf numFmtId="0" fontId="68" fillId="39" borderId="313" xfId="0" applyFont="1" applyFill="1" applyBorder="1" applyAlignment="1">
      <alignment horizontal="center" vertical="center"/>
    </xf>
    <xf numFmtId="0" fontId="39" fillId="39" borderId="297" xfId="0" applyFont="1" applyFill="1" applyBorder="1" applyAlignment="1">
      <alignment horizontal="center" vertical="center"/>
    </xf>
    <xf numFmtId="0" fontId="68" fillId="0" borderId="295" xfId="0" applyFont="1" applyBorder="1" applyAlignment="1">
      <alignment horizontal="center" vertical="center"/>
    </xf>
    <xf numFmtId="0" fontId="39" fillId="0" borderId="313" xfId="0" applyFont="1" applyBorder="1" applyAlignment="1">
      <alignment horizontal="center" vertical="center"/>
    </xf>
    <xf numFmtId="0" fontId="54" fillId="0" borderId="30" xfId="0" applyFont="1" applyBorder="1" applyAlignment="1">
      <alignment horizontal="center" vertical="center" wrapText="1"/>
    </xf>
    <xf numFmtId="0" fontId="54" fillId="17" borderId="34" xfId="0" applyFont="1" applyFill="1" applyBorder="1" applyAlignment="1">
      <alignment horizontal="center" vertical="center" wrapText="1"/>
    </xf>
    <xf numFmtId="0" fontId="54" fillId="17" borderId="44" xfId="0" applyFont="1" applyFill="1" applyBorder="1" applyAlignment="1">
      <alignment horizontal="center" vertical="center" wrapText="1"/>
    </xf>
    <xf numFmtId="0" fontId="54" fillId="17" borderId="177" xfId="0" applyFont="1" applyFill="1" applyBorder="1" applyAlignment="1">
      <alignment horizontal="center" vertical="center" wrapText="1"/>
    </xf>
    <xf numFmtId="0" fontId="54" fillId="17" borderId="75" xfId="0" applyFont="1" applyFill="1" applyBorder="1" applyAlignment="1">
      <alignment horizontal="center" vertical="center" wrapText="1"/>
    </xf>
    <xf numFmtId="0" fontId="54" fillId="39" borderId="34" xfId="0" applyFont="1" applyFill="1" applyBorder="1" applyAlignment="1">
      <alignment horizontal="center" vertical="center" wrapText="1"/>
    </xf>
    <xf numFmtId="0" fontId="54" fillId="17" borderId="43" xfId="0" applyFont="1" applyFill="1" applyBorder="1" applyAlignment="1">
      <alignment horizontal="center" vertical="center" wrapText="1"/>
    </xf>
    <xf numFmtId="0" fontId="54" fillId="17" borderId="37" xfId="0" applyFont="1" applyFill="1" applyBorder="1" applyAlignment="1">
      <alignment horizontal="center" vertical="center" wrapText="1"/>
    </xf>
    <xf numFmtId="0" fontId="54" fillId="0" borderId="34"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44" xfId="0" applyFont="1" applyBorder="1" applyAlignment="1">
      <alignment horizontal="center" vertical="center" wrapText="1"/>
    </xf>
    <xf numFmtId="0" fontId="54" fillId="39" borderId="44" xfId="0" applyFont="1" applyFill="1" applyBorder="1" applyAlignment="1">
      <alignment horizontal="center" vertical="center" wrapText="1"/>
    </xf>
    <xf numFmtId="0" fontId="54" fillId="0" borderId="39" xfId="0" applyFont="1" applyBorder="1" applyAlignment="1">
      <alignment horizontal="center" vertical="center" wrapText="1"/>
    </xf>
    <xf numFmtId="49" fontId="52" fillId="0" borderId="44" xfId="0" applyNumberFormat="1" applyFont="1" applyBorder="1" applyAlignment="1">
      <alignment horizontal="center" vertical="center"/>
    </xf>
    <xf numFmtId="49" fontId="52" fillId="17" borderId="34" xfId="0" applyNumberFormat="1" applyFont="1" applyFill="1" applyBorder="1" applyAlignment="1">
      <alignment horizontal="center" vertical="center"/>
    </xf>
    <xf numFmtId="49" fontId="52" fillId="17" borderId="37" xfId="0" applyNumberFormat="1" applyFont="1" applyFill="1" applyBorder="1" applyAlignment="1">
      <alignment horizontal="center" vertical="center"/>
    </xf>
    <xf numFmtId="49" fontId="52" fillId="17" borderId="44" xfId="0" applyNumberFormat="1" applyFont="1" applyFill="1" applyBorder="1" applyAlignment="1">
      <alignment horizontal="center" vertical="center"/>
    </xf>
    <xf numFmtId="49" fontId="52" fillId="17" borderId="43" xfId="0" applyNumberFormat="1" applyFont="1" applyFill="1" applyBorder="1" applyAlignment="1">
      <alignment horizontal="center" vertical="center"/>
    </xf>
    <xf numFmtId="49" fontId="52" fillId="0" borderId="34" xfId="0" applyNumberFormat="1" applyFont="1" applyBorder="1" applyAlignment="1">
      <alignment horizontal="center" vertical="center"/>
    </xf>
    <xf numFmtId="49" fontId="52" fillId="0" borderId="43" xfId="0" applyNumberFormat="1" applyFont="1" applyBorder="1" applyAlignment="1">
      <alignment horizontal="center" vertical="center"/>
    </xf>
    <xf numFmtId="49" fontId="52" fillId="0" borderId="37" xfId="0" applyNumberFormat="1" applyFont="1" applyBorder="1" applyAlignment="1">
      <alignment horizontal="center" vertical="center"/>
    </xf>
    <xf numFmtId="49" fontId="52" fillId="0" borderId="39" xfId="0" applyNumberFormat="1" applyFont="1" applyBorder="1" applyAlignment="1">
      <alignment horizontal="center" vertical="center"/>
    </xf>
    <xf numFmtId="0" fontId="35" fillId="44" borderId="350" xfId="0" applyFont="1" applyFill="1" applyBorder="1" applyAlignment="1">
      <alignment vertical="center"/>
    </xf>
    <xf numFmtId="0" fontId="34" fillId="44" borderId="350" xfId="0" applyFont="1" applyFill="1" applyBorder="1" applyAlignment="1">
      <alignment vertical="center"/>
    </xf>
    <xf numFmtId="0" fontId="35" fillId="44" borderId="350" xfId="0" applyFont="1" applyFill="1" applyBorder="1" applyAlignment="1">
      <alignment horizontal="right" vertical="center"/>
    </xf>
    <xf numFmtId="0" fontId="101" fillId="0" borderId="344" xfId="0" applyFont="1" applyBorder="1" applyAlignment="1">
      <alignment vertical="center"/>
    </xf>
    <xf numFmtId="0" fontId="35" fillId="12" borderId="350" xfId="0" applyFont="1" applyFill="1" applyBorder="1" applyAlignment="1">
      <alignment horizontal="left" vertical="center"/>
    </xf>
    <xf numFmtId="0" fontId="35" fillId="12" borderId="350" xfId="0" applyFont="1" applyFill="1" applyBorder="1" applyAlignment="1">
      <alignment vertical="center"/>
    </xf>
    <xf numFmtId="0" fontId="35" fillId="12" borderId="350" xfId="0" applyFont="1" applyFill="1" applyBorder="1" applyAlignment="1">
      <alignment horizontal="right" vertical="center"/>
    </xf>
    <xf numFmtId="49" fontId="35" fillId="12" borderId="117" xfId="0" applyNumberFormat="1" applyFont="1" applyFill="1" applyBorder="1" applyAlignment="1">
      <alignment horizontal="right" vertical="center"/>
    </xf>
    <xf numFmtId="49" fontId="35" fillId="12" borderId="205" xfId="0" applyNumberFormat="1" applyFont="1" applyFill="1" applyBorder="1" applyAlignment="1">
      <alignment horizontal="right" vertical="center"/>
    </xf>
    <xf numFmtId="0" fontId="169" fillId="20" borderId="341" xfId="0" applyFont="1" applyFill="1" applyBorder="1" applyAlignment="1">
      <alignment textRotation="90" wrapText="1"/>
    </xf>
    <xf numFmtId="168" fontId="52" fillId="2" borderId="119" xfId="0" applyNumberFormat="1" applyFont="1" applyFill="1" applyBorder="1" applyAlignment="1">
      <alignment horizontal="right" vertical="center"/>
    </xf>
    <xf numFmtId="49" fontId="52" fillId="2" borderId="327" xfId="0" applyNumberFormat="1" applyFont="1" applyFill="1" applyBorder="1" applyAlignment="1">
      <alignment horizontal="right" vertical="center"/>
    </xf>
    <xf numFmtId="168" fontId="54" fillId="0" borderId="30" xfId="0" applyNumberFormat="1" applyFont="1" applyBorder="1" applyAlignment="1">
      <alignment vertical="center"/>
    </xf>
    <xf numFmtId="168" fontId="52" fillId="0" borderId="30" xfId="0" applyNumberFormat="1" applyFont="1" applyBorder="1" applyAlignment="1">
      <alignment vertical="center"/>
    </xf>
    <xf numFmtId="168" fontId="54" fillId="17" borderId="34" xfId="0" applyNumberFormat="1" applyFont="1" applyFill="1" applyBorder="1" applyAlignment="1">
      <alignment vertical="center"/>
    </xf>
    <xf numFmtId="168" fontId="52" fillId="17" borderId="34" xfId="0" applyNumberFormat="1" applyFont="1" applyFill="1" applyBorder="1" applyAlignment="1">
      <alignment vertical="center"/>
    </xf>
    <xf numFmtId="168" fontId="54" fillId="17" borderId="44" xfId="0" applyNumberFormat="1" applyFont="1" applyFill="1" applyBorder="1" applyAlignment="1">
      <alignment vertical="center"/>
    </xf>
    <xf numFmtId="168" fontId="54" fillId="17" borderId="177" xfId="0" applyNumberFormat="1" applyFont="1" applyFill="1" applyBorder="1" applyAlignment="1">
      <alignment vertical="center"/>
    </xf>
    <xf numFmtId="168" fontId="54" fillId="17" borderId="43" xfId="0" applyNumberFormat="1" applyFont="1" applyFill="1" applyBorder="1" applyAlignment="1">
      <alignment vertical="center"/>
    </xf>
    <xf numFmtId="168" fontId="54" fillId="17" borderId="75" xfId="0" applyNumberFormat="1" applyFont="1" applyFill="1" applyBorder="1" applyAlignment="1">
      <alignment vertical="center"/>
    </xf>
    <xf numFmtId="168" fontId="54" fillId="17" borderId="299" xfId="0" applyNumberFormat="1" applyFont="1" applyFill="1" applyBorder="1" applyAlignment="1">
      <alignment vertical="center"/>
    </xf>
    <xf numFmtId="168" fontId="52" fillId="17" borderId="37" xfId="0" applyNumberFormat="1" applyFont="1" applyFill="1" applyBorder="1" applyAlignment="1">
      <alignment vertical="center"/>
    </xf>
    <xf numFmtId="168" fontId="52" fillId="17" borderId="44" xfId="0" applyNumberFormat="1" applyFont="1" applyFill="1" applyBorder="1" applyAlignment="1">
      <alignment vertical="center"/>
    </xf>
    <xf numFmtId="168" fontId="54" fillId="39" borderId="34" xfId="0" applyNumberFormat="1" applyFont="1" applyFill="1" applyBorder="1" applyAlignment="1">
      <alignment vertical="center"/>
    </xf>
    <xf numFmtId="168" fontId="52" fillId="17" borderId="43" xfId="0" applyNumberFormat="1" applyFont="1" applyFill="1" applyBorder="1" applyAlignment="1">
      <alignment vertical="center"/>
    </xf>
    <xf numFmtId="168" fontId="54" fillId="17" borderId="37" xfId="0" applyNumberFormat="1" applyFont="1" applyFill="1" applyBorder="1" applyAlignment="1">
      <alignment vertical="center"/>
    </xf>
    <xf numFmtId="168" fontId="54" fillId="0" borderId="34" xfId="0" applyNumberFormat="1" applyFont="1" applyBorder="1" applyAlignment="1">
      <alignment vertical="center"/>
    </xf>
    <xf numFmtId="168" fontId="52" fillId="0" borderId="34" xfId="0" applyNumberFormat="1" applyFont="1" applyBorder="1" applyAlignment="1">
      <alignment vertical="center"/>
    </xf>
    <xf numFmtId="168" fontId="54" fillId="0" borderId="43" xfId="0" applyNumberFormat="1" applyFont="1" applyBorder="1" applyAlignment="1">
      <alignment vertical="center"/>
    </xf>
    <xf numFmtId="168" fontId="52" fillId="0" borderId="43" xfId="0" applyNumberFormat="1" applyFont="1" applyBorder="1" applyAlignment="1">
      <alignment vertical="center"/>
    </xf>
    <xf numFmtId="168" fontId="54" fillId="0" borderId="37" xfId="0" applyNumberFormat="1" applyFont="1" applyBorder="1" applyAlignment="1">
      <alignment vertical="center"/>
    </xf>
    <xf numFmtId="168" fontId="54" fillId="0" borderId="109" xfId="0" applyNumberFormat="1" applyFont="1" applyBorder="1" applyAlignment="1">
      <alignment vertical="center"/>
    </xf>
    <xf numFmtId="168" fontId="52" fillId="0" borderId="37" xfId="0" applyNumberFormat="1" applyFont="1" applyBorder="1" applyAlignment="1">
      <alignment vertical="center"/>
    </xf>
    <xf numFmtId="168" fontId="54" fillId="0" borderId="44" xfId="0" applyNumberFormat="1" applyFont="1" applyBorder="1" applyAlignment="1">
      <alignment vertical="center"/>
    </xf>
    <xf numFmtId="168" fontId="52" fillId="0" borderId="44" xfId="0" applyNumberFormat="1" applyFont="1" applyBorder="1" applyAlignment="1">
      <alignment vertical="center"/>
    </xf>
    <xf numFmtId="168" fontId="54" fillId="39" borderId="44" xfId="0" applyNumberFormat="1" applyFont="1" applyFill="1" applyBorder="1" applyAlignment="1">
      <alignment vertical="center"/>
    </xf>
    <xf numFmtId="168" fontId="52" fillId="39" borderId="44" xfId="0" applyNumberFormat="1" applyFont="1" applyFill="1" applyBorder="1" applyAlignment="1">
      <alignment vertical="center"/>
    </xf>
    <xf numFmtId="168" fontId="52" fillId="39" borderId="34" xfId="0" applyNumberFormat="1" applyFont="1" applyFill="1" applyBorder="1" applyAlignment="1">
      <alignment vertical="center"/>
    </xf>
    <xf numFmtId="168" fontId="54" fillId="0" borderId="39" xfId="0" applyNumberFormat="1" applyFont="1" applyBorder="1" applyAlignment="1">
      <alignment vertical="center"/>
    </xf>
    <xf numFmtId="168" fontId="52" fillId="0" borderId="39" xfId="0" applyNumberFormat="1" applyFont="1" applyBorder="1" applyAlignment="1">
      <alignment vertical="center"/>
    </xf>
    <xf numFmtId="168" fontId="106" fillId="0" borderId="313" xfId="0" applyNumberFormat="1" applyFont="1" applyBorder="1"/>
    <xf numFmtId="168" fontId="106" fillId="0" borderId="313" xfId="0" applyNumberFormat="1" applyFont="1" applyBorder="1" applyAlignment="1">
      <alignment horizontal="right" vertical="center"/>
    </xf>
    <xf numFmtId="168" fontId="130" fillId="0" borderId="313" xfId="0" applyNumberFormat="1" applyFont="1" applyBorder="1"/>
    <xf numFmtId="168" fontId="106" fillId="0" borderId="539" xfId="0" applyNumberFormat="1" applyFont="1" applyBorder="1"/>
    <xf numFmtId="168" fontId="106" fillId="0" borderId="539" xfId="0" applyNumberFormat="1" applyFont="1" applyBorder="1" applyAlignment="1">
      <alignment horizontal="right" vertical="center"/>
    </xf>
    <xf numFmtId="168" fontId="130" fillId="0" borderId="539" xfId="0" applyNumberFormat="1" applyFont="1" applyBorder="1"/>
    <xf numFmtId="168" fontId="98" fillId="0" borderId="313" xfId="0" applyNumberFormat="1" applyFont="1" applyBorder="1"/>
    <xf numFmtId="168" fontId="192" fillId="0" borderId="313" xfId="0" applyNumberFormat="1" applyFont="1" applyBorder="1"/>
    <xf numFmtId="168" fontId="98" fillId="0" borderId="362" xfId="0" applyNumberFormat="1" applyFont="1" applyBorder="1"/>
    <xf numFmtId="168" fontId="192" fillId="0" borderId="362" xfId="0" applyNumberFormat="1" applyFont="1" applyBorder="1"/>
    <xf numFmtId="168" fontId="98" fillId="0" borderId="750" xfId="0" applyNumberFormat="1" applyFont="1" applyBorder="1"/>
    <xf numFmtId="168" fontId="192" fillId="0" borderId="750" xfId="0" applyNumberFormat="1" applyFont="1" applyBorder="1"/>
    <xf numFmtId="168" fontId="98" fillId="0" borderId="539" xfId="0" applyNumberFormat="1" applyFont="1" applyBorder="1"/>
    <xf numFmtId="168" fontId="192" fillId="0" borderId="539" xfId="0" applyNumberFormat="1" applyFont="1" applyBorder="1"/>
    <xf numFmtId="170" fontId="35" fillId="0" borderId="854" xfId="0" applyNumberFormat="1" applyFont="1" applyBorder="1" applyAlignment="1">
      <alignment horizontal="right" vertical="center" indent="1"/>
    </xf>
    <xf numFmtId="168" fontId="52" fillId="2" borderId="327" xfId="0" applyNumberFormat="1" applyFont="1" applyFill="1" applyBorder="1" applyAlignment="1">
      <alignment horizontal="right" vertical="center"/>
    </xf>
    <xf numFmtId="49" fontId="29" fillId="0" borderId="0" xfId="0" applyNumberFormat="1" applyFont="1" applyAlignment="1">
      <alignment horizontal="left" vertical="center" indent="1"/>
    </xf>
    <xf numFmtId="0" fontId="24" fillId="0" borderId="855" xfId="0" applyFont="1" applyBorder="1" applyAlignment="1">
      <alignment horizontal="left" vertical="center" indent="1"/>
    </xf>
    <xf numFmtId="0" fontId="24" fillId="0" borderId="856" xfId="0" applyFont="1" applyBorder="1" applyAlignment="1">
      <alignment horizontal="left" vertical="center" wrapText="1" indent="1"/>
    </xf>
    <xf numFmtId="0" fontId="56" fillId="0" borderId="856" xfId="0" applyFont="1" applyBorder="1" applyAlignment="1">
      <alignment horizontal="center" vertical="center" wrapText="1"/>
    </xf>
    <xf numFmtId="0" fontId="24" fillId="0" borderId="856" xfId="0" applyFont="1" applyBorder="1" applyAlignment="1">
      <alignment horizontal="center" vertical="center" wrapText="1"/>
    </xf>
    <xf numFmtId="49" fontId="38" fillId="0" borderId="856" xfId="0" applyNumberFormat="1" applyFont="1" applyBorder="1" applyAlignment="1">
      <alignment horizontal="left" vertical="center" indent="1"/>
    </xf>
    <xf numFmtId="49" fontId="24" fillId="0" borderId="856" xfId="0" applyNumberFormat="1" applyFont="1" applyBorder="1" applyAlignment="1">
      <alignment horizontal="center" vertical="center"/>
    </xf>
    <xf numFmtId="0" fontId="68" fillId="39" borderId="83" xfId="0" applyFont="1" applyFill="1" applyBorder="1" applyAlignment="1">
      <alignment horizontal="center" vertical="center"/>
    </xf>
    <xf numFmtId="0" fontId="39" fillId="39" borderId="486" xfId="0" applyFont="1" applyFill="1" applyBorder="1" applyAlignment="1">
      <alignment horizontal="center" vertical="center"/>
    </xf>
    <xf numFmtId="0" fontId="68" fillId="39" borderId="208" xfId="0" applyFont="1" applyFill="1" applyBorder="1" applyAlignment="1">
      <alignment horizontal="center" vertical="center"/>
    </xf>
    <xf numFmtId="0" fontId="39" fillId="39" borderId="208" xfId="0" applyFont="1" applyFill="1" applyBorder="1" applyAlignment="1">
      <alignment horizontal="center" vertical="center"/>
    </xf>
    <xf numFmtId="0" fontId="39" fillId="39" borderId="840" xfId="0" applyFont="1" applyFill="1" applyBorder="1" applyAlignment="1">
      <alignment horizontal="center" vertical="center"/>
    </xf>
    <xf numFmtId="0" fontId="68" fillId="39" borderId="173" xfId="0" applyFont="1" applyFill="1" applyBorder="1" applyAlignment="1">
      <alignment horizontal="center" vertical="center"/>
    </xf>
    <xf numFmtId="0" fontId="39" fillId="39" borderId="84" xfId="0" applyFont="1" applyFill="1" applyBorder="1" applyAlignment="1">
      <alignment horizontal="center" vertical="center"/>
    </xf>
    <xf numFmtId="0" fontId="39" fillId="39" borderId="194" xfId="0" applyFont="1" applyFill="1" applyBorder="1" applyAlignment="1">
      <alignment horizontal="center" vertical="center"/>
    </xf>
    <xf numFmtId="0" fontId="39" fillId="17" borderId="194" xfId="0" applyFont="1" applyFill="1" applyBorder="1" applyAlignment="1">
      <alignment horizontal="center" vertical="center"/>
    </xf>
    <xf numFmtId="0" fontId="68" fillId="0" borderId="86" xfId="0" applyFont="1" applyBorder="1" applyAlignment="1">
      <alignment horizontal="center" vertical="center"/>
    </xf>
    <xf numFmtId="0" fontId="68" fillId="17" borderId="86" xfId="0" applyFont="1" applyFill="1" applyBorder="1" applyAlignment="1">
      <alignment horizontal="center" vertical="center"/>
    </xf>
    <xf numFmtId="0" fontId="39" fillId="0" borderId="84" xfId="0" applyFont="1" applyBorder="1" applyAlignment="1">
      <alignment horizontal="center" vertical="center"/>
    </xf>
    <xf numFmtId="0" fontId="39" fillId="17" borderId="84" xfId="0" applyFont="1" applyFill="1" applyBorder="1" applyAlignment="1">
      <alignment horizontal="center" vertical="center"/>
    </xf>
    <xf numFmtId="0" fontId="39" fillId="17" borderId="486" xfId="0" applyFont="1" applyFill="1" applyBorder="1" applyAlignment="1">
      <alignment horizontal="center" vertical="center"/>
    </xf>
    <xf numFmtId="0" fontId="39" fillId="39" borderId="173" xfId="0" applyFont="1" applyFill="1" applyBorder="1" applyAlignment="1">
      <alignment horizontal="center" vertical="center"/>
    </xf>
    <xf numFmtId="0" fontId="39" fillId="39" borderId="89" xfId="0" applyFont="1" applyFill="1" applyBorder="1" applyAlignment="1">
      <alignment horizontal="center" vertical="center"/>
    </xf>
    <xf numFmtId="0" fontId="68" fillId="0" borderId="173" xfId="0" applyFont="1" applyBorder="1" applyAlignment="1">
      <alignment horizontal="center" vertical="center"/>
    </xf>
    <xf numFmtId="0" fontId="68" fillId="39" borderId="86" xfId="0" applyFont="1" applyFill="1" applyBorder="1" applyAlignment="1">
      <alignment horizontal="center" vertical="center"/>
    </xf>
    <xf numFmtId="0" fontId="68" fillId="17" borderId="173" xfId="0" applyFont="1" applyFill="1" applyBorder="1" applyAlignment="1">
      <alignment horizontal="center" vertical="center"/>
    </xf>
    <xf numFmtId="0" fontId="39" fillId="17" borderId="173" xfId="0" applyFont="1" applyFill="1" applyBorder="1" applyAlignment="1">
      <alignment horizontal="center" vertical="center"/>
    </xf>
    <xf numFmtId="0" fontId="39" fillId="17" borderId="89" xfId="0" applyFont="1" applyFill="1" applyBorder="1" applyAlignment="1">
      <alignment horizontal="center" vertical="center"/>
    </xf>
    <xf numFmtId="0" fontId="68" fillId="17" borderId="84" xfId="0" applyFont="1" applyFill="1" applyBorder="1" applyAlignment="1">
      <alignment horizontal="center" vertical="center"/>
    </xf>
    <xf numFmtId="0" fontId="39" fillId="0" borderId="89" xfId="0" applyFont="1" applyBorder="1" applyAlignment="1">
      <alignment horizontal="center" vertical="center"/>
    </xf>
    <xf numFmtId="0" fontId="39" fillId="0" borderId="856" xfId="0" applyFont="1" applyBorder="1" applyAlignment="1">
      <alignment horizontal="center" vertical="center"/>
    </xf>
    <xf numFmtId="49" fontId="52" fillId="39" borderId="83" xfId="0" applyNumberFormat="1" applyFont="1" applyFill="1" applyBorder="1" applyAlignment="1">
      <alignment horizontal="center" vertical="center"/>
    </xf>
    <xf numFmtId="39" fontId="54" fillId="39" borderId="486" xfId="0" applyNumberFormat="1" applyFont="1" applyFill="1" applyBorder="1" applyAlignment="1">
      <alignment vertical="center"/>
    </xf>
    <xf numFmtId="39" fontId="52" fillId="39" borderId="486" xfId="0" applyNumberFormat="1" applyFont="1" applyFill="1" applyBorder="1" applyAlignment="1">
      <alignment vertical="center"/>
    </xf>
    <xf numFmtId="49" fontId="52" fillId="39" borderId="486" xfId="0" applyNumberFormat="1" applyFont="1" applyFill="1" applyBorder="1" applyAlignment="1">
      <alignment horizontal="center" vertical="center"/>
    </xf>
    <xf numFmtId="49" fontId="52" fillId="39" borderId="208" xfId="0" applyNumberFormat="1" applyFont="1" applyFill="1" applyBorder="1" applyAlignment="1">
      <alignment horizontal="center" vertical="center"/>
    </xf>
    <xf numFmtId="49" fontId="52" fillId="39" borderId="840" xfId="0" applyNumberFormat="1" applyFont="1" applyFill="1" applyBorder="1" applyAlignment="1">
      <alignment horizontal="center" vertical="center"/>
    </xf>
    <xf numFmtId="39" fontId="54" fillId="39" borderId="173" xfId="0" applyNumberFormat="1" applyFont="1" applyFill="1" applyBorder="1" applyAlignment="1">
      <alignment vertical="center"/>
    </xf>
    <xf numFmtId="39" fontId="52" fillId="39" borderId="173" xfId="0" applyNumberFormat="1" applyFont="1" applyFill="1" applyBorder="1" applyAlignment="1">
      <alignment vertical="center"/>
    </xf>
    <xf numFmtId="49" fontId="52" fillId="39" borderId="173" xfId="0" applyNumberFormat="1" applyFont="1" applyFill="1" applyBorder="1" applyAlignment="1">
      <alignment horizontal="center" vertical="center"/>
    </xf>
    <xf numFmtId="39" fontId="54" fillId="39" borderId="84" xfId="0" applyNumberFormat="1" applyFont="1" applyFill="1" applyBorder="1" applyAlignment="1">
      <alignment vertical="center"/>
    </xf>
    <xf numFmtId="39" fontId="54" fillId="39" borderId="84" xfId="0" applyNumberFormat="1" applyFont="1" applyFill="1" applyBorder="1" applyAlignment="1">
      <alignment horizontal="right" vertical="center"/>
    </xf>
    <xf numFmtId="39" fontId="220" fillId="39" borderId="84" xfId="0" applyNumberFormat="1" applyFont="1" applyFill="1" applyBorder="1" applyAlignment="1">
      <alignment vertical="center"/>
    </xf>
    <xf numFmtId="49" fontId="52" fillId="39" borderId="84" xfId="0" applyNumberFormat="1" applyFont="1" applyFill="1" applyBorder="1" applyAlignment="1">
      <alignment horizontal="center" vertical="center"/>
    </xf>
    <xf numFmtId="49" fontId="52" fillId="39" borderId="194" xfId="0" applyNumberFormat="1" applyFont="1" applyFill="1" applyBorder="1" applyAlignment="1">
      <alignment horizontal="center" vertical="center"/>
    </xf>
    <xf numFmtId="39" fontId="54" fillId="17" borderId="194" xfId="0" applyNumberFormat="1" applyFont="1" applyFill="1" applyBorder="1" applyAlignment="1">
      <alignment vertical="center"/>
    </xf>
    <xf numFmtId="39" fontId="52" fillId="17" borderId="194" xfId="0" applyNumberFormat="1" applyFont="1" applyFill="1" applyBorder="1" applyAlignment="1">
      <alignment vertical="center"/>
    </xf>
    <xf numFmtId="49" fontId="52" fillId="17" borderId="194" xfId="0" applyNumberFormat="1" applyFont="1" applyFill="1" applyBorder="1" applyAlignment="1">
      <alignment horizontal="center" vertical="center"/>
    </xf>
    <xf numFmtId="39" fontId="54" fillId="17" borderId="86" xfId="0" applyNumberFormat="1" applyFont="1" applyFill="1" applyBorder="1" applyAlignment="1">
      <alignment vertical="center"/>
    </xf>
    <xf numFmtId="39" fontId="52" fillId="17" borderId="86" xfId="0" applyNumberFormat="1" applyFont="1" applyFill="1" applyBorder="1" applyAlignment="1">
      <alignment vertical="center"/>
    </xf>
    <xf numFmtId="49" fontId="52" fillId="17" borderId="86" xfId="0" applyNumberFormat="1" applyFont="1" applyFill="1" applyBorder="1" applyAlignment="1">
      <alignment horizontal="center" vertical="center"/>
    </xf>
    <xf numFmtId="39" fontId="54" fillId="17" borderId="84" xfId="0" applyNumberFormat="1" applyFont="1" applyFill="1" applyBorder="1" applyAlignment="1">
      <alignment vertical="center"/>
    </xf>
    <xf numFmtId="39" fontId="52" fillId="17" borderId="84" xfId="0" applyNumberFormat="1" applyFont="1" applyFill="1" applyBorder="1" applyAlignment="1">
      <alignment vertical="center"/>
    </xf>
    <xf numFmtId="49" fontId="52" fillId="17" borderId="84" xfId="0" applyNumberFormat="1" applyFont="1" applyFill="1" applyBorder="1" applyAlignment="1">
      <alignment horizontal="center" vertical="center"/>
    </xf>
    <xf numFmtId="39" fontId="52" fillId="39" borderId="84" xfId="0" applyNumberFormat="1" applyFont="1" applyFill="1" applyBorder="1" applyAlignment="1">
      <alignment vertical="center"/>
    </xf>
    <xf numFmtId="39" fontId="54" fillId="39" borderId="89" xfId="0" applyNumberFormat="1" applyFont="1" applyFill="1" applyBorder="1" applyAlignment="1">
      <alignment vertical="center"/>
    </xf>
    <xf numFmtId="39" fontId="52" fillId="39" borderId="89" xfId="0" applyNumberFormat="1" applyFont="1" applyFill="1" applyBorder="1" applyAlignment="1">
      <alignment vertical="center"/>
    </xf>
    <xf numFmtId="49" fontId="52" fillId="39" borderId="89" xfId="0" applyNumberFormat="1" applyFont="1" applyFill="1" applyBorder="1" applyAlignment="1">
      <alignment horizontal="center" vertical="center"/>
    </xf>
    <xf numFmtId="39" fontId="54" fillId="39" borderId="86" xfId="0" applyNumberFormat="1" applyFont="1" applyFill="1" applyBorder="1" applyAlignment="1">
      <alignment vertical="center"/>
    </xf>
    <xf numFmtId="39" fontId="52" fillId="39" borderId="86" xfId="0" applyNumberFormat="1" applyFont="1" applyFill="1" applyBorder="1" applyAlignment="1">
      <alignment vertical="center"/>
    </xf>
    <xf numFmtId="49" fontId="52" fillId="39" borderId="86" xfId="0" applyNumberFormat="1" applyFont="1" applyFill="1" applyBorder="1" applyAlignment="1">
      <alignment horizontal="center" vertical="center"/>
    </xf>
    <xf numFmtId="39" fontId="54" fillId="17" borderId="84" xfId="0" applyNumberFormat="1" applyFont="1" applyFill="1" applyBorder="1" applyAlignment="1">
      <alignment horizontal="right" vertical="center"/>
    </xf>
    <xf numFmtId="39" fontId="54" fillId="17" borderId="89" xfId="0" applyNumberFormat="1" applyFont="1" applyFill="1" applyBorder="1" applyAlignment="1">
      <alignment horizontal="right" vertical="center"/>
    </xf>
    <xf numFmtId="39" fontId="54" fillId="17" borderId="89" xfId="0" applyNumberFormat="1" applyFont="1" applyFill="1" applyBorder="1" applyAlignment="1">
      <alignment vertical="center"/>
    </xf>
    <xf numFmtId="39" fontId="52" fillId="17" borderId="89" xfId="0" applyNumberFormat="1" applyFont="1" applyFill="1" applyBorder="1" applyAlignment="1">
      <alignment vertical="center"/>
    </xf>
    <xf numFmtId="49" fontId="52" fillId="17" borderId="89" xfId="0" applyNumberFormat="1" applyFont="1" applyFill="1" applyBorder="1" applyAlignment="1">
      <alignment horizontal="center" vertical="center"/>
    </xf>
    <xf numFmtId="39" fontId="54" fillId="0" borderId="86" xfId="0" applyNumberFormat="1" applyFont="1" applyBorder="1" applyAlignment="1">
      <alignment vertical="center"/>
    </xf>
    <xf numFmtId="39" fontId="52" fillId="0" borderId="86" xfId="0" applyNumberFormat="1" applyFont="1" applyBorder="1" applyAlignment="1">
      <alignment vertical="center"/>
    </xf>
    <xf numFmtId="49" fontId="52" fillId="0" borderId="86" xfId="0" applyNumberFormat="1" applyFont="1" applyBorder="1" applyAlignment="1">
      <alignment horizontal="center" vertical="center"/>
    </xf>
    <xf numFmtId="39" fontId="54" fillId="0" borderId="84" xfId="0" applyNumberFormat="1" applyFont="1" applyBorder="1" applyAlignment="1">
      <alignment vertical="center"/>
    </xf>
    <xf numFmtId="39" fontId="52" fillId="0" borderId="84" xfId="0" applyNumberFormat="1" applyFont="1" applyBorder="1" applyAlignment="1">
      <alignment vertical="center"/>
    </xf>
    <xf numFmtId="49" fontId="52" fillId="0" borderId="84" xfId="0" applyNumberFormat="1" applyFont="1" applyBorder="1" applyAlignment="1">
      <alignment horizontal="center" vertical="center"/>
    </xf>
    <xf numFmtId="39" fontId="54" fillId="0" borderId="89" xfId="0" applyNumberFormat="1" applyFont="1" applyBorder="1" applyAlignment="1">
      <alignment vertical="center"/>
    </xf>
    <xf numFmtId="39" fontId="52" fillId="0" borderId="89" xfId="0" applyNumberFormat="1" applyFont="1" applyBorder="1" applyAlignment="1">
      <alignment vertical="center"/>
    </xf>
    <xf numFmtId="49" fontId="52" fillId="0" borderId="89" xfId="0" applyNumberFormat="1" applyFont="1" applyBorder="1" applyAlignment="1">
      <alignment horizontal="center" vertical="center"/>
    </xf>
    <xf numFmtId="39" fontId="54" fillId="0" borderId="856" xfId="0" applyNumberFormat="1" applyFont="1" applyBorder="1" applyAlignment="1">
      <alignment vertical="center"/>
    </xf>
    <xf numFmtId="39" fontId="52" fillId="0" borderId="856" xfId="0" applyNumberFormat="1" applyFont="1" applyBorder="1" applyAlignment="1">
      <alignment vertical="center"/>
    </xf>
    <xf numFmtId="49" fontId="52" fillId="0" borderId="856" xfId="0" applyNumberFormat="1" applyFont="1" applyBorder="1" applyAlignment="1">
      <alignment horizontal="center" vertical="center"/>
    </xf>
    <xf numFmtId="168" fontId="52" fillId="12" borderId="116" xfId="0" applyNumberFormat="1" applyFont="1" applyFill="1" applyBorder="1" applyAlignment="1">
      <alignment horizontal="right" vertical="center"/>
    </xf>
    <xf numFmtId="49" fontId="35" fillId="12" borderId="117" xfId="0" applyNumberFormat="1" applyFont="1" applyFill="1" applyBorder="1" applyAlignment="1">
      <alignment horizontal="center" vertical="center"/>
    </xf>
    <xf numFmtId="49" fontId="35" fillId="12" borderId="350" xfId="0" applyNumberFormat="1" applyFont="1" applyFill="1" applyBorder="1" applyAlignment="1">
      <alignment horizontal="center" vertical="center"/>
    </xf>
    <xf numFmtId="4" fontId="52" fillId="2" borderId="327" xfId="0" applyNumberFormat="1" applyFont="1" applyFill="1" applyBorder="1" applyAlignment="1">
      <alignment horizontal="center" vertical="center" wrapText="1"/>
    </xf>
    <xf numFmtId="0" fontId="35" fillId="12" borderId="350" xfId="0" applyFont="1" applyFill="1" applyBorder="1" applyAlignment="1">
      <alignment horizontal="left" vertical="center" indent="1"/>
    </xf>
    <xf numFmtId="0" fontId="35" fillId="12" borderId="350" xfId="0" applyFont="1" applyFill="1" applyBorder="1" applyAlignment="1">
      <alignment vertical="center" indent="1"/>
    </xf>
    <xf numFmtId="0" fontId="52" fillId="12" borderId="350" xfId="0" applyFont="1" applyFill="1" applyBorder="1" applyAlignment="1">
      <alignment vertical="center"/>
    </xf>
    <xf numFmtId="0" fontId="35" fillId="12" borderId="586" xfId="0" applyFont="1" applyFill="1" applyBorder="1" applyAlignment="1">
      <alignment horizontal="right" vertical="center"/>
    </xf>
    <xf numFmtId="168" fontId="52" fillId="12" borderId="586" xfId="0" applyNumberFormat="1" applyFont="1" applyFill="1" applyBorder="1" applyAlignment="1">
      <alignment vertical="center"/>
    </xf>
    <xf numFmtId="49" fontId="52" fillId="12" borderId="587" xfId="0" applyNumberFormat="1" applyFont="1" applyFill="1" applyBorder="1" applyAlignment="1">
      <alignment horizontal="center" vertical="center"/>
    </xf>
    <xf numFmtId="49" fontId="35" fillId="12" borderId="587" xfId="0" applyNumberFormat="1" applyFont="1" applyFill="1" applyBorder="1" applyAlignment="1">
      <alignment horizontal="left" vertical="center" indent="1"/>
    </xf>
    <xf numFmtId="0" fontId="175" fillId="0" borderId="86" xfId="0" applyFont="1" applyBorder="1" applyAlignment="1">
      <alignment horizontal="center" vertical="center"/>
    </xf>
    <xf numFmtId="0" fontId="39" fillId="0" borderId="486" xfId="0" applyFont="1" applyBorder="1" applyAlignment="1">
      <alignment horizontal="center" vertical="center"/>
    </xf>
    <xf numFmtId="0" fontId="39" fillId="17" borderId="86" xfId="0" applyFont="1" applyFill="1" applyBorder="1" applyAlignment="1">
      <alignment horizontal="center" vertical="center"/>
    </xf>
    <xf numFmtId="0" fontId="175" fillId="0" borderId="173" xfId="0" applyFont="1" applyBorder="1" applyAlignment="1">
      <alignment horizontal="center" vertical="center"/>
    </xf>
    <xf numFmtId="0" fontId="99" fillId="0" borderId="486" xfId="0" applyFont="1" applyBorder="1" applyAlignment="1">
      <alignment horizontal="center" vertical="center"/>
    </xf>
    <xf numFmtId="0" fontId="99" fillId="0" borderId="84" xfId="0" applyFont="1" applyBorder="1" applyAlignment="1">
      <alignment horizontal="center" vertical="center"/>
    </xf>
    <xf numFmtId="0" fontId="180" fillId="17" borderId="84" xfId="0" applyFont="1" applyFill="1" applyBorder="1" applyAlignment="1">
      <alignment horizontal="center" vertical="center"/>
    </xf>
    <xf numFmtId="0" fontId="68" fillId="39" borderId="486" xfId="0" applyFont="1" applyFill="1" applyBorder="1" applyAlignment="1">
      <alignment horizontal="center" vertical="center"/>
    </xf>
    <xf numFmtId="49" fontId="192" fillId="17" borderId="173" xfId="0" applyNumberFormat="1" applyFont="1" applyFill="1" applyBorder="1" applyAlignment="1">
      <alignment horizontal="center" vertical="center"/>
    </xf>
    <xf numFmtId="49" fontId="192" fillId="17" borderId="486" xfId="0" applyNumberFormat="1" applyFont="1" applyFill="1" applyBorder="1" applyAlignment="1">
      <alignment horizontal="center" vertical="center"/>
    </xf>
    <xf numFmtId="49" fontId="192" fillId="17" borderId="84" xfId="0" applyNumberFormat="1" applyFont="1" applyFill="1" applyBorder="1" applyAlignment="1">
      <alignment horizontal="center" vertical="center"/>
    </xf>
    <xf numFmtId="168" fontId="54" fillId="17" borderId="173" xfId="0" applyNumberFormat="1" applyFont="1" applyFill="1" applyBorder="1" applyAlignment="1">
      <alignment vertical="center"/>
    </xf>
    <xf numFmtId="168" fontId="52" fillId="17" borderId="173" xfId="0" applyNumberFormat="1" applyFont="1" applyFill="1" applyBorder="1" applyAlignment="1">
      <alignment vertical="center"/>
    </xf>
    <xf numFmtId="168" fontId="52" fillId="17" borderId="173" xfId="0" applyNumberFormat="1" applyFont="1" applyFill="1" applyBorder="1" applyAlignment="1">
      <alignment horizontal="center" vertical="center"/>
    </xf>
    <xf numFmtId="168" fontId="54" fillId="17" borderId="84" xfId="0" applyNumberFormat="1" applyFont="1" applyFill="1" applyBorder="1" applyAlignment="1">
      <alignment vertical="center"/>
    </xf>
    <xf numFmtId="168" fontId="52" fillId="17" borderId="84" xfId="0" applyNumberFormat="1" applyFont="1" applyFill="1" applyBorder="1" applyAlignment="1">
      <alignment vertical="center"/>
    </xf>
    <xf numFmtId="168" fontId="52" fillId="17" borderId="84" xfId="0" applyNumberFormat="1" applyFont="1" applyFill="1" applyBorder="1" applyAlignment="1">
      <alignment horizontal="center" vertical="center"/>
    </xf>
    <xf numFmtId="168" fontId="54" fillId="17" borderId="89" xfId="0" applyNumberFormat="1" applyFont="1" applyFill="1" applyBorder="1" applyAlignment="1">
      <alignment vertical="center"/>
    </xf>
    <xf numFmtId="168" fontId="52" fillId="17" borderId="89" xfId="0" applyNumberFormat="1" applyFont="1" applyFill="1" applyBorder="1" applyAlignment="1">
      <alignment vertical="center"/>
    </xf>
    <xf numFmtId="168" fontId="52" fillId="17" borderId="89" xfId="0" applyNumberFormat="1" applyFont="1" applyFill="1" applyBorder="1" applyAlignment="1">
      <alignment horizontal="center" vertical="center"/>
    </xf>
    <xf numFmtId="168" fontId="98" fillId="17" borderId="86" xfId="0" applyNumberFormat="1" applyFont="1" applyFill="1" applyBorder="1" applyAlignment="1">
      <alignment vertical="center"/>
    </xf>
    <xf numFmtId="168" fontId="192" fillId="17" borderId="86" xfId="0" applyNumberFormat="1" applyFont="1" applyFill="1" applyBorder="1" applyAlignment="1">
      <alignment vertical="center"/>
    </xf>
    <xf numFmtId="168" fontId="192" fillId="17" borderId="86" xfId="0" applyNumberFormat="1" applyFont="1" applyFill="1" applyBorder="1" applyAlignment="1">
      <alignment horizontal="center" vertical="center"/>
    </xf>
    <xf numFmtId="168" fontId="296" fillId="17" borderId="486" xfId="0" applyNumberFormat="1" applyFont="1" applyFill="1" applyBorder="1" applyAlignment="1">
      <alignment vertical="center"/>
    </xf>
    <xf numFmtId="168" fontId="54" fillId="17" borderId="86" xfId="0" applyNumberFormat="1" applyFont="1" applyFill="1" applyBorder="1" applyAlignment="1">
      <alignment vertical="center"/>
    </xf>
    <xf numFmtId="168" fontId="52" fillId="39" borderId="86" xfId="0" applyNumberFormat="1" applyFont="1" applyFill="1" applyBorder="1" applyAlignment="1">
      <alignment vertical="center"/>
    </xf>
    <xf numFmtId="168" fontId="52" fillId="17" borderId="86" xfId="0" applyNumberFormat="1" applyFont="1" applyFill="1" applyBorder="1" applyAlignment="1">
      <alignment horizontal="center" vertical="center"/>
    </xf>
    <xf numFmtId="168" fontId="54" fillId="39" borderId="84" xfId="0" applyNumberFormat="1" applyFont="1" applyFill="1" applyBorder="1" applyAlignment="1">
      <alignment vertical="center"/>
    </xf>
    <xf numFmtId="168" fontId="54" fillId="17" borderId="486" xfId="0" applyNumberFormat="1" applyFont="1" applyFill="1" applyBorder="1" applyAlignment="1">
      <alignment vertical="center"/>
    </xf>
    <xf numFmtId="168" fontId="52" fillId="17" borderId="486" xfId="0" applyNumberFormat="1" applyFont="1" applyFill="1" applyBorder="1" applyAlignment="1">
      <alignment vertical="center"/>
    </xf>
    <xf numFmtId="168" fontId="52" fillId="17" borderId="486" xfId="0" applyNumberFormat="1" applyFont="1" applyFill="1" applyBorder="1" applyAlignment="1">
      <alignment horizontal="center" vertical="center"/>
    </xf>
    <xf numFmtId="168" fontId="52" fillId="39" borderId="173" xfId="0" applyNumberFormat="1" applyFont="1" applyFill="1" applyBorder="1" applyAlignment="1">
      <alignment vertical="center"/>
    </xf>
    <xf numFmtId="168" fontId="52" fillId="39" borderId="173" xfId="0" applyNumberFormat="1" applyFont="1" applyFill="1" applyBorder="1" applyAlignment="1">
      <alignment horizontal="center" vertical="center"/>
    </xf>
    <xf numFmtId="168" fontId="54" fillId="39" borderId="173" xfId="0" applyNumberFormat="1" applyFont="1" applyFill="1" applyBorder="1" applyAlignment="1">
      <alignment vertical="center"/>
    </xf>
    <xf numFmtId="168" fontId="52" fillId="17" borderId="86" xfId="0" applyNumberFormat="1" applyFont="1" applyFill="1" applyBorder="1" applyAlignment="1">
      <alignment vertical="center"/>
    </xf>
    <xf numFmtId="168" fontId="54" fillId="39" borderId="86" xfId="0" applyNumberFormat="1" applyFont="1" applyFill="1" applyBorder="1" applyAlignment="1">
      <alignment vertical="center"/>
    </xf>
    <xf numFmtId="168" fontId="52" fillId="39" borderId="86" xfId="0" applyNumberFormat="1" applyFont="1" applyFill="1" applyBorder="1" applyAlignment="1">
      <alignment horizontal="center" vertical="center"/>
    </xf>
    <xf numFmtId="168" fontId="54" fillId="39" borderId="486" xfId="0" applyNumberFormat="1" applyFont="1" applyFill="1" applyBorder="1" applyAlignment="1">
      <alignment vertical="center"/>
    </xf>
    <xf numFmtId="168" fontId="52" fillId="39" borderId="486" xfId="0" applyNumberFormat="1" applyFont="1" applyFill="1" applyBorder="1" applyAlignment="1">
      <alignment vertical="center"/>
    </xf>
    <xf numFmtId="168" fontId="52" fillId="39" borderId="486" xfId="0" applyNumberFormat="1" applyFont="1" applyFill="1" applyBorder="1" applyAlignment="1">
      <alignment horizontal="center" vertical="center"/>
    </xf>
    <xf numFmtId="168" fontId="52" fillId="39" borderId="84" xfId="0" applyNumberFormat="1" applyFont="1" applyFill="1" applyBorder="1" applyAlignment="1">
      <alignment vertical="center"/>
    </xf>
    <xf numFmtId="168" fontId="52" fillId="39" borderId="84" xfId="0" applyNumberFormat="1" applyFont="1" applyFill="1" applyBorder="1" applyAlignment="1">
      <alignment horizontal="center" vertical="center"/>
    </xf>
    <xf numFmtId="168" fontId="98" fillId="17" borderId="173" xfId="0" applyNumberFormat="1" applyFont="1" applyFill="1" applyBorder="1" applyAlignment="1">
      <alignment vertical="center"/>
    </xf>
    <xf numFmtId="168" fontId="192" fillId="17" borderId="173" xfId="0" applyNumberFormat="1" applyFont="1" applyFill="1" applyBorder="1" applyAlignment="1">
      <alignment vertical="center"/>
    </xf>
    <xf numFmtId="168" fontId="98" fillId="17" borderId="486" xfId="0" applyNumberFormat="1" applyFont="1" applyFill="1" applyBorder="1" applyAlignment="1">
      <alignment vertical="center"/>
    </xf>
    <xf numFmtId="168" fontId="192" fillId="17" borderId="486" xfId="0" applyNumberFormat="1" applyFont="1" applyFill="1" applyBorder="1" applyAlignment="1">
      <alignment vertical="center"/>
    </xf>
    <xf numFmtId="168" fontId="192" fillId="39" borderId="173" xfId="0" applyNumberFormat="1" applyFont="1" applyFill="1" applyBorder="1" applyAlignment="1">
      <alignment vertical="center"/>
    </xf>
    <xf numFmtId="168" fontId="98" fillId="39" borderId="84" xfId="0" applyNumberFormat="1" applyFont="1" applyFill="1" applyBorder="1" applyAlignment="1">
      <alignment vertical="center"/>
    </xf>
    <xf numFmtId="168" fontId="192" fillId="39" borderId="84" xfId="0" applyNumberFormat="1" applyFont="1" applyFill="1" applyBorder="1" applyAlignment="1">
      <alignment vertical="center"/>
    </xf>
    <xf numFmtId="168" fontId="171" fillId="17" borderId="84" xfId="0" applyNumberFormat="1" applyFont="1" applyFill="1" applyBorder="1" applyAlignment="1">
      <alignment vertical="center"/>
    </xf>
    <xf numFmtId="168" fontId="54" fillId="0" borderId="89" xfId="0" applyNumberFormat="1" applyFont="1" applyBorder="1" applyAlignment="1">
      <alignment vertical="center"/>
    </xf>
    <xf numFmtId="168" fontId="52" fillId="0" borderId="89" xfId="0" applyNumberFormat="1" applyFont="1" applyBorder="1" applyAlignment="1">
      <alignment vertical="center"/>
    </xf>
    <xf numFmtId="0" fontId="52" fillId="12" borderId="350" xfId="0" applyFont="1" applyFill="1" applyBorder="1" applyAlignment="1">
      <alignment horizontal="center" vertical="center"/>
    </xf>
    <xf numFmtId="0" fontId="35" fillId="12" borderId="350" xfId="0" applyFont="1" applyFill="1" applyBorder="1" applyAlignment="1">
      <alignment horizontal="center" vertical="center" indent="1"/>
    </xf>
    <xf numFmtId="49" fontId="275" fillId="11" borderId="24" xfId="0" applyNumberFormat="1" applyFont="1" applyFill="1" applyBorder="1" applyAlignment="1">
      <alignment horizontal="center" vertical="center" wrapText="1"/>
    </xf>
    <xf numFmtId="49" fontId="194" fillId="12" borderId="25" xfId="0" applyNumberFormat="1" applyFont="1" applyFill="1" applyBorder="1" applyAlignment="1">
      <alignment horizontal="center" vertical="center" wrapText="1"/>
    </xf>
    <xf numFmtId="49" fontId="194" fillId="12" borderId="26" xfId="0" applyNumberFormat="1" applyFont="1" applyFill="1" applyBorder="1" applyAlignment="1">
      <alignment horizontal="center" vertical="center" wrapText="1"/>
    </xf>
    <xf numFmtId="0" fontId="239" fillId="11" borderId="500" xfId="0" applyFont="1" applyFill="1" applyBorder="1" applyAlignment="1">
      <alignment horizontal="center" vertical="center" wrapText="1"/>
    </xf>
    <xf numFmtId="0" fontId="206" fillId="12" borderId="67" xfId="0" applyFont="1" applyFill="1" applyBorder="1" applyAlignment="1">
      <alignment horizontal="center" vertical="center" wrapText="1"/>
    </xf>
    <xf numFmtId="0" fontId="206" fillId="12" borderId="68" xfId="0" applyFont="1" applyFill="1" applyBorder="1" applyAlignment="1">
      <alignment horizontal="center" vertical="center" wrapText="1"/>
    </xf>
    <xf numFmtId="0" fontId="206" fillId="12" borderId="69" xfId="0" applyFont="1" applyFill="1" applyBorder="1" applyAlignment="1">
      <alignment horizontal="center" vertical="center" wrapText="1"/>
    </xf>
    <xf numFmtId="49" fontId="206" fillId="12" borderId="68" xfId="0" applyNumberFormat="1" applyFont="1" applyFill="1" applyBorder="1" applyAlignment="1">
      <alignment horizontal="center" vertical="center" wrapText="1"/>
    </xf>
    <xf numFmtId="0" fontId="206" fillId="12" borderId="124" xfId="0" applyFont="1" applyFill="1" applyBorder="1" applyAlignment="1">
      <alignment horizontal="center" vertical="center" wrapText="1"/>
    </xf>
    <xf numFmtId="0" fontId="206" fillId="12" borderId="125" xfId="0" applyFont="1" applyFill="1" applyBorder="1" applyAlignment="1">
      <alignment horizontal="center" vertical="center" wrapText="1"/>
    </xf>
    <xf numFmtId="49" fontId="206" fillId="12" borderId="125" xfId="0" applyNumberFormat="1" applyFont="1" applyFill="1" applyBorder="1" applyAlignment="1">
      <alignment horizontal="center" vertical="center" wrapText="1"/>
    </xf>
    <xf numFmtId="0" fontId="239" fillId="11" borderId="579" xfId="0" applyFont="1" applyFill="1" applyBorder="1" applyAlignment="1">
      <alignment horizontal="center" vertical="center" wrapText="1"/>
    </xf>
    <xf numFmtId="0" fontId="206" fillId="12" borderId="126" xfId="0" applyFont="1" applyFill="1" applyBorder="1" applyAlignment="1">
      <alignment horizontal="center" vertical="center" wrapText="1"/>
    </xf>
    <xf numFmtId="49" fontId="206" fillId="12" borderId="124" xfId="0" applyNumberFormat="1" applyFont="1" applyFill="1" applyBorder="1" applyAlignment="1">
      <alignment horizontal="center" vertical="center" wrapText="1"/>
    </xf>
    <xf numFmtId="0" fontId="9" fillId="12" borderId="251" xfId="0" applyFont="1" applyFill="1" applyBorder="1" applyAlignment="1">
      <alignment horizontal="center" vertical="center" wrapText="1"/>
    </xf>
    <xf numFmtId="0" fontId="9" fillId="12" borderId="62" xfId="0" applyFont="1" applyFill="1" applyBorder="1" applyAlignment="1">
      <alignment horizontal="center" vertical="center" wrapText="1"/>
    </xf>
    <xf numFmtId="2" fontId="206" fillId="12" borderId="68" xfId="0" applyNumberFormat="1" applyFont="1" applyFill="1" applyBorder="1" applyAlignment="1">
      <alignment horizontal="center" vertical="center" wrapText="1"/>
    </xf>
    <xf numFmtId="49" fontId="206" fillId="12" borderId="69" xfId="0" applyNumberFormat="1" applyFont="1" applyFill="1" applyBorder="1" applyAlignment="1">
      <alignment horizontal="center" vertical="center" wrapText="1"/>
    </xf>
    <xf numFmtId="1" fontId="206" fillId="12" borderId="68" xfId="0" applyNumberFormat="1" applyFont="1" applyFill="1" applyBorder="1" applyAlignment="1">
      <alignment horizontal="center" vertical="center" wrapText="1"/>
    </xf>
    <xf numFmtId="0" fontId="38" fillId="0" borderId="866" xfId="0" applyFont="1" applyBorder="1" applyAlignment="1">
      <alignment horizontal="left" vertical="center" indent="1"/>
    </xf>
    <xf numFmtId="0" fontId="38" fillId="0" borderId="692" xfId="0" applyFont="1" applyBorder="1" applyAlignment="1">
      <alignment horizontal="left" vertical="center" wrapText="1" indent="1"/>
    </xf>
    <xf numFmtId="0" fontId="24" fillId="0" borderId="692" xfId="0" applyFont="1" applyBorder="1" applyAlignment="1">
      <alignment horizontal="center" vertical="center" wrapText="1"/>
    </xf>
    <xf numFmtId="168" fontId="38" fillId="0" borderId="692" xfId="0" applyNumberFormat="1" applyFont="1" applyBorder="1" applyAlignment="1">
      <alignment vertical="center"/>
    </xf>
    <xf numFmtId="49" fontId="24" fillId="0" borderId="692" xfId="0" applyNumberFormat="1" applyFont="1" applyBorder="1" applyAlignment="1">
      <alignment horizontal="center" vertical="center"/>
    </xf>
    <xf numFmtId="0" fontId="38" fillId="0" borderId="680" xfId="0" applyFont="1" applyBorder="1" applyAlignment="1">
      <alignment horizontal="left" vertical="center" indent="1"/>
    </xf>
    <xf numFmtId="0" fontId="24" fillId="0" borderId="411" xfId="0" applyFont="1" applyBorder="1" applyAlignment="1">
      <alignment horizontal="left" vertical="center" wrapText="1" indent="1"/>
    </xf>
    <xf numFmtId="0" fontId="24" fillId="0" borderId="411" xfId="0" applyFont="1" applyBorder="1" applyAlignment="1">
      <alignment horizontal="center" vertical="center" wrapText="1"/>
    </xf>
    <xf numFmtId="168" fontId="38" fillId="0" borderId="411" xfId="0" applyNumberFormat="1" applyFont="1" applyBorder="1" applyAlignment="1">
      <alignment vertical="center"/>
    </xf>
    <xf numFmtId="49" fontId="24" fillId="0" borderId="411" xfId="0" applyNumberFormat="1" applyFont="1" applyBorder="1" applyAlignment="1">
      <alignment horizontal="center" vertical="center"/>
    </xf>
    <xf numFmtId="0" fontId="24" fillId="39" borderId="411" xfId="0" applyFont="1" applyFill="1" applyBorder="1" applyAlignment="1">
      <alignment horizontal="left" vertical="center" wrapText="1" indent="1"/>
    </xf>
    <xf numFmtId="0" fontId="24" fillId="39" borderId="411" xfId="0" applyFont="1" applyFill="1" applyBorder="1" applyAlignment="1">
      <alignment horizontal="center" vertical="center" wrapText="1"/>
    </xf>
    <xf numFmtId="0" fontId="38" fillId="0" borderId="411" xfId="0" applyFont="1" applyBorder="1" applyAlignment="1">
      <alignment horizontal="left" vertical="center" wrapText="1" indent="1"/>
    </xf>
    <xf numFmtId="0" fontId="38" fillId="0" borderId="684" xfId="0" applyFont="1" applyBorder="1" applyAlignment="1">
      <alignment horizontal="left" vertical="center" indent="1"/>
    </xf>
    <xf numFmtId="0" fontId="221" fillId="0" borderId="415" xfId="0" applyFont="1" applyBorder="1" applyAlignment="1">
      <alignment horizontal="left" vertical="center" wrapText="1" indent="1"/>
    </xf>
    <xf numFmtId="0" fontId="222" fillId="0" borderId="415" xfId="0" applyFont="1" applyBorder="1" applyAlignment="1">
      <alignment horizontal="center" vertical="center" wrapText="1"/>
    </xf>
    <xf numFmtId="168" fontId="38" fillId="0" borderId="415" xfId="0" applyNumberFormat="1" applyFont="1" applyBorder="1" applyAlignment="1">
      <alignment vertical="center"/>
    </xf>
    <xf numFmtId="0" fontId="24" fillId="0" borderId="415" xfId="0" applyFont="1" applyBorder="1" applyAlignment="1">
      <alignment horizontal="center" vertical="center" wrapText="1"/>
    </xf>
    <xf numFmtId="49" fontId="24" fillId="0" borderId="415" xfId="0" applyNumberFormat="1" applyFont="1" applyBorder="1" applyAlignment="1">
      <alignment horizontal="center" vertical="center"/>
    </xf>
    <xf numFmtId="0" fontId="38" fillId="0" borderId="691" xfId="0" applyFont="1" applyBorder="1" applyAlignment="1">
      <alignment horizontal="left" vertical="center" wrapText="1" indent="1"/>
    </xf>
    <xf numFmtId="0" fontId="61" fillId="0" borderId="680" xfId="0" applyFont="1" applyBorder="1" applyAlignment="1">
      <alignment horizontal="left" vertical="center" wrapText="1" indent="1"/>
    </xf>
    <xf numFmtId="0" fontId="38" fillId="0" borderId="680" xfId="0" applyFont="1" applyBorder="1" applyAlignment="1">
      <alignment horizontal="left" vertical="center" wrapText="1" indent="1"/>
    </xf>
    <xf numFmtId="49" fontId="24" fillId="0" borderId="870" xfId="0" applyNumberFormat="1" applyFont="1" applyBorder="1" applyAlignment="1">
      <alignment horizontal="center" vertical="center"/>
    </xf>
    <xf numFmtId="49" fontId="24" fillId="0" borderId="871" xfId="0" applyNumberFormat="1" applyFont="1" applyBorder="1" applyAlignment="1">
      <alignment horizontal="center" vertical="center"/>
    </xf>
    <xf numFmtId="49" fontId="24" fillId="39" borderId="871" xfId="0" applyNumberFormat="1" applyFont="1" applyFill="1" applyBorder="1" applyAlignment="1">
      <alignment horizontal="center" vertical="center"/>
    </xf>
    <xf numFmtId="49" fontId="24" fillId="0" borderId="872" xfId="0" applyNumberFormat="1" applyFont="1" applyBorder="1" applyAlignment="1">
      <alignment horizontal="center" vertical="center"/>
    </xf>
    <xf numFmtId="49" fontId="24" fillId="0" borderId="672" xfId="0" applyNumberFormat="1" applyFont="1" applyBorder="1" applyAlignment="1">
      <alignment horizontal="center" vertical="center"/>
    </xf>
    <xf numFmtId="49" fontId="24" fillId="0" borderId="243" xfId="0" applyNumberFormat="1" applyFont="1" applyBorder="1" applyAlignment="1">
      <alignment horizontal="center" vertical="center"/>
    </xf>
    <xf numFmtId="49" fontId="24" fillId="0" borderId="164" xfId="0" applyNumberFormat="1" applyFont="1" applyBorder="1" applyAlignment="1">
      <alignment horizontal="center" vertical="center"/>
    </xf>
    <xf numFmtId="49" fontId="24" fillId="0" borderId="165" xfId="0" applyNumberFormat="1" applyFont="1" applyBorder="1" applyAlignment="1">
      <alignment horizontal="center" vertical="center"/>
    </xf>
    <xf numFmtId="168" fontId="206" fillId="12" borderId="68" xfId="0" applyNumberFormat="1" applyFont="1" applyFill="1" applyBorder="1" applyAlignment="1">
      <alignment horizontal="center" vertical="center" wrapText="1"/>
    </xf>
    <xf numFmtId="0" fontId="206" fillId="12" borderId="879" xfId="0" applyFont="1" applyFill="1" applyBorder="1" applyAlignment="1">
      <alignment horizontal="center" vertical="center" wrapText="1"/>
    </xf>
    <xf numFmtId="0" fontId="206" fillId="12" borderId="882" xfId="0" applyFont="1" applyFill="1" applyBorder="1" applyAlignment="1">
      <alignment horizontal="center" vertical="center" wrapText="1"/>
    </xf>
    <xf numFmtId="0" fontId="239" fillId="11" borderId="500" xfId="16" applyFont="1" applyFill="1" applyBorder="1" applyAlignment="1">
      <alignment horizontal="center" vertical="center" wrapText="1"/>
    </xf>
    <xf numFmtId="0" fontId="206" fillId="12" borderId="67" xfId="16" applyFont="1" applyFill="1" applyBorder="1" applyAlignment="1">
      <alignment horizontal="center" vertical="center" wrapText="1"/>
    </xf>
    <xf numFmtId="0" fontId="206" fillId="12" borderId="68" xfId="16" applyFont="1" applyFill="1" applyBorder="1" applyAlignment="1">
      <alignment horizontal="center" vertical="center" wrapText="1"/>
    </xf>
    <xf numFmtId="0" fontId="206" fillId="12" borderId="69" xfId="16" applyFont="1" applyFill="1" applyBorder="1" applyAlignment="1">
      <alignment horizontal="center" vertical="center" wrapText="1"/>
    </xf>
    <xf numFmtId="49" fontId="206" fillId="12" borderId="68" xfId="16" applyNumberFormat="1" applyFont="1" applyFill="1" applyBorder="1" applyAlignment="1">
      <alignment horizontal="center" vertical="center" wrapText="1"/>
    </xf>
    <xf numFmtId="0" fontId="206" fillId="15" borderId="885" xfId="0" applyFont="1" applyFill="1" applyBorder="1" applyAlignment="1">
      <alignment horizontal="center" vertical="center" wrapText="1"/>
    </xf>
    <xf numFmtId="0" fontId="206" fillId="15" borderId="886" xfId="0" applyFont="1" applyFill="1" applyBorder="1" applyAlignment="1">
      <alignment horizontal="center" vertical="center" wrapText="1"/>
    </xf>
    <xf numFmtId="0" fontId="206" fillId="15" borderId="886" xfId="0" applyFont="1" applyFill="1" applyBorder="1" applyAlignment="1" applyProtection="1">
      <alignment horizontal="center" vertical="center" wrapText="1"/>
      <protection locked="0"/>
    </xf>
    <xf numFmtId="49" fontId="206" fillId="15" borderId="886" xfId="0" applyNumberFormat="1" applyFont="1" applyFill="1" applyBorder="1" applyAlignment="1" applyProtection="1">
      <alignment horizontal="center" vertical="center" wrapText="1"/>
      <protection locked="0"/>
    </xf>
    <xf numFmtId="0" fontId="206" fillId="15" borderId="886" xfId="7" applyFont="1" applyFill="1" applyBorder="1" applyAlignment="1" applyProtection="1">
      <alignment horizontal="center" vertical="center" wrapText="1"/>
      <protection locked="0"/>
    </xf>
    <xf numFmtId="0" fontId="22" fillId="17" borderId="802" xfId="15" applyFont="1" applyFill="1" applyBorder="1" applyAlignment="1">
      <alignment horizontal="left" vertical="center" wrapText="1" indent="1"/>
    </xf>
    <xf numFmtId="0" fontId="239" fillId="11" borderId="891" xfId="15" applyFont="1" applyFill="1" applyBorder="1" applyAlignment="1">
      <alignment horizontal="center" vertical="center" wrapText="1"/>
    </xf>
    <xf numFmtId="0" fontId="206" fillId="12" borderId="893" xfId="15" applyFont="1" applyFill="1" applyBorder="1" applyAlignment="1">
      <alignment horizontal="center" vertical="center" wrapText="1"/>
    </xf>
    <xf numFmtId="0" fontId="206" fillId="12" borderId="894" xfId="15" applyFont="1" applyFill="1" applyBorder="1" applyAlignment="1">
      <alignment horizontal="center" vertical="center" wrapText="1"/>
    </xf>
    <xf numFmtId="0" fontId="206" fillId="12" borderId="895" xfId="15" applyFont="1" applyFill="1" applyBorder="1" applyAlignment="1">
      <alignment horizontal="center" vertical="center" wrapText="1"/>
    </xf>
    <xf numFmtId="49" fontId="206" fillId="12" borderId="894" xfId="15" applyNumberFormat="1" applyFont="1" applyFill="1" applyBorder="1" applyAlignment="1">
      <alignment horizontal="center" vertical="center" wrapText="1"/>
    </xf>
    <xf numFmtId="1" fontId="239" fillId="11" borderId="500" xfId="0" applyNumberFormat="1" applyFont="1" applyFill="1" applyBorder="1" applyAlignment="1">
      <alignment horizontal="center" vertical="center" wrapText="1"/>
    </xf>
    <xf numFmtId="0" fontId="24" fillId="0" borderId="708" xfId="0" applyFont="1" applyBorder="1" applyAlignment="1">
      <alignment horizontal="right" vertical="center" wrapText="1"/>
    </xf>
    <xf numFmtId="0" fontId="39" fillId="0" borderId="911" xfId="0" applyFont="1" applyBorder="1" applyAlignment="1">
      <alignment horizontal="right" vertical="center" wrapText="1"/>
    </xf>
    <xf numFmtId="0" fontId="24" fillId="0" borderId="911" xfId="0" applyFont="1" applyBorder="1" applyAlignment="1">
      <alignment horizontal="left" vertical="center" wrapText="1"/>
    </xf>
    <xf numFmtId="0" fontId="39" fillId="0" borderId="911" xfId="0" applyFont="1" applyBorder="1" applyAlignment="1">
      <alignment horizontal="center" vertical="center" wrapText="1"/>
    </xf>
    <xf numFmtId="0" fontId="24" fillId="0" borderId="911" xfId="0" applyFont="1" applyBorder="1" applyAlignment="1">
      <alignment horizontal="center" vertical="center" wrapText="1"/>
    </xf>
    <xf numFmtId="49" fontId="68" fillId="0" borderId="911" xfId="0" applyNumberFormat="1" applyFont="1" applyBorder="1" applyAlignment="1">
      <alignment vertical="center" wrapText="1"/>
    </xf>
    <xf numFmtId="49" fontId="24" fillId="0" borderId="911" xfId="0" applyNumberFormat="1" applyFont="1" applyBorder="1" applyAlignment="1">
      <alignment horizontal="center" vertical="center" wrapText="1"/>
    </xf>
    <xf numFmtId="0" fontId="24" fillId="0" borderId="708" xfId="0" applyFont="1" applyBorder="1" applyAlignment="1">
      <alignment horizontal="center" vertical="center" wrapText="1"/>
    </xf>
    <xf numFmtId="0" fontId="38" fillId="4" borderId="128" xfId="0" applyFont="1" applyFill="1" applyBorder="1" applyAlignment="1">
      <alignment horizontal="left" vertical="center" wrapText="1" indent="1"/>
    </xf>
    <xf numFmtId="0" fontId="38" fillId="4" borderId="129" xfId="0" applyFont="1" applyFill="1" applyBorder="1" applyAlignment="1">
      <alignment horizontal="left" vertical="center" wrapText="1" indent="1"/>
    </xf>
    <xf numFmtId="0" fontId="24" fillId="4" borderId="129" xfId="0" applyFont="1" applyFill="1" applyBorder="1" applyAlignment="1">
      <alignment horizontal="center" vertical="center" wrapText="1"/>
    </xf>
    <xf numFmtId="49" fontId="38" fillId="4" borderId="30" xfId="0" applyNumberFormat="1" applyFont="1" applyFill="1" applyBorder="1" applyAlignment="1">
      <alignment vertical="center"/>
    </xf>
    <xf numFmtId="0" fontId="24" fillId="4" borderId="640" xfId="0" applyFont="1" applyFill="1" applyBorder="1" applyAlignment="1">
      <alignment horizontal="left" vertical="center" wrapText="1" indent="1"/>
    </xf>
    <xf numFmtId="0" fontId="24" fillId="4" borderId="484" xfId="0" applyFont="1" applyFill="1" applyBorder="1" applyAlignment="1">
      <alignment horizontal="left" vertical="center" wrapText="1" indent="1"/>
    </xf>
    <xf numFmtId="0" fontId="24" fillId="4" borderId="484" xfId="0" applyFont="1" applyFill="1" applyBorder="1" applyAlignment="1">
      <alignment horizontal="center" vertical="center" wrapText="1"/>
    </xf>
    <xf numFmtId="49" fontId="38" fillId="4" borderId="484" xfId="0" applyNumberFormat="1" applyFont="1" applyFill="1" applyBorder="1" applyAlignment="1">
      <alignment vertical="center"/>
    </xf>
    <xf numFmtId="49" fontId="24" fillId="4" borderId="484" xfId="0" applyNumberFormat="1" applyFont="1" applyFill="1" applyBorder="1" applyAlignment="1">
      <alignment horizontal="center" vertical="center"/>
    </xf>
    <xf numFmtId="0" fontId="38" fillId="0" borderId="904" xfId="0" applyFont="1" applyBorder="1" applyAlignment="1">
      <alignment vertical="center" wrapText="1" indent="1"/>
    </xf>
    <xf numFmtId="0" fontId="24" fillId="0" borderId="403" xfId="2" applyFont="1" applyBorder="1" applyAlignment="1">
      <alignment horizontal="center" vertical="center"/>
    </xf>
    <xf numFmtId="0" fontId="24" fillId="0" borderId="410" xfId="2" applyFont="1" applyBorder="1" applyAlignment="1">
      <alignment horizontal="center" vertical="center"/>
    </xf>
    <xf numFmtId="0" fontId="24" fillId="0" borderId="412" xfId="2" applyFont="1" applyBorder="1" applyAlignment="1">
      <alignment horizontal="center" vertical="center"/>
    </xf>
    <xf numFmtId="0" fontId="38" fillId="0" borderId="416" xfId="2" applyFont="1" applyBorder="1" applyAlignment="1">
      <alignment horizontal="center" vertical="center"/>
    </xf>
    <xf numFmtId="0" fontId="24" fillId="0" borderId="416" xfId="2" applyFont="1" applyBorder="1" applyAlignment="1">
      <alignment horizontal="center" vertical="center"/>
    </xf>
    <xf numFmtId="0" fontId="24" fillId="0" borderId="420" xfId="2" applyFont="1" applyBorder="1" applyAlignment="1">
      <alignment horizontal="center" vertical="center"/>
    </xf>
    <xf numFmtId="0" fontId="96" fillId="0" borderId="410" xfId="2" applyFont="1" applyBorder="1" applyAlignment="1">
      <alignment horizontal="center" vertical="center"/>
    </xf>
    <xf numFmtId="0" fontId="96" fillId="0" borderId="420" xfId="2" applyFont="1" applyBorder="1" applyAlignment="1">
      <alignment horizontal="center" vertical="center"/>
    </xf>
    <xf numFmtId="0" fontId="95" fillId="0" borderId="425" xfId="2" applyFont="1" applyBorder="1" applyAlignment="1">
      <alignment horizontal="center" vertical="center"/>
    </xf>
    <xf numFmtId="0" fontId="96" fillId="0" borderId="416" xfId="2" applyFont="1" applyBorder="1" applyAlignment="1">
      <alignment horizontal="center" vertical="center"/>
    </xf>
    <xf numFmtId="0" fontId="96" fillId="17" borderId="410" xfId="2" applyFont="1" applyFill="1" applyBorder="1" applyAlignment="1">
      <alignment horizontal="center" vertical="center"/>
    </xf>
    <xf numFmtId="0" fontId="96" fillId="17" borderId="420" xfId="2" applyFont="1" applyFill="1" applyBorder="1" applyAlignment="1">
      <alignment horizontal="center" vertical="center"/>
    </xf>
    <xf numFmtId="0" fontId="38" fillId="0" borderId="435" xfId="2" applyFont="1" applyBorder="1" applyAlignment="1">
      <alignment horizontal="center" vertical="center"/>
    </xf>
    <xf numFmtId="0" fontId="24" fillId="17" borderId="410" xfId="2" applyFont="1" applyFill="1" applyBorder="1" applyAlignment="1">
      <alignment horizontal="center" vertical="center"/>
    </xf>
    <xf numFmtId="0" fontId="24" fillId="17" borderId="416" xfId="2" applyFont="1" applyFill="1" applyBorder="1" applyAlignment="1">
      <alignment horizontal="center" vertical="center"/>
    </xf>
    <xf numFmtId="0" fontId="38" fillId="17" borderId="416" xfId="2" applyFont="1" applyFill="1" applyBorder="1" applyAlignment="1">
      <alignment horizontal="center" vertical="center"/>
    </xf>
    <xf numFmtId="0" fontId="24" fillId="17" borderId="420" xfId="2" applyFont="1" applyFill="1" applyBorder="1" applyAlignment="1">
      <alignment horizontal="center" vertical="center"/>
    </xf>
    <xf numFmtId="0" fontId="38" fillId="17" borderId="425" xfId="2" applyFont="1" applyFill="1" applyBorder="1" applyAlignment="1">
      <alignment horizontal="left" vertical="center" wrapText="1" indent="1"/>
    </xf>
    <xf numFmtId="0" fontId="24" fillId="17" borderId="410" xfId="2" applyFont="1" applyFill="1" applyBorder="1" applyAlignment="1">
      <alignment horizontal="left" vertical="center" wrapText="1" indent="1"/>
    </xf>
    <xf numFmtId="0" fontId="38" fillId="17" borderId="588" xfId="2" applyFont="1" applyFill="1" applyBorder="1" applyAlignment="1">
      <alignment horizontal="left" vertical="center" wrapText="1" indent="1"/>
    </xf>
    <xf numFmtId="0" fontId="38" fillId="0" borderId="680" xfId="2" applyFont="1" applyBorder="1" applyAlignment="1">
      <alignment horizontal="center" vertical="center"/>
    </xf>
    <xf numFmtId="0" fontId="38" fillId="17" borderId="416" xfId="2" applyFont="1" applyFill="1" applyBorder="1" applyAlignment="1">
      <alignment horizontal="left" vertical="center" wrapText="1" indent="1"/>
    </xf>
    <xf numFmtId="0" fontId="38" fillId="0" borderId="447" xfId="0" applyFont="1" applyBorder="1" applyAlignment="1">
      <alignment horizontal="center" vertical="center"/>
    </xf>
    <xf numFmtId="0" fontId="24" fillId="0" borderId="450" xfId="0" applyFont="1" applyBorder="1" applyAlignment="1">
      <alignment horizontal="center" vertical="center"/>
    </xf>
    <xf numFmtId="0" fontId="24" fillId="0" borderId="451" xfId="0" applyFont="1" applyBorder="1" applyAlignment="1">
      <alignment horizontal="center" vertical="center"/>
    </xf>
    <xf numFmtId="0" fontId="38" fillId="0" borderId="451" xfId="0" applyFont="1" applyBorder="1" applyAlignment="1">
      <alignment horizontal="center" vertical="center"/>
    </xf>
    <xf numFmtId="0" fontId="24" fillId="0" borderId="454" xfId="0" applyFont="1" applyBorder="1" applyAlignment="1">
      <alignment horizontal="center" vertical="center"/>
    </xf>
    <xf numFmtId="0" fontId="38" fillId="0" borderId="461" xfId="0" applyFont="1" applyBorder="1" applyAlignment="1">
      <alignment horizontal="center" vertical="center"/>
    </xf>
    <xf numFmtId="0" fontId="24" fillId="0" borderId="425" xfId="2" applyFont="1" applyBorder="1" applyAlignment="1">
      <alignment horizontal="center" vertical="center"/>
    </xf>
    <xf numFmtId="0" fontId="95" fillId="0" borderId="425" xfId="2" applyFont="1" applyBorder="1" applyAlignment="1">
      <alignment horizontal="left" vertical="center" wrapText="1" indent="1"/>
    </xf>
    <xf numFmtId="0" fontId="95" fillId="0" borderId="410" xfId="2" applyFont="1" applyBorder="1" applyAlignment="1">
      <alignment horizontal="left" vertical="center" wrapText="1" indent="1"/>
    </xf>
    <xf numFmtId="0" fontId="95" fillId="0" borderId="420" xfId="2" applyFont="1" applyBorder="1" applyAlignment="1">
      <alignment horizontal="left" vertical="center" wrapText="1" indent="1"/>
    </xf>
    <xf numFmtId="0" fontId="38" fillId="0" borderId="425" xfId="2" applyFont="1" applyBorder="1" applyAlignment="1">
      <alignment horizontal="left" vertical="center" wrapText="1" indent="1"/>
    </xf>
    <xf numFmtId="0" fontId="95" fillId="0" borderId="416" xfId="2" applyFont="1" applyBorder="1" applyAlignment="1">
      <alignment horizontal="left" vertical="center" wrapText="1" indent="1"/>
    </xf>
    <xf numFmtId="0" fontId="24" fillId="0" borderId="410" xfId="2" applyFont="1" applyBorder="1" applyAlignment="1">
      <alignment horizontal="left" vertical="center" indent="1"/>
    </xf>
    <xf numFmtId="0" fontId="61" fillId="0" borderId="410" xfId="2" applyFont="1" applyBorder="1" applyAlignment="1">
      <alignment horizontal="left" vertical="center" wrapText="1" indent="1"/>
    </xf>
    <xf numFmtId="0" fontId="38" fillId="0" borderId="410" xfId="2" applyFont="1" applyBorder="1" applyAlignment="1">
      <alignment horizontal="left" vertical="center" wrapText="1" indent="1"/>
    </xf>
    <xf numFmtId="0" fontId="38" fillId="0" borderId="420" xfId="2" applyFont="1" applyBorder="1" applyAlignment="1">
      <alignment horizontal="left" vertical="center" wrapText="1" indent="1"/>
    </xf>
    <xf numFmtId="0" fontId="38" fillId="0" borderId="416" xfId="2" applyFont="1" applyBorder="1" applyAlignment="1">
      <alignment horizontal="left" vertical="center" wrapText="1" indent="1"/>
    </xf>
    <xf numFmtId="0" fontId="39" fillId="0" borderId="404" xfId="2" applyFont="1" applyBorder="1" applyAlignment="1">
      <alignment horizontal="center" vertical="center"/>
    </xf>
    <xf numFmtId="0" fontId="39" fillId="0" borderId="411" xfId="2" applyFont="1" applyBorder="1" applyAlignment="1">
      <alignment horizontal="center" vertical="center"/>
    </xf>
    <xf numFmtId="0" fontId="39" fillId="0" borderId="413" xfId="2" applyFont="1" applyBorder="1" applyAlignment="1">
      <alignment horizontal="center" vertical="center"/>
    </xf>
    <xf numFmtId="0" fontId="68" fillId="0" borderId="417" xfId="2" applyFont="1" applyBorder="1" applyAlignment="1">
      <alignment horizontal="center" vertical="center"/>
    </xf>
    <xf numFmtId="0" fontId="39" fillId="0" borderId="419" xfId="2" applyFont="1" applyBorder="1" applyAlignment="1">
      <alignment horizontal="center" vertical="center"/>
    </xf>
    <xf numFmtId="0" fontId="39" fillId="0" borderId="417" xfId="2" applyFont="1" applyBorder="1" applyAlignment="1">
      <alignment horizontal="center" vertical="center"/>
    </xf>
    <xf numFmtId="0" fontId="39" fillId="0" borderId="421" xfId="2" applyFont="1" applyBorder="1" applyAlignment="1">
      <alignment horizontal="center" vertical="center"/>
    </xf>
    <xf numFmtId="0" fontId="99" fillId="0" borderId="419" xfId="2" applyFont="1" applyBorder="1" applyAlignment="1">
      <alignment horizontal="center" vertical="center"/>
    </xf>
    <xf numFmtId="0" fontId="99" fillId="0" borderId="421" xfId="2" applyFont="1" applyBorder="1" applyAlignment="1">
      <alignment horizontal="center" vertical="center"/>
    </xf>
    <xf numFmtId="0" fontId="175" fillId="0" borderId="426" xfId="2" applyFont="1" applyBorder="1" applyAlignment="1">
      <alignment horizontal="center" vertical="center"/>
    </xf>
    <xf numFmtId="0" fontId="99" fillId="0" borderId="417" xfId="2" applyFont="1" applyBorder="1" applyAlignment="1">
      <alignment horizontal="center" vertical="center"/>
    </xf>
    <xf numFmtId="0" fontId="99" fillId="17" borderId="419" xfId="2" applyFont="1" applyFill="1" applyBorder="1" applyAlignment="1">
      <alignment horizontal="center" vertical="center"/>
    </xf>
    <xf numFmtId="0" fontId="99" fillId="17" borderId="421" xfId="2" applyFont="1" applyFill="1" applyBorder="1" applyAlignment="1">
      <alignment horizontal="center" vertical="center"/>
    </xf>
    <xf numFmtId="0" fontId="68" fillId="0" borderId="436" xfId="2" applyFont="1" applyBorder="1" applyAlignment="1">
      <alignment horizontal="center" vertical="center"/>
    </xf>
    <xf numFmtId="0" fontId="39" fillId="17" borderId="419" xfId="2" applyFont="1" applyFill="1" applyBorder="1" applyAlignment="1">
      <alignment horizontal="center" vertical="center"/>
    </xf>
    <xf numFmtId="0" fontId="39" fillId="17" borderId="417" xfId="2" applyFont="1" applyFill="1" applyBorder="1" applyAlignment="1">
      <alignment horizontal="center" vertical="center"/>
    </xf>
    <xf numFmtId="0" fontId="68" fillId="17" borderId="417" xfId="2" applyFont="1" applyFill="1" applyBorder="1" applyAlignment="1">
      <alignment horizontal="center" vertical="center"/>
    </xf>
    <xf numFmtId="0" fontId="39" fillId="17" borderId="421" xfId="2" applyFont="1" applyFill="1" applyBorder="1" applyAlignment="1">
      <alignment horizontal="center" vertical="center"/>
    </xf>
    <xf numFmtId="0" fontId="68" fillId="0" borderId="424" xfId="2" applyFont="1" applyBorder="1" applyAlignment="1">
      <alignment horizontal="center" vertical="center"/>
    </xf>
    <xf numFmtId="0" fontId="68" fillId="0" borderId="411" xfId="2" applyFont="1" applyBorder="1" applyAlignment="1">
      <alignment horizontal="center" vertical="center"/>
    </xf>
    <xf numFmtId="0" fontId="68" fillId="0" borderId="418" xfId="2" applyFont="1" applyBorder="1" applyAlignment="1">
      <alignment horizontal="center" vertical="center"/>
    </xf>
    <xf numFmtId="0" fontId="39" fillId="0" borderId="415" xfId="2" applyFont="1" applyBorder="1" applyAlignment="1">
      <alignment horizontal="center" vertical="center"/>
    </xf>
    <xf numFmtId="0" fontId="39" fillId="0" borderId="424" xfId="2" applyFont="1" applyBorder="1" applyAlignment="1">
      <alignment horizontal="center" vertical="center"/>
    </xf>
    <xf numFmtId="0" fontId="68" fillId="0" borderId="415" xfId="2" applyFont="1" applyBorder="1" applyAlignment="1">
      <alignment horizontal="center" vertical="center"/>
    </xf>
    <xf numFmtId="0" fontId="39" fillId="0" borderId="424" xfId="2" applyFont="1" applyBorder="1"/>
    <xf numFmtId="0" fontId="39" fillId="0" borderId="411" xfId="2" applyFont="1" applyBorder="1"/>
    <xf numFmtId="0" fontId="101" fillId="0" borderId="411" xfId="0" applyFont="1" applyBorder="1" applyAlignment="1">
      <alignment horizontal="center" vertical="center" wrapText="1"/>
    </xf>
    <xf numFmtId="0" fontId="180" fillId="0" borderId="411" xfId="2" applyFont="1" applyBorder="1" applyAlignment="1">
      <alignment horizontal="center" vertical="center"/>
    </xf>
    <xf numFmtId="0" fontId="180" fillId="0" borderId="405" xfId="2" applyFont="1" applyBorder="1" applyAlignment="1">
      <alignment horizontal="center" vertical="center"/>
    </xf>
    <xf numFmtId="0" fontId="101" fillId="0" borderId="405" xfId="0" applyFont="1" applyBorder="1" applyAlignment="1">
      <alignment horizontal="center" vertical="center" wrapText="1"/>
    </xf>
    <xf numFmtId="0" fontId="101" fillId="0" borderId="415" xfId="0" applyFont="1" applyBorder="1" applyAlignment="1">
      <alignment horizontal="center" vertical="center" wrapText="1"/>
    </xf>
    <xf numFmtId="0" fontId="68" fillId="0" borderId="424" xfId="2" applyFont="1" applyBorder="1" applyAlignment="1">
      <alignment horizontal="left" vertical="center" wrapText="1" indent="1"/>
    </xf>
    <xf numFmtId="0" fontId="68" fillId="0" borderId="411" xfId="2" applyFont="1" applyBorder="1" applyAlignment="1">
      <alignment horizontal="left" vertical="center" wrapText="1" indent="1"/>
    </xf>
    <xf numFmtId="0" fontId="39" fillId="0" borderId="418" xfId="2" applyFont="1" applyBorder="1" applyAlignment="1">
      <alignment horizontal="left" vertical="center" wrapText="1" indent="1"/>
    </xf>
    <xf numFmtId="0" fontId="68" fillId="0" borderId="415" xfId="2" applyFont="1" applyBorder="1" applyAlignment="1">
      <alignment horizontal="left" vertical="center" wrapText="1" indent="1"/>
    </xf>
    <xf numFmtId="0" fontId="129" fillId="0" borderId="411" xfId="0" applyFont="1" applyBorder="1" applyAlignment="1">
      <alignment horizontal="center" vertical="center" wrapText="1"/>
    </xf>
    <xf numFmtId="0" fontId="39" fillId="0" borderId="415" xfId="2" applyFont="1" applyBorder="1"/>
    <xf numFmtId="0" fontId="24" fillId="0" borderId="405" xfId="2" applyFont="1" applyBorder="1" applyAlignment="1">
      <alignment horizontal="left" vertical="center" wrapText="1" indent="1"/>
    </xf>
    <xf numFmtId="0" fontId="24" fillId="0" borderId="411" xfId="2" applyFont="1" applyBorder="1" applyAlignment="1">
      <alignment horizontal="left" vertical="center" wrapText="1" indent="1"/>
    </xf>
    <xf numFmtId="0" fontId="24" fillId="0" borderId="414" xfId="2" applyFont="1" applyBorder="1" applyAlignment="1">
      <alignment horizontal="left" vertical="center" wrapText="1" indent="1"/>
    </xf>
    <xf numFmtId="0" fontId="38" fillId="0" borderId="418" xfId="2" applyFont="1" applyBorder="1" applyAlignment="1">
      <alignment horizontal="left" vertical="center" wrapText="1" indent="1"/>
    </xf>
    <xf numFmtId="0" fontId="24" fillId="0" borderId="418" xfId="2" applyFont="1" applyBorder="1" applyAlignment="1">
      <alignment horizontal="left" vertical="center" wrapText="1" indent="1"/>
    </xf>
    <xf numFmtId="0" fontId="24" fillId="0" borderId="415" xfId="2" applyFont="1" applyBorder="1" applyAlignment="1">
      <alignment horizontal="left" vertical="center" wrapText="1" indent="1"/>
    </xf>
    <xf numFmtId="0" fontId="24" fillId="39" borderId="411" xfId="2" applyFont="1" applyFill="1" applyBorder="1" applyAlignment="1">
      <alignment horizontal="left" vertical="center" wrapText="1" indent="1"/>
    </xf>
    <xf numFmtId="0" fontId="95" fillId="0" borderId="424" xfId="2" applyFont="1" applyBorder="1" applyAlignment="1">
      <alignment horizontal="left" vertical="center" wrapText="1" indent="1"/>
    </xf>
    <xf numFmtId="0" fontId="96" fillId="0" borderId="411" xfId="2" applyFont="1" applyBorder="1" applyAlignment="1">
      <alignment horizontal="left" vertical="center" wrapText="1" indent="1"/>
    </xf>
    <xf numFmtId="0" fontId="96" fillId="0" borderId="415" xfId="2" applyFont="1" applyBorder="1" applyAlignment="1">
      <alignment horizontal="left" vertical="center" wrapText="1" indent="1"/>
    </xf>
    <xf numFmtId="0" fontId="95" fillId="0" borderId="426" xfId="2" applyFont="1" applyBorder="1" applyAlignment="1">
      <alignment horizontal="left" vertical="center" wrapText="1" indent="1"/>
    </xf>
    <xf numFmtId="0" fontId="96" fillId="17" borderId="411" xfId="2" applyFont="1" applyFill="1" applyBorder="1" applyAlignment="1">
      <alignment horizontal="left" vertical="center" wrapText="1" indent="1"/>
    </xf>
    <xf numFmtId="0" fontId="96" fillId="17" borderId="415" xfId="2" applyFont="1" applyFill="1" applyBorder="1" applyAlignment="1">
      <alignment horizontal="left" vertical="center" wrapText="1" indent="1"/>
    </xf>
    <xf numFmtId="0" fontId="38" fillId="0" borderId="406" xfId="2" applyFont="1" applyBorder="1" applyAlignment="1">
      <alignment horizontal="left" vertical="center" wrapText="1" indent="1"/>
    </xf>
    <xf numFmtId="0" fontId="24" fillId="17" borderId="411" xfId="2" applyFont="1" applyFill="1" applyBorder="1" applyAlignment="1">
      <alignment horizontal="left" vertical="center" wrapText="1" indent="1"/>
    </xf>
    <xf numFmtId="0" fontId="24" fillId="17" borderId="418" xfId="2" applyFont="1" applyFill="1" applyBorder="1" applyAlignment="1">
      <alignment horizontal="left" vertical="center" wrapText="1" indent="1"/>
    </xf>
    <xf numFmtId="0" fontId="24" fillId="17" borderId="415" xfId="2" applyFont="1" applyFill="1" applyBorder="1" applyAlignment="1">
      <alignment horizontal="left" vertical="center" wrapText="1" indent="1"/>
    </xf>
    <xf numFmtId="0" fontId="38" fillId="0" borderId="424" xfId="2" applyFont="1" applyBorder="1" applyAlignment="1">
      <alignment horizontal="left" vertical="center" wrapText="1" indent="1"/>
    </xf>
    <xf numFmtId="0" fontId="38" fillId="0" borderId="411" xfId="2" applyFont="1" applyBorder="1" applyAlignment="1">
      <alignment horizontal="left" vertical="center" wrapText="1" indent="1"/>
    </xf>
    <xf numFmtId="0" fontId="23" fillId="39" borderId="411" xfId="0" applyFont="1" applyFill="1" applyBorder="1" applyAlignment="1">
      <alignment horizontal="left" vertical="center" wrapText="1" indent="1"/>
    </xf>
    <xf numFmtId="0" fontId="95" fillId="17" borderId="418" xfId="2" applyFont="1" applyFill="1" applyBorder="1" applyAlignment="1">
      <alignment horizontal="left" vertical="center" wrapText="1" indent="1"/>
    </xf>
    <xf numFmtId="0" fontId="38" fillId="0" borderId="30" xfId="0" applyFont="1" applyBorder="1" applyAlignment="1">
      <alignment horizontal="left" vertical="center" wrapText="1"/>
    </xf>
    <xf numFmtId="0" fontId="38" fillId="0" borderId="295" xfId="0" applyFont="1" applyBorder="1" applyAlignment="1">
      <alignment horizontal="left" vertical="center" wrapText="1"/>
    </xf>
    <xf numFmtId="4" fontId="11" fillId="2" borderId="350" xfId="0" applyNumberFormat="1" applyFont="1" applyFill="1" applyBorder="1" applyAlignment="1">
      <alignment vertical="center" wrapText="1"/>
    </xf>
    <xf numFmtId="0" fontId="24" fillId="0" borderId="424" xfId="2" applyFont="1" applyBorder="1" applyAlignment="1">
      <alignment horizontal="left" vertical="center" wrapText="1" indent="1"/>
    </xf>
    <xf numFmtId="0" fontId="95" fillId="0" borderId="418" xfId="2" applyFont="1" applyBorder="1" applyAlignment="1">
      <alignment horizontal="left" vertical="center" wrapText="1" indent="1"/>
    </xf>
    <xf numFmtId="0" fontId="38" fillId="0" borderId="415" xfId="2" applyFont="1" applyBorder="1" applyAlignment="1">
      <alignment horizontal="left" vertical="center" wrapText="1" indent="1"/>
    </xf>
    <xf numFmtId="0" fontId="38" fillId="17" borderId="418" xfId="2" applyFont="1" applyFill="1" applyBorder="1" applyAlignment="1">
      <alignment horizontal="left" vertical="center" wrapText="1" indent="1"/>
    </xf>
    <xf numFmtId="0" fontId="23" fillId="0" borderId="411" xfId="0" applyFont="1" applyBorder="1" applyAlignment="1">
      <alignment horizontal="left" vertical="center" wrapText="1" indent="1"/>
    </xf>
    <xf numFmtId="0" fontId="61" fillId="0" borderId="411" xfId="2" applyFont="1" applyBorder="1" applyAlignment="1">
      <alignment horizontal="left" vertical="center" wrapText="1" indent="1"/>
    </xf>
    <xf numFmtId="0" fontId="70" fillId="0" borderId="411" xfId="0" applyFont="1" applyBorder="1" applyAlignment="1">
      <alignment horizontal="left" vertical="center" wrapText="1" indent="1"/>
    </xf>
    <xf numFmtId="0" fontId="61" fillId="0" borderId="411" xfId="0" applyFont="1" applyBorder="1" applyAlignment="1">
      <alignment horizontal="left" vertical="center" wrapText="1" indent="1"/>
    </xf>
    <xf numFmtId="0" fontId="54" fillId="0" borderId="405" xfId="2" applyFont="1" applyBorder="1" applyAlignment="1">
      <alignment horizontal="center" vertical="center" wrapText="1"/>
    </xf>
    <xf numFmtId="0" fontId="54" fillId="0" borderId="411" xfId="2" applyFont="1" applyBorder="1" applyAlignment="1">
      <alignment horizontal="center" vertical="center" wrapText="1"/>
    </xf>
    <xf numFmtId="0" fontId="54" fillId="0" borderId="414" xfId="2" applyFont="1" applyBorder="1" applyAlignment="1">
      <alignment horizontal="center" vertical="center" wrapText="1"/>
    </xf>
    <xf numFmtId="0" fontId="54" fillId="0" borderId="418" xfId="2" applyFont="1" applyBorder="1" applyAlignment="1">
      <alignment horizontal="center" vertical="center" wrapText="1"/>
    </xf>
    <xf numFmtId="0" fontId="54" fillId="0" borderId="415" xfId="2" applyFont="1" applyBorder="1" applyAlignment="1">
      <alignment horizontal="center" vertical="center" wrapText="1"/>
    </xf>
    <xf numFmtId="0" fontId="54" fillId="39" borderId="411" xfId="2" applyFont="1" applyFill="1" applyBorder="1" applyAlignment="1">
      <alignment horizontal="center" vertical="center" wrapText="1"/>
    </xf>
    <xf numFmtId="0" fontId="98" fillId="0" borderId="424" xfId="2" applyFont="1" applyBorder="1" applyAlignment="1">
      <alignment horizontal="center" vertical="center" wrapText="1"/>
    </xf>
    <xf numFmtId="0" fontId="98" fillId="0" borderId="411" xfId="2" applyFont="1" applyBorder="1" applyAlignment="1">
      <alignment horizontal="center" vertical="center" wrapText="1"/>
    </xf>
    <xf numFmtId="0" fontId="98" fillId="0" borderId="415" xfId="2" applyFont="1" applyBorder="1" applyAlignment="1">
      <alignment horizontal="center" vertical="center" wrapText="1"/>
    </xf>
    <xf numFmtId="0" fontId="98" fillId="17" borderId="411" xfId="2" applyFont="1" applyFill="1" applyBorder="1" applyAlignment="1">
      <alignment horizontal="center" vertical="center" wrapText="1"/>
    </xf>
    <xf numFmtId="0" fontId="98" fillId="17" borderId="415" xfId="2" applyFont="1" applyFill="1" applyBorder="1" applyAlignment="1">
      <alignment horizontal="center" vertical="center" wrapText="1"/>
    </xf>
    <xf numFmtId="0" fontId="54" fillId="0" borderId="406" xfId="2" applyFont="1" applyBorder="1" applyAlignment="1">
      <alignment horizontal="center" vertical="center" wrapText="1"/>
    </xf>
    <xf numFmtId="0" fontId="54" fillId="17" borderId="411" xfId="2" applyFont="1" applyFill="1" applyBorder="1" applyAlignment="1">
      <alignment horizontal="center" vertical="center" wrapText="1"/>
    </xf>
    <xf numFmtId="0" fontId="54" fillId="17" borderId="418" xfId="2" applyFont="1" applyFill="1" applyBorder="1" applyAlignment="1">
      <alignment horizontal="center" vertical="center" wrapText="1"/>
    </xf>
    <xf numFmtId="2" fontId="54" fillId="17" borderId="418" xfId="2" applyNumberFormat="1" applyFont="1" applyFill="1" applyBorder="1" applyAlignment="1">
      <alignment horizontal="center" vertical="center" wrapText="1"/>
    </xf>
    <xf numFmtId="0" fontId="54" fillId="17" borderId="415" xfId="2" applyFont="1" applyFill="1" applyBorder="1" applyAlignment="1">
      <alignment horizontal="center" vertical="center" wrapText="1"/>
    </xf>
    <xf numFmtId="0" fontId="54" fillId="0" borderId="424" xfId="2" applyFont="1" applyBorder="1" applyAlignment="1">
      <alignment horizontal="center" vertical="center" wrapText="1"/>
    </xf>
    <xf numFmtId="0" fontId="98" fillId="17" borderId="418" xfId="2" applyFont="1" applyFill="1" applyBorder="1" applyAlignment="1">
      <alignment horizontal="center" vertical="center" wrapText="1"/>
    </xf>
    <xf numFmtId="0" fontId="98" fillId="0" borderId="418" xfId="2" applyFont="1" applyBorder="1" applyAlignment="1">
      <alignment horizontal="center" vertical="center" wrapText="1"/>
    </xf>
    <xf numFmtId="0" fontId="219" fillId="0" borderId="411" xfId="2" applyFont="1" applyBorder="1" applyAlignment="1">
      <alignment horizontal="center" vertical="center" wrapText="1"/>
    </xf>
    <xf numFmtId="0" fontId="54" fillId="0" borderId="411" xfId="2" applyFont="1" applyBorder="1"/>
    <xf numFmtId="0" fontId="24" fillId="0" borderId="405" xfId="2" applyFont="1" applyBorder="1" applyAlignment="1">
      <alignment horizontal="center" vertical="center" wrapText="1"/>
    </xf>
    <xf numFmtId="0" fontId="24" fillId="0" borderId="411" xfId="2" applyFont="1" applyBorder="1" applyAlignment="1">
      <alignment horizontal="center" vertical="center" wrapText="1"/>
    </xf>
    <xf numFmtId="0" fontId="24" fillId="0" borderId="414" xfId="2" applyFont="1" applyBorder="1" applyAlignment="1">
      <alignment horizontal="center" vertical="center" wrapText="1"/>
    </xf>
    <xf numFmtId="0" fontId="24" fillId="0" borderId="418" xfId="2" applyFont="1" applyBorder="1" applyAlignment="1">
      <alignment horizontal="center" vertical="center" wrapText="1"/>
    </xf>
    <xf numFmtId="0" fontId="24" fillId="0" borderId="415" xfId="2" applyFont="1" applyBorder="1" applyAlignment="1">
      <alignment horizontal="center" vertical="center" wrapText="1"/>
    </xf>
    <xf numFmtId="0" fontId="24" fillId="39" borderId="411" xfId="2" applyFont="1" applyFill="1" applyBorder="1" applyAlignment="1">
      <alignment horizontal="center" vertical="center" wrapText="1"/>
    </xf>
    <xf numFmtId="0" fontId="96" fillId="0" borderId="424" xfId="2" applyFont="1" applyBorder="1" applyAlignment="1">
      <alignment horizontal="center" vertical="center" wrapText="1"/>
    </xf>
    <xf numFmtId="0" fontId="96" fillId="0" borderId="411" xfId="2" applyFont="1" applyBorder="1" applyAlignment="1">
      <alignment horizontal="center" vertical="center" wrapText="1"/>
    </xf>
    <xf numFmtId="0" fontId="96" fillId="0" borderId="415" xfId="2" applyFont="1" applyBorder="1" applyAlignment="1">
      <alignment horizontal="center" vertical="center" wrapText="1"/>
    </xf>
    <xf numFmtId="0" fontId="96" fillId="17" borderId="411" xfId="2" applyFont="1" applyFill="1" applyBorder="1" applyAlignment="1">
      <alignment horizontal="center" vertical="center" wrapText="1"/>
    </xf>
    <xf numFmtId="0" fontId="96" fillId="17" borderId="415" xfId="2" applyFont="1" applyFill="1" applyBorder="1" applyAlignment="1">
      <alignment horizontal="center" vertical="center" wrapText="1"/>
    </xf>
    <xf numFmtId="0" fontId="24" fillId="0" borderId="406" xfId="2" applyFont="1" applyBorder="1" applyAlignment="1">
      <alignment horizontal="center" vertical="center" wrapText="1"/>
    </xf>
    <xf numFmtId="0" fontId="24" fillId="17" borderId="411" xfId="2" applyFont="1" applyFill="1" applyBorder="1" applyAlignment="1">
      <alignment horizontal="center" vertical="center" wrapText="1"/>
    </xf>
    <xf numFmtId="0" fontId="24" fillId="17" borderId="418" xfId="2" applyFont="1" applyFill="1" applyBorder="1" applyAlignment="1">
      <alignment horizontal="center" vertical="center" wrapText="1"/>
    </xf>
    <xf numFmtId="0" fontId="24" fillId="17" borderId="415" xfId="2" applyFont="1" applyFill="1" applyBorder="1" applyAlignment="1">
      <alignment horizontal="center" vertical="center" wrapText="1"/>
    </xf>
    <xf numFmtId="0" fontId="24" fillId="0" borderId="424" xfId="2" applyFont="1" applyBorder="1" applyAlignment="1">
      <alignment horizontal="center" vertical="center" wrapText="1"/>
    </xf>
    <xf numFmtId="0" fontId="96" fillId="17" borderId="418" xfId="2" applyFont="1" applyFill="1" applyBorder="1" applyAlignment="1">
      <alignment horizontal="center" vertical="center" wrapText="1"/>
    </xf>
    <xf numFmtId="0" fontId="96" fillId="0" borderId="418" xfId="2" applyFont="1" applyBorder="1" applyAlignment="1">
      <alignment horizontal="center" vertical="center" wrapText="1"/>
    </xf>
    <xf numFmtId="168" fontId="24" fillId="0" borderId="411" xfId="2" applyNumberFormat="1" applyFont="1" applyBorder="1" applyAlignment="1">
      <alignment horizontal="center" vertical="center" wrapText="1"/>
    </xf>
    <xf numFmtId="168" fontId="24" fillId="0" borderId="418" xfId="2" applyNumberFormat="1" applyFont="1" applyBorder="1" applyAlignment="1">
      <alignment horizontal="center" vertical="center" wrapText="1"/>
    </xf>
    <xf numFmtId="0" fontId="14" fillId="0" borderId="411" xfId="2" applyFont="1" applyBorder="1"/>
    <xf numFmtId="4" fontId="35" fillId="2" borderId="350" xfId="0" applyNumberFormat="1" applyFont="1" applyFill="1" applyBorder="1" applyAlignment="1">
      <alignment vertical="center" wrapText="1"/>
    </xf>
    <xf numFmtId="4" fontId="35" fillId="2" borderId="350" xfId="0" applyNumberFormat="1" applyFont="1" applyFill="1" applyBorder="1" applyAlignment="1">
      <alignment horizontal="right" vertical="center" wrapText="1"/>
    </xf>
    <xf numFmtId="49" fontId="52" fillId="0" borderId="405" xfId="2" applyNumberFormat="1" applyFont="1" applyBorder="1" applyAlignment="1">
      <alignment horizontal="center" vertical="center"/>
    </xf>
    <xf numFmtId="49" fontId="52" fillId="0" borderId="411" xfId="2" applyNumberFormat="1" applyFont="1" applyBorder="1" applyAlignment="1">
      <alignment horizontal="center" vertical="center"/>
    </xf>
    <xf numFmtId="49" fontId="52" fillId="0" borderId="414" xfId="2" applyNumberFormat="1" applyFont="1" applyBorder="1" applyAlignment="1">
      <alignment horizontal="center" vertical="center"/>
    </xf>
    <xf numFmtId="49" fontId="52" fillId="0" borderId="418" xfId="2" applyNumberFormat="1" applyFont="1" applyBorder="1" applyAlignment="1">
      <alignment horizontal="center" vertical="center"/>
    </xf>
    <xf numFmtId="49" fontId="52" fillId="0" borderId="415" xfId="2" applyNumberFormat="1" applyFont="1" applyBorder="1" applyAlignment="1">
      <alignment horizontal="center" vertical="center"/>
    </xf>
    <xf numFmtId="49" fontId="192" fillId="0" borderId="424" xfId="2" applyNumberFormat="1" applyFont="1" applyBorder="1" applyAlignment="1">
      <alignment horizontal="center" vertical="center"/>
    </xf>
    <xf numFmtId="49" fontId="192" fillId="0" borderId="411" xfId="2" applyNumberFormat="1" applyFont="1" applyBorder="1" applyAlignment="1">
      <alignment horizontal="center" vertical="center"/>
    </xf>
    <xf numFmtId="49" fontId="192" fillId="0" borderId="415" xfId="2" applyNumberFormat="1" applyFont="1" applyBorder="1" applyAlignment="1">
      <alignment horizontal="center" vertical="center"/>
    </xf>
    <xf numFmtId="49" fontId="192" fillId="17" borderId="411" xfId="2" applyNumberFormat="1" applyFont="1" applyFill="1" applyBorder="1" applyAlignment="1">
      <alignment horizontal="center" vertical="center"/>
    </xf>
    <xf numFmtId="49" fontId="192" fillId="17" borderId="415" xfId="2" applyNumberFormat="1" applyFont="1" applyFill="1" applyBorder="1" applyAlignment="1">
      <alignment horizontal="center" vertical="center"/>
    </xf>
    <xf numFmtId="49" fontId="52" fillId="0" borderId="406" xfId="2" applyNumberFormat="1" applyFont="1" applyBorder="1" applyAlignment="1">
      <alignment horizontal="center" vertical="center"/>
    </xf>
    <xf numFmtId="49" fontId="52" fillId="17" borderId="411" xfId="2" applyNumberFormat="1" applyFont="1" applyFill="1" applyBorder="1" applyAlignment="1">
      <alignment horizontal="center" vertical="center"/>
    </xf>
    <xf numFmtId="49" fontId="52" fillId="17" borderId="415" xfId="2" applyNumberFormat="1" applyFont="1" applyFill="1" applyBorder="1" applyAlignment="1">
      <alignment horizontal="center" vertical="center"/>
    </xf>
    <xf numFmtId="49" fontId="192" fillId="17" borderId="418" xfId="2" applyNumberFormat="1" applyFont="1" applyFill="1" applyBorder="1" applyAlignment="1">
      <alignment horizontal="center" vertical="center"/>
    </xf>
    <xf numFmtId="49" fontId="52" fillId="0" borderId="30" xfId="0" applyNumberFormat="1" applyFont="1" applyBorder="1" applyAlignment="1">
      <alignment horizontal="center" vertical="center"/>
    </xf>
    <xf numFmtId="49" fontId="52" fillId="0" borderId="424" xfId="2" applyNumberFormat="1" applyFont="1" applyBorder="1" applyAlignment="1">
      <alignment horizontal="center" vertical="center"/>
    </xf>
    <xf numFmtId="49" fontId="192" fillId="0" borderId="418" xfId="2" applyNumberFormat="1" applyFont="1" applyBorder="1" applyAlignment="1">
      <alignment horizontal="center" vertical="center"/>
    </xf>
    <xf numFmtId="49" fontId="52" fillId="17" borderId="418" xfId="2" applyNumberFormat="1" applyFont="1" applyFill="1" applyBorder="1" applyAlignment="1">
      <alignment horizontal="center" vertical="center"/>
    </xf>
    <xf numFmtId="49" fontId="171" fillId="0" borderId="411" xfId="2" applyNumberFormat="1" applyFont="1" applyBorder="1" applyAlignment="1">
      <alignment horizontal="center" vertical="center"/>
    </xf>
    <xf numFmtId="49" fontId="171" fillId="0" borderId="405" xfId="2" applyNumberFormat="1" applyFont="1" applyBorder="1" applyAlignment="1">
      <alignment horizontal="center" vertical="center"/>
    </xf>
    <xf numFmtId="2" fontId="52" fillId="0" borderId="411" xfId="2" applyNumberFormat="1" applyFont="1" applyBorder="1" applyAlignment="1">
      <alignment horizontal="center" vertical="center"/>
    </xf>
    <xf numFmtId="49" fontId="52" fillId="0" borderId="463" xfId="2" applyNumberFormat="1" applyFont="1" applyBorder="1" applyAlignment="1">
      <alignment horizontal="center" vertical="center"/>
    </xf>
    <xf numFmtId="49" fontId="96" fillId="0" borderId="405" xfId="8" applyNumberFormat="1" applyFont="1" applyBorder="1" applyAlignment="1">
      <alignment horizontal="center" vertical="center"/>
    </xf>
    <xf numFmtId="49" fontId="96" fillId="0" borderId="406" xfId="8" applyNumberFormat="1" applyFont="1" applyBorder="1" applyAlignment="1">
      <alignment horizontal="center" vertical="center"/>
    </xf>
    <xf numFmtId="49" fontId="96" fillId="0" borderId="411" xfId="8" applyNumberFormat="1" applyFont="1" applyBorder="1" applyAlignment="1">
      <alignment horizontal="center" vertical="center"/>
    </xf>
    <xf numFmtId="49" fontId="96" fillId="0" borderId="414" xfId="8" applyNumberFormat="1" applyFont="1" applyBorder="1" applyAlignment="1">
      <alignment horizontal="center" vertical="center"/>
    </xf>
    <xf numFmtId="49" fontId="96" fillId="0" borderId="415" xfId="8" applyNumberFormat="1" applyFont="1" applyBorder="1" applyAlignment="1">
      <alignment horizontal="center" vertical="center"/>
    </xf>
    <xf numFmtId="49" fontId="96" fillId="0" borderId="418" xfId="8" applyNumberFormat="1" applyFont="1" applyBorder="1" applyAlignment="1">
      <alignment horizontal="center" vertical="center"/>
    </xf>
    <xf numFmtId="49" fontId="96" fillId="0" borderId="424" xfId="8" applyNumberFormat="1" applyFont="1" applyBorder="1" applyAlignment="1">
      <alignment horizontal="center" vertical="center"/>
    </xf>
    <xf numFmtId="0" fontId="300" fillId="0" borderId="418" xfId="8" applyFont="1" applyBorder="1" applyAlignment="1">
      <alignment horizontal="center" vertical="center" wrapText="1"/>
    </xf>
    <xf numFmtId="0" fontId="300" fillId="0" borderId="411" xfId="8" applyFont="1" applyBorder="1" applyAlignment="1">
      <alignment horizontal="center" vertical="center" wrapText="1"/>
    </xf>
    <xf numFmtId="49" fontId="96" fillId="17" borderId="411" xfId="8" applyNumberFormat="1" applyFont="1" applyFill="1" applyBorder="1" applyAlignment="1">
      <alignment horizontal="center" vertical="center"/>
    </xf>
    <xf numFmtId="49" fontId="96" fillId="17" borderId="415" xfId="8" applyNumberFormat="1" applyFont="1" applyFill="1" applyBorder="1" applyAlignment="1">
      <alignment horizontal="center" vertical="center"/>
    </xf>
    <xf numFmtId="0" fontId="300" fillId="17" borderId="418" xfId="8" applyFont="1" applyFill="1" applyBorder="1" applyAlignment="1">
      <alignment horizontal="center" vertical="center" wrapText="1"/>
    </xf>
    <xf numFmtId="168" fontId="24" fillId="17" borderId="411" xfId="2" applyNumberFormat="1" applyFont="1" applyFill="1" applyBorder="1" applyAlignment="1">
      <alignment horizontal="center" vertical="center" wrapText="1"/>
    </xf>
    <xf numFmtId="0" fontId="70" fillId="17" borderId="411" xfId="2" applyFont="1" applyFill="1" applyBorder="1" applyAlignment="1">
      <alignment horizontal="center" vertical="center" wrapText="1"/>
    </xf>
    <xf numFmtId="0" fontId="24" fillId="17" borderId="405" xfId="2" applyFont="1" applyFill="1" applyBorder="1" applyAlignment="1">
      <alignment horizontal="center" vertical="center" wrapText="1"/>
    </xf>
    <xf numFmtId="0" fontId="70" fillId="17" borderId="405" xfId="2" applyFont="1" applyFill="1" applyBorder="1" applyAlignment="1">
      <alignment horizontal="center" vertical="center" wrapText="1"/>
    </xf>
    <xf numFmtId="0" fontId="96" fillId="17" borderId="424" xfId="2" applyFont="1" applyFill="1" applyBorder="1" applyAlignment="1">
      <alignment horizontal="center" vertical="center" wrapText="1"/>
    </xf>
    <xf numFmtId="49" fontId="96" fillId="17" borderId="424" xfId="8" applyNumberFormat="1" applyFont="1" applyFill="1" applyBorder="1" applyAlignment="1">
      <alignment horizontal="center" vertical="center"/>
    </xf>
    <xf numFmtId="0" fontId="23" fillId="0" borderId="386" xfId="0" applyFont="1" applyBorder="1" applyAlignment="1">
      <alignment horizontal="center" vertical="center" wrapText="1"/>
    </xf>
    <xf numFmtId="0" fontId="23" fillId="0" borderId="162" xfId="0" applyFont="1" applyBorder="1" applyAlignment="1">
      <alignment horizontal="center" vertical="center" wrapText="1"/>
    </xf>
    <xf numFmtId="49" fontId="70" fillId="0" borderId="424" xfId="8" applyNumberFormat="1" applyFont="1" applyBorder="1" applyAlignment="1">
      <alignment horizontal="center" vertical="center"/>
    </xf>
    <xf numFmtId="49" fontId="70" fillId="0" borderId="411" xfId="8" applyNumberFormat="1" applyFont="1" applyBorder="1" applyAlignment="1">
      <alignment horizontal="center" vertical="center"/>
    </xf>
    <xf numFmtId="49" fontId="70" fillId="0" borderId="415" xfId="8" applyNumberFormat="1" applyFont="1" applyBorder="1" applyAlignment="1">
      <alignment horizontal="center" vertical="center"/>
    </xf>
    <xf numFmtId="49" fontId="70" fillId="0" borderId="418" xfId="8" applyNumberFormat="1" applyFont="1" applyBorder="1" applyAlignment="1">
      <alignment horizontal="center" vertical="center"/>
    </xf>
    <xf numFmtId="49" fontId="96" fillId="0" borderId="423" xfId="8" applyNumberFormat="1" applyFont="1" applyBorder="1" applyAlignment="1">
      <alignment horizontal="center" vertical="center"/>
    </xf>
    <xf numFmtId="0" fontId="24" fillId="14" borderId="411" xfId="2" applyFont="1" applyFill="1" applyBorder="1" applyAlignment="1">
      <alignment horizontal="center" vertical="center" wrapText="1"/>
    </xf>
    <xf numFmtId="49" fontId="96" fillId="14" borderId="411" xfId="8" applyNumberFormat="1" applyFont="1" applyFill="1" applyBorder="1" applyAlignment="1">
      <alignment horizontal="center" vertical="center"/>
    </xf>
    <xf numFmtId="0" fontId="24" fillId="14" borderId="405" xfId="2" applyFont="1" applyFill="1" applyBorder="1" applyAlignment="1">
      <alignment horizontal="center" vertical="center" wrapText="1"/>
    </xf>
    <xf numFmtId="49" fontId="96" fillId="14" borderId="405" xfId="8" applyNumberFormat="1" applyFont="1" applyFill="1" applyBorder="1" applyAlignment="1">
      <alignment horizontal="center" vertical="center"/>
    </xf>
    <xf numFmtId="0" fontId="24" fillId="14" borderId="415" xfId="2" applyFont="1" applyFill="1" applyBorder="1" applyAlignment="1">
      <alignment horizontal="center" vertical="center" wrapText="1"/>
    </xf>
    <xf numFmtId="49" fontId="96" fillId="14" borderId="415" xfId="8" applyNumberFormat="1" applyFont="1" applyFill="1" applyBorder="1" applyAlignment="1">
      <alignment horizontal="center" vertical="center"/>
    </xf>
    <xf numFmtId="0" fontId="24" fillId="17" borderId="424" xfId="2" applyFont="1" applyFill="1" applyBorder="1" applyAlignment="1">
      <alignment horizontal="center" vertical="center" wrapText="1"/>
    </xf>
    <xf numFmtId="49" fontId="70" fillId="17" borderId="424" xfId="8" applyNumberFormat="1" applyFont="1" applyFill="1" applyBorder="1" applyAlignment="1">
      <alignment horizontal="center" vertical="center"/>
    </xf>
    <xf numFmtId="49" fontId="70" fillId="17" borderId="411" xfId="8" applyNumberFormat="1" applyFont="1" applyFill="1" applyBorder="1" applyAlignment="1">
      <alignment horizontal="center" vertical="center"/>
    </xf>
    <xf numFmtId="49" fontId="70" fillId="17" borderId="415" xfId="8" applyNumberFormat="1" applyFont="1" applyFill="1" applyBorder="1" applyAlignment="1">
      <alignment horizontal="center" vertical="center"/>
    </xf>
    <xf numFmtId="49" fontId="96" fillId="17" borderId="418" xfId="8" applyNumberFormat="1" applyFont="1" applyFill="1" applyBorder="1" applyAlignment="1">
      <alignment horizontal="center" vertical="center"/>
    </xf>
    <xf numFmtId="0" fontId="205" fillId="0" borderId="384" xfId="3" applyFont="1" applyBorder="1" applyAlignment="1" applyProtection="1">
      <alignment horizontal="left" vertical="center" wrapText="1" indent="1"/>
      <protection locked="0"/>
    </xf>
    <xf numFmtId="0" fontId="205" fillId="0" borderId="723" xfId="3" applyFont="1" applyBorder="1" applyAlignment="1" applyProtection="1">
      <alignment horizontal="left" vertical="center" wrapText="1" indent="1"/>
      <protection locked="0"/>
    </xf>
    <xf numFmtId="0" fontId="191" fillId="0" borderId="384" xfId="3" applyFont="1" applyBorder="1" applyAlignment="1" applyProtection="1">
      <alignment horizontal="left" vertical="center" wrapText="1" indent="1"/>
      <protection locked="0"/>
    </xf>
    <xf numFmtId="0" fontId="191" fillId="0" borderId="341" xfId="0" applyFont="1" applyBorder="1" applyAlignment="1">
      <alignment horizontal="left" vertical="center" wrapText="1" indent="1"/>
    </xf>
    <xf numFmtId="4" fontId="35" fillId="2" borderId="465" xfId="0" applyNumberFormat="1" applyFont="1" applyFill="1" applyBorder="1" applyAlignment="1">
      <alignment horizontal="left" vertical="center" indent="1"/>
    </xf>
    <xf numFmtId="0" fontId="24" fillId="17" borderId="855" xfId="0" applyFont="1" applyFill="1" applyBorder="1" applyAlignment="1">
      <alignment horizontal="left" vertical="center" indent="1"/>
    </xf>
    <xf numFmtId="0" fontId="24" fillId="17" borderId="856" xfId="0" applyFont="1" applyFill="1" applyBorder="1" applyAlignment="1">
      <alignment horizontal="left" vertical="center" wrapText="1" indent="2"/>
    </xf>
    <xf numFmtId="0" fontId="24" fillId="17" borderId="856" xfId="0" applyFont="1" applyFill="1" applyBorder="1" applyAlignment="1">
      <alignment horizontal="center" vertical="center" wrapText="1"/>
    </xf>
    <xf numFmtId="49" fontId="38" fillId="17" borderId="856" xfId="0" applyNumberFormat="1" applyFont="1" applyFill="1" applyBorder="1" applyAlignment="1">
      <alignment vertical="center"/>
    </xf>
    <xf numFmtId="49" fontId="24" fillId="17" borderId="856" xfId="0" applyNumberFormat="1" applyFont="1" applyFill="1" applyBorder="1" applyAlignment="1">
      <alignment horizontal="center" vertical="center"/>
    </xf>
    <xf numFmtId="49" fontId="11" fillId="52" borderId="918" xfId="0" applyNumberFormat="1" applyFont="1" applyFill="1" applyBorder="1" applyAlignment="1">
      <alignment horizontal="right" vertical="center"/>
    </xf>
    <xf numFmtId="4" fontId="140" fillId="29" borderId="428" xfId="10" applyNumberFormat="1" applyFont="1" applyFill="1" applyBorder="1" applyAlignment="1">
      <alignment horizontal="left" vertical="center" indent="1"/>
    </xf>
    <xf numFmtId="4" fontId="136" fillId="29" borderId="427" xfId="10" applyNumberFormat="1" applyFont="1" applyFill="1" applyBorder="1" applyAlignment="1">
      <alignment vertical="center" wrapText="1"/>
    </xf>
    <xf numFmtId="4" fontId="140" fillId="29" borderId="427" xfId="10" applyNumberFormat="1" applyFont="1" applyFill="1" applyBorder="1" applyAlignment="1">
      <alignment vertical="center" wrapText="1"/>
    </xf>
    <xf numFmtId="4" fontId="140" fillId="29" borderId="427" xfId="10" applyNumberFormat="1" applyFont="1" applyFill="1" applyBorder="1" applyAlignment="1">
      <alignment horizontal="right" vertical="center" wrapText="1" indent="1"/>
    </xf>
    <xf numFmtId="4" fontId="136" fillId="29" borderId="427" xfId="10" applyNumberFormat="1" applyFont="1" applyFill="1" applyBorder="1" applyAlignment="1">
      <alignment horizontal="left" vertical="center" indent="1"/>
    </xf>
    <xf numFmtId="4" fontId="140" fillId="29" borderId="427" xfId="10" applyNumberFormat="1" applyFont="1" applyFill="1" applyBorder="1" applyAlignment="1">
      <alignment horizontal="left" vertical="center" indent="1"/>
    </xf>
    <xf numFmtId="4" fontId="140" fillId="29" borderId="475" xfId="10" applyNumberFormat="1" applyFont="1" applyFill="1" applyBorder="1" applyAlignment="1">
      <alignment horizontal="left" vertical="center" indent="1"/>
    </xf>
    <xf numFmtId="4" fontId="136" fillId="29" borderId="476" xfId="10" applyNumberFormat="1" applyFont="1" applyFill="1" applyBorder="1" applyAlignment="1">
      <alignment horizontal="left" vertical="center" indent="1"/>
    </xf>
    <xf numFmtId="4" fontId="140" fillId="29" borderId="476" xfId="10" applyNumberFormat="1" applyFont="1" applyFill="1" applyBorder="1" applyAlignment="1">
      <alignment horizontal="left" vertical="center" indent="1"/>
    </xf>
    <xf numFmtId="0" fontId="140" fillId="29" borderId="327" xfId="0" applyFont="1" applyFill="1" applyBorder="1" applyAlignment="1">
      <alignment horizontal="left" vertical="center" indent="1"/>
    </xf>
    <xf numFmtId="168" fontId="52" fillId="2" borderId="712" xfId="0" applyNumberFormat="1" applyFont="1" applyFill="1" applyBorder="1" applyAlignment="1">
      <alignment horizontal="right" vertical="center"/>
    </xf>
    <xf numFmtId="49" fontId="147" fillId="2" borderId="327" xfId="0" applyNumberFormat="1" applyFont="1" applyFill="1" applyBorder="1" applyAlignment="1">
      <alignment vertical="center"/>
    </xf>
    <xf numFmtId="49" fontId="147" fillId="2" borderId="327" xfId="0" applyNumberFormat="1" applyFont="1" applyFill="1" applyBorder="1" applyAlignment="1">
      <alignment horizontal="right" vertical="center"/>
    </xf>
    <xf numFmtId="4" fontId="35" fillId="52" borderId="427" xfId="0" applyNumberFormat="1" applyFont="1" applyFill="1" applyBorder="1" applyAlignment="1">
      <alignment horizontal="right" vertical="center" wrapText="1"/>
    </xf>
    <xf numFmtId="49" fontId="45" fillId="52" borderId="427" xfId="0" applyNumberFormat="1" applyFont="1" applyFill="1" applyBorder="1" applyAlignment="1">
      <alignment vertical="center"/>
    </xf>
    <xf numFmtId="49" fontId="45" fillId="52" borderId="427" xfId="0" applyNumberFormat="1" applyFont="1" applyFill="1" applyBorder="1" applyAlignment="1">
      <alignment horizontal="right" vertical="center"/>
    </xf>
    <xf numFmtId="0" fontId="132" fillId="2" borderId="427" xfId="15" applyFont="1" applyFill="1" applyBorder="1" applyAlignment="1">
      <alignment vertical="center" wrapText="1"/>
    </xf>
    <xf numFmtId="0" fontId="132" fillId="2" borderId="427" xfId="15" applyFont="1" applyFill="1" applyBorder="1" applyAlignment="1">
      <alignment horizontal="center" vertical="center" wrapText="1"/>
    </xf>
    <xf numFmtId="0" fontId="132" fillId="2" borderId="427" xfId="15" applyFont="1" applyFill="1" applyBorder="1" applyAlignment="1">
      <alignment horizontal="left" vertical="center" wrapText="1" indent="1"/>
    </xf>
    <xf numFmtId="0" fontId="132" fillId="2" borderId="427" xfId="15" applyFont="1" applyFill="1" applyBorder="1" applyAlignment="1">
      <alignment horizontal="left" vertical="center" indent="1"/>
    </xf>
    <xf numFmtId="0" fontId="132" fillId="2" borderId="427" xfId="15" applyFont="1" applyFill="1" applyBorder="1" applyAlignment="1">
      <alignment vertical="center"/>
    </xf>
    <xf numFmtId="0" fontId="22" fillId="0" borderId="930" xfId="15" applyFont="1" applyBorder="1" applyAlignment="1">
      <alignment horizontal="left" vertical="center" indent="1"/>
    </xf>
    <xf numFmtId="0" fontId="22" fillId="0" borderId="928" xfId="15" applyFont="1" applyBorder="1" applyAlignment="1">
      <alignment horizontal="left" vertical="center" wrapText="1" indent="1"/>
    </xf>
    <xf numFmtId="0" fontId="23" fillId="0" borderId="928" xfId="15" applyFont="1" applyBorder="1" applyAlignment="1">
      <alignment horizontal="center" vertical="center" wrapText="1"/>
    </xf>
    <xf numFmtId="49" fontId="273" fillId="0" borderId="928" xfId="15" applyNumberFormat="1" applyFont="1" applyBorder="1" applyAlignment="1">
      <alignment horizontal="center" vertical="center"/>
    </xf>
    <xf numFmtId="0" fontId="22" fillId="0" borderId="928" xfId="15" applyFont="1" applyBorder="1" applyAlignment="1">
      <alignment vertical="center"/>
    </xf>
    <xf numFmtId="0" fontId="23" fillId="0" borderId="928" xfId="15" applyFont="1" applyBorder="1" applyAlignment="1">
      <alignment horizontal="center" vertical="center"/>
    </xf>
    <xf numFmtId="0" fontId="22" fillId="0" borderId="930" xfId="15" applyFont="1" applyBorder="1" applyAlignment="1">
      <alignment horizontal="left" vertical="center" wrapText="1" indent="1"/>
    </xf>
    <xf numFmtId="0" fontId="129" fillId="0" borderId="928" xfId="15" applyFont="1" applyBorder="1" applyAlignment="1">
      <alignment horizontal="center" vertical="center"/>
    </xf>
    <xf numFmtId="0" fontId="101" fillId="0" borderId="928" xfId="15" applyFont="1" applyBorder="1" applyAlignment="1">
      <alignment horizontal="center" vertical="center"/>
    </xf>
    <xf numFmtId="0" fontId="22" fillId="0" borderId="928" xfId="15" applyFont="1" applyBorder="1" applyAlignment="1">
      <alignment horizontal="center" vertical="center" wrapText="1"/>
    </xf>
    <xf numFmtId="0" fontId="130" fillId="0" borderId="928" xfId="15" applyFont="1" applyBorder="1" applyAlignment="1">
      <alignment vertical="center"/>
    </xf>
    <xf numFmtId="0" fontId="129" fillId="0" borderId="930" xfId="15" applyFont="1" applyBorder="1" applyAlignment="1">
      <alignment horizontal="left" vertical="center" indent="1"/>
    </xf>
    <xf numFmtId="0" fontId="22" fillId="0" borderId="932" xfId="15" applyFont="1" applyBorder="1" applyAlignment="1">
      <alignment horizontal="left" vertical="center" wrapText="1" indent="1"/>
    </xf>
    <xf numFmtId="0" fontId="23" fillId="0" borderId="933" xfId="15" applyFont="1" applyBorder="1" applyAlignment="1">
      <alignment horizontal="left" vertical="center" wrapText="1" indent="1"/>
    </xf>
    <xf numFmtId="0" fontId="22" fillId="0" borderId="933" xfId="15" applyFont="1" applyBorder="1" applyAlignment="1">
      <alignment horizontal="left" vertical="center" wrapText="1" indent="1"/>
    </xf>
    <xf numFmtId="0" fontId="61" fillId="0" borderId="933" xfId="15" applyFont="1" applyBorder="1" applyAlignment="1">
      <alignment horizontal="left" vertical="center" wrapText="1" indent="1"/>
    </xf>
    <xf numFmtId="0" fontId="106" fillId="3" borderId="933" xfId="15" applyFont="1" applyFill="1" applyBorder="1" applyAlignment="1">
      <alignment horizontal="center" vertical="center" wrapText="1"/>
    </xf>
    <xf numFmtId="0" fontId="23" fillId="3" borderId="933" xfId="15" applyFont="1" applyFill="1" applyBorder="1" applyAlignment="1">
      <alignment horizontal="left" vertical="center" wrapText="1" indent="1"/>
    </xf>
    <xf numFmtId="0" fontId="23" fillId="0" borderId="934" xfId="15" applyFont="1" applyBorder="1" applyAlignment="1">
      <alignment horizontal="left" vertical="center" wrapText="1" indent="1"/>
    </xf>
    <xf numFmtId="0" fontId="129" fillId="0" borderId="935" xfId="15" applyFont="1" applyBorder="1" applyAlignment="1">
      <alignment horizontal="left" vertical="center" indent="1"/>
    </xf>
    <xf numFmtId="0" fontId="129" fillId="0" borderId="933" xfId="15" applyFont="1" applyBorder="1" applyAlignment="1">
      <alignment horizontal="center" vertical="center"/>
    </xf>
    <xf numFmtId="0" fontId="23" fillId="0" borderId="933" xfId="15" applyFont="1" applyBorder="1" applyAlignment="1">
      <alignment horizontal="center" vertical="center" wrapText="1"/>
    </xf>
    <xf numFmtId="0" fontId="130" fillId="0" borderId="933" xfId="15" applyFont="1" applyBorder="1" applyAlignment="1">
      <alignment vertical="center"/>
    </xf>
    <xf numFmtId="0" fontId="23" fillId="0" borderId="933" xfId="15" applyFont="1" applyBorder="1" applyAlignment="1">
      <alignment horizontal="center" vertical="center"/>
    </xf>
    <xf numFmtId="0" fontId="23" fillId="0" borderId="936" xfId="15" applyFont="1" applyBorder="1" applyAlignment="1">
      <alignment vertical="center" wrapText="1"/>
    </xf>
    <xf numFmtId="0" fontId="101" fillId="0" borderId="674" xfId="15" applyFont="1" applyBorder="1" applyAlignment="1">
      <alignment horizontal="center" vertical="center" wrapText="1"/>
    </xf>
    <xf numFmtId="0" fontId="129" fillId="3" borderId="930" xfId="15" applyFont="1" applyFill="1" applyBorder="1" applyAlignment="1">
      <alignment horizontal="left" vertical="center" wrapText="1" indent="1"/>
    </xf>
    <xf numFmtId="0" fontId="129" fillId="3" borderId="928" xfId="15" applyFont="1" applyFill="1" applyBorder="1" applyAlignment="1">
      <alignment horizontal="center" vertical="center"/>
    </xf>
    <xf numFmtId="0" fontId="28" fillId="3" borderId="928" xfId="15" applyFont="1" applyFill="1" applyBorder="1" applyAlignment="1">
      <alignment horizontal="left" vertical="center" wrapText="1" indent="1"/>
    </xf>
    <xf numFmtId="0" fontId="23" fillId="3" borderId="928" xfId="15" applyFont="1" applyFill="1" applyBorder="1" applyAlignment="1">
      <alignment horizontal="center" vertical="center" wrapText="1"/>
    </xf>
    <xf numFmtId="0" fontId="130" fillId="3" borderId="928" xfId="15" applyFont="1" applyFill="1" applyBorder="1" applyAlignment="1">
      <alignment vertical="center"/>
    </xf>
    <xf numFmtId="0" fontId="23" fillId="3" borderId="928" xfId="15" applyFont="1" applyFill="1" applyBorder="1" applyAlignment="1">
      <alignment horizontal="center" vertical="center"/>
    </xf>
    <xf numFmtId="0" fontId="42" fillId="2" borderId="350" xfId="0" applyFont="1" applyFill="1" applyBorder="1" applyAlignment="1">
      <alignment horizontal="center" vertical="center" wrapText="1"/>
    </xf>
    <xf numFmtId="0" fontId="38" fillId="0" borderId="798" xfId="0" applyFont="1" applyBorder="1" applyAlignment="1">
      <alignment horizontal="center" vertical="center" wrapText="1"/>
    </xf>
    <xf numFmtId="0" fontId="24" fillId="0" borderId="789" xfId="0" applyFont="1" applyBorder="1" applyAlignment="1">
      <alignment horizontal="center" vertical="center" wrapText="1"/>
    </xf>
    <xf numFmtId="0" fontId="38" fillId="0" borderId="789" xfId="0" applyFont="1" applyBorder="1" applyAlignment="1">
      <alignment horizontal="center" vertical="center" wrapText="1"/>
    </xf>
    <xf numFmtId="0" fontId="24" fillId="0" borderId="812" xfId="0" applyFont="1" applyBorder="1" applyAlignment="1">
      <alignment horizontal="center" vertical="center" wrapText="1"/>
    </xf>
    <xf numFmtId="0" fontId="38" fillId="0" borderId="807" xfId="0" applyFont="1" applyBorder="1" applyAlignment="1">
      <alignment horizontal="center" vertical="center" wrapText="1"/>
    </xf>
    <xf numFmtId="0" fontId="24" fillId="0" borderId="791" xfId="0" applyFont="1" applyBorder="1" applyAlignment="1">
      <alignment horizontal="center" vertical="center" wrapText="1"/>
    </xf>
    <xf numFmtId="0" fontId="38" fillId="0" borderId="802" xfId="0" applyFont="1" applyBorder="1" applyAlignment="1">
      <alignment horizontal="center" vertical="center" wrapText="1"/>
    </xf>
    <xf numFmtId="0" fontId="24" fillId="0" borderId="807" xfId="0" applyFont="1" applyBorder="1" applyAlignment="1">
      <alignment horizontal="center" vertical="center" wrapText="1"/>
    </xf>
    <xf numFmtId="0" fontId="24" fillId="0" borderId="789" xfId="0" applyFont="1" applyBorder="1" applyAlignment="1">
      <alignment horizontal="left" vertical="center" wrapText="1"/>
    </xf>
    <xf numFmtId="0" fontId="24" fillId="0" borderId="812" xfId="0" applyFont="1" applyBorder="1" applyAlignment="1">
      <alignment horizontal="left" vertical="center" wrapText="1"/>
    </xf>
    <xf numFmtId="0" fontId="24" fillId="0" borderId="807" xfId="0" applyFont="1" applyBorder="1" applyAlignment="1">
      <alignment horizontal="left" vertical="center" wrapText="1"/>
    </xf>
    <xf numFmtId="0" fontId="24" fillId="0" borderId="791" xfId="0" applyFont="1" applyBorder="1" applyAlignment="1">
      <alignment horizontal="left" vertical="center" wrapText="1"/>
    </xf>
    <xf numFmtId="0" fontId="24" fillId="0" borderId="802" xfId="0" applyFont="1" applyBorder="1" applyAlignment="1">
      <alignment horizontal="left" vertical="center" wrapText="1"/>
    </xf>
    <xf numFmtId="0" fontId="24" fillId="0" borderId="802" xfId="0" applyFont="1" applyBorder="1" applyAlignment="1">
      <alignment horizontal="center" vertical="center" wrapText="1"/>
    </xf>
    <xf numFmtId="0" fontId="24" fillId="0" borderId="802" xfId="0" applyFont="1" applyBorder="1" applyAlignment="1">
      <alignment horizontal="left" vertical="center" wrapText="1" indent="1"/>
    </xf>
    <xf numFmtId="0" fontId="24" fillId="17" borderId="807" xfId="0" applyFont="1" applyFill="1" applyBorder="1" applyAlignment="1">
      <alignment horizontal="left" vertical="center" wrapText="1" indent="1"/>
    </xf>
    <xf numFmtId="0" fontId="24" fillId="17" borderId="802" xfId="0" applyFont="1" applyFill="1" applyBorder="1" applyAlignment="1">
      <alignment horizontal="left" vertical="center" wrapText="1" indent="1"/>
    </xf>
    <xf numFmtId="0" fontId="68" fillId="0" borderId="799" xfId="0" applyFont="1" applyBorder="1" applyAlignment="1">
      <alignment horizontal="center" vertical="center" wrapText="1"/>
    </xf>
    <xf numFmtId="0" fontId="39" fillId="0" borderId="662" xfId="0" applyFont="1" applyBorder="1" applyAlignment="1">
      <alignment horizontal="center" vertical="center" wrapText="1"/>
    </xf>
    <xf numFmtId="0" fontId="68" fillId="17" borderId="662" xfId="0" applyFont="1" applyFill="1" applyBorder="1" applyAlignment="1">
      <alignment horizontal="center" vertical="center" wrapText="1"/>
    </xf>
    <xf numFmtId="0" fontId="39" fillId="17" borderId="770" xfId="0" applyFont="1" applyFill="1" applyBorder="1" applyAlignment="1">
      <alignment horizontal="center" vertical="center" wrapText="1"/>
    </xf>
    <xf numFmtId="0" fontId="68" fillId="0" borderId="737" xfId="0" applyFont="1" applyBorder="1" applyAlignment="1">
      <alignment horizontal="center" vertical="center" wrapText="1"/>
    </xf>
    <xf numFmtId="0" fontId="68" fillId="0" borderId="662" xfId="0" applyFont="1" applyBorder="1" applyAlignment="1">
      <alignment horizontal="center" vertical="center" wrapText="1"/>
    </xf>
    <xf numFmtId="0" fontId="39" fillId="0" borderId="738" xfId="0" applyFont="1" applyBorder="1" applyAlignment="1">
      <alignment horizontal="center" vertical="center" wrapText="1"/>
    </xf>
    <xf numFmtId="0" fontId="68" fillId="0" borderId="674" xfId="0" applyFont="1" applyBorder="1" applyAlignment="1">
      <alignment horizontal="center" vertical="center" wrapText="1"/>
    </xf>
    <xf numFmtId="0" fontId="39" fillId="17" borderId="662" xfId="0" applyFont="1" applyFill="1" applyBorder="1" applyAlignment="1">
      <alignment horizontal="center" vertical="center" wrapText="1"/>
    </xf>
    <xf numFmtId="0" fontId="68" fillId="17" borderId="737" xfId="0" applyFont="1" applyFill="1" applyBorder="1" applyAlignment="1">
      <alignment horizontal="center" vertical="center" wrapText="1"/>
    </xf>
    <xf numFmtId="0" fontId="39" fillId="17" borderId="738" xfId="0" applyFont="1" applyFill="1" applyBorder="1" applyAlignment="1">
      <alignment horizontal="center" vertical="center" wrapText="1"/>
    </xf>
    <xf numFmtId="0" fontId="39" fillId="39" borderId="662" xfId="0" applyFont="1" applyFill="1" applyBorder="1" applyAlignment="1">
      <alignment horizontal="center" vertical="center" wrapText="1"/>
    </xf>
    <xf numFmtId="0" fontId="68" fillId="39" borderId="662" xfId="0" applyFont="1" applyFill="1" applyBorder="1" applyAlignment="1">
      <alignment horizontal="center" vertical="center" wrapText="1"/>
    </xf>
    <xf numFmtId="49" fontId="68" fillId="0" borderId="662" xfId="0" applyNumberFormat="1" applyFont="1" applyBorder="1" applyAlignment="1">
      <alignment horizontal="center" vertical="center" wrapText="1"/>
    </xf>
    <xf numFmtId="0" fontId="68" fillId="0" borderId="770" xfId="0" applyFont="1" applyBorder="1" applyAlignment="1">
      <alignment horizontal="center" vertical="center" wrapText="1"/>
    </xf>
    <xf numFmtId="0" fontId="39" fillId="0" borderId="770" xfId="0" applyFont="1" applyBorder="1" applyAlignment="1">
      <alignment horizontal="center" vertical="center" wrapText="1"/>
    </xf>
    <xf numFmtId="0" fontId="39" fillId="4" borderId="662" xfId="0" applyFont="1" applyFill="1" applyBorder="1" applyAlignment="1">
      <alignment horizontal="center" vertical="center" wrapText="1"/>
    </xf>
    <xf numFmtId="0" fontId="39" fillId="4" borderId="738" xfId="0" applyFont="1" applyFill="1" applyBorder="1" applyAlignment="1">
      <alignment horizontal="center" vertical="center" wrapText="1"/>
    </xf>
    <xf numFmtId="0" fontId="68" fillId="39" borderId="674" xfId="0" applyFont="1" applyFill="1" applyBorder="1" applyAlignment="1">
      <alignment horizontal="center" vertical="center" wrapText="1"/>
    </xf>
    <xf numFmtId="0" fontId="39" fillId="0" borderId="737" xfId="0" applyFont="1" applyBorder="1" applyAlignment="1">
      <alignment horizontal="center" vertical="center" wrapText="1"/>
    </xf>
    <xf numFmtId="0" fontId="39" fillId="0" borderId="674" xfId="0" applyFont="1" applyBorder="1" applyAlignment="1">
      <alignment horizontal="center" vertical="center" wrapText="1"/>
    </xf>
    <xf numFmtId="49" fontId="68" fillId="0" borderId="674" xfId="0" applyNumberFormat="1" applyFont="1" applyBorder="1" applyAlignment="1">
      <alignment horizontal="center" vertical="center" wrapText="1"/>
    </xf>
    <xf numFmtId="0" fontId="39" fillId="17" borderId="737" xfId="0" applyFont="1" applyFill="1" applyBorder="1" applyAlignment="1">
      <alignment horizontal="center" vertical="center" wrapText="1"/>
    </xf>
    <xf numFmtId="0" fontId="39" fillId="17" borderId="674" xfId="0" applyFont="1" applyFill="1" applyBorder="1" applyAlignment="1">
      <alignment horizontal="center" vertical="center" wrapText="1"/>
    </xf>
    <xf numFmtId="0" fontId="68" fillId="0" borderId="738" xfId="0" applyFont="1" applyBorder="1" applyAlignment="1">
      <alignment horizontal="center" vertical="center" wrapText="1"/>
    </xf>
    <xf numFmtId="0" fontId="68" fillId="4" borderId="770" xfId="0" applyFont="1" applyFill="1" applyBorder="1" applyAlignment="1">
      <alignment horizontal="center" vertical="center" wrapText="1"/>
    </xf>
    <xf numFmtId="0" fontId="68" fillId="4" borderId="737" xfId="0" applyFont="1" applyFill="1" applyBorder="1" applyAlignment="1">
      <alignment horizontal="center" vertical="center" wrapText="1"/>
    </xf>
    <xf numFmtId="0" fontId="68" fillId="4" borderId="662" xfId="0" applyFont="1" applyFill="1" applyBorder="1" applyAlignment="1">
      <alignment horizontal="center" vertical="center" wrapText="1"/>
    </xf>
    <xf numFmtId="49" fontId="68" fillId="0" borderId="737" xfId="0" applyNumberFormat="1" applyFont="1" applyBorder="1" applyAlignment="1">
      <alignment horizontal="center" vertical="center" wrapText="1"/>
    </xf>
    <xf numFmtId="0" fontId="39" fillId="4" borderId="674" xfId="0" applyFont="1" applyFill="1" applyBorder="1" applyAlignment="1">
      <alignment horizontal="center" vertical="center" wrapText="1"/>
    </xf>
    <xf numFmtId="0" fontId="39" fillId="4" borderId="770" xfId="0" applyFont="1" applyFill="1" applyBorder="1" applyAlignment="1">
      <alignment horizontal="center" vertical="center" wrapText="1"/>
    </xf>
    <xf numFmtId="0" fontId="39" fillId="4" borderId="737" xfId="0" applyFont="1" applyFill="1" applyBorder="1" applyAlignment="1">
      <alignment horizontal="center" vertical="center" wrapText="1"/>
    </xf>
    <xf numFmtId="0" fontId="38" fillId="0" borderId="674" xfId="0" applyFont="1" applyBorder="1" applyAlignment="1">
      <alignment horizontal="left" vertical="center" indent="1"/>
    </xf>
    <xf numFmtId="0" fontId="24" fillId="17" borderId="674" xfId="0" applyFont="1" applyFill="1" applyBorder="1" applyAlignment="1">
      <alignment horizontal="left" vertical="center" wrapText="1" indent="1"/>
    </xf>
    <xf numFmtId="0" fontId="38" fillId="4" borderId="737" xfId="0" applyFont="1" applyFill="1" applyBorder="1" applyAlignment="1">
      <alignment horizontal="left" vertical="center" wrapText="1" indent="1"/>
    </xf>
    <xf numFmtId="0" fontId="24" fillId="0" borderId="770" xfId="0" applyFont="1" applyBorder="1" applyAlignment="1">
      <alignment horizontal="left" wrapText="1" indent="1"/>
    </xf>
    <xf numFmtId="0" fontId="54" fillId="0" borderId="799" xfId="0" applyFont="1" applyBorder="1" applyAlignment="1">
      <alignment horizontal="center" vertical="center" wrapText="1"/>
    </xf>
    <xf numFmtId="0" fontId="54" fillId="0" borderId="662" xfId="0" applyFont="1" applyBorder="1" applyAlignment="1">
      <alignment horizontal="center" vertical="center" wrapText="1"/>
    </xf>
    <xf numFmtId="0" fontId="54" fillId="17" borderId="662" xfId="0" applyFont="1" applyFill="1" applyBorder="1" applyAlignment="1">
      <alignment horizontal="center" vertical="center" wrapText="1"/>
    </xf>
    <xf numFmtId="0" fontId="54" fillId="17" borderId="770" xfId="0" applyFont="1" applyFill="1" applyBorder="1" applyAlignment="1">
      <alignment horizontal="center" vertical="center" wrapText="1"/>
    </xf>
    <xf numFmtId="0" fontId="54" fillId="0" borderId="737" xfId="0" applyFont="1" applyBorder="1" applyAlignment="1">
      <alignment horizontal="center" vertical="center" wrapText="1"/>
    </xf>
    <xf numFmtId="0" fontId="54" fillId="0" borderId="738" xfId="0" applyFont="1" applyBorder="1" applyAlignment="1">
      <alignment horizontal="center" vertical="center" wrapText="1"/>
    </xf>
    <xf numFmtId="0" fontId="54" fillId="0" borderId="674" xfId="0" applyFont="1" applyBorder="1" applyAlignment="1">
      <alignment horizontal="center" vertical="center" wrapText="1"/>
    </xf>
    <xf numFmtId="0" fontId="54" fillId="17" borderId="737" xfId="0" applyFont="1" applyFill="1" applyBorder="1" applyAlignment="1">
      <alignment horizontal="center" vertical="center" wrapText="1"/>
    </xf>
    <xf numFmtId="0" fontId="54" fillId="17" borderId="738" xfId="0" applyFont="1" applyFill="1" applyBorder="1" applyAlignment="1">
      <alignment horizontal="center" vertical="center" wrapText="1"/>
    </xf>
    <xf numFmtId="0" fontId="54" fillId="39" borderId="662" xfId="0" applyFont="1" applyFill="1" applyBorder="1" applyAlignment="1">
      <alignment horizontal="center" vertical="center" wrapText="1"/>
    </xf>
    <xf numFmtId="0" fontId="52" fillId="0" borderId="662" xfId="0" applyFont="1" applyBorder="1" applyAlignment="1">
      <alignment horizontal="center" vertical="center" wrapText="1"/>
    </xf>
    <xf numFmtId="0" fontId="54" fillId="0" borderId="770" xfId="0" applyFont="1" applyBorder="1" applyAlignment="1">
      <alignment horizontal="center" vertical="center" wrapText="1"/>
    </xf>
    <xf numFmtId="0" fontId="54" fillId="4" borderId="662" xfId="0" applyFont="1" applyFill="1" applyBorder="1" applyAlignment="1">
      <alignment horizontal="center" vertical="center" wrapText="1"/>
    </xf>
    <xf numFmtId="0" fontId="54" fillId="4" borderId="738" xfId="0" applyFont="1" applyFill="1" applyBorder="1" applyAlignment="1">
      <alignment horizontal="center" vertical="center" wrapText="1"/>
    </xf>
    <xf numFmtId="0" fontId="54" fillId="39" borderId="674" xfId="0" applyFont="1" applyFill="1" applyBorder="1" applyAlignment="1">
      <alignment horizontal="center" vertical="center" wrapText="1"/>
    </xf>
    <xf numFmtId="0" fontId="54" fillId="39" borderId="770" xfId="0" applyFont="1" applyFill="1" applyBorder="1" applyAlignment="1">
      <alignment horizontal="center" vertical="center" wrapText="1"/>
    </xf>
    <xf numFmtId="0" fontId="54" fillId="4" borderId="770" xfId="0" applyFont="1" applyFill="1" applyBorder="1" applyAlignment="1">
      <alignment horizontal="center" vertical="center" wrapText="1"/>
    </xf>
    <xf numFmtId="0" fontId="54" fillId="4" borderId="737" xfId="0" applyFont="1" applyFill="1" applyBorder="1" applyAlignment="1">
      <alignment horizontal="center" vertical="center" wrapText="1"/>
    </xf>
    <xf numFmtId="0" fontId="54" fillId="17" borderId="674" xfId="0" applyFont="1" applyFill="1" applyBorder="1" applyAlignment="1">
      <alignment horizontal="center" vertical="center" wrapText="1"/>
    </xf>
    <xf numFmtId="0" fontId="54" fillId="0" borderId="662" xfId="0" applyFont="1" applyBorder="1" applyAlignment="1">
      <alignment horizontal="left" vertical="center" wrapText="1"/>
    </xf>
    <xf numFmtId="0" fontId="54" fillId="0" borderId="738" xfId="0" applyFont="1" applyBorder="1" applyAlignment="1">
      <alignment horizontal="left" vertical="center" wrapText="1"/>
    </xf>
    <xf numFmtId="0" fontId="54" fillId="0" borderId="674" xfId="0" applyFont="1" applyBorder="1" applyAlignment="1">
      <alignment horizontal="left" vertical="center" wrapText="1"/>
    </xf>
    <xf numFmtId="0" fontId="54" fillId="4" borderId="674" xfId="0" applyFont="1" applyFill="1" applyBorder="1" applyAlignment="1">
      <alignment horizontal="center" vertical="center" wrapText="1"/>
    </xf>
    <xf numFmtId="168" fontId="54" fillId="0" borderId="799" xfId="0" applyNumberFormat="1" applyFont="1" applyBorder="1" applyAlignment="1">
      <alignment horizontal="right" vertical="center"/>
    </xf>
    <xf numFmtId="168" fontId="52" fillId="0" borderId="799" xfId="0" applyNumberFormat="1" applyFont="1" applyBorder="1" applyAlignment="1">
      <alignment horizontal="right" vertical="center"/>
    </xf>
    <xf numFmtId="168" fontId="54" fillId="0" borderId="662" xfId="0" applyNumberFormat="1" applyFont="1" applyBorder="1" applyAlignment="1">
      <alignment horizontal="right" vertical="center"/>
    </xf>
    <xf numFmtId="168" fontId="52" fillId="0" borderId="662" xfId="0" applyNumberFormat="1" applyFont="1" applyBorder="1" applyAlignment="1">
      <alignment horizontal="right" vertical="center"/>
    </xf>
    <xf numFmtId="168" fontId="54" fillId="17" borderId="662" xfId="0" applyNumberFormat="1" applyFont="1" applyFill="1" applyBorder="1" applyAlignment="1">
      <alignment horizontal="right" vertical="center"/>
    </xf>
    <xf numFmtId="168" fontId="52" fillId="17" borderId="662" xfId="0" applyNumberFormat="1" applyFont="1" applyFill="1" applyBorder="1" applyAlignment="1">
      <alignment horizontal="right" vertical="center"/>
    </xf>
    <xf numFmtId="168" fontId="54" fillId="17" borderId="770" xfId="0" applyNumberFormat="1" applyFont="1" applyFill="1" applyBorder="1" applyAlignment="1">
      <alignment horizontal="right" vertical="center"/>
    </xf>
    <xf numFmtId="168" fontId="52" fillId="17" borderId="770" xfId="0" applyNumberFormat="1" applyFont="1" applyFill="1" applyBorder="1" applyAlignment="1">
      <alignment horizontal="right" vertical="center"/>
    </xf>
    <xf numFmtId="168" fontId="54" fillId="0" borderId="737" xfId="0" applyNumberFormat="1" applyFont="1" applyBorder="1" applyAlignment="1">
      <alignment horizontal="right" vertical="center"/>
    </xf>
    <xf numFmtId="168" fontId="52" fillId="0" borderId="737" xfId="0" applyNumberFormat="1" applyFont="1" applyBorder="1" applyAlignment="1">
      <alignment horizontal="right" vertical="center"/>
    </xf>
    <xf numFmtId="168" fontId="220" fillId="0" borderId="662" xfId="0" applyNumberFormat="1" applyFont="1" applyBorder="1" applyAlignment="1">
      <alignment horizontal="right" vertical="center"/>
    </xf>
    <xf numFmtId="168" fontId="54" fillId="0" borderId="738" xfId="0" applyNumberFormat="1" applyFont="1" applyBorder="1" applyAlignment="1">
      <alignment horizontal="right" vertical="center"/>
    </xf>
    <xf numFmtId="168" fontId="52" fillId="0" borderId="738" xfId="0" applyNumberFormat="1" applyFont="1" applyBorder="1" applyAlignment="1">
      <alignment horizontal="right" vertical="center"/>
    </xf>
    <xf numFmtId="168" fontId="54" fillId="0" borderId="674" xfId="0" applyNumberFormat="1" applyFont="1" applyBorder="1" applyAlignment="1">
      <alignment horizontal="right" vertical="center"/>
    </xf>
    <xf numFmtId="168" fontId="52" fillId="0" borderId="674" xfId="0" applyNumberFormat="1" applyFont="1" applyBorder="1" applyAlignment="1">
      <alignment horizontal="right" vertical="center"/>
    </xf>
    <xf numFmtId="168" fontId="54" fillId="17" borderId="737" xfId="0" applyNumberFormat="1" applyFont="1" applyFill="1" applyBorder="1" applyAlignment="1">
      <alignment horizontal="right" vertical="center"/>
    </xf>
    <xf numFmtId="168" fontId="52" fillId="17" borderId="737" xfId="0" applyNumberFormat="1" applyFont="1" applyFill="1" applyBorder="1" applyAlignment="1">
      <alignment horizontal="right" vertical="center"/>
    </xf>
    <xf numFmtId="168" fontId="54" fillId="17" borderId="738" xfId="0" applyNumberFormat="1" applyFont="1" applyFill="1" applyBorder="1" applyAlignment="1">
      <alignment horizontal="right" vertical="center"/>
    </xf>
    <xf numFmtId="168" fontId="52" fillId="17" borderId="738" xfId="0" applyNumberFormat="1" applyFont="1" applyFill="1" applyBorder="1" applyAlignment="1">
      <alignment horizontal="right" vertical="center"/>
    </xf>
    <xf numFmtId="168" fontId="219" fillId="0" borderId="662" xfId="0" applyNumberFormat="1" applyFont="1" applyBorder="1" applyAlignment="1">
      <alignment horizontal="right" vertical="center"/>
    </xf>
    <xf numFmtId="168" fontId="52" fillId="39" borderId="662" xfId="0" applyNumberFormat="1" applyFont="1" applyFill="1" applyBorder="1" applyAlignment="1">
      <alignment horizontal="right" vertical="center"/>
    </xf>
    <xf numFmtId="168" fontId="54" fillId="39" borderId="662" xfId="0" applyNumberFormat="1" applyFont="1" applyFill="1" applyBorder="1" applyAlignment="1">
      <alignment horizontal="right" vertical="center"/>
    </xf>
    <xf numFmtId="168" fontId="220" fillId="39" borderId="662" xfId="0" applyNumberFormat="1" applyFont="1" applyFill="1" applyBorder="1" applyAlignment="1">
      <alignment horizontal="right" vertical="center"/>
    </xf>
    <xf numFmtId="168" fontId="54" fillId="0" borderId="770" xfId="0" applyNumberFormat="1" applyFont="1" applyBorder="1" applyAlignment="1">
      <alignment horizontal="right" vertical="center"/>
    </xf>
    <xf numFmtId="168" fontId="52" fillId="0" borderId="770" xfId="0" applyNumberFormat="1" applyFont="1" applyBorder="1" applyAlignment="1">
      <alignment horizontal="right" vertical="center"/>
    </xf>
    <xf numFmtId="168" fontId="54" fillId="4" borderId="662" xfId="0" applyNumberFormat="1" applyFont="1" applyFill="1" applyBorder="1" applyAlignment="1">
      <alignment horizontal="right" vertical="center"/>
    </xf>
    <xf numFmtId="168" fontId="52" fillId="4" borderId="662" xfId="0" applyNumberFormat="1" applyFont="1" applyFill="1" applyBorder="1" applyAlignment="1">
      <alignment horizontal="right" vertical="center"/>
    </xf>
    <xf numFmtId="168" fontId="54" fillId="4" borderId="738" xfId="0" applyNumberFormat="1" applyFont="1" applyFill="1" applyBorder="1" applyAlignment="1">
      <alignment horizontal="right" vertical="center"/>
    </xf>
    <xf numFmtId="168" fontId="52" fillId="4" borderId="738" xfId="0" applyNumberFormat="1" applyFont="1" applyFill="1" applyBorder="1" applyAlignment="1">
      <alignment horizontal="right" vertical="center"/>
    </xf>
    <xf numFmtId="168" fontId="54" fillId="0" borderId="799" xfId="0" applyNumberFormat="1" applyFont="1" applyBorder="1" applyAlignment="1">
      <alignment vertical="center"/>
    </xf>
    <xf numFmtId="168" fontId="52" fillId="0" borderId="799" xfId="0" applyNumberFormat="1" applyFont="1" applyBorder="1" applyAlignment="1">
      <alignment vertical="center"/>
    </xf>
    <xf numFmtId="168" fontId="54" fillId="0" borderId="662" xfId="0" applyNumberFormat="1" applyFont="1" applyBorder="1" applyAlignment="1">
      <alignment vertical="center"/>
    </xf>
    <xf numFmtId="168" fontId="52" fillId="0" borderId="662" xfId="0" applyNumberFormat="1" applyFont="1" applyBorder="1" applyAlignment="1">
      <alignment vertical="center"/>
    </xf>
    <xf numFmtId="168" fontId="54" fillId="0" borderId="770" xfId="0" applyNumberFormat="1" applyFont="1" applyBorder="1" applyAlignment="1">
      <alignment vertical="center"/>
    </xf>
    <xf numFmtId="168" fontId="52" fillId="0" borderId="770" xfId="0" applyNumberFormat="1" applyFont="1" applyBorder="1" applyAlignment="1">
      <alignment vertical="center"/>
    </xf>
    <xf numFmtId="168" fontId="54" fillId="0" borderId="737" xfId="0" applyNumberFormat="1" applyFont="1" applyBorder="1" applyAlignment="1">
      <alignment vertical="center"/>
    </xf>
    <xf numFmtId="168" fontId="52" fillId="0" borderId="737" xfId="0" applyNumberFormat="1" applyFont="1" applyBorder="1" applyAlignment="1">
      <alignment vertical="center"/>
    </xf>
    <xf numFmtId="168" fontId="54" fillId="0" borderId="738" xfId="0" applyNumberFormat="1" applyFont="1" applyBorder="1" applyAlignment="1">
      <alignment vertical="center"/>
    </xf>
    <xf numFmtId="168" fontId="52" fillId="0" borderId="738" xfId="0" applyNumberFormat="1" applyFont="1" applyBorder="1" applyAlignment="1">
      <alignment vertical="center"/>
    </xf>
    <xf numFmtId="168" fontId="54" fillId="0" borderId="674" xfId="0" applyNumberFormat="1" applyFont="1" applyBorder="1" applyAlignment="1">
      <alignment vertical="center"/>
    </xf>
    <xf numFmtId="168" fontId="52" fillId="0" borderId="674" xfId="0" applyNumberFormat="1" applyFont="1" applyBorder="1" applyAlignment="1">
      <alignment vertical="center"/>
    </xf>
    <xf numFmtId="168" fontId="54" fillId="0" borderId="662" xfId="0" applyNumberFormat="1" applyFont="1" applyBorder="1" applyAlignment="1">
      <alignment horizontal="left" vertical="center"/>
    </xf>
    <xf numFmtId="168" fontId="54" fillId="0" borderId="770" xfId="0" applyNumberFormat="1" applyFont="1" applyBorder="1" applyAlignment="1">
      <alignment horizontal="left" vertical="center"/>
    </xf>
    <xf numFmtId="168" fontId="54" fillId="0" borderId="737" xfId="0" applyNumberFormat="1" applyFont="1" applyBorder="1" applyAlignment="1">
      <alignment horizontal="left" vertical="center"/>
    </xf>
    <xf numFmtId="168" fontId="54" fillId="0" borderId="738" xfId="0" applyNumberFormat="1" applyFont="1" applyBorder="1" applyAlignment="1">
      <alignment horizontal="left" vertical="center"/>
    </xf>
    <xf numFmtId="168" fontId="54" fillId="0" borderId="674" xfId="0" applyNumberFormat="1" applyFont="1" applyBorder="1" applyAlignment="1">
      <alignment horizontal="left" vertical="center"/>
    </xf>
    <xf numFmtId="168" fontId="54" fillId="39" borderId="674" xfId="0" applyNumberFormat="1" applyFont="1" applyFill="1" applyBorder="1" applyAlignment="1">
      <alignment horizontal="right" vertical="center"/>
    </xf>
    <xf numFmtId="168" fontId="52" fillId="39" borderId="674" xfId="0" applyNumberFormat="1" applyFont="1" applyFill="1" applyBorder="1" applyAlignment="1">
      <alignment horizontal="right" vertical="center"/>
    </xf>
    <xf numFmtId="168" fontId="54" fillId="39" borderId="770" xfId="0" applyNumberFormat="1" applyFont="1" applyFill="1" applyBorder="1" applyAlignment="1">
      <alignment horizontal="right" vertical="center"/>
    </xf>
    <xf numFmtId="168" fontId="54" fillId="14" borderId="662" xfId="0" applyNumberFormat="1" applyFont="1" applyFill="1" applyBorder="1" applyAlignment="1">
      <alignment horizontal="right" vertical="center"/>
    </xf>
    <xf numFmtId="168" fontId="54" fillId="17" borderId="674" xfId="0" applyNumberFormat="1" applyFont="1" applyFill="1" applyBorder="1" applyAlignment="1">
      <alignment horizontal="right" vertical="center"/>
    </xf>
    <xf numFmtId="168" fontId="54" fillId="4" borderId="770" xfId="0" applyNumberFormat="1" applyFont="1" applyFill="1" applyBorder="1" applyAlignment="1">
      <alignment horizontal="right" vertical="center"/>
    </xf>
    <xf numFmtId="168" fontId="52" fillId="4" borderId="770" xfId="0" applyNumberFormat="1" applyFont="1" applyFill="1" applyBorder="1" applyAlignment="1">
      <alignment horizontal="right" vertical="center"/>
    </xf>
    <xf numFmtId="168" fontId="54" fillId="4" borderId="737" xfId="0" applyNumberFormat="1" applyFont="1" applyFill="1" applyBorder="1" applyAlignment="1">
      <alignment horizontal="right" vertical="center"/>
    </xf>
    <xf numFmtId="168" fontId="52" fillId="4" borderId="737" xfId="0" applyNumberFormat="1" applyFont="1" applyFill="1" applyBorder="1" applyAlignment="1">
      <alignment horizontal="right" vertical="center"/>
    </xf>
    <xf numFmtId="168" fontId="52" fillId="17" borderId="674" xfId="0" applyNumberFormat="1" applyFont="1" applyFill="1" applyBorder="1" applyAlignment="1">
      <alignment horizontal="right" vertical="center"/>
    </xf>
    <xf numFmtId="168" fontId="54" fillId="4" borderId="674" xfId="0" applyNumberFormat="1" applyFont="1" applyFill="1" applyBorder="1" applyAlignment="1">
      <alignment horizontal="right" vertical="center"/>
    </xf>
    <xf numFmtId="168" fontId="52" fillId="4" borderId="674" xfId="0" applyNumberFormat="1" applyFont="1" applyFill="1" applyBorder="1" applyAlignment="1">
      <alignment horizontal="right" vertical="center"/>
    </xf>
    <xf numFmtId="168" fontId="54" fillId="0" borderId="770" xfId="0" applyNumberFormat="1" applyFont="1" applyBorder="1" applyAlignment="1">
      <alignment horizontal="right"/>
    </xf>
    <xf numFmtId="49" fontId="52" fillId="0" borderId="799" xfId="0" applyNumberFormat="1" applyFont="1" applyBorder="1" applyAlignment="1">
      <alignment horizontal="center" vertical="center" wrapText="1"/>
    </xf>
    <xf numFmtId="49" fontId="52" fillId="0" borderId="662" xfId="0" applyNumberFormat="1" applyFont="1" applyBorder="1" applyAlignment="1">
      <alignment horizontal="center" vertical="center" wrapText="1"/>
    </xf>
    <xf numFmtId="49" fontId="52" fillId="17" borderId="662" xfId="0" applyNumberFormat="1" applyFont="1" applyFill="1" applyBorder="1" applyAlignment="1">
      <alignment horizontal="center" vertical="center" wrapText="1"/>
    </xf>
    <xf numFmtId="49" fontId="52" fillId="17" borderId="770" xfId="0" applyNumberFormat="1" applyFont="1" applyFill="1" applyBorder="1" applyAlignment="1">
      <alignment horizontal="center" vertical="center" wrapText="1"/>
    </xf>
    <xf numFmtId="49" fontId="52" fillId="0" borderId="737" xfId="0" applyNumberFormat="1" applyFont="1" applyBorder="1" applyAlignment="1">
      <alignment horizontal="center" vertical="center" wrapText="1"/>
    </xf>
    <xf numFmtId="49" fontId="52" fillId="0" borderId="738" xfId="0" applyNumberFormat="1" applyFont="1" applyBorder="1" applyAlignment="1">
      <alignment horizontal="center" vertical="center" wrapText="1"/>
    </xf>
    <xf numFmtId="49" fontId="52" fillId="0" borderId="674" xfId="0" applyNumberFormat="1" applyFont="1" applyBorder="1" applyAlignment="1">
      <alignment horizontal="center" vertical="center" wrapText="1"/>
    </xf>
    <xf numFmtId="49" fontId="52" fillId="17" borderId="737" xfId="0" applyNumberFormat="1" applyFont="1" applyFill="1" applyBorder="1" applyAlignment="1">
      <alignment horizontal="center" vertical="center" wrapText="1"/>
    </xf>
    <xf numFmtId="49" fontId="52" fillId="17" borderId="738" xfId="0" applyNumberFormat="1" applyFont="1" applyFill="1" applyBorder="1" applyAlignment="1">
      <alignment horizontal="center" vertical="center" wrapText="1"/>
    </xf>
    <xf numFmtId="49" fontId="54" fillId="0" borderId="662" xfId="0" applyNumberFormat="1" applyFont="1" applyBorder="1" applyAlignment="1">
      <alignment horizontal="center" vertical="center" wrapText="1"/>
    </xf>
    <xf numFmtId="49" fontId="52" fillId="39" borderId="662" xfId="0" applyNumberFormat="1" applyFont="1" applyFill="1" applyBorder="1" applyAlignment="1">
      <alignment horizontal="center" vertical="center" wrapText="1"/>
    </xf>
    <xf numFmtId="49" fontId="54" fillId="39" borderId="662" xfId="0" applyNumberFormat="1" applyFont="1" applyFill="1" applyBorder="1" applyAlignment="1">
      <alignment horizontal="center" vertical="center" wrapText="1"/>
    </xf>
    <xf numFmtId="49" fontId="52" fillId="0" borderId="770" xfId="0" applyNumberFormat="1" applyFont="1" applyBorder="1" applyAlignment="1">
      <alignment horizontal="center" vertical="center" wrapText="1"/>
    </xf>
    <xf numFmtId="49" fontId="52" fillId="4" borderId="662" xfId="0" applyNumberFormat="1" applyFont="1" applyFill="1" applyBorder="1" applyAlignment="1">
      <alignment horizontal="center" vertical="center" wrapText="1"/>
    </xf>
    <xf numFmtId="49" fontId="52" fillId="4" borderId="738" xfId="0" applyNumberFormat="1" applyFont="1" applyFill="1" applyBorder="1" applyAlignment="1">
      <alignment horizontal="center" vertical="center" wrapText="1"/>
    </xf>
    <xf numFmtId="49" fontId="52" fillId="2" borderId="117" xfId="0" applyNumberFormat="1" applyFont="1" applyFill="1" applyBorder="1" applyAlignment="1">
      <alignment horizontal="center" vertical="center" wrapText="1"/>
    </xf>
    <xf numFmtId="49" fontId="54" fillId="0" borderId="770" xfId="0" applyNumberFormat="1" applyFont="1" applyBorder="1" applyAlignment="1">
      <alignment horizontal="center" vertical="center" wrapText="1"/>
    </xf>
    <xf numFmtId="49" fontId="54" fillId="0" borderId="737" xfId="0" applyNumberFormat="1" applyFont="1" applyBorder="1" applyAlignment="1">
      <alignment horizontal="center" vertical="center" wrapText="1"/>
    </xf>
    <xf numFmtId="49" fontId="54" fillId="0" borderId="738" xfId="0" applyNumberFormat="1" applyFont="1" applyBorder="1" applyAlignment="1">
      <alignment horizontal="center" vertical="center" wrapText="1"/>
    </xf>
    <xf numFmtId="49" fontId="54" fillId="17" borderId="770" xfId="0" applyNumberFormat="1" applyFont="1" applyFill="1" applyBorder="1" applyAlignment="1">
      <alignment horizontal="center" vertical="center" wrapText="1"/>
    </xf>
    <xf numFmtId="49" fontId="54" fillId="17" borderId="737" xfId="0" applyNumberFormat="1" applyFont="1" applyFill="1" applyBorder="1" applyAlignment="1">
      <alignment horizontal="center" vertical="center" wrapText="1"/>
    </xf>
    <xf numFmtId="49" fontId="54" fillId="17" borderId="662" xfId="0" applyNumberFormat="1" applyFont="1" applyFill="1" applyBorder="1" applyAlignment="1">
      <alignment horizontal="center" vertical="center" wrapText="1"/>
    </xf>
    <xf numFmtId="49" fontId="54" fillId="17" borderId="738" xfId="0" applyNumberFormat="1" applyFont="1" applyFill="1" applyBorder="1" applyAlignment="1">
      <alignment horizontal="center" vertical="center" wrapText="1"/>
    </xf>
    <xf numFmtId="49" fontId="54" fillId="17" borderId="674" xfId="0" applyNumberFormat="1" applyFont="1" applyFill="1" applyBorder="1" applyAlignment="1">
      <alignment horizontal="center" vertical="center" wrapText="1"/>
    </xf>
    <xf numFmtId="49" fontId="54" fillId="0" borderId="674" xfId="0" applyNumberFormat="1" applyFont="1" applyBorder="1" applyAlignment="1">
      <alignment horizontal="center" vertical="center" wrapText="1"/>
    </xf>
    <xf numFmtId="49" fontId="52" fillId="4" borderId="770" xfId="0" applyNumberFormat="1" applyFont="1" applyFill="1" applyBorder="1" applyAlignment="1">
      <alignment horizontal="center" vertical="center" wrapText="1"/>
    </xf>
    <xf numFmtId="49" fontId="52" fillId="4" borderId="737" xfId="0" applyNumberFormat="1" applyFont="1" applyFill="1" applyBorder="1" applyAlignment="1">
      <alignment horizontal="center" vertical="center" wrapText="1"/>
    </xf>
    <xf numFmtId="49" fontId="52" fillId="17" borderId="674" xfId="0" applyNumberFormat="1" applyFont="1" applyFill="1" applyBorder="1" applyAlignment="1">
      <alignment horizontal="center" vertical="center" wrapText="1"/>
    </xf>
    <xf numFmtId="49" fontId="52" fillId="4" borderId="674" xfId="0" applyNumberFormat="1" applyFont="1" applyFill="1" applyBorder="1" applyAlignment="1">
      <alignment horizontal="center" vertical="center" wrapText="1"/>
    </xf>
    <xf numFmtId="49" fontId="24" fillId="0" borderId="799" xfId="0" applyNumberFormat="1" applyFont="1" applyBorder="1" applyAlignment="1">
      <alignment horizontal="center" vertical="center" wrapText="1"/>
    </xf>
    <xf numFmtId="49" fontId="24" fillId="0" borderId="662" xfId="0" applyNumberFormat="1" applyFont="1" applyBorder="1" applyAlignment="1">
      <alignment horizontal="center" vertical="center" wrapText="1"/>
    </xf>
    <xf numFmtId="49" fontId="24" fillId="17" borderId="737" xfId="0" applyNumberFormat="1" applyFont="1" applyFill="1" applyBorder="1" applyAlignment="1">
      <alignment horizontal="center" vertical="center" wrapText="1"/>
    </xf>
    <xf numFmtId="49" fontId="70" fillId="17" borderId="738" xfId="0" applyNumberFormat="1" applyFont="1" applyFill="1" applyBorder="1" applyAlignment="1">
      <alignment horizontal="center" vertical="center" wrapText="1"/>
    </xf>
    <xf numFmtId="49" fontId="24" fillId="17" borderId="674" xfId="0" applyNumberFormat="1" applyFont="1" applyFill="1" applyBorder="1" applyAlignment="1">
      <alignment horizontal="center" vertical="center" wrapText="1"/>
    </xf>
    <xf numFmtId="49" fontId="70" fillId="17" borderId="674" xfId="0" applyNumberFormat="1" applyFont="1" applyFill="1" applyBorder="1" applyAlignment="1">
      <alignment horizontal="center" vertical="center" wrapText="1"/>
    </xf>
    <xf numFmtId="0" fontId="70" fillId="17" borderId="662" xfId="0" applyFont="1" applyFill="1" applyBorder="1" applyAlignment="1">
      <alignment horizontal="center" vertical="center" wrapText="1"/>
    </xf>
    <xf numFmtId="0" fontId="70" fillId="39" borderId="662" xfId="0" applyFont="1" applyFill="1" applyBorder="1" applyAlignment="1">
      <alignment horizontal="center" vertical="center" wrapText="1"/>
    </xf>
    <xf numFmtId="49" fontId="24" fillId="39" borderId="662" xfId="0" applyNumberFormat="1" applyFont="1" applyFill="1" applyBorder="1" applyAlignment="1">
      <alignment horizontal="center" vertical="center" wrapText="1"/>
    </xf>
    <xf numFmtId="0" fontId="96" fillId="0" borderId="801" xfId="0" applyFont="1" applyBorder="1" applyAlignment="1">
      <alignment wrapText="1"/>
    </xf>
    <xf numFmtId="0" fontId="96" fillId="0" borderId="813" xfId="0" applyFont="1" applyBorder="1" applyAlignment="1">
      <alignment wrapText="1"/>
    </xf>
    <xf numFmtId="49" fontId="24" fillId="4" borderId="737" xfId="0" applyNumberFormat="1" applyFont="1" applyFill="1" applyBorder="1" applyAlignment="1">
      <alignment horizontal="center" vertical="center" wrapText="1"/>
    </xf>
    <xf numFmtId="49" fontId="24" fillId="4" borderId="662" xfId="0" applyNumberFormat="1" applyFont="1" applyFill="1" applyBorder="1" applyAlignment="1">
      <alignment horizontal="center" vertical="center" wrapText="1"/>
    </xf>
    <xf numFmtId="49" fontId="24" fillId="4" borderId="738" xfId="0" applyNumberFormat="1" applyFont="1" applyFill="1" applyBorder="1" applyAlignment="1">
      <alignment horizontal="center" vertical="center" wrapText="1"/>
    </xf>
    <xf numFmtId="49" fontId="24" fillId="0" borderId="674" xfId="0" applyNumberFormat="1" applyFont="1" applyBorder="1" applyAlignment="1">
      <alignment horizontal="center" vertical="center" wrapText="1"/>
    </xf>
    <xf numFmtId="49" fontId="24" fillId="0" borderId="770" xfId="0" applyNumberFormat="1" applyFont="1" applyBorder="1" applyAlignment="1">
      <alignment horizontal="center" vertical="center" wrapText="1"/>
    </xf>
    <xf numFmtId="49" fontId="24" fillId="0" borderId="738" xfId="0" applyNumberFormat="1" applyFont="1" applyBorder="1" applyAlignment="1">
      <alignment horizontal="center" vertical="center" wrapText="1"/>
    </xf>
    <xf numFmtId="49" fontId="24" fillId="0" borderId="737" xfId="0" applyNumberFormat="1" applyFont="1" applyBorder="1" applyAlignment="1">
      <alignment horizontal="center" vertical="center" wrapText="1"/>
    </xf>
    <xf numFmtId="0" fontId="24" fillId="0" borderId="662" xfId="0" applyFont="1" applyBorder="1" applyAlignment="1">
      <alignment horizontal="left" vertical="center" wrapText="1"/>
    </xf>
    <xf numFmtId="0" fontId="24" fillId="0" borderId="770" xfId="0" applyFont="1" applyBorder="1" applyAlignment="1">
      <alignment horizontal="left" vertical="center" wrapText="1"/>
    </xf>
    <xf numFmtId="0" fontId="24" fillId="0" borderId="737" xfId="0" applyFont="1" applyBorder="1" applyAlignment="1">
      <alignment horizontal="left" vertical="center" wrapText="1"/>
    </xf>
    <xf numFmtId="0" fontId="24" fillId="0" borderId="738" xfId="0" applyFont="1" applyBorder="1" applyAlignment="1">
      <alignment horizontal="left" vertical="center" wrapText="1"/>
    </xf>
    <xf numFmtId="49" fontId="24" fillId="39" borderId="770" xfId="0" applyNumberFormat="1" applyFont="1" applyFill="1" applyBorder="1" applyAlignment="1">
      <alignment horizontal="center" vertical="center" wrapText="1"/>
    </xf>
    <xf numFmtId="0" fontId="70" fillId="0" borderId="662" xfId="0" applyFont="1" applyBorder="1" applyAlignment="1">
      <alignment horizontal="center" vertical="center" wrapText="1"/>
    </xf>
    <xf numFmtId="0" fontId="24" fillId="0" borderId="674" xfId="0" applyFont="1" applyBorder="1" applyAlignment="1">
      <alignment horizontal="left" vertical="center" wrapText="1"/>
    </xf>
    <xf numFmtId="0" fontId="70" fillId="4" borderId="662" xfId="0" applyFont="1" applyFill="1" applyBorder="1" applyAlignment="1">
      <alignment horizontal="center" vertical="center" wrapText="1"/>
    </xf>
    <xf numFmtId="49" fontId="70" fillId="0" borderId="662" xfId="0" applyNumberFormat="1" applyFont="1" applyBorder="1" applyAlignment="1">
      <alignment horizontal="center" vertical="center" wrapText="1"/>
    </xf>
    <xf numFmtId="49" fontId="24" fillId="17" borderId="799" xfId="0" applyNumberFormat="1" applyFont="1" applyFill="1" applyBorder="1" applyAlignment="1">
      <alignment horizontal="center" vertical="center" wrapText="1"/>
    </xf>
    <xf numFmtId="0" fontId="38" fillId="0" borderId="816" xfId="0" applyFont="1" applyBorder="1" applyAlignment="1">
      <alignment horizontal="left" vertical="center" wrapText="1" indent="1"/>
    </xf>
    <xf numFmtId="0" fontId="302" fillId="0" borderId="817" xfId="0" applyFont="1" applyBorder="1" applyAlignment="1">
      <alignment horizontal="left" vertical="center" wrapText="1" indent="1"/>
    </xf>
    <xf numFmtId="0" fontId="24" fillId="0" borderId="817" xfId="0" applyFont="1" applyBorder="1" applyAlignment="1">
      <alignment horizontal="left" vertical="center" wrapText="1" indent="1"/>
    </xf>
    <xf numFmtId="0" fontId="303" fillId="0" borderId="817" xfId="0" applyFont="1" applyBorder="1" applyAlignment="1">
      <alignment horizontal="left" vertical="center" wrapText="1" indent="1"/>
    </xf>
    <xf numFmtId="0" fontId="54" fillId="0" borderId="817" xfId="0" applyFont="1" applyBorder="1" applyAlignment="1">
      <alignment horizontal="center" vertical="center" wrapText="1"/>
    </xf>
    <xf numFmtId="49" fontId="38" fillId="0" borderId="798" xfId="0" applyNumberFormat="1" applyFont="1" applyBorder="1" applyAlignment="1">
      <alignment horizontal="right" vertical="center" indent="1"/>
    </xf>
    <xf numFmtId="0" fontId="24" fillId="0" borderId="789" xfId="0" applyFont="1" applyBorder="1" applyAlignment="1">
      <alignment horizontal="right" vertical="center" indent="1"/>
    </xf>
    <xf numFmtId="49" fontId="38" fillId="0" borderId="789" xfId="0" applyNumberFormat="1" applyFont="1" applyBorder="1" applyAlignment="1">
      <alignment horizontal="right" vertical="center" indent="1"/>
    </xf>
    <xf numFmtId="0" fontId="38" fillId="0" borderId="789" xfId="0" applyFont="1" applyBorder="1" applyAlignment="1">
      <alignment horizontal="right" vertical="center" indent="1"/>
    </xf>
    <xf numFmtId="0" fontId="24" fillId="0" borderId="812" xfId="0" applyFont="1" applyBorder="1" applyAlignment="1">
      <alignment horizontal="right" vertical="center" indent="1"/>
    </xf>
    <xf numFmtId="0" fontId="38" fillId="0" borderId="789" xfId="0" applyFont="1" applyBorder="1" applyAlignment="1">
      <alignment horizontal="right" vertical="center" wrapText="1" indent="1"/>
    </xf>
    <xf numFmtId="0" fontId="38" fillId="0" borderId="812" xfId="0" applyFont="1" applyBorder="1" applyAlignment="1">
      <alignment horizontal="right" vertical="center" indent="1"/>
    </xf>
    <xf numFmtId="0" fontId="38" fillId="17" borderId="807" xfId="0" applyFont="1" applyFill="1" applyBorder="1" applyAlignment="1">
      <alignment horizontal="right" vertical="center" indent="1"/>
    </xf>
    <xf numFmtId="0" fontId="24" fillId="17" borderId="789" xfId="0" applyFont="1" applyFill="1" applyBorder="1" applyAlignment="1">
      <alignment horizontal="right" vertical="center" indent="1"/>
    </xf>
    <xf numFmtId="0" fontId="24" fillId="17" borderId="791" xfId="0" applyFont="1" applyFill="1" applyBorder="1" applyAlignment="1">
      <alignment horizontal="right" vertical="center" indent="1"/>
    </xf>
    <xf numFmtId="49" fontId="38" fillId="17" borderId="802" xfId="0" applyNumberFormat="1" applyFont="1" applyFill="1" applyBorder="1" applyAlignment="1">
      <alignment horizontal="left" vertical="center" indent="1"/>
    </xf>
    <xf numFmtId="0" fontId="24" fillId="0" borderId="791" xfId="0" applyFont="1" applyBorder="1" applyAlignment="1">
      <alignment horizontal="right" vertical="center" indent="1"/>
    </xf>
    <xf numFmtId="0" fontId="38" fillId="0" borderId="807" xfId="0" applyFont="1" applyBorder="1" applyAlignment="1">
      <alignment horizontal="right" vertical="center" indent="1"/>
    </xf>
    <xf numFmtId="0" fontId="38" fillId="0" borderId="802" xfId="0" applyFont="1" applyBorder="1" applyAlignment="1">
      <alignment horizontal="right" vertical="center" indent="1"/>
    </xf>
    <xf numFmtId="0" fontId="22" fillId="0" borderId="798" xfId="0" applyFont="1" applyBorder="1" applyAlignment="1">
      <alignment horizontal="left" vertical="center" indent="1"/>
    </xf>
    <xf numFmtId="0" fontId="22" fillId="0" borderId="789" xfId="0" applyFont="1" applyBorder="1" applyAlignment="1">
      <alignment horizontal="left" vertical="center" indent="1"/>
    </xf>
    <xf numFmtId="0" fontId="24" fillId="0" borderId="789" xfId="0" applyFont="1" applyBorder="1" applyAlignment="1">
      <alignment horizontal="left" indent="1"/>
    </xf>
    <xf numFmtId="0" fontId="38" fillId="4" borderId="789" xfId="0" applyFont="1" applyFill="1" applyBorder="1" applyAlignment="1">
      <alignment horizontal="right" vertical="center" indent="1"/>
    </xf>
    <xf numFmtId="0" fontId="38" fillId="4" borderId="791" xfId="0" applyFont="1" applyFill="1" applyBorder="1" applyAlignment="1">
      <alignment horizontal="right" vertical="center" indent="1"/>
    </xf>
    <xf numFmtId="0" fontId="38" fillId="4" borderId="802" xfId="0" applyFont="1" applyFill="1" applyBorder="1" applyAlignment="1">
      <alignment horizontal="right" vertical="center" indent="1"/>
    </xf>
    <xf numFmtId="0" fontId="38" fillId="4" borderId="812" xfId="0" applyFont="1" applyFill="1" applyBorder="1" applyAlignment="1">
      <alignment horizontal="right" vertical="center" indent="1"/>
    </xf>
    <xf numFmtId="0" fontId="38" fillId="4" borderId="807" xfId="0" applyFont="1" applyFill="1" applyBorder="1" applyAlignment="1">
      <alignment horizontal="right" vertical="center" indent="1"/>
    </xf>
    <xf numFmtId="0" fontId="24" fillId="4" borderId="789" xfId="0" applyFont="1" applyFill="1" applyBorder="1" applyAlignment="1">
      <alignment horizontal="right" vertical="center" indent="1"/>
    </xf>
    <xf numFmtId="0" fontId="24" fillId="4" borderId="791" xfId="0" applyFont="1" applyFill="1" applyBorder="1" applyAlignment="1">
      <alignment horizontal="right" vertical="center" indent="1"/>
    </xf>
    <xf numFmtId="0" fontId="24" fillId="4" borderId="812" xfId="0" applyFont="1" applyFill="1" applyBorder="1" applyAlignment="1">
      <alignment horizontal="right" vertical="center" indent="1"/>
    </xf>
    <xf numFmtId="0" fontId="22" fillId="0" borderId="807" xfId="0" applyFont="1" applyBorder="1" applyAlignment="1">
      <alignment horizontal="right" vertical="center" indent="1"/>
    </xf>
    <xf numFmtId="49" fontId="38" fillId="0" borderId="807" xfId="0" applyNumberFormat="1" applyFont="1" applyBorder="1" applyAlignment="1">
      <alignment horizontal="left" vertical="center" indent="1"/>
    </xf>
    <xf numFmtId="49" fontId="38" fillId="0" borderId="802" xfId="0" applyNumberFormat="1" applyFont="1" applyBorder="1" applyAlignment="1">
      <alignment horizontal="left" vertical="center" indent="1"/>
    </xf>
    <xf numFmtId="49" fontId="38" fillId="0" borderId="802" xfId="0" applyNumberFormat="1" applyFont="1" applyBorder="1" applyAlignment="1">
      <alignment horizontal="right" vertical="center" indent="1"/>
    </xf>
    <xf numFmtId="49" fontId="38" fillId="0" borderId="807" xfId="0" applyNumberFormat="1" applyFont="1" applyBorder="1" applyAlignment="1">
      <alignment horizontal="right" vertical="center" indent="1"/>
    </xf>
    <xf numFmtId="49" fontId="38" fillId="0" borderId="789" xfId="0" applyNumberFormat="1" applyFont="1" applyBorder="1" applyAlignment="1">
      <alignment horizontal="left" vertical="center" indent="1"/>
    </xf>
    <xf numFmtId="49" fontId="38" fillId="0" borderId="812" xfId="0" applyNumberFormat="1" applyFont="1" applyBorder="1" applyAlignment="1">
      <alignment horizontal="left" vertical="center" indent="1"/>
    </xf>
    <xf numFmtId="0" fontId="24" fillId="0" borderId="791" xfId="0" applyFont="1" applyBorder="1" applyAlignment="1">
      <alignment horizontal="left" indent="1"/>
    </xf>
    <xf numFmtId="0" fontId="24" fillId="0" borderId="812" xfId="0" applyFont="1" applyBorder="1" applyAlignment="1">
      <alignment horizontal="right" indent="1"/>
    </xf>
    <xf numFmtId="0" fontId="24" fillId="0" borderId="802" xfId="0" applyFont="1" applyBorder="1" applyAlignment="1">
      <alignment horizontal="right" vertical="center" indent="1"/>
    </xf>
    <xf numFmtId="0" fontId="24" fillId="0" borderId="818" xfId="0" applyFont="1" applyBorder="1" applyAlignment="1">
      <alignment horizontal="left" vertical="center" wrapText="1" indent="1"/>
    </xf>
    <xf numFmtId="0" fontId="38" fillId="0" borderId="819" xfId="0" applyFont="1" applyBorder="1" applyAlignment="1">
      <alignment horizontal="right" vertical="center" indent="1"/>
    </xf>
    <xf numFmtId="0" fontId="68" fillId="0" borderId="799" xfId="0" applyFont="1" applyBorder="1" applyAlignment="1">
      <alignment horizontal="center" vertical="center"/>
    </xf>
    <xf numFmtId="0" fontId="39" fillId="0" borderId="799" xfId="0" applyFont="1" applyBorder="1" applyAlignment="1">
      <alignment horizontal="center" vertical="center"/>
    </xf>
    <xf numFmtId="0" fontId="39" fillId="0" borderId="662" xfId="0" applyFont="1" applyBorder="1" applyAlignment="1">
      <alignment horizontal="center" vertical="center"/>
    </xf>
    <xf numFmtId="0" fontId="68" fillId="0" borderId="662" xfId="0" applyFont="1" applyBorder="1" applyAlignment="1">
      <alignment horizontal="center" vertical="center"/>
    </xf>
    <xf numFmtId="0" fontId="39" fillId="0" borderId="770" xfId="0" applyFont="1" applyBorder="1" applyAlignment="1">
      <alignment horizontal="center" vertical="center"/>
    </xf>
    <xf numFmtId="0" fontId="68" fillId="0" borderId="737" xfId="0" applyFont="1" applyBorder="1" applyAlignment="1">
      <alignment horizontal="center" vertical="center"/>
    </xf>
    <xf numFmtId="0" fontId="39" fillId="0" borderId="737" xfId="0" applyFont="1" applyBorder="1" applyAlignment="1">
      <alignment horizontal="center" vertical="center"/>
    </xf>
    <xf numFmtId="0" fontId="39" fillId="17" borderId="662" xfId="0" applyFont="1" applyFill="1" applyBorder="1" applyAlignment="1">
      <alignment horizontal="center" vertical="center"/>
    </xf>
    <xf numFmtId="0" fontId="68" fillId="17" borderId="662" xfId="0" applyFont="1" applyFill="1" applyBorder="1" applyAlignment="1">
      <alignment horizontal="center" vertical="center"/>
    </xf>
    <xf numFmtId="0" fontId="39" fillId="17" borderId="738" xfId="0" applyFont="1" applyFill="1" applyBorder="1" applyAlignment="1">
      <alignment horizontal="center" vertical="center"/>
    </xf>
    <xf numFmtId="0" fontId="68" fillId="0" borderId="674" xfId="0" applyFont="1" applyBorder="1" applyAlignment="1">
      <alignment horizontal="center" vertical="center"/>
    </xf>
    <xf numFmtId="0" fontId="39" fillId="0" borderId="674" xfId="0" applyFont="1" applyBorder="1" applyAlignment="1">
      <alignment horizontal="center" vertical="center"/>
    </xf>
    <xf numFmtId="0" fontId="68" fillId="0" borderId="770" xfId="0" applyFont="1" applyBorder="1" applyAlignment="1">
      <alignment horizontal="center" vertical="center"/>
    </xf>
    <xf numFmtId="0" fontId="68" fillId="17" borderId="737" xfId="0" applyFont="1" applyFill="1" applyBorder="1" applyAlignment="1">
      <alignment horizontal="center" vertical="center"/>
    </xf>
    <xf numFmtId="0" fontId="39" fillId="17" borderId="737" xfId="0" applyFont="1" applyFill="1" applyBorder="1" applyAlignment="1">
      <alignment horizontal="center" vertical="center"/>
    </xf>
    <xf numFmtId="0" fontId="68" fillId="17" borderId="674" xfId="0" applyFont="1" applyFill="1" applyBorder="1" applyAlignment="1">
      <alignment horizontal="center" vertical="center"/>
    </xf>
    <xf numFmtId="0" fontId="39" fillId="17" borderId="674" xfId="0" applyFont="1" applyFill="1" applyBorder="1" applyAlignment="1">
      <alignment horizontal="center" vertical="center"/>
    </xf>
    <xf numFmtId="0" fontId="39" fillId="0" borderId="738" xfId="0" applyFont="1" applyBorder="1" applyAlignment="1">
      <alignment horizontal="center" vertical="center"/>
    </xf>
    <xf numFmtId="0" fontId="39" fillId="0" borderId="662" xfId="0" applyFont="1" applyBorder="1" applyAlignment="1">
      <alignment horizontal="right" vertical="center"/>
    </xf>
    <xf numFmtId="0" fontId="68" fillId="0" borderId="662" xfId="0" applyFont="1" applyBorder="1" applyAlignment="1">
      <alignment horizontal="right" vertical="center"/>
    </xf>
    <xf numFmtId="0" fontId="39" fillId="0" borderId="770" xfId="0" applyFont="1" applyBorder="1" applyAlignment="1">
      <alignment horizontal="right" vertical="center"/>
    </xf>
    <xf numFmtId="0" fontId="68" fillId="0" borderId="737" xfId="0" applyFont="1" applyBorder="1" applyAlignment="1">
      <alignment horizontal="right" vertical="center"/>
    </xf>
    <xf numFmtId="0" fontId="39" fillId="0" borderId="738" xfId="0" applyFont="1" applyBorder="1" applyAlignment="1">
      <alignment horizontal="right" vertical="center"/>
    </xf>
    <xf numFmtId="0" fontId="68" fillId="0" borderId="674" xfId="0" applyFont="1" applyBorder="1" applyAlignment="1">
      <alignment horizontal="right" vertical="center"/>
    </xf>
    <xf numFmtId="0" fontId="129" fillId="0" borderId="799" xfId="0" applyFont="1" applyBorder="1" applyAlignment="1">
      <alignment horizontal="center" vertical="center"/>
    </xf>
    <xf numFmtId="0" fontId="101" fillId="0" borderId="799" xfId="0" applyFont="1" applyBorder="1" applyAlignment="1">
      <alignment horizontal="center" vertical="center"/>
    </xf>
    <xf numFmtId="0" fontId="129" fillId="0" borderId="662" xfId="0" applyFont="1" applyBorder="1" applyAlignment="1">
      <alignment horizontal="center" vertical="center"/>
    </xf>
    <xf numFmtId="0" fontId="101" fillId="0" borderId="662" xfId="0" applyFont="1" applyBorder="1" applyAlignment="1">
      <alignment horizontal="center" vertical="center" wrapText="1"/>
    </xf>
    <xf numFmtId="0" fontId="39" fillId="0" borderId="662" xfId="0" applyFont="1" applyBorder="1" applyAlignment="1">
      <alignment horizontal="left" vertical="center"/>
    </xf>
    <xf numFmtId="0" fontId="129" fillId="39" borderId="662" xfId="0" applyFont="1" applyFill="1" applyBorder="1" applyAlignment="1">
      <alignment horizontal="center" vertical="center"/>
    </xf>
    <xf numFmtId="0" fontId="101" fillId="39" borderId="662" xfId="0" applyFont="1" applyFill="1" applyBorder="1" applyAlignment="1">
      <alignment horizontal="center" vertical="center" wrapText="1"/>
    </xf>
    <xf numFmtId="0" fontId="129" fillId="39" borderId="662" xfId="0" applyFont="1" applyFill="1" applyBorder="1" applyAlignment="1">
      <alignment horizontal="right" vertical="center"/>
    </xf>
    <xf numFmtId="0" fontId="39" fillId="0" borderId="662" xfId="0" applyFont="1" applyBorder="1" applyAlignment="1">
      <alignment vertical="center"/>
    </xf>
    <xf numFmtId="0" fontId="129" fillId="0" borderId="737" xfId="0" applyFont="1" applyBorder="1" applyAlignment="1">
      <alignment horizontal="right" vertical="center"/>
    </xf>
    <xf numFmtId="0" fontId="101" fillId="0" borderId="737" xfId="0" applyFont="1" applyBorder="1" applyAlignment="1">
      <alignment horizontal="center" vertical="center" wrapText="1"/>
    </xf>
    <xf numFmtId="0" fontId="129" fillId="17" borderId="662" xfId="0" applyFont="1" applyFill="1" applyBorder="1" applyAlignment="1">
      <alignment horizontal="right" vertical="center"/>
    </xf>
    <xf numFmtId="0" fontId="101" fillId="17" borderId="662" xfId="0" applyFont="1" applyFill="1" applyBorder="1" applyAlignment="1">
      <alignment horizontal="center" vertical="center" wrapText="1"/>
    </xf>
    <xf numFmtId="0" fontId="129" fillId="17" borderId="738" xfId="0" applyFont="1" applyFill="1" applyBorder="1" applyAlignment="1">
      <alignment horizontal="right" vertical="center"/>
    </xf>
    <xf numFmtId="0" fontId="101" fillId="17" borderId="738" xfId="0" applyFont="1" applyFill="1" applyBorder="1" applyAlignment="1">
      <alignment horizontal="center" vertical="center" wrapText="1"/>
    </xf>
    <xf numFmtId="0" fontId="129" fillId="4" borderId="674" xfId="0" applyFont="1" applyFill="1" applyBorder="1" applyAlignment="1">
      <alignment horizontal="right" vertical="center"/>
    </xf>
    <xf numFmtId="0" fontId="101" fillId="4" borderId="674" xfId="0" applyFont="1" applyFill="1" applyBorder="1" applyAlignment="1">
      <alignment horizontal="center" vertical="center" wrapText="1"/>
    </xf>
    <xf numFmtId="0" fontId="129" fillId="4" borderId="662" xfId="0" applyFont="1" applyFill="1" applyBorder="1" applyAlignment="1">
      <alignment horizontal="right" vertical="center"/>
    </xf>
    <xf numFmtId="0" fontId="101" fillId="4" borderId="662" xfId="0" applyFont="1" applyFill="1" applyBorder="1" applyAlignment="1">
      <alignment horizontal="center" vertical="center" wrapText="1"/>
    </xf>
    <xf numFmtId="0" fontId="129" fillId="4" borderId="770" xfId="0" applyFont="1" applyFill="1" applyBorder="1" applyAlignment="1">
      <alignment horizontal="right" vertical="center"/>
    </xf>
    <xf numFmtId="0" fontId="101" fillId="4" borderId="770" xfId="0" applyFont="1" applyFill="1" applyBorder="1" applyAlignment="1">
      <alignment horizontal="center" vertical="center" wrapText="1"/>
    </xf>
    <xf numFmtId="0" fontId="129" fillId="4" borderId="737" xfId="0" applyFont="1" applyFill="1" applyBorder="1" applyAlignment="1">
      <alignment horizontal="right" vertical="center"/>
    </xf>
    <xf numFmtId="0" fontId="101" fillId="4" borderId="737" xfId="0" applyFont="1" applyFill="1" applyBorder="1" applyAlignment="1">
      <alignment horizontal="center" vertical="center" wrapText="1"/>
    </xf>
    <xf numFmtId="0" fontId="39" fillId="4" borderId="738" xfId="0" applyFont="1" applyFill="1" applyBorder="1" applyAlignment="1">
      <alignment horizontal="right" vertical="center"/>
    </xf>
    <xf numFmtId="0" fontId="39" fillId="4" borderId="738" xfId="0" applyFont="1" applyFill="1" applyBorder="1" applyAlignment="1">
      <alignment horizontal="center" vertical="center"/>
    </xf>
    <xf numFmtId="0" fontId="68" fillId="4" borderId="674" xfId="0" applyFont="1" applyFill="1" applyBorder="1" applyAlignment="1">
      <alignment horizontal="right" vertical="center"/>
    </xf>
    <xf numFmtId="0" fontId="39" fillId="4" borderId="674" xfId="0" applyFont="1" applyFill="1" applyBorder="1" applyAlignment="1">
      <alignment horizontal="center" vertical="center"/>
    </xf>
    <xf numFmtId="0" fontId="68" fillId="4" borderId="662" xfId="0" applyFont="1" applyFill="1" applyBorder="1" applyAlignment="1">
      <alignment horizontal="right" vertical="center"/>
    </xf>
    <xf numFmtId="0" fontId="39" fillId="4" borderId="662" xfId="0" applyFont="1" applyFill="1" applyBorder="1" applyAlignment="1">
      <alignment horizontal="center" vertical="center"/>
    </xf>
    <xf numFmtId="0" fontId="39" fillId="4" borderId="662" xfId="0" applyFont="1" applyFill="1" applyBorder="1" applyAlignment="1">
      <alignment horizontal="right" vertical="center"/>
    </xf>
    <xf numFmtId="0" fontId="39" fillId="4" borderId="770" xfId="0" applyFont="1" applyFill="1" applyBorder="1" applyAlignment="1">
      <alignment horizontal="right" vertical="center"/>
    </xf>
    <xf numFmtId="0" fontId="39" fillId="4" borderId="770" xfId="0" applyFont="1" applyFill="1" applyBorder="1" applyAlignment="1">
      <alignment horizontal="center" vertical="center"/>
    </xf>
    <xf numFmtId="0" fontId="129" fillId="0" borderId="662" xfId="0" applyFont="1" applyBorder="1" applyAlignment="1">
      <alignment horizontal="right" vertical="center"/>
    </xf>
    <xf numFmtId="0" fontId="68" fillId="4" borderId="737" xfId="0" applyFont="1" applyFill="1" applyBorder="1" applyAlignment="1">
      <alignment horizontal="right" vertical="center"/>
    </xf>
    <xf numFmtId="0" fontId="39" fillId="4" borderId="737" xfId="0" applyFont="1" applyFill="1" applyBorder="1" applyAlignment="1">
      <alignment horizontal="center" vertical="center"/>
    </xf>
    <xf numFmtId="49" fontId="39" fillId="0" borderId="662" xfId="0" applyNumberFormat="1" applyFont="1" applyBorder="1" applyAlignment="1">
      <alignment horizontal="center" vertical="center"/>
    </xf>
    <xf numFmtId="49" fontId="39" fillId="0" borderId="737" xfId="0" applyNumberFormat="1" applyFont="1" applyBorder="1" applyAlignment="1">
      <alignment horizontal="center" vertical="center"/>
    </xf>
    <xf numFmtId="0" fontId="39" fillId="0" borderId="738" xfId="0" applyFont="1" applyBorder="1" applyAlignment="1">
      <alignment vertical="center"/>
    </xf>
    <xf numFmtId="0" fontId="39" fillId="0" borderId="674" xfId="0" applyFont="1" applyBorder="1" applyAlignment="1">
      <alignment horizontal="right" vertical="center"/>
    </xf>
    <xf numFmtId="0" fontId="68" fillId="0" borderId="817" xfId="0" applyFont="1" applyBorder="1" applyAlignment="1">
      <alignment horizontal="right" vertical="center"/>
    </xf>
    <xf numFmtId="0" fontId="39" fillId="0" borderId="817" xfId="0" applyFont="1" applyBorder="1" applyAlignment="1">
      <alignment horizontal="center" vertical="center"/>
    </xf>
    <xf numFmtId="0" fontId="68" fillId="0" borderId="799" xfId="0" applyFont="1" applyBorder="1" applyAlignment="1">
      <alignment horizontal="right" vertical="center"/>
    </xf>
    <xf numFmtId="0" fontId="38" fillId="0" borderId="799" xfId="0" applyFont="1" applyBorder="1" applyAlignment="1">
      <alignment horizontal="left" vertical="center" wrapText="1"/>
    </xf>
    <xf numFmtId="0" fontId="38" fillId="0" borderId="737" xfId="0" applyFont="1" applyBorder="1" applyAlignment="1">
      <alignment horizontal="left" vertical="center" wrapText="1"/>
    </xf>
    <xf numFmtId="0" fontId="38" fillId="0" borderId="674" xfId="0" applyFont="1" applyBorder="1" applyAlignment="1">
      <alignment horizontal="left" vertical="center" wrapText="1"/>
    </xf>
    <xf numFmtId="0" fontId="22" fillId="0" borderId="799" xfId="0" applyFont="1" applyBorder="1" applyAlignment="1">
      <alignment horizontal="left" vertical="center" wrapText="1" indent="1"/>
    </xf>
    <xf numFmtId="0" fontId="23" fillId="0" borderId="662" xfId="0" applyFont="1" applyBorder="1" applyAlignment="1">
      <alignment horizontal="left" vertical="center" wrapText="1" indent="1"/>
    </xf>
    <xf numFmtId="0" fontId="22" fillId="0" borderId="662" xfId="0" applyFont="1" applyBorder="1" applyAlignment="1">
      <alignment horizontal="left" vertical="center" wrapText="1" indent="1"/>
    </xf>
    <xf numFmtId="0" fontId="24" fillId="0" borderId="662" xfId="0" applyFont="1" applyBorder="1" applyAlignment="1">
      <alignment horizontal="left" vertical="center" indent="1"/>
    </xf>
    <xf numFmtId="0" fontId="22" fillId="39" borderId="662" xfId="0" applyFont="1" applyFill="1" applyBorder="1" applyAlignment="1">
      <alignment vertical="center" wrapText="1" indent="1"/>
    </xf>
    <xf numFmtId="0" fontId="23" fillId="39" borderId="662" xfId="0" applyFont="1" applyFill="1" applyBorder="1" applyAlignment="1">
      <alignment vertical="center" wrapText="1" indent="1"/>
    </xf>
    <xf numFmtId="0" fontId="24" fillId="0" borderId="770" xfId="0" applyFont="1" applyBorder="1" applyAlignment="1">
      <alignment horizontal="left" vertical="center" indent="1"/>
    </xf>
    <xf numFmtId="0" fontId="23" fillId="0" borderId="737" xfId="0" applyFont="1" applyBorder="1" applyAlignment="1">
      <alignment vertical="center" wrapText="1" indent="1"/>
    </xf>
    <xf numFmtId="0" fontId="23" fillId="17" borderId="662" xfId="0" applyFont="1" applyFill="1" applyBorder="1" applyAlignment="1">
      <alignment vertical="center" wrapText="1" indent="1"/>
    </xf>
    <xf numFmtId="0" fontId="23" fillId="17" borderId="738" xfId="0" applyFont="1" applyFill="1" applyBorder="1" applyAlignment="1">
      <alignment vertical="center" wrapText="1" indent="1"/>
    </xf>
    <xf numFmtId="0" fontId="23" fillId="4" borderId="674" xfId="0" applyFont="1" applyFill="1" applyBorder="1" applyAlignment="1">
      <alignment vertical="center" wrapText="1" indent="1"/>
    </xf>
    <xf numFmtId="0" fontId="23" fillId="4" borderId="662" xfId="0" applyFont="1" applyFill="1" applyBorder="1" applyAlignment="1">
      <alignment vertical="center" wrapText="1" indent="1"/>
    </xf>
    <xf numFmtId="0" fontId="23" fillId="4" borderId="770" xfId="0" applyFont="1" applyFill="1" applyBorder="1" applyAlignment="1">
      <alignment vertical="center" wrapText="1" indent="1"/>
    </xf>
    <xf numFmtId="0" fontId="22" fillId="4" borderId="737" xfId="0" applyFont="1" applyFill="1" applyBorder="1" applyAlignment="1">
      <alignment vertical="center" wrapText="1" indent="1"/>
    </xf>
    <xf numFmtId="0" fontId="22" fillId="4" borderId="674" xfId="0" applyFont="1" applyFill="1" applyBorder="1" applyAlignment="1">
      <alignment horizontal="left" vertical="center" wrapText="1" indent="1"/>
    </xf>
    <xf numFmtId="0" fontId="23" fillId="4" borderId="662" xfId="0" applyFont="1" applyFill="1" applyBorder="1" applyAlignment="1">
      <alignment horizontal="left" vertical="center" wrapText="1" indent="1"/>
    </xf>
    <xf numFmtId="0" fontId="22" fillId="0" borderId="737" xfId="0" applyFont="1" applyBorder="1" applyAlignment="1">
      <alignment horizontal="left" vertical="center" wrapText="1" indent="1"/>
    </xf>
    <xf numFmtId="0" fontId="38" fillId="0" borderId="737" xfId="0" applyFont="1" applyBorder="1" applyAlignment="1">
      <alignment vertical="center" wrapText="1" indent="1"/>
    </xf>
    <xf numFmtId="0" fontId="38" fillId="0" borderId="662" xfId="0" applyFont="1" applyBorder="1" applyAlignment="1">
      <alignment vertical="center" wrapText="1" indent="1"/>
    </xf>
    <xf numFmtId="49" fontId="38" fillId="0" borderId="662" xfId="0" applyNumberFormat="1" applyFont="1" applyBorder="1" applyAlignment="1">
      <alignment horizontal="left" vertical="center" indent="1"/>
    </xf>
    <xf numFmtId="49" fontId="38" fillId="0" borderId="737" xfId="0" applyNumberFormat="1" applyFont="1" applyBorder="1" applyAlignment="1">
      <alignment horizontal="left" vertical="center" indent="1"/>
    </xf>
    <xf numFmtId="0" fontId="24" fillId="0" borderId="662" xfId="0" applyFont="1" applyBorder="1" applyAlignment="1">
      <alignment vertical="center" indent="1"/>
    </xf>
    <xf numFmtId="0" fontId="24" fillId="0" borderId="738" xfId="0" applyFont="1" applyBorder="1" applyAlignment="1">
      <alignment vertical="center" indent="1"/>
    </xf>
    <xf numFmtId="0" fontId="38" fillId="0" borderId="817" xfId="0" applyFont="1" applyBorder="1" applyAlignment="1">
      <alignment horizontal="left" vertical="center" wrapText="1" indent="1"/>
    </xf>
    <xf numFmtId="0" fontId="54" fillId="0" borderId="662" xfId="0" applyFont="1" applyBorder="1" applyAlignment="1">
      <alignment horizontal="center" vertical="center"/>
    </xf>
    <xf numFmtId="0" fontId="54" fillId="39" borderId="662" xfId="0" applyFont="1" applyFill="1" applyBorder="1" applyAlignment="1">
      <alignment horizontal="center" vertical="center"/>
    </xf>
    <xf numFmtId="0" fontId="54" fillId="0" borderId="770" xfId="0" applyFont="1" applyBorder="1" applyAlignment="1">
      <alignment horizontal="center" vertical="center"/>
    </xf>
    <xf numFmtId="0" fontId="54" fillId="4" borderId="674" xfId="0" applyFont="1" applyFill="1" applyBorder="1" applyAlignment="1">
      <alignment horizontal="center" vertical="center"/>
    </xf>
    <xf numFmtId="0" fontId="54" fillId="4" borderId="662" xfId="0" applyFont="1" applyFill="1" applyBorder="1" applyAlignment="1">
      <alignment horizontal="center" vertical="center"/>
    </xf>
    <xf numFmtId="0" fontId="54" fillId="0" borderId="737" xfId="0" applyFont="1" applyBorder="1" applyAlignment="1">
      <alignment horizontal="center" vertical="center"/>
    </xf>
    <xf numFmtId="0" fontId="52" fillId="0" borderId="674" xfId="0" applyFont="1" applyBorder="1" applyAlignment="1">
      <alignment horizontal="center" vertical="center"/>
    </xf>
    <xf numFmtId="49" fontId="52" fillId="0" borderId="662" xfId="0" applyNumberFormat="1" applyFont="1" applyBorder="1" applyAlignment="1">
      <alignment horizontal="center" vertical="center"/>
    </xf>
    <xf numFmtId="49" fontId="52" fillId="0" borderId="737" xfId="0" applyNumberFormat="1" applyFont="1" applyBorder="1" applyAlignment="1">
      <alignment horizontal="center" vertical="center"/>
    </xf>
    <xf numFmtId="0" fontId="54" fillId="0" borderId="662" xfId="0" applyFont="1" applyBorder="1" applyAlignment="1">
      <alignment vertical="center"/>
    </xf>
    <xf numFmtId="0" fontId="54" fillId="0" borderId="738" xfId="0" applyFont="1" applyBorder="1" applyAlignment="1">
      <alignment vertical="center"/>
    </xf>
    <xf numFmtId="0" fontId="52" fillId="0" borderId="674" xfId="0" applyFont="1" applyBorder="1" applyAlignment="1">
      <alignment horizontal="center" vertical="center" wrapText="1"/>
    </xf>
    <xf numFmtId="0" fontId="23" fillId="4" borderId="674" xfId="0" applyFont="1" applyFill="1" applyBorder="1" applyAlignment="1">
      <alignment horizontal="center" vertical="center" wrapText="1"/>
    </xf>
    <xf numFmtId="0" fontId="23" fillId="4" borderId="662" xfId="0" applyFont="1" applyFill="1" applyBorder="1" applyAlignment="1">
      <alignment horizontal="center" vertical="center" wrapText="1"/>
    </xf>
    <xf numFmtId="49" fontId="38" fillId="0" borderId="737" xfId="0" applyNumberFormat="1" applyFont="1" applyBorder="1" applyAlignment="1">
      <alignment horizontal="center" vertical="center"/>
    </xf>
    <xf numFmtId="0" fontId="24" fillId="0" borderId="662" xfId="0" applyFont="1" applyBorder="1" applyAlignment="1">
      <alignment vertical="center"/>
    </xf>
    <xf numFmtId="0" fontId="24" fillId="0" borderId="738" xfId="0" applyFont="1" applyBorder="1" applyAlignment="1">
      <alignment vertical="center"/>
    </xf>
    <xf numFmtId="0" fontId="24" fillId="0" borderId="817" xfId="0" applyFont="1" applyBorder="1" applyAlignment="1">
      <alignment horizontal="center" vertical="center" wrapText="1"/>
    </xf>
    <xf numFmtId="168" fontId="54" fillId="17" borderId="662" xfId="0" applyNumberFormat="1" applyFont="1" applyFill="1" applyBorder="1" applyAlignment="1">
      <alignment vertical="center"/>
    </xf>
    <xf numFmtId="168" fontId="52" fillId="17" borderId="662" xfId="0" applyNumberFormat="1" applyFont="1" applyFill="1" applyBorder="1" applyAlignment="1">
      <alignment vertical="center"/>
    </xf>
    <xf numFmtId="168" fontId="54" fillId="17" borderId="738" xfId="0" applyNumberFormat="1" applyFont="1" applyFill="1" applyBorder="1" applyAlignment="1">
      <alignment vertical="center"/>
    </xf>
    <xf numFmtId="168" fontId="52" fillId="17" borderId="738" xfId="0" applyNumberFormat="1" applyFont="1" applyFill="1" applyBorder="1" applyAlignment="1">
      <alignment vertical="center"/>
    </xf>
    <xf numFmtId="168" fontId="52" fillId="39" borderId="674" xfId="0" applyNumberFormat="1" applyFont="1" applyFill="1" applyBorder="1" applyAlignment="1">
      <alignment vertical="center"/>
    </xf>
    <xf numFmtId="168" fontId="54" fillId="39" borderId="662" xfId="0" applyNumberFormat="1" applyFont="1" applyFill="1" applyBorder="1" applyAlignment="1">
      <alignment vertical="center"/>
    </xf>
    <xf numFmtId="168" fontId="52" fillId="39" borderId="662" xfId="0" applyNumberFormat="1" applyFont="1" applyFill="1" applyBorder="1" applyAlignment="1">
      <alignment vertical="center"/>
    </xf>
    <xf numFmtId="168" fontId="54" fillId="17" borderId="770" xfId="0" applyNumberFormat="1" applyFont="1" applyFill="1" applyBorder="1" applyAlignment="1">
      <alignment vertical="center"/>
    </xf>
    <xf numFmtId="168" fontId="54" fillId="17" borderId="737" xfId="0" applyNumberFormat="1" applyFont="1" applyFill="1" applyBorder="1" applyAlignment="1">
      <alignment vertical="center"/>
    </xf>
    <xf numFmtId="168" fontId="52" fillId="17" borderId="737" xfId="0" applyNumberFormat="1" applyFont="1" applyFill="1" applyBorder="1" applyAlignment="1">
      <alignment vertical="center"/>
    </xf>
    <xf numFmtId="168" fontId="54" fillId="17" borderId="674" xfId="0" applyNumberFormat="1" applyFont="1" applyFill="1" applyBorder="1" applyAlignment="1">
      <alignment vertical="center"/>
    </xf>
    <xf numFmtId="168" fontId="52" fillId="17" borderId="674" xfId="0" applyNumberFormat="1" applyFont="1" applyFill="1" applyBorder="1" applyAlignment="1">
      <alignment vertical="center"/>
    </xf>
    <xf numFmtId="168" fontId="54" fillId="4" borderId="674" xfId="0" applyNumberFormat="1" applyFont="1" applyFill="1" applyBorder="1" applyAlignment="1">
      <alignment vertical="center"/>
    </xf>
    <xf numFmtId="168" fontId="54" fillId="4" borderId="662" xfId="0" applyNumberFormat="1" applyFont="1" applyFill="1" applyBorder="1" applyAlignment="1">
      <alignment vertical="center"/>
    </xf>
    <xf numFmtId="168" fontId="54" fillId="4" borderId="770" xfId="0" applyNumberFormat="1" applyFont="1" applyFill="1" applyBorder="1" applyAlignment="1">
      <alignment vertical="center"/>
    </xf>
    <xf numFmtId="168" fontId="52" fillId="4" borderId="770" xfId="0" applyNumberFormat="1" applyFont="1" applyFill="1" applyBorder="1" applyAlignment="1">
      <alignment vertical="center"/>
    </xf>
    <xf numFmtId="168" fontId="54" fillId="4" borderId="738" xfId="0" applyNumberFormat="1" applyFont="1" applyFill="1" applyBorder="1" applyAlignment="1">
      <alignment vertical="center"/>
    </xf>
    <xf numFmtId="168" fontId="52" fillId="4" borderId="738" xfId="0" applyNumberFormat="1" applyFont="1" applyFill="1" applyBorder="1" applyAlignment="1">
      <alignment vertical="center"/>
    </xf>
    <xf numFmtId="168" fontId="52" fillId="4" borderId="737" xfId="0" applyNumberFormat="1" applyFont="1" applyFill="1" applyBorder="1" applyAlignment="1">
      <alignment vertical="center"/>
    </xf>
    <xf numFmtId="168" fontId="52" fillId="4" borderId="662" xfId="0" applyNumberFormat="1" applyFont="1" applyFill="1" applyBorder="1" applyAlignment="1">
      <alignment vertical="center"/>
    </xf>
    <xf numFmtId="168" fontId="54" fillId="4" borderId="737" xfId="0" applyNumberFormat="1" applyFont="1" applyFill="1" applyBorder="1" applyAlignment="1">
      <alignment vertical="center"/>
    </xf>
    <xf numFmtId="168" fontId="52" fillId="17" borderId="770" xfId="0" applyNumberFormat="1" applyFont="1" applyFill="1" applyBorder="1" applyAlignment="1">
      <alignment vertical="center"/>
    </xf>
    <xf numFmtId="168" fontId="52" fillId="17" borderId="799" xfId="0" applyNumberFormat="1" applyFont="1" applyFill="1" applyBorder="1" applyAlignment="1">
      <alignment vertical="center"/>
    </xf>
    <xf numFmtId="168" fontId="52" fillId="17" borderId="799" xfId="0" applyNumberFormat="1" applyFont="1" applyFill="1" applyBorder="1" applyAlignment="1">
      <alignment horizontal="right" vertical="center"/>
    </xf>
    <xf numFmtId="168" fontId="54" fillId="0" borderId="817" xfId="0" applyNumberFormat="1" applyFont="1" applyBorder="1" applyAlignment="1">
      <alignment vertical="center"/>
    </xf>
    <xf numFmtId="168" fontId="52" fillId="0" borderId="817" xfId="0" applyNumberFormat="1" applyFont="1" applyBorder="1" applyAlignment="1">
      <alignment vertical="center"/>
    </xf>
    <xf numFmtId="49" fontId="52" fillId="0" borderId="799" xfId="0" applyNumberFormat="1" applyFont="1" applyBorder="1" applyAlignment="1">
      <alignment vertical="center"/>
    </xf>
    <xf numFmtId="49" fontId="52" fillId="0" borderId="662" xfId="0" applyNumberFormat="1" applyFont="1" applyBorder="1" applyAlignment="1">
      <alignment vertical="center"/>
    </xf>
    <xf numFmtId="49" fontId="52" fillId="0" borderId="770" xfId="0" applyNumberFormat="1" applyFont="1" applyBorder="1" applyAlignment="1">
      <alignment vertical="center"/>
    </xf>
    <xf numFmtId="49" fontId="52" fillId="0" borderId="737" xfId="0" applyNumberFormat="1" applyFont="1" applyBorder="1" applyAlignment="1">
      <alignment vertical="center"/>
    </xf>
    <xf numFmtId="49" fontId="52" fillId="17" borderId="662" xfId="0" applyNumberFormat="1" applyFont="1" applyFill="1" applyBorder="1" applyAlignment="1">
      <alignment vertical="center"/>
    </xf>
    <xf numFmtId="49" fontId="52" fillId="17" borderId="738" xfId="0" applyNumberFormat="1" applyFont="1" applyFill="1" applyBorder="1" applyAlignment="1">
      <alignment vertical="center"/>
    </xf>
    <xf numFmtId="49" fontId="52" fillId="0" borderId="674" xfId="0" applyNumberFormat="1" applyFont="1" applyBorder="1" applyAlignment="1">
      <alignment horizontal="center" vertical="center"/>
    </xf>
    <xf numFmtId="49" fontId="52" fillId="0" borderId="770" xfId="0" applyNumberFormat="1" applyFont="1" applyBorder="1" applyAlignment="1">
      <alignment horizontal="center" vertical="center"/>
    </xf>
    <xf numFmtId="49" fontId="52" fillId="17" borderId="737" xfId="0" applyNumberFormat="1" applyFont="1" applyFill="1" applyBorder="1" applyAlignment="1">
      <alignment horizontal="center" vertical="center"/>
    </xf>
    <xf numFmtId="49" fontId="52" fillId="17" borderId="662" xfId="0" applyNumberFormat="1" applyFont="1" applyFill="1" applyBorder="1" applyAlignment="1">
      <alignment horizontal="center" vertical="center"/>
    </xf>
    <xf numFmtId="49" fontId="52" fillId="17" borderId="738" xfId="0" applyNumberFormat="1" applyFont="1" applyFill="1" applyBorder="1" applyAlignment="1">
      <alignment horizontal="center" vertical="center"/>
    </xf>
    <xf numFmtId="49" fontId="52" fillId="17" borderId="674" xfId="0" applyNumberFormat="1" applyFont="1" applyFill="1" applyBorder="1" applyAlignment="1">
      <alignment horizontal="center" vertical="center"/>
    </xf>
    <xf numFmtId="49" fontId="52" fillId="0" borderId="738" xfId="0" applyNumberFormat="1" applyFont="1" applyBorder="1" applyAlignment="1">
      <alignment horizontal="center" vertical="center"/>
    </xf>
    <xf numFmtId="49" fontId="52" fillId="12" borderId="347" xfId="0" applyNumberFormat="1" applyFont="1" applyFill="1" applyBorder="1" applyAlignment="1">
      <alignment horizontal="right" vertical="center"/>
    </xf>
    <xf numFmtId="49" fontId="52" fillId="0" borderId="738" xfId="0" applyNumberFormat="1" applyFont="1" applyBorder="1" applyAlignment="1">
      <alignment vertical="center"/>
    </xf>
    <xf numFmtId="49" fontId="52" fillId="0" borderId="674" xfId="0" applyNumberFormat="1" applyFont="1" applyBorder="1" applyAlignment="1">
      <alignment vertical="center"/>
    </xf>
    <xf numFmtId="49" fontId="52" fillId="0" borderId="799" xfId="0" applyNumberFormat="1" applyFont="1" applyBorder="1" applyAlignment="1">
      <alignment horizontal="center" vertical="center"/>
    </xf>
    <xf numFmtId="49" fontId="52" fillId="39" borderId="662" xfId="0" applyNumberFormat="1" applyFont="1" applyFill="1" applyBorder="1" applyAlignment="1">
      <alignment horizontal="center" vertical="center"/>
    </xf>
    <xf numFmtId="49" fontId="52" fillId="4" borderId="770" xfId="0" applyNumberFormat="1" applyFont="1" applyFill="1" applyBorder="1" applyAlignment="1">
      <alignment horizontal="center" vertical="center"/>
    </xf>
    <xf numFmtId="49" fontId="52" fillId="4" borderId="738" xfId="0" applyNumberFormat="1" applyFont="1" applyFill="1" applyBorder="1" applyAlignment="1">
      <alignment horizontal="center" vertical="center"/>
    </xf>
    <xf numFmtId="49" fontId="52" fillId="4" borderId="662" xfId="0" applyNumberFormat="1" applyFont="1" applyFill="1" applyBorder="1" applyAlignment="1">
      <alignment horizontal="center" vertical="center"/>
    </xf>
    <xf numFmtId="49" fontId="52" fillId="12" borderId="370" xfId="0" applyNumberFormat="1" applyFont="1" applyFill="1" applyBorder="1" applyAlignment="1">
      <alignment horizontal="right" vertical="center"/>
    </xf>
    <xf numFmtId="49" fontId="52" fillId="17" borderId="770" xfId="0" applyNumberFormat="1" applyFont="1" applyFill="1" applyBorder="1" applyAlignment="1">
      <alignment horizontal="center" vertical="center"/>
    </xf>
    <xf numFmtId="49" fontId="52" fillId="17" borderId="737" xfId="0" applyNumberFormat="1" applyFont="1" applyFill="1" applyBorder="1" applyAlignment="1">
      <alignment vertical="center"/>
    </xf>
    <xf numFmtId="49" fontId="52" fillId="17" borderId="674" xfId="0" applyNumberFormat="1" applyFont="1" applyFill="1" applyBorder="1" applyAlignment="1">
      <alignment vertical="center"/>
    </xf>
    <xf numFmtId="49" fontId="52" fillId="17" borderId="770" xfId="0" applyNumberFormat="1" applyFont="1" applyFill="1" applyBorder="1" applyAlignment="1">
      <alignment vertical="center"/>
    </xf>
    <xf numFmtId="49" fontId="52" fillId="12" borderId="117" xfId="0" applyNumberFormat="1" applyFont="1" applyFill="1" applyBorder="1" applyAlignment="1">
      <alignment horizontal="right" vertical="center"/>
    </xf>
    <xf numFmtId="49" fontId="52" fillId="17" borderId="799" xfId="0" applyNumberFormat="1" applyFont="1" applyFill="1" applyBorder="1" applyAlignment="1">
      <alignment horizontal="center" vertical="center"/>
    </xf>
    <xf numFmtId="49" fontId="52" fillId="17" borderId="662" xfId="0" applyNumberFormat="1" applyFont="1" applyFill="1" applyBorder="1" applyAlignment="1">
      <alignment horizontal="right" vertical="center"/>
    </xf>
    <xf numFmtId="49" fontId="54" fillId="0" borderId="662" xfId="0" applyNumberFormat="1" applyFont="1" applyBorder="1" applyAlignment="1">
      <alignment vertical="center"/>
    </xf>
    <xf numFmtId="49" fontId="54" fillId="0" borderId="738" xfId="0" applyNumberFormat="1" applyFont="1" applyBorder="1" applyAlignment="1">
      <alignment vertical="center"/>
    </xf>
    <xf numFmtId="49" fontId="54" fillId="17" borderId="674" xfId="0" applyNumberFormat="1" applyFont="1" applyFill="1" applyBorder="1" applyAlignment="1">
      <alignment vertical="center"/>
    </xf>
    <xf numFmtId="49" fontId="54" fillId="17" borderId="662" xfId="0" applyNumberFormat="1" applyFont="1" applyFill="1" applyBorder="1" applyAlignment="1">
      <alignment vertical="center"/>
    </xf>
    <xf numFmtId="49" fontId="54" fillId="0" borderId="770" xfId="0" applyNumberFormat="1" applyFont="1" applyBorder="1" applyAlignment="1">
      <alignment vertical="center"/>
    </xf>
    <xf numFmtId="49" fontId="52" fillId="0" borderId="817" xfId="0" applyNumberFormat="1" applyFont="1" applyBorder="1" applyAlignment="1">
      <alignment vertical="center"/>
    </xf>
    <xf numFmtId="0" fontId="38" fillId="0" borderId="820" xfId="0" applyFont="1" applyBorder="1" applyAlignment="1">
      <alignment vertical="center" wrapText="1" indent="1"/>
    </xf>
    <xf numFmtId="49" fontId="38" fillId="17" borderId="938" xfId="0" applyNumberFormat="1" applyFont="1" applyFill="1" applyBorder="1" applyAlignment="1">
      <alignment horizontal="left" vertical="center" indent="1"/>
    </xf>
    <xf numFmtId="168" fontId="52" fillId="4" borderId="129" xfId="0" applyNumberFormat="1" applyFont="1" applyFill="1" applyBorder="1" applyAlignment="1">
      <alignment vertical="center"/>
    </xf>
    <xf numFmtId="0" fontId="24" fillId="0" borderId="326" xfId="0" applyFont="1" applyBorder="1" applyAlignment="1">
      <alignment horizontal="center" vertical="center" wrapText="1"/>
    </xf>
    <xf numFmtId="49" fontId="14" fillId="0" borderId="631" xfId="0" applyNumberFormat="1" applyFont="1" applyBorder="1" applyAlignment="1">
      <alignment horizontal="left" vertical="center" wrapText="1" indent="1"/>
    </xf>
    <xf numFmtId="39" fontId="52" fillId="17" borderId="34" xfId="0" applyNumberFormat="1" applyFont="1" applyFill="1" applyBorder="1" applyAlignment="1">
      <alignment vertical="center"/>
    </xf>
    <xf numFmtId="2" fontId="35" fillId="12" borderId="350" xfId="0" applyNumberFormat="1" applyFont="1" applyFill="1" applyBorder="1" applyAlignment="1">
      <alignment horizontal="right" vertical="center"/>
    </xf>
    <xf numFmtId="2" fontId="52" fillId="2" borderId="169" xfId="0" applyNumberFormat="1" applyFont="1" applyFill="1" applyBorder="1" applyAlignment="1">
      <alignment horizontal="left" vertical="center" wrapText="1" indent="2"/>
    </xf>
    <xf numFmtId="4" fontId="35" fillId="2" borderId="327" xfId="0" applyNumberFormat="1" applyFont="1" applyFill="1" applyBorder="1" applyAlignment="1">
      <alignment horizontal="right" vertical="center" wrapText="1" indent="1"/>
    </xf>
    <xf numFmtId="4" fontId="52" fillId="2" borderId="118" xfId="0" applyNumberFormat="1" applyFont="1" applyFill="1" applyBorder="1" applyAlignment="1">
      <alignment horizontal="right" vertical="center" wrapText="1" indent="1"/>
    </xf>
    <xf numFmtId="1" fontId="14" fillId="0" borderId="4" xfId="0" applyNumberFormat="1" applyFont="1" applyBorder="1" applyAlignment="1">
      <alignment horizontal="left" vertical="center" wrapText="1" indent="1"/>
    </xf>
    <xf numFmtId="4" fontId="52" fillId="2" borderId="169" xfId="0" applyNumberFormat="1" applyFont="1" applyFill="1" applyBorder="1" applyAlignment="1">
      <alignment horizontal="left" vertical="center" wrapText="1" indent="1"/>
    </xf>
    <xf numFmtId="168" fontId="130" fillId="2" borderId="508" xfId="0" applyNumberFormat="1" applyFont="1" applyFill="1" applyBorder="1" applyAlignment="1">
      <alignment horizontal="right" vertical="center"/>
    </xf>
    <xf numFmtId="0" fontId="35" fillId="12" borderId="350" xfId="16" applyFont="1" applyFill="1" applyBorder="1" applyAlignment="1">
      <alignment horizontal="right" vertical="center"/>
    </xf>
    <xf numFmtId="4" fontId="42" fillId="2" borderId="350" xfId="16" applyNumberFormat="1" applyFont="1" applyFill="1" applyBorder="1" applyAlignment="1">
      <alignment vertical="center" wrapText="1"/>
    </xf>
    <xf numFmtId="4" fontId="52" fillId="2" borderId="350" xfId="16" applyNumberFormat="1" applyFont="1" applyFill="1" applyBorder="1" applyAlignment="1">
      <alignment horizontal="right" vertical="center" wrapText="1"/>
    </xf>
    <xf numFmtId="0" fontId="29" fillId="0" borderId="122" xfId="16" applyFont="1" applyBorder="1" applyAlignment="1">
      <alignment horizontal="left" vertical="center" wrapText="1" indent="1"/>
    </xf>
    <xf numFmtId="0" fontId="96" fillId="0" borderId="123" xfId="16" applyFont="1" applyBorder="1" applyAlignment="1">
      <alignment horizontal="left" indent="1"/>
    </xf>
    <xf numFmtId="168" fontId="52" fillId="2" borderId="508" xfId="0" applyNumberFormat="1" applyFont="1" applyFill="1" applyBorder="1" applyAlignment="1">
      <alignment horizontal="right" vertical="center"/>
    </xf>
    <xf numFmtId="0" fontId="99" fillId="29" borderId="327" xfId="0" applyFont="1" applyFill="1" applyBorder="1"/>
    <xf numFmtId="1" fontId="14" fillId="17" borderId="4" xfId="0" applyNumberFormat="1" applyFont="1" applyFill="1" applyBorder="1" applyAlignment="1">
      <alignment horizontal="left" vertical="center" wrapText="1" indent="1"/>
    </xf>
    <xf numFmtId="0" fontId="192" fillId="29" borderId="102" xfId="0" applyFont="1" applyFill="1" applyBorder="1" applyAlignment="1">
      <alignment horizontal="left" vertical="center" indent="1"/>
    </xf>
    <xf numFmtId="0" fontId="98" fillId="29" borderId="327" xfId="0" applyFont="1" applyFill="1" applyBorder="1"/>
    <xf numFmtId="49" fontId="14" fillId="17" borderId="359" xfId="0" applyNumberFormat="1" applyFont="1" applyFill="1" applyBorder="1" applyAlignment="1">
      <alignment horizontal="left" vertical="center" wrapText="1" indent="1"/>
    </xf>
    <xf numFmtId="0" fontId="192" fillId="29" borderId="327" xfId="0" applyFont="1" applyFill="1" applyBorder="1" applyAlignment="1">
      <alignment horizontal="left" vertical="center" indent="1"/>
    </xf>
    <xf numFmtId="0" fontId="304" fillId="0" borderId="384" xfId="0" applyFont="1" applyBorder="1" applyAlignment="1">
      <alignment horizontal="left" indent="1"/>
    </xf>
    <xf numFmtId="0" fontId="304" fillId="0" borderId="727" xfId="0" applyFont="1" applyBorder="1" applyAlignment="1">
      <alignment horizontal="left" indent="1"/>
    </xf>
    <xf numFmtId="0" fontId="292" fillId="0" borderId="727" xfId="0" applyFont="1" applyBorder="1" applyAlignment="1">
      <alignment horizontal="left" indent="1"/>
    </xf>
    <xf numFmtId="0" fontId="304" fillId="0" borderId="728" xfId="0" applyFont="1" applyBorder="1" applyAlignment="1">
      <alignment horizontal="left" indent="1"/>
    </xf>
    <xf numFmtId="0" fontId="304" fillId="0" borderId="723" xfId="0" applyFont="1" applyBorder="1" applyAlignment="1">
      <alignment horizontal="left" indent="1"/>
    </xf>
    <xf numFmtId="4" fontId="52" fillId="2" borderId="327" xfId="0" applyNumberFormat="1" applyFont="1" applyFill="1" applyBorder="1" applyAlignment="1">
      <alignment horizontal="right" vertical="center"/>
    </xf>
    <xf numFmtId="0" fontId="206" fillId="2" borderId="1" xfId="0" applyFont="1" applyFill="1" applyBorder="1" applyAlignment="1">
      <alignment horizontal="center" vertical="center"/>
    </xf>
    <xf numFmtId="49" fontId="206" fillId="2" borderId="2" xfId="0" applyNumberFormat="1" applyFont="1" applyFill="1" applyBorder="1" applyAlignment="1">
      <alignment horizontal="center" vertical="center" wrapText="1"/>
    </xf>
    <xf numFmtId="49" fontId="206" fillId="2" borderId="2" xfId="0" applyNumberFormat="1" applyFont="1" applyFill="1" applyBorder="1" applyAlignment="1">
      <alignment horizontal="center" vertical="center"/>
    </xf>
    <xf numFmtId="0" fontId="206" fillId="2" borderId="2" xfId="0" applyFont="1" applyFill="1" applyBorder="1" applyAlignment="1">
      <alignment horizontal="center" vertical="center"/>
    </xf>
    <xf numFmtId="49" fontId="206" fillId="2" borderId="3" xfId="0" applyNumberFormat="1" applyFont="1" applyFill="1" applyBorder="1" applyAlignment="1">
      <alignment horizontal="center" vertical="center"/>
    </xf>
    <xf numFmtId="1" fontId="206" fillId="2" borderId="2" xfId="0" applyNumberFormat="1" applyFont="1" applyFill="1" applyBorder="1" applyAlignment="1">
      <alignment horizontal="center" vertical="center"/>
    </xf>
    <xf numFmtId="0" fontId="275" fillId="0" borderId="0" xfId="0" applyFont="1"/>
    <xf numFmtId="0" fontId="206" fillId="2" borderId="1" xfId="16" applyFont="1" applyFill="1" applyBorder="1" applyAlignment="1">
      <alignment horizontal="center" vertical="center"/>
    </xf>
    <xf numFmtId="49" fontId="206" fillId="2" borderId="2" xfId="16" applyNumberFormat="1" applyFont="1" applyFill="1" applyBorder="1" applyAlignment="1">
      <alignment horizontal="center" vertical="center" wrapText="1"/>
    </xf>
    <xf numFmtId="1" fontId="206" fillId="2" borderId="2" xfId="16" applyNumberFormat="1" applyFont="1" applyFill="1" applyBorder="1" applyAlignment="1">
      <alignment horizontal="center" vertical="center"/>
    </xf>
    <xf numFmtId="0" fontId="206" fillId="2" borderId="2" xfId="16" applyFont="1" applyFill="1" applyBorder="1" applyAlignment="1">
      <alignment horizontal="center" vertical="center"/>
    </xf>
    <xf numFmtId="49" fontId="206" fillId="2" borderId="3" xfId="16" applyNumberFormat="1" applyFont="1" applyFill="1" applyBorder="1" applyAlignment="1">
      <alignment horizontal="center" vertical="center"/>
    </xf>
    <xf numFmtId="0" fontId="206" fillId="2" borderId="3" xfId="0" applyFont="1" applyFill="1" applyBorder="1" applyAlignment="1">
      <alignment horizontal="center" vertical="center"/>
    </xf>
    <xf numFmtId="0" fontId="206" fillId="2" borderId="351" xfId="0" applyFont="1" applyFill="1" applyBorder="1" applyAlignment="1">
      <alignment horizontal="center" vertical="center"/>
    </xf>
    <xf numFmtId="49" fontId="206" fillId="2" borderId="352" xfId="0" applyNumberFormat="1" applyFont="1" applyFill="1" applyBorder="1" applyAlignment="1">
      <alignment horizontal="center" vertical="center" wrapText="1"/>
    </xf>
    <xf numFmtId="49" fontId="206" fillId="2" borderId="352" xfId="0" applyNumberFormat="1" applyFont="1" applyFill="1" applyBorder="1" applyAlignment="1">
      <alignment horizontal="center" vertical="center"/>
    </xf>
    <xf numFmtId="0" fontId="206" fillId="2" borderId="352" xfId="0" applyFont="1" applyFill="1" applyBorder="1" applyAlignment="1">
      <alignment horizontal="center" vertical="center"/>
    </xf>
    <xf numFmtId="49" fontId="206" fillId="2" borderId="353" xfId="0" applyNumberFormat="1" applyFont="1" applyFill="1" applyBorder="1" applyAlignment="1">
      <alignment horizontal="center" vertical="center"/>
    </xf>
    <xf numFmtId="0" fontId="206" fillId="2" borderId="694" xfId="0" applyFont="1" applyFill="1" applyBorder="1" applyAlignment="1">
      <alignment horizontal="center" vertical="center"/>
    </xf>
    <xf numFmtId="49" fontId="206" fillId="2" borderId="695" xfId="0" applyNumberFormat="1" applyFont="1" applyFill="1" applyBorder="1" applyAlignment="1">
      <alignment horizontal="center" vertical="center" wrapText="1"/>
    </xf>
    <xf numFmtId="49" fontId="206" fillId="2" borderId="695" xfId="0" applyNumberFormat="1" applyFont="1" applyFill="1" applyBorder="1" applyAlignment="1">
      <alignment horizontal="center" vertical="center"/>
    </xf>
    <xf numFmtId="0" fontId="206" fillId="2" borderId="695" xfId="0" applyFont="1" applyFill="1" applyBorder="1" applyAlignment="1">
      <alignment horizontal="center" vertical="center"/>
    </xf>
    <xf numFmtId="0" fontId="206" fillId="2" borderId="696" xfId="0" applyFont="1" applyFill="1" applyBorder="1" applyAlignment="1">
      <alignment horizontal="center" vertical="center"/>
    </xf>
    <xf numFmtId="0" fontId="206" fillId="29" borderId="1" xfId="0" applyFont="1" applyFill="1" applyBorder="1" applyAlignment="1">
      <alignment horizontal="center" vertical="center"/>
    </xf>
    <xf numFmtId="49" fontId="206" fillId="29" borderId="2" xfId="0" applyNumberFormat="1" applyFont="1" applyFill="1" applyBorder="1" applyAlignment="1">
      <alignment horizontal="center" vertical="center" wrapText="1"/>
    </xf>
    <xf numFmtId="1" fontId="206" fillId="29" borderId="2" xfId="0" applyNumberFormat="1" applyFont="1" applyFill="1" applyBorder="1" applyAlignment="1">
      <alignment horizontal="center" vertical="center"/>
    </xf>
    <xf numFmtId="0" fontId="206" fillId="29" borderId="2" xfId="0" applyFont="1" applyFill="1" applyBorder="1" applyAlignment="1">
      <alignment horizontal="center" vertical="center"/>
    </xf>
    <xf numFmtId="49" fontId="206" fillId="29" borderId="3" xfId="0" applyNumberFormat="1" applyFont="1" applyFill="1" applyBorder="1" applyAlignment="1">
      <alignment horizontal="center" vertical="center"/>
    </xf>
    <xf numFmtId="0" fontId="206" fillId="29" borderId="651" xfId="0" applyFont="1" applyFill="1" applyBorder="1" applyAlignment="1">
      <alignment horizontal="center" vertical="center"/>
    </xf>
    <xf numFmtId="49" fontId="206" fillId="29" borderId="652" xfId="0" applyNumberFormat="1" applyFont="1" applyFill="1" applyBorder="1" applyAlignment="1">
      <alignment horizontal="center" vertical="center" wrapText="1"/>
    </xf>
    <xf numFmtId="1" fontId="206" fillId="29" borderId="652" xfId="0" applyNumberFormat="1" applyFont="1" applyFill="1" applyBorder="1" applyAlignment="1">
      <alignment horizontal="center" vertical="center"/>
    </xf>
    <xf numFmtId="0" fontId="206" fillId="29" borderId="652" xfId="0" applyFont="1" applyFill="1" applyBorder="1" applyAlignment="1">
      <alignment horizontal="center" vertical="center"/>
    </xf>
    <xf numFmtId="49" fontId="206" fillId="29" borderId="653" xfId="0" applyNumberFormat="1" applyFont="1" applyFill="1" applyBorder="1" applyAlignment="1">
      <alignment horizontal="center" vertical="center"/>
    </xf>
    <xf numFmtId="0" fontId="307" fillId="19" borderId="720" xfId="15" applyFont="1" applyFill="1" applyBorder="1" applyAlignment="1">
      <alignment horizontal="center" vertical="center"/>
    </xf>
    <xf numFmtId="0" fontId="307" fillId="19" borderId="721" xfId="15" applyFont="1" applyFill="1" applyBorder="1" applyAlignment="1">
      <alignment horizontal="center" vertical="center" wrapText="1"/>
    </xf>
    <xf numFmtId="0" fontId="307" fillId="19" borderId="721" xfId="15" applyFont="1" applyFill="1" applyBorder="1" applyAlignment="1">
      <alignment horizontal="center" vertical="center"/>
    </xf>
    <xf numFmtId="0" fontId="307" fillId="19" borderId="722" xfId="15" applyFont="1" applyFill="1" applyBorder="1" applyAlignment="1">
      <alignment horizontal="center" vertical="center"/>
    </xf>
    <xf numFmtId="0" fontId="206" fillId="29" borderId="1" xfId="0" applyFont="1" applyFill="1" applyBorder="1" applyAlignment="1">
      <alignment horizontal="center" vertical="center" wrapText="1"/>
    </xf>
    <xf numFmtId="1" fontId="206" fillId="29" borderId="2" xfId="0" applyNumberFormat="1" applyFont="1" applyFill="1" applyBorder="1" applyAlignment="1">
      <alignment horizontal="center" vertical="center" wrapText="1"/>
    </xf>
    <xf numFmtId="0" fontId="206" fillId="29" borderId="2" xfId="0" applyFont="1" applyFill="1" applyBorder="1" applyAlignment="1">
      <alignment horizontal="center" vertical="center" wrapText="1"/>
    </xf>
    <xf numFmtId="49" fontId="206" fillId="29" borderId="3" xfId="0" applyNumberFormat="1" applyFont="1" applyFill="1" applyBorder="1" applyAlignment="1">
      <alignment horizontal="center" vertical="center" wrapText="1"/>
    </xf>
    <xf numFmtId="0" fontId="206" fillId="29" borderId="3" xfId="0" applyFont="1" applyFill="1" applyBorder="1" applyAlignment="1">
      <alignment horizontal="center" vertical="center" wrapText="1"/>
    </xf>
    <xf numFmtId="0" fontId="206" fillId="16" borderId="45" xfId="0" applyFont="1" applyFill="1" applyBorder="1" applyAlignment="1">
      <alignment vertical="center" wrapText="1"/>
    </xf>
    <xf numFmtId="0" fontId="206" fillId="16" borderId="169" xfId="0" applyFont="1" applyFill="1" applyBorder="1" applyAlignment="1">
      <alignment vertical="center" wrapText="1"/>
    </xf>
    <xf numFmtId="0" fontId="139" fillId="53" borderId="354" xfId="15" applyFont="1" applyFill="1" applyBorder="1" applyAlignment="1">
      <alignment horizontal="right" vertical="center"/>
    </xf>
    <xf numFmtId="0" fontId="139" fillId="54" borderId="354" xfId="15" applyFont="1" applyFill="1" applyBorder="1" applyAlignment="1">
      <alignment horizontal="right" vertical="center"/>
    </xf>
    <xf numFmtId="0" fontId="206" fillId="16" borderId="169" xfId="0" applyFont="1" applyFill="1" applyBorder="1" applyAlignment="1">
      <alignment horizontal="left" vertical="center" wrapText="1" indent="1"/>
    </xf>
    <xf numFmtId="4" fontId="140" fillId="55" borderId="480" xfId="15" applyNumberFormat="1" applyFont="1" applyFill="1" applyBorder="1" applyAlignment="1">
      <alignment horizontal="right" vertical="center" indent="1"/>
    </xf>
    <xf numFmtId="0" fontId="206" fillId="29" borderId="45" xfId="0" applyFont="1" applyFill="1" applyBorder="1" applyAlignment="1">
      <alignment vertical="center" wrapText="1"/>
    </xf>
    <xf numFmtId="0" fontId="206" fillId="29" borderId="169" xfId="0" applyFont="1" applyFill="1" applyBorder="1" applyAlignment="1">
      <alignment horizontal="left" vertical="center" wrapText="1" indent="1"/>
    </xf>
    <xf numFmtId="0" fontId="206" fillId="29" borderId="169" xfId="0" applyFont="1" applyFill="1" applyBorder="1" applyAlignment="1">
      <alignment vertical="center" wrapText="1"/>
    </xf>
    <xf numFmtId="49" fontId="34" fillId="17" borderId="744" xfId="0" applyNumberFormat="1" applyFont="1" applyFill="1" applyBorder="1" applyAlignment="1">
      <alignment horizontal="center" vertical="center"/>
    </xf>
    <xf numFmtId="168" fontId="35" fillId="29" borderId="656" xfId="0" applyNumberFormat="1" applyFont="1" applyFill="1" applyBorder="1" applyAlignment="1">
      <alignment horizontal="right" vertical="center"/>
    </xf>
    <xf numFmtId="0" fontId="307" fillId="0" borderId="0" xfId="0" applyFont="1" applyAlignment="1">
      <alignment vertical="center" wrapText="1"/>
    </xf>
    <xf numFmtId="168" fontId="35" fillId="29" borderId="9" xfId="0" applyNumberFormat="1" applyFont="1" applyFill="1" applyBorder="1" applyAlignment="1">
      <alignment horizontal="right" vertical="center"/>
    </xf>
    <xf numFmtId="168" fontId="35" fillId="46" borderId="355" xfId="0" applyNumberFormat="1" applyFont="1" applyFill="1" applyBorder="1" applyAlignment="1">
      <alignment horizontal="right" vertical="center"/>
    </xf>
    <xf numFmtId="168" fontId="240" fillId="46" borderId="355" xfId="0" applyNumberFormat="1" applyFont="1" applyFill="1" applyBorder="1" applyAlignment="1">
      <alignment horizontal="right" vertical="center"/>
    </xf>
    <xf numFmtId="168" fontId="35" fillId="46" borderId="9" xfId="0" applyNumberFormat="1" applyFont="1" applyFill="1" applyBorder="1" applyAlignment="1">
      <alignment horizontal="right" vertical="center"/>
    </xf>
    <xf numFmtId="0" fontId="206" fillId="0" borderId="344" xfId="16" applyFont="1" applyAlignment="1">
      <alignment vertical="center" wrapText="1"/>
    </xf>
    <xf numFmtId="0" fontId="275" fillId="0" borderId="344" xfId="16" applyFont="1"/>
    <xf numFmtId="0" fontId="206" fillId="29" borderId="341" xfId="0" applyFont="1" applyFill="1" applyBorder="1" applyAlignment="1">
      <alignment vertical="center" wrapText="1"/>
    </xf>
    <xf numFmtId="0" fontId="206" fillId="29" borderId="327" xfId="0" applyFont="1" applyFill="1" applyBorder="1" applyAlignment="1">
      <alignment horizontal="left" vertical="center" wrapText="1" indent="1"/>
    </xf>
    <xf numFmtId="0" fontId="206" fillId="29" borderId="327" xfId="0" applyFont="1" applyFill="1" applyBorder="1" applyAlignment="1">
      <alignment vertical="center" wrapText="1"/>
    </xf>
    <xf numFmtId="49" fontId="14" fillId="3" borderId="650" xfId="0" applyNumberFormat="1" applyFont="1" applyFill="1" applyBorder="1" applyAlignment="1">
      <alignment horizontal="left" vertical="center" wrapText="1" indent="1"/>
    </xf>
    <xf numFmtId="0" fontId="14" fillId="0" borderId="744" xfId="0" applyFont="1" applyBorder="1" applyAlignment="1">
      <alignment horizontal="left" vertical="center" wrapText="1" indent="1"/>
    </xf>
    <xf numFmtId="49" fontId="58" fillId="17" borderId="744" xfId="0" applyNumberFormat="1" applyFont="1" applyFill="1" applyBorder="1" applyAlignment="1">
      <alignment horizontal="center" vertical="center"/>
    </xf>
    <xf numFmtId="168" fontId="34" fillId="0" borderId="939" xfId="0" applyNumberFormat="1" applyFont="1" applyBorder="1" applyAlignment="1">
      <alignment horizontal="right" vertical="center"/>
    </xf>
    <xf numFmtId="49" fontId="35" fillId="12" borderId="350" xfId="0" applyNumberFormat="1" applyFont="1" applyFill="1" applyBorder="1" applyAlignment="1">
      <alignment horizontal="right" vertical="center"/>
    </xf>
    <xf numFmtId="49" fontId="52" fillId="12" borderId="350" xfId="0" applyNumberFormat="1" applyFont="1" applyFill="1" applyBorder="1" applyAlignment="1">
      <alignment horizontal="center" vertical="center"/>
    </xf>
    <xf numFmtId="49" fontId="68" fillId="12" borderId="350" xfId="0" applyNumberFormat="1" applyFont="1" applyFill="1" applyBorder="1" applyAlignment="1">
      <alignment horizontal="left" vertical="center" indent="1"/>
    </xf>
    <xf numFmtId="0" fontId="101" fillId="0" borderId="344" xfId="0" applyFont="1" applyBorder="1"/>
    <xf numFmtId="0" fontId="130" fillId="44" borderId="427" xfId="0" applyFont="1" applyFill="1" applyBorder="1"/>
    <xf numFmtId="0" fontId="130" fillId="44" borderId="751" xfId="0" applyFont="1" applyFill="1" applyBorder="1"/>
    <xf numFmtId="0" fontId="35" fillId="15" borderId="350" xfId="0" applyFont="1" applyFill="1" applyBorder="1" applyAlignment="1">
      <alignment horizontal="right" vertical="center"/>
    </xf>
    <xf numFmtId="168" fontId="35" fillId="15" borderId="713" xfId="0" applyNumberFormat="1" applyFont="1" applyFill="1" applyBorder="1" applyAlignment="1">
      <alignment horizontal="right" vertical="center"/>
    </xf>
    <xf numFmtId="0" fontId="140" fillId="44" borderId="427" xfId="0" applyFont="1" applyFill="1" applyBorder="1" applyAlignment="1">
      <alignment horizontal="right" vertical="center"/>
    </xf>
    <xf numFmtId="168" fontId="35" fillId="15" borderId="713" xfId="0" applyNumberFormat="1" applyFont="1" applyFill="1" applyBorder="1" applyAlignment="1">
      <alignment horizontal="right" vertical="center" indent="1"/>
    </xf>
    <xf numFmtId="0" fontId="35" fillId="15" borderId="350" xfId="0" applyFont="1" applyFill="1" applyBorder="1" applyAlignment="1">
      <alignment horizontal="left" vertical="center" indent="2"/>
    </xf>
    <xf numFmtId="168" fontId="52" fillId="39" borderId="129" xfId="0" applyNumberFormat="1" applyFont="1" applyFill="1" applyBorder="1" applyAlignment="1">
      <alignment vertical="center"/>
    </xf>
    <xf numFmtId="49" fontId="52" fillId="0" borderId="129" xfId="0" applyNumberFormat="1" applyFont="1" applyBorder="1" applyAlignment="1">
      <alignment horizontal="center" vertical="center"/>
    </xf>
    <xf numFmtId="168" fontId="52" fillId="0" borderId="74" xfId="0" applyNumberFormat="1" applyFont="1" applyBorder="1" applyAlignment="1">
      <alignment vertical="center"/>
    </xf>
    <xf numFmtId="49" fontId="52" fillId="0" borderId="74" xfId="0" applyNumberFormat="1" applyFont="1" applyBorder="1" applyAlignment="1">
      <alignment horizontal="center" vertical="center"/>
    </xf>
    <xf numFmtId="0" fontId="54" fillId="0" borderId="74" xfId="0" applyFont="1" applyBorder="1" applyAlignment="1">
      <alignment vertical="center"/>
    </xf>
    <xf numFmtId="49" fontId="54" fillId="0" borderId="74" xfId="0" applyNumberFormat="1" applyFont="1" applyBorder="1" applyAlignment="1">
      <alignment horizontal="center" vertical="center"/>
    </xf>
    <xf numFmtId="0" fontId="54" fillId="0" borderId="134" xfId="0" applyFont="1" applyBorder="1" applyAlignment="1">
      <alignment vertical="center"/>
    </xf>
    <xf numFmtId="49" fontId="54" fillId="0" borderId="134" xfId="0" applyNumberFormat="1" applyFont="1" applyBorder="1" applyAlignment="1">
      <alignment horizontal="center" vertical="center"/>
    </xf>
    <xf numFmtId="168" fontId="52" fillId="39" borderId="135" xfId="0" applyNumberFormat="1" applyFont="1" applyFill="1" applyBorder="1" applyAlignment="1">
      <alignment vertical="center"/>
    </xf>
    <xf numFmtId="49" fontId="52" fillId="0" borderId="135" xfId="0" applyNumberFormat="1" applyFont="1" applyBorder="1" applyAlignment="1">
      <alignment horizontal="center" vertical="center"/>
    </xf>
    <xf numFmtId="168" fontId="52" fillId="0" borderId="75" xfId="0" applyNumberFormat="1" applyFont="1" applyBorder="1" applyAlignment="1">
      <alignment vertical="center"/>
    </xf>
    <xf numFmtId="49" fontId="52" fillId="0" borderId="75" xfId="0" applyNumberFormat="1" applyFont="1" applyBorder="1" applyAlignment="1">
      <alignment horizontal="center" vertical="center"/>
    </xf>
    <xf numFmtId="168" fontId="52" fillId="39" borderId="329" xfId="0" applyNumberFormat="1" applyFont="1" applyFill="1" applyBorder="1" applyAlignment="1">
      <alignment vertical="center"/>
    </xf>
    <xf numFmtId="49" fontId="52" fillId="0" borderId="329" xfId="0" applyNumberFormat="1" applyFont="1" applyBorder="1" applyAlignment="1">
      <alignment horizontal="center" vertical="center"/>
    </xf>
    <xf numFmtId="49" fontId="52" fillId="39" borderId="135" xfId="0" applyNumberFormat="1" applyFont="1" applyFill="1" applyBorder="1" applyAlignment="1">
      <alignment horizontal="center" vertical="center"/>
    </xf>
    <xf numFmtId="168" fontId="52" fillId="39" borderId="74" xfId="0" applyNumberFormat="1" applyFont="1" applyFill="1" applyBorder="1" applyAlignment="1">
      <alignment vertical="center"/>
    </xf>
    <xf numFmtId="49" fontId="52" fillId="39" borderId="74" xfId="0" applyNumberFormat="1" applyFont="1" applyFill="1" applyBorder="1" applyAlignment="1">
      <alignment horizontal="center" vertical="center"/>
    </xf>
    <xf numFmtId="168" fontId="52" fillId="0" borderId="84" xfId="0" applyNumberFormat="1" applyFont="1" applyBorder="1" applyAlignment="1">
      <alignment vertical="center"/>
    </xf>
    <xf numFmtId="168" fontId="52" fillId="17" borderId="74" xfId="0" applyNumberFormat="1" applyFont="1" applyFill="1" applyBorder="1" applyAlignment="1">
      <alignment vertical="center"/>
    </xf>
    <xf numFmtId="49" fontId="52" fillId="17" borderId="74" xfId="0" applyNumberFormat="1" applyFont="1" applyFill="1" applyBorder="1" applyAlignment="1">
      <alignment horizontal="center" vertical="center"/>
    </xf>
    <xf numFmtId="0" fontId="54" fillId="17" borderId="75" xfId="0" applyFont="1" applyFill="1" applyBorder="1" applyAlignment="1">
      <alignment vertical="center"/>
    </xf>
    <xf numFmtId="49" fontId="54" fillId="17" borderId="75" xfId="0" applyNumberFormat="1" applyFont="1" applyFill="1" applyBorder="1" applyAlignment="1">
      <alignment horizontal="center" vertical="center"/>
    </xf>
    <xf numFmtId="168" fontId="52" fillId="17" borderId="135" xfId="0" applyNumberFormat="1" applyFont="1" applyFill="1" applyBorder="1" applyAlignment="1">
      <alignment vertical="center"/>
    </xf>
    <xf numFmtId="49" fontId="52" fillId="17" borderId="135" xfId="0" applyNumberFormat="1" applyFont="1" applyFill="1" applyBorder="1" applyAlignment="1">
      <alignment horizontal="center" vertical="center"/>
    </xf>
    <xf numFmtId="0" fontId="54" fillId="0" borderId="75" xfId="0" applyFont="1" applyBorder="1" applyAlignment="1">
      <alignment vertical="center"/>
    </xf>
    <xf numFmtId="49" fontId="54" fillId="0" borderId="75" xfId="0" applyNumberFormat="1" applyFont="1" applyBorder="1" applyAlignment="1">
      <alignment horizontal="center" vertical="center"/>
    </xf>
    <xf numFmtId="168" fontId="52" fillId="0" borderId="135" xfId="0" applyNumberFormat="1" applyFont="1" applyBorder="1" applyAlignment="1">
      <alignment vertical="center"/>
    </xf>
    <xf numFmtId="168" fontId="52" fillId="0" borderId="329" xfId="0" applyNumberFormat="1" applyFont="1" applyBorder="1" applyAlignment="1">
      <alignment vertical="center"/>
    </xf>
    <xf numFmtId="168" fontId="52" fillId="17" borderId="329" xfId="0" applyNumberFormat="1" applyFont="1" applyFill="1" applyBorder="1" applyAlignment="1">
      <alignment vertical="center"/>
    </xf>
    <xf numFmtId="49" fontId="52" fillId="17" borderId="329" xfId="0" applyNumberFormat="1" applyFont="1" applyFill="1" applyBorder="1" applyAlignment="1">
      <alignment horizontal="center" vertical="center"/>
    </xf>
    <xf numFmtId="168" fontId="52" fillId="17" borderId="75" xfId="0" applyNumberFormat="1" applyFont="1" applyFill="1" applyBorder="1" applyAlignment="1">
      <alignment vertical="center"/>
    </xf>
    <xf numFmtId="49" fontId="52" fillId="17" borderId="75" xfId="0" applyNumberFormat="1" applyFont="1" applyFill="1" applyBorder="1" applyAlignment="1">
      <alignment horizontal="center" vertical="center"/>
    </xf>
    <xf numFmtId="168" fontId="68" fillId="0" borderId="329" xfId="0" applyNumberFormat="1" applyFont="1" applyBorder="1" applyAlignment="1">
      <alignment vertical="center"/>
    </xf>
    <xf numFmtId="49" fontId="68" fillId="0" borderId="329" xfId="0" applyNumberFormat="1" applyFont="1" applyBorder="1" applyAlignment="1">
      <alignment vertical="center"/>
    </xf>
    <xf numFmtId="168" fontId="68" fillId="0" borderId="74" xfId="0" applyNumberFormat="1" applyFont="1" applyBorder="1" applyAlignment="1">
      <alignment vertical="center"/>
    </xf>
    <xf numFmtId="49" fontId="68" fillId="0" borderId="74" xfId="0" applyNumberFormat="1" applyFont="1" applyBorder="1" applyAlignment="1">
      <alignment vertical="center"/>
    </xf>
    <xf numFmtId="0" fontId="39" fillId="0" borderId="74" xfId="0" applyFont="1" applyBorder="1" applyAlignment="1">
      <alignment vertical="center"/>
    </xf>
    <xf numFmtId="49" fontId="39" fillId="0" borderId="74" xfId="0" applyNumberFormat="1" applyFont="1" applyBorder="1" applyAlignment="1">
      <alignment vertical="center"/>
    </xf>
    <xf numFmtId="0" fontId="39" fillId="0" borderId="134" xfId="0" applyFont="1" applyBorder="1" applyAlignment="1">
      <alignment vertical="center"/>
    </xf>
    <xf numFmtId="49" fontId="39" fillId="0" borderId="134" xfId="0" applyNumberFormat="1" applyFont="1" applyBorder="1" applyAlignment="1">
      <alignment vertical="center"/>
    </xf>
    <xf numFmtId="0" fontId="39" fillId="0" borderId="561" xfId="0" applyFont="1" applyBorder="1" applyAlignment="1">
      <alignment vertical="center"/>
    </xf>
    <xf numFmtId="49" fontId="39" fillId="0" borderId="561" xfId="0" applyNumberFormat="1" applyFont="1" applyBorder="1" applyAlignment="1">
      <alignment vertical="center"/>
    </xf>
    <xf numFmtId="0" fontId="39" fillId="0" borderId="75" xfId="0" applyFont="1" applyBorder="1" applyAlignment="1">
      <alignment vertical="center"/>
    </xf>
    <xf numFmtId="49" fontId="39" fillId="0" borderId="75" xfId="0" applyNumberFormat="1" applyFont="1" applyBorder="1" applyAlignment="1">
      <alignment vertical="center"/>
    </xf>
    <xf numFmtId="0" fontId="39" fillId="0" borderId="147" xfId="0" applyFont="1" applyBorder="1" applyAlignment="1">
      <alignment vertical="center"/>
    </xf>
    <xf numFmtId="49" fontId="39" fillId="0" borderId="147" xfId="0" applyNumberFormat="1" applyFont="1" applyBorder="1" applyAlignment="1">
      <alignment vertical="center"/>
    </xf>
    <xf numFmtId="0" fontId="39" fillId="0" borderId="335" xfId="0" applyFont="1" applyBorder="1" applyAlignment="1">
      <alignment vertical="center"/>
    </xf>
    <xf numFmtId="49" fontId="39" fillId="0" borderId="335" xfId="0" applyNumberFormat="1" applyFont="1" applyBorder="1" applyAlignment="1">
      <alignment vertical="center"/>
    </xf>
    <xf numFmtId="168" fontId="68" fillId="0" borderId="134" xfId="0" applyNumberFormat="1" applyFont="1" applyBorder="1" applyAlignment="1">
      <alignment vertical="center"/>
    </xf>
    <xf numFmtId="49" fontId="68" fillId="0" borderId="134" xfId="0" applyNumberFormat="1" applyFont="1" applyBorder="1" applyAlignment="1">
      <alignment vertical="center"/>
    </xf>
    <xf numFmtId="0" fontId="39" fillId="0" borderId="135" xfId="0" applyFont="1" applyBorder="1" applyAlignment="1">
      <alignment vertical="center"/>
    </xf>
    <xf numFmtId="49" fontId="39" fillId="0" borderId="135" xfId="0" applyNumberFormat="1" applyFont="1" applyBorder="1" applyAlignment="1">
      <alignment vertical="center"/>
    </xf>
    <xf numFmtId="168" fontId="68" fillId="0" borderId="75" xfId="0" applyNumberFormat="1" applyFont="1" applyBorder="1" applyAlignment="1">
      <alignment vertical="center"/>
    </xf>
    <xf numFmtId="49" fontId="68" fillId="0" borderId="75" xfId="0" applyNumberFormat="1" applyFont="1" applyBorder="1" applyAlignment="1">
      <alignment vertical="center"/>
    </xf>
    <xf numFmtId="168" fontId="68" fillId="0" borderId="147" xfId="0" applyNumberFormat="1" applyFont="1" applyBorder="1" applyAlignment="1">
      <alignment vertical="center"/>
    </xf>
    <xf numFmtId="49" fontId="68" fillId="0" borderId="147" xfId="0" applyNumberFormat="1" applyFont="1" applyBorder="1" applyAlignment="1">
      <alignment vertical="center"/>
    </xf>
    <xf numFmtId="168" fontId="68" fillId="0" borderId="135" xfId="0" applyNumberFormat="1" applyFont="1" applyBorder="1" applyAlignment="1">
      <alignment vertical="center"/>
    </xf>
    <xf numFmtId="49" fontId="68" fillId="0" borderId="135" xfId="0" applyNumberFormat="1" applyFont="1" applyBorder="1" applyAlignment="1">
      <alignment vertical="center"/>
    </xf>
    <xf numFmtId="0" fontId="35" fillId="2" borderId="350" xfId="0" applyFont="1" applyFill="1" applyBorder="1" applyAlignment="1">
      <alignment horizontal="center" vertical="center" indent="1"/>
    </xf>
    <xf numFmtId="0" fontId="35" fillId="2" borderId="350" xfId="0" applyFont="1" applyFill="1" applyBorder="1" applyAlignment="1">
      <alignment horizontal="center" vertical="center"/>
    </xf>
    <xf numFmtId="2" fontId="35" fillId="2" borderId="205" xfId="0" applyNumberFormat="1" applyFont="1" applyFill="1" applyBorder="1" applyAlignment="1">
      <alignment horizontal="center" vertical="center"/>
    </xf>
    <xf numFmtId="49" fontId="52" fillId="2" borderId="167" xfId="0" applyNumberFormat="1" applyFont="1" applyFill="1" applyBorder="1" applyAlignment="1">
      <alignment horizontal="center" vertical="center"/>
    </xf>
    <xf numFmtId="49" fontId="35" fillId="2" borderId="167" xfId="0" applyNumberFormat="1" applyFont="1" applyFill="1" applyBorder="1" applyAlignment="1">
      <alignment horizontal="center" vertical="center"/>
    </xf>
    <xf numFmtId="0" fontId="24" fillId="0" borderId="692" xfId="0" applyFont="1" applyBorder="1" applyAlignment="1">
      <alignment vertical="center"/>
    </xf>
    <xf numFmtId="49" fontId="38" fillId="0" borderId="692" xfId="0" applyNumberFormat="1" applyFont="1" applyBorder="1" applyAlignment="1">
      <alignment horizontal="right" vertical="center"/>
    </xf>
    <xf numFmtId="0" fontId="24" fillId="17" borderId="692" xfId="0" applyFont="1" applyFill="1" applyBorder="1" applyAlignment="1">
      <alignment vertical="center"/>
    </xf>
    <xf numFmtId="0" fontId="24" fillId="17" borderId="692" xfId="0" applyFont="1" applyFill="1" applyBorder="1" applyAlignment="1">
      <alignment horizontal="center" vertical="center"/>
    </xf>
    <xf numFmtId="49" fontId="24" fillId="17" borderId="693" xfId="0" applyNumberFormat="1" applyFont="1" applyFill="1" applyBorder="1" applyAlignment="1">
      <alignment horizontal="center" vertical="center"/>
    </xf>
    <xf numFmtId="0" fontId="24" fillId="0" borderId="680" xfId="0" applyFont="1" applyBorder="1" applyAlignment="1">
      <alignment horizontal="left" vertical="center" wrapText="1" indent="1"/>
    </xf>
    <xf numFmtId="39" fontId="24" fillId="0" borderId="411" xfId="0" applyNumberFormat="1" applyFont="1" applyBorder="1" applyAlignment="1">
      <alignment horizontal="left" vertical="center" wrapText="1" indent="1"/>
    </xf>
    <xf numFmtId="49" fontId="24" fillId="0" borderId="411" xfId="0" applyNumberFormat="1" applyFont="1" applyBorder="1" applyAlignment="1">
      <alignment vertical="center"/>
    </xf>
    <xf numFmtId="0" fontId="24" fillId="17" borderId="411" xfId="0" applyFont="1" applyFill="1" applyBorder="1" applyAlignment="1">
      <alignment vertical="center"/>
    </xf>
    <xf numFmtId="0" fontId="24" fillId="17" borderId="411" xfId="0" applyFont="1" applyFill="1" applyBorder="1" applyAlignment="1">
      <alignment horizontal="center" vertical="center"/>
    </xf>
    <xf numFmtId="49" fontId="24" fillId="17" borderId="681" xfId="0" applyNumberFormat="1" applyFont="1" applyFill="1" applyBorder="1" applyAlignment="1">
      <alignment horizontal="center" vertical="center"/>
    </xf>
    <xf numFmtId="49" fontId="38" fillId="0" borderId="411" xfId="0" applyNumberFormat="1" applyFont="1" applyBorder="1" applyAlignment="1">
      <alignment vertical="center"/>
    </xf>
    <xf numFmtId="0" fontId="24" fillId="17" borderId="411" xfId="0" applyFont="1" applyFill="1" applyBorder="1" applyAlignment="1">
      <alignment horizontal="center" vertical="center" wrapText="1"/>
    </xf>
    <xf numFmtId="0" fontId="24" fillId="0" borderId="411" xfId="0" applyFont="1" applyBorder="1" applyAlignment="1">
      <alignment horizontal="center" vertical="center"/>
    </xf>
    <xf numFmtId="49" fontId="38" fillId="0" borderId="411" xfId="0" applyNumberFormat="1" applyFont="1" applyBorder="1" applyAlignment="1">
      <alignment horizontal="right" vertical="center"/>
    </xf>
    <xf numFmtId="0" fontId="24" fillId="17" borderId="463" xfId="0" applyFont="1" applyFill="1" applyBorder="1" applyAlignment="1">
      <alignment vertical="center"/>
    </xf>
    <xf numFmtId="0" fontId="24" fillId="17" borderId="463" xfId="0" applyFont="1" applyFill="1" applyBorder="1" applyAlignment="1">
      <alignment horizontal="center" vertical="center"/>
    </xf>
    <xf numFmtId="39" fontId="24" fillId="39" borderId="84" xfId="0" applyNumberFormat="1" applyFont="1" applyFill="1" applyBorder="1" applyAlignment="1">
      <alignment horizontal="center" vertical="center" wrapText="1" indent="1"/>
    </xf>
    <xf numFmtId="39" fontId="24" fillId="0" borderId="84" xfId="0" applyNumberFormat="1" applyFont="1" applyBorder="1" applyAlignment="1">
      <alignment horizontal="center" vertical="center" wrapText="1" indent="1"/>
    </xf>
    <xf numFmtId="0" fontId="35" fillId="12" borderId="205" xfId="0" applyFont="1" applyFill="1" applyBorder="1" applyAlignment="1">
      <alignment horizontal="center" vertical="center"/>
    </xf>
    <xf numFmtId="49" fontId="35" fillId="12" borderId="205" xfId="0" applyNumberFormat="1" applyFont="1" applyFill="1" applyBorder="1" applyAlignment="1">
      <alignment horizontal="center" vertical="center"/>
    </xf>
    <xf numFmtId="0" fontId="35" fillId="12" borderId="205" xfId="0" applyFont="1" applyFill="1" applyBorder="1" applyAlignment="1">
      <alignment horizontal="center" vertical="center" indent="1"/>
    </xf>
    <xf numFmtId="0" fontId="107" fillId="12" borderId="205" xfId="0" applyFont="1" applyFill="1" applyBorder="1" applyAlignment="1">
      <alignment horizontal="center" vertical="center"/>
    </xf>
    <xf numFmtId="49" fontId="107" fillId="12" borderId="205" xfId="0" applyNumberFormat="1" applyFont="1" applyFill="1" applyBorder="1" applyAlignment="1">
      <alignment horizontal="center" vertical="center"/>
    </xf>
    <xf numFmtId="0" fontId="35" fillId="2" borderId="350" xfId="0" applyFont="1" applyFill="1" applyBorder="1" applyAlignment="1">
      <alignment vertical="center" wrapText="1"/>
    </xf>
    <xf numFmtId="0" fontId="87" fillId="0" borderId="0" xfId="0" applyFont="1"/>
    <xf numFmtId="49" fontId="38" fillId="17" borderId="940" xfId="0" applyNumberFormat="1" applyFont="1" applyFill="1" applyBorder="1" applyAlignment="1">
      <alignment horizontal="left" vertical="center" indent="1"/>
    </xf>
    <xf numFmtId="0" fontId="12" fillId="45" borderId="350" xfId="0" applyFont="1" applyFill="1" applyBorder="1" applyAlignment="1">
      <alignment vertical="center" wrapText="1"/>
    </xf>
    <xf numFmtId="4" fontId="68" fillId="45" borderId="350" xfId="0" applyNumberFormat="1" applyFont="1" applyFill="1" applyBorder="1" applyAlignment="1">
      <alignment horizontal="right" vertical="center" wrapText="1" indent="1"/>
    </xf>
    <xf numFmtId="168" fontId="52" fillId="45" borderId="606" xfId="0" applyNumberFormat="1" applyFont="1" applyFill="1" applyBorder="1" applyAlignment="1">
      <alignment horizontal="right" vertical="center"/>
    </xf>
    <xf numFmtId="49" fontId="12" fillId="45" borderId="606" xfId="0" applyNumberFormat="1" applyFont="1" applyFill="1" applyBorder="1" applyAlignment="1">
      <alignment horizontal="center" vertical="center"/>
    </xf>
    <xf numFmtId="0" fontId="35" fillId="45" borderId="350" xfId="0" applyFont="1" applyFill="1" applyBorder="1" applyAlignment="1">
      <alignment vertical="center" wrapText="1"/>
    </xf>
    <xf numFmtId="4" fontId="35" fillId="45" borderId="350" xfId="0" applyNumberFormat="1" applyFont="1" applyFill="1" applyBorder="1" applyAlignment="1">
      <alignment horizontal="left" vertical="center" wrapText="1" indent="1"/>
    </xf>
    <xf numFmtId="49" fontId="35" fillId="45" borderId="606" xfId="0" applyNumberFormat="1" applyFont="1" applyFill="1" applyBorder="1" applyAlignment="1">
      <alignment horizontal="center" vertical="center"/>
    </xf>
    <xf numFmtId="0" fontId="38" fillId="4" borderId="640" xfId="0" applyFont="1" applyFill="1" applyBorder="1" applyAlignment="1">
      <alignment horizontal="left" vertical="center"/>
    </xf>
    <xf numFmtId="49" fontId="38" fillId="4" borderId="484" xfId="0" applyNumberFormat="1" applyFont="1" applyFill="1" applyBorder="1" applyAlignment="1">
      <alignment horizontal="left" vertical="center" indent="1"/>
    </xf>
    <xf numFmtId="0" fontId="38" fillId="4" borderId="640" xfId="0" applyFont="1" applyFill="1" applyBorder="1" applyAlignment="1">
      <alignment horizontal="left" vertical="center" wrapText="1" indent="1"/>
    </xf>
    <xf numFmtId="0" fontId="24" fillId="17" borderId="484" xfId="0" applyFont="1" applyFill="1" applyBorder="1" applyAlignment="1">
      <alignment horizontal="center" vertical="center"/>
    </xf>
    <xf numFmtId="49" fontId="38" fillId="17" borderId="484" xfId="0" applyNumberFormat="1" applyFont="1" applyFill="1" applyBorder="1" applyAlignment="1">
      <alignment horizontal="left" vertical="center" indent="1"/>
    </xf>
    <xf numFmtId="0" fontId="24" fillId="17" borderId="484" xfId="0" applyFont="1" applyFill="1" applyBorder="1" applyAlignment="1">
      <alignment horizontal="center" vertical="center" wrapText="1"/>
    </xf>
    <xf numFmtId="49" fontId="24" fillId="17" borderId="484" xfId="0" applyNumberFormat="1" applyFont="1" applyFill="1" applyBorder="1" applyAlignment="1">
      <alignment horizontal="center" vertical="center"/>
    </xf>
    <xf numFmtId="49" fontId="38" fillId="17" borderId="197" xfId="0" applyNumberFormat="1" applyFont="1" applyFill="1" applyBorder="1" applyAlignment="1">
      <alignment horizontal="left" vertical="center" indent="1"/>
    </xf>
    <xf numFmtId="49" fontId="24" fillId="0" borderId="953" xfId="0" applyNumberFormat="1" applyFont="1" applyBorder="1" applyAlignment="1">
      <alignment horizontal="left" vertical="center" indent="1"/>
    </xf>
    <xf numFmtId="49" fontId="59" fillId="0" borderId="954" xfId="0" applyNumberFormat="1" applyFont="1" applyBorder="1" applyAlignment="1">
      <alignment horizontal="center" vertical="center"/>
    </xf>
    <xf numFmtId="0" fontId="24" fillId="0" borderId="954" xfId="0" applyFont="1" applyBorder="1" applyAlignment="1">
      <alignment horizontal="left" vertical="center" wrapText="1" indent="1"/>
    </xf>
    <xf numFmtId="0" fontId="56" fillId="0" borderId="954" xfId="0" applyFont="1" applyBorder="1" applyAlignment="1">
      <alignment horizontal="center" vertical="center" wrapText="1"/>
    </xf>
    <xf numFmtId="0" fontId="24" fillId="0" borderId="954" xfId="0" applyFont="1" applyBorder="1" applyAlignment="1">
      <alignment horizontal="center" vertical="center" wrapText="1"/>
    </xf>
    <xf numFmtId="168" fontId="56" fillId="0" borderId="954" xfId="0" applyNumberFormat="1" applyFont="1" applyBorder="1" applyAlignment="1">
      <alignment vertical="center"/>
    </xf>
    <xf numFmtId="168" fontId="52" fillId="0" borderId="954" xfId="0" applyNumberFormat="1" applyFont="1" applyBorder="1" applyAlignment="1">
      <alignment vertical="center"/>
    </xf>
    <xf numFmtId="49" fontId="52" fillId="0" borderId="954" xfId="0" applyNumberFormat="1" applyFont="1" applyBorder="1" applyAlignment="1">
      <alignment horizontal="center" vertical="center"/>
    </xf>
    <xf numFmtId="49" fontId="38" fillId="0" borderId="954" xfId="0" applyNumberFormat="1" applyFont="1" applyBorder="1" applyAlignment="1">
      <alignment vertical="center"/>
    </xf>
    <xf numFmtId="49" fontId="24" fillId="0" borderId="954" xfId="0" applyNumberFormat="1" applyFont="1" applyBorder="1" applyAlignment="1">
      <alignment horizontal="center" vertical="center"/>
    </xf>
    <xf numFmtId="49" fontId="52" fillId="12" borderId="117" xfId="0" applyNumberFormat="1" applyFont="1" applyFill="1" applyBorder="1" applyAlignment="1">
      <alignment horizontal="center" vertical="center"/>
    </xf>
    <xf numFmtId="168" fontId="35" fillId="12" borderId="117" xfId="0" applyNumberFormat="1" applyFont="1" applyFill="1" applyBorder="1" applyAlignment="1">
      <alignment horizontal="center" vertical="center"/>
    </xf>
    <xf numFmtId="168" fontId="35" fillId="12" borderId="117" xfId="0" applyNumberFormat="1" applyFont="1" applyFill="1" applyBorder="1" applyAlignment="1">
      <alignment horizontal="right" vertical="center"/>
    </xf>
    <xf numFmtId="0" fontId="34" fillId="12" borderId="350" xfId="0" applyFont="1" applyFill="1" applyBorder="1" applyAlignment="1">
      <alignment horizontal="center" vertical="center"/>
    </xf>
    <xf numFmtId="39" fontId="52" fillId="2" borderId="327" xfId="0" applyNumberFormat="1" applyFont="1" applyFill="1" applyBorder="1" applyAlignment="1">
      <alignment horizontal="center" vertical="center"/>
    </xf>
    <xf numFmtId="0" fontId="23" fillId="0" borderId="39" xfId="0" applyFont="1" applyBorder="1" applyAlignment="1">
      <alignment vertical="center" indent="1"/>
    </xf>
    <xf numFmtId="0" fontId="23" fillId="0" borderId="34" xfId="0" applyFont="1" applyBorder="1" applyAlignment="1">
      <alignment vertical="center" indent="1"/>
    </xf>
    <xf numFmtId="4" fontId="52" fillId="2" borderId="350" xfId="16" applyNumberFormat="1" applyFont="1" applyFill="1" applyBorder="1" applyAlignment="1">
      <alignment horizontal="left" vertical="center" indent="1"/>
    </xf>
    <xf numFmtId="49" fontId="52" fillId="12" borderId="117" xfId="16" applyNumberFormat="1" applyFont="1" applyFill="1" applyBorder="1" applyAlignment="1">
      <alignment horizontal="center" vertical="center"/>
    </xf>
    <xf numFmtId="39" fontId="52" fillId="0" borderId="484" xfId="16" applyNumberFormat="1" applyFont="1" applyBorder="1" applyAlignment="1">
      <alignment horizontal="right" vertical="center"/>
    </xf>
    <xf numFmtId="49" fontId="52" fillId="0" borderId="484" xfId="16" applyNumberFormat="1" applyFont="1" applyBorder="1" applyAlignment="1">
      <alignment horizontal="center" vertical="center"/>
    </xf>
    <xf numFmtId="49" fontId="152" fillId="0" borderId="484" xfId="16" applyNumberFormat="1" applyFont="1" applyBorder="1" applyAlignment="1">
      <alignment horizontal="left" vertical="center" wrapText="1" indent="1"/>
    </xf>
    <xf numFmtId="0" fontId="68" fillId="12" borderId="350" xfId="16" applyFont="1" applyFill="1" applyBorder="1" applyAlignment="1">
      <alignment vertical="center"/>
    </xf>
    <xf numFmtId="49" fontId="35" fillId="12" borderId="350" xfId="16" applyNumberFormat="1" applyFont="1" applyFill="1" applyBorder="1" applyAlignment="1">
      <alignment horizontal="left" vertical="center" wrapText="1" indent="1"/>
    </xf>
    <xf numFmtId="0" fontId="309" fillId="4" borderId="344" xfId="16" applyFont="1" applyFill="1" applyAlignment="1">
      <alignment horizontal="center" vertical="center"/>
    </xf>
    <xf numFmtId="0" fontId="101" fillId="0" borderId="344" xfId="16" applyFont="1"/>
    <xf numFmtId="0" fontId="35" fillId="12" borderId="350" xfId="16" applyFont="1" applyFill="1" applyBorder="1" applyAlignment="1">
      <alignment vertical="center"/>
    </xf>
    <xf numFmtId="0" fontId="310" fillId="4" borderId="344" xfId="16" applyFont="1" applyFill="1" applyAlignment="1">
      <alignment horizontal="center" vertical="center"/>
    </xf>
    <xf numFmtId="0" fontId="87" fillId="0" borderId="344" xfId="16" applyFont="1"/>
    <xf numFmtId="39" fontId="54" fillId="0" borderId="484" xfId="16" applyNumberFormat="1" applyFont="1" applyBorder="1" applyAlignment="1">
      <alignment vertical="center"/>
    </xf>
    <xf numFmtId="39" fontId="52" fillId="0" borderId="484" xfId="16" applyNumberFormat="1" applyFont="1" applyBorder="1" applyAlignment="1">
      <alignment vertical="center"/>
    </xf>
    <xf numFmtId="0" fontId="35" fillId="12" borderId="205" xfId="0" applyFont="1" applyFill="1" applyBorder="1" applyAlignment="1">
      <alignment horizontal="right" vertical="center"/>
    </xf>
    <xf numFmtId="49" fontId="11" fillId="12" borderId="205" xfId="0" applyNumberFormat="1" applyFont="1" applyFill="1" applyBorder="1" applyAlignment="1">
      <alignment horizontal="right" vertical="center"/>
    </xf>
    <xf numFmtId="0" fontId="311" fillId="0" borderId="344" xfId="0" applyFont="1" applyBorder="1" applyAlignment="1">
      <alignment vertical="center"/>
    </xf>
    <xf numFmtId="0" fontId="311" fillId="0" borderId="0" xfId="0" applyFont="1" applyAlignment="1">
      <alignment vertical="center"/>
    </xf>
    <xf numFmtId="49" fontId="52" fillId="12" borderId="205" xfId="0" applyNumberFormat="1" applyFont="1" applyFill="1" applyBorder="1" applyAlignment="1">
      <alignment horizontal="center" vertical="center"/>
    </xf>
    <xf numFmtId="49" fontId="35" fillId="12" borderId="205" xfId="0" applyNumberFormat="1" applyFont="1" applyFill="1" applyBorder="1" applyAlignment="1">
      <alignment horizontal="left" vertical="center" wrapText="1" indent="1"/>
    </xf>
    <xf numFmtId="0" fontId="52" fillId="12" borderId="205" xfId="0" applyFont="1" applyFill="1" applyBorder="1" applyAlignment="1">
      <alignment horizontal="left" vertical="center"/>
    </xf>
    <xf numFmtId="0" fontId="52" fillId="12" borderId="344" xfId="0" applyFont="1" applyFill="1" applyBorder="1" applyAlignment="1">
      <alignment vertical="center"/>
    </xf>
    <xf numFmtId="49" fontId="52" fillId="12" borderId="344" xfId="0" applyNumberFormat="1" applyFont="1" applyFill="1" applyBorder="1" applyAlignment="1">
      <alignment horizontal="center" vertical="center"/>
    </xf>
    <xf numFmtId="49" fontId="35" fillId="12" borderId="344" xfId="0" applyNumberFormat="1" applyFont="1" applyFill="1" applyBorder="1" applyAlignment="1">
      <alignment horizontal="left" vertical="center" wrapText="1" indent="1"/>
    </xf>
    <xf numFmtId="49" fontId="14" fillId="17" borderId="5" xfId="0" applyNumberFormat="1" applyFont="1" applyFill="1" applyBorder="1" applyAlignment="1">
      <alignment horizontal="left" vertical="center" wrapText="1" indent="1"/>
    </xf>
    <xf numFmtId="0" fontId="311" fillId="0" borderId="0" xfId="0" applyFont="1"/>
    <xf numFmtId="49" fontId="52" fillId="12" borderId="344" xfId="0" applyNumberFormat="1" applyFont="1" applyFill="1" applyBorder="1" applyAlignment="1">
      <alignment horizontal="right" vertical="center"/>
    </xf>
    <xf numFmtId="49" fontId="35" fillId="12" borderId="344" xfId="0" applyNumberFormat="1" applyFont="1" applyFill="1" applyBorder="1" applyAlignment="1">
      <alignment horizontal="right" vertical="center"/>
    </xf>
    <xf numFmtId="0" fontId="34" fillId="0" borderId="344" xfId="0" applyFont="1" applyBorder="1" applyAlignment="1">
      <alignment vertical="center"/>
    </xf>
    <xf numFmtId="0" fontId="34" fillId="0" borderId="0" xfId="0" applyFont="1" applyAlignment="1">
      <alignment vertical="center"/>
    </xf>
    <xf numFmtId="0" fontId="35" fillId="12" borderId="344" xfId="0" applyFont="1" applyFill="1" applyBorder="1" applyAlignment="1">
      <alignment horizontal="right" vertical="center"/>
    </xf>
    <xf numFmtId="49" fontId="52" fillId="12" borderId="350" xfId="0" applyNumberFormat="1" applyFont="1" applyFill="1" applyBorder="1" applyAlignment="1">
      <alignment horizontal="right" vertical="center"/>
    </xf>
    <xf numFmtId="0" fontId="24" fillId="39" borderId="962" xfId="0" applyFont="1" applyFill="1" applyBorder="1" applyAlignment="1">
      <alignment horizontal="left" vertical="center" wrapText="1" indent="1"/>
    </xf>
    <xf numFmtId="0" fontId="54" fillId="39" borderId="962" xfId="0" applyFont="1" applyFill="1" applyBorder="1" applyAlignment="1">
      <alignment horizontal="center" vertical="center" wrapText="1"/>
    </xf>
    <xf numFmtId="0" fontId="24" fillId="39" borderId="962" xfId="0" applyFont="1" applyFill="1" applyBorder="1" applyAlignment="1">
      <alignment horizontal="center" vertical="center" wrapText="1"/>
    </xf>
    <xf numFmtId="4" fontId="35" fillId="52" borderId="918" xfId="0" applyNumberFormat="1" applyFont="1" applyFill="1" applyBorder="1" applyAlignment="1">
      <alignment horizontal="right" vertical="center" wrapText="1"/>
    </xf>
    <xf numFmtId="4" fontId="35" fillId="52" borderId="920" xfId="0" applyNumberFormat="1" applyFont="1" applyFill="1" applyBorder="1" applyAlignment="1">
      <alignment horizontal="right" vertical="center" wrapText="1"/>
    </xf>
    <xf numFmtId="49" fontId="35" fillId="52" borderId="917" xfId="0" applyNumberFormat="1" applyFont="1" applyFill="1" applyBorder="1" applyAlignment="1">
      <alignment horizontal="right" vertical="center"/>
    </xf>
    <xf numFmtId="49" fontId="52" fillId="52" borderId="917" xfId="0" applyNumberFormat="1" applyFont="1" applyFill="1" applyBorder="1" applyAlignment="1">
      <alignment horizontal="center" vertical="center"/>
    </xf>
    <xf numFmtId="49" fontId="35" fillId="52" borderId="920" xfId="0" applyNumberFormat="1" applyFont="1" applyFill="1" applyBorder="1" applyAlignment="1">
      <alignment horizontal="right" vertical="center"/>
    </xf>
    <xf numFmtId="4" fontId="35" fillId="52" borderId="920" xfId="0" applyNumberFormat="1" applyFont="1" applyFill="1" applyBorder="1" applyAlignment="1">
      <alignment horizontal="center" vertical="center" wrapText="1"/>
    </xf>
    <xf numFmtId="4" fontId="35" fillId="52" borderId="916" xfId="0" applyNumberFormat="1" applyFont="1" applyFill="1" applyBorder="1" applyAlignment="1">
      <alignment horizontal="center" vertical="center" wrapText="1" indent="1"/>
    </xf>
    <xf numFmtId="0" fontId="35" fillId="52" borderId="920" xfId="0" applyFont="1" applyFill="1" applyBorder="1" applyAlignment="1">
      <alignment vertical="center" wrapText="1" indent="1"/>
    </xf>
    <xf numFmtId="39" fontId="35" fillId="52" borderId="917" xfId="0" applyNumberFormat="1" applyFont="1" applyFill="1" applyBorder="1" applyAlignment="1">
      <alignment horizontal="right" vertical="center" indent="1"/>
    </xf>
    <xf numFmtId="49" fontId="35" fillId="52" borderId="920" xfId="0" applyNumberFormat="1" applyFont="1" applyFill="1" applyBorder="1" applyAlignment="1">
      <alignment horizontal="center" vertical="center" wrapText="1"/>
    </xf>
    <xf numFmtId="0" fontId="136" fillId="29" borderId="427" xfId="4" applyFont="1" applyFill="1" applyBorder="1" applyAlignment="1">
      <alignment vertical="center" wrapText="1"/>
    </xf>
    <xf numFmtId="0" fontId="140" fillId="29" borderId="427" xfId="4" applyFont="1" applyFill="1" applyBorder="1" applyAlignment="1">
      <alignment vertical="center" wrapText="1"/>
    </xf>
    <xf numFmtId="39" fontId="136" fillId="29" borderId="427" xfId="10" applyNumberFormat="1" applyFont="1" applyFill="1" applyBorder="1" applyAlignment="1">
      <alignment horizontal="right" vertical="center"/>
    </xf>
    <xf numFmtId="49" fontId="140" fillId="29" borderId="430" xfId="10" applyNumberFormat="1" applyFont="1" applyFill="1" applyBorder="1" applyAlignment="1">
      <alignment horizontal="center" vertical="center"/>
    </xf>
    <xf numFmtId="49" fontId="124" fillId="29" borderId="430" xfId="10" applyNumberFormat="1" applyFont="1" applyFill="1" applyBorder="1" applyAlignment="1">
      <alignment horizontal="right" vertical="center"/>
    </xf>
    <xf numFmtId="0" fontId="121" fillId="0" borderId="0" xfId="0" applyFont="1" applyAlignment="1">
      <alignment vertical="center"/>
    </xf>
    <xf numFmtId="0" fontId="11" fillId="2" borderId="350" xfId="0" applyFont="1" applyFill="1" applyBorder="1" applyAlignment="1">
      <alignment vertical="center" wrapText="1"/>
    </xf>
    <xf numFmtId="39" fontId="11" fillId="2" borderId="350" xfId="0" applyNumberFormat="1" applyFont="1" applyFill="1" applyBorder="1" applyAlignment="1">
      <alignment horizontal="right" vertical="center"/>
    </xf>
    <xf numFmtId="49" fontId="35" fillId="2" borderId="117" xfId="0" applyNumberFormat="1" applyFont="1" applyFill="1" applyBorder="1" applyAlignment="1">
      <alignment horizontal="center" vertical="center"/>
    </xf>
    <xf numFmtId="49" fontId="45" fillId="2" borderId="117" xfId="0" applyNumberFormat="1" applyFont="1" applyFill="1" applyBorder="1" applyAlignment="1">
      <alignment horizontal="right" vertical="center"/>
    </xf>
    <xf numFmtId="0" fontId="121" fillId="0" borderId="0" xfId="0" applyFont="1"/>
    <xf numFmtId="49" fontId="147" fillId="17" borderId="424" xfId="2" applyNumberFormat="1" applyFont="1" applyFill="1" applyBorder="1" applyAlignment="1">
      <alignment vertical="center"/>
    </xf>
    <xf numFmtId="49" fontId="68" fillId="0" borderId="463" xfId="2" applyNumberFormat="1" applyFont="1" applyBorder="1" applyAlignment="1">
      <alignment horizontal="center" vertical="center"/>
    </xf>
    <xf numFmtId="0" fontId="101" fillId="2" borderId="864" xfId="15" applyFont="1" applyFill="1" applyBorder="1" applyAlignment="1">
      <alignment vertical="center"/>
    </xf>
    <xf numFmtId="0" fontId="107" fillId="2" borderId="753" xfId="15" applyFont="1" applyFill="1" applyBorder="1" applyAlignment="1">
      <alignment horizontal="left" vertical="center" indent="1"/>
    </xf>
    <xf numFmtId="0" fontId="107" fillId="2" borderId="427" xfId="15" applyFont="1" applyFill="1" applyBorder="1" applyAlignment="1">
      <alignment vertical="center"/>
    </xf>
    <xf numFmtId="0" fontId="107" fillId="2" borderId="427" xfId="15" applyFont="1" applyFill="1" applyBorder="1" applyAlignment="1">
      <alignment horizontal="right" vertical="center" wrapText="1" indent="1"/>
    </xf>
    <xf numFmtId="49" fontId="132" fillId="2" borderId="427" xfId="15" applyNumberFormat="1" applyFont="1" applyFill="1" applyBorder="1" applyAlignment="1">
      <alignment horizontal="center" vertical="center"/>
    </xf>
    <xf numFmtId="0" fontId="101" fillId="0" borderId="344" xfId="15" applyFont="1" applyAlignment="1">
      <alignment vertical="center"/>
    </xf>
    <xf numFmtId="49" fontId="130" fillId="2" borderId="427" xfId="15" applyNumberFormat="1" applyFont="1" applyFill="1" applyBorder="1" applyAlignment="1">
      <alignment horizontal="center" vertical="center" wrapText="1"/>
    </xf>
    <xf numFmtId="0" fontId="130" fillId="2" borderId="427" xfId="15" applyFont="1" applyFill="1" applyBorder="1" applyAlignment="1">
      <alignment vertical="center" wrapText="1"/>
    </xf>
    <xf numFmtId="0" fontId="107" fillId="2" borderId="427" xfId="15" applyFont="1" applyFill="1" applyBorder="1" applyAlignment="1">
      <alignment horizontal="left" vertical="center" indent="2"/>
    </xf>
    <xf numFmtId="0" fontId="306" fillId="0" borderId="0" xfId="0" applyFont="1" applyAlignment="1">
      <alignment wrapText="1"/>
    </xf>
    <xf numFmtId="0" fontId="45" fillId="2" borderId="361" xfId="0" applyFont="1" applyFill="1" applyBorder="1" applyAlignment="1">
      <alignment vertical="center" textRotation="90" wrapText="1"/>
    </xf>
    <xf numFmtId="0" fontId="45" fillId="2" borderId="350" xfId="0" applyFont="1" applyFill="1" applyBorder="1" applyAlignment="1">
      <alignment vertical="center" wrapText="1"/>
    </xf>
    <xf numFmtId="39" fontId="45" fillId="2" borderId="350" xfId="0" applyNumberFormat="1" applyFont="1" applyFill="1" applyBorder="1" applyAlignment="1">
      <alignment horizontal="right" vertical="center" wrapText="1"/>
    </xf>
    <xf numFmtId="168" fontId="35" fillId="2" borderId="116" xfId="0" applyNumberFormat="1" applyFont="1" applyFill="1" applyBorder="1" applyAlignment="1">
      <alignment horizontal="right" vertical="center" wrapText="1"/>
    </xf>
    <xf numFmtId="49" fontId="45" fillId="2" borderId="117" xfId="0" applyNumberFormat="1" applyFont="1" applyFill="1" applyBorder="1" applyAlignment="1">
      <alignment horizontal="right" vertical="center" wrapText="1"/>
    </xf>
    <xf numFmtId="0" fontId="311" fillId="0" borderId="0" xfId="0" applyFont="1" applyAlignment="1">
      <alignment wrapText="1"/>
    </xf>
    <xf numFmtId="0" fontId="101" fillId="0" borderId="0" xfId="0" applyFont="1" applyAlignment="1">
      <alignment wrapText="1"/>
    </xf>
    <xf numFmtId="0" fontId="52" fillId="2" borderId="341" xfId="0" applyFont="1" applyFill="1" applyBorder="1" applyAlignment="1">
      <alignment vertical="center" wrapText="1"/>
    </xf>
    <xf numFmtId="39" fontId="52" fillId="2" borderId="327" xfId="0" applyNumberFormat="1" applyFont="1" applyFill="1" applyBorder="1" applyAlignment="1">
      <alignment horizontal="right" vertical="center" wrapText="1"/>
    </xf>
    <xf numFmtId="49" fontId="52" fillId="2" borderId="311" xfId="0" applyNumberFormat="1" applyFont="1" applyFill="1" applyBorder="1" applyAlignment="1">
      <alignment horizontal="right" vertical="center" wrapText="1"/>
    </xf>
    <xf numFmtId="0" fontId="106" fillId="0" borderId="0" xfId="0" applyFont="1" applyAlignment="1">
      <alignment wrapText="1"/>
    </xf>
    <xf numFmtId="0" fontId="68" fillId="2" borderId="350" xfId="0" applyFont="1" applyFill="1" applyBorder="1" applyAlignment="1">
      <alignment horizontal="left" vertical="center" wrapText="1" indent="1"/>
    </xf>
    <xf numFmtId="39" fontId="68" fillId="2" borderId="350" xfId="0" applyNumberFormat="1" applyFont="1" applyFill="1" applyBorder="1" applyAlignment="1">
      <alignment horizontal="left" vertical="center" wrapText="1" indent="1"/>
    </xf>
    <xf numFmtId="49" fontId="42" fillId="2" borderId="117" xfId="0" applyNumberFormat="1" applyFont="1" applyFill="1" applyBorder="1" applyAlignment="1">
      <alignment horizontal="right" vertical="center" wrapText="1"/>
    </xf>
    <xf numFmtId="0" fontId="35" fillId="2" borderId="350" xfId="0" applyFont="1" applyFill="1" applyBorder="1" applyAlignment="1">
      <alignment horizontal="center" vertical="center" wrapText="1"/>
    </xf>
    <xf numFmtId="49" fontId="35" fillId="2" borderId="117" xfId="0" applyNumberFormat="1" applyFont="1" applyFill="1" applyBorder="1" applyAlignment="1">
      <alignment horizontal="center" vertical="center" wrapText="1"/>
    </xf>
    <xf numFmtId="0" fontId="35" fillId="2" borderId="350" xfId="0" applyFont="1" applyFill="1" applyBorder="1" applyAlignment="1">
      <alignment horizontal="left" vertical="center" wrapText="1" indent="1"/>
    </xf>
    <xf numFmtId="39" fontId="35" fillId="2" borderId="350" xfId="0" applyNumberFormat="1" applyFont="1" applyFill="1" applyBorder="1" applyAlignment="1">
      <alignment horizontal="left" vertical="center" wrapText="1" indent="1"/>
    </xf>
    <xf numFmtId="49" fontId="35" fillId="2" borderId="117" xfId="0" applyNumberFormat="1" applyFont="1" applyFill="1" applyBorder="1" applyAlignment="1">
      <alignment horizontal="right" vertical="center" wrapText="1"/>
    </xf>
    <xf numFmtId="0" fontId="87" fillId="0" borderId="0" xfId="0" applyFont="1" applyAlignment="1">
      <alignment wrapText="1"/>
    </xf>
    <xf numFmtId="4" fontId="35" fillId="52" borderId="254" xfId="0" applyNumberFormat="1" applyFont="1" applyFill="1" applyBorder="1" applyAlignment="1">
      <alignment horizontal="right" vertical="center" wrapText="1"/>
    </xf>
    <xf numFmtId="49" fontId="35" fillId="52" borderId="273" xfId="0" applyNumberFormat="1" applyFont="1" applyFill="1" applyBorder="1" applyAlignment="1">
      <alignment horizontal="right" vertical="center" wrapText="1"/>
    </xf>
    <xf numFmtId="49" fontId="35" fillId="52" borderId="344" xfId="0" applyNumberFormat="1" applyFont="1" applyFill="1" applyBorder="1" applyAlignment="1">
      <alignment horizontal="right" vertical="center" wrapText="1"/>
    </xf>
    <xf numFmtId="4" fontId="52" fillId="52" borderId="964" xfId="0" applyNumberFormat="1" applyFont="1" applyFill="1" applyBorder="1" applyAlignment="1">
      <alignment horizontal="right" vertical="center"/>
    </xf>
    <xf numFmtId="49" fontId="52" fillId="52" borderId="964" xfId="0" applyNumberFormat="1" applyFont="1" applyFill="1" applyBorder="1" applyAlignment="1">
      <alignment horizontal="right" vertical="center" wrapText="1"/>
    </xf>
    <xf numFmtId="49" fontId="128" fillId="44" borderId="643" xfId="0" applyNumberFormat="1" applyFont="1" applyFill="1" applyBorder="1" applyAlignment="1">
      <alignment horizontal="center" vertical="center" textRotation="90" wrapText="1"/>
    </xf>
    <xf numFmtId="0" fontId="312" fillId="2" borderId="327" xfId="0" applyFont="1" applyFill="1" applyBorder="1" applyAlignment="1">
      <alignment vertical="center" wrapText="1"/>
    </xf>
    <xf numFmtId="0" fontId="274" fillId="44" borderId="235" xfId="0" applyFont="1" applyFill="1" applyBorder="1" applyAlignment="1">
      <alignment textRotation="90" wrapText="1"/>
    </xf>
    <xf numFmtId="0" fontId="312" fillId="2" borderId="582" xfId="0" applyFont="1" applyFill="1" applyBorder="1" applyAlignment="1">
      <alignment vertical="center" textRotation="90" wrapText="1"/>
    </xf>
    <xf numFmtId="0" fontId="24" fillId="0" borderId="177" xfId="0" applyFont="1" applyBorder="1" applyAlignment="1">
      <alignment horizontal="left" vertical="center" wrapText="1" indent="1"/>
    </xf>
    <xf numFmtId="0" fontId="24" fillId="4" borderId="44" xfId="0" applyFont="1" applyFill="1" applyBorder="1" applyAlignment="1">
      <alignment horizontal="left" vertical="center" wrapText="1" indent="1"/>
    </xf>
    <xf numFmtId="1" fontId="54" fillId="0" borderId="111" xfId="0" applyNumberFormat="1" applyFont="1" applyBorder="1" applyAlignment="1">
      <alignment horizontal="center" vertical="center" wrapText="1"/>
    </xf>
    <xf numFmtId="1" fontId="54" fillId="0" borderId="177" xfId="0" applyNumberFormat="1" applyFont="1" applyBorder="1" applyAlignment="1">
      <alignment horizontal="center" vertical="center" wrapText="1"/>
    </xf>
    <xf numFmtId="0" fontId="24" fillId="4" borderId="109" xfId="0" applyFont="1" applyFill="1" applyBorder="1" applyAlignment="1">
      <alignment horizontal="left" vertical="center" wrapText="1" indent="1"/>
    </xf>
    <xf numFmtId="0" fontId="24" fillId="0" borderId="177" xfId="0" applyFont="1" applyBorder="1" applyAlignment="1">
      <alignment horizontal="left" vertical="center" indent="1"/>
    </xf>
    <xf numFmtId="0" fontId="23" fillId="0" borderId="372" xfId="0" applyFont="1" applyBorder="1" applyAlignment="1">
      <alignment horizontal="left" vertical="center" wrapText="1" indent="1"/>
    </xf>
    <xf numFmtId="0" fontId="54" fillId="0" borderId="44" xfId="16" applyFont="1" applyBorder="1" applyAlignment="1">
      <alignment horizontal="center" vertical="center" wrapText="1"/>
    </xf>
    <xf numFmtId="0" fontId="54" fillId="0" borderId="39" xfId="16" applyFont="1" applyBorder="1" applyAlignment="1">
      <alignment horizontal="center" vertical="center" wrapText="1"/>
    </xf>
    <xf numFmtId="0" fontId="106" fillId="3" borderId="674" xfId="15" applyFont="1" applyFill="1" applyBorder="1" applyAlignment="1">
      <alignment horizontal="center" vertical="center" wrapText="1"/>
    </xf>
    <xf numFmtId="0" fontId="106" fillId="0" borderId="674" xfId="15" applyFont="1" applyBorder="1" applyAlignment="1">
      <alignment horizontal="center" vertical="center" wrapText="1"/>
    </xf>
    <xf numFmtId="0" fontId="106" fillId="0" borderId="662" xfId="15" applyFont="1" applyBorder="1" applyAlignment="1">
      <alignment horizontal="center" vertical="center" wrapText="1"/>
    </xf>
    <xf numFmtId="0" fontId="106" fillId="0" borderId="770" xfId="15" applyFont="1" applyBorder="1" applyAlignment="1">
      <alignment horizontal="center" vertical="center" wrapText="1"/>
    </xf>
    <xf numFmtId="0" fontId="106" fillId="0" borderId="737" xfId="15" applyFont="1" applyBorder="1" applyAlignment="1">
      <alignment horizontal="center" vertical="center" wrapText="1"/>
    </xf>
    <xf numFmtId="0" fontId="106" fillId="0" borderId="738" xfId="15" applyFont="1" applyBorder="1" applyAlignment="1">
      <alignment horizontal="center" vertical="center" wrapText="1"/>
    </xf>
    <xf numFmtId="0" fontId="106" fillId="0" borderId="928" xfId="15" applyFont="1" applyBorder="1" applyAlignment="1">
      <alignment horizontal="center" vertical="center" wrapText="1"/>
    </xf>
    <xf numFmtId="49" fontId="128" fillId="2" borderId="341" xfId="0" applyNumberFormat="1" applyFont="1" applyFill="1" applyBorder="1" applyAlignment="1">
      <alignment vertical="center" textRotation="90" wrapText="1"/>
    </xf>
    <xf numFmtId="49" fontId="24" fillId="17" borderId="974" xfId="0" applyNumberFormat="1" applyFont="1" applyFill="1" applyBorder="1" applyAlignment="1">
      <alignment horizontal="center" vertical="center"/>
    </xf>
    <xf numFmtId="49" fontId="24" fillId="17" borderId="975" xfId="0" applyNumberFormat="1" applyFont="1" applyFill="1" applyBorder="1" applyAlignment="1">
      <alignment horizontal="center" vertical="center"/>
    </xf>
    <xf numFmtId="49" fontId="24" fillId="17" borderId="269" xfId="0" applyNumberFormat="1" applyFont="1" applyFill="1" applyBorder="1" applyAlignment="1">
      <alignment horizontal="center" vertical="center"/>
    </xf>
    <xf numFmtId="49" fontId="24" fillId="17" borderId="976" xfId="0" applyNumberFormat="1" applyFont="1" applyFill="1" applyBorder="1" applyAlignment="1">
      <alignment horizontal="center" vertical="center"/>
    </xf>
    <xf numFmtId="49" fontId="24" fillId="17" borderId="702" xfId="0" applyNumberFormat="1" applyFont="1" applyFill="1" applyBorder="1" applyAlignment="1">
      <alignment horizontal="center" vertical="center"/>
    </xf>
    <xf numFmtId="0" fontId="23" fillId="17" borderId="163" xfId="0" applyFont="1" applyFill="1" applyBorder="1" applyAlignment="1">
      <alignment horizontal="center" vertical="center" wrapText="1"/>
    </xf>
    <xf numFmtId="0" fontId="23" fillId="17" borderId="164" xfId="0" applyFont="1" applyFill="1" applyBorder="1" applyAlignment="1">
      <alignment horizontal="center" vertical="center" wrapText="1"/>
    </xf>
    <xf numFmtId="49" fontId="24" fillId="17" borderId="163" xfId="0" applyNumberFormat="1" applyFont="1" applyFill="1" applyBorder="1" applyAlignment="1">
      <alignment horizontal="center" vertical="center"/>
    </xf>
    <xf numFmtId="0" fontId="23" fillId="0" borderId="163" xfId="0" applyFont="1" applyBorder="1" applyAlignment="1">
      <alignment horizontal="center" vertical="center" wrapText="1"/>
    </xf>
    <xf numFmtId="0" fontId="23" fillId="0" borderId="164" xfId="0" applyFont="1" applyBorder="1" applyAlignment="1">
      <alignment horizontal="center" vertical="center" wrapText="1"/>
    </xf>
    <xf numFmtId="49" fontId="24" fillId="0" borderId="163" xfId="0" applyNumberFormat="1" applyFont="1" applyBorder="1" applyAlignment="1">
      <alignment horizontal="center" vertical="center"/>
    </xf>
    <xf numFmtId="49" fontId="24" fillId="0" borderId="977" xfId="0" applyNumberFormat="1" applyFont="1" applyBorder="1" applyAlignment="1">
      <alignment horizontal="center" vertical="center"/>
    </xf>
    <xf numFmtId="0" fontId="312" fillId="2" borderId="361" xfId="0" applyFont="1" applyFill="1" applyBorder="1" applyAlignment="1">
      <alignment vertical="center" textRotation="90" wrapText="1"/>
    </xf>
    <xf numFmtId="0" fontId="274" fillId="44" borderId="427" xfId="0" applyFont="1" applyFill="1" applyBorder="1" applyAlignment="1">
      <alignment textRotation="90" wrapText="1"/>
    </xf>
    <xf numFmtId="0" fontId="312" fillId="12" borderId="235" xfId="0" applyFont="1" applyFill="1" applyBorder="1" applyAlignment="1">
      <alignment horizontal="center" vertical="center" textRotation="90" wrapText="1"/>
    </xf>
    <xf numFmtId="0" fontId="315" fillId="2" borderId="327" xfId="0" applyFont="1" applyFill="1" applyBorder="1" applyAlignment="1">
      <alignment vertical="center" wrapText="1"/>
    </xf>
    <xf numFmtId="0" fontId="315" fillId="2" borderId="327" xfId="0" applyFont="1" applyFill="1" applyBorder="1" applyAlignment="1">
      <alignment horizontal="center" vertical="center" wrapText="1"/>
    </xf>
    <xf numFmtId="0" fontId="312" fillId="45" borderId="643" xfId="0" applyFont="1" applyFill="1" applyBorder="1" applyAlignment="1">
      <alignment horizontal="center" vertical="center" textRotation="90" wrapText="1"/>
    </xf>
    <xf numFmtId="0" fontId="312" fillId="2" borderId="169" xfId="0" applyFont="1" applyFill="1" applyBorder="1" applyAlignment="1">
      <alignment vertical="center" wrapText="1"/>
    </xf>
    <xf numFmtId="0" fontId="312" fillId="2" borderId="327" xfId="0" applyFont="1" applyFill="1" applyBorder="1" applyAlignment="1">
      <alignment horizontal="center" vertical="center" wrapText="1"/>
    </xf>
    <xf numFmtId="0" fontId="35" fillId="56" borderId="350" xfId="0" applyFont="1" applyFill="1" applyBorder="1" applyAlignment="1">
      <alignment horizontal="right" vertical="center"/>
    </xf>
    <xf numFmtId="49" fontId="34" fillId="56" borderId="344" xfId="0" applyNumberFormat="1" applyFont="1" applyFill="1" applyBorder="1" applyAlignment="1">
      <alignment horizontal="center" vertical="center"/>
    </xf>
    <xf numFmtId="0" fontId="107" fillId="56" borderId="205" xfId="0" applyFont="1" applyFill="1" applyBorder="1" applyAlignment="1">
      <alignment horizontal="center" vertical="center"/>
    </xf>
    <xf numFmtId="0" fontId="308" fillId="56" borderId="300" xfId="0" applyFont="1" applyFill="1" applyBorder="1" applyAlignment="1">
      <alignment horizontal="center" vertical="center"/>
    </xf>
    <xf numFmtId="0" fontId="35" fillId="56" borderId="427" xfId="0" applyFont="1" applyFill="1" applyBorder="1" applyAlignment="1">
      <alignment horizontal="right" vertical="center"/>
    </xf>
    <xf numFmtId="49" fontId="28" fillId="56" borderId="427" xfId="0" applyNumberFormat="1" applyFont="1" applyFill="1" applyBorder="1" applyAlignment="1">
      <alignment horizontal="right" vertical="center"/>
    </xf>
    <xf numFmtId="0" fontId="24" fillId="0" borderId="938" xfId="0" applyFont="1" applyBorder="1" applyAlignment="1">
      <alignment vertical="center"/>
    </xf>
    <xf numFmtId="0" fontId="24" fillId="0" borderId="992" xfId="0" applyFont="1" applyBorder="1" applyAlignment="1">
      <alignment vertical="center" wrapText="1"/>
    </xf>
    <xf numFmtId="49" fontId="24" fillId="0" borderId="992" xfId="0" applyNumberFormat="1" applyFont="1" applyBorder="1" applyAlignment="1">
      <alignment horizontal="center" vertical="center" wrapText="1"/>
    </xf>
    <xf numFmtId="0" fontId="15" fillId="0" borderId="680" xfId="0" applyFont="1" applyBorder="1"/>
    <xf numFmtId="0" fontId="15" fillId="0" borderId="411" xfId="0" applyFont="1" applyBorder="1"/>
    <xf numFmtId="49" fontId="15" fillId="0" borderId="411" xfId="0" applyNumberFormat="1" applyFont="1" applyBorder="1"/>
    <xf numFmtId="0" fontId="15" fillId="0" borderId="682" xfId="0" applyFont="1" applyBorder="1"/>
    <xf numFmtId="0" fontId="15" fillId="0" borderId="463" xfId="0" applyFont="1" applyBorder="1"/>
    <xf numFmtId="49" fontId="15" fillId="0" borderId="463" xfId="0" applyNumberFormat="1" applyFont="1" applyBorder="1"/>
    <xf numFmtId="4" fontId="312" fillId="2" borderId="327" xfId="16" applyNumberFormat="1" applyFont="1" applyFill="1" applyBorder="1" applyAlignment="1">
      <alignment vertical="center" wrapText="1"/>
    </xf>
    <xf numFmtId="4" fontId="315" fillId="2" borderId="327" xfId="0" applyNumberFormat="1" applyFont="1" applyFill="1" applyBorder="1" applyAlignment="1">
      <alignment vertical="center" wrapText="1"/>
    </xf>
    <xf numFmtId="4" fontId="312" fillId="29" borderId="999" xfId="0" applyNumberFormat="1" applyFont="1" applyFill="1" applyBorder="1" applyAlignment="1">
      <alignment vertical="center" wrapText="1"/>
    </xf>
    <xf numFmtId="4" fontId="312" fillId="2" borderId="1000" xfId="0" applyNumberFormat="1" applyFont="1" applyFill="1" applyBorder="1" applyAlignment="1">
      <alignment vertical="center"/>
    </xf>
    <xf numFmtId="4" fontId="312" fillId="2" borderId="341" xfId="0" applyNumberFormat="1" applyFont="1" applyFill="1" applyBorder="1" applyAlignment="1">
      <alignment vertical="center" wrapText="1"/>
    </xf>
    <xf numFmtId="0" fontId="319" fillId="2" borderId="361" xfId="0" applyFont="1" applyFill="1" applyBorder="1" applyAlignment="1">
      <alignment vertical="center" textRotation="90" wrapText="1"/>
    </xf>
    <xf numFmtId="0" fontId="319" fillId="2" borderId="361" xfId="0" applyFont="1" applyFill="1" applyBorder="1" applyAlignment="1">
      <alignment vertical="center" wrapText="1"/>
    </xf>
    <xf numFmtId="0" fontId="312" fillId="2" borderId="341" xfId="0" applyFont="1" applyFill="1" applyBorder="1" applyAlignment="1">
      <alignment vertical="center" textRotation="90" wrapText="1"/>
    </xf>
    <xf numFmtId="0" fontId="132" fillId="2" borderId="918" xfId="15" applyFont="1" applyFill="1" applyBorder="1" applyAlignment="1">
      <alignment vertical="center" wrapText="1"/>
    </xf>
    <xf numFmtId="0" fontId="312" fillId="52" borderId="864" xfId="0" applyFont="1" applyFill="1" applyBorder="1" applyAlignment="1">
      <alignment horizontal="center" vertical="center" textRotation="90" wrapText="1"/>
    </xf>
    <xf numFmtId="0" fontId="317" fillId="29" borderId="864" xfId="2" applyFont="1" applyFill="1" applyBorder="1" applyAlignment="1">
      <alignment vertical="center" textRotation="90" wrapText="1"/>
    </xf>
    <xf numFmtId="0" fontId="317" fillId="29" borderId="864" xfId="4" applyFont="1" applyFill="1" applyBorder="1" applyAlignment="1">
      <alignment vertical="center" wrapText="1"/>
    </xf>
    <xf numFmtId="0" fontId="319" fillId="29" borderId="361" xfId="0" applyFont="1" applyFill="1" applyBorder="1" applyAlignment="1">
      <alignment vertical="center" wrapText="1"/>
    </xf>
    <xf numFmtId="0" fontId="96" fillId="0" borderId="874" xfId="6" applyFont="1" applyBorder="1" applyAlignment="1">
      <alignment horizontal="left" vertical="center" wrapText="1" indent="1"/>
    </xf>
    <xf numFmtId="0" fontId="52" fillId="2" borderId="1019" xfId="0" applyFont="1" applyFill="1" applyBorder="1" applyAlignment="1">
      <alignment vertical="center" wrapText="1"/>
    </xf>
    <xf numFmtId="0" fontId="35" fillId="2" borderId="205" xfId="0" applyFont="1" applyFill="1" applyBorder="1" applyAlignment="1">
      <alignment horizontal="center" vertical="center" indent="1"/>
    </xf>
    <xf numFmtId="0" fontId="313" fillId="44" borderId="235" xfId="0" applyFont="1" applyFill="1" applyBorder="1" applyAlignment="1">
      <alignment vertical="center"/>
    </xf>
    <xf numFmtId="0" fontId="35" fillId="44" borderId="205" xfId="0" applyFont="1" applyFill="1" applyBorder="1" applyAlignment="1">
      <alignment horizontal="left" vertical="center"/>
    </xf>
    <xf numFmtId="0" fontId="130" fillId="2" borderId="964" xfId="0" applyFont="1" applyFill="1" applyBorder="1" applyAlignment="1">
      <alignment horizontal="center" vertical="center"/>
    </xf>
    <xf numFmtId="0" fontId="38" fillId="2" borderId="350" xfId="0" applyFont="1" applyFill="1" applyBorder="1" applyAlignment="1">
      <alignment horizontal="left" vertical="center" wrapText="1" indent="1"/>
    </xf>
    <xf numFmtId="168" fontId="52" fillId="39" borderId="411" xfId="2" applyNumberFormat="1" applyFont="1" applyFill="1" applyBorder="1" applyAlignment="1">
      <alignment vertical="center"/>
    </xf>
    <xf numFmtId="168" fontId="54" fillId="39" borderId="411" xfId="2" applyNumberFormat="1" applyFont="1" applyFill="1" applyBorder="1" applyAlignment="1">
      <alignment vertical="center"/>
    </xf>
    <xf numFmtId="0" fontId="175" fillId="17" borderId="86" xfId="0" applyFont="1" applyFill="1" applyBorder="1" applyAlignment="1">
      <alignment horizontal="center" vertical="center"/>
    </xf>
    <xf numFmtId="0" fontId="175" fillId="17" borderId="173" xfId="0" applyFont="1" applyFill="1" applyBorder="1" applyAlignment="1">
      <alignment horizontal="center" vertical="center"/>
    </xf>
    <xf numFmtId="0" fontId="99" fillId="17" borderId="486" xfId="0" applyFont="1" applyFill="1" applyBorder="1" applyAlignment="1">
      <alignment horizontal="center" vertical="center"/>
    </xf>
    <xf numFmtId="0" fontId="99" fillId="17" borderId="173" xfId="0" applyFont="1" applyFill="1" applyBorder="1" applyAlignment="1">
      <alignment horizontal="center" vertical="center"/>
    </xf>
    <xf numFmtId="0" fontId="99" fillId="39" borderId="84" xfId="0" applyFont="1" applyFill="1" applyBorder="1" applyAlignment="1">
      <alignment horizontal="center" vertical="center"/>
    </xf>
    <xf numFmtId="0" fontId="68" fillId="0" borderId="362" xfId="0" applyFont="1" applyBorder="1" applyAlignment="1">
      <alignment horizontal="center" vertical="center"/>
    </xf>
    <xf numFmtId="0" fontId="39" fillId="0" borderId="385" xfId="0" applyFont="1" applyBorder="1" applyAlignment="1">
      <alignment horizontal="center" vertical="center"/>
    </xf>
    <xf numFmtId="0" fontId="39" fillId="17" borderId="37" xfId="0" applyFont="1" applyFill="1" applyBorder="1" applyAlignment="1">
      <alignment horizontal="center" vertical="center"/>
    </xf>
    <xf numFmtId="0" fontId="225" fillId="0" borderId="313" xfId="0" applyFont="1" applyBorder="1" applyAlignment="1">
      <alignment horizontal="center" vertical="center"/>
    </xf>
    <xf numFmtId="0" fontId="225" fillId="17" borderId="313" xfId="0" applyFont="1" applyFill="1" applyBorder="1" applyAlignment="1">
      <alignment horizontal="center" vertical="center"/>
    </xf>
    <xf numFmtId="0" fontId="228" fillId="17" borderId="297" xfId="0" applyFont="1" applyFill="1" applyBorder="1" applyAlignment="1">
      <alignment horizontal="center" vertical="center"/>
    </xf>
    <xf numFmtId="0" fontId="225" fillId="0" borderId="411" xfId="2" applyFont="1" applyBorder="1" applyAlignment="1">
      <alignment horizontal="center" vertical="center"/>
    </xf>
    <xf numFmtId="0" fontId="225" fillId="0" borderId="415" xfId="2" applyFont="1" applyBorder="1" applyAlignment="1">
      <alignment horizontal="center" vertical="center"/>
    </xf>
    <xf numFmtId="0" fontId="68" fillId="14" borderId="313" xfId="0" applyFont="1" applyFill="1" applyBorder="1" applyAlignment="1">
      <alignment horizontal="center" vertical="center"/>
    </xf>
    <xf numFmtId="0" fontId="39" fillId="14" borderId="313" xfId="0" applyFont="1" applyFill="1" applyBorder="1" applyAlignment="1">
      <alignment horizontal="center" vertical="center"/>
    </xf>
    <xf numFmtId="0" fontId="129" fillId="39" borderId="313" xfId="0" applyFont="1" applyFill="1" applyBorder="1" applyAlignment="1">
      <alignment horizontal="center" vertical="center"/>
    </xf>
    <xf numFmtId="0" fontId="101" fillId="39" borderId="313" xfId="0" applyFont="1" applyFill="1" applyBorder="1" applyAlignment="1">
      <alignment horizontal="center" vertical="center"/>
    </xf>
    <xf numFmtId="0" fontId="228" fillId="0" borderId="299" xfId="0" applyFont="1" applyBorder="1" applyAlignment="1">
      <alignment horizontal="center" vertical="center"/>
    </xf>
    <xf numFmtId="0" fontId="228" fillId="0" borderId="37" xfId="0" applyFont="1" applyBorder="1" applyAlignment="1">
      <alignment horizontal="center" vertical="center"/>
    </xf>
    <xf numFmtId="49" fontId="52" fillId="0" borderId="44" xfId="0" applyNumberFormat="1" applyFont="1" applyBorder="1" applyAlignment="1">
      <alignment vertical="center"/>
    </xf>
    <xf numFmtId="49" fontId="52" fillId="0" borderId="34" xfId="0" applyNumberFormat="1" applyFont="1" applyBorder="1" applyAlignment="1">
      <alignment vertical="center"/>
    </xf>
    <xf numFmtId="168" fontId="52" fillId="0" borderId="107" xfId="0" applyNumberFormat="1" applyFont="1" applyBorder="1" applyAlignment="1">
      <alignment vertical="center"/>
    </xf>
    <xf numFmtId="168" fontId="52" fillId="0" borderId="34" xfId="0" applyNumberFormat="1" applyFont="1" applyBorder="1" applyAlignment="1">
      <alignment horizontal="center" vertical="center"/>
    </xf>
    <xf numFmtId="168" fontId="52" fillId="0" borderId="37" xfId="0" applyNumberFormat="1" applyFont="1" applyBorder="1" applyAlignment="1">
      <alignment horizontal="center" vertical="center"/>
    </xf>
    <xf numFmtId="49" fontId="52" fillId="0" borderId="43" xfId="0" applyNumberFormat="1" applyFont="1" applyBorder="1" applyAlignment="1">
      <alignment vertical="center"/>
    </xf>
    <xf numFmtId="49" fontId="52" fillId="0" borderId="39" xfId="0" applyNumberFormat="1" applyFont="1" applyBorder="1" applyAlignment="1">
      <alignment vertical="center"/>
    </xf>
    <xf numFmtId="49" fontId="52" fillId="0" borderId="37" xfId="0" applyNumberFormat="1" applyFont="1" applyBorder="1" applyAlignment="1">
      <alignment vertical="center"/>
    </xf>
    <xf numFmtId="49" fontId="52" fillId="17" borderId="44" xfId="0" applyNumberFormat="1" applyFont="1" applyFill="1" applyBorder="1" applyAlignment="1">
      <alignment vertical="center"/>
    </xf>
    <xf numFmtId="49" fontId="52" fillId="17" borderId="34" xfId="0" applyNumberFormat="1" applyFont="1" applyFill="1" applyBorder="1" applyAlignment="1">
      <alignment vertical="center"/>
    </xf>
    <xf numFmtId="49" fontId="52" fillId="17" borderId="43" xfId="0" applyNumberFormat="1" applyFont="1" applyFill="1" applyBorder="1" applyAlignment="1">
      <alignment vertical="center"/>
    </xf>
    <xf numFmtId="39" fontId="220" fillId="17" borderId="39" xfId="0" applyNumberFormat="1" applyFont="1" applyFill="1" applyBorder="1" applyAlignment="1">
      <alignment vertical="center"/>
    </xf>
    <xf numFmtId="49" fontId="220" fillId="17" borderId="39" xfId="0" applyNumberFormat="1" applyFont="1" applyFill="1" applyBorder="1" applyAlignment="1">
      <alignment horizontal="center" vertical="center"/>
    </xf>
    <xf numFmtId="39" fontId="220" fillId="17" borderId="34" xfId="0" applyNumberFormat="1" applyFont="1" applyFill="1" applyBorder="1" applyAlignment="1">
      <alignment vertical="center"/>
    </xf>
    <xf numFmtId="49" fontId="220" fillId="17" borderId="34" xfId="0" applyNumberFormat="1" applyFont="1" applyFill="1" applyBorder="1" applyAlignment="1">
      <alignment vertical="center"/>
    </xf>
    <xf numFmtId="168" fontId="220" fillId="17" borderId="34" xfId="0" applyNumberFormat="1" applyFont="1" applyFill="1" applyBorder="1" applyAlignment="1">
      <alignment vertical="center"/>
    </xf>
    <xf numFmtId="168" fontId="220" fillId="0" borderId="411" xfId="2" applyNumberFormat="1" applyFont="1" applyBorder="1" applyAlignment="1">
      <alignment vertical="center"/>
    </xf>
    <xf numFmtId="49" fontId="220" fillId="0" borderId="411" xfId="2" applyNumberFormat="1" applyFont="1" applyBorder="1" applyAlignment="1">
      <alignment vertical="center"/>
    </xf>
    <xf numFmtId="39" fontId="52" fillId="39" borderId="39" xfId="0" applyNumberFormat="1" applyFont="1" applyFill="1" applyBorder="1" applyAlignment="1">
      <alignment vertical="center"/>
    </xf>
    <xf numFmtId="49" fontId="52" fillId="17" borderId="39" xfId="0" applyNumberFormat="1" applyFont="1" applyFill="1" applyBorder="1" applyAlignment="1">
      <alignment horizontal="center" vertical="center"/>
    </xf>
    <xf numFmtId="39" fontId="52" fillId="17" borderId="111" xfId="0" applyNumberFormat="1" applyFont="1" applyFill="1" applyBorder="1" applyAlignment="1">
      <alignment vertical="center"/>
    </xf>
    <xf numFmtId="49" fontId="52" fillId="17" borderId="111" xfId="0" applyNumberFormat="1" applyFont="1" applyFill="1" applyBorder="1" applyAlignment="1">
      <alignment horizontal="center" vertical="center"/>
    </xf>
    <xf numFmtId="39" fontId="130" fillId="17" borderId="34" xfId="0" applyNumberFormat="1" applyFont="1" applyFill="1" applyBorder="1" applyAlignment="1">
      <alignment vertical="center"/>
    </xf>
    <xf numFmtId="49" fontId="130" fillId="17" borderId="34" xfId="0" applyNumberFormat="1" applyFont="1" applyFill="1" applyBorder="1" applyAlignment="1">
      <alignment vertical="center"/>
    </xf>
    <xf numFmtId="39" fontId="52" fillId="14" borderId="44" xfId="0" applyNumberFormat="1" applyFont="1" applyFill="1" applyBorder="1" applyAlignment="1">
      <alignment vertical="center"/>
    </xf>
    <xf numFmtId="49" fontId="52" fillId="14" borderId="44" xfId="0" applyNumberFormat="1" applyFont="1" applyFill="1" applyBorder="1" applyAlignment="1">
      <alignment horizontal="center" vertical="center"/>
    </xf>
    <xf numFmtId="49" fontId="52" fillId="14" borderId="44" xfId="0" applyNumberFormat="1" applyFont="1" applyFill="1" applyBorder="1" applyAlignment="1">
      <alignment vertical="center"/>
    </xf>
    <xf numFmtId="49" fontId="130" fillId="39" borderId="44" xfId="0" applyNumberFormat="1" applyFont="1" applyFill="1" applyBorder="1" applyAlignment="1">
      <alignment horizontal="center" vertical="center"/>
    </xf>
    <xf numFmtId="49" fontId="130" fillId="39" borderId="34" xfId="0" applyNumberFormat="1" applyFont="1" applyFill="1" applyBorder="1" applyAlignment="1">
      <alignment vertical="center"/>
    </xf>
    <xf numFmtId="49" fontId="220" fillId="0" borderId="43" xfId="0" applyNumberFormat="1" applyFont="1" applyBorder="1" applyAlignment="1">
      <alignment vertical="center"/>
    </xf>
    <xf numFmtId="168" fontId="52" fillId="44" borderId="116" xfId="0" applyNumberFormat="1" applyFont="1" applyFill="1" applyBorder="1" applyAlignment="1">
      <alignment horizontal="right" vertical="center"/>
    </xf>
    <xf numFmtId="0" fontId="68" fillId="0" borderId="30" xfId="0" applyFont="1" applyBorder="1" applyAlignment="1">
      <alignment horizontal="center" vertical="center"/>
    </xf>
    <xf numFmtId="0" fontId="68" fillId="4" borderId="30" xfId="0" applyFont="1" applyFill="1" applyBorder="1" applyAlignment="1">
      <alignment horizontal="center" vertical="center"/>
    </xf>
    <xf numFmtId="0" fontId="39" fillId="0" borderId="34" xfId="0" applyFont="1" applyBorder="1" applyAlignment="1">
      <alignment horizontal="center" vertical="center"/>
    </xf>
    <xf numFmtId="0" fontId="39" fillId="17" borderId="34" xfId="0" applyFont="1" applyFill="1" applyBorder="1" applyAlignment="1">
      <alignment horizontal="center" vertical="center"/>
    </xf>
    <xf numFmtId="0" fontId="68" fillId="0" borderId="43" xfId="0" applyFont="1" applyBorder="1" applyAlignment="1">
      <alignment horizontal="center" vertical="center"/>
    </xf>
    <xf numFmtId="0" fontId="68" fillId="17" borderId="43" xfId="0" applyFont="1" applyFill="1" applyBorder="1" applyAlignment="1">
      <alignment horizontal="center" vertical="center"/>
    </xf>
    <xf numFmtId="1" fontId="68" fillId="39" borderId="39" xfId="0" applyNumberFormat="1" applyFont="1" applyFill="1" applyBorder="1" applyAlignment="1">
      <alignment horizontal="center" vertical="center"/>
    </xf>
    <xf numFmtId="1" fontId="68" fillId="39" borderId="34" xfId="0" applyNumberFormat="1" applyFont="1" applyFill="1" applyBorder="1" applyAlignment="1">
      <alignment horizontal="center" vertical="center"/>
    </xf>
    <xf numFmtId="0" fontId="68" fillId="39" borderId="34" xfId="0" applyFont="1" applyFill="1" applyBorder="1" applyAlignment="1">
      <alignment horizontal="center" vertical="center"/>
    </xf>
    <xf numFmtId="0" fontId="68" fillId="0" borderId="44" xfId="0" applyFont="1" applyBorder="1" applyAlignment="1">
      <alignment horizontal="center" vertical="center"/>
    </xf>
    <xf numFmtId="0" fontId="68" fillId="0" borderId="34" xfId="0" applyFont="1" applyBorder="1" applyAlignment="1">
      <alignment horizontal="center" vertical="center"/>
    </xf>
    <xf numFmtId="0" fontId="68" fillId="17" borderId="34" xfId="0" applyFont="1" applyFill="1" applyBorder="1" applyAlignment="1">
      <alignment horizontal="center" vertical="center"/>
    </xf>
    <xf numFmtId="0" fontId="39" fillId="0" borderId="44" xfId="0" applyFont="1" applyBorder="1" applyAlignment="1">
      <alignment horizontal="center" vertical="center"/>
    </xf>
    <xf numFmtId="0" fontId="39" fillId="17" borderId="44" xfId="0" applyFont="1" applyFill="1" applyBorder="1" applyAlignment="1">
      <alignment horizontal="center" vertical="center"/>
    </xf>
    <xf numFmtId="0" fontId="68" fillId="17" borderId="44" xfId="0" applyFont="1" applyFill="1" applyBorder="1" applyAlignment="1">
      <alignment horizontal="center" vertical="center"/>
    </xf>
    <xf numFmtId="1" fontId="68" fillId="0" borderId="39" xfId="0" applyNumberFormat="1" applyFont="1" applyBorder="1" applyAlignment="1">
      <alignment horizontal="center" vertical="center"/>
    </xf>
    <xf numFmtId="0" fontId="68" fillId="0" borderId="39" xfId="0" applyFont="1" applyBorder="1" applyAlignment="1">
      <alignment horizontal="center" vertical="center"/>
    </xf>
    <xf numFmtId="1" fontId="68" fillId="0" borderId="34" xfId="0" applyNumberFormat="1" applyFont="1" applyBorder="1" applyAlignment="1">
      <alignment horizontal="center" vertical="center"/>
    </xf>
    <xf numFmtId="1" fontId="68" fillId="0" borderId="44" xfId="0" applyNumberFormat="1" applyFont="1" applyBorder="1" applyAlignment="1">
      <alignment horizontal="center" vertical="center" wrapText="1"/>
    </xf>
    <xf numFmtId="1" fontId="68" fillId="0" borderId="34" xfId="0" applyNumberFormat="1" applyFont="1" applyBorder="1" applyAlignment="1">
      <alignment horizontal="center" vertical="center" wrapText="1"/>
    </xf>
    <xf numFmtId="0" fontId="68" fillId="4" borderId="39" xfId="0" applyFont="1" applyFill="1" applyBorder="1" applyAlignment="1">
      <alignment horizontal="center" vertical="center"/>
    </xf>
    <xf numFmtId="0" fontId="68" fillId="39" borderId="44" xfId="0" applyFont="1" applyFill="1" applyBorder="1" applyAlignment="1">
      <alignment horizontal="center" vertical="center"/>
    </xf>
    <xf numFmtId="0" fontId="39" fillId="39" borderId="44" xfId="0" applyFont="1" applyFill="1" applyBorder="1" applyAlignment="1">
      <alignment horizontal="center" vertical="center"/>
    </xf>
    <xf numFmtId="0" fontId="39" fillId="0" borderId="43" xfId="0" applyFont="1" applyBorder="1" applyAlignment="1">
      <alignment horizontal="center" vertical="center"/>
    </xf>
    <xf numFmtId="0" fontId="180" fillId="0" borderId="34" xfId="0" applyFont="1" applyBorder="1" applyAlignment="1">
      <alignment horizontal="center" vertical="center"/>
    </xf>
    <xf numFmtId="0" fontId="181" fillId="0" borderId="37" xfId="0" applyFont="1" applyBorder="1" applyAlignment="1">
      <alignment horizontal="center" vertical="center"/>
    </xf>
    <xf numFmtId="0" fontId="39" fillId="17" borderId="43" xfId="0" applyFont="1" applyFill="1" applyBorder="1" applyAlignment="1">
      <alignment horizontal="center" vertical="center"/>
    </xf>
    <xf numFmtId="0" fontId="39" fillId="0" borderId="39" xfId="0" applyFont="1" applyBorder="1" applyAlignment="1">
      <alignment horizontal="center" vertical="center"/>
    </xf>
    <xf numFmtId="0" fontId="39" fillId="4" borderId="39" xfId="0" applyFont="1" applyFill="1" applyBorder="1" applyAlignment="1">
      <alignment horizontal="center" vertical="center"/>
    </xf>
    <xf numFmtId="1" fontId="68" fillId="0" borderId="37" xfId="0" applyNumberFormat="1" applyFont="1" applyBorder="1" applyAlignment="1">
      <alignment horizontal="center" vertical="center"/>
    </xf>
    <xf numFmtId="0" fontId="39" fillId="4" borderId="37" xfId="0" applyFont="1" applyFill="1" applyBorder="1" applyAlignment="1">
      <alignment horizontal="center" vertical="center"/>
    </xf>
    <xf numFmtId="0" fontId="39" fillId="4" borderId="484" xfId="0" applyFont="1" applyFill="1" applyBorder="1" applyAlignment="1">
      <alignment horizontal="center" vertical="center"/>
    </xf>
    <xf numFmtId="0" fontId="68" fillId="4" borderId="34" xfId="0" applyFont="1" applyFill="1" applyBorder="1" applyAlignment="1">
      <alignment horizontal="center" vertical="center"/>
    </xf>
    <xf numFmtId="0" fontId="101" fillId="4" borderId="37" xfId="0" applyFont="1" applyFill="1" applyBorder="1" applyAlignment="1">
      <alignment horizontal="center" vertical="center" wrapText="1"/>
    </xf>
    <xf numFmtId="0" fontId="101" fillId="4" borderId="44" xfId="0" applyFont="1" applyFill="1" applyBorder="1" applyAlignment="1">
      <alignment horizontal="center" vertical="center" wrapText="1"/>
    </xf>
    <xf numFmtId="0" fontId="101" fillId="4" borderId="34" xfId="0" applyFont="1" applyFill="1" applyBorder="1" applyAlignment="1">
      <alignment horizontal="center" vertical="center" wrapText="1"/>
    </xf>
    <xf numFmtId="0" fontId="101" fillId="4" borderId="43" xfId="0" applyFont="1" applyFill="1" applyBorder="1" applyAlignment="1">
      <alignment horizontal="center" vertical="center" wrapText="1"/>
    </xf>
    <xf numFmtId="0" fontId="101" fillId="4" borderId="39" xfId="0" applyFont="1" applyFill="1" applyBorder="1" applyAlignment="1">
      <alignment horizontal="center" vertical="center" wrapText="1"/>
    </xf>
    <xf numFmtId="0" fontId="129" fillId="4" borderId="44" xfId="0" applyFont="1" applyFill="1" applyBorder="1" applyAlignment="1">
      <alignment horizontal="center" vertical="center" wrapText="1"/>
    </xf>
    <xf numFmtId="0" fontId="129" fillId="4" borderId="34" xfId="0" applyFont="1" applyFill="1" applyBorder="1" applyAlignment="1">
      <alignment horizontal="center" vertical="center"/>
    </xf>
    <xf numFmtId="0" fontId="129" fillId="4" borderId="43" xfId="0" applyFont="1" applyFill="1" applyBorder="1" applyAlignment="1">
      <alignment horizontal="center" vertical="center"/>
    </xf>
    <xf numFmtId="0" fontId="39" fillId="4" borderId="43" xfId="0" applyFont="1" applyFill="1" applyBorder="1" applyAlignment="1">
      <alignment horizontal="center" vertical="center"/>
    </xf>
    <xf numFmtId="0" fontId="129" fillId="17" borderId="30" xfId="0" applyFont="1" applyFill="1" applyBorder="1" applyAlignment="1">
      <alignment horizontal="center" vertical="center"/>
    </xf>
    <xf numFmtId="0" fontId="68" fillId="17" borderId="30" xfId="0" applyFont="1" applyFill="1" applyBorder="1" applyAlignment="1">
      <alignment horizontal="center" vertical="center"/>
    </xf>
    <xf numFmtId="0" fontId="129" fillId="17" borderId="34" xfId="0" applyFont="1" applyFill="1" applyBorder="1" applyAlignment="1">
      <alignment horizontal="center" vertical="center"/>
    </xf>
    <xf numFmtId="0" fontId="129" fillId="17" borderId="43" xfId="0" applyFont="1" applyFill="1" applyBorder="1" applyAlignment="1">
      <alignment horizontal="center" vertical="center"/>
    </xf>
    <xf numFmtId="0" fontId="129" fillId="17" borderId="39" xfId="0" applyFont="1" applyFill="1" applyBorder="1" applyAlignment="1">
      <alignment horizontal="center" vertical="center"/>
    </xf>
    <xf numFmtId="0" fontId="39" fillId="17" borderId="39" xfId="0" applyFont="1" applyFill="1" applyBorder="1" applyAlignment="1">
      <alignment horizontal="center" vertical="center"/>
    </xf>
    <xf numFmtId="0" fontId="129" fillId="17" borderId="37" xfId="0" applyFont="1" applyFill="1" applyBorder="1" applyAlignment="1">
      <alignment horizontal="center" vertical="center"/>
    </xf>
    <xf numFmtId="0" fontId="68" fillId="17" borderId="39" xfId="0" applyFont="1" applyFill="1" applyBorder="1" applyAlignment="1">
      <alignment horizontal="center" vertical="center"/>
    </xf>
    <xf numFmtId="0" fontId="39" fillId="17" borderId="44" xfId="0" applyFont="1" applyFill="1" applyBorder="1"/>
    <xf numFmtId="0" fontId="39" fillId="17" borderId="34" xfId="0" applyFont="1" applyFill="1" applyBorder="1"/>
    <xf numFmtId="0" fontId="39" fillId="17" borderId="43" xfId="0" applyFont="1" applyFill="1" applyBorder="1"/>
    <xf numFmtId="0" fontId="39" fillId="17" borderId="39" xfId="0" applyFont="1" applyFill="1" applyBorder="1"/>
    <xf numFmtId="49" fontId="68" fillId="0" borderId="34" xfId="0" applyNumberFormat="1" applyFont="1" applyBorder="1" applyAlignment="1">
      <alignment horizontal="center" vertical="center"/>
    </xf>
    <xf numFmtId="0" fontId="54" fillId="4" borderId="30" xfId="0" applyFont="1" applyFill="1" applyBorder="1" applyAlignment="1">
      <alignment horizontal="center" vertical="center" wrapText="1"/>
    </xf>
    <xf numFmtId="0" fontId="54" fillId="4" borderId="34" xfId="0" applyFont="1" applyFill="1" applyBorder="1" applyAlignment="1">
      <alignment horizontal="center" vertical="center" wrapText="1"/>
    </xf>
    <xf numFmtId="0" fontId="54" fillId="39" borderId="39" xfId="0" applyFont="1" applyFill="1" applyBorder="1" applyAlignment="1">
      <alignment horizontal="center" vertical="center" wrapText="1"/>
    </xf>
    <xf numFmtId="3" fontId="54" fillId="39" borderId="34" xfId="0" applyNumberFormat="1" applyFont="1" applyFill="1" applyBorder="1" applyAlignment="1">
      <alignment horizontal="center" vertical="center" wrapText="1"/>
    </xf>
    <xf numFmtId="0" fontId="54" fillId="17" borderId="44" xfId="0" applyFont="1" applyFill="1" applyBorder="1" applyAlignment="1">
      <alignment vertical="center"/>
    </xf>
    <xf numFmtId="0" fontId="54" fillId="17" borderId="34" xfId="0" applyFont="1" applyFill="1" applyBorder="1" applyAlignment="1">
      <alignment vertical="center"/>
    </xf>
    <xf numFmtId="0" fontId="54" fillId="17" borderId="37" xfId="0" applyFont="1" applyFill="1" applyBorder="1" applyAlignment="1">
      <alignment vertical="center"/>
    </xf>
    <xf numFmtId="0" fontId="54" fillId="17" borderId="34" xfId="0" applyFont="1" applyFill="1" applyBorder="1" applyAlignment="1">
      <alignment horizontal="center" vertical="center"/>
    </xf>
    <xf numFmtId="0" fontId="54" fillId="39" borderId="34" xfId="0" applyFont="1" applyFill="1" applyBorder="1" applyAlignment="1">
      <alignment vertical="center"/>
    </xf>
    <xf numFmtId="0" fontId="54" fillId="39" borderId="34" xfId="0" applyFont="1" applyFill="1" applyBorder="1" applyAlignment="1">
      <alignment horizontal="center" vertical="center"/>
    </xf>
    <xf numFmtId="0" fontId="54" fillId="0" borderId="34" xfId="0" applyFont="1" applyBorder="1" applyAlignment="1">
      <alignment vertical="center"/>
    </xf>
    <xf numFmtId="0" fontId="54" fillId="0" borderId="34" xfId="0" applyFont="1" applyBorder="1" applyAlignment="1">
      <alignment horizontal="center" vertical="center"/>
    </xf>
    <xf numFmtId="0" fontId="54" fillId="4" borderId="39" xfId="0" applyFont="1" applyFill="1" applyBorder="1" applyAlignment="1">
      <alignment horizontal="center" vertical="center" wrapText="1"/>
    </xf>
    <xf numFmtId="0" fontId="296" fillId="0" borderId="37" xfId="0" applyFont="1" applyBorder="1" applyAlignment="1">
      <alignment horizontal="center" vertical="center" wrapText="1"/>
    </xf>
    <xf numFmtId="0" fontId="54" fillId="17" borderId="43" xfId="0" applyFont="1" applyFill="1" applyBorder="1" applyAlignment="1">
      <alignment vertical="center"/>
    </xf>
    <xf numFmtId="0" fontId="54" fillId="4" borderId="39" xfId="0" applyFont="1" applyFill="1" applyBorder="1" applyAlignment="1">
      <alignment vertical="center"/>
    </xf>
    <xf numFmtId="0" fontId="54" fillId="4" borderId="34" xfId="0" applyFont="1" applyFill="1" applyBorder="1" applyAlignment="1">
      <alignment vertical="center"/>
    </xf>
    <xf numFmtId="0" fontId="54" fillId="4" borderId="37" xfId="0" applyFont="1" applyFill="1" applyBorder="1" applyAlignment="1">
      <alignment horizontal="center" vertical="center" wrapText="1"/>
    </xf>
    <xf numFmtId="0" fontId="54" fillId="4" borderId="484" xfId="0" applyFont="1" applyFill="1" applyBorder="1" applyAlignment="1">
      <alignment horizontal="center" vertical="center" wrapText="1"/>
    </xf>
    <xf numFmtId="0" fontId="54" fillId="39" borderId="37" xfId="0" applyFont="1" applyFill="1" applyBorder="1" applyAlignment="1">
      <alignment horizontal="center" vertical="center" wrapText="1"/>
    </xf>
    <xf numFmtId="0" fontId="54" fillId="4" borderId="44" xfId="0" applyFont="1" applyFill="1" applyBorder="1" applyAlignment="1">
      <alignment horizontal="center" vertical="center" wrapText="1"/>
    </xf>
    <xf numFmtId="0" fontId="54" fillId="4" borderId="43" xfId="0" applyFont="1" applyFill="1" applyBorder="1" applyAlignment="1">
      <alignment horizontal="center" vertical="center" wrapText="1"/>
    </xf>
    <xf numFmtId="0" fontId="106" fillId="17" borderId="34" xfId="0" applyFont="1" applyFill="1" applyBorder="1" applyAlignment="1">
      <alignment horizontal="center" vertical="center" wrapText="1"/>
    </xf>
    <xf numFmtId="0" fontId="106" fillId="0" borderId="34" xfId="0" applyFont="1" applyBorder="1" applyAlignment="1">
      <alignment horizontal="center" vertical="center" wrapText="1"/>
    </xf>
    <xf numFmtId="0" fontId="106" fillId="0" borderId="37" xfId="0" applyFont="1" applyBorder="1" applyAlignment="1">
      <alignment horizontal="center" vertical="center" wrapText="1"/>
    </xf>
    <xf numFmtId="0" fontId="54" fillId="17" borderId="39" xfId="0" applyFont="1" applyFill="1" applyBorder="1" applyAlignment="1">
      <alignment horizontal="center" vertical="center" wrapText="1"/>
    </xf>
    <xf numFmtId="0" fontId="54" fillId="17" borderId="484" xfId="0" applyFont="1" applyFill="1" applyBorder="1" applyAlignment="1">
      <alignment horizontal="center" vertical="center" wrapText="1"/>
    </xf>
    <xf numFmtId="0" fontId="54" fillId="17" borderId="30" xfId="0" applyFont="1" applyFill="1" applyBorder="1" applyAlignment="1">
      <alignment horizontal="center" vertical="center" wrapText="1"/>
    </xf>
    <xf numFmtId="0" fontId="106" fillId="17" borderId="43" xfId="0" applyFont="1" applyFill="1" applyBorder="1" applyAlignment="1">
      <alignment horizontal="center" vertical="center" wrapText="1"/>
    </xf>
    <xf numFmtId="0" fontId="106" fillId="17" borderId="39" xfId="0" applyFont="1" applyFill="1" applyBorder="1" applyAlignment="1">
      <alignment horizontal="center" vertical="center" wrapText="1"/>
    </xf>
    <xf numFmtId="0" fontId="54" fillId="17" borderId="44" xfId="0" applyFont="1" applyFill="1" applyBorder="1"/>
    <xf numFmtId="0" fontId="54" fillId="17" borderId="34" xfId="0" applyFont="1" applyFill="1" applyBorder="1"/>
    <xf numFmtId="0" fontId="54" fillId="17" borderId="43" xfId="0" applyFont="1" applyFill="1" applyBorder="1"/>
    <xf numFmtId="0" fontId="54" fillId="17" borderId="39" xfId="0" applyFont="1" applyFill="1" applyBorder="1"/>
    <xf numFmtId="168" fontId="52" fillId="12" borderId="350" xfId="0" applyNumberFormat="1" applyFont="1" applyFill="1" applyBorder="1" applyAlignment="1">
      <alignment horizontal="right" vertical="center"/>
    </xf>
    <xf numFmtId="168" fontId="52" fillId="12" borderId="713" xfId="0" applyNumberFormat="1" applyFont="1" applyFill="1" applyBorder="1" applyAlignment="1">
      <alignment horizontal="right" vertical="center"/>
    </xf>
    <xf numFmtId="168" fontId="54" fillId="4" borderId="30" xfId="0" applyNumberFormat="1" applyFont="1" applyFill="1" applyBorder="1" applyAlignment="1">
      <alignment vertical="center"/>
    </xf>
    <xf numFmtId="168" fontId="52" fillId="4" borderId="30" xfId="0" applyNumberFormat="1" applyFont="1" applyFill="1" applyBorder="1" applyAlignment="1">
      <alignment vertical="center"/>
    </xf>
    <xf numFmtId="168" fontId="54" fillId="4" borderId="34" xfId="0" applyNumberFormat="1" applyFont="1" applyFill="1" applyBorder="1" applyAlignment="1">
      <alignment vertical="center"/>
    </xf>
    <xf numFmtId="168" fontId="52" fillId="4" borderId="34" xfId="0" applyNumberFormat="1" applyFont="1" applyFill="1" applyBorder="1" applyAlignment="1">
      <alignment vertical="center"/>
    </xf>
    <xf numFmtId="168" fontId="54" fillId="39" borderId="39" xfId="0" applyNumberFormat="1" applyFont="1" applyFill="1" applyBorder="1" applyAlignment="1">
      <alignment vertical="center"/>
    </xf>
    <xf numFmtId="168" fontId="52" fillId="39" borderId="39" xfId="0" applyNumberFormat="1" applyFont="1" applyFill="1" applyBorder="1" applyAlignment="1">
      <alignment vertical="center"/>
    </xf>
    <xf numFmtId="168" fontId="54" fillId="4" borderId="39" xfId="0" applyNumberFormat="1" applyFont="1" applyFill="1" applyBorder="1" applyAlignment="1">
      <alignment vertical="center"/>
    </xf>
    <xf numFmtId="168" fontId="52" fillId="4" borderId="39" xfId="0" applyNumberFormat="1" applyFont="1" applyFill="1" applyBorder="1" applyAlignment="1">
      <alignment vertical="center"/>
    </xf>
    <xf numFmtId="168" fontId="220" fillId="0" borderId="34" xfId="0" applyNumberFormat="1" applyFont="1" applyBorder="1" applyAlignment="1">
      <alignment vertical="center"/>
    </xf>
    <xf numFmtId="168" fontId="296" fillId="0" borderId="37" xfId="0" applyNumberFormat="1" applyFont="1" applyBorder="1" applyAlignment="1">
      <alignment vertical="center"/>
    </xf>
    <xf numFmtId="168" fontId="54" fillId="4" borderId="37" xfId="0" applyNumberFormat="1" applyFont="1" applyFill="1" applyBorder="1" applyAlignment="1">
      <alignment vertical="center"/>
    </xf>
    <xf numFmtId="168" fontId="52" fillId="4" borderId="37" xfId="0" applyNumberFormat="1" applyFont="1" applyFill="1" applyBorder="1" applyAlignment="1">
      <alignment vertical="center"/>
    </xf>
    <xf numFmtId="168" fontId="54" fillId="4" borderId="484" xfId="0" applyNumberFormat="1" applyFont="1" applyFill="1" applyBorder="1" applyAlignment="1">
      <alignment vertical="center"/>
    </xf>
    <xf numFmtId="168" fontId="52" fillId="4" borderId="484" xfId="0" applyNumberFormat="1" applyFont="1" applyFill="1" applyBorder="1" applyAlignment="1">
      <alignment vertical="center"/>
    </xf>
    <xf numFmtId="168" fontId="54" fillId="4" borderId="44" xfId="0" applyNumberFormat="1" applyFont="1" applyFill="1" applyBorder="1" applyAlignment="1">
      <alignment vertical="center"/>
    </xf>
    <xf numFmtId="168" fontId="52" fillId="4" borderId="44" xfId="0" applyNumberFormat="1" applyFont="1" applyFill="1" applyBorder="1" applyAlignment="1">
      <alignment vertical="center"/>
    </xf>
    <xf numFmtId="168" fontId="54" fillId="39" borderId="37" xfId="0" applyNumberFormat="1" applyFont="1" applyFill="1" applyBorder="1" applyAlignment="1">
      <alignment vertical="center"/>
    </xf>
    <xf numFmtId="168" fontId="54" fillId="4" borderId="43" xfId="0" applyNumberFormat="1" applyFont="1" applyFill="1" applyBorder="1" applyAlignment="1">
      <alignment vertical="center"/>
    </xf>
    <xf numFmtId="168" fontId="52" fillId="4" borderId="43" xfId="0" applyNumberFormat="1" applyFont="1" applyFill="1" applyBorder="1" applyAlignment="1">
      <alignment vertical="center"/>
    </xf>
    <xf numFmtId="168" fontId="54" fillId="17" borderId="39" xfId="0" applyNumberFormat="1" applyFont="1" applyFill="1" applyBorder="1" applyAlignment="1">
      <alignment vertical="center"/>
    </xf>
    <xf numFmtId="168" fontId="52" fillId="17" borderId="39" xfId="0" applyNumberFormat="1" applyFont="1" applyFill="1" applyBorder="1" applyAlignment="1">
      <alignment vertical="center"/>
    </xf>
    <xf numFmtId="168" fontId="54" fillId="17" borderId="484" xfId="0" applyNumberFormat="1" applyFont="1" applyFill="1" applyBorder="1" applyAlignment="1">
      <alignment vertical="center"/>
    </xf>
    <xf numFmtId="168" fontId="52" fillId="17" borderId="484" xfId="0" applyNumberFormat="1" applyFont="1" applyFill="1" applyBorder="1" applyAlignment="1">
      <alignment vertical="center"/>
    </xf>
    <xf numFmtId="168" fontId="54" fillId="17" borderId="30" xfId="0" applyNumberFormat="1" applyFont="1" applyFill="1" applyBorder="1" applyAlignment="1">
      <alignment vertical="center"/>
    </xf>
    <xf numFmtId="168" fontId="54" fillId="17" borderId="44" xfId="0" applyNumberFormat="1" applyFont="1" applyFill="1" applyBorder="1"/>
    <xf numFmtId="168" fontId="54" fillId="17" borderId="34" xfId="0" applyNumberFormat="1" applyFont="1" applyFill="1" applyBorder="1"/>
    <xf numFmtId="168" fontId="54" fillId="17" borderId="43" xfId="0" applyNumberFormat="1" applyFont="1" applyFill="1" applyBorder="1"/>
    <xf numFmtId="168" fontId="54" fillId="17" borderId="39" xfId="0" applyNumberFormat="1" applyFont="1" applyFill="1" applyBorder="1"/>
    <xf numFmtId="49" fontId="52" fillId="4" borderId="30" xfId="0" applyNumberFormat="1" applyFont="1" applyFill="1" applyBorder="1" applyAlignment="1">
      <alignment horizontal="center" vertical="center"/>
    </xf>
    <xf numFmtId="49" fontId="54" fillId="17" borderId="37" xfId="0" applyNumberFormat="1" applyFont="1" applyFill="1" applyBorder="1" applyAlignment="1">
      <alignment horizontal="center" vertical="center"/>
    </xf>
    <xf numFmtId="2" fontId="52" fillId="0" borderId="34" xfId="0" applyNumberFormat="1" applyFont="1" applyBorder="1" applyAlignment="1">
      <alignment horizontal="center" vertical="center"/>
    </xf>
    <xf numFmtId="49" fontId="54" fillId="0" borderId="34" xfId="0" applyNumberFormat="1" applyFont="1" applyBorder="1" applyAlignment="1">
      <alignment horizontal="center" vertical="center"/>
    </xf>
    <xf numFmtId="49" fontId="52" fillId="4" borderId="39" xfId="0" applyNumberFormat="1" applyFont="1" applyFill="1" applyBorder="1" applyAlignment="1">
      <alignment horizontal="center" vertical="center"/>
    </xf>
    <xf numFmtId="49" fontId="171" fillId="0" borderId="34" xfId="0" applyNumberFormat="1" applyFont="1" applyBorder="1" applyAlignment="1">
      <alignment horizontal="center" vertical="center"/>
    </xf>
    <xf numFmtId="49" fontId="52" fillId="4" borderId="37" xfId="0" applyNumberFormat="1" applyFont="1" applyFill="1" applyBorder="1" applyAlignment="1">
      <alignment horizontal="center" vertical="center"/>
    </xf>
    <xf numFmtId="49" fontId="52" fillId="4" borderId="484" xfId="0" applyNumberFormat="1" applyFont="1" applyFill="1" applyBorder="1" applyAlignment="1">
      <alignment horizontal="center" vertical="center"/>
    </xf>
    <xf numFmtId="49" fontId="52" fillId="4" borderId="44" xfId="0" applyNumberFormat="1" applyFont="1" applyFill="1" applyBorder="1" applyAlignment="1">
      <alignment horizontal="center" vertical="center"/>
    </xf>
    <xf numFmtId="49" fontId="52" fillId="4" borderId="43" xfId="0" applyNumberFormat="1" applyFont="1" applyFill="1" applyBorder="1" applyAlignment="1">
      <alignment horizontal="center" vertical="center"/>
    </xf>
    <xf numFmtId="49" fontId="52" fillId="17" borderId="484" xfId="0" applyNumberFormat="1" applyFont="1" applyFill="1" applyBorder="1" applyAlignment="1">
      <alignment horizontal="center" vertical="center"/>
    </xf>
    <xf numFmtId="49" fontId="192" fillId="0" borderId="34" xfId="0" applyNumberFormat="1" applyFont="1" applyBorder="1" applyAlignment="1">
      <alignment horizontal="center" vertical="center"/>
    </xf>
    <xf numFmtId="0" fontId="39" fillId="17" borderId="173" xfId="0" applyFont="1" applyFill="1" applyBorder="1" applyAlignment="1">
      <alignment vertical="center"/>
    </xf>
    <xf numFmtId="0" fontId="39" fillId="0" borderId="86" xfId="0" applyFont="1" applyBorder="1" applyAlignment="1">
      <alignment horizontal="center" vertical="center"/>
    </xf>
    <xf numFmtId="0" fontId="68" fillId="0" borderId="84" xfId="0" applyFont="1" applyBorder="1" applyAlignment="1">
      <alignment horizontal="center" vertical="center"/>
    </xf>
    <xf numFmtId="0" fontId="39" fillId="0" borderId="194" xfId="0" applyFont="1" applyBorder="1" applyAlignment="1">
      <alignment horizontal="center" vertical="center"/>
    </xf>
    <xf numFmtId="0" fontId="129" fillId="0" borderId="84" xfId="0" applyFont="1" applyBorder="1" applyAlignment="1">
      <alignment horizontal="center" vertical="center"/>
    </xf>
    <xf numFmtId="0" fontId="129" fillId="17" borderId="84" xfId="0" applyFont="1" applyFill="1" applyBorder="1" applyAlignment="1">
      <alignment horizontal="center" vertical="center"/>
    </xf>
    <xf numFmtId="0" fontId="68" fillId="0" borderId="595" xfId="0" applyFont="1" applyBorder="1" applyAlignment="1">
      <alignment horizontal="center" vertical="center"/>
    </xf>
    <xf numFmtId="0" fontId="129" fillId="0" borderId="107" xfId="0" applyFont="1" applyBorder="1" applyAlignment="1">
      <alignment horizontal="center" vertical="center"/>
    </xf>
    <xf numFmtId="39" fontId="39" fillId="17" borderId="107" xfId="0" applyNumberFormat="1" applyFont="1" applyFill="1" applyBorder="1" applyAlignment="1">
      <alignment horizontal="left" vertical="center" wrapText="1"/>
    </xf>
    <xf numFmtId="0" fontId="39" fillId="17" borderId="43" xfId="0" applyFont="1" applyFill="1" applyBorder="1" applyAlignment="1">
      <alignment horizontal="center" vertical="center" wrapText="1"/>
    </xf>
    <xf numFmtId="0" fontId="39" fillId="17" borderId="86" xfId="0" applyFont="1" applyFill="1" applyBorder="1" applyAlignment="1">
      <alignment vertical="center"/>
    </xf>
    <xf numFmtId="0" fontId="101" fillId="17" borderId="84" xfId="0" applyFont="1" applyFill="1" applyBorder="1" applyAlignment="1">
      <alignment horizontal="center" vertical="center"/>
    </xf>
    <xf numFmtId="0" fontId="101" fillId="0" borderId="662" xfId="0" applyFont="1" applyBorder="1"/>
    <xf numFmtId="0" fontId="68" fillId="17" borderId="295" xfId="0" applyFont="1" applyFill="1" applyBorder="1" applyAlignment="1">
      <alignment horizontal="center" vertical="center"/>
    </xf>
    <xf numFmtId="0" fontId="68" fillId="0" borderId="692" xfId="0" applyFont="1" applyBorder="1" applyAlignment="1">
      <alignment horizontal="center" vertical="center"/>
    </xf>
    <xf numFmtId="0" fontId="39" fillId="0" borderId="692" xfId="0" applyFont="1" applyBorder="1" applyAlignment="1">
      <alignment vertical="center"/>
    </xf>
    <xf numFmtId="0" fontId="39" fillId="0" borderId="411" xfId="0" applyFont="1" applyBorder="1" applyAlignment="1">
      <alignment vertical="center"/>
    </xf>
    <xf numFmtId="0" fontId="39" fillId="0" borderId="411" xfId="0" applyFont="1" applyBorder="1" applyAlignment="1">
      <alignment horizontal="center" vertical="center"/>
    </xf>
    <xf numFmtId="0" fontId="68" fillId="0" borderId="411" xfId="0" applyFont="1" applyBorder="1" applyAlignment="1">
      <alignment horizontal="center" vertical="center"/>
    </xf>
    <xf numFmtId="0" fontId="39" fillId="17" borderId="84" xfId="0" applyFont="1" applyFill="1" applyBorder="1" applyAlignment="1">
      <alignment vertical="center"/>
    </xf>
    <xf numFmtId="0" fontId="39" fillId="17" borderId="89" xfId="0" applyFont="1" applyFill="1" applyBorder="1" applyAlignment="1">
      <alignment vertical="center"/>
    </xf>
    <xf numFmtId="0" fontId="39" fillId="0" borderId="84" xfId="0" applyFont="1" applyBorder="1" applyAlignment="1">
      <alignment vertical="center"/>
    </xf>
    <xf numFmtId="0" fontId="39" fillId="0" borderId="194" xfId="0" applyFont="1" applyBorder="1" applyAlignment="1">
      <alignment vertical="center"/>
    </xf>
    <xf numFmtId="0" fontId="39" fillId="39" borderId="164" xfId="0" applyFont="1" applyFill="1" applyBorder="1" applyAlignment="1">
      <alignment horizontal="center" vertical="center"/>
    </xf>
    <xf numFmtId="0" fontId="39" fillId="0" borderId="86" xfId="0" applyFont="1" applyBorder="1" applyAlignment="1">
      <alignment vertical="center"/>
    </xf>
    <xf numFmtId="0" fontId="39" fillId="0" borderId="164" xfId="0" applyFont="1" applyBorder="1" applyAlignment="1">
      <alignment horizontal="center" vertical="center"/>
    </xf>
    <xf numFmtId="0" fontId="68" fillId="0" borderId="89" xfId="0" applyFont="1" applyBorder="1" applyAlignment="1">
      <alignment horizontal="center" vertical="center"/>
    </xf>
    <xf numFmtId="0" fontId="39" fillId="0" borderId="165" xfId="0" applyFont="1" applyBorder="1" applyAlignment="1">
      <alignment horizontal="center" vertical="center"/>
    </xf>
    <xf numFmtId="0" fontId="39" fillId="0" borderId="243" xfId="0" applyFont="1" applyBorder="1" applyAlignment="1">
      <alignment horizontal="center" vertical="center"/>
    </xf>
    <xf numFmtId="0" fontId="39" fillId="17" borderId="238" xfId="0" applyFont="1" applyFill="1" applyBorder="1" applyAlignment="1">
      <alignment horizontal="center" vertical="center"/>
    </xf>
    <xf numFmtId="37" fontId="54" fillId="17" borderId="173" xfId="0" applyNumberFormat="1" applyFont="1" applyFill="1" applyBorder="1" applyAlignment="1">
      <alignment horizontal="center" vertical="center"/>
    </xf>
    <xf numFmtId="3" fontId="54" fillId="17" borderId="84" xfId="0" applyNumberFormat="1" applyFont="1" applyFill="1" applyBorder="1" applyAlignment="1">
      <alignment horizontal="center" vertical="center"/>
    </xf>
    <xf numFmtId="39" fontId="52" fillId="0" borderId="86" xfId="0" applyNumberFormat="1" applyFont="1" applyBorder="1" applyAlignment="1">
      <alignment horizontal="left" vertical="center" wrapText="1"/>
    </xf>
    <xf numFmtId="3" fontId="54" fillId="39" borderId="84" xfId="0" applyNumberFormat="1" applyFont="1" applyFill="1" applyBorder="1" applyAlignment="1">
      <alignment horizontal="center" vertical="center"/>
    </xf>
    <xf numFmtId="3" fontId="54" fillId="0" borderId="84" xfId="0" applyNumberFormat="1" applyFont="1" applyBorder="1" applyAlignment="1">
      <alignment horizontal="center" vertical="center"/>
    </xf>
    <xf numFmtId="0" fontId="54" fillId="0" borderId="89" xfId="0" applyFont="1" applyBorder="1" applyAlignment="1">
      <alignment horizontal="center" vertical="center" wrapText="1"/>
    </xf>
    <xf numFmtId="3" fontId="54" fillId="0" borderId="86" xfId="0" applyNumberFormat="1" applyFont="1" applyBorder="1" applyAlignment="1">
      <alignment horizontal="center" vertical="center"/>
    </xf>
    <xf numFmtId="3" fontId="54" fillId="17" borderId="89" xfId="0" applyNumberFormat="1" applyFont="1" applyFill="1" applyBorder="1" applyAlignment="1">
      <alignment horizontal="center" vertical="center"/>
    </xf>
    <xf numFmtId="37" fontId="54" fillId="17" borderId="86" xfId="0" applyNumberFormat="1" applyFont="1" applyFill="1" applyBorder="1" applyAlignment="1">
      <alignment horizontal="center" vertical="center"/>
    </xf>
    <xf numFmtId="0" fontId="54" fillId="17" borderId="84" xfId="0" applyFont="1" applyFill="1" applyBorder="1" applyAlignment="1">
      <alignment horizontal="center" vertical="center" wrapText="1"/>
    </xf>
    <xf numFmtId="0" fontId="54" fillId="17" borderId="89" xfId="0" applyFont="1" applyFill="1" applyBorder="1" applyAlignment="1">
      <alignment horizontal="center" vertical="center" wrapText="1"/>
    </xf>
    <xf numFmtId="3" fontId="54" fillId="0" borderId="595" xfId="0" applyNumberFormat="1" applyFont="1" applyBorder="1" applyAlignment="1">
      <alignment horizontal="center" vertical="center"/>
    </xf>
    <xf numFmtId="3" fontId="54" fillId="0" borderId="34" xfId="0" applyNumberFormat="1" applyFont="1" applyBorder="1" applyAlignment="1">
      <alignment horizontal="center" vertical="center"/>
    </xf>
    <xf numFmtId="3" fontId="54" fillId="0" borderId="37" xfId="0" applyNumberFormat="1" applyFont="1" applyBorder="1" applyAlignment="1">
      <alignment horizontal="center" vertical="center"/>
    </xf>
    <xf numFmtId="3" fontId="54" fillId="0" borderId="39" xfId="0" applyNumberFormat="1" applyFont="1" applyBorder="1" applyAlignment="1">
      <alignment horizontal="center" vertical="center"/>
    </xf>
    <xf numFmtId="3" fontId="54" fillId="17" borderId="107" xfId="0" applyNumberFormat="1" applyFont="1" applyFill="1" applyBorder="1" applyAlignment="1">
      <alignment horizontal="center" vertical="center"/>
    </xf>
    <xf numFmtId="0" fontId="54" fillId="17" borderId="86" xfId="0" applyFont="1" applyFill="1" applyBorder="1" applyAlignment="1">
      <alignment horizontal="center" vertical="center" wrapText="1"/>
    </xf>
    <xf numFmtId="0" fontId="54" fillId="17" borderId="194" xfId="0" applyFont="1" applyFill="1" applyBorder="1" applyAlignment="1">
      <alignment horizontal="center" vertical="center" wrapText="1"/>
    </xf>
    <xf numFmtId="37" fontId="54" fillId="0" borderId="86" xfId="0" applyNumberFormat="1" applyFont="1" applyBorder="1" applyAlignment="1">
      <alignment horizontal="center" vertical="center"/>
    </xf>
    <xf numFmtId="0" fontId="54" fillId="0" borderId="84" xfId="0" applyFont="1" applyBorder="1" applyAlignment="1">
      <alignment horizontal="center" vertical="center" wrapText="1"/>
    </xf>
    <xf numFmtId="3" fontId="54" fillId="17" borderId="86" xfId="0" applyNumberFormat="1" applyFont="1" applyFill="1" applyBorder="1" applyAlignment="1">
      <alignment horizontal="center" vertical="center"/>
    </xf>
    <xf numFmtId="0" fontId="54" fillId="0" borderId="173" xfId="0" applyFont="1" applyBorder="1" applyAlignment="1">
      <alignment horizontal="center" vertical="center" wrapText="1"/>
    </xf>
    <xf numFmtId="0" fontId="219" fillId="17" borderId="84" xfId="0" applyFont="1" applyFill="1" applyBorder="1" applyAlignment="1">
      <alignment horizontal="center" vertical="center" wrapText="1"/>
    </xf>
    <xf numFmtId="37" fontId="54" fillId="0" borderId="34" xfId="0" applyNumberFormat="1" applyFont="1" applyBorder="1" applyAlignment="1">
      <alignment horizontal="center" vertical="center"/>
    </xf>
    <xf numFmtId="0" fontId="106" fillId="0" borderId="662" xfId="0" applyFont="1" applyBorder="1"/>
    <xf numFmtId="3" fontId="54" fillId="17" borderId="173" xfId="0" applyNumberFormat="1" applyFont="1" applyFill="1" applyBorder="1" applyAlignment="1">
      <alignment horizontal="center" vertical="center"/>
    </xf>
    <xf numFmtId="0" fontId="54" fillId="0" borderId="692" xfId="0" applyFont="1" applyBorder="1" applyAlignment="1">
      <alignment vertical="center"/>
    </xf>
    <xf numFmtId="0" fontId="54" fillId="0" borderId="411" xfId="0" applyFont="1" applyBorder="1" applyAlignment="1">
      <alignment horizontal="center" vertical="center" wrapText="1"/>
    </xf>
    <xf numFmtId="0" fontId="54" fillId="0" borderId="411" xfId="0" applyFont="1" applyBorder="1" applyAlignment="1">
      <alignment horizontal="center" vertical="center"/>
    </xf>
    <xf numFmtId="0" fontId="54" fillId="17" borderId="84" xfId="0" applyFont="1" applyFill="1" applyBorder="1" applyAlignment="1">
      <alignment vertical="center"/>
    </xf>
    <xf numFmtId="0" fontId="54" fillId="17" borderId="173" xfId="0" applyFont="1" applyFill="1" applyBorder="1" applyAlignment="1">
      <alignment horizontal="center" vertical="center" wrapText="1"/>
    </xf>
    <xf numFmtId="0" fontId="54" fillId="0" borderId="84" xfId="0" applyFont="1" applyBorder="1" applyAlignment="1">
      <alignment vertical="center"/>
    </xf>
    <xf numFmtId="0" fontId="54" fillId="39" borderId="84" xfId="0" applyFont="1" applyFill="1" applyBorder="1" applyAlignment="1">
      <alignment horizontal="center" vertical="center" wrapText="1"/>
    </xf>
    <xf numFmtId="0" fontId="54" fillId="0" borderId="86" xfId="0" applyFont="1" applyBorder="1" applyAlignment="1">
      <alignment vertical="center"/>
    </xf>
    <xf numFmtId="168" fontId="52" fillId="2" borderId="207" xfId="0" applyNumberFormat="1" applyFont="1" applyFill="1" applyBorder="1" applyAlignment="1">
      <alignment horizontal="right" vertical="center"/>
    </xf>
    <xf numFmtId="168" fontId="54" fillId="0" borderId="173" xfId="0" applyNumberFormat="1" applyFont="1" applyBorder="1" applyAlignment="1">
      <alignment vertical="center"/>
    </xf>
    <xf numFmtId="168" fontId="52" fillId="0" borderId="173" xfId="0" applyNumberFormat="1" applyFont="1" applyBorder="1" applyAlignment="1">
      <alignment vertical="center"/>
    </xf>
    <xf numFmtId="168" fontId="54" fillId="0" borderId="84" xfId="0" applyNumberFormat="1" applyFont="1" applyBorder="1" applyAlignment="1">
      <alignment vertical="center"/>
    </xf>
    <xf numFmtId="168" fontId="219" fillId="17" borderId="84" xfId="0" applyNumberFormat="1" applyFont="1" applyFill="1" applyBorder="1" applyAlignment="1">
      <alignment vertical="center"/>
    </xf>
    <xf numFmtId="168" fontId="130" fillId="17" borderId="84" xfId="0" applyNumberFormat="1" applyFont="1" applyFill="1" applyBorder="1" applyAlignment="1">
      <alignment vertical="center"/>
    </xf>
    <xf numFmtId="168" fontId="54" fillId="17" borderId="173" xfId="0" applyNumberFormat="1" applyFont="1" applyFill="1" applyBorder="1" applyAlignment="1">
      <alignment horizontal="right" vertical="center"/>
    </xf>
    <xf numFmtId="168" fontId="54" fillId="17" borderId="84" xfId="0" applyNumberFormat="1" applyFont="1" applyFill="1" applyBorder="1" applyAlignment="1">
      <alignment horizontal="right" vertical="center"/>
    </xf>
    <xf numFmtId="168" fontId="54" fillId="0" borderId="86" xfId="0" applyNumberFormat="1" applyFont="1" applyBorder="1" applyAlignment="1">
      <alignment horizontal="center" vertical="center"/>
    </xf>
    <xf numFmtId="168" fontId="54" fillId="0" borderId="86" xfId="0" applyNumberFormat="1" applyFont="1" applyBorder="1" applyAlignment="1">
      <alignment horizontal="right" vertical="center"/>
    </xf>
    <xf numFmtId="168" fontId="52" fillId="39" borderId="86" xfId="0" applyNumberFormat="1" applyFont="1" applyFill="1" applyBorder="1" applyAlignment="1">
      <alignment horizontal="right" vertical="center"/>
    </xf>
    <xf numFmtId="168" fontId="54" fillId="39" borderId="84" xfId="0" applyNumberFormat="1" applyFont="1" applyFill="1" applyBorder="1" applyAlignment="1">
      <alignment horizontal="right" vertical="center"/>
    </xf>
    <xf numFmtId="168" fontId="54" fillId="0" borderId="84" xfId="0" applyNumberFormat="1" applyFont="1" applyBorder="1" applyAlignment="1">
      <alignment horizontal="center" vertical="center"/>
    </xf>
    <xf numFmtId="168" fontId="54" fillId="0" borderId="84" xfId="0" applyNumberFormat="1" applyFont="1" applyBorder="1" applyAlignment="1">
      <alignment horizontal="right" vertical="center"/>
    </xf>
    <xf numFmtId="168" fontId="54" fillId="39" borderId="84" xfId="0" applyNumberFormat="1" applyFont="1" applyFill="1" applyBorder="1" applyAlignment="1">
      <alignment horizontal="center" vertical="center"/>
    </xf>
    <xf numFmtId="168" fontId="52" fillId="0" borderId="86" xfId="0" applyNumberFormat="1" applyFont="1" applyBorder="1" applyAlignment="1">
      <alignment horizontal="right" vertical="center"/>
    </xf>
    <xf numFmtId="168" fontId="54" fillId="17" borderId="89" xfId="0" applyNumberFormat="1" applyFont="1" applyFill="1" applyBorder="1" applyAlignment="1">
      <alignment horizontal="right" vertical="center"/>
    </xf>
    <xf numFmtId="168" fontId="54" fillId="17" borderId="89" xfId="0" applyNumberFormat="1" applyFont="1" applyFill="1" applyBorder="1" applyAlignment="1">
      <alignment horizontal="center" vertical="center"/>
    </xf>
    <xf numFmtId="168" fontId="54" fillId="17" borderId="86" xfId="0" applyNumberFormat="1" applyFont="1" applyFill="1" applyBorder="1" applyAlignment="1">
      <alignment horizontal="right" vertical="center"/>
    </xf>
    <xf numFmtId="168" fontId="52" fillId="17" borderId="86" xfId="0" applyNumberFormat="1" applyFont="1" applyFill="1" applyBorder="1" applyAlignment="1">
      <alignment horizontal="right" vertical="center"/>
    </xf>
    <xf numFmtId="168" fontId="54" fillId="0" borderId="595" xfId="0" applyNumberFormat="1" applyFont="1" applyBorder="1" applyAlignment="1">
      <alignment horizontal="right" vertical="center"/>
    </xf>
    <xf numFmtId="168" fontId="52" fillId="0" borderId="595" xfId="0" applyNumberFormat="1" applyFont="1" applyBorder="1" applyAlignment="1">
      <alignment horizontal="right" vertical="center"/>
    </xf>
    <xf numFmtId="168" fontId="54" fillId="0" borderId="34" xfId="0" applyNumberFormat="1" applyFont="1" applyBorder="1" applyAlignment="1">
      <alignment horizontal="right" vertical="center"/>
    </xf>
    <xf numFmtId="168" fontId="52" fillId="0" borderId="34" xfId="0" applyNumberFormat="1" applyFont="1" applyBorder="1" applyAlignment="1">
      <alignment horizontal="right" vertical="center"/>
    </xf>
    <xf numFmtId="168" fontId="54" fillId="0" borderId="37" xfId="0" applyNumberFormat="1" applyFont="1" applyBorder="1" applyAlignment="1">
      <alignment horizontal="right" vertical="center"/>
    </xf>
    <xf numFmtId="168" fontId="52" fillId="0" borderId="37" xfId="0" applyNumberFormat="1" applyFont="1" applyBorder="1" applyAlignment="1">
      <alignment horizontal="right" vertical="center"/>
    </xf>
    <xf numFmtId="168" fontId="54" fillId="0" borderId="39" xfId="0" applyNumberFormat="1" applyFont="1" applyBorder="1" applyAlignment="1">
      <alignment horizontal="right" vertical="center"/>
    </xf>
    <xf numFmtId="168" fontId="52" fillId="0" borderId="39" xfId="0" applyNumberFormat="1" applyFont="1" applyBorder="1" applyAlignment="1">
      <alignment horizontal="right" vertical="center"/>
    </xf>
    <xf numFmtId="168" fontId="54" fillId="0" borderId="34" xfId="0" applyNumberFormat="1" applyFont="1" applyBorder="1" applyAlignment="1">
      <alignment horizontal="center" vertical="center"/>
    </xf>
    <xf numFmtId="168" fontId="54" fillId="17" borderId="107" xfId="0" applyNumberFormat="1" applyFont="1" applyFill="1" applyBorder="1" applyAlignment="1">
      <alignment horizontal="right" vertical="center"/>
    </xf>
    <xf numFmtId="168" fontId="54" fillId="17" borderId="37" xfId="0" applyNumberFormat="1" applyFont="1" applyFill="1" applyBorder="1" applyAlignment="1">
      <alignment horizontal="center" vertical="center"/>
    </xf>
    <xf numFmtId="168" fontId="54" fillId="17" borderId="194" xfId="0" applyNumberFormat="1" applyFont="1" applyFill="1" applyBorder="1" applyAlignment="1">
      <alignment vertical="center"/>
    </xf>
    <xf numFmtId="168" fontId="52" fillId="17" borderId="194" xfId="0" applyNumberFormat="1" applyFont="1" applyFill="1" applyBorder="1" applyAlignment="1">
      <alignment vertical="center"/>
    </xf>
    <xf numFmtId="168" fontId="52" fillId="0" borderId="84" xfId="0" applyNumberFormat="1" applyFont="1" applyBorder="1" applyAlignment="1">
      <alignment horizontal="right" vertical="center"/>
    </xf>
    <xf numFmtId="168" fontId="52" fillId="17" borderId="84" xfId="0" applyNumberFormat="1" applyFont="1" applyFill="1" applyBorder="1" applyAlignment="1">
      <alignment horizontal="right" vertical="center"/>
    </xf>
    <xf numFmtId="168" fontId="106" fillId="0" borderId="662" xfId="0" applyNumberFormat="1" applyFont="1" applyBorder="1"/>
    <xf numFmtId="168" fontId="52" fillId="17" borderId="173" xfId="0" applyNumberFormat="1" applyFont="1" applyFill="1" applyBorder="1" applyAlignment="1">
      <alignment horizontal="right" vertical="center"/>
    </xf>
    <xf numFmtId="168" fontId="54" fillId="0" borderId="692" xfId="0" applyNumberFormat="1" applyFont="1" applyBorder="1" applyAlignment="1">
      <alignment vertical="center"/>
    </xf>
    <xf numFmtId="168" fontId="52" fillId="0" borderId="692" xfId="0" applyNumberFormat="1" applyFont="1" applyBorder="1" applyAlignment="1">
      <alignment horizontal="right" vertical="center"/>
    </xf>
    <xf numFmtId="168" fontId="54" fillId="0" borderId="411" xfId="0" applyNumberFormat="1" applyFont="1" applyBorder="1" applyAlignment="1">
      <alignment vertical="center"/>
    </xf>
    <xf numFmtId="168" fontId="54" fillId="0" borderId="411" xfId="0" applyNumberFormat="1" applyFont="1" applyBorder="1" applyAlignment="1">
      <alignment horizontal="right" vertical="center"/>
    </xf>
    <xf numFmtId="168" fontId="52" fillId="0" borderId="411" xfId="0" applyNumberFormat="1" applyFont="1" applyBorder="1" applyAlignment="1">
      <alignment vertical="center"/>
    </xf>
    <xf numFmtId="168" fontId="52" fillId="0" borderId="411" xfId="0" applyNumberFormat="1" applyFont="1" applyBorder="1" applyAlignment="1">
      <alignment horizontal="right" vertical="center"/>
    </xf>
    <xf numFmtId="168" fontId="54" fillId="0" borderId="415" xfId="0" applyNumberFormat="1" applyFont="1" applyBorder="1" applyAlignment="1">
      <alignment vertical="center"/>
    </xf>
    <xf numFmtId="168" fontId="52" fillId="39" borderId="84" xfId="0" applyNumberFormat="1" applyFont="1" applyFill="1" applyBorder="1" applyAlignment="1">
      <alignment horizontal="right" vertical="center"/>
    </xf>
    <xf numFmtId="168" fontId="54" fillId="0" borderId="86" xfId="0" applyNumberFormat="1" applyFont="1" applyBorder="1" applyAlignment="1">
      <alignment vertical="center"/>
    </xf>
    <xf numFmtId="168" fontId="54" fillId="0" borderId="162" xfId="0" applyNumberFormat="1" applyFont="1" applyBorder="1" applyAlignment="1">
      <alignment vertical="center"/>
    </xf>
    <xf numFmtId="168" fontId="54" fillId="0" borderId="166" xfId="0" applyNumberFormat="1" applyFont="1" applyBorder="1" applyAlignment="1">
      <alignment vertical="center"/>
    </xf>
    <xf numFmtId="168" fontId="54" fillId="0" borderId="89" xfId="0" applyNumberFormat="1" applyFont="1" applyBorder="1" applyAlignment="1">
      <alignment horizontal="right" vertical="center"/>
    </xf>
    <xf numFmtId="168" fontId="52" fillId="0" borderId="297" xfId="0" applyNumberFormat="1" applyFont="1" applyBorder="1" applyAlignment="1">
      <alignment vertical="center"/>
    </xf>
    <xf numFmtId="49" fontId="52" fillId="17" borderId="173" xfId="0" applyNumberFormat="1" applyFont="1" applyFill="1" applyBorder="1" applyAlignment="1">
      <alignment horizontal="center" vertical="center"/>
    </xf>
    <xf numFmtId="49" fontId="54" fillId="0" borderId="84" xfId="0" applyNumberFormat="1" applyFont="1" applyBorder="1" applyAlignment="1">
      <alignment horizontal="center" vertical="center"/>
    </xf>
    <xf numFmtId="49" fontId="54" fillId="39" borderId="84" xfId="0" applyNumberFormat="1" applyFont="1" applyFill="1" applyBorder="1" applyAlignment="1">
      <alignment horizontal="center" vertical="center"/>
    </xf>
    <xf numFmtId="49" fontId="54" fillId="17" borderId="89" xfId="0" applyNumberFormat="1" applyFont="1" applyFill="1" applyBorder="1" applyAlignment="1">
      <alignment horizontal="center" vertical="center"/>
    </xf>
    <xf numFmtId="49" fontId="52" fillId="0" borderId="595" xfId="0" applyNumberFormat="1" applyFont="1" applyBorder="1" applyAlignment="1">
      <alignment horizontal="center" vertical="center"/>
    </xf>
    <xf numFmtId="49" fontId="52" fillId="17" borderId="84" xfId="0" applyNumberFormat="1" applyFont="1" applyFill="1" applyBorder="1" applyAlignment="1">
      <alignment vertical="center"/>
    </xf>
    <xf numFmtId="49" fontId="130" fillId="17" borderId="84" xfId="0" applyNumberFormat="1" applyFont="1" applyFill="1" applyBorder="1" applyAlignment="1">
      <alignment vertical="center"/>
    </xf>
    <xf numFmtId="49" fontId="106" fillId="0" borderId="662" xfId="0" applyNumberFormat="1" applyFont="1" applyBorder="1"/>
    <xf numFmtId="49" fontId="52" fillId="0" borderId="692" xfId="0" applyNumberFormat="1" applyFont="1" applyBorder="1" applyAlignment="1">
      <alignment horizontal="center" vertical="center"/>
    </xf>
    <xf numFmtId="49" fontId="54" fillId="0" borderId="411" xfId="0" applyNumberFormat="1" applyFont="1" applyBorder="1" applyAlignment="1">
      <alignment horizontal="center" vertical="center"/>
    </xf>
    <xf numFmtId="49" fontId="52" fillId="0" borderId="411" xfId="0" applyNumberFormat="1" applyFont="1" applyBorder="1" applyAlignment="1">
      <alignment horizontal="center" vertical="center"/>
    </xf>
    <xf numFmtId="49" fontId="54" fillId="17" borderId="84" xfId="0" applyNumberFormat="1" applyFont="1" applyFill="1" applyBorder="1" applyAlignment="1">
      <alignment horizontal="center" vertical="center"/>
    </xf>
    <xf numFmtId="49" fontId="52" fillId="0" borderId="173" xfId="0" applyNumberFormat="1" applyFont="1" applyBorder="1" applyAlignment="1">
      <alignment horizontal="center" vertical="center"/>
    </xf>
    <xf numFmtId="0" fontId="129" fillId="4" borderId="84" xfId="0" applyFont="1" applyFill="1" applyBorder="1" applyAlignment="1">
      <alignment horizontal="center" vertical="center"/>
    </xf>
    <xf numFmtId="0" fontId="101" fillId="4" borderId="89" xfId="0" applyFont="1" applyFill="1" applyBorder="1" applyAlignment="1">
      <alignment horizontal="center" vertical="center"/>
    </xf>
    <xf numFmtId="0" fontId="129" fillId="4" borderId="86" xfId="0" applyFont="1" applyFill="1" applyBorder="1" applyAlignment="1">
      <alignment horizontal="center" vertical="center"/>
    </xf>
    <xf numFmtId="0" fontId="101" fillId="4" borderId="84" xfId="0" applyFont="1" applyFill="1" applyBorder="1" applyAlignment="1">
      <alignment horizontal="center" vertical="center"/>
    </xf>
    <xf numFmtId="0" fontId="129" fillId="4" borderId="89" xfId="0" applyFont="1" applyFill="1" applyBorder="1" applyAlignment="1">
      <alignment horizontal="center" vertical="center"/>
    </xf>
    <xf numFmtId="0" fontId="129" fillId="17" borderId="86" xfId="0" applyFont="1" applyFill="1" applyBorder="1" applyAlignment="1">
      <alignment horizontal="center" vertical="center"/>
    </xf>
    <xf numFmtId="39" fontId="129" fillId="17" borderId="84" xfId="0" applyNumberFormat="1" applyFont="1" applyFill="1" applyBorder="1" applyAlignment="1">
      <alignment horizontal="center" vertical="center"/>
    </xf>
    <xf numFmtId="0" fontId="101" fillId="17" borderId="194" xfId="0" applyFont="1" applyFill="1" applyBorder="1" applyAlignment="1">
      <alignment horizontal="center" vertical="center"/>
    </xf>
    <xf numFmtId="0" fontId="101" fillId="0" borderId="39" xfId="0" applyFont="1" applyBorder="1" applyAlignment="1">
      <alignment horizontal="center" vertical="center"/>
    </xf>
    <xf numFmtId="39" fontId="129" fillId="0" borderId="34" xfId="0" applyNumberFormat="1" applyFont="1" applyBorder="1" applyAlignment="1">
      <alignment horizontal="center" vertical="center"/>
    </xf>
    <xf numFmtId="39" fontId="129" fillId="0" borderId="43" xfId="0" applyNumberFormat="1" applyFont="1" applyBorder="1" applyAlignment="1">
      <alignment horizontal="center" vertical="center"/>
    </xf>
    <xf numFmtId="0" fontId="129" fillId="0" borderId="43" xfId="0" applyFont="1" applyBorder="1" applyAlignment="1">
      <alignment horizontal="center" vertical="center"/>
    </xf>
    <xf numFmtId="0" fontId="68" fillId="0" borderId="34" xfId="0" applyFont="1" applyBorder="1"/>
    <xf numFmtId="0" fontId="39" fillId="0" borderId="34" xfId="0" applyFont="1" applyBorder="1"/>
    <xf numFmtId="0" fontId="39" fillId="0" borderId="37" xfId="0" applyFont="1" applyBorder="1"/>
    <xf numFmtId="0" fontId="180" fillId="17" borderId="173" xfId="0" applyFont="1" applyFill="1" applyBorder="1" applyAlignment="1">
      <alignment horizontal="center" vertical="center"/>
    </xf>
    <xf numFmtId="0" fontId="129" fillId="17" borderId="173" xfId="0" applyFont="1" applyFill="1" applyBorder="1" applyAlignment="1">
      <alignment horizontal="center" vertical="center"/>
    </xf>
    <xf numFmtId="0" fontId="129" fillId="17" borderId="89" xfId="0" applyFont="1" applyFill="1" applyBorder="1" applyAlignment="1">
      <alignment horizontal="center" vertical="center"/>
    </xf>
    <xf numFmtId="0" fontId="129" fillId="0" borderId="86" xfId="0" applyFont="1" applyBorder="1" applyAlignment="1">
      <alignment horizontal="center" vertical="center"/>
    </xf>
    <xf numFmtId="0" fontId="129" fillId="4" borderId="173" xfId="0" applyFont="1" applyFill="1" applyBorder="1" applyAlignment="1">
      <alignment horizontal="center" vertical="center"/>
    </xf>
    <xf numFmtId="0" fontId="101" fillId="17" borderId="89" xfId="0" applyFont="1" applyFill="1" applyBorder="1" applyAlignment="1">
      <alignment horizontal="center" vertical="center"/>
    </xf>
    <xf numFmtId="0" fontId="68" fillId="0" borderId="135" xfId="0" applyFont="1" applyBorder="1" applyAlignment="1">
      <alignment horizontal="center" vertical="center"/>
    </xf>
    <xf numFmtId="0" fontId="68" fillId="0" borderId="74" xfId="0" applyFont="1" applyBorder="1" applyAlignment="1">
      <alignment horizontal="center" vertical="center"/>
    </xf>
    <xf numFmtId="0" fontId="129" fillId="0" borderId="74" xfId="0" applyFont="1" applyBorder="1" applyAlignment="1">
      <alignment horizontal="center" vertical="center"/>
    </xf>
    <xf numFmtId="0" fontId="101" fillId="0" borderId="74" xfId="0" applyFont="1" applyBorder="1" applyAlignment="1">
      <alignment vertical="center"/>
    </xf>
    <xf numFmtId="0" fontId="101" fillId="0" borderId="75" xfId="0" applyFont="1" applyBorder="1" applyAlignment="1">
      <alignment vertical="center"/>
    </xf>
    <xf numFmtId="0" fontId="129" fillId="0" borderId="138" xfId="0" applyFont="1" applyBorder="1" applyAlignment="1">
      <alignment horizontal="center" vertical="center"/>
    </xf>
    <xf numFmtId="0" fontId="101" fillId="0" borderId="107" xfId="0" applyFont="1" applyBorder="1" applyAlignment="1">
      <alignment horizontal="center" vertical="center"/>
    </xf>
    <xf numFmtId="0" fontId="101" fillId="0" borderId="84" xfId="0" applyFont="1" applyBorder="1" applyAlignment="1">
      <alignment horizontal="center" vertical="center"/>
    </xf>
    <xf numFmtId="0" fontId="101" fillId="17" borderId="173" xfId="0" applyFont="1" applyFill="1" applyBorder="1" applyAlignment="1">
      <alignment horizontal="center" vertical="center"/>
    </xf>
    <xf numFmtId="0" fontId="101" fillId="0" borderId="194" xfId="0" applyFont="1" applyBorder="1" applyAlignment="1">
      <alignment horizontal="center" vertical="center"/>
    </xf>
    <xf numFmtId="0" fontId="129" fillId="17" borderId="208" xfId="0" applyFont="1" applyFill="1" applyBorder="1" applyAlignment="1">
      <alignment horizontal="center" vertical="center"/>
    </xf>
    <xf numFmtId="0" fontId="101" fillId="0" borderId="89" xfId="0" applyFont="1" applyBorder="1" applyAlignment="1">
      <alignment horizontal="center" vertical="center"/>
    </xf>
    <xf numFmtId="0" fontId="129" fillId="0" borderId="711" xfId="0" applyFont="1" applyBorder="1" applyAlignment="1">
      <alignment horizontal="center" vertical="center"/>
    </xf>
    <xf numFmtId="0" fontId="39" fillId="39" borderId="675" xfId="0" applyFont="1" applyFill="1" applyBorder="1"/>
    <xf numFmtId="0" fontId="101" fillId="4" borderId="173" xfId="0" applyFont="1" applyFill="1" applyBorder="1" applyAlignment="1">
      <alignment horizontal="center" vertical="center"/>
    </xf>
    <xf numFmtId="0" fontId="39" fillId="0" borderId="173" xfId="0" applyFont="1" applyBorder="1" applyAlignment="1">
      <alignment horizontal="center" vertical="center"/>
    </xf>
    <xf numFmtId="0" fontId="101" fillId="0" borderId="86" xfId="0" applyFont="1" applyBorder="1" applyAlignment="1">
      <alignment horizontal="center" vertical="center"/>
    </xf>
    <xf numFmtId="3" fontId="106" fillId="4" borderId="84" xfId="0" applyNumberFormat="1" applyFont="1" applyFill="1" applyBorder="1" applyAlignment="1">
      <alignment horizontal="center" vertical="center"/>
    </xf>
    <xf numFmtId="0" fontId="106" fillId="4" borderId="89" xfId="0" applyFont="1" applyFill="1" applyBorder="1" applyAlignment="1">
      <alignment horizontal="center" vertical="center" wrapText="1"/>
    </xf>
    <xf numFmtId="0" fontId="106" fillId="4" borderId="86" xfId="0" applyFont="1" applyFill="1" applyBorder="1" applyAlignment="1">
      <alignment horizontal="center" vertical="center" wrapText="1"/>
    </xf>
    <xf numFmtId="0" fontId="106" fillId="4" borderId="84" xfId="0" applyFont="1" applyFill="1" applyBorder="1" applyAlignment="1">
      <alignment horizontal="center" vertical="center" wrapText="1"/>
    </xf>
    <xf numFmtId="0" fontId="106" fillId="17" borderId="86" xfId="0" applyFont="1" applyFill="1" applyBorder="1" applyAlignment="1">
      <alignment horizontal="center" vertical="center" wrapText="1"/>
    </xf>
    <xf numFmtId="0" fontId="106" fillId="17" borderId="84" xfId="0" applyFont="1" applyFill="1" applyBorder="1" applyAlignment="1">
      <alignment horizontal="center" vertical="center" wrapText="1"/>
    </xf>
    <xf numFmtId="0" fontId="106" fillId="17" borderId="194" xfId="0" applyFont="1" applyFill="1" applyBorder="1" applyAlignment="1">
      <alignment horizontal="center" vertical="center" wrapText="1"/>
    </xf>
    <xf numFmtId="0" fontId="106" fillId="0" borderId="43" xfId="0" applyFont="1" applyBorder="1" applyAlignment="1">
      <alignment horizontal="center" vertical="center" wrapText="1"/>
    </xf>
    <xf numFmtId="0" fontId="106" fillId="0" borderId="39" xfId="0" applyFont="1" applyBorder="1" applyAlignment="1">
      <alignment horizontal="center" vertical="center" wrapText="1"/>
    </xf>
    <xf numFmtId="0" fontId="106" fillId="39" borderId="34" xfId="0" applyFont="1" applyFill="1" applyBorder="1" applyAlignment="1">
      <alignment horizontal="center" vertical="center" wrapText="1"/>
    </xf>
    <xf numFmtId="0" fontId="52" fillId="0" borderId="34" xfId="0" applyFont="1" applyBorder="1"/>
    <xf numFmtId="0" fontId="106" fillId="17" borderId="173" xfId="0" applyFont="1" applyFill="1" applyBorder="1" applyAlignment="1">
      <alignment horizontal="center" vertical="center" wrapText="1"/>
    </xf>
    <xf numFmtId="0" fontId="296" fillId="17" borderId="84" xfId="0" applyFont="1" applyFill="1" applyBorder="1" applyAlignment="1">
      <alignment horizontal="center" vertical="center" wrapText="1"/>
    </xf>
    <xf numFmtId="0" fontId="106" fillId="17" borderId="89" xfId="0" applyFont="1" applyFill="1" applyBorder="1" applyAlignment="1">
      <alignment horizontal="center" vertical="center" wrapText="1"/>
    </xf>
    <xf numFmtId="0" fontId="54" fillId="0" borderId="86" xfId="0" applyFont="1" applyBorder="1" applyAlignment="1">
      <alignment horizontal="center" vertical="center" wrapText="1"/>
    </xf>
    <xf numFmtId="0" fontId="54" fillId="0" borderId="194" xfId="0" applyFont="1" applyBorder="1" applyAlignment="1">
      <alignment horizontal="center" vertical="center" wrapText="1"/>
    </xf>
    <xf numFmtId="0" fontId="106" fillId="0" borderId="86" xfId="0" applyFont="1" applyBorder="1" applyAlignment="1">
      <alignment horizontal="center" vertical="center" wrapText="1"/>
    </xf>
    <xf numFmtId="0" fontId="106" fillId="4" borderId="173" xfId="0" applyFont="1" applyFill="1" applyBorder="1" applyAlignment="1">
      <alignment horizontal="center" vertical="center" wrapText="1"/>
    </xf>
    <xf numFmtId="0" fontId="54" fillId="0" borderId="135" xfId="0" applyFont="1" applyBorder="1" applyAlignment="1">
      <alignment horizontal="center" vertical="center" wrapText="1"/>
    </xf>
    <xf numFmtId="0" fontId="54" fillId="0" borderId="74" xfId="0" applyFont="1" applyBorder="1" applyAlignment="1">
      <alignment horizontal="center" vertical="center" wrapText="1"/>
    </xf>
    <xf numFmtId="0" fontId="106" fillId="0" borderId="74" xfId="0" applyFont="1" applyBorder="1" applyAlignment="1">
      <alignment horizontal="center" vertical="center" wrapText="1"/>
    </xf>
    <xf numFmtId="0" fontId="106" fillId="0" borderId="84" xfId="0" applyFont="1" applyBorder="1" applyAlignment="1">
      <alignment horizontal="center" vertical="center" wrapText="1"/>
    </xf>
    <xf numFmtId="0" fontId="106" fillId="0" borderId="89" xfId="0" applyFont="1" applyBorder="1" applyAlignment="1">
      <alignment horizontal="center" vertical="center" wrapText="1"/>
    </xf>
    <xf numFmtId="0" fontId="54" fillId="39" borderId="86" xfId="0" applyFont="1" applyFill="1" applyBorder="1" applyAlignment="1">
      <alignment horizontal="center" vertical="center" wrapText="1"/>
    </xf>
    <xf numFmtId="0" fontId="54" fillId="0" borderId="248" xfId="0" applyFont="1" applyBorder="1" applyAlignment="1">
      <alignment horizontal="center" vertical="center" wrapText="1"/>
    </xf>
    <xf numFmtId="0" fontId="54" fillId="39" borderId="173" xfId="0" applyFont="1" applyFill="1" applyBorder="1" applyAlignment="1">
      <alignment horizontal="center" vertical="center" wrapText="1"/>
    </xf>
    <xf numFmtId="0" fontId="106" fillId="0" borderId="39" xfId="0" applyFont="1" applyBorder="1" applyAlignment="1">
      <alignment horizontal="center" vertical="center"/>
    </xf>
    <xf numFmtId="0" fontId="106" fillId="0" borderId="34" xfId="0" applyFont="1" applyBorder="1" applyAlignment="1">
      <alignment horizontal="center" vertical="center"/>
    </xf>
    <xf numFmtId="168" fontId="130" fillId="12" borderId="207" xfId="0" applyNumberFormat="1" applyFont="1" applyFill="1" applyBorder="1" applyAlignment="1">
      <alignment horizontal="right" vertical="center"/>
    </xf>
    <xf numFmtId="168" fontId="52" fillId="12" borderId="207" xfId="0" applyNumberFormat="1" applyFont="1" applyFill="1" applyBorder="1" applyAlignment="1">
      <alignment horizontal="right" vertical="center"/>
    </xf>
    <xf numFmtId="168" fontId="52" fillId="12" borderId="714" xfId="0" applyNumberFormat="1" applyFont="1" applyFill="1" applyBorder="1" applyAlignment="1">
      <alignment horizontal="right" vertical="center"/>
    </xf>
    <xf numFmtId="168" fontId="106" fillId="4" borderId="173" xfId="0" applyNumberFormat="1" applyFont="1" applyFill="1" applyBorder="1" applyAlignment="1">
      <alignment vertical="center"/>
    </xf>
    <xf numFmtId="168" fontId="130" fillId="4" borderId="173" xfId="0" applyNumberFormat="1" applyFont="1" applyFill="1" applyBorder="1" applyAlignment="1">
      <alignment vertical="center"/>
    </xf>
    <xf numFmtId="168" fontId="106" fillId="4" borderId="84" xfId="0" applyNumberFormat="1" applyFont="1" applyFill="1" applyBorder="1" applyAlignment="1">
      <alignment horizontal="right" vertical="center"/>
    </xf>
    <xf numFmtId="168" fontId="130" fillId="4" borderId="84" xfId="0" applyNumberFormat="1" applyFont="1" applyFill="1" applyBorder="1" applyAlignment="1">
      <alignment horizontal="right" vertical="center"/>
    </xf>
    <xf numFmtId="168" fontId="130" fillId="4" borderId="84" xfId="0" applyNumberFormat="1" applyFont="1" applyFill="1" applyBorder="1" applyAlignment="1">
      <alignment vertical="center"/>
    </xf>
    <xf numFmtId="168" fontId="106" fillId="4" borderId="89" xfId="0" applyNumberFormat="1" applyFont="1" applyFill="1" applyBorder="1" applyAlignment="1">
      <alignment vertical="center"/>
    </xf>
    <xf numFmtId="168" fontId="130" fillId="4" borderId="89" xfId="0" applyNumberFormat="1" applyFont="1" applyFill="1" applyBorder="1" applyAlignment="1">
      <alignment vertical="center"/>
    </xf>
    <xf numFmtId="168" fontId="106" fillId="4" borderId="86" xfId="0" applyNumberFormat="1" applyFont="1" applyFill="1" applyBorder="1" applyAlignment="1">
      <alignment vertical="center"/>
    </xf>
    <xf numFmtId="168" fontId="130" fillId="4" borderId="86" xfId="0" applyNumberFormat="1" applyFont="1" applyFill="1" applyBorder="1" applyAlignment="1">
      <alignment vertical="center"/>
    </xf>
    <xf numFmtId="168" fontId="106" fillId="4" borderId="84" xfId="0" applyNumberFormat="1" applyFont="1" applyFill="1" applyBorder="1" applyAlignment="1">
      <alignment vertical="center"/>
    </xf>
    <xf numFmtId="168" fontId="106" fillId="17" borderId="86" xfId="0" applyNumberFormat="1" applyFont="1" applyFill="1" applyBorder="1" applyAlignment="1">
      <alignment vertical="center"/>
    </xf>
    <xf numFmtId="168" fontId="130" fillId="17" borderId="86" xfId="0" applyNumberFormat="1" applyFont="1" applyFill="1" applyBorder="1" applyAlignment="1">
      <alignment vertical="center"/>
    </xf>
    <xf numFmtId="168" fontId="106" fillId="17" borderId="84" xfId="0" applyNumberFormat="1" applyFont="1" applyFill="1" applyBorder="1" applyAlignment="1">
      <alignment vertical="center"/>
    </xf>
    <xf numFmtId="168" fontId="106" fillId="17" borderId="194" xfId="0" applyNumberFormat="1" applyFont="1" applyFill="1" applyBorder="1" applyAlignment="1">
      <alignment vertical="center"/>
    </xf>
    <xf numFmtId="168" fontId="130" fillId="17" borderId="194" xfId="0" applyNumberFormat="1" applyFont="1" applyFill="1" applyBorder="1" applyAlignment="1">
      <alignment vertical="center"/>
    </xf>
    <xf numFmtId="168" fontId="106" fillId="17" borderId="173" xfId="0" applyNumberFormat="1" applyFont="1" applyFill="1" applyBorder="1" applyAlignment="1">
      <alignment vertical="center"/>
    </xf>
    <xf numFmtId="168" fontId="106" fillId="0" borderId="173" xfId="0" applyNumberFormat="1" applyFont="1" applyBorder="1" applyAlignment="1">
      <alignment vertical="center"/>
    </xf>
    <xf numFmtId="168" fontId="220" fillId="0" borderId="173" xfId="0" applyNumberFormat="1" applyFont="1" applyBorder="1" applyAlignment="1">
      <alignment vertical="center"/>
    </xf>
    <xf numFmtId="168" fontId="296" fillId="17" borderId="84" xfId="0" applyNumberFormat="1" applyFont="1" applyFill="1" applyBorder="1" applyAlignment="1">
      <alignment vertical="center"/>
    </xf>
    <xf numFmtId="168" fontId="219" fillId="0" borderId="84" xfId="0" applyNumberFormat="1" applyFont="1" applyBorder="1" applyAlignment="1">
      <alignment vertical="center"/>
    </xf>
    <xf numFmtId="168" fontId="130" fillId="0" borderId="84" xfId="0" applyNumberFormat="1" applyFont="1" applyBorder="1" applyAlignment="1">
      <alignment vertical="center"/>
    </xf>
    <xf numFmtId="168" fontId="106" fillId="17" borderId="89" xfId="0" applyNumberFormat="1" applyFont="1" applyFill="1" applyBorder="1" applyAlignment="1">
      <alignment vertical="center"/>
    </xf>
    <xf numFmtId="168" fontId="130" fillId="17" borderId="89" xfId="0" applyNumberFormat="1" applyFont="1" applyFill="1" applyBorder="1" applyAlignment="1">
      <alignment vertical="center"/>
    </xf>
    <xf numFmtId="168" fontId="106" fillId="0" borderId="86" xfId="0" applyNumberFormat="1" applyFont="1" applyBorder="1" applyAlignment="1">
      <alignment vertical="center"/>
    </xf>
    <xf numFmtId="168" fontId="130" fillId="0" borderId="86" xfId="0" applyNumberFormat="1" applyFont="1" applyBorder="1" applyAlignment="1">
      <alignment vertical="center"/>
    </xf>
    <xf numFmtId="168" fontId="130" fillId="17" borderId="173" xfId="0" applyNumberFormat="1" applyFont="1" applyFill="1" applyBorder="1" applyAlignment="1">
      <alignment vertical="center"/>
    </xf>
    <xf numFmtId="168" fontId="52" fillId="0" borderId="778" xfId="0" applyNumberFormat="1" applyFont="1" applyBorder="1" applyAlignment="1">
      <alignment vertical="center"/>
    </xf>
    <xf numFmtId="168" fontId="52" fillId="0" borderId="663" xfId="0" applyNumberFormat="1" applyFont="1" applyBorder="1" applyAlignment="1">
      <alignment vertical="center"/>
    </xf>
    <xf numFmtId="168" fontId="106" fillId="0" borderId="89" xfId="0" applyNumberFormat="1" applyFont="1" applyBorder="1" applyAlignment="1">
      <alignment vertical="center"/>
    </xf>
    <xf numFmtId="168" fontId="130" fillId="0" borderId="89" xfId="0" applyNumberFormat="1" applyFont="1" applyBorder="1" applyAlignment="1">
      <alignment vertical="center"/>
    </xf>
    <xf numFmtId="168" fontId="192" fillId="0" borderId="44" xfId="0" applyNumberFormat="1" applyFont="1" applyBorder="1" applyAlignment="1">
      <alignment vertical="center"/>
    </xf>
    <xf numFmtId="168" fontId="52" fillId="0" borderId="86" xfId="0" applyNumberFormat="1" applyFont="1" applyBorder="1" applyAlignment="1">
      <alignment vertical="center"/>
    </xf>
    <xf numFmtId="168" fontId="106" fillId="0" borderId="84" xfId="0" applyNumberFormat="1" applyFont="1" applyBorder="1" applyAlignment="1">
      <alignment vertical="center"/>
    </xf>
    <xf numFmtId="168" fontId="130" fillId="0" borderId="39" xfId="0" applyNumberFormat="1" applyFont="1" applyBorder="1" applyAlignment="1">
      <alignment vertical="center"/>
    </xf>
    <xf numFmtId="168" fontId="106" fillId="0" borderId="34" xfId="0" applyNumberFormat="1" applyFont="1" applyBorder="1" applyAlignment="1">
      <alignment vertical="center"/>
    </xf>
    <xf numFmtId="168" fontId="130" fillId="0" borderId="34" xfId="0" applyNumberFormat="1" applyFont="1" applyBorder="1" applyAlignment="1">
      <alignment vertical="center"/>
    </xf>
    <xf numFmtId="168" fontId="130" fillId="39" borderId="34" xfId="0" applyNumberFormat="1" applyFont="1" applyFill="1" applyBorder="1" applyAlignment="1">
      <alignment vertical="center"/>
    </xf>
    <xf numFmtId="168" fontId="106" fillId="39" borderId="34" xfId="0" applyNumberFormat="1" applyFont="1" applyFill="1" applyBorder="1" applyAlignment="1">
      <alignment vertical="center"/>
    </xf>
    <xf numFmtId="168" fontId="106" fillId="0" borderId="43" xfId="0" applyNumberFormat="1" applyFont="1" applyBorder="1" applyAlignment="1">
      <alignment vertical="center"/>
    </xf>
    <xf numFmtId="168" fontId="54" fillId="0" borderId="43" xfId="0" applyNumberFormat="1" applyFont="1" applyBorder="1" applyAlignment="1">
      <alignment horizontal="right" vertical="center"/>
    </xf>
    <xf numFmtId="168" fontId="130" fillId="0" borderId="43" xfId="0" applyNumberFormat="1" applyFont="1" applyBorder="1" applyAlignment="1">
      <alignment vertical="center"/>
    </xf>
    <xf numFmtId="168" fontId="106" fillId="0" borderId="39" xfId="0" applyNumberFormat="1" applyFont="1" applyBorder="1" applyAlignment="1">
      <alignment vertical="center"/>
    </xf>
    <xf numFmtId="168" fontId="130" fillId="39" borderId="39" xfId="0" applyNumberFormat="1" applyFont="1" applyFill="1" applyBorder="1" applyAlignment="1">
      <alignment vertical="center"/>
    </xf>
    <xf numFmtId="168" fontId="52" fillId="0" borderId="34" xfId="0" applyNumberFormat="1" applyFont="1" applyBorder="1"/>
    <xf numFmtId="168" fontId="54" fillId="0" borderId="34" xfId="0" applyNumberFormat="1" applyFont="1" applyBorder="1"/>
    <xf numFmtId="168" fontId="54" fillId="0" borderId="37" xfId="0" applyNumberFormat="1" applyFont="1" applyBorder="1"/>
    <xf numFmtId="168" fontId="54" fillId="0" borderId="190" xfId="0" applyNumberFormat="1" applyFont="1" applyBorder="1" applyAlignment="1">
      <alignment vertical="center"/>
    </xf>
    <xf numFmtId="168" fontId="54" fillId="0" borderId="135" xfId="0" applyNumberFormat="1" applyFont="1" applyBorder="1" applyAlignment="1">
      <alignment vertical="center"/>
    </xf>
    <xf numFmtId="168" fontId="52" fillId="39" borderId="191" xfId="0" applyNumberFormat="1" applyFont="1" applyFill="1" applyBorder="1" applyAlignment="1">
      <alignment vertical="center"/>
    </xf>
    <xf numFmtId="168" fontId="54" fillId="0" borderId="192" xfId="0" applyNumberFormat="1" applyFont="1" applyBorder="1" applyAlignment="1">
      <alignment vertical="center"/>
    </xf>
    <xf numFmtId="168" fontId="54" fillId="0" borderId="74" xfId="0" applyNumberFormat="1" applyFont="1" applyBorder="1" applyAlignment="1">
      <alignment horizontal="right" vertical="center"/>
    </xf>
    <xf numFmtId="168" fontId="52" fillId="0" borderId="142" xfId="0" applyNumberFormat="1" applyFont="1" applyBorder="1" applyAlignment="1">
      <alignment vertical="center"/>
    </xf>
    <xf numFmtId="168" fontId="54" fillId="39" borderId="192" xfId="0" applyNumberFormat="1" applyFont="1" applyFill="1" applyBorder="1" applyAlignment="1">
      <alignment vertical="center"/>
    </xf>
    <xf numFmtId="168" fontId="54" fillId="39" borderId="74" xfId="0" applyNumberFormat="1" applyFont="1" applyFill="1" applyBorder="1" applyAlignment="1">
      <alignment horizontal="right" vertical="center"/>
    </xf>
    <xf numFmtId="168" fontId="54" fillId="0" borderId="195" xfId="0" applyNumberFormat="1" applyFont="1" applyBorder="1" applyAlignment="1">
      <alignment vertical="center"/>
    </xf>
    <xf numFmtId="168" fontId="106" fillId="4" borderId="84" xfId="0" applyNumberFormat="1" applyFont="1" applyFill="1" applyBorder="1" applyAlignment="1">
      <alignment horizontal="center" vertical="center"/>
    </xf>
    <xf numFmtId="168" fontId="54" fillId="0" borderId="74" xfId="0" applyNumberFormat="1" applyFont="1" applyBorder="1" applyAlignment="1">
      <alignment vertical="center"/>
    </xf>
    <xf numFmtId="168" fontId="106" fillId="0" borderId="74" xfId="0" applyNumberFormat="1" applyFont="1" applyBorder="1" applyAlignment="1">
      <alignment vertical="center"/>
    </xf>
    <xf numFmtId="168" fontId="130" fillId="0" borderId="74" xfId="0" applyNumberFormat="1" applyFont="1" applyBorder="1" applyAlignment="1">
      <alignment vertical="center"/>
    </xf>
    <xf numFmtId="168" fontId="54" fillId="0" borderId="134" xfId="0" applyNumberFormat="1" applyFont="1" applyBorder="1"/>
    <xf numFmtId="168" fontId="106" fillId="0" borderId="190" xfId="0" applyNumberFormat="1" applyFont="1" applyBorder="1" applyAlignment="1">
      <alignment vertical="center"/>
    </xf>
    <xf numFmtId="168" fontId="106" fillId="0" borderId="135" xfId="0" applyNumberFormat="1" applyFont="1" applyBorder="1" applyAlignment="1">
      <alignment vertical="center"/>
    </xf>
    <xf numFmtId="168" fontId="130" fillId="0" borderId="191" xfId="0" applyNumberFormat="1" applyFont="1" applyBorder="1" applyAlignment="1">
      <alignment vertical="center"/>
    </xf>
    <xf numFmtId="168" fontId="106" fillId="0" borderId="192" xfId="0" applyNumberFormat="1" applyFont="1" applyBorder="1" applyAlignment="1">
      <alignment vertical="center"/>
    </xf>
    <xf numFmtId="168" fontId="130" fillId="0" borderId="142" xfId="0" applyNumberFormat="1" applyFont="1" applyBorder="1" applyAlignment="1">
      <alignment vertical="center"/>
    </xf>
    <xf numFmtId="168" fontId="106" fillId="17" borderId="192" xfId="0" applyNumberFormat="1" applyFont="1" applyFill="1" applyBorder="1" applyAlignment="1">
      <alignment vertical="center"/>
    </xf>
    <xf numFmtId="168" fontId="54" fillId="17" borderId="74" xfId="0" applyNumberFormat="1" applyFont="1" applyFill="1" applyBorder="1" applyAlignment="1">
      <alignment horizontal="right" vertical="center"/>
    </xf>
    <xf numFmtId="168" fontId="130" fillId="17" borderId="142" xfId="0" applyNumberFormat="1" applyFont="1" applyFill="1" applyBorder="1" applyAlignment="1">
      <alignment vertical="center"/>
    </xf>
    <xf numFmtId="168" fontId="106" fillId="17" borderId="74" xfId="0" applyNumberFormat="1" applyFont="1" applyFill="1" applyBorder="1" applyAlignment="1">
      <alignment vertical="center"/>
    </xf>
    <xf numFmtId="168" fontId="106" fillId="17" borderId="198" xfId="0" applyNumberFormat="1" applyFont="1" applyFill="1" applyBorder="1" applyAlignment="1">
      <alignment vertical="center"/>
    </xf>
    <xf numFmtId="168" fontId="106" fillId="17" borderId="75" xfId="0" applyNumberFormat="1" applyFont="1" applyFill="1" applyBorder="1" applyAlignment="1">
      <alignment vertical="center"/>
    </xf>
    <xf numFmtId="168" fontId="130" fillId="17" borderId="199" xfId="0" applyNumberFormat="1" applyFont="1" applyFill="1" applyBorder="1" applyAlignment="1">
      <alignment vertical="center"/>
    </xf>
    <xf numFmtId="168" fontId="54" fillId="0" borderId="782" xfId="0" applyNumberFormat="1" applyFont="1" applyBorder="1" applyAlignment="1">
      <alignment horizontal="center" vertical="center"/>
    </xf>
    <xf numFmtId="168" fontId="54" fillId="39" borderId="573" xfId="0" applyNumberFormat="1" applyFont="1" applyFill="1" applyBorder="1" applyAlignment="1">
      <alignment vertical="center"/>
    </xf>
    <xf numFmtId="168" fontId="54" fillId="39" borderId="575" xfId="0" applyNumberFormat="1" applyFont="1" applyFill="1" applyBorder="1" applyAlignment="1">
      <alignment vertical="center"/>
    </xf>
    <xf numFmtId="168" fontId="54" fillId="39" borderId="313" xfId="0" applyNumberFormat="1" applyFont="1" applyFill="1" applyBorder="1" applyAlignment="1">
      <alignment vertical="center"/>
    </xf>
    <xf numFmtId="168" fontId="54" fillId="0" borderId="44" xfId="0" applyNumberFormat="1" applyFont="1" applyBorder="1" applyAlignment="1">
      <alignment horizontal="right" vertical="center"/>
    </xf>
    <xf numFmtId="168" fontId="219" fillId="0" borderId="44" xfId="0" applyNumberFormat="1" applyFont="1" applyBorder="1" applyAlignment="1">
      <alignment horizontal="right" vertical="center"/>
    </xf>
    <xf numFmtId="168" fontId="54" fillId="39" borderId="44" xfId="0" applyNumberFormat="1" applyFont="1" applyFill="1" applyBorder="1" applyAlignment="1">
      <alignment horizontal="right" vertical="center"/>
    </xf>
    <xf numFmtId="168" fontId="54" fillId="39" borderId="749" xfId="0" applyNumberFormat="1" applyFont="1" applyFill="1" applyBorder="1" applyAlignment="1">
      <alignment vertical="center"/>
    </xf>
    <xf numFmtId="168" fontId="54" fillId="39" borderId="675" xfId="0" applyNumberFormat="1" applyFont="1" applyFill="1" applyBorder="1" applyAlignment="1">
      <alignment vertical="center"/>
    </xf>
    <xf numFmtId="168" fontId="219" fillId="0" borderId="595" xfId="0" applyNumberFormat="1" applyFont="1" applyBorder="1" applyAlignment="1">
      <alignment horizontal="right" vertical="center"/>
    </xf>
    <xf numFmtId="168" fontId="54" fillId="39" borderId="595" xfId="0" applyNumberFormat="1" applyFont="1" applyFill="1" applyBorder="1" applyAlignment="1">
      <alignment horizontal="right" vertical="center"/>
    </xf>
    <xf numFmtId="168" fontId="54" fillId="0" borderId="573" xfId="0" applyNumberFormat="1" applyFont="1" applyBorder="1"/>
    <xf numFmtId="168" fontId="54" fillId="0" borderId="573" xfId="0" applyNumberFormat="1" applyFont="1" applyBorder="1" applyAlignment="1">
      <alignment horizontal="right" vertical="center"/>
    </xf>
    <xf numFmtId="168" fontId="54" fillId="0" borderId="575" xfId="0" applyNumberFormat="1" applyFont="1" applyBorder="1"/>
    <xf numFmtId="168" fontId="54" fillId="0" borderId="575" xfId="0" applyNumberFormat="1" applyFont="1" applyBorder="1" applyAlignment="1">
      <alignment horizontal="right" vertical="center"/>
    </xf>
    <xf numFmtId="168" fontId="54" fillId="0" borderId="194" xfId="0" applyNumberFormat="1" applyFont="1" applyBorder="1" applyAlignment="1">
      <alignment horizontal="right" vertical="center"/>
    </xf>
    <xf numFmtId="168" fontId="54" fillId="0" borderId="161" xfId="0" applyNumberFormat="1" applyFont="1" applyBorder="1" applyAlignment="1">
      <alignment vertical="center"/>
    </xf>
    <xf numFmtId="168" fontId="54" fillId="0" borderId="248" xfId="0" applyNumberFormat="1" applyFont="1" applyBorder="1" applyAlignment="1">
      <alignment horizontal="right" vertical="center"/>
    </xf>
    <xf numFmtId="168" fontId="54" fillId="0" borderId="573" xfId="0" applyNumberFormat="1" applyFont="1" applyBorder="1" applyAlignment="1">
      <alignment vertical="center"/>
    </xf>
    <xf numFmtId="49" fontId="130" fillId="12" borderId="167" xfId="0" applyNumberFormat="1" applyFont="1" applyFill="1" applyBorder="1" applyAlignment="1">
      <alignment horizontal="center" vertical="center"/>
    </xf>
    <xf numFmtId="49" fontId="52" fillId="12" borderId="167" xfId="0" applyNumberFormat="1" applyFont="1" applyFill="1" applyBorder="1" applyAlignment="1">
      <alignment horizontal="center" vertical="center"/>
    </xf>
    <xf numFmtId="49" fontId="130" fillId="4" borderId="173" xfId="0" applyNumberFormat="1" applyFont="1" applyFill="1" applyBorder="1" applyAlignment="1">
      <alignment vertical="center"/>
    </xf>
    <xf numFmtId="49" fontId="130" fillId="4" borderId="84" xfId="0" applyNumberFormat="1" applyFont="1" applyFill="1" applyBorder="1" applyAlignment="1">
      <alignment vertical="center"/>
    </xf>
    <xf numFmtId="49" fontId="130" fillId="4" borderId="89" xfId="0" applyNumberFormat="1" applyFont="1" applyFill="1" applyBorder="1" applyAlignment="1">
      <alignment vertical="center"/>
    </xf>
    <xf numFmtId="49" fontId="130" fillId="4" borderId="86" xfId="0" applyNumberFormat="1" applyFont="1" applyFill="1" applyBorder="1" applyAlignment="1">
      <alignment vertical="center"/>
    </xf>
    <xf numFmtId="49" fontId="130" fillId="17" borderId="86" xfId="0" applyNumberFormat="1" applyFont="1" applyFill="1" applyBorder="1" applyAlignment="1">
      <alignment vertical="center"/>
    </xf>
    <xf numFmtId="49" fontId="130" fillId="17" borderId="194" xfId="0" applyNumberFormat="1" applyFont="1" applyFill="1" applyBorder="1" applyAlignment="1">
      <alignment vertical="center"/>
    </xf>
    <xf numFmtId="49" fontId="130" fillId="0" borderId="34" xfId="0" applyNumberFormat="1" applyFont="1" applyBorder="1" applyAlignment="1">
      <alignment vertical="center"/>
    </xf>
    <xf numFmtId="49" fontId="130" fillId="0" borderId="43" xfId="0" applyNumberFormat="1" applyFont="1" applyBorder="1" applyAlignment="1">
      <alignment vertical="center"/>
    </xf>
    <xf numFmtId="49" fontId="54" fillId="0" borderId="34" xfId="0" applyNumberFormat="1" applyFont="1" applyBorder="1"/>
    <xf numFmtId="49" fontId="54" fillId="0" borderId="37" xfId="0" applyNumberFormat="1" applyFont="1" applyBorder="1"/>
    <xf numFmtId="49" fontId="171" fillId="17" borderId="173" xfId="0" applyNumberFormat="1" applyFont="1" applyFill="1" applyBorder="1" applyAlignment="1">
      <alignment horizontal="center" vertical="center"/>
    </xf>
    <xf numFmtId="49" fontId="130" fillId="17" borderId="89" xfId="0" applyNumberFormat="1" applyFont="1" applyFill="1" applyBorder="1" applyAlignment="1">
      <alignment vertical="center"/>
    </xf>
    <xf numFmtId="49" fontId="52" fillId="0" borderId="244" xfId="0" applyNumberFormat="1" applyFont="1" applyBorder="1" applyAlignment="1">
      <alignment horizontal="center" vertical="center"/>
    </xf>
    <xf numFmtId="49" fontId="130" fillId="0" borderId="86" xfId="0" applyNumberFormat="1" applyFont="1" applyBorder="1" applyAlignment="1">
      <alignment vertical="center"/>
    </xf>
    <xf numFmtId="49" fontId="106" fillId="4" borderId="84" xfId="0" applyNumberFormat="1" applyFont="1" applyFill="1" applyBorder="1" applyAlignment="1">
      <alignment horizontal="center" vertical="center" wrapText="1"/>
    </xf>
    <xf numFmtId="49" fontId="52" fillId="0" borderId="74" xfId="0" applyNumberFormat="1" applyFont="1" applyBorder="1" applyAlignment="1">
      <alignment vertical="center"/>
    </xf>
    <xf numFmtId="49" fontId="130" fillId="0" borderId="74" xfId="0" applyNumberFormat="1" applyFont="1" applyBorder="1" applyAlignment="1">
      <alignment horizontal="center" vertical="center"/>
    </xf>
    <xf numFmtId="49" fontId="130" fillId="0" borderId="74" xfId="0" applyNumberFormat="1" applyFont="1" applyBorder="1" applyAlignment="1">
      <alignment vertical="center"/>
    </xf>
    <xf numFmtId="49" fontId="54" fillId="0" borderId="134" xfId="0" applyNumberFormat="1" applyFont="1" applyBorder="1"/>
    <xf numFmtId="49" fontId="130" fillId="0" borderId="244" xfId="0" applyNumberFormat="1" applyFont="1" applyBorder="1" applyAlignment="1">
      <alignment horizontal="center" vertical="center"/>
    </xf>
    <xf numFmtId="49" fontId="130" fillId="17" borderId="247" xfId="0" applyNumberFormat="1" applyFont="1" applyFill="1" applyBorder="1" applyAlignment="1">
      <alignment vertical="center"/>
    </xf>
    <xf numFmtId="49" fontId="130" fillId="17" borderId="173" xfId="0" applyNumberFormat="1" applyFont="1" applyFill="1" applyBorder="1" applyAlignment="1">
      <alignment vertical="center"/>
    </xf>
    <xf numFmtId="49" fontId="52" fillId="0" borderId="779" xfId="0" applyNumberFormat="1" applyFont="1" applyBorder="1" applyAlignment="1">
      <alignment vertical="center"/>
    </xf>
    <xf numFmtId="49" fontId="54" fillId="0" borderId="770" xfId="0" applyNumberFormat="1" applyFont="1" applyBorder="1" applyAlignment="1">
      <alignment horizontal="center" vertical="center"/>
    </xf>
    <xf numFmtId="49" fontId="130" fillId="0" borderId="89" xfId="0" applyNumberFormat="1" applyFont="1" applyBorder="1" applyAlignment="1">
      <alignment vertical="center"/>
    </xf>
    <xf numFmtId="49" fontId="52" fillId="0" borderId="84" xfId="0" applyNumberFormat="1" applyFont="1" applyBorder="1" applyAlignment="1">
      <alignment vertical="center"/>
    </xf>
    <xf numFmtId="49" fontId="192" fillId="0" borderId="44" xfId="0" applyNumberFormat="1" applyFont="1" applyBorder="1" applyAlignment="1">
      <alignment vertical="center"/>
    </xf>
    <xf numFmtId="49" fontId="52" fillId="39" borderId="44" xfId="0" applyNumberFormat="1" applyFont="1" applyFill="1" applyBorder="1" applyAlignment="1">
      <alignment vertical="center"/>
    </xf>
    <xf numFmtId="49" fontId="106" fillId="17" borderId="84" xfId="0" applyNumberFormat="1" applyFont="1" applyFill="1" applyBorder="1" applyAlignment="1">
      <alignment vertical="center"/>
    </xf>
    <xf numFmtId="49" fontId="54" fillId="0" borderId="0" xfId="0" applyNumberFormat="1" applyFont="1"/>
    <xf numFmtId="49" fontId="52" fillId="0" borderId="194" xfId="0" applyNumberFormat="1" applyFont="1" applyBorder="1" applyAlignment="1">
      <alignment vertical="center"/>
    </xf>
    <xf numFmtId="49" fontId="52" fillId="0" borderId="194" xfId="0" applyNumberFormat="1" applyFont="1" applyBorder="1" applyAlignment="1">
      <alignment horizontal="center" vertical="center"/>
    </xf>
    <xf numFmtId="49" fontId="130" fillId="0" borderId="84" xfId="0" applyNumberFormat="1" applyFont="1" applyBorder="1" applyAlignment="1">
      <alignment vertical="center"/>
    </xf>
    <xf numFmtId="0" fontId="68" fillId="39" borderId="194" xfId="0" applyFont="1" applyFill="1" applyBorder="1" applyAlignment="1">
      <alignment horizontal="center" vertical="center"/>
    </xf>
    <xf numFmtId="0" fontId="39" fillId="17" borderId="856" xfId="0" applyFont="1" applyFill="1" applyBorder="1" applyAlignment="1">
      <alignment horizontal="center" vertical="center"/>
    </xf>
    <xf numFmtId="0" fontId="54" fillId="39" borderId="194" xfId="0" applyFont="1" applyFill="1" applyBorder="1" applyAlignment="1">
      <alignment horizontal="center" vertical="center" wrapText="1"/>
    </xf>
    <xf numFmtId="0" fontId="54" fillId="17" borderId="856" xfId="0" applyFont="1" applyFill="1" applyBorder="1" applyAlignment="1">
      <alignment horizontal="center" vertical="center" wrapText="1"/>
    </xf>
    <xf numFmtId="168" fontId="106" fillId="0" borderId="160" xfId="0" applyNumberFormat="1" applyFont="1" applyBorder="1" applyAlignment="1">
      <alignment horizontal="right" vertical="center"/>
    </xf>
    <xf numFmtId="168" fontId="130" fillId="0" borderId="160" xfId="0" applyNumberFormat="1" applyFont="1" applyBorder="1" applyAlignment="1">
      <alignment horizontal="right" vertical="center"/>
    </xf>
    <xf numFmtId="168" fontId="106" fillId="39" borderId="242" xfId="0" applyNumberFormat="1" applyFont="1" applyFill="1" applyBorder="1" applyAlignment="1">
      <alignment horizontal="right" vertical="center"/>
    </xf>
    <xf numFmtId="168" fontId="130" fillId="0" borderId="242" xfId="0" applyNumberFormat="1" applyFont="1" applyBorder="1" applyAlignment="1">
      <alignment horizontal="right" vertical="center"/>
    </xf>
    <xf numFmtId="168" fontId="52" fillId="39" borderId="160" xfId="0" applyNumberFormat="1" applyFont="1" applyFill="1" applyBorder="1" applyAlignment="1">
      <alignment horizontal="right" vertical="center"/>
    </xf>
    <xf numFmtId="168" fontId="219" fillId="39" borderId="242" xfId="0" applyNumberFormat="1" applyFont="1" applyFill="1" applyBorder="1" applyAlignment="1">
      <alignment horizontal="right" vertical="center"/>
    </xf>
    <xf numFmtId="168" fontId="220" fillId="0" borderId="242" xfId="0" applyNumberFormat="1" applyFont="1" applyBorder="1" applyAlignment="1">
      <alignment horizontal="right" vertical="center"/>
    </xf>
    <xf numFmtId="168" fontId="130" fillId="39" borderId="160" xfId="0" applyNumberFormat="1" applyFont="1" applyFill="1" applyBorder="1" applyAlignment="1">
      <alignment horizontal="right" vertical="center"/>
    </xf>
    <xf numFmtId="168" fontId="54" fillId="17" borderId="856" xfId="0" applyNumberFormat="1" applyFont="1" applyFill="1" applyBorder="1" applyAlignment="1">
      <alignment vertical="center"/>
    </xf>
    <xf numFmtId="168" fontId="52" fillId="17" borderId="856" xfId="0" applyNumberFormat="1" applyFont="1" applyFill="1" applyBorder="1" applyAlignment="1">
      <alignment vertical="center"/>
    </xf>
    <xf numFmtId="49" fontId="52" fillId="45" borderId="606" xfId="0" applyNumberFormat="1" applyFont="1" applyFill="1" applyBorder="1" applyAlignment="1">
      <alignment horizontal="center" vertical="center"/>
    </xf>
    <xf numFmtId="0" fontId="106" fillId="17" borderId="242" xfId="0" applyFont="1" applyFill="1" applyBorder="1" applyAlignment="1">
      <alignment horizontal="left" vertical="center" wrapText="1"/>
    </xf>
    <xf numFmtId="49" fontId="52" fillId="17" borderId="89" xfId="0" applyNumberFormat="1" applyFont="1" applyFill="1" applyBorder="1" applyAlignment="1">
      <alignment vertical="center"/>
    </xf>
    <xf numFmtId="49" fontId="52" fillId="17" borderId="194" xfId="0" applyNumberFormat="1" applyFont="1" applyFill="1" applyBorder="1" applyAlignment="1">
      <alignment vertical="center"/>
    </xf>
    <xf numFmtId="49" fontId="52" fillId="39" borderId="194" xfId="0" applyNumberFormat="1" applyFont="1" applyFill="1" applyBorder="1" applyAlignment="1">
      <alignment vertical="center"/>
    </xf>
    <xf numFmtId="0" fontId="219" fillId="17" borderId="242" xfId="0" applyFont="1" applyFill="1" applyBorder="1" applyAlignment="1">
      <alignment horizontal="left" vertical="center" wrapText="1"/>
    </xf>
    <xf numFmtId="0" fontId="106" fillId="17" borderId="242" xfId="0" applyFont="1" applyFill="1" applyBorder="1" applyAlignment="1">
      <alignment vertical="center" wrapText="1"/>
    </xf>
    <xf numFmtId="49" fontId="52" fillId="17" borderId="856" xfId="0" applyNumberFormat="1" applyFont="1" applyFill="1" applyBorder="1" applyAlignment="1">
      <alignment vertical="center"/>
    </xf>
    <xf numFmtId="49" fontId="52" fillId="0" borderId="89" xfId="0" applyNumberFormat="1" applyFont="1" applyBorder="1" applyAlignment="1">
      <alignment vertical="center"/>
    </xf>
    <xf numFmtId="49" fontId="68" fillId="0" borderId="71" xfId="0" applyNumberFormat="1" applyFont="1" applyBorder="1" applyAlignment="1">
      <alignment horizontal="center" vertical="center"/>
    </xf>
    <xf numFmtId="0" fontId="68" fillId="0" borderId="297" xfId="0" applyFont="1" applyBorder="1" applyAlignment="1">
      <alignment horizontal="center" vertical="center"/>
    </xf>
    <xf numFmtId="49" fontId="39" fillId="0" borderId="297" xfId="0" applyNumberFormat="1" applyFont="1" applyBorder="1" applyAlignment="1">
      <alignment horizontal="center" vertical="center"/>
    </xf>
    <xf numFmtId="49" fontId="39" fillId="0" borderId="313" xfId="0" applyNumberFormat="1" applyFont="1" applyBorder="1" applyAlignment="1">
      <alignment horizontal="center" vertical="center"/>
    </xf>
    <xf numFmtId="49" fontId="68" fillId="0" borderId="313" xfId="0" applyNumberFormat="1" applyFont="1" applyBorder="1" applyAlignment="1">
      <alignment horizontal="center" vertical="center"/>
    </xf>
    <xf numFmtId="0" fontId="68" fillId="0" borderId="299" xfId="0" applyFont="1" applyBorder="1" applyAlignment="1">
      <alignment horizontal="center" vertical="center"/>
    </xf>
    <xf numFmtId="49" fontId="39" fillId="0" borderId="299" xfId="0" applyNumberFormat="1" applyFont="1" applyBorder="1" applyAlignment="1">
      <alignment horizontal="center" vertical="center"/>
    </xf>
    <xf numFmtId="0" fontId="68" fillId="17" borderId="297" xfId="0" applyFont="1" applyFill="1" applyBorder="1" applyAlignment="1">
      <alignment horizontal="center" vertical="center"/>
    </xf>
    <xf numFmtId="49" fontId="39" fillId="17" borderId="297" xfId="0" applyNumberFormat="1" applyFont="1" applyFill="1" applyBorder="1" applyAlignment="1">
      <alignment horizontal="center" vertical="center"/>
    </xf>
    <xf numFmtId="0" fontId="68" fillId="17" borderId="299" xfId="0" applyFont="1" applyFill="1" applyBorder="1" applyAlignment="1">
      <alignment horizontal="center" vertical="center"/>
    </xf>
    <xf numFmtId="49" fontId="39" fillId="17" borderId="299" xfId="0" applyNumberFormat="1" applyFont="1" applyFill="1" applyBorder="1" applyAlignment="1">
      <alignment horizontal="center" vertical="center"/>
    </xf>
    <xf numFmtId="0" fontId="68" fillId="0" borderId="382" xfId="0" applyFont="1" applyBorder="1" applyAlignment="1">
      <alignment horizontal="center" vertical="center"/>
    </xf>
    <xf numFmtId="49" fontId="68" fillId="0" borderId="382" xfId="0" applyNumberFormat="1" applyFont="1" applyBorder="1" applyAlignment="1">
      <alignment horizontal="center" vertical="center"/>
    </xf>
    <xf numFmtId="49" fontId="39" fillId="0" borderId="382" xfId="0" applyNumberFormat="1" applyFont="1" applyBorder="1" applyAlignment="1">
      <alignment horizontal="center" vertical="center"/>
    </xf>
    <xf numFmtId="49" fontId="39" fillId="0" borderId="232" xfId="0" applyNumberFormat="1" applyFont="1" applyBorder="1" applyAlignment="1">
      <alignment horizontal="center" vertical="center"/>
    </xf>
    <xf numFmtId="49" fontId="39" fillId="0" borderId="39" xfId="0" applyNumberFormat="1" applyFont="1" applyBorder="1" applyAlignment="1">
      <alignment horizontal="center" vertical="center" wrapText="1"/>
    </xf>
    <xf numFmtId="0" fontId="68" fillId="0" borderId="34" xfId="0" applyFont="1" applyBorder="1" applyAlignment="1">
      <alignment horizontal="center" vertical="center" wrapText="1"/>
    </xf>
    <xf numFmtId="49" fontId="39" fillId="0" borderId="34" xfId="0" applyNumberFormat="1" applyFont="1" applyBorder="1" applyAlignment="1">
      <alignment horizontal="center" vertical="center" wrapText="1"/>
    </xf>
    <xf numFmtId="0" fontId="68" fillId="0" borderId="382" xfId="0" applyFont="1" applyBorder="1" applyAlignment="1">
      <alignment horizontal="center" vertical="center" wrapText="1"/>
    </xf>
    <xf numFmtId="49" fontId="39" fillId="0" borderId="382" xfId="0" applyNumberFormat="1" applyFont="1" applyBorder="1" applyAlignment="1">
      <alignment horizontal="center" vertical="center" wrapText="1"/>
    </xf>
    <xf numFmtId="0" fontId="180" fillId="0" borderId="313" xfId="0" applyFont="1" applyBorder="1" applyAlignment="1">
      <alignment horizontal="center" vertical="center"/>
    </xf>
    <xf numFmtId="49" fontId="39" fillId="0" borderId="37" xfId="0" applyNumberFormat="1" applyFont="1" applyBorder="1" applyAlignment="1">
      <alignment horizontal="center" vertical="center"/>
    </xf>
    <xf numFmtId="0" fontId="68" fillId="0" borderId="418" xfId="0" applyFont="1" applyBorder="1" applyAlignment="1">
      <alignment horizontal="center" vertical="center"/>
    </xf>
    <xf numFmtId="49" fontId="68" fillId="39" borderId="418" xfId="0" applyNumberFormat="1" applyFont="1" applyFill="1" applyBorder="1" applyAlignment="1">
      <alignment horizontal="center" vertical="center" wrapText="1"/>
    </xf>
    <xf numFmtId="49" fontId="68" fillId="0" borderId="411" xfId="0" applyNumberFormat="1" applyFont="1" applyBorder="1" applyAlignment="1">
      <alignment horizontal="center" vertical="center"/>
    </xf>
    <xf numFmtId="49" fontId="68" fillId="39" borderId="411" xfId="0" applyNumberFormat="1" applyFont="1" applyFill="1" applyBorder="1" applyAlignment="1">
      <alignment horizontal="center" vertical="center" wrapText="1"/>
    </xf>
    <xf numFmtId="0" fontId="225" fillId="0" borderId="411" xfId="0" applyFont="1" applyBorder="1" applyAlignment="1">
      <alignment horizontal="center" vertical="center"/>
    </xf>
    <xf numFmtId="49" fontId="225" fillId="0" borderId="411" xfId="0" applyNumberFormat="1" applyFont="1" applyBorder="1" applyAlignment="1">
      <alignment horizontal="center" vertical="center"/>
    </xf>
    <xf numFmtId="0" fontId="225" fillId="0" borderId="415" xfId="0" applyFont="1" applyBorder="1" applyAlignment="1">
      <alignment horizontal="center" vertical="center"/>
    </xf>
    <xf numFmtId="49" fontId="225" fillId="0" borderId="415" xfId="0" applyNumberFormat="1" applyFont="1" applyBorder="1" applyAlignment="1">
      <alignment horizontal="center" vertical="center"/>
    </xf>
    <xf numFmtId="0" fontId="68" fillId="0" borderId="37" xfId="0" applyFont="1" applyBorder="1" applyAlignment="1">
      <alignment horizontal="center" vertical="center"/>
    </xf>
    <xf numFmtId="0" fontId="68" fillId="0" borderId="657" xfId="0" applyFont="1" applyBorder="1" applyAlignment="1">
      <alignment horizontal="center" vertical="center"/>
    </xf>
    <xf numFmtId="49" fontId="39" fillId="0" borderId="484" xfId="0" applyNumberFormat="1" applyFont="1" applyBorder="1" applyAlignment="1">
      <alignment horizontal="center" vertical="center"/>
    </xf>
    <xf numFmtId="49" fontId="39" fillId="0" borderId="362" xfId="0" applyNumberFormat="1" applyFont="1" applyBorder="1" applyAlignment="1">
      <alignment horizontal="center" vertical="center"/>
    </xf>
    <xf numFmtId="0" fontId="68" fillId="0" borderId="659" xfId="0" applyFont="1" applyBorder="1" applyAlignment="1">
      <alignment horizontal="center" vertical="center"/>
    </xf>
    <xf numFmtId="49" fontId="39" fillId="0" borderId="659" xfId="0" applyNumberFormat="1" applyFont="1" applyBorder="1" applyAlignment="1">
      <alignment horizontal="center" vertical="center"/>
    </xf>
    <xf numFmtId="0" fontId="68" fillId="0" borderId="44" xfId="0" applyFont="1" applyBorder="1" applyAlignment="1">
      <alignment horizontal="center" vertical="center" wrapText="1"/>
    </xf>
    <xf numFmtId="49" fontId="39" fillId="0" borderId="44" xfId="0" applyNumberFormat="1" applyFont="1" applyBorder="1" applyAlignment="1">
      <alignment horizontal="center" vertical="center" wrapText="1"/>
    </xf>
    <xf numFmtId="0" fontId="68" fillId="0" borderId="43" xfId="0" applyFont="1" applyBorder="1" applyAlignment="1">
      <alignment horizontal="center"/>
    </xf>
    <xf numFmtId="0" fontId="39" fillId="0" borderId="43" xfId="0" applyFont="1" applyBorder="1"/>
    <xf numFmtId="49" fontId="39" fillId="0" borderId="693" xfId="0" applyNumberFormat="1" applyFont="1" applyBorder="1" applyAlignment="1">
      <alignment horizontal="center" vertical="center"/>
    </xf>
    <xf numFmtId="49" fontId="39" fillId="0" borderId="681" xfId="0" applyNumberFormat="1" applyFont="1" applyBorder="1" applyAlignment="1">
      <alignment horizontal="center" vertical="center"/>
    </xf>
    <xf numFmtId="49" fontId="68" fillId="0" borderId="681" xfId="0" applyNumberFormat="1" applyFont="1" applyBorder="1" applyAlignment="1">
      <alignment horizontal="center" vertical="center"/>
    </xf>
    <xf numFmtId="0" fontId="68" fillId="0" borderId="685" xfId="0" applyFont="1" applyBorder="1" applyAlignment="1">
      <alignment horizontal="center" vertical="center"/>
    </xf>
    <xf numFmtId="49" fontId="39" fillId="0" borderId="686" xfId="0" applyNumberFormat="1" applyFont="1" applyBorder="1" applyAlignment="1">
      <alignment horizontal="center" vertical="center"/>
    </xf>
    <xf numFmtId="49" fontId="39" fillId="0" borderId="84" xfId="0" applyNumberFormat="1" applyFont="1" applyBorder="1" applyAlignment="1">
      <alignment horizontal="center" vertical="center"/>
    </xf>
    <xf numFmtId="0" fontId="68" fillId="0" borderId="89" xfId="0" applyFont="1" applyBorder="1" applyAlignment="1">
      <alignment horizontal="center"/>
    </xf>
    <xf numFmtId="0" fontId="39" fillId="0" borderId="89" xfId="0" applyFont="1" applyBorder="1"/>
    <xf numFmtId="49" fontId="68" fillId="0" borderId="173" xfId="0" applyNumberFormat="1" applyFont="1" applyBorder="1" applyAlignment="1">
      <alignment horizontal="center" vertical="center"/>
    </xf>
    <xf numFmtId="49" fontId="288" fillId="0" borderId="297" xfId="0" applyNumberFormat="1" applyFont="1" applyBorder="1" applyAlignment="1">
      <alignment horizontal="center" vertical="center"/>
    </xf>
    <xf numFmtId="49" fontId="68" fillId="0" borderId="295" xfId="0" applyNumberFormat="1" applyFont="1" applyBorder="1" applyAlignment="1">
      <alignment horizontal="center" vertical="center"/>
    </xf>
    <xf numFmtId="49" fontId="39" fillId="0" borderId="173" xfId="0" applyNumberFormat="1" applyFont="1" applyBorder="1" applyAlignment="1">
      <alignment horizontal="center" vertical="center"/>
    </xf>
    <xf numFmtId="0" fontId="68" fillId="0" borderId="84" xfId="0" applyFont="1" applyBorder="1" applyAlignment="1">
      <alignment horizontal="center"/>
    </xf>
    <xf numFmtId="0" fontId="39" fillId="0" borderId="84" xfId="0" applyFont="1" applyBorder="1"/>
    <xf numFmtId="0" fontId="68" fillId="0" borderId="37" xfId="0" applyFont="1" applyBorder="1" applyAlignment="1">
      <alignment horizontal="center" vertical="center" wrapText="1"/>
    </xf>
    <xf numFmtId="49" fontId="39" fillId="0" borderId="37" xfId="0" applyNumberFormat="1" applyFont="1" applyBorder="1" applyAlignment="1">
      <alignment horizontal="center" vertical="center" wrapText="1"/>
    </xf>
    <xf numFmtId="0" fontId="68" fillId="0" borderId="313" xfId="0" applyFont="1" applyBorder="1" applyAlignment="1">
      <alignment horizontal="center" vertical="center" wrapText="1"/>
    </xf>
    <xf numFmtId="1" fontId="54" fillId="0" borderId="30" xfId="0" applyNumberFormat="1" applyFont="1" applyBorder="1" applyAlignment="1">
      <alignment horizontal="center" vertical="center" wrapText="1"/>
    </xf>
    <xf numFmtId="1" fontId="54" fillId="0" borderId="34" xfId="0" applyNumberFormat="1" applyFont="1" applyBorder="1" applyAlignment="1">
      <alignment horizontal="center" vertical="center" wrapText="1"/>
    </xf>
    <xf numFmtId="1" fontId="54" fillId="0" borderId="44" xfId="0" applyNumberFormat="1" applyFont="1" applyBorder="1" applyAlignment="1">
      <alignment horizontal="center" vertical="center" wrapText="1"/>
    </xf>
    <xf numFmtId="1" fontId="54" fillId="0" borderId="37" xfId="0" applyNumberFormat="1" applyFont="1" applyBorder="1" applyAlignment="1">
      <alignment horizontal="center" vertical="center" wrapText="1"/>
    </xf>
    <xf numFmtId="1" fontId="54" fillId="0" borderId="39" xfId="0" applyNumberFormat="1" applyFont="1" applyBorder="1" applyAlignment="1">
      <alignment horizontal="center" vertical="center" wrapText="1"/>
    </xf>
    <xf numFmtId="1" fontId="54" fillId="17" borderId="34" xfId="0" applyNumberFormat="1" applyFont="1" applyFill="1" applyBorder="1" applyAlignment="1">
      <alignment horizontal="center" vertical="center" wrapText="1"/>
    </xf>
    <xf numFmtId="1" fontId="54" fillId="17" borderId="37" xfId="0" applyNumberFormat="1" applyFont="1" applyFill="1" applyBorder="1" applyAlignment="1">
      <alignment horizontal="center" vertical="center" wrapText="1"/>
    </xf>
    <xf numFmtId="1" fontId="52" fillId="0" borderId="44" xfId="0" applyNumberFormat="1" applyFont="1" applyBorder="1" applyAlignment="1">
      <alignment horizontal="center" vertical="center" wrapText="1"/>
    </xf>
    <xf numFmtId="1" fontId="52" fillId="0" borderId="43" xfId="0" applyNumberFormat="1" applyFont="1" applyBorder="1" applyAlignment="1">
      <alignment horizontal="center" vertical="center" wrapText="1"/>
    </xf>
    <xf numFmtId="1" fontId="54" fillId="0" borderId="43" xfId="0" applyNumberFormat="1" applyFont="1" applyBorder="1" applyAlignment="1">
      <alignment horizontal="center" vertical="center" wrapText="1"/>
    </xf>
    <xf numFmtId="1" fontId="54" fillId="0" borderId="39" xfId="0" applyNumberFormat="1" applyFont="1" applyBorder="1" applyAlignment="1">
      <alignment vertical="center"/>
    </xf>
    <xf numFmtId="1" fontId="54" fillId="0" borderId="34" xfId="0" applyNumberFormat="1" applyFont="1" applyBorder="1" applyAlignment="1">
      <alignment horizontal="center" vertical="center"/>
    </xf>
    <xf numFmtId="1" fontId="54" fillId="0" borderId="43" xfId="0" applyNumberFormat="1" applyFont="1" applyBorder="1" applyAlignment="1">
      <alignment horizontal="center" vertical="center"/>
    </xf>
    <xf numFmtId="1" fontId="54" fillId="0" borderId="107" xfId="0" applyNumberFormat="1" applyFont="1" applyBorder="1" applyAlignment="1">
      <alignment horizontal="center" vertical="center" wrapText="1"/>
    </xf>
    <xf numFmtId="1" fontId="54" fillId="0" borderId="692" xfId="0" applyNumberFormat="1" applyFont="1" applyBorder="1" applyAlignment="1">
      <alignment horizontal="center" vertical="center" wrapText="1"/>
    </xf>
    <xf numFmtId="1" fontId="54" fillId="0" borderId="411" xfId="0" applyNumberFormat="1" applyFont="1" applyBorder="1" applyAlignment="1">
      <alignment horizontal="center" vertical="center" wrapText="1"/>
    </xf>
    <xf numFmtId="1" fontId="54" fillId="39" borderId="411" xfId="0" applyNumberFormat="1" applyFont="1" applyFill="1" applyBorder="1" applyAlignment="1">
      <alignment horizontal="center" vertical="center" wrapText="1"/>
    </xf>
    <xf numFmtId="1" fontId="219" fillId="0" borderId="415" xfId="0" applyNumberFormat="1" applyFont="1" applyBorder="1" applyAlignment="1">
      <alignment horizontal="center" vertical="center" wrapText="1"/>
    </xf>
    <xf numFmtId="1" fontId="54" fillId="0" borderId="484" xfId="0" applyNumberFormat="1" applyFont="1" applyBorder="1" applyAlignment="1">
      <alignment horizontal="center" vertical="center" wrapText="1"/>
    </xf>
    <xf numFmtId="1" fontId="54" fillId="0" borderId="660" xfId="0" applyNumberFormat="1" applyFont="1" applyBorder="1" applyAlignment="1">
      <alignment horizontal="center" vertical="center" wrapText="1"/>
    </xf>
    <xf numFmtId="1" fontId="54" fillId="0" borderId="44" xfId="0" applyNumberFormat="1" applyFont="1" applyBorder="1" applyAlignment="1">
      <alignment horizontal="center" vertical="center"/>
    </xf>
    <xf numFmtId="0" fontId="54" fillId="0" borderId="43" xfId="0" applyFont="1" applyBorder="1"/>
    <xf numFmtId="1" fontId="54" fillId="0" borderId="238" xfId="0" applyNumberFormat="1" applyFont="1" applyBorder="1" applyAlignment="1">
      <alignment horizontal="center" vertical="center"/>
    </xf>
    <xf numFmtId="1" fontId="54" fillId="0" borderId="84" xfId="0" applyNumberFormat="1" applyFont="1" applyBorder="1" applyAlignment="1">
      <alignment horizontal="center" vertical="center" wrapText="1"/>
    </xf>
    <xf numFmtId="0" fontId="54" fillId="0" borderId="89" xfId="0" applyFont="1" applyBorder="1"/>
    <xf numFmtId="1" fontId="54" fillId="0" borderId="173" xfId="0" applyNumberFormat="1" applyFont="1" applyBorder="1" applyAlignment="1">
      <alignment horizontal="center" vertical="center" wrapText="1"/>
    </xf>
    <xf numFmtId="1" fontId="289" fillId="0" borderId="34" xfId="0" applyNumberFormat="1" applyFont="1" applyBorder="1" applyAlignment="1">
      <alignment horizontal="center" vertical="center" wrapText="1"/>
    </xf>
    <xf numFmtId="0" fontId="54" fillId="0" borderId="84" xfId="0" applyFont="1" applyBorder="1"/>
    <xf numFmtId="1" fontId="54" fillId="0" borderId="39" xfId="0" applyNumberFormat="1" applyFont="1" applyBorder="1" applyAlignment="1">
      <alignment horizontal="center" vertical="center"/>
    </xf>
    <xf numFmtId="1" fontId="54" fillId="39" borderId="34" xfId="0" applyNumberFormat="1" applyFont="1" applyFill="1" applyBorder="1" applyAlignment="1">
      <alignment horizontal="center" vertical="center"/>
    </xf>
    <xf numFmtId="1" fontId="54" fillId="0" borderId="37" xfId="0" applyNumberFormat="1" applyFont="1" applyBorder="1" applyAlignment="1">
      <alignment horizontal="center" vertical="center"/>
    </xf>
    <xf numFmtId="1" fontId="54" fillId="0" borderId="44" xfId="0" applyNumberFormat="1" applyFont="1" applyBorder="1" applyAlignment="1">
      <alignment vertical="center"/>
    </xf>
    <xf numFmtId="175" fontId="54" fillId="0" borderId="34" xfId="0" applyNumberFormat="1" applyFont="1" applyBorder="1" applyAlignment="1">
      <alignment vertical="center"/>
    </xf>
    <xf numFmtId="168" fontId="54" fillId="0" borderId="107" xfId="0" applyNumberFormat="1" applyFont="1" applyBorder="1" applyAlignment="1">
      <alignment vertical="center"/>
    </xf>
    <xf numFmtId="0" fontId="219" fillId="0" borderId="44" xfId="0" applyFont="1" applyBorder="1" applyAlignment="1">
      <alignment vertical="center"/>
    </xf>
    <xf numFmtId="4" fontId="220" fillId="0" borderId="44" xfId="0" applyNumberFormat="1" applyFont="1" applyBorder="1" applyAlignment="1">
      <alignment vertical="center"/>
    </xf>
    <xf numFmtId="4" fontId="219" fillId="0" borderId="34" xfId="0" applyNumberFormat="1" applyFont="1" applyBorder="1" applyAlignment="1">
      <alignment vertical="center"/>
    </xf>
    <xf numFmtId="0" fontId="220" fillId="0" borderId="34" xfId="0" applyFont="1" applyBorder="1" applyAlignment="1">
      <alignment vertical="center"/>
    </xf>
    <xf numFmtId="168" fontId="54" fillId="0" borderId="418" xfId="0" applyNumberFormat="1" applyFont="1" applyBorder="1" applyAlignment="1">
      <alignment vertical="center"/>
    </xf>
    <xf numFmtId="168" fontId="52" fillId="39" borderId="424" xfId="0" applyNumberFormat="1" applyFont="1" applyFill="1" applyBorder="1" applyAlignment="1">
      <alignment vertical="center"/>
    </xf>
    <xf numFmtId="168" fontId="54" fillId="39" borderId="411" xfId="0" applyNumberFormat="1" applyFont="1" applyFill="1" applyBorder="1" applyAlignment="1">
      <alignment vertical="center"/>
    </xf>
    <xf numFmtId="168" fontId="52" fillId="39" borderId="411" xfId="0" applyNumberFormat="1" applyFont="1" applyFill="1" applyBorder="1" applyAlignment="1">
      <alignment vertical="center"/>
    </xf>
    <xf numFmtId="168" fontId="219" fillId="0" borderId="415" xfId="0" applyNumberFormat="1" applyFont="1" applyBorder="1" applyAlignment="1">
      <alignment vertical="center"/>
    </xf>
    <xf numFmtId="168" fontId="220" fillId="0" borderId="415" xfId="0" applyNumberFormat="1" applyFont="1" applyBorder="1" applyAlignment="1">
      <alignment vertical="center"/>
    </xf>
    <xf numFmtId="168" fontId="54" fillId="0" borderId="484" xfId="0" applyNumberFormat="1" applyFont="1" applyBorder="1" applyAlignment="1">
      <alignment vertical="center"/>
    </xf>
    <xf numFmtId="168" fontId="52" fillId="0" borderId="484" xfId="0" applyNumberFormat="1" applyFont="1" applyBorder="1" applyAlignment="1">
      <alignment vertical="center"/>
    </xf>
    <xf numFmtId="168" fontId="54" fillId="0" borderId="177" xfId="0" applyNumberFormat="1" applyFont="1" applyBorder="1" applyAlignment="1">
      <alignment vertical="center"/>
    </xf>
    <xf numFmtId="168" fontId="52" fillId="0" borderId="177" xfId="0" applyNumberFormat="1" applyFont="1" applyBorder="1" applyAlignment="1">
      <alignment vertical="center"/>
    </xf>
    <xf numFmtId="168" fontId="54" fillId="0" borderId="660" xfId="0" applyNumberFormat="1" applyFont="1" applyBorder="1" applyAlignment="1">
      <alignment vertical="center"/>
    </xf>
    <xf numFmtId="168" fontId="52" fillId="0" borderId="660" xfId="0" applyNumberFormat="1" applyFont="1" applyBorder="1" applyAlignment="1">
      <alignment vertical="center"/>
    </xf>
    <xf numFmtId="168" fontId="54" fillId="0" borderId="111" xfId="0" applyNumberFormat="1" applyFont="1" applyBorder="1" applyAlignment="1">
      <alignment vertical="center"/>
    </xf>
    <xf numFmtId="168" fontId="52" fillId="0" borderId="111" xfId="0" applyNumberFormat="1" applyFont="1" applyBorder="1" applyAlignment="1">
      <alignment vertical="center"/>
    </xf>
    <xf numFmtId="168" fontId="289" fillId="0" borderId="34" xfId="0" applyNumberFormat="1" applyFont="1" applyBorder="1" applyAlignment="1">
      <alignment vertical="center"/>
    </xf>
    <xf numFmtId="168" fontId="52" fillId="14" borderId="34" xfId="0" applyNumberFormat="1" applyFont="1" applyFill="1" applyBorder="1" applyAlignment="1">
      <alignment vertical="center"/>
    </xf>
    <xf numFmtId="49" fontId="54" fillId="0" borderId="44" xfId="0" applyNumberFormat="1" applyFont="1" applyBorder="1" applyAlignment="1">
      <alignment horizontal="center" vertical="center"/>
    </xf>
    <xf numFmtId="0" fontId="54" fillId="0" borderId="0" xfId="0" applyFont="1"/>
    <xf numFmtId="168" fontId="52" fillId="14" borderId="44" xfId="0" applyNumberFormat="1" applyFont="1" applyFill="1" applyBorder="1" applyAlignment="1">
      <alignment vertical="center"/>
    </xf>
    <xf numFmtId="49" fontId="322" fillId="0" borderId="44" xfId="0" applyNumberFormat="1" applyFont="1" applyBorder="1" applyAlignment="1">
      <alignment horizontal="center" vertical="center"/>
    </xf>
    <xf numFmtId="49" fontId="322" fillId="0" borderId="34" xfId="0" applyNumberFormat="1" applyFont="1" applyBorder="1" applyAlignment="1">
      <alignment horizontal="center" vertical="center"/>
    </xf>
    <xf numFmtId="49" fontId="52" fillId="0" borderId="107" xfId="0" applyNumberFormat="1" applyFont="1" applyBorder="1" applyAlignment="1">
      <alignment horizontal="center" vertical="center"/>
    </xf>
    <xf numFmtId="49" fontId="220" fillId="0" borderId="34" xfId="0" applyNumberFormat="1" applyFont="1" applyBorder="1" applyAlignment="1">
      <alignment horizontal="center" vertical="center"/>
    </xf>
    <xf numFmtId="0" fontId="220" fillId="0" borderId="34" xfId="0" applyFont="1" applyBorder="1" applyAlignment="1">
      <alignment horizontal="center" vertical="center"/>
    </xf>
    <xf numFmtId="49" fontId="52" fillId="0" borderId="424" xfId="0" applyNumberFormat="1" applyFont="1" applyBorder="1" applyAlignment="1">
      <alignment horizontal="center" vertical="center"/>
    </xf>
    <xf numFmtId="49" fontId="52" fillId="39" borderId="411" xfId="0" applyNumberFormat="1" applyFont="1" applyFill="1" applyBorder="1" applyAlignment="1">
      <alignment horizontal="center" vertical="center"/>
    </xf>
    <xf numFmtId="49" fontId="220" fillId="0" borderId="415" xfId="0" applyNumberFormat="1" applyFont="1" applyBorder="1" applyAlignment="1">
      <alignment horizontal="center" vertical="center"/>
    </xf>
    <xf numFmtId="49" fontId="52" fillId="0" borderId="484" xfId="0" applyNumberFormat="1" applyFont="1" applyBorder="1" applyAlignment="1">
      <alignment horizontal="center" vertical="center"/>
    </xf>
    <xf numFmtId="49" fontId="52" fillId="0" borderId="177" xfId="0" applyNumberFormat="1" applyFont="1" applyBorder="1" applyAlignment="1">
      <alignment horizontal="center" vertical="center"/>
    </xf>
    <xf numFmtId="49" fontId="52" fillId="0" borderId="660" xfId="0" applyNumberFormat="1" applyFont="1" applyBorder="1" applyAlignment="1">
      <alignment horizontal="center" vertical="center"/>
    </xf>
    <xf numFmtId="49" fontId="54" fillId="0" borderId="43" xfId="0" applyNumberFormat="1" applyFont="1" applyBorder="1" applyAlignment="1">
      <alignment horizontal="center"/>
    </xf>
    <xf numFmtId="49" fontId="52" fillId="0" borderId="313" xfId="0" applyNumberFormat="1" applyFont="1" applyBorder="1" applyAlignment="1">
      <alignment horizontal="center" vertical="center"/>
    </xf>
    <xf numFmtId="49" fontId="54" fillId="0" borderId="89" xfId="0" applyNumberFormat="1" applyFont="1" applyBorder="1" applyAlignment="1">
      <alignment horizontal="center"/>
    </xf>
    <xf numFmtId="49" fontId="54" fillId="0" borderId="84" xfId="0" applyNumberFormat="1" applyFont="1" applyBorder="1" applyAlignment="1">
      <alignment horizontal="center"/>
    </xf>
    <xf numFmtId="49" fontId="54" fillId="0" borderId="37" xfId="0" applyNumberFormat="1" applyFont="1" applyBorder="1" applyAlignment="1">
      <alignment horizontal="center" vertical="center"/>
    </xf>
    <xf numFmtId="0" fontId="52" fillId="17" borderId="30" xfId="0" applyFont="1" applyFill="1" applyBorder="1" applyAlignment="1">
      <alignment horizontal="center" vertical="center"/>
    </xf>
    <xf numFmtId="0" fontId="54" fillId="17" borderId="34" xfId="0" applyFont="1" applyFill="1" applyBorder="1" applyAlignment="1">
      <alignment horizontal="left" vertical="center" wrapText="1"/>
    </xf>
    <xf numFmtId="0" fontId="52" fillId="17" borderId="34" xfId="0" applyFont="1" applyFill="1" applyBorder="1" applyAlignment="1">
      <alignment horizontal="center" vertical="center"/>
    </xf>
    <xf numFmtId="0" fontId="54" fillId="17" borderId="43" xfId="0" applyFont="1" applyFill="1" applyBorder="1" applyAlignment="1">
      <alignment vertical="center" wrapText="1"/>
    </xf>
    <xf numFmtId="0" fontId="52" fillId="17" borderId="39" xfId="0" applyFont="1" applyFill="1" applyBorder="1" applyAlignment="1">
      <alignment horizontal="center" vertical="center" wrapText="1"/>
    </xf>
    <xf numFmtId="0" fontId="52" fillId="17" borderId="39" xfId="0" applyFont="1" applyFill="1" applyBorder="1" applyAlignment="1">
      <alignment horizontal="center" vertical="center"/>
    </xf>
    <xf numFmtId="0" fontId="54" fillId="17" borderId="34" xfId="0" applyFont="1" applyFill="1" applyBorder="1" applyAlignment="1">
      <alignment vertical="center" wrapText="1"/>
    </xf>
    <xf numFmtId="0" fontId="52" fillId="17" borderId="34" xfId="0" applyFont="1" applyFill="1" applyBorder="1" applyAlignment="1">
      <alignment horizontal="center" vertical="center" wrapText="1"/>
    </xf>
    <xf numFmtId="0" fontId="54" fillId="17" borderId="37" xfId="0" applyFont="1" applyFill="1" applyBorder="1" applyAlignment="1">
      <alignment horizontal="center" vertical="center"/>
    </xf>
    <xf numFmtId="0" fontId="52" fillId="0" borderId="44" xfId="0" applyFont="1" applyBorder="1" applyAlignment="1">
      <alignment horizontal="center" vertical="center"/>
    </xf>
    <xf numFmtId="0" fontId="52" fillId="17" borderId="44" xfId="0" applyFont="1" applyFill="1" applyBorder="1" applyAlignment="1">
      <alignment horizontal="center" vertical="center"/>
    </xf>
    <xf numFmtId="0" fontId="54" fillId="17" borderId="43" xfId="0" applyFont="1" applyFill="1" applyBorder="1" applyAlignment="1">
      <alignment horizontal="center" vertical="center"/>
    </xf>
    <xf numFmtId="0" fontId="52" fillId="39" borderId="44" xfId="0" applyFont="1" applyFill="1" applyBorder="1" applyAlignment="1">
      <alignment horizontal="center" vertical="center"/>
    </xf>
    <xf numFmtId="0" fontId="52" fillId="39" borderId="39" xfId="0" applyFont="1" applyFill="1" applyBorder="1" applyAlignment="1">
      <alignment horizontal="center" vertical="center"/>
    </xf>
    <xf numFmtId="0" fontId="54" fillId="17" borderId="43" xfId="0" applyFont="1" applyFill="1" applyBorder="1" applyAlignment="1">
      <alignment horizontal="center"/>
    </xf>
    <xf numFmtId="168" fontId="54" fillId="17" borderId="30" xfId="0" applyNumberFormat="1" applyFont="1" applyFill="1" applyBorder="1" applyAlignment="1">
      <alignment horizontal="right" vertical="center"/>
    </xf>
    <xf numFmtId="168" fontId="52" fillId="17" borderId="30" xfId="0" applyNumberFormat="1" applyFont="1" applyFill="1" applyBorder="1" applyAlignment="1">
      <alignment horizontal="right" vertical="center"/>
    </xf>
    <xf numFmtId="168" fontId="52" fillId="17" borderId="34" xfId="0" applyNumberFormat="1" applyFont="1" applyFill="1" applyBorder="1" applyAlignment="1">
      <alignment horizontal="right" vertical="center"/>
    </xf>
    <xf numFmtId="168" fontId="54" fillId="17" borderId="43" xfId="0" applyNumberFormat="1" applyFont="1" applyFill="1" applyBorder="1" applyAlignment="1">
      <alignment horizontal="right"/>
    </xf>
    <xf numFmtId="168" fontId="52" fillId="17" borderId="43" xfId="0" applyNumberFormat="1" applyFont="1" applyFill="1" applyBorder="1" applyAlignment="1">
      <alignment horizontal="right" vertical="center"/>
    </xf>
    <xf numFmtId="168" fontId="54" fillId="17" borderId="39" xfId="0" applyNumberFormat="1" applyFont="1" applyFill="1" applyBorder="1" applyAlignment="1">
      <alignment horizontal="right" vertical="center"/>
    </xf>
    <xf numFmtId="168" fontId="52" fillId="17" borderId="39" xfId="0" applyNumberFormat="1" applyFont="1" applyFill="1" applyBorder="1" applyAlignment="1">
      <alignment horizontal="right" vertical="center"/>
    </xf>
    <xf numFmtId="168" fontId="54" fillId="17" borderId="37" xfId="0" applyNumberFormat="1" applyFont="1" applyFill="1" applyBorder="1" applyAlignment="1">
      <alignment horizontal="right" vertical="center"/>
    </xf>
    <xf numFmtId="168" fontId="52" fillId="17" borderId="37" xfId="0" applyNumberFormat="1" applyFont="1" applyFill="1" applyBorder="1" applyAlignment="1">
      <alignment horizontal="right" vertical="center"/>
    </xf>
    <xf numFmtId="168" fontId="52" fillId="39" borderId="44" xfId="0" applyNumberFormat="1" applyFont="1" applyFill="1" applyBorder="1" applyAlignment="1">
      <alignment horizontal="right" vertical="center"/>
    </xf>
    <xf numFmtId="168" fontId="54" fillId="17" borderId="44" xfId="0" applyNumberFormat="1" applyFont="1" applyFill="1" applyBorder="1" applyAlignment="1">
      <alignment horizontal="right" vertical="center"/>
    </xf>
    <xf numFmtId="168" fontId="52" fillId="17" borderId="44" xfId="0" applyNumberFormat="1" applyFont="1" applyFill="1" applyBorder="1" applyAlignment="1">
      <alignment horizontal="right" vertical="center"/>
    </xf>
    <xf numFmtId="168" fontId="54" fillId="17" borderId="43" xfId="0" applyNumberFormat="1" applyFont="1" applyFill="1" applyBorder="1" applyAlignment="1">
      <alignment horizontal="right" vertical="center"/>
    </xf>
    <xf numFmtId="168" fontId="52" fillId="39" borderId="39" xfId="0" applyNumberFormat="1" applyFont="1" applyFill="1" applyBorder="1" applyAlignment="1">
      <alignment horizontal="right" vertical="center"/>
    </xf>
    <xf numFmtId="49" fontId="52" fillId="17" borderId="30" xfId="0" applyNumberFormat="1" applyFont="1" applyFill="1" applyBorder="1" applyAlignment="1">
      <alignment horizontal="center" vertical="center" wrapText="1"/>
    </xf>
    <xf numFmtId="49" fontId="52" fillId="17" borderId="34" xfId="0" applyNumberFormat="1" applyFont="1" applyFill="1" applyBorder="1" applyAlignment="1">
      <alignment horizontal="center" vertical="center" wrapText="1"/>
    </xf>
    <xf numFmtId="49" fontId="52" fillId="17" borderId="39" xfId="0" applyNumberFormat="1" applyFont="1" applyFill="1" applyBorder="1" applyAlignment="1">
      <alignment horizontal="center" vertical="center" wrapText="1"/>
    </xf>
    <xf numFmtId="0" fontId="68" fillId="4" borderId="313" xfId="0" applyFont="1" applyFill="1" applyBorder="1" applyAlignment="1">
      <alignment horizontal="center" vertical="center"/>
    </xf>
    <xf numFmtId="0" fontId="39" fillId="4" borderId="297" xfId="0" applyFont="1" applyFill="1" applyBorder="1" applyAlignment="1">
      <alignment horizontal="center" vertical="center"/>
    </xf>
    <xf numFmtId="0" fontId="39" fillId="4" borderId="313" xfId="0" applyFont="1" applyFill="1" applyBorder="1" applyAlignment="1">
      <alignment horizontal="center" vertical="center"/>
    </xf>
    <xf numFmtId="0" fontId="39" fillId="4" borderId="299" xfId="0" applyFont="1" applyFill="1" applyBorder="1" applyAlignment="1">
      <alignment horizontal="center" vertical="center"/>
    </xf>
    <xf numFmtId="1" fontId="68" fillId="4" borderId="314" xfId="0" applyNumberFormat="1" applyFont="1" applyFill="1" applyBorder="1" applyAlignment="1">
      <alignment horizontal="center" vertical="center"/>
    </xf>
    <xf numFmtId="0" fontId="39" fillId="4" borderId="0" xfId="0" applyFont="1" applyFill="1" applyAlignment="1">
      <alignment vertical="center"/>
    </xf>
    <xf numFmtId="1" fontId="68" fillId="0" borderId="314" xfId="0" applyNumberFormat="1" applyFont="1" applyBorder="1" applyAlignment="1">
      <alignment horizontal="center" vertical="center"/>
    </xf>
    <xf numFmtId="0" fontId="101" fillId="0" borderId="0" xfId="0" applyFont="1" applyAlignment="1">
      <alignment horizontal="center" vertical="center"/>
    </xf>
    <xf numFmtId="0" fontId="101" fillId="0" borderId="39" xfId="0" applyFont="1" applyBorder="1" applyAlignment="1">
      <alignment vertical="center"/>
    </xf>
    <xf numFmtId="0" fontId="101" fillId="0" borderId="34" xfId="0" applyFont="1" applyBorder="1" applyAlignment="1">
      <alignment vertical="center"/>
    </xf>
    <xf numFmtId="0" fontId="39" fillId="0" borderId="325" xfId="0" applyFont="1" applyBorder="1" applyAlignment="1">
      <alignment horizontal="center" vertical="center"/>
    </xf>
    <xf numFmtId="0" fontId="54" fillId="0" borderId="313" xfId="0" applyFont="1" applyBorder="1" applyAlignment="1">
      <alignment horizontal="center" vertical="center" wrapText="1"/>
    </xf>
    <xf numFmtId="0" fontId="54" fillId="0" borderId="299" xfId="0" applyFont="1" applyBorder="1" applyAlignment="1">
      <alignment horizontal="center" vertical="center" wrapText="1"/>
    </xf>
    <xf numFmtId="0" fontId="54" fillId="0" borderId="325" xfId="0" applyFont="1" applyBorder="1" applyAlignment="1">
      <alignment horizontal="center" vertical="center" wrapText="1"/>
    </xf>
    <xf numFmtId="168" fontId="52" fillId="2" borderId="214" xfId="0" applyNumberFormat="1" applyFont="1" applyFill="1" applyBorder="1" applyAlignment="1">
      <alignment vertical="center"/>
    </xf>
    <xf numFmtId="168" fontId="52" fillId="12" borderId="116" xfId="0" applyNumberFormat="1" applyFont="1" applyFill="1" applyBorder="1" applyAlignment="1">
      <alignment vertical="center"/>
    </xf>
    <xf numFmtId="168" fontId="54" fillId="0" borderId="325" xfId="0" applyNumberFormat="1" applyFont="1" applyBorder="1" applyAlignment="1">
      <alignment vertical="center"/>
    </xf>
    <xf numFmtId="168" fontId="52" fillId="0" borderId="325" xfId="0" applyNumberFormat="1" applyFont="1" applyBorder="1" applyAlignment="1">
      <alignment vertical="center"/>
    </xf>
    <xf numFmtId="0" fontId="39" fillId="0" borderId="182" xfId="0" applyFont="1" applyBorder="1" applyAlignment="1">
      <alignment horizontal="left" vertical="center" wrapText="1"/>
    </xf>
    <xf numFmtId="0" fontId="39" fillId="0" borderId="184" xfId="0" applyFont="1" applyBorder="1" applyAlignment="1">
      <alignment horizontal="left" vertical="top" wrapText="1"/>
    </xf>
    <xf numFmtId="0" fontId="39" fillId="0" borderId="180" xfId="0" applyFont="1" applyBorder="1"/>
    <xf numFmtId="0" fontId="39" fillId="0" borderId="182" xfId="0" applyFont="1" applyBorder="1"/>
    <xf numFmtId="0" fontId="39" fillId="0" borderId="182" xfId="0" applyFont="1" applyBorder="1" applyAlignment="1">
      <alignment horizontal="center" vertical="top" wrapText="1"/>
    </xf>
    <xf numFmtId="0" fontId="39" fillId="0" borderId="184" xfId="0" applyFont="1" applyBorder="1" applyAlignment="1">
      <alignment horizontal="center" vertical="top" wrapText="1"/>
    </xf>
    <xf numFmtId="0" fontId="39" fillId="0" borderId="180" xfId="0" applyFont="1" applyBorder="1" applyAlignment="1">
      <alignment horizontal="center" vertical="top"/>
    </xf>
    <xf numFmtId="0" fontId="39" fillId="0" borderId="182" xfId="0" applyFont="1" applyBorder="1" applyAlignment="1">
      <alignment horizontal="center" vertical="top"/>
    </xf>
    <xf numFmtId="0" fontId="39" fillId="0" borderId="184" xfId="0" applyFont="1" applyBorder="1" applyAlignment="1">
      <alignment horizontal="center" vertical="top"/>
    </xf>
    <xf numFmtId="0" fontId="39" fillId="0" borderId="187" xfId="0" applyFont="1" applyBorder="1" applyAlignment="1">
      <alignment horizontal="center" vertical="top"/>
    </xf>
    <xf numFmtId="0" fontId="68" fillId="14" borderId="649" xfId="0" applyFont="1" applyFill="1" applyBorder="1" applyAlignment="1">
      <alignment horizontal="center" vertical="center"/>
    </xf>
    <xf numFmtId="0" fontId="39" fillId="14" borderId="34" xfId="0" applyFont="1" applyFill="1" applyBorder="1" applyAlignment="1">
      <alignment horizontal="center" vertical="center"/>
    </xf>
    <xf numFmtId="0" fontId="39" fillId="0" borderId="34" xfId="0" applyFont="1" applyBorder="1" applyAlignment="1">
      <alignment vertical="center"/>
    </xf>
    <xf numFmtId="0" fontId="39" fillId="0" borderId="770" xfId="0" applyFont="1" applyBorder="1" applyAlignment="1">
      <alignment vertical="center"/>
    </xf>
    <xf numFmtId="0" fontId="68" fillId="0" borderId="280" xfId="0" applyFont="1" applyBorder="1" applyAlignment="1">
      <alignment horizontal="center" vertical="center"/>
    </xf>
    <xf numFmtId="0" fontId="39" fillId="0" borderId="286" xfId="0" applyFont="1" applyBorder="1" applyAlignment="1">
      <alignment horizontal="center" vertical="center"/>
    </xf>
    <xf numFmtId="0" fontId="39" fillId="0" borderId="292" xfId="0" applyFont="1" applyBorder="1" applyAlignment="1">
      <alignment horizontal="center" vertical="center"/>
    </xf>
    <xf numFmtId="49" fontId="39" fillId="0" borderId="39" xfId="0" applyNumberFormat="1" applyFont="1" applyBorder="1" applyAlignment="1">
      <alignment horizontal="center" vertical="center"/>
    </xf>
    <xf numFmtId="0" fontId="39" fillId="0" borderId="0" xfId="0" applyFont="1"/>
    <xf numFmtId="49" fontId="39" fillId="4" borderId="34" xfId="0" applyNumberFormat="1" applyFont="1" applyFill="1" applyBorder="1" applyAlignment="1">
      <alignment horizontal="center" vertical="center" wrapText="1"/>
    </xf>
    <xf numFmtId="0" fontId="39" fillId="0" borderId="992" xfId="0" applyFont="1" applyBorder="1" applyAlignment="1">
      <alignment vertical="center" wrapText="1"/>
    </xf>
    <xf numFmtId="0" fontId="99" fillId="0" borderId="411" xfId="0" applyFont="1" applyBorder="1"/>
    <xf numFmtId="0" fontId="99" fillId="0" borderId="463" xfId="0" applyFont="1" applyBorder="1"/>
    <xf numFmtId="0" fontId="39" fillId="0" borderId="180" xfId="0" applyFont="1" applyBorder="1" applyAlignment="1">
      <alignment vertical="center"/>
    </xf>
    <xf numFmtId="0" fontId="39" fillId="0" borderId="182" xfId="0" applyFont="1" applyBorder="1" applyAlignment="1">
      <alignment vertical="center"/>
    </xf>
    <xf numFmtId="0" fontId="39" fillId="0" borderId="184" xfId="0" applyFont="1" applyBorder="1" applyAlignment="1">
      <alignment vertical="center"/>
    </xf>
    <xf numFmtId="0" fontId="39" fillId="0" borderId="256" xfId="0" applyFont="1" applyBorder="1" applyAlignment="1">
      <alignment vertical="center"/>
    </xf>
    <xf numFmtId="0" fontId="39" fillId="0" borderId="37" xfId="0" applyFont="1" applyBorder="1" applyAlignment="1">
      <alignment vertical="center"/>
    </xf>
    <xf numFmtId="0" fontId="39" fillId="0" borderId="187" xfId="0" applyFont="1" applyBorder="1" applyAlignment="1">
      <alignment vertical="center"/>
    </xf>
    <xf numFmtId="168" fontId="54" fillId="0" borderId="256" xfId="0" applyNumberFormat="1" applyFont="1" applyBorder="1" applyAlignment="1">
      <alignment horizontal="center" vertical="center"/>
    </xf>
    <xf numFmtId="0" fontId="54" fillId="0" borderId="182" xfId="0" applyFont="1" applyBorder="1" applyAlignment="1">
      <alignment horizontal="center" vertical="center"/>
    </xf>
    <xf numFmtId="175" fontId="54" fillId="0" borderId="182" xfId="0" applyNumberFormat="1" applyFont="1" applyBorder="1" applyAlignment="1">
      <alignment horizontal="center" vertical="center"/>
    </xf>
    <xf numFmtId="168" fontId="54" fillId="0" borderId="182" xfId="0" applyNumberFormat="1" applyFont="1" applyBorder="1" applyAlignment="1">
      <alignment horizontal="center" vertical="center"/>
    </xf>
    <xf numFmtId="168" fontId="54" fillId="0" borderId="184" xfId="0" applyNumberFormat="1" applyFont="1" applyBorder="1" applyAlignment="1">
      <alignment horizontal="center" vertical="center"/>
    </xf>
    <xf numFmtId="0" fontId="54" fillId="0" borderId="180" xfId="0" applyFont="1" applyBorder="1"/>
    <xf numFmtId="0" fontId="54" fillId="0" borderId="182" xfId="0" applyFont="1" applyBorder="1"/>
    <xf numFmtId="0" fontId="54" fillId="0" borderId="182" xfId="0" applyFont="1" applyBorder="1" applyAlignment="1">
      <alignment horizontal="center"/>
    </xf>
    <xf numFmtId="0" fontId="54" fillId="0" borderId="180" xfId="0" applyFont="1" applyBorder="1" applyAlignment="1">
      <alignment horizontal="center" vertical="center" wrapText="1"/>
    </xf>
    <xf numFmtId="0" fontId="54" fillId="14" borderId="649" xfId="0" applyFont="1" applyFill="1" applyBorder="1" applyAlignment="1">
      <alignment horizontal="center" vertical="center" wrapText="1"/>
    </xf>
    <xf numFmtId="0" fontId="54" fillId="0" borderId="280" xfId="0" applyFont="1" applyBorder="1" applyAlignment="1">
      <alignment horizontal="center" vertical="center" wrapText="1"/>
    </xf>
    <xf numFmtId="0" fontId="54" fillId="0" borderId="286" xfId="0" applyFont="1" applyBorder="1" applyAlignment="1">
      <alignment horizontal="center" vertical="center" wrapText="1"/>
    </xf>
    <xf numFmtId="0" fontId="54" fillId="0" borderId="292" xfId="0" applyFont="1" applyBorder="1" applyAlignment="1">
      <alignment horizontal="center" vertical="center" wrapText="1"/>
    </xf>
    <xf numFmtId="0" fontId="54" fillId="0" borderId="39" xfId="0" applyFont="1" applyBorder="1" applyAlignment="1">
      <alignment horizontal="center" vertical="top" wrapText="1"/>
    </xf>
    <xf numFmtId="3" fontId="54" fillId="0" borderId="34" xfId="0" applyNumberFormat="1" applyFont="1" applyBorder="1" applyAlignment="1">
      <alignment horizontal="center" vertical="center" wrapText="1"/>
    </xf>
    <xf numFmtId="3" fontId="289" fillId="0" borderId="34" xfId="0" applyNumberFormat="1" applyFont="1" applyBorder="1" applyAlignment="1">
      <alignment horizontal="center" vertical="center" wrapText="1"/>
    </xf>
    <xf numFmtId="4" fontId="54" fillId="0" borderId="39" xfId="0" applyNumberFormat="1" applyFont="1" applyBorder="1" applyAlignment="1">
      <alignment horizontal="center" vertical="center" wrapText="1"/>
    </xf>
    <xf numFmtId="0" fontId="54" fillId="0" borderId="992" xfId="0" applyFont="1" applyBorder="1" applyAlignment="1">
      <alignment vertical="center" wrapText="1"/>
    </xf>
    <xf numFmtId="0" fontId="98" fillId="0" borderId="411" xfId="0" applyFont="1" applyBorder="1"/>
    <xf numFmtId="0" fontId="98" fillId="0" borderId="463" xfId="0" applyFont="1" applyBorder="1"/>
    <xf numFmtId="0" fontId="54" fillId="0" borderId="180" xfId="0" applyFont="1" applyBorder="1" applyAlignment="1">
      <alignment vertical="center"/>
    </xf>
    <xf numFmtId="0" fontId="54" fillId="0" borderId="182" xfId="0" applyFont="1" applyBorder="1" applyAlignment="1">
      <alignment vertical="center"/>
    </xf>
    <xf numFmtId="0" fontId="54" fillId="0" borderId="184" xfId="0" applyFont="1" applyBorder="1" applyAlignment="1">
      <alignment vertical="center"/>
    </xf>
    <xf numFmtId="0" fontId="54" fillId="0" borderId="256" xfId="0" applyFont="1" applyBorder="1" applyAlignment="1">
      <alignment vertical="center"/>
    </xf>
    <xf numFmtId="0" fontId="54" fillId="17" borderId="182" xfId="0" applyFont="1" applyFill="1" applyBorder="1" applyAlignment="1">
      <alignment vertical="center"/>
    </xf>
    <xf numFmtId="0" fontId="54" fillId="17" borderId="184" xfId="0" applyFont="1" applyFill="1" applyBorder="1" applyAlignment="1">
      <alignment vertical="center"/>
    </xf>
    <xf numFmtId="3" fontId="54" fillId="17" borderId="34" xfId="0" applyNumberFormat="1" applyFont="1" applyFill="1" applyBorder="1" applyAlignment="1">
      <alignment horizontal="center" vertical="center" wrapText="1"/>
    </xf>
    <xf numFmtId="0" fontId="54" fillId="17" borderId="256" xfId="0" applyFont="1" applyFill="1" applyBorder="1" applyAlignment="1">
      <alignment vertical="center"/>
    </xf>
    <xf numFmtId="0" fontId="54" fillId="17" borderId="187" xfId="0" applyFont="1" applyFill="1" applyBorder="1" applyAlignment="1">
      <alignment vertical="center"/>
    </xf>
    <xf numFmtId="0" fontId="54" fillId="17" borderId="180" xfId="0" applyFont="1" applyFill="1" applyBorder="1" applyAlignment="1">
      <alignment vertical="center"/>
    </xf>
    <xf numFmtId="0" fontId="54" fillId="0" borderId="187" xfId="0" applyFont="1" applyBorder="1" applyAlignment="1">
      <alignment vertical="center"/>
    </xf>
    <xf numFmtId="168" fontId="130" fillId="56" borderId="956" xfId="0" applyNumberFormat="1" applyFont="1" applyFill="1" applyBorder="1" applyAlignment="1">
      <alignment horizontal="right" vertical="center"/>
    </xf>
    <xf numFmtId="168" fontId="54" fillId="0" borderId="182" xfId="0" applyNumberFormat="1" applyFont="1" applyBorder="1" applyAlignment="1">
      <alignment vertical="center"/>
    </xf>
    <xf numFmtId="168" fontId="54" fillId="0" borderId="184" xfId="0" applyNumberFormat="1" applyFont="1" applyBorder="1" applyAlignment="1">
      <alignment vertical="center"/>
    </xf>
    <xf numFmtId="168" fontId="54" fillId="0" borderId="180" xfId="0" applyNumberFormat="1" applyFont="1" applyBorder="1" applyAlignment="1">
      <alignment vertical="center"/>
    </xf>
    <xf numFmtId="168" fontId="54" fillId="0" borderId="182" xfId="0" applyNumberFormat="1" applyFont="1" applyBorder="1"/>
    <xf numFmtId="168" fontId="52" fillId="0" borderId="182" xfId="0" applyNumberFormat="1" applyFont="1" applyBorder="1" applyAlignment="1">
      <alignment horizontal="center" vertical="center"/>
    </xf>
    <xf numFmtId="168" fontId="52" fillId="0" borderId="184" xfId="0" applyNumberFormat="1" applyFont="1" applyBorder="1" applyAlignment="1">
      <alignment horizontal="center" vertical="center"/>
    </xf>
    <xf numFmtId="168" fontId="54" fillId="0" borderId="180" xfId="0" applyNumberFormat="1" applyFont="1" applyBorder="1" applyAlignment="1">
      <alignment horizontal="center" vertical="center"/>
    </xf>
    <xf numFmtId="168" fontId="52" fillId="0" borderId="180" xfId="0" applyNumberFormat="1" applyFont="1" applyBorder="1" applyAlignment="1">
      <alignment horizontal="center" vertical="center"/>
    </xf>
    <xf numFmtId="168" fontId="54" fillId="0" borderId="187" xfId="0" applyNumberFormat="1" applyFont="1" applyBorder="1" applyAlignment="1">
      <alignment horizontal="center" vertical="center"/>
    </xf>
    <xf numFmtId="168" fontId="54" fillId="0" borderId="187" xfId="0" applyNumberFormat="1" applyFont="1" applyBorder="1" applyAlignment="1">
      <alignment vertical="center"/>
    </xf>
    <xf numFmtId="168" fontId="52" fillId="0" borderId="187" xfId="0" applyNumberFormat="1" applyFont="1" applyBorder="1" applyAlignment="1">
      <alignment horizontal="center" vertical="center"/>
    </xf>
    <xf numFmtId="168" fontId="54" fillId="0" borderId="280" xfId="0" applyNumberFormat="1" applyFont="1" applyBorder="1" applyAlignment="1">
      <alignment horizontal="center" vertical="center"/>
    </xf>
    <xf numFmtId="168" fontId="54" fillId="0" borderId="280" xfId="0" applyNumberFormat="1" applyFont="1" applyBorder="1" applyAlignment="1">
      <alignment vertical="center"/>
    </xf>
    <xf numFmtId="168" fontId="52" fillId="0" borderId="280" xfId="0" applyNumberFormat="1" applyFont="1" applyBorder="1" applyAlignment="1">
      <alignment horizontal="center" vertical="center"/>
    </xf>
    <xf numFmtId="168" fontId="54" fillId="0" borderId="286" xfId="0" applyNumberFormat="1" applyFont="1" applyBorder="1" applyAlignment="1">
      <alignment horizontal="center" vertical="center"/>
    </xf>
    <xf numFmtId="168" fontId="54" fillId="0" borderId="286" xfId="0" applyNumberFormat="1" applyFont="1" applyBorder="1" applyAlignment="1">
      <alignment vertical="center"/>
    </xf>
    <xf numFmtId="168" fontId="52" fillId="0" borderId="286" xfId="0" applyNumberFormat="1" applyFont="1" applyBorder="1" applyAlignment="1">
      <alignment horizontal="center" vertical="center"/>
    </xf>
    <xf numFmtId="168" fontId="54" fillId="0" borderId="292" xfId="0" applyNumberFormat="1" applyFont="1" applyBorder="1" applyAlignment="1">
      <alignment horizontal="center" vertical="center"/>
    </xf>
    <xf numFmtId="168" fontId="54" fillId="0" borderId="292" xfId="0" applyNumberFormat="1" applyFont="1" applyBorder="1" applyAlignment="1">
      <alignment vertical="center"/>
    </xf>
    <xf numFmtId="168" fontId="52" fillId="0" borderId="292" xfId="0" applyNumberFormat="1" applyFont="1" applyBorder="1" applyAlignment="1">
      <alignment horizontal="center" vertical="center"/>
    </xf>
    <xf numFmtId="168" fontId="54" fillId="0" borderId="37" xfId="0" applyNumberFormat="1" applyFont="1" applyBorder="1" applyAlignment="1">
      <alignment horizontal="center" vertical="center"/>
    </xf>
    <xf numFmtId="168" fontId="54" fillId="0" borderId="39" xfId="0" applyNumberFormat="1" applyFont="1" applyBorder="1" applyAlignment="1">
      <alignment horizontal="center" vertical="center"/>
    </xf>
    <xf numFmtId="168" fontId="52" fillId="0" borderId="39" xfId="0" applyNumberFormat="1" applyFont="1" applyBorder="1" applyAlignment="1">
      <alignment horizontal="center" vertical="center"/>
    </xf>
    <xf numFmtId="168" fontId="54" fillId="0" borderId="182" xfId="0" applyNumberFormat="1" applyFont="1" applyBorder="1" applyAlignment="1">
      <alignment horizontal="right" vertical="center"/>
    </xf>
    <xf numFmtId="168" fontId="54" fillId="0" borderId="184" xfId="0" applyNumberFormat="1" applyFont="1" applyBorder="1" applyAlignment="1">
      <alignment horizontal="right" vertical="center"/>
    </xf>
    <xf numFmtId="168" fontId="54" fillId="0" borderId="256" xfId="0" applyNumberFormat="1" applyFont="1" applyBorder="1" applyAlignment="1">
      <alignment vertical="center"/>
    </xf>
    <xf numFmtId="168" fontId="54" fillId="17" borderId="182" xfId="0" applyNumberFormat="1" applyFont="1" applyFill="1" applyBorder="1" applyAlignment="1">
      <alignment vertical="center"/>
    </xf>
    <xf numFmtId="168" fontId="54" fillId="17" borderId="182" xfId="0" applyNumberFormat="1" applyFont="1" applyFill="1" applyBorder="1" applyAlignment="1">
      <alignment horizontal="right" vertical="center"/>
    </xf>
    <xf numFmtId="168" fontId="54" fillId="17" borderId="184" xfId="0" applyNumberFormat="1" applyFont="1" applyFill="1" applyBorder="1" applyAlignment="1">
      <alignment vertical="center"/>
    </xf>
    <xf numFmtId="168" fontId="54" fillId="17" borderId="184" xfId="0" applyNumberFormat="1" applyFont="1" applyFill="1" applyBorder="1" applyAlignment="1">
      <alignment horizontal="right" vertical="center"/>
    </xf>
    <xf numFmtId="168" fontId="54" fillId="17" borderId="256" xfId="0" applyNumberFormat="1" applyFont="1" applyFill="1" applyBorder="1" applyAlignment="1">
      <alignment vertical="center"/>
    </xf>
    <xf numFmtId="168" fontId="54" fillId="17" borderId="187" xfId="0" applyNumberFormat="1" applyFont="1" applyFill="1" applyBorder="1" applyAlignment="1">
      <alignment vertical="center"/>
    </xf>
    <xf numFmtId="168" fontId="54" fillId="17" borderId="187" xfId="0" applyNumberFormat="1" applyFont="1" applyFill="1" applyBorder="1" applyAlignment="1">
      <alignment horizontal="right" vertical="center"/>
    </xf>
    <xf numFmtId="168" fontId="54" fillId="17" borderId="180" xfId="0" applyNumberFormat="1" applyFont="1" applyFill="1" applyBorder="1" applyAlignment="1">
      <alignment vertical="center"/>
    </xf>
    <xf numFmtId="168" fontId="54" fillId="0" borderId="187" xfId="0" applyNumberFormat="1" applyFont="1" applyBorder="1" applyAlignment="1">
      <alignment horizontal="right" vertical="center"/>
    </xf>
    <xf numFmtId="168" fontId="54" fillId="0" borderId="180" xfId="0" applyNumberFormat="1" applyFont="1" applyBorder="1" applyAlignment="1">
      <alignment horizontal="right" vertical="center"/>
    </xf>
    <xf numFmtId="168" fontId="54" fillId="0" borderId="182" xfId="0" applyNumberFormat="1" applyFont="1" applyBorder="1" applyAlignment="1">
      <alignment horizontal="left" vertical="center"/>
    </xf>
    <xf numFmtId="168" fontId="54" fillId="0" borderId="184" xfId="0" applyNumberFormat="1" applyFont="1" applyBorder="1" applyAlignment="1">
      <alignment horizontal="left" vertical="top"/>
    </xf>
    <xf numFmtId="168" fontId="54" fillId="0" borderId="180" xfId="0" applyNumberFormat="1" applyFont="1" applyBorder="1"/>
    <xf numFmtId="168" fontId="54" fillId="0" borderId="182" xfId="0" applyNumberFormat="1" applyFont="1" applyBorder="1" applyAlignment="1">
      <alignment horizontal="center"/>
    </xf>
    <xf numFmtId="168" fontId="54" fillId="14" borderId="649" xfId="0" applyNumberFormat="1" applyFont="1" applyFill="1" applyBorder="1" applyAlignment="1">
      <alignment horizontal="right" vertical="center"/>
    </xf>
    <xf numFmtId="168" fontId="52" fillId="39" borderId="649" xfId="0" applyNumberFormat="1" applyFont="1" applyFill="1" applyBorder="1" applyAlignment="1">
      <alignment horizontal="right" vertical="center"/>
    </xf>
    <xf numFmtId="168" fontId="54" fillId="14" borderId="34" xfId="0" applyNumberFormat="1" applyFont="1" applyFill="1" applyBorder="1" applyAlignment="1">
      <alignment horizontal="right" vertical="center"/>
    </xf>
    <xf numFmtId="168" fontId="52" fillId="56" borderId="344" xfId="0" applyNumberFormat="1" applyFont="1" applyFill="1" applyBorder="1" applyAlignment="1">
      <alignment horizontal="center" vertical="center"/>
    </xf>
    <xf numFmtId="168" fontId="54" fillId="0" borderId="992" xfId="0" applyNumberFormat="1" applyFont="1" applyBorder="1" applyAlignment="1">
      <alignment vertical="center"/>
    </xf>
    <xf numFmtId="168" fontId="98" fillId="0" borderId="411" xfId="0" applyNumberFormat="1" applyFont="1" applyBorder="1"/>
    <xf numFmtId="168" fontId="98" fillId="0" borderId="463" xfId="0" applyNumberFormat="1" applyFont="1" applyBorder="1"/>
    <xf numFmtId="168" fontId="54" fillId="17" borderId="34" xfId="0" applyNumberFormat="1" applyFont="1" applyFill="1" applyBorder="1" applyAlignment="1">
      <alignment horizontal="center" vertical="center"/>
    </xf>
    <xf numFmtId="49" fontId="54" fillId="56" borderId="344" xfId="0" applyNumberFormat="1" applyFont="1" applyFill="1" applyBorder="1" applyAlignment="1">
      <alignment horizontal="center" vertical="center"/>
    </xf>
    <xf numFmtId="49" fontId="54" fillId="0" borderId="182" xfId="0" applyNumberFormat="1" applyFont="1" applyBorder="1" applyAlignment="1">
      <alignment horizontal="center" vertical="center"/>
    </xf>
    <xf numFmtId="49" fontId="54" fillId="0" borderId="184" xfId="0" applyNumberFormat="1" applyFont="1" applyBorder="1" applyAlignment="1">
      <alignment horizontal="center" vertical="center"/>
    </xf>
    <xf numFmtId="49" fontId="54" fillId="0" borderId="180" xfId="0" applyNumberFormat="1" applyFont="1" applyBorder="1"/>
    <xf numFmtId="49" fontId="54" fillId="0" borderId="182" xfId="0" applyNumberFormat="1" applyFont="1" applyBorder="1"/>
    <xf numFmtId="49" fontId="52" fillId="0" borderId="182" xfId="0" applyNumberFormat="1" applyFont="1" applyBorder="1" applyAlignment="1">
      <alignment horizontal="center" vertical="center"/>
    </xf>
    <xf numFmtId="49" fontId="52" fillId="0" borderId="184" xfId="0" applyNumberFormat="1" applyFont="1" applyBorder="1" applyAlignment="1">
      <alignment horizontal="center" vertical="center"/>
    </xf>
    <xf numFmtId="49" fontId="52" fillId="0" borderId="180" xfId="0" applyNumberFormat="1" applyFont="1" applyBorder="1" applyAlignment="1">
      <alignment horizontal="center" vertical="center"/>
    </xf>
    <xf numFmtId="49" fontId="52" fillId="0" borderId="187" xfId="0" applyNumberFormat="1" applyFont="1" applyBorder="1" applyAlignment="1">
      <alignment horizontal="center" vertical="center"/>
    </xf>
    <xf numFmtId="49" fontId="52" fillId="14" borderId="649" xfId="0" applyNumberFormat="1" applyFont="1" applyFill="1" applyBorder="1" applyAlignment="1">
      <alignment horizontal="center" vertical="center"/>
    </xf>
    <xf numFmtId="49" fontId="54" fillId="14" borderId="34" xfId="0" applyNumberFormat="1" applyFont="1" applyFill="1" applyBorder="1" applyAlignment="1">
      <alignment horizontal="center" vertical="center"/>
    </xf>
    <xf numFmtId="49" fontId="54" fillId="17" borderId="34" xfId="0" applyNumberFormat="1" applyFont="1" applyFill="1" applyBorder="1" applyAlignment="1">
      <alignment vertical="center"/>
    </xf>
    <xf numFmtId="49" fontId="52" fillId="0" borderId="280" xfId="0" applyNumberFormat="1" applyFont="1" applyBorder="1" applyAlignment="1">
      <alignment horizontal="center" vertical="center"/>
    </xf>
    <xf numFmtId="49" fontId="52" fillId="0" borderId="286" xfId="0" applyNumberFormat="1" applyFont="1" applyBorder="1" applyAlignment="1">
      <alignment horizontal="center" vertical="center"/>
    </xf>
    <xf numFmtId="49" fontId="52" fillId="0" borderId="292" xfId="0" applyNumberFormat="1" applyFont="1" applyBorder="1" applyAlignment="1">
      <alignment horizontal="center" vertical="center"/>
    </xf>
    <xf numFmtId="49" fontId="54" fillId="0" borderId="992" xfId="0" applyNumberFormat="1" applyFont="1" applyBorder="1" applyAlignment="1">
      <alignment horizontal="center" vertical="center" wrapText="1"/>
    </xf>
    <xf numFmtId="49" fontId="98" fillId="0" borderId="411" xfId="0" applyNumberFormat="1" applyFont="1" applyBorder="1"/>
    <xf numFmtId="49" fontId="98" fillId="0" borderId="463" xfId="0" applyNumberFormat="1" applyFont="1" applyBorder="1"/>
    <xf numFmtId="49" fontId="54" fillId="0" borderId="180" xfId="0" applyNumberFormat="1" applyFont="1" applyBorder="1" applyAlignment="1">
      <alignment vertical="center"/>
    </xf>
    <xf numFmtId="49" fontId="54" fillId="0" borderId="182" xfId="0" applyNumberFormat="1" applyFont="1" applyBorder="1" applyAlignment="1">
      <alignment vertical="center"/>
    </xf>
    <xf numFmtId="49" fontId="54" fillId="0" borderId="184" xfId="0" applyNumberFormat="1" applyFont="1" applyBorder="1" applyAlignment="1">
      <alignment vertical="center"/>
    </xf>
    <xf numFmtId="49" fontId="54" fillId="0" borderId="256" xfId="0" applyNumberFormat="1" applyFont="1" applyBorder="1" applyAlignment="1">
      <alignment vertical="center"/>
    </xf>
    <xf numFmtId="49" fontId="54" fillId="17" borderId="182" xfId="0" applyNumberFormat="1" applyFont="1" applyFill="1" applyBorder="1" applyAlignment="1">
      <alignment vertical="center"/>
    </xf>
    <xf numFmtId="49" fontId="54" fillId="17" borderId="184" xfId="0" applyNumberFormat="1" applyFont="1" applyFill="1" applyBorder="1" applyAlignment="1">
      <alignment vertical="center"/>
    </xf>
    <xf numFmtId="49" fontId="54" fillId="17" borderId="34" xfId="0" applyNumberFormat="1" applyFont="1" applyFill="1" applyBorder="1" applyAlignment="1">
      <alignment horizontal="center" vertical="center"/>
    </xf>
    <xf numFmtId="49" fontId="54" fillId="17" borderId="37" xfId="0" applyNumberFormat="1" applyFont="1" applyFill="1" applyBorder="1" applyAlignment="1">
      <alignment vertical="center"/>
    </xf>
    <xf numFmtId="49" fontId="54" fillId="17" borderId="256" xfId="0" applyNumberFormat="1" applyFont="1" applyFill="1" applyBorder="1" applyAlignment="1">
      <alignment vertical="center"/>
    </xf>
    <xf numFmtId="49" fontId="54" fillId="17" borderId="187" xfId="0" applyNumberFormat="1" applyFont="1" applyFill="1" applyBorder="1" applyAlignment="1">
      <alignment vertical="center"/>
    </xf>
    <xf numFmtId="49" fontId="54" fillId="17" borderId="180" xfId="0" applyNumberFormat="1" applyFont="1" applyFill="1" applyBorder="1" applyAlignment="1">
      <alignment vertical="center"/>
    </xf>
    <xf numFmtId="49" fontId="54" fillId="0" borderId="187" xfId="0" applyNumberFormat="1" applyFont="1" applyBorder="1" applyAlignment="1">
      <alignment vertical="center"/>
    </xf>
    <xf numFmtId="0" fontId="68" fillId="4" borderId="129" xfId="0" applyFont="1" applyFill="1" applyBorder="1" applyAlignment="1">
      <alignment horizontal="center" vertical="center"/>
    </xf>
    <xf numFmtId="0" fontId="39" fillId="4" borderId="74" xfId="0" applyFont="1" applyFill="1" applyBorder="1" applyAlignment="1">
      <alignment horizontal="center" vertical="center"/>
    </xf>
    <xf numFmtId="0" fontId="68" fillId="4" borderId="256" xfId="0" applyFont="1" applyFill="1" applyBorder="1" applyAlignment="1">
      <alignment horizontal="center" vertical="center"/>
    </xf>
    <xf numFmtId="0" fontId="39" fillId="4" borderId="182" xfId="0" applyFont="1" applyFill="1" applyBorder="1" applyAlignment="1">
      <alignment horizontal="center" vertical="center"/>
    </xf>
    <xf numFmtId="0" fontId="68" fillId="4" borderId="182" xfId="0" applyFont="1" applyFill="1" applyBorder="1" applyAlignment="1">
      <alignment horizontal="center" vertical="center"/>
    </xf>
    <xf numFmtId="0" fontId="39" fillId="4" borderId="184" xfId="0" applyFont="1" applyFill="1" applyBorder="1" applyAlignment="1">
      <alignment horizontal="center" vertical="center"/>
    </xf>
    <xf numFmtId="0" fontId="39" fillId="4" borderId="382" xfId="0" applyFont="1" applyFill="1" applyBorder="1" applyAlignment="1">
      <alignment horizontal="center" vertical="center"/>
    </xf>
    <xf numFmtId="0" fontId="68" fillId="0" borderId="180" xfId="0" applyFont="1" applyBorder="1" applyAlignment="1">
      <alignment horizontal="center" vertical="center"/>
    </xf>
    <xf numFmtId="0" fontId="39" fillId="0" borderId="182" xfId="0" applyFont="1" applyBorder="1" applyAlignment="1">
      <alignment horizontal="center" vertical="center"/>
    </xf>
    <xf numFmtId="0" fontId="39" fillId="0" borderId="184" xfId="0" applyFont="1" applyBorder="1" applyAlignment="1">
      <alignment horizontal="center" vertical="center"/>
    </xf>
    <xf numFmtId="0" fontId="68" fillId="4" borderId="295" xfId="0" applyFont="1" applyFill="1" applyBorder="1" applyAlignment="1">
      <alignment horizontal="center" vertical="center"/>
    </xf>
    <xf numFmtId="0" fontId="68" fillId="0" borderId="180" xfId="0" applyFont="1" applyBorder="1" applyAlignment="1">
      <alignment vertical="center"/>
    </xf>
    <xf numFmtId="1" fontId="68" fillId="0" borderId="180" xfId="0" applyNumberFormat="1" applyFont="1" applyBorder="1" applyAlignment="1">
      <alignment horizontal="center" vertical="center"/>
    </xf>
    <xf numFmtId="1" fontId="68" fillId="0" borderId="256" xfId="0" applyNumberFormat="1" applyFont="1" applyBorder="1" applyAlignment="1">
      <alignment horizontal="center" vertical="center"/>
    </xf>
    <xf numFmtId="0" fontId="68" fillId="0" borderId="256" xfId="0" applyFont="1" applyBorder="1" applyAlignment="1">
      <alignment horizontal="center" vertical="center"/>
    </xf>
    <xf numFmtId="0" fontId="39" fillId="17" borderId="182" xfId="0" applyFont="1" applyFill="1" applyBorder="1" applyAlignment="1">
      <alignment horizontal="center" vertical="center"/>
    </xf>
    <xf numFmtId="0" fontId="39" fillId="17" borderId="184" xfId="0" applyFont="1" applyFill="1" applyBorder="1" applyAlignment="1">
      <alignment horizontal="center" vertical="center"/>
    </xf>
    <xf numFmtId="0" fontId="68" fillId="17" borderId="256" xfId="0" applyFont="1" applyFill="1" applyBorder="1" applyAlignment="1">
      <alignment horizontal="center" vertical="center"/>
    </xf>
    <xf numFmtId="0" fontId="39" fillId="4" borderId="261" xfId="0" applyFont="1" applyFill="1" applyBorder="1" applyAlignment="1">
      <alignment horizontal="center" vertical="center"/>
    </xf>
    <xf numFmtId="0" fontId="39" fillId="17" borderId="261" xfId="0" applyFont="1" applyFill="1" applyBorder="1" applyAlignment="1">
      <alignment horizontal="center" vertical="center"/>
    </xf>
    <xf numFmtId="0" fontId="39" fillId="4" borderId="362" xfId="0" applyFont="1" applyFill="1" applyBorder="1" applyAlignment="1">
      <alignment horizontal="center" vertical="center"/>
    </xf>
    <xf numFmtId="0" fontId="39" fillId="4" borderId="657" xfId="0" applyFont="1" applyFill="1" applyBorder="1" applyAlignment="1">
      <alignment horizontal="center" vertical="center"/>
    </xf>
    <xf numFmtId="0" fontId="54" fillId="4" borderId="129" xfId="0" applyFont="1" applyFill="1" applyBorder="1" applyAlignment="1">
      <alignment horizontal="center" vertical="center" wrapText="1"/>
    </xf>
    <xf numFmtId="0" fontId="54" fillId="4" borderId="74" xfId="0" applyFont="1" applyFill="1" applyBorder="1" applyAlignment="1">
      <alignment horizontal="center" vertical="center" wrapText="1"/>
    </xf>
    <xf numFmtId="0" fontId="54" fillId="4" borderId="256" xfId="0" applyFont="1" applyFill="1" applyBorder="1" applyAlignment="1">
      <alignment horizontal="center" vertical="center" wrapText="1"/>
    </xf>
    <xf numFmtId="0" fontId="54" fillId="4" borderId="182" xfId="0" applyFont="1" applyFill="1" applyBorder="1" applyAlignment="1">
      <alignment horizontal="center"/>
    </xf>
    <xf numFmtId="0" fontId="54" fillId="4" borderId="184" xfId="0" applyFont="1" applyFill="1" applyBorder="1" applyAlignment="1">
      <alignment horizontal="center"/>
    </xf>
    <xf numFmtId="0" fontId="52" fillId="0" borderId="180" xfId="0" applyFont="1" applyBorder="1" applyAlignment="1">
      <alignment vertical="center"/>
    </xf>
    <xf numFmtId="0" fontId="54" fillId="17" borderId="182" xfId="0" applyFont="1" applyFill="1" applyBorder="1" applyAlignment="1">
      <alignment horizontal="center" vertical="center" wrapText="1"/>
    </xf>
    <xf numFmtId="0" fontId="54" fillId="17" borderId="184" xfId="0" applyFont="1" applyFill="1" applyBorder="1" applyAlignment="1">
      <alignment horizontal="center" vertical="center" wrapText="1"/>
    </xf>
    <xf numFmtId="0" fontId="54" fillId="17" borderId="256" xfId="0" applyFont="1" applyFill="1" applyBorder="1" applyAlignment="1">
      <alignment horizontal="center" vertical="center" wrapText="1"/>
    </xf>
    <xf numFmtId="0" fontId="54" fillId="17" borderId="261" xfId="0" applyFont="1" applyFill="1" applyBorder="1" applyAlignment="1">
      <alignment horizontal="center" vertical="center" wrapText="1"/>
    </xf>
    <xf numFmtId="0" fontId="54" fillId="4" borderId="182" xfId="0" applyFont="1" applyFill="1" applyBorder="1" applyAlignment="1">
      <alignment horizontal="center" vertical="center" wrapText="1"/>
    </xf>
    <xf numFmtId="0" fontId="54" fillId="4" borderId="109" xfId="0" applyFont="1" applyFill="1" applyBorder="1" applyAlignment="1">
      <alignment horizontal="center" vertical="center" wrapText="1"/>
    </xf>
    <xf numFmtId="168" fontId="54" fillId="4" borderId="129" xfId="0" applyNumberFormat="1" applyFont="1" applyFill="1" applyBorder="1" applyAlignment="1">
      <alignment vertical="center"/>
    </xf>
    <xf numFmtId="168" fontId="54" fillId="4" borderId="74" xfId="0" applyNumberFormat="1" applyFont="1" applyFill="1" applyBorder="1" applyAlignment="1">
      <alignment vertical="center"/>
    </xf>
    <xf numFmtId="168" fontId="52" fillId="4" borderId="74" xfId="0" applyNumberFormat="1" applyFont="1" applyFill="1" applyBorder="1" applyAlignment="1">
      <alignment vertical="center"/>
    </xf>
    <xf numFmtId="168" fontId="54" fillId="4" borderId="256" xfId="0" applyNumberFormat="1" applyFont="1" applyFill="1" applyBorder="1" applyAlignment="1">
      <alignment vertical="center"/>
    </xf>
    <xf numFmtId="168" fontId="52" fillId="4" borderId="256" xfId="0" applyNumberFormat="1" applyFont="1" applyFill="1" applyBorder="1" applyAlignment="1">
      <alignment vertical="center"/>
    </xf>
    <xf numFmtId="168" fontId="54" fillId="4" borderId="182" xfId="0" applyNumberFormat="1" applyFont="1" applyFill="1" applyBorder="1" applyAlignment="1">
      <alignment vertical="center"/>
    </xf>
    <xf numFmtId="168" fontId="52" fillId="4" borderId="182" xfId="0" applyNumberFormat="1" applyFont="1" applyFill="1" applyBorder="1" applyAlignment="1">
      <alignment vertical="center"/>
    </xf>
    <xf numFmtId="168" fontId="54" fillId="4" borderId="184" xfId="0" applyNumberFormat="1" applyFont="1" applyFill="1" applyBorder="1" applyAlignment="1">
      <alignment vertical="center"/>
    </xf>
    <xf numFmtId="168" fontId="52" fillId="4" borderId="184" xfId="0" applyNumberFormat="1" applyFont="1" applyFill="1" applyBorder="1" applyAlignment="1">
      <alignment vertical="center"/>
    </xf>
    <xf numFmtId="168" fontId="52" fillId="0" borderId="180" xfId="0" applyNumberFormat="1" applyFont="1" applyBorder="1" applyAlignment="1">
      <alignment vertical="center"/>
    </xf>
    <xf numFmtId="168" fontId="52" fillId="0" borderId="182" xfId="0" applyNumberFormat="1" applyFont="1" applyBorder="1" applyAlignment="1">
      <alignment vertical="center"/>
    </xf>
    <xf numFmtId="168" fontId="52" fillId="0" borderId="184" xfId="0" applyNumberFormat="1" applyFont="1" applyBorder="1" applyAlignment="1">
      <alignment vertical="center"/>
    </xf>
    <xf numFmtId="168" fontId="52" fillId="0" borderId="256" xfId="0" applyNumberFormat="1" applyFont="1" applyBorder="1" applyAlignment="1">
      <alignment vertical="center"/>
    </xf>
    <xf numFmtId="168" fontId="52" fillId="17" borderId="182" xfId="0" applyNumberFormat="1" applyFont="1" applyFill="1" applyBorder="1" applyAlignment="1">
      <alignment vertical="center"/>
    </xf>
    <xf numFmtId="168" fontId="52" fillId="17" borderId="184" xfId="0" applyNumberFormat="1" applyFont="1" applyFill="1" applyBorder="1" applyAlignment="1">
      <alignment vertical="center"/>
    </xf>
    <xf numFmtId="168" fontId="52" fillId="17" borderId="256" xfId="0" applyNumberFormat="1" applyFont="1" applyFill="1" applyBorder="1" applyAlignment="1">
      <alignment vertical="center"/>
    </xf>
    <xf numFmtId="168" fontId="54" fillId="17" borderId="261" xfId="0" applyNumberFormat="1" applyFont="1" applyFill="1" applyBorder="1" applyAlignment="1">
      <alignment vertical="center"/>
    </xf>
    <xf numFmtId="168" fontId="52" fillId="17" borderId="261" xfId="0" applyNumberFormat="1" applyFont="1" applyFill="1" applyBorder="1" applyAlignment="1">
      <alignment vertical="center"/>
    </xf>
    <xf numFmtId="168" fontId="54" fillId="4" borderId="109" xfId="0" applyNumberFormat="1" applyFont="1" applyFill="1" applyBorder="1" applyAlignment="1">
      <alignment vertical="center"/>
    </xf>
    <xf numFmtId="168" fontId="52" fillId="4" borderId="109" xfId="0" applyNumberFormat="1" applyFont="1" applyFill="1" applyBorder="1" applyAlignment="1">
      <alignment vertical="center"/>
    </xf>
    <xf numFmtId="168" fontId="54" fillId="4" borderId="182" xfId="0" applyNumberFormat="1" applyFont="1" applyFill="1" applyBorder="1"/>
    <xf numFmtId="168" fontId="54" fillId="4" borderId="184" xfId="0" applyNumberFormat="1" applyFont="1" applyFill="1" applyBorder="1"/>
    <xf numFmtId="49" fontId="52" fillId="4" borderId="256" xfId="0" applyNumberFormat="1" applyFont="1" applyFill="1" applyBorder="1" applyAlignment="1">
      <alignment horizontal="center" vertical="center"/>
    </xf>
    <xf numFmtId="49" fontId="52" fillId="4" borderId="182" xfId="0" applyNumberFormat="1" applyFont="1" applyFill="1" applyBorder="1" applyAlignment="1">
      <alignment horizontal="center" vertical="center"/>
    </xf>
    <xf numFmtId="49" fontId="52" fillId="4" borderId="184" xfId="0" applyNumberFormat="1" applyFont="1" applyFill="1" applyBorder="1" applyAlignment="1">
      <alignment horizontal="center" vertical="center"/>
    </xf>
    <xf numFmtId="49" fontId="54" fillId="0" borderId="182" xfId="0" applyNumberFormat="1" applyFont="1" applyBorder="1" applyAlignment="1">
      <alignment horizontal="center"/>
    </xf>
    <xf numFmtId="49" fontId="52" fillId="0" borderId="256" xfId="0" applyNumberFormat="1" applyFont="1" applyBorder="1" applyAlignment="1">
      <alignment horizontal="center" vertical="center"/>
    </xf>
    <xf numFmtId="49" fontId="52" fillId="17" borderId="182" xfId="0" applyNumberFormat="1" applyFont="1" applyFill="1" applyBorder="1" applyAlignment="1">
      <alignment horizontal="center" vertical="center"/>
    </xf>
    <xf numFmtId="49" fontId="52" fillId="17" borderId="184" xfId="0" applyNumberFormat="1" applyFont="1" applyFill="1" applyBorder="1" applyAlignment="1">
      <alignment horizontal="center" vertical="center"/>
    </xf>
    <xf numFmtId="49" fontId="52" fillId="17" borderId="256" xfId="0" applyNumberFormat="1" applyFont="1" applyFill="1" applyBorder="1" applyAlignment="1">
      <alignment horizontal="center" vertical="center"/>
    </xf>
    <xf numFmtId="49" fontId="52" fillId="17" borderId="261" xfId="0" applyNumberFormat="1" applyFont="1" applyFill="1" applyBorder="1" applyAlignment="1">
      <alignment horizontal="center" vertical="center"/>
    </xf>
    <xf numFmtId="49" fontId="52" fillId="4" borderId="109" xfId="0" applyNumberFormat="1" applyFont="1" applyFill="1" applyBorder="1" applyAlignment="1">
      <alignment horizontal="center" vertical="center"/>
    </xf>
    <xf numFmtId="1" fontId="68" fillId="4" borderId="329" xfId="0" applyNumberFormat="1" applyFont="1" applyFill="1" applyBorder="1" applyAlignment="1">
      <alignment horizontal="center" vertical="center"/>
    </xf>
    <xf numFmtId="0" fontId="39" fillId="4" borderId="329" xfId="0" applyFont="1" applyFill="1" applyBorder="1"/>
    <xf numFmtId="1" fontId="68" fillId="4" borderId="74" xfId="0" applyNumberFormat="1" applyFont="1" applyFill="1" applyBorder="1" applyAlignment="1">
      <alignment horizontal="center" vertical="center"/>
    </xf>
    <xf numFmtId="0" fontId="39" fillId="4" borderId="74" xfId="0" applyFont="1" applyFill="1" applyBorder="1"/>
    <xf numFmtId="0" fontId="39" fillId="4" borderId="75" xfId="0" applyFont="1" applyFill="1" applyBorder="1" applyAlignment="1">
      <alignment horizontal="center" vertical="center"/>
    </xf>
    <xf numFmtId="1" fontId="68" fillId="4" borderId="333" xfId="0" applyNumberFormat="1" applyFont="1" applyFill="1" applyBorder="1" applyAlignment="1">
      <alignment horizontal="center" vertical="center"/>
    </xf>
    <xf numFmtId="0" fontId="68" fillId="4" borderId="329" xfId="0" applyFont="1" applyFill="1" applyBorder="1" applyAlignment="1">
      <alignment horizontal="center" vertical="center"/>
    </xf>
    <xf numFmtId="0" fontId="39" fillId="4" borderId="143" xfId="0" applyFont="1" applyFill="1" applyBorder="1" applyAlignment="1">
      <alignment horizontal="center" vertical="center"/>
    </xf>
    <xf numFmtId="0" fontId="39" fillId="4" borderId="334" xfId="0" applyFont="1" applyFill="1" applyBorder="1" applyAlignment="1">
      <alignment horizontal="center" vertical="center"/>
    </xf>
    <xf numFmtId="0" fontId="39" fillId="4" borderId="335" xfId="0" applyFont="1" applyFill="1" applyBorder="1" applyAlignment="1">
      <alignment horizontal="center" vertical="center"/>
    </xf>
    <xf numFmtId="0" fontId="225" fillId="0" borderId="329" xfId="0" applyFont="1" applyBorder="1" applyAlignment="1">
      <alignment horizontal="center" vertical="center"/>
    </xf>
    <xf numFmtId="0" fontId="68" fillId="0" borderId="329" xfId="0" applyFont="1" applyBorder="1" applyAlignment="1">
      <alignment horizontal="center" vertical="center"/>
    </xf>
    <xf numFmtId="0" fontId="39" fillId="0" borderId="74" xfId="0" applyFont="1" applyBorder="1" applyAlignment="1">
      <alignment horizontal="center" vertical="center"/>
    </xf>
    <xf numFmtId="0" fontId="54" fillId="4" borderId="330" xfId="0" applyFont="1" applyFill="1" applyBorder="1" applyAlignment="1">
      <alignment horizontal="center" vertical="center" wrapText="1"/>
    </xf>
    <xf numFmtId="0" fontId="54" fillId="4" borderId="331" xfId="0" applyFont="1" applyFill="1" applyBorder="1" applyAlignment="1">
      <alignment horizontal="center" vertical="center" wrapText="1"/>
    </xf>
    <xf numFmtId="0" fontId="54" fillId="4" borderId="332" xfId="0" applyFont="1" applyFill="1" applyBorder="1" applyAlignment="1">
      <alignment horizontal="center" vertical="center" wrapText="1"/>
    </xf>
    <xf numFmtId="0" fontId="54" fillId="4" borderId="336" xfId="0" applyFont="1" applyFill="1" applyBorder="1" applyAlignment="1">
      <alignment horizontal="center" vertical="center" wrapText="1"/>
    </xf>
    <xf numFmtId="0" fontId="54" fillId="4" borderId="135" xfId="0" applyFont="1" applyFill="1" applyBorder="1" applyAlignment="1">
      <alignment horizontal="center" vertical="center" wrapText="1"/>
    </xf>
    <xf numFmtId="0" fontId="54" fillId="0" borderId="329" xfId="0" applyFont="1" applyBorder="1" applyAlignment="1">
      <alignment horizontal="center" vertical="center" wrapText="1"/>
    </xf>
    <xf numFmtId="168" fontId="54" fillId="4" borderId="135" xfId="0" applyNumberFormat="1" applyFont="1" applyFill="1" applyBorder="1" applyAlignment="1">
      <alignment vertical="center"/>
    </xf>
    <xf numFmtId="168" fontId="54" fillId="4" borderId="329" xfId="0" applyNumberFormat="1" applyFont="1" applyFill="1" applyBorder="1" applyAlignment="1">
      <alignment vertical="center"/>
    </xf>
    <xf numFmtId="168" fontId="52" fillId="4" borderId="135" xfId="0" applyNumberFormat="1" applyFont="1" applyFill="1" applyBorder="1" applyAlignment="1">
      <alignment vertical="center"/>
    </xf>
    <xf numFmtId="168" fontId="54" fillId="0" borderId="329" xfId="0" applyNumberFormat="1" applyFont="1" applyBorder="1" applyAlignment="1">
      <alignment vertical="center"/>
    </xf>
    <xf numFmtId="168" fontId="54" fillId="17" borderId="134" xfId="0" applyNumberFormat="1" applyFont="1" applyFill="1" applyBorder="1" applyAlignment="1">
      <alignment vertical="center"/>
    </xf>
    <xf numFmtId="168" fontId="52" fillId="17" borderId="134" xfId="0" applyNumberFormat="1" applyFont="1" applyFill="1" applyBorder="1" applyAlignment="1">
      <alignment vertical="center"/>
    </xf>
    <xf numFmtId="168" fontId="54" fillId="0" borderId="74" xfId="0" applyNumberFormat="1" applyFont="1" applyBorder="1"/>
    <xf numFmtId="49" fontId="54" fillId="4" borderId="34" xfId="0" applyNumberFormat="1" applyFont="1" applyFill="1" applyBorder="1" applyAlignment="1">
      <alignment horizontal="center" vertical="center"/>
    </xf>
    <xf numFmtId="49" fontId="52" fillId="4" borderId="135" xfId="0" applyNumberFormat="1" applyFont="1" applyFill="1" applyBorder="1" applyAlignment="1">
      <alignment horizontal="center" vertical="center"/>
    </xf>
    <xf numFmtId="49" fontId="52" fillId="4" borderId="74" xfId="0" applyNumberFormat="1" applyFont="1" applyFill="1" applyBorder="1" applyAlignment="1">
      <alignment horizontal="center" vertical="center"/>
    </xf>
    <xf numFmtId="49" fontId="54" fillId="0" borderId="74" xfId="0" applyNumberFormat="1" applyFont="1" applyBorder="1" applyAlignment="1">
      <alignment horizontal="center"/>
    </xf>
    <xf numFmtId="49" fontId="52" fillId="17" borderId="134" xfId="0" applyNumberFormat="1" applyFont="1" applyFill="1" applyBorder="1" applyAlignment="1">
      <alignment horizontal="center" vertical="center"/>
    </xf>
    <xf numFmtId="0" fontId="39" fillId="39" borderId="660" xfId="16" applyFont="1" applyFill="1" applyBorder="1" applyAlignment="1">
      <alignment horizontal="center" vertical="center"/>
    </xf>
    <xf numFmtId="0" fontId="39" fillId="39" borderId="483" xfId="16" applyFont="1" applyFill="1" applyBorder="1" applyAlignment="1">
      <alignment horizontal="center" vertical="center"/>
    </xf>
    <xf numFmtId="0" fontId="39" fillId="14" borderId="344" xfId="16" applyFont="1" applyFill="1" applyAlignment="1">
      <alignment horizontal="center" vertical="center"/>
    </xf>
    <xf numFmtId="0" fontId="39" fillId="14" borderId="688" xfId="16" applyFont="1" applyFill="1" applyBorder="1" applyAlignment="1">
      <alignment horizontal="center" vertical="center"/>
    </xf>
    <xf numFmtId="0" fontId="39" fillId="39" borderId="162" xfId="16" applyFont="1" applyFill="1" applyBorder="1" applyAlignment="1">
      <alignment horizontal="center" vertical="center"/>
    </xf>
    <xf numFmtId="0" fontId="68" fillId="14" borderId="297" xfId="16" applyFont="1" applyFill="1" applyBorder="1" applyAlignment="1">
      <alignment horizontal="center" vertical="center"/>
    </xf>
    <xf numFmtId="0" fontId="39" fillId="14" borderId="297" xfId="16" applyFont="1" applyFill="1" applyBorder="1" applyAlignment="1">
      <alignment horizontal="center"/>
    </xf>
    <xf numFmtId="0" fontId="101" fillId="0" borderId="424" xfId="16" applyFont="1" applyBorder="1"/>
    <xf numFmtId="0" fontId="39" fillId="0" borderId="37" xfId="16" applyFont="1" applyBorder="1" applyAlignment="1">
      <alignment horizontal="center" vertical="center" wrapText="1"/>
    </xf>
    <xf numFmtId="0" fontId="68" fillId="0" borderId="44" xfId="16" applyFont="1" applyBorder="1" applyAlignment="1">
      <alignment horizontal="center" vertical="center" wrapText="1"/>
    </xf>
    <xf numFmtId="0" fontId="39" fillId="0" borderId="39" xfId="16" applyFont="1" applyBorder="1" applyAlignment="1">
      <alignment horizontal="center" vertical="center"/>
    </xf>
    <xf numFmtId="0" fontId="39" fillId="0" borderId="411" xfId="16" applyFont="1" applyBorder="1" applyAlignment="1">
      <alignment horizontal="left" vertical="center" wrapText="1" indent="1"/>
    </xf>
    <xf numFmtId="0" fontId="39" fillId="0" borderId="685" xfId="16" applyFont="1" applyBorder="1" applyAlignment="1">
      <alignment horizontal="center" vertical="center"/>
    </xf>
    <xf numFmtId="0" fontId="39" fillId="14" borderId="678" xfId="16" applyFont="1" applyFill="1" applyBorder="1" applyAlignment="1">
      <alignment horizontal="right" vertical="center"/>
    </xf>
    <xf numFmtId="0" fontId="68" fillId="39" borderId="678" xfId="16" applyFont="1" applyFill="1" applyBorder="1" applyAlignment="1">
      <alignment horizontal="center" vertical="center"/>
    </xf>
    <xf numFmtId="0" fontId="68" fillId="14" borderId="785" xfId="16" applyFont="1" applyFill="1" applyBorder="1" applyAlignment="1">
      <alignment horizontal="center" vertical="center"/>
    </xf>
    <xf numFmtId="0" fontId="39" fillId="14" borderId="411" xfId="16" applyFont="1" applyFill="1" applyBorder="1" applyAlignment="1">
      <alignment horizontal="center"/>
    </xf>
    <xf numFmtId="0" fontId="68" fillId="14" borderId="411" xfId="16" applyFont="1" applyFill="1" applyBorder="1" applyAlignment="1">
      <alignment horizontal="center"/>
    </xf>
    <xf numFmtId="0" fontId="68" fillId="14" borderId="411" xfId="16" applyFont="1" applyFill="1" applyBorder="1" applyAlignment="1">
      <alignment horizontal="center" vertical="center"/>
    </xf>
    <xf numFmtId="0" fontId="39" fillId="14" borderId="463" xfId="16" applyFont="1" applyFill="1" applyBorder="1"/>
    <xf numFmtId="0" fontId="101" fillId="0" borderId="673" xfId="16" applyFont="1" applyBorder="1"/>
    <xf numFmtId="0" fontId="101" fillId="0" borderId="674" xfId="16" applyFont="1" applyBorder="1"/>
    <xf numFmtId="0" fontId="101" fillId="0" borderId="664" xfId="16" applyFont="1" applyBorder="1"/>
    <xf numFmtId="0" fontId="101" fillId="0" borderId="669" xfId="16" applyFont="1" applyBorder="1"/>
    <xf numFmtId="0" fontId="106" fillId="0" borderId="692" xfId="16" applyFont="1" applyBorder="1" applyAlignment="1">
      <alignment horizontal="center" vertical="center" wrapText="1"/>
    </xf>
    <xf numFmtId="0" fontId="54" fillId="3" borderId="34" xfId="16" applyFont="1" applyFill="1" applyBorder="1" applyAlignment="1">
      <alignment horizontal="center" vertical="center" wrapText="1"/>
    </xf>
    <xf numFmtId="0" fontId="54" fillId="0" borderId="297" xfId="16" applyFont="1" applyBorder="1" applyAlignment="1">
      <alignment horizontal="center"/>
    </xf>
    <xf numFmtId="0" fontId="106" fillId="0" borderId="411" xfId="16" applyFont="1" applyBorder="1" applyAlignment="1">
      <alignment horizontal="center" vertical="center" wrapText="1"/>
    </xf>
    <xf numFmtId="0" fontId="54" fillId="0" borderId="411" xfId="16" applyFont="1" applyBorder="1" applyAlignment="1">
      <alignment horizontal="center" vertical="center" wrapText="1"/>
    </xf>
    <xf numFmtId="0" fontId="54" fillId="17" borderId="484" xfId="16" applyFont="1" applyFill="1" applyBorder="1" applyAlignment="1">
      <alignment horizontal="center" vertical="center"/>
    </xf>
    <xf numFmtId="0" fontId="106" fillId="0" borderId="424" xfId="16" applyFont="1" applyBorder="1"/>
    <xf numFmtId="0" fontId="54" fillId="39" borderId="34" xfId="16" applyFont="1" applyFill="1" applyBorder="1" applyAlignment="1">
      <alignment horizontal="center" vertical="center"/>
    </xf>
    <xf numFmtId="0" fontId="54" fillId="0" borderId="649" xfId="16" applyFont="1" applyBorder="1" applyAlignment="1">
      <alignment horizontal="center" vertical="center" wrapText="1"/>
    </xf>
    <xf numFmtId="0" fontId="54" fillId="0" borderId="411" xfId="16" applyFont="1" applyBorder="1" applyAlignment="1">
      <alignment horizontal="left" vertical="center" wrapText="1" indent="1"/>
    </xf>
    <xf numFmtId="0" fontId="54" fillId="0" borderId="685" xfId="16" applyFont="1" applyBorder="1" applyAlignment="1">
      <alignment horizontal="center" vertical="center" wrapText="1"/>
    </xf>
    <xf numFmtId="0" fontId="54" fillId="0" borderId="411" xfId="16" applyFont="1" applyBorder="1" applyAlignment="1">
      <alignment horizontal="center"/>
    </xf>
    <xf numFmtId="0" fontId="54" fillId="0" borderId="463" xfId="16" applyFont="1" applyBorder="1" applyAlignment="1">
      <alignment horizontal="center" vertical="center"/>
    </xf>
    <xf numFmtId="0" fontId="106" fillId="0" borderId="674" xfId="16" applyFont="1" applyBorder="1"/>
    <xf numFmtId="0" fontId="106" fillId="0" borderId="671" xfId="16" applyFont="1" applyBorder="1"/>
    <xf numFmtId="168" fontId="106" fillId="14" borderId="424" xfId="16" applyNumberFormat="1" applyFont="1" applyFill="1" applyBorder="1" applyAlignment="1">
      <alignment horizontal="right" vertical="center"/>
    </xf>
    <xf numFmtId="168" fontId="54" fillId="0" borderId="411" xfId="16" applyNumberFormat="1" applyFont="1" applyBorder="1" applyAlignment="1">
      <alignment vertical="center"/>
    </xf>
    <xf numFmtId="168" fontId="52" fillId="12" borderId="606" xfId="16" applyNumberFormat="1" applyFont="1" applyFill="1" applyBorder="1" applyAlignment="1">
      <alignment horizontal="right" vertical="center"/>
    </xf>
    <xf numFmtId="168" fontId="54" fillId="14" borderId="649" xfId="16" applyNumberFormat="1" applyFont="1" applyFill="1" applyBorder="1" applyAlignment="1">
      <alignment vertical="center"/>
    </xf>
    <xf numFmtId="168" fontId="54" fillId="0" borderId="692" xfId="16" applyNumberFormat="1" applyFont="1" applyBorder="1" applyAlignment="1">
      <alignment vertical="center"/>
    </xf>
    <xf numFmtId="168" fontId="52" fillId="12" borderId="608" xfId="16" applyNumberFormat="1" applyFont="1" applyFill="1" applyBorder="1" applyAlignment="1">
      <alignment horizontal="right" vertical="center"/>
    </xf>
    <xf numFmtId="168" fontId="54" fillId="14" borderId="39" xfId="16" applyNumberFormat="1" applyFont="1" applyFill="1" applyBorder="1" applyAlignment="1">
      <alignment horizontal="right" vertical="center"/>
    </xf>
    <xf numFmtId="168" fontId="52" fillId="12" borderId="957" xfId="16" applyNumberFormat="1" applyFont="1" applyFill="1" applyBorder="1" applyAlignment="1">
      <alignment horizontal="right" vertical="center"/>
    </xf>
    <xf numFmtId="168" fontId="54" fillId="14" borderId="297" xfId="16" applyNumberFormat="1" applyFont="1" applyFill="1" applyBorder="1"/>
    <xf numFmtId="39" fontId="54" fillId="39" borderId="34" xfId="16" applyNumberFormat="1" applyFont="1" applyFill="1" applyBorder="1" applyAlignment="1">
      <alignment vertical="center"/>
    </xf>
    <xf numFmtId="168" fontId="54" fillId="14" borderId="681" xfId="16" applyNumberFormat="1" applyFont="1" applyFill="1" applyBorder="1"/>
    <xf numFmtId="0" fontId="106" fillId="0" borderId="675" xfId="16" applyFont="1" applyBorder="1"/>
    <xf numFmtId="0" fontId="106" fillId="0" borderId="344" xfId="16" applyFont="1"/>
    <xf numFmtId="0" fontId="106" fillId="0" borderId="669" xfId="16" applyFont="1" applyBorder="1"/>
    <xf numFmtId="49" fontId="52" fillId="12" borderId="350" xfId="16" applyNumberFormat="1" applyFont="1" applyFill="1" applyBorder="1" applyAlignment="1">
      <alignment horizontal="center" vertical="center"/>
    </xf>
    <xf numFmtId="49" fontId="52" fillId="12" borderId="347" xfId="16" applyNumberFormat="1" applyFont="1" applyFill="1" applyBorder="1" applyAlignment="1">
      <alignment horizontal="center" vertical="center"/>
    </xf>
    <xf numFmtId="49" fontId="106" fillId="0" borderId="690" xfId="16" applyNumberFormat="1" applyFont="1" applyBorder="1"/>
    <xf numFmtId="49" fontId="106" fillId="0" borderId="674" xfId="16" applyNumberFormat="1" applyFont="1" applyBorder="1"/>
    <xf numFmtId="49" fontId="106" fillId="0" borderId="671" xfId="16" applyNumberFormat="1" applyFont="1" applyBorder="1"/>
    <xf numFmtId="0" fontId="68" fillId="0" borderId="129" xfId="0" applyFont="1" applyBorder="1" applyAlignment="1">
      <alignment horizontal="center" vertical="center"/>
    </xf>
    <xf numFmtId="0" fontId="39" fillId="0" borderId="134" xfId="0" applyFont="1" applyBorder="1" applyAlignment="1">
      <alignment horizontal="center" vertical="center"/>
    </xf>
    <xf numFmtId="0" fontId="39" fillId="0" borderId="75" xfId="0" applyFont="1" applyBorder="1" applyAlignment="1">
      <alignment horizontal="center" vertical="center"/>
    </xf>
    <xf numFmtId="0" fontId="39" fillId="0" borderId="329" xfId="0" applyFont="1" applyBorder="1" applyAlignment="1">
      <alignment horizontal="center" vertical="center"/>
    </xf>
    <xf numFmtId="0" fontId="39" fillId="17" borderId="74" xfId="0" applyFont="1" applyFill="1" applyBorder="1" applyAlignment="1">
      <alignment horizontal="center" vertical="center"/>
    </xf>
    <xf numFmtId="0" fontId="39" fillId="17" borderId="134" xfId="0" applyFont="1" applyFill="1" applyBorder="1" applyAlignment="1">
      <alignment horizontal="center" vertical="center"/>
    </xf>
    <xf numFmtId="0" fontId="68" fillId="17" borderId="135" xfId="0" applyFont="1" applyFill="1" applyBorder="1" applyAlignment="1">
      <alignment horizontal="center" vertical="center"/>
    </xf>
    <xf numFmtId="0" fontId="39" fillId="39" borderId="74" xfId="0" applyFont="1" applyFill="1" applyBorder="1" applyAlignment="1">
      <alignment horizontal="center" vertical="center"/>
    </xf>
    <xf numFmtId="49" fontId="39" fillId="0" borderId="135" xfId="0" applyNumberFormat="1" applyFont="1" applyBorder="1" applyAlignment="1">
      <alignment horizontal="center" vertical="center"/>
    </xf>
    <xf numFmtId="0" fontId="68" fillId="17" borderId="74" xfId="0" applyFont="1" applyFill="1" applyBorder="1" applyAlignment="1">
      <alignment horizontal="center" vertical="center"/>
    </xf>
    <xf numFmtId="49" fontId="68" fillId="17" borderId="329" xfId="0" applyNumberFormat="1" applyFont="1" applyFill="1" applyBorder="1" applyAlignment="1">
      <alignment horizontal="center" vertical="center"/>
    </xf>
    <xf numFmtId="49" fontId="39" fillId="17" borderId="329" xfId="0" applyNumberFormat="1" applyFont="1" applyFill="1" applyBorder="1" applyAlignment="1">
      <alignment horizontal="center" vertical="center"/>
    </xf>
    <xf numFmtId="49" fontId="39" fillId="17" borderId="74" xfId="0" applyNumberFormat="1" applyFont="1" applyFill="1" applyBorder="1" applyAlignment="1">
      <alignment horizontal="center" vertical="center"/>
    </xf>
    <xf numFmtId="49" fontId="39" fillId="17" borderId="75" xfId="0" applyNumberFormat="1" applyFont="1" applyFill="1" applyBorder="1" applyAlignment="1">
      <alignment horizontal="center" vertical="center"/>
    </xf>
    <xf numFmtId="49" fontId="68" fillId="0" borderId="329" xfId="0" applyNumberFormat="1" applyFont="1" applyBorder="1" applyAlignment="1">
      <alignment horizontal="center" vertical="center"/>
    </xf>
    <xf numFmtId="49" fontId="39" fillId="0" borderId="329" xfId="0" applyNumberFormat="1" applyFont="1" applyBorder="1" applyAlignment="1">
      <alignment horizontal="center" vertical="center"/>
    </xf>
    <xf numFmtId="49" fontId="68" fillId="0" borderId="74" xfId="0" applyNumberFormat="1" applyFont="1" applyBorder="1" applyAlignment="1">
      <alignment horizontal="center" vertical="center"/>
    </xf>
    <xf numFmtId="49" fontId="39" fillId="0" borderId="74" xfId="0" applyNumberFormat="1" applyFont="1" applyBorder="1" applyAlignment="1">
      <alignment horizontal="center" vertical="center"/>
    </xf>
    <xf numFmtId="0" fontId="68" fillId="17" borderId="329" xfId="0" applyFont="1" applyFill="1" applyBorder="1" applyAlignment="1">
      <alignment horizontal="center" vertical="center"/>
    </xf>
    <xf numFmtId="0" fontId="39" fillId="17" borderId="135" xfId="0" applyFont="1" applyFill="1" applyBorder="1" applyAlignment="1">
      <alignment horizontal="center" vertical="center"/>
    </xf>
    <xf numFmtId="0" fontId="39" fillId="0" borderId="135" xfId="0" applyFont="1" applyBorder="1" applyAlignment="1">
      <alignment horizontal="center" vertical="center"/>
    </xf>
    <xf numFmtId="0" fontId="39" fillId="0" borderId="74" xfId="0" applyFont="1" applyBorder="1" applyAlignment="1">
      <alignment horizontal="center" vertical="center" wrapText="1"/>
    </xf>
    <xf numFmtId="0" fontId="39" fillId="0" borderId="75" xfId="0" applyFont="1" applyBorder="1" applyAlignment="1">
      <alignment horizontal="center" vertical="center" wrapText="1"/>
    </xf>
    <xf numFmtId="0" fontId="68" fillId="39" borderId="329" xfId="0" applyFont="1" applyFill="1" applyBorder="1" applyAlignment="1">
      <alignment horizontal="center" vertical="center"/>
    </xf>
    <xf numFmtId="49" fontId="68" fillId="0" borderId="129" xfId="0" applyNumberFormat="1" applyFont="1" applyBorder="1" applyAlignment="1">
      <alignment horizontal="center" vertical="center"/>
    </xf>
    <xf numFmtId="49" fontId="39" fillId="0" borderId="134" xfId="0" applyNumberFormat="1" applyFont="1" applyBorder="1" applyAlignment="1">
      <alignment horizontal="center" vertical="center"/>
    </xf>
    <xf numFmtId="49" fontId="68" fillId="0" borderId="135" xfId="0" applyNumberFormat="1" applyFont="1" applyBorder="1" applyAlignment="1">
      <alignment horizontal="center" vertical="center"/>
    </xf>
    <xf numFmtId="49" fontId="39" fillId="0" borderId="75" xfId="0" applyNumberFormat="1" applyFont="1" applyBorder="1" applyAlignment="1">
      <alignment horizontal="center" vertical="center"/>
    </xf>
    <xf numFmtId="0" fontId="39" fillId="0" borderId="787" xfId="0" applyFont="1" applyBorder="1" applyAlignment="1">
      <alignment horizontal="center" vertical="center"/>
    </xf>
    <xf numFmtId="1" fontId="68" fillId="0" borderId="135" xfId="0" applyNumberFormat="1" applyFont="1" applyBorder="1" applyAlignment="1">
      <alignment horizontal="center" vertical="center" wrapText="1"/>
    </xf>
    <xf numFmtId="0" fontId="68" fillId="0" borderId="787" xfId="0" applyFont="1" applyBorder="1" applyAlignment="1">
      <alignment horizontal="center" vertical="center"/>
    </xf>
    <xf numFmtId="0" fontId="68" fillId="0" borderId="738" xfId="0" applyFont="1" applyBorder="1" applyAlignment="1">
      <alignment horizontal="center" vertical="center"/>
    </xf>
    <xf numFmtId="0" fontId="39" fillId="0" borderId="674" xfId="0" applyFont="1" applyBorder="1" applyAlignment="1">
      <alignment vertical="center"/>
    </xf>
    <xf numFmtId="0" fontId="39" fillId="0" borderId="796" xfId="0" applyFont="1" applyBorder="1" applyAlignment="1">
      <alignment horizontal="center" vertical="center"/>
    </xf>
    <xf numFmtId="0" fontId="54" fillId="0" borderId="129" xfId="0" applyFont="1" applyBorder="1" applyAlignment="1">
      <alignment horizontal="center" vertical="center" wrapText="1"/>
    </xf>
    <xf numFmtId="0" fontId="54" fillId="0" borderId="134" xfId="0" applyFont="1" applyBorder="1" applyAlignment="1">
      <alignment horizontal="center" vertical="center" wrapText="1"/>
    </xf>
    <xf numFmtId="0" fontId="54" fillId="0" borderId="75" xfId="0" applyFont="1" applyBorder="1" applyAlignment="1">
      <alignment horizontal="center" vertical="center" wrapText="1"/>
    </xf>
    <xf numFmtId="0" fontId="54" fillId="0" borderId="329" xfId="0" applyFont="1" applyBorder="1" applyAlignment="1">
      <alignment horizontal="center" vertical="center"/>
    </xf>
    <xf numFmtId="0" fontId="54" fillId="0" borderId="74" xfId="0" applyFont="1" applyBorder="1" applyAlignment="1">
      <alignment horizontal="center" vertical="center"/>
    </xf>
    <xf numFmtId="0" fontId="54" fillId="17" borderId="74" xfId="0" applyFont="1" applyFill="1" applyBorder="1" applyAlignment="1">
      <alignment horizontal="center" vertical="center"/>
    </xf>
    <xf numFmtId="0" fontId="54" fillId="17" borderId="134" xfId="0" applyFont="1" applyFill="1" applyBorder="1" applyAlignment="1">
      <alignment horizontal="center" vertical="center"/>
    </xf>
    <xf numFmtId="0" fontId="54" fillId="17" borderId="135" xfId="0" applyFont="1" applyFill="1" applyBorder="1" applyAlignment="1">
      <alignment horizontal="center" vertical="center" wrapText="1"/>
    </xf>
    <xf numFmtId="0" fontId="54" fillId="17" borderId="74" xfId="0" applyFont="1" applyFill="1" applyBorder="1" applyAlignment="1">
      <alignment horizontal="center" vertical="center" wrapText="1"/>
    </xf>
    <xf numFmtId="0" fontId="54" fillId="39" borderId="74" xfId="0" applyFont="1" applyFill="1" applyBorder="1" applyAlignment="1">
      <alignment horizontal="center" vertical="center" wrapText="1"/>
    </xf>
    <xf numFmtId="49" fontId="54" fillId="0" borderId="135" xfId="0" applyNumberFormat="1" applyFont="1" applyBorder="1" applyAlignment="1">
      <alignment horizontal="center" vertical="center"/>
    </xf>
    <xf numFmtId="49" fontId="54" fillId="17" borderId="74" xfId="0" applyNumberFormat="1" applyFont="1" applyFill="1" applyBorder="1" applyAlignment="1">
      <alignment horizontal="center" vertical="center"/>
    </xf>
    <xf numFmtId="49" fontId="54" fillId="17" borderId="329" xfId="0" applyNumberFormat="1" applyFont="1" applyFill="1" applyBorder="1" applyAlignment="1">
      <alignment horizontal="center" vertical="center"/>
    </xf>
    <xf numFmtId="49" fontId="54" fillId="0" borderId="329" xfId="0" applyNumberFormat="1" applyFont="1" applyBorder="1" applyAlignment="1">
      <alignment horizontal="center" vertical="center"/>
    </xf>
    <xf numFmtId="0" fontId="54" fillId="17" borderId="329" xfId="0" applyFont="1" applyFill="1" applyBorder="1" applyAlignment="1">
      <alignment horizontal="center" vertical="center" wrapText="1"/>
    </xf>
    <xf numFmtId="0" fontId="54" fillId="17" borderId="134" xfId="0" applyFont="1" applyFill="1" applyBorder="1" applyAlignment="1">
      <alignment horizontal="center" vertical="center" wrapText="1"/>
    </xf>
    <xf numFmtId="0" fontId="54" fillId="0" borderId="134" xfId="0" applyFont="1" applyBorder="1" applyAlignment="1">
      <alignment horizontal="center" vertical="center"/>
    </xf>
    <xf numFmtId="0" fontId="54" fillId="0" borderId="135" xfId="0" applyFont="1" applyBorder="1" applyAlignment="1">
      <alignment horizontal="center" vertical="center"/>
    </xf>
    <xf numFmtId="0" fontId="54" fillId="0" borderId="75" xfId="0" applyFont="1" applyBorder="1" applyAlignment="1">
      <alignment horizontal="center" vertical="center"/>
    </xf>
    <xf numFmtId="0" fontId="54" fillId="0" borderId="129" xfId="0" applyFont="1" applyBorder="1" applyAlignment="1">
      <alignment horizontal="center" vertical="center"/>
    </xf>
    <xf numFmtId="0" fontId="106" fillId="0" borderId="669" xfId="0" applyFont="1" applyBorder="1" applyAlignment="1">
      <alignment vertical="center"/>
    </xf>
    <xf numFmtId="0" fontId="54" fillId="0" borderId="787" xfId="0" applyFont="1" applyBorder="1" applyAlignment="1">
      <alignment horizontal="center" vertical="center" wrapText="1"/>
    </xf>
    <xf numFmtId="0" fontId="52" fillId="0" borderId="135" xfId="0" applyFont="1" applyBorder="1" applyAlignment="1">
      <alignment horizontal="center" vertical="center" wrapText="1"/>
    </xf>
    <xf numFmtId="0" fontId="54" fillId="0" borderId="674" xfId="0" applyFont="1" applyBorder="1" applyAlignment="1">
      <alignment vertical="center"/>
    </xf>
    <xf numFmtId="0" fontId="54" fillId="0" borderId="796" xfId="0" applyFont="1" applyBorder="1" applyAlignment="1">
      <alignment horizontal="center" vertical="center" wrapText="1"/>
    </xf>
    <xf numFmtId="168" fontId="52" fillId="12" borderId="614" xfId="0" applyNumberFormat="1" applyFont="1" applyFill="1" applyBorder="1" applyAlignment="1">
      <alignment horizontal="right" vertical="center"/>
    </xf>
    <xf numFmtId="168" fontId="54" fillId="0" borderId="129" xfId="0" applyNumberFormat="1" applyFont="1" applyBorder="1" applyAlignment="1">
      <alignment vertical="center"/>
    </xf>
    <xf numFmtId="168" fontId="52" fillId="0" borderId="129" xfId="0" applyNumberFormat="1" applyFont="1" applyBorder="1" applyAlignment="1">
      <alignment vertical="center"/>
    </xf>
    <xf numFmtId="168" fontId="54" fillId="0" borderId="134" xfId="0" applyNumberFormat="1" applyFont="1" applyBorder="1" applyAlignment="1">
      <alignment vertical="center"/>
    </xf>
    <xf numFmtId="168" fontId="52" fillId="0" borderId="134" xfId="0" applyNumberFormat="1" applyFont="1" applyBorder="1" applyAlignment="1">
      <alignment vertical="center"/>
    </xf>
    <xf numFmtId="168" fontId="54" fillId="0" borderId="75" xfId="0" applyNumberFormat="1" applyFont="1" applyBorder="1" applyAlignment="1">
      <alignment vertical="center"/>
    </xf>
    <xf numFmtId="168" fontId="54" fillId="0" borderId="329" xfId="0" applyNumberFormat="1" applyFont="1" applyBorder="1" applyAlignment="1">
      <alignment horizontal="center" vertical="center"/>
    </xf>
    <xf numFmtId="168" fontId="54" fillId="0" borderId="74" xfId="0" applyNumberFormat="1" applyFont="1" applyBorder="1" applyAlignment="1">
      <alignment horizontal="center" vertical="center"/>
    </xf>
    <xf numFmtId="168" fontId="54" fillId="17" borderId="74" xfId="0" applyNumberFormat="1" applyFont="1" applyFill="1" applyBorder="1" applyAlignment="1">
      <alignment vertical="center"/>
    </xf>
    <xf numFmtId="168" fontId="54" fillId="17" borderId="74" xfId="0" applyNumberFormat="1" applyFont="1" applyFill="1" applyBorder="1" applyAlignment="1">
      <alignment horizontal="center" vertical="center"/>
    </xf>
    <xf numFmtId="168" fontId="54" fillId="17" borderId="134" xfId="0" applyNumberFormat="1" applyFont="1" applyFill="1" applyBorder="1" applyAlignment="1">
      <alignment horizontal="center" vertical="center"/>
    </xf>
    <xf numFmtId="168" fontId="54" fillId="17" borderId="135" xfId="0" applyNumberFormat="1" applyFont="1" applyFill="1" applyBorder="1" applyAlignment="1">
      <alignment vertical="center"/>
    </xf>
    <xf numFmtId="168" fontId="54" fillId="39" borderId="74" xfId="0" applyNumberFormat="1" applyFont="1" applyFill="1" applyBorder="1" applyAlignment="1">
      <alignment vertical="center"/>
    </xf>
    <xf numFmtId="168" fontId="54" fillId="17" borderId="74" xfId="0" applyNumberFormat="1" applyFont="1" applyFill="1" applyBorder="1" applyAlignment="1">
      <alignment horizontal="left" vertical="center"/>
    </xf>
    <xf numFmtId="168" fontId="54" fillId="17" borderId="75" xfId="0" applyNumberFormat="1" applyFont="1" applyFill="1" applyBorder="1" applyAlignment="1">
      <alignment horizontal="left" vertical="center"/>
    </xf>
    <xf numFmtId="168" fontId="54" fillId="17" borderId="329" xfId="0" applyNumberFormat="1" applyFont="1" applyFill="1" applyBorder="1" applyAlignment="1">
      <alignment horizontal="center" vertical="center"/>
    </xf>
    <xf numFmtId="168" fontId="54" fillId="17" borderId="75" xfId="0" applyNumberFormat="1" applyFont="1" applyFill="1" applyBorder="1" applyAlignment="1">
      <alignment horizontal="right" vertical="center"/>
    </xf>
    <xf numFmtId="168" fontId="54" fillId="17" borderId="75" xfId="0" applyNumberFormat="1" applyFont="1" applyFill="1" applyBorder="1" applyAlignment="1">
      <alignment horizontal="center" vertical="center"/>
    </xf>
    <xf numFmtId="168" fontId="52" fillId="39" borderId="329" xfId="0" applyNumberFormat="1" applyFont="1" applyFill="1" applyBorder="1" applyAlignment="1">
      <alignment horizontal="right" vertical="center"/>
    </xf>
    <xf numFmtId="168" fontId="52" fillId="39" borderId="74" xfId="0" applyNumberFormat="1" applyFont="1" applyFill="1" applyBorder="1" applyAlignment="1">
      <alignment horizontal="right" vertical="center"/>
    </xf>
    <xf numFmtId="168" fontId="52" fillId="0" borderId="74" xfId="0" applyNumberFormat="1" applyFont="1" applyBorder="1" applyAlignment="1">
      <alignment horizontal="right" vertical="center"/>
    </xf>
    <xf numFmtId="168" fontId="54" fillId="17" borderId="329" xfId="0" applyNumberFormat="1" applyFont="1" applyFill="1" applyBorder="1" applyAlignment="1">
      <alignment horizontal="right" vertical="center"/>
    </xf>
    <xf numFmtId="168" fontId="52" fillId="17" borderId="329" xfId="0" applyNumberFormat="1" applyFont="1" applyFill="1" applyBorder="1" applyAlignment="1">
      <alignment horizontal="right" vertical="center"/>
    </xf>
    <xf numFmtId="168" fontId="52" fillId="17" borderId="74" xfId="0" applyNumberFormat="1" applyFont="1" applyFill="1" applyBorder="1" applyAlignment="1">
      <alignment horizontal="right" vertical="center"/>
    </xf>
    <xf numFmtId="168" fontId="54" fillId="17" borderId="329" xfId="0" applyNumberFormat="1" applyFont="1" applyFill="1" applyBorder="1" applyAlignment="1">
      <alignment vertical="center"/>
    </xf>
    <xf numFmtId="168" fontId="106" fillId="0" borderId="669" xfId="0" applyNumberFormat="1" applyFont="1" applyBorder="1" applyAlignment="1">
      <alignment vertical="center"/>
    </xf>
    <xf numFmtId="168" fontId="106" fillId="0" borderId="664" xfId="0" applyNumberFormat="1" applyFont="1" applyBorder="1" applyAlignment="1">
      <alignment vertical="center"/>
    </xf>
    <xf numFmtId="168" fontId="220" fillId="0" borderId="74" xfId="0" applyNumberFormat="1" applyFont="1" applyBorder="1" applyAlignment="1">
      <alignment vertical="center"/>
    </xf>
    <xf numFmtId="168" fontId="54" fillId="0" borderId="135" xfId="0" applyNumberFormat="1" applyFont="1" applyBorder="1" applyAlignment="1">
      <alignment horizontal="center" vertical="center"/>
    </xf>
    <xf numFmtId="168" fontId="54" fillId="0" borderId="75" xfId="0" applyNumberFormat="1" applyFont="1" applyBorder="1" applyAlignment="1">
      <alignment horizontal="center" vertical="center"/>
    </xf>
    <xf numFmtId="168" fontId="54" fillId="0" borderId="787" xfId="0" applyNumberFormat="1" applyFont="1" applyBorder="1" applyAlignment="1">
      <alignment vertical="center"/>
    </xf>
    <xf numFmtId="168" fontId="52" fillId="0" borderId="787" xfId="0" applyNumberFormat="1" applyFont="1" applyBorder="1" applyAlignment="1">
      <alignment vertical="center"/>
    </xf>
    <xf numFmtId="168" fontId="52" fillId="0" borderId="135" xfId="0" applyNumberFormat="1" applyFont="1" applyBorder="1" applyAlignment="1">
      <alignment horizontal="center" vertical="center"/>
    </xf>
    <xf numFmtId="168" fontId="54" fillId="0" borderId="796" xfId="0" applyNumberFormat="1" applyFont="1" applyBorder="1" applyAlignment="1">
      <alignment vertical="center"/>
    </xf>
    <xf numFmtId="168" fontId="54" fillId="4" borderId="796" xfId="0" applyNumberFormat="1" applyFont="1" applyFill="1" applyBorder="1" applyAlignment="1">
      <alignment vertical="center"/>
    </xf>
    <xf numFmtId="168" fontId="52" fillId="0" borderId="796" xfId="0" applyNumberFormat="1" applyFont="1" applyBorder="1" applyAlignment="1">
      <alignment vertical="center"/>
    </xf>
    <xf numFmtId="49" fontId="52" fillId="0" borderId="134" xfId="0" applyNumberFormat="1" applyFont="1" applyBorder="1" applyAlignment="1">
      <alignment horizontal="center" vertical="center"/>
    </xf>
    <xf numFmtId="49" fontId="54" fillId="17" borderId="134" xfId="0" applyNumberFormat="1" applyFont="1" applyFill="1" applyBorder="1" applyAlignment="1">
      <alignment horizontal="center" vertical="center"/>
    </xf>
    <xf numFmtId="49" fontId="52" fillId="0" borderId="329" xfId="0" applyNumberFormat="1" applyFont="1" applyBorder="1" applyAlignment="1">
      <alignment horizontal="center" vertical="center" wrapText="1"/>
    </xf>
    <xf numFmtId="49" fontId="52" fillId="39" borderId="329" xfId="0" applyNumberFormat="1" applyFont="1" applyFill="1" applyBorder="1" applyAlignment="1">
      <alignment horizontal="center" vertical="center"/>
    </xf>
    <xf numFmtId="49" fontId="52" fillId="0" borderId="787" xfId="0" applyNumberFormat="1" applyFont="1" applyBorder="1" applyAlignment="1">
      <alignment horizontal="center" vertical="center"/>
    </xf>
    <xf numFmtId="49" fontId="52" fillId="0" borderId="796" xfId="0" applyNumberFormat="1" applyFont="1" applyBorder="1" applyAlignment="1">
      <alignment horizontal="center" vertical="center"/>
    </xf>
    <xf numFmtId="0" fontId="106" fillId="0" borderId="674" xfId="0" applyFont="1" applyBorder="1" applyAlignment="1">
      <alignment vertical="center"/>
    </xf>
    <xf numFmtId="0" fontId="106" fillId="0" borderId="662" xfId="0" applyFont="1" applyBorder="1" applyAlignment="1">
      <alignment vertical="center"/>
    </xf>
    <xf numFmtId="168" fontId="52" fillId="12" borderId="346" xfId="0" applyNumberFormat="1" applyFont="1" applyFill="1" applyBorder="1" applyAlignment="1">
      <alignment horizontal="right" vertical="center"/>
    </xf>
    <xf numFmtId="168" fontId="52" fillId="12" borderId="366" xfId="0" applyNumberFormat="1" applyFont="1" applyFill="1" applyBorder="1" applyAlignment="1">
      <alignment horizontal="right" vertical="center"/>
    </xf>
    <xf numFmtId="175" fontId="54" fillId="0" borderId="662" xfId="0" applyNumberFormat="1" applyFont="1" applyBorder="1" applyAlignment="1">
      <alignment horizontal="center" vertical="center"/>
    </xf>
    <xf numFmtId="0" fontId="68" fillId="39" borderId="662" xfId="0" applyFont="1" applyFill="1" applyBorder="1" applyAlignment="1">
      <alignment horizontal="center" vertical="center"/>
    </xf>
    <xf numFmtId="0" fontId="39" fillId="39" borderId="662" xfId="0" applyFont="1" applyFill="1" applyBorder="1" applyAlignment="1">
      <alignment horizontal="center" vertical="center"/>
    </xf>
    <xf numFmtId="49" fontId="39" fillId="39" borderId="74" xfId="0" applyNumberFormat="1" applyFont="1" applyFill="1" applyBorder="1" applyAlignment="1">
      <alignment horizontal="center" vertical="center"/>
    </xf>
    <xf numFmtId="49" fontId="39" fillId="39" borderId="134" xfId="0" applyNumberFormat="1" applyFont="1" applyFill="1" applyBorder="1" applyAlignment="1">
      <alignment horizontal="center" vertical="center"/>
    </xf>
    <xf numFmtId="49" fontId="39" fillId="39" borderId="961" xfId="0" applyNumberFormat="1" applyFont="1" applyFill="1" applyBorder="1" applyAlignment="1">
      <alignment horizontal="center" vertical="center"/>
    </xf>
    <xf numFmtId="49" fontId="39" fillId="39" borderId="963" xfId="0" applyNumberFormat="1" applyFont="1" applyFill="1" applyBorder="1" applyAlignment="1">
      <alignment horizontal="center" vertical="center"/>
    </xf>
    <xf numFmtId="0" fontId="39" fillId="14" borderId="738" xfId="0" applyFont="1" applyFill="1" applyBorder="1" applyAlignment="1">
      <alignment horizontal="center" vertical="center"/>
    </xf>
    <xf numFmtId="0" fontId="39" fillId="14" borderId="662" xfId="0" applyFont="1" applyFill="1" applyBorder="1" applyAlignment="1">
      <alignment horizontal="center" vertical="center"/>
    </xf>
    <xf numFmtId="0" fontId="68" fillId="39" borderId="674" xfId="0" applyFont="1" applyFill="1" applyBorder="1" applyAlignment="1">
      <alignment horizontal="center" vertical="center"/>
    </xf>
    <xf numFmtId="0" fontId="39" fillId="17" borderId="770" xfId="0" applyFont="1" applyFill="1" applyBorder="1" applyAlignment="1">
      <alignment horizontal="center" vertical="center"/>
    </xf>
    <xf numFmtId="0" fontId="68" fillId="17" borderId="738" xfId="0" applyFont="1" applyFill="1" applyBorder="1" applyAlignment="1">
      <alignment horizontal="center" vertical="center"/>
    </xf>
    <xf numFmtId="0" fontId="68" fillId="17" borderId="770" xfId="0" applyFont="1" applyFill="1" applyBorder="1" applyAlignment="1">
      <alignment horizontal="center" vertical="center"/>
    </xf>
    <xf numFmtId="0" fontId="68" fillId="4" borderId="674" xfId="0" applyFont="1" applyFill="1" applyBorder="1" applyAlignment="1">
      <alignment horizontal="center" vertical="center"/>
    </xf>
    <xf numFmtId="0" fontId="68" fillId="4" borderId="662" xfId="0" applyFont="1" applyFill="1" applyBorder="1" applyAlignment="1">
      <alignment horizontal="center" vertical="center"/>
    </xf>
    <xf numFmtId="0" fontId="68" fillId="4" borderId="738" xfId="0" applyFont="1" applyFill="1" applyBorder="1" applyAlignment="1">
      <alignment horizontal="center" vertical="center"/>
    </xf>
    <xf numFmtId="0" fontId="68" fillId="4" borderId="770" xfId="0" applyFont="1" applyFill="1" applyBorder="1" applyAlignment="1">
      <alignment horizontal="center" vertical="center"/>
    </xf>
    <xf numFmtId="0" fontId="39" fillId="39" borderId="770" xfId="0" applyFont="1" applyFill="1" applyBorder="1" applyAlignment="1">
      <alignment horizontal="center" vertical="center"/>
    </xf>
    <xf numFmtId="49" fontId="68" fillId="0" borderId="662" xfId="0" applyNumberFormat="1" applyFont="1" applyBorder="1" applyAlignment="1">
      <alignment horizontal="center" vertical="center"/>
    </xf>
    <xf numFmtId="0" fontId="54" fillId="14" borderId="662" xfId="0" applyFont="1" applyFill="1" applyBorder="1" applyAlignment="1">
      <alignment horizontal="center" vertical="center" wrapText="1"/>
    </xf>
    <xf numFmtId="0" fontId="54" fillId="39" borderId="134" xfId="0" applyFont="1" applyFill="1" applyBorder="1" applyAlignment="1">
      <alignment horizontal="center" vertical="center" wrapText="1"/>
    </xf>
    <xf numFmtId="0" fontId="54" fillId="39" borderId="738" xfId="0" applyFont="1" applyFill="1" applyBorder="1" applyAlignment="1">
      <alignment horizontal="center" vertical="center" wrapText="1"/>
    </xf>
    <xf numFmtId="0" fontId="52" fillId="0" borderId="662" xfId="0" applyFont="1" applyBorder="1" applyAlignment="1">
      <alignment horizontal="center" vertical="center"/>
    </xf>
    <xf numFmtId="0" fontId="52" fillId="0" borderId="663" xfId="0" applyFont="1" applyBorder="1" applyAlignment="1">
      <alignment horizontal="center" vertical="center"/>
    </xf>
    <xf numFmtId="0" fontId="219" fillId="0" borderId="738" xfId="0" applyFont="1" applyBorder="1" applyAlignment="1">
      <alignment horizontal="center" vertical="center" wrapText="1"/>
    </xf>
    <xf numFmtId="0" fontId="52" fillId="17" borderId="737" xfId="0" applyFont="1" applyFill="1" applyBorder="1" applyAlignment="1">
      <alignment horizontal="center" vertical="center"/>
    </xf>
    <xf numFmtId="0" fontId="52" fillId="17" borderId="662" xfId="0" applyFont="1" applyFill="1" applyBorder="1" applyAlignment="1">
      <alignment horizontal="center" vertical="center"/>
    </xf>
    <xf numFmtId="0" fontId="52" fillId="17" borderId="738" xfId="0" applyFont="1" applyFill="1" applyBorder="1" applyAlignment="1">
      <alignment horizontal="center" vertical="center"/>
    </xf>
    <xf numFmtId="0" fontId="52" fillId="17" borderId="674" xfId="0" applyFont="1" applyFill="1" applyBorder="1" applyAlignment="1">
      <alignment horizontal="center" vertical="center"/>
    </xf>
    <xf numFmtId="0" fontId="52" fillId="17" borderId="770" xfId="0" applyFont="1" applyFill="1" applyBorder="1" applyAlignment="1">
      <alignment horizontal="center" vertical="center"/>
    </xf>
    <xf numFmtId="0" fontId="52" fillId="0" borderId="770" xfId="0" applyFont="1" applyBorder="1" applyAlignment="1">
      <alignment horizontal="center" vertical="center"/>
    </xf>
    <xf numFmtId="0" fontId="52" fillId="0" borderId="737" xfId="0" applyFont="1" applyBorder="1" applyAlignment="1">
      <alignment horizontal="center" vertical="center"/>
    </xf>
    <xf numFmtId="0" fontId="52" fillId="0" borderId="738" xfId="0" applyFont="1" applyBorder="1" applyAlignment="1">
      <alignment horizontal="center" vertical="center"/>
    </xf>
    <xf numFmtId="0" fontId="52" fillId="4" borderId="662" xfId="0" applyFont="1" applyFill="1" applyBorder="1" applyAlignment="1">
      <alignment horizontal="center" vertical="center"/>
    </xf>
    <xf numFmtId="0" fontId="52" fillId="4" borderId="738" xfId="0" applyFont="1" applyFill="1" applyBorder="1" applyAlignment="1">
      <alignment horizontal="center" vertical="center"/>
    </xf>
    <xf numFmtId="0" fontId="219" fillId="39" borderId="662" xfId="0" applyFont="1" applyFill="1" applyBorder="1" applyAlignment="1">
      <alignment horizontal="center" vertical="center" wrapText="1"/>
    </xf>
    <xf numFmtId="168" fontId="54" fillId="39" borderId="134" xfId="0" applyNumberFormat="1" applyFont="1" applyFill="1" applyBorder="1" applyAlignment="1">
      <alignment vertical="center"/>
    </xf>
    <xf numFmtId="168" fontId="54" fillId="14" borderId="662" xfId="0" applyNumberFormat="1" applyFont="1" applyFill="1" applyBorder="1" applyAlignment="1">
      <alignment vertical="center"/>
    </xf>
    <xf numFmtId="168" fontId="54" fillId="39" borderId="34" xfId="16" applyNumberFormat="1" applyFont="1" applyFill="1" applyBorder="1" applyAlignment="1">
      <alignment horizontal="right" vertical="center"/>
    </xf>
    <xf numFmtId="168" fontId="54" fillId="39" borderId="182" xfId="0" applyNumberFormat="1" applyFont="1" applyFill="1" applyBorder="1" applyAlignment="1">
      <alignment vertical="center"/>
    </xf>
    <xf numFmtId="168" fontId="54" fillId="39" borderId="962" xfId="0" applyNumberFormat="1" applyFont="1" applyFill="1" applyBorder="1" applyAlignment="1">
      <alignment vertical="center"/>
    </xf>
    <xf numFmtId="168" fontId="54" fillId="39" borderId="738" xfId="0" applyNumberFormat="1" applyFont="1" applyFill="1" applyBorder="1" applyAlignment="1">
      <alignment vertical="center"/>
    </xf>
    <xf numFmtId="168" fontId="52" fillId="0" borderId="662" xfId="0" applyNumberFormat="1" applyFont="1" applyBorder="1" applyAlignment="1">
      <alignment horizontal="center" vertical="center"/>
    </xf>
    <xf numFmtId="168" fontId="54" fillId="39" borderId="674" xfId="0" applyNumberFormat="1" applyFont="1" applyFill="1" applyBorder="1" applyAlignment="1">
      <alignment vertical="center"/>
    </xf>
    <xf numFmtId="168" fontId="52" fillId="39" borderId="737" xfId="0" applyNumberFormat="1" applyFont="1" applyFill="1" applyBorder="1" applyAlignment="1">
      <alignment vertical="center"/>
    </xf>
    <xf numFmtId="168" fontId="219" fillId="0" borderId="738" xfId="0" applyNumberFormat="1" applyFont="1" applyBorder="1" applyAlignment="1">
      <alignment vertical="center"/>
    </xf>
    <xf numFmtId="168" fontId="52" fillId="17" borderId="737" xfId="0" applyNumberFormat="1" applyFont="1" applyFill="1" applyBorder="1" applyAlignment="1">
      <alignment horizontal="center" vertical="center"/>
    </xf>
    <xf numFmtId="168" fontId="52" fillId="17" borderId="662" xfId="0" applyNumberFormat="1" applyFont="1" applyFill="1" applyBorder="1" applyAlignment="1">
      <alignment horizontal="center" vertical="center"/>
    </xf>
    <xf numFmtId="168" fontId="52" fillId="17" borderId="738" xfId="0" applyNumberFormat="1" applyFont="1" applyFill="1" applyBorder="1" applyAlignment="1">
      <alignment horizontal="center" vertical="center"/>
    </xf>
    <xf numFmtId="168" fontId="52" fillId="17" borderId="674" xfId="0" applyNumberFormat="1" applyFont="1" applyFill="1" applyBorder="1" applyAlignment="1">
      <alignment horizontal="center" vertical="center"/>
    </xf>
    <xf numFmtId="168" fontId="52" fillId="17" borderId="770" xfId="0" applyNumberFormat="1" applyFont="1" applyFill="1" applyBorder="1" applyAlignment="1">
      <alignment horizontal="center" vertical="center"/>
    </xf>
    <xf numFmtId="168" fontId="52" fillId="0" borderId="770" xfId="0" applyNumberFormat="1" applyFont="1" applyBorder="1" applyAlignment="1">
      <alignment horizontal="center" vertical="center"/>
    </xf>
    <xf numFmtId="168" fontId="52" fillId="0" borderId="737" xfId="0" applyNumberFormat="1" applyFont="1" applyBorder="1" applyAlignment="1">
      <alignment horizontal="center" vertical="center"/>
    </xf>
    <xf numFmtId="168" fontId="52" fillId="0" borderId="738" xfId="0" applyNumberFormat="1" applyFont="1" applyBorder="1" applyAlignment="1">
      <alignment horizontal="center" vertical="center"/>
    </xf>
    <xf numFmtId="168" fontId="52" fillId="4" borderId="662" xfId="0" applyNumberFormat="1" applyFont="1" applyFill="1" applyBorder="1" applyAlignment="1">
      <alignment horizontal="center" vertical="center"/>
    </xf>
    <xf numFmtId="168" fontId="52" fillId="4" borderId="738" xfId="0" applyNumberFormat="1" applyFont="1" applyFill="1" applyBorder="1" applyAlignment="1">
      <alignment horizontal="center" vertical="center"/>
    </xf>
    <xf numFmtId="168" fontId="54" fillId="39" borderId="770" xfId="0" applyNumberFormat="1" applyFont="1" applyFill="1" applyBorder="1" applyAlignment="1">
      <alignment vertical="center"/>
    </xf>
    <xf numFmtId="168" fontId="52" fillId="39" borderId="770" xfId="0" applyNumberFormat="1" applyFont="1" applyFill="1" applyBorder="1" applyAlignment="1">
      <alignment vertical="center"/>
    </xf>
    <xf numFmtId="168" fontId="130" fillId="17" borderId="737" xfId="0" applyNumberFormat="1" applyFont="1" applyFill="1" applyBorder="1" applyAlignment="1">
      <alignment vertical="center"/>
    </xf>
    <xf numFmtId="168" fontId="54" fillId="17" borderId="662" xfId="0" applyNumberFormat="1" applyFont="1" applyFill="1" applyBorder="1" applyAlignment="1">
      <alignment horizontal="center" vertical="center"/>
    </xf>
    <xf numFmtId="168" fontId="54" fillId="17" borderId="770" xfId="0" applyNumberFormat="1" applyFont="1" applyFill="1" applyBorder="1" applyAlignment="1">
      <alignment horizontal="center" vertical="center"/>
    </xf>
    <xf numFmtId="168" fontId="54" fillId="17" borderId="738" xfId="0" applyNumberFormat="1" applyFont="1" applyFill="1" applyBorder="1" applyAlignment="1">
      <alignment horizontal="center" vertical="center"/>
    </xf>
    <xf numFmtId="49" fontId="52" fillId="4" borderId="662" xfId="0" applyNumberFormat="1" applyFont="1" applyFill="1" applyBorder="1" applyAlignment="1">
      <alignment vertical="center"/>
    </xf>
    <xf numFmtId="49" fontId="52" fillId="4" borderId="770" xfId="0" applyNumberFormat="1" applyFont="1" applyFill="1" applyBorder="1" applyAlignment="1">
      <alignment vertical="center"/>
    </xf>
    <xf numFmtId="49" fontId="52" fillId="39" borderId="674" xfId="0" applyNumberFormat="1" applyFont="1" applyFill="1" applyBorder="1" applyAlignment="1">
      <alignment horizontal="center" vertical="center"/>
    </xf>
    <xf numFmtId="49" fontId="52" fillId="39" borderId="662" xfId="0" applyNumberFormat="1" applyFont="1" applyFill="1" applyBorder="1" applyAlignment="1">
      <alignment vertical="center"/>
    </xf>
    <xf numFmtId="49" fontId="52" fillId="39" borderId="770" xfId="0" applyNumberFormat="1" applyFont="1" applyFill="1" applyBorder="1" applyAlignment="1">
      <alignment vertical="center"/>
    </xf>
    <xf numFmtId="49" fontId="130" fillId="17" borderId="737" xfId="0" applyNumberFormat="1" applyFont="1" applyFill="1" applyBorder="1" applyAlignment="1">
      <alignment horizontal="center" vertical="center"/>
    </xf>
    <xf numFmtId="49" fontId="130" fillId="0" borderId="662" xfId="0" applyNumberFormat="1" applyFont="1" applyBorder="1" applyAlignment="1">
      <alignment horizontal="center" vertical="center"/>
    </xf>
    <xf numFmtId="168" fontId="52" fillId="12" borderId="1020" xfId="0" applyNumberFormat="1" applyFont="1" applyFill="1" applyBorder="1" applyAlignment="1">
      <alignment horizontal="right" vertical="center"/>
    </xf>
    <xf numFmtId="168" fontId="52" fillId="2" borderId="1024" xfId="0" applyNumberFormat="1" applyFont="1" applyFill="1" applyBorder="1" applyAlignment="1">
      <alignment horizontal="right" vertical="center"/>
    </xf>
    <xf numFmtId="0" fontId="225" fillId="0" borderId="662" xfId="0" applyFont="1" applyBorder="1" applyAlignment="1">
      <alignment horizontal="center" vertical="center"/>
    </xf>
    <xf numFmtId="0" fontId="228" fillId="0" borderId="662" xfId="0" applyFont="1" applyBorder="1" applyAlignment="1">
      <alignment horizontal="center" vertical="center"/>
    </xf>
    <xf numFmtId="0" fontId="39" fillId="39" borderId="674" xfId="0" applyFont="1" applyFill="1" applyBorder="1" applyAlignment="1">
      <alignment horizontal="center" vertical="center"/>
    </xf>
    <xf numFmtId="0" fontId="68" fillId="14" borderId="662" xfId="0" applyFont="1" applyFill="1" applyBorder="1" applyAlignment="1">
      <alignment horizontal="center" vertical="center"/>
    </xf>
    <xf numFmtId="0" fontId="68" fillId="0" borderId="662" xfId="0" applyFont="1" applyBorder="1" applyAlignment="1">
      <alignment vertical="center"/>
    </xf>
    <xf numFmtId="0" fontId="68" fillId="0" borderId="737" xfId="0" applyFont="1" applyBorder="1" applyAlignment="1">
      <alignment vertical="center"/>
    </xf>
    <xf numFmtId="0" fontId="68" fillId="17" borderId="674" xfId="0" applyFont="1" applyFill="1" applyBorder="1" applyAlignment="1">
      <alignment vertical="center"/>
    </xf>
    <xf numFmtId="0" fontId="39" fillId="17" borderId="662" xfId="0" applyFont="1" applyFill="1" applyBorder="1" applyAlignment="1">
      <alignment vertical="center"/>
    </xf>
    <xf numFmtId="0" fontId="68" fillId="17" borderId="662" xfId="0" applyFont="1" applyFill="1" applyBorder="1" applyAlignment="1">
      <alignment vertical="center"/>
    </xf>
    <xf numFmtId="0" fontId="39" fillId="17" borderId="770" xfId="0" applyFont="1" applyFill="1" applyBorder="1" applyAlignment="1">
      <alignment vertical="center"/>
    </xf>
    <xf numFmtId="0" fontId="181" fillId="0" borderId="674" xfId="0" applyFont="1" applyBorder="1" applyAlignment="1">
      <alignment horizontal="center" vertical="center"/>
    </xf>
    <xf numFmtId="2" fontId="68" fillId="0" borderId="662" xfId="0" applyNumberFormat="1" applyFont="1" applyBorder="1" applyAlignment="1">
      <alignment horizontal="center" vertical="center"/>
    </xf>
    <xf numFmtId="1" fontId="68" fillId="0" borderId="770" xfId="0" applyNumberFormat="1" applyFont="1" applyBorder="1" applyAlignment="1">
      <alignment horizontal="center" vertical="center"/>
    </xf>
    <xf numFmtId="0" fontId="219" fillId="0" borderId="662" xfId="0" applyFont="1" applyBorder="1" applyAlignment="1">
      <alignment horizontal="center" vertical="center" wrapText="1"/>
    </xf>
    <xf numFmtId="0" fontId="219" fillId="0" borderId="674" xfId="0" applyFont="1" applyBorder="1" applyAlignment="1">
      <alignment horizontal="center" vertical="center" wrapText="1"/>
    </xf>
    <xf numFmtId="0" fontId="106" fillId="39" borderId="662" xfId="0" applyFont="1" applyFill="1" applyBorder="1" applyAlignment="1">
      <alignment horizontal="center" vertical="center" wrapText="1"/>
    </xf>
    <xf numFmtId="0" fontId="52" fillId="0" borderId="737" xfId="0" applyFont="1" applyBorder="1" applyAlignment="1">
      <alignment horizontal="center" vertical="center" wrapText="1"/>
    </xf>
    <xf numFmtId="0" fontId="54" fillId="0" borderId="738" xfId="0" applyFont="1" applyBorder="1" applyAlignment="1">
      <alignment horizontal="center" vertical="center"/>
    </xf>
    <xf numFmtId="168" fontId="52" fillId="52" borderId="920" xfId="0" applyNumberFormat="1" applyFont="1" applyFill="1" applyBorder="1" applyAlignment="1">
      <alignment horizontal="right" vertical="center"/>
    </xf>
    <xf numFmtId="168" fontId="52" fillId="52" borderId="923" xfId="0" applyNumberFormat="1" applyFont="1" applyFill="1" applyBorder="1" applyAlignment="1">
      <alignment horizontal="right" vertical="center"/>
    </xf>
    <xf numFmtId="49" fontId="52" fillId="52" borderId="920" xfId="0" applyNumberFormat="1" applyFont="1" applyFill="1" applyBorder="1" applyAlignment="1">
      <alignment horizontal="center" vertical="center" wrapText="1"/>
    </xf>
    <xf numFmtId="49" fontId="52" fillId="52" borderId="920" xfId="0" applyNumberFormat="1" applyFont="1" applyFill="1" applyBorder="1" applyAlignment="1">
      <alignment horizontal="center" vertical="center"/>
    </xf>
    <xf numFmtId="49" fontId="220" fillId="0" borderId="662" xfId="0" applyNumberFormat="1" applyFont="1" applyBorder="1" applyAlignment="1">
      <alignment horizontal="center" vertical="center"/>
    </xf>
    <xf numFmtId="49" fontId="54" fillId="0" borderId="662" xfId="0" applyNumberFormat="1" applyFont="1" applyBorder="1" applyAlignment="1">
      <alignment horizontal="center" vertical="center"/>
    </xf>
    <xf numFmtId="49" fontId="52" fillId="14" borderId="662" xfId="0" applyNumberFormat="1" applyFont="1" applyFill="1" applyBorder="1" applyAlignment="1">
      <alignment horizontal="center" vertical="center"/>
    </xf>
    <xf numFmtId="49" fontId="130" fillId="39" borderId="662" xfId="0" applyNumberFormat="1" applyFont="1" applyFill="1" applyBorder="1" applyAlignment="1">
      <alignment horizontal="center" vertical="center"/>
    </xf>
    <xf numFmtId="49" fontId="52" fillId="39" borderId="770" xfId="0" applyNumberFormat="1" applyFont="1" applyFill="1" applyBorder="1" applyAlignment="1">
      <alignment horizontal="center" vertical="center"/>
    </xf>
    <xf numFmtId="49" fontId="54" fillId="0" borderId="738" xfId="0" applyNumberFormat="1" applyFont="1" applyBorder="1" applyAlignment="1">
      <alignment horizontal="center" vertical="center"/>
    </xf>
    <xf numFmtId="168" fontId="219" fillId="0" borderId="674" xfId="0" applyNumberFormat="1" applyFont="1" applyBorder="1" applyAlignment="1">
      <alignment horizontal="right" vertical="center"/>
    </xf>
    <xf numFmtId="168" fontId="220" fillId="0" borderId="674" xfId="0" applyNumberFormat="1" applyFont="1" applyBorder="1" applyAlignment="1">
      <alignment horizontal="right" vertical="center"/>
    </xf>
    <xf numFmtId="168" fontId="52" fillId="14" borderId="662" xfId="0" applyNumberFormat="1" applyFont="1" applyFill="1" applyBorder="1" applyAlignment="1">
      <alignment horizontal="right" vertical="center"/>
    </xf>
    <xf numFmtId="168" fontId="106" fillId="39" borderId="662" xfId="0" applyNumberFormat="1" applyFont="1" applyFill="1" applyBorder="1" applyAlignment="1">
      <alignment vertical="center"/>
    </xf>
    <xf numFmtId="168" fontId="52" fillId="39" borderId="770" xfId="0" applyNumberFormat="1" applyFont="1" applyFill="1" applyBorder="1" applyAlignment="1">
      <alignment horizontal="right" vertical="center"/>
    </xf>
    <xf numFmtId="168" fontId="52" fillId="52" borderId="920" xfId="0" applyNumberFormat="1" applyFont="1" applyFill="1" applyBorder="1" applyAlignment="1">
      <alignment horizontal="center" vertical="center"/>
    </xf>
    <xf numFmtId="168" fontId="54" fillId="0" borderId="344" xfId="0" applyNumberFormat="1" applyFont="1" applyBorder="1"/>
    <xf numFmtId="4" fontId="192" fillId="29" borderId="427" xfId="10" applyNumberFormat="1" applyFont="1" applyFill="1" applyBorder="1" applyAlignment="1">
      <alignment vertical="center" wrapText="1"/>
    </xf>
    <xf numFmtId="4" fontId="52" fillId="2" borderId="350" xfId="0" applyNumberFormat="1" applyFont="1" applyFill="1" applyBorder="1" applyAlignment="1">
      <alignment vertical="center" wrapText="1"/>
    </xf>
    <xf numFmtId="4" fontId="192" fillId="29" borderId="427" xfId="10" applyNumberFormat="1" applyFont="1" applyFill="1" applyBorder="1" applyAlignment="1">
      <alignment horizontal="left" vertical="center" indent="1"/>
    </xf>
    <xf numFmtId="4" fontId="192" fillId="29" borderId="476" xfId="10" applyNumberFormat="1" applyFont="1" applyFill="1" applyBorder="1" applyAlignment="1">
      <alignment horizontal="left" vertical="center" indent="1"/>
    </xf>
    <xf numFmtId="168" fontId="192" fillId="29" borderId="429" xfId="10" applyNumberFormat="1" applyFont="1" applyFill="1" applyBorder="1" applyAlignment="1">
      <alignment horizontal="right" vertical="center"/>
    </xf>
    <xf numFmtId="168" fontId="52" fillId="2" borderId="116" xfId="0" applyNumberFormat="1" applyFont="1" applyFill="1" applyBorder="1" applyAlignment="1">
      <alignment horizontal="right" vertical="center"/>
    </xf>
    <xf numFmtId="168" fontId="52" fillId="52" borderId="925" xfId="0" applyNumberFormat="1" applyFont="1" applyFill="1" applyBorder="1" applyAlignment="1">
      <alignment horizontal="right" vertical="center"/>
    </xf>
    <xf numFmtId="168" fontId="54" fillId="0" borderId="405" xfId="2" applyNumberFormat="1" applyFont="1" applyBorder="1" applyAlignment="1">
      <alignment vertical="center"/>
    </xf>
    <xf numFmtId="168" fontId="52" fillId="0" borderId="405" xfId="2" applyNumberFormat="1" applyFont="1" applyBorder="1" applyAlignment="1">
      <alignment vertical="center"/>
    </xf>
    <xf numFmtId="168" fontId="54" fillId="0" borderId="411" xfId="2" applyNumberFormat="1" applyFont="1" applyBorder="1" applyAlignment="1">
      <alignment vertical="center"/>
    </xf>
    <xf numFmtId="168" fontId="52" fillId="0" borderId="411" xfId="2" applyNumberFormat="1" applyFont="1" applyBorder="1" applyAlignment="1">
      <alignment vertical="center"/>
    </xf>
    <xf numFmtId="168" fontId="54" fillId="0" borderId="414" xfId="2" applyNumberFormat="1" applyFont="1" applyBorder="1" applyAlignment="1">
      <alignment vertical="center"/>
    </xf>
    <xf numFmtId="168" fontId="52" fillId="0" borderId="414" xfId="2" applyNumberFormat="1" applyFont="1" applyBorder="1" applyAlignment="1">
      <alignment vertical="center"/>
    </xf>
    <xf numFmtId="168" fontId="54" fillId="0" borderId="418" xfId="2" applyNumberFormat="1" applyFont="1" applyBorder="1" applyAlignment="1">
      <alignment vertical="center"/>
    </xf>
    <xf numFmtId="168" fontId="52" fillId="0" borderId="418" xfId="2" applyNumberFormat="1" applyFont="1" applyBorder="1" applyAlignment="1">
      <alignment vertical="center"/>
    </xf>
    <xf numFmtId="168" fontId="54" fillId="0" borderId="415" xfId="2" applyNumberFormat="1" applyFont="1" applyBorder="1" applyAlignment="1">
      <alignment vertical="center"/>
    </xf>
    <xf numFmtId="168" fontId="52" fillId="0" borderId="415" xfId="2" applyNumberFormat="1" applyFont="1" applyBorder="1" applyAlignment="1">
      <alignment vertical="center"/>
    </xf>
    <xf numFmtId="168" fontId="98" fillId="0" borderId="424" xfId="2" applyNumberFormat="1" applyFont="1" applyBorder="1" applyAlignment="1">
      <alignment vertical="center"/>
    </xf>
    <xf numFmtId="168" fontId="192" fillId="0" borderId="424" xfId="2" applyNumberFormat="1" applyFont="1" applyBorder="1" applyAlignment="1">
      <alignment vertical="center"/>
    </xf>
    <xf numFmtId="168" fontId="98" fillId="0" borderId="411" xfId="2" applyNumberFormat="1" applyFont="1" applyBorder="1" applyAlignment="1">
      <alignment vertical="center"/>
    </xf>
    <xf numFmtId="168" fontId="192" fillId="0" borderId="411" xfId="2" applyNumberFormat="1" applyFont="1" applyBorder="1" applyAlignment="1">
      <alignment vertical="center"/>
    </xf>
    <xf numFmtId="168" fontId="98" fillId="0" borderId="415" xfId="2" applyNumberFormat="1" applyFont="1" applyBorder="1" applyAlignment="1">
      <alignment vertical="center"/>
    </xf>
    <xf numFmtId="168" fontId="192" fillId="0" borderId="415" xfId="2" applyNumberFormat="1" applyFont="1" applyBorder="1" applyAlignment="1">
      <alignment vertical="center"/>
    </xf>
    <xf numFmtId="168" fontId="54" fillId="0" borderId="424" xfId="2" applyNumberFormat="1" applyFont="1" applyBorder="1" applyAlignment="1">
      <alignment vertical="center"/>
    </xf>
    <xf numFmtId="168" fontId="98" fillId="17" borderId="411" xfId="2" applyNumberFormat="1" applyFont="1" applyFill="1" applyBorder="1" applyAlignment="1">
      <alignment vertical="center"/>
    </xf>
    <xf numFmtId="168" fontId="54" fillId="17" borderId="411" xfId="2" applyNumberFormat="1" applyFont="1" applyFill="1" applyBorder="1" applyAlignment="1">
      <alignment vertical="center"/>
    </xf>
    <xf numFmtId="168" fontId="192" fillId="17" borderId="411" xfId="2" applyNumberFormat="1" applyFont="1" applyFill="1" applyBorder="1" applyAlignment="1">
      <alignment vertical="center"/>
    </xf>
    <xf numFmtId="168" fontId="98" fillId="17" borderId="415" xfId="2" applyNumberFormat="1" applyFont="1" applyFill="1" applyBorder="1" applyAlignment="1">
      <alignment vertical="center"/>
    </xf>
    <xf numFmtId="168" fontId="54" fillId="17" borderId="415" xfId="2" applyNumberFormat="1" applyFont="1" applyFill="1" applyBorder="1" applyAlignment="1">
      <alignment vertical="center"/>
    </xf>
    <xf numFmtId="168" fontId="192" fillId="17" borderId="415" xfId="2" applyNumberFormat="1" applyFont="1" applyFill="1" applyBorder="1" applyAlignment="1">
      <alignment vertical="center"/>
    </xf>
    <xf numFmtId="168" fontId="54" fillId="0" borderId="406" xfId="2" applyNumberFormat="1" applyFont="1" applyBorder="1" applyAlignment="1">
      <alignment vertical="center"/>
    </xf>
    <xf numFmtId="168" fontId="52" fillId="0" borderId="406" xfId="2" applyNumberFormat="1" applyFont="1" applyBorder="1" applyAlignment="1">
      <alignment vertical="center"/>
    </xf>
    <xf numFmtId="168" fontId="52" fillId="17" borderId="411" xfId="2" applyNumberFormat="1" applyFont="1" applyFill="1" applyBorder="1" applyAlignment="1">
      <alignment vertical="center"/>
    </xf>
    <xf numFmtId="168" fontId="54" fillId="17" borderId="418" xfId="2" applyNumberFormat="1" applyFont="1" applyFill="1" applyBorder="1" applyAlignment="1">
      <alignment vertical="center"/>
    </xf>
    <xf numFmtId="168" fontId="52" fillId="17" borderId="415" xfId="2" applyNumberFormat="1" applyFont="1" applyFill="1" applyBorder="1" applyAlignment="1">
      <alignment vertical="center"/>
    </xf>
    <xf numFmtId="168" fontId="52" fillId="39" borderId="424" xfId="2" applyNumberFormat="1" applyFont="1" applyFill="1" applyBorder="1" applyAlignment="1">
      <alignment vertical="center"/>
    </xf>
    <xf numFmtId="168" fontId="54" fillId="0" borderId="415" xfId="2" applyNumberFormat="1" applyFont="1" applyBorder="1" applyAlignment="1">
      <alignment horizontal="right"/>
    </xf>
    <xf numFmtId="168" fontId="98" fillId="17" borderId="418" xfId="2" applyNumberFormat="1" applyFont="1" applyFill="1" applyBorder="1" applyAlignment="1">
      <alignment vertical="center"/>
    </xf>
    <xf numFmtId="168" fontId="192" fillId="17" borderId="418" xfId="2" applyNumberFormat="1" applyFont="1" applyFill="1" applyBorder="1" applyAlignment="1">
      <alignment vertical="center"/>
    </xf>
    <xf numFmtId="168" fontId="52" fillId="0" borderId="424" xfId="2" applyNumberFormat="1" applyFont="1" applyBorder="1" applyAlignment="1">
      <alignment vertical="center"/>
    </xf>
    <xf numFmtId="168" fontId="98" fillId="0" borderId="418" xfId="2" applyNumberFormat="1" applyFont="1" applyBorder="1" applyAlignment="1">
      <alignment vertical="center"/>
    </xf>
    <xf numFmtId="168" fontId="192" fillId="0" borderId="418" xfId="2" applyNumberFormat="1" applyFont="1" applyBorder="1" applyAlignment="1">
      <alignment vertical="center"/>
    </xf>
    <xf numFmtId="168" fontId="52" fillId="17" borderId="418" xfId="2" applyNumberFormat="1" applyFont="1" applyFill="1" applyBorder="1" applyAlignment="1">
      <alignment vertical="center"/>
    </xf>
    <xf numFmtId="168" fontId="54" fillId="0" borderId="411" xfId="2" applyNumberFormat="1" applyFont="1" applyBorder="1"/>
    <xf numFmtId="168" fontId="54" fillId="0" borderId="463" xfId="2" applyNumberFormat="1" applyFont="1" applyBorder="1" applyAlignment="1">
      <alignment vertical="center"/>
    </xf>
    <xf numFmtId="168" fontId="52" fillId="0" borderId="463" xfId="2" applyNumberFormat="1" applyFont="1" applyBorder="1" applyAlignment="1">
      <alignment vertical="center"/>
    </xf>
    <xf numFmtId="0" fontId="129" fillId="39" borderId="674" xfId="15" applyFont="1" applyFill="1" applyBorder="1" applyAlignment="1">
      <alignment horizontal="center" vertical="center"/>
    </xf>
    <xf numFmtId="0" fontId="129" fillId="39" borderId="674" xfId="15" applyFont="1" applyFill="1" applyBorder="1" applyAlignment="1">
      <alignment vertical="center"/>
    </xf>
    <xf numFmtId="0" fontId="101" fillId="39" borderId="662" xfId="15" applyFont="1" applyFill="1" applyBorder="1" applyAlignment="1">
      <alignment vertical="center"/>
    </xf>
    <xf numFmtId="0" fontId="129" fillId="17" borderId="662" xfId="15" applyFont="1" applyFill="1" applyBorder="1" applyAlignment="1">
      <alignment vertical="center" wrapText="1"/>
    </xf>
    <xf numFmtId="0" fontId="101" fillId="17" borderId="662" xfId="15" applyFont="1" applyFill="1" applyBorder="1" applyAlignment="1">
      <alignment wrapText="1"/>
    </xf>
    <xf numFmtId="0" fontId="129" fillId="17" borderId="738" xfId="15" applyFont="1" applyFill="1" applyBorder="1" applyAlignment="1">
      <alignment horizontal="center" vertical="center"/>
    </xf>
    <xf numFmtId="0" fontId="101" fillId="17" borderId="674" xfId="15" applyFont="1" applyFill="1" applyBorder="1" applyAlignment="1">
      <alignment horizontal="center" vertical="center"/>
    </xf>
    <xf numFmtId="0" fontId="129" fillId="17" borderId="770" xfId="15" applyFont="1" applyFill="1" applyBorder="1" applyAlignment="1">
      <alignment horizontal="center" vertical="center"/>
    </xf>
    <xf numFmtId="0" fontId="101" fillId="0" borderId="829" xfId="15" applyFont="1" applyBorder="1" applyAlignment="1">
      <alignment horizontal="center" vertical="center"/>
    </xf>
    <xf numFmtId="0" fontId="101" fillId="3" borderId="738" xfId="15" applyFont="1" applyFill="1" applyBorder="1" applyAlignment="1">
      <alignment horizontal="center" vertical="center"/>
    </xf>
    <xf numFmtId="0" fontId="129" fillId="3" borderId="674" xfId="15" applyFont="1" applyFill="1" applyBorder="1" applyAlignment="1">
      <alignment horizontal="center" vertical="center"/>
    </xf>
    <xf numFmtId="0" fontId="129" fillId="3" borderId="662" xfId="15" applyFont="1" applyFill="1" applyBorder="1" applyAlignment="1">
      <alignment horizontal="center" vertical="center"/>
    </xf>
    <xf numFmtId="0" fontId="101" fillId="3" borderId="817" xfId="15" applyFont="1" applyFill="1" applyBorder="1" applyAlignment="1">
      <alignment horizontal="center" vertical="center" wrapText="1"/>
    </xf>
    <xf numFmtId="0" fontId="101" fillId="3" borderId="669" xfId="15" applyFont="1" applyFill="1" applyBorder="1" applyAlignment="1">
      <alignment horizontal="center" vertical="center" wrapText="1"/>
    </xf>
    <xf numFmtId="0" fontId="101" fillId="0" borderId="669" xfId="15" applyFont="1" applyBorder="1" applyAlignment="1">
      <alignment horizontal="center" vertical="center" wrapText="1"/>
    </xf>
    <xf numFmtId="0" fontId="101" fillId="0" borderId="817" xfId="15" applyFont="1" applyBorder="1" applyAlignment="1">
      <alignment horizontal="center" vertical="center" wrapText="1"/>
    </xf>
    <xf numFmtId="0" fontId="101" fillId="0" borderId="826" xfId="15" applyFont="1" applyBorder="1" applyAlignment="1">
      <alignment horizontal="center" vertical="center" wrapText="1"/>
    </xf>
    <xf numFmtId="0" fontId="106" fillId="39" borderId="662" xfId="15" applyFont="1" applyFill="1" applyBorder="1" applyAlignment="1">
      <alignment horizontal="center" vertical="center" wrapText="1"/>
    </xf>
    <xf numFmtId="0" fontId="219" fillId="0" borderId="662" xfId="15" applyFont="1" applyBorder="1" applyAlignment="1">
      <alignment horizontal="center" vertical="center" wrapText="1"/>
    </xf>
    <xf numFmtId="0" fontId="219" fillId="0" borderId="738" xfId="15" applyFont="1" applyBorder="1" applyAlignment="1">
      <alignment horizontal="center" vertical="center" wrapText="1"/>
    </xf>
    <xf numFmtId="0" fontId="106" fillId="0" borderId="674" xfId="15" applyFont="1" applyBorder="1" applyAlignment="1">
      <alignment vertical="center" wrapText="1"/>
    </xf>
    <xf numFmtId="0" fontId="106" fillId="17" borderId="662" xfId="15" applyFont="1" applyFill="1" applyBorder="1" applyAlignment="1">
      <alignment vertical="center" wrapText="1"/>
    </xf>
    <xf numFmtId="0" fontId="106" fillId="17" borderId="770" xfId="15" applyFont="1" applyFill="1" applyBorder="1" applyAlignment="1">
      <alignment vertical="center" wrapText="1"/>
    </xf>
    <xf numFmtId="0" fontId="106" fillId="17" borderId="737" xfId="15" applyFont="1" applyFill="1" applyBorder="1" applyAlignment="1">
      <alignment vertical="center" wrapText="1"/>
    </xf>
    <xf numFmtId="0" fontId="106" fillId="17" borderId="738" xfId="15" applyFont="1" applyFill="1" applyBorder="1" applyAlignment="1">
      <alignment vertical="center" wrapText="1"/>
    </xf>
    <xf numFmtId="0" fontId="106" fillId="0" borderId="770" xfId="15" applyFont="1" applyBorder="1" applyAlignment="1">
      <alignment vertical="center" wrapText="1"/>
    </xf>
    <xf numFmtId="0" fontId="106" fillId="0" borderId="737" xfId="15" applyFont="1" applyBorder="1" applyAlignment="1">
      <alignment vertical="center" wrapText="1"/>
    </xf>
    <xf numFmtId="0" fontId="106" fillId="0" borderId="662" xfId="15" applyFont="1" applyBorder="1" applyAlignment="1">
      <alignment vertical="center" wrapText="1"/>
    </xf>
    <xf numFmtId="0" fontId="106" fillId="0" borderId="738" xfId="15" applyFont="1" applyBorder="1" applyAlignment="1">
      <alignment vertical="center" wrapText="1"/>
    </xf>
    <xf numFmtId="0" fontId="106" fillId="0" borderId="817" xfId="15" applyFont="1" applyBorder="1" applyAlignment="1">
      <alignment vertical="center" wrapText="1"/>
    </xf>
    <xf numFmtId="0" fontId="106" fillId="0" borderId="826" xfId="15" applyFont="1" applyBorder="1" applyAlignment="1">
      <alignment vertical="center" wrapText="1"/>
    </xf>
    <xf numFmtId="0" fontId="54" fillId="0" borderId="737" xfId="15" applyFont="1" applyBorder="1" applyAlignment="1">
      <alignment horizontal="center" vertical="center" wrapText="1"/>
    </xf>
    <xf numFmtId="0" fontId="54" fillId="0" borderId="662" xfId="15" applyFont="1" applyBorder="1" applyAlignment="1">
      <alignment horizontal="center" vertical="center" wrapText="1"/>
    </xf>
    <xf numFmtId="0" fontId="98" fillId="0" borderId="738" xfId="15" applyFont="1" applyBorder="1" applyAlignment="1">
      <alignment horizontal="center" vertical="center" wrapText="1"/>
    </xf>
    <xf numFmtId="0" fontId="106" fillId="14" borderId="662" xfId="15" applyFont="1" applyFill="1" applyBorder="1" applyAlignment="1">
      <alignment horizontal="center" vertical="center" wrapText="1"/>
    </xf>
    <xf numFmtId="0" fontId="54" fillId="0" borderId="674" xfId="15" applyFont="1" applyBorder="1" applyAlignment="1">
      <alignment horizontal="center" vertical="center" wrapText="1"/>
    </xf>
    <xf numFmtId="0" fontId="54" fillId="0" borderId="770" xfId="15" applyFont="1" applyBorder="1" applyAlignment="1">
      <alignment horizontal="center" vertical="center" wrapText="1"/>
    </xf>
    <xf numFmtId="0" fontId="106" fillId="0" borderId="933" xfId="15" applyFont="1" applyBorder="1" applyAlignment="1">
      <alignment horizontal="center" vertical="center" wrapText="1"/>
    </xf>
    <xf numFmtId="0" fontId="106" fillId="3" borderId="928" xfId="15" applyFont="1" applyFill="1" applyBorder="1" applyAlignment="1">
      <alignment horizontal="center" vertical="center" wrapText="1"/>
    </xf>
    <xf numFmtId="0" fontId="106" fillId="17" borderId="770" xfId="15" applyFont="1" applyFill="1" applyBorder="1" applyAlignment="1">
      <alignment horizontal="center" vertical="center" wrapText="1"/>
    </xf>
    <xf numFmtId="0" fontId="106" fillId="17" borderId="737" xfId="15" applyFont="1" applyFill="1" applyBorder="1" applyAlignment="1">
      <alignment horizontal="center" vertical="center" wrapText="1"/>
    </xf>
    <xf numFmtId="0" fontId="106" fillId="17" borderId="662" xfId="15" applyFont="1" applyFill="1" applyBorder="1" applyAlignment="1">
      <alignment horizontal="center" vertical="center" wrapText="1"/>
    </xf>
    <xf numFmtId="0" fontId="106" fillId="17" borderId="738" xfId="15" applyFont="1" applyFill="1" applyBorder="1" applyAlignment="1">
      <alignment horizontal="center" vertical="center" wrapText="1"/>
    </xf>
    <xf numFmtId="0" fontId="106" fillId="17" borderId="817" xfId="15" applyFont="1" applyFill="1" applyBorder="1" applyAlignment="1">
      <alignment horizontal="center" vertical="center" wrapText="1"/>
    </xf>
    <xf numFmtId="0" fontId="106" fillId="17" borderId="669" xfId="15" applyFont="1" applyFill="1" applyBorder="1" applyAlignment="1">
      <alignment horizontal="center" vertical="center" wrapText="1"/>
    </xf>
    <xf numFmtId="0" fontId="106" fillId="39" borderId="674" xfId="15" applyFont="1" applyFill="1" applyBorder="1" applyAlignment="1">
      <alignment vertical="center" wrapText="1"/>
    </xf>
    <xf numFmtId="0" fontId="106" fillId="0" borderId="662" xfId="15" applyFont="1" applyBorder="1" applyAlignment="1">
      <alignment vertical="center"/>
    </xf>
    <xf numFmtId="0" fontId="106" fillId="17" borderId="662" xfId="15" applyFont="1" applyFill="1" applyBorder="1" applyAlignment="1">
      <alignment wrapText="1"/>
    </xf>
    <xf numFmtId="0" fontId="106" fillId="17" borderId="674" xfId="15" applyFont="1" applyFill="1" applyBorder="1" applyAlignment="1">
      <alignment horizontal="center" vertical="center" wrapText="1"/>
    </xf>
    <xf numFmtId="0" fontId="106" fillId="0" borderId="829" xfId="15" applyFont="1" applyBorder="1" applyAlignment="1">
      <alignment horizontal="center" vertical="center" wrapText="1"/>
    </xf>
    <xf numFmtId="0" fontId="106" fillId="0" borderId="662" xfId="15" applyFont="1" applyBorder="1" applyAlignment="1">
      <alignment horizontal="center" vertical="center"/>
    </xf>
    <xf numFmtId="0" fontId="106" fillId="3" borderId="669" xfId="15" applyFont="1" applyFill="1" applyBorder="1" applyAlignment="1">
      <alignment horizontal="center" vertical="center"/>
    </xf>
    <xf numFmtId="168" fontId="106" fillId="0" borderId="674" xfId="15" applyNumberFormat="1" applyFont="1" applyBorder="1" applyAlignment="1">
      <alignment vertical="center"/>
    </xf>
    <xf numFmtId="168" fontId="130" fillId="0" borderId="674" xfId="15" applyNumberFormat="1" applyFont="1" applyBorder="1" applyAlignment="1">
      <alignment vertical="center"/>
    </xf>
    <xf numFmtId="168" fontId="130" fillId="39" borderId="674" xfId="15" applyNumberFormat="1" applyFont="1" applyFill="1" applyBorder="1" applyAlignment="1">
      <alignment vertical="center"/>
    </xf>
    <xf numFmtId="168" fontId="106" fillId="39" borderId="662" xfId="15" applyNumberFormat="1" applyFont="1" applyFill="1" applyBorder="1" applyAlignment="1">
      <alignment vertical="center"/>
    </xf>
    <xf numFmtId="168" fontId="130" fillId="0" borderId="662" xfId="15" applyNumberFormat="1" applyFont="1" applyBorder="1" applyAlignment="1">
      <alignment vertical="center"/>
    </xf>
    <xf numFmtId="168" fontId="106" fillId="0" borderId="662" xfId="15" applyNumberFormat="1" applyFont="1" applyBorder="1" applyAlignment="1">
      <alignment vertical="center"/>
    </xf>
    <xf numFmtId="168" fontId="106" fillId="0" borderId="770" xfId="15" applyNumberFormat="1" applyFont="1" applyBorder="1" applyAlignment="1">
      <alignment vertical="center"/>
    </xf>
    <xf numFmtId="168" fontId="130" fillId="0" borderId="770" xfId="15" applyNumberFormat="1" applyFont="1" applyBorder="1" applyAlignment="1">
      <alignment vertical="center"/>
    </xf>
    <xf numFmtId="168" fontId="106" fillId="0" borderId="737" xfId="15" applyNumberFormat="1" applyFont="1" applyBorder="1" applyAlignment="1">
      <alignment vertical="center"/>
    </xf>
    <xf numFmtId="168" fontId="130" fillId="0" borderId="737" xfId="15" applyNumberFormat="1" applyFont="1" applyBorder="1" applyAlignment="1">
      <alignment vertical="center"/>
    </xf>
    <xf numFmtId="168" fontId="220" fillId="0" borderId="662" xfId="15" applyNumberFormat="1" applyFont="1" applyBorder="1" applyAlignment="1">
      <alignment vertical="center"/>
    </xf>
    <xf numFmtId="168" fontId="106" fillId="0" borderId="738" xfId="15" applyNumberFormat="1" applyFont="1" applyBorder="1" applyAlignment="1">
      <alignment vertical="center"/>
    </xf>
    <xf numFmtId="168" fontId="130" fillId="0" borderId="738" xfId="15" applyNumberFormat="1" applyFont="1" applyBorder="1" applyAlignment="1">
      <alignment vertical="center"/>
    </xf>
    <xf numFmtId="168" fontId="106" fillId="17" borderId="662" xfId="15" applyNumberFormat="1" applyFont="1" applyFill="1" applyBorder="1" applyAlignment="1">
      <alignment vertical="center"/>
    </xf>
    <xf numFmtId="168" fontId="130" fillId="17" borderId="662" xfId="15" applyNumberFormat="1" applyFont="1" applyFill="1" applyBorder="1" applyAlignment="1">
      <alignment vertical="center"/>
    </xf>
    <xf numFmtId="168" fontId="106" fillId="17" borderId="770" xfId="15" applyNumberFormat="1" applyFont="1" applyFill="1" applyBorder="1" applyAlignment="1">
      <alignment vertical="center"/>
    </xf>
    <xf numFmtId="168" fontId="130" fillId="17" borderId="770" xfId="15" applyNumberFormat="1" applyFont="1" applyFill="1" applyBorder="1" applyAlignment="1">
      <alignment vertical="center"/>
    </xf>
    <xf numFmtId="168" fontId="106" fillId="17" borderId="737" xfId="15" applyNumberFormat="1" applyFont="1" applyFill="1" applyBorder="1" applyAlignment="1">
      <alignment vertical="center"/>
    </xf>
    <xf numFmtId="168" fontId="130" fillId="17" borderId="737" xfId="15" applyNumberFormat="1" applyFont="1" applyFill="1" applyBorder="1" applyAlignment="1">
      <alignment vertical="center"/>
    </xf>
    <xf numFmtId="168" fontId="106" fillId="17" borderId="738" xfId="15" applyNumberFormat="1" applyFont="1" applyFill="1" applyBorder="1" applyAlignment="1">
      <alignment vertical="center"/>
    </xf>
    <xf numFmtId="168" fontId="130" fillId="17" borderId="738" xfId="15" applyNumberFormat="1" applyFont="1" applyFill="1" applyBorder="1" applyAlignment="1">
      <alignment vertical="center"/>
    </xf>
    <xf numFmtId="168" fontId="130" fillId="39" borderId="662" xfId="15" applyNumberFormat="1" applyFont="1" applyFill="1" applyBorder="1" applyAlignment="1">
      <alignment vertical="center"/>
    </xf>
    <xf numFmtId="168" fontId="106" fillId="17" borderId="662" xfId="15" applyNumberFormat="1" applyFont="1" applyFill="1" applyBorder="1"/>
    <xf numFmtId="168" fontId="106" fillId="0" borderId="817" xfId="15" applyNumberFormat="1" applyFont="1" applyBorder="1" applyAlignment="1">
      <alignment vertical="center"/>
    </xf>
    <xf numFmtId="168" fontId="130" fillId="0" borderId="817" xfId="15" applyNumberFormat="1" applyFont="1" applyBorder="1" applyAlignment="1">
      <alignment vertical="center"/>
    </xf>
    <xf numFmtId="168" fontId="106" fillId="0" borderId="826" xfId="15" applyNumberFormat="1" applyFont="1" applyBorder="1" applyAlignment="1">
      <alignment vertical="center"/>
    </xf>
    <xf numFmtId="168" fontId="130" fillId="0" borderId="826" xfId="15" applyNumberFormat="1" applyFont="1" applyBorder="1" applyAlignment="1">
      <alignment vertical="center"/>
    </xf>
    <xf numFmtId="168" fontId="130" fillId="2" borderId="926" xfId="15" applyNumberFormat="1" applyFont="1" applyFill="1" applyBorder="1" applyAlignment="1">
      <alignment vertical="center"/>
    </xf>
    <xf numFmtId="168" fontId="106" fillId="0" borderId="928" xfId="15" applyNumberFormat="1" applyFont="1" applyBorder="1" applyAlignment="1">
      <alignment vertical="center"/>
    </xf>
    <xf numFmtId="168" fontId="130" fillId="0" borderId="928" xfId="15" applyNumberFormat="1" applyFont="1" applyBorder="1" applyAlignment="1">
      <alignment vertical="center"/>
    </xf>
    <xf numFmtId="168" fontId="106" fillId="17" borderId="674" xfId="15" applyNumberFormat="1" applyFont="1" applyFill="1" applyBorder="1" applyAlignment="1">
      <alignment vertical="center"/>
    </xf>
    <xf numFmtId="168" fontId="130" fillId="17" borderId="674" xfId="15" applyNumberFormat="1" applyFont="1" applyFill="1" applyBorder="1" applyAlignment="1">
      <alignment vertical="center"/>
    </xf>
    <xf numFmtId="168" fontId="54" fillId="0" borderId="737" xfId="15" applyNumberFormat="1" applyFont="1" applyBorder="1" applyAlignment="1">
      <alignment vertical="center"/>
    </xf>
    <xf numFmtId="168" fontId="52" fillId="0" borderId="737" xfId="15" applyNumberFormat="1" applyFont="1" applyBorder="1" applyAlignment="1">
      <alignment vertical="center"/>
    </xf>
    <xf numFmtId="168" fontId="54" fillId="0" borderId="662" xfId="15" applyNumberFormat="1" applyFont="1" applyBorder="1" applyAlignment="1">
      <alignment vertical="center"/>
    </xf>
    <xf numFmtId="168" fontId="52" fillId="0" borderId="662" xfId="15" applyNumberFormat="1" applyFont="1" applyBorder="1" applyAlignment="1">
      <alignment vertical="center"/>
    </xf>
    <xf numFmtId="168" fontId="106" fillId="39" borderId="770" xfId="15" applyNumberFormat="1" applyFont="1" applyFill="1" applyBorder="1" applyAlignment="1">
      <alignment vertical="center"/>
    </xf>
    <xf numFmtId="168" fontId="106" fillId="0" borderId="829" xfId="15" applyNumberFormat="1" applyFont="1" applyBorder="1" applyAlignment="1">
      <alignment vertical="center"/>
    </xf>
    <xf numFmtId="168" fontId="130" fillId="0" borderId="829" xfId="15" applyNumberFormat="1" applyFont="1" applyBorder="1" applyAlignment="1">
      <alignment vertical="center"/>
    </xf>
    <xf numFmtId="168" fontId="52" fillId="39" borderId="737" xfId="15" applyNumberFormat="1" applyFont="1" applyFill="1" applyBorder="1" applyAlignment="1">
      <alignment vertical="center"/>
    </xf>
    <xf numFmtId="168" fontId="54" fillId="39" borderId="662" xfId="15" applyNumberFormat="1" applyFont="1" applyFill="1" applyBorder="1" applyAlignment="1">
      <alignment vertical="center"/>
    </xf>
    <xf numFmtId="168" fontId="106" fillId="14" borderId="662" xfId="15" applyNumberFormat="1" applyFont="1" applyFill="1" applyBorder="1" applyAlignment="1">
      <alignment vertical="center"/>
    </xf>
    <xf numFmtId="168" fontId="130" fillId="14" borderId="662" xfId="15" applyNumberFormat="1" applyFont="1" applyFill="1" applyBorder="1" applyAlignment="1">
      <alignment vertical="center"/>
    </xf>
    <xf numFmtId="168" fontId="130" fillId="39" borderId="737" xfId="15" applyNumberFormat="1" applyFont="1" applyFill="1" applyBorder="1" applyAlignment="1">
      <alignment vertical="center"/>
    </xf>
    <xf numFmtId="168" fontId="106" fillId="39" borderId="738" xfId="15" applyNumberFormat="1" applyFont="1" applyFill="1" applyBorder="1" applyAlignment="1">
      <alignment vertical="center"/>
    </xf>
    <xf numFmtId="168" fontId="54" fillId="0" borderId="674" xfId="15" applyNumberFormat="1" applyFont="1" applyBorder="1" applyAlignment="1">
      <alignment vertical="center"/>
    </xf>
    <xf numFmtId="168" fontId="52" fillId="39" borderId="674" xfId="15" applyNumberFormat="1" applyFont="1" applyFill="1" applyBorder="1" applyAlignment="1">
      <alignment vertical="center"/>
    </xf>
    <xf numFmtId="168" fontId="54" fillId="39" borderId="770" xfId="15" applyNumberFormat="1" applyFont="1" applyFill="1" applyBorder="1" applyAlignment="1">
      <alignment vertical="center"/>
    </xf>
    <xf numFmtId="168" fontId="52" fillId="0" borderId="770" xfId="15" applyNumberFormat="1" applyFont="1" applyBorder="1" applyAlignment="1">
      <alignment vertical="center"/>
    </xf>
    <xf numFmtId="168" fontId="52" fillId="0" borderId="674" xfId="15" applyNumberFormat="1" applyFont="1" applyBorder="1" applyAlignment="1">
      <alignment vertical="center"/>
    </xf>
    <xf numFmtId="168" fontId="106" fillId="3" borderId="662" xfId="15" applyNumberFormat="1" applyFont="1" applyFill="1" applyBorder="1" applyAlignment="1">
      <alignment vertical="center"/>
    </xf>
    <xf numFmtId="168" fontId="130" fillId="3" borderId="662" xfId="15" applyNumberFormat="1" applyFont="1" applyFill="1" applyBorder="1" applyAlignment="1">
      <alignment vertical="center"/>
    </xf>
    <xf numFmtId="168" fontId="106" fillId="3" borderId="738" xfId="15" applyNumberFormat="1" applyFont="1" applyFill="1" applyBorder="1" applyAlignment="1">
      <alignment vertical="center"/>
    </xf>
    <xf numFmtId="168" fontId="130" fillId="3" borderId="738" xfId="15" applyNumberFormat="1" applyFont="1" applyFill="1" applyBorder="1" applyAlignment="1">
      <alignment vertical="center"/>
    </xf>
    <xf numFmtId="168" fontId="106" fillId="3" borderId="674" xfId="15" applyNumberFormat="1" applyFont="1" applyFill="1" applyBorder="1" applyAlignment="1">
      <alignment vertical="center"/>
    </xf>
    <xf numFmtId="168" fontId="130" fillId="3" borderId="674" xfId="15" applyNumberFormat="1" applyFont="1" applyFill="1" applyBorder="1" applyAlignment="1">
      <alignment vertical="center"/>
    </xf>
    <xf numFmtId="168" fontId="130" fillId="2" borderId="926" xfId="15" applyNumberFormat="1" applyFont="1" applyFill="1" applyBorder="1" applyAlignment="1">
      <alignment horizontal="right" vertical="center"/>
    </xf>
    <xf numFmtId="168" fontId="106" fillId="0" borderId="933" xfId="15" applyNumberFormat="1" applyFont="1" applyBorder="1" applyAlignment="1">
      <alignment vertical="center"/>
    </xf>
    <xf numFmtId="168" fontId="130" fillId="0" borderId="933" xfId="15" applyNumberFormat="1" applyFont="1" applyBorder="1" applyAlignment="1">
      <alignment vertical="center"/>
    </xf>
    <xf numFmtId="168" fontId="106" fillId="0" borderId="669" xfId="15" applyNumberFormat="1" applyFont="1" applyBorder="1" applyAlignment="1">
      <alignment vertical="center"/>
    </xf>
    <xf numFmtId="168" fontId="130" fillId="0" borderId="669" xfId="15" applyNumberFormat="1" applyFont="1" applyBorder="1" applyAlignment="1">
      <alignment vertical="center"/>
    </xf>
    <xf numFmtId="168" fontId="106" fillId="3" borderId="669" xfId="15" applyNumberFormat="1" applyFont="1" applyFill="1" applyBorder="1" applyAlignment="1">
      <alignment vertical="center"/>
    </xf>
    <xf numFmtId="168" fontId="130" fillId="3" borderId="669" xfId="15" applyNumberFormat="1" applyFont="1" applyFill="1" applyBorder="1" applyAlignment="1">
      <alignment vertical="center"/>
    </xf>
    <xf numFmtId="168" fontId="106" fillId="3" borderId="817" xfId="15" applyNumberFormat="1" applyFont="1" applyFill="1" applyBorder="1" applyAlignment="1">
      <alignment vertical="center"/>
    </xf>
    <xf numFmtId="168" fontId="130" fillId="3" borderId="817" xfId="15" applyNumberFormat="1" applyFont="1" applyFill="1" applyBorder="1" applyAlignment="1">
      <alignment vertical="center"/>
    </xf>
    <xf numFmtId="168" fontId="106" fillId="3" borderId="928" xfId="15" applyNumberFormat="1" applyFont="1" applyFill="1" applyBorder="1" applyAlignment="1">
      <alignment vertical="center"/>
    </xf>
    <xf numFmtId="168" fontId="130" fillId="3" borderId="928" xfId="15" applyNumberFormat="1" applyFont="1" applyFill="1" applyBorder="1" applyAlignment="1">
      <alignment vertical="center"/>
    </xf>
    <xf numFmtId="168" fontId="106" fillId="17" borderId="817" xfId="15" applyNumberFormat="1" applyFont="1" applyFill="1" applyBorder="1" applyAlignment="1">
      <alignment vertical="center"/>
    </xf>
    <xf numFmtId="168" fontId="130" fillId="17" borderId="817" xfId="15" applyNumberFormat="1" applyFont="1" applyFill="1" applyBorder="1" applyAlignment="1">
      <alignment vertical="center"/>
    </xf>
    <xf numFmtId="168" fontId="106" fillId="17" borderId="669" xfId="15" applyNumberFormat="1" applyFont="1" applyFill="1" applyBorder="1" applyAlignment="1">
      <alignment vertical="center"/>
    </xf>
    <xf numFmtId="168" fontId="130" fillId="17" borderId="669" xfId="15" applyNumberFormat="1" applyFont="1" applyFill="1" applyBorder="1" applyAlignment="1">
      <alignment vertical="center"/>
    </xf>
    <xf numFmtId="168" fontId="296" fillId="17" borderId="669" xfId="15" applyNumberFormat="1" applyFont="1" applyFill="1" applyBorder="1" applyAlignment="1">
      <alignment vertical="center"/>
    </xf>
    <xf numFmtId="168" fontId="130" fillId="2" borderId="116" xfId="15" applyNumberFormat="1" applyFont="1" applyFill="1" applyBorder="1" applyAlignment="1">
      <alignment horizontal="right" vertical="center"/>
    </xf>
    <xf numFmtId="168" fontId="130" fillId="2" borderId="214" xfId="15" applyNumberFormat="1" applyFont="1" applyFill="1" applyBorder="1" applyAlignment="1">
      <alignment horizontal="right" vertical="center"/>
    </xf>
    <xf numFmtId="168" fontId="54" fillId="17" borderId="389" xfId="0" applyNumberFormat="1" applyFont="1" applyFill="1" applyBorder="1" applyAlignment="1">
      <alignment vertical="center"/>
    </xf>
    <xf numFmtId="168" fontId="52" fillId="17" borderId="389" xfId="0" applyNumberFormat="1" applyFont="1" applyFill="1" applyBorder="1" applyAlignment="1">
      <alignment vertical="center"/>
    </xf>
    <xf numFmtId="168" fontId="52" fillId="39" borderId="256" xfId="0" applyNumberFormat="1" applyFont="1" applyFill="1" applyBorder="1" applyAlignment="1">
      <alignment vertical="center"/>
    </xf>
    <xf numFmtId="168" fontId="52" fillId="0" borderId="187" xfId="0" applyNumberFormat="1" applyFont="1" applyBorder="1" applyAlignment="1">
      <alignment vertical="center"/>
    </xf>
    <xf numFmtId="168" fontId="54" fillId="39" borderId="184" xfId="0" applyNumberFormat="1" applyFont="1" applyFill="1" applyBorder="1" applyAlignment="1">
      <alignment vertical="center"/>
    </xf>
    <xf numFmtId="168" fontId="54" fillId="0" borderId="911" xfId="0" applyNumberFormat="1" applyFont="1" applyBorder="1" applyAlignment="1">
      <alignment vertical="center"/>
    </xf>
    <xf numFmtId="168" fontId="52" fillId="0" borderId="911" xfId="0" applyNumberFormat="1" applyFont="1" applyBorder="1" applyAlignment="1">
      <alignment vertical="center"/>
    </xf>
    <xf numFmtId="168" fontId="52" fillId="52" borderId="254" xfId="0" applyNumberFormat="1" applyFont="1" applyFill="1" applyBorder="1" applyAlignment="1">
      <alignment horizontal="right" vertical="center"/>
    </xf>
    <xf numFmtId="168" fontId="54" fillId="0" borderId="389" xfId="0" applyNumberFormat="1" applyFont="1" applyBorder="1" applyAlignment="1">
      <alignment vertical="center"/>
    </xf>
    <xf numFmtId="168" fontId="52" fillId="0" borderId="389" xfId="0" applyNumberFormat="1" applyFont="1" applyBorder="1" applyAlignment="1">
      <alignment vertical="center"/>
    </xf>
    <xf numFmtId="168" fontId="52" fillId="0" borderId="182" xfId="0" applyNumberFormat="1" applyFont="1" applyBorder="1" applyAlignment="1">
      <alignment horizontal="right" vertical="center"/>
    </xf>
    <xf numFmtId="168" fontId="52" fillId="0" borderId="187" xfId="0" applyNumberFormat="1" applyFont="1" applyBorder="1" applyAlignment="1">
      <alignment horizontal="right" vertical="center"/>
    </xf>
    <xf numFmtId="168" fontId="52" fillId="52" borderId="966" xfId="0" applyNumberFormat="1" applyFont="1" applyFill="1" applyBorder="1" applyAlignment="1">
      <alignment horizontal="right" vertical="center"/>
    </xf>
    <xf numFmtId="0" fontId="312" fillId="2" borderId="384" xfId="0" applyFont="1" applyFill="1" applyBorder="1" applyAlignment="1">
      <alignment horizontal="center" vertical="center" textRotation="90" wrapText="1"/>
    </xf>
    <xf numFmtId="0" fontId="78" fillId="14" borderId="0" xfId="0" applyFont="1" applyFill="1" applyAlignment="1">
      <alignment vertical="center" wrapText="1"/>
    </xf>
    <xf numFmtId="4" fontId="78" fillId="14" borderId="0" xfId="0" applyNumberFormat="1" applyFont="1" applyFill="1" applyAlignment="1">
      <alignment vertical="center" wrapText="1"/>
    </xf>
    <xf numFmtId="0" fontId="1" fillId="0" borderId="0" xfId="0" applyFont="1" applyAlignment="1">
      <alignment vertical="center" wrapText="1"/>
    </xf>
    <xf numFmtId="2" fontId="1" fillId="0" borderId="0" xfId="0" applyNumberFormat="1" applyFont="1" applyAlignment="1">
      <alignment horizontal="right" vertical="center" wrapText="1"/>
    </xf>
    <xf numFmtId="171" fontId="78" fillId="14" borderId="0" xfId="0" applyNumberFormat="1" applyFont="1" applyFill="1" applyAlignment="1">
      <alignment vertical="center" wrapText="1"/>
    </xf>
    <xf numFmtId="0" fontId="23" fillId="39" borderId="173" xfId="0" applyFont="1" applyFill="1" applyBorder="1" applyAlignment="1">
      <alignment horizontal="left" vertical="center" wrapText="1" indent="1"/>
    </xf>
    <xf numFmtId="0" fontId="120" fillId="3" borderId="576" xfId="0" applyFont="1" applyFill="1" applyBorder="1" applyAlignment="1">
      <alignment horizontal="left" vertical="center" wrapText="1" indent="1"/>
    </xf>
    <xf numFmtId="0" fontId="15" fillId="0" borderId="196" xfId="0" applyFont="1" applyBorder="1" applyAlignment="1">
      <alignment vertical="center"/>
    </xf>
    <xf numFmtId="0" fontId="120" fillId="3" borderId="577" xfId="0" applyFont="1" applyFill="1" applyBorder="1" applyAlignment="1">
      <alignment horizontal="left" vertical="center" wrapText="1" indent="1"/>
    </xf>
    <xf numFmtId="0" fontId="120" fillId="3" borderId="578" xfId="0" applyFont="1" applyFill="1" applyBorder="1" applyAlignment="1">
      <alignment horizontal="left" vertical="center" wrapText="1" indent="1"/>
    </xf>
    <xf numFmtId="0" fontId="33" fillId="0" borderId="674" xfId="0" applyFont="1" applyBorder="1" applyAlignment="1">
      <alignment vertical="center"/>
    </xf>
    <xf numFmtId="0" fontId="33" fillId="0" borderId="662" xfId="0" applyFont="1" applyBorder="1" applyAlignment="1">
      <alignment vertical="center"/>
    </xf>
    <xf numFmtId="168" fontId="58" fillId="0" borderId="49" xfId="0" applyNumberFormat="1" applyFont="1" applyBorder="1" applyAlignment="1">
      <alignment horizontal="right" vertical="center"/>
    </xf>
    <xf numFmtId="168" fontId="58" fillId="0" borderId="52" xfId="0" applyNumberFormat="1" applyFont="1" applyBorder="1" applyAlignment="1">
      <alignment horizontal="right" vertical="center"/>
    </xf>
    <xf numFmtId="168" fontId="58" fillId="0" borderId="53" xfId="0" applyNumberFormat="1" applyFont="1" applyBorder="1" applyAlignment="1">
      <alignment horizontal="right" vertical="center"/>
    </xf>
    <xf numFmtId="0" fontId="24" fillId="39" borderId="134" xfId="0" applyFont="1" applyFill="1" applyBorder="1" applyAlignment="1">
      <alignment horizontal="left" vertical="center" wrapText="1" indent="1"/>
    </xf>
    <xf numFmtId="49" fontId="110" fillId="39" borderId="674" xfId="0" applyNumberFormat="1" applyFont="1" applyFill="1" applyBorder="1" applyAlignment="1">
      <alignment horizontal="center" vertical="center"/>
    </xf>
    <xf numFmtId="0" fontId="123" fillId="0" borderId="344" xfId="2" applyFont="1" applyAlignment="1">
      <alignment vertical="center"/>
    </xf>
    <xf numFmtId="49" fontId="114" fillId="0" borderId="674" xfId="15" applyNumberFormat="1" applyFont="1" applyBorder="1" applyAlignment="1">
      <alignment horizontal="center" vertical="center"/>
    </xf>
    <xf numFmtId="49" fontId="114" fillId="0" borderId="662" xfId="15" applyNumberFormat="1" applyFont="1" applyBorder="1" applyAlignment="1">
      <alignment horizontal="center" vertical="center"/>
    </xf>
    <xf numFmtId="49" fontId="114" fillId="0" borderId="770" xfId="15" applyNumberFormat="1" applyFont="1" applyBorder="1" applyAlignment="1">
      <alignment horizontal="center" vertical="center"/>
    </xf>
    <xf numFmtId="49" fontId="114" fillId="0" borderId="737" xfId="15" applyNumberFormat="1" applyFont="1" applyBorder="1" applyAlignment="1">
      <alignment horizontal="center" vertical="center"/>
    </xf>
    <xf numFmtId="49" fontId="114" fillId="0" borderId="738" xfId="15" applyNumberFormat="1" applyFont="1" applyBorder="1" applyAlignment="1">
      <alignment horizontal="center" vertical="center"/>
    </xf>
    <xf numFmtId="49" fontId="114" fillId="17" borderId="662" xfId="15" applyNumberFormat="1" applyFont="1" applyFill="1" applyBorder="1" applyAlignment="1">
      <alignment horizontal="center" vertical="center"/>
    </xf>
    <xf numFmtId="49" fontId="114" fillId="17" borderId="770" xfId="15" applyNumberFormat="1" applyFont="1" applyFill="1" applyBorder="1" applyAlignment="1">
      <alignment horizontal="center" vertical="center"/>
    </xf>
    <xf numFmtId="49" fontId="114" fillId="17" borderId="737" xfId="15" applyNumberFormat="1" applyFont="1" applyFill="1" applyBorder="1" applyAlignment="1">
      <alignment horizontal="center" vertical="center"/>
    </xf>
    <xf numFmtId="49" fontId="114" fillId="17" borderId="738" xfId="15" applyNumberFormat="1" applyFont="1" applyFill="1" applyBorder="1" applyAlignment="1">
      <alignment horizontal="center" vertical="center"/>
    </xf>
    <xf numFmtId="49" fontId="114" fillId="39" borderId="674" xfId="15" applyNumberFormat="1" applyFont="1" applyFill="1" applyBorder="1" applyAlignment="1">
      <alignment horizontal="center" vertical="center"/>
    </xf>
    <xf numFmtId="49" fontId="114" fillId="39" borderId="662" xfId="15" applyNumberFormat="1" applyFont="1" applyFill="1" applyBorder="1" applyAlignment="1">
      <alignment horizontal="center" vertical="center"/>
    </xf>
    <xf numFmtId="49" fontId="114" fillId="0" borderId="817" xfId="15" applyNumberFormat="1" applyFont="1" applyBorder="1" applyAlignment="1">
      <alignment horizontal="center" vertical="center"/>
    </xf>
    <xf numFmtId="49" fontId="114" fillId="0" borderId="826" xfId="15" applyNumberFormat="1" applyFont="1" applyBorder="1" applyAlignment="1">
      <alignment horizontal="center" vertical="center"/>
    </xf>
    <xf numFmtId="49" fontId="110" fillId="0" borderId="737" xfId="15" applyNumberFormat="1" applyFont="1" applyBorder="1" applyAlignment="1">
      <alignment horizontal="center" vertical="center"/>
    </xf>
    <xf numFmtId="49" fontId="110" fillId="0" borderId="662" xfId="15" applyNumberFormat="1" applyFont="1" applyBorder="1" applyAlignment="1">
      <alignment horizontal="center" vertical="center"/>
    </xf>
    <xf numFmtId="49" fontId="112" fillId="0" borderId="662" xfId="15" applyNumberFormat="1" applyFont="1" applyBorder="1" applyAlignment="1">
      <alignment horizontal="center" vertical="center"/>
    </xf>
    <xf numFmtId="49" fontId="114" fillId="14" borderId="662" xfId="15" applyNumberFormat="1" applyFont="1" applyFill="1" applyBorder="1" applyAlignment="1">
      <alignment horizontal="center" vertical="center"/>
    </xf>
    <xf numFmtId="49" fontId="110" fillId="0" borderId="674" xfId="15" applyNumberFormat="1" applyFont="1" applyBorder="1" applyAlignment="1">
      <alignment horizontal="center" vertical="center"/>
    </xf>
    <xf numFmtId="49" fontId="112" fillId="0" borderId="770" xfId="15" applyNumberFormat="1" applyFont="1" applyBorder="1" applyAlignment="1">
      <alignment horizontal="center" vertical="center"/>
    </xf>
    <xf numFmtId="49" fontId="114" fillId="0" borderId="928" xfId="15" applyNumberFormat="1" applyFont="1" applyBorder="1" applyAlignment="1">
      <alignment horizontal="center" vertical="center"/>
    </xf>
    <xf numFmtId="49" fontId="114" fillId="0" borderId="933" xfId="15" applyNumberFormat="1" applyFont="1" applyBorder="1" applyAlignment="1">
      <alignment horizontal="center" vertical="center"/>
    </xf>
    <xf numFmtId="49" fontId="114" fillId="0" borderId="669" xfId="15" applyNumberFormat="1" applyFont="1" applyBorder="1" applyAlignment="1">
      <alignment horizontal="center" vertical="center"/>
    </xf>
    <xf numFmtId="49" fontId="114" fillId="3" borderId="669" xfId="15" applyNumberFormat="1" applyFont="1" applyFill="1" applyBorder="1" applyAlignment="1">
      <alignment horizontal="center" vertical="center"/>
    </xf>
    <xf numFmtId="49" fontId="114" fillId="3" borderId="817" xfId="15" applyNumberFormat="1" applyFont="1" applyFill="1" applyBorder="1" applyAlignment="1">
      <alignment horizontal="center" vertical="center"/>
    </xf>
    <xf numFmtId="49" fontId="114" fillId="3" borderId="928" xfId="15" applyNumberFormat="1" applyFont="1" applyFill="1" applyBorder="1" applyAlignment="1">
      <alignment horizontal="center" vertical="center"/>
    </xf>
    <xf numFmtId="49" fontId="114" fillId="3" borderId="662" xfId="15" applyNumberFormat="1" applyFont="1" applyFill="1" applyBorder="1" applyAlignment="1">
      <alignment horizontal="center" vertical="center"/>
    </xf>
    <xf numFmtId="49" fontId="114" fillId="17" borderId="817" xfId="15" applyNumberFormat="1" applyFont="1" applyFill="1" applyBorder="1" applyAlignment="1">
      <alignment horizontal="center" vertical="center"/>
    </xf>
    <xf numFmtId="49" fontId="114" fillId="17" borderId="669" xfId="15" applyNumberFormat="1" applyFont="1" applyFill="1" applyBorder="1" applyAlignment="1">
      <alignment horizontal="center" vertical="center"/>
    </xf>
    <xf numFmtId="0" fontId="325" fillId="0" borderId="674" xfId="0" applyFont="1" applyBorder="1" applyAlignment="1">
      <alignment horizontal="left" vertical="center" wrapText="1" indent="1"/>
    </xf>
    <xf numFmtId="0" fontId="324" fillId="0" borderId="674" xfId="0" applyFont="1" applyBorder="1" applyAlignment="1">
      <alignment horizontal="center" vertical="center" wrapText="1"/>
    </xf>
    <xf numFmtId="0" fontId="325" fillId="0" borderId="674" xfId="0" applyFont="1" applyBorder="1" applyAlignment="1">
      <alignment horizontal="center" vertical="center" wrapText="1"/>
    </xf>
    <xf numFmtId="168" fontId="324" fillId="0" borderId="674" xfId="0" applyNumberFormat="1" applyFont="1" applyBorder="1" applyAlignment="1">
      <alignment horizontal="right" vertical="center"/>
    </xf>
    <xf numFmtId="168" fontId="323" fillId="0" borderId="84" xfId="0" applyNumberFormat="1" applyFont="1" applyBorder="1" applyAlignment="1">
      <alignment vertical="center"/>
    </xf>
    <xf numFmtId="49" fontId="327" fillId="14" borderId="698" xfId="0" applyNumberFormat="1" applyFont="1" applyFill="1" applyBorder="1" applyAlignment="1">
      <alignment horizontal="left" vertical="center" wrapText="1" indent="1"/>
    </xf>
    <xf numFmtId="49" fontId="328" fillId="14" borderId="699" xfId="0" applyNumberFormat="1" applyFont="1" applyFill="1" applyBorder="1" applyAlignment="1">
      <alignment horizontal="center" vertical="center"/>
    </xf>
    <xf numFmtId="49" fontId="329" fillId="14" borderId="699" xfId="0" applyNumberFormat="1" applyFont="1" applyFill="1" applyBorder="1" applyAlignment="1">
      <alignment horizontal="center" vertical="center"/>
    </xf>
    <xf numFmtId="0" fontId="327" fillId="14" borderId="699" xfId="0" applyFont="1" applyFill="1" applyBorder="1" applyAlignment="1">
      <alignment horizontal="left" vertical="center" wrapText="1" indent="1"/>
    </xf>
    <xf numFmtId="0" fontId="329" fillId="14" borderId="699" xfId="0" applyFont="1" applyFill="1" applyBorder="1" applyAlignment="1">
      <alignment horizontal="center" vertical="center"/>
    </xf>
    <xf numFmtId="0" fontId="330" fillId="14" borderId="699" xfId="0" applyFont="1" applyFill="1" applyBorder="1" applyAlignment="1">
      <alignment horizontal="center" vertical="center"/>
    </xf>
    <xf numFmtId="49" fontId="330" fillId="14" borderId="131" xfId="0" applyNumberFormat="1" applyFont="1" applyFill="1" applyBorder="1" applyAlignment="1">
      <alignment horizontal="left" vertical="center" indent="1"/>
    </xf>
    <xf numFmtId="49" fontId="329" fillId="14" borderId="74" xfId="0" applyNumberFormat="1" applyFont="1" applyFill="1" applyBorder="1" applyAlignment="1">
      <alignment horizontal="center" vertical="center"/>
    </xf>
    <xf numFmtId="0" fontId="330" fillId="14" borderId="74" xfId="0" applyFont="1" applyFill="1" applyBorder="1" applyAlignment="1">
      <alignment horizontal="left" vertical="center" indent="1"/>
    </xf>
    <xf numFmtId="0" fontId="329" fillId="14" borderId="74" xfId="0" applyFont="1" applyFill="1" applyBorder="1" applyAlignment="1">
      <alignment horizontal="center" vertical="center"/>
    </xf>
    <xf numFmtId="0" fontId="330" fillId="14" borderId="74" xfId="0" applyFont="1" applyFill="1" applyBorder="1" applyAlignment="1">
      <alignment horizontal="center" vertical="center"/>
    </xf>
    <xf numFmtId="43" fontId="329" fillId="14" borderId="74" xfId="0" applyNumberFormat="1" applyFont="1" applyFill="1" applyBorder="1" applyAlignment="1">
      <alignment horizontal="right" vertical="center"/>
    </xf>
    <xf numFmtId="43" fontId="329" fillId="14" borderId="84" xfId="0" applyNumberFormat="1" applyFont="1" applyFill="1" applyBorder="1" applyAlignment="1">
      <alignment horizontal="center" vertical="center"/>
    </xf>
    <xf numFmtId="168" fontId="329" fillId="14" borderId="84" xfId="0" applyNumberFormat="1" applyFont="1" applyFill="1" applyBorder="1" applyAlignment="1">
      <alignment vertical="center"/>
    </xf>
    <xf numFmtId="168" fontId="328" fillId="14" borderId="84" xfId="0" applyNumberFormat="1" applyFont="1" applyFill="1" applyBorder="1" applyAlignment="1">
      <alignment vertical="center"/>
    </xf>
    <xf numFmtId="2" fontId="328" fillId="14" borderId="84" xfId="0" applyNumberFormat="1" applyFont="1" applyFill="1" applyBorder="1" applyAlignment="1">
      <alignment horizontal="center" vertical="center"/>
    </xf>
    <xf numFmtId="49" fontId="331" fillId="14" borderId="74" xfId="0" applyNumberFormat="1" applyFont="1" applyFill="1" applyBorder="1" applyAlignment="1">
      <alignment vertical="center"/>
    </xf>
    <xf numFmtId="0" fontId="325" fillId="17" borderId="74" xfId="0" applyFont="1" applyFill="1" applyBorder="1" applyAlignment="1">
      <alignment horizontal="center" vertical="center" wrapText="1"/>
    </xf>
    <xf numFmtId="0" fontId="325" fillId="17" borderId="84" xfId="0" applyFont="1" applyFill="1" applyBorder="1" applyAlignment="1">
      <alignment horizontal="center" vertical="center" wrapText="1"/>
    </xf>
    <xf numFmtId="49" fontId="325" fillId="17" borderId="143" xfId="0" applyNumberFormat="1" applyFont="1" applyFill="1" applyBorder="1" applyAlignment="1">
      <alignment horizontal="center" vertical="center"/>
    </xf>
    <xf numFmtId="49" fontId="327" fillId="14" borderId="131" xfId="0" applyNumberFormat="1" applyFont="1" applyFill="1" applyBorder="1" applyAlignment="1">
      <alignment horizontal="left" vertical="center" wrapText="1" indent="1"/>
    </xf>
    <xf numFmtId="49" fontId="328" fillId="14" borderId="74" xfId="0" applyNumberFormat="1" applyFont="1" applyFill="1" applyBorder="1" applyAlignment="1">
      <alignment horizontal="center" vertical="center"/>
    </xf>
    <xf numFmtId="0" fontId="329" fillId="14" borderId="74" xfId="0" applyFont="1" applyFill="1" applyBorder="1" applyAlignment="1">
      <alignment horizontal="center" vertical="center" wrapText="1"/>
    </xf>
    <xf numFmtId="168" fontId="329" fillId="14" borderId="74" xfId="0" applyNumberFormat="1" applyFont="1" applyFill="1" applyBorder="1" applyAlignment="1">
      <alignment vertical="center"/>
    </xf>
    <xf numFmtId="168" fontId="328" fillId="14" borderId="74" xfId="0" applyNumberFormat="1" applyFont="1" applyFill="1" applyBorder="1" applyAlignment="1">
      <alignment vertical="center"/>
    </xf>
    <xf numFmtId="49" fontId="331" fillId="14" borderId="135" xfId="0" applyNumberFormat="1" applyFont="1" applyFill="1" applyBorder="1" applyAlignment="1">
      <alignment vertical="center"/>
    </xf>
    <xf numFmtId="0" fontId="325" fillId="17" borderId="135" xfId="0" applyFont="1" applyFill="1" applyBorder="1" applyAlignment="1">
      <alignment horizontal="center" vertical="center" wrapText="1"/>
    </xf>
    <xf numFmtId="49" fontId="325" fillId="14" borderId="131" xfId="0" applyNumberFormat="1" applyFont="1" applyFill="1" applyBorder="1" applyAlignment="1">
      <alignment horizontal="left" vertical="center" indent="1"/>
    </xf>
    <xf numFmtId="49" fontId="332" fillId="14" borderId="74" xfId="0" applyNumberFormat="1" applyFont="1" applyFill="1" applyBorder="1" applyAlignment="1">
      <alignment horizontal="center" vertical="center"/>
    </xf>
    <xf numFmtId="0" fontId="325" fillId="14" borderId="74" xfId="0" applyFont="1" applyFill="1" applyBorder="1" applyAlignment="1">
      <alignment horizontal="left" vertical="center" indent="1"/>
    </xf>
    <xf numFmtId="0" fontId="326" fillId="14" borderId="74" xfId="0" applyFont="1" applyFill="1" applyBorder="1" applyAlignment="1">
      <alignment horizontal="center" vertical="center"/>
    </xf>
    <xf numFmtId="43" fontId="326" fillId="14" borderId="74" xfId="0" applyNumberFormat="1" applyFont="1" applyFill="1" applyBorder="1" applyAlignment="1">
      <alignment horizontal="right" vertical="center"/>
    </xf>
    <xf numFmtId="43" fontId="326" fillId="14" borderId="84" xfId="0" applyNumberFormat="1" applyFont="1" applyFill="1" applyBorder="1" applyAlignment="1">
      <alignment horizontal="center" vertical="center"/>
    </xf>
    <xf numFmtId="168" fontId="326" fillId="14" borderId="84" xfId="0" applyNumberFormat="1" applyFont="1" applyFill="1" applyBorder="1" applyAlignment="1">
      <alignment vertical="center"/>
    </xf>
    <xf numFmtId="168" fontId="333" fillId="14" borderId="84" xfId="0" applyNumberFormat="1" applyFont="1" applyFill="1" applyBorder="1" applyAlignment="1">
      <alignment vertical="center"/>
    </xf>
    <xf numFmtId="2" fontId="333" fillId="14" borderId="84" xfId="0" applyNumberFormat="1" applyFont="1" applyFill="1" applyBorder="1" applyAlignment="1">
      <alignment horizontal="center" vertical="center"/>
    </xf>
    <xf numFmtId="43" fontId="329" fillId="14" borderId="135" xfId="0" applyNumberFormat="1" applyFont="1" applyFill="1" applyBorder="1" applyAlignment="1">
      <alignment horizontal="right" vertical="center"/>
    </xf>
    <xf numFmtId="43" fontId="329" fillId="14" borderId="86" xfId="0" applyNumberFormat="1" applyFont="1" applyFill="1" applyBorder="1" applyAlignment="1">
      <alignment vertical="center"/>
    </xf>
    <xf numFmtId="168" fontId="329" fillId="14" borderId="86" xfId="0" applyNumberFormat="1" applyFont="1" applyFill="1" applyBorder="1" applyAlignment="1">
      <alignment vertical="center"/>
    </xf>
    <xf numFmtId="168" fontId="328" fillId="14" borderId="86" xfId="0" applyNumberFormat="1" applyFont="1" applyFill="1" applyBorder="1" applyAlignment="1">
      <alignment vertical="center"/>
    </xf>
    <xf numFmtId="49" fontId="328" fillId="14" borderId="86" xfId="0" applyNumberFormat="1" applyFont="1" applyFill="1" applyBorder="1" applyAlignment="1">
      <alignment horizontal="center" vertical="center"/>
    </xf>
    <xf numFmtId="0" fontId="38" fillId="0" borderId="308" xfId="0" applyFont="1" applyBorder="1" applyAlignment="1">
      <alignment horizontal="left" vertical="center" wrapText="1" indent="1"/>
    </xf>
    <xf numFmtId="0" fontId="331" fillId="0" borderId="308" xfId="0" applyFont="1" applyBorder="1" applyAlignment="1">
      <alignment horizontal="left" vertical="center" wrapText="1" indent="1"/>
    </xf>
    <xf numFmtId="0" fontId="334" fillId="0" borderId="187" xfId="0" applyFont="1" applyBorder="1" applyAlignment="1">
      <alignment horizontal="center" vertical="center" wrapText="1"/>
    </xf>
    <xf numFmtId="0" fontId="335" fillId="0" borderId="187" xfId="0" applyFont="1" applyBorder="1" applyAlignment="1">
      <alignment horizontal="left" vertical="center" wrapText="1" indent="1"/>
    </xf>
    <xf numFmtId="0" fontId="324" fillId="0" borderId="187" xfId="0" applyFont="1" applyBorder="1" applyAlignment="1">
      <alignment horizontal="center" vertical="center" wrapText="1"/>
    </xf>
    <xf numFmtId="0" fontId="325" fillId="0" borderId="187" xfId="0" applyFont="1" applyBorder="1" applyAlignment="1">
      <alignment horizontal="center" vertical="center" wrapText="1"/>
    </xf>
    <xf numFmtId="168" fontId="324" fillId="0" borderId="187" xfId="0" applyNumberFormat="1" applyFont="1" applyBorder="1" applyAlignment="1">
      <alignment horizontal="right" vertical="center"/>
    </xf>
    <xf numFmtId="168" fontId="323" fillId="0" borderId="187" xfId="0" applyNumberFormat="1" applyFont="1" applyBorder="1" applyAlignment="1">
      <alignment vertical="center"/>
    </xf>
    <xf numFmtId="49" fontId="323" fillId="0" borderId="187" xfId="0" applyNumberFormat="1" applyFont="1" applyBorder="1" applyAlignment="1">
      <alignment vertical="center" wrapText="1"/>
    </xf>
    <xf numFmtId="0" fontId="331" fillId="0" borderId="1030" xfId="0" applyFont="1" applyBorder="1" applyAlignment="1">
      <alignment horizontal="left" vertical="center" wrapText="1" indent="1"/>
    </xf>
    <xf numFmtId="0" fontId="330" fillId="0" borderId="187" xfId="0" applyFont="1" applyBorder="1" applyAlignment="1">
      <alignment horizontal="left" vertical="center" wrapText="1" indent="1"/>
    </xf>
    <xf numFmtId="49" fontId="331" fillId="0" borderId="74" xfId="0" applyNumberFormat="1" applyFont="1" applyBorder="1" applyAlignment="1">
      <alignment horizontal="left" vertical="center" wrapText="1" indent="1"/>
    </xf>
    <xf numFmtId="49" fontId="324" fillId="0" borderId="74" xfId="0" applyNumberFormat="1" applyFont="1" applyBorder="1" applyAlignment="1">
      <alignment horizontal="center" vertical="center"/>
    </xf>
    <xf numFmtId="49" fontId="325" fillId="0" borderId="74" xfId="0" applyNumberFormat="1" applyFont="1" applyBorder="1" applyAlignment="1">
      <alignment horizontal="center" vertical="center"/>
    </xf>
    <xf numFmtId="168" fontId="323" fillId="39" borderId="74" xfId="0" applyNumberFormat="1" applyFont="1" applyFill="1" applyBorder="1" applyAlignment="1">
      <alignment horizontal="right" vertical="center"/>
    </xf>
    <xf numFmtId="49" fontId="323" fillId="0" borderId="74" xfId="0" applyNumberFormat="1" applyFont="1" applyBorder="1" applyAlignment="1">
      <alignment horizontal="center" vertical="center"/>
    </xf>
    <xf numFmtId="49" fontId="330" fillId="39" borderId="74" xfId="0" applyNumberFormat="1" applyFont="1" applyFill="1" applyBorder="1" applyAlignment="1">
      <alignment horizontal="left" vertical="center" wrapText="1" indent="1"/>
    </xf>
    <xf numFmtId="49" fontId="324" fillId="39" borderId="74" xfId="0" applyNumberFormat="1" applyFont="1" applyFill="1" applyBorder="1" applyAlignment="1">
      <alignment horizontal="center" vertical="center"/>
    </xf>
    <xf numFmtId="49" fontId="325" fillId="39" borderId="74" xfId="0" applyNumberFormat="1" applyFont="1" applyFill="1" applyBorder="1" applyAlignment="1">
      <alignment horizontal="center" vertical="center"/>
    </xf>
    <xf numFmtId="168" fontId="324" fillId="39" borderId="74" xfId="0" applyNumberFormat="1" applyFont="1" applyFill="1" applyBorder="1" applyAlignment="1">
      <alignment horizontal="right" vertical="center"/>
    </xf>
    <xf numFmtId="49" fontId="337" fillId="17" borderId="662" xfId="0" applyNumberFormat="1" applyFont="1" applyFill="1" applyBorder="1" applyAlignment="1">
      <alignment horizontal="center" vertical="center"/>
    </xf>
    <xf numFmtId="171" fontId="338" fillId="0" borderId="84" xfId="0" applyNumberFormat="1" applyFont="1" applyBorder="1" applyAlignment="1">
      <alignment vertical="center"/>
    </xf>
    <xf numFmtId="168" fontId="338" fillId="39" borderId="84" xfId="0" applyNumberFormat="1" applyFont="1" applyFill="1" applyBorder="1" applyAlignment="1">
      <alignment vertical="center"/>
    </xf>
    <xf numFmtId="0" fontId="337" fillId="14" borderId="662" xfId="0" applyFont="1" applyFill="1" applyBorder="1" applyAlignment="1">
      <alignment horizontal="left" vertical="center" wrapText="1" indent="1"/>
    </xf>
    <xf numFmtId="0" fontId="346" fillId="14" borderId="662" xfId="0" applyFont="1" applyFill="1" applyBorder="1" applyAlignment="1">
      <alignment horizontal="center" vertical="center" wrapText="1"/>
    </xf>
    <xf numFmtId="0" fontId="347" fillId="14" borderId="662" xfId="0" applyFont="1" applyFill="1" applyBorder="1" applyAlignment="1">
      <alignment horizontal="center" vertical="center" wrapText="1"/>
    </xf>
    <xf numFmtId="168" fontId="346" fillId="14" borderId="662" xfId="0" applyNumberFormat="1" applyFont="1" applyFill="1" applyBorder="1" applyAlignment="1">
      <alignment vertical="center"/>
    </xf>
    <xf numFmtId="0" fontId="325" fillId="14" borderId="74" xfId="0" applyFont="1" applyFill="1" applyBorder="1" applyAlignment="1">
      <alignment horizontal="center" vertical="center" wrapText="1"/>
    </xf>
    <xf numFmtId="168" fontId="346" fillId="0" borderId="411" xfId="2" applyNumberFormat="1" applyFont="1" applyBorder="1" applyAlignment="1">
      <alignment vertical="center"/>
    </xf>
    <xf numFmtId="0" fontId="337" fillId="0" borderId="411" xfId="2" applyFont="1" applyBorder="1" applyAlignment="1">
      <alignment horizontal="center" vertical="center" wrapText="1"/>
    </xf>
    <xf numFmtId="0" fontId="346" fillId="0" borderId="411" xfId="2" applyFont="1" applyBorder="1" applyAlignment="1">
      <alignment horizontal="center" vertical="center" wrapText="1"/>
    </xf>
    <xf numFmtId="0" fontId="337" fillId="0" borderId="411" xfId="0" applyFont="1" applyBorder="1" applyAlignment="1">
      <alignment horizontal="left" vertical="center" wrapText="1" indent="1"/>
    </xf>
    <xf numFmtId="0" fontId="24" fillId="17" borderId="588" xfId="2" applyFont="1" applyFill="1" applyBorder="1" applyAlignment="1">
      <alignment horizontal="left" vertical="center" wrapText="1" indent="1"/>
    </xf>
    <xf numFmtId="49" fontId="337" fillId="0" borderId="411" xfId="8" applyNumberFormat="1" applyFont="1" applyBorder="1" applyAlignment="1">
      <alignment horizontal="center" vertical="center"/>
    </xf>
    <xf numFmtId="0" fontId="337" fillId="0" borderId="411" xfId="2" applyFont="1" applyBorder="1" applyAlignment="1">
      <alignment horizontal="left" vertical="center" wrapText="1" indent="1"/>
    </xf>
    <xf numFmtId="0" fontId="362" fillId="0" borderId="411" xfId="2" applyFont="1" applyBorder="1" applyAlignment="1">
      <alignment horizontal="left" vertical="center" wrapText="1" indent="1"/>
    </xf>
    <xf numFmtId="0" fontId="362" fillId="17" borderId="588" xfId="2" applyFont="1" applyFill="1" applyBorder="1" applyAlignment="1">
      <alignment horizontal="left" vertical="center" wrapText="1" indent="1"/>
    </xf>
    <xf numFmtId="0" fontId="363" fillId="0" borderId="411" xfId="2" applyFont="1" applyBorder="1" applyAlignment="1">
      <alignment horizontal="center" vertical="center"/>
    </xf>
    <xf numFmtId="0" fontId="364" fillId="0" borderId="411" xfId="0" applyFont="1" applyBorder="1" applyAlignment="1">
      <alignment horizontal="center" vertical="center" wrapText="1"/>
    </xf>
    <xf numFmtId="49" fontId="361" fillId="0" borderId="411" xfId="2" applyNumberFormat="1" applyFont="1" applyBorder="1" applyAlignment="1">
      <alignment horizontal="center" vertical="center"/>
    </xf>
    <xf numFmtId="168" fontId="360" fillId="39" borderId="662" xfId="15" applyNumberFormat="1" applyFont="1" applyFill="1" applyBorder="1" applyAlignment="1">
      <alignment vertical="center"/>
    </xf>
    <xf numFmtId="168" fontId="338" fillId="39" borderId="737" xfId="15" applyNumberFormat="1" applyFont="1" applyFill="1" applyBorder="1" applyAlignment="1">
      <alignment vertical="center"/>
    </xf>
    <xf numFmtId="168" fontId="338" fillId="39" borderId="674" xfId="15" applyNumberFormat="1" applyFont="1" applyFill="1" applyBorder="1" applyAlignment="1">
      <alignment vertical="center"/>
    </xf>
    <xf numFmtId="168" fontId="338" fillId="0" borderId="662" xfId="15" applyNumberFormat="1" applyFont="1" applyBorder="1" applyAlignment="1">
      <alignment vertical="center"/>
    </xf>
    <xf numFmtId="0" fontId="29" fillId="0" borderId="182" xfId="0" applyFont="1" applyBorder="1" applyAlignment="1">
      <alignment horizontal="left" vertical="center" wrapText="1" indent="1"/>
    </xf>
    <xf numFmtId="0" fontId="106" fillId="0" borderId="182" xfId="0" applyFont="1" applyBorder="1" applyAlignment="1">
      <alignment horizontal="center" vertical="center" wrapText="1"/>
    </xf>
    <xf numFmtId="168" fontId="365" fillId="39" borderId="34" xfId="0" applyNumberFormat="1" applyFont="1" applyFill="1" applyBorder="1" applyAlignment="1">
      <alignment vertical="center"/>
    </xf>
    <xf numFmtId="168" fontId="366" fillId="39" borderId="34" xfId="0" applyNumberFormat="1" applyFont="1" applyFill="1" applyBorder="1" applyAlignment="1">
      <alignment vertical="center"/>
    </xf>
    <xf numFmtId="168" fontId="365" fillId="0" borderId="34" xfId="0" applyNumberFormat="1" applyFont="1" applyBorder="1" applyAlignment="1">
      <alignment vertical="center"/>
    </xf>
    <xf numFmtId="39" fontId="365" fillId="39" borderId="208" xfId="0" applyNumberFormat="1" applyFont="1" applyFill="1" applyBorder="1" applyAlignment="1">
      <alignment vertical="center"/>
    </xf>
    <xf numFmtId="39" fontId="365" fillId="39" borderId="208" xfId="0" applyNumberFormat="1" applyFont="1" applyFill="1" applyBorder="1" applyAlignment="1">
      <alignment horizontal="right" vertical="center"/>
    </xf>
    <xf numFmtId="39" fontId="366" fillId="39" borderId="208" xfId="0" applyNumberFormat="1" applyFont="1" applyFill="1" applyBorder="1" applyAlignment="1">
      <alignment vertical="center"/>
    </xf>
    <xf numFmtId="39" fontId="365" fillId="39" borderId="840" xfId="0" applyNumberFormat="1" applyFont="1" applyFill="1" applyBorder="1" applyAlignment="1">
      <alignment vertical="center"/>
    </xf>
    <xf numFmtId="39" fontId="365" fillId="39" borderId="486" xfId="0" applyNumberFormat="1" applyFont="1" applyFill="1" applyBorder="1" applyAlignment="1">
      <alignment horizontal="right" vertical="center"/>
    </xf>
    <xf numFmtId="39" fontId="366" fillId="39" borderId="840" xfId="0" applyNumberFormat="1" applyFont="1" applyFill="1" applyBorder="1" applyAlignment="1">
      <alignment vertical="center"/>
    </xf>
    <xf numFmtId="168" fontId="365" fillId="0" borderId="662" xfId="0" applyNumberFormat="1" applyFont="1" applyBorder="1" applyAlignment="1">
      <alignment vertical="center"/>
    </xf>
    <xf numFmtId="168" fontId="366" fillId="39" borderId="662" xfId="0" applyNumberFormat="1" applyFont="1" applyFill="1" applyBorder="1" applyAlignment="1">
      <alignment vertical="center"/>
    </xf>
    <xf numFmtId="168" fontId="365" fillId="39" borderId="662" xfId="0" applyNumberFormat="1" applyFont="1" applyFill="1" applyBorder="1" applyAlignment="1">
      <alignment vertical="center"/>
    </xf>
    <xf numFmtId="168" fontId="366" fillId="0" borderId="662" xfId="0" applyNumberFormat="1" applyFont="1" applyBorder="1" applyAlignment="1">
      <alignment vertical="center"/>
    </xf>
    <xf numFmtId="39" fontId="367" fillId="39" borderId="44" xfId="0" applyNumberFormat="1" applyFont="1" applyFill="1" applyBorder="1" applyAlignment="1">
      <alignment vertical="center"/>
    </xf>
    <xf numFmtId="39" fontId="366" fillId="39" borderId="44" xfId="0" applyNumberFormat="1" applyFont="1" applyFill="1" applyBorder="1" applyAlignment="1">
      <alignment vertical="center"/>
    </xf>
    <xf numFmtId="39" fontId="367" fillId="39" borderId="34" xfId="0" applyNumberFormat="1" applyFont="1" applyFill="1" applyBorder="1" applyAlignment="1">
      <alignment vertical="center"/>
    </xf>
    <xf numFmtId="39" fontId="366" fillId="39" borderId="34" xfId="0" applyNumberFormat="1" applyFont="1" applyFill="1" applyBorder="1" applyAlignment="1">
      <alignment vertical="center"/>
    </xf>
    <xf numFmtId="39" fontId="365" fillId="14" borderId="34" xfId="16" applyNumberFormat="1" applyFont="1" applyFill="1" applyBorder="1" applyAlignment="1">
      <alignment vertical="center"/>
    </xf>
    <xf numFmtId="0" fontId="365" fillId="14" borderId="34" xfId="16" applyFont="1" applyFill="1" applyBorder="1" applyAlignment="1">
      <alignment horizontal="center" vertical="center" wrapText="1"/>
    </xf>
    <xf numFmtId="39" fontId="365" fillId="14" borderId="34" xfId="16" applyNumberFormat="1" applyFont="1" applyFill="1" applyBorder="1" applyAlignment="1">
      <alignment horizontal="right" vertical="center"/>
    </xf>
    <xf numFmtId="39" fontId="366" fillId="14" borderId="34" xfId="16" applyNumberFormat="1" applyFont="1" applyFill="1" applyBorder="1" applyAlignment="1">
      <alignment horizontal="right" vertical="center"/>
    </xf>
    <xf numFmtId="39" fontId="365" fillId="14" borderId="43" xfId="16" applyNumberFormat="1" applyFont="1" applyFill="1" applyBorder="1" applyAlignment="1">
      <alignment horizontal="right" vertical="center"/>
    </xf>
    <xf numFmtId="39" fontId="365" fillId="39" borderId="484" xfId="16" applyNumberFormat="1" applyFont="1" applyFill="1" applyBorder="1" applyAlignment="1">
      <alignment horizontal="right" vertical="center"/>
    </xf>
    <xf numFmtId="39" fontId="366" fillId="39" borderId="34" xfId="16" applyNumberFormat="1" applyFont="1" applyFill="1" applyBorder="1" applyAlignment="1">
      <alignment horizontal="right" vertical="center"/>
    </xf>
    <xf numFmtId="184" fontId="366" fillId="14" borderId="37" xfId="16" applyNumberFormat="1" applyFont="1" applyFill="1" applyBorder="1" applyAlignment="1">
      <alignment horizontal="right" vertical="center"/>
    </xf>
    <xf numFmtId="39" fontId="366" fillId="14" borderId="44" xfId="16" applyNumberFormat="1" applyFont="1" applyFill="1" applyBorder="1" applyAlignment="1">
      <alignment horizontal="right" vertical="center"/>
    </xf>
    <xf numFmtId="39" fontId="366" fillId="39" borderId="44" xfId="16" applyNumberFormat="1" applyFont="1" applyFill="1" applyBorder="1" applyAlignment="1">
      <alignment horizontal="right" vertical="center"/>
    </xf>
    <xf numFmtId="168" fontId="365" fillId="0" borderId="74" xfId="0" applyNumberFormat="1" applyFont="1" applyBorder="1" applyAlignment="1">
      <alignment vertical="center"/>
    </xf>
    <xf numFmtId="168" fontId="366" fillId="0" borderId="74" xfId="0" applyNumberFormat="1" applyFont="1" applyBorder="1" applyAlignment="1">
      <alignment vertical="center"/>
    </xf>
    <xf numFmtId="168" fontId="365" fillId="0" borderId="329" xfId="0" applyNumberFormat="1" applyFont="1" applyBorder="1" applyAlignment="1">
      <alignment vertical="center"/>
    </xf>
    <xf numFmtId="168" fontId="366" fillId="0" borderId="329" xfId="0" applyNumberFormat="1" applyFont="1" applyBorder="1" applyAlignment="1">
      <alignment vertical="center"/>
    </xf>
    <xf numFmtId="168" fontId="366" fillId="0" borderId="662" xfId="0" applyNumberFormat="1" applyFont="1" applyBorder="1" applyAlignment="1">
      <alignment horizontal="center" vertical="center"/>
    </xf>
    <xf numFmtId="168" fontId="366" fillId="0" borderId="662" xfId="0" applyNumberFormat="1" applyFont="1" applyBorder="1" applyAlignment="1">
      <alignment horizontal="right" vertical="center"/>
    </xf>
    <xf numFmtId="168" fontId="365" fillId="0" borderId="662" xfId="0" applyNumberFormat="1" applyFont="1" applyBorder="1" applyAlignment="1">
      <alignment horizontal="right" vertical="center"/>
    </xf>
    <xf numFmtId="0" fontId="368" fillId="17" borderId="34" xfId="16" applyFont="1" applyFill="1" applyBorder="1" applyAlignment="1">
      <alignment horizontal="center" vertical="center" wrapText="1"/>
    </xf>
    <xf numFmtId="39" fontId="365" fillId="17" borderId="34" xfId="16" applyNumberFormat="1" applyFont="1" applyFill="1" applyBorder="1" applyAlignment="1">
      <alignment horizontal="right" vertical="center"/>
    </xf>
    <xf numFmtId="168" fontId="365" fillId="0" borderId="674" xfId="0" applyNumberFormat="1" applyFont="1" applyBorder="1" applyAlignment="1">
      <alignment horizontal="right" vertical="center"/>
    </xf>
    <xf numFmtId="168" fontId="366" fillId="0" borderId="674" xfId="0" applyNumberFormat="1" applyFont="1" applyBorder="1" applyAlignment="1">
      <alignment horizontal="right" vertical="center"/>
    </xf>
    <xf numFmtId="168" fontId="365" fillId="0" borderId="737" xfId="0" applyNumberFormat="1" applyFont="1" applyBorder="1" applyAlignment="1">
      <alignment horizontal="right" vertical="center"/>
    </xf>
    <xf numFmtId="168" fontId="366" fillId="0" borderId="737" xfId="0" applyNumberFormat="1" applyFont="1" applyBorder="1" applyAlignment="1">
      <alignment horizontal="right" vertical="center"/>
    </xf>
    <xf numFmtId="168" fontId="366" fillId="0" borderId="738" xfId="0" applyNumberFormat="1" applyFont="1" applyBorder="1" applyAlignment="1">
      <alignment vertical="center"/>
    </xf>
    <xf numFmtId="168" fontId="365" fillId="39" borderId="738" xfId="0" applyNumberFormat="1" applyFont="1" applyFill="1" applyBorder="1" applyAlignment="1">
      <alignment vertical="center"/>
    </xf>
    <xf numFmtId="168" fontId="365" fillId="0" borderId="84" xfId="0" applyNumberFormat="1" applyFont="1" applyBorder="1" applyAlignment="1">
      <alignment vertical="center"/>
    </xf>
    <xf numFmtId="168" fontId="365" fillId="0" borderId="84" xfId="0" applyNumberFormat="1" applyFont="1" applyBorder="1" applyAlignment="1">
      <alignment horizontal="right" vertical="center"/>
    </xf>
    <xf numFmtId="168" fontId="365" fillId="0" borderId="173" xfId="0" applyNumberFormat="1" applyFont="1" applyBorder="1" applyAlignment="1">
      <alignment vertical="center"/>
    </xf>
    <xf numFmtId="168" fontId="365" fillId="0" borderId="86" xfId="0" applyNumberFormat="1" applyFont="1" applyBorder="1" applyAlignment="1">
      <alignment horizontal="right" vertical="center"/>
    </xf>
    <xf numFmtId="168" fontId="366" fillId="0" borderId="86" xfId="0" applyNumberFormat="1" applyFont="1" applyBorder="1" applyAlignment="1">
      <alignment horizontal="right" vertical="center"/>
    </xf>
    <xf numFmtId="168" fontId="365" fillId="0" borderId="84" xfId="0" applyNumberFormat="1" applyFont="1" applyBorder="1" applyAlignment="1">
      <alignment horizontal="center" vertical="center"/>
    </xf>
    <xf numFmtId="168" fontId="365" fillId="0" borderId="770" xfId="0" applyNumberFormat="1" applyFont="1" applyBorder="1" applyAlignment="1">
      <alignment horizontal="right" vertical="center"/>
    </xf>
    <xf numFmtId="168" fontId="366" fillId="0" borderId="173" xfId="0" applyNumberFormat="1" applyFont="1" applyBorder="1" applyAlignment="1">
      <alignment vertical="center"/>
    </xf>
    <xf numFmtId="168" fontId="365" fillId="0" borderId="190" xfId="0" applyNumberFormat="1" applyFont="1" applyBorder="1" applyAlignment="1">
      <alignment vertical="center"/>
    </xf>
    <xf numFmtId="168" fontId="365" fillId="0" borderId="135" xfId="0" applyNumberFormat="1" applyFont="1" applyBorder="1" applyAlignment="1">
      <alignment vertical="center"/>
    </xf>
    <xf numFmtId="168" fontId="366" fillId="0" borderId="191" xfId="0" applyNumberFormat="1" applyFont="1" applyBorder="1" applyAlignment="1">
      <alignment vertical="center"/>
    </xf>
    <xf numFmtId="168" fontId="366" fillId="17" borderId="84" xfId="0" applyNumberFormat="1" applyFont="1" applyFill="1" applyBorder="1" applyAlignment="1">
      <alignment vertical="center"/>
    </xf>
    <xf numFmtId="168" fontId="365" fillId="14" borderId="411" xfId="16" applyNumberFormat="1" applyFont="1" applyFill="1" applyBorder="1" applyAlignment="1">
      <alignment vertical="center"/>
    </xf>
    <xf numFmtId="39" fontId="365" fillId="14" borderId="411" xfId="16" applyNumberFormat="1" applyFont="1" applyFill="1" applyBorder="1" applyAlignment="1">
      <alignment horizontal="right" vertical="center"/>
    </xf>
    <xf numFmtId="39" fontId="366" fillId="14" borderId="685" xfId="16" applyNumberFormat="1" applyFont="1" applyFill="1" applyBorder="1" applyAlignment="1">
      <alignment horizontal="right" vertical="center"/>
    </xf>
    <xf numFmtId="168" fontId="366" fillId="14" borderId="411" xfId="16" applyNumberFormat="1" applyFont="1" applyFill="1" applyBorder="1" applyAlignment="1">
      <alignment horizontal="right" vertical="center"/>
    </xf>
    <xf numFmtId="0" fontId="370" fillId="0" borderId="662" xfId="0" applyFont="1" applyBorder="1" applyAlignment="1">
      <alignment horizontal="center" vertical="center" wrapText="1"/>
    </xf>
    <xf numFmtId="0" fontId="368" fillId="0" borderId="662" xfId="0" applyFont="1" applyBorder="1" applyAlignment="1">
      <alignment horizontal="center" vertical="center" wrapText="1"/>
    </xf>
    <xf numFmtId="39" fontId="365" fillId="14" borderId="685" xfId="16" applyNumberFormat="1" applyFont="1" applyFill="1" applyBorder="1" applyAlignment="1">
      <alignment horizontal="right" vertical="center"/>
    </xf>
    <xf numFmtId="39" fontId="365" fillId="14" borderId="484" xfId="16" applyNumberFormat="1" applyFont="1" applyFill="1" applyBorder="1" applyAlignment="1">
      <alignment horizontal="right" vertical="center"/>
    </xf>
    <xf numFmtId="39" fontId="366" fillId="14" borderId="484" xfId="16" applyNumberFormat="1" applyFont="1" applyFill="1" applyBorder="1" applyAlignment="1">
      <alignment vertical="center"/>
    </xf>
    <xf numFmtId="168" fontId="365" fillId="39" borderId="662" xfId="15" applyNumberFormat="1" applyFont="1" applyFill="1" applyBorder="1" applyAlignment="1">
      <alignment vertical="center"/>
    </xf>
    <xf numFmtId="168" fontId="365" fillId="0" borderId="662" xfId="15" applyNumberFormat="1" applyFont="1" applyBorder="1" applyAlignment="1">
      <alignment vertical="center"/>
    </xf>
    <xf numFmtId="168" fontId="366" fillId="0" borderId="928" xfId="15" applyNumberFormat="1" applyFont="1" applyBorder="1" applyAlignment="1">
      <alignment vertical="center"/>
    </xf>
    <xf numFmtId="168" fontId="366" fillId="0" borderId="662" xfId="15" applyNumberFormat="1" applyFont="1" applyBorder="1" applyAlignment="1">
      <alignment vertical="center"/>
    </xf>
    <xf numFmtId="168" fontId="365" fillId="0" borderId="738" xfId="15" applyNumberFormat="1" applyFont="1" applyBorder="1" applyAlignment="1">
      <alignment vertical="center"/>
    </xf>
    <xf numFmtId="168" fontId="366" fillId="0" borderId="738" xfId="15" applyNumberFormat="1" applyFont="1" applyBorder="1" applyAlignment="1">
      <alignment vertical="center"/>
    </xf>
    <xf numFmtId="168" fontId="365" fillId="0" borderId="182" xfId="0" applyNumberFormat="1" applyFont="1" applyBorder="1" applyAlignment="1">
      <alignment horizontal="right" vertical="center"/>
    </xf>
    <xf numFmtId="168" fontId="366" fillId="0" borderId="182" xfId="0" applyNumberFormat="1" applyFont="1" applyBorder="1" applyAlignment="1">
      <alignment vertical="center"/>
    </xf>
    <xf numFmtId="168" fontId="366" fillId="0" borderId="182" xfId="0" applyNumberFormat="1" applyFont="1" applyBorder="1" applyAlignment="1">
      <alignment horizontal="right" vertical="center"/>
    </xf>
    <xf numFmtId="0" fontId="327" fillId="0" borderId="275" xfId="0" applyFont="1" applyBorder="1" applyAlignment="1">
      <alignment horizontal="left" vertical="center" wrapText="1" indent="1"/>
    </xf>
    <xf numFmtId="0" fontId="327" fillId="0" borderId="308" xfId="0" applyFont="1" applyBorder="1" applyAlignment="1">
      <alignment horizontal="left" vertical="center" wrapText="1" indent="1"/>
    </xf>
    <xf numFmtId="168" fontId="366" fillId="0" borderId="256" xfId="0" applyNumberFormat="1" applyFont="1" applyBorder="1" applyAlignment="1">
      <alignment horizontal="right" vertical="center"/>
    </xf>
    <xf numFmtId="168" fontId="366" fillId="39" borderId="662" xfId="15" applyNumberFormat="1" applyFont="1" applyFill="1" applyBorder="1" applyAlignment="1">
      <alignment vertical="center"/>
    </xf>
    <xf numFmtId="168" fontId="366" fillId="0" borderId="34" xfId="0" applyNumberFormat="1" applyFont="1" applyBorder="1" applyAlignment="1">
      <alignment vertical="center"/>
    </xf>
    <xf numFmtId="168" fontId="366" fillId="39" borderId="44" xfId="0" applyNumberFormat="1" applyFont="1" applyFill="1" applyBorder="1" applyAlignment="1">
      <alignment horizontal="right" vertical="center"/>
    </xf>
    <xf numFmtId="168" fontId="365" fillId="39" borderId="34" xfId="0" applyNumberFormat="1" applyFont="1" applyFill="1" applyBorder="1" applyAlignment="1">
      <alignment horizontal="right" vertical="center"/>
    </xf>
    <xf numFmtId="168" fontId="365" fillId="17" borderId="34" xfId="0" applyNumberFormat="1" applyFont="1" applyFill="1" applyBorder="1" applyAlignment="1">
      <alignment horizontal="right" vertical="center"/>
    </xf>
    <xf numFmtId="168" fontId="365" fillId="17" borderId="44" xfId="0" applyNumberFormat="1" applyFont="1" applyFill="1" applyBorder="1" applyAlignment="1">
      <alignment horizontal="right" vertical="center"/>
    </xf>
    <xf numFmtId="0" fontId="371" fillId="17" borderId="34" xfId="0" applyFont="1" applyFill="1" applyBorder="1" applyAlignment="1">
      <alignment vertical="center" indent="1"/>
    </xf>
    <xf numFmtId="0" fontId="366" fillId="17" borderId="34" xfId="0" applyFont="1" applyFill="1" applyBorder="1" applyAlignment="1">
      <alignment horizontal="center" vertical="center"/>
    </xf>
    <xf numFmtId="0" fontId="371" fillId="17" borderId="34" xfId="0" applyFont="1" applyFill="1" applyBorder="1" applyAlignment="1">
      <alignment vertical="center"/>
    </xf>
    <xf numFmtId="168" fontId="366" fillId="17" borderId="34" xfId="0" applyNumberFormat="1" applyFont="1" applyFill="1" applyBorder="1" applyAlignment="1">
      <alignment horizontal="right" vertical="center"/>
    </xf>
    <xf numFmtId="168" fontId="366" fillId="39" borderId="34" xfId="0" applyNumberFormat="1" applyFont="1" applyFill="1" applyBorder="1" applyAlignment="1">
      <alignment horizontal="right" vertical="center"/>
    </xf>
    <xf numFmtId="0" fontId="370" fillId="39" borderId="34" xfId="0" applyFont="1" applyFill="1" applyBorder="1" applyAlignment="1">
      <alignment vertical="center" wrapText="1" indent="1"/>
    </xf>
    <xf numFmtId="0" fontId="365" fillId="39" borderId="34" xfId="0" applyFont="1" applyFill="1" applyBorder="1" applyAlignment="1">
      <alignment horizontal="center" vertical="center"/>
    </xf>
    <xf numFmtId="0" fontId="370" fillId="39" borderId="34" xfId="0" applyFont="1" applyFill="1" applyBorder="1" applyAlignment="1">
      <alignment horizontal="center" vertical="center" wrapText="1"/>
    </xf>
    <xf numFmtId="168" fontId="34" fillId="0" borderId="98" xfId="0" applyNumberFormat="1" applyFont="1" applyBorder="1" applyAlignment="1">
      <alignment horizontal="right" vertical="center"/>
    </xf>
    <xf numFmtId="4" fontId="14" fillId="0" borderId="0" xfId="0" applyNumberFormat="1" applyFont="1"/>
    <xf numFmtId="168" fontId="366" fillId="14" borderId="44" xfId="0" applyNumberFormat="1" applyFont="1" applyFill="1" applyBorder="1" applyAlignment="1">
      <alignment vertical="center"/>
    </xf>
    <xf numFmtId="168" fontId="365" fillId="0" borderId="787" xfId="0" applyNumberFormat="1" applyFont="1" applyBorder="1" applyAlignment="1">
      <alignment vertical="center"/>
    </xf>
    <xf numFmtId="168" fontId="366" fillId="0" borderId="135" xfId="0" applyNumberFormat="1" applyFont="1" applyBorder="1" applyAlignment="1">
      <alignment vertical="center"/>
    </xf>
    <xf numFmtId="168" fontId="365" fillId="0" borderId="799" xfId="0" applyNumberFormat="1" applyFont="1" applyBorder="1" applyAlignment="1">
      <alignment vertical="center"/>
    </xf>
    <xf numFmtId="168" fontId="366" fillId="39" borderId="799" xfId="0" applyNumberFormat="1" applyFont="1" applyFill="1" applyBorder="1" applyAlignment="1">
      <alignment vertical="center"/>
    </xf>
    <xf numFmtId="168" fontId="366" fillId="17" borderId="662" xfId="0" applyNumberFormat="1" applyFont="1" applyFill="1" applyBorder="1" applyAlignment="1">
      <alignment vertical="center"/>
    </xf>
    <xf numFmtId="4" fontId="372" fillId="0" borderId="0" xfId="0" applyNumberFormat="1" applyFont="1"/>
    <xf numFmtId="2" fontId="52" fillId="17" borderId="662" xfId="0" applyNumberFormat="1" applyFont="1" applyFill="1" applyBorder="1" applyAlignment="1">
      <alignment horizontal="center" vertical="center"/>
    </xf>
    <xf numFmtId="168" fontId="365" fillId="0" borderId="737" xfId="0" applyNumberFormat="1" applyFont="1" applyBorder="1" applyAlignment="1">
      <alignment vertical="center"/>
    </xf>
    <xf numFmtId="168" fontId="366" fillId="0" borderId="737" xfId="0" applyNumberFormat="1" applyFont="1" applyBorder="1" applyAlignment="1">
      <alignment vertical="center"/>
    </xf>
    <xf numFmtId="0" fontId="362" fillId="39" borderId="807" xfId="0" applyFont="1" applyFill="1" applyBorder="1" applyAlignment="1">
      <alignment horizontal="left" vertical="center" wrapText="1" indent="1"/>
    </xf>
    <xf numFmtId="0" fontId="363" fillId="39" borderId="674" xfId="0" applyFont="1" applyFill="1" applyBorder="1" applyAlignment="1">
      <alignment horizontal="center" vertical="center" wrapText="1"/>
    </xf>
    <xf numFmtId="0" fontId="364" fillId="39" borderId="674" xfId="0" applyFont="1" applyFill="1" applyBorder="1" applyAlignment="1">
      <alignment horizontal="center" vertical="center" wrapText="1"/>
    </xf>
    <xf numFmtId="0" fontId="362" fillId="39" borderId="674" xfId="0" applyFont="1" applyFill="1" applyBorder="1" applyAlignment="1">
      <alignment horizontal="left" vertical="center" wrapText="1" indent="1"/>
    </xf>
    <xf numFmtId="0" fontId="346" fillId="39" borderId="674" xfId="0" applyFont="1" applyFill="1" applyBorder="1" applyAlignment="1">
      <alignment horizontal="center" vertical="center" wrapText="1"/>
    </xf>
    <xf numFmtId="0" fontId="337" fillId="39" borderId="674" xfId="0" applyFont="1" applyFill="1" applyBorder="1" applyAlignment="1">
      <alignment horizontal="center" vertical="center" wrapText="1"/>
    </xf>
    <xf numFmtId="168" fontId="346" fillId="39" borderId="674" xfId="0" applyNumberFormat="1" applyFont="1" applyFill="1" applyBorder="1" applyAlignment="1">
      <alignment horizontal="right" vertical="center"/>
    </xf>
    <xf numFmtId="168" fontId="361" fillId="39" borderId="674" xfId="0" applyNumberFormat="1" applyFont="1" applyFill="1" applyBorder="1" applyAlignment="1">
      <alignment horizontal="right" vertical="center"/>
    </xf>
    <xf numFmtId="49" fontId="361" fillId="39" borderId="674" xfId="0" applyNumberFormat="1" applyFont="1" applyFill="1" applyBorder="1" applyAlignment="1">
      <alignment horizontal="center" vertical="center" wrapText="1"/>
    </xf>
    <xf numFmtId="0" fontId="337" fillId="39" borderId="662" xfId="0" applyFont="1" applyFill="1" applyBorder="1" applyAlignment="1">
      <alignment horizontal="left" vertical="center" wrapText="1" indent="1"/>
    </xf>
    <xf numFmtId="0" fontId="346" fillId="39" borderId="662" xfId="0" applyFont="1" applyFill="1" applyBorder="1" applyAlignment="1">
      <alignment horizontal="center" vertical="center" wrapText="1"/>
    </xf>
    <xf numFmtId="0" fontId="337" fillId="39" borderId="662" xfId="0" applyFont="1" applyFill="1" applyBorder="1" applyAlignment="1">
      <alignment horizontal="center" vertical="center" wrapText="1"/>
    </xf>
    <xf numFmtId="168" fontId="346" fillId="39" borderId="662" xfId="0" applyNumberFormat="1" applyFont="1" applyFill="1" applyBorder="1" applyAlignment="1">
      <alignment horizontal="right" vertical="center"/>
    </xf>
    <xf numFmtId="0" fontId="337" fillId="39" borderId="662" xfId="0" applyFont="1" applyFill="1" applyBorder="1" applyAlignment="1">
      <alignment horizontal="left" vertical="center" indent="1"/>
    </xf>
    <xf numFmtId="0" fontId="337" fillId="39" borderId="770" xfId="0" applyFont="1" applyFill="1" applyBorder="1" applyAlignment="1">
      <alignment horizontal="left" vertical="center" wrapText="1" indent="1"/>
    </xf>
    <xf numFmtId="0" fontId="346" fillId="39" borderId="770" xfId="0" applyFont="1" applyFill="1" applyBorder="1" applyAlignment="1">
      <alignment horizontal="center" vertical="center" wrapText="1"/>
    </xf>
    <xf numFmtId="0" fontId="337" fillId="39" borderId="770" xfId="0" applyFont="1" applyFill="1" applyBorder="1" applyAlignment="1">
      <alignment horizontal="center" vertical="center" wrapText="1"/>
    </xf>
    <xf numFmtId="168" fontId="346" fillId="39" borderId="770" xfId="0" applyNumberFormat="1" applyFont="1" applyFill="1" applyBorder="1" applyAlignment="1">
      <alignment horizontal="right" vertical="center"/>
    </xf>
    <xf numFmtId="168" fontId="54" fillId="14" borderId="84" xfId="0" applyNumberFormat="1" applyFont="1" applyFill="1" applyBorder="1" applyAlignment="1">
      <alignment horizontal="right" vertical="center"/>
    </xf>
    <xf numFmtId="4" fontId="104" fillId="14" borderId="543" xfId="15" applyNumberFormat="1" applyFont="1" applyFill="1" applyBorder="1" applyAlignment="1">
      <alignment horizontal="right" vertical="center" indent="1"/>
    </xf>
    <xf numFmtId="168" fontId="366" fillId="0" borderId="339" xfId="0" applyNumberFormat="1" applyFont="1" applyBorder="1" applyAlignment="1">
      <alignment vertical="center"/>
    </xf>
    <xf numFmtId="0" fontId="365" fillId="0" borderId="74" xfId="0" applyFont="1" applyBorder="1" applyAlignment="1">
      <alignment horizontal="center" vertical="center" wrapText="1"/>
    </xf>
    <xf numFmtId="168" fontId="365" fillId="0" borderId="737" xfId="0" applyNumberFormat="1" applyFont="1" applyBorder="1" applyAlignment="1">
      <alignment horizontal="left" vertical="center"/>
    </xf>
    <xf numFmtId="0" fontId="365" fillId="0" borderId="662" xfId="0" applyFont="1" applyBorder="1" applyAlignment="1">
      <alignment horizontal="center" vertical="center" wrapText="1"/>
    </xf>
    <xf numFmtId="39" fontId="367" fillId="39" borderId="37" xfId="0" applyNumberFormat="1" applyFont="1" applyFill="1" applyBorder="1" applyAlignment="1">
      <alignment vertical="center"/>
    </xf>
    <xf numFmtId="168" fontId="366" fillId="0" borderId="43" xfId="0" applyNumberFormat="1" applyFont="1" applyBorder="1" applyAlignment="1">
      <alignment vertical="center"/>
    </xf>
    <xf numFmtId="168" fontId="365" fillId="39" borderId="74" xfId="0" applyNumberFormat="1" applyFont="1" applyFill="1" applyBorder="1" applyAlignment="1">
      <alignment vertical="center"/>
    </xf>
    <xf numFmtId="168" fontId="365" fillId="0" borderId="674" xfId="0" applyNumberFormat="1" applyFont="1" applyBorder="1" applyAlignment="1">
      <alignment vertical="center"/>
    </xf>
    <xf numFmtId="168" fontId="366" fillId="48" borderId="674" xfId="0" applyNumberFormat="1" applyFont="1" applyFill="1" applyBorder="1" applyAlignment="1">
      <alignment vertical="center"/>
    </xf>
    <xf numFmtId="0" fontId="370" fillId="39" borderId="770" xfId="0" applyFont="1" applyFill="1" applyBorder="1" applyAlignment="1">
      <alignment horizontal="left" vertical="center" wrapText="1" indent="1"/>
    </xf>
    <xf numFmtId="0" fontId="370" fillId="39" borderId="662" xfId="0" applyFont="1" applyFill="1" applyBorder="1" applyAlignment="1">
      <alignment horizontal="left" vertical="center" wrapText="1" indent="1"/>
    </xf>
    <xf numFmtId="49" fontId="373" fillId="17" borderId="5" xfId="0" applyNumberFormat="1" applyFont="1" applyFill="1" applyBorder="1" applyAlignment="1">
      <alignment horizontal="center" vertical="center"/>
    </xf>
    <xf numFmtId="49" fontId="366" fillId="39" borderId="34" xfId="0" applyNumberFormat="1" applyFont="1" applyFill="1" applyBorder="1" applyAlignment="1">
      <alignment horizontal="center" vertical="center"/>
    </xf>
    <xf numFmtId="0" fontId="368" fillId="14" borderId="662" xfId="0" applyFont="1" applyFill="1" applyBorder="1" applyAlignment="1">
      <alignment horizontal="left" vertical="center" wrapText="1" indent="1"/>
    </xf>
    <xf numFmtId="0" fontId="365" fillId="14" borderId="662" xfId="0" applyFont="1" applyFill="1" applyBorder="1" applyAlignment="1">
      <alignment horizontal="center" vertical="center" wrapText="1"/>
    </xf>
    <xf numFmtId="0" fontId="368" fillId="14" borderId="662" xfId="0" applyFont="1" applyFill="1" applyBorder="1" applyAlignment="1">
      <alignment horizontal="center" vertical="center" wrapText="1"/>
    </xf>
    <xf numFmtId="168" fontId="365" fillId="14" borderId="662" xfId="0" applyNumberFormat="1" applyFont="1" applyFill="1" applyBorder="1" applyAlignment="1">
      <alignment vertical="center"/>
    </xf>
    <xf numFmtId="0" fontId="370" fillId="0" borderId="33" xfId="16" applyFont="1" applyBorder="1" applyAlignment="1">
      <alignment horizontal="left" vertical="center" wrapText="1" indent="1"/>
    </xf>
    <xf numFmtId="0" fontId="376" fillId="14" borderId="34" xfId="16" applyFont="1" applyFill="1" applyBorder="1" applyAlignment="1">
      <alignment horizontal="center" vertical="center"/>
    </xf>
    <xf numFmtId="0" fontId="370" fillId="17" borderId="34" xfId="16" applyFont="1" applyFill="1" applyBorder="1" applyAlignment="1">
      <alignment horizontal="left" vertical="center" wrapText="1" indent="1"/>
    </xf>
    <xf numFmtId="0" fontId="365" fillId="17" borderId="34" xfId="16" applyFont="1" applyFill="1" applyBorder="1" applyAlignment="1">
      <alignment horizontal="center" vertical="center" wrapText="1"/>
    </xf>
    <xf numFmtId="49" fontId="366" fillId="14" borderId="34" xfId="16" applyNumberFormat="1" applyFont="1" applyFill="1" applyBorder="1" applyAlignment="1">
      <alignment horizontal="center" vertical="center"/>
    </xf>
    <xf numFmtId="49" fontId="375" fillId="14" borderId="34" xfId="16" applyNumberFormat="1" applyFont="1" applyFill="1" applyBorder="1" applyAlignment="1">
      <alignment horizontal="left" vertical="center" wrapText="1" indent="1"/>
    </xf>
    <xf numFmtId="49" fontId="370" fillId="17" borderId="34" xfId="16" applyNumberFormat="1" applyFont="1" applyFill="1" applyBorder="1" applyAlignment="1">
      <alignment horizontal="center" vertical="center"/>
    </xf>
    <xf numFmtId="49" fontId="370" fillId="17" borderId="43" xfId="16" applyNumberFormat="1" applyFont="1" applyFill="1" applyBorder="1" applyAlignment="1">
      <alignment horizontal="center" vertical="center"/>
    </xf>
    <xf numFmtId="49" fontId="371" fillId="0" borderId="41" xfId="16" applyNumberFormat="1" applyFont="1" applyBorder="1" applyAlignment="1">
      <alignment horizontal="left" vertical="center" wrapText="1" indent="1"/>
    </xf>
    <xf numFmtId="0" fontId="374" fillId="14" borderId="44" xfId="16" applyFont="1" applyFill="1" applyBorder="1" applyAlignment="1">
      <alignment horizontal="center" vertical="center"/>
    </xf>
    <xf numFmtId="0" fontId="365" fillId="17" borderId="44" xfId="16" applyFont="1" applyFill="1" applyBorder="1" applyAlignment="1">
      <alignment horizontal="center" vertical="center" wrapText="1"/>
    </xf>
    <xf numFmtId="39" fontId="365" fillId="17" borderId="44" xfId="16" applyNumberFormat="1" applyFont="1" applyFill="1" applyBorder="1" applyAlignment="1">
      <alignment horizontal="right" vertical="center"/>
    </xf>
    <xf numFmtId="39" fontId="365" fillId="14" borderId="44" xfId="16" applyNumberFormat="1" applyFont="1" applyFill="1" applyBorder="1" applyAlignment="1">
      <alignment horizontal="right" vertical="center"/>
    </xf>
    <xf numFmtId="49" fontId="366" fillId="14" borderId="44" xfId="16" applyNumberFormat="1" applyFont="1" applyFill="1" applyBorder="1" applyAlignment="1">
      <alignment horizontal="center" vertical="center"/>
    </xf>
    <xf numFmtId="49" fontId="375" fillId="14" borderId="44" xfId="16" applyNumberFormat="1" applyFont="1" applyFill="1" applyBorder="1" applyAlignment="1">
      <alignment horizontal="left" vertical="center" wrapText="1" indent="1"/>
    </xf>
    <xf numFmtId="49" fontId="370" fillId="17" borderId="44" xfId="16" applyNumberFormat="1" applyFont="1" applyFill="1" applyBorder="1" applyAlignment="1">
      <alignment horizontal="center" vertical="center"/>
    </xf>
    <xf numFmtId="0" fontId="376" fillId="17" borderId="43" xfId="16" applyFont="1" applyFill="1" applyBorder="1" applyAlignment="1">
      <alignment horizontal="center" vertical="center"/>
    </xf>
    <xf numFmtId="0" fontId="370" fillId="17" borderId="43" xfId="16" applyFont="1" applyFill="1" applyBorder="1" applyAlignment="1">
      <alignment horizontal="left" vertical="center" wrapText="1" indent="1"/>
    </xf>
    <xf numFmtId="0" fontId="365" fillId="17" borderId="43" xfId="16" applyFont="1" applyFill="1" applyBorder="1" applyAlignment="1">
      <alignment horizontal="center" vertical="center" wrapText="1"/>
    </xf>
    <xf numFmtId="39" fontId="365" fillId="17" borderId="43" xfId="16" applyNumberFormat="1" applyFont="1" applyFill="1" applyBorder="1" applyAlignment="1">
      <alignment horizontal="right" vertical="center"/>
    </xf>
    <xf numFmtId="39" fontId="366" fillId="17" borderId="43" xfId="16" applyNumberFormat="1" applyFont="1" applyFill="1" applyBorder="1" applyAlignment="1">
      <alignment horizontal="right" vertical="center"/>
    </xf>
    <xf numFmtId="0" fontId="376" fillId="14" borderId="44" xfId="16" applyFont="1" applyFill="1" applyBorder="1" applyAlignment="1">
      <alignment horizontal="center" vertical="center"/>
    </xf>
    <xf numFmtId="0" fontId="370" fillId="17" borderId="44" xfId="16" applyFont="1" applyFill="1" applyBorder="1" applyAlignment="1">
      <alignment horizontal="left" vertical="center" wrapText="1" indent="1"/>
    </xf>
    <xf numFmtId="168" fontId="369" fillId="0" borderId="178" xfId="16" applyNumberFormat="1" applyFont="1" applyBorder="1" applyAlignment="1">
      <alignment horizontal="right" vertical="center"/>
    </xf>
    <xf numFmtId="49" fontId="38" fillId="17" borderId="144" xfId="0" applyNumberFormat="1" applyFont="1" applyFill="1" applyBorder="1" applyAlignment="1">
      <alignment horizontal="left" vertical="center" wrapText="1" indent="1"/>
    </xf>
    <xf numFmtId="49" fontId="68" fillId="0" borderId="134" xfId="0" applyNumberFormat="1" applyFont="1" applyBorder="1" applyAlignment="1">
      <alignment horizontal="center" vertical="center"/>
    </xf>
    <xf numFmtId="168" fontId="52" fillId="39" borderId="134" xfId="0" applyNumberFormat="1" applyFont="1" applyFill="1" applyBorder="1" applyAlignment="1">
      <alignment horizontal="right" vertical="center"/>
    </xf>
    <xf numFmtId="168" fontId="365" fillId="39" borderId="74" xfId="0" applyNumberFormat="1" applyFont="1" applyFill="1" applyBorder="1" applyAlignment="1">
      <alignment horizontal="right" vertical="center"/>
    </xf>
    <xf numFmtId="168" fontId="366" fillId="39" borderId="74" xfId="0" applyNumberFormat="1" applyFont="1" applyFill="1" applyBorder="1" applyAlignment="1">
      <alignment horizontal="right" vertical="center"/>
    </xf>
    <xf numFmtId="49" fontId="130" fillId="0" borderId="411" xfId="2" applyNumberFormat="1" applyFont="1" applyBorder="1" applyAlignment="1">
      <alignment horizontal="center" vertical="center"/>
    </xf>
    <xf numFmtId="0" fontId="378" fillId="0" borderId="0" xfId="0" applyFont="1" applyAlignment="1">
      <alignment horizontal="left" vertical="center" wrapText="1"/>
    </xf>
    <xf numFmtId="0" fontId="378" fillId="0" borderId="0" xfId="0" applyFont="1" applyAlignment="1">
      <alignment horizontal="left" vertical="center"/>
    </xf>
    <xf numFmtId="0" fontId="380" fillId="0" borderId="0" xfId="0" applyFont="1" applyAlignment="1">
      <alignment horizontal="left" vertical="center" wrapText="1"/>
    </xf>
    <xf numFmtId="168" fontId="87" fillId="0" borderId="6" xfId="0" applyNumberFormat="1" applyFont="1" applyBorder="1" applyAlignment="1">
      <alignment horizontal="right" vertical="center"/>
    </xf>
    <xf numFmtId="168" fontId="360" fillId="0" borderId="662" xfId="0" applyNumberFormat="1" applyFont="1" applyBorder="1" applyAlignment="1">
      <alignment vertical="center"/>
    </xf>
    <xf numFmtId="168" fontId="338" fillId="0" borderId="737" xfId="0" applyNumberFormat="1" applyFont="1" applyBorder="1" applyAlignment="1">
      <alignment vertical="center"/>
    </xf>
    <xf numFmtId="168" fontId="338" fillId="0" borderId="662" xfId="0" applyNumberFormat="1" applyFont="1" applyBorder="1" applyAlignment="1">
      <alignment vertical="center"/>
    </xf>
    <xf numFmtId="168" fontId="338" fillId="39" borderId="674" xfId="0" applyNumberFormat="1" applyFont="1" applyFill="1" applyBorder="1" applyAlignment="1">
      <alignment vertical="center"/>
    </xf>
    <xf numFmtId="168" fontId="360" fillId="39" borderId="662" xfId="0" applyNumberFormat="1" applyFont="1" applyFill="1" applyBorder="1" applyAlignment="1">
      <alignment vertical="center"/>
    </xf>
    <xf numFmtId="168" fontId="360" fillId="39" borderId="74" xfId="0" applyNumberFormat="1" applyFont="1" applyFill="1" applyBorder="1" applyAlignment="1">
      <alignment vertical="center"/>
    </xf>
    <xf numFmtId="168" fontId="338" fillId="39" borderId="74" xfId="0" applyNumberFormat="1" applyFont="1" applyFill="1" applyBorder="1" applyAlignment="1">
      <alignment vertical="center"/>
    </xf>
    <xf numFmtId="39" fontId="365" fillId="28" borderId="34" xfId="16" applyNumberFormat="1" applyFont="1" applyFill="1" applyBorder="1" applyAlignment="1">
      <alignment horizontal="right" vertical="center"/>
    </xf>
    <xf numFmtId="39" fontId="366" fillId="28" borderId="34" xfId="16" applyNumberFormat="1" applyFont="1" applyFill="1" applyBorder="1" applyAlignment="1">
      <alignment horizontal="right" vertical="center"/>
    </xf>
    <xf numFmtId="39" fontId="360" fillId="39" borderId="83" xfId="0" applyNumberFormat="1" applyFont="1" applyFill="1" applyBorder="1" applyAlignment="1">
      <alignment vertical="center"/>
    </xf>
    <xf numFmtId="39" fontId="338" fillId="39" borderId="83" xfId="0" applyNumberFormat="1" applyFont="1" applyFill="1" applyBorder="1" applyAlignment="1">
      <alignment vertical="center"/>
    </xf>
    <xf numFmtId="39" fontId="360" fillId="39" borderId="486" xfId="0" applyNumberFormat="1" applyFont="1" applyFill="1" applyBorder="1" applyAlignment="1">
      <alignment vertical="center"/>
    </xf>
    <xf numFmtId="39" fontId="360" fillId="39" borderId="486" xfId="0" applyNumberFormat="1" applyFont="1" applyFill="1" applyBorder="1" applyAlignment="1">
      <alignment horizontal="right" vertical="center"/>
    </xf>
    <xf numFmtId="39" fontId="338" fillId="39" borderId="486" xfId="0" applyNumberFormat="1" applyFont="1" applyFill="1" applyBorder="1" applyAlignment="1">
      <alignment vertical="center"/>
    </xf>
    <xf numFmtId="39" fontId="360" fillId="17" borderId="34" xfId="16" applyNumberFormat="1" applyFont="1" applyFill="1" applyBorder="1" applyAlignment="1">
      <alignment horizontal="right" vertical="center"/>
    </xf>
    <xf numFmtId="39" fontId="360" fillId="14" borderId="34" xfId="16" applyNumberFormat="1" applyFont="1" applyFill="1" applyBorder="1" applyAlignment="1">
      <alignment horizontal="right" vertical="center"/>
    </xf>
    <xf numFmtId="39" fontId="338" fillId="14" borderId="34" xfId="16" applyNumberFormat="1" applyFont="1" applyFill="1" applyBorder="1" applyAlignment="1">
      <alignment horizontal="right" vertical="center"/>
    </xf>
    <xf numFmtId="39" fontId="360" fillId="39" borderId="84" xfId="0" applyNumberFormat="1" applyFont="1" applyFill="1" applyBorder="1" applyAlignment="1">
      <alignment horizontal="right" vertical="center"/>
    </xf>
    <xf numFmtId="39" fontId="338" fillId="39" borderId="173" xfId="0" applyNumberFormat="1" applyFont="1" applyFill="1" applyBorder="1" applyAlignment="1">
      <alignment vertical="center"/>
    </xf>
    <xf numFmtId="171" fontId="381" fillId="0" borderId="344" xfId="0" applyNumberFormat="1" applyFont="1" applyBorder="1" applyAlignment="1">
      <alignment vertical="center" wrapText="1"/>
    </xf>
    <xf numFmtId="168" fontId="338" fillId="39" borderId="662" xfId="0" applyNumberFormat="1" applyFont="1" applyFill="1" applyBorder="1" applyAlignment="1">
      <alignment horizontal="right" vertical="center"/>
    </xf>
    <xf numFmtId="168" fontId="360" fillId="0" borderId="34" xfId="0" applyNumberFormat="1" applyFont="1" applyBorder="1" applyAlignment="1">
      <alignment vertical="center"/>
    </xf>
    <xf numFmtId="168" fontId="338" fillId="0" borderId="34" xfId="0" applyNumberFormat="1" applyFont="1" applyBorder="1" applyAlignment="1">
      <alignment vertical="center"/>
    </xf>
    <xf numFmtId="168" fontId="360" fillId="39" borderId="173" xfId="0" applyNumberFormat="1" applyFont="1" applyFill="1" applyBorder="1" applyAlignment="1">
      <alignment vertical="center"/>
    </xf>
    <xf numFmtId="168" fontId="338" fillId="39" borderId="173" xfId="0" applyNumberFormat="1" applyFont="1" applyFill="1" applyBorder="1" applyAlignment="1">
      <alignment vertical="center"/>
    </xf>
    <xf numFmtId="168" fontId="360" fillId="39" borderId="84" xfId="0" applyNumberFormat="1" applyFont="1" applyFill="1" applyBorder="1" applyAlignment="1">
      <alignment vertical="center"/>
    </xf>
    <xf numFmtId="168" fontId="338" fillId="39" borderId="34" xfId="0" applyNumberFormat="1" applyFont="1" applyFill="1" applyBorder="1" applyAlignment="1">
      <alignment vertical="center"/>
    </xf>
    <xf numFmtId="0" fontId="382" fillId="4" borderId="34" xfId="0" applyFont="1" applyFill="1" applyBorder="1" applyAlignment="1">
      <alignment horizontal="center" vertical="center"/>
    </xf>
    <xf numFmtId="168" fontId="338" fillId="0" borderId="674" xfId="0" applyNumberFormat="1" applyFont="1" applyBorder="1" applyAlignment="1">
      <alignment vertical="center"/>
    </xf>
    <xf numFmtId="39" fontId="360" fillId="39" borderId="34" xfId="16" applyNumberFormat="1" applyFont="1" applyFill="1" applyBorder="1" applyAlignment="1">
      <alignment horizontal="right" vertical="center"/>
    </xf>
    <xf numFmtId="39" fontId="338" fillId="39" borderId="34" xfId="16" applyNumberFormat="1" applyFont="1" applyFill="1" applyBorder="1" applyAlignment="1">
      <alignment horizontal="right" vertical="center"/>
    </xf>
    <xf numFmtId="168" fontId="338" fillId="39" borderId="662" xfId="0" applyNumberFormat="1" applyFont="1" applyFill="1" applyBorder="1" applyAlignment="1">
      <alignment vertical="center"/>
    </xf>
    <xf numFmtId="0" fontId="11" fillId="14" borderId="802" xfId="0" applyFont="1" applyFill="1" applyBorder="1" applyAlignment="1">
      <alignment horizontal="left" vertical="center" wrapText="1" indent="1"/>
    </xf>
    <xf numFmtId="0" fontId="336" fillId="14" borderId="662" xfId="0" applyFont="1" applyFill="1" applyBorder="1" applyAlignment="1">
      <alignment horizontal="center" vertical="center"/>
    </xf>
    <xf numFmtId="0" fontId="334" fillId="14" borderId="662" xfId="0" applyFont="1" applyFill="1" applyBorder="1" applyAlignment="1">
      <alignment horizontal="center" vertical="center"/>
    </xf>
    <xf numFmtId="0" fontId="327" fillId="14" borderId="662" xfId="0" applyFont="1" applyFill="1" applyBorder="1" applyAlignment="1">
      <alignment horizontal="left" vertical="center" wrapText="1" indent="1"/>
    </xf>
    <xf numFmtId="0" fontId="324" fillId="14" borderId="662" xfId="0" applyFont="1" applyFill="1" applyBorder="1" applyAlignment="1">
      <alignment horizontal="center" vertical="center" wrapText="1"/>
    </xf>
    <xf numFmtId="0" fontId="330" fillId="14" borderId="662" xfId="0" applyFont="1" applyFill="1" applyBorder="1" applyAlignment="1">
      <alignment horizontal="center" vertical="center" wrapText="1"/>
    </xf>
    <xf numFmtId="168" fontId="324" fillId="14" borderId="662" xfId="0" applyNumberFormat="1" applyFont="1" applyFill="1" applyBorder="1" applyAlignment="1">
      <alignment vertical="center"/>
    </xf>
    <xf numFmtId="168" fontId="323" fillId="14" borderId="662" xfId="0" applyNumberFormat="1" applyFont="1" applyFill="1" applyBorder="1" applyAlignment="1">
      <alignment vertical="center"/>
    </xf>
    <xf numFmtId="49" fontId="323" fillId="14" borderId="662" xfId="0" applyNumberFormat="1" applyFont="1" applyFill="1" applyBorder="1" applyAlignment="1">
      <alignment horizontal="center" vertical="center"/>
    </xf>
    <xf numFmtId="0" fontId="24" fillId="14" borderId="789" xfId="0" applyFont="1" applyFill="1" applyBorder="1" applyAlignment="1">
      <alignment horizontal="left" vertical="center" wrapText="1" indent="1"/>
    </xf>
    <xf numFmtId="0" fontId="330" fillId="14" borderId="662" xfId="0" applyFont="1" applyFill="1" applyBorder="1" applyAlignment="1">
      <alignment horizontal="left" vertical="center" wrapText="1" indent="1"/>
    </xf>
    <xf numFmtId="168" fontId="171" fillId="39" borderId="662" xfId="0" applyNumberFormat="1" applyFont="1" applyFill="1" applyBorder="1" applyAlignment="1">
      <alignment vertical="center"/>
    </xf>
    <xf numFmtId="39" fontId="338" fillId="14" borderId="44" xfId="16" applyNumberFormat="1" applyFont="1" applyFill="1" applyBorder="1" applyAlignment="1">
      <alignment horizontal="right" vertical="center"/>
    </xf>
    <xf numFmtId="0" fontId="360" fillId="0" borderId="411" xfId="16" applyFont="1" applyBorder="1" applyAlignment="1">
      <alignment horizontal="center" vertical="center"/>
    </xf>
    <xf numFmtId="168" fontId="360" fillId="0" borderId="737" xfId="0" applyNumberFormat="1" applyFont="1" applyBorder="1" applyAlignment="1">
      <alignment vertical="center"/>
    </xf>
    <xf numFmtId="168" fontId="338" fillId="39" borderId="737" xfId="0" applyNumberFormat="1" applyFont="1" applyFill="1" applyBorder="1" applyAlignment="1">
      <alignment vertical="center"/>
    </xf>
    <xf numFmtId="0" fontId="383" fillId="0" borderId="411" xfId="16" applyFont="1" applyBorder="1" applyAlignment="1">
      <alignment horizontal="left" vertical="center" indent="1"/>
    </xf>
    <xf numFmtId="0" fontId="384" fillId="17" borderId="34" xfId="16" applyFont="1" applyFill="1" applyBorder="1" applyAlignment="1">
      <alignment horizontal="center" vertical="center" wrapText="1"/>
    </xf>
    <xf numFmtId="39" fontId="360" fillId="14" borderId="681" xfId="16" applyNumberFormat="1" applyFont="1" applyFill="1" applyBorder="1" applyAlignment="1">
      <alignment horizontal="right" vertical="center"/>
    </xf>
    <xf numFmtId="168" fontId="360" fillId="0" borderId="674" xfId="0" applyNumberFormat="1" applyFont="1" applyBorder="1" applyAlignment="1">
      <alignment vertical="center"/>
    </xf>
    <xf numFmtId="0" fontId="360" fillId="0" borderId="738" xfId="0" applyFont="1" applyBorder="1" applyAlignment="1">
      <alignment horizontal="center" vertical="center" wrapText="1"/>
    </xf>
    <xf numFmtId="0" fontId="382" fillId="39" borderId="74" xfId="0" applyFont="1" applyFill="1" applyBorder="1" applyAlignment="1">
      <alignment horizontal="left" vertical="center" indent="1"/>
    </xf>
    <xf numFmtId="0" fontId="385" fillId="39" borderId="74" xfId="0" applyFont="1" applyFill="1" applyBorder="1" applyAlignment="1">
      <alignment horizontal="center" vertical="center" wrapText="1"/>
    </xf>
    <xf numFmtId="0" fontId="382" fillId="39" borderId="74" xfId="0" applyFont="1" applyFill="1" applyBorder="1" applyAlignment="1">
      <alignment horizontal="center" vertical="center"/>
    </xf>
    <xf numFmtId="43" fontId="385" fillId="39" borderId="74" xfId="0" applyNumberFormat="1" applyFont="1" applyFill="1" applyBorder="1" applyAlignment="1">
      <alignment horizontal="center" vertical="center"/>
    </xf>
    <xf numFmtId="168" fontId="385" fillId="39" borderId="74" xfId="0" applyNumberFormat="1" applyFont="1" applyFill="1" applyBorder="1" applyAlignment="1">
      <alignment vertical="center"/>
    </xf>
    <xf numFmtId="168" fontId="338" fillId="0" borderId="74" xfId="0" applyNumberFormat="1" applyFont="1" applyBorder="1" applyAlignment="1">
      <alignment vertical="center"/>
    </xf>
    <xf numFmtId="0" fontId="386" fillId="0" borderId="135" xfId="0" applyFont="1" applyBorder="1" applyAlignment="1">
      <alignment horizontal="left" vertical="center" wrapText="1"/>
    </xf>
    <xf numFmtId="0" fontId="387" fillId="0" borderId="135" xfId="0" applyFont="1" applyBorder="1" applyAlignment="1">
      <alignment horizontal="left" vertical="center" wrapText="1"/>
    </xf>
    <xf numFmtId="168" fontId="338" fillId="39" borderId="135" xfId="0" applyNumberFormat="1" applyFont="1" applyFill="1" applyBorder="1" applyAlignment="1">
      <alignment vertical="center"/>
    </xf>
    <xf numFmtId="168" fontId="338" fillId="0" borderId="39" xfId="0" applyNumberFormat="1" applyFont="1" applyBorder="1" applyAlignment="1">
      <alignment vertical="center"/>
    </xf>
    <xf numFmtId="0" fontId="382" fillId="0" borderId="34" xfId="0" applyFont="1" applyBorder="1" applyAlignment="1">
      <alignment horizontal="left" vertical="center" wrapText="1" indent="1"/>
    </xf>
    <xf numFmtId="0" fontId="360" fillId="0" borderId="34" xfId="0" applyFont="1" applyBorder="1" applyAlignment="1">
      <alignment horizontal="center" vertical="center"/>
    </xf>
    <xf numFmtId="0" fontId="382" fillId="0" borderId="34" xfId="0" applyFont="1" applyBorder="1" applyAlignment="1">
      <alignment horizontal="center" vertical="center"/>
    </xf>
    <xf numFmtId="168" fontId="338" fillId="0" borderId="662" xfId="0" applyNumberFormat="1" applyFont="1" applyBorder="1" applyAlignment="1">
      <alignment horizontal="center" vertical="center"/>
    </xf>
    <xf numFmtId="168" fontId="360" fillId="14" borderId="662" xfId="0" applyNumberFormat="1" applyFont="1" applyFill="1" applyBorder="1" applyAlignment="1">
      <alignment vertical="center"/>
    </xf>
    <xf numFmtId="39" fontId="338" fillId="17" borderId="86" xfId="0" applyNumberFormat="1" applyFont="1" applyFill="1" applyBorder="1" applyAlignment="1">
      <alignment vertical="center"/>
    </xf>
    <xf numFmtId="39" fontId="360" fillId="17" borderId="84" xfId="0" applyNumberFormat="1" applyFont="1" applyFill="1" applyBorder="1" applyAlignment="1">
      <alignment vertical="center"/>
    </xf>
    <xf numFmtId="39" fontId="338" fillId="17" borderId="84" xfId="0" applyNumberFormat="1" applyFont="1" applyFill="1" applyBorder="1" applyAlignment="1">
      <alignment vertical="center"/>
    </xf>
    <xf numFmtId="168" fontId="360" fillId="39" borderId="44" xfId="0" applyNumberFormat="1" applyFont="1" applyFill="1" applyBorder="1" applyAlignment="1">
      <alignment vertical="center"/>
    </xf>
    <xf numFmtId="168" fontId="338" fillId="39" borderId="44" xfId="0" applyNumberFormat="1" applyFont="1" applyFill="1" applyBorder="1" applyAlignment="1">
      <alignment vertical="center"/>
    </xf>
    <xf numFmtId="168" fontId="360" fillId="39" borderId="34" xfId="0" applyNumberFormat="1" applyFont="1" applyFill="1" applyBorder="1" applyAlignment="1">
      <alignment vertical="center"/>
    </xf>
    <xf numFmtId="168" fontId="360" fillId="0" borderId="39" xfId="0" applyNumberFormat="1" applyFont="1" applyBorder="1" applyAlignment="1">
      <alignment vertical="center"/>
    </xf>
    <xf numFmtId="49" fontId="387" fillId="14" borderId="802" xfId="0" applyNumberFormat="1" applyFont="1" applyFill="1" applyBorder="1" applyAlignment="1">
      <alignment horizontal="left" vertical="center" indent="1"/>
    </xf>
    <xf numFmtId="0" fontId="388" fillId="14" borderId="662" xfId="0" applyFont="1" applyFill="1" applyBorder="1" applyAlignment="1">
      <alignment horizontal="center" vertical="center"/>
    </xf>
    <xf numFmtId="0" fontId="389" fillId="14" borderId="662" xfId="0" applyFont="1" applyFill="1" applyBorder="1" applyAlignment="1">
      <alignment horizontal="center" vertical="center"/>
    </xf>
    <xf numFmtId="0" fontId="387" fillId="14" borderId="662" xfId="0" applyFont="1" applyFill="1" applyBorder="1" applyAlignment="1">
      <alignment horizontal="left" vertical="center" wrapText="1" indent="1"/>
    </xf>
    <xf numFmtId="0" fontId="360" fillId="14" borderId="662" xfId="0" applyFont="1" applyFill="1" applyBorder="1" applyAlignment="1">
      <alignment horizontal="center" vertical="center" wrapText="1"/>
    </xf>
    <xf numFmtId="0" fontId="382" fillId="14" borderId="662" xfId="0" applyFont="1" applyFill="1" applyBorder="1" applyAlignment="1">
      <alignment horizontal="center" vertical="center" wrapText="1"/>
    </xf>
    <xf numFmtId="168" fontId="338" fillId="14" borderId="662" xfId="0" applyNumberFormat="1" applyFont="1" applyFill="1" applyBorder="1" applyAlignment="1">
      <alignment vertical="center"/>
    </xf>
    <xf numFmtId="49" fontId="338" fillId="14" borderId="662" xfId="0" applyNumberFormat="1" applyFont="1" applyFill="1" applyBorder="1" applyAlignment="1">
      <alignment horizontal="center" vertical="center"/>
    </xf>
    <xf numFmtId="0" fontId="387" fillId="14" borderId="812" xfId="0" applyFont="1" applyFill="1" applyBorder="1" applyAlignment="1">
      <alignment horizontal="right" vertical="center" indent="1"/>
    </xf>
    <xf numFmtId="0" fontId="388" fillId="14" borderId="770" xfId="0" applyFont="1" applyFill="1" applyBorder="1" applyAlignment="1">
      <alignment horizontal="right" vertical="center"/>
    </xf>
    <xf numFmtId="0" fontId="389" fillId="14" borderId="770" xfId="0" applyFont="1" applyFill="1" applyBorder="1" applyAlignment="1">
      <alignment horizontal="center" vertical="center"/>
    </xf>
    <xf numFmtId="0" fontId="382" fillId="14" borderId="770" xfId="0" applyFont="1" applyFill="1" applyBorder="1" applyAlignment="1">
      <alignment horizontal="left" vertical="center" wrapText="1" indent="1"/>
    </xf>
    <xf numFmtId="0" fontId="360" fillId="14" borderId="770" xfId="0" applyFont="1" applyFill="1" applyBorder="1" applyAlignment="1">
      <alignment horizontal="center" vertical="center" wrapText="1"/>
    </xf>
    <xf numFmtId="0" fontId="382" fillId="14" borderId="770" xfId="0" applyFont="1" applyFill="1" applyBorder="1" applyAlignment="1">
      <alignment horizontal="center" vertical="center" wrapText="1"/>
    </xf>
    <xf numFmtId="168" fontId="360" fillId="14" borderId="770" xfId="0" applyNumberFormat="1" applyFont="1" applyFill="1" applyBorder="1" applyAlignment="1">
      <alignment vertical="center"/>
    </xf>
    <xf numFmtId="168" fontId="338" fillId="14" borderId="770" xfId="0" applyNumberFormat="1" applyFont="1" applyFill="1" applyBorder="1" applyAlignment="1">
      <alignment vertical="center"/>
    </xf>
    <xf numFmtId="49" fontId="338" fillId="14" borderId="770" xfId="0" applyNumberFormat="1" applyFont="1" applyFill="1" applyBorder="1" applyAlignment="1">
      <alignment vertical="center"/>
    </xf>
    <xf numFmtId="168" fontId="360" fillId="0" borderId="74" xfId="0" applyNumberFormat="1" applyFont="1" applyBorder="1" applyAlignment="1">
      <alignment horizontal="right" vertical="center"/>
    </xf>
    <xf numFmtId="168" fontId="338" fillId="0" borderId="74" xfId="0" applyNumberFormat="1" applyFont="1" applyBorder="1" applyAlignment="1">
      <alignment horizontal="right" vertical="center"/>
    </xf>
    <xf numFmtId="168" fontId="338" fillId="39" borderId="86" xfId="0" applyNumberFormat="1" applyFont="1" applyFill="1" applyBorder="1" applyAlignment="1">
      <alignment vertical="center"/>
    </xf>
    <xf numFmtId="168" fontId="338" fillId="39" borderId="34" xfId="0" applyNumberFormat="1" applyFont="1" applyFill="1" applyBorder="1" applyAlignment="1">
      <alignment horizontal="center" vertical="center"/>
    </xf>
    <xf numFmtId="168" fontId="360" fillId="39" borderId="0" xfId="0" applyNumberFormat="1" applyFont="1" applyFill="1"/>
    <xf numFmtId="168" fontId="360" fillId="0" borderId="737" xfId="15" applyNumberFormat="1" applyFont="1" applyBorder="1" applyAlignment="1">
      <alignment vertical="center"/>
    </xf>
    <xf numFmtId="168" fontId="338" fillId="0" borderId="737" xfId="15" applyNumberFormat="1" applyFont="1" applyBorder="1" applyAlignment="1">
      <alignment vertical="center"/>
    </xf>
    <xf numFmtId="168" fontId="360" fillId="0" borderId="662" xfId="15" applyNumberFormat="1" applyFont="1" applyBorder="1" applyAlignment="1">
      <alignment vertical="center"/>
    </xf>
    <xf numFmtId="168" fontId="360" fillId="18" borderId="256" xfId="0" applyNumberFormat="1" applyFont="1" applyFill="1" applyBorder="1" applyAlignment="1">
      <alignment horizontal="right" vertical="center"/>
    </xf>
    <xf numFmtId="168" fontId="338" fillId="0" borderId="182" xfId="0" applyNumberFormat="1" applyFont="1" applyBorder="1" applyAlignment="1">
      <alignment horizontal="right" vertical="center"/>
    </xf>
    <xf numFmtId="168" fontId="360" fillId="18" borderId="182" xfId="0" applyNumberFormat="1" applyFont="1" applyFill="1" applyBorder="1" applyAlignment="1">
      <alignment horizontal="right" vertical="center"/>
    </xf>
    <xf numFmtId="0" fontId="382" fillId="0" borderId="662" xfId="0" applyFont="1" applyBorder="1" applyAlignment="1">
      <alignment horizontal="left" vertical="center" wrapText="1" indent="1"/>
    </xf>
    <xf numFmtId="168" fontId="360" fillId="39" borderId="662" xfId="0" applyNumberFormat="1" applyFont="1" applyFill="1" applyBorder="1" applyAlignment="1">
      <alignment horizontal="right" vertical="center"/>
    </xf>
    <xf numFmtId="168" fontId="338" fillId="0" borderId="662" xfId="0" applyNumberFormat="1" applyFont="1" applyBorder="1" applyAlignment="1">
      <alignment horizontal="right" vertical="center"/>
    </xf>
    <xf numFmtId="39" fontId="360" fillId="14" borderId="39" xfId="16" applyNumberFormat="1" applyFont="1" applyFill="1" applyBorder="1" applyAlignment="1">
      <alignment horizontal="right" vertical="center" wrapText="1"/>
    </xf>
    <xf numFmtId="39" fontId="338" fillId="14" borderId="39" xfId="16" applyNumberFormat="1" applyFont="1" applyFill="1" applyBorder="1" applyAlignment="1">
      <alignment horizontal="right" vertical="center" wrapText="1"/>
    </xf>
    <xf numFmtId="39" fontId="360" fillId="14" borderId="34" xfId="16" applyNumberFormat="1" applyFont="1" applyFill="1" applyBorder="1" applyAlignment="1">
      <alignment horizontal="right" vertical="center" wrapText="1"/>
    </xf>
    <xf numFmtId="168" fontId="360" fillId="0" borderId="662" xfId="0" applyNumberFormat="1" applyFont="1" applyBorder="1" applyAlignment="1">
      <alignment horizontal="right" vertical="center"/>
    </xf>
    <xf numFmtId="168" fontId="360" fillId="0" borderId="770" xfId="0" applyNumberFormat="1" applyFont="1" applyBorder="1" applyAlignment="1">
      <alignment horizontal="right" vertical="center"/>
    </xf>
    <xf numFmtId="168" fontId="338" fillId="0" borderId="770" xfId="0" applyNumberFormat="1" applyFont="1" applyBorder="1" applyAlignment="1">
      <alignment horizontal="right" vertical="center"/>
    </xf>
    <xf numFmtId="168" fontId="360" fillId="39" borderId="194" xfId="0" applyNumberFormat="1" applyFont="1" applyFill="1" applyBorder="1" applyAlignment="1">
      <alignment vertical="center"/>
    </xf>
    <xf numFmtId="168" fontId="338" fillId="39" borderId="194" xfId="0" applyNumberFormat="1" applyFont="1" applyFill="1" applyBorder="1" applyAlignment="1">
      <alignment vertical="center"/>
    </xf>
    <xf numFmtId="181" fontId="0" fillId="0" borderId="0" xfId="0" applyNumberFormat="1" applyAlignment="1">
      <alignment vertical="center" wrapText="1"/>
    </xf>
    <xf numFmtId="168" fontId="360" fillId="0" borderId="86" xfId="0" applyNumberFormat="1" applyFont="1" applyBorder="1" applyAlignment="1">
      <alignment vertical="center"/>
    </xf>
    <xf numFmtId="168" fontId="338" fillId="0" borderId="86" xfId="0" applyNumberFormat="1" applyFont="1" applyBorder="1" applyAlignment="1">
      <alignment vertical="center"/>
    </xf>
    <xf numFmtId="168" fontId="360" fillId="0" borderId="84" xfId="0" applyNumberFormat="1" applyFont="1" applyBorder="1" applyAlignment="1">
      <alignment vertical="center"/>
    </xf>
    <xf numFmtId="168" fontId="338" fillId="0" borderId="84" xfId="0" applyNumberFormat="1" applyFont="1" applyBorder="1" applyAlignment="1">
      <alignment vertical="center"/>
    </xf>
    <xf numFmtId="168" fontId="360" fillId="0" borderId="173" xfId="0" applyNumberFormat="1" applyFont="1" applyBorder="1" applyAlignment="1">
      <alignment vertical="center"/>
    </xf>
    <xf numFmtId="168" fontId="360" fillId="0" borderId="39" xfId="0" applyNumberFormat="1" applyFont="1" applyBorder="1" applyAlignment="1">
      <alignment horizontal="center" vertical="center"/>
    </xf>
    <xf numFmtId="168" fontId="360" fillId="0" borderId="34" xfId="0" applyNumberFormat="1" applyFont="1" applyBorder="1" applyAlignment="1">
      <alignment horizontal="right" vertical="center"/>
    </xf>
    <xf numFmtId="168" fontId="360" fillId="0" borderId="34" xfId="0" applyNumberFormat="1" applyFont="1" applyBorder="1" applyAlignment="1">
      <alignment horizontal="center" vertical="center"/>
    </xf>
    <xf numFmtId="168" fontId="338" fillId="0" borderId="737" xfId="0" applyNumberFormat="1" applyFont="1" applyBorder="1" applyAlignment="1">
      <alignment horizontal="right" vertical="center"/>
    </xf>
    <xf numFmtId="0" fontId="360" fillId="0" borderId="662" xfId="15" applyFont="1" applyBorder="1" applyAlignment="1">
      <alignment horizontal="center" vertical="center" wrapText="1"/>
    </xf>
    <xf numFmtId="168" fontId="338" fillId="0" borderId="674" xfId="15" applyNumberFormat="1" applyFont="1" applyBorder="1" applyAlignment="1">
      <alignment vertical="center"/>
    </xf>
    <xf numFmtId="39" fontId="382" fillId="0" borderId="84" xfId="0" applyNumberFormat="1" applyFont="1" applyBorder="1" applyAlignment="1">
      <alignment horizontal="left" vertical="center" wrapText="1" indent="1"/>
    </xf>
    <xf numFmtId="0" fontId="360" fillId="0" borderId="662" xfId="0" applyFont="1" applyBorder="1" applyAlignment="1">
      <alignment horizontal="center" vertical="center" wrapText="1"/>
    </xf>
    <xf numFmtId="0" fontId="382" fillId="0" borderId="662" xfId="0" applyFont="1" applyBorder="1" applyAlignment="1">
      <alignment horizontal="center" vertical="center" wrapText="1"/>
    </xf>
    <xf numFmtId="0" fontId="387" fillId="0" borderId="662" xfId="15" applyFont="1" applyBorder="1" applyAlignment="1">
      <alignment horizontal="left" vertical="center" wrapText="1" indent="1"/>
    </xf>
    <xf numFmtId="0" fontId="382" fillId="0" borderId="662" xfId="15" applyFont="1" applyBorder="1" applyAlignment="1">
      <alignment horizontal="center" vertical="center" wrapText="1"/>
    </xf>
    <xf numFmtId="0" fontId="382" fillId="0" borderId="662" xfId="15" applyFont="1" applyBorder="1" applyAlignment="1">
      <alignment horizontal="left" vertical="center" wrapText="1" indent="1"/>
    </xf>
    <xf numFmtId="0" fontId="387" fillId="0" borderId="737" xfId="15" applyFont="1" applyBorder="1" applyAlignment="1">
      <alignment horizontal="left" vertical="center" wrapText="1" indent="1"/>
    </xf>
    <xf numFmtId="0" fontId="360" fillId="0" borderId="737" xfId="15" applyFont="1" applyBorder="1" applyAlignment="1">
      <alignment horizontal="center" vertical="center" wrapText="1"/>
    </xf>
    <xf numFmtId="0" fontId="382" fillId="0" borderId="737" xfId="15" applyFont="1" applyBorder="1" applyAlignment="1">
      <alignment horizontal="center" vertical="center" wrapText="1"/>
    </xf>
    <xf numFmtId="0" fontId="360" fillId="0" borderId="770" xfId="15" applyFont="1" applyBorder="1" applyAlignment="1">
      <alignment horizontal="center" vertical="center" wrapText="1"/>
    </xf>
    <xf numFmtId="0" fontId="384" fillId="0" borderId="662" xfId="0" applyFont="1" applyBorder="1" applyAlignment="1">
      <alignment horizontal="center" vertical="center" wrapText="1"/>
    </xf>
    <xf numFmtId="0" fontId="360" fillId="0" borderId="34" xfId="0" applyFont="1" applyBorder="1" applyAlignment="1">
      <alignment horizontal="center" vertical="center" wrapText="1"/>
    </xf>
    <xf numFmtId="0" fontId="382" fillId="0" borderId="34" xfId="0" applyFont="1" applyBorder="1" applyAlignment="1">
      <alignment horizontal="center" vertical="center" wrapText="1"/>
    </xf>
    <xf numFmtId="168" fontId="338" fillId="14" borderId="34" xfId="0" applyNumberFormat="1" applyFont="1" applyFill="1" applyBorder="1" applyAlignment="1">
      <alignment vertical="center"/>
    </xf>
    <xf numFmtId="49" fontId="338" fillId="0" borderId="34" xfId="0" applyNumberFormat="1" applyFont="1" applyBorder="1" applyAlignment="1">
      <alignment horizontal="center" vertical="center"/>
    </xf>
    <xf numFmtId="0" fontId="360" fillId="14" borderId="107" xfId="0" applyFont="1" applyFill="1" applyBorder="1" applyAlignment="1">
      <alignment horizontal="center" vertical="center" wrapText="1"/>
    </xf>
    <xf numFmtId="0" fontId="382" fillId="14" borderId="107" xfId="0" applyFont="1" applyFill="1" applyBorder="1" applyAlignment="1">
      <alignment horizontal="center" vertical="center" wrapText="1"/>
    </xf>
    <xf numFmtId="168" fontId="360" fillId="14" borderId="232" xfId="0" applyNumberFormat="1" applyFont="1" applyFill="1" applyBorder="1" applyAlignment="1">
      <alignment vertical="center"/>
    </xf>
    <xf numFmtId="168" fontId="360" fillId="14" borderId="232" xfId="0" applyNumberFormat="1" applyFont="1" applyFill="1" applyBorder="1" applyAlignment="1">
      <alignment horizontal="right" vertical="center"/>
    </xf>
    <xf numFmtId="168" fontId="338" fillId="0" borderId="232" xfId="0" applyNumberFormat="1" applyFont="1" applyBorder="1" applyAlignment="1">
      <alignment vertical="center"/>
    </xf>
    <xf numFmtId="49" fontId="338" fillId="0" borderId="34" xfId="0" applyNumberFormat="1" applyFont="1" applyBorder="1" applyAlignment="1">
      <alignment vertical="center"/>
    </xf>
    <xf numFmtId="168" fontId="360" fillId="39" borderId="674" xfId="15" applyNumberFormat="1" applyFont="1" applyFill="1" applyBorder="1" applyAlignment="1">
      <alignment vertical="center"/>
    </xf>
    <xf numFmtId="168" fontId="338" fillId="39" borderId="662" xfId="15" applyNumberFormat="1" applyFont="1" applyFill="1" applyBorder="1" applyAlignment="1">
      <alignment vertical="center"/>
    </xf>
    <xf numFmtId="0" fontId="387" fillId="0" borderId="405" xfId="0" applyFont="1" applyBorder="1" applyAlignment="1">
      <alignment horizontal="left" vertical="center" wrapText="1" indent="1"/>
    </xf>
    <xf numFmtId="0" fontId="360" fillId="0" borderId="405" xfId="2" applyFont="1" applyBorder="1" applyAlignment="1">
      <alignment horizontal="center" vertical="center" wrapText="1"/>
    </xf>
    <xf numFmtId="0" fontId="382" fillId="0" borderId="405" xfId="2" applyFont="1" applyBorder="1" applyAlignment="1">
      <alignment horizontal="center" vertical="center" wrapText="1"/>
    </xf>
    <xf numFmtId="168" fontId="360" fillId="0" borderId="405" xfId="2" applyNumberFormat="1" applyFont="1" applyBorder="1" applyAlignment="1">
      <alignment vertical="center"/>
    </xf>
    <xf numFmtId="168" fontId="338" fillId="0" borderId="405" xfId="2" applyNumberFormat="1" applyFont="1" applyBorder="1" applyAlignment="1">
      <alignment vertical="center"/>
    </xf>
    <xf numFmtId="0" fontId="382" fillId="0" borderId="415" xfId="0" applyFont="1" applyBorder="1" applyAlignment="1">
      <alignment horizontal="left" vertical="center" wrapText="1" indent="1"/>
    </xf>
    <xf numFmtId="0" fontId="360" fillId="0" borderId="415" xfId="2" applyFont="1" applyBorder="1" applyAlignment="1">
      <alignment horizontal="center" vertical="center" wrapText="1"/>
    </xf>
    <xf numFmtId="0" fontId="382" fillId="0" borderId="415" xfId="2" applyFont="1" applyBorder="1" applyAlignment="1">
      <alignment horizontal="center" vertical="center" wrapText="1"/>
    </xf>
    <xf numFmtId="168" fontId="360" fillId="0" borderId="415" xfId="2" applyNumberFormat="1" applyFont="1" applyBorder="1" applyAlignment="1">
      <alignment vertical="center"/>
    </xf>
    <xf numFmtId="168" fontId="338" fillId="0" borderId="415" xfId="2" applyNumberFormat="1" applyFont="1" applyBorder="1" applyAlignment="1">
      <alignment vertical="center"/>
    </xf>
    <xf numFmtId="181" fontId="3" fillId="0" borderId="344" xfId="0" applyNumberFormat="1" applyFont="1" applyBorder="1" applyAlignment="1">
      <alignment vertical="center" wrapText="1"/>
    </xf>
    <xf numFmtId="168" fontId="360" fillId="0" borderId="674" xfId="0" applyNumberFormat="1" applyFont="1" applyBorder="1" applyAlignment="1">
      <alignment horizontal="right" vertical="center"/>
    </xf>
    <xf numFmtId="168" fontId="338" fillId="0" borderId="674" xfId="0" applyNumberFormat="1" applyFont="1" applyBorder="1" applyAlignment="1">
      <alignment horizontal="right" vertical="center"/>
    </xf>
    <xf numFmtId="168" fontId="360" fillId="14" borderId="662" xfId="0" applyNumberFormat="1" applyFont="1" applyFill="1" applyBorder="1" applyAlignment="1">
      <alignment horizontal="right" vertical="center"/>
    </xf>
    <xf numFmtId="168" fontId="338" fillId="39" borderId="674" xfId="0" applyNumberFormat="1" applyFont="1" applyFill="1" applyBorder="1" applyAlignment="1">
      <alignment horizontal="right" vertical="center"/>
    </xf>
    <xf numFmtId="0" fontId="39" fillId="14" borderId="84" xfId="0" applyFont="1" applyFill="1" applyBorder="1" applyAlignment="1">
      <alignment horizontal="center" vertical="center"/>
    </xf>
    <xf numFmtId="0" fontId="24" fillId="14" borderId="574" xfId="0" applyFont="1" applyFill="1" applyBorder="1" applyAlignment="1">
      <alignment horizontal="left" vertical="center" wrapText="1" indent="1"/>
    </xf>
    <xf numFmtId="0" fontId="54" fillId="14" borderId="575" xfId="0" applyFont="1" applyFill="1" applyBorder="1" applyAlignment="1">
      <alignment horizontal="center" vertical="center"/>
    </xf>
    <xf numFmtId="0" fontId="24" fillId="14" borderId="575" xfId="0" applyFont="1" applyFill="1" applyBorder="1" applyAlignment="1">
      <alignment horizontal="center" vertical="center"/>
    </xf>
    <xf numFmtId="168" fontId="54" fillId="14" borderId="575" xfId="0" applyNumberFormat="1" applyFont="1" applyFill="1" applyBorder="1" applyAlignment="1">
      <alignment horizontal="right" vertical="center"/>
    </xf>
    <xf numFmtId="168" fontId="54" fillId="14" borderId="84" xfId="0" applyNumberFormat="1" applyFont="1" applyFill="1" applyBorder="1" applyAlignment="1">
      <alignment vertical="center"/>
    </xf>
    <xf numFmtId="168" fontId="54" fillId="14" borderId="575" xfId="0" applyNumberFormat="1" applyFont="1" applyFill="1" applyBorder="1"/>
    <xf numFmtId="49" fontId="52" fillId="14" borderId="84" xfId="0" applyNumberFormat="1" applyFont="1" applyFill="1" applyBorder="1" applyAlignment="1">
      <alignment vertical="center"/>
    </xf>
    <xf numFmtId="49" fontId="38" fillId="14" borderId="84" xfId="0" applyNumberFormat="1" applyFont="1" applyFill="1" applyBorder="1" applyAlignment="1">
      <alignment vertical="center"/>
    </xf>
    <xf numFmtId="168" fontId="360" fillId="0" borderId="37" xfId="0" applyNumberFormat="1" applyFont="1" applyBorder="1" applyAlignment="1">
      <alignment vertical="center"/>
    </xf>
    <xf numFmtId="168" fontId="360" fillId="0" borderId="180" xfId="0" applyNumberFormat="1" applyFont="1" applyBorder="1" applyAlignment="1">
      <alignment vertical="center"/>
    </xf>
    <xf numFmtId="168" fontId="338" fillId="0" borderId="180" xfId="0" applyNumberFormat="1" applyFont="1" applyBorder="1" applyAlignment="1">
      <alignment vertical="center"/>
    </xf>
    <xf numFmtId="168" fontId="360" fillId="0" borderId="182" xfId="0" applyNumberFormat="1" applyFont="1" applyBorder="1" applyAlignment="1">
      <alignment vertical="center"/>
    </xf>
    <xf numFmtId="168" fontId="338" fillId="0" borderId="182" xfId="0" applyNumberFormat="1" applyFont="1" applyBorder="1" applyAlignment="1">
      <alignment vertical="center"/>
    </xf>
    <xf numFmtId="2" fontId="130" fillId="0" borderId="662" xfId="15" applyNumberFormat="1" applyFont="1" applyBorder="1" applyAlignment="1">
      <alignment vertical="center"/>
    </xf>
    <xf numFmtId="168" fontId="360" fillId="0" borderId="44" xfId="0" applyNumberFormat="1" applyFont="1" applyBorder="1" applyAlignment="1">
      <alignment vertical="center"/>
    </xf>
    <xf numFmtId="168" fontId="338" fillId="0" borderId="44" xfId="0" applyNumberFormat="1" applyFont="1" applyBorder="1" applyAlignment="1">
      <alignment vertical="center"/>
    </xf>
    <xf numFmtId="49" fontId="382" fillId="0" borderId="297" xfId="0" applyNumberFormat="1" applyFont="1" applyBorder="1" applyAlignment="1">
      <alignment horizontal="left" vertical="center" wrapText="1" indent="1"/>
    </xf>
    <xf numFmtId="39" fontId="58" fillId="17" borderId="6" xfId="0" applyNumberFormat="1" applyFont="1" applyFill="1" applyBorder="1" applyAlignment="1">
      <alignment horizontal="right" vertical="center"/>
    </xf>
    <xf numFmtId="39" fontId="35" fillId="2" borderId="9" xfId="0" applyNumberFormat="1" applyFont="1" applyFill="1" applyBorder="1" applyAlignment="1">
      <alignment horizontal="right" vertical="center"/>
    </xf>
    <xf numFmtId="0" fontId="68" fillId="17" borderId="37" xfId="0" applyFont="1" applyFill="1" applyBorder="1" applyAlignment="1">
      <alignment horizontal="center" vertical="center"/>
    </xf>
    <xf numFmtId="0" fontId="38" fillId="17" borderId="37" xfId="0" applyFont="1" applyFill="1" applyBorder="1" applyAlignment="1">
      <alignment horizontal="left" vertical="center" wrapText="1" indent="1"/>
    </xf>
    <xf numFmtId="49" fontId="38" fillId="0" borderId="133" xfId="0" applyNumberFormat="1" applyFont="1" applyBorder="1" applyAlignment="1">
      <alignment horizontal="left" vertical="center" indent="1"/>
    </xf>
    <xf numFmtId="49" fontId="112" fillId="0" borderId="134" xfId="0" applyNumberFormat="1" applyFont="1" applyBorder="1" applyAlignment="1">
      <alignment horizontal="center" vertical="center"/>
    </xf>
    <xf numFmtId="0" fontId="23" fillId="0" borderId="134" xfId="0" applyFont="1" applyBorder="1" applyAlignment="1">
      <alignment horizontal="left" vertical="center" indent="1"/>
    </xf>
    <xf numFmtId="43" fontId="56" fillId="0" borderId="134" xfId="0" applyNumberFormat="1" applyFont="1" applyBorder="1" applyAlignment="1">
      <alignment horizontal="center" vertical="center"/>
    </xf>
    <xf numFmtId="168" fontId="212" fillId="0" borderId="147" xfId="0" applyNumberFormat="1" applyFont="1" applyBorder="1" applyAlignment="1">
      <alignment vertical="center"/>
    </xf>
    <xf numFmtId="0" fontId="70" fillId="17" borderId="134" xfId="0" applyFont="1" applyFill="1" applyBorder="1" applyAlignment="1">
      <alignment horizontal="center" vertical="center" wrapText="1"/>
    </xf>
    <xf numFmtId="49" fontId="24" fillId="0" borderId="1035" xfId="0" applyNumberFormat="1" applyFont="1" applyBorder="1" applyAlignment="1">
      <alignment horizontal="left" vertical="center" wrapText="1" indent="1"/>
    </xf>
    <xf numFmtId="49" fontId="59" fillId="0" borderId="1036" xfId="0" applyNumberFormat="1" applyFont="1" applyBorder="1" applyAlignment="1">
      <alignment horizontal="center" vertical="center" wrapText="1"/>
    </xf>
    <xf numFmtId="49" fontId="59" fillId="0" borderId="1037" xfId="0" applyNumberFormat="1" applyFont="1" applyBorder="1" applyAlignment="1">
      <alignment horizontal="center" vertical="center"/>
    </xf>
    <xf numFmtId="0" fontId="24" fillId="0" borderId="1037" xfId="0" applyFont="1" applyBorder="1" applyAlignment="1">
      <alignment horizontal="left" vertical="center" wrapText="1" indent="1"/>
    </xf>
    <xf numFmtId="0" fontId="56" fillId="0" borderId="1037" xfId="0" applyFont="1" applyBorder="1" applyAlignment="1">
      <alignment horizontal="center" vertical="center"/>
    </xf>
    <xf numFmtId="0" fontId="24" fillId="0" borderId="1037" xfId="0" applyFont="1" applyBorder="1" applyAlignment="1">
      <alignment horizontal="center" vertical="center"/>
    </xf>
    <xf numFmtId="168" fontId="326" fillId="0" borderId="1037" xfId="0" applyNumberFormat="1" applyFont="1" applyBorder="1" applyAlignment="1">
      <alignment vertical="center"/>
    </xf>
    <xf numFmtId="43" fontId="326" fillId="0" borderId="1037" xfId="0" applyNumberFormat="1" applyFont="1" applyBorder="1" applyAlignment="1">
      <alignment horizontal="center" vertical="center"/>
    </xf>
    <xf numFmtId="168" fontId="52" fillId="0" borderId="1037" xfId="0" applyNumberFormat="1" applyFont="1" applyBorder="1" applyAlignment="1">
      <alignment vertical="center"/>
    </xf>
    <xf numFmtId="2" fontId="52" fillId="0" borderId="1037" xfId="0" applyNumberFormat="1" applyFont="1" applyBorder="1" applyAlignment="1">
      <alignment horizontal="center" vertical="center"/>
    </xf>
    <xf numFmtId="49" fontId="38" fillId="17" borderId="1037" xfId="0" applyNumberFormat="1" applyFont="1" applyFill="1" applyBorder="1" applyAlignment="1">
      <alignment vertical="center"/>
    </xf>
    <xf numFmtId="0" fontId="24" fillId="17" borderId="1037" xfId="0" applyFont="1" applyFill="1" applyBorder="1" applyAlignment="1">
      <alignment horizontal="center" vertical="center" wrapText="1"/>
    </xf>
    <xf numFmtId="49" fontId="24" fillId="17" borderId="1038" xfId="0" applyNumberFormat="1" applyFont="1" applyFill="1" applyBorder="1" applyAlignment="1">
      <alignment horizontal="center" vertical="center"/>
    </xf>
    <xf numFmtId="49" fontId="327" fillId="14" borderId="145" xfId="0" applyNumberFormat="1" applyFont="1" applyFill="1" applyBorder="1" applyAlignment="1">
      <alignment horizontal="left" vertical="center" wrapText="1" indent="1"/>
    </xf>
    <xf numFmtId="49" fontId="328" fillId="14" borderId="329" xfId="0" applyNumberFormat="1" applyFont="1" applyFill="1" applyBorder="1" applyAlignment="1">
      <alignment horizontal="center" vertical="center"/>
    </xf>
    <xf numFmtId="49" fontId="329" fillId="14" borderId="329" xfId="0" applyNumberFormat="1" applyFont="1" applyFill="1" applyBorder="1" applyAlignment="1">
      <alignment horizontal="center" vertical="center"/>
    </xf>
    <xf numFmtId="0" fontId="327" fillId="14" borderId="329" xfId="0" applyFont="1" applyFill="1" applyBorder="1" applyAlignment="1">
      <alignment horizontal="left" vertical="center" wrapText="1" indent="1"/>
    </xf>
    <xf numFmtId="0" fontId="329" fillId="14" borderId="329" xfId="0" applyFont="1" applyFill="1" applyBorder="1" applyAlignment="1">
      <alignment horizontal="center" vertical="center"/>
    </xf>
    <xf numFmtId="0" fontId="330" fillId="14" borderId="329" xfId="0" applyFont="1" applyFill="1" applyBorder="1" applyAlignment="1">
      <alignment horizontal="center" vertical="center"/>
    </xf>
    <xf numFmtId="43" fontId="329" fillId="14" borderId="329" xfId="0" applyNumberFormat="1" applyFont="1" applyFill="1" applyBorder="1" applyAlignment="1">
      <alignment horizontal="right" vertical="center"/>
    </xf>
    <xf numFmtId="43" fontId="329" fillId="14" borderId="173" xfId="0" applyNumberFormat="1" applyFont="1" applyFill="1" applyBorder="1" applyAlignment="1">
      <alignment vertical="center"/>
    </xf>
    <xf numFmtId="168" fontId="329" fillId="14" borderId="173" xfId="0" applyNumberFormat="1" applyFont="1" applyFill="1" applyBorder="1" applyAlignment="1">
      <alignment vertical="center"/>
    </xf>
    <xf numFmtId="168" fontId="328" fillId="14" borderId="173" xfId="0" applyNumberFormat="1" applyFont="1" applyFill="1" applyBorder="1" applyAlignment="1">
      <alignment vertical="center"/>
    </xf>
    <xf numFmtId="49" fontId="328" fillId="14" borderId="173" xfId="0" applyNumberFormat="1" applyFont="1" applyFill="1" applyBorder="1" applyAlignment="1">
      <alignment horizontal="center" vertical="center"/>
    </xf>
    <xf numFmtId="49" fontId="331" fillId="14" borderId="329" xfId="0" applyNumberFormat="1" applyFont="1" applyFill="1" applyBorder="1" applyAlignment="1">
      <alignment vertical="center"/>
    </xf>
    <xf numFmtId="0" fontId="325" fillId="17" borderId="329" xfId="0" applyFont="1" applyFill="1" applyBorder="1" applyAlignment="1">
      <alignment horizontal="center" vertical="center" wrapText="1"/>
    </xf>
    <xf numFmtId="49" fontId="325" fillId="17" borderId="329" xfId="0" applyNumberFormat="1" applyFont="1" applyFill="1" applyBorder="1" applyAlignment="1">
      <alignment horizontal="center" vertical="center"/>
    </xf>
    <xf numFmtId="0" fontId="24" fillId="17" borderId="1039" xfId="0" applyFont="1" applyFill="1" applyBorder="1" applyAlignment="1">
      <alignment horizontal="left" vertical="center" wrapText="1" indent="1"/>
    </xf>
    <xf numFmtId="0" fontId="39" fillId="0" borderId="1037" xfId="0" applyFont="1" applyBorder="1" applyAlignment="1">
      <alignment horizontal="center" vertical="center"/>
    </xf>
    <xf numFmtId="39" fontId="24" fillId="39" borderId="1037" xfId="0" applyNumberFormat="1" applyFont="1" applyFill="1" applyBorder="1" applyAlignment="1">
      <alignment horizontal="left" vertical="center" wrapText="1" indent="1"/>
    </xf>
    <xf numFmtId="3" fontId="54" fillId="39" borderId="1037" xfId="0" applyNumberFormat="1" applyFont="1" applyFill="1" applyBorder="1" applyAlignment="1">
      <alignment horizontal="center" vertical="center"/>
    </xf>
    <xf numFmtId="0" fontId="24" fillId="39" borderId="1037" xfId="0" applyFont="1" applyFill="1" applyBorder="1" applyAlignment="1">
      <alignment horizontal="center" vertical="center" wrapText="1"/>
    </xf>
    <xf numFmtId="168" fontId="54" fillId="39" borderId="1037" xfId="0" applyNumberFormat="1" applyFont="1" applyFill="1" applyBorder="1" applyAlignment="1">
      <alignment horizontal="right" vertical="center"/>
    </xf>
    <xf numFmtId="168" fontId="54" fillId="0" borderId="1037" xfId="0" applyNumberFormat="1" applyFont="1" applyBorder="1" applyAlignment="1">
      <alignment horizontal="center" vertical="center"/>
    </xf>
    <xf numFmtId="49" fontId="54" fillId="0" borderId="1037" xfId="0" applyNumberFormat="1" applyFont="1" applyBorder="1" applyAlignment="1">
      <alignment horizontal="center" vertical="center"/>
    </xf>
    <xf numFmtId="49" fontId="24" fillId="0" borderId="1037" xfId="0" applyNumberFormat="1" applyFont="1" applyBorder="1" applyAlignment="1">
      <alignment horizontal="center" vertical="center"/>
    </xf>
    <xf numFmtId="39" fontId="38" fillId="39" borderId="173" xfId="0" applyNumberFormat="1" applyFont="1" applyFill="1" applyBorder="1" applyAlignment="1">
      <alignment horizontal="left" vertical="center" wrapText="1" indent="1"/>
    </xf>
    <xf numFmtId="39" fontId="52" fillId="39" borderId="173" xfId="0" applyNumberFormat="1" applyFont="1" applyFill="1" applyBorder="1" applyAlignment="1">
      <alignment horizontal="left" vertical="center" wrapText="1"/>
    </xf>
    <xf numFmtId="3" fontId="24" fillId="39" borderId="173" xfId="0" applyNumberFormat="1" applyFont="1" applyFill="1" applyBorder="1" applyAlignment="1">
      <alignment horizontal="center" vertical="center"/>
    </xf>
    <xf numFmtId="168" fontId="54" fillId="39" borderId="173" xfId="0" applyNumberFormat="1" applyFont="1" applyFill="1" applyBorder="1" applyAlignment="1">
      <alignment horizontal="center" vertical="center"/>
    </xf>
    <xf numFmtId="168" fontId="54" fillId="39" borderId="173" xfId="0" applyNumberFormat="1" applyFont="1" applyFill="1" applyBorder="1" applyAlignment="1">
      <alignment horizontal="right" vertical="center"/>
    </xf>
    <xf numFmtId="168" fontId="52" fillId="39" borderId="173" xfId="0" applyNumberFormat="1" applyFont="1" applyFill="1" applyBorder="1" applyAlignment="1">
      <alignment horizontal="right" vertical="center"/>
    </xf>
    <xf numFmtId="49" fontId="24" fillId="39" borderId="173" xfId="0" applyNumberFormat="1" applyFont="1" applyFill="1" applyBorder="1" applyAlignment="1">
      <alignment horizontal="center" vertical="center"/>
    </xf>
    <xf numFmtId="0" fontId="24" fillId="17" borderId="1039" xfId="0" applyFont="1" applyFill="1" applyBorder="1" applyAlignment="1">
      <alignment horizontal="left" vertical="center" indent="1"/>
    </xf>
    <xf numFmtId="0" fontId="39" fillId="17" borderId="1037" xfId="0" applyFont="1" applyFill="1" applyBorder="1" applyAlignment="1">
      <alignment horizontal="center" vertical="center"/>
    </xf>
    <xf numFmtId="0" fontId="68" fillId="0" borderId="1037" xfId="0" applyFont="1" applyBorder="1" applyAlignment="1">
      <alignment horizontal="center" vertical="center"/>
    </xf>
    <xf numFmtId="39" fontId="24" fillId="0" borderId="1037" xfId="0" applyNumberFormat="1" applyFont="1" applyBorder="1" applyAlignment="1">
      <alignment horizontal="left" vertical="center" wrapText="1" indent="1"/>
    </xf>
    <xf numFmtId="0" fontId="54" fillId="0" borderId="1037" xfId="0" applyFont="1" applyBorder="1" applyAlignment="1">
      <alignment horizontal="center" vertical="center" wrapText="1"/>
    </xf>
    <xf numFmtId="0" fontId="24" fillId="0" borderId="1037" xfId="0" applyFont="1" applyBorder="1" applyAlignment="1">
      <alignment horizontal="center" vertical="center" wrapText="1"/>
    </xf>
    <xf numFmtId="168" fontId="365" fillId="0" borderId="1037" xfId="0" applyNumberFormat="1" applyFont="1" applyBorder="1" applyAlignment="1">
      <alignment vertical="center"/>
    </xf>
    <xf numFmtId="168" fontId="366" fillId="0" borderId="1037" xfId="0" applyNumberFormat="1" applyFont="1" applyBorder="1" applyAlignment="1">
      <alignment vertical="center"/>
    </xf>
    <xf numFmtId="49" fontId="52" fillId="17" borderId="1037" xfId="0" applyNumberFormat="1" applyFont="1" applyFill="1" applyBorder="1" applyAlignment="1">
      <alignment vertical="center"/>
    </xf>
    <xf numFmtId="49" fontId="38" fillId="0" borderId="660" xfId="0" applyNumberFormat="1" applyFont="1" applyBorder="1" applyAlignment="1">
      <alignment horizontal="right" vertical="center"/>
    </xf>
    <xf numFmtId="37" fontId="54" fillId="0" borderId="44" xfId="0" applyNumberFormat="1" applyFont="1" applyBorder="1" applyAlignment="1">
      <alignment horizontal="center" vertical="center"/>
    </xf>
    <xf numFmtId="39" fontId="24" fillId="0" borderId="44" xfId="0" applyNumberFormat="1" applyFont="1" applyBorder="1" applyAlignment="1">
      <alignment horizontal="right" vertical="center"/>
    </xf>
    <xf numFmtId="168" fontId="52" fillId="0" borderId="44" xfId="0" applyNumberFormat="1" applyFont="1" applyBorder="1" applyAlignment="1">
      <alignment horizontal="right" vertical="center"/>
    </xf>
    <xf numFmtId="0" fontId="38" fillId="0" borderId="682" xfId="0" applyFont="1" applyBorder="1" applyAlignment="1">
      <alignment horizontal="left" vertical="center" wrapText="1" indent="1"/>
    </xf>
    <xf numFmtId="0" fontId="68" fillId="0" borderId="463" xfId="0" applyFont="1" applyBorder="1" applyAlignment="1">
      <alignment horizontal="center" vertical="center"/>
    </xf>
    <xf numFmtId="0" fontId="39" fillId="0" borderId="463" xfId="0" applyFont="1" applyBorder="1" applyAlignment="1">
      <alignment horizontal="center" vertical="center"/>
    </xf>
    <xf numFmtId="39" fontId="24" fillId="0" borderId="463" xfId="0" applyNumberFormat="1" applyFont="1" applyBorder="1" applyAlignment="1">
      <alignment horizontal="left" vertical="center" wrapText="1" indent="1"/>
    </xf>
    <xf numFmtId="0" fontId="54" fillId="0" borderId="463" xfId="0" applyFont="1" applyBorder="1" applyAlignment="1">
      <alignment horizontal="center" vertical="center" wrapText="1"/>
    </xf>
    <xf numFmtId="0" fontId="24" fillId="0" borderId="463" xfId="0" applyFont="1" applyBorder="1" applyAlignment="1">
      <alignment horizontal="center" vertical="center" wrapText="1"/>
    </xf>
    <xf numFmtId="168" fontId="360" fillId="0" borderId="463" xfId="0" applyNumberFormat="1" applyFont="1" applyBorder="1" applyAlignment="1">
      <alignment vertical="center"/>
    </xf>
    <xf numFmtId="168" fontId="360" fillId="0" borderId="463" xfId="0" applyNumberFormat="1" applyFont="1" applyBorder="1" applyAlignment="1">
      <alignment horizontal="right" vertical="center"/>
    </xf>
    <xf numFmtId="168" fontId="52" fillId="0" borderId="463" xfId="0" applyNumberFormat="1" applyFont="1" applyBorder="1" applyAlignment="1">
      <alignment horizontal="right" vertical="center"/>
    </xf>
    <xf numFmtId="49" fontId="52" fillId="0" borderId="463" xfId="0" applyNumberFormat="1" applyFont="1" applyBorder="1" applyAlignment="1">
      <alignment horizontal="center" vertical="center"/>
    </xf>
    <xf numFmtId="49" fontId="38" fillId="0" borderId="463" xfId="0" applyNumberFormat="1" applyFont="1" applyBorder="1" applyAlignment="1">
      <alignment horizontal="right" vertical="center"/>
    </xf>
    <xf numFmtId="49" fontId="222" fillId="17" borderId="194" xfId="0" applyNumberFormat="1" applyFont="1" applyFill="1" applyBorder="1" applyAlignment="1">
      <alignment horizontal="center" vertical="center"/>
    </xf>
    <xf numFmtId="49" fontId="387" fillId="17" borderId="34" xfId="0" applyNumberFormat="1" applyFont="1" applyFill="1" applyBorder="1" applyAlignment="1">
      <alignment horizontal="left" vertical="center" indent="1"/>
    </xf>
    <xf numFmtId="0" fontId="382" fillId="17" borderId="34" xfId="0" applyFont="1" applyFill="1" applyBorder="1" applyAlignment="1">
      <alignment horizontal="center" vertical="center" wrapText="1"/>
    </xf>
    <xf numFmtId="49" fontId="382" fillId="17" borderId="34" xfId="0" applyNumberFormat="1" applyFont="1" applyFill="1" applyBorder="1" applyAlignment="1">
      <alignment horizontal="center" vertical="center"/>
    </xf>
    <xf numFmtId="0" fontId="388" fillId="0" borderId="674" xfId="0" applyFont="1" applyBorder="1" applyAlignment="1">
      <alignment horizontal="center" vertical="center"/>
    </xf>
    <xf numFmtId="0" fontId="387" fillId="0" borderId="674" xfId="0" applyFont="1" applyBorder="1" applyAlignment="1">
      <alignment horizontal="left" vertical="center" wrapText="1" indent="1"/>
    </xf>
    <xf numFmtId="0" fontId="388" fillId="14" borderId="674" xfId="0" applyFont="1" applyFill="1" applyBorder="1" applyAlignment="1">
      <alignment horizontal="center" vertical="center"/>
    </xf>
    <xf numFmtId="0" fontId="387" fillId="14" borderId="674" xfId="0" applyFont="1" applyFill="1" applyBorder="1" applyAlignment="1">
      <alignment horizontal="left" vertical="center" wrapText="1" indent="1"/>
    </xf>
    <xf numFmtId="0" fontId="360" fillId="14" borderId="674" xfId="0" applyFont="1" applyFill="1" applyBorder="1" applyAlignment="1">
      <alignment horizontal="center" vertical="center" wrapText="1"/>
    </xf>
    <xf numFmtId="0" fontId="382" fillId="14" borderId="674" xfId="0" applyFont="1" applyFill="1" applyBorder="1" applyAlignment="1">
      <alignment horizontal="center" vertical="center" wrapText="1"/>
    </xf>
    <xf numFmtId="168" fontId="360" fillId="14" borderId="674" xfId="0" applyNumberFormat="1" applyFont="1" applyFill="1" applyBorder="1" applyAlignment="1">
      <alignment vertical="center"/>
    </xf>
    <xf numFmtId="168" fontId="338" fillId="14" borderId="674" xfId="0" applyNumberFormat="1" applyFont="1" applyFill="1" applyBorder="1" applyAlignment="1">
      <alignment vertical="center"/>
    </xf>
    <xf numFmtId="0" fontId="382" fillId="14" borderId="662" xfId="0" applyFont="1" applyFill="1" applyBorder="1" applyAlignment="1">
      <alignment horizontal="left" vertical="center" wrapText="1" indent="1"/>
    </xf>
    <xf numFmtId="49" fontId="338" fillId="17" borderId="674" xfId="0" applyNumberFormat="1" applyFont="1" applyFill="1" applyBorder="1" applyAlignment="1">
      <alignment horizontal="center" vertical="center"/>
    </xf>
    <xf numFmtId="49" fontId="382" fillId="0" borderId="799" xfId="0" applyNumberFormat="1" applyFont="1" applyBorder="1" applyAlignment="1">
      <alignment horizontal="center" vertical="center"/>
    </xf>
    <xf numFmtId="0" fontId="390" fillId="4" borderId="802" xfId="0" applyFont="1" applyFill="1" applyBorder="1" applyAlignment="1">
      <alignment horizontal="left" vertical="center" wrapText="1" indent="1"/>
    </xf>
    <xf numFmtId="0" fontId="390" fillId="14" borderId="807" xfId="0" applyFont="1" applyFill="1" applyBorder="1" applyAlignment="1">
      <alignment horizontal="left" vertical="center" wrapText="1" indent="1"/>
    </xf>
    <xf numFmtId="0" fontId="388" fillId="14" borderId="737" xfId="0" applyFont="1" applyFill="1" applyBorder="1" applyAlignment="1">
      <alignment horizontal="center" vertical="center"/>
    </xf>
    <xf numFmtId="0" fontId="390" fillId="14" borderId="737" xfId="0" applyFont="1" applyFill="1" applyBorder="1" applyAlignment="1">
      <alignment horizontal="left" vertical="center" wrapText="1" indent="1"/>
    </xf>
    <xf numFmtId="0" fontId="360" fillId="14" borderId="737" xfId="0" applyFont="1" applyFill="1" applyBorder="1" applyAlignment="1">
      <alignment horizontal="center" vertical="center" wrapText="1"/>
    </xf>
    <xf numFmtId="0" fontId="382" fillId="14" borderId="737" xfId="0" applyFont="1" applyFill="1" applyBorder="1" applyAlignment="1">
      <alignment horizontal="center" vertical="center" wrapText="1"/>
    </xf>
    <xf numFmtId="168" fontId="360" fillId="14" borderId="737" xfId="0" applyNumberFormat="1" applyFont="1" applyFill="1" applyBorder="1" applyAlignment="1">
      <alignment vertical="center"/>
    </xf>
    <xf numFmtId="168" fontId="338" fillId="14" borderId="737" xfId="0" applyNumberFormat="1" applyFont="1" applyFill="1" applyBorder="1" applyAlignment="1">
      <alignment vertical="center"/>
    </xf>
    <xf numFmtId="49" fontId="338" fillId="14" borderId="737" xfId="0" applyNumberFormat="1" applyFont="1" applyFill="1" applyBorder="1" applyAlignment="1">
      <alignment horizontal="center" vertical="center"/>
    </xf>
    <xf numFmtId="49" fontId="387" fillId="14" borderId="737" xfId="0" applyNumberFormat="1" applyFont="1" applyFill="1" applyBorder="1" applyAlignment="1">
      <alignment vertical="center"/>
    </xf>
    <xf numFmtId="49" fontId="382" fillId="14" borderId="737" xfId="0" applyNumberFormat="1" applyFont="1" applyFill="1" applyBorder="1" applyAlignment="1">
      <alignment horizontal="center" vertical="center"/>
    </xf>
    <xf numFmtId="0" fontId="382" fillId="14" borderId="789" xfId="0" applyFont="1" applyFill="1" applyBorder="1" applyAlignment="1">
      <alignment horizontal="left" vertical="center" wrapText="1" indent="1"/>
    </xf>
    <xf numFmtId="0" fontId="384" fillId="14" borderId="662" xfId="0" applyFont="1" applyFill="1" applyBorder="1" applyAlignment="1">
      <alignment horizontal="center" vertical="center" wrapText="1"/>
    </xf>
    <xf numFmtId="49" fontId="387" fillId="14" borderId="662" xfId="0" applyNumberFormat="1" applyFont="1" applyFill="1" applyBorder="1" applyAlignment="1">
      <alignment vertical="center"/>
    </xf>
    <xf numFmtId="49" fontId="382" fillId="14" borderId="662" xfId="0" applyNumberFormat="1" applyFont="1" applyFill="1" applyBorder="1" applyAlignment="1">
      <alignment horizontal="center" vertical="center"/>
    </xf>
    <xf numFmtId="0" fontId="390" fillId="14" borderId="789" xfId="0" applyFont="1" applyFill="1" applyBorder="1" applyAlignment="1">
      <alignment horizontal="left" vertical="center" wrapText="1" indent="1"/>
    </xf>
    <xf numFmtId="0" fontId="390" fillId="14" borderId="662" xfId="0" applyFont="1" applyFill="1" applyBorder="1" applyAlignment="1">
      <alignment horizontal="left" vertical="center" wrapText="1" indent="1"/>
    </xf>
    <xf numFmtId="0" fontId="338" fillId="14" borderId="662" xfId="0" applyFont="1" applyFill="1" applyBorder="1" applyAlignment="1">
      <alignment horizontal="center" vertical="center" wrapText="1"/>
    </xf>
    <xf numFmtId="0" fontId="387" fillId="14" borderId="662" xfId="0" applyFont="1" applyFill="1" applyBorder="1" applyAlignment="1">
      <alignment horizontal="center" vertical="center" wrapText="1"/>
    </xf>
    <xf numFmtId="49" fontId="338" fillId="0" borderId="662" xfId="0" applyNumberFormat="1" applyFont="1" applyBorder="1" applyAlignment="1">
      <alignment horizontal="center" vertical="center" wrapText="1"/>
    </xf>
    <xf numFmtId="0" fontId="387" fillId="17" borderId="789" xfId="0" applyFont="1" applyFill="1" applyBorder="1" applyAlignment="1">
      <alignment horizontal="left" vertical="center" wrapText="1" indent="1"/>
    </xf>
    <xf numFmtId="0" fontId="388" fillId="0" borderId="662" xfId="0" applyFont="1" applyBorder="1" applyAlignment="1">
      <alignment horizontal="center" vertical="center" wrapText="1"/>
    </xf>
    <xf numFmtId="0" fontId="387" fillId="0" borderId="662" xfId="0" applyFont="1" applyBorder="1" applyAlignment="1">
      <alignment horizontal="left" vertical="center" wrapText="1" indent="1"/>
    </xf>
    <xf numFmtId="0" fontId="389" fillId="0" borderId="662" xfId="0" applyFont="1" applyBorder="1" applyAlignment="1">
      <alignment horizontal="center" vertical="center" wrapText="1"/>
    </xf>
    <xf numFmtId="49" fontId="382" fillId="17" borderId="662" xfId="0" applyNumberFormat="1" applyFont="1" applyFill="1" applyBorder="1" applyAlignment="1">
      <alignment horizontal="center" vertical="center" wrapText="1"/>
    </xf>
    <xf numFmtId="0" fontId="382" fillId="0" borderId="411" xfId="0" applyFont="1" applyBorder="1" applyAlignment="1">
      <alignment horizontal="left" vertical="center" wrapText="1" indent="1"/>
    </xf>
    <xf numFmtId="0" fontId="387" fillId="0" borderId="410" xfId="2" applyFont="1" applyBorder="1" applyAlignment="1">
      <alignment horizontal="left" vertical="center" wrapText="1" indent="1"/>
    </xf>
    <xf numFmtId="0" fontId="388" fillId="0" borderId="411" xfId="2" applyFont="1" applyBorder="1" applyAlignment="1">
      <alignment horizontal="center" vertical="center"/>
    </xf>
    <xf numFmtId="0" fontId="389" fillId="0" borderId="411" xfId="0" applyFont="1" applyBorder="1" applyAlignment="1">
      <alignment horizontal="center" vertical="center" wrapText="1"/>
    </xf>
    <xf numFmtId="0" fontId="387" fillId="0" borderId="411" xfId="2" applyFont="1" applyBorder="1" applyAlignment="1">
      <alignment horizontal="left" vertical="center" wrapText="1" indent="1"/>
    </xf>
    <xf numFmtId="0" fontId="360" fillId="0" borderId="411" xfId="2" applyFont="1" applyBorder="1" applyAlignment="1">
      <alignment horizontal="center" vertical="center" wrapText="1"/>
    </xf>
    <xf numFmtId="0" fontId="382" fillId="0" borderId="411" xfId="2" applyFont="1" applyBorder="1" applyAlignment="1">
      <alignment horizontal="center" vertical="center" wrapText="1"/>
    </xf>
    <xf numFmtId="168" fontId="360" fillId="0" borderId="411" xfId="2" applyNumberFormat="1" applyFont="1" applyBorder="1" applyAlignment="1">
      <alignment vertical="center"/>
    </xf>
    <xf numFmtId="168" fontId="338" fillId="0" borderId="411" xfId="2" applyNumberFormat="1" applyFont="1" applyBorder="1" applyAlignment="1">
      <alignment vertical="center"/>
    </xf>
    <xf numFmtId="49" fontId="338" fillId="0" borderId="411" xfId="2" applyNumberFormat="1" applyFont="1" applyBorder="1" applyAlignment="1">
      <alignment horizontal="center" vertical="center"/>
    </xf>
    <xf numFmtId="0" fontId="382" fillId="0" borderId="410" xfId="2" applyFont="1" applyBorder="1" applyAlignment="1">
      <alignment horizontal="left" vertical="center" indent="1"/>
    </xf>
    <xf numFmtId="0" fontId="389" fillId="0" borderId="411" xfId="2" applyFont="1" applyBorder="1" applyAlignment="1">
      <alignment horizontal="center" vertical="center"/>
    </xf>
    <xf numFmtId="0" fontId="391" fillId="39" borderId="44" xfId="0" applyFont="1" applyFill="1" applyBorder="1" applyAlignment="1">
      <alignment horizontal="left" vertical="center" indent="1"/>
    </xf>
    <xf numFmtId="0" fontId="360" fillId="39" borderId="575" xfId="0" applyFont="1" applyFill="1" applyBorder="1" applyAlignment="1">
      <alignment horizontal="center" vertical="center"/>
    </xf>
    <xf numFmtId="0" fontId="382" fillId="39" borderId="44" xfId="0" applyFont="1" applyFill="1" applyBorder="1" applyAlignment="1">
      <alignment horizontal="center" vertical="center" indent="1"/>
    </xf>
    <xf numFmtId="168" fontId="360" fillId="39" borderId="44" xfId="0" applyNumberFormat="1" applyFont="1" applyFill="1" applyBorder="1" applyAlignment="1">
      <alignment horizontal="right" vertical="center"/>
    </xf>
    <xf numFmtId="49" fontId="338" fillId="39" borderId="44" xfId="0" applyNumberFormat="1" applyFont="1" applyFill="1" applyBorder="1" applyAlignment="1">
      <alignment horizontal="center" vertical="center"/>
    </xf>
    <xf numFmtId="49" fontId="387" fillId="39" borderId="44" xfId="0" applyNumberFormat="1" applyFont="1" applyFill="1" applyBorder="1" applyAlignment="1">
      <alignment vertical="center"/>
    </xf>
    <xf numFmtId="0" fontId="382" fillId="39" borderId="44" xfId="0" applyFont="1" applyFill="1" applyBorder="1" applyAlignment="1">
      <alignment horizontal="center" vertical="center" wrapText="1"/>
    </xf>
    <xf numFmtId="49" fontId="382" fillId="39" borderId="44" xfId="0" applyNumberFormat="1" applyFont="1" applyFill="1" applyBorder="1" applyAlignment="1">
      <alignment horizontal="center" vertical="center"/>
    </xf>
    <xf numFmtId="49" fontId="382" fillId="39" borderId="709" xfId="0" applyNumberFormat="1" applyFont="1" applyFill="1" applyBorder="1" applyAlignment="1">
      <alignment horizontal="center" vertical="center"/>
    </xf>
    <xf numFmtId="0" fontId="382" fillId="39" borderId="565" xfId="0" applyFont="1" applyFill="1" applyBorder="1" applyAlignment="1">
      <alignment horizontal="left" vertical="center" wrapText="1" indent="1"/>
    </xf>
    <xf numFmtId="0" fontId="382" fillId="39" borderId="575" xfId="0" applyFont="1" applyFill="1" applyBorder="1" applyAlignment="1">
      <alignment horizontal="center" vertical="center"/>
    </xf>
    <xf numFmtId="168" fontId="360" fillId="39" borderId="573" xfId="0" applyNumberFormat="1" applyFont="1" applyFill="1" applyBorder="1" applyAlignment="1">
      <alignment vertical="center"/>
    </xf>
    <xf numFmtId="168" fontId="360" fillId="39" borderId="595" xfId="0" applyNumberFormat="1" applyFont="1" applyFill="1" applyBorder="1" applyAlignment="1">
      <alignment horizontal="right" vertical="center"/>
    </xf>
    <xf numFmtId="49" fontId="338" fillId="39" borderId="44" xfId="0" applyNumberFormat="1" applyFont="1" applyFill="1" applyBorder="1" applyAlignment="1">
      <alignment vertical="center"/>
    </xf>
    <xf numFmtId="0" fontId="382" fillId="39" borderId="574" xfId="0" applyFont="1" applyFill="1" applyBorder="1" applyAlignment="1">
      <alignment horizontal="left" vertical="center" wrapText="1" indent="1"/>
    </xf>
    <xf numFmtId="168" fontId="360" fillId="39" borderId="575" xfId="0" applyNumberFormat="1" applyFont="1" applyFill="1" applyBorder="1" applyAlignment="1">
      <alignment vertical="center"/>
    </xf>
    <xf numFmtId="0" fontId="387" fillId="17" borderId="802" xfId="0" applyFont="1" applyFill="1" applyBorder="1" applyAlignment="1">
      <alignment horizontal="left" vertical="center" indent="1"/>
    </xf>
    <xf numFmtId="0" fontId="360" fillId="0" borderId="674" xfId="0" applyFont="1" applyBorder="1" applyAlignment="1">
      <alignment horizontal="center" vertical="center" wrapText="1"/>
    </xf>
    <xf numFmtId="0" fontId="382" fillId="0" borderId="674" xfId="0" applyFont="1" applyBorder="1" applyAlignment="1">
      <alignment horizontal="center" vertical="center" wrapText="1"/>
    </xf>
    <xf numFmtId="49" fontId="338" fillId="0" borderId="674" xfId="0" applyNumberFormat="1" applyFont="1" applyBorder="1" applyAlignment="1">
      <alignment horizontal="center" vertical="center"/>
    </xf>
    <xf numFmtId="0" fontId="382" fillId="17" borderId="789" xfId="0" applyFont="1" applyFill="1" applyBorder="1" applyAlignment="1">
      <alignment horizontal="left" vertical="center" indent="1"/>
    </xf>
    <xf numFmtId="0" fontId="389" fillId="0" borderId="662" xfId="0" applyFont="1" applyBorder="1" applyAlignment="1">
      <alignment horizontal="center" vertical="center"/>
    </xf>
    <xf numFmtId="49" fontId="338" fillId="0" borderId="662" xfId="0" applyNumberFormat="1" applyFont="1" applyBorder="1" applyAlignment="1">
      <alignment horizontal="center" vertical="center"/>
    </xf>
    <xf numFmtId="0" fontId="384" fillId="39" borderId="74" xfId="0" applyFont="1" applyFill="1" applyBorder="1" applyAlignment="1">
      <alignment horizontal="left" vertical="center" wrapText="1" indent="1"/>
    </xf>
    <xf numFmtId="0" fontId="360" fillId="39" borderId="74" xfId="0" applyFont="1" applyFill="1" applyBorder="1" applyAlignment="1">
      <alignment horizontal="center" vertical="center" wrapText="1"/>
    </xf>
    <xf numFmtId="0" fontId="382" fillId="39" borderId="74" xfId="0" applyFont="1" applyFill="1" applyBorder="1" applyAlignment="1">
      <alignment horizontal="center" vertical="center" wrapText="1"/>
    </xf>
    <xf numFmtId="168" fontId="360" fillId="39" borderId="674" xfId="0" applyNumberFormat="1" applyFont="1" applyFill="1" applyBorder="1" applyAlignment="1">
      <alignment vertical="center"/>
    </xf>
    <xf numFmtId="49" fontId="14" fillId="39" borderId="1040" xfId="0" applyNumberFormat="1" applyFont="1" applyFill="1" applyBorder="1" applyAlignment="1">
      <alignment horizontal="left" vertical="center" wrapText="1" indent="1"/>
    </xf>
    <xf numFmtId="49" fontId="54" fillId="39" borderId="1040" xfId="0" applyNumberFormat="1" applyFont="1" applyFill="1" applyBorder="1" applyAlignment="1">
      <alignment horizontal="center" vertical="center"/>
    </xf>
    <xf numFmtId="49" fontId="14" fillId="39" borderId="1040" xfId="0" applyNumberFormat="1" applyFont="1" applyFill="1" applyBorder="1" applyAlignment="1">
      <alignment horizontal="center" vertical="center"/>
    </xf>
    <xf numFmtId="168" fontId="54" fillId="39" borderId="1040" xfId="0" applyNumberFormat="1" applyFont="1" applyFill="1" applyBorder="1" applyAlignment="1">
      <alignment horizontal="right" vertical="center"/>
    </xf>
    <xf numFmtId="0" fontId="387" fillId="17" borderId="143" xfId="0" applyFont="1" applyFill="1" applyBorder="1" applyAlignment="1">
      <alignment horizontal="left" vertical="center" wrapText="1" indent="1"/>
    </xf>
    <xf numFmtId="49" fontId="388" fillId="0" borderId="74" xfId="0" applyNumberFormat="1" applyFont="1" applyBorder="1" applyAlignment="1">
      <alignment horizontal="center" vertical="center"/>
    </xf>
    <xf numFmtId="49" fontId="390" fillId="0" borderId="329" xfId="0" applyNumberFormat="1" applyFont="1" applyBorder="1" applyAlignment="1">
      <alignment horizontal="left" vertical="center" wrapText="1" indent="1"/>
    </xf>
    <xf numFmtId="49" fontId="338" fillId="0" borderId="329" xfId="0" applyNumberFormat="1" applyFont="1" applyBorder="1" applyAlignment="1">
      <alignment horizontal="center" vertical="center"/>
    </xf>
    <xf numFmtId="49" fontId="387" fillId="0" borderId="329" xfId="0" applyNumberFormat="1" applyFont="1" applyBorder="1" applyAlignment="1">
      <alignment horizontal="center" vertical="center"/>
    </xf>
    <xf numFmtId="168" fontId="338" fillId="0" borderId="329" xfId="0" applyNumberFormat="1" applyFont="1" applyBorder="1" applyAlignment="1">
      <alignment horizontal="right" vertical="center"/>
    </xf>
    <xf numFmtId="49" fontId="338" fillId="17" borderId="74" xfId="0" applyNumberFormat="1" applyFont="1" applyFill="1" applyBorder="1" applyAlignment="1">
      <alignment horizontal="center" vertical="center"/>
    </xf>
    <xf numFmtId="49" fontId="387" fillId="17" borderId="74" xfId="0" applyNumberFormat="1" applyFont="1" applyFill="1" applyBorder="1" applyAlignment="1">
      <alignment horizontal="left" vertical="center" wrapText="1" indent="1"/>
    </xf>
    <xf numFmtId="49" fontId="382" fillId="17" borderId="74" xfId="0" applyNumberFormat="1" applyFont="1" applyFill="1" applyBorder="1" applyAlignment="1">
      <alignment horizontal="center" vertical="center"/>
    </xf>
    <xf numFmtId="49" fontId="390" fillId="0" borderId="74" xfId="0" applyNumberFormat="1" applyFont="1" applyBorder="1" applyAlignment="1">
      <alignment horizontal="left" vertical="center" wrapText="1" indent="1"/>
    </xf>
    <xf numFmtId="49" fontId="360" fillId="0" borderId="74" xfId="0" applyNumberFormat="1" applyFont="1" applyBorder="1" applyAlignment="1">
      <alignment horizontal="center" vertical="center"/>
    </xf>
    <xf numFmtId="49" fontId="384" fillId="0" borderId="74" xfId="0" applyNumberFormat="1" applyFont="1" applyBorder="1" applyAlignment="1">
      <alignment horizontal="center" vertical="center"/>
    </xf>
    <xf numFmtId="49" fontId="382" fillId="17" borderId="74" xfId="0" applyNumberFormat="1" applyFont="1" applyFill="1" applyBorder="1" applyAlignment="1">
      <alignment horizontal="left" vertical="center" wrapText="1" indent="1"/>
    </xf>
    <xf numFmtId="49" fontId="387" fillId="0" borderId="74" xfId="0" applyNumberFormat="1" applyFont="1" applyBorder="1" applyAlignment="1">
      <alignment horizontal="left" vertical="center" wrapText="1" indent="1"/>
    </xf>
    <xf numFmtId="49" fontId="388" fillId="0" borderId="134" xfId="0" applyNumberFormat="1" applyFont="1" applyBorder="1" applyAlignment="1">
      <alignment horizontal="center" vertical="center"/>
    </xf>
    <xf numFmtId="168" fontId="360" fillId="17" borderId="134" xfId="0" applyNumberFormat="1" applyFont="1" applyFill="1" applyBorder="1" applyAlignment="1">
      <alignment horizontal="right" vertical="center"/>
    </xf>
    <xf numFmtId="168" fontId="338" fillId="17" borderId="134" xfId="0" applyNumberFormat="1" applyFont="1" applyFill="1" applyBorder="1" applyAlignment="1">
      <alignment horizontal="right" vertical="center"/>
    </xf>
    <xf numFmtId="49" fontId="338" fillId="17" borderId="134" xfId="0" applyNumberFormat="1" applyFont="1" applyFill="1" applyBorder="1" applyAlignment="1">
      <alignment horizontal="center" vertical="center"/>
    </xf>
    <xf numFmtId="49" fontId="387" fillId="17" borderId="134" xfId="0" applyNumberFormat="1" applyFont="1" applyFill="1" applyBorder="1" applyAlignment="1">
      <alignment horizontal="left" vertical="center" wrapText="1" indent="1"/>
    </xf>
    <xf numFmtId="49" fontId="382" fillId="17" borderId="134" xfId="0" applyNumberFormat="1" applyFont="1" applyFill="1" applyBorder="1" applyAlignment="1">
      <alignment horizontal="center" vertical="center"/>
    </xf>
    <xf numFmtId="49" fontId="387" fillId="17" borderId="562" xfId="0" applyNumberFormat="1" applyFont="1" applyFill="1" applyBorder="1" applyAlignment="1">
      <alignment horizontal="left" vertical="center" wrapText="1" indent="1"/>
    </xf>
    <xf numFmtId="49" fontId="388" fillId="0" borderId="75" xfId="0" applyNumberFormat="1" applyFont="1" applyBorder="1" applyAlignment="1">
      <alignment horizontal="center" vertical="center"/>
    </xf>
    <xf numFmtId="0" fontId="360" fillId="17" borderId="75" xfId="0" applyFont="1" applyFill="1" applyBorder="1" applyAlignment="1">
      <alignment horizontal="center" vertical="center" wrapText="1"/>
    </xf>
    <xf numFmtId="168" fontId="360" fillId="17" borderId="75" xfId="0" applyNumberFormat="1" applyFont="1" applyFill="1" applyBorder="1" applyAlignment="1">
      <alignment vertical="center"/>
    </xf>
    <xf numFmtId="168" fontId="338" fillId="17" borderId="75" xfId="0" applyNumberFormat="1" applyFont="1" applyFill="1" applyBorder="1" applyAlignment="1">
      <alignment vertical="center"/>
    </xf>
    <xf numFmtId="49" fontId="382" fillId="17" borderId="75" xfId="0" applyNumberFormat="1" applyFont="1" applyFill="1" applyBorder="1" applyAlignment="1">
      <alignment horizontal="left" vertical="center" wrapText="1" indent="1"/>
    </xf>
    <xf numFmtId="49" fontId="382" fillId="17" borderId="75" xfId="0" applyNumberFormat="1" applyFont="1" applyFill="1" applyBorder="1" applyAlignment="1">
      <alignment horizontal="center" vertical="center"/>
    </xf>
    <xf numFmtId="0" fontId="387" fillId="17" borderId="134" xfId="0" applyFont="1" applyFill="1" applyBorder="1" applyAlignment="1">
      <alignment horizontal="left" vertical="center" wrapText="1" indent="1"/>
    </xf>
    <xf numFmtId="49" fontId="338" fillId="17" borderId="75" xfId="0" applyNumberFormat="1" applyFont="1" applyFill="1" applyBorder="1" applyAlignment="1">
      <alignment horizontal="center" vertical="center"/>
    </xf>
    <xf numFmtId="0" fontId="387" fillId="17" borderId="75" xfId="0" applyFont="1" applyFill="1" applyBorder="1" applyAlignment="1">
      <alignment horizontal="left" vertical="center" wrapText="1" indent="1"/>
    </xf>
    <xf numFmtId="0" fontId="384" fillId="17" borderId="75" xfId="0" applyFont="1" applyFill="1" applyBorder="1" applyAlignment="1">
      <alignment horizontal="center" vertical="center" wrapText="1"/>
    </xf>
    <xf numFmtId="0" fontId="15" fillId="17" borderId="874" xfId="0" applyFont="1" applyFill="1" applyBorder="1" applyAlignment="1">
      <alignment horizontal="left" vertical="center" indent="1"/>
    </xf>
    <xf numFmtId="0" fontId="24" fillId="0" borderId="669" xfId="0" applyFont="1" applyBorder="1" applyAlignment="1">
      <alignment horizontal="left" vertical="center" wrapText="1" indent="1"/>
    </xf>
    <xf numFmtId="0" fontId="38" fillId="0" borderId="669" xfId="0" applyFont="1" applyBorder="1" applyAlignment="1">
      <alignment horizontal="left" vertical="center" wrapText="1" indent="1"/>
    </xf>
    <xf numFmtId="0" fontId="24" fillId="4" borderId="669" xfId="0" applyFont="1" applyFill="1" applyBorder="1" applyAlignment="1">
      <alignment horizontal="left" vertical="center" wrapText="1" indent="1"/>
    </xf>
    <xf numFmtId="49" fontId="24" fillId="17" borderId="1048" xfId="0" applyNumberFormat="1" applyFont="1" applyFill="1" applyBorder="1" applyAlignment="1">
      <alignment horizontal="center" vertical="center"/>
    </xf>
    <xf numFmtId="49" fontId="24" fillId="17" borderId="1049" xfId="0" applyNumberFormat="1" applyFont="1" applyFill="1" applyBorder="1" applyAlignment="1">
      <alignment horizontal="center" vertical="center"/>
    </xf>
    <xf numFmtId="49" fontId="24" fillId="17" borderId="1050" xfId="0" applyNumberFormat="1" applyFont="1" applyFill="1" applyBorder="1" applyAlignment="1">
      <alignment horizontal="center" vertical="center"/>
    </xf>
    <xf numFmtId="49" fontId="24" fillId="17" borderId="1051" xfId="0" applyNumberFormat="1" applyFont="1" applyFill="1" applyBorder="1" applyAlignment="1">
      <alignment horizontal="center" vertical="center"/>
    </xf>
    <xf numFmtId="49" fontId="24" fillId="17" borderId="1052" xfId="0" applyNumberFormat="1" applyFont="1" applyFill="1" applyBorder="1" applyAlignment="1">
      <alignment horizontal="center" vertical="center"/>
    </xf>
    <xf numFmtId="49" fontId="24" fillId="39" borderId="1052" xfId="0" applyNumberFormat="1" applyFont="1" applyFill="1" applyBorder="1" applyAlignment="1">
      <alignment horizontal="center" vertical="center"/>
    </xf>
    <xf numFmtId="0" fontId="23" fillId="17" borderId="1051" xfId="0" applyFont="1" applyFill="1" applyBorder="1" applyAlignment="1">
      <alignment horizontal="center" vertical="center" wrapText="1"/>
    </xf>
    <xf numFmtId="0" fontId="23" fillId="17" borderId="1049" xfId="0" applyFont="1" applyFill="1" applyBorder="1" applyAlignment="1">
      <alignment horizontal="center" vertical="center" wrapText="1"/>
    </xf>
    <xf numFmtId="49" fontId="24" fillId="17" borderId="1053" xfId="0" applyNumberFormat="1" applyFont="1" applyFill="1" applyBorder="1" applyAlignment="1">
      <alignment horizontal="center" vertical="center"/>
    </xf>
    <xf numFmtId="49" fontId="24" fillId="0" borderId="1048" xfId="0" applyNumberFormat="1" applyFont="1" applyBorder="1" applyAlignment="1">
      <alignment horizontal="center" vertical="center"/>
    </xf>
    <xf numFmtId="49" fontId="24" fillId="0" borderId="1049" xfId="0" applyNumberFormat="1" applyFont="1" applyBorder="1" applyAlignment="1">
      <alignment horizontal="center" vertical="center"/>
    </xf>
    <xf numFmtId="49" fontId="24" fillId="0" borderId="1050" xfId="0" applyNumberFormat="1" applyFont="1" applyBorder="1" applyAlignment="1">
      <alignment horizontal="center" vertical="center"/>
    </xf>
    <xf numFmtId="49" fontId="24" fillId="0" borderId="1051" xfId="0" applyNumberFormat="1" applyFont="1" applyBorder="1" applyAlignment="1">
      <alignment horizontal="center" vertical="center"/>
    </xf>
    <xf numFmtId="0" fontId="68" fillId="17" borderId="194" xfId="0" applyFont="1" applyFill="1" applyBorder="1" applyAlignment="1">
      <alignment horizontal="center" vertical="center"/>
    </xf>
    <xf numFmtId="0" fontId="24" fillId="17" borderId="194" xfId="0" applyFont="1" applyFill="1" applyBorder="1" applyAlignment="1">
      <alignment horizontal="left" vertical="center" wrapText="1" indent="2"/>
    </xf>
    <xf numFmtId="0" fontId="23" fillId="17" borderId="1054" xfId="0" applyFont="1" applyFill="1" applyBorder="1" applyAlignment="1">
      <alignment horizontal="left" vertical="center"/>
    </xf>
    <xf numFmtId="0" fontId="129" fillId="0" borderId="1055" xfId="0" applyFont="1" applyBorder="1" applyAlignment="1">
      <alignment horizontal="center" vertical="center"/>
    </xf>
    <xf numFmtId="49" fontId="38" fillId="17" borderId="149" xfId="0" applyNumberFormat="1" applyFont="1" applyFill="1" applyBorder="1" applyAlignment="1">
      <alignment horizontal="left" vertical="center" indent="1"/>
    </xf>
    <xf numFmtId="0" fontId="38" fillId="39" borderId="204" xfId="0" applyFont="1" applyFill="1" applyBorder="1" applyAlignment="1">
      <alignment horizontal="left" vertical="center" wrapText="1" indent="1"/>
    </xf>
    <xf numFmtId="0" fontId="15" fillId="14" borderId="874" xfId="0" applyFont="1" applyFill="1" applyBorder="1" applyAlignment="1">
      <alignment horizontal="left" vertical="center" indent="1"/>
    </xf>
    <xf numFmtId="0" fontId="0" fillId="14" borderId="0" xfId="0" applyFill="1" applyAlignment="1">
      <alignment vertical="center"/>
    </xf>
    <xf numFmtId="0" fontId="392" fillId="14" borderId="874" xfId="0" applyFont="1" applyFill="1" applyBorder="1" applyAlignment="1">
      <alignment horizontal="left" vertical="center" indent="1"/>
    </xf>
    <xf numFmtId="0" fontId="393" fillId="14" borderId="0" xfId="0" applyFont="1" applyFill="1" applyAlignment="1">
      <alignment vertical="center"/>
    </xf>
    <xf numFmtId="39" fontId="360" fillId="17" borderId="173" xfId="0" applyNumberFormat="1" applyFont="1" applyFill="1" applyBorder="1" applyAlignment="1">
      <alignment vertical="center"/>
    </xf>
    <xf numFmtId="2" fontId="18" fillId="14" borderId="5" xfId="0" applyNumberFormat="1" applyFont="1" applyFill="1" applyBorder="1" applyAlignment="1">
      <alignment horizontal="left" vertical="center" wrapText="1" indent="1"/>
    </xf>
    <xf numFmtId="49" fontId="106" fillId="14" borderId="5" xfId="0" applyNumberFormat="1" applyFont="1" applyFill="1" applyBorder="1" applyAlignment="1">
      <alignment horizontal="center" vertical="center" wrapText="1" indent="1"/>
    </xf>
    <xf numFmtId="0" fontId="38" fillId="0" borderId="834" xfId="0" applyFont="1" applyBorder="1" applyAlignment="1">
      <alignment vertical="center" wrapText="1" indent="1"/>
    </xf>
    <xf numFmtId="1" fontId="54" fillId="0" borderId="669" xfId="0" applyNumberFormat="1" applyFont="1" applyBorder="1" applyAlignment="1">
      <alignment horizontal="center" vertical="center" wrapText="1"/>
    </xf>
    <xf numFmtId="0" fontId="24" fillId="0" borderId="664" xfId="0" applyFont="1" applyBorder="1" applyAlignment="1">
      <alignment horizontal="left" vertical="center" wrapText="1" indent="1"/>
    </xf>
    <xf numFmtId="0" fontId="38" fillId="0" borderId="835" xfId="0" applyFont="1" applyBorder="1" applyAlignment="1">
      <alignment horizontal="right" vertical="center" indent="1"/>
    </xf>
    <xf numFmtId="0" fontId="68" fillId="0" borderId="669" xfId="0" applyFont="1" applyBorder="1" applyAlignment="1">
      <alignment horizontal="center" vertical="center"/>
    </xf>
    <xf numFmtId="0" fontId="39" fillId="0" borderId="669" xfId="0" applyFont="1" applyBorder="1" applyAlignment="1">
      <alignment horizontal="center" vertical="center"/>
    </xf>
    <xf numFmtId="0" fontId="54" fillId="17" borderId="669" xfId="0" applyFont="1" applyFill="1" applyBorder="1" applyAlignment="1">
      <alignment horizontal="center" vertical="center" wrapText="1"/>
    </xf>
    <xf numFmtId="0" fontId="24" fillId="17" borderId="669" xfId="0" applyFont="1" applyFill="1" applyBorder="1" applyAlignment="1">
      <alignment horizontal="center" vertical="center" wrapText="1"/>
    </xf>
    <xf numFmtId="168" fontId="54" fillId="17" borderId="669" xfId="0" applyNumberFormat="1" applyFont="1" applyFill="1" applyBorder="1" applyAlignment="1">
      <alignment vertical="center"/>
    </xf>
    <xf numFmtId="168" fontId="54" fillId="0" borderId="669" xfId="0" applyNumberFormat="1" applyFont="1" applyBorder="1" applyAlignment="1">
      <alignment vertical="center"/>
    </xf>
    <xf numFmtId="168" fontId="52" fillId="0" borderId="669" xfId="0" applyNumberFormat="1" applyFont="1" applyBorder="1" applyAlignment="1">
      <alignment vertical="center"/>
    </xf>
    <xf numFmtId="49" fontId="52" fillId="0" borderId="669" xfId="0" applyNumberFormat="1" applyFont="1" applyBorder="1" applyAlignment="1">
      <alignment horizontal="center" vertical="center"/>
    </xf>
    <xf numFmtId="49" fontId="152" fillId="17" borderId="669" xfId="0" applyNumberFormat="1" applyFont="1" applyFill="1" applyBorder="1" applyAlignment="1">
      <alignment vertical="center"/>
    </xf>
    <xf numFmtId="0" fontId="44" fillId="17" borderId="669" xfId="0" applyFont="1" applyFill="1" applyBorder="1" applyAlignment="1">
      <alignment horizontal="center" vertical="center" wrapText="1"/>
    </xf>
    <xf numFmtId="49" fontId="44" fillId="17" borderId="669" xfId="0" applyNumberFormat="1" applyFont="1" applyFill="1" applyBorder="1" applyAlignment="1">
      <alignment horizontal="center" vertical="center"/>
    </xf>
    <xf numFmtId="49" fontId="44" fillId="0" borderId="669" xfId="0" applyNumberFormat="1" applyFont="1" applyBorder="1" applyAlignment="1">
      <alignment horizontal="center" vertical="center"/>
    </xf>
    <xf numFmtId="0" fontId="96" fillId="0" borderId="836" xfId="0" applyFont="1" applyBorder="1" applyAlignment="1">
      <alignment indent="1"/>
    </xf>
    <xf numFmtId="0" fontId="387" fillId="0" borderId="835" xfId="0" applyFont="1" applyBorder="1" applyAlignment="1">
      <alignment horizontal="right" vertical="center" indent="1"/>
    </xf>
    <xf numFmtId="0" fontId="388" fillId="0" borderId="669" xfId="0" applyFont="1" applyBorder="1" applyAlignment="1">
      <alignment horizontal="center" vertical="center"/>
    </xf>
    <xf numFmtId="0" fontId="389" fillId="0" borderId="669" xfId="0" applyFont="1" applyBorder="1" applyAlignment="1">
      <alignment horizontal="center" vertical="center"/>
    </xf>
    <xf numFmtId="0" fontId="382" fillId="0" borderId="669" xfId="0" applyFont="1" applyBorder="1" applyAlignment="1">
      <alignment horizontal="left" vertical="center" wrapText="1" indent="1"/>
    </xf>
    <xf numFmtId="0" fontId="360" fillId="17" borderId="669" xfId="0" applyFont="1" applyFill="1" applyBorder="1" applyAlignment="1">
      <alignment horizontal="center" vertical="center" wrapText="1"/>
    </xf>
    <xf numFmtId="0" fontId="382" fillId="17" borderId="669" xfId="0" applyFont="1" applyFill="1" applyBorder="1" applyAlignment="1">
      <alignment horizontal="center" vertical="center" wrapText="1"/>
    </xf>
    <xf numFmtId="168" fontId="360" fillId="17" borderId="669" xfId="0" applyNumberFormat="1" applyFont="1" applyFill="1" applyBorder="1" applyAlignment="1">
      <alignment vertical="center"/>
    </xf>
    <xf numFmtId="168" fontId="360" fillId="0" borderId="669" xfId="0" applyNumberFormat="1" applyFont="1" applyBorder="1" applyAlignment="1">
      <alignment vertical="center"/>
    </xf>
    <xf numFmtId="168" fontId="338" fillId="0" borderId="669" xfId="0" applyNumberFormat="1" applyFont="1" applyBorder="1" applyAlignment="1">
      <alignment vertical="center"/>
    </xf>
    <xf numFmtId="49" fontId="338" fillId="0" borderId="669" xfId="0" applyNumberFormat="1" applyFont="1" applyBorder="1" applyAlignment="1">
      <alignment horizontal="center" vertical="center"/>
    </xf>
    <xf numFmtId="0" fontId="387" fillId="0" borderId="669" xfId="0" applyFont="1" applyBorder="1" applyAlignment="1">
      <alignment horizontal="left" vertical="center" wrapText="1" indent="1"/>
    </xf>
    <xf numFmtId="0" fontId="38" fillId="14" borderId="416" xfId="2" applyFont="1" applyFill="1" applyBorder="1" applyAlignment="1">
      <alignment horizontal="left" vertical="center" wrapText="1" indent="1"/>
    </xf>
    <xf numFmtId="0" fontId="68" fillId="14" borderId="417" xfId="2" applyFont="1" applyFill="1" applyBorder="1" applyAlignment="1">
      <alignment horizontal="center" vertical="center"/>
    </xf>
    <xf numFmtId="0" fontId="38" fillId="14" borderId="418" xfId="2" applyFont="1" applyFill="1" applyBorder="1" applyAlignment="1">
      <alignment horizontal="left" vertical="center" wrapText="1" indent="1"/>
    </xf>
    <xf numFmtId="0" fontId="54" fillId="14" borderId="418" xfId="2" applyFont="1" applyFill="1" applyBorder="1" applyAlignment="1">
      <alignment horizontal="center" vertical="center" wrapText="1"/>
    </xf>
    <xf numFmtId="0" fontId="24" fillId="14" borderId="418" xfId="2" applyFont="1" applyFill="1" applyBorder="1" applyAlignment="1">
      <alignment horizontal="center" vertical="center" wrapText="1"/>
    </xf>
    <xf numFmtId="49" fontId="52" fillId="14" borderId="418" xfId="2" applyNumberFormat="1" applyFont="1" applyFill="1" applyBorder="1" applyAlignment="1">
      <alignment horizontal="center" vertical="center"/>
    </xf>
    <xf numFmtId="0" fontId="24" fillId="14" borderId="410" xfId="2" applyFont="1" applyFill="1" applyBorder="1" applyAlignment="1">
      <alignment horizontal="center" vertical="center"/>
    </xf>
    <xf numFmtId="0" fontId="39" fillId="14" borderId="419" xfId="2" applyFont="1" applyFill="1" applyBorder="1" applyAlignment="1">
      <alignment horizontal="center" vertical="center"/>
    </xf>
    <xf numFmtId="0" fontId="24" fillId="14" borderId="411" xfId="2" applyFont="1" applyFill="1" applyBorder="1" applyAlignment="1">
      <alignment horizontal="left" vertical="center" wrapText="1" indent="1"/>
    </xf>
    <xf numFmtId="0" fontId="54" fillId="14" borderId="411" xfId="2" applyFont="1" applyFill="1" applyBorder="1" applyAlignment="1">
      <alignment horizontal="center" vertical="center" wrapText="1"/>
    </xf>
    <xf numFmtId="49" fontId="52" fillId="14" borderId="411" xfId="2" applyNumberFormat="1" applyFont="1" applyFill="1" applyBorder="1" applyAlignment="1">
      <alignment horizontal="center" vertical="center"/>
    </xf>
    <xf numFmtId="49" fontId="147" fillId="14" borderId="418" xfId="2" applyNumberFormat="1" applyFont="1" applyFill="1" applyBorder="1" applyAlignment="1">
      <alignment vertical="center"/>
    </xf>
    <xf numFmtId="0" fontId="300" fillId="14" borderId="418" xfId="8" applyFont="1" applyFill="1" applyBorder="1" applyAlignment="1">
      <alignment horizontal="center" vertical="center" wrapText="1"/>
    </xf>
    <xf numFmtId="49" fontId="147" fillId="14" borderId="411" xfId="2" applyNumberFormat="1" applyFont="1" applyFill="1" applyBorder="1" applyAlignment="1">
      <alignment vertical="center"/>
    </xf>
    <xf numFmtId="0" fontId="300" fillId="14" borderId="411" xfId="8" applyFont="1" applyFill="1" applyBorder="1" applyAlignment="1">
      <alignment horizontal="center" vertical="center" wrapText="1"/>
    </xf>
    <xf numFmtId="0" fontId="382" fillId="0" borderId="411" xfId="2" applyFont="1" applyBorder="1" applyAlignment="1">
      <alignment horizontal="left" vertical="center" wrapText="1" indent="1"/>
    </xf>
    <xf numFmtId="0" fontId="387" fillId="17" borderId="588" xfId="2" applyFont="1" applyFill="1" applyBorder="1" applyAlignment="1">
      <alignment horizontal="left" vertical="center" wrapText="1" indent="1"/>
    </xf>
    <xf numFmtId="0" fontId="382" fillId="0" borderId="34" xfId="0" applyFont="1" applyBorder="1" applyAlignment="1">
      <alignment horizontal="left" vertical="center" wrapText="1"/>
    </xf>
    <xf numFmtId="49" fontId="38" fillId="14" borderId="41" xfId="0" applyNumberFormat="1" applyFont="1" applyFill="1" applyBorder="1" applyAlignment="1">
      <alignment horizontal="left" vertical="center" indent="1"/>
    </xf>
    <xf numFmtId="0" fontId="38" fillId="14" borderId="44" xfId="0" applyFont="1" applyFill="1" applyBorder="1" applyAlignment="1">
      <alignment horizontal="left" vertical="center" wrapText="1" indent="1"/>
    </xf>
    <xf numFmtId="39" fontId="385" fillId="14" borderId="44" xfId="0" applyNumberFormat="1" applyFont="1" applyFill="1" applyBorder="1" applyAlignment="1">
      <alignment vertical="center"/>
    </xf>
    <xf numFmtId="39" fontId="338" fillId="14" borderId="44" xfId="0" applyNumberFormat="1" applyFont="1" applyFill="1" applyBorder="1" applyAlignment="1">
      <alignment vertical="center"/>
    </xf>
    <xf numFmtId="49" fontId="222" fillId="14" borderId="33" xfId="0" applyNumberFormat="1" applyFont="1" applyFill="1" applyBorder="1" applyAlignment="1">
      <alignment horizontal="left" vertical="center"/>
    </xf>
    <xf numFmtId="0" fontId="228" fillId="14" borderId="297" xfId="0" applyFont="1" applyFill="1" applyBorder="1" applyAlignment="1">
      <alignment horizontal="center" vertical="center"/>
    </xf>
    <xf numFmtId="0" fontId="39" fillId="14" borderId="297" xfId="0" applyFont="1" applyFill="1" applyBorder="1" applyAlignment="1">
      <alignment horizontal="center" vertical="center"/>
    </xf>
    <xf numFmtId="0" fontId="24" fillId="14" borderId="34" xfId="0" applyFont="1" applyFill="1" applyBorder="1" applyAlignment="1">
      <alignment horizontal="left" vertical="center" wrapText="1" indent="1"/>
    </xf>
    <xf numFmtId="0" fontId="367" fillId="14" borderId="34" xfId="0" applyFont="1" applyFill="1" applyBorder="1" applyAlignment="1">
      <alignment horizontal="center" vertical="center" wrapText="1"/>
    </xf>
    <xf numFmtId="0" fontId="24" fillId="14" borderId="34" xfId="0" applyFont="1" applyFill="1" applyBorder="1" applyAlignment="1">
      <alignment horizontal="center" vertical="center" wrapText="1"/>
    </xf>
    <xf numFmtId="39" fontId="385" fillId="14" borderId="34" xfId="0" applyNumberFormat="1" applyFont="1" applyFill="1" applyBorder="1" applyAlignment="1">
      <alignment vertical="center"/>
    </xf>
    <xf numFmtId="39" fontId="338" fillId="14" borderId="34" xfId="0" applyNumberFormat="1" applyFont="1" applyFill="1" applyBorder="1" applyAlignment="1">
      <alignment vertical="center"/>
    </xf>
    <xf numFmtId="49" fontId="52" fillId="14" borderId="34" xfId="0" applyNumberFormat="1" applyFont="1" applyFill="1" applyBorder="1" applyAlignment="1">
      <alignment vertical="center"/>
    </xf>
    <xf numFmtId="49" fontId="387" fillId="17" borderId="41" xfId="0" applyNumberFormat="1" applyFont="1" applyFill="1" applyBorder="1" applyAlignment="1">
      <alignment horizontal="left" vertical="center" indent="1"/>
    </xf>
    <xf numFmtId="0" fontId="388" fillId="0" borderId="313" xfId="0" applyFont="1" applyBorder="1" applyAlignment="1">
      <alignment horizontal="center" vertical="center"/>
    </xf>
    <xf numFmtId="0" fontId="388" fillId="17" borderId="313" xfId="0" applyFont="1" applyFill="1" applyBorder="1" applyAlignment="1">
      <alignment horizontal="center" vertical="center"/>
    </xf>
    <xf numFmtId="0" fontId="387" fillId="17" borderId="39" xfId="0" applyFont="1" applyFill="1" applyBorder="1" applyAlignment="1">
      <alignment horizontal="left" vertical="center" wrapText="1" indent="1"/>
    </xf>
    <xf numFmtId="0" fontId="382" fillId="17" borderId="39" xfId="0" applyFont="1" applyFill="1" applyBorder="1" applyAlignment="1">
      <alignment horizontal="center" vertical="center" wrapText="1"/>
    </xf>
    <xf numFmtId="49" fontId="387" fillId="0" borderId="44" xfId="0" applyNumberFormat="1" applyFont="1" applyBorder="1" applyAlignment="1">
      <alignment vertical="center"/>
    </xf>
    <xf numFmtId="0" fontId="382" fillId="0" borderId="44" xfId="0" applyFont="1" applyBorder="1" applyAlignment="1">
      <alignment horizontal="center" vertical="center" wrapText="1"/>
    </xf>
    <xf numFmtId="49" fontId="382" fillId="0" borderId="44" xfId="0" applyNumberFormat="1" applyFont="1" applyBorder="1" applyAlignment="1">
      <alignment horizontal="center" vertical="center"/>
    </xf>
    <xf numFmtId="49" fontId="382" fillId="17" borderId="33" xfId="0" applyNumberFormat="1" applyFont="1" applyFill="1" applyBorder="1" applyAlignment="1">
      <alignment horizontal="left" vertical="center"/>
    </xf>
    <xf numFmtId="0" fontId="389" fillId="17" borderId="297" xfId="0" applyFont="1" applyFill="1" applyBorder="1" applyAlignment="1">
      <alignment horizontal="center" vertical="center"/>
    </xf>
    <xf numFmtId="0" fontId="382" fillId="17" borderId="34" xfId="0" applyFont="1" applyFill="1" applyBorder="1" applyAlignment="1">
      <alignment horizontal="left" vertical="center" wrapText="1" indent="1"/>
    </xf>
    <xf numFmtId="0" fontId="385" fillId="17" borderId="34" xfId="0" applyFont="1" applyFill="1" applyBorder="1" applyAlignment="1">
      <alignment horizontal="center" vertical="center" wrapText="1"/>
    </xf>
    <xf numFmtId="49" fontId="387" fillId="0" borderId="34" xfId="0" applyNumberFormat="1" applyFont="1" applyBorder="1" applyAlignment="1">
      <alignment vertical="center"/>
    </xf>
    <xf numFmtId="49" fontId="382" fillId="0" borderId="34" xfId="0" applyNumberFormat="1" applyFont="1" applyBorder="1" applyAlignment="1">
      <alignment horizontal="center" vertical="center"/>
    </xf>
    <xf numFmtId="39" fontId="385" fillId="14" borderId="39" xfId="0" applyNumberFormat="1" applyFont="1" applyFill="1" applyBorder="1" applyAlignment="1">
      <alignment vertical="center"/>
    </xf>
    <xf numFmtId="39" fontId="338" fillId="14" borderId="39" xfId="0" applyNumberFormat="1" applyFont="1" applyFill="1" applyBorder="1" applyAlignment="1">
      <alignment vertical="center"/>
    </xf>
    <xf numFmtId="49" fontId="338" fillId="14" borderId="39" xfId="0" applyNumberFormat="1" applyFont="1" applyFill="1" applyBorder="1" applyAlignment="1">
      <alignment horizontal="center" vertical="center"/>
    </xf>
    <xf numFmtId="0" fontId="382" fillId="14" borderId="802" xfId="0" applyFont="1" applyFill="1" applyBorder="1" applyAlignment="1">
      <alignment horizontal="left" vertical="center" indent="1"/>
    </xf>
    <xf numFmtId="0" fontId="389" fillId="14" borderId="674" xfId="0" applyFont="1" applyFill="1" applyBorder="1" applyAlignment="1">
      <alignment horizontal="center" vertical="center"/>
    </xf>
    <xf numFmtId="39" fontId="338" fillId="14" borderId="674" xfId="0" applyNumberFormat="1" applyFont="1" applyFill="1" applyBorder="1" applyAlignment="1">
      <alignment vertical="center"/>
    </xf>
    <xf numFmtId="49" fontId="338" fillId="14" borderId="674" xfId="0" applyNumberFormat="1" applyFont="1" applyFill="1" applyBorder="1" applyAlignment="1">
      <alignment horizontal="center" vertical="center"/>
    </xf>
    <xf numFmtId="49" fontId="38" fillId="14" borderId="674" xfId="0" applyNumberFormat="1" applyFont="1" applyFill="1" applyBorder="1" applyAlignment="1">
      <alignment horizontal="left" vertical="center" indent="1"/>
    </xf>
    <xf numFmtId="0" fontId="24" fillId="14" borderId="674" xfId="0" applyFont="1" applyFill="1" applyBorder="1" applyAlignment="1">
      <alignment horizontal="center" vertical="center" wrapText="1"/>
    </xf>
    <xf numFmtId="49" fontId="24" fillId="14" borderId="673" xfId="0" applyNumberFormat="1" applyFont="1" applyFill="1" applyBorder="1" applyAlignment="1">
      <alignment horizontal="center" vertical="center"/>
    </xf>
    <xf numFmtId="0" fontId="382" fillId="14" borderId="789" xfId="0" applyFont="1" applyFill="1" applyBorder="1" applyAlignment="1">
      <alignment horizontal="left" vertical="center" indent="1"/>
    </xf>
    <xf numFmtId="0" fontId="385" fillId="14" borderId="662" xfId="0" applyFont="1" applyFill="1" applyBorder="1" applyAlignment="1">
      <alignment horizontal="center" vertical="center" wrapText="1"/>
    </xf>
    <xf numFmtId="39" fontId="360" fillId="14" borderId="662" xfId="0" applyNumberFormat="1" applyFont="1" applyFill="1" applyBorder="1" applyAlignment="1">
      <alignment vertical="center"/>
    </xf>
    <xf numFmtId="39" fontId="360" fillId="14" borderId="662" xfId="0" applyNumberFormat="1" applyFont="1" applyFill="1" applyBorder="1" applyAlignment="1">
      <alignment horizontal="right" vertical="center"/>
    </xf>
    <xf numFmtId="39" fontId="338" fillId="14" borderId="662" xfId="0" applyNumberFormat="1" applyFont="1" applyFill="1" applyBorder="1" applyAlignment="1">
      <alignment vertical="center"/>
    </xf>
    <xf numFmtId="49" fontId="387" fillId="14" borderId="662" xfId="0" applyNumberFormat="1" applyFont="1" applyFill="1" applyBorder="1" applyAlignment="1">
      <alignment horizontal="left" vertical="center" indent="1"/>
    </xf>
    <xf numFmtId="49" fontId="382" fillId="14" borderId="761" xfId="0" applyNumberFormat="1" applyFont="1" applyFill="1" applyBorder="1" applyAlignment="1">
      <alignment horizontal="center" vertical="center"/>
    </xf>
    <xf numFmtId="0" fontId="382" fillId="14" borderId="812" xfId="0" applyFont="1" applyFill="1" applyBorder="1" applyAlignment="1">
      <alignment horizontal="left" vertical="center" indent="1"/>
    </xf>
    <xf numFmtId="0" fontId="382" fillId="14" borderId="738" xfId="0" applyFont="1" applyFill="1" applyBorder="1" applyAlignment="1">
      <alignment horizontal="left" vertical="center" wrapText="1" indent="1"/>
    </xf>
    <xf numFmtId="0" fontId="385" fillId="14" borderId="738" xfId="0" applyFont="1" applyFill="1" applyBorder="1" applyAlignment="1">
      <alignment horizontal="center" vertical="center" wrapText="1"/>
    </xf>
    <xf numFmtId="0" fontId="382" fillId="14" borderId="738" xfId="0" applyFont="1" applyFill="1" applyBorder="1" applyAlignment="1">
      <alignment horizontal="center" vertical="center" wrapText="1"/>
    </xf>
    <xf numFmtId="39" fontId="360" fillId="14" borderId="738" xfId="0" applyNumberFormat="1" applyFont="1" applyFill="1" applyBorder="1" applyAlignment="1">
      <alignment vertical="center"/>
    </xf>
    <xf numFmtId="39" fontId="360" fillId="14" borderId="738" xfId="0" applyNumberFormat="1" applyFont="1" applyFill="1" applyBorder="1" applyAlignment="1">
      <alignment horizontal="right" vertical="center"/>
    </xf>
    <xf numFmtId="39" fontId="338" fillId="14" borderId="770" xfId="0" applyNumberFormat="1" applyFont="1" applyFill="1" applyBorder="1" applyAlignment="1">
      <alignment vertical="center"/>
    </xf>
    <xf numFmtId="49" fontId="338" fillId="14" borderId="770" xfId="0" applyNumberFormat="1" applyFont="1" applyFill="1" applyBorder="1" applyAlignment="1">
      <alignment horizontal="center" vertical="center"/>
    </xf>
    <xf numFmtId="49" fontId="38" fillId="17" borderId="770" xfId="0" applyNumberFormat="1" applyFont="1" applyFill="1" applyBorder="1" applyAlignment="1">
      <alignment horizontal="left" vertical="center" indent="1"/>
    </xf>
    <xf numFmtId="49" fontId="24" fillId="17" borderId="771" xfId="0" applyNumberFormat="1" applyFont="1" applyFill="1" applyBorder="1" applyAlignment="1">
      <alignment horizontal="center" vertical="center"/>
    </xf>
    <xf numFmtId="0" fontId="24" fillId="39" borderId="1039" xfId="0" applyFont="1" applyFill="1" applyBorder="1" applyAlignment="1">
      <alignment horizontal="left" vertical="center" indent="1"/>
    </xf>
    <xf numFmtId="0" fontId="39" fillId="39" borderId="1037" xfId="0" applyFont="1" applyFill="1" applyBorder="1" applyAlignment="1">
      <alignment horizontal="center" vertical="center"/>
    </xf>
    <xf numFmtId="0" fontId="24" fillId="39" borderId="1037" xfId="0" applyFont="1" applyFill="1" applyBorder="1" applyAlignment="1">
      <alignment horizontal="left" vertical="center" wrapText="1" indent="1"/>
    </xf>
    <xf numFmtId="0" fontId="56" fillId="39" borderId="1037" xfId="0" applyFont="1" applyFill="1" applyBorder="1" applyAlignment="1">
      <alignment horizontal="center" vertical="center" wrapText="1"/>
    </xf>
    <xf numFmtId="39" fontId="54" fillId="39" borderId="1037" xfId="0" applyNumberFormat="1" applyFont="1" applyFill="1" applyBorder="1" applyAlignment="1">
      <alignment vertical="center"/>
    </xf>
    <xf numFmtId="39" fontId="54" fillId="39" borderId="1037" xfId="0" applyNumberFormat="1" applyFont="1" applyFill="1" applyBorder="1" applyAlignment="1">
      <alignment horizontal="right" vertical="center"/>
    </xf>
    <xf numFmtId="39" fontId="220" fillId="39" borderId="1037" xfId="0" applyNumberFormat="1" applyFont="1" applyFill="1" applyBorder="1" applyAlignment="1">
      <alignment vertical="center"/>
    </xf>
    <xf numFmtId="49" fontId="52" fillId="39" borderId="1037" xfId="0" applyNumberFormat="1" applyFont="1" applyFill="1" applyBorder="1" applyAlignment="1">
      <alignment horizontal="center" vertical="center"/>
    </xf>
    <xf numFmtId="49" fontId="38" fillId="17" borderId="1037" xfId="0" applyNumberFormat="1" applyFont="1" applyFill="1" applyBorder="1" applyAlignment="1">
      <alignment horizontal="left" vertical="center" indent="1"/>
    </xf>
    <xf numFmtId="49" fontId="24" fillId="17" borderId="1057" xfId="0" applyNumberFormat="1" applyFont="1" applyFill="1" applyBorder="1" applyAlignment="1">
      <alignment horizontal="center" vertical="center"/>
    </xf>
    <xf numFmtId="0" fontId="385" fillId="14" borderId="674" xfId="0" applyFont="1" applyFill="1" applyBorder="1" applyAlignment="1">
      <alignment horizontal="center" vertical="center" wrapText="1"/>
    </xf>
    <xf numFmtId="39" fontId="360" fillId="14" borderId="674" xfId="0" applyNumberFormat="1" applyFont="1" applyFill="1" applyBorder="1" applyAlignment="1">
      <alignment vertical="center"/>
    </xf>
    <xf numFmtId="39" fontId="360" fillId="14" borderId="674" xfId="0" applyNumberFormat="1" applyFont="1" applyFill="1" applyBorder="1" applyAlignment="1">
      <alignment horizontal="right" vertical="center"/>
    </xf>
    <xf numFmtId="0" fontId="39" fillId="39" borderId="1058" xfId="0" applyFont="1" applyFill="1" applyBorder="1" applyAlignment="1">
      <alignment horizontal="center" vertical="center"/>
    </xf>
    <xf numFmtId="0" fontId="382" fillId="39" borderId="1058" xfId="0" applyFont="1" applyFill="1" applyBorder="1" applyAlignment="1">
      <alignment horizontal="left" vertical="center" wrapText="1" indent="1"/>
    </xf>
    <xf numFmtId="0" fontId="385" fillId="39" borderId="1058" xfId="0" applyFont="1" applyFill="1" applyBorder="1" applyAlignment="1">
      <alignment horizontal="center" vertical="center" wrapText="1"/>
    </xf>
    <xf numFmtId="0" fontId="382" fillId="39" borderId="1058" xfId="0" applyFont="1" applyFill="1" applyBorder="1" applyAlignment="1">
      <alignment horizontal="center" vertical="center" wrapText="1"/>
    </xf>
    <xf numFmtId="39" fontId="360" fillId="39" borderId="1058" xfId="0" applyNumberFormat="1" applyFont="1" applyFill="1" applyBorder="1" applyAlignment="1">
      <alignment vertical="center"/>
    </xf>
    <xf numFmtId="39" fontId="360" fillId="39" borderId="1037" xfId="0" applyNumberFormat="1" applyFont="1" applyFill="1" applyBorder="1" applyAlignment="1">
      <alignment horizontal="right" vertical="center"/>
    </xf>
    <xf numFmtId="39" fontId="338" fillId="39" borderId="1058" xfId="0" applyNumberFormat="1" applyFont="1" applyFill="1" applyBorder="1" applyAlignment="1">
      <alignment vertical="center"/>
    </xf>
    <xf numFmtId="49" fontId="52" fillId="39" borderId="1058" xfId="0" applyNumberFormat="1" applyFont="1" applyFill="1" applyBorder="1" applyAlignment="1">
      <alignment horizontal="center" vertical="center"/>
    </xf>
    <xf numFmtId="49" fontId="38" fillId="17" borderId="1058" xfId="0" applyNumberFormat="1" applyFont="1" applyFill="1" applyBorder="1" applyAlignment="1">
      <alignment horizontal="left" vertical="center" indent="1"/>
    </xf>
    <xf numFmtId="0" fontId="24" fillId="17" borderId="1058" xfId="0" applyFont="1" applyFill="1" applyBorder="1" applyAlignment="1">
      <alignment horizontal="center" vertical="center" wrapText="1"/>
    </xf>
    <xf numFmtId="49" fontId="24" fillId="17" borderId="1059" xfId="0" applyNumberFormat="1" applyFont="1" applyFill="1" applyBorder="1" applyAlignment="1">
      <alignment horizontal="center" vertical="center"/>
    </xf>
    <xf numFmtId="39" fontId="54" fillId="39" borderId="248" xfId="0" applyNumberFormat="1" applyFont="1" applyFill="1" applyBorder="1" applyAlignment="1">
      <alignment horizontal="right" vertical="center"/>
    </xf>
    <xf numFmtId="0" fontId="23" fillId="0" borderId="836" xfId="15" applyFont="1" applyBorder="1" applyAlignment="1">
      <alignment horizontal="left" vertical="center" indent="1"/>
    </xf>
    <xf numFmtId="0" fontId="22" fillId="4" borderId="210" xfId="0" applyFont="1" applyFill="1" applyBorder="1" applyAlignment="1">
      <alignment horizontal="left" vertical="center" wrapText="1" indent="1"/>
    </xf>
    <xf numFmtId="39" fontId="22" fillId="4" borderId="173" xfId="0" applyNumberFormat="1" applyFont="1" applyFill="1" applyBorder="1" applyAlignment="1">
      <alignment horizontal="left" vertical="center" wrapText="1" indent="1"/>
    </xf>
    <xf numFmtId="3" fontId="106" fillId="4" borderId="173" xfId="0" applyNumberFormat="1" applyFont="1" applyFill="1" applyBorder="1" applyAlignment="1">
      <alignment horizontal="center" vertical="center"/>
    </xf>
    <xf numFmtId="39" fontId="22" fillId="4" borderId="173" xfId="0" applyNumberFormat="1" applyFont="1" applyFill="1" applyBorder="1" applyAlignment="1">
      <alignment horizontal="left" vertical="center" wrapText="1"/>
    </xf>
    <xf numFmtId="168" fontId="106" fillId="4" borderId="173" xfId="0" applyNumberFormat="1" applyFont="1" applyFill="1" applyBorder="1" applyAlignment="1">
      <alignment horizontal="center" vertical="center"/>
    </xf>
    <xf numFmtId="168" fontId="130" fillId="39" borderId="662" xfId="0" applyNumberFormat="1" applyFont="1" applyFill="1" applyBorder="1" applyAlignment="1">
      <alignment vertical="center"/>
    </xf>
    <xf numFmtId="168" fontId="106" fillId="39" borderId="738" xfId="0" applyNumberFormat="1" applyFont="1" applyFill="1" applyBorder="1" applyAlignment="1">
      <alignment vertical="center"/>
    </xf>
    <xf numFmtId="168" fontId="130" fillId="0" borderId="738" xfId="0" applyNumberFormat="1" applyFont="1" applyBorder="1" applyAlignment="1">
      <alignment vertical="center"/>
    </xf>
    <xf numFmtId="0" fontId="387" fillId="0" borderId="33" xfId="0" applyFont="1" applyBorder="1" applyAlignment="1">
      <alignment horizontal="left" vertical="center" wrapText="1" indent="1"/>
    </xf>
    <xf numFmtId="0" fontId="388" fillId="0" borderId="34" xfId="0" applyFont="1" applyBorder="1" applyAlignment="1">
      <alignment horizontal="center" vertical="center"/>
    </xf>
    <xf numFmtId="0" fontId="389" fillId="0" borderId="34" xfId="0" applyFont="1" applyBorder="1" applyAlignment="1">
      <alignment horizontal="center" vertical="center"/>
    </xf>
    <xf numFmtId="49" fontId="387" fillId="4" borderId="34" xfId="0" applyNumberFormat="1" applyFont="1" applyFill="1" applyBorder="1" applyAlignment="1">
      <alignment horizontal="left" vertical="center" indent="1"/>
    </xf>
    <xf numFmtId="0" fontId="382" fillId="4" borderId="34" xfId="0" applyFont="1" applyFill="1" applyBorder="1" applyAlignment="1">
      <alignment horizontal="center" vertical="center" wrapText="1"/>
    </xf>
    <xf numFmtId="0" fontId="387" fillId="0" borderId="34" xfId="0" applyFont="1" applyBorder="1" applyAlignment="1">
      <alignment horizontal="left" vertical="center" wrapText="1" indent="1"/>
    </xf>
    <xf numFmtId="49" fontId="382" fillId="4" borderId="34" xfId="0" applyNumberFormat="1" applyFont="1" applyFill="1" applyBorder="1" applyAlignment="1">
      <alignment horizontal="center" vertical="center"/>
    </xf>
    <xf numFmtId="49" fontId="382" fillId="17" borderId="662" xfId="0" applyNumberFormat="1" applyFont="1" applyFill="1" applyBorder="1" applyAlignment="1">
      <alignment horizontal="center" vertical="center"/>
    </xf>
    <xf numFmtId="0" fontId="393" fillId="0" borderId="0" xfId="0" applyFont="1" applyAlignment="1">
      <alignment vertical="center"/>
    </xf>
    <xf numFmtId="0" fontId="393" fillId="0" borderId="0" xfId="0" applyFont="1" applyAlignment="1">
      <alignment horizontal="center" vertical="center"/>
    </xf>
    <xf numFmtId="0" fontId="23" fillId="3" borderId="664" xfId="15" applyFont="1" applyFill="1" applyBorder="1" applyAlignment="1">
      <alignment horizontal="left" vertical="center" wrapText="1" indent="1"/>
    </xf>
    <xf numFmtId="0" fontId="22" fillId="0" borderId="835" xfId="15" applyFont="1" applyBorder="1" applyAlignment="1">
      <alignment horizontal="left" vertical="center" wrapText="1" indent="1"/>
    </xf>
    <xf numFmtId="0" fontId="360" fillId="0" borderId="669" xfId="15" applyFont="1" applyBorder="1" applyAlignment="1">
      <alignment horizontal="center" vertical="center" wrapText="1"/>
    </xf>
    <xf numFmtId="49" fontId="273" fillId="0" borderId="669" xfId="15" applyNumberFormat="1" applyFont="1" applyBorder="1" applyAlignment="1">
      <alignment horizontal="center" vertical="center"/>
    </xf>
    <xf numFmtId="0" fontId="22" fillId="0" borderId="669" xfId="15" applyFont="1" applyBorder="1" applyAlignment="1">
      <alignment vertical="center"/>
    </xf>
    <xf numFmtId="0" fontId="387" fillId="0" borderId="789" xfId="15" applyFont="1" applyBorder="1" applyAlignment="1">
      <alignment horizontal="left" vertical="center" wrapText="1" indent="1"/>
    </xf>
    <xf numFmtId="0" fontId="388" fillId="0" borderId="662" xfId="15" applyFont="1" applyBorder="1" applyAlignment="1">
      <alignment horizontal="center" vertical="center"/>
    </xf>
    <xf numFmtId="0" fontId="389" fillId="0" borderId="662" xfId="15" applyFont="1" applyBorder="1" applyAlignment="1">
      <alignment horizontal="center" vertical="center"/>
    </xf>
    <xf numFmtId="168" fontId="360" fillId="0" borderId="669" xfId="15" applyNumberFormat="1" applyFont="1" applyBorder="1" applyAlignment="1">
      <alignment vertical="center"/>
    </xf>
    <xf numFmtId="168" fontId="338" fillId="0" borderId="669" xfId="15" applyNumberFormat="1" applyFont="1" applyBorder="1" applyAlignment="1">
      <alignment vertical="center"/>
    </xf>
    <xf numFmtId="0" fontId="387" fillId="0" borderId="835" xfId="15" applyFont="1" applyBorder="1" applyAlignment="1">
      <alignment horizontal="left" vertical="center" wrapText="1" indent="1"/>
    </xf>
    <xf numFmtId="0" fontId="388" fillId="0" borderId="669" xfId="15" applyFont="1" applyBorder="1" applyAlignment="1">
      <alignment horizontal="center" vertical="center"/>
    </xf>
    <xf numFmtId="0" fontId="389" fillId="0" borderId="669" xfId="15" applyFont="1" applyBorder="1" applyAlignment="1">
      <alignment horizontal="center" vertical="center"/>
    </xf>
    <xf numFmtId="0" fontId="382" fillId="0" borderId="669" xfId="15" applyFont="1" applyBorder="1" applyAlignment="1">
      <alignment horizontal="left" vertical="center" wrapText="1" indent="1"/>
    </xf>
    <xf numFmtId="0" fontId="382" fillId="0" borderId="669" xfId="15" applyFont="1" applyBorder="1" applyAlignment="1">
      <alignment horizontal="center" vertical="center" wrapText="1"/>
    </xf>
    <xf numFmtId="49" fontId="386" fillId="0" borderId="669" xfId="15" applyNumberFormat="1" applyFont="1" applyBorder="1" applyAlignment="1">
      <alignment horizontal="center" vertical="center"/>
    </xf>
    <xf numFmtId="0" fontId="384" fillId="14" borderId="662" xfId="0" applyFont="1" applyFill="1" applyBorder="1" applyAlignment="1">
      <alignment horizontal="left" vertical="center" wrapText="1" indent="1"/>
    </xf>
    <xf numFmtId="0" fontId="387" fillId="14" borderId="802" xfId="0" applyFont="1" applyFill="1" applyBorder="1" applyAlignment="1">
      <alignment horizontal="left" vertical="center" indent="1"/>
    </xf>
    <xf numFmtId="168" fontId="360" fillId="14" borderId="674" xfId="0" applyNumberFormat="1" applyFont="1" applyFill="1" applyBorder="1" applyAlignment="1">
      <alignment horizontal="right" vertical="center"/>
    </xf>
    <xf numFmtId="168" fontId="338" fillId="14" borderId="674" xfId="0" applyNumberFormat="1" applyFont="1" applyFill="1" applyBorder="1" applyAlignment="1">
      <alignment horizontal="right" vertical="center"/>
    </xf>
    <xf numFmtId="168" fontId="360" fillId="14" borderId="74" xfId="0" applyNumberFormat="1" applyFont="1" applyFill="1" applyBorder="1" applyAlignment="1">
      <alignment horizontal="right" vertical="center"/>
    </xf>
    <xf numFmtId="168" fontId="360" fillId="14" borderId="134" xfId="0" applyNumberFormat="1" applyFont="1" applyFill="1" applyBorder="1" applyAlignment="1">
      <alignment horizontal="right" vertical="center"/>
    </xf>
    <xf numFmtId="168" fontId="360" fillId="14" borderId="75" xfId="0" applyNumberFormat="1" applyFont="1" applyFill="1" applyBorder="1" applyAlignment="1">
      <alignment vertical="center"/>
    </xf>
    <xf numFmtId="0" fontId="24" fillId="0" borderId="177" xfId="0" applyFont="1" applyBorder="1" applyAlignment="1">
      <alignment vertical="center" wrapText="1" indent="1"/>
    </xf>
    <xf numFmtId="0" fontId="23" fillId="14" borderId="662" xfId="0" applyFont="1" applyFill="1" applyBorder="1" applyAlignment="1">
      <alignment horizontal="center" vertical="center" wrapText="1"/>
    </xf>
    <xf numFmtId="0" fontId="388" fillId="0" borderId="662" xfId="0" applyFont="1" applyBorder="1" applyAlignment="1">
      <alignment horizontal="center" vertical="center"/>
    </xf>
    <xf numFmtId="168" fontId="338" fillId="14" borderId="662" xfId="0" applyNumberFormat="1" applyFont="1" applyFill="1" applyBorder="1" applyAlignment="1">
      <alignment horizontal="right" vertical="center"/>
    </xf>
    <xf numFmtId="0" fontId="387" fillId="17" borderId="789" xfId="0" applyFont="1" applyFill="1" applyBorder="1" applyAlignment="1">
      <alignment horizontal="left" vertical="center" indent="1"/>
    </xf>
    <xf numFmtId="49" fontId="387" fillId="14" borderId="662" xfId="0" applyNumberFormat="1" applyFont="1" applyFill="1" applyBorder="1" applyAlignment="1">
      <alignment horizontal="right" vertical="center"/>
    </xf>
    <xf numFmtId="0" fontId="384" fillId="0" borderId="674" xfId="0" applyFont="1" applyBorder="1" applyAlignment="1">
      <alignment horizontal="center" vertical="center" wrapText="1"/>
    </xf>
    <xf numFmtId="0" fontId="368" fillId="17" borderId="44" xfId="16" applyFont="1" applyFill="1" applyBorder="1" applyAlignment="1">
      <alignment horizontal="center" vertical="center" wrapText="1"/>
    </xf>
    <xf numFmtId="49" fontId="371" fillId="0" borderId="1066" xfId="16" applyNumberFormat="1" applyFont="1" applyBorder="1" applyAlignment="1">
      <alignment horizontal="left" vertical="center" wrapText="1" indent="1"/>
    </xf>
    <xf numFmtId="0" fontId="374" fillId="14" borderId="1067" xfId="16" applyFont="1" applyFill="1" applyBorder="1" applyAlignment="1">
      <alignment horizontal="center" vertical="center"/>
    </xf>
    <xf numFmtId="0" fontId="371" fillId="17" borderId="1067" xfId="16" applyFont="1" applyFill="1" applyBorder="1" applyAlignment="1">
      <alignment horizontal="left" vertical="center" wrapText="1" indent="1"/>
    </xf>
    <xf numFmtId="0" fontId="365" fillId="17" borderId="1067" xfId="16" applyFont="1" applyFill="1" applyBorder="1" applyAlignment="1">
      <alignment horizontal="center" vertical="center" wrapText="1"/>
    </xf>
    <xf numFmtId="0" fontId="370" fillId="17" borderId="1067" xfId="16" applyFont="1" applyFill="1" applyBorder="1" applyAlignment="1">
      <alignment horizontal="center" vertical="center" wrapText="1"/>
    </xf>
    <xf numFmtId="39" fontId="365" fillId="17" borderId="1067" xfId="16" applyNumberFormat="1" applyFont="1" applyFill="1" applyBorder="1" applyAlignment="1">
      <alignment horizontal="right" vertical="center"/>
    </xf>
    <xf numFmtId="39" fontId="365" fillId="14" borderId="1067" xfId="16" applyNumberFormat="1" applyFont="1" applyFill="1" applyBorder="1" applyAlignment="1">
      <alignment horizontal="right" vertical="center"/>
    </xf>
    <xf numFmtId="39" fontId="366" fillId="14" borderId="1067" xfId="16" applyNumberFormat="1" applyFont="1" applyFill="1" applyBorder="1" applyAlignment="1">
      <alignment horizontal="right" vertical="center"/>
    </xf>
    <xf numFmtId="49" fontId="366" fillId="14" borderId="1067" xfId="16" applyNumberFormat="1" applyFont="1" applyFill="1" applyBorder="1" applyAlignment="1">
      <alignment horizontal="center" vertical="center"/>
    </xf>
    <xf numFmtId="49" fontId="375" fillId="14" borderId="1067" xfId="16" applyNumberFormat="1" applyFont="1" applyFill="1" applyBorder="1" applyAlignment="1">
      <alignment horizontal="left" vertical="center" wrapText="1" indent="1"/>
    </xf>
    <xf numFmtId="0" fontId="24" fillId="17" borderId="1067" xfId="16" applyFont="1" applyFill="1" applyBorder="1" applyAlignment="1">
      <alignment horizontal="center" vertical="center" wrapText="1"/>
    </xf>
    <xf numFmtId="49" fontId="370" fillId="17" borderId="1067" xfId="16" applyNumberFormat="1" applyFont="1" applyFill="1" applyBorder="1" applyAlignment="1">
      <alignment horizontal="center" vertical="center"/>
    </xf>
    <xf numFmtId="0" fontId="24" fillId="0" borderId="770" xfId="16" applyFont="1" applyBorder="1" applyAlignment="1">
      <alignment horizontal="left" vertical="center" wrapText="1" indent="1"/>
    </xf>
    <xf numFmtId="39" fontId="220" fillId="14" borderId="43" xfId="16" applyNumberFormat="1" applyFont="1" applyFill="1" applyBorder="1" applyAlignment="1">
      <alignment horizontal="right" vertical="center"/>
    </xf>
    <xf numFmtId="49" fontId="220" fillId="14" borderId="43" xfId="16" applyNumberFormat="1" applyFont="1" applyFill="1" applyBorder="1" applyAlignment="1">
      <alignment horizontal="center" vertical="center"/>
    </xf>
    <xf numFmtId="168" fontId="388" fillId="0" borderId="34" xfId="0" applyNumberFormat="1" applyFont="1" applyBorder="1" applyAlignment="1">
      <alignment vertical="center"/>
    </xf>
    <xf numFmtId="49" fontId="388" fillId="0" borderId="34" xfId="0" applyNumberFormat="1" applyFont="1" applyBorder="1" applyAlignment="1">
      <alignment vertical="center"/>
    </xf>
    <xf numFmtId="0" fontId="382" fillId="0" borderId="107" xfId="0" applyFont="1" applyBorder="1" applyAlignment="1">
      <alignment horizontal="left" vertical="center" wrapText="1"/>
    </xf>
    <xf numFmtId="0" fontId="382" fillId="0" borderId="107" xfId="0" applyFont="1" applyBorder="1" applyAlignment="1">
      <alignment horizontal="center" vertical="center" wrapText="1"/>
    </xf>
    <xf numFmtId="168" fontId="382" fillId="0" borderId="107" xfId="0" applyNumberFormat="1" applyFont="1" applyBorder="1" applyAlignment="1">
      <alignment vertical="center"/>
    </xf>
    <xf numFmtId="168" fontId="388" fillId="0" borderId="107" xfId="0" applyNumberFormat="1" applyFont="1" applyBorder="1" applyAlignment="1">
      <alignment vertical="center"/>
    </xf>
    <xf numFmtId="49" fontId="388" fillId="0" borderId="107" xfId="0" applyNumberFormat="1" applyFont="1" applyBorder="1" applyAlignment="1">
      <alignment vertical="center"/>
    </xf>
    <xf numFmtId="49" fontId="387" fillId="0" borderId="41" xfId="0" applyNumberFormat="1" applyFont="1" applyBorder="1" applyAlignment="1">
      <alignment horizontal="left" vertical="center"/>
    </xf>
    <xf numFmtId="0" fontId="387" fillId="0" borderId="44" xfId="0" applyFont="1" applyBorder="1" applyAlignment="1">
      <alignment horizontal="left" vertical="center" wrapText="1"/>
    </xf>
    <xf numFmtId="0" fontId="387" fillId="0" borderId="44" xfId="0" applyFont="1" applyBorder="1" applyAlignment="1">
      <alignment horizontal="center" vertical="center" wrapText="1"/>
    </xf>
    <xf numFmtId="168" fontId="387" fillId="0" borderId="44" xfId="0" applyNumberFormat="1" applyFont="1" applyBorder="1" applyAlignment="1">
      <alignment vertical="center"/>
    </xf>
    <xf numFmtId="168" fontId="387" fillId="0" borderId="34" xfId="0" applyNumberFormat="1" applyFont="1" applyBorder="1" applyAlignment="1">
      <alignment vertical="center"/>
    </xf>
    <xf numFmtId="49" fontId="387" fillId="0" borderId="105" xfId="0" applyNumberFormat="1" applyFont="1" applyBorder="1" applyAlignment="1">
      <alignment horizontal="left" vertical="center"/>
    </xf>
    <xf numFmtId="0" fontId="388" fillId="0" borderId="106" xfId="0" applyFont="1" applyBorder="1" applyAlignment="1">
      <alignment horizontal="center" vertical="center"/>
    </xf>
    <xf numFmtId="0" fontId="68" fillId="14" borderId="411" xfId="2" applyFont="1" applyFill="1" applyBorder="1" applyAlignment="1">
      <alignment horizontal="center" vertical="center"/>
    </xf>
    <xf numFmtId="0" fontId="38" fillId="14" borderId="411" xfId="2" applyFont="1" applyFill="1" applyBorder="1" applyAlignment="1">
      <alignment horizontal="left" vertical="center" wrapText="1" indent="1"/>
    </xf>
    <xf numFmtId="0" fontId="32" fillId="14" borderId="411" xfId="2" applyFont="1" applyFill="1" applyBorder="1"/>
    <xf numFmtId="0" fontId="34" fillId="14" borderId="411" xfId="2" applyFont="1" applyFill="1" applyBorder="1"/>
    <xf numFmtId="168" fontId="52" fillId="14" borderId="411" xfId="2" applyNumberFormat="1" applyFont="1" applyFill="1" applyBorder="1" applyAlignment="1">
      <alignment vertical="center"/>
    </xf>
    <xf numFmtId="49" fontId="38" fillId="14" borderId="34" xfId="0" applyNumberFormat="1" applyFont="1" applyFill="1" applyBorder="1" applyAlignment="1">
      <alignment vertical="center"/>
    </xf>
    <xf numFmtId="0" fontId="152" fillId="14" borderId="703" xfId="2" applyFont="1" applyFill="1" applyBorder="1" applyAlignment="1">
      <alignment horizontal="left" vertical="center" wrapText="1" indent="1"/>
    </xf>
    <xf numFmtId="0" fontId="68" fillId="14" borderId="415" xfId="2" applyFont="1" applyFill="1" applyBorder="1" applyAlignment="1">
      <alignment horizontal="center" vertical="center"/>
    </xf>
    <xf numFmtId="0" fontId="24" fillId="14" borderId="415" xfId="0" applyFont="1" applyFill="1" applyBorder="1" applyAlignment="1">
      <alignment horizontal="left" vertical="center" wrapText="1" indent="1"/>
    </xf>
    <xf numFmtId="0" fontId="56" fillId="14" borderId="34" xfId="0" applyFont="1" applyFill="1" applyBorder="1" applyAlignment="1">
      <alignment horizontal="center" vertical="center" wrapText="1"/>
    </xf>
    <xf numFmtId="0" fontId="44" fillId="14" borderId="411" xfId="2" applyFont="1" applyFill="1" applyBorder="1" applyAlignment="1">
      <alignment horizontal="center" vertical="center" wrapText="1"/>
    </xf>
    <xf numFmtId="168" fontId="54" fillId="14" borderId="411" xfId="2" applyNumberFormat="1" applyFont="1" applyFill="1" applyBorder="1" applyAlignment="1">
      <alignment vertical="center"/>
    </xf>
    <xf numFmtId="168" fontId="54" fillId="14" borderId="415" xfId="2" applyNumberFormat="1" applyFont="1" applyFill="1" applyBorder="1" applyAlignment="1">
      <alignment vertical="center"/>
    </xf>
    <xf numFmtId="49" fontId="52" fillId="14" borderId="411" xfId="2" applyNumberFormat="1" applyFont="1" applyFill="1" applyBorder="1" applyAlignment="1">
      <alignment vertical="center"/>
    </xf>
    <xf numFmtId="49" fontId="38" fillId="14" borderId="37" xfId="0" applyNumberFormat="1" applyFont="1" applyFill="1" applyBorder="1" applyAlignment="1">
      <alignment vertical="center"/>
    </xf>
    <xf numFmtId="0" fontId="24" fillId="14" borderId="37" xfId="0" applyFont="1" applyFill="1" applyBorder="1" applyAlignment="1">
      <alignment horizontal="center" vertical="center" wrapText="1"/>
    </xf>
    <xf numFmtId="0" fontId="38" fillId="14" borderId="33" xfId="0" applyFont="1" applyFill="1" applyBorder="1" applyAlignment="1">
      <alignment horizontal="left" vertical="center" wrapText="1" indent="1"/>
    </xf>
    <xf numFmtId="0" fontId="24" fillId="14" borderId="34" xfId="0" applyFont="1" applyFill="1" applyBorder="1" applyAlignment="1">
      <alignment horizontal="center" vertical="center"/>
    </xf>
    <xf numFmtId="168" fontId="360" fillId="14" borderId="34" xfId="0" applyNumberFormat="1" applyFont="1" applyFill="1" applyBorder="1" applyAlignment="1">
      <alignment vertical="center"/>
    </xf>
    <xf numFmtId="49" fontId="52" fillId="14" borderId="34" xfId="0" applyNumberFormat="1" applyFont="1" applyFill="1" applyBorder="1" applyAlignment="1">
      <alignment horizontal="center" vertical="center"/>
    </xf>
    <xf numFmtId="49" fontId="38" fillId="14" borderId="34" xfId="0" applyNumberFormat="1" applyFont="1" applyFill="1" applyBorder="1" applyAlignment="1">
      <alignment horizontal="left" vertical="center" indent="1"/>
    </xf>
    <xf numFmtId="0" fontId="0" fillId="14" borderId="0" xfId="0" applyFill="1"/>
    <xf numFmtId="0" fontId="382" fillId="14" borderId="34" xfId="0" applyFont="1" applyFill="1" applyBorder="1" applyAlignment="1">
      <alignment horizontal="center" vertical="center"/>
    </xf>
    <xf numFmtId="168" fontId="338" fillId="39" borderId="74" xfId="0" applyNumberFormat="1" applyFont="1" applyFill="1" applyBorder="1" applyAlignment="1">
      <alignment horizontal="right" vertical="center"/>
    </xf>
    <xf numFmtId="168" fontId="360" fillId="39" borderId="74" xfId="0" applyNumberFormat="1" applyFont="1" applyFill="1" applyBorder="1" applyAlignment="1">
      <alignment horizontal="right" vertical="center"/>
    </xf>
    <xf numFmtId="168" fontId="360" fillId="17" borderId="135" xfId="0" applyNumberFormat="1" applyFont="1" applyFill="1" applyBorder="1" applyAlignment="1">
      <alignment vertical="center"/>
    </xf>
    <xf numFmtId="168" fontId="338" fillId="17" borderId="135" xfId="0" applyNumberFormat="1" applyFont="1" applyFill="1" applyBorder="1" applyAlignment="1">
      <alignment vertical="center"/>
    </xf>
    <xf numFmtId="168" fontId="360" fillId="0" borderId="74" xfId="0" applyNumberFormat="1" applyFont="1" applyBorder="1" applyAlignment="1">
      <alignment vertical="center"/>
    </xf>
    <xf numFmtId="49" fontId="56" fillId="17" borderId="5" xfId="0" applyNumberFormat="1" applyFont="1" applyFill="1" applyBorder="1" applyAlignment="1">
      <alignment horizontal="center" vertical="center"/>
    </xf>
    <xf numFmtId="168" fontId="58" fillId="17" borderId="5" xfId="0" applyNumberFormat="1" applyFont="1" applyFill="1" applyBorder="1" applyAlignment="1">
      <alignment horizontal="right" vertical="center"/>
    </xf>
    <xf numFmtId="168" fontId="14" fillId="0" borderId="369" xfId="0" applyNumberFormat="1" applyFont="1" applyBorder="1" applyAlignment="1">
      <alignment vertical="center" wrapText="1" indent="1"/>
    </xf>
    <xf numFmtId="0" fontId="58" fillId="17" borderId="622" xfId="0" applyFont="1" applyFill="1" applyBorder="1" applyAlignment="1">
      <alignment horizontal="center" vertical="center"/>
    </xf>
    <xf numFmtId="49" fontId="58" fillId="17" borderId="622" xfId="0" applyNumberFormat="1" applyFont="1" applyFill="1" applyBorder="1" applyAlignment="1">
      <alignment horizontal="center" vertical="center"/>
    </xf>
    <xf numFmtId="49" fontId="56" fillId="17" borderId="622" xfId="0" applyNumberFormat="1" applyFont="1" applyFill="1" applyBorder="1" applyAlignment="1">
      <alignment horizontal="center" vertical="center"/>
    </xf>
    <xf numFmtId="0" fontId="382" fillId="0" borderId="770" xfId="0" applyFont="1" applyBorder="1" applyAlignment="1">
      <alignment horizontal="left" vertical="center" wrapText="1" indent="1"/>
    </xf>
    <xf numFmtId="0" fontId="360" fillId="0" borderId="770" xfId="0" applyFont="1" applyBorder="1" applyAlignment="1">
      <alignment horizontal="center" vertical="center" wrapText="1"/>
    </xf>
    <xf numFmtId="0" fontId="382" fillId="0" borderId="770" xfId="0" applyFont="1" applyBorder="1" applyAlignment="1">
      <alignment horizontal="center" vertical="center" wrapText="1"/>
    </xf>
    <xf numFmtId="168" fontId="360" fillId="0" borderId="770" xfId="0" applyNumberFormat="1" applyFont="1" applyBorder="1" applyAlignment="1">
      <alignment vertical="center"/>
    </xf>
    <xf numFmtId="49" fontId="382" fillId="17" borderId="770" xfId="0" applyNumberFormat="1" applyFont="1" applyFill="1" applyBorder="1" applyAlignment="1">
      <alignment horizontal="center" vertical="center"/>
    </xf>
    <xf numFmtId="0" fontId="390" fillId="0" borderId="802" xfId="0" applyFont="1" applyBorder="1" applyAlignment="1">
      <alignment horizontal="left" vertical="center" wrapText="1" indent="1"/>
    </xf>
    <xf numFmtId="0" fontId="390" fillId="0" borderId="674" xfId="0" applyFont="1" applyBorder="1" applyAlignment="1">
      <alignment horizontal="left" vertical="center" wrapText="1" indent="1"/>
    </xf>
    <xf numFmtId="0" fontId="338" fillId="0" borderId="674" xfId="0" applyFont="1" applyBorder="1" applyAlignment="1">
      <alignment horizontal="center" vertical="center" wrapText="1"/>
    </xf>
    <xf numFmtId="0" fontId="387" fillId="0" borderId="674" xfId="0" applyFont="1" applyBorder="1" applyAlignment="1">
      <alignment horizontal="center" vertical="center" wrapText="1"/>
    </xf>
    <xf numFmtId="49" fontId="338" fillId="0" borderId="770" xfId="0" applyNumberFormat="1" applyFont="1" applyBorder="1" applyAlignment="1">
      <alignment horizontal="center" vertical="center"/>
    </xf>
    <xf numFmtId="49" fontId="387" fillId="17" borderId="770" xfId="0" applyNumberFormat="1" applyFont="1" applyFill="1" applyBorder="1" applyAlignment="1">
      <alignment vertical="center"/>
    </xf>
    <xf numFmtId="0" fontId="382" fillId="17" borderId="770" xfId="0" applyFont="1" applyFill="1" applyBorder="1" applyAlignment="1">
      <alignment horizontal="center" vertical="center" wrapText="1"/>
    </xf>
    <xf numFmtId="168" fontId="34" fillId="14" borderId="6" xfId="0" applyNumberFormat="1" applyFont="1" applyFill="1" applyBorder="1" applyAlignment="1">
      <alignment horizontal="right" vertical="center"/>
    </xf>
    <xf numFmtId="168" fontId="360" fillId="14" borderId="418" xfId="2" applyNumberFormat="1" applyFont="1" applyFill="1" applyBorder="1" applyAlignment="1">
      <alignment horizontal="right" vertical="center"/>
    </xf>
    <xf numFmtId="168" fontId="338" fillId="14" borderId="418" xfId="2" applyNumberFormat="1" applyFont="1" applyFill="1" applyBorder="1" applyAlignment="1">
      <alignment horizontal="right" vertical="center"/>
    </xf>
    <xf numFmtId="168" fontId="360" fillId="14" borderId="411" xfId="2" applyNumberFormat="1" applyFont="1" applyFill="1" applyBorder="1" applyAlignment="1">
      <alignment horizontal="right" vertical="center"/>
    </xf>
    <xf numFmtId="168" fontId="338" fillId="14" borderId="411" xfId="2" applyNumberFormat="1" applyFont="1" applyFill="1" applyBorder="1" applyAlignment="1">
      <alignment horizontal="right" vertical="center"/>
    </xf>
    <xf numFmtId="0" fontId="388" fillId="0" borderId="674" xfId="15" applyFont="1" applyBorder="1" applyAlignment="1">
      <alignment horizontal="center" vertical="center"/>
    </xf>
    <xf numFmtId="0" fontId="389" fillId="0" borderId="674" xfId="15" applyFont="1" applyBorder="1" applyAlignment="1">
      <alignment horizontal="center" vertical="center"/>
    </xf>
    <xf numFmtId="0" fontId="387" fillId="0" borderId="674" xfId="15" applyFont="1" applyBorder="1" applyAlignment="1">
      <alignment horizontal="left" vertical="center" wrapText="1" indent="1"/>
    </xf>
    <xf numFmtId="49" fontId="387" fillId="0" borderId="35" xfId="0" applyNumberFormat="1" applyFont="1" applyBorder="1" applyAlignment="1">
      <alignment horizontal="left" vertical="center"/>
    </xf>
    <xf numFmtId="0" fontId="388" fillId="0" borderId="299" xfId="0" applyFont="1" applyBorder="1" applyAlignment="1">
      <alignment horizontal="center" vertical="center"/>
    </xf>
    <xf numFmtId="0" fontId="382" fillId="0" borderId="37" xfId="0" applyFont="1" applyBorder="1" applyAlignment="1">
      <alignment horizontal="left" vertical="center" wrapText="1"/>
    </xf>
    <xf numFmtId="0" fontId="382" fillId="0" borderId="37" xfId="0" applyFont="1" applyBorder="1" applyAlignment="1">
      <alignment horizontal="center" vertical="center" wrapText="1"/>
    </xf>
    <xf numFmtId="0" fontId="385" fillId="17" borderId="37" xfId="0" applyFont="1" applyFill="1" applyBorder="1" applyAlignment="1">
      <alignment horizontal="center" vertical="center" wrapText="1"/>
    </xf>
    <xf numFmtId="0" fontId="385" fillId="17" borderId="44" xfId="0" applyFont="1" applyFill="1" applyBorder="1" applyAlignment="1">
      <alignment horizontal="center" vertical="center" wrapText="1"/>
    </xf>
    <xf numFmtId="49" fontId="338" fillId="14" borderId="34" xfId="0" applyNumberFormat="1" applyFont="1" applyFill="1" applyBorder="1" applyAlignment="1">
      <alignment horizontal="center" vertical="center"/>
    </xf>
    <xf numFmtId="49" fontId="388" fillId="0" borderId="34" xfId="0" applyNumberFormat="1" applyFont="1" applyBorder="1" applyAlignment="1">
      <alignment horizontal="center" vertical="center"/>
    </xf>
    <xf numFmtId="49" fontId="388" fillId="0" borderId="107" xfId="0" applyNumberFormat="1" applyFont="1" applyBorder="1" applyAlignment="1">
      <alignment horizontal="center" vertical="center"/>
    </xf>
    <xf numFmtId="49" fontId="388" fillId="0" borderId="37" xfId="0" applyNumberFormat="1" applyFont="1" applyBorder="1" applyAlignment="1">
      <alignment horizontal="center" vertical="center"/>
    </xf>
    <xf numFmtId="49" fontId="388" fillId="0" borderId="44" xfId="0" applyNumberFormat="1" applyFont="1" applyBorder="1" applyAlignment="1">
      <alignment horizontal="center" vertical="center"/>
    </xf>
    <xf numFmtId="39" fontId="385" fillId="14" borderId="37" xfId="0" applyNumberFormat="1" applyFont="1" applyFill="1" applyBorder="1" applyAlignment="1">
      <alignment vertical="center"/>
    </xf>
    <xf numFmtId="39" fontId="338" fillId="14" borderId="37" xfId="0" applyNumberFormat="1" applyFont="1" applyFill="1" applyBorder="1" applyAlignment="1">
      <alignment vertical="center"/>
    </xf>
    <xf numFmtId="0" fontId="61" fillId="0" borderId="416" xfId="2" applyFont="1" applyBorder="1" applyAlignment="1">
      <alignment horizontal="left" vertical="center" wrapText="1" indent="1"/>
    </xf>
    <xf numFmtId="0" fontId="180" fillId="0" borderId="418" xfId="2" applyFont="1" applyBorder="1" applyAlignment="1">
      <alignment horizontal="center" vertical="center"/>
    </xf>
    <xf numFmtId="0" fontId="101" fillId="0" borderId="418" xfId="0" applyFont="1" applyBorder="1" applyAlignment="1">
      <alignment horizontal="center" vertical="center" wrapText="1"/>
    </xf>
    <xf numFmtId="0" fontId="61" fillId="0" borderId="418" xfId="2" applyFont="1" applyBorder="1" applyAlignment="1">
      <alignment horizontal="left" vertical="center" wrapText="1" indent="1"/>
    </xf>
    <xf numFmtId="168" fontId="220" fillId="0" borderId="418" xfId="2" applyNumberFormat="1" applyFont="1" applyBorder="1" applyAlignment="1">
      <alignment vertical="center"/>
    </xf>
    <xf numFmtId="49" fontId="171" fillId="0" borderId="418" xfId="2" applyNumberFormat="1" applyFont="1" applyBorder="1" applyAlignment="1">
      <alignment horizontal="center" vertical="center"/>
    </xf>
    <xf numFmtId="49" fontId="96" fillId="14" borderId="418" xfId="8" applyNumberFormat="1" applyFont="1" applyFill="1" applyBorder="1" applyAlignment="1">
      <alignment horizontal="center" vertical="center"/>
    </xf>
    <xf numFmtId="0" fontId="32" fillId="0" borderId="676" xfId="2" applyFont="1" applyBorder="1"/>
    <xf numFmtId="0" fontId="32" fillId="0" borderId="674" xfId="2" applyFont="1" applyBorder="1"/>
    <xf numFmtId="49" fontId="96" fillId="14" borderId="1068" xfId="8" applyNumberFormat="1" applyFont="1" applyFill="1" applyBorder="1" applyAlignment="1">
      <alignment horizontal="center" vertical="center"/>
    </xf>
    <xf numFmtId="0" fontId="32" fillId="0" borderId="663" xfId="2" applyFont="1" applyBorder="1"/>
    <xf numFmtId="0" fontId="32" fillId="0" borderId="662" xfId="2" applyFont="1" applyBorder="1"/>
    <xf numFmtId="49" fontId="96" fillId="14" borderId="1069" xfId="8" applyNumberFormat="1" applyFont="1" applyFill="1" applyBorder="1" applyAlignment="1">
      <alignment horizontal="center" vertical="center"/>
    </xf>
    <xf numFmtId="168" fontId="360" fillId="39" borderId="738" xfId="0" applyNumberFormat="1" applyFont="1" applyFill="1" applyBorder="1" applyAlignment="1">
      <alignment vertical="center"/>
    </xf>
    <xf numFmtId="168" fontId="338" fillId="14" borderId="738" xfId="0" applyNumberFormat="1" applyFont="1" applyFill="1" applyBorder="1" applyAlignment="1">
      <alignment vertical="center"/>
    </xf>
    <xf numFmtId="168" fontId="360" fillId="0" borderId="738" xfId="0" applyNumberFormat="1" applyFont="1" applyBorder="1" applyAlignment="1">
      <alignment vertical="center"/>
    </xf>
    <xf numFmtId="168" fontId="338" fillId="0" borderId="738" xfId="0" applyNumberFormat="1" applyFont="1" applyBorder="1" applyAlignment="1">
      <alignment vertical="center"/>
    </xf>
    <xf numFmtId="0" fontId="388" fillId="0" borderId="86" xfId="0" applyFont="1" applyBorder="1" applyAlignment="1">
      <alignment horizontal="center" vertical="center"/>
    </xf>
    <xf numFmtId="0" fontId="387" fillId="0" borderId="86" xfId="0" applyFont="1" applyBorder="1" applyAlignment="1">
      <alignment horizontal="left" vertical="center" wrapText="1" indent="1"/>
    </xf>
    <xf numFmtId="181" fontId="54" fillId="0" borderId="6" xfId="0" applyNumberFormat="1" applyFont="1" applyBorder="1" applyAlignment="1">
      <alignment horizontal="right" vertical="center" wrapText="1" indent="1"/>
    </xf>
    <xf numFmtId="181" fontId="106" fillId="0" borderId="6" xfId="0" applyNumberFormat="1" applyFont="1" applyBorder="1" applyAlignment="1">
      <alignment horizontal="right" vertical="center" wrapText="1" indent="1"/>
    </xf>
    <xf numFmtId="181" fontId="98" fillId="0" borderId="6" xfId="0" applyNumberFormat="1" applyFont="1" applyBorder="1" applyAlignment="1">
      <alignment horizontal="right" vertical="center" wrapText="1" indent="1"/>
    </xf>
    <xf numFmtId="168" fontId="101" fillId="0" borderId="621" xfId="20" applyNumberFormat="1" applyFont="1" applyBorder="1" applyAlignment="1">
      <alignment vertical="center"/>
    </xf>
    <xf numFmtId="168" fontId="401" fillId="0" borderId="621" xfId="20" applyNumberFormat="1" applyFont="1" applyBorder="1" applyAlignment="1">
      <alignment vertical="center"/>
    </xf>
    <xf numFmtId="12" fontId="183" fillId="0" borderId="344" xfId="13" applyNumberFormat="1" applyFont="1" applyBorder="1" applyAlignment="1" applyProtection="1">
      <alignment vertical="center"/>
    </xf>
    <xf numFmtId="168" fontId="99" fillId="39" borderId="621" xfId="20" applyNumberFormat="1" applyFont="1" applyFill="1" applyBorder="1" applyAlignment="1">
      <alignment vertical="center"/>
    </xf>
    <xf numFmtId="0" fontId="44" fillId="0" borderId="344" xfId="22" applyFont="1" applyAlignment="1">
      <alignment vertical="center"/>
    </xf>
    <xf numFmtId="177" fontId="44" fillId="0" borderId="344" xfId="22" applyNumberFormat="1" applyFont="1" applyAlignment="1">
      <alignment vertical="center"/>
    </xf>
    <xf numFmtId="0" fontId="405" fillId="0" borderId="344" xfId="22"/>
    <xf numFmtId="0" fontId="3" fillId="0" borderId="344" xfId="22" applyFont="1" applyAlignment="1">
      <alignment vertical="center"/>
    </xf>
    <xf numFmtId="177" fontId="3" fillId="0" borderId="344" xfId="22" applyNumberFormat="1" applyFont="1" applyAlignment="1">
      <alignment vertical="center"/>
    </xf>
    <xf numFmtId="0" fontId="206" fillId="0" borderId="365" xfId="22" applyFont="1" applyBorder="1" applyAlignment="1">
      <alignment horizontal="center" vertical="center" wrapText="1"/>
    </xf>
    <xf numFmtId="0" fontId="104" fillId="0" borderId="5" xfId="22" applyFont="1" applyBorder="1" applyAlignment="1">
      <alignment horizontal="center" vertical="center"/>
    </xf>
    <xf numFmtId="0" fontId="29" fillId="0" borderId="5" xfId="22" applyFont="1" applyBorder="1" applyAlignment="1">
      <alignment horizontal="left" vertical="center" wrapText="1" indent="1"/>
    </xf>
    <xf numFmtId="177" fontId="104" fillId="0" borderId="5" xfId="22" applyNumberFormat="1" applyFont="1" applyBorder="1" applyAlignment="1">
      <alignment horizontal="center" vertical="center" wrapText="1"/>
    </xf>
    <xf numFmtId="0" fontId="103" fillId="0" borderId="5" xfId="22" applyFont="1" applyBorder="1" applyAlignment="1">
      <alignment horizontal="center" vertical="center" wrapText="1"/>
    </xf>
    <xf numFmtId="0" fontId="103" fillId="0" borderId="622" xfId="22" applyFont="1" applyBorder="1" applyAlignment="1">
      <alignment horizontal="left" vertical="center" wrapText="1" indent="1"/>
    </xf>
    <xf numFmtId="0" fontId="138" fillId="0" borderId="344" xfId="22" applyFont="1"/>
    <xf numFmtId="0" fontId="103" fillId="0" borderId="5" xfId="22" applyFont="1" applyBorder="1" applyAlignment="1">
      <alignment horizontal="left" vertical="center" wrapText="1" indent="1"/>
    </xf>
    <xf numFmtId="0" fontId="103" fillId="0" borderId="741" xfId="22" applyFont="1" applyBorder="1" applyAlignment="1">
      <alignment horizontal="center" vertical="center" wrapText="1"/>
    </xf>
    <xf numFmtId="0" fontId="103" fillId="0" borderId="369" xfId="22" applyFont="1" applyBorder="1" applyAlignment="1">
      <alignment horizontal="center" vertical="center" wrapText="1"/>
    </xf>
    <xf numFmtId="0" fontId="103" fillId="0" borderId="621" xfId="22" applyFont="1" applyBorder="1" applyAlignment="1">
      <alignment horizontal="left" vertical="center" wrapText="1" indent="1"/>
    </xf>
    <xf numFmtId="0" fontId="29" fillId="0" borderId="365" xfId="22" applyFont="1" applyBorder="1" applyAlignment="1">
      <alignment horizontal="left" vertical="center" wrapText="1" indent="1"/>
    </xf>
    <xf numFmtId="177" fontId="104" fillId="0" borderId="744" xfId="22" applyNumberFormat="1" applyFont="1" applyBorder="1" applyAlignment="1">
      <alignment horizontal="center" vertical="center" wrapText="1"/>
    </xf>
    <xf numFmtId="0" fontId="103" fillId="0" borderId="365" xfId="22" applyFont="1" applyBorder="1" applyAlignment="1">
      <alignment horizontal="center" vertical="center" wrapText="1"/>
    </xf>
    <xf numFmtId="0" fontId="29" fillId="0" borderId="621" xfId="22" applyFont="1" applyBorder="1" applyAlignment="1">
      <alignment horizontal="left" vertical="center" wrapText="1" indent="1"/>
    </xf>
    <xf numFmtId="177" fontId="104" fillId="0" borderId="621" xfId="22" applyNumberFormat="1" applyFont="1" applyBorder="1" applyAlignment="1">
      <alignment horizontal="center" vertical="center" wrapText="1"/>
    </xf>
    <xf numFmtId="0" fontId="29" fillId="0" borderId="620" xfId="22" applyFont="1" applyBorder="1" applyAlignment="1">
      <alignment horizontal="left" vertical="center" wrapText="1" indent="1"/>
    </xf>
    <xf numFmtId="0" fontId="29" fillId="0" borderId="619" xfId="22" applyFont="1" applyBorder="1" applyAlignment="1">
      <alignment horizontal="left" vertical="center" wrapText="1" indent="1"/>
    </xf>
    <xf numFmtId="177" fontId="104" fillId="0" borderId="619" xfId="22" applyNumberFormat="1" applyFont="1" applyBorder="1" applyAlignment="1">
      <alignment horizontal="center" vertical="center" wrapText="1"/>
    </xf>
    <xf numFmtId="0" fontId="103" fillId="0" borderId="621" xfId="22" applyFont="1" applyBorder="1" applyAlignment="1">
      <alignment horizontal="center" vertical="center" wrapText="1"/>
    </xf>
    <xf numFmtId="0" fontId="103" fillId="0" borderId="622" xfId="22" applyFont="1" applyBorder="1" applyAlignment="1">
      <alignment horizontal="center" vertical="center" wrapText="1"/>
    </xf>
    <xf numFmtId="0" fontId="103" fillId="0" borderId="88" xfId="22" applyFont="1" applyBorder="1" applyAlignment="1">
      <alignment horizontal="center" vertical="center" wrapText="1"/>
    </xf>
    <xf numFmtId="0" fontId="29" fillId="0" borderId="377" xfId="22" applyFont="1" applyBorder="1" applyAlignment="1">
      <alignment horizontal="left" vertical="center" wrapText="1" indent="1"/>
    </xf>
    <xf numFmtId="0" fontId="408" fillId="0" borderId="5" xfId="22" applyFont="1" applyBorder="1" applyAlignment="1">
      <alignment horizontal="left" vertical="center" wrapText="1" indent="1"/>
    </xf>
    <xf numFmtId="0" fontId="104" fillId="0" borderId="365" xfId="22" applyFont="1" applyBorder="1" applyAlignment="1">
      <alignment horizontal="center" vertical="center"/>
    </xf>
    <xf numFmtId="0" fontId="103" fillId="0" borderId="370" xfId="22" applyFont="1" applyBorder="1" applyAlignment="1">
      <alignment horizontal="center" vertical="center" wrapText="1"/>
    </xf>
    <xf numFmtId="0" fontId="103" fillId="0" borderId="619" xfId="22" applyFont="1" applyBorder="1" applyAlignment="1">
      <alignment horizontal="left" vertical="center" wrapText="1" indent="1"/>
    </xf>
    <xf numFmtId="0" fontId="29" fillId="0" borderId="375" xfId="22" applyFont="1" applyBorder="1" applyAlignment="1">
      <alignment horizontal="left" vertical="center" wrapText="1" indent="1"/>
    </xf>
    <xf numFmtId="0" fontId="198" fillId="0" borderId="344" xfId="22" applyFont="1" applyAlignment="1">
      <alignment vertical="center"/>
    </xf>
    <xf numFmtId="0" fontId="103" fillId="0" borderId="344" xfId="22" applyFont="1" applyAlignment="1">
      <alignment horizontal="left" vertical="center" wrapText="1" indent="1"/>
    </xf>
    <xf numFmtId="177" fontId="104" fillId="0" borderId="344" xfId="22" applyNumberFormat="1" applyFont="1" applyAlignment="1">
      <alignment horizontal="center" vertical="center" wrapText="1"/>
    </xf>
    <xf numFmtId="0" fontId="103" fillId="0" borderId="344" xfId="22" applyFont="1" applyAlignment="1">
      <alignment horizontal="center" vertical="center" wrapText="1"/>
    </xf>
    <xf numFmtId="0" fontId="29" fillId="0" borderId="344" xfId="22" applyFont="1" applyAlignment="1">
      <alignment horizontal="left" vertical="center" wrapText="1" indent="1"/>
    </xf>
    <xf numFmtId="0" fontId="269" fillId="0" borderId="344" xfId="22" applyFont="1" applyAlignment="1">
      <alignment vertical="center"/>
    </xf>
    <xf numFmtId="14" fontId="270" fillId="0" borderId="344" xfId="22" applyNumberFormat="1" applyFont="1" applyAlignment="1">
      <alignment horizontal="left" vertical="center"/>
    </xf>
    <xf numFmtId="177" fontId="271" fillId="0" borderId="344" xfId="22" applyNumberFormat="1" applyFont="1" applyAlignment="1">
      <alignment horizontal="left" vertical="center"/>
    </xf>
    <xf numFmtId="0" fontId="32" fillId="0" borderId="344" xfId="22" applyFont="1"/>
    <xf numFmtId="0" fontId="272" fillId="0" borderId="344" xfId="22" applyFont="1"/>
    <xf numFmtId="0" fontId="29" fillId="0" borderId="744" xfId="22" applyFont="1" applyBorder="1" applyAlignment="1">
      <alignment horizontal="left" vertical="center" wrapText="1" indent="1"/>
    </xf>
    <xf numFmtId="0" fontId="103" fillId="0" borderId="375" xfId="22" applyFont="1" applyBorder="1" applyAlignment="1">
      <alignment horizontal="center" vertical="center" wrapText="1"/>
    </xf>
    <xf numFmtId="0" fontId="29" fillId="0" borderId="1070" xfId="22" applyFont="1" applyBorder="1" applyAlignment="1">
      <alignment horizontal="left" vertical="center" wrapText="1" indent="1"/>
    </xf>
    <xf numFmtId="0" fontId="29" fillId="14" borderId="5" xfId="22" applyFont="1" applyFill="1" applyBorder="1" applyAlignment="1">
      <alignment horizontal="left" vertical="center" wrapText="1" indent="1"/>
    </xf>
    <xf numFmtId="0" fontId="408" fillId="0" borderId="365" xfId="22" applyFont="1" applyBorder="1" applyAlignment="1">
      <alignment horizontal="left" vertical="center" wrapText="1" indent="1"/>
    </xf>
    <xf numFmtId="0" fontId="408" fillId="0" borderId="377" xfId="22" applyFont="1" applyBorder="1" applyAlignment="1">
      <alignment horizontal="left" vertical="center" wrapText="1" indent="1"/>
    </xf>
    <xf numFmtId="177" fontId="104" fillId="0" borderId="630" xfId="22" applyNumberFormat="1" applyFont="1" applyBorder="1" applyAlignment="1">
      <alignment horizontal="center" vertical="center" wrapText="1"/>
    </xf>
    <xf numFmtId="0" fontId="29" fillId="0" borderId="366" xfId="22" applyFont="1" applyBorder="1" applyAlignment="1">
      <alignment horizontal="left" vertical="center" wrapText="1" indent="1"/>
    </xf>
    <xf numFmtId="177" fontId="104" fillId="0" borderId="853" xfId="22" applyNumberFormat="1" applyFont="1" applyBorder="1" applyAlignment="1">
      <alignment horizontal="center" vertical="center" wrapText="1"/>
    </xf>
    <xf numFmtId="0" fontId="103" fillId="0" borderId="366" xfId="22" applyFont="1" applyBorder="1" applyAlignment="1">
      <alignment horizontal="center" vertical="center" wrapText="1"/>
    </xf>
    <xf numFmtId="0" fontId="29" fillId="0" borderId="369" xfId="22" applyFont="1" applyBorder="1" applyAlignment="1">
      <alignment horizontal="left" vertical="center" wrapText="1" indent="1"/>
    </xf>
    <xf numFmtId="0" fontId="408" fillId="0" borderId="366" xfId="22" applyFont="1" applyBorder="1" applyAlignment="1">
      <alignment horizontal="left" vertical="center" wrapText="1" indent="1"/>
    </xf>
    <xf numFmtId="177" fontId="104" fillId="0" borderId="365" xfId="22" applyNumberFormat="1" applyFont="1" applyBorder="1" applyAlignment="1">
      <alignment horizontal="center" vertical="center" wrapText="1"/>
    </xf>
    <xf numFmtId="0" fontId="408" fillId="0" borderId="369" xfId="22" applyFont="1" applyBorder="1" applyAlignment="1">
      <alignment horizontal="left" vertical="center" wrapText="1" indent="1"/>
    </xf>
    <xf numFmtId="0" fontId="29" fillId="0" borderId="374" xfId="22" applyFont="1" applyBorder="1" applyAlignment="1">
      <alignment horizontal="left" vertical="center" wrapText="1" indent="1"/>
    </xf>
    <xf numFmtId="177" fontId="104" fillId="0" borderId="369" xfId="22" applyNumberFormat="1" applyFont="1" applyBorder="1" applyAlignment="1">
      <alignment horizontal="center" vertical="center" wrapText="1"/>
    </xf>
    <xf numFmtId="0" fontId="103" fillId="0" borderId="373" xfId="22" applyFont="1" applyBorder="1" applyAlignment="1">
      <alignment horizontal="center" vertical="center" wrapText="1"/>
    </xf>
    <xf numFmtId="177" fontId="104" fillId="0" borderId="375" xfId="22" applyNumberFormat="1" applyFont="1" applyBorder="1" applyAlignment="1">
      <alignment horizontal="center" vertical="center" wrapText="1"/>
    </xf>
    <xf numFmtId="0" fontId="103" fillId="0" borderId="376" xfId="22" applyFont="1" applyBorder="1" applyAlignment="1">
      <alignment horizontal="center" vertical="center" wrapText="1"/>
    </xf>
    <xf numFmtId="0" fontId="99" fillId="14" borderId="621" xfId="20" applyFont="1" applyFill="1" applyBorder="1" applyAlignment="1">
      <alignment vertical="center"/>
    </xf>
    <xf numFmtId="168" fontId="401" fillId="14" borderId="621" xfId="20" applyNumberFormat="1" applyFont="1" applyFill="1" applyBorder="1" applyAlignment="1">
      <alignment vertical="center"/>
    </xf>
    <xf numFmtId="0" fontId="101" fillId="0" borderId="621" xfId="20" applyFont="1" applyBorder="1" applyAlignment="1">
      <alignment vertical="center"/>
    </xf>
    <xf numFmtId="168" fontId="101" fillId="0" borderId="619" xfId="20" applyNumberFormat="1" applyFont="1" applyBorder="1" applyAlignment="1">
      <alignment vertical="center"/>
    </xf>
    <xf numFmtId="168" fontId="215" fillId="0" borderId="619" xfId="20" applyNumberFormat="1" applyFont="1" applyBorder="1" applyAlignment="1">
      <alignment vertical="center"/>
    </xf>
    <xf numFmtId="168" fontId="175" fillId="0" borderId="621" xfId="13" applyNumberFormat="1" applyFont="1" applyBorder="1" applyAlignment="1">
      <alignment vertical="center"/>
    </xf>
    <xf numFmtId="0" fontId="181" fillId="0" borderId="621" xfId="20" applyFont="1" applyBorder="1" applyAlignment="1">
      <alignment vertical="center"/>
    </xf>
    <xf numFmtId="168" fontId="99" fillId="0" borderId="345" xfId="20" applyNumberFormat="1" applyFont="1" applyBorder="1" applyAlignment="1">
      <alignment vertical="center"/>
    </xf>
    <xf numFmtId="39" fontId="175" fillId="22" borderId="344" xfId="18" applyNumberFormat="1" applyFont="1" applyFill="1" applyAlignment="1">
      <alignment horizontal="right" vertical="center"/>
    </xf>
    <xf numFmtId="168" fontId="175" fillId="0" borderId="344" xfId="18" applyNumberFormat="1" applyFont="1" applyAlignment="1">
      <alignment horizontal="right" vertical="center"/>
    </xf>
    <xf numFmtId="43" fontId="99" fillId="0" borderId="344" xfId="13" applyFont="1" applyAlignment="1">
      <alignment vertical="center"/>
    </xf>
    <xf numFmtId="0" fontId="358" fillId="0" borderId="344" xfId="20" applyFont="1" applyAlignment="1">
      <alignment vertical="center"/>
    </xf>
    <xf numFmtId="49" fontId="99" fillId="0" borderId="621" xfId="20" applyNumberFormat="1" applyFont="1" applyBorder="1" applyAlignment="1">
      <alignment horizontal="center" vertical="center"/>
    </xf>
    <xf numFmtId="165" fontId="99" fillId="0" borderId="621" xfId="20" applyNumberFormat="1" applyFont="1" applyBorder="1" applyAlignment="1">
      <alignment vertical="center"/>
    </xf>
    <xf numFmtId="0" fontId="175" fillId="0" borderId="621" xfId="20" applyFont="1" applyBorder="1" applyAlignment="1">
      <alignment horizontal="left" vertical="center"/>
    </xf>
    <xf numFmtId="1" fontId="168" fillId="0" borderId="344" xfId="20" applyNumberFormat="1" applyAlignment="1">
      <alignment vertical="center"/>
    </xf>
    <xf numFmtId="4" fontId="168" fillId="0" borderId="344" xfId="20" applyNumberFormat="1" applyAlignment="1">
      <alignment vertical="center"/>
    </xf>
    <xf numFmtId="2" fontId="168" fillId="0" borderId="344" xfId="20" applyNumberFormat="1" applyAlignment="1">
      <alignment vertical="center"/>
    </xf>
    <xf numFmtId="0" fontId="186" fillId="0" borderId="344" xfId="20" applyFont="1" applyAlignment="1">
      <alignment horizontal="center" vertical="center"/>
    </xf>
    <xf numFmtId="168" fontId="99" fillId="0" borderId="621" xfId="20" applyNumberFormat="1" applyFont="1" applyBorder="1" applyAlignment="1">
      <alignment horizontal="right" vertical="center"/>
    </xf>
    <xf numFmtId="0" fontId="418" fillId="14" borderId="662" xfId="0" applyFont="1" applyFill="1" applyBorder="1" applyAlignment="1">
      <alignment horizontal="left" vertical="center" wrapText="1" indent="1"/>
    </xf>
    <xf numFmtId="0" fontId="207" fillId="0" borderId="0" xfId="0" applyFont="1" applyAlignment="1">
      <alignment horizontal="center" vertical="center" wrapText="1"/>
    </xf>
    <xf numFmtId="0" fontId="208" fillId="0" borderId="0" xfId="0" applyFont="1" applyAlignment="1">
      <alignment vertical="center" wrapText="1"/>
    </xf>
    <xf numFmtId="2" fontId="12" fillId="44" borderId="8" xfId="0" applyNumberFormat="1" applyFont="1" applyFill="1" applyBorder="1" applyAlignment="1">
      <alignment horizontal="left" vertical="center" wrapText="1" indent="1"/>
    </xf>
    <xf numFmtId="2" fontId="205" fillId="44" borderId="8" xfId="0" applyNumberFormat="1" applyFont="1" applyFill="1" applyBorder="1" applyAlignment="1">
      <alignment vertical="center" wrapText="1" indent="1"/>
    </xf>
    <xf numFmtId="0" fontId="6" fillId="0" borderId="0" xfId="0" applyFont="1" applyAlignment="1">
      <alignment horizontal="center" vertical="center" wrapText="1"/>
    </xf>
    <xf numFmtId="0" fontId="6" fillId="0" borderId="0" xfId="0" applyFont="1" applyAlignment="1">
      <alignment vertical="center" wrapText="1"/>
    </xf>
    <xf numFmtId="0" fontId="204" fillId="0" borderId="0" xfId="0" applyFont="1" applyAlignment="1">
      <alignment horizontal="center" vertical="center" wrapText="1"/>
    </xf>
    <xf numFmtId="0" fontId="204" fillId="0" borderId="0" xfId="0" applyFont="1" applyAlignment="1">
      <alignment vertical="center" wrapText="1"/>
    </xf>
    <xf numFmtId="0" fontId="236" fillId="0" borderId="0" xfId="0" applyFont="1" applyAlignment="1">
      <alignment horizontal="center" vertical="center" wrapText="1"/>
    </xf>
    <xf numFmtId="0" fontId="236" fillId="0" borderId="0" xfId="0" applyFont="1" applyAlignment="1">
      <alignment vertical="center" wrapText="1"/>
    </xf>
    <xf numFmtId="0" fontId="14" fillId="0" borderId="344" xfId="0" applyFont="1" applyBorder="1" applyAlignment="1">
      <alignment horizontal="center" vertical="center" wrapText="1"/>
    </xf>
    <xf numFmtId="0" fontId="11" fillId="0" borderId="341" xfId="0" applyFont="1" applyBorder="1" applyAlignment="1">
      <alignment horizontal="left" vertical="center" wrapText="1" indent="1"/>
    </xf>
    <xf numFmtId="0" fontId="14" fillId="0" borderId="50" xfId="0" applyFont="1" applyBorder="1" applyAlignment="1">
      <alignment horizontal="left" vertical="center" wrapText="1" indent="1"/>
    </xf>
    <xf numFmtId="0" fontId="29" fillId="0" borderId="50" xfId="0" applyFont="1" applyBorder="1" applyAlignment="1">
      <alignment horizontal="left" vertical="center" wrapText="1" indent="1"/>
    </xf>
    <xf numFmtId="0" fontId="11" fillId="0" borderId="384" xfId="0" applyFont="1" applyBorder="1" applyAlignment="1">
      <alignment horizontal="left" vertical="center" wrapText="1" indent="1"/>
    </xf>
    <xf numFmtId="173" fontId="142" fillId="0" borderId="384" xfId="0" applyNumberFormat="1" applyFont="1" applyBorder="1" applyAlignment="1">
      <alignment horizontal="center" vertical="center"/>
    </xf>
    <xf numFmtId="173" fontId="142" fillId="0" borderId="636" xfId="0" applyNumberFormat="1" applyFont="1" applyBorder="1" applyAlignment="1">
      <alignment horizontal="center" vertical="center"/>
    </xf>
    <xf numFmtId="0" fontId="291" fillId="0" borderId="47" xfId="0" applyFont="1" applyBorder="1" applyAlignment="1">
      <alignment horizontal="left" vertical="center" indent="1"/>
    </xf>
    <xf numFmtId="0" fontId="14" fillId="0" borderId="47" xfId="0" applyFont="1" applyBorder="1" applyAlignment="1">
      <alignment horizontal="left" vertical="center" indent="1"/>
    </xf>
    <xf numFmtId="0" fontId="292" fillId="0" borderId="50" xfId="0" applyFont="1" applyBorder="1" applyAlignment="1">
      <alignment horizontal="left" vertical="center" indent="1"/>
    </xf>
    <xf numFmtId="0" fontId="14" fillId="0" borderId="50" xfId="0" applyFont="1" applyBorder="1" applyAlignment="1">
      <alignment horizontal="left" vertical="center" indent="1"/>
    </xf>
    <xf numFmtId="0" fontId="142" fillId="0" borderId="215" xfId="0" applyFont="1" applyBorder="1" applyAlignment="1">
      <alignment horizontal="center" vertical="center" wrapText="1"/>
    </xf>
    <xf numFmtId="0" fontId="142" fillId="0" borderId="632" xfId="0" applyFont="1" applyBorder="1" applyAlignment="1">
      <alignment horizontal="center" vertical="center" wrapText="1"/>
    </xf>
    <xf numFmtId="0" fontId="14" fillId="0" borderId="47" xfId="0" applyFont="1" applyBorder="1" applyAlignment="1">
      <alignment horizontal="left" vertical="center" wrapText="1" indent="1"/>
    </xf>
    <xf numFmtId="0" fontId="29" fillId="0" borderId="47" xfId="0" applyFont="1" applyBorder="1" applyAlignment="1">
      <alignment horizontal="left" vertical="center" wrapText="1" indent="1"/>
    </xf>
    <xf numFmtId="49" fontId="22" fillId="3" borderId="99" xfId="0" applyNumberFormat="1" applyFont="1" applyFill="1" applyBorder="1" applyAlignment="1">
      <alignment horizontal="left" vertical="center" wrapText="1" indent="1"/>
    </xf>
    <xf numFmtId="49" fontId="22" fillId="3" borderId="952" xfId="0" applyNumberFormat="1" applyFont="1" applyFill="1" applyBorder="1" applyAlignment="1">
      <alignment horizontal="left" vertical="center" wrapText="1" indent="1"/>
    </xf>
    <xf numFmtId="49" fontId="23" fillId="3" borderId="371" xfId="0" applyNumberFormat="1" applyFont="1" applyFill="1" applyBorder="1" applyAlignment="1">
      <alignment horizontal="left" vertical="center" wrapText="1" indent="1"/>
    </xf>
    <xf numFmtId="49" fontId="23" fillId="3" borderId="637" xfId="0" applyNumberFormat="1" applyFont="1" applyFill="1" applyBorder="1" applyAlignment="1">
      <alignment horizontal="left" vertical="center" wrapText="1" indent="1"/>
    </xf>
    <xf numFmtId="0" fontId="130" fillId="2" borderId="618" xfId="0" applyFont="1" applyFill="1" applyBorder="1" applyAlignment="1">
      <alignment horizontal="center" vertical="center"/>
    </xf>
    <xf numFmtId="0" fontId="99" fillId="0" borderId="350" xfId="0" applyFont="1" applyBorder="1" applyAlignment="1"/>
    <xf numFmtId="0" fontId="99" fillId="0" borderId="300" xfId="0" applyFont="1" applyBorder="1" applyAlignment="1"/>
    <xf numFmtId="0" fontId="206" fillId="0" borderId="0" xfId="0" applyFont="1" applyAlignment="1">
      <alignment horizontal="center" vertical="center" wrapText="1"/>
    </xf>
    <xf numFmtId="1" fontId="113" fillId="3" borderId="111" xfId="0" applyNumberFormat="1" applyFont="1" applyFill="1" applyBorder="1" applyAlignment="1">
      <alignment horizontal="center" vertical="center" wrapText="1"/>
    </xf>
    <xf numFmtId="1" fontId="113" fillId="3" borderId="638" xfId="0" applyNumberFormat="1" applyFont="1" applyFill="1" applyBorder="1" applyAlignment="1">
      <alignment horizontal="center" vertical="center" wrapText="1"/>
    </xf>
    <xf numFmtId="1" fontId="113" fillId="3" borderId="371" xfId="0" applyNumberFormat="1" applyFont="1" applyFill="1" applyBorder="1" applyAlignment="1">
      <alignment horizontal="center" vertical="center" wrapText="1"/>
    </xf>
    <xf numFmtId="1" fontId="113" fillId="3" borderId="637" xfId="0" applyNumberFormat="1" applyFont="1" applyFill="1" applyBorder="1" applyAlignment="1">
      <alignment horizontal="center" vertical="center" wrapText="1"/>
    </xf>
    <xf numFmtId="0" fontId="23" fillId="0" borderId="371" xfId="0" applyFont="1" applyBorder="1" applyAlignment="1">
      <alignment horizontal="left" vertical="center" wrapText="1" indent="1"/>
    </xf>
    <xf numFmtId="0" fontId="23" fillId="0" borderId="637" xfId="0" applyFont="1" applyBorder="1" applyAlignment="1">
      <alignment horizontal="left" vertical="center" wrapText="1" indent="1"/>
    </xf>
    <xf numFmtId="0" fontId="24" fillId="0" borderId="111" xfId="0" applyFont="1" applyBorder="1" applyAlignment="1">
      <alignment horizontal="left" vertical="center" wrapText="1" indent="1"/>
    </xf>
    <xf numFmtId="0" fontId="24" fillId="0" borderId="638" xfId="0" applyFont="1" applyBorder="1" applyAlignment="1">
      <alignment horizontal="left" vertical="center" wrapText="1" indent="1"/>
    </xf>
    <xf numFmtId="0" fontId="25" fillId="4" borderId="77" xfId="0" applyFont="1" applyFill="1" applyBorder="1" applyAlignment="1">
      <alignment horizontal="left" vertical="center" wrapText="1" indent="1"/>
    </xf>
    <xf numFmtId="0" fontId="15" fillId="0" borderId="73" xfId="0" applyFont="1" applyBorder="1" applyAlignment="1">
      <alignment horizontal="left" indent="1"/>
    </xf>
    <xf numFmtId="0" fontId="15" fillId="0" borderId="641" xfId="0" applyFont="1" applyBorder="1" applyAlignment="1">
      <alignment horizontal="left" indent="1"/>
    </xf>
    <xf numFmtId="0" fontId="23" fillId="3" borderId="368" xfId="0" applyFont="1" applyFill="1" applyBorder="1" applyAlignment="1">
      <alignment horizontal="left" vertical="center" wrapText="1" indent="1"/>
    </xf>
    <xf numFmtId="0" fontId="23" fillId="3" borderId="639" xfId="0" applyFont="1" applyFill="1" applyBorder="1" applyAlignment="1">
      <alignment horizontal="left" vertical="center" wrapText="1" indent="1"/>
    </xf>
    <xf numFmtId="49" fontId="130" fillId="2" borderId="343" xfId="0" applyNumberFormat="1" applyFont="1" applyFill="1" applyBorder="1" applyAlignment="1">
      <alignment horizontal="left" vertical="center" indent="1"/>
    </xf>
    <xf numFmtId="0" fontId="96" fillId="0" borderId="177" xfId="0" applyFont="1" applyBorder="1" applyAlignment="1">
      <alignment horizontal="left" vertical="center" wrapText="1" indent="1"/>
    </xf>
    <xf numFmtId="9" fontId="106" fillId="0" borderId="177" xfId="0" applyNumberFormat="1" applyFont="1" applyBorder="1" applyAlignment="1">
      <alignment horizontal="center" vertical="center" wrapText="1" indent="1"/>
    </xf>
    <xf numFmtId="0" fontId="96" fillId="0" borderId="557" xfId="0" applyFont="1" applyBorder="1" applyAlignment="1">
      <alignment horizontal="left" vertical="center" wrapText="1" indent="1"/>
    </xf>
    <xf numFmtId="0" fontId="25" fillId="4" borderId="73" xfId="0" applyFont="1" applyFill="1" applyBorder="1" applyAlignment="1">
      <alignment horizontal="left" vertical="center" wrapText="1" indent="1"/>
    </xf>
    <xf numFmtId="0" fontId="15" fillId="0" borderId="76" xfId="0" applyFont="1" applyBorder="1" applyAlignment="1">
      <alignment horizontal="left" indent="1"/>
    </xf>
    <xf numFmtId="0" fontId="96" fillId="0" borderId="615" xfId="0" applyFont="1" applyBorder="1" applyAlignment="1">
      <alignment horizontal="left" vertical="center" wrapText="1" indent="1"/>
    </xf>
    <xf numFmtId="0" fontId="96" fillId="0" borderId="483" xfId="0" applyFont="1" applyBorder="1" applyAlignment="1">
      <alignment horizontal="left" vertical="center" wrapText="1" indent="1"/>
    </xf>
    <xf numFmtId="0" fontId="106" fillId="0" borderId="615" xfId="0" applyFont="1" applyBorder="1" applyAlignment="1">
      <alignment horizontal="center" vertical="center" wrapText="1" indent="1"/>
    </xf>
    <xf numFmtId="0" fontId="106" fillId="0" borderId="177" xfId="0" applyFont="1" applyBorder="1" applyAlignment="1">
      <alignment horizontal="center" vertical="center" wrapText="1" indent="1"/>
    </xf>
    <xf numFmtId="0" fontId="106" fillId="0" borderId="483" xfId="0" applyFont="1" applyBorder="1" applyAlignment="1">
      <alignment horizontal="center" vertical="center" wrapText="1" indent="1"/>
    </xf>
    <xf numFmtId="0" fontId="96" fillId="0" borderId="647" xfId="0" applyFont="1" applyBorder="1" applyAlignment="1">
      <alignment horizontal="left" vertical="center" wrapText="1" indent="1"/>
    </xf>
    <xf numFmtId="0" fontId="96" fillId="0" borderId="363" xfId="0" applyFont="1" applyBorder="1" applyAlignment="1">
      <alignment horizontal="left" vertical="center" wrapText="1" indent="1"/>
    </xf>
    <xf numFmtId="0" fontId="96" fillId="0" borderId="645" xfId="0" applyFont="1" applyBorder="1" applyAlignment="1">
      <alignment horizontal="left" vertical="center" wrapText="1" indent="1"/>
    </xf>
    <xf numFmtId="49" fontId="22" fillId="3" borderId="362" xfId="0" applyNumberFormat="1" applyFont="1" applyFill="1" applyBorder="1" applyAlignment="1">
      <alignment horizontal="left" vertical="center" wrapText="1" indent="1"/>
    </xf>
    <xf numFmtId="49" fontId="22" fillId="3" borderId="381" xfId="0" applyNumberFormat="1" applyFont="1" applyFill="1" applyBorder="1" applyAlignment="1">
      <alignment horizontal="left" vertical="center" wrapText="1" indent="1"/>
    </xf>
    <xf numFmtId="49" fontId="23" fillId="3" borderId="177" xfId="0" applyNumberFormat="1" applyFont="1" applyFill="1" applyBorder="1" applyAlignment="1">
      <alignment horizontal="left" vertical="center" wrapText="1" indent="1"/>
    </xf>
    <xf numFmtId="49" fontId="23" fillId="3" borderId="379" xfId="0" applyNumberFormat="1" applyFont="1" applyFill="1" applyBorder="1" applyAlignment="1">
      <alignment horizontal="left" vertical="center" wrapText="1" indent="1"/>
    </xf>
    <xf numFmtId="49" fontId="22" fillId="3" borderId="100" xfId="0" applyNumberFormat="1" applyFont="1" applyFill="1" applyBorder="1" applyAlignment="1">
      <alignment horizontal="left" vertical="center" wrapText="1" indent="1"/>
    </xf>
    <xf numFmtId="49" fontId="23" fillId="3" borderId="111" xfId="0" applyNumberFormat="1" applyFont="1" applyFill="1" applyBorder="1" applyAlignment="1">
      <alignment horizontal="left" vertical="center" wrapText="1" indent="1"/>
    </xf>
    <xf numFmtId="49" fontId="31" fillId="9" borderId="15" xfId="0" applyNumberFormat="1" applyFont="1" applyFill="1" applyBorder="1" applyAlignment="1">
      <alignment horizontal="center" vertical="center" wrapText="1"/>
    </xf>
    <xf numFmtId="49" fontId="31" fillId="9" borderId="732" xfId="0" applyNumberFormat="1" applyFont="1" applyFill="1" applyBorder="1" applyAlignment="1">
      <alignment horizontal="center" vertical="center" wrapText="1"/>
    </xf>
    <xf numFmtId="49" fontId="31" fillId="9" borderId="569" xfId="0" applyNumberFormat="1" applyFont="1" applyFill="1" applyBorder="1" applyAlignment="1">
      <alignment horizontal="center" vertical="center" wrapText="1"/>
    </xf>
    <xf numFmtId="49" fontId="31" fillId="9" borderId="733" xfId="0" applyNumberFormat="1" applyFont="1" applyFill="1" applyBorder="1" applyAlignment="1">
      <alignment horizontal="center" vertical="center" wrapText="1"/>
    </xf>
    <xf numFmtId="49" fontId="22" fillId="3" borderId="111" xfId="0" applyNumberFormat="1" applyFont="1" applyFill="1" applyBorder="1" applyAlignment="1">
      <alignment horizontal="left" vertical="center" wrapText="1" indent="1"/>
    </xf>
    <xf numFmtId="49" fontId="22" fillId="3" borderId="1032" xfId="0" applyNumberFormat="1" applyFont="1" applyFill="1" applyBorder="1" applyAlignment="1">
      <alignment horizontal="left" vertical="center" wrapText="1" indent="1"/>
    </xf>
    <xf numFmtId="49" fontId="23" fillId="3" borderId="1033" xfId="0" applyNumberFormat="1" applyFont="1" applyFill="1" applyBorder="1" applyAlignment="1">
      <alignment horizontal="left" vertical="center" wrapText="1" indent="1"/>
    </xf>
    <xf numFmtId="49" fontId="23" fillId="3" borderId="638" xfId="0" applyNumberFormat="1" applyFont="1" applyFill="1" applyBorder="1" applyAlignment="1">
      <alignment horizontal="left" vertical="center" wrapText="1" indent="1"/>
    </xf>
    <xf numFmtId="49" fontId="31" fillId="10" borderId="491" xfId="0" applyNumberFormat="1" applyFont="1" applyFill="1" applyBorder="1" applyAlignment="1">
      <alignment horizontal="center" vertical="center" wrapText="1"/>
    </xf>
    <xf numFmtId="49" fontId="31" fillId="10" borderId="492" xfId="0" applyNumberFormat="1" applyFont="1" applyFill="1" applyBorder="1" applyAlignment="1">
      <alignment horizontal="center" vertical="center" wrapText="1"/>
    </xf>
    <xf numFmtId="49" fontId="23" fillId="3" borderId="642" xfId="0" applyNumberFormat="1" applyFont="1" applyFill="1" applyBorder="1" applyAlignment="1">
      <alignment horizontal="left" vertical="center" wrapText="1" indent="1"/>
    </xf>
    <xf numFmtId="49" fontId="22" fillId="3" borderId="177" xfId="0" applyNumberFormat="1" applyFont="1" applyFill="1" applyBorder="1" applyAlignment="1">
      <alignment horizontal="left" vertical="center" wrapText="1" indent="1"/>
    </xf>
    <xf numFmtId="49" fontId="22" fillId="3" borderId="379" xfId="0" applyNumberFormat="1" applyFont="1" applyFill="1" applyBorder="1" applyAlignment="1">
      <alignment horizontal="left" vertical="center" wrapText="1" indent="1"/>
    </xf>
    <xf numFmtId="49" fontId="22" fillId="3" borderId="638" xfId="0" applyNumberFormat="1" applyFont="1" applyFill="1" applyBorder="1" applyAlignment="1">
      <alignment horizontal="left" vertical="center" wrapText="1" indent="1"/>
    </xf>
    <xf numFmtId="1" fontId="56" fillId="0" borderId="111" xfId="0" applyNumberFormat="1" applyFont="1" applyBorder="1" applyAlignment="1">
      <alignment horizontal="center" vertical="center" wrapText="1"/>
    </xf>
    <xf numFmtId="0" fontId="5" fillId="0" borderId="0" xfId="0" applyFont="1" applyAlignment="1">
      <alignment horizontal="center" vertical="center"/>
    </xf>
    <xf numFmtId="0" fontId="0" fillId="0" borderId="0" xfId="0" applyAlignment="1"/>
    <xf numFmtId="0" fontId="126" fillId="0" borderId="0" xfId="0" applyFont="1" applyAlignment="1">
      <alignment horizontal="center" vertical="center"/>
    </xf>
    <xf numFmtId="0" fontId="301" fillId="0" borderId="0" xfId="0" applyFont="1" applyAlignment="1"/>
    <xf numFmtId="0" fontId="10" fillId="0" borderId="0" xfId="0" applyFont="1" applyAlignment="1">
      <alignment horizontal="center" vertical="center"/>
    </xf>
    <xf numFmtId="0" fontId="20" fillId="0" borderId="0" xfId="0" applyFont="1" applyAlignment="1">
      <alignment horizontal="center" vertical="center"/>
    </xf>
    <xf numFmtId="49" fontId="31" fillId="2" borderId="215" xfId="0" applyNumberFormat="1" applyFont="1" applyFill="1" applyBorder="1" applyAlignment="1">
      <alignment horizontal="center" vertical="center" textRotation="90"/>
    </xf>
    <xf numFmtId="49" fontId="31" fillId="2" borderId="731" xfId="0" applyNumberFormat="1" applyFont="1" applyFill="1" applyBorder="1" applyAlignment="1">
      <alignment horizontal="center" vertical="center" textRotation="90"/>
    </xf>
    <xf numFmtId="49" fontId="71" fillId="5" borderId="11" xfId="0" applyNumberFormat="1" applyFont="1" applyFill="1" applyBorder="1" applyAlignment="1">
      <alignment horizontal="center" vertical="center" wrapText="1"/>
    </xf>
    <xf numFmtId="49" fontId="71" fillId="6" borderId="490" xfId="0" applyNumberFormat="1" applyFont="1" applyFill="1" applyBorder="1" applyAlignment="1">
      <alignment horizontal="center" vertical="center" wrapText="1"/>
    </xf>
    <xf numFmtId="0" fontId="24" fillId="0" borderId="177" xfId="0" applyFont="1" applyBorder="1" applyAlignment="1">
      <alignment horizontal="left" vertical="center" wrapText="1" indent="1"/>
    </xf>
    <xf numFmtId="0" fontId="24" fillId="0" borderId="379" xfId="0" applyFont="1" applyBorder="1" applyAlignment="1">
      <alignment horizontal="left" vertical="center" wrapText="1" indent="1"/>
    </xf>
    <xf numFmtId="49" fontId="23" fillId="3" borderId="363" xfId="0" applyNumberFormat="1" applyFont="1" applyFill="1" applyBorder="1" applyAlignment="1">
      <alignment horizontal="left" vertical="center" wrapText="1" indent="1"/>
    </xf>
    <xf numFmtId="49" fontId="23" fillId="3" borderId="28" xfId="0" applyNumberFormat="1" applyFont="1" applyFill="1" applyBorder="1" applyAlignment="1">
      <alignment horizontal="left" vertical="center" wrapText="1" indent="1"/>
    </xf>
    <xf numFmtId="9" fontId="56" fillId="0" borderId="177" xfId="0" applyNumberFormat="1" applyFont="1" applyBorder="1" applyAlignment="1">
      <alignment horizontal="center" vertical="center" wrapText="1"/>
    </xf>
    <xf numFmtId="9" fontId="56" fillId="0" borderId="379" xfId="0" applyNumberFormat="1" applyFont="1" applyBorder="1" applyAlignment="1">
      <alignment horizontal="center" vertical="center" wrapText="1"/>
    </xf>
    <xf numFmtId="9" fontId="56" fillId="0" borderId="642" xfId="0" applyNumberFormat="1" applyFont="1" applyBorder="1" applyAlignment="1">
      <alignment horizontal="center" vertical="center" wrapText="1"/>
    </xf>
    <xf numFmtId="49" fontId="31" fillId="11" borderId="570" xfId="0" applyNumberFormat="1" applyFont="1" applyFill="1" applyBorder="1" applyAlignment="1">
      <alignment horizontal="center" vertical="center" wrapText="1"/>
    </xf>
    <xf numFmtId="49" fontId="31" fillId="11" borderId="734" xfId="0" applyNumberFormat="1" applyFont="1" applyFill="1" applyBorder="1" applyAlignment="1">
      <alignment horizontal="center" vertical="center" wrapText="1"/>
    </xf>
    <xf numFmtId="49" fontId="31" fillId="11" borderId="17" xfId="0" applyNumberFormat="1" applyFont="1" applyFill="1" applyBorder="1" applyAlignment="1">
      <alignment horizontal="center" vertical="center" wrapText="1"/>
    </xf>
    <xf numFmtId="49" fontId="31" fillId="11" borderId="16" xfId="0" applyNumberFormat="1" applyFont="1" applyFill="1" applyBorder="1" applyAlignment="1">
      <alignment horizontal="center" vertical="center" wrapText="1"/>
    </xf>
    <xf numFmtId="49" fontId="31" fillId="11" borderId="24" xfId="0" applyNumberFormat="1" applyFont="1" applyFill="1" applyBorder="1" applyAlignment="1">
      <alignment horizontal="center" vertical="center" wrapText="1"/>
    </xf>
    <xf numFmtId="49" fontId="71" fillId="7" borderId="12" xfId="0" applyNumberFormat="1" applyFont="1" applyFill="1" applyBorder="1" applyAlignment="1">
      <alignment horizontal="center" vertical="center" wrapText="1"/>
    </xf>
    <xf numFmtId="49" fontId="71" fillId="8" borderId="13" xfId="0" applyNumberFormat="1" applyFont="1" applyFill="1" applyBorder="1" applyAlignment="1">
      <alignment horizontal="center" vertical="center" wrapText="1"/>
    </xf>
    <xf numFmtId="0" fontId="297" fillId="0" borderId="14" xfId="0" applyFont="1" applyBorder="1" applyAlignment="1"/>
    <xf numFmtId="49" fontId="71" fillId="8" borderId="857" xfId="0" applyNumberFormat="1" applyFont="1" applyFill="1" applyBorder="1" applyAlignment="1">
      <alignment horizontal="center" vertical="center" wrapText="1"/>
    </xf>
    <xf numFmtId="49" fontId="31" fillId="12" borderId="19" xfId="0" applyNumberFormat="1" applyFont="1" applyFill="1" applyBorder="1" applyAlignment="1">
      <alignment horizontal="center" vertical="center" wrapText="1"/>
    </xf>
    <xf numFmtId="49" fontId="31" fillId="12" borderId="22" xfId="0" applyNumberFormat="1" applyFont="1" applyFill="1" applyBorder="1" applyAlignment="1">
      <alignment horizontal="center" vertical="center" wrapText="1"/>
    </xf>
    <xf numFmtId="0" fontId="297" fillId="0" borderId="20" xfId="0" applyFont="1" applyBorder="1" applyAlignment="1"/>
    <xf numFmtId="0" fontId="297" fillId="0" borderId="21" xfId="0" applyFont="1" applyBorder="1" applyAlignment="1"/>
    <xf numFmtId="49" fontId="31" fillId="12" borderId="23" xfId="0" applyNumberFormat="1" applyFont="1" applyFill="1" applyBorder="1" applyAlignment="1">
      <alignment horizontal="center" vertical="center" wrapText="1"/>
    </xf>
    <xf numFmtId="0" fontId="297" fillId="0" borderId="27" xfId="0" applyFont="1" applyBorder="1" applyAlignment="1"/>
    <xf numFmtId="1" fontId="56" fillId="0" borderId="177" xfId="0" applyNumberFormat="1" applyFont="1" applyBorder="1" applyAlignment="1">
      <alignment horizontal="center" vertical="center" wrapText="1"/>
    </xf>
    <xf numFmtId="0" fontId="23" fillId="4" borderId="77" xfId="0" applyFont="1" applyFill="1" applyBorder="1" applyAlignment="1">
      <alignment horizontal="left" vertical="center" wrapText="1" indent="1"/>
    </xf>
    <xf numFmtId="49" fontId="31" fillId="11" borderId="18" xfId="0" applyNumberFormat="1" applyFont="1" applyFill="1" applyBorder="1" applyAlignment="1">
      <alignment horizontal="center" vertical="center" wrapText="1"/>
    </xf>
    <xf numFmtId="49" fontId="31" fillId="11" borderId="735" xfId="0" applyNumberFormat="1" applyFont="1" applyFill="1" applyBorder="1" applyAlignment="1">
      <alignment horizontal="center" vertical="center" wrapText="1"/>
    </xf>
    <xf numFmtId="0" fontId="23" fillId="0" borderId="111" xfId="0" applyFont="1" applyBorder="1" applyAlignment="1">
      <alignment horizontal="left" vertical="center" wrapText="1" indent="1"/>
    </xf>
    <xf numFmtId="49" fontId="31" fillId="12" borderId="563" xfId="0" applyNumberFormat="1" applyFont="1" applyFill="1" applyBorder="1" applyAlignment="1">
      <alignment horizontal="center" vertical="center" wrapText="1"/>
    </xf>
    <xf numFmtId="49" fontId="31" fillId="12" borderId="564" xfId="0" applyNumberFormat="1" applyFont="1" applyFill="1" applyBorder="1" applyAlignment="1">
      <alignment horizontal="center" vertical="center" wrapText="1"/>
    </xf>
    <xf numFmtId="49" fontId="23" fillId="0" borderId="111" xfId="0" applyNumberFormat="1" applyFont="1" applyBorder="1" applyAlignment="1">
      <alignment horizontal="left" vertical="center" wrapText="1" indent="1"/>
    </xf>
    <xf numFmtId="0" fontId="23" fillId="3" borderId="363" xfId="0" applyFont="1" applyFill="1" applyBorder="1" applyAlignment="1">
      <alignment horizontal="left" vertical="center" wrapText="1" indent="1"/>
    </xf>
    <xf numFmtId="1" fontId="56" fillId="0" borderId="1033" xfId="0" applyNumberFormat="1" applyFont="1" applyBorder="1" applyAlignment="1">
      <alignment horizontal="center" vertical="center" wrapText="1"/>
    </xf>
    <xf numFmtId="0" fontId="23" fillId="0" borderId="1033" xfId="0" applyFont="1" applyBorder="1" applyAlignment="1">
      <alignment horizontal="left" vertical="center" wrapText="1" indent="1"/>
    </xf>
    <xf numFmtId="0" fontId="24" fillId="0" borderId="1033" xfId="0" applyFont="1" applyBorder="1" applyAlignment="1">
      <alignment horizontal="left" vertical="center" wrapText="1" indent="1"/>
    </xf>
    <xf numFmtId="0" fontId="23" fillId="3" borderId="1034" xfId="0" applyFont="1" applyFill="1" applyBorder="1" applyAlignment="1">
      <alignment horizontal="left" vertical="center" wrapText="1" indent="1"/>
    </xf>
    <xf numFmtId="0" fontId="95" fillId="0" borderId="177" xfId="0" applyFont="1" applyBorder="1" applyAlignment="1">
      <alignment horizontal="left" vertical="center" wrapText="1" indent="1"/>
    </xf>
    <xf numFmtId="0" fontId="61" fillId="0" borderId="177" xfId="0" applyFont="1" applyBorder="1" applyAlignment="1">
      <alignment horizontal="left" vertical="center" wrapText="1" indent="1"/>
    </xf>
    <xf numFmtId="49" fontId="22" fillId="3" borderId="1033" xfId="0" applyNumberFormat="1" applyFont="1" applyFill="1" applyBorder="1" applyAlignment="1">
      <alignment horizontal="left" vertical="center" wrapText="1" indent="1"/>
    </xf>
    <xf numFmtId="0" fontId="95" fillId="0" borderId="736" xfId="0" applyFont="1" applyBorder="1" applyAlignment="1">
      <alignment horizontal="left" vertical="center" wrapText="1" indent="1"/>
    </xf>
    <xf numFmtId="0" fontId="95" fillId="0" borderId="362" xfId="0" applyFont="1" applyBorder="1" applyAlignment="1">
      <alignment horizontal="left" vertical="center" wrapText="1" indent="1"/>
    </xf>
    <xf numFmtId="0" fontId="95" fillId="0" borderId="539" xfId="0" applyFont="1" applyBorder="1" applyAlignment="1">
      <alignment horizontal="left" vertical="center" wrapText="1" indent="1"/>
    </xf>
    <xf numFmtId="0" fontId="96" fillId="0" borderId="644" xfId="0" applyFont="1" applyBorder="1" applyAlignment="1">
      <alignment horizontal="left" vertical="center" wrapText="1" indent="1"/>
    </xf>
    <xf numFmtId="0" fontId="95" fillId="0" borderId="615" xfId="0" applyFont="1" applyBorder="1" applyAlignment="1">
      <alignment horizontal="left" vertical="center" wrapText="1" indent="1"/>
    </xf>
    <xf numFmtId="0" fontId="95" fillId="0" borderId="483" xfId="0" applyFont="1" applyBorder="1" applyAlignment="1">
      <alignment horizontal="left" vertical="center" wrapText="1" indent="1"/>
    </xf>
    <xf numFmtId="0" fontId="100" fillId="0" borderId="177" xfId="0" applyFont="1" applyBorder="1" applyAlignment="1">
      <alignment horizontal="left" vertical="center" wrapText="1" indent="1"/>
    </xf>
    <xf numFmtId="0" fontId="97" fillId="0" borderId="177" xfId="0" applyFont="1" applyBorder="1" applyAlignment="1">
      <alignment horizontal="left" vertical="center" wrapText="1" indent="1"/>
    </xf>
    <xf numFmtId="0" fontId="97" fillId="0" borderId="615" xfId="0" applyFont="1" applyBorder="1" applyAlignment="1">
      <alignment horizontal="left" vertical="center" wrapText="1" indent="1"/>
    </xf>
    <xf numFmtId="0" fontId="97" fillId="0" borderId="483" xfId="0" applyFont="1" applyBorder="1" applyAlignment="1">
      <alignment horizontal="left" vertical="center" wrapText="1" indent="1"/>
    </xf>
    <xf numFmtId="0" fontId="98" fillId="0" borderId="615" xfId="0" applyFont="1" applyBorder="1" applyAlignment="1">
      <alignment horizontal="center" vertical="center" wrapText="1" indent="1"/>
    </xf>
    <xf numFmtId="0" fontId="98" fillId="0" borderId="177" xfId="0" applyFont="1" applyBorder="1" applyAlignment="1">
      <alignment horizontal="center" vertical="center" wrapText="1" indent="1"/>
    </xf>
    <xf numFmtId="0" fontId="98" fillId="0" borderId="483" xfId="0" applyFont="1" applyBorder="1" applyAlignment="1">
      <alignment horizontal="center" vertical="center" wrapText="1" indent="1"/>
    </xf>
    <xf numFmtId="0" fontId="98" fillId="0" borderId="109" xfId="0" applyFont="1" applyBorder="1" applyAlignment="1">
      <alignment horizontal="center" vertical="center" wrapText="1" indent="1"/>
    </xf>
    <xf numFmtId="0" fontId="96" fillId="0" borderId="109" xfId="0" applyFont="1" applyBorder="1" applyAlignment="1">
      <alignment horizontal="left" vertical="center" wrapText="1" indent="1"/>
    </xf>
    <xf numFmtId="0" fontId="96" fillId="0" borderId="378" xfId="0" applyFont="1" applyBorder="1" applyAlignment="1">
      <alignment horizontal="left" vertical="center" wrapText="1" indent="1"/>
    </xf>
    <xf numFmtId="0" fontId="98" fillId="0" borderId="615" xfId="0" applyFont="1" applyBorder="1" applyAlignment="1">
      <alignment horizontal="center" vertical="center" wrapText="1"/>
    </xf>
    <xf numFmtId="0" fontId="98" fillId="0" borderId="177" xfId="0" applyFont="1" applyBorder="1" applyAlignment="1">
      <alignment horizontal="center" vertical="center" wrapText="1"/>
    </xf>
    <xf numFmtId="0" fontId="98" fillId="0" borderId="483" xfId="0" applyFont="1" applyBorder="1" applyAlignment="1">
      <alignment horizontal="center" vertical="center" wrapText="1"/>
    </xf>
    <xf numFmtId="0" fontId="98" fillId="0" borderId="109" xfId="0" applyFont="1" applyBorder="1" applyAlignment="1">
      <alignment horizontal="center" vertical="center" wrapText="1"/>
    </xf>
    <xf numFmtId="49" fontId="130" fillId="44" borderId="350" xfId="0" applyNumberFormat="1" applyFont="1" applyFill="1" applyBorder="1" applyAlignment="1">
      <alignment horizontal="left" vertical="center" indent="1"/>
    </xf>
    <xf numFmtId="49" fontId="130" fillId="44" borderId="343" xfId="0" applyNumberFormat="1" applyFont="1" applyFill="1" applyBorder="1" applyAlignment="1">
      <alignment horizontal="left" vertical="center" indent="1"/>
    </xf>
    <xf numFmtId="0" fontId="130" fillId="44" borderId="618" xfId="0" applyFont="1" applyFill="1" applyBorder="1" applyAlignment="1">
      <alignment horizontal="center" vertical="center"/>
    </xf>
    <xf numFmtId="0" fontId="99" fillId="44" borderId="350" xfId="0" applyFont="1" applyFill="1" applyBorder="1" applyAlignment="1"/>
    <xf numFmtId="0" fontId="99" fillId="44" borderId="300" xfId="0" applyFont="1" applyFill="1" applyBorder="1" applyAlignment="1"/>
    <xf numFmtId="4" fontId="52" fillId="2" borderId="118" xfId="0" applyNumberFormat="1" applyFont="1" applyFill="1" applyBorder="1" applyAlignment="1">
      <alignment horizontal="left" vertical="center" wrapText="1" indent="1"/>
    </xf>
    <xf numFmtId="4" fontId="52" fillId="2" borderId="118" xfId="0" applyNumberFormat="1" applyFont="1" applyFill="1" applyBorder="1" applyAlignment="1">
      <alignment horizontal="center" vertical="center" wrapText="1"/>
    </xf>
    <xf numFmtId="0" fontId="99" fillId="0" borderId="118" xfId="0" applyFont="1" applyBorder="1" applyAlignment="1">
      <alignment vertical="center"/>
    </xf>
    <xf numFmtId="0" fontId="99" fillId="0" borderId="120" xfId="0" applyFont="1" applyBorder="1" applyAlignment="1">
      <alignment vertical="center"/>
    </xf>
    <xf numFmtId="0" fontId="95" fillId="0" borderId="94" xfId="0" applyFont="1" applyBorder="1" applyAlignment="1">
      <alignment horizontal="left" vertical="center" wrapText="1" indent="1"/>
    </xf>
    <xf numFmtId="0" fontId="95" fillId="0" borderId="96" xfId="0" applyFont="1" applyBorder="1" applyAlignment="1">
      <alignment horizontal="left" vertical="center" wrapText="1" indent="1"/>
    </xf>
    <xf numFmtId="0" fontId="95" fillId="0" borderId="109" xfId="0" applyFont="1" applyBorder="1" applyAlignment="1">
      <alignment horizontal="left" vertical="center" wrapText="1" indent="1"/>
    </xf>
    <xf numFmtId="0" fontId="97" fillId="0" borderId="109" xfId="0" applyFont="1" applyBorder="1" applyAlignment="1">
      <alignment horizontal="left" vertical="center" wrapText="1" indent="1"/>
    </xf>
    <xf numFmtId="9" fontId="106" fillId="0" borderId="379" xfId="0" applyNumberFormat="1" applyFont="1" applyBorder="1" applyAlignment="1">
      <alignment horizontal="center" vertical="center" wrapText="1"/>
    </xf>
    <xf numFmtId="0" fontId="106" fillId="0" borderId="177" xfId="0" applyFont="1" applyBorder="1" applyAlignment="1">
      <alignment horizontal="center" vertical="center" wrapText="1"/>
    </xf>
    <xf numFmtId="0" fontId="106" fillId="0" borderId="483" xfId="0" applyFont="1" applyBorder="1" applyAlignment="1">
      <alignment horizontal="center" vertical="center" wrapText="1"/>
    </xf>
    <xf numFmtId="0" fontId="106" fillId="0" borderId="615" xfId="0" applyFont="1" applyBorder="1" applyAlignment="1">
      <alignment horizontal="center" vertical="center" wrapText="1"/>
    </xf>
    <xf numFmtId="49" fontId="128" fillId="2" borderId="552" xfId="0" applyNumberFormat="1" applyFont="1" applyFill="1" applyBorder="1" applyAlignment="1">
      <alignment horizontal="center" vertical="center" textRotation="90" wrapText="1"/>
    </xf>
    <xf numFmtId="49" fontId="128" fillId="2" borderId="553" xfId="0" applyNumberFormat="1" applyFont="1" applyFill="1" applyBorder="1" applyAlignment="1">
      <alignment horizontal="center" vertical="center" textRotation="90" wrapText="1"/>
    </xf>
    <xf numFmtId="49" fontId="128" fillId="2" borderId="971" xfId="0" applyNumberFormat="1" applyFont="1" applyFill="1" applyBorder="1" applyAlignment="1">
      <alignment horizontal="center" vertical="center" textRotation="90" wrapText="1"/>
    </xf>
    <xf numFmtId="49" fontId="128" fillId="44" borderId="82" xfId="0" applyNumberFormat="1" applyFont="1" applyFill="1" applyBorder="1" applyAlignment="1">
      <alignment horizontal="center" vertical="center" textRotation="90" wrapText="1"/>
    </xf>
    <xf numFmtId="49" fontId="128" fillId="44" borderId="366" xfId="0" applyNumberFormat="1" applyFont="1" applyFill="1" applyBorder="1" applyAlignment="1">
      <alignment horizontal="center" vertical="center" textRotation="90" wrapText="1"/>
    </xf>
    <xf numFmtId="49" fontId="128" fillId="44" borderId="628" xfId="0" applyNumberFormat="1" applyFont="1" applyFill="1" applyBorder="1" applyAlignment="1">
      <alignment horizontal="center" vertical="center" textRotation="90" wrapText="1"/>
    </xf>
    <xf numFmtId="49" fontId="128" fillId="44" borderId="972" xfId="0" applyNumberFormat="1" applyFont="1" applyFill="1" applyBorder="1" applyAlignment="1">
      <alignment horizontal="center" vertical="center" textRotation="90" wrapText="1"/>
    </xf>
    <xf numFmtId="49" fontId="128" fillId="2" borderId="973" xfId="0" applyNumberFormat="1" applyFont="1" applyFill="1" applyBorder="1" applyAlignment="1">
      <alignment horizontal="center" vertical="center" textRotation="90" wrapText="1"/>
    </xf>
    <xf numFmtId="49" fontId="128" fillId="2" borderId="969" xfId="0" applyNumberFormat="1" applyFont="1" applyFill="1" applyBorder="1" applyAlignment="1">
      <alignment horizontal="center" vertical="center" textRotation="90" wrapText="1"/>
    </xf>
    <xf numFmtId="49" fontId="128" fillId="2" borderId="384" xfId="0" applyNumberFormat="1" applyFont="1" applyFill="1" applyBorder="1" applyAlignment="1">
      <alignment horizontal="center" vertical="center" textRotation="90" wrapText="1"/>
    </xf>
    <xf numFmtId="49" fontId="128" fillId="2" borderId="228" xfId="0" applyNumberFormat="1" applyFont="1" applyFill="1" applyBorder="1" applyAlignment="1">
      <alignment horizontal="center" vertical="center" textRotation="90" wrapText="1"/>
    </xf>
    <xf numFmtId="49" fontId="128" fillId="2" borderId="356" xfId="0" applyNumberFormat="1" applyFont="1" applyFill="1" applyBorder="1" applyAlignment="1">
      <alignment horizontal="center" vertical="center" textRotation="90" wrapText="1"/>
    </xf>
    <xf numFmtId="49" fontId="128" fillId="2" borderId="374" xfId="0" applyNumberFormat="1" applyFont="1" applyFill="1" applyBorder="1" applyAlignment="1">
      <alignment horizontal="center" vertical="center" textRotation="90" wrapText="1"/>
    </xf>
    <xf numFmtId="49" fontId="128" fillId="2" borderId="968" xfId="0" applyNumberFormat="1" applyFont="1" applyFill="1" applyBorder="1" applyAlignment="1">
      <alignment horizontal="center" vertical="center" textRotation="90" wrapText="1"/>
    </xf>
    <xf numFmtId="49" fontId="128" fillId="2" borderId="540" xfId="0" applyNumberFormat="1" applyFont="1" applyFill="1" applyBorder="1" applyAlignment="1">
      <alignment horizontal="center" vertical="center" textRotation="90" wrapText="1"/>
    </xf>
    <xf numFmtId="49" fontId="128" fillId="2" borderId="970" xfId="0" applyNumberFormat="1" applyFont="1" applyFill="1" applyBorder="1" applyAlignment="1">
      <alignment horizontal="center" vertical="center" textRotation="90" wrapText="1"/>
    </xf>
    <xf numFmtId="49" fontId="128" fillId="2" borderId="361" xfId="0" applyNumberFormat="1" applyFont="1" applyFill="1" applyBorder="1" applyAlignment="1">
      <alignment horizontal="center" vertical="center" textRotation="90" wrapText="1"/>
    </xf>
    <xf numFmtId="49" fontId="128" fillId="2" borderId="350" xfId="0" applyNumberFormat="1" applyFont="1" applyFill="1" applyBorder="1" applyAlignment="1">
      <alignment horizontal="center" vertical="center" textRotation="90" wrapText="1"/>
    </xf>
    <xf numFmtId="0" fontId="11" fillId="0" borderId="79" xfId="0" applyFont="1" applyBorder="1" applyAlignment="1">
      <alignment horizontal="left" vertical="center" wrapText="1" indent="1"/>
    </xf>
    <xf numFmtId="0" fontId="96" fillId="0" borderId="80" xfId="0" applyFont="1" applyBorder="1" applyAlignment="1">
      <alignment vertical="center" indent="1"/>
    </xf>
    <xf numFmtId="173" fontId="142" fillId="0" borderId="50" xfId="0" applyNumberFormat="1" applyFont="1" applyBorder="1" applyAlignment="1">
      <alignment horizontal="center" vertical="center"/>
    </xf>
    <xf numFmtId="0" fontId="241" fillId="0" borderId="51" xfId="0" applyFont="1" applyBorder="1" applyAlignment="1">
      <alignment vertical="center"/>
    </xf>
    <xf numFmtId="0" fontId="241" fillId="0" borderId="52" xfId="0" applyFont="1" applyBorder="1" applyAlignment="1">
      <alignment vertical="center"/>
    </xf>
    <xf numFmtId="0" fontId="291" fillId="0" borderId="50" xfId="0" applyFont="1" applyBorder="1" applyAlignment="1">
      <alignment horizontal="left" vertical="center" indent="1"/>
    </xf>
    <xf numFmtId="0" fontId="96" fillId="0" borderId="51" xfId="0" applyFont="1" applyBorder="1" applyAlignment="1">
      <alignment vertical="center" indent="1"/>
    </xf>
    <xf numFmtId="0" fontId="241" fillId="0" borderId="358" xfId="0" applyFont="1" applyBorder="1" applyAlignment="1">
      <alignment vertical="center"/>
    </xf>
    <xf numFmtId="0" fontId="241" fillId="0" borderId="46" xfId="0" applyFont="1" applyBorder="1" applyAlignment="1">
      <alignment vertical="center"/>
    </xf>
    <xf numFmtId="0" fontId="96" fillId="0" borderId="48" xfId="0" applyFont="1" applyBorder="1" applyAlignment="1">
      <alignment vertical="center" indent="1"/>
    </xf>
    <xf numFmtId="0" fontId="11" fillId="0" borderId="50" xfId="0" applyFont="1" applyBorder="1" applyAlignment="1">
      <alignment horizontal="left" vertical="center" wrapText="1" indent="1"/>
    </xf>
    <xf numFmtId="0" fontId="15" fillId="0" borderId="177" xfId="0" applyFont="1" applyBorder="1" applyAlignment="1">
      <alignment vertical="center" indent="1"/>
    </xf>
    <xf numFmtId="0" fontId="15" fillId="0" borderId="109" xfId="0" applyFont="1" applyBorder="1" applyAlignment="1">
      <alignment vertical="center" indent="1"/>
    </xf>
    <xf numFmtId="0" fontId="24" fillId="0" borderId="100" xfId="0" applyFont="1" applyBorder="1" applyAlignment="1">
      <alignment horizontal="left" vertical="center" wrapText="1" indent="1"/>
    </xf>
    <xf numFmtId="0" fontId="15" fillId="0" borderId="362" xfId="0" applyFont="1" applyBorder="1" applyAlignment="1">
      <alignment vertical="center" indent="1"/>
    </xf>
    <xf numFmtId="0" fontId="15" fillId="0" borderId="388" xfId="0" applyFont="1" applyBorder="1" applyAlignment="1">
      <alignment vertical="center" indent="1"/>
    </xf>
    <xf numFmtId="0" fontId="24" fillId="0" borderId="73" xfId="0" applyFont="1" applyBorder="1" applyAlignment="1">
      <alignment horizontal="left" vertical="center" wrapText="1"/>
    </xf>
    <xf numFmtId="0" fontId="15" fillId="0" borderId="73" xfId="0" applyFont="1" applyBorder="1" applyAlignment="1">
      <alignment horizontal="left" vertical="center"/>
    </xf>
    <xf numFmtId="0" fontId="15" fillId="0" borderId="76" xfId="0" applyFont="1" applyBorder="1" applyAlignment="1">
      <alignment horizontal="left" vertical="center"/>
    </xf>
    <xf numFmtId="0" fontId="35" fillId="44" borderId="350" xfId="0" applyFont="1" applyFill="1" applyBorder="1" applyAlignment="1">
      <alignment horizontal="left" vertical="center" indent="1"/>
    </xf>
    <xf numFmtId="0" fontId="99" fillId="44" borderId="350" xfId="0" applyFont="1" applyFill="1" applyBorder="1" applyAlignment="1">
      <alignment vertical="center" indent="1"/>
    </xf>
    <xf numFmtId="0" fontId="107" fillId="44" borderId="117" xfId="0" applyFont="1" applyFill="1" applyBorder="1" applyAlignment="1">
      <alignment horizontal="center" vertical="center"/>
    </xf>
    <xf numFmtId="0" fontId="99" fillId="44" borderId="350" xfId="0" applyFont="1" applyFill="1" applyBorder="1" applyAlignment="1">
      <alignment vertical="center"/>
    </xf>
    <xf numFmtId="0" fontId="99" fillId="44" borderId="300" xfId="0" applyFont="1" applyFill="1" applyBorder="1" applyAlignment="1">
      <alignment vertical="center"/>
    </xf>
    <xf numFmtId="0" fontId="24" fillId="0" borderId="344" xfId="0" applyFont="1" applyBorder="1" applyAlignment="1">
      <alignment horizontal="left" vertical="center" wrapText="1" indent="1"/>
    </xf>
    <xf numFmtId="0" fontId="0" fillId="0" borderId="344" xfId="0" applyBorder="1" applyAlignment="1">
      <alignment horizontal="left" vertical="center" indent="1"/>
    </xf>
    <xf numFmtId="0" fontId="275" fillId="0" borderId="0" xfId="0" applyFont="1" applyAlignment="1">
      <alignment vertical="center"/>
    </xf>
    <xf numFmtId="0" fontId="109" fillId="0" borderId="177" xfId="0" applyFont="1" applyBorder="1" applyAlignment="1">
      <alignment vertical="center"/>
    </xf>
    <xf numFmtId="0" fontId="109" fillId="0" borderId="109" xfId="0" applyFont="1" applyBorder="1" applyAlignment="1">
      <alignment vertical="center"/>
    </xf>
    <xf numFmtId="0" fontId="294" fillId="0" borderId="111" xfId="0" applyFont="1" applyBorder="1" applyAlignment="1">
      <alignment horizontal="left" vertical="center" wrapText="1" indent="1"/>
    </xf>
    <xf numFmtId="0" fontId="24" fillId="0" borderId="368" xfId="0" applyFont="1" applyBorder="1" applyAlignment="1">
      <alignment horizontal="left" vertical="center" wrapText="1" indent="1"/>
    </xf>
    <xf numFmtId="0" fontId="15" fillId="0" borderId="363" xfId="0" applyFont="1" applyBorder="1" applyAlignment="1">
      <alignment vertical="center" indent="1"/>
    </xf>
    <xf numFmtId="0" fontId="15" fillId="0" borderId="378" xfId="0" applyFont="1" applyBorder="1" applyAlignment="1">
      <alignment vertical="center" indent="1"/>
    </xf>
    <xf numFmtId="0" fontId="106" fillId="49" borderId="177" xfId="0" applyFont="1" applyFill="1" applyBorder="1" applyAlignment="1">
      <alignment horizontal="center" vertical="center" wrapText="1" indent="1"/>
    </xf>
    <xf numFmtId="0" fontId="106" fillId="49" borderId="109" xfId="0" applyFont="1" applyFill="1" applyBorder="1" applyAlignment="1">
      <alignment horizontal="center" vertical="center" wrapText="1" indent="1"/>
    </xf>
    <xf numFmtId="0" fontId="293" fillId="0" borderId="372" xfId="0" applyFont="1" applyBorder="1" applyAlignment="1">
      <alignment horizontal="left" vertical="center" wrapText="1" indent="1"/>
    </xf>
    <xf numFmtId="0" fontId="96" fillId="0" borderId="372" xfId="0" applyFont="1" applyBorder="1" applyAlignment="1">
      <alignment horizontal="left" vertical="center" wrapText="1" indent="1"/>
    </xf>
    <xf numFmtId="0" fontId="96" fillId="0" borderId="203" xfId="0" applyFont="1" applyBorder="1" applyAlignment="1">
      <alignment horizontal="left" vertical="center" wrapText="1" indent="1"/>
    </xf>
    <xf numFmtId="0" fontId="293" fillId="0" borderId="664" xfId="0" applyFont="1" applyBorder="1" applyAlignment="1">
      <alignment horizontal="left" vertical="center" wrapText="1" indent="1"/>
    </xf>
    <xf numFmtId="0" fontId="96" fillId="0" borderId="664" xfId="0" applyFont="1" applyBorder="1" applyAlignment="1">
      <alignment horizontal="left" vertical="center" wrapText="1" indent="1"/>
    </xf>
    <xf numFmtId="0" fontId="96" fillId="0" borderId="776" xfId="0" applyFont="1" applyBorder="1" applyAlignment="1">
      <alignment horizontal="left" vertical="center" wrapText="1" indent="1"/>
    </xf>
    <xf numFmtId="0" fontId="96" fillId="0" borderId="774" xfId="0" applyFont="1" applyBorder="1" applyAlignment="1">
      <alignment horizontal="left" vertical="center" wrapText="1" indent="1"/>
    </xf>
    <xf numFmtId="0" fontId="96" fillId="0" borderId="775" xfId="0" applyFont="1" applyBorder="1" applyAlignment="1">
      <alignment horizontal="left" vertical="center" wrapText="1" indent="1"/>
    </xf>
    <xf numFmtId="0" fontId="96" fillId="0" borderId="73" xfId="0" applyFont="1" applyBorder="1" applyAlignment="1">
      <alignment wrapText="1"/>
    </xf>
    <xf numFmtId="0" fontId="96" fillId="0" borderId="76" xfId="0" applyFont="1" applyBorder="1" applyAlignment="1">
      <alignment wrapText="1"/>
    </xf>
    <xf numFmtId="0" fontId="24" fillId="0" borderId="77" xfId="0" applyFont="1" applyBorder="1" applyAlignment="1">
      <alignment horizontal="left" vertical="center" wrapText="1"/>
    </xf>
    <xf numFmtId="0" fontId="38" fillId="0" borderId="362" xfId="0" applyFont="1" applyBorder="1" applyAlignment="1">
      <alignment horizontal="left" vertical="center" wrapText="1" indent="1"/>
    </xf>
    <xf numFmtId="0" fontId="38" fillId="0" borderId="177" xfId="0" applyFont="1" applyBorder="1" applyAlignment="1">
      <alignment horizontal="left" vertical="center" wrapText="1" indent="1"/>
    </xf>
    <xf numFmtId="1" fontId="56" fillId="4" borderId="111" xfId="0" applyNumberFormat="1" applyFont="1" applyFill="1" applyBorder="1" applyAlignment="1">
      <alignment horizontal="center" vertical="center" wrapText="1"/>
    </xf>
    <xf numFmtId="0" fontId="38" fillId="0" borderId="100" xfId="0" applyFont="1" applyBorder="1" applyAlignment="1">
      <alignment horizontal="left" vertical="center" wrapText="1" indent="1"/>
    </xf>
    <xf numFmtId="0" fontId="38" fillId="0" borderId="111" xfId="0" applyFont="1" applyBorder="1" applyAlignment="1">
      <alignment horizontal="left" vertical="center" wrapText="1" indent="1"/>
    </xf>
    <xf numFmtId="0" fontId="295" fillId="0" borderId="111" xfId="0" applyFont="1" applyBorder="1" applyAlignment="1">
      <alignment horizontal="left" vertical="center" wrapText="1" indent="1"/>
    </xf>
    <xf numFmtId="1" fontId="56" fillId="4" borderId="177" xfId="0" applyNumberFormat="1" applyFont="1" applyFill="1" applyBorder="1" applyAlignment="1">
      <alignment horizontal="center" vertical="center" wrapText="1"/>
    </xf>
    <xf numFmtId="0" fontId="294" fillId="0" borderId="177" xfId="0" applyFont="1" applyBorder="1" applyAlignment="1">
      <alignment horizontal="left" vertical="center" wrapText="1" indent="1"/>
    </xf>
    <xf numFmtId="0" fontId="295" fillId="0" borderId="177" xfId="0" applyFont="1" applyBorder="1" applyAlignment="1">
      <alignment horizontal="left" vertical="center" wrapText="1" indent="1"/>
    </xf>
    <xf numFmtId="0" fontId="24" fillId="0" borderId="363" xfId="0" applyFont="1" applyBorder="1" applyAlignment="1">
      <alignment horizontal="left" vertical="center" wrapText="1" indent="1"/>
    </xf>
    <xf numFmtId="0" fontId="24" fillId="0" borderId="72" xfId="0" applyFont="1" applyBorder="1" applyAlignment="1">
      <alignment horizontal="left" vertical="center" wrapText="1" indent="1"/>
    </xf>
    <xf numFmtId="0" fontId="15" fillId="0" borderId="73" xfId="0" applyFont="1" applyBorder="1" applyAlignment="1">
      <alignment horizontal="left" vertical="center" indent="1"/>
    </xf>
    <xf numFmtId="0" fontId="15" fillId="0" borderId="76" xfId="0" applyFont="1" applyBorder="1" applyAlignment="1">
      <alignment horizontal="left" vertical="center" indent="1"/>
    </xf>
    <xf numFmtId="1" fontId="56" fillId="4" borderId="379" xfId="0" applyNumberFormat="1" applyFont="1" applyFill="1" applyBorder="1" applyAlignment="1">
      <alignment horizontal="center" vertical="center" wrapText="1"/>
    </xf>
    <xf numFmtId="0" fontId="24" fillId="0" borderId="73" xfId="0" applyFont="1" applyBorder="1" applyAlignment="1">
      <alignment horizontal="left" vertical="center" wrapText="1" indent="1"/>
    </xf>
    <xf numFmtId="0" fontId="71" fillId="7" borderId="493" xfId="0" applyFont="1" applyFill="1" applyBorder="1" applyAlignment="1">
      <alignment horizontal="center" vertical="center" wrapText="1"/>
    </xf>
    <xf numFmtId="0" fontId="297" fillId="0" borderId="494" xfId="0" applyFont="1" applyBorder="1" applyAlignment="1">
      <alignment vertical="center"/>
    </xf>
    <xf numFmtId="0" fontId="297" fillId="0" borderId="495" xfId="0" applyFont="1" applyBorder="1" applyAlignment="1">
      <alignment vertical="center"/>
    </xf>
    <xf numFmtId="0" fontId="71" fillId="8" borderId="858" xfId="0" applyFont="1" applyFill="1" applyBorder="1" applyAlignment="1">
      <alignment horizontal="center" vertical="center" wrapText="1"/>
    </xf>
    <xf numFmtId="0" fontId="297" fillId="0" borderId="859" xfId="0" applyFont="1" applyBorder="1" applyAlignment="1">
      <alignment vertical="center"/>
    </xf>
    <xf numFmtId="0" fontId="297" fillId="0" borderId="860" xfId="0" applyFont="1" applyBorder="1" applyAlignment="1">
      <alignment vertical="center"/>
    </xf>
    <xf numFmtId="0" fontId="9" fillId="12" borderId="531" xfId="0" applyFont="1" applyFill="1" applyBorder="1" applyAlignment="1">
      <alignment horizontal="center" vertical="center" wrapText="1"/>
    </xf>
    <xf numFmtId="0" fontId="297" fillId="0" borderId="532" xfId="0" applyFont="1" applyBorder="1" applyAlignment="1">
      <alignment vertical="center"/>
    </xf>
    <xf numFmtId="0" fontId="297" fillId="0" borderId="533" xfId="0" applyFont="1" applyBorder="1" applyAlignment="1">
      <alignment vertical="center"/>
    </xf>
    <xf numFmtId="0" fontId="9" fillId="12" borderId="532" xfId="0" applyFont="1" applyFill="1" applyBorder="1" applyAlignment="1">
      <alignment horizontal="center" vertical="center" wrapText="1"/>
    </xf>
    <xf numFmtId="0" fontId="9" fillId="12" borderId="535" xfId="0" applyFont="1" applyFill="1" applyBorder="1" applyAlignment="1">
      <alignment horizontal="center" vertical="center" textRotation="45"/>
    </xf>
    <xf numFmtId="0" fontId="297" fillId="0" borderId="70" xfId="0" applyFont="1" applyBorder="1" applyAlignment="1">
      <alignment horizontal="center" vertical="center" textRotation="45"/>
    </xf>
    <xf numFmtId="0" fontId="0" fillId="0" borderId="0" xfId="0" applyAlignment="1">
      <alignment vertical="center"/>
    </xf>
    <xf numFmtId="0" fontId="188" fillId="0" borderId="0" xfId="0" applyFont="1" applyAlignment="1">
      <alignment vertical="center"/>
    </xf>
    <xf numFmtId="0" fontId="9" fillId="2" borderId="215" xfId="0" applyFont="1" applyFill="1" applyBorder="1" applyAlignment="1">
      <alignment horizontal="center" vertical="center" textRotation="90"/>
    </xf>
    <xf numFmtId="0" fontId="297" fillId="0" borderId="55" xfId="0" applyFont="1" applyBorder="1" applyAlignment="1">
      <alignment vertical="center"/>
    </xf>
    <xf numFmtId="0" fontId="297" fillId="0" borderId="384" xfId="0" applyFont="1" applyBorder="1" applyAlignment="1">
      <alignment vertical="center"/>
    </xf>
    <xf numFmtId="0" fontId="297" fillId="0" borderId="59" xfId="0" applyFont="1" applyBorder="1" applyAlignment="1">
      <alignment vertical="center"/>
    </xf>
    <xf numFmtId="0" fontId="297" fillId="0" borderId="361" xfId="0" applyFont="1" applyBorder="1" applyAlignment="1">
      <alignment vertical="center"/>
    </xf>
    <xf numFmtId="0" fontId="297" fillId="0" borderId="65" xfId="0" applyFont="1" applyBorder="1" applyAlignment="1">
      <alignment vertical="center"/>
    </xf>
    <xf numFmtId="49" fontId="71" fillId="5" borderId="56" xfId="0" applyNumberFormat="1" applyFont="1" applyFill="1" applyBorder="1" applyAlignment="1">
      <alignment horizontal="center" vertical="center" wrapText="1"/>
    </xf>
    <xf numFmtId="0" fontId="297" fillId="0" borderId="56" xfId="0" applyFont="1" applyBorder="1" applyAlignment="1">
      <alignment vertical="center"/>
    </xf>
    <xf numFmtId="0" fontId="71" fillId="6" borderId="490" xfId="0" applyFont="1" applyFill="1" applyBorder="1" applyAlignment="1">
      <alignment horizontal="center" vertical="center" wrapText="1"/>
    </xf>
    <xf numFmtId="0" fontId="297" fillId="0" borderId="490" xfId="0" applyFont="1" applyBorder="1" applyAlignment="1">
      <alignment vertical="center"/>
    </xf>
    <xf numFmtId="0" fontId="9" fillId="10" borderId="491" xfId="0" applyFont="1" applyFill="1" applyBorder="1" applyAlignment="1">
      <alignment horizontal="center" vertical="center" wrapText="1"/>
    </xf>
    <xf numFmtId="0" fontId="297" fillId="0" borderId="492" xfId="0" applyFont="1" applyBorder="1" applyAlignment="1">
      <alignment vertical="center"/>
    </xf>
    <xf numFmtId="0" fontId="9" fillId="11" borderId="496" xfId="0" applyFont="1" applyFill="1" applyBorder="1" applyAlignment="1">
      <alignment horizontal="center" vertical="center" wrapText="1"/>
    </xf>
    <xf numFmtId="0" fontId="297" fillId="0" borderId="499" xfId="0" applyFont="1" applyBorder="1" applyAlignment="1">
      <alignment vertical="center"/>
    </xf>
    <xf numFmtId="0" fontId="9" fillId="11" borderId="497" xfId="0" applyFont="1" applyFill="1" applyBorder="1" applyAlignment="1">
      <alignment horizontal="center" vertical="center" wrapText="1"/>
    </xf>
    <xf numFmtId="0" fontId="297" fillId="0" borderId="497" xfId="0" applyFont="1" applyBorder="1" applyAlignment="1">
      <alignment vertical="center"/>
    </xf>
    <xf numFmtId="0" fontId="297" fillId="0" borderId="500" xfId="0" applyFont="1" applyBorder="1" applyAlignment="1">
      <alignment vertical="center"/>
    </xf>
    <xf numFmtId="0" fontId="9" fillId="11" borderId="498" xfId="0" applyFont="1" applyFill="1" applyBorder="1" applyAlignment="1">
      <alignment horizontal="center" vertical="center" wrapText="1"/>
    </xf>
    <xf numFmtId="0" fontId="297" fillId="0" borderId="501" xfId="0" applyFont="1" applyBorder="1" applyAlignment="1">
      <alignment vertical="center"/>
    </xf>
    <xf numFmtId="0" fontId="9" fillId="9" borderId="60" xfId="0" applyFont="1" applyFill="1" applyBorder="1" applyAlignment="1">
      <alignment horizontal="center" vertical="center" wrapText="1"/>
    </xf>
    <xf numFmtId="0" fontId="297" fillId="0" borderId="66" xfId="0" applyFont="1" applyBorder="1" applyAlignment="1">
      <alignment vertical="center"/>
    </xf>
    <xf numFmtId="0" fontId="9" fillId="9" borderId="571" xfId="0" applyFont="1" applyFill="1" applyBorder="1" applyAlignment="1">
      <alignment horizontal="center" vertical="center" wrapText="1"/>
    </xf>
    <xf numFmtId="0" fontId="297" fillId="0" borderId="537" xfId="0" applyFont="1" applyBorder="1" applyAlignment="1">
      <alignment vertical="center"/>
    </xf>
    <xf numFmtId="0" fontId="0" fillId="0" borderId="344" xfId="0" applyBorder="1" applyAlignment="1">
      <alignment vertical="center" indent="1"/>
    </xf>
    <xf numFmtId="0" fontId="15" fillId="0" borderId="345" xfId="0" applyFont="1" applyBorder="1" applyAlignment="1">
      <alignment vertical="center" indent="1"/>
    </xf>
    <xf numFmtId="0" fontId="294" fillId="4" borderId="111" xfId="0" applyFont="1" applyFill="1" applyBorder="1" applyAlignment="1">
      <alignment horizontal="left" vertical="center" wrapText="1" indent="1"/>
    </xf>
    <xf numFmtId="0" fontId="38" fillId="0" borderId="364" xfId="0" applyFont="1" applyBorder="1" applyAlignment="1">
      <alignment horizontal="left" vertical="center" wrapText="1" indent="1"/>
    </xf>
    <xf numFmtId="0" fontId="0" fillId="0" borderId="345" xfId="0" applyBorder="1" applyAlignment="1">
      <alignment vertical="center" indent="1"/>
    </xf>
    <xf numFmtId="0" fontId="9" fillId="12" borderId="861" xfId="0" applyFont="1" applyFill="1" applyBorder="1" applyAlignment="1">
      <alignment horizontal="center" vertical="center" wrapText="1"/>
    </xf>
    <xf numFmtId="0" fontId="9" fillId="12" borderId="862" xfId="0" applyFont="1" applyFill="1" applyBorder="1" applyAlignment="1">
      <alignment horizontal="center" vertical="center" wrapText="1"/>
    </xf>
    <xf numFmtId="0" fontId="9" fillId="12" borderId="863" xfId="0" applyFont="1" applyFill="1" applyBorder="1" applyAlignment="1">
      <alignment horizontal="center" vertical="center" wrapText="1"/>
    </xf>
    <xf numFmtId="0" fontId="61" fillId="0" borderId="344" xfId="0" applyFont="1" applyBorder="1" applyAlignment="1">
      <alignment horizontal="left" vertical="center" wrapText="1" indent="1"/>
    </xf>
    <xf numFmtId="0" fontId="61" fillId="0" borderId="345" xfId="0" applyFont="1" applyBorder="1" applyAlignment="1">
      <alignment horizontal="left" vertical="center" wrapText="1" indent="1"/>
    </xf>
    <xf numFmtId="0" fontId="97" fillId="0" borderId="344" xfId="0" applyFont="1" applyBorder="1" applyAlignment="1">
      <alignment horizontal="left" vertical="center" wrapText="1" indent="1"/>
    </xf>
    <xf numFmtId="0" fontId="97" fillId="0" borderId="345" xfId="0" applyFont="1" applyBorder="1" applyAlignment="1">
      <alignment horizontal="left" vertical="center" wrapText="1" indent="1"/>
    </xf>
    <xf numFmtId="0" fontId="293" fillId="0" borderId="362" xfId="0" applyFont="1" applyBorder="1" applyAlignment="1">
      <alignment horizontal="left" vertical="center" wrapText="1" indent="1"/>
    </xf>
    <xf numFmtId="0" fontId="96" fillId="0" borderId="362" xfId="0" applyFont="1" applyBorder="1" applyAlignment="1">
      <alignment horizontal="left" vertical="center" wrapText="1" indent="1"/>
    </xf>
    <xf numFmtId="0" fontId="96" fillId="0" borderId="388" xfId="0" applyFont="1" applyBorder="1" applyAlignment="1">
      <alignment horizontal="left" vertical="center" wrapText="1" indent="1"/>
    </xf>
    <xf numFmtId="0" fontId="293" fillId="0" borderId="177" xfId="0" applyFont="1" applyBorder="1" applyAlignment="1">
      <alignment horizontal="left" vertical="center" wrapText="1" indent="1"/>
    </xf>
    <xf numFmtId="0" fontId="96" fillId="0" borderId="556" xfId="0" applyFont="1" applyBorder="1" applyAlignment="1">
      <alignment horizontal="left" vertical="center" wrapText="1" indent="1"/>
    </xf>
    <xf numFmtId="0" fontId="98" fillId="49" borderId="177" xfId="0" applyFont="1" applyFill="1" applyBorder="1" applyAlignment="1">
      <alignment horizontal="center" vertical="center" wrapText="1" indent="1"/>
    </xf>
    <xf numFmtId="0" fontId="98" fillId="49" borderId="109" xfId="0" applyFont="1" applyFill="1" applyBorder="1" applyAlignment="1">
      <alignment horizontal="center" vertical="center" wrapText="1" indent="1"/>
    </xf>
    <xf numFmtId="0" fontId="35" fillId="12" borderId="343" xfId="0" applyFont="1" applyFill="1" applyBorder="1" applyAlignment="1">
      <alignment horizontal="left" vertical="center" indent="1"/>
    </xf>
    <xf numFmtId="0" fontId="99" fillId="0" borderId="350" xfId="0" applyFont="1" applyBorder="1" applyAlignment="1">
      <alignment horizontal="left" vertical="center" indent="1"/>
    </xf>
    <xf numFmtId="0" fontId="107" fillId="12" borderId="350" xfId="0" applyFont="1" applyFill="1" applyBorder="1" applyAlignment="1">
      <alignment horizontal="center" vertical="center"/>
    </xf>
    <xf numFmtId="0" fontId="99" fillId="0" borderId="350" xfId="0" applyFont="1" applyBorder="1" applyAlignment="1">
      <alignment vertical="center"/>
    </xf>
    <xf numFmtId="0" fontId="99" fillId="0" borderId="300" xfId="0" applyFont="1" applyBorder="1" applyAlignment="1">
      <alignment vertical="center"/>
    </xf>
    <xf numFmtId="0" fontId="99" fillId="0" borderId="118" xfId="0" applyFont="1" applyBorder="1" applyAlignment="1">
      <alignment horizontal="left" vertical="center" indent="1"/>
    </xf>
    <xf numFmtId="0" fontId="96" fillId="49" borderId="177" xfId="0" applyFont="1" applyFill="1" applyBorder="1" applyAlignment="1">
      <alignment horizontal="left" vertical="center" wrapText="1" indent="1"/>
    </xf>
    <xf numFmtId="0" fontId="96" fillId="49" borderId="109" xfId="0" applyFont="1" applyFill="1" applyBorder="1" applyAlignment="1">
      <alignment horizontal="left" vertical="center" wrapText="1" indent="1"/>
    </xf>
    <xf numFmtId="0" fontId="96" fillId="49" borderId="557" xfId="0" applyFont="1" applyFill="1" applyBorder="1" applyAlignment="1">
      <alignment horizontal="left" vertical="center" wrapText="1" indent="1"/>
    </xf>
    <xf numFmtId="0" fontId="96" fillId="49" borderId="556" xfId="0" applyFont="1" applyFill="1" applyBorder="1" applyAlignment="1">
      <alignment horizontal="left" vertical="center" wrapText="1" indent="1"/>
    </xf>
    <xf numFmtId="0" fontId="95" fillId="49" borderId="94" xfId="0" applyFont="1" applyFill="1" applyBorder="1" applyAlignment="1">
      <alignment horizontal="left" vertical="center" wrapText="1" indent="1"/>
    </xf>
    <xf numFmtId="0" fontId="95" fillId="49" borderId="96" xfId="0" applyFont="1" applyFill="1" applyBorder="1" applyAlignment="1">
      <alignment horizontal="left" vertical="center" wrapText="1" indent="1"/>
    </xf>
    <xf numFmtId="0" fontId="95" fillId="49" borderId="177" xfId="0" applyFont="1" applyFill="1" applyBorder="1" applyAlignment="1">
      <alignment horizontal="left" vertical="center" wrapText="1" indent="1"/>
    </xf>
    <xf numFmtId="0" fontId="95" fillId="49" borderId="109" xfId="0" applyFont="1" applyFill="1" applyBorder="1" applyAlignment="1">
      <alignment horizontal="left" vertical="center" wrapText="1" indent="1"/>
    </xf>
    <xf numFmtId="0" fontId="96" fillId="49" borderId="362" xfId="0" applyFont="1" applyFill="1" applyBorder="1" applyAlignment="1">
      <alignment horizontal="left" vertical="center" wrapText="1" indent="1"/>
    </xf>
    <xf numFmtId="0" fontId="96" fillId="49" borderId="388" xfId="0" applyFont="1" applyFill="1" applyBorder="1" applyAlignment="1">
      <alignment horizontal="left" vertical="center" wrapText="1" indent="1"/>
    </xf>
    <xf numFmtId="0" fontId="274" fillId="47" borderId="973" xfId="0" applyFont="1" applyFill="1" applyBorder="1" applyAlignment="1">
      <alignment horizontal="center" vertical="center" textRotation="90" wrapText="1"/>
    </xf>
    <xf numFmtId="0" fontId="274" fillId="47" borderId="553" xfId="0" applyFont="1" applyFill="1" applyBorder="1" applyAlignment="1">
      <alignment horizontal="center" vertical="center" textRotation="90" wrapText="1"/>
    </xf>
    <xf numFmtId="0" fontId="274" fillId="47" borderId="971" xfId="0" applyFont="1" applyFill="1" applyBorder="1" applyAlignment="1">
      <alignment horizontal="center" vertical="center" textRotation="90" wrapText="1"/>
    </xf>
    <xf numFmtId="0" fontId="274" fillId="44" borderId="972" xfId="0" applyFont="1" applyFill="1" applyBorder="1" applyAlignment="1">
      <alignment horizontal="center" vertical="center" textRotation="90" wrapText="1"/>
    </xf>
    <xf numFmtId="0" fontId="274" fillId="44" borderId="366" xfId="0" applyFont="1" applyFill="1" applyBorder="1" applyAlignment="1">
      <alignment horizontal="center" vertical="center" textRotation="90"/>
    </xf>
    <xf numFmtId="0" fontId="274" fillId="44" borderId="628" xfId="0" applyFont="1" applyFill="1" applyBorder="1" applyAlignment="1">
      <alignment horizontal="center" vertical="center" textRotation="90"/>
    </xf>
    <xf numFmtId="0" fontId="274" fillId="44" borderId="366" xfId="0" applyFont="1" applyFill="1" applyBorder="1" applyAlignment="1">
      <alignment horizontal="center" vertical="center" textRotation="90" wrapText="1"/>
    </xf>
    <xf numFmtId="0" fontId="312" fillId="47" borderId="552" xfId="0" applyFont="1" applyFill="1" applyBorder="1" applyAlignment="1">
      <alignment horizontal="center" vertical="center" textRotation="90" wrapText="1"/>
    </xf>
    <xf numFmtId="0" fontId="312" fillId="47" borderId="553" xfId="0" applyFont="1" applyFill="1" applyBorder="1" applyAlignment="1">
      <alignment horizontal="center" vertical="center" textRotation="90" wrapText="1"/>
    </xf>
    <xf numFmtId="0" fontId="312" fillId="47" borderId="971" xfId="0" applyFont="1" applyFill="1" applyBorder="1" applyAlignment="1">
      <alignment horizontal="center" vertical="center" textRotation="90" wrapText="1"/>
    </xf>
    <xf numFmtId="0" fontId="274" fillId="44" borderId="82" xfId="0" applyFont="1" applyFill="1" applyBorder="1" applyAlignment="1">
      <alignment horizontal="center" vertical="center" textRotation="90"/>
    </xf>
    <xf numFmtId="0" fontId="312" fillId="47" borderId="973" xfId="0" applyFont="1" applyFill="1" applyBorder="1" applyAlignment="1">
      <alignment horizontal="center" vertical="center" textRotation="90" wrapText="1"/>
    </xf>
    <xf numFmtId="0" fontId="274" fillId="44" borderId="972" xfId="0" applyFont="1" applyFill="1" applyBorder="1" applyAlignment="1">
      <alignment horizontal="center" vertical="center" textRotation="90"/>
    </xf>
    <xf numFmtId="0" fontId="312" fillId="47" borderId="897" xfId="0" applyFont="1" applyFill="1" applyBorder="1" applyAlignment="1">
      <alignment horizontal="center" vertical="center" textRotation="90" wrapText="1"/>
    </xf>
    <xf numFmtId="0" fontId="274" fillId="47" borderId="552" xfId="0" applyFont="1" applyFill="1" applyBorder="1" applyAlignment="1">
      <alignment horizontal="center" vertical="center" textRotation="90" wrapText="1"/>
    </xf>
    <xf numFmtId="0" fontId="274" fillId="44" borderId="82" xfId="0" applyFont="1" applyFill="1" applyBorder="1" applyAlignment="1">
      <alignment horizontal="center" vertical="center" textRotation="90" wrapText="1"/>
    </xf>
    <xf numFmtId="0" fontId="274" fillId="44" borderId="628" xfId="0" applyFont="1" applyFill="1" applyBorder="1" applyAlignment="1">
      <alignment horizontal="center" vertical="center" textRotation="90" wrapText="1"/>
    </xf>
    <xf numFmtId="0" fontId="15" fillId="0" borderId="80" xfId="0" applyFont="1" applyBorder="1" applyAlignment="1">
      <alignment horizontal="left" vertical="center" indent="1"/>
    </xf>
    <xf numFmtId="0" fontId="15" fillId="0" borderId="51" xfId="0" applyFont="1" applyBorder="1" applyAlignment="1">
      <alignment horizontal="left" vertical="center" indent="1"/>
    </xf>
    <xf numFmtId="0" fontId="15" fillId="0" borderId="48" xfId="0" applyFont="1" applyBorder="1" applyAlignment="1">
      <alignment horizontal="left" vertical="center" indent="1"/>
    </xf>
    <xf numFmtId="0" fontId="40" fillId="0" borderId="876" xfId="0" applyFont="1" applyBorder="1" applyAlignment="1">
      <alignment horizontal="left" vertical="center" wrapText="1" indent="1"/>
    </xf>
    <xf numFmtId="0" fontId="15" fillId="0" borderId="874" xfId="0" applyFont="1" applyBorder="1" applyAlignment="1">
      <alignment horizontal="left" vertical="center" indent="1"/>
    </xf>
    <xf numFmtId="0" fontId="15" fillId="0" borderId="978" xfId="0" applyFont="1" applyBorder="1" applyAlignment="1">
      <alignment horizontal="left" vertical="center" indent="1"/>
    </xf>
    <xf numFmtId="0" fontId="52" fillId="2" borderId="102" xfId="0" applyFont="1" applyFill="1" applyBorder="1" applyAlignment="1">
      <alignment horizontal="left" vertical="center" indent="1"/>
    </xf>
    <xf numFmtId="0" fontId="99" fillId="0" borderId="327" xfId="0" applyFont="1" applyBorder="1" applyAlignment="1">
      <alignment horizontal="left" vertical="center" indent="1"/>
    </xf>
    <xf numFmtId="0" fontId="130" fillId="2" borderId="327" xfId="0" applyFont="1" applyFill="1" applyBorder="1" applyAlignment="1">
      <alignment horizontal="center" vertical="center"/>
    </xf>
    <xf numFmtId="0" fontId="99" fillId="0" borderId="327" xfId="0" applyFont="1" applyBorder="1" applyAlignment="1">
      <alignment vertical="center"/>
    </xf>
    <xf numFmtId="0" fontId="99" fillId="0" borderId="312" xfId="0" applyFont="1" applyBorder="1" applyAlignment="1">
      <alignment vertical="center"/>
    </xf>
    <xf numFmtId="0" fontId="14" fillId="0" borderId="0" xfId="0" applyFont="1" applyAlignment="1">
      <alignment horizontal="left" vertical="center" wrapText="1" indent="1"/>
    </xf>
    <xf numFmtId="0" fontId="0" fillId="0" borderId="0" xfId="0" applyAlignment="1">
      <alignment horizontal="left" vertical="center" indent="1"/>
    </xf>
    <xf numFmtId="0" fontId="24" fillId="0" borderId="39" xfId="0" applyFont="1" applyBorder="1" applyAlignment="1">
      <alignment horizontal="left" vertical="center" wrapText="1" indent="1"/>
    </xf>
    <xf numFmtId="0" fontId="15" fillId="0" borderId="34" xfId="0" applyFont="1" applyBorder="1" applyAlignment="1">
      <alignment vertical="center" indent="1"/>
    </xf>
    <xf numFmtId="0" fontId="15" fillId="0" borderId="484" xfId="0" applyFont="1" applyBorder="1" applyAlignment="1">
      <alignment vertical="center" indent="1"/>
    </xf>
    <xf numFmtId="0" fontId="294" fillId="4" borderId="39" xfId="0" applyFont="1" applyFill="1" applyBorder="1" applyAlignment="1">
      <alignment horizontal="left" vertical="center" wrapText="1" indent="1"/>
    </xf>
    <xf numFmtId="1" fontId="56" fillId="0" borderId="39" xfId="0" applyNumberFormat="1" applyFont="1" applyBorder="1" applyAlignment="1">
      <alignment horizontal="center" vertical="center" wrapText="1"/>
    </xf>
    <xf numFmtId="0" fontId="109" fillId="0" borderId="34" xfId="0" applyFont="1" applyBorder="1" applyAlignment="1">
      <alignment vertical="center"/>
    </xf>
    <xf numFmtId="0" fontId="109" fillId="0" borderId="484" xfId="0" applyFont="1" applyBorder="1" applyAlignment="1">
      <alignment vertical="center"/>
    </xf>
    <xf numFmtId="0" fontId="294" fillId="0" borderId="39" xfId="0" applyFont="1" applyBorder="1" applyAlignment="1">
      <alignment horizontal="left" vertical="center" wrapText="1" indent="1"/>
    </xf>
    <xf numFmtId="0" fontId="312" fillId="2" borderId="979" xfId="0" applyFont="1" applyFill="1" applyBorder="1" applyAlignment="1">
      <alignment horizontal="center" vertical="center" textRotation="90" wrapText="1"/>
    </xf>
    <xf numFmtId="0" fontId="312" fillId="2" borderId="553" xfId="0" applyFont="1" applyFill="1" applyBorder="1" applyAlignment="1">
      <alignment horizontal="center" vertical="center" textRotation="90" wrapText="1"/>
    </xf>
    <xf numFmtId="0" fontId="312" fillId="12" borderId="754" xfId="0" applyFont="1" applyFill="1" applyBorder="1" applyAlignment="1">
      <alignment horizontal="center" vertical="center" textRotation="90" wrapText="1"/>
    </xf>
    <xf numFmtId="0" fontId="312" fillId="12" borderId="366" xfId="0" applyFont="1" applyFill="1" applyBorder="1" applyAlignment="1">
      <alignment horizontal="center" vertical="center" textRotation="90" wrapText="1"/>
    </xf>
    <xf numFmtId="0" fontId="15" fillId="0" borderId="37" xfId="0" applyFont="1" applyBorder="1" applyAlignment="1">
      <alignment vertical="center" indent="1"/>
    </xf>
    <xf numFmtId="0" fontId="24" fillId="0" borderId="387" xfId="0" applyFont="1" applyBorder="1" applyAlignment="1">
      <alignment horizontal="left" vertical="center" wrapText="1" indent="1"/>
    </xf>
    <xf numFmtId="0" fontId="15" fillId="0" borderId="162" xfId="0" applyFont="1" applyBorder="1" applyAlignment="1">
      <alignment vertical="center" indent="1"/>
    </xf>
    <xf numFmtId="0" fontId="15" fillId="0" borderId="166" xfId="0" applyFont="1" applyBorder="1" applyAlignment="1">
      <alignment vertical="center" indent="1"/>
    </xf>
    <xf numFmtId="0" fontId="294" fillId="4" borderId="387" xfId="0" applyFont="1" applyFill="1" applyBorder="1" applyAlignment="1">
      <alignment horizontal="left" vertical="center" wrapText="1" indent="1"/>
    </xf>
    <xf numFmtId="0" fontId="109" fillId="0" borderId="37" xfId="0" applyFont="1" applyBorder="1" applyAlignment="1">
      <alignment vertical="center"/>
    </xf>
    <xf numFmtId="1" fontId="56" fillId="0" borderId="387" xfId="0" applyNumberFormat="1" applyFont="1" applyBorder="1" applyAlignment="1">
      <alignment horizontal="center" vertical="center" wrapText="1"/>
    </xf>
    <xf numFmtId="0" fontId="109" fillId="0" borderId="162" xfId="0" applyFont="1" applyBorder="1" applyAlignment="1">
      <alignment vertical="center"/>
    </xf>
    <xf numFmtId="0" fontId="109" fillId="0" borderId="166" xfId="0" applyFont="1" applyBorder="1" applyAlignment="1">
      <alignment vertical="center"/>
    </xf>
    <xf numFmtId="0" fontId="294" fillId="0" borderId="387" xfId="0" applyFont="1" applyBorder="1" applyAlignment="1">
      <alignment horizontal="left" vertical="center" wrapText="1" indent="1"/>
    </xf>
    <xf numFmtId="0" fontId="15" fillId="0" borderId="688" xfId="0" applyFont="1" applyBorder="1" applyAlignment="1">
      <alignment vertical="center" indent="1"/>
    </xf>
    <xf numFmtId="0" fontId="38" fillId="0" borderId="158" xfId="0" applyFont="1" applyBorder="1" applyAlignment="1">
      <alignment horizontal="left" vertical="center" wrapText="1" indent="1"/>
    </xf>
    <xf numFmtId="0" fontId="15" fillId="0" borderId="157" xfId="0" applyFont="1" applyBorder="1" applyAlignment="1">
      <alignment vertical="center" indent="1"/>
    </xf>
    <xf numFmtId="0" fontId="15" fillId="0" borderId="687" xfId="0" applyFont="1" applyBorder="1" applyAlignment="1">
      <alignment vertical="center" indent="1"/>
    </xf>
    <xf numFmtId="0" fontId="38" fillId="0" borderId="39" xfId="0" applyFont="1" applyBorder="1" applyAlignment="1">
      <alignment horizontal="left" vertical="center" wrapText="1" indent="1"/>
    </xf>
    <xf numFmtId="1" fontId="56" fillId="0" borderId="386" xfId="0" applyNumberFormat="1" applyFont="1" applyBorder="1" applyAlignment="1">
      <alignment horizontal="center" vertical="center" wrapText="1"/>
    </xf>
    <xf numFmtId="0" fontId="109" fillId="0" borderId="231" xfId="0" applyFont="1" applyBorder="1" applyAlignment="1">
      <alignment vertical="center"/>
    </xf>
    <xf numFmtId="1" fontId="56" fillId="0" borderId="44" xfId="0" applyNumberFormat="1" applyFont="1" applyBorder="1" applyAlignment="1">
      <alignment horizontal="center" vertical="center" wrapText="1"/>
    </xf>
    <xf numFmtId="0" fontId="109" fillId="0" borderId="43" xfId="0" applyFont="1" applyBorder="1" applyAlignment="1">
      <alignment vertical="center"/>
    </xf>
    <xf numFmtId="0" fontId="294" fillId="0" borderId="386" xfId="0" applyFont="1" applyBorder="1" applyAlignment="1">
      <alignment horizontal="left" vertical="center" wrapText="1" indent="1"/>
    </xf>
    <xf numFmtId="0" fontId="15" fillId="0" borderId="231" xfId="0" applyFont="1" applyBorder="1" applyAlignment="1">
      <alignment vertical="center" indent="1"/>
    </xf>
    <xf numFmtId="0" fontId="15" fillId="0" borderId="159" xfId="0" applyFont="1" applyBorder="1" applyAlignment="1">
      <alignment vertical="center" indent="1"/>
    </xf>
    <xf numFmtId="0" fontId="38" fillId="0" borderId="127" xfId="0" applyFont="1" applyBorder="1" applyAlignment="1">
      <alignment horizontal="left" vertical="center" wrapText="1" indent="1"/>
    </xf>
    <xf numFmtId="0" fontId="38" fillId="0" borderId="94" xfId="0" applyFont="1" applyBorder="1" applyAlignment="1">
      <alignment horizontal="left" vertical="center" wrapText="1" indent="1"/>
    </xf>
    <xf numFmtId="0" fontId="38" fillId="0" borderId="96" xfId="0" applyFont="1" applyBorder="1" applyAlignment="1">
      <alignment horizontal="left" vertical="center" wrapText="1" indent="1"/>
    </xf>
    <xf numFmtId="0" fontId="24" fillId="0" borderId="109" xfId="0" applyFont="1" applyBorder="1" applyAlignment="1">
      <alignment horizontal="left" vertical="center" wrapText="1" indent="1"/>
    </xf>
    <xf numFmtId="0" fontId="294" fillId="4" borderId="44" xfId="0" applyFont="1" applyFill="1" applyBorder="1" applyAlignment="1">
      <alignment horizontal="left" vertical="center" wrapText="1" indent="1"/>
    </xf>
    <xf numFmtId="0" fontId="15" fillId="0" borderId="43" xfId="0" applyFont="1" applyBorder="1" applyAlignment="1">
      <alignment vertical="center" indent="1"/>
    </xf>
    <xf numFmtId="0" fontId="24" fillId="4" borderId="44" xfId="0" applyFont="1" applyFill="1" applyBorder="1" applyAlignment="1">
      <alignment horizontal="left" vertical="center" wrapText="1" indent="1"/>
    </xf>
    <xf numFmtId="0" fontId="24" fillId="0" borderId="44" xfId="0" applyFont="1" applyBorder="1" applyAlignment="1">
      <alignment horizontal="left" vertical="center" wrapText="1" indent="1"/>
    </xf>
    <xf numFmtId="0" fontId="24" fillId="0" borderId="386" xfId="0" applyFont="1" applyBorder="1" applyAlignment="1">
      <alignment horizontal="left" vertical="center" wrapText="1" indent="1"/>
    </xf>
    <xf numFmtId="0" fontId="38" fillId="0" borderId="313" xfId="0" applyFont="1" applyBorder="1" applyAlignment="1">
      <alignment horizontal="left" vertical="center" wrapText="1" indent="1"/>
    </xf>
    <xf numFmtId="0" fontId="15" fillId="0" borderId="297" xfId="0" applyFont="1" applyBorder="1" applyAlignment="1">
      <alignment vertical="center" indent="1"/>
    </xf>
    <xf numFmtId="0" fontId="15" fillId="0" borderId="382" xfId="0" applyFont="1" applyBorder="1" applyAlignment="1">
      <alignment vertical="center" indent="1"/>
    </xf>
    <xf numFmtId="0" fontId="294" fillId="4" borderId="386" xfId="0" applyFont="1" applyFill="1" applyBorder="1" applyAlignment="1">
      <alignment horizontal="left" vertical="center" wrapText="1" indent="1"/>
    </xf>
    <xf numFmtId="0" fontId="40" fillId="17" borderId="874" xfId="0" applyFont="1" applyFill="1" applyBorder="1" applyAlignment="1">
      <alignment horizontal="left" vertical="center" wrapText="1" indent="1"/>
    </xf>
    <xf numFmtId="0" fontId="15" fillId="17" borderId="874" xfId="0" applyFont="1" applyFill="1" applyBorder="1" applyAlignment="1">
      <alignment horizontal="left" vertical="center" indent="1"/>
    </xf>
    <xf numFmtId="0" fontId="15" fillId="17" borderId="875" xfId="0" applyFont="1" applyFill="1" applyBorder="1" applyAlignment="1">
      <alignment horizontal="left" vertical="center" indent="1"/>
    </xf>
    <xf numFmtId="0" fontId="38" fillId="0" borderId="295" xfId="0" applyFont="1" applyBorder="1" applyAlignment="1">
      <alignment horizontal="left" vertical="center" wrapText="1" indent="1"/>
    </xf>
    <xf numFmtId="0" fontId="15" fillId="0" borderId="299" xfId="0" applyFont="1" applyBorder="1" applyAlignment="1">
      <alignment vertical="center" indent="1"/>
    </xf>
    <xf numFmtId="0" fontId="38" fillId="0" borderId="44" xfId="0" applyFont="1" applyBorder="1" applyAlignment="1">
      <alignment horizontal="left" vertical="center" wrapText="1" indent="1"/>
    </xf>
    <xf numFmtId="0" fontId="297" fillId="0" borderId="864" xfId="0" applyFont="1" applyBorder="1" applyAlignment="1">
      <alignment vertical="center"/>
    </xf>
    <xf numFmtId="0" fontId="297" fillId="0" borderId="865" xfId="0" applyFont="1" applyBorder="1" applyAlignment="1">
      <alignment vertical="center"/>
    </xf>
    <xf numFmtId="0" fontId="40" fillId="17" borderId="873" xfId="0" applyFont="1" applyFill="1" applyBorder="1" applyAlignment="1">
      <alignment horizontal="left" vertical="center" wrapText="1" indent="1"/>
    </xf>
    <xf numFmtId="0" fontId="9" fillId="9" borderId="81" xfId="0" applyFont="1" applyFill="1" applyBorder="1" applyAlignment="1">
      <alignment horizontal="center" vertical="center" wrapText="1"/>
    </xf>
    <xf numFmtId="0" fontId="9" fillId="9" borderId="536" xfId="0" applyFont="1" applyFill="1" applyBorder="1" applyAlignment="1">
      <alignment horizontal="center" vertical="center" wrapText="1"/>
    </xf>
    <xf numFmtId="0" fontId="312" fillId="2" borderId="971" xfId="0" applyFont="1" applyFill="1" applyBorder="1" applyAlignment="1">
      <alignment horizontal="center" vertical="center" textRotation="90" wrapText="1"/>
    </xf>
    <xf numFmtId="0" fontId="312" fillId="12" borderId="628" xfId="0" applyFont="1" applyFill="1" applyBorder="1" applyAlignment="1">
      <alignment horizontal="center" vertical="center" textRotation="90" wrapText="1"/>
    </xf>
    <xf numFmtId="0" fontId="71" fillId="8" borderId="57" xfId="0" applyFont="1" applyFill="1" applyBorder="1" applyAlignment="1">
      <alignment horizontal="center" vertical="center" wrapText="1"/>
    </xf>
    <xf numFmtId="0" fontId="297" fillId="0" borderId="250" xfId="0" applyFont="1" applyBorder="1" applyAlignment="1">
      <alignment vertical="center"/>
    </xf>
    <xf numFmtId="0" fontId="297" fillId="0" borderId="58" xfId="0" applyFont="1" applyBorder="1" applyAlignment="1">
      <alignment vertical="center"/>
    </xf>
    <xf numFmtId="0" fontId="9" fillId="12" borderId="61" xfId="0" applyFont="1" applyFill="1" applyBorder="1" applyAlignment="1">
      <alignment horizontal="center" vertical="center" wrapText="1"/>
    </xf>
    <xf numFmtId="0" fontId="297" fillId="0" borderId="251" xfId="0" applyFont="1" applyBorder="1" applyAlignment="1">
      <alignment vertical="center"/>
    </xf>
    <xf numFmtId="0" fontId="297" fillId="0" borderId="62" xfId="0" applyFont="1" applyBorder="1" applyAlignment="1">
      <alignment vertical="center"/>
    </xf>
    <xf numFmtId="0" fontId="9" fillId="12" borderId="63" xfId="0" applyFont="1" applyFill="1" applyBorder="1" applyAlignment="1">
      <alignment horizontal="center" vertical="center" wrapText="1"/>
    </xf>
    <xf numFmtId="0" fontId="9" fillId="12" borderId="64" xfId="0" applyFont="1" applyFill="1" applyBorder="1" applyAlignment="1">
      <alignment horizontal="center" vertical="center" wrapText="1"/>
    </xf>
    <xf numFmtId="0" fontId="297" fillId="0" borderId="70" xfId="0" applyFont="1" applyBorder="1" applyAlignment="1">
      <alignment vertical="center"/>
    </xf>
    <xf numFmtId="0" fontId="38" fillId="0" borderId="156" xfId="0" applyFont="1" applyBorder="1" applyAlignment="1">
      <alignment horizontal="left" vertical="center" wrapText="1" indent="1"/>
    </xf>
    <xf numFmtId="0" fontId="15" fillId="0" borderId="584" xfId="0" applyFont="1" applyBorder="1" applyAlignment="1">
      <alignment vertical="center" indent="1"/>
    </xf>
    <xf numFmtId="3" fontId="56" fillId="0" borderId="39" xfId="0" applyNumberFormat="1" applyFont="1" applyBorder="1" applyAlignment="1">
      <alignment horizontal="center" vertical="center" wrapText="1"/>
    </xf>
    <xf numFmtId="3" fontId="109" fillId="0" borderId="34" xfId="0" applyNumberFormat="1" applyFont="1" applyBorder="1" applyAlignment="1">
      <alignment vertical="center"/>
    </xf>
    <xf numFmtId="3" fontId="109" fillId="0" borderId="37" xfId="0" applyNumberFormat="1" applyFont="1" applyBorder="1" applyAlignment="1">
      <alignment vertical="center"/>
    </xf>
    <xf numFmtId="0" fontId="38" fillId="0" borderId="379" xfId="0" applyFont="1" applyBorder="1" applyAlignment="1">
      <alignment horizontal="left" vertical="center" wrapText="1" indent="1"/>
    </xf>
    <xf numFmtId="0" fontId="38" fillId="0" borderId="109" xfId="0" applyFont="1" applyBorder="1" applyAlignment="1">
      <alignment horizontal="left" vertical="center" wrapText="1" indent="1"/>
    </xf>
    <xf numFmtId="0" fontId="24" fillId="4" borderId="379" xfId="0" applyFont="1" applyFill="1" applyBorder="1" applyAlignment="1">
      <alignment horizontal="left" vertical="center" wrapText="1" indent="1"/>
    </xf>
    <xf numFmtId="0" fontId="24" fillId="4" borderId="177" xfId="0" applyFont="1" applyFill="1" applyBorder="1" applyAlignment="1">
      <alignment horizontal="left" vertical="center" wrapText="1" indent="1"/>
    </xf>
    <xf numFmtId="0" fontId="24" fillId="4" borderId="109" xfId="0" applyFont="1" applyFill="1" applyBorder="1" applyAlignment="1">
      <alignment horizontal="left" vertical="center" wrapText="1" indent="1"/>
    </xf>
    <xf numFmtId="1" fontId="56" fillId="0" borderId="379" xfId="0" applyNumberFormat="1" applyFont="1" applyBorder="1" applyAlignment="1">
      <alignment horizontal="center" vertical="center" wrapText="1"/>
    </xf>
    <xf numFmtId="1" fontId="56" fillId="0" borderId="109" xfId="0" applyNumberFormat="1" applyFont="1" applyBorder="1" applyAlignment="1">
      <alignment horizontal="center" vertical="center" wrapText="1"/>
    </xf>
    <xf numFmtId="3" fontId="109" fillId="0" borderId="43" xfId="0" applyNumberFormat="1" applyFont="1" applyBorder="1" applyAlignment="1">
      <alignment vertical="center"/>
    </xf>
    <xf numFmtId="0" fontId="294" fillId="0" borderId="44" xfId="0" applyFont="1" applyBorder="1" applyAlignment="1">
      <alignment horizontal="left" vertical="center" wrapText="1" indent="1"/>
    </xf>
    <xf numFmtId="0" fontId="294" fillId="0" borderId="379" xfId="0" applyFont="1" applyBorder="1" applyAlignment="1">
      <alignment horizontal="left" vertical="center" wrapText="1" indent="1"/>
    </xf>
    <xf numFmtId="0" fontId="294" fillId="0" borderId="109" xfId="0" applyFont="1" applyBorder="1" applyAlignment="1">
      <alignment horizontal="left" vertical="center" wrapText="1" indent="1"/>
    </xf>
    <xf numFmtId="0" fontId="24" fillId="0" borderId="28" xfId="0" applyFont="1" applyBorder="1" applyAlignment="1">
      <alignment horizontal="left" vertical="center" wrapText="1" indent="1"/>
    </xf>
    <xf numFmtId="0" fontId="24" fillId="0" borderId="378" xfId="0" applyFont="1" applyBorder="1" applyAlignment="1">
      <alignment horizontal="left" vertical="center" wrapText="1" indent="1"/>
    </xf>
    <xf numFmtId="0" fontId="313" fillId="29" borderId="553" xfId="0" applyFont="1" applyFill="1" applyBorder="1" applyAlignment="1">
      <alignment horizontal="center" vertical="center" textRotation="90"/>
    </xf>
    <xf numFmtId="0" fontId="313" fillId="29" borderId="980" xfId="0" applyFont="1" applyFill="1" applyBorder="1" applyAlignment="1">
      <alignment horizontal="center" vertical="center" textRotation="90"/>
    </xf>
    <xf numFmtId="0" fontId="314" fillId="44" borderId="366" xfId="0" applyFont="1" applyFill="1" applyBorder="1" applyAlignment="1">
      <alignment horizontal="center" vertical="center" textRotation="90"/>
    </xf>
    <xf numFmtId="0" fontId="9" fillId="12" borderId="397" xfId="0" applyFont="1" applyFill="1" applyBorder="1" applyAlignment="1">
      <alignment horizontal="center" vertical="center" wrapText="1"/>
    </xf>
    <xf numFmtId="0" fontId="9" fillId="12" borderId="566" xfId="0" applyFont="1" applyFill="1" applyBorder="1" applyAlignment="1">
      <alignment horizontal="center" vertical="center" wrapText="1"/>
    </xf>
    <xf numFmtId="0" fontId="9" fillId="12" borderId="126" xfId="0" applyFont="1" applyFill="1" applyBorder="1" applyAlignment="1">
      <alignment horizontal="center" vertical="center" wrapText="1"/>
    </xf>
    <xf numFmtId="0" fontId="24" fillId="17" borderId="876" xfId="0" applyFont="1" applyFill="1" applyBorder="1" applyAlignment="1">
      <alignment horizontal="left" vertical="center" wrapText="1" indent="1"/>
    </xf>
    <xf numFmtId="0" fontId="40" fillId="0" borderId="874" xfId="0" applyFont="1" applyBorder="1" applyAlignment="1">
      <alignment horizontal="left" vertical="center" wrapText="1" indent="1"/>
    </xf>
    <xf numFmtId="0" fontId="15" fillId="0" borderId="875" xfId="0" applyFont="1" applyBorder="1" applyAlignment="1">
      <alignment horizontal="left" vertical="center" indent="1"/>
    </xf>
    <xf numFmtId="0" fontId="24" fillId="4" borderId="39" xfId="0" applyFont="1" applyFill="1" applyBorder="1" applyAlignment="1">
      <alignment horizontal="left" vertical="center" wrapText="1" indent="1"/>
    </xf>
    <xf numFmtId="0" fontId="96" fillId="0" borderId="51" xfId="0" applyFont="1" applyBorder="1" applyAlignment="1">
      <alignment horizontal="left" vertical="center" indent="1"/>
    </xf>
    <xf numFmtId="0" fontId="96" fillId="0" borderId="80" xfId="0" applyFont="1" applyBorder="1" applyAlignment="1">
      <alignment horizontal="left" vertical="center" indent="1"/>
    </xf>
    <xf numFmtId="4" fontId="52" fillId="2" borderId="327" xfId="0" applyNumberFormat="1" applyFont="1" applyFill="1" applyBorder="1" applyAlignment="1">
      <alignment horizontal="left" vertical="center" wrapText="1" indent="1"/>
    </xf>
    <xf numFmtId="0" fontId="98" fillId="0" borderId="327" xfId="0" applyFont="1" applyBorder="1" applyAlignment="1">
      <alignment horizontal="left" vertical="center" indent="1"/>
    </xf>
    <xf numFmtId="4" fontId="52" fillId="2" borderId="327" xfId="0" applyNumberFormat="1" applyFont="1" applyFill="1" applyBorder="1" applyAlignment="1">
      <alignment horizontal="center" vertical="center" wrapText="1"/>
    </xf>
    <xf numFmtId="0" fontId="14" fillId="0" borderId="344" xfId="0" applyFont="1" applyBorder="1" applyAlignment="1">
      <alignment horizontal="left" vertical="center" wrapText="1" indent="1"/>
    </xf>
    <xf numFmtId="0" fontId="96" fillId="0" borderId="48" xfId="0" applyFont="1" applyBorder="1" applyAlignment="1">
      <alignment horizontal="left" vertical="center" indent="1"/>
    </xf>
    <xf numFmtId="0" fontId="24" fillId="17" borderId="98" xfId="0" applyFont="1" applyFill="1" applyBorder="1" applyAlignment="1">
      <alignment horizontal="left" vertical="center" wrapText="1" indent="1"/>
    </xf>
    <xf numFmtId="0" fontId="15" fillId="17" borderId="95" xfId="0" applyFont="1" applyFill="1" applyBorder="1" applyAlignment="1">
      <alignment horizontal="left" vertical="center" indent="1"/>
    </xf>
    <xf numFmtId="0" fontId="15" fillId="17" borderId="97" xfId="0" applyFont="1" applyFill="1" applyBorder="1" applyAlignment="1">
      <alignment horizontal="left" vertical="center" indent="1"/>
    </xf>
    <xf numFmtId="0" fontId="35" fillId="12" borderId="213" xfId="0" applyFont="1" applyFill="1" applyBorder="1" applyAlignment="1">
      <alignment horizontal="left" vertical="center" indent="1"/>
    </xf>
    <xf numFmtId="0" fontId="295" fillId="4" borderId="364" xfId="0" applyFont="1" applyFill="1" applyBorder="1" applyAlignment="1">
      <alignment horizontal="left" vertical="center" wrapText="1" indent="1"/>
    </xf>
    <xf numFmtId="0" fontId="15" fillId="0" borderId="344" xfId="0" applyFont="1" applyBorder="1" applyAlignment="1">
      <alignment vertical="center" indent="1"/>
    </xf>
    <xf numFmtId="0" fontId="337" fillId="0" borderId="111" xfId="0" applyFont="1" applyBorder="1" applyAlignment="1">
      <alignment horizontal="left" vertical="center" wrapText="1" indent="1"/>
    </xf>
    <xf numFmtId="0" fontId="339" fillId="0" borderId="177" xfId="0" applyFont="1" applyBorder="1" applyAlignment="1">
      <alignment vertical="center" indent="1"/>
    </xf>
    <xf numFmtId="0" fontId="339" fillId="0" borderId="109" xfId="0" applyFont="1" applyBorder="1" applyAlignment="1">
      <alignment vertical="center" indent="1"/>
    </xf>
    <xf numFmtId="0" fontId="342" fillId="0" borderId="177" xfId="0" applyFont="1" applyBorder="1" applyAlignment="1">
      <alignment horizontal="left" vertical="center" wrapText="1" indent="1"/>
    </xf>
    <xf numFmtId="0" fontId="294" fillId="4" borderId="177" xfId="0" applyFont="1" applyFill="1" applyBorder="1" applyAlignment="1">
      <alignment horizontal="left" vertical="center" wrapText="1" indent="1"/>
    </xf>
    <xf numFmtId="0" fontId="24" fillId="0" borderId="372" xfId="0" applyFont="1" applyBorder="1" applyAlignment="1">
      <alignment horizontal="left" vertical="center" wrapText="1" indent="1"/>
    </xf>
    <xf numFmtId="0" fontId="15" fillId="0" borderId="372" xfId="0" applyFont="1" applyBorder="1" applyAlignment="1">
      <alignment vertical="center" indent="1"/>
    </xf>
    <xf numFmtId="0" fontId="15" fillId="0" borderId="203" xfId="0" applyFont="1" applyBorder="1" applyAlignment="1">
      <alignment vertical="center" indent="1"/>
    </xf>
    <xf numFmtId="0" fontId="24" fillId="0" borderId="98" xfId="0" applyFont="1" applyBorder="1" applyAlignment="1">
      <alignment horizontal="left" vertical="center" wrapText="1" indent="1"/>
    </xf>
    <xf numFmtId="0" fontId="15" fillId="0" borderId="95" xfId="0" applyFont="1" applyBorder="1" applyAlignment="1">
      <alignment horizontal="left" vertical="center" indent="1"/>
    </xf>
    <xf numFmtId="0" fontId="15" fillId="0" borderId="97" xfId="0" applyFont="1" applyBorder="1" applyAlignment="1">
      <alignment horizontal="left" vertical="center" indent="1"/>
    </xf>
    <xf numFmtId="0" fontId="24" fillId="17" borderId="95" xfId="0" applyFont="1" applyFill="1" applyBorder="1" applyAlignment="1">
      <alignment horizontal="left" vertical="center" wrapText="1" indent="1"/>
    </xf>
    <xf numFmtId="0" fontId="24" fillId="0" borderId="95" xfId="0" applyFont="1" applyBorder="1" applyAlignment="1">
      <alignment horizontal="left" vertical="center" wrapText="1" indent="1"/>
    </xf>
    <xf numFmtId="0" fontId="101" fillId="0" borderId="350" xfId="0" applyFont="1" applyBorder="1" applyAlignment="1">
      <alignment vertical="center" indent="1"/>
    </xf>
    <xf numFmtId="0" fontId="99" fillId="0" borderId="585" xfId="0" applyFont="1" applyBorder="1" applyAlignment="1">
      <alignment vertical="center" indent="1"/>
    </xf>
    <xf numFmtId="0" fontId="107" fillId="12" borderId="587" xfId="0" applyFont="1" applyFill="1" applyBorder="1" applyAlignment="1">
      <alignment horizontal="center" vertical="center"/>
    </xf>
    <xf numFmtId="0" fontId="101" fillId="0" borderId="350" xfId="0" applyFont="1" applyBorder="1" applyAlignment="1">
      <alignment vertical="center"/>
    </xf>
    <xf numFmtId="0" fontId="24" fillId="0" borderId="371" xfId="0" applyFont="1" applyBorder="1" applyAlignment="1">
      <alignment horizontal="left" vertical="center" wrapText="1" indent="1"/>
    </xf>
    <xf numFmtId="0" fontId="294" fillId="0" borderId="344" xfId="0" applyFont="1" applyBorder="1" applyAlignment="1">
      <alignment horizontal="left" vertical="center" wrapText="1" indent="1"/>
    </xf>
    <xf numFmtId="0" fontId="9" fillId="12" borderId="70" xfId="0" applyFont="1" applyFill="1" applyBorder="1" applyAlignment="1">
      <alignment horizontal="center" vertical="center" wrapText="1"/>
    </xf>
    <xf numFmtId="0" fontId="15" fillId="0" borderId="94" xfId="0" applyFont="1" applyBorder="1" applyAlignment="1">
      <alignment vertical="center" indent="1"/>
    </xf>
    <xf numFmtId="0" fontId="15" fillId="0" borderId="96" xfId="0" applyFont="1" applyBorder="1" applyAlignment="1">
      <alignment vertical="center" indent="1"/>
    </xf>
    <xf numFmtId="0" fontId="42" fillId="2" borderId="327" xfId="0" applyFont="1" applyFill="1" applyBorder="1" applyAlignment="1">
      <alignment vertical="center" wrapText="1"/>
    </xf>
    <xf numFmtId="0" fontId="38" fillId="0" borderId="99" xfId="0" applyFont="1" applyBorder="1" applyAlignment="1">
      <alignment horizontal="left" vertical="center" wrapText="1" indent="1"/>
    </xf>
    <xf numFmtId="0" fontId="342" fillId="4" borderId="177" xfId="0" applyFont="1" applyFill="1" applyBorder="1" applyAlignment="1">
      <alignment horizontal="left" vertical="center" wrapText="1" indent="1"/>
    </xf>
    <xf numFmtId="0" fontId="294" fillId="4" borderId="100" xfId="0" applyFont="1" applyFill="1" applyBorder="1" applyAlignment="1">
      <alignment horizontal="left" vertical="center" wrapText="1" indent="1"/>
    </xf>
    <xf numFmtId="0" fontId="294" fillId="4" borderId="364" xfId="0" applyFont="1" applyFill="1" applyBorder="1" applyAlignment="1">
      <alignment horizontal="left" vertical="center" wrapText="1" indent="1"/>
    </xf>
    <xf numFmtId="0" fontId="24" fillId="4" borderId="364" xfId="0" applyFont="1" applyFill="1" applyBorder="1" applyAlignment="1">
      <alignment horizontal="left" vertical="center" wrapText="1" indent="1"/>
    </xf>
    <xf numFmtId="0" fontId="294" fillId="0" borderId="100" xfId="0" applyFont="1" applyBorder="1" applyAlignment="1">
      <alignment horizontal="left" vertical="center" wrapText="1" indent="1"/>
    </xf>
    <xf numFmtId="1" fontId="345" fillId="0" borderId="111" xfId="0" applyNumberFormat="1" applyFont="1" applyBorder="1" applyAlignment="1">
      <alignment horizontal="center" vertical="center" wrapText="1"/>
    </xf>
    <xf numFmtId="0" fontId="345" fillId="0" borderId="177" xfId="0" applyFont="1" applyBorder="1" applyAlignment="1">
      <alignment vertical="center"/>
    </xf>
    <xf numFmtId="0" fontId="345" fillId="0" borderId="109" xfId="0" applyFont="1" applyBorder="1" applyAlignment="1">
      <alignment vertical="center"/>
    </xf>
    <xf numFmtId="0" fontId="295" fillId="0" borderId="100" xfId="0" applyFont="1" applyBorder="1" applyAlignment="1">
      <alignment horizontal="left" vertical="center" wrapText="1" indent="1"/>
    </xf>
    <xf numFmtId="0" fontId="295" fillId="0" borderId="362" xfId="0" applyFont="1" applyBorder="1" applyAlignment="1">
      <alignment horizontal="left" vertical="center" wrapText="1" indent="1"/>
    </xf>
    <xf numFmtId="0" fontId="312" fillId="12" borderId="82" xfId="0" applyFont="1" applyFill="1" applyBorder="1" applyAlignment="1">
      <alignment horizontal="center" vertical="center" textRotation="90" wrapText="1"/>
    </xf>
    <xf numFmtId="0" fontId="312" fillId="12" borderId="370" xfId="0" applyFont="1" applyFill="1" applyBorder="1" applyAlignment="1">
      <alignment horizontal="center" vertical="center" textRotation="90" wrapText="1"/>
    </xf>
    <xf numFmtId="0" fontId="312" fillId="12" borderId="1060" xfId="0" applyFont="1" applyFill="1" applyBorder="1" applyAlignment="1">
      <alignment horizontal="center" vertical="center" textRotation="90" wrapText="1"/>
    </xf>
    <xf numFmtId="0" fontId="312" fillId="2" borderId="552" xfId="0" applyFont="1" applyFill="1" applyBorder="1" applyAlignment="1">
      <alignment horizontal="center" vertical="center" textRotation="90" wrapText="1"/>
    </xf>
    <xf numFmtId="0" fontId="312" fillId="12" borderId="972" xfId="0" applyFont="1" applyFill="1" applyBorder="1" applyAlignment="1">
      <alignment horizontal="center" vertical="center" textRotation="90" wrapText="1"/>
    </xf>
    <xf numFmtId="0" fontId="312" fillId="2" borderId="973" xfId="0" applyFont="1" applyFill="1" applyBorder="1" applyAlignment="1">
      <alignment horizontal="center" vertical="center" textRotation="90" wrapText="1"/>
    </xf>
    <xf numFmtId="0" fontId="313" fillId="44" borderId="1025" xfId="0" applyFont="1" applyFill="1" applyBorder="1" applyAlignment="1">
      <alignment horizontal="center" vertical="center" textRotation="90"/>
    </xf>
    <xf numFmtId="0" fontId="313" fillId="44" borderId="370" xfId="0" applyFont="1" applyFill="1" applyBorder="1" applyAlignment="1">
      <alignment horizontal="center" vertical="center" textRotation="90"/>
    </xf>
    <xf numFmtId="0" fontId="313" fillId="44" borderId="235" xfId="0" applyFont="1" applyFill="1" applyBorder="1" applyAlignment="1">
      <alignment horizontal="center" vertical="center" textRotation="90"/>
    </xf>
    <xf numFmtId="0" fontId="312" fillId="2" borderId="969" xfId="0" applyFont="1" applyFill="1" applyBorder="1" applyAlignment="1">
      <alignment horizontal="center" vertical="center" textRotation="90" wrapText="1"/>
    </xf>
    <xf numFmtId="0" fontId="312" fillId="2" borderId="384" xfId="0" applyFont="1" applyFill="1" applyBorder="1" applyAlignment="1">
      <alignment horizontal="center" vertical="center" textRotation="90" wrapText="1"/>
    </xf>
    <xf numFmtId="0" fontId="312" fillId="2" borderId="341" xfId="0" applyFont="1" applyFill="1" applyBorder="1" applyAlignment="1">
      <alignment horizontal="center" vertical="center" textRotation="90" wrapText="1"/>
    </xf>
    <xf numFmtId="0" fontId="312" fillId="12" borderId="318" xfId="0" applyFont="1" applyFill="1" applyBorder="1" applyAlignment="1">
      <alignment horizontal="center" vertical="center" textRotation="90" wrapText="1"/>
    </xf>
    <xf numFmtId="0" fontId="312" fillId="12" borderId="235" xfId="0" applyFont="1" applyFill="1" applyBorder="1" applyAlignment="1">
      <alignment horizontal="center" vertical="center" textRotation="90" wrapText="1"/>
    </xf>
    <xf numFmtId="0" fontId="15" fillId="0" borderId="177" xfId="0" applyFont="1" applyBorder="1" applyAlignment="1">
      <alignment horizontal="left" vertical="center" indent="1"/>
    </xf>
    <xf numFmtId="0" fontId="15" fillId="0" borderId="109" xfId="0" applyFont="1" applyBorder="1" applyAlignment="1">
      <alignment horizontal="left" vertical="center" indent="1"/>
    </xf>
    <xf numFmtId="0" fontId="15" fillId="0" borderId="362" xfId="0" applyFont="1" applyBorder="1" applyAlignment="1">
      <alignment horizontal="left" vertical="center" indent="1"/>
    </xf>
    <xf numFmtId="0" fontId="15" fillId="0" borderId="388" xfId="0" applyFont="1" applyBorder="1" applyAlignment="1">
      <alignment horizontal="left" vertical="center" indent="1"/>
    </xf>
    <xf numFmtId="1" fontId="54" fillId="0" borderId="111" xfId="0" applyNumberFormat="1" applyFont="1" applyBorder="1" applyAlignment="1">
      <alignment horizontal="center" vertical="center" wrapText="1"/>
    </xf>
    <xf numFmtId="0" fontId="98" fillId="0" borderId="177" xfId="0" applyFont="1" applyBorder="1" applyAlignment="1">
      <alignment vertical="center"/>
    </xf>
    <xf numFmtId="0" fontId="98" fillId="0" borderId="109" xfId="0" applyFont="1" applyBorder="1" applyAlignment="1">
      <alignment vertical="center"/>
    </xf>
    <xf numFmtId="0" fontId="23" fillId="4" borderId="111" xfId="0" applyFont="1" applyFill="1" applyBorder="1" applyAlignment="1">
      <alignment horizontal="left" vertical="center" wrapText="1" indent="1"/>
    </xf>
    <xf numFmtId="1" fontId="54" fillId="0" borderId="177" xfId="0" applyNumberFormat="1" applyFont="1" applyBorder="1" applyAlignment="1">
      <alignment horizontal="center" vertical="center" wrapText="1"/>
    </xf>
    <xf numFmtId="0" fontId="23" fillId="0" borderId="177" xfId="0" applyFont="1" applyBorder="1" applyAlignment="1">
      <alignment horizontal="left" vertical="center" wrapText="1" indent="1"/>
    </xf>
    <xf numFmtId="0" fontId="24" fillId="4" borderId="111" xfId="0" applyFont="1" applyFill="1" applyBorder="1" applyAlignment="1">
      <alignment horizontal="left" vertical="center" wrapText="1" indent="1"/>
    </xf>
    <xf numFmtId="0" fontId="294" fillId="0" borderId="364" xfId="0" applyFont="1" applyBorder="1" applyAlignment="1">
      <alignment horizontal="left" vertical="center" wrapText="1" indent="1"/>
    </xf>
    <xf numFmtId="0" fontId="15" fillId="0" borderId="345" xfId="0" applyFont="1" applyBorder="1" applyAlignment="1">
      <alignment horizontal="left" vertical="center" indent="1"/>
    </xf>
    <xf numFmtId="0" fontId="24" fillId="0" borderId="364" xfId="0" applyFont="1" applyBorder="1" applyAlignment="1">
      <alignment horizontal="left" vertical="center" wrapText="1" indent="1"/>
    </xf>
    <xf numFmtId="0" fontId="23" fillId="4" borderId="177" xfId="0" applyFont="1" applyFill="1" applyBorder="1" applyAlignment="1">
      <alignment horizontal="left" vertical="center" wrapText="1" indent="1"/>
    </xf>
    <xf numFmtId="0" fontId="24" fillId="4" borderId="363" xfId="0" applyFont="1" applyFill="1" applyBorder="1" applyAlignment="1">
      <alignment horizontal="left" vertical="center" wrapText="1" indent="1"/>
    </xf>
    <xf numFmtId="1" fontId="54" fillId="0" borderId="379" xfId="0" applyNumberFormat="1" applyFont="1" applyBorder="1" applyAlignment="1">
      <alignment horizontal="center" vertical="center" wrapText="1"/>
    </xf>
    <xf numFmtId="1" fontId="54" fillId="0" borderId="109" xfId="0" applyNumberFormat="1" applyFont="1" applyBorder="1" applyAlignment="1">
      <alignment horizontal="center" vertical="center" wrapText="1"/>
    </xf>
    <xf numFmtId="1" fontId="54" fillId="4" borderId="111" xfId="0" applyNumberFormat="1" applyFont="1" applyFill="1" applyBorder="1" applyAlignment="1">
      <alignment horizontal="center" vertical="center" wrapText="1"/>
    </xf>
    <xf numFmtId="1" fontId="54" fillId="4" borderId="177" xfId="0" applyNumberFormat="1" applyFont="1" applyFill="1" applyBorder="1" applyAlignment="1">
      <alignment horizontal="center" vertical="center" wrapText="1"/>
    </xf>
    <xf numFmtId="1" fontId="54" fillId="4" borderId="109" xfId="0" applyNumberFormat="1" applyFont="1" applyFill="1" applyBorder="1" applyAlignment="1">
      <alignment horizontal="center" vertical="center" wrapText="1"/>
    </xf>
    <xf numFmtId="0" fontId="24" fillId="0" borderId="77" xfId="0" applyFont="1" applyBorder="1" applyAlignment="1">
      <alignment horizontal="left" vertical="center" wrapText="1" indent="1"/>
    </xf>
    <xf numFmtId="0" fontId="23" fillId="0" borderId="73" xfId="0" applyFont="1" applyBorder="1" applyAlignment="1">
      <alignment horizontal="left" vertical="center" wrapText="1" indent="1"/>
    </xf>
    <xf numFmtId="0" fontId="26" fillId="0" borderId="77" xfId="0" applyFont="1" applyBorder="1" applyAlignment="1">
      <alignment horizontal="left" vertical="center" wrapText="1" indent="1"/>
    </xf>
    <xf numFmtId="0" fontId="23" fillId="0" borderId="77" xfId="0" applyFont="1" applyBorder="1" applyAlignment="1">
      <alignment horizontal="left" vertical="center" wrapText="1" indent="1"/>
    </xf>
    <xf numFmtId="0" fontId="107" fillId="12" borderId="117" xfId="0" applyFont="1" applyFill="1" applyBorder="1" applyAlignment="1">
      <alignment horizontal="center" vertical="center"/>
    </xf>
    <xf numFmtId="0" fontId="15" fillId="0" borderId="73" xfId="0" applyFont="1" applyBorder="1" applyAlignment="1">
      <alignment vertical="center"/>
    </xf>
    <xf numFmtId="0" fontId="15" fillId="0" borderId="76" xfId="0" applyFont="1" applyBorder="1" applyAlignment="1">
      <alignment vertical="center"/>
    </xf>
    <xf numFmtId="0" fontId="24" fillId="4" borderId="371" xfId="0" applyFont="1" applyFill="1" applyBorder="1" applyAlignment="1">
      <alignment horizontal="left" vertical="center" wrapText="1" indent="1"/>
    </xf>
    <xf numFmtId="0" fontId="24" fillId="4" borderId="368" xfId="0" applyFont="1" applyFill="1" applyBorder="1" applyAlignment="1">
      <alignment horizontal="left" vertical="center" wrapText="1" indent="1"/>
    </xf>
    <xf numFmtId="0" fontId="15" fillId="0" borderId="372" xfId="0" applyFont="1" applyBorder="1" applyAlignment="1">
      <alignment horizontal="left" vertical="center" indent="1"/>
    </xf>
    <xf numFmtId="0" fontId="15" fillId="0" borderId="203" xfId="0" applyFont="1" applyBorder="1" applyAlignment="1">
      <alignment horizontal="left" vertical="center" indent="1"/>
    </xf>
    <xf numFmtId="0" fontId="38" fillId="0" borderId="110" xfId="0" applyFont="1" applyBorder="1" applyAlignment="1">
      <alignment horizontal="left" vertical="center" wrapText="1" indent="1"/>
    </xf>
    <xf numFmtId="0" fontId="15" fillId="0" borderId="104" xfId="0" applyFont="1" applyBorder="1" applyAlignment="1">
      <alignment horizontal="left" vertical="center" indent="1"/>
    </xf>
    <xf numFmtId="0" fontId="15" fillId="0" borderId="108" xfId="0" applyFont="1" applyBorder="1" applyAlignment="1">
      <alignment horizontal="left" vertical="center" indent="1"/>
    </xf>
    <xf numFmtId="0" fontId="38" fillId="0" borderId="104" xfId="0" applyFont="1" applyBorder="1" applyAlignment="1">
      <alignment horizontal="left" vertical="center" wrapText="1" indent="1"/>
    </xf>
    <xf numFmtId="0" fontId="15" fillId="0" borderId="73" xfId="0" applyFont="1" applyBorder="1" applyAlignment="1">
      <alignment vertical="center" indent="1"/>
    </xf>
    <xf numFmtId="0" fontId="15" fillId="0" borderId="76" xfId="0" applyFont="1" applyBorder="1" applyAlignment="1">
      <alignment vertical="center" indent="1"/>
    </xf>
    <xf numFmtId="0" fontId="341" fillId="0" borderId="111" xfId="0" applyFont="1" applyBorder="1" applyAlignment="1">
      <alignment horizontal="left" vertical="center" wrapText="1" indent="1"/>
    </xf>
    <xf numFmtId="0" fontId="15" fillId="0" borderId="310" xfId="0" applyFont="1" applyBorder="1" applyAlignment="1">
      <alignment vertical="center"/>
    </xf>
    <xf numFmtId="0" fontId="15" fillId="0" borderId="94" xfId="0" applyFont="1" applyBorder="1" applyAlignment="1">
      <alignment horizontal="left" vertical="center" indent="1"/>
    </xf>
    <xf numFmtId="0" fontId="15" fillId="0" borderId="96" xfId="0" applyFont="1" applyBorder="1" applyAlignment="1">
      <alignment horizontal="left" vertical="center" indent="1"/>
    </xf>
    <xf numFmtId="0" fontId="15" fillId="0" borderId="344" xfId="0" applyFont="1" applyBorder="1" applyAlignment="1">
      <alignment horizontal="left" vertical="center" indent="1"/>
    </xf>
    <xf numFmtId="0" fontId="294" fillId="0" borderId="114" xfId="0" applyFont="1" applyBorder="1" applyAlignment="1">
      <alignment horizontal="left" vertical="center" wrapText="1" indent="1"/>
    </xf>
    <xf numFmtId="0" fontId="24" fillId="0" borderId="115" xfId="0" applyFont="1" applyBorder="1" applyAlignment="1">
      <alignment horizontal="left" vertical="center" wrapText="1" indent="1"/>
    </xf>
    <xf numFmtId="0" fontId="15" fillId="0" borderId="112" xfId="0" applyFont="1" applyBorder="1" applyAlignment="1">
      <alignment horizontal="left" vertical="center" indent="1"/>
    </xf>
    <xf numFmtId="0" fontId="15" fillId="0" borderId="113" xfId="0" applyFont="1" applyBorder="1" applyAlignment="1">
      <alignment horizontal="left" vertical="center" indent="1"/>
    </xf>
    <xf numFmtId="1" fontId="54" fillId="4" borderId="371" xfId="0" applyNumberFormat="1" applyFont="1" applyFill="1" applyBorder="1" applyAlignment="1">
      <alignment horizontal="center" vertical="center" wrapText="1"/>
    </xf>
    <xf numFmtId="1" fontId="54" fillId="4" borderId="372" xfId="0" applyNumberFormat="1" applyFont="1" applyFill="1" applyBorder="1" applyAlignment="1">
      <alignment horizontal="center" vertical="center" wrapText="1"/>
    </xf>
    <xf numFmtId="1" fontId="54" fillId="4" borderId="203" xfId="0" applyNumberFormat="1" applyFont="1" applyFill="1" applyBorder="1" applyAlignment="1">
      <alignment horizontal="center" vertical="center" wrapText="1"/>
    </xf>
    <xf numFmtId="0" fontId="274" fillId="44" borderId="1029" xfId="0" applyFont="1" applyFill="1" applyBorder="1" applyAlignment="1">
      <alignment horizontal="center" vertical="center" textRotation="90"/>
    </xf>
    <xf numFmtId="0" fontId="274" fillId="44" borderId="1027" xfId="0" applyFont="1" applyFill="1" applyBorder="1" applyAlignment="1">
      <alignment horizontal="center" vertical="center" textRotation="90"/>
    </xf>
    <xf numFmtId="0" fontId="274" fillId="44" borderId="1028" xfId="0" applyFont="1" applyFill="1" applyBorder="1" applyAlignment="1">
      <alignment horizontal="center" vertical="center" textRotation="90"/>
    </xf>
    <xf numFmtId="0" fontId="274" fillId="29" borderId="969" xfId="0" applyFont="1" applyFill="1" applyBorder="1" applyAlignment="1">
      <alignment horizontal="center" vertical="center" textRotation="90"/>
    </xf>
    <xf numFmtId="0" fontId="274" fillId="29" borderId="384" xfId="0" applyFont="1" applyFill="1" applyBorder="1" applyAlignment="1">
      <alignment horizontal="center" vertical="center" textRotation="90"/>
    </xf>
    <xf numFmtId="0" fontId="274" fillId="29" borderId="341" xfId="0" applyFont="1" applyFill="1" applyBorder="1" applyAlignment="1">
      <alignment horizontal="center" vertical="center" textRotation="90"/>
    </xf>
    <xf numFmtId="0" fontId="274" fillId="44" borderId="1025" xfId="0" applyFont="1" applyFill="1" applyBorder="1" applyAlignment="1">
      <alignment horizontal="center" vertical="center" textRotation="90"/>
    </xf>
    <xf numFmtId="0" fontId="274" fillId="44" borderId="370" xfId="0" applyFont="1" applyFill="1" applyBorder="1" applyAlignment="1">
      <alignment horizontal="center" vertical="center" textRotation="90"/>
    </xf>
    <xf numFmtId="0" fontId="274" fillId="44" borderId="235" xfId="0" applyFont="1" applyFill="1" applyBorder="1" applyAlignment="1">
      <alignment horizontal="center" vertical="center" textRotation="90"/>
    </xf>
    <xf numFmtId="0" fontId="312" fillId="12" borderId="1026" xfId="0" applyFont="1" applyFill="1" applyBorder="1" applyAlignment="1">
      <alignment horizontal="center" vertical="center" textRotation="90" wrapText="1"/>
    </xf>
    <xf numFmtId="0" fontId="312" fillId="12" borderId="1027" xfId="0" applyFont="1" applyFill="1" applyBorder="1" applyAlignment="1">
      <alignment horizontal="center" vertical="center" textRotation="90" wrapText="1"/>
    </xf>
    <xf numFmtId="0" fontId="312" fillId="12" borderId="1028" xfId="0" applyFont="1" applyFill="1" applyBorder="1" applyAlignment="1">
      <alignment horizontal="center" vertical="center" textRotation="90" wrapText="1"/>
    </xf>
    <xf numFmtId="0" fontId="312" fillId="12" borderId="1025" xfId="0" applyFont="1" applyFill="1" applyBorder="1" applyAlignment="1">
      <alignment horizontal="center" vertical="center" textRotation="90" wrapText="1"/>
    </xf>
    <xf numFmtId="0" fontId="15" fillId="0" borderId="177" xfId="0" applyFont="1" applyBorder="1" applyAlignment="1">
      <alignment indent="1"/>
    </xf>
    <xf numFmtId="0" fontId="15" fillId="0" borderId="109" xfId="0" applyFont="1" applyBorder="1" applyAlignment="1">
      <alignment indent="1"/>
    </xf>
    <xf numFmtId="0" fontId="109" fillId="0" borderId="177" xfId="0" applyFont="1" applyBorder="1" applyAlignment="1"/>
    <xf numFmtId="0" fontId="109" fillId="0" borderId="109" xfId="0" applyFont="1" applyBorder="1" applyAlignment="1"/>
    <xf numFmtId="0" fontId="15" fillId="0" borderId="363" xfId="0" applyFont="1" applyBorder="1" applyAlignment="1">
      <alignment indent="1"/>
    </xf>
    <xf numFmtId="0" fontId="15" fillId="0" borderId="378" xfId="0" applyFont="1" applyBorder="1" applyAlignment="1">
      <alignment indent="1"/>
    </xf>
    <xf numFmtId="0" fontId="24" fillId="4" borderId="592" xfId="0" applyFont="1" applyFill="1" applyBorder="1" applyAlignment="1">
      <alignment horizontal="left" vertical="center" wrapText="1"/>
    </xf>
    <xf numFmtId="0" fontId="15" fillId="0" borderId="590" xfId="0" applyFont="1" applyBorder="1" applyAlignment="1"/>
    <xf numFmtId="0" fontId="15" fillId="0" borderId="591" xfId="0" applyFont="1" applyBorder="1" applyAlignment="1"/>
    <xf numFmtId="0" fontId="38" fillId="4" borderId="177" xfId="0" applyFont="1" applyFill="1" applyBorder="1" applyAlignment="1">
      <alignment horizontal="left" vertical="center" wrapText="1" indent="1"/>
    </xf>
    <xf numFmtId="0" fontId="24" fillId="4" borderId="597" xfId="0" applyFont="1" applyFill="1" applyBorder="1" applyAlignment="1">
      <alignment horizontal="left" vertical="center" wrapText="1"/>
    </xf>
    <xf numFmtId="0" fontId="15" fillId="0" borderId="483" xfId="0" applyFont="1" applyBorder="1" applyAlignment="1">
      <alignment indent="1"/>
    </xf>
    <xf numFmtId="0" fontId="15" fillId="0" borderId="645" xfId="0" applyFont="1" applyBorder="1" applyAlignment="1">
      <alignment indent="1"/>
    </xf>
    <xf numFmtId="0" fontId="24" fillId="4" borderId="589" xfId="0" applyFont="1" applyFill="1" applyBorder="1" applyAlignment="1">
      <alignment horizontal="left" vertical="center" wrapText="1"/>
    </xf>
    <xf numFmtId="0" fontId="15" fillId="0" borderId="689" xfId="0" applyFont="1" applyBorder="1" applyAlignment="1"/>
    <xf numFmtId="0" fontId="35" fillId="12" borderId="350" xfId="0" applyFont="1" applyFill="1" applyBorder="1" applyAlignment="1">
      <alignment horizontal="left" vertical="center" indent="1"/>
    </xf>
    <xf numFmtId="0" fontId="99" fillId="0" borderId="350" xfId="0" applyFont="1" applyBorder="1" applyAlignment="1">
      <alignment horizontal="left" indent="1"/>
    </xf>
    <xf numFmtId="0" fontId="129" fillId="12" borderId="350" xfId="0" applyFont="1" applyFill="1" applyBorder="1" applyAlignment="1">
      <alignment horizontal="center" vertical="center"/>
    </xf>
    <xf numFmtId="0" fontId="341" fillId="4" borderId="111" xfId="0" applyFont="1" applyFill="1" applyBorder="1" applyAlignment="1">
      <alignment horizontal="left" vertical="center" wrapText="1" indent="1"/>
    </xf>
    <xf numFmtId="0" fontId="109" fillId="0" borderId="483" xfId="0" applyFont="1" applyBorder="1" applyAlignment="1"/>
    <xf numFmtId="0" fontId="35" fillId="12" borderId="350" xfId="0" applyFont="1" applyFill="1" applyBorder="1" applyAlignment="1">
      <alignment horizontal="center" vertical="center"/>
    </xf>
    <xf numFmtId="0" fontId="38" fillId="4" borderId="99" xfId="0" applyFont="1" applyFill="1" applyBorder="1" applyAlignment="1">
      <alignment horizontal="left" vertical="center" wrapText="1" indent="1"/>
    </xf>
    <xf numFmtId="0" fontId="15" fillId="0" borderId="94" xfId="0" applyFont="1" applyBorder="1" applyAlignment="1">
      <alignment indent="1"/>
    </xf>
    <xf numFmtId="0" fontId="15" fillId="0" borderId="915" xfId="0" applyFont="1" applyBorder="1" applyAlignment="1">
      <alignment indent="1"/>
    </xf>
    <xf numFmtId="0" fontId="38" fillId="4" borderId="111" xfId="0" applyFont="1" applyFill="1" applyBorder="1" applyAlignment="1">
      <alignment horizontal="left" vertical="center" wrapText="1" indent="1"/>
    </xf>
    <xf numFmtId="0" fontId="22" fillId="4" borderId="111" xfId="0" applyFont="1" applyFill="1" applyBorder="1" applyAlignment="1">
      <alignment horizontal="left" vertical="center" wrapText="1" indent="1"/>
    </xf>
    <xf numFmtId="1" fontId="56" fillId="4" borderId="109" xfId="0" applyNumberFormat="1" applyFont="1" applyFill="1" applyBorder="1" applyAlignment="1">
      <alignment horizontal="center" vertical="center" wrapText="1"/>
    </xf>
    <xf numFmtId="0" fontId="24" fillId="4" borderId="378" xfId="0" applyFont="1" applyFill="1" applyBorder="1" applyAlignment="1">
      <alignment horizontal="left" vertical="center" wrapText="1" indent="1"/>
    </xf>
    <xf numFmtId="0" fontId="56" fillId="4" borderId="177" xfId="0" applyFont="1" applyFill="1" applyBorder="1" applyAlignment="1">
      <alignment horizontal="center" vertical="center" wrapText="1"/>
    </xf>
    <xf numFmtId="0" fontId="15" fillId="0" borderId="593" xfId="0" applyFont="1" applyBorder="1" applyAlignment="1"/>
    <xf numFmtId="0" fontId="23" fillId="4" borderId="379" xfId="0" applyFont="1" applyFill="1" applyBorder="1" applyAlignment="1">
      <alignment horizontal="left" vertical="center" wrapText="1" indent="1"/>
    </xf>
    <xf numFmtId="0" fontId="24" fillId="4" borderId="28" xfId="0" applyFont="1" applyFill="1" applyBorder="1" applyAlignment="1">
      <alignment horizontal="left" vertical="center" wrapText="1" indent="1"/>
    </xf>
    <xf numFmtId="0" fontId="297" fillId="0" borderId="494" xfId="0" applyFont="1" applyBorder="1" applyAlignment="1"/>
    <xf numFmtId="0" fontId="297" fillId="0" borderId="495" xfId="0" applyFont="1" applyBorder="1" applyAlignment="1"/>
    <xf numFmtId="0" fontId="297" fillId="0" borderId="250" xfId="0" applyFont="1" applyBorder="1" applyAlignment="1"/>
    <xf numFmtId="0" fontId="297" fillId="0" borderId="58" xfId="0" applyFont="1" applyBorder="1" applyAlignment="1"/>
    <xf numFmtId="0" fontId="297" fillId="0" borderId="251" xfId="0" applyFont="1" applyBorder="1" applyAlignment="1"/>
    <xf numFmtId="0" fontId="297" fillId="0" borderId="62" xfId="0" applyFont="1" applyBorder="1" applyAlignment="1"/>
    <xf numFmtId="0" fontId="297" fillId="0" borderId="70" xfId="0" applyFont="1" applyBorder="1" applyAlignment="1"/>
    <xf numFmtId="0" fontId="188" fillId="0" borderId="0" xfId="0" applyFont="1" applyAlignment="1"/>
    <xf numFmtId="0" fontId="297" fillId="0" borderId="55" xfId="0" applyFont="1" applyBorder="1" applyAlignment="1"/>
    <xf numFmtId="0" fontId="297" fillId="0" borderId="384" xfId="0" applyFont="1" applyBorder="1" applyAlignment="1"/>
    <xf numFmtId="0" fontId="297" fillId="0" borderId="59" xfId="0" applyFont="1" applyBorder="1" applyAlignment="1"/>
    <xf numFmtId="0" fontId="297" fillId="0" borderId="864" xfId="0" applyFont="1" applyBorder="1" applyAlignment="1"/>
    <xf numFmtId="0" fontId="297" fillId="0" borderId="865" xfId="0" applyFont="1" applyBorder="1" applyAlignment="1"/>
    <xf numFmtId="0" fontId="297" fillId="0" borderId="56" xfId="0" applyFont="1" applyBorder="1" applyAlignment="1"/>
    <xf numFmtId="0" fontId="297" fillId="0" borderId="490" xfId="0" applyFont="1" applyBorder="1" applyAlignment="1"/>
    <xf numFmtId="0" fontId="297" fillId="0" borderId="492" xfId="0" applyFont="1" applyBorder="1" applyAlignment="1"/>
    <xf numFmtId="0" fontId="297" fillId="0" borderId="499" xfId="0" applyFont="1" applyBorder="1" applyAlignment="1"/>
    <xf numFmtId="0" fontId="297" fillId="0" borderId="500" xfId="0" applyFont="1" applyBorder="1" applyAlignment="1"/>
    <xf numFmtId="0" fontId="297" fillId="0" borderId="497" xfId="0" applyFont="1" applyBorder="1" applyAlignment="1"/>
    <xf numFmtId="0" fontId="297" fillId="0" borderId="501" xfId="0" applyFont="1" applyBorder="1" applyAlignment="1"/>
    <xf numFmtId="0" fontId="341" fillId="4" borderId="177" xfId="0" applyFont="1" applyFill="1" applyBorder="1" applyAlignment="1">
      <alignment horizontal="left" vertical="center" wrapText="1" indent="1"/>
    </xf>
    <xf numFmtId="2" fontId="341" fillId="4" borderId="177" xfId="0" applyNumberFormat="1" applyFont="1" applyFill="1" applyBorder="1" applyAlignment="1">
      <alignment horizontal="left" vertical="center" wrapText="1" indent="1"/>
    </xf>
    <xf numFmtId="0" fontId="348" fillId="4" borderId="177" xfId="0" applyFont="1" applyFill="1" applyBorder="1" applyAlignment="1">
      <alignment horizontal="left" vertical="center" wrapText="1" indent="1"/>
    </xf>
    <xf numFmtId="0" fontId="241" fillId="0" borderId="358" xfId="0" applyFont="1" applyBorder="1" applyAlignment="1"/>
    <xf numFmtId="0" fontId="241" fillId="0" borderId="46" xfId="0" applyFont="1" applyBorder="1" applyAlignment="1"/>
    <xf numFmtId="0" fontId="96" fillId="0" borderId="48" xfId="0" applyFont="1" applyBorder="1" applyAlignment="1">
      <alignment horizontal="left" indent="1"/>
    </xf>
    <xf numFmtId="0" fontId="96" fillId="0" borderId="51" xfId="0" applyFont="1" applyBorder="1" applyAlignment="1">
      <alignment horizontal="left" indent="1"/>
    </xf>
    <xf numFmtId="0" fontId="96" fillId="0" borderId="80" xfId="0" applyFont="1" applyBorder="1" applyAlignment="1">
      <alignment horizontal="left" indent="1"/>
    </xf>
    <xf numFmtId="0" fontId="11" fillId="0" borderId="122" xfId="0" applyFont="1" applyBorder="1" applyAlignment="1">
      <alignment horizontal="left" vertical="center" wrapText="1" indent="1"/>
    </xf>
    <xf numFmtId="0" fontId="96" fillId="0" borderId="123" xfId="0" applyFont="1" applyBorder="1" applyAlignment="1">
      <alignment horizontal="left" indent="1"/>
    </xf>
    <xf numFmtId="0" fontId="208" fillId="0" borderId="0" xfId="0" applyFont="1" applyAlignment="1"/>
    <xf numFmtId="0" fontId="241" fillId="0" borderId="310" xfId="0" applyFont="1" applyBorder="1" applyAlignment="1"/>
    <xf numFmtId="0" fontId="99" fillId="0" borderId="118" xfId="0" applyFont="1" applyBorder="1" applyAlignment="1"/>
    <xf numFmtId="0" fontId="99" fillId="0" borderId="120" xfId="0" applyFont="1" applyBorder="1" applyAlignment="1"/>
    <xf numFmtId="0" fontId="14" fillId="0" borderId="0" xfId="0" applyFont="1" applyAlignment="1">
      <alignment horizontal="left" vertical="center" wrapText="1"/>
    </xf>
    <xf numFmtId="0" fontId="0" fillId="0" borderId="344" xfId="0" applyBorder="1" applyAlignment="1"/>
    <xf numFmtId="0" fontId="275" fillId="0" borderId="0" xfId="0" applyFont="1" applyAlignment="1"/>
    <xf numFmtId="0" fontId="24" fillId="17" borderId="589" xfId="0" applyFont="1" applyFill="1" applyBorder="1" applyAlignment="1">
      <alignment horizontal="left" vertical="center" wrapText="1"/>
    </xf>
    <xf numFmtId="0" fontId="15" fillId="17" borderId="590" xfId="0" applyFont="1" applyFill="1" applyBorder="1" applyAlignment="1"/>
    <xf numFmtId="0" fontId="15" fillId="17" borderId="689" xfId="0" applyFont="1" applyFill="1" applyBorder="1" applyAlignment="1"/>
    <xf numFmtId="0" fontId="24" fillId="4" borderId="592" xfId="0" applyFont="1" applyFill="1" applyBorder="1" applyAlignment="1">
      <alignment horizontal="left" vertical="center"/>
    </xf>
    <xf numFmtId="0" fontId="35" fillId="12" borderId="350" xfId="0" applyFont="1" applyFill="1" applyBorder="1" applyAlignment="1">
      <alignment horizontal="left" vertical="center" indent="2"/>
    </xf>
    <xf numFmtId="0" fontId="99" fillId="0" borderId="350" xfId="0" applyFont="1" applyBorder="1" applyAlignment="1">
      <alignment horizontal="left" indent="2"/>
    </xf>
    <xf numFmtId="4" fontId="52" fillId="2" borderId="102" xfId="0" applyNumberFormat="1" applyFont="1" applyFill="1" applyBorder="1" applyAlignment="1">
      <alignment horizontal="left" vertical="center" wrapText="1" indent="1"/>
    </xf>
    <xf numFmtId="0" fontId="99" fillId="0" borderId="327" xfId="0" applyFont="1" applyBorder="1" applyAlignment="1">
      <alignment horizontal="left" indent="1"/>
    </xf>
    <xf numFmtId="0" fontId="15" fillId="17" borderId="591" xfId="0" applyFont="1" applyFill="1" applyBorder="1" applyAlignment="1"/>
    <xf numFmtId="0" fontId="24" fillId="17" borderId="592" xfId="0" applyFont="1" applyFill="1" applyBorder="1" applyAlignment="1">
      <alignment horizontal="left" vertical="center" wrapText="1"/>
    </xf>
    <xf numFmtId="0" fontId="15" fillId="17" borderId="593" xfId="0" applyFont="1" applyFill="1" applyBorder="1" applyAlignment="1"/>
    <xf numFmtId="0" fontId="22" fillId="4" borderId="177" xfId="0" applyFont="1" applyFill="1" applyBorder="1" applyAlignment="1">
      <alignment horizontal="left" vertical="center" wrapText="1" indent="1"/>
    </xf>
    <xf numFmtId="0" fontId="313" fillId="0" borderId="384" xfId="0" applyFont="1" applyBorder="1" applyAlignment="1"/>
    <xf numFmtId="0" fontId="313" fillId="0" borderId="341" xfId="0" applyFont="1" applyBorder="1" applyAlignment="1"/>
    <xf numFmtId="0" fontId="38" fillId="4" borderId="127" xfId="0" applyFont="1" applyFill="1" applyBorder="1" applyAlignment="1">
      <alignment horizontal="left" vertical="center" wrapText="1" indent="1"/>
    </xf>
    <xf numFmtId="0" fontId="15" fillId="0" borderId="96" xfId="0" applyFont="1" applyBorder="1" applyAlignment="1">
      <alignment indent="1"/>
    </xf>
    <xf numFmtId="0" fontId="101" fillId="0" borderId="350" xfId="0" applyFont="1" applyBorder="1" applyAlignment="1"/>
    <xf numFmtId="0" fontId="35" fillId="12" borderId="350" xfId="0" applyFont="1" applyFill="1" applyBorder="1" applyAlignment="1">
      <alignment horizontal="left" vertical="center"/>
    </xf>
    <xf numFmtId="0" fontId="313" fillId="0" borderId="370" xfId="0" applyFont="1" applyBorder="1" applyAlignment="1"/>
    <xf numFmtId="0" fontId="313" fillId="0" borderId="235" xfId="0" applyFont="1" applyBorder="1" applyAlignment="1"/>
    <xf numFmtId="0" fontId="38" fillId="4" borderId="94" xfId="0" applyFont="1" applyFill="1" applyBorder="1" applyAlignment="1">
      <alignment horizontal="left" vertical="center" wrapText="1" indent="1"/>
    </xf>
    <xf numFmtId="0" fontId="23" fillId="4" borderId="100" xfId="0" applyFont="1" applyFill="1" applyBorder="1" applyAlignment="1">
      <alignment horizontal="left" vertical="center" wrapText="1" indent="1"/>
    </xf>
    <xf numFmtId="0" fontId="15" fillId="0" borderId="362" xfId="0" applyFont="1" applyBorder="1" applyAlignment="1">
      <alignment indent="1"/>
    </xf>
    <xf numFmtId="0" fontId="15" fillId="0" borderId="388" xfId="0" applyFont="1" applyBorder="1" applyAlignment="1">
      <alignment indent="1"/>
    </xf>
    <xf numFmtId="0" fontId="23" fillId="4" borderId="1061" xfId="0" quotePrefix="1" applyFont="1" applyFill="1" applyBorder="1" applyAlignment="1">
      <alignment horizontal="left" vertical="center" wrapText="1" indent="1"/>
    </xf>
    <xf numFmtId="0" fontId="15" fillId="0" borderId="1031" xfId="0" applyFont="1" applyBorder="1" applyAlignment="1">
      <alignment indent="1"/>
    </xf>
    <xf numFmtId="0" fontId="15" fillId="0" borderId="1062" xfId="0" applyFont="1" applyBorder="1" applyAlignment="1">
      <alignment indent="1"/>
    </xf>
    <xf numFmtId="0" fontId="56" fillId="4" borderId="177" xfId="0" applyFont="1" applyFill="1" applyBorder="1" applyAlignment="1">
      <alignment horizontal="center" vertical="center"/>
    </xf>
    <xf numFmtId="0" fontId="38" fillId="4" borderId="96" xfId="0" applyFont="1" applyFill="1" applyBorder="1" applyAlignment="1">
      <alignment horizontal="left" vertical="center" wrapText="1" indent="1"/>
    </xf>
    <xf numFmtId="3" fontId="58" fillId="4" borderId="177" xfId="0" applyNumberFormat="1" applyFont="1" applyFill="1" applyBorder="1" applyAlignment="1">
      <alignment horizontal="center" vertical="center" wrapText="1"/>
    </xf>
    <xf numFmtId="0" fontId="151" fillId="0" borderId="177" xfId="0" applyFont="1" applyBorder="1" applyAlignment="1"/>
    <xf numFmtId="0" fontId="38" fillId="4" borderId="109" xfId="0" applyFont="1" applyFill="1" applyBorder="1" applyAlignment="1">
      <alignment horizontal="left" vertical="center" wrapText="1" indent="1"/>
    </xf>
    <xf numFmtId="0" fontId="398" fillId="4" borderId="177" xfId="0" applyFont="1" applyFill="1" applyBorder="1" applyAlignment="1">
      <alignment horizontal="left" vertical="center" wrapText="1" indent="1"/>
    </xf>
    <xf numFmtId="0" fontId="38" fillId="4" borderId="379" xfId="0" applyFont="1" applyFill="1" applyBorder="1" applyAlignment="1">
      <alignment horizontal="left" vertical="center" wrapText="1" indent="1"/>
    </xf>
    <xf numFmtId="0" fontId="297" fillId="0" borderId="66" xfId="0" applyFont="1" applyBorder="1" applyAlignment="1"/>
    <xf numFmtId="0" fontId="297" fillId="0" borderId="537" xfId="0" applyFont="1" applyBorder="1" applyAlignment="1"/>
    <xf numFmtId="0" fontId="96" fillId="0" borderId="558" xfId="0" applyFont="1" applyBorder="1" applyAlignment="1">
      <alignment horizontal="left" vertical="center" wrapText="1" indent="1"/>
    </xf>
    <xf numFmtId="0" fontId="210" fillId="0" borderId="177" xfId="0" applyFont="1" applyBorder="1" applyAlignment="1">
      <alignment horizontal="left" vertical="center" wrapText="1" indent="1"/>
    </xf>
    <xf numFmtId="0" fontId="210" fillId="0" borderId="109" xfId="0" applyFont="1" applyBorder="1" applyAlignment="1">
      <alignment horizontal="left" vertical="center" wrapText="1" indent="1"/>
    </xf>
    <xf numFmtId="0" fontId="61" fillId="0" borderId="554" xfId="0" applyFont="1" applyBorder="1" applyAlignment="1">
      <alignment horizontal="left" vertical="center" wrapText="1" indent="1"/>
    </xf>
    <xf numFmtId="0" fontId="96" fillId="0" borderId="555" xfId="0" applyFont="1" applyBorder="1" applyAlignment="1">
      <alignment horizontal="left" vertical="center" wrapText="1" indent="1"/>
    </xf>
    <xf numFmtId="0" fontId="106" fillId="0" borderId="109" xfId="0" applyFont="1" applyBorder="1" applyAlignment="1">
      <alignment horizontal="center" vertical="center" wrapText="1"/>
    </xf>
    <xf numFmtId="0" fontId="96" fillId="18" borderId="177" xfId="0" applyFont="1" applyFill="1" applyBorder="1" applyAlignment="1">
      <alignment horizontal="left" vertical="center" wrapText="1" indent="1"/>
    </xf>
    <xf numFmtId="0" fontId="96" fillId="18" borderId="109" xfId="0" applyFont="1" applyFill="1" applyBorder="1" applyAlignment="1">
      <alignment horizontal="left" vertical="center" wrapText="1" indent="1"/>
    </xf>
    <xf numFmtId="0" fontId="14" fillId="0" borderId="344" xfId="0" applyFont="1" applyBorder="1" applyAlignment="1">
      <alignment horizontal="left" vertical="center" wrapText="1"/>
    </xf>
    <xf numFmtId="0" fontId="24" fillId="0" borderId="136" xfId="0" applyFont="1" applyBorder="1" applyAlignment="1">
      <alignment horizontal="center" vertical="center" wrapText="1"/>
    </xf>
    <xf numFmtId="0" fontId="24" fillId="0" borderId="132" xfId="0" applyFont="1" applyBorder="1" applyAlignment="1">
      <alignment horizontal="center" vertical="center" wrapText="1"/>
    </xf>
    <xf numFmtId="0" fontId="24" fillId="0" borderId="141" xfId="0" applyFont="1" applyBorder="1" applyAlignment="1">
      <alignment horizontal="center" vertical="center" wrapText="1"/>
    </xf>
    <xf numFmtId="49" fontId="35" fillId="15" borderId="213" xfId="0" applyNumberFormat="1" applyFont="1" applyFill="1" applyBorder="1" applyAlignment="1">
      <alignment horizontal="left" vertical="center" indent="1"/>
    </xf>
    <xf numFmtId="0" fontId="99" fillId="15" borderId="350" xfId="0" applyFont="1" applyFill="1" applyBorder="1" applyAlignment="1">
      <alignment horizontal="left" indent="1"/>
    </xf>
    <xf numFmtId="0" fontId="130" fillId="15" borderId="350" xfId="0" applyFont="1" applyFill="1" applyBorder="1" applyAlignment="1">
      <alignment horizontal="center" vertical="center"/>
    </xf>
    <xf numFmtId="0" fontId="99" fillId="15" borderId="350" xfId="0" applyFont="1" applyFill="1" applyBorder="1" applyAlignment="1"/>
    <xf numFmtId="0" fontId="99" fillId="15" borderId="300" xfId="0" applyFont="1" applyFill="1" applyBorder="1" applyAlignment="1"/>
    <xf numFmtId="0" fontId="15" fillId="0" borderId="372" xfId="0" applyFont="1" applyBorder="1" applyAlignment="1">
      <alignment indent="1"/>
    </xf>
    <xf numFmtId="0" fontId="15" fillId="0" borderId="203" xfId="0" applyFont="1" applyBorder="1" applyAlignment="1">
      <alignment indent="1"/>
    </xf>
    <xf numFmtId="0" fontId="15" fillId="0" borderId="701" xfId="0" applyFont="1" applyBorder="1" applyAlignment="1">
      <alignment indent="1"/>
    </xf>
    <xf numFmtId="0" fontId="15" fillId="0" borderId="177" xfId="0" applyFont="1" applyBorder="1" applyAlignment="1"/>
    <xf numFmtId="0" fontId="15" fillId="0" borderId="483" xfId="0" applyFont="1" applyBorder="1" applyAlignment="1"/>
    <xf numFmtId="0" fontId="106" fillId="0" borderId="555" xfId="0" applyFont="1" applyBorder="1" applyAlignment="1">
      <alignment horizontal="center" vertical="center" wrapText="1"/>
    </xf>
    <xf numFmtId="9" fontId="106" fillId="0" borderId="177" xfId="0" applyNumberFormat="1" applyFont="1" applyBorder="1" applyAlignment="1">
      <alignment horizontal="center" vertical="center" wrapText="1"/>
    </xf>
    <xf numFmtId="0" fontId="100" fillId="0" borderId="109" xfId="0" applyFont="1" applyBorder="1" applyAlignment="1">
      <alignment horizontal="left" vertical="center" wrapText="1" indent="1"/>
    </xf>
    <xf numFmtId="0" fontId="23" fillId="4" borderId="344" xfId="0" applyFont="1" applyFill="1" applyBorder="1" applyAlignment="1">
      <alignment horizontal="left" vertical="center" wrapText="1" indent="1"/>
    </xf>
    <xf numFmtId="0" fontId="15" fillId="0" borderId="344" xfId="0" applyFont="1" applyBorder="1" applyAlignment="1">
      <alignment indent="1"/>
    </xf>
    <xf numFmtId="0" fontId="15" fillId="0" borderId="345" xfId="0" applyFont="1" applyBorder="1" applyAlignment="1">
      <alignment indent="1"/>
    </xf>
    <xf numFmtId="0" fontId="24" fillId="0" borderId="132" xfId="0" applyFont="1" applyBorder="1" applyAlignment="1">
      <alignment horizontal="left" vertical="center" wrapText="1" indent="1"/>
    </xf>
    <xf numFmtId="0" fontId="15" fillId="0" borderId="132" xfId="0" applyFont="1" applyBorder="1" applyAlignment="1">
      <alignment horizontal="left" indent="1"/>
    </xf>
    <xf numFmtId="0" fontId="15" fillId="0" borderId="141" xfId="0" applyFont="1" applyBorder="1" applyAlignment="1">
      <alignment horizontal="left" indent="1"/>
    </xf>
    <xf numFmtId="0" fontId="24" fillId="0" borderId="136" xfId="0" applyFont="1" applyBorder="1" applyAlignment="1">
      <alignment horizontal="left" vertical="center" wrapText="1" indent="1"/>
    </xf>
    <xf numFmtId="0" fontId="15" fillId="0" borderId="955" xfId="0" applyFont="1" applyBorder="1" applyAlignment="1">
      <alignment horizontal="left" indent="1"/>
    </xf>
    <xf numFmtId="0" fontId="99" fillId="15" borderId="300" xfId="0" applyFont="1" applyFill="1" applyBorder="1" applyAlignment="1">
      <alignment horizontal="left" indent="1"/>
    </xf>
    <xf numFmtId="0" fontId="23" fillId="4" borderId="364" xfId="0" applyFont="1" applyFill="1" applyBorder="1" applyAlignment="1">
      <alignment horizontal="left" vertical="center" wrapText="1" indent="1"/>
    </xf>
    <xf numFmtId="0" fontId="341" fillId="0" borderId="177" xfId="0" applyFont="1" applyBorder="1" applyAlignment="1">
      <alignment horizontal="left" vertical="center" wrapText="1" indent="1"/>
    </xf>
    <xf numFmtId="0" fontId="15" fillId="0" borderId="539" xfId="0" applyFont="1" applyBorder="1" applyAlignment="1">
      <alignment indent="1"/>
    </xf>
    <xf numFmtId="1" fontId="345" fillId="0" borderId="1031" xfId="0" applyNumberFormat="1" applyFont="1" applyBorder="1" applyAlignment="1">
      <alignment horizontal="center" vertical="center" wrapText="1"/>
    </xf>
    <xf numFmtId="1" fontId="345" fillId="0" borderId="362" xfId="0" applyNumberFormat="1" applyFont="1" applyBorder="1" applyAlignment="1">
      <alignment horizontal="center" vertical="center" wrapText="1"/>
    </xf>
    <xf numFmtId="0" fontId="70" fillId="0" borderId="111" xfId="0" applyFont="1" applyBorder="1" applyAlignment="1">
      <alignment horizontal="left" vertical="center" wrapText="1" indent="1"/>
    </xf>
    <xf numFmtId="0" fontId="24" fillId="0" borderId="615" xfId="0" applyFont="1" applyBorder="1" applyAlignment="1">
      <alignment horizontal="left" vertical="center" wrapText="1" indent="1"/>
    </xf>
    <xf numFmtId="0" fontId="38" fillId="0" borderId="615" xfId="0" applyFont="1" applyBorder="1" applyAlignment="1">
      <alignment horizontal="left" vertical="center" wrapText="1" indent="1"/>
    </xf>
    <xf numFmtId="0" fontId="24" fillId="0" borderId="141" xfId="0" applyFont="1" applyBorder="1" applyAlignment="1">
      <alignment horizontal="left" vertical="center" wrapText="1" indent="1"/>
    </xf>
    <xf numFmtId="9" fontId="56" fillId="0" borderId="111" xfId="0" applyNumberFormat="1" applyFont="1" applyBorder="1" applyAlignment="1">
      <alignment horizontal="center" vertical="center" wrapText="1"/>
    </xf>
    <xf numFmtId="9" fontId="56" fillId="0" borderId="109" xfId="0" applyNumberFormat="1" applyFont="1" applyBorder="1" applyAlignment="1">
      <alignment horizontal="center" vertical="center" wrapText="1"/>
    </xf>
    <xf numFmtId="0" fontId="24" fillId="0" borderId="203" xfId="0" applyFont="1" applyBorder="1" applyAlignment="1">
      <alignment horizontal="left" vertical="center" wrapText="1" indent="1"/>
    </xf>
    <xf numFmtId="0" fontId="24" fillId="0" borderId="599" xfId="0" applyFont="1" applyBorder="1" applyAlignment="1">
      <alignment horizontal="left" vertical="center" wrapText="1" indent="1"/>
    </xf>
    <xf numFmtId="0" fontId="24" fillId="0" borderId="137" xfId="0" applyFont="1" applyBorder="1" applyAlignment="1">
      <alignment horizontal="left" vertical="center" wrapText="1" indent="1"/>
    </xf>
    <xf numFmtId="0" fontId="24" fillId="0" borderId="600" xfId="0" applyFont="1" applyBorder="1" applyAlignment="1">
      <alignment horizontal="left" vertical="center" wrapText="1" indent="1"/>
    </xf>
    <xf numFmtId="0" fontId="71" fillId="7" borderId="494" xfId="0" applyFont="1" applyFill="1" applyBorder="1" applyAlignment="1">
      <alignment horizontal="center" vertical="center" wrapText="1"/>
    </xf>
    <xf numFmtId="0" fontId="71" fillId="7" borderId="505" xfId="0" applyFont="1" applyFill="1" applyBorder="1" applyAlignment="1">
      <alignment horizontal="center" vertical="center" wrapText="1"/>
    </xf>
    <xf numFmtId="49" fontId="71" fillId="8" borderId="57" xfId="0" applyNumberFormat="1" applyFont="1" applyFill="1" applyBorder="1" applyAlignment="1">
      <alignment horizontal="center" vertical="center" wrapText="1"/>
    </xf>
    <xf numFmtId="49" fontId="71" fillId="8" borderId="598" xfId="0" applyNumberFormat="1" applyFont="1" applyFill="1" applyBorder="1" applyAlignment="1">
      <alignment horizontal="center" vertical="center" wrapText="1"/>
    </xf>
    <xf numFmtId="49" fontId="9" fillId="12" borderId="61" xfId="0" applyNumberFormat="1" applyFont="1" applyFill="1" applyBorder="1" applyAlignment="1">
      <alignment horizontal="center" vertical="center" wrapText="1"/>
    </xf>
    <xf numFmtId="0" fontId="9" fillId="11" borderId="579" xfId="0" applyFont="1" applyFill="1" applyBorder="1" applyAlignment="1">
      <alignment horizontal="center" vertical="center" wrapText="1"/>
    </xf>
    <xf numFmtId="0" fontId="341" fillId="0" borderId="379" xfId="0" applyFont="1" applyBorder="1" applyAlignment="1">
      <alignment horizontal="left" vertical="center" wrapText="1" indent="1"/>
    </xf>
    <xf numFmtId="0" fontId="24" fillId="0" borderId="342" xfId="0" applyFont="1" applyBorder="1" applyAlignment="1">
      <alignment horizontal="left" vertical="center" wrapText="1" indent="1"/>
    </xf>
    <xf numFmtId="0" fontId="24" fillId="0" borderId="130" xfId="0" applyFont="1" applyBorder="1" applyAlignment="1">
      <alignment horizontal="left" vertical="center" wrapText="1" indent="1"/>
    </xf>
    <xf numFmtId="0" fontId="350" fillId="0" borderId="379" xfId="0" applyFont="1" applyBorder="1" applyAlignment="1">
      <alignment horizontal="left" vertical="center" wrapText="1" indent="1"/>
    </xf>
    <xf numFmtId="0" fontId="9" fillId="10" borderId="572" xfId="0" applyFont="1" applyFill="1" applyBorder="1" applyAlignment="1">
      <alignment horizontal="center" vertical="center" wrapText="1"/>
    </xf>
    <xf numFmtId="0" fontId="9" fillId="11" borderId="580" xfId="0" applyFont="1" applyFill="1" applyBorder="1" applyAlignment="1">
      <alignment horizontal="center" vertical="center" wrapText="1"/>
    </xf>
    <xf numFmtId="0" fontId="9" fillId="11" borderId="581" xfId="0" applyFont="1" applyFill="1" applyBorder="1" applyAlignment="1">
      <alignment horizontal="center" vertical="center" wrapText="1"/>
    </xf>
    <xf numFmtId="0" fontId="312" fillId="12" borderId="369" xfId="0" applyFont="1" applyFill="1" applyBorder="1" applyAlignment="1">
      <alignment horizontal="center" vertical="center" textRotation="90" wrapText="1"/>
    </xf>
    <xf numFmtId="0" fontId="350" fillId="4" borderId="554" xfId="0" applyFont="1" applyFill="1" applyBorder="1" applyAlignment="1">
      <alignment horizontal="left" vertical="center" wrapText="1" indent="1"/>
    </xf>
    <xf numFmtId="0" fontId="24" fillId="4" borderId="615" xfId="0" applyFont="1" applyFill="1" applyBorder="1" applyAlignment="1">
      <alignment horizontal="left" vertical="center" wrapText="1" indent="1"/>
    </xf>
    <xf numFmtId="0" fontId="350" fillId="0" borderId="615" xfId="0" applyFont="1" applyBorder="1" applyAlignment="1">
      <alignment horizontal="left" vertical="center" wrapText="1" indent="1"/>
    </xf>
    <xf numFmtId="1" fontId="56" fillId="0" borderId="615" xfId="0" applyNumberFormat="1" applyFont="1" applyBorder="1" applyAlignment="1">
      <alignment horizontal="center" vertical="center" wrapText="1"/>
    </xf>
    <xf numFmtId="1" fontId="345" fillId="0" borderId="615" xfId="0" applyNumberFormat="1" applyFont="1" applyBorder="1" applyAlignment="1">
      <alignment horizontal="center" vertical="center" wrapText="1"/>
    </xf>
    <xf numFmtId="0" fontId="345" fillId="0" borderId="177" xfId="0" applyFont="1" applyBorder="1" applyAlignment="1"/>
    <xf numFmtId="0" fontId="345" fillId="0" borderId="109" xfId="0" applyFont="1" applyBorder="1" applyAlignment="1"/>
    <xf numFmtId="0" fontId="341" fillId="0" borderId="615" xfId="0" applyFont="1" applyBorder="1" applyAlignment="1">
      <alignment horizontal="left" vertical="center" wrapText="1" indent="1"/>
    </xf>
    <xf numFmtId="0" fontId="120" fillId="0" borderId="177" xfId="0" applyFont="1" applyBorder="1" applyAlignment="1">
      <alignment indent="1"/>
    </xf>
    <xf numFmtId="0" fontId="120" fillId="0" borderId="109" xfId="0" applyFont="1" applyBorder="1" applyAlignment="1">
      <alignment indent="1"/>
    </xf>
    <xf numFmtId="0" fontId="0" fillId="0" borderId="344" xfId="0" applyBorder="1" applyAlignment="1">
      <alignment indent="1"/>
    </xf>
    <xf numFmtId="0" fontId="24" fillId="0" borderId="697" xfId="0" applyFont="1" applyBorder="1" applyAlignment="1">
      <alignment horizontal="left" vertical="center" wrapText="1" indent="1"/>
    </xf>
    <xf numFmtId="0" fontId="241" fillId="0" borderId="758" xfId="0" applyFont="1" applyBorder="1" applyAlignment="1">
      <alignment horizontal="left" vertical="center" wrapText="1" indent="1"/>
    </xf>
    <xf numFmtId="0" fontId="241" fillId="0" borderId="662" xfId="0" applyFont="1" applyBorder="1" applyAlignment="1">
      <alignment horizontal="left" vertical="center" wrapText="1" indent="1"/>
    </xf>
    <xf numFmtId="0" fontId="241" fillId="0" borderId="770" xfId="0" applyFont="1" applyBorder="1" applyAlignment="1">
      <alignment horizontal="left" vertical="center" wrapText="1" indent="1"/>
    </xf>
    <xf numFmtId="0" fontId="351" fillId="18" borderId="758" xfId="0" applyFont="1" applyFill="1" applyBorder="1" applyAlignment="1">
      <alignment horizontal="left" vertical="center" wrapText="1" indent="1"/>
    </xf>
    <xf numFmtId="0" fontId="238" fillId="18" borderId="662" xfId="0" applyFont="1" applyFill="1" applyBorder="1" applyAlignment="1">
      <alignment horizontal="left" vertical="center" wrapText="1" indent="1"/>
    </xf>
    <xf numFmtId="0" fontId="238" fillId="18" borderId="770" xfId="0" applyFont="1" applyFill="1" applyBorder="1" applyAlignment="1">
      <alignment horizontal="left" vertical="center" wrapText="1" indent="1"/>
    </xf>
    <xf numFmtId="0" fontId="179" fillId="0" borderId="765" xfId="0" applyFont="1" applyBorder="1" applyAlignment="1">
      <alignment horizontal="left" vertical="center" wrapText="1" indent="1"/>
    </xf>
    <xf numFmtId="0" fontId="179" fillId="0" borderId="760" xfId="0" applyFont="1" applyBorder="1" applyAlignment="1">
      <alignment horizontal="left" vertical="center" wrapText="1" indent="1"/>
    </xf>
    <xf numFmtId="0" fontId="179" fillId="0" borderId="767" xfId="0" applyFont="1" applyBorder="1" applyAlignment="1">
      <alignment horizontal="left" vertical="center" wrapText="1" indent="1"/>
    </xf>
    <xf numFmtId="0" fontId="241" fillId="0" borderId="737" xfId="0" applyFont="1" applyBorder="1" applyAlignment="1">
      <alignment horizontal="left" vertical="center" wrapText="1" indent="1"/>
    </xf>
    <xf numFmtId="0" fontId="241" fillId="0" borderId="738" xfId="0" applyFont="1" applyBorder="1" applyAlignment="1">
      <alignment horizontal="left" vertical="center" wrapText="1" indent="1"/>
    </xf>
    <xf numFmtId="0" fontId="179" fillId="0" borderId="737" xfId="0" applyFont="1" applyBorder="1" applyAlignment="1">
      <alignment horizontal="left" vertical="center" wrapText="1" indent="1"/>
    </xf>
    <xf numFmtId="0" fontId="179" fillId="0" borderId="662" xfId="0" applyFont="1" applyBorder="1" applyAlignment="1">
      <alignment horizontal="left" vertical="center" wrapText="1" indent="1"/>
    </xf>
    <xf numFmtId="0" fontId="179" fillId="0" borderId="738" xfId="0" applyFont="1" applyBorder="1" applyAlignment="1">
      <alignment horizontal="left" vertical="center" wrapText="1" indent="1"/>
    </xf>
    <xf numFmtId="0" fontId="241" fillId="18" borderId="737" xfId="0" applyFont="1" applyFill="1" applyBorder="1" applyAlignment="1">
      <alignment horizontal="left" vertical="center" wrapText="1" indent="1"/>
    </xf>
    <xf numFmtId="0" fontId="241" fillId="18" borderId="662" xfId="0" applyFont="1" applyFill="1" applyBorder="1" applyAlignment="1">
      <alignment horizontal="left" vertical="center" wrapText="1" indent="1"/>
    </xf>
    <xf numFmtId="0" fontId="241" fillId="18" borderId="738" xfId="0" applyFont="1" applyFill="1" applyBorder="1" applyAlignment="1">
      <alignment horizontal="left" vertical="center" wrapText="1" indent="1"/>
    </xf>
    <xf numFmtId="0" fontId="179" fillId="18" borderId="737" xfId="0" applyFont="1" applyFill="1" applyBorder="1" applyAlignment="1">
      <alignment horizontal="left" vertical="center" wrapText="1" indent="1"/>
    </xf>
    <xf numFmtId="0" fontId="179" fillId="18" borderId="662" xfId="0" applyFont="1" applyFill="1" applyBorder="1" applyAlignment="1">
      <alignment horizontal="left" vertical="center" wrapText="1" indent="1"/>
    </xf>
    <xf numFmtId="0" fontId="179" fillId="18" borderId="738" xfId="0" applyFont="1" applyFill="1" applyBorder="1" applyAlignment="1">
      <alignment horizontal="left" vertical="center" wrapText="1" indent="1"/>
    </xf>
    <xf numFmtId="0" fontId="179" fillId="0" borderId="772" xfId="0" applyFont="1" applyBorder="1" applyAlignment="1">
      <alignment horizontal="left" vertical="center" wrapText="1" indent="1"/>
    </xf>
    <xf numFmtId="0" fontId="179" fillId="0" borderId="769" xfId="0" applyFont="1" applyBorder="1" applyAlignment="1">
      <alignment horizontal="left" vertical="center" wrapText="1" indent="1"/>
    </xf>
    <xf numFmtId="0" fontId="241" fillId="0" borderId="674" xfId="0" applyFont="1" applyBorder="1" applyAlignment="1">
      <alignment horizontal="left" vertical="center" wrapText="1" indent="1"/>
    </xf>
    <xf numFmtId="0" fontId="179" fillId="0" borderId="674" xfId="0" applyFont="1" applyBorder="1" applyAlignment="1">
      <alignment horizontal="left" vertical="center" wrapText="1" indent="1"/>
    </xf>
    <xf numFmtId="0" fontId="179" fillId="0" borderId="770" xfId="0" applyFont="1" applyBorder="1" applyAlignment="1">
      <alignment horizontal="left" vertical="center" wrapText="1" indent="1"/>
    </xf>
    <xf numFmtId="0" fontId="179" fillId="0" borderId="762" xfId="0" applyFont="1" applyBorder="1" applyAlignment="1">
      <alignment horizontal="left" vertical="center" wrapText="1" indent="1"/>
    </xf>
    <xf numFmtId="0" fontId="241" fillId="0" borderId="763" xfId="0" applyFont="1" applyBorder="1" applyAlignment="1">
      <alignment horizontal="left" vertical="center" wrapText="1" indent="1"/>
    </xf>
    <xf numFmtId="0" fontId="312" fillId="2" borderId="755" xfId="0" applyFont="1" applyFill="1" applyBorder="1" applyAlignment="1">
      <alignment horizontal="center" vertical="center" textRotation="90" wrapText="1"/>
    </xf>
    <xf numFmtId="0" fontId="15" fillId="0" borderId="136" xfId="0" applyFont="1" applyBorder="1" applyAlignment="1">
      <alignment horizontal="left" indent="1"/>
    </xf>
    <xf numFmtId="0" fontId="15" fillId="0" borderId="136" xfId="0" applyFont="1" applyBorder="1" applyAlignment="1">
      <alignment horizontal="center"/>
    </xf>
    <xf numFmtId="0" fontId="15" fillId="0" borderId="132" xfId="0" applyFont="1" applyBorder="1" applyAlignment="1">
      <alignment horizontal="center"/>
    </xf>
    <xf numFmtId="0" fontId="15" fillId="0" borderId="141" xfId="0" applyFont="1" applyBorder="1" applyAlignment="1">
      <alignment horizontal="center"/>
    </xf>
    <xf numFmtId="0" fontId="344" fillId="0" borderId="177" xfId="0" applyFont="1" applyBorder="1" applyAlignment="1">
      <alignment horizontal="left" vertical="center" wrapText="1" indent="1"/>
    </xf>
    <xf numFmtId="0" fontId="337" fillId="0" borderId="177" xfId="0" applyFont="1" applyBorder="1" applyAlignment="1">
      <alignment horizontal="left" vertical="center" wrapText="1" indent="1"/>
    </xf>
    <xf numFmtId="0" fontId="339" fillId="0" borderId="109" xfId="0" applyFont="1" applyBorder="1" applyAlignment="1">
      <alignment indent="1"/>
    </xf>
    <xf numFmtId="1" fontId="345" fillId="0" borderId="177" xfId="0" applyNumberFormat="1" applyFont="1" applyBorder="1" applyAlignment="1">
      <alignment horizontal="center" vertical="center" wrapText="1"/>
    </xf>
    <xf numFmtId="0" fontId="99" fillId="0" borderId="118" xfId="0" applyFont="1" applyBorder="1" applyAlignment="1">
      <alignment horizontal="left" indent="1"/>
    </xf>
    <xf numFmtId="0" fontId="24" fillId="0" borderId="700" xfId="0" applyFont="1" applyBorder="1" applyAlignment="1">
      <alignment horizontal="left" vertical="center" wrapText="1" indent="1"/>
    </xf>
    <xf numFmtId="0" fontId="140" fillId="44" borderId="753" xfId="0" applyFont="1" applyFill="1" applyBorder="1" applyAlignment="1">
      <alignment horizontal="left" vertical="center" indent="1"/>
    </xf>
    <xf numFmtId="0" fontId="140" fillId="44" borderId="427" xfId="0" applyFont="1" applyFill="1" applyBorder="1" applyAlignment="1">
      <alignment horizontal="left" vertical="center" indent="1"/>
    </xf>
    <xf numFmtId="0" fontId="208" fillId="18" borderId="737" xfId="0" applyFont="1" applyFill="1" applyBorder="1" applyAlignment="1">
      <alignment horizontal="left" vertical="center" wrapText="1" indent="1"/>
    </xf>
    <xf numFmtId="0" fontId="241" fillId="18" borderId="766" xfId="0" applyFont="1" applyFill="1" applyBorder="1" applyAlignment="1">
      <alignment horizontal="left" vertical="center" wrapText="1" indent="1"/>
    </xf>
    <xf numFmtId="0" fontId="241" fillId="18" borderId="761" xfId="0" applyFont="1" applyFill="1" applyBorder="1" applyAlignment="1">
      <alignment horizontal="left" vertical="center" wrapText="1" indent="1"/>
    </xf>
    <xf numFmtId="0" fontId="241" fillId="18" borderId="768" xfId="0" applyFont="1" applyFill="1" applyBorder="1" applyAlignment="1">
      <alignment horizontal="left" vertical="center" wrapText="1" indent="1"/>
    </xf>
    <xf numFmtId="0" fontId="241" fillId="18" borderId="770" xfId="0" applyFont="1" applyFill="1" applyBorder="1" applyAlignment="1">
      <alignment horizontal="left" vertical="center" wrapText="1" indent="1"/>
    </xf>
    <xf numFmtId="0" fontId="241" fillId="18" borderId="771" xfId="0" applyFont="1" applyFill="1" applyBorder="1" applyAlignment="1">
      <alignment horizontal="left" vertical="center" wrapText="1" indent="1"/>
    </xf>
    <xf numFmtId="0" fontId="179" fillId="0" borderId="757" xfId="0" applyFont="1" applyBorder="1" applyAlignment="1">
      <alignment horizontal="left" vertical="center" wrapText="1" indent="1"/>
    </xf>
    <xf numFmtId="0" fontId="179" fillId="0" borderId="758" xfId="0" applyFont="1" applyBorder="1" applyAlignment="1">
      <alignment horizontal="left" vertical="center" wrapText="1" indent="1"/>
    </xf>
    <xf numFmtId="0" fontId="38" fillId="4" borderId="344" xfId="0" applyFont="1" applyFill="1" applyBorder="1" applyAlignment="1">
      <alignment horizontal="left" vertical="center" wrapText="1" indent="1"/>
    </xf>
    <xf numFmtId="0" fontId="354" fillId="18" borderId="737" xfId="0" applyFont="1" applyFill="1" applyBorder="1" applyAlignment="1">
      <alignment horizontal="left" vertical="center" wrapText="1" indent="1"/>
    </xf>
    <xf numFmtId="0" fontId="356" fillId="18" borderId="662" xfId="0" applyFont="1" applyFill="1" applyBorder="1" applyAlignment="1">
      <alignment horizontal="left" vertical="center" wrapText="1" indent="1"/>
    </xf>
    <xf numFmtId="0" fontId="356" fillId="18" borderId="738" xfId="0" applyFont="1" applyFill="1" applyBorder="1" applyAlignment="1">
      <alignment horizontal="left" vertical="center" wrapText="1" indent="1"/>
    </xf>
    <xf numFmtId="0" fontId="355" fillId="18" borderId="737" xfId="0" applyFont="1" applyFill="1" applyBorder="1" applyAlignment="1">
      <alignment horizontal="left" vertical="center" wrapText="1" indent="1"/>
    </xf>
    <xf numFmtId="0" fontId="275" fillId="0" borderId="758" xfId="0" applyFont="1" applyBorder="1" applyAlignment="1">
      <alignment horizontal="center" vertical="center" wrapText="1" indent="1"/>
    </xf>
    <xf numFmtId="0" fontId="275" fillId="0" borderId="662" xfId="0" applyFont="1" applyBorder="1" applyAlignment="1">
      <alignment horizontal="center" vertical="center" wrapText="1" indent="1"/>
    </xf>
    <xf numFmtId="0" fontId="275" fillId="0" borderId="770" xfId="0" applyFont="1" applyBorder="1" applyAlignment="1">
      <alignment horizontal="center" vertical="center" wrapText="1" indent="1"/>
    </xf>
    <xf numFmtId="0" fontId="357" fillId="0" borderId="758" xfId="0" applyFont="1" applyBorder="1" applyAlignment="1">
      <alignment horizontal="center" vertical="center" wrapText="1" indent="1"/>
    </xf>
    <xf numFmtId="0" fontId="357" fillId="0" borderId="662" xfId="0" applyFont="1" applyBorder="1" applyAlignment="1">
      <alignment horizontal="center" vertical="center" wrapText="1" indent="1"/>
    </xf>
    <xf numFmtId="0" fontId="357" fillId="0" borderId="770" xfId="0" applyFont="1" applyBorder="1" applyAlignment="1">
      <alignment horizontal="center" vertical="center" wrapText="1" indent="1"/>
    </xf>
    <xf numFmtId="0" fontId="355" fillId="0" borderId="758" xfId="0" applyFont="1" applyBorder="1" applyAlignment="1">
      <alignment horizontal="left" vertical="center" wrapText="1" indent="1"/>
    </xf>
    <xf numFmtId="0" fontId="356" fillId="0" borderId="662" xfId="0" applyFont="1" applyBorder="1" applyAlignment="1">
      <alignment horizontal="left" vertical="center" wrapText="1" indent="1"/>
    </xf>
    <xf numFmtId="0" fontId="356" fillId="0" borderId="770" xfId="0" applyFont="1" applyBorder="1" applyAlignment="1">
      <alignment horizontal="left" vertical="center" wrapText="1" indent="1"/>
    </xf>
    <xf numFmtId="0" fontId="241" fillId="0" borderId="759" xfId="0" applyFont="1" applyBorder="1" applyAlignment="1">
      <alignment horizontal="left" vertical="center" wrapText="1" indent="1"/>
    </xf>
    <xf numFmtId="0" fontId="241" fillId="0" borderId="761" xfId="0" applyFont="1" applyBorder="1" applyAlignment="1">
      <alignment horizontal="left" vertical="center" wrapText="1" indent="1"/>
    </xf>
    <xf numFmtId="0" fontId="241" fillId="0" borderId="771" xfId="0" applyFont="1" applyBorder="1" applyAlignment="1">
      <alignment horizontal="left" vertical="center" wrapText="1" indent="1"/>
    </xf>
    <xf numFmtId="0" fontId="357" fillId="18" borderId="737" xfId="0" applyFont="1" applyFill="1" applyBorder="1" applyAlignment="1">
      <alignment horizontal="center" vertical="center" wrapText="1" indent="1"/>
    </xf>
    <xf numFmtId="0" fontId="357" fillId="18" borderId="662" xfId="0" applyFont="1" applyFill="1" applyBorder="1" applyAlignment="1">
      <alignment horizontal="center" vertical="center" wrapText="1" indent="1"/>
    </xf>
    <xf numFmtId="0" fontId="357" fillId="18" borderId="738" xfId="0" applyFont="1" applyFill="1" applyBorder="1" applyAlignment="1">
      <alignment horizontal="center" vertical="center" wrapText="1" indent="1"/>
    </xf>
    <xf numFmtId="0" fontId="275" fillId="18" borderId="737" xfId="0" applyFont="1" applyFill="1" applyBorder="1" applyAlignment="1">
      <alignment horizontal="center" vertical="center" wrapText="1" indent="1"/>
    </xf>
    <xf numFmtId="0" fontId="275" fillId="18" borderId="662" xfId="0" applyFont="1" applyFill="1" applyBorder="1" applyAlignment="1">
      <alignment horizontal="center" vertical="center" wrapText="1" indent="1"/>
    </xf>
    <xf numFmtId="0" fontId="275" fillId="18" borderId="738" xfId="0" applyFont="1" applyFill="1" applyBorder="1" applyAlignment="1">
      <alignment horizontal="center" vertical="center" wrapText="1" indent="1"/>
    </xf>
    <xf numFmtId="0" fontId="276" fillId="18" borderId="737" xfId="0" applyFont="1" applyFill="1" applyBorder="1" applyAlignment="1">
      <alignment horizontal="center" vertical="center" wrapText="1" indent="1"/>
    </xf>
    <xf numFmtId="0" fontId="276" fillId="18" borderId="662" xfId="0" applyFont="1" applyFill="1" applyBorder="1" applyAlignment="1">
      <alignment horizontal="center" vertical="center" wrapText="1" indent="1"/>
    </xf>
    <xf numFmtId="0" fontId="276" fillId="18" borderId="738" xfId="0" applyFont="1" applyFill="1" applyBorder="1" applyAlignment="1">
      <alignment horizontal="center" vertical="center" wrapText="1" indent="1"/>
    </xf>
    <xf numFmtId="0" fontId="353" fillId="18" borderId="674" xfId="0" applyFont="1" applyFill="1" applyBorder="1" applyAlignment="1">
      <alignment horizontal="left" vertical="center" wrapText="1" indent="1"/>
    </xf>
    <xf numFmtId="0" fontId="208" fillId="18" borderId="662" xfId="0" applyFont="1" applyFill="1" applyBorder="1" applyAlignment="1">
      <alignment horizontal="left" vertical="center" wrapText="1" indent="1"/>
    </xf>
    <xf numFmtId="0" fontId="208" fillId="18" borderId="738" xfId="0" applyFont="1" applyFill="1" applyBorder="1" applyAlignment="1">
      <alignment horizontal="left" vertical="center" wrapText="1" indent="1"/>
    </xf>
    <xf numFmtId="0" fontId="358" fillId="18" borderId="674" xfId="0" applyFont="1" applyFill="1" applyBorder="1" applyAlignment="1">
      <alignment horizontal="left" vertical="center" wrapText="1" indent="1"/>
    </xf>
    <xf numFmtId="0" fontId="179" fillId="18" borderId="770" xfId="0" applyFont="1" applyFill="1" applyBorder="1" applyAlignment="1">
      <alignment horizontal="left" vertical="center" wrapText="1" indent="1"/>
    </xf>
    <xf numFmtId="0" fontId="241" fillId="18" borderId="674" xfId="0" applyFont="1" applyFill="1" applyBorder="1" applyAlignment="1">
      <alignment horizontal="left" vertical="center" wrapText="1" indent="1"/>
    </xf>
    <xf numFmtId="0" fontId="359" fillId="18" borderId="674" xfId="0" applyFont="1" applyFill="1" applyBorder="1" applyAlignment="1">
      <alignment horizontal="left" vertical="center" wrapText="1" indent="1"/>
    </xf>
    <xf numFmtId="0" fontId="276" fillId="18" borderId="674" xfId="0" applyFont="1" applyFill="1" applyBorder="1" applyAlignment="1">
      <alignment horizontal="center" vertical="center" wrapText="1" indent="1"/>
    </xf>
    <xf numFmtId="0" fontId="276" fillId="18" borderId="770" xfId="0" applyFont="1" applyFill="1" applyBorder="1" applyAlignment="1">
      <alignment horizontal="center" vertical="center" wrapText="1" indent="1"/>
    </xf>
    <xf numFmtId="0" fontId="275" fillId="18" borderId="674" xfId="0" applyFont="1" applyFill="1" applyBorder="1" applyAlignment="1">
      <alignment horizontal="center" vertical="center" wrapText="1" indent="1"/>
    </xf>
    <xf numFmtId="0" fontId="275" fillId="18" borderId="770" xfId="0" applyFont="1" applyFill="1" applyBorder="1" applyAlignment="1">
      <alignment horizontal="center" vertical="center" wrapText="1" indent="1"/>
    </xf>
    <xf numFmtId="0" fontId="357" fillId="18" borderId="674" xfId="0" applyFont="1" applyFill="1" applyBorder="1" applyAlignment="1">
      <alignment horizontal="center" vertical="center" wrapText="1" indent="1"/>
    </xf>
    <xf numFmtId="0" fontId="357" fillId="18" borderId="770" xfId="0" applyFont="1" applyFill="1" applyBorder="1" applyAlignment="1">
      <alignment horizontal="center" vertical="center" wrapText="1" indent="1"/>
    </xf>
    <xf numFmtId="0" fontId="208" fillId="18" borderId="770" xfId="0" applyFont="1" applyFill="1" applyBorder="1" applyAlignment="1">
      <alignment horizontal="left" vertical="center" wrapText="1" indent="1"/>
    </xf>
    <xf numFmtId="0" fontId="241" fillId="18" borderId="673" xfId="0" applyFont="1" applyFill="1" applyBorder="1" applyAlignment="1">
      <alignment horizontal="left" vertical="center" wrapText="1" indent="1"/>
    </xf>
    <xf numFmtId="0" fontId="179" fillId="18" borderId="674" xfId="0" applyFont="1" applyFill="1" applyBorder="1" applyAlignment="1">
      <alignment horizontal="left" vertical="center" wrapText="1" indent="1"/>
    </xf>
    <xf numFmtId="0" fontId="179" fillId="18" borderId="763" xfId="0" applyFont="1" applyFill="1" applyBorder="1" applyAlignment="1">
      <alignment horizontal="left" vertical="center" wrapText="1" indent="1"/>
    </xf>
    <xf numFmtId="0" fontId="274" fillId="20" borderId="552" xfId="0" applyFont="1" applyFill="1" applyBorder="1" applyAlignment="1">
      <alignment horizontal="center" vertical="center" textRotation="90" wrapText="1"/>
    </xf>
    <xf numFmtId="0" fontId="274" fillId="20" borderId="553" xfId="0" applyFont="1" applyFill="1" applyBorder="1" applyAlignment="1">
      <alignment horizontal="center" vertical="center" textRotation="90" wrapText="1"/>
    </xf>
    <xf numFmtId="0" fontId="274" fillId="20" borderId="773" xfId="0" applyFont="1" applyFill="1" applyBorder="1" applyAlignment="1">
      <alignment horizontal="center" vertical="center" textRotation="90" wrapText="1"/>
    </xf>
    <xf numFmtId="0" fontId="274" fillId="44" borderId="756" xfId="0" applyFont="1" applyFill="1" applyBorder="1" applyAlignment="1">
      <alignment horizontal="center" vertical="center" textRotation="90" wrapText="1"/>
    </xf>
    <xf numFmtId="0" fontId="274" fillId="44" borderId="629" xfId="0" applyFont="1" applyFill="1" applyBorder="1" applyAlignment="1">
      <alignment horizontal="center" vertical="center" textRotation="90" wrapText="1"/>
    </xf>
    <xf numFmtId="0" fontId="195" fillId="18" borderId="737" xfId="0" applyFont="1" applyFill="1" applyBorder="1" applyAlignment="1">
      <alignment horizontal="left" vertical="center" wrapText="1" indent="1"/>
    </xf>
    <xf numFmtId="0" fontId="195" fillId="18" borderId="662" xfId="0" applyFont="1" applyFill="1" applyBorder="1" applyAlignment="1">
      <alignment horizontal="left" vertical="center" wrapText="1" indent="1"/>
    </xf>
    <xf numFmtId="0" fontId="195" fillId="18" borderId="738" xfId="0" applyFont="1" applyFill="1" applyBorder="1" applyAlignment="1">
      <alignment horizontal="left" vertical="center" wrapText="1" indent="1"/>
    </xf>
    <xf numFmtId="0" fontId="179" fillId="0" borderId="763" xfId="0" applyFont="1" applyBorder="1" applyAlignment="1">
      <alignment horizontal="left" vertical="center" wrapText="1" indent="1"/>
    </xf>
    <xf numFmtId="0" fontId="359" fillId="0" borderId="674" xfId="0" applyFont="1" applyBorder="1" applyAlignment="1">
      <alignment horizontal="left" vertical="center" wrapText="1" indent="1"/>
    </xf>
    <xf numFmtId="0" fontId="276" fillId="0" borderId="674" xfId="0" applyFont="1" applyBorder="1" applyAlignment="1">
      <alignment horizontal="center" vertical="center" wrapText="1" indent="1"/>
    </xf>
    <xf numFmtId="0" fontId="276" fillId="0" borderId="662" xfId="0" applyFont="1" applyBorder="1" applyAlignment="1">
      <alignment horizontal="center" vertical="center" wrapText="1" indent="1"/>
    </xf>
    <xf numFmtId="0" fontId="276" fillId="0" borderId="763" xfId="0" applyFont="1" applyBorder="1" applyAlignment="1">
      <alignment horizontal="center" vertical="center" wrapText="1" indent="1"/>
    </xf>
    <xf numFmtId="0" fontId="208" fillId="0" borderId="674" xfId="0" applyFont="1" applyBorder="1" applyAlignment="1">
      <alignment horizontal="left" vertical="center" wrapText="1" indent="1"/>
    </xf>
    <xf numFmtId="0" fontId="241" fillId="0" borderId="673" xfId="0" applyFont="1" applyBorder="1" applyAlignment="1">
      <alignment horizontal="left" vertical="center" wrapText="1" indent="1"/>
    </xf>
    <xf numFmtId="0" fontId="241" fillId="0" borderId="764" xfId="0" applyFont="1" applyBorder="1" applyAlignment="1">
      <alignment horizontal="left" vertical="center" wrapText="1" indent="1"/>
    </xf>
    <xf numFmtId="0" fontId="208" fillId="18" borderId="674" xfId="0" applyFont="1" applyFill="1" applyBorder="1" applyAlignment="1">
      <alignment horizontal="left" vertical="center" wrapText="1" indent="1"/>
    </xf>
    <xf numFmtId="0" fontId="312" fillId="2" borderId="228" xfId="0" applyFont="1" applyFill="1" applyBorder="1" applyAlignment="1">
      <alignment horizontal="center" vertical="center" textRotation="90" wrapText="1"/>
    </xf>
    <xf numFmtId="0" fontId="9" fillId="9" borderId="602" xfId="0" applyFont="1" applyFill="1" applyBorder="1" applyAlignment="1">
      <alignment horizontal="center" vertical="center" wrapText="1"/>
    </xf>
    <xf numFmtId="0" fontId="297" fillId="0" borderId="603" xfId="0" applyFont="1" applyBorder="1" applyAlignment="1"/>
    <xf numFmtId="0" fontId="313" fillId="0" borderId="356" xfId="0" applyFont="1" applyBorder="1" applyAlignment="1"/>
    <xf numFmtId="0" fontId="313" fillId="0" borderId="374" xfId="0" applyFont="1" applyBorder="1" applyAlignment="1"/>
    <xf numFmtId="0" fontId="313" fillId="0" borderId="361" xfId="0" applyFont="1" applyBorder="1" applyAlignment="1"/>
    <xf numFmtId="0" fontId="313" fillId="0" borderId="350" xfId="0" applyFont="1" applyBorder="1" applyAlignment="1"/>
    <xf numFmtId="0" fontId="15" fillId="0" borderId="109" xfId="0" applyFont="1" applyBorder="1" applyAlignment="1"/>
    <xf numFmtId="0" fontId="115" fillId="0" borderId="177" xfId="0" applyFont="1" applyBorder="1" applyAlignment="1"/>
    <xf numFmtId="0" fontId="115" fillId="0" borderId="109" xfId="0" applyFont="1" applyBorder="1" applyAlignment="1"/>
    <xf numFmtId="0" fontId="24" fillId="0" borderId="362" xfId="0" applyFont="1" applyBorder="1" applyAlignment="1">
      <alignment horizontal="left" vertical="center" wrapText="1" indent="1"/>
    </xf>
    <xf numFmtId="1" fontId="56" fillId="0" borderId="371" xfId="0" applyNumberFormat="1" applyFont="1" applyBorder="1" applyAlignment="1">
      <alignment horizontal="center" vertical="center" wrapText="1"/>
    </xf>
    <xf numFmtId="0" fontId="115" fillId="0" borderId="372" xfId="0" applyFont="1" applyBorder="1" applyAlignment="1"/>
    <xf numFmtId="0" fontId="22" fillId="0" borderId="364" xfId="0" applyFont="1" applyBorder="1" applyAlignment="1">
      <alignment horizontal="left" vertical="center" wrapText="1" indent="1"/>
    </xf>
    <xf numFmtId="1" fontId="153" fillId="0" borderId="111" xfId="0" applyNumberFormat="1" applyFont="1" applyBorder="1" applyAlignment="1">
      <alignment horizontal="center" vertical="center" wrapText="1"/>
    </xf>
    <xf numFmtId="0" fontId="209" fillId="0" borderId="177" xfId="0" applyFont="1" applyBorder="1" applyAlignment="1"/>
    <xf numFmtId="0" fontId="209" fillId="0" borderId="109" xfId="0" applyFont="1" applyBorder="1" applyAlignment="1"/>
    <xf numFmtId="0" fontId="163" fillId="0" borderId="177" xfId="0" applyFont="1" applyBorder="1" applyAlignment="1">
      <alignment indent="1"/>
    </xf>
    <xf numFmtId="0" fontId="163" fillId="0" borderId="109" xfId="0" applyFont="1" applyBorder="1" applyAlignment="1">
      <alignment indent="1"/>
    </xf>
    <xf numFmtId="49" fontId="0" fillId="0" borderId="344" xfId="0" applyNumberFormat="1" applyBorder="1" applyAlignment="1"/>
    <xf numFmtId="0" fontId="14" fillId="0" borderId="716" xfId="0" applyFont="1" applyBorder="1" applyAlignment="1">
      <alignment horizontal="left" vertical="center" wrapText="1" indent="1"/>
    </xf>
    <xf numFmtId="0" fontId="96" fillId="0" borderId="715" xfId="0" applyFont="1" applyBorder="1" applyAlignment="1">
      <alignment horizontal="left" indent="1"/>
    </xf>
    <xf numFmtId="0" fontId="292" fillId="0" borderId="716" xfId="0" applyFont="1" applyBorder="1" applyAlignment="1">
      <alignment horizontal="left" vertical="center" indent="1"/>
    </xf>
    <xf numFmtId="0" fontId="24" fillId="17" borderId="77" xfId="0" applyFont="1" applyFill="1" applyBorder="1" applyAlignment="1">
      <alignment horizontal="left" vertical="center" wrapText="1"/>
    </xf>
    <xf numFmtId="0" fontId="15" fillId="17" borderId="73" xfId="0" applyFont="1" applyFill="1" applyBorder="1" applyAlignment="1"/>
    <xf numFmtId="0" fontId="15" fillId="17" borderId="76" xfId="0" applyFont="1" applyFill="1" applyBorder="1" applyAlignment="1"/>
    <xf numFmtId="0" fontId="24" fillId="17" borderId="73" xfId="0" applyFont="1" applyFill="1" applyBorder="1" applyAlignment="1">
      <alignment horizontal="left" vertical="center" wrapText="1"/>
    </xf>
    <xf numFmtId="0" fontId="35" fillId="12" borderId="206" xfId="0" applyFont="1" applyFill="1" applyBorder="1" applyAlignment="1">
      <alignment horizontal="left" vertical="center" indent="1"/>
    </xf>
    <xf numFmtId="0" fontId="99" fillId="0" borderId="205" xfId="0" applyFont="1" applyBorder="1" applyAlignment="1">
      <alignment horizontal="left" indent="1"/>
    </xf>
    <xf numFmtId="0" fontId="107" fillId="12" borderId="205" xfId="0" applyFont="1" applyFill="1" applyBorder="1" applyAlignment="1">
      <alignment horizontal="center" vertical="center"/>
    </xf>
    <xf numFmtId="0" fontId="99" fillId="0" borderId="205" xfId="0" applyFont="1" applyBorder="1" applyAlignment="1"/>
    <xf numFmtId="0" fontId="99" fillId="0" borderId="168" xfId="0" applyFont="1" applyBorder="1" applyAlignment="1"/>
    <xf numFmtId="4" fontId="52" fillId="2" borderId="121" xfId="0" applyNumberFormat="1" applyFont="1" applyFill="1" applyBorder="1" applyAlignment="1">
      <alignment horizontal="left" vertical="center" wrapText="1" indent="1"/>
    </xf>
    <xf numFmtId="0" fontId="96" fillId="0" borderId="327" xfId="0" applyFont="1" applyBorder="1" applyAlignment="1">
      <alignment horizontal="left" indent="1"/>
    </xf>
    <xf numFmtId="0" fontId="23" fillId="0" borderId="344" xfId="0" applyFont="1" applyBorder="1" applyAlignment="1">
      <alignment horizontal="left" indent="1"/>
    </xf>
    <xf numFmtId="0" fontId="291" fillId="0" borderId="716" xfId="0" applyFont="1" applyBorder="1" applyAlignment="1">
      <alignment horizontal="left" vertical="center" indent="1"/>
    </xf>
    <xf numFmtId="0" fontId="24" fillId="17" borderId="154" xfId="0" applyFont="1" applyFill="1" applyBorder="1" applyAlignment="1">
      <alignment horizontal="left" vertical="center" wrapText="1"/>
    </xf>
    <xf numFmtId="0" fontId="15" fillId="17" borderId="196" xfId="0" applyFont="1" applyFill="1" applyBorder="1" applyAlignment="1"/>
    <xf numFmtId="0" fontId="15" fillId="17" borderId="153" xfId="0" applyFont="1" applyFill="1" applyBorder="1" applyAlignment="1"/>
    <xf numFmtId="0" fontId="24" fillId="17" borderId="196" xfId="0" applyFont="1" applyFill="1" applyBorder="1" applyAlignment="1">
      <alignment horizontal="left" vertical="center" wrapText="1"/>
    </xf>
    <xf numFmtId="49" fontId="0" fillId="0" borderId="0" xfId="0" applyNumberFormat="1" applyAlignment="1"/>
    <xf numFmtId="49" fontId="188" fillId="0" borderId="0" xfId="0" applyNumberFormat="1" applyFont="1" applyAlignment="1"/>
    <xf numFmtId="0" fontId="297" fillId="0" borderId="358" xfId="0" applyFont="1" applyBorder="1" applyAlignment="1"/>
    <xf numFmtId="0" fontId="297" fillId="0" borderId="344" xfId="0" applyFont="1" applyBorder="1" applyAlignment="1"/>
    <xf numFmtId="0" fontId="297" fillId="0" borderId="361" xfId="0" applyFont="1" applyBorder="1" applyAlignment="1"/>
    <xf numFmtId="0" fontId="297" fillId="0" borderId="350" xfId="0" applyFont="1" applyBorder="1" applyAlignment="1"/>
    <xf numFmtId="49" fontId="71" fillId="5" borderId="601" xfId="0" applyNumberFormat="1" applyFont="1" applyFill="1" applyBorder="1" applyAlignment="1">
      <alignment horizontal="center" vertical="center" wrapText="1"/>
    </xf>
    <xf numFmtId="0" fontId="341" fillId="0" borderId="150" xfId="0" applyFont="1" applyBorder="1" applyAlignment="1">
      <alignment horizontal="left" vertical="center" wrapText="1" indent="1"/>
    </xf>
    <xf numFmtId="0" fontId="15" fillId="0" borderId="150" xfId="0" applyFont="1" applyBorder="1" applyAlignment="1">
      <alignment indent="1"/>
    </xf>
    <xf numFmtId="0" fontId="24" fillId="0" borderId="150" xfId="0" applyFont="1" applyBorder="1" applyAlignment="1">
      <alignment horizontal="left" vertical="center" wrapText="1" indent="1"/>
    </xf>
    <xf numFmtId="49" fontId="297" fillId="0" borderId="250" xfId="0" applyNumberFormat="1" applyFont="1" applyBorder="1" applyAlignment="1"/>
    <xf numFmtId="0" fontId="24" fillId="17" borderId="196" xfId="0" applyFont="1" applyFill="1" applyBorder="1" applyAlignment="1">
      <alignment horizontal="left" vertical="center" wrapText="1" indent="1"/>
    </xf>
    <xf numFmtId="0" fontId="15" fillId="17" borderId="196" xfId="0" applyFont="1" applyFill="1" applyBorder="1" applyAlignment="1">
      <alignment indent="1"/>
    </xf>
    <xf numFmtId="0" fontId="23" fillId="0" borderId="151" xfId="0" applyFont="1" applyBorder="1" applyAlignment="1">
      <alignment horizontal="left" vertical="center" wrapText="1" indent="1"/>
    </xf>
    <xf numFmtId="0" fontId="24" fillId="0" borderId="151" xfId="0" applyFont="1" applyBorder="1" applyAlignment="1">
      <alignment horizontal="left" vertical="center" wrapText="1" indent="1"/>
    </xf>
    <xf numFmtId="0" fontId="35" fillId="2" borderId="206" xfId="0" applyFont="1" applyFill="1" applyBorder="1" applyAlignment="1">
      <alignment horizontal="left" vertical="center" indent="1"/>
    </xf>
    <xf numFmtId="0" fontId="107" fillId="2" borderId="167" xfId="0" applyFont="1" applyFill="1" applyBorder="1" applyAlignment="1">
      <alignment horizontal="center" vertical="center"/>
    </xf>
    <xf numFmtId="1" fontId="56" fillId="17" borderId="111" xfId="0" applyNumberFormat="1" applyFont="1" applyFill="1" applyBorder="1" applyAlignment="1">
      <alignment horizontal="center" vertical="center" wrapText="1"/>
    </xf>
    <xf numFmtId="0" fontId="109" fillId="17" borderId="177" xfId="0" applyFont="1" applyFill="1" applyBorder="1" applyAlignment="1"/>
    <xf numFmtId="0" fontId="109" fillId="17" borderId="109" xfId="0" applyFont="1" applyFill="1" applyBorder="1" applyAlignment="1"/>
    <xf numFmtId="0" fontId="312" fillId="12" borderId="626" xfId="0" applyFont="1" applyFill="1" applyBorder="1" applyAlignment="1">
      <alignment horizontal="center" vertical="center" textRotation="90" wrapText="1"/>
    </xf>
    <xf numFmtId="0" fontId="312" fillId="12" borderId="941" xfId="0" applyFont="1" applyFill="1" applyBorder="1" applyAlignment="1">
      <alignment horizontal="center" vertical="center" textRotation="90" wrapText="1"/>
    </xf>
    <xf numFmtId="0" fontId="313" fillId="0" borderId="626" xfId="0" applyFont="1" applyBorder="1" applyAlignment="1"/>
    <xf numFmtId="0" fontId="313" fillId="0" borderId="942" xfId="0" applyFont="1" applyBorder="1" applyAlignment="1"/>
    <xf numFmtId="0" fontId="9" fillId="9" borderId="488" xfId="0" applyFont="1" applyFill="1" applyBorder="1" applyAlignment="1">
      <alignment horizontal="center" vertical="center" wrapText="1"/>
    </xf>
    <xf numFmtId="0" fontId="9" fillId="9" borderId="489" xfId="0" applyFont="1" applyFill="1" applyBorder="1" applyAlignment="1">
      <alignment horizontal="center" vertical="center" wrapText="1"/>
    </xf>
    <xf numFmtId="0" fontId="9" fillId="9" borderId="503" xfId="0" applyFont="1" applyFill="1" applyBorder="1" applyAlignment="1">
      <alignment horizontal="center" vertical="center" wrapText="1"/>
    </xf>
    <xf numFmtId="0" fontId="9" fillId="9" borderId="504" xfId="0" applyFont="1" applyFill="1" applyBorder="1" applyAlignment="1">
      <alignment horizontal="center" vertical="center" wrapText="1"/>
    </xf>
    <xf numFmtId="0" fontId="38" fillId="0" borderId="1041" xfId="0" applyFont="1" applyBorder="1" applyAlignment="1">
      <alignment horizontal="left" vertical="center" wrapText="1" indent="1"/>
    </xf>
    <xf numFmtId="0" fontId="100" fillId="0" borderId="574" xfId="0" applyFont="1" applyBorder="1" applyAlignment="1">
      <alignment horizontal="left" vertical="center" wrapText="1" indent="1"/>
    </xf>
    <xf numFmtId="0" fontId="100" fillId="0" borderId="565" xfId="0" applyFont="1" applyBorder="1" applyAlignment="1">
      <alignment horizontal="left" vertical="center" wrapText="1" indent="1"/>
    </xf>
    <xf numFmtId="0" fontId="100" fillId="0" borderId="1046" xfId="0" applyFont="1" applyBorder="1" applyAlignment="1">
      <alignment horizontal="left" vertical="center" wrapText="1" indent="1"/>
    </xf>
    <xf numFmtId="0" fontId="24" fillId="0" borderId="1047" xfId="0" applyFont="1" applyBorder="1" applyAlignment="1">
      <alignment horizontal="left" vertical="center" wrapText="1" indent="1"/>
    </xf>
    <xf numFmtId="4" fontId="35" fillId="2" borderId="327" xfId="0" applyNumberFormat="1" applyFont="1" applyFill="1" applyBorder="1" applyAlignment="1">
      <alignment horizontal="left" vertical="center" wrapText="1" indent="1"/>
    </xf>
    <xf numFmtId="0" fontId="104" fillId="0" borderId="327" xfId="0" applyFont="1" applyBorder="1" applyAlignment="1">
      <alignment horizontal="left" indent="1"/>
    </xf>
    <xf numFmtId="4" fontId="38" fillId="2" borderId="327" xfId="0" applyNumberFormat="1" applyFont="1" applyFill="1" applyBorder="1" applyAlignment="1">
      <alignment horizontal="center" vertical="center" wrapText="1"/>
    </xf>
    <xf numFmtId="0" fontId="15" fillId="0" borderId="327" xfId="0" applyFont="1" applyBorder="1" applyAlignment="1"/>
    <xf numFmtId="0" fontId="15" fillId="0" borderId="312" xfId="0" applyFont="1" applyBorder="1" applyAlignment="1"/>
    <xf numFmtId="0" fontId="11" fillId="12" borderId="350" xfId="0" applyFont="1" applyFill="1" applyBorder="1" applyAlignment="1">
      <alignment horizontal="center" vertical="center"/>
    </xf>
    <xf numFmtId="0" fontId="15" fillId="0" borderId="350" xfId="0" applyFont="1" applyBorder="1" applyAlignment="1"/>
    <xf numFmtId="0" fontId="24" fillId="4" borderId="100" xfId="0" applyFont="1" applyFill="1" applyBorder="1" applyAlignment="1">
      <alignment horizontal="left" vertical="center" wrapText="1" indent="1"/>
    </xf>
    <xf numFmtId="0" fontId="28" fillId="12" borderId="350" xfId="0" applyFont="1" applyFill="1" applyBorder="1" applyAlignment="1">
      <alignment horizontal="center" vertical="center"/>
    </xf>
    <xf numFmtId="0" fontId="38" fillId="0" borderId="1033" xfId="0" applyFont="1" applyBorder="1" applyAlignment="1">
      <alignment horizontal="left" vertical="center" wrapText="1" indent="1"/>
    </xf>
    <xf numFmtId="0" fontId="24" fillId="17" borderId="111" xfId="0" applyFont="1" applyFill="1" applyBorder="1" applyAlignment="1">
      <alignment horizontal="left" vertical="center" wrapText="1" indent="1"/>
    </xf>
    <xf numFmtId="0" fontId="15" fillId="17" borderId="177" xfId="0" applyFont="1" applyFill="1" applyBorder="1" applyAlignment="1">
      <alignment indent="1"/>
    </xf>
    <xf numFmtId="0" fontId="15" fillId="17" borderId="109" xfId="0" applyFont="1" applyFill="1" applyBorder="1" applyAlignment="1">
      <alignment indent="1"/>
    </xf>
    <xf numFmtId="0" fontId="35" fillId="12" borderId="205" xfId="0" applyFont="1" applyFill="1" applyBorder="1" applyAlignment="1">
      <alignment horizontal="left" vertical="center" wrapText="1" indent="1"/>
    </xf>
    <xf numFmtId="0" fontId="38" fillId="2" borderId="327" xfId="0" applyFont="1" applyFill="1" applyBorder="1" applyAlignment="1">
      <alignment horizontal="center" vertical="center" textRotation="90" wrapText="1"/>
    </xf>
    <xf numFmtId="1" fontId="223" fillId="4" borderId="177" xfId="0" applyNumberFormat="1" applyFont="1" applyFill="1" applyBorder="1" applyAlignment="1">
      <alignment horizontal="center" vertical="center" wrapText="1"/>
    </xf>
    <xf numFmtId="0" fontId="223" fillId="0" borderId="177" xfId="0" applyFont="1" applyBorder="1" applyAlignment="1"/>
    <xf numFmtId="0" fontId="223" fillId="0" borderId="109" xfId="0" applyFont="1" applyBorder="1" applyAlignment="1"/>
    <xf numFmtId="0" fontId="24" fillId="4" borderId="212" xfId="0" applyFont="1" applyFill="1" applyBorder="1" applyAlignment="1">
      <alignment horizontal="left" vertical="center" wrapText="1" indent="1"/>
    </xf>
    <xf numFmtId="0" fontId="15" fillId="0" borderId="212" xfId="0" applyFont="1" applyBorder="1" applyAlignment="1">
      <alignment indent="1"/>
    </xf>
    <xf numFmtId="0" fontId="15" fillId="0" borderId="193" xfId="0" applyFont="1" applyBorder="1" applyAlignment="1">
      <alignment indent="1"/>
    </xf>
    <xf numFmtId="0" fontId="24" fillId="0" borderId="0" xfId="0" applyFont="1" applyAlignment="1">
      <alignment horizontal="left" vertical="center" wrapText="1" indent="1"/>
    </xf>
    <xf numFmtId="0" fontId="0" fillId="0" borderId="0" xfId="0" applyAlignment="1">
      <alignment indent="1"/>
    </xf>
    <xf numFmtId="0" fontId="56" fillId="0" borderId="111" xfId="0" applyFont="1" applyBorder="1" applyAlignment="1">
      <alignment horizontal="center" vertical="center"/>
    </xf>
    <xf numFmtId="0" fontId="24" fillId="0" borderId="189" xfId="0" applyFont="1" applyBorder="1" applyAlignment="1">
      <alignment horizontal="left" vertical="center" wrapText="1" indent="1"/>
    </xf>
    <xf numFmtId="0" fontId="23" fillId="4" borderId="154" xfId="0" applyFont="1" applyFill="1" applyBorder="1" applyAlignment="1">
      <alignment horizontal="left" vertical="center" wrapText="1"/>
    </xf>
    <xf numFmtId="0" fontId="15" fillId="0" borderId="196" xfId="0" applyFont="1" applyBorder="1" applyAlignment="1"/>
    <xf numFmtId="0" fontId="15" fillId="0" borderId="153" xfId="0" applyFont="1" applyBorder="1" applyAlignment="1"/>
    <xf numFmtId="0" fontId="35" fillId="12" borderId="213" xfId="0" applyFont="1" applyFill="1" applyBorder="1" applyAlignment="1">
      <alignment horizontal="left" vertical="center" wrapText="1" indent="1"/>
    </xf>
    <xf numFmtId="0" fontId="56" fillId="4" borderId="111" xfId="0" applyFont="1" applyFill="1" applyBorder="1" applyAlignment="1">
      <alignment horizontal="center" vertical="center"/>
    </xf>
    <xf numFmtId="0" fontId="24" fillId="4" borderId="189" xfId="0" applyFont="1" applyFill="1" applyBorder="1" applyAlignment="1">
      <alignment horizontal="left" vertical="center" wrapText="1" indent="1"/>
    </xf>
    <xf numFmtId="0" fontId="24" fillId="0" borderId="111" xfId="0" applyFont="1" applyBorder="1" applyAlignment="1">
      <alignment horizontal="left" vertical="center" indent="1"/>
    </xf>
    <xf numFmtId="0" fontId="223" fillId="0" borderId="111" xfId="0" applyFont="1" applyBorder="1" applyAlignment="1">
      <alignment horizontal="center" vertical="center"/>
    </xf>
    <xf numFmtId="0" fontId="24" fillId="0" borderId="212" xfId="0" applyFont="1" applyBorder="1" applyAlignment="1">
      <alignment horizontal="left" vertical="center" wrapText="1" indent="1"/>
    </xf>
    <xf numFmtId="0" fontId="24" fillId="4" borderId="372" xfId="0" applyFont="1" applyFill="1" applyBorder="1" applyAlignment="1">
      <alignment horizontal="left" vertical="center" wrapText="1" indent="1"/>
    </xf>
    <xf numFmtId="0" fontId="24" fillId="0" borderId="177" xfId="0" applyFont="1" applyBorder="1" applyAlignment="1">
      <alignment horizontal="left" vertical="center" indent="1"/>
    </xf>
    <xf numFmtId="1" fontId="56" fillId="4" borderId="1033" xfId="0" applyNumberFormat="1" applyFont="1" applyFill="1" applyBorder="1" applyAlignment="1">
      <alignment horizontal="center" vertical="center" wrapText="1"/>
    </xf>
    <xf numFmtId="0" fontId="23" fillId="17" borderId="154" xfId="0" applyFont="1" applyFill="1" applyBorder="1" applyAlignment="1">
      <alignment horizontal="left" vertical="center" wrapText="1"/>
    </xf>
    <xf numFmtId="0" fontId="23" fillId="17" borderId="196" xfId="0" applyFont="1" applyFill="1" applyBorder="1" applyAlignment="1">
      <alignment horizontal="left" vertical="center" wrapText="1"/>
    </xf>
    <xf numFmtId="0" fontId="23" fillId="17" borderId="209" xfId="0" applyFont="1" applyFill="1" applyBorder="1" applyAlignment="1">
      <alignment horizontal="left" vertical="center" wrapText="1"/>
    </xf>
    <xf numFmtId="0" fontId="15" fillId="0" borderId="310" xfId="0" applyFont="1" applyBorder="1" applyAlignment="1"/>
    <xf numFmtId="0" fontId="15" fillId="0" borderId="178" xfId="0" applyFont="1" applyBorder="1" applyAlignment="1"/>
    <xf numFmtId="1" fontId="223" fillId="4" borderId="111" xfId="0" applyNumberFormat="1" applyFont="1" applyFill="1" applyBorder="1" applyAlignment="1">
      <alignment horizontal="center" vertical="center" wrapText="1"/>
    </xf>
    <xf numFmtId="1" fontId="223" fillId="4" borderId="109" xfId="0" applyNumberFormat="1" applyFont="1" applyFill="1" applyBorder="1" applyAlignment="1">
      <alignment horizontal="center" vertical="center" wrapText="1"/>
    </xf>
    <xf numFmtId="1" fontId="223" fillId="4" borderId="1033" xfId="0" applyNumberFormat="1" applyFont="1" applyFill="1" applyBorder="1" applyAlignment="1">
      <alignment horizontal="center" vertical="center" wrapText="1"/>
    </xf>
    <xf numFmtId="0" fontId="24" fillId="0" borderId="1042" xfId="0" applyFont="1" applyBorder="1" applyAlignment="1">
      <alignment horizontal="left" vertical="center" wrapText="1" indent="1"/>
    </xf>
    <xf numFmtId="0" fontId="24" fillId="0" borderId="392" xfId="0" applyFont="1" applyBorder="1" applyAlignment="1">
      <alignment horizontal="left" vertical="center" wrapText="1" indent="1"/>
    </xf>
    <xf numFmtId="0" fontId="23" fillId="4" borderId="1044" xfId="0" applyFont="1" applyFill="1" applyBorder="1" applyAlignment="1">
      <alignment horizontal="left" vertical="center" wrapText="1"/>
    </xf>
    <xf numFmtId="0" fontId="107" fillId="12" borderId="206" xfId="0" applyFont="1" applyFill="1" applyBorder="1" applyAlignment="1">
      <alignment horizontal="left" vertical="center" wrapText="1" indent="1"/>
    </xf>
    <xf numFmtId="0" fontId="107" fillId="12" borderId="300" xfId="0" applyFont="1" applyFill="1" applyBorder="1" applyAlignment="1">
      <alignment horizontal="center" vertical="center"/>
    </xf>
    <xf numFmtId="0" fontId="23" fillId="0" borderId="1042" xfId="0" applyFont="1" applyBorder="1" applyAlignment="1">
      <alignment horizontal="left" vertical="center" wrapText="1" indent="1"/>
    </xf>
    <xf numFmtId="1" fontId="56" fillId="4" borderId="200" xfId="0" applyNumberFormat="1" applyFont="1" applyFill="1" applyBorder="1" applyAlignment="1">
      <alignment horizontal="center" vertical="center" wrapText="1"/>
    </xf>
    <xf numFmtId="1" fontId="56" fillId="4" borderId="1043" xfId="0" applyNumberFormat="1" applyFont="1" applyFill="1" applyBorder="1" applyAlignment="1">
      <alignment horizontal="center" vertical="center" wrapText="1"/>
    </xf>
    <xf numFmtId="0" fontId="23" fillId="4" borderId="209" xfId="0" applyFont="1" applyFill="1" applyBorder="1" applyAlignment="1">
      <alignment horizontal="left" vertical="center" wrapText="1"/>
    </xf>
    <xf numFmtId="0" fontId="23" fillId="4" borderId="196" xfId="0" applyFont="1" applyFill="1" applyBorder="1" applyAlignment="1">
      <alignment horizontal="left" vertical="center" wrapText="1"/>
    </xf>
    <xf numFmtId="0" fontId="398" fillId="0" borderId="177" xfId="0" applyFont="1" applyBorder="1" applyAlignment="1">
      <alignment horizontal="left" vertical="center" wrapText="1" indent="1"/>
    </xf>
    <xf numFmtId="0" fontId="24" fillId="4" borderId="1033" xfId="0" applyFont="1" applyFill="1" applyBorder="1" applyAlignment="1">
      <alignment horizontal="left" vertical="center" wrapText="1" indent="1"/>
    </xf>
    <xf numFmtId="0" fontId="71" fillId="8" borderId="598" xfId="0" applyFont="1" applyFill="1" applyBorder="1" applyAlignment="1">
      <alignment horizontal="center" vertical="center" wrapText="1"/>
    </xf>
    <xf numFmtId="0" fontId="9" fillId="12" borderId="1063" xfId="0" applyFont="1" applyFill="1" applyBorder="1" applyAlignment="1">
      <alignment horizontal="center" vertical="center" wrapText="1"/>
    </xf>
    <xf numFmtId="0" fontId="9" fillId="12" borderId="1064" xfId="0" applyFont="1" applyFill="1" applyBorder="1" applyAlignment="1">
      <alignment horizontal="center" vertical="center" wrapText="1"/>
    </xf>
    <xf numFmtId="0" fontId="9" fillId="12" borderId="1065" xfId="0" applyFont="1" applyFill="1" applyBorder="1" applyAlignment="1">
      <alignment horizontal="center" vertical="center" wrapText="1"/>
    </xf>
    <xf numFmtId="0" fontId="9" fillId="12" borderId="823" xfId="0" applyFont="1" applyFill="1" applyBorder="1" applyAlignment="1">
      <alignment horizontal="center" vertical="center" wrapText="1"/>
    </xf>
    <xf numFmtId="0" fontId="9" fillId="2" borderId="731" xfId="0" applyFont="1" applyFill="1" applyBorder="1" applyAlignment="1">
      <alignment horizontal="center" vertical="center" textRotation="90"/>
    </xf>
    <xf numFmtId="49" fontId="71" fillId="5" borderId="487" xfId="0" applyNumberFormat="1" applyFont="1" applyFill="1" applyBorder="1" applyAlignment="1">
      <alignment horizontal="center" vertical="center" wrapText="1"/>
    </xf>
    <xf numFmtId="0" fontId="9" fillId="11" borderId="500" xfId="0" applyFont="1" applyFill="1" applyBorder="1" applyAlignment="1">
      <alignment horizontal="center" vertical="center" wrapText="1"/>
    </xf>
    <xf numFmtId="0" fontId="9" fillId="11" borderId="501" xfId="0" applyFont="1" applyFill="1" applyBorder="1" applyAlignment="1">
      <alignment horizontal="center" vertical="center" wrapText="1"/>
    </xf>
    <xf numFmtId="0" fontId="9" fillId="10" borderId="492" xfId="0" applyFont="1" applyFill="1" applyBorder="1" applyAlignment="1">
      <alignment horizontal="center" vertical="center" wrapText="1"/>
    </xf>
    <xf numFmtId="0" fontId="23" fillId="4" borderId="372" xfId="0" applyFont="1" applyFill="1" applyBorder="1" applyAlignment="1">
      <alignment horizontal="left" vertical="center" wrapText="1" indent="1"/>
    </xf>
    <xf numFmtId="0" fontId="23" fillId="4" borderId="589" xfId="0" applyFont="1" applyFill="1" applyBorder="1" applyAlignment="1">
      <alignment horizontal="left" vertical="center" wrapText="1"/>
    </xf>
    <xf numFmtId="0" fontId="23" fillId="4" borderId="1045" xfId="0" applyFont="1" applyFill="1" applyBorder="1" applyAlignment="1">
      <alignment horizontal="left" vertical="center" wrapText="1"/>
    </xf>
    <xf numFmtId="0" fontId="23" fillId="4" borderId="136" xfId="0" applyFont="1" applyFill="1" applyBorder="1" applyAlignment="1">
      <alignment horizontal="left" vertical="center" wrapText="1"/>
    </xf>
    <xf numFmtId="0" fontId="24" fillId="4" borderId="371" xfId="0" applyFont="1" applyFill="1" applyBorder="1" applyAlignment="1">
      <alignment vertical="center" wrapText="1" indent="1"/>
    </xf>
    <xf numFmtId="0" fontId="24" fillId="4" borderId="111" xfId="0" applyFont="1" applyFill="1" applyBorder="1" applyAlignment="1">
      <alignment vertical="center" wrapText="1" indent="1"/>
    </xf>
    <xf numFmtId="0" fontId="9" fillId="11" borderId="499" xfId="0" applyFont="1" applyFill="1" applyBorder="1" applyAlignment="1">
      <alignment horizontal="center" vertical="center" wrapText="1"/>
    </xf>
    <xf numFmtId="0" fontId="23" fillId="4" borderId="310" xfId="0" applyFont="1" applyFill="1" applyBorder="1" applyAlignment="1">
      <alignment horizontal="left" vertical="center" wrapText="1"/>
    </xf>
    <xf numFmtId="1" fontId="56" fillId="13" borderId="111" xfId="0" applyNumberFormat="1" applyFont="1" applyFill="1" applyBorder="1" applyAlignment="1">
      <alignment horizontal="center" vertical="center" wrapText="1"/>
    </xf>
    <xf numFmtId="1" fontId="56" fillId="13" borderId="1033" xfId="0" applyNumberFormat="1" applyFont="1" applyFill="1" applyBorder="1" applyAlignment="1">
      <alignment horizontal="center" vertical="center" wrapText="1"/>
    </xf>
    <xf numFmtId="0" fontId="24" fillId="4" borderId="1042" xfId="0" applyFont="1" applyFill="1" applyBorder="1" applyAlignment="1">
      <alignment horizontal="left" vertical="center" wrapText="1" indent="1"/>
    </xf>
    <xf numFmtId="0" fontId="222" fillId="0" borderId="111" xfId="0" applyFont="1" applyBorder="1" applyAlignment="1">
      <alignment horizontal="left" vertical="center" wrapText="1" indent="1"/>
    </xf>
    <xf numFmtId="0" fontId="222" fillId="0" borderId="177" xfId="0" applyFont="1" applyBorder="1" applyAlignment="1">
      <alignment horizontal="left" vertical="center" wrapText="1" indent="1"/>
    </xf>
    <xf numFmtId="1" fontId="56" fillId="17" borderId="177" xfId="0" applyNumberFormat="1" applyFont="1" applyFill="1" applyBorder="1" applyAlignment="1">
      <alignment horizontal="center" vertical="center" wrapText="1"/>
    </xf>
    <xf numFmtId="0" fontId="24" fillId="17" borderId="154" xfId="0" applyFont="1" applyFill="1" applyBorder="1" applyAlignment="1">
      <alignment horizontal="left" vertical="center" indent="1"/>
    </xf>
    <xf numFmtId="0" fontId="24" fillId="17" borderId="196" xfId="0" applyFont="1" applyFill="1" applyBorder="1" applyAlignment="1">
      <alignment horizontal="left" vertical="center" indent="1"/>
    </xf>
    <xf numFmtId="0" fontId="24" fillId="17" borderId="153" xfId="0" applyFont="1" applyFill="1" applyBorder="1" applyAlignment="1">
      <alignment horizontal="left" vertical="center" indent="1"/>
    </xf>
    <xf numFmtId="0" fontId="23" fillId="17" borderId="154" xfId="0" applyFont="1" applyFill="1" applyBorder="1" applyAlignment="1">
      <alignment horizontal="left" vertical="center" wrapText="1" indent="1"/>
    </xf>
    <xf numFmtId="0" fontId="23" fillId="17" borderId="196" xfId="0" applyFont="1" applyFill="1" applyBorder="1" applyAlignment="1">
      <alignment horizontal="left" vertical="center" wrapText="1" indent="1"/>
    </xf>
    <xf numFmtId="0" fontId="23" fillId="17" borderId="153" xfId="0" applyFont="1" applyFill="1" applyBorder="1" applyAlignment="1">
      <alignment horizontal="left" vertical="center" wrapText="1" indent="1"/>
    </xf>
    <xf numFmtId="0" fontId="24" fillId="4" borderId="315" xfId="0" applyFont="1" applyFill="1" applyBorder="1" applyAlignment="1">
      <alignment horizontal="left" vertical="center" wrapText="1" indent="1"/>
    </xf>
    <xf numFmtId="0" fontId="24" fillId="0" borderId="596" xfId="0" applyFont="1" applyBorder="1" applyAlignment="1">
      <alignment horizontal="left" vertical="center" wrapText="1" indent="1"/>
    </xf>
    <xf numFmtId="0" fontId="56" fillId="0" borderId="177" xfId="0" applyFont="1" applyBorder="1" applyAlignment="1">
      <alignment horizontal="center" vertical="center" wrapText="1"/>
    </xf>
    <xf numFmtId="0" fontId="56" fillId="0" borderId="111" xfId="0" applyFont="1" applyBorder="1" applyAlignment="1">
      <alignment horizontal="center" vertical="center" wrapText="1"/>
    </xf>
    <xf numFmtId="0" fontId="312" fillId="2" borderId="946" xfId="0" applyFont="1" applyFill="1" applyBorder="1" applyAlignment="1">
      <alignment horizontal="center" vertical="center" textRotation="90" wrapText="1"/>
    </xf>
    <xf numFmtId="0" fontId="312" fillId="2" borderId="947" xfId="0" applyFont="1" applyFill="1" applyBorder="1" applyAlignment="1">
      <alignment horizontal="center" vertical="center" textRotation="90" wrapText="1"/>
    </xf>
    <xf numFmtId="0" fontId="312" fillId="2" borderId="951" xfId="0" applyFont="1" applyFill="1" applyBorder="1" applyAlignment="1">
      <alignment horizontal="center" vertical="center" textRotation="90" wrapText="1"/>
    </xf>
    <xf numFmtId="0" fontId="312" fillId="2" borderId="948" xfId="0" applyFont="1" applyFill="1" applyBorder="1" applyAlignment="1">
      <alignment horizontal="center" vertical="center" textRotation="90" wrapText="1"/>
    </xf>
    <xf numFmtId="0" fontId="312" fillId="45" borderId="949" xfId="0" applyFont="1" applyFill="1" applyBorder="1" applyAlignment="1">
      <alignment horizontal="center" vertical="center" textRotation="90" wrapText="1"/>
    </xf>
    <xf numFmtId="0" fontId="312" fillId="45" borderId="950" xfId="0" applyFont="1" applyFill="1" applyBorder="1" applyAlignment="1">
      <alignment horizontal="center" vertical="center" textRotation="90" wrapText="1"/>
    </xf>
    <xf numFmtId="0" fontId="274" fillId="44" borderId="950" xfId="0" applyFont="1" applyFill="1" applyBorder="1" applyAlignment="1">
      <alignment horizontal="center" vertical="center" textRotation="90"/>
    </xf>
    <xf numFmtId="0" fontId="274" fillId="44" borderId="626" xfId="0" applyFont="1" applyFill="1" applyBorder="1" applyAlignment="1">
      <alignment horizontal="center" vertical="center" textRotation="90"/>
    </xf>
    <xf numFmtId="0" fontId="274" fillId="44" borderId="624" xfId="0" applyFont="1" applyFill="1" applyBorder="1" applyAlignment="1">
      <alignment horizontal="center" vertical="center" textRotation="90"/>
    </xf>
    <xf numFmtId="0" fontId="274" fillId="44" borderId="1056" xfId="0" applyFont="1" applyFill="1" applyBorder="1" applyAlignment="1">
      <alignment horizontal="center" vertical="center" textRotation="90"/>
    </xf>
    <xf numFmtId="0" fontId="14" fillId="0" borderId="217" xfId="0" applyFont="1" applyBorder="1" applyAlignment="1">
      <alignment horizontal="left" vertical="center" wrapText="1" indent="1"/>
    </xf>
    <xf numFmtId="0" fontId="96" fillId="0" borderId="218" xfId="0" applyFont="1" applyBorder="1" applyAlignment="1">
      <alignment horizontal="left" indent="1"/>
    </xf>
    <xf numFmtId="0" fontId="14" fillId="0" borderId="220" xfId="0" applyFont="1" applyBorder="1" applyAlignment="1">
      <alignment horizontal="left" vertical="center" wrapText="1" indent="1"/>
    </xf>
    <xf numFmtId="0" fontId="96" fillId="0" borderId="221" xfId="0" applyFont="1" applyBorder="1" applyAlignment="1">
      <alignment horizontal="left" indent="1"/>
    </xf>
    <xf numFmtId="0" fontId="292" fillId="0" borderId="220" xfId="0" applyFont="1" applyBorder="1" applyAlignment="1">
      <alignment horizontal="left" vertical="center" indent="1"/>
    </xf>
    <xf numFmtId="0" fontId="11" fillId="0" borderId="226" xfId="0" applyFont="1" applyBorder="1" applyAlignment="1">
      <alignment horizontal="left" vertical="center" wrapText="1" indent="1"/>
    </xf>
    <xf numFmtId="0" fontId="96" fillId="0" borderId="227" xfId="0" applyFont="1" applyBorder="1" applyAlignment="1">
      <alignment horizontal="left" indent="1"/>
    </xf>
    <xf numFmtId="0" fontId="11" fillId="0" borderId="224" xfId="0" applyFont="1" applyBorder="1" applyAlignment="1">
      <alignment horizontal="left" vertical="center" wrapText="1" indent="1"/>
    </xf>
    <xf numFmtId="0" fontId="96" fillId="0" borderId="225" xfId="0" applyFont="1" applyBorder="1" applyAlignment="1">
      <alignment horizontal="left" indent="1"/>
    </xf>
    <xf numFmtId="0" fontId="291" fillId="0" borderId="217" xfId="0" applyFont="1" applyBorder="1" applyAlignment="1">
      <alignment horizontal="left" vertical="center" indent="1"/>
    </xf>
    <xf numFmtId="0" fontId="24" fillId="17" borderId="209" xfId="0" applyFont="1" applyFill="1" applyBorder="1" applyAlignment="1">
      <alignment horizontal="left" vertical="center" wrapText="1"/>
    </xf>
    <xf numFmtId="0" fontId="15" fillId="17" borderId="310" xfId="0" applyFont="1" applyFill="1" applyBorder="1" applyAlignment="1"/>
    <xf numFmtId="0" fontId="15" fillId="17" borderId="178" xfId="0" applyFont="1" applyFill="1" applyBorder="1" applyAlignment="1"/>
    <xf numFmtId="0" fontId="15" fillId="17" borderId="912" xfId="0" applyFont="1" applyFill="1" applyBorder="1" applyAlignment="1"/>
    <xf numFmtId="4" fontId="35" fillId="45" borderId="213" xfId="0" applyNumberFormat="1" applyFont="1" applyFill="1" applyBorder="1" applyAlignment="1">
      <alignment horizontal="left" vertical="center" wrapText="1" indent="1"/>
    </xf>
    <xf numFmtId="0" fontId="104" fillId="44" borderId="350" xfId="0" applyFont="1" applyFill="1" applyBorder="1" applyAlignment="1">
      <alignment horizontal="left" indent="1"/>
    </xf>
    <xf numFmtId="4" fontId="35" fillId="45" borderId="350" xfId="0" applyNumberFormat="1" applyFont="1" applyFill="1" applyBorder="1" applyAlignment="1">
      <alignment horizontal="center" vertical="center" wrapText="1"/>
    </xf>
    <xf numFmtId="0" fontId="104" fillId="44" borderId="350" xfId="0" applyFont="1" applyFill="1" applyBorder="1" applyAlignment="1"/>
    <xf numFmtId="0" fontId="104" fillId="44" borderId="300" xfId="0" applyFont="1" applyFill="1" applyBorder="1" applyAlignment="1"/>
    <xf numFmtId="0" fontId="24" fillId="0" borderId="209" xfId="0" applyFont="1" applyBorder="1" applyAlignment="1">
      <alignment horizontal="left" vertical="center" wrapText="1"/>
    </xf>
    <xf numFmtId="4" fontId="12" fillId="45" borderId="350" xfId="0" applyNumberFormat="1" applyFont="1" applyFill="1" applyBorder="1" applyAlignment="1">
      <alignment horizontal="center" vertical="center" wrapText="1"/>
    </xf>
    <xf numFmtId="0" fontId="15" fillId="44" borderId="350" xfId="0" applyFont="1" applyFill="1" applyBorder="1" applyAlignment="1"/>
    <xf numFmtId="0" fontId="15" fillId="44" borderId="300" xfId="0" applyFont="1" applyFill="1" applyBorder="1" applyAlignment="1"/>
    <xf numFmtId="0" fontId="98" fillId="0" borderId="118" xfId="0" applyFont="1" applyBorder="1" applyAlignment="1">
      <alignment horizontal="left" vertical="center" indent="1"/>
    </xf>
    <xf numFmtId="4" fontId="12" fillId="2" borderId="118" xfId="0" applyNumberFormat="1" applyFont="1" applyFill="1" applyBorder="1" applyAlignment="1">
      <alignment horizontal="center" vertical="center" wrapText="1"/>
    </xf>
    <xf numFmtId="0" fontId="15" fillId="0" borderId="118" xfId="0" applyFont="1" applyBorder="1" applyAlignment="1">
      <alignment vertical="center"/>
    </xf>
    <xf numFmtId="0" fontId="15" fillId="0" borderId="120" xfId="0" applyFont="1" applyBorder="1" applyAlignment="1">
      <alignment vertical="center"/>
    </xf>
    <xf numFmtId="0" fontId="24" fillId="17" borderId="310" xfId="0" applyFont="1" applyFill="1" applyBorder="1" applyAlignment="1">
      <alignment horizontal="left" vertical="center" wrapText="1"/>
    </xf>
    <xf numFmtId="0" fontId="24" fillId="17" borderId="310" xfId="0" applyFont="1" applyFill="1" applyBorder="1" applyAlignment="1">
      <alignment horizontal="left" vertical="center" wrapText="1" indent="1"/>
    </xf>
    <xf numFmtId="0" fontId="15" fillId="17" borderId="310" xfId="0" applyFont="1" applyFill="1" applyBorder="1" applyAlignment="1">
      <alignment indent="1"/>
    </xf>
    <xf numFmtId="0" fontId="15" fillId="17" borderId="178" xfId="0" applyFont="1" applyFill="1" applyBorder="1" applyAlignment="1">
      <alignment indent="1"/>
    </xf>
    <xf numFmtId="0" fontId="56" fillId="0" borderId="372" xfId="0" applyFont="1" applyBorder="1" applyAlignment="1">
      <alignment horizontal="center" vertical="center" wrapText="1"/>
    </xf>
    <xf numFmtId="0" fontId="109" fillId="0" borderId="372" xfId="0" applyFont="1" applyBorder="1" applyAlignment="1"/>
    <xf numFmtId="0" fontId="109" fillId="0" borderId="203" xfId="0" applyFont="1" applyBorder="1" applyAlignment="1"/>
    <xf numFmtId="49" fontId="56" fillId="0" borderId="111" xfId="0" applyNumberFormat="1" applyFont="1" applyBorder="1" applyAlignment="1">
      <alignment horizontal="center" vertical="center" wrapText="1"/>
    </xf>
    <xf numFmtId="49" fontId="56" fillId="0" borderId="177" xfId="0" applyNumberFormat="1" applyFont="1" applyBorder="1" applyAlignment="1">
      <alignment horizontal="center" vertical="center" wrapText="1"/>
    </xf>
    <xf numFmtId="49" fontId="56" fillId="0" borderId="109" xfId="0" applyNumberFormat="1" applyFont="1" applyBorder="1" applyAlignment="1">
      <alignment horizontal="center" vertical="center" wrapText="1"/>
    </xf>
    <xf numFmtId="1" fontId="56" fillId="0" borderId="342" xfId="0" applyNumberFormat="1" applyFont="1" applyBorder="1" applyAlignment="1">
      <alignment horizontal="center" vertical="center" wrapText="1"/>
    </xf>
    <xf numFmtId="0" fontId="297" fillId="0" borderId="505" xfId="0" applyFont="1" applyBorder="1" applyAlignment="1"/>
    <xf numFmtId="0" fontId="9" fillId="12" borderId="251" xfId="0" applyFont="1" applyFill="1" applyBorder="1" applyAlignment="1">
      <alignment horizontal="center" vertical="center" wrapText="1"/>
    </xf>
    <xf numFmtId="0" fontId="9" fillId="12" borderId="62" xfId="0" applyFont="1" applyFill="1" applyBorder="1" applyAlignment="1">
      <alignment horizontal="center" vertical="center" wrapText="1"/>
    </xf>
    <xf numFmtId="0" fontId="297" fillId="0" borderId="502" xfId="0" applyFont="1" applyBorder="1" applyAlignment="1"/>
    <xf numFmtId="0" fontId="9" fillId="11" borderId="506" xfId="0" applyFont="1" applyFill="1" applyBorder="1" applyAlignment="1">
      <alignment horizontal="center" vertical="center" wrapText="1"/>
    </xf>
    <xf numFmtId="0" fontId="297" fillId="0" borderId="507" xfId="0" applyFont="1" applyBorder="1" applyAlignment="1"/>
    <xf numFmtId="0" fontId="297" fillId="0" borderId="489" xfId="0" applyFont="1" applyBorder="1" applyAlignment="1"/>
    <xf numFmtId="0" fontId="297" fillId="0" borderId="504" xfId="0" applyFont="1" applyBorder="1" applyAlignment="1"/>
    <xf numFmtId="0" fontId="9" fillId="2" borderId="943" xfId="0" applyFont="1" applyFill="1" applyBorder="1" applyAlignment="1">
      <alignment horizontal="center" vertical="center" textRotation="90"/>
    </xf>
    <xf numFmtId="0" fontId="9" fillId="2" borderId="384" xfId="0" applyFont="1" applyFill="1" applyBorder="1" applyAlignment="1">
      <alignment horizontal="center" vertical="center" textRotation="90"/>
    </xf>
    <xf numFmtId="0" fontId="9" fillId="2" borderId="944" xfId="0" applyFont="1" applyFill="1" applyBorder="1" applyAlignment="1">
      <alignment horizontal="center" vertical="center" textRotation="90"/>
    </xf>
    <xf numFmtId="0" fontId="9" fillId="2" borderId="361" xfId="0" applyFont="1" applyFill="1" applyBorder="1" applyAlignment="1">
      <alignment horizontal="center" vertical="center" textRotation="90"/>
    </xf>
    <xf numFmtId="0" fontId="9" fillId="2" borderId="945" xfId="0" applyFont="1" applyFill="1" applyBorder="1" applyAlignment="1">
      <alignment horizontal="center" vertical="center" textRotation="90"/>
    </xf>
    <xf numFmtId="0" fontId="106" fillId="0" borderId="109" xfId="0" applyFont="1" applyBorder="1" applyAlignment="1">
      <alignment horizontal="center" vertical="center" wrapText="1" indent="1"/>
    </xf>
    <xf numFmtId="0" fontId="24" fillId="0" borderId="310" xfId="0" applyFont="1" applyBorder="1" applyAlignment="1">
      <alignment horizontal="left" vertical="center" wrapText="1"/>
    </xf>
    <xf numFmtId="0" fontId="61" fillId="0" borderId="109" xfId="0" applyFont="1" applyBorder="1" applyAlignment="1">
      <alignment horizontal="left" vertical="center" wrapText="1" indent="1"/>
    </xf>
    <xf numFmtId="0" fontId="98" fillId="0" borderId="177" xfId="0" applyFont="1" applyBorder="1" applyAlignment="1">
      <alignment horizontal="center" vertical="center" indent="1"/>
    </xf>
    <xf numFmtId="0" fontId="98" fillId="0" borderId="109" xfId="0" applyFont="1" applyBorder="1" applyAlignment="1">
      <alignment horizontal="center" vertical="center" indent="1"/>
    </xf>
    <xf numFmtId="0" fontId="312" fillId="2" borderId="356" xfId="0" applyFont="1" applyFill="1" applyBorder="1" applyAlignment="1">
      <alignment horizontal="center" vertical="center" textRotation="90" wrapText="1"/>
    </xf>
    <xf numFmtId="0" fontId="312" fillId="2" borderId="374" xfId="0" applyFont="1" applyFill="1" applyBorder="1" applyAlignment="1">
      <alignment horizontal="center" vertical="center" textRotation="90" wrapText="1"/>
    </xf>
    <xf numFmtId="0" fontId="312" fillId="2" borderId="540" xfId="0" applyFont="1" applyFill="1" applyBorder="1" applyAlignment="1">
      <alignment horizontal="center" vertical="center" textRotation="90" wrapText="1"/>
    </xf>
    <xf numFmtId="0" fontId="312" fillId="2" borderId="344" xfId="0" applyFont="1" applyFill="1" applyBorder="1" applyAlignment="1">
      <alignment horizontal="center" vertical="center" textRotation="90" wrapText="1"/>
    </xf>
    <xf numFmtId="0" fontId="312" fillId="45" borderId="82" xfId="0" applyFont="1" applyFill="1" applyBorder="1" applyAlignment="1">
      <alignment horizontal="center" vertical="center" textRotation="90" wrapText="1"/>
    </xf>
    <xf numFmtId="0" fontId="312" fillId="45" borderId="366" xfId="0" applyFont="1" applyFill="1" applyBorder="1" applyAlignment="1">
      <alignment horizontal="center" vertical="center" textRotation="90" wrapText="1"/>
    </xf>
    <xf numFmtId="0" fontId="312" fillId="45" borderId="628" xfId="0" applyFont="1" applyFill="1" applyBorder="1" applyAlignment="1">
      <alignment horizontal="center" vertical="center" textRotation="90" wrapText="1"/>
    </xf>
    <xf numFmtId="0" fontId="15" fillId="0" borderId="372" xfId="0" applyFont="1" applyBorder="1" applyAlignment="1"/>
    <xf numFmtId="0" fontId="15" fillId="0" borderId="203" xfId="0" applyFont="1" applyBorder="1" applyAlignment="1"/>
    <xf numFmtId="0" fontId="23" fillId="4" borderId="371" xfId="0" applyFont="1" applyFill="1" applyBorder="1" applyAlignment="1">
      <alignment horizontal="left" vertical="center" wrapText="1" indent="1"/>
    </xf>
    <xf numFmtId="0" fontId="23" fillId="0" borderId="368" xfId="0" applyFont="1" applyBorder="1" applyAlignment="1">
      <alignment horizontal="left" vertical="center" wrapText="1" indent="1"/>
    </xf>
    <xf numFmtId="0" fontId="23" fillId="0" borderId="100" xfId="0" applyFont="1" applyBorder="1" applyAlignment="1">
      <alignment horizontal="left" vertical="center" wrapText="1" indent="1"/>
    </xf>
    <xf numFmtId="0" fontId="15" fillId="0" borderId="104" xfId="0" applyFont="1" applyBorder="1" applyAlignment="1">
      <alignment indent="1"/>
    </xf>
    <xf numFmtId="0" fontId="15" fillId="0" borderId="108" xfId="0" applyFont="1" applyBorder="1" applyAlignment="1">
      <alignment indent="1"/>
    </xf>
    <xf numFmtId="0" fontId="38" fillId="0" borderId="371" xfId="0" applyFont="1" applyBorder="1" applyAlignment="1">
      <alignment horizontal="left" vertical="center" wrapText="1" indent="1"/>
    </xf>
    <xf numFmtId="0" fontId="0" fillId="0" borderId="372" xfId="0" applyBorder="1" applyAlignment="1">
      <alignment indent="1"/>
    </xf>
    <xf numFmtId="0" fontId="38" fillId="0" borderId="369" xfId="0" applyFont="1" applyBorder="1" applyAlignment="1">
      <alignment horizontal="left" vertical="center" wrapText="1" indent="1"/>
    </xf>
    <xf numFmtId="0" fontId="15" fillId="0" borderId="370" xfId="0" applyFont="1" applyBorder="1" applyAlignment="1">
      <alignment indent="1"/>
    </xf>
    <xf numFmtId="0" fontId="15" fillId="0" borderId="88" xfId="0" applyFont="1" applyBorder="1" applyAlignment="1">
      <alignment indent="1"/>
    </xf>
    <xf numFmtId="0" fontId="312" fillId="12" borderId="981" xfId="0" applyFont="1" applyFill="1" applyBorder="1" applyAlignment="1">
      <alignment horizontal="center" vertical="center" textRotation="90" wrapText="1"/>
    </xf>
    <xf numFmtId="0" fontId="313" fillId="0" borderId="982" xfId="0" applyFont="1" applyBorder="1" applyAlignment="1"/>
    <xf numFmtId="0" fontId="313" fillId="0" borderId="643" xfId="0" applyFont="1" applyBorder="1" applyAlignment="1"/>
    <xf numFmtId="0" fontId="208" fillId="0" borderId="344" xfId="0" applyFont="1" applyBorder="1" applyAlignment="1"/>
    <xf numFmtId="4" fontId="12" fillId="2" borderId="171" xfId="0" applyNumberFormat="1" applyFont="1" applyFill="1" applyBorder="1" applyAlignment="1">
      <alignment horizontal="center" vertical="center" wrapText="1"/>
    </xf>
    <xf numFmtId="0" fontId="15" fillId="0" borderId="118" xfId="0" applyFont="1" applyBorder="1" applyAlignment="1"/>
    <xf numFmtId="0" fontId="15" fillId="0" borderId="120" xfId="0" applyFont="1" applyBorder="1" applyAlignment="1"/>
    <xf numFmtId="0" fontId="23" fillId="0" borderId="0" xfId="0" applyFont="1" applyAlignment="1">
      <alignment horizontal="left" indent="1"/>
    </xf>
    <xf numFmtId="0" fontId="24" fillId="0" borderId="876" xfId="0" applyFont="1" applyBorder="1" applyAlignment="1">
      <alignment horizontal="center" vertical="center" wrapText="1"/>
    </xf>
    <xf numFmtId="0" fontId="15" fillId="0" borderId="874" xfId="0" applyFont="1" applyBorder="1" applyAlignment="1"/>
    <xf numFmtId="0" fontId="15" fillId="0" borderId="875" xfId="0" applyFont="1" applyBorder="1" applyAlignment="1"/>
    <xf numFmtId="0" fontId="35" fillId="12" borderId="206" xfId="0" applyFont="1" applyFill="1" applyBorder="1" applyAlignment="1">
      <alignment horizontal="left" vertical="center" wrapText="1" indent="1"/>
    </xf>
    <xf numFmtId="0" fontId="107" fillId="12" borderId="167" xfId="0" applyFont="1" applyFill="1" applyBorder="1" applyAlignment="1">
      <alignment horizontal="center" vertical="center"/>
    </xf>
    <xf numFmtId="0" fontId="15" fillId="0" borderId="363" xfId="0" applyFont="1" applyBorder="1" applyAlignment="1"/>
    <xf numFmtId="0" fontId="15" fillId="0" borderId="378" xfId="0" applyFont="1" applyBorder="1" applyAlignment="1"/>
    <xf numFmtId="0" fontId="23" fillId="0" borderId="364" xfId="0" applyFont="1" applyBorder="1" applyAlignment="1">
      <alignment horizontal="left" vertical="center" wrapText="1" indent="1"/>
    </xf>
    <xf numFmtId="0" fontId="22" fillId="0" borderId="344" xfId="0" applyFont="1" applyBorder="1" applyAlignment="1">
      <alignment horizontal="left" vertical="center" wrapText="1" indent="1"/>
    </xf>
    <xf numFmtId="0" fontId="153" fillId="0" borderId="177" xfId="0" applyFont="1" applyBorder="1" applyAlignment="1"/>
    <xf numFmtId="0" fontId="153" fillId="0" borderId="109" xfId="0" applyFont="1" applyBorder="1" applyAlignment="1"/>
    <xf numFmtId="1" fontId="56" fillId="0" borderId="364" xfId="0" applyNumberFormat="1" applyFont="1" applyBorder="1" applyAlignment="1">
      <alignment horizontal="center" vertical="center" wrapText="1"/>
    </xf>
    <xf numFmtId="0" fontId="109" fillId="0" borderId="344" xfId="0" applyFont="1" applyBorder="1" applyAlignment="1"/>
    <xf numFmtId="0" fontId="109" fillId="0" borderId="345" xfId="0" applyFont="1" applyBorder="1" applyAlignment="1"/>
    <xf numFmtId="0" fontId="23" fillId="0" borderId="372" xfId="0" applyFont="1" applyBorder="1" applyAlignment="1">
      <alignment horizontal="left" vertical="center" wrapText="1" indent="1"/>
    </xf>
    <xf numFmtId="0" fontId="15" fillId="0" borderId="363" xfId="0" applyFont="1" applyBorder="1" applyAlignment="1">
      <alignment wrapText="1" indent="1"/>
    </xf>
    <xf numFmtId="0" fontId="15" fillId="0" borderId="378" xfId="0" applyFont="1" applyBorder="1" applyAlignment="1">
      <alignment wrapText="1" indent="1"/>
    </xf>
    <xf numFmtId="0" fontId="23" fillId="0" borderId="363" xfId="0" applyFont="1" applyBorder="1" applyAlignment="1">
      <alignment horizontal="left" vertical="center" wrapText="1" indent="1"/>
    </xf>
    <xf numFmtId="0" fontId="38" fillId="0" borderId="229" xfId="0" applyFont="1" applyBorder="1" applyAlignment="1">
      <alignment horizontal="left" vertical="center" wrapText="1" indent="1"/>
    </xf>
    <xf numFmtId="0" fontId="40" fillId="0" borderId="876" xfId="0" applyFont="1" applyBorder="1" applyAlignment="1">
      <alignment horizontal="center" vertical="center" wrapText="1"/>
    </xf>
    <xf numFmtId="0" fontId="35" fillId="12" borderId="117" xfId="0" applyFont="1" applyFill="1" applyBorder="1" applyAlignment="1">
      <alignment horizontal="center" vertical="center"/>
    </xf>
    <xf numFmtId="0" fontId="297" fillId="0" borderId="65" xfId="0" applyFont="1" applyBorder="1" applyAlignment="1"/>
    <xf numFmtId="0" fontId="24" fillId="0" borderId="874" xfId="0" applyFont="1" applyBorder="1" applyAlignment="1">
      <alignment horizontal="left" vertical="center" wrapText="1" indent="1"/>
    </xf>
    <xf numFmtId="0" fontId="15" fillId="0" borderId="874" xfId="0" applyFont="1" applyBorder="1" applyAlignment="1">
      <alignment horizontal="left" indent="1"/>
    </xf>
    <xf numFmtId="0" fontId="15" fillId="0" borderId="875" xfId="0" applyFont="1" applyBorder="1" applyAlignment="1">
      <alignment horizontal="left" indent="1"/>
    </xf>
    <xf numFmtId="0" fontId="40" fillId="0" borderId="874" xfId="0" applyFont="1" applyBorder="1" applyAlignment="1">
      <alignment horizontal="center" vertical="center" wrapText="1"/>
    </xf>
    <xf numFmtId="0" fontId="35" fillId="12" borderId="167" xfId="0" applyFont="1" applyFill="1" applyBorder="1" applyAlignment="1">
      <alignment horizontal="center" vertical="center"/>
    </xf>
    <xf numFmtId="0" fontId="24" fillId="0" borderId="873" xfId="0" applyFont="1" applyBorder="1" applyAlignment="1">
      <alignment horizontal="center" vertical="center" wrapText="1"/>
    </xf>
    <xf numFmtId="0" fontId="24" fillId="0" borderId="874" xfId="0" applyFont="1" applyBorder="1" applyAlignment="1">
      <alignment horizontal="center" vertical="center" wrapText="1"/>
    </xf>
    <xf numFmtId="0" fontId="24" fillId="0" borderId="876" xfId="0" applyFont="1" applyBorder="1" applyAlignment="1">
      <alignment horizontal="left" vertical="center" wrapText="1" indent="1"/>
    </xf>
    <xf numFmtId="0" fontId="40" fillId="0" borderId="867" xfId="0" applyFont="1" applyBorder="1" applyAlignment="1">
      <alignment horizontal="center" vertical="center" wrapText="1"/>
    </xf>
    <xf numFmtId="0" fontId="40" fillId="0" borderId="868" xfId="0" applyFont="1" applyBorder="1" applyAlignment="1">
      <alignment horizontal="center" vertical="center" wrapText="1"/>
    </xf>
    <xf numFmtId="0" fontId="40" fillId="0" borderId="869" xfId="0" applyFont="1" applyBorder="1" applyAlignment="1">
      <alignment horizontal="center" vertical="center" wrapText="1"/>
    </xf>
    <xf numFmtId="0" fontId="24" fillId="0" borderId="873" xfId="0" applyFont="1" applyBorder="1" applyAlignment="1">
      <alignment horizontal="left" vertical="center" wrapText="1" indent="1"/>
    </xf>
    <xf numFmtId="0" fontId="24" fillId="4" borderId="876" xfId="0" applyFont="1" applyFill="1" applyBorder="1" applyAlignment="1">
      <alignment horizontal="left" vertical="center" wrapText="1" indent="1"/>
    </xf>
    <xf numFmtId="0" fontId="70" fillId="0" borderId="363" xfId="0" applyFont="1" applyBorder="1" applyAlignment="1">
      <alignment horizontal="left" vertical="center" wrapText="1" indent="1"/>
    </xf>
    <xf numFmtId="0" fontId="163" fillId="0" borderId="363" xfId="0" applyFont="1" applyBorder="1" applyAlignment="1">
      <alignment indent="1"/>
    </xf>
    <xf numFmtId="0" fontId="163" fillId="0" borderId="378" xfId="0" applyFont="1" applyBorder="1" applyAlignment="1">
      <alignment indent="1"/>
    </xf>
    <xf numFmtId="0" fontId="70" fillId="0" borderId="177" xfId="0" applyFont="1" applyBorder="1" applyAlignment="1">
      <alignment horizontal="left" vertical="center" wrapText="1" indent="1"/>
    </xf>
    <xf numFmtId="1" fontId="153" fillId="0" borderId="379" xfId="0" applyNumberFormat="1" applyFont="1" applyBorder="1" applyAlignment="1">
      <alignment horizontal="center" vertical="center" wrapText="1"/>
    </xf>
    <xf numFmtId="0" fontId="70" fillId="0" borderId="379" xfId="0" applyFont="1" applyBorder="1" applyAlignment="1">
      <alignment horizontal="left" vertical="center" wrapText="1" indent="1"/>
    </xf>
    <xf numFmtId="0" fontId="23" fillId="0" borderId="28" xfId="0" applyFont="1" applyBorder="1" applyAlignment="1">
      <alignment horizontal="left" vertical="center" wrapText="1" indent="1"/>
    </xf>
    <xf numFmtId="0" fontId="55" fillId="0" borderId="327" xfId="0" applyFont="1" applyBorder="1" applyAlignment="1">
      <alignment horizontal="center" vertical="center" wrapText="1"/>
    </xf>
    <xf numFmtId="0" fontId="38" fillId="0" borderId="208" xfId="0" applyFont="1" applyBorder="1" applyAlignment="1">
      <alignment horizontal="left" vertical="center" wrapText="1" indent="1"/>
    </xf>
    <xf numFmtId="0" fontId="15" fillId="0" borderId="208" xfId="0" applyFont="1" applyBorder="1" applyAlignment="1">
      <alignment indent="1"/>
    </xf>
    <xf numFmtId="0" fontId="15" fillId="0" borderId="248" xfId="0" applyFont="1" applyBorder="1" applyAlignment="1">
      <alignment indent="1"/>
    </xf>
    <xf numFmtId="0" fontId="24" fillId="0" borderId="208" xfId="0" applyFont="1" applyBorder="1" applyAlignment="1">
      <alignment horizontal="left" vertical="center" wrapText="1" indent="1"/>
    </xf>
    <xf numFmtId="0" fontId="24" fillId="0" borderId="269" xfId="0" applyFont="1" applyBorder="1" applyAlignment="1">
      <alignment horizontal="left" vertical="center" wrapText="1" indent="1"/>
    </xf>
    <xf numFmtId="0" fontId="15" fillId="0" borderId="269" xfId="0" applyFont="1" applyBorder="1" applyAlignment="1">
      <alignment indent="1"/>
    </xf>
    <xf numFmtId="0" fontId="15" fillId="0" borderId="270" xfId="0" applyFont="1" applyBorder="1" applyAlignment="1">
      <alignment indent="1"/>
    </xf>
    <xf numFmtId="1" fontId="56" fillId="0" borderId="208" xfId="0" applyNumberFormat="1" applyFont="1" applyBorder="1" applyAlignment="1">
      <alignment horizontal="center" vertical="center" wrapText="1"/>
    </xf>
    <xf numFmtId="0" fontId="109" fillId="0" borderId="208" xfId="0" applyFont="1" applyBorder="1" applyAlignment="1"/>
    <xf numFmtId="0" fontId="109" fillId="0" borderId="248" xfId="0" applyFont="1" applyBorder="1" applyAlignment="1"/>
    <xf numFmtId="0" fontId="56" fillId="0" borderId="208" xfId="0" applyFont="1" applyBorder="1" applyAlignment="1">
      <alignment horizontal="center" vertical="center" wrapText="1"/>
    </xf>
    <xf numFmtId="0" fontId="24" fillId="4" borderId="208" xfId="0" applyFont="1" applyFill="1" applyBorder="1" applyAlignment="1">
      <alignment horizontal="left" vertical="center" wrapText="1" indent="1"/>
    </xf>
    <xf numFmtId="0" fontId="312" fillId="2" borderId="384" xfId="0" applyFont="1" applyFill="1" applyBorder="1" applyAlignment="1">
      <alignment horizontal="center" vertical="center" textRotation="90"/>
    </xf>
    <xf numFmtId="0" fontId="38" fillId="0" borderId="101" xfId="0" applyFont="1" applyBorder="1" applyAlignment="1">
      <alignment horizontal="left" vertical="center" wrapText="1" indent="1"/>
    </xf>
    <xf numFmtId="0" fontId="15" fillId="0" borderId="101" xfId="0" applyFont="1" applyBorder="1" applyAlignment="1">
      <alignment indent="1"/>
    </xf>
    <xf numFmtId="0" fontId="15" fillId="0" borderId="242" xfId="0" applyFont="1" applyBorder="1" applyAlignment="1">
      <alignment indent="1"/>
    </xf>
    <xf numFmtId="0" fontId="15" fillId="0" borderId="173" xfId="0" applyFont="1" applyBorder="1" applyAlignment="1">
      <alignment indent="1"/>
    </xf>
    <xf numFmtId="0" fontId="38" fillId="0" borderId="244" xfId="0" applyFont="1" applyBorder="1" applyAlignment="1">
      <alignment horizontal="left" vertical="center" wrapText="1" indent="1"/>
    </xf>
    <xf numFmtId="0" fontId="15" fillId="0" borderId="247" xfId="0" applyFont="1" applyBorder="1" applyAlignment="1">
      <alignment indent="1"/>
    </xf>
    <xf numFmtId="0" fontId="24" fillId="0" borderId="245" xfId="0" applyFont="1" applyBorder="1" applyAlignment="1">
      <alignment horizontal="left" vertical="center" wrapText="1" indent="1"/>
    </xf>
    <xf numFmtId="0" fontId="15" fillId="0" borderId="243" xfId="0" applyFont="1" applyBorder="1" applyAlignment="1">
      <alignment indent="1"/>
    </xf>
    <xf numFmtId="0" fontId="23" fillId="0" borderId="208" xfId="0" applyFont="1" applyBorder="1" applyAlignment="1">
      <alignment horizontal="left" vertical="center" wrapText="1" indent="1"/>
    </xf>
    <xf numFmtId="0" fontId="350" fillId="0" borderId="208" xfId="0" applyFont="1" applyBorder="1" applyAlignment="1">
      <alignment horizontal="left" vertical="center" wrapText="1" indent="1"/>
    </xf>
    <xf numFmtId="1" fontId="23" fillId="0" borderId="245" xfId="0" applyNumberFormat="1" applyFont="1" applyBorder="1" applyAlignment="1">
      <alignment horizontal="left" vertical="center" wrapText="1" indent="1"/>
    </xf>
    <xf numFmtId="1" fontId="24" fillId="4" borderId="245" xfId="0" applyNumberFormat="1" applyFont="1" applyFill="1" applyBorder="1" applyAlignment="1">
      <alignment horizontal="left" vertical="center" wrapText="1" indent="1"/>
    </xf>
    <xf numFmtId="1" fontId="24" fillId="4" borderId="208" xfId="0" applyNumberFormat="1" applyFont="1" applyFill="1" applyBorder="1" applyAlignment="1">
      <alignment horizontal="left" vertical="center" wrapText="1" indent="1"/>
    </xf>
    <xf numFmtId="0" fontId="38" fillId="0" borderId="245" xfId="0" applyFont="1" applyBorder="1" applyAlignment="1">
      <alignment horizontal="left" vertical="center" wrapText="1" indent="1"/>
    </xf>
    <xf numFmtId="0" fontId="24" fillId="4" borderId="245" xfId="0" applyFont="1" applyFill="1" applyBorder="1" applyAlignment="1">
      <alignment horizontal="left" vertical="center" wrapText="1" indent="1"/>
    </xf>
    <xf numFmtId="1" fontId="56" fillId="0" borderId="245" xfId="0" applyNumberFormat="1" applyFont="1" applyBorder="1" applyAlignment="1">
      <alignment horizontal="center" vertical="center" wrapText="1"/>
    </xf>
    <xf numFmtId="1" fontId="56" fillId="0" borderId="245" xfId="0" applyNumberFormat="1" applyFont="1" applyBorder="1" applyAlignment="1">
      <alignment horizontal="center" vertical="center"/>
    </xf>
    <xf numFmtId="0" fontId="56" fillId="0" borderId="245" xfId="0" applyFont="1" applyBorder="1" applyAlignment="1">
      <alignment horizontal="center" vertical="center" wrapText="1"/>
    </xf>
    <xf numFmtId="0" fontId="109" fillId="0" borderId="173" xfId="0" applyFont="1" applyBorder="1" applyAlignment="1"/>
    <xf numFmtId="1" fontId="56" fillId="0" borderId="208" xfId="0" applyNumberFormat="1" applyFont="1" applyBorder="1" applyAlignment="1">
      <alignment horizontal="center" vertical="center"/>
    </xf>
    <xf numFmtId="0" fontId="24" fillId="4" borderId="209" xfId="0" applyFont="1" applyFill="1" applyBorder="1" applyAlignment="1">
      <alignment horizontal="center" vertical="center" wrapText="1"/>
    </xf>
    <xf numFmtId="0" fontId="24" fillId="4" borderId="310" xfId="0" applyFont="1" applyFill="1" applyBorder="1" applyAlignment="1">
      <alignment horizontal="center" vertical="center" wrapText="1"/>
    </xf>
    <xf numFmtId="0" fontId="19" fillId="2" borderId="311" xfId="0" applyFont="1" applyFill="1" applyBorder="1" applyAlignment="1">
      <alignment horizontal="center" vertical="center"/>
    </xf>
    <xf numFmtId="1" fontId="24" fillId="0" borderId="208" xfId="0" applyNumberFormat="1" applyFont="1" applyBorder="1" applyAlignment="1">
      <alignment horizontal="left" vertical="center" wrapText="1" indent="1"/>
    </xf>
    <xf numFmtId="0" fontId="24" fillId="4" borderId="209" xfId="0" applyFont="1" applyFill="1" applyBorder="1" applyAlignment="1">
      <alignment horizontal="left" vertical="center" wrapText="1" indent="1"/>
    </xf>
    <xf numFmtId="0" fontId="15" fillId="0" borderId="310" xfId="0" applyFont="1" applyBorder="1" applyAlignment="1">
      <alignment horizontal="left" indent="1"/>
    </xf>
    <xf numFmtId="0" fontId="15" fillId="0" borderId="178" xfId="0" applyFont="1" applyBorder="1" applyAlignment="1">
      <alignment horizontal="left" indent="1"/>
    </xf>
    <xf numFmtId="0" fontId="24" fillId="0" borderId="246" xfId="0" applyFont="1" applyBorder="1" applyAlignment="1">
      <alignment horizontal="left" vertical="center" wrapText="1" indent="1"/>
    </xf>
    <xf numFmtId="1" fontId="24" fillId="0" borderId="245" xfId="0" applyNumberFormat="1" applyFont="1" applyBorder="1" applyAlignment="1">
      <alignment horizontal="left" vertical="center" wrapText="1" indent="1"/>
    </xf>
    <xf numFmtId="0" fontId="142" fillId="0" borderId="358" xfId="0" applyFont="1" applyBorder="1" applyAlignment="1">
      <alignment horizontal="center" vertical="center" wrapText="1"/>
    </xf>
    <xf numFmtId="0" fontId="142" fillId="0" borderId="46" xfId="0" applyFont="1" applyBorder="1" applyAlignment="1">
      <alignment horizontal="center" vertical="center" wrapText="1"/>
    </xf>
    <xf numFmtId="173" fontId="142" fillId="0" borderId="344" xfId="0" applyNumberFormat="1" applyFont="1" applyBorder="1" applyAlignment="1">
      <alignment horizontal="center" vertical="center"/>
    </xf>
    <xf numFmtId="173" fontId="142" fillId="0" borderId="310" xfId="0" applyNumberFormat="1" applyFont="1" applyBorder="1" applyAlignment="1">
      <alignment horizontal="center" vertical="center"/>
    </xf>
    <xf numFmtId="0" fontId="24" fillId="4" borderId="303" xfId="0" applyFont="1" applyFill="1" applyBorder="1" applyAlignment="1">
      <alignment horizontal="center" vertical="center" wrapText="1"/>
    </xf>
    <xf numFmtId="0" fontId="15" fillId="0" borderId="177" xfId="0" applyFont="1" applyBorder="1" applyAlignment="1">
      <alignment horizontal="left" indent="1"/>
    </xf>
    <xf numFmtId="0" fontId="15" fillId="0" borderId="109" xfId="0" applyFont="1" applyBorder="1" applyAlignment="1">
      <alignment horizontal="left" indent="1"/>
    </xf>
    <xf numFmtId="0" fontId="23" fillId="0" borderId="321" xfId="0" applyFont="1" applyBorder="1" applyAlignment="1">
      <alignment horizontal="left" vertical="center" wrapText="1" indent="1"/>
    </xf>
    <xf numFmtId="0" fontId="15" fillId="0" borderId="322" xfId="0" applyFont="1" applyBorder="1" applyAlignment="1">
      <alignment horizontal="left" indent="1"/>
    </xf>
    <xf numFmtId="0" fontId="15" fillId="0" borderId="323" xfId="0" applyFont="1" applyBorder="1" applyAlignment="1">
      <alignment horizontal="left" indent="1"/>
    </xf>
    <xf numFmtId="0" fontId="15" fillId="0" borderId="212" xfId="0" applyFont="1" applyBorder="1" applyAlignment="1">
      <alignment horizontal="left" indent="1"/>
    </xf>
    <xf numFmtId="0" fontId="15" fillId="0" borderId="193" xfId="0" applyFont="1" applyBorder="1" applyAlignment="1">
      <alignment horizontal="left" indent="1"/>
    </xf>
    <xf numFmtId="0" fontId="313" fillId="0" borderId="88" xfId="0" applyFont="1" applyBorder="1" applyAlignment="1"/>
    <xf numFmtId="0" fontId="15" fillId="0" borderId="94" xfId="0" applyFont="1" applyBorder="1" applyAlignment="1">
      <alignment horizontal="left" indent="1"/>
    </xf>
    <xf numFmtId="0" fontId="15" fillId="0" borderId="96" xfId="0" applyFont="1" applyBorder="1" applyAlignment="1">
      <alignment horizontal="left" indent="1"/>
    </xf>
    <xf numFmtId="0" fontId="15" fillId="0" borderId="344" xfId="0" applyFont="1" applyBorder="1" applyAlignment="1">
      <alignment horizontal="left" indent="1"/>
    </xf>
    <xf numFmtId="0" fontId="15" fillId="0" borderId="345" xfId="0" applyFont="1" applyBorder="1" applyAlignment="1">
      <alignment horizontal="left" indent="1"/>
    </xf>
    <xf numFmtId="0" fontId="23" fillId="0" borderId="189" xfId="0" applyFont="1" applyBorder="1" applyAlignment="1">
      <alignment horizontal="left" vertical="center" wrapText="1" indent="1"/>
    </xf>
    <xf numFmtId="0" fontId="24" fillId="0" borderId="315" xfId="0" applyFont="1" applyBorder="1" applyAlignment="1">
      <alignment horizontal="left" vertical="center" wrapText="1" indent="1"/>
    </xf>
    <xf numFmtId="0" fontId="15" fillId="0" borderId="316" xfId="0" applyFont="1" applyBorder="1" applyAlignment="1">
      <alignment horizontal="left" indent="1"/>
    </xf>
    <xf numFmtId="0" fontId="15" fillId="0" borderId="317" xfId="0" applyFont="1" applyBorder="1" applyAlignment="1">
      <alignment horizontal="left" indent="1"/>
    </xf>
    <xf numFmtId="0" fontId="23" fillId="0" borderId="322" xfId="0" applyFont="1" applyBorder="1" applyAlignment="1">
      <alignment horizontal="left" vertical="center" wrapText="1" indent="1"/>
    </xf>
    <xf numFmtId="0" fontId="23" fillId="0" borderId="315" xfId="0" applyFont="1" applyBorder="1" applyAlignment="1">
      <alignment horizontal="left" vertical="center" wrapText="1" indent="1"/>
    </xf>
    <xf numFmtId="0" fontId="24" fillId="0" borderId="319" xfId="0" applyFont="1" applyBorder="1" applyAlignment="1">
      <alignment horizontal="left" vertical="center" wrapText="1" indent="1"/>
    </xf>
    <xf numFmtId="0" fontId="24" fillId="0" borderId="320" xfId="0" applyFont="1" applyBorder="1" applyAlignment="1">
      <alignment horizontal="left" vertical="center" wrapText="1" indent="1"/>
    </xf>
    <xf numFmtId="0" fontId="15" fillId="0" borderId="201" xfId="0" applyFont="1" applyBorder="1" applyAlignment="1">
      <alignment horizontal="left" indent="1"/>
    </xf>
    <xf numFmtId="0" fontId="15" fillId="0" borderId="202" xfId="0" applyFont="1" applyBorder="1" applyAlignment="1">
      <alignment horizontal="left" indent="1"/>
    </xf>
    <xf numFmtId="0" fontId="24" fillId="0" borderId="73" xfId="0" applyFont="1" applyBorder="1" applyAlignment="1">
      <alignment horizontal="center" vertical="center" wrapText="1"/>
    </xf>
    <xf numFmtId="0" fontId="15" fillId="0" borderId="73" xfId="0" applyFont="1" applyBorder="1" applyAlignment="1"/>
    <xf numFmtId="0" fontId="15" fillId="0" borderId="76" xfId="0" applyFont="1" applyBorder="1" applyAlignment="1"/>
    <xf numFmtId="0" fontId="24" fillId="0" borderId="77" xfId="0" applyFont="1" applyBorder="1" applyAlignment="1">
      <alignment horizontal="center" vertical="center" wrapText="1"/>
    </xf>
    <xf numFmtId="4" fontId="52" fillId="2" borderId="311" xfId="0" applyNumberFormat="1" applyFont="1" applyFill="1" applyBorder="1" applyAlignment="1">
      <alignment horizontal="center" vertical="center" wrapText="1"/>
    </xf>
    <xf numFmtId="0" fontId="99" fillId="0" borderId="327" xfId="0" applyFont="1" applyBorder="1" applyAlignment="1"/>
    <xf numFmtId="0" fontId="99" fillId="0" borderId="312" xfId="0" applyFont="1" applyBorder="1" applyAlignment="1"/>
    <xf numFmtId="0" fontId="0" fillId="0" borderId="0" xfId="0" applyAlignment="1">
      <alignment horizontal="left" indent="1"/>
    </xf>
    <xf numFmtId="0" fontId="71" fillId="8" borderId="528" xfId="0" applyFont="1" applyFill="1" applyBorder="1" applyAlignment="1">
      <alignment horizontal="center" vertical="center" wrapText="1"/>
    </xf>
    <xf numFmtId="0" fontId="297" fillId="0" borderId="529" xfId="0" applyFont="1" applyBorder="1" applyAlignment="1"/>
    <xf numFmtId="0" fontId="297" fillId="0" borderId="530" xfId="0" applyFont="1" applyBorder="1" applyAlignment="1"/>
    <xf numFmtId="0" fontId="297" fillId="0" borderId="532" xfId="0" applyFont="1" applyBorder="1" applyAlignment="1"/>
    <xf numFmtId="0" fontId="297" fillId="0" borderId="533" xfId="0" applyFont="1" applyBorder="1" applyAlignment="1"/>
    <xf numFmtId="0" fontId="9" fillId="12" borderId="534" xfId="0" applyFont="1" applyFill="1" applyBorder="1" applyAlignment="1">
      <alignment horizontal="center" vertical="center" wrapText="1"/>
    </xf>
    <xf numFmtId="0" fontId="9" fillId="12" borderId="535" xfId="0" applyFont="1" applyFill="1" applyBorder="1" applyAlignment="1">
      <alignment horizontal="center" vertical="center" wrapText="1"/>
    </xf>
    <xf numFmtId="0" fontId="9" fillId="12" borderId="533" xfId="0" applyFont="1" applyFill="1" applyBorder="1" applyAlignment="1">
      <alignment horizontal="center" vertical="center" wrapText="1"/>
    </xf>
    <xf numFmtId="0" fontId="40" fillId="0" borderId="310" xfId="0" applyFont="1" applyBorder="1" applyAlignment="1">
      <alignment horizontal="center"/>
    </xf>
    <xf numFmtId="0" fontId="40" fillId="0" borderId="310" xfId="0" applyFont="1" applyBorder="1" applyAlignment="1">
      <alignment horizontal="left" wrapText="1" indent="1"/>
    </xf>
    <xf numFmtId="0" fontId="40" fillId="0" borderId="310" xfId="0" applyFont="1" applyBorder="1" applyAlignment="1">
      <alignment horizontal="center" vertical="center"/>
    </xf>
    <xf numFmtId="0" fontId="40" fillId="0" borderId="209" xfId="0" applyFont="1" applyBorder="1" applyAlignment="1">
      <alignment horizontal="center"/>
    </xf>
    <xf numFmtId="0" fontId="35" fillId="56" borderId="753" xfId="0" applyFont="1" applyFill="1" applyBorder="1" applyAlignment="1">
      <alignment horizontal="left" vertical="center" indent="1"/>
    </xf>
    <xf numFmtId="0" fontId="99" fillId="44" borderId="427" xfId="0" applyFont="1" applyFill="1" applyBorder="1" applyAlignment="1">
      <alignment horizontal="left" indent="1"/>
    </xf>
    <xf numFmtId="0" fontId="28" fillId="56" borderId="427" xfId="0" applyFont="1" applyFill="1" applyBorder="1" applyAlignment="1">
      <alignment horizontal="center" vertical="center"/>
    </xf>
    <xf numFmtId="0" fontId="15" fillId="44" borderId="427" xfId="0" applyFont="1" applyFill="1" applyBorder="1" applyAlignment="1"/>
    <xf numFmtId="0" fontId="15" fillId="44" borderId="751" xfId="0" applyFont="1" applyFill="1" applyBorder="1" applyAlignment="1"/>
    <xf numFmtId="0" fontId="23" fillId="0" borderId="513" xfId="0" applyFont="1" applyBorder="1" applyAlignment="1">
      <alignment vertical="center" wrapText="1" indent="1"/>
    </xf>
    <xf numFmtId="0" fontId="15" fillId="0" borderId="513" xfId="0" applyFont="1" applyBorder="1" applyAlignment="1">
      <alignment indent="1"/>
    </xf>
    <xf numFmtId="0" fontId="15" fillId="0" borderId="514" xfId="0" applyFont="1" applyBorder="1" applyAlignment="1">
      <alignment indent="1"/>
    </xf>
    <xf numFmtId="0" fontId="24" fillId="0" borderId="254" xfId="0" applyFont="1" applyBorder="1" applyAlignment="1">
      <alignment vertical="center" wrapText="1" indent="1"/>
    </xf>
    <xf numFmtId="0" fontId="15" fillId="0" borderId="254" xfId="0" applyFont="1" applyBorder="1" applyAlignment="1">
      <alignment indent="1"/>
    </xf>
    <xf numFmtId="0" fontId="15" fillId="0" borderId="261" xfId="0" applyFont="1" applyBorder="1" applyAlignment="1">
      <alignment indent="1"/>
    </xf>
    <xf numFmtId="1" fontId="56" fillId="0" borderId="254" xfId="0" applyNumberFormat="1" applyFont="1" applyBorder="1" applyAlignment="1">
      <alignment horizontal="center" vertical="center" wrapText="1"/>
    </xf>
    <xf numFmtId="0" fontId="109" fillId="0" borderId="254" xfId="0" applyFont="1" applyBorder="1" applyAlignment="1"/>
    <xf numFmtId="0" fontId="109" fillId="0" borderId="261" xfId="0" applyFont="1" applyBorder="1" applyAlignment="1"/>
    <xf numFmtId="0" fontId="24" fillId="0" borderId="273" xfId="0" applyFont="1" applyBorder="1" applyAlignment="1">
      <alignment horizontal="left" vertical="center" wrapText="1" indent="1"/>
    </xf>
    <xf numFmtId="0" fontId="15" fillId="0" borderId="273" xfId="0" applyFont="1" applyBorder="1" applyAlignment="1">
      <alignment horizontal="left" indent="1"/>
    </xf>
    <xf numFmtId="0" fontId="15" fillId="0" borderId="274" xfId="0" applyFont="1" applyBorder="1" applyAlignment="1">
      <alignment horizontal="left" indent="1"/>
    </xf>
    <xf numFmtId="0" fontId="40" fillId="0" borderId="310" xfId="0" applyFont="1" applyBorder="1" applyAlignment="1">
      <alignment horizontal="left" vertical="center" wrapText="1" indent="1"/>
    </xf>
    <xf numFmtId="0" fontId="24" fillId="0" borderId="513" xfId="0" applyFont="1" applyBorder="1" applyAlignment="1">
      <alignment vertical="center" wrapText="1" indent="1"/>
    </xf>
    <xf numFmtId="0" fontId="38" fillId="0" borderId="254" xfId="0" applyFont="1" applyBorder="1" applyAlignment="1">
      <alignment vertical="center" wrapText="1" indent="1"/>
    </xf>
    <xf numFmtId="0" fontId="24" fillId="0" borderId="273" xfId="0" applyFont="1" applyBorder="1" applyAlignment="1">
      <alignment vertical="center" wrapText="1" indent="1"/>
    </xf>
    <xf numFmtId="0" fontId="15" fillId="0" borderId="273" xfId="0" applyFont="1" applyBorder="1" applyAlignment="1">
      <alignment indent="1"/>
    </xf>
    <xf numFmtId="0" fontId="15" fillId="0" borderId="274" xfId="0" applyFont="1" applyBorder="1" applyAlignment="1">
      <alignment indent="1"/>
    </xf>
    <xf numFmtId="0" fontId="24" fillId="0" borderId="267" xfId="0" applyFont="1" applyBorder="1" applyAlignment="1">
      <alignment horizontal="left" vertical="center" wrapText="1" indent="1"/>
    </xf>
    <xf numFmtId="0" fontId="15" fillId="0" borderId="254" xfId="0" applyFont="1" applyBorder="1" applyAlignment="1">
      <alignment horizontal="left" indent="1"/>
    </xf>
    <xf numFmtId="0" fontId="15" fillId="0" borderId="261" xfId="0" applyFont="1" applyBorder="1" applyAlignment="1">
      <alignment horizontal="left" indent="1"/>
    </xf>
    <xf numFmtId="0" fontId="24" fillId="0" borderId="305" xfId="0" applyFont="1" applyBorder="1" applyAlignment="1">
      <alignment horizontal="left" vertical="center" wrapText="1" indent="1"/>
    </xf>
    <xf numFmtId="0" fontId="23" fillId="0" borderId="515" xfId="0" applyFont="1" applyBorder="1" applyAlignment="1">
      <alignment vertical="center" wrapText="1" indent="1"/>
    </xf>
    <xf numFmtId="0" fontId="24" fillId="0" borderId="267" xfId="0" applyFont="1" applyBorder="1" applyAlignment="1">
      <alignment vertical="center" wrapText="1" indent="1"/>
    </xf>
    <xf numFmtId="3" fontId="56" fillId="0" borderId="267" xfId="0" applyNumberFormat="1" applyFont="1" applyBorder="1" applyAlignment="1">
      <alignment horizontal="center" vertical="center" wrapText="1"/>
    </xf>
    <xf numFmtId="3" fontId="109" fillId="0" borderId="254" xfId="0" applyNumberFormat="1" applyFont="1" applyBorder="1" applyAlignment="1"/>
    <xf numFmtId="3" fontId="109" fillId="0" borderId="261" xfId="0" applyNumberFormat="1" applyFont="1" applyBorder="1" applyAlignment="1"/>
    <xf numFmtId="1" fontId="56" fillId="0" borderId="254" xfId="0" applyNumberFormat="1" applyFont="1" applyBorder="1" applyAlignment="1">
      <alignment horizontal="center" vertical="center"/>
    </xf>
    <xf numFmtId="0" fontId="40" fillId="0" borderId="993" xfId="0" applyFont="1" applyBorder="1" applyAlignment="1">
      <alignment horizontal="center" vertical="center"/>
    </xf>
    <xf numFmtId="0" fontId="15" fillId="0" borderId="868" xfId="0" applyFont="1" applyBorder="1" applyAlignment="1"/>
    <xf numFmtId="0" fontId="15" fillId="0" borderId="994" xfId="0" applyFont="1" applyBorder="1" applyAlignment="1"/>
    <xf numFmtId="0" fontId="56" fillId="0" borderId="520" xfId="0" applyFont="1" applyBorder="1" applyAlignment="1">
      <alignment horizontal="center" vertical="center" wrapText="1"/>
    </xf>
    <xf numFmtId="0" fontId="109" fillId="0" borderId="513" xfId="0" applyFont="1" applyBorder="1" applyAlignment="1"/>
    <xf numFmtId="0" fontId="109" fillId="0" borderId="521" xfId="0" applyFont="1" applyBorder="1" applyAlignment="1"/>
    <xf numFmtId="0" fontId="24" fillId="0" borderId="302" xfId="0" applyFont="1" applyBorder="1" applyAlignment="1">
      <alignment horizontal="left" vertical="center" wrapText="1" indent="1"/>
    </xf>
    <xf numFmtId="0" fontId="15" fillId="0" borderId="309" xfId="0" applyFont="1" applyBorder="1" applyAlignment="1">
      <alignment horizontal="left" indent="1"/>
    </xf>
    <xf numFmtId="0" fontId="24" fillId="0" borderId="520" xfId="0" applyFont="1" applyBorder="1" applyAlignment="1">
      <alignment horizontal="left" vertical="center" wrapText="1" indent="1"/>
    </xf>
    <xf numFmtId="0" fontId="15" fillId="0" borderId="513" xfId="0" applyFont="1" applyBorder="1" applyAlignment="1">
      <alignment horizontal="left" indent="1"/>
    </xf>
    <xf numFmtId="0" fontId="15" fillId="0" borderId="521" xfId="0" applyFont="1" applyBorder="1" applyAlignment="1">
      <alignment horizontal="left" indent="1"/>
    </xf>
    <xf numFmtId="0" fontId="24" fillId="0" borderId="302" xfId="0" applyFont="1" applyBorder="1" applyAlignment="1">
      <alignment vertical="center" wrapText="1" indent="1"/>
    </xf>
    <xf numFmtId="0" fontId="15" fillId="0" borderId="309" xfId="0" applyFont="1" applyBorder="1" applyAlignment="1">
      <alignment indent="1"/>
    </xf>
    <xf numFmtId="0" fontId="38" fillId="0" borderId="520" xfId="0" applyFont="1" applyBorder="1" applyAlignment="1">
      <alignment vertical="center" wrapText="1" indent="1"/>
    </xf>
    <xf numFmtId="0" fontId="15" fillId="0" borderId="521" xfId="0" applyFont="1" applyBorder="1" applyAlignment="1">
      <alignment indent="1"/>
    </xf>
    <xf numFmtId="0" fontId="24" fillId="0" borderId="342" xfId="0" applyFont="1" applyBorder="1" applyAlignment="1">
      <alignment vertical="center" wrapText="1" indent="1"/>
    </xf>
    <xf numFmtId="0" fontId="15" fillId="0" borderId="522" xfId="0" applyFont="1" applyBorder="1" applyAlignment="1">
      <alignment indent="1"/>
    </xf>
    <xf numFmtId="0" fontId="61" fillId="0" borderId="342" xfId="0" applyFont="1" applyBorder="1" applyAlignment="1">
      <alignment horizontal="left" vertical="center" wrapText="1" indent="1"/>
    </xf>
    <xf numFmtId="0" fontId="15" fillId="0" borderId="372" xfId="0" applyFont="1" applyBorder="1" applyAlignment="1">
      <alignment horizontal="left" indent="1"/>
    </xf>
    <xf numFmtId="0" fontId="15" fillId="0" borderId="522" xfId="0" applyFont="1" applyBorder="1" applyAlignment="1">
      <alignment horizontal="left" indent="1"/>
    </xf>
    <xf numFmtId="0" fontId="56" fillId="0" borderId="302" xfId="0" applyFont="1" applyBorder="1" applyAlignment="1">
      <alignment horizontal="center" vertical="center" wrapText="1"/>
    </xf>
    <xf numFmtId="0" fontId="109" fillId="0" borderId="273" xfId="0" applyFont="1" applyBorder="1" applyAlignment="1"/>
    <xf numFmtId="0" fontId="109" fillId="0" borderId="274" xfId="0" applyFont="1" applyBorder="1" applyAlignment="1"/>
    <xf numFmtId="0" fontId="24" fillId="0" borderId="294" xfId="0" applyFont="1" applyBorder="1" applyAlignment="1">
      <alignment horizontal="left" vertical="center" wrapText="1" indent="1"/>
    </xf>
    <xf numFmtId="0" fontId="15" fillId="0" borderId="296" xfId="0" applyFont="1" applyBorder="1" applyAlignment="1">
      <alignment indent="1"/>
    </xf>
    <xf numFmtId="0" fontId="15" fillId="0" borderId="298" xfId="0" applyFont="1" applyBorder="1" applyAlignment="1">
      <alignment indent="1"/>
    </xf>
    <xf numFmtId="0" fontId="24" fillId="0" borderId="93" xfId="0" applyFont="1" applyBorder="1" applyAlignment="1">
      <alignment horizontal="left" vertical="center" wrapText="1" indent="1"/>
    </xf>
    <xf numFmtId="0" fontId="15" fillId="0" borderId="31" xfId="0" applyFont="1" applyBorder="1" applyAlignment="1">
      <alignment horizontal="left" indent="1"/>
    </xf>
    <xf numFmtId="0" fontId="15" fillId="0" borderId="91" xfId="0" applyFont="1" applyBorder="1" applyAlignment="1">
      <alignment horizontal="left" indent="1"/>
    </xf>
    <xf numFmtId="0" fontId="24" fillId="0" borderId="111" xfId="0" applyFont="1" applyBorder="1" applyAlignment="1">
      <alignment horizontal="center" vertical="center" wrapText="1" indent="1"/>
    </xf>
    <xf numFmtId="0" fontId="24" fillId="0" borderId="364" xfId="0" applyFont="1" applyBorder="1" applyAlignment="1">
      <alignment vertical="center" wrapText="1" indent="1"/>
    </xf>
    <xf numFmtId="0" fontId="24" fillId="0" borderId="254" xfId="0" applyFont="1" applyBorder="1" applyAlignment="1">
      <alignment horizontal="left" vertical="center" wrapText="1" indent="1"/>
    </xf>
    <xf numFmtId="0" fontId="312" fillId="2" borderId="360" xfId="0" applyFont="1" applyFill="1" applyBorder="1" applyAlignment="1">
      <alignment horizontal="center" vertical="center" textRotation="90" wrapText="1"/>
    </xf>
    <xf numFmtId="0" fontId="312" fillId="56" borderId="365" xfId="0" applyFont="1" applyFill="1" applyBorder="1" applyAlignment="1">
      <alignment horizontal="center" vertical="center" textRotation="90" wrapText="1"/>
    </xf>
    <xf numFmtId="0" fontId="313" fillId="44" borderId="366" xfId="0" applyFont="1" applyFill="1" applyBorder="1" applyAlignment="1"/>
    <xf numFmtId="0" fontId="313" fillId="44" borderId="370" xfId="0" applyFont="1" applyFill="1" applyBorder="1" applyAlignment="1"/>
    <xf numFmtId="0" fontId="38" fillId="0" borderId="264" xfId="0" applyFont="1" applyBorder="1" applyAlignment="1">
      <alignment horizontal="left" vertical="center" wrapText="1" indent="1"/>
    </xf>
    <xf numFmtId="0" fontId="15" fillId="0" borderId="264" xfId="0" applyFont="1" applyBorder="1" applyAlignment="1">
      <alignment indent="1"/>
    </xf>
    <xf numFmtId="0" fontId="15" fillId="0" borderId="259" xfId="0" applyFont="1" applyBorder="1" applyAlignment="1">
      <alignment indent="1"/>
    </xf>
    <xf numFmtId="0" fontId="24" fillId="0" borderId="995" xfId="0" applyFont="1" applyBorder="1" applyAlignment="1">
      <alignment horizontal="left" vertical="center" wrapText="1" indent="1"/>
    </xf>
    <xf numFmtId="0" fontId="15" fillId="0" borderId="996" xfId="0" applyFont="1" applyBorder="1" applyAlignment="1">
      <alignment indent="1"/>
    </xf>
    <xf numFmtId="0" fontId="15" fillId="0" borderId="997" xfId="0" applyFont="1" applyBorder="1" applyAlignment="1">
      <alignment indent="1"/>
    </xf>
    <xf numFmtId="0" fontId="38" fillId="0" borderId="271" xfId="0" applyFont="1" applyBorder="1" applyAlignment="1">
      <alignment horizontal="left" vertical="center" wrapText="1" indent="1"/>
    </xf>
    <xf numFmtId="0" fontId="24" fillId="0" borderId="305" xfId="0" applyFont="1" applyBorder="1" applyAlignment="1">
      <alignment vertical="center" wrapText="1" indent="1"/>
    </xf>
    <xf numFmtId="0" fontId="38" fillId="0" borderId="264" xfId="0" applyFont="1" applyBorder="1" applyAlignment="1">
      <alignment vertical="center" wrapText="1" indent="1"/>
    </xf>
    <xf numFmtId="0" fontId="35" fillId="56" borderId="205" xfId="0" applyFont="1" applyFill="1" applyBorder="1" applyAlignment="1">
      <alignment horizontal="left" vertical="center" indent="1"/>
    </xf>
    <xf numFmtId="0" fontId="99" fillId="44" borderId="205" xfId="0" applyFont="1" applyFill="1" applyBorder="1" applyAlignment="1">
      <alignment indent="1"/>
    </xf>
    <xf numFmtId="0" fontId="98" fillId="44" borderId="205" xfId="0" applyFont="1" applyFill="1" applyBorder="1" applyAlignment="1"/>
    <xf numFmtId="0" fontId="99" fillId="44" borderId="937" xfId="0" applyFont="1" applyFill="1" applyBorder="1" applyAlignment="1">
      <alignment horizontal="left" indent="1"/>
    </xf>
    <xf numFmtId="0" fontId="24" fillId="0" borderId="520" xfId="0" applyFont="1" applyBorder="1" applyAlignment="1">
      <alignment vertical="center" wrapText="1" indent="1"/>
    </xf>
    <xf numFmtId="0" fontId="312" fillId="56" borderId="82" xfId="0" applyFont="1" applyFill="1" applyBorder="1" applyAlignment="1">
      <alignment horizontal="center" vertical="center" textRotation="90" wrapText="1"/>
    </xf>
    <xf numFmtId="0" fontId="313" fillId="44" borderId="924" xfId="0" applyFont="1" applyFill="1" applyBorder="1" applyAlignment="1"/>
    <xf numFmtId="0" fontId="38" fillId="0" borderId="301" xfId="0" applyFont="1" applyBorder="1" applyAlignment="1">
      <alignment vertical="center" wrapText="1" indent="1"/>
    </xf>
    <xf numFmtId="0" fontId="15" fillId="0" borderId="255" xfId="0" applyFont="1" applyBorder="1" applyAlignment="1">
      <alignment indent="1"/>
    </xf>
    <xf numFmtId="0" fontId="38" fillId="0" borderId="271" xfId="0" applyFont="1" applyBorder="1" applyAlignment="1">
      <alignment vertical="center" wrapText="1" indent="1"/>
    </xf>
    <xf numFmtId="0" fontId="38" fillId="0" borderId="983" xfId="0" applyFont="1" applyBorder="1" applyAlignment="1">
      <alignment vertical="center" wrapText="1" indent="1"/>
    </xf>
    <xf numFmtId="0" fontId="15" fillId="0" borderId="985" xfId="0" applyFont="1" applyBorder="1" applyAlignment="1">
      <alignment indent="1"/>
    </xf>
    <xf numFmtId="0" fontId="15" fillId="0" borderId="987" xfId="0" applyFont="1" applyBorder="1" applyAlignment="1">
      <alignment indent="1"/>
    </xf>
    <xf numFmtId="0" fontId="15" fillId="0" borderId="254" xfId="0" applyFont="1" applyBorder="1" applyAlignment="1">
      <alignment wrapText="1" indent="1"/>
    </xf>
    <xf numFmtId="0" fontId="15" fillId="0" borderId="261" xfId="0" applyFont="1" applyBorder="1" applyAlignment="1">
      <alignment wrapText="1" indent="1"/>
    </xf>
    <xf numFmtId="0" fontId="109" fillId="0" borderId="254" xfId="0" applyFont="1" applyBorder="1" applyAlignment="1">
      <alignment horizontal="center"/>
    </xf>
    <xf numFmtId="0" fontId="109" fillId="0" borderId="261" xfId="0" applyFont="1" applyBorder="1" applyAlignment="1">
      <alignment horizontal="center"/>
    </xf>
    <xf numFmtId="0" fontId="14" fillId="56" borderId="918" xfId="0" applyFont="1" applyFill="1" applyBorder="1" applyAlignment="1"/>
    <xf numFmtId="0" fontId="15" fillId="44" borderId="918" xfId="0" applyFont="1" applyFill="1" applyBorder="1" applyAlignment="1"/>
    <xf numFmtId="0" fontId="15" fillId="44" borderId="1018" xfId="0" applyFont="1" applyFill="1" applyBorder="1" applyAlignment="1"/>
    <xf numFmtId="0" fontId="72" fillId="2" borderId="327" xfId="0" applyFont="1" applyFill="1" applyBorder="1" applyAlignment="1">
      <alignment horizontal="center" vertical="center" textRotation="90" wrapText="1"/>
    </xf>
    <xf numFmtId="0" fontId="24" fillId="0" borderId="515" xfId="0" applyFont="1" applyBorder="1" applyAlignment="1">
      <alignment vertical="center" wrapText="1" indent="1"/>
    </xf>
    <xf numFmtId="0" fontId="38" fillId="0" borderId="267" xfId="0" applyFont="1" applyBorder="1" applyAlignment="1">
      <alignment vertical="center" wrapText="1" indent="1"/>
    </xf>
    <xf numFmtId="0" fontId="15" fillId="0" borderId="988" xfId="0" applyFont="1" applyBorder="1" applyAlignment="1">
      <alignment indent="1"/>
    </xf>
    <xf numFmtId="0" fontId="15" fillId="0" borderId="989" xfId="0" applyFont="1" applyBorder="1" applyAlignment="1">
      <alignment indent="1"/>
    </xf>
    <xf numFmtId="0" fontId="15" fillId="0" borderId="990" xfId="0" applyFont="1" applyBorder="1" applyAlignment="1">
      <alignment indent="1"/>
    </xf>
    <xf numFmtId="0" fontId="24" fillId="0" borderId="984" xfId="0" applyFont="1" applyBorder="1" applyAlignment="1">
      <alignment vertical="center" wrapText="1" indent="1"/>
    </xf>
    <xf numFmtId="0" fontId="15" fillId="0" borderId="986" xfId="0" applyFont="1" applyBorder="1" applyAlignment="1">
      <alignment indent="1"/>
    </xf>
    <xf numFmtId="0" fontId="15" fillId="0" borderId="991" xfId="0" applyFont="1" applyBorder="1" applyAlignment="1">
      <alignment indent="1"/>
    </xf>
    <xf numFmtId="0" fontId="38" fillId="0" borderId="271" xfId="0" applyFont="1" applyBorder="1" applyAlignment="1">
      <alignment horizontal="center" vertical="center" wrapText="1" indent="1"/>
    </xf>
    <xf numFmtId="0" fontId="38" fillId="0" borderId="278" xfId="0" applyFont="1" applyBorder="1" applyAlignment="1">
      <alignment horizontal="left" vertical="center" wrapText="1" indent="1"/>
    </xf>
    <xf numFmtId="0" fontId="15" fillId="0" borderId="284" xfId="0" applyFont="1" applyBorder="1" applyAlignment="1">
      <alignment indent="1"/>
    </xf>
    <xf numFmtId="0" fontId="15" fillId="0" borderId="290" xfId="0" applyFont="1" applyBorder="1" applyAlignment="1">
      <alignment indent="1"/>
    </xf>
    <xf numFmtId="0" fontId="24" fillId="0" borderId="517" xfId="0" applyFont="1" applyBorder="1" applyAlignment="1">
      <alignment horizontal="left" vertical="center" wrapText="1" indent="1"/>
    </xf>
    <xf numFmtId="0" fontId="15" fillId="0" borderId="518" xfId="0" applyFont="1" applyBorder="1" applyAlignment="1">
      <alignment indent="1"/>
    </xf>
    <xf numFmtId="0" fontId="15" fillId="0" borderId="519" xfId="0" applyFont="1" applyBorder="1" applyAlignment="1">
      <alignment indent="1"/>
    </xf>
    <xf numFmtId="0" fontId="40" fillId="0" borderId="77" xfId="0" applyFont="1" applyBorder="1" applyAlignment="1">
      <alignment horizontal="center" vertical="center" wrapText="1"/>
    </xf>
    <xf numFmtId="0" fontId="35" fillId="56" borderId="213" xfId="0" applyFont="1" applyFill="1" applyBorder="1" applyAlignment="1">
      <alignment horizontal="left" vertical="center" indent="1"/>
    </xf>
    <xf numFmtId="0" fontId="99" fillId="44" borderId="350" xfId="0" applyFont="1" applyFill="1" applyBorder="1" applyAlignment="1">
      <alignment horizontal="left" indent="1"/>
    </xf>
    <xf numFmtId="0" fontId="24" fillId="0" borderId="296" xfId="0" applyFont="1" applyBorder="1" applyAlignment="1">
      <alignment horizontal="left" vertical="center" wrapText="1" indent="1"/>
    </xf>
    <xf numFmtId="0" fontId="24" fillId="0" borderId="31" xfId="0" applyFont="1" applyBorder="1" applyAlignment="1">
      <alignment horizontal="left" vertical="center" wrapText="1" indent="1"/>
    </xf>
    <xf numFmtId="0" fontId="15" fillId="0" borderId="363" xfId="0" applyFont="1" applyBorder="1" applyAlignment="1">
      <alignment horizontal="left" indent="1"/>
    </xf>
    <xf numFmtId="0" fontId="15" fillId="0" borderId="378" xfId="0" applyFont="1" applyBorder="1" applyAlignment="1">
      <alignment horizontal="left" indent="1"/>
    </xf>
    <xf numFmtId="0" fontId="23" fillId="0" borderId="294" xfId="0" applyFont="1" applyBorder="1" applyAlignment="1">
      <alignment horizontal="left" vertical="center" wrapText="1" indent="1"/>
    </xf>
    <xf numFmtId="0" fontId="24" fillId="0" borderId="277" xfId="0" applyFont="1" applyBorder="1" applyAlignment="1">
      <alignment horizontal="left" vertical="center" wrapText="1" indent="1"/>
    </xf>
    <xf numFmtId="0" fontId="15" fillId="0" borderId="283" xfId="0" applyFont="1" applyBorder="1" applyAlignment="1">
      <alignment indent="1"/>
    </xf>
    <xf numFmtId="0" fontId="15" fillId="0" borderId="289" xfId="0" applyFont="1" applyBorder="1" applyAlignment="1">
      <alignment indent="1"/>
    </xf>
    <xf numFmtId="0" fontId="23" fillId="0" borderId="513" xfId="0" applyFont="1" applyBorder="1" applyAlignment="1">
      <alignment horizontal="left" vertical="center" wrapText="1" indent="1"/>
    </xf>
    <xf numFmtId="0" fontId="24" fillId="0" borderId="252" xfId="0" applyFont="1" applyBorder="1" applyAlignment="1">
      <alignment horizontal="left" vertical="center" wrapText="1" indent="1"/>
    </xf>
    <xf numFmtId="0" fontId="15" fillId="0" borderId="257" xfId="0" applyFont="1" applyBorder="1" applyAlignment="1">
      <alignment indent="1"/>
    </xf>
    <xf numFmtId="0" fontId="15" fillId="0" borderId="260" xfId="0" applyFont="1" applyBorder="1" applyAlignment="1">
      <alignment indent="1"/>
    </xf>
    <xf numFmtId="0" fontId="38" fillId="0" borderId="254" xfId="0" applyFont="1" applyBorder="1" applyAlignment="1">
      <alignment horizontal="left" vertical="center" wrapText="1" indent="1"/>
    </xf>
    <xf numFmtId="0" fontId="24" fillId="0" borderId="266" xfId="0" applyFont="1" applyBorder="1" applyAlignment="1">
      <alignment horizontal="left" vertical="center" wrapText="1" indent="1"/>
    </xf>
    <xf numFmtId="0" fontId="15" fillId="0" borderId="253" xfId="0" applyFont="1" applyBorder="1" applyAlignment="1">
      <alignment horizontal="left" indent="1"/>
    </xf>
    <xf numFmtId="0" fontId="15" fillId="0" borderId="262" xfId="0" applyFont="1" applyBorder="1" applyAlignment="1">
      <alignment horizontal="left" indent="1"/>
    </xf>
    <xf numFmtId="0" fontId="56" fillId="0" borderId="267" xfId="0" applyFont="1" applyBorder="1" applyAlignment="1">
      <alignment horizontal="center" vertical="center" wrapText="1"/>
    </xf>
    <xf numFmtId="0" fontId="24" fillId="0" borderId="253" xfId="0" applyFont="1" applyBorder="1" applyAlignment="1">
      <alignment horizontal="left" vertical="center" wrapText="1" indent="1"/>
    </xf>
    <xf numFmtId="0" fontId="40" fillId="0" borderId="186" xfId="0" applyFont="1" applyBorder="1" applyAlignment="1">
      <alignment horizontal="center" vertical="center" wrapText="1"/>
    </xf>
    <xf numFmtId="0" fontId="15" fillId="0" borderId="186" xfId="0" applyFont="1" applyBorder="1" applyAlignment="1"/>
    <xf numFmtId="0" fontId="15" fillId="0" borderId="188" xfId="0" applyFont="1" applyBorder="1" applyAlignment="1"/>
    <xf numFmtId="0" fontId="71" fillId="8" borderId="877" xfId="0" applyFont="1" applyFill="1" applyBorder="1" applyAlignment="1">
      <alignment horizontal="center" vertical="center" wrapText="1"/>
    </xf>
    <xf numFmtId="0" fontId="9" fillId="12" borderId="878" xfId="0" applyFont="1" applyFill="1" applyBorder="1" applyAlignment="1">
      <alignment horizontal="center" vertical="center" wrapText="1"/>
    </xf>
    <xf numFmtId="0" fontId="71" fillId="6" borderId="512" xfId="0" applyFont="1" applyFill="1" applyBorder="1" applyAlignment="1">
      <alignment horizontal="center" vertical="center" wrapText="1"/>
    </xf>
    <xf numFmtId="0" fontId="297" fillId="0" borderId="512" xfId="0" applyFont="1" applyBorder="1" applyAlignment="1"/>
    <xf numFmtId="0" fontId="24" fillId="0" borderId="264" xfId="0" applyFont="1" applyBorder="1" applyAlignment="1">
      <alignment horizontal="left" vertical="center" wrapText="1" indent="1"/>
    </xf>
    <xf numFmtId="0" fontId="24" fillId="0" borderId="515" xfId="0" applyFont="1" applyBorder="1" applyAlignment="1">
      <alignment horizontal="left" vertical="center" wrapText="1" indent="1"/>
    </xf>
    <xf numFmtId="0" fontId="38" fillId="0" borderId="267" xfId="0" applyFont="1" applyBorder="1" applyAlignment="1">
      <alignment horizontal="left" vertical="center" wrapText="1" indent="1"/>
    </xf>
    <xf numFmtId="0" fontId="24" fillId="0" borderId="265" xfId="0" applyFont="1" applyBorder="1" applyAlignment="1">
      <alignment horizontal="left" vertical="center" wrapText="1" indent="1"/>
    </xf>
    <xf numFmtId="0" fontId="24" fillId="0" borderId="516" xfId="0" applyFont="1" applyBorder="1" applyAlignment="1">
      <alignment horizontal="left" vertical="center" wrapText="1" indent="1"/>
    </xf>
    <xf numFmtId="0" fontId="24" fillId="0" borderId="272" xfId="0" applyFont="1" applyBorder="1" applyAlignment="1">
      <alignment horizontal="left" vertical="center" wrapText="1" indent="1"/>
    </xf>
    <xf numFmtId="0" fontId="38" fillId="0" borderId="267" xfId="0" applyFont="1" applyBorder="1" applyAlignment="1">
      <alignment horizontal="center" vertical="center" wrapText="1" indent="1"/>
    </xf>
    <xf numFmtId="0" fontId="23" fillId="0" borderId="515" xfId="0" applyFont="1" applyBorder="1" applyAlignment="1">
      <alignment horizontal="left" vertical="center" wrapText="1" indent="1"/>
    </xf>
    <xf numFmtId="1" fontId="56" fillId="0" borderId="267" xfId="0" applyNumberFormat="1" applyFont="1" applyBorder="1" applyAlignment="1">
      <alignment horizontal="center" vertical="center"/>
    </xf>
    <xf numFmtId="0" fontId="40" fillId="0" borderId="185" xfId="0" applyFont="1" applyBorder="1" applyAlignment="1">
      <alignment horizontal="center" vertical="center" wrapText="1"/>
    </xf>
    <xf numFmtId="0" fontId="40" fillId="0" borderId="186" xfId="0" applyFont="1" applyBorder="1" applyAlignment="1">
      <alignment horizontal="left" vertical="center" wrapText="1" indent="1"/>
    </xf>
    <xf numFmtId="0" fontId="15" fillId="0" borderId="186" xfId="0" applyFont="1" applyBorder="1" applyAlignment="1">
      <alignment horizontal="left" indent="1"/>
    </xf>
    <xf numFmtId="0" fontId="40" fillId="0" borderId="281" xfId="0" applyFont="1" applyBorder="1" applyAlignment="1">
      <alignment horizontal="center" vertical="center" wrapText="1"/>
    </xf>
    <xf numFmtId="0" fontId="15" fillId="0" borderId="287" xfId="0" applyFont="1" applyBorder="1" applyAlignment="1"/>
    <xf numFmtId="0" fontId="15" fillId="0" borderId="293" xfId="0" applyFont="1" applyBorder="1" applyAlignment="1"/>
    <xf numFmtId="1" fontId="24" fillId="0" borderId="267" xfId="0" applyNumberFormat="1" applyFont="1" applyBorder="1" applyAlignment="1">
      <alignment horizontal="left" vertical="center" wrapText="1" indent="1"/>
    </xf>
    <xf numFmtId="1" fontId="23" fillId="0" borderId="515" xfId="0" applyNumberFormat="1" applyFont="1" applyBorder="1" applyAlignment="1">
      <alignment horizontal="left" vertical="center" wrapText="1" indent="1"/>
    </xf>
    <xf numFmtId="0" fontId="40" fillId="0" borderId="77" xfId="0" applyFont="1" applyBorder="1" applyAlignment="1">
      <alignment horizontal="left" vertical="center" wrapText="1" indent="1"/>
    </xf>
    <xf numFmtId="1" fontId="56" fillId="0" borderId="277" xfId="0" applyNumberFormat="1" applyFont="1" applyBorder="1" applyAlignment="1">
      <alignment horizontal="center" vertical="center" wrapText="1"/>
    </xf>
    <xf numFmtId="0" fontId="109" fillId="0" borderId="283" xfId="0" applyFont="1" applyBorder="1" applyAlignment="1"/>
    <xf numFmtId="0" fontId="109" fillId="0" borderId="289" xfId="0" applyFont="1" applyBorder="1" applyAlignment="1"/>
    <xf numFmtId="0" fontId="24" fillId="0" borderId="276" xfId="0" applyFont="1" applyBorder="1" applyAlignment="1">
      <alignment horizontal="left" vertical="center" wrapText="1" indent="1"/>
    </xf>
    <xf numFmtId="0" fontId="15" fillId="0" borderId="282" xfId="0" applyFont="1" applyBorder="1" applyAlignment="1">
      <alignment horizontal="left" indent="1"/>
    </xf>
    <xf numFmtId="0" fontId="15" fillId="0" borderId="288" xfId="0" applyFont="1" applyBorder="1" applyAlignment="1">
      <alignment horizontal="left" indent="1"/>
    </xf>
    <xf numFmtId="0" fontId="38" fillId="0" borderId="277" xfId="0" applyFont="1" applyBorder="1" applyAlignment="1">
      <alignment horizontal="left" vertical="center" wrapText="1" indent="1"/>
    </xf>
    <xf numFmtId="0" fontId="24" fillId="4" borderId="77" xfId="0" applyFont="1" applyFill="1" applyBorder="1" applyAlignment="1">
      <alignment horizontal="left" vertical="center" wrapText="1" indent="1"/>
    </xf>
    <xf numFmtId="0" fontId="15" fillId="0" borderId="327" xfId="0" applyFont="1" applyBorder="1" applyAlignment="1">
      <alignment horizontal="left" indent="1"/>
    </xf>
    <xf numFmtId="4" fontId="43" fillId="2" borderId="311" xfId="0" applyNumberFormat="1" applyFont="1" applyFill="1" applyBorder="1" applyAlignment="1">
      <alignment horizontal="center" vertical="center" wrapText="1"/>
    </xf>
    <xf numFmtId="0" fontId="38" fillId="0" borderId="906" xfId="0" applyFont="1" applyBorder="1" applyAlignment="1">
      <alignment horizontal="left" vertical="center" wrapText="1" indent="1"/>
    </xf>
    <xf numFmtId="0" fontId="15" fillId="0" borderId="904" xfId="0" applyFont="1" applyBorder="1" applyAlignment="1">
      <alignment indent="1"/>
    </xf>
    <xf numFmtId="0" fontId="15" fillId="0" borderId="905" xfId="0" applyFont="1" applyBorder="1" applyAlignment="1">
      <alignment indent="1"/>
    </xf>
    <xf numFmtId="0" fontId="24" fillId="4" borderId="344" xfId="0" applyFont="1" applyFill="1" applyBorder="1" applyAlignment="1">
      <alignment horizontal="left" vertical="center" wrapText="1" indent="1"/>
    </xf>
    <xf numFmtId="3" fontId="56" fillId="0" borderId="177" xfId="0" applyNumberFormat="1" applyFont="1" applyBorder="1" applyAlignment="1">
      <alignment horizontal="center" vertical="center" wrapText="1"/>
    </xf>
    <xf numFmtId="3" fontId="109" fillId="0" borderId="177" xfId="0" applyNumberFormat="1" applyFont="1" applyBorder="1" applyAlignment="1"/>
    <xf numFmtId="3" fontId="109" fillId="0" borderId="109" xfId="0" applyNumberFormat="1" applyFont="1" applyBorder="1" applyAlignment="1"/>
    <xf numFmtId="0" fontId="24" fillId="4" borderId="310" xfId="0" applyFont="1" applyFill="1" applyBorder="1" applyAlignment="1">
      <alignment horizontal="left" vertical="center" wrapText="1" indent="1"/>
    </xf>
    <xf numFmtId="0" fontId="56" fillId="0" borderId="362" xfId="0" applyFont="1" applyBorder="1" applyAlignment="1">
      <alignment horizontal="center" vertical="center" wrapText="1"/>
    </xf>
    <xf numFmtId="0" fontId="109" fillId="0" borderId="362" xfId="0" applyFont="1" applyBorder="1" applyAlignment="1"/>
    <xf numFmtId="0" fontId="109" fillId="0" borderId="388" xfId="0" applyFont="1" applyBorder="1" applyAlignment="1"/>
    <xf numFmtId="0" fontId="24" fillId="4" borderId="373" xfId="0" applyFont="1" applyFill="1" applyBorder="1" applyAlignment="1">
      <alignment horizontal="left" vertical="center" wrapText="1" indent="1"/>
    </xf>
    <xf numFmtId="0" fontId="15" fillId="0" borderId="374" xfId="0" applyFont="1" applyBorder="1" applyAlignment="1">
      <alignment indent="1"/>
    </xf>
    <xf numFmtId="0" fontId="15" fillId="0" borderId="377" xfId="0" applyFont="1" applyBorder="1" applyAlignment="1">
      <alignment indent="1"/>
    </xf>
    <xf numFmtId="0" fontId="24" fillId="4" borderId="72" xfId="0" applyFont="1" applyFill="1" applyBorder="1" applyAlignment="1">
      <alignment horizontal="left" vertical="center" wrapText="1" indent="1"/>
    </xf>
    <xf numFmtId="0" fontId="24" fillId="4" borderId="73" xfId="0" applyFont="1" applyFill="1" applyBorder="1" applyAlignment="1">
      <alignment horizontal="left" vertical="center" wrapText="1" indent="1"/>
    </xf>
    <xf numFmtId="0" fontId="24" fillId="4" borderId="236" xfId="0" applyFont="1" applyFill="1" applyBorder="1" applyAlignment="1">
      <alignment horizontal="left" vertical="center" wrapText="1" indent="1"/>
    </xf>
    <xf numFmtId="0" fontId="15" fillId="0" borderId="914" xfId="0" applyFont="1" applyBorder="1" applyAlignment="1">
      <alignment indent="1"/>
    </xf>
    <xf numFmtId="0" fontId="38" fillId="0" borderId="903" xfId="0" applyFont="1" applyBorder="1" applyAlignment="1">
      <alignment horizontal="left" vertical="center" wrapText="1" indent="1"/>
    </xf>
    <xf numFmtId="0" fontId="38" fillId="0" borderId="904" xfId="0" applyFont="1" applyBorder="1" applyAlignment="1">
      <alignment horizontal="left" vertical="center" wrapText="1" indent="1"/>
    </xf>
    <xf numFmtId="0" fontId="15" fillId="0" borderId="540" xfId="0" applyFont="1" applyBorder="1" applyAlignment="1">
      <alignment indent="1"/>
    </xf>
    <xf numFmtId="0" fontId="316" fillId="0" borderId="338" xfId="0" applyFont="1" applyBorder="1" applyAlignment="1"/>
    <xf numFmtId="0" fontId="316" fillId="0" borderId="384" xfId="0" applyFont="1" applyBorder="1" applyAlignment="1"/>
    <xf numFmtId="0" fontId="316" fillId="0" borderId="340" xfId="0" applyFont="1" applyBorder="1" applyAlignment="1"/>
    <xf numFmtId="0" fontId="316" fillId="0" borderId="328" xfId="0" applyFont="1" applyBorder="1" applyAlignment="1"/>
    <xf numFmtId="0" fontId="316" fillId="0" borderId="359" xfId="0" applyFont="1" applyBorder="1" applyAlignment="1"/>
    <xf numFmtId="0" fontId="316" fillId="0" borderId="337" xfId="0" applyFont="1" applyBorder="1" applyAlignment="1"/>
    <xf numFmtId="0" fontId="52" fillId="2" borderId="78" xfId="0" applyFont="1" applyFill="1" applyBorder="1" applyAlignment="1">
      <alignment horizontal="left" vertical="center" indent="1"/>
    </xf>
    <xf numFmtId="0" fontId="15" fillId="0" borderId="327" xfId="0" applyFont="1" applyBorder="1" applyAlignment="1">
      <alignment indent="1"/>
    </xf>
    <xf numFmtId="0" fontId="24" fillId="4" borderId="136" xfId="0" applyFont="1" applyFill="1" applyBorder="1" applyAlignment="1">
      <alignment horizontal="left" vertical="center" wrapText="1" indent="1"/>
    </xf>
    <xf numFmtId="0" fontId="15" fillId="0" borderId="203" xfId="0" applyFont="1" applyBorder="1" applyAlignment="1">
      <alignment horizontal="left" indent="1"/>
    </xf>
    <xf numFmtId="0" fontId="15" fillId="0" borderId="152" xfId="0" applyFont="1" applyBorder="1" applyAlignment="1">
      <alignment indent="1"/>
    </xf>
    <xf numFmtId="0" fontId="71" fillId="8" borderId="880" xfId="0" applyFont="1" applyFill="1" applyBorder="1" applyAlignment="1">
      <alignment horizontal="center" vertical="center" wrapText="1"/>
    </xf>
    <xf numFmtId="0" fontId="9" fillId="12" borderId="881" xfId="0" applyFont="1" applyFill="1" applyBorder="1" applyAlignment="1">
      <alignment horizontal="center" vertical="center" wrapText="1"/>
    </xf>
    <xf numFmtId="0" fontId="297" fillId="0" borderId="0" xfId="0" applyFont="1" applyAlignment="1"/>
    <xf numFmtId="0" fontId="24" fillId="0" borderId="615" xfId="16" applyFont="1" applyBorder="1" applyAlignment="1">
      <alignment horizontal="center" vertical="center" wrapText="1"/>
    </xf>
    <xf numFmtId="0" fontId="24" fillId="0" borderId="177" xfId="16" applyFont="1" applyBorder="1" applyAlignment="1">
      <alignment horizontal="center" vertical="center" wrapText="1"/>
    </xf>
    <xf numFmtId="0" fontId="24" fillId="0" borderId="109" xfId="16" applyFont="1" applyBorder="1" applyAlignment="1">
      <alignment horizontal="center" vertical="center" wrapText="1"/>
    </xf>
    <xf numFmtId="0" fontId="38" fillId="0" borderId="646" xfId="16" applyFont="1" applyBorder="1" applyAlignment="1">
      <alignment horizontal="center" vertical="center" wrapText="1"/>
    </xf>
    <xf numFmtId="0" fontId="38" fillId="0" borderId="94" xfId="16" applyFont="1" applyBorder="1" applyAlignment="1">
      <alignment horizontal="center" vertical="center" wrapText="1"/>
    </xf>
    <xf numFmtId="0" fontId="38" fillId="0" borderId="96" xfId="16" applyFont="1" applyBorder="1" applyAlignment="1">
      <alignment horizontal="center" vertical="center" wrapText="1"/>
    </xf>
    <xf numFmtId="0" fontId="54" fillId="0" borderId="615" xfId="16" applyFont="1" applyBorder="1" applyAlignment="1">
      <alignment horizontal="center" vertical="center" wrapText="1"/>
    </xf>
    <xf numFmtId="0" fontId="54" fillId="0" borderId="177" xfId="16" applyFont="1" applyBorder="1" applyAlignment="1">
      <alignment horizontal="center" vertical="center" wrapText="1"/>
    </xf>
    <xf numFmtId="0" fontId="54" fillId="0" borderId="109" xfId="16" applyFont="1" applyBorder="1" applyAlignment="1">
      <alignment horizontal="center" vertical="center" wrapText="1"/>
    </xf>
    <xf numFmtId="0" fontId="24" fillId="4" borderId="647" xfId="16" applyFont="1" applyFill="1" applyBorder="1" applyAlignment="1">
      <alignment horizontal="center" vertical="center" wrapText="1"/>
    </xf>
    <xf numFmtId="0" fontId="24" fillId="4" borderId="363" xfId="16" applyFont="1" applyFill="1" applyBorder="1" applyAlignment="1">
      <alignment horizontal="center" vertical="center" wrapText="1"/>
    </xf>
    <xf numFmtId="0" fontId="24" fillId="4" borderId="378" xfId="16" applyFont="1" applyFill="1" applyBorder="1" applyAlignment="1">
      <alignment horizontal="center" vertical="center" wrapText="1"/>
    </xf>
    <xf numFmtId="0" fontId="23" fillId="0" borderId="615" xfId="16" applyFont="1" applyBorder="1" applyAlignment="1">
      <alignment horizontal="center" vertical="center" wrapText="1"/>
    </xf>
    <xf numFmtId="0" fontId="23" fillId="0" borderId="177" xfId="16" applyFont="1" applyBorder="1" applyAlignment="1">
      <alignment horizontal="center" vertical="center" wrapText="1"/>
    </xf>
    <xf numFmtId="0" fontId="23" fillId="0" borderId="109" xfId="16" applyFont="1" applyBorder="1" applyAlignment="1">
      <alignment horizontal="center" vertical="center" wrapText="1"/>
    </xf>
    <xf numFmtId="0" fontId="38" fillId="0" borderId="615" xfId="16" applyFont="1" applyBorder="1" applyAlignment="1">
      <alignment horizontal="center" vertical="center" wrapText="1"/>
    </xf>
    <xf numFmtId="0" fontId="38" fillId="0" borderId="177" xfId="16" applyFont="1" applyBorder="1" applyAlignment="1">
      <alignment horizontal="center" vertical="center" wrapText="1"/>
    </xf>
    <xf numFmtId="0" fontId="38" fillId="0" borderId="109" xfId="16" applyFont="1" applyBorder="1" applyAlignment="1">
      <alignment horizontal="center" vertical="center" wrapText="1"/>
    </xf>
    <xf numFmtId="0" fontId="292" fillId="0" borderId="47" xfId="16" applyFont="1" applyBorder="1" applyAlignment="1">
      <alignment horizontal="left" vertical="center" indent="1"/>
    </xf>
    <xf numFmtId="0" fontId="96" fillId="0" borderId="48" xfId="16" applyFont="1" applyBorder="1" applyAlignment="1">
      <alignment horizontal="left" indent="1"/>
    </xf>
    <xf numFmtId="0" fontId="11" fillId="0" borderId="79" xfId="16" applyFont="1" applyBorder="1" applyAlignment="1">
      <alignment horizontal="left" vertical="center" wrapText="1" indent="1"/>
    </xf>
    <xf numFmtId="0" fontId="96" fillId="0" borderId="80" xfId="16" applyFont="1" applyBorder="1" applyAlignment="1">
      <alignment horizontal="left" indent="1"/>
    </xf>
    <xf numFmtId="0" fontId="291" fillId="0" borderId="47" xfId="16" applyFont="1" applyBorder="1" applyAlignment="1">
      <alignment horizontal="left" vertical="center" indent="1"/>
    </xf>
    <xf numFmtId="0" fontId="45" fillId="4" borderId="344" xfId="16" applyFont="1" applyFill="1" applyAlignment="1">
      <alignment horizontal="center" vertical="center"/>
    </xf>
    <xf numFmtId="0" fontId="213" fillId="0" borderId="344" xfId="16" applyAlignment="1"/>
    <xf numFmtId="0" fontId="14" fillId="0" borderId="47" xfId="16" applyFont="1" applyBorder="1" applyAlignment="1">
      <alignment horizontal="left" vertical="center" wrapText="1" indent="1"/>
    </xf>
    <xf numFmtId="0" fontId="14" fillId="0" borderId="50" xfId="16" applyFont="1" applyBorder="1" applyAlignment="1">
      <alignment horizontal="left" vertical="center" wrapText="1" indent="1"/>
    </xf>
    <xf numFmtId="0" fontId="96" fillId="0" borderId="51" xfId="16" applyFont="1" applyBorder="1" applyAlignment="1">
      <alignment horizontal="left" indent="1"/>
    </xf>
    <xf numFmtId="0" fontId="11" fillId="0" borderId="122" xfId="16" applyFont="1" applyBorder="1" applyAlignment="1">
      <alignment horizontal="left" vertical="center" wrapText="1" indent="1"/>
    </xf>
    <xf numFmtId="0" fontId="96" fillId="0" borderId="123" xfId="16" applyFont="1" applyBorder="1" applyAlignment="1">
      <alignment horizontal="left" indent="1"/>
    </xf>
    <xf numFmtId="173" fontId="142" fillId="0" borderId="384" xfId="16" applyNumberFormat="1" applyFont="1" applyBorder="1" applyAlignment="1">
      <alignment horizontal="center" vertical="center"/>
    </xf>
    <xf numFmtId="0" fontId="208" fillId="0" borderId="344" xfId="16" applyFont="1" applyAlignment="1"/>
    <xf numFmtId="0" fontId="241" fillId="0" borderId="310" xfId="16" applyFont="1" applyBorder="1" applyAlignment="1"/>
    <xf numFmtId="4" fontId="12" fillId="2" borderId="118" xfId="16" applyNumberFormat="1" applyFont="1" applyFill="1" applyBorder="1" applyAlignment="1">
      <alignment horizontal="center" vertical="center" wrapText="1"/>
    </xf>
    <xf numFmtId="0" fontId="15" fillId="0" borderId="118" xfId="16" applyFont="1" applyBorder="1" applyAlignment="1"/>
    <xf numFmtId="0" fontId="15" fillId="0" borderId="120" xfId="16" applyFont="1" applyBorder="1" applyAlignment="1"/>
    <xf numFmtId="0" fontId="14" fillId="0" borderId="344" xfId="16" applyFont="1" applyAlignment="1">
      <alignment horizontal="left" vertical="center" wrapText="1"/>
    </xf>
    <xf numFmtId="0" fontId="11" fillId="4" borderId="344" xfId="16" applyFont="1" applyFill="1" applyAlignment="1">
      <alignment horizontal="center" vertical="center" wrapText="1"/>
    </xf>
    <xf numFmtId="0" fontId="142" fillId="0" borderId="215" xfId="16" applyFont="1" applyBorder="1" applyAlignment="1">
      <alignment horizontal="center" vertical="center" wrapText="1"/>
    </xf>
    <xf numFmtId="0" fontId="241" fillId="0" borderId="358" xfId="16" applyFont="1" applyBorder="1" applyAlignment="1"/>
    <xf numFmtId="0" fontId="241" fillId="0" borderId="46" xfId="16" applyFont="1" applyBorder="1" applyAlignment="1"/>
    <xf numFmtId="0" fontId="54" fillId="0" borderId="39" xfId="16" applyFont="1" applyBorder="1" applyAlignment="1">
      <alignment horizontal="center" vertical="center" wrapText="1"/>
    </xf>
    <xf numFmtId="0" fontId="15" fillId="0" borderId="34" xfId="16" applyFont="1" applyBorder="1" applyAlignment="1"/>
    <xf numFmtId="0" fontId="15" fillId="0" borderId="37" xfId="16" applyFont="1" applyBorder="1" applyAlignment="1"/>
    <xf numFmtId="0" fontId="24" fillId="0" borderId="39" xfId="16" applyFont="1" applyBorder="1" applyAlignment="1">
      <alignment horizontal="left" vertical="center" wrapText="1" indent="1"/>
    </xf>
    <xf numFmtId="0" fontId="15" fillId="0" borderId="34" xfId="16" applyFont="1" applyBorder="1" applyAlignment="1">
      <alignment indent="1"/>
    </xf>
    <xf numFmtId="0" fontId="15" fillId="0" borderId="37" xfId="16" applyFont="1" applyBorder="1" applyAlignment="1">
      <alignment indent="1"/>
    </xf>
    <xf numFmtId="0" fontId="54" fillId="0" borderId="44" xfId="16" applyFont="1" applyBorder="1" applyAlignment="1">
      <alignment horizontal="center" vertical="center" wrapText="1"/>
    </xf>
    <xf numFmtId="0" fontId="24" fillId="0" borderId="44" xfId="16" quotePrefix="1" applyFont="1" applyBorder="1" applyAlignment="1">
      <alignment horizontal="left" vertical="center" wrapText="1" indent="1"/>
    </xf>
    <xf numFmtId="0" fontId="24" fillId="0" borderId="44" xfId="16" applyFont="1" applyBorder="1" applyAlignment="1">
      <alignment horizontal="left" vertical="center" wrapText="1" indent="1"/>
    </xf>
    <xf numFmtId="0" fontId="24" fillId="4" borderId="386" xfId="16" applyFont="1" applyFill="1" applyBorder="1" applyAlignment="1">
      <alignment horizontal="left" vertical="center" wrapText="1" indent="1"/>
    </xf>
    <xf numFmtId="0" fontId="15" fillId="0" borderId="162" xfId="16" applyFont="1" applyBorder="1" applyAlignment="1">
      <alignment indent="1"/>
    </xf>
    <xf numFmtId="0" fontId="15" fillId="0" borderId="166" xfId="16" applyFont="1" applyBorder="1" applyAlignment="1">
      <alignment indent="1"/>
    </xf>
    <xf numFmtId="0" fontId="40" fillId="0" borderId="592" xfId="16" applyFont="1" applyBorder="1" applyAlignment="1">
      <alignment horizontal="center" vertical="center" wrapText="1"/>
    </xf>
    <xf numFmtId="0" fontId="15" fillId="0" borderId="590" xfId="16" applyFont="1" applyBorder="1" applyAlignment="1"/>
    <xf numFmtId="0" fontId="15" fillId="0" borderId="591" xfId="16" applyFont="1" applyBorder="1" applyAlignment="1"/>
    <xf numFmtId="0" fontId="35" fillId="12" borderId="213" xfId="16" applyFont="1" applyFill="1" applyBorder="1" applyAlignment="1">
      <alignment horizontal="left" vertical="center" indent="1"/>
    </xf>
    <xf numFmtId="0" fontId="99" fillId="0" borderId="350" xfId="16" applyFont="1" applyBorder="1" applyAlignment="1">
      <alignment horizontal="left" indent="1"/>
    </xf>
    <xf numFmtId="0" fontId="22" fillId="12" borderId="350" xfId="16" applyFont="1" applyFill="1" applyBorder="1" applyAlignment="1">
      <alignment horizontal="center" vertical="center"/>
    </xf>
    <xf numFmtId="0" fontId="15" fillId="0" borderId="350" xfId="16" applyFont="1" applyBorder="1" applyAlignment="1"/>
    <xf numFmtId="0" fontId="15" fillId="0" borderId="300" xfId="16" applyFont="1" applyBorder="1" applyAlignment="1"/>
    <xf numFmtId="1" fontId="54" fillId="0" borderId="39" xfId="16" applyNumberFormat="1" applyFont="1" applyBorder="1" applyAlignment="1">
      <alignment horizontal="center" vertical="center" wrapText="1"/>
    </xf>
    <xf numFmtId="0" fontId="38" fillId="0" borderId="156" xfId="16" applyFont="1" applyBorder="1" applyAlignment="1">
      <alignment horizontal="left" vertical="center" wrapText="1" indent="1"/>
    </xf>
    <xf numFmtId="0" fontId="15" fillId="0" borderId="157" xfId="16" applyFont="1" applyBorder="1" applyAlignment="1">
      <alignment indent="1"/>
    </xf>
    <xf numFmtId="0" fontId="15" fillId="0" borderId="159" xfId="16" applyFont="1" applyBorder="1" applyAlignment="1">
      <alignment indent="1"/>
    </xf>
    <xf numFmtId="0" fontId="38" fillId="0" borderId="44" xfId="16" applyFont="1" applyBorder="1" applyAlignment="1">
      <alignment horizontal="left" vertical="center" wrapText="1" indent="1"/>
    </xf>
    <xf numFmtId="0" fontId="24" fillId="4" borderId="387" xfId="16" applyFont="1" applyFill="1" applyBorder="1" applyAlignment="1">
      <alignment horizontal="left" vertical="center" wrapText="1" indent="1"/>
    </xf>
    <xf numFmtId="0" fontId="15" fillId="0" borderId="231" xfId="16" applyFont="1" applyBorder="1" applyAlignment="1">
      <alignment indent="1"/>
    </xf>
    <xf numFmtId="0" fontId="40" fillId="0" borderId="589" xfId="16" applyFont="1" applyBorder="1" applyAlignment="1">
      <alignment horizontal="center" vertical="center" wrapText="1"/>
    </xf>
    <xf numFmtId="0" fontId="15" fillId="0" borderId="593" xfId="16" applyFont="1" applyBorder="1" applyAlignment="1"/>
    <xf numFmtId="0" fontId="38" fillId="0" borderId="158" xfId="16" applyFont="1" applyBorder="1" applyAlignment="1">
      <alignment horizontal="left" vertical="center" wrapText="1" indent="1"/>
    </xf>
    <xf numFmtId="0" fontId="38" fillId="0" borderId="39" xfId="16" applyFont="1" applyBorder="1" applyAlignment="1">
      <alignment horizontal="left" vertical="center" wrapText="1" indent="1"/>
    </xf>
    <xf numFmtId="0" fontId="15" fillId="0" borderId="43" xfId="16" applyFont="1" applyBorder="1" applyAlignment="1">
      <alignment indent="1"/>
    </xf>
    <xf numFmtId="0" fontId="23" fillId="0" borderId="39" xfId="16" applyFont="1" applyBorder="1" applyAlignment="1">
      <alignment horizontal="left" vertical="center" wrapText="1" indent="1"/>
    </xf>
    <xf numFmtId="0" fontId="15" fillId="0" borderId="43" xfId="16" applyFont="1" applyBorder="1" applyAlignment="1"/>
    <xf numFmtId="0" fontId="15" fillId="0" borderId="584" xfId="16" applyFont="1" applyBorder="1" applyAlignment="1">
      <alignment indent="1"/>
    </xf>
    <xf numFmtId="0" fontId="23" fillId="0" borderId="44" xfId="16" applyFont="1" applyBorder="1" applyAlignment="1">
      <alignment horizontal="left" vertical="center" wrapText="1" indent="1"/>
    </xf>
    <xf numFmtId="0" fontId="40" fillId="0" borderId="597" xfId="16" applyFont="1" applyBorder="1" applyAlignment="1">
      <alignment horizontal="center" vertical="center" wrapText="1"/>
    </xf>
    <xf numFmtId="0" fontId="312" fillId="12" borderId="318" xfId="16" applyFont="1" applyFill="1" applyBorder="1" applyAlignment="1">
      <alignment horizontal="center" vertical="center" textRotation="90" wrapText="1"/>
    </xf>
    <xf numFmtId="0" fontId="313" fillId="0" borderId="370" xfId="16" applyFont="1" applyBorder="1" applyAlignment="1"/>
    <xf numFmtId="0" fontId="313" fillId="0" borderId="235" xfId="16" applyFont="1" applyBorder="1" applyAlignment="1"/>
    <xf numFmtId="0" fontId="15" fillId="0" borderId="484" xfId="16" applyFont="1" applyBorder="1" applyAlignment="1">
      <alignment indent="1"/>
    </xf>
    <xf numFmtId="0" fontId="15" fillId="0" borderId="688" xfId="16" applyFont="1" applyBorder="1" applyAlignment="1">
      <alignment indent="1"/>
    </xf>
    <xf numFmtId="0" fontId="15" fillId="0" borderId="689" xfId="16" applyFont="1" applyBorder="1" applyAlignment="1"/>
    <xf numFmtId="0" fontId="129" fillId="12" borderId="350" xfId="16" applyFont="1" applyFill="1" applyBorder="1" applyAlignment="1">
      <alignment horizontal="center" vertical="center"/>
    </xf>
    <xf numFmtId="0" fontId="99" fillId="0" borderId="350" xfId="16" applyFont="1" applyBorder="1" applyAlignment="1"/>
    <xf numFmtId="0" fontId="99" fillId="0" borderId="300" xfId="16" applyFont="1" applyBorder="1" applyAlignment="1"/>
    <xf numFmtId="0" fontId="15" fillId="0" borderId="484" xfId="16" applyFont="1" applyBorder="1" applyAlignment="1"/>
    <xf numFmtId="0" fontId="24" fillId="4" borderId="363" xfId="16" applyFont="1" applyFill="1" applyBorder="1" applyAlignment="1">
      <alignment horizontal="left" vertical="center" wrapText="1" indent="1"/>
    </xf>
    <xf numFmtId="0" fontId="24" fillId="4" borderId="378" xfId="16" applyFont="1" applyFill="1" applyBorder="1" applyAlignment="1">
      <alignment horizontal="left" vertical="center" wrapText="1" indent="1"/>
    </xf>
    <xf numFmtId="1" fontId="54" fillId="0" borderId="44" xfId="16" applyNumberFormat="1" applyFont="1" applyBorder="1" applyAlignment="1">
      <alignment horizontal="center" vertical="center" wrapText="1"/>
    </xf>
    <xf numFmtId="0" fontId="15" fillId="0" borderId="687" xfId="16" applyFont="1" applyBorder="1" applyAlignment="1">
      <alignment indent="1"/>
    </xf>
    <xf numFmtId="0" fontId="35" fillId="12" borderId="149" xfId="16" applyFont="1" applyFill="1" applyBorder="1" applyAlignment="1">
      <alignment horizontal="left" vertical="center" indent="1"/>
    </xf>
    <xf numFmtId="0" fontId="104" fillId="0" borderId="344" xfId="16" applyFont="1" applyAlignment="1">
      <alignment horizontal="left" indent="1"/>
    </xf>
    <xf numFmtId="0" fontId="107" fillId="12" borderId="344" xfId="16" applyFont="1" applyFill="1" applyAlignment="1">
      <alignment horizontal="center" vertical="center"/>
    </xf>
    <xf numFmtId="0" fontId="87" fillId="0" borderId="344" xfId="16" applyFont="1" applyAlignment="1"/>
    <xf numFmtId="0" fontId="104" fillId="0" borderId="310" xfId="16" applyFont="1" applyBorder="1" applyAlignment="1"/>
    <xf numFmtId="0" fontId="38" fillId="0" borderId="958" xfId="16" applyFont="1" applyBorder="1" applyAlignment="1">
      <alignment horizontal="left" vertical="center" wrapText="1" indent="1"/>
    </xf>
    <xf numFmtId="0" fontId="15" fillId="0" borderId="959" xfId="16" applyFont="1" applyBorder="1" applyAlignment="1">
      <alignment indent="1"/>
    </xf>
    <xf numFmtId="0" fontId="15" fillId="0" borderId="960" xfId="16" applyFont="1" applyBorder="1" applyAlignment="1">
      <alignment indent="1"/>
    </xf>
    <xf numFmtId="0" fontId="35" fillId="12" borderId="465" xfId="16" applyFont="1" applyFill="1" applyBorder="1" applyAlignment="1">
      <alignment horizontal="left" vertical="center" indent="1"/>
    </xf>
    <xf numFmtId="0" fontId="104" fillId="0" borderId="350" xfId="16" applyFont="1" applyBorder="1" applyAlignment="1">
      <alignment horizontal="left" indent="1"/>
    </xf>
    <xf numFmtId="0" fontId="104" fillId="0" borderId="344" xfId="16" applyFont="1" applyAlignment="1"/>
    <xf numFmtId="0" fontId="24" fillId="0" borderId="39" xfId="16" quotePrefix="1" applyFont="1" applyBorder="1" applyAlignment="1">
      <alignment horizontal="left" vertical="center" wrapText="1" indent="1"/>
    </xf>
    <xf numFmtId="0" fontId="22" fillId="0" borderId="44" xfId="16" applyFont="1" applyBorder="1" applyAlignment="1">
      <alignment horizontal="left" vertical="center" wrapText="1" indent="1"/>
    </xf>
    <xf numFmtId="0" fontId="22" fillId="0" borderId="39" xfId="16" applyFont="1" applyBorder="1" applyAlignment="1">
      <alignment horizontal="left" vertical="center" wrapText="1" indent="1"/>
    </xf>
    <xf numFmtId="0" fontId="24" fillId="0" borderId="592" xfId="16" applyFont="1" applyBorder="1" applyAlignment="1">
      <alignment horizontal="left" vertical="center" wrapText="1" indent="1"/>
    </xf>
    <xf numFmtId="0" fontId="15" fillId="0" borderId="590" xfId="16" applyFont="1" applyBorder="1" applyAlignment="1">
      <alignment horizontal="left" indent="1"/>
    </xf>
    <xf numFmtId="0" fontId="15" fillId="0" borderId="591" xfId="16" applyFont="1" applyBorder="1" applyAlignment="1">
      <alignment horizontal="left" indent="1"/>
    </xf>
    <xf numFmtId="0" fontId="40" fillId="0" borderId="592" xfId="16" applyFont="1" applyBorder="1" applyAlignment="1">
      <alignment horizontal="left" vertical="center" wrapText="1" indent="1"/>
    </xf>
    <xf numFmtId="0" fontId="15" fillId="0" borderId="593" xfId="16" applyFont="1" applyBorder="1" applyAlignment="1">
      <alignment horizontal="left" indent="1"/>
    </xf>
    <xf numFmtId="0" fontId="54" fillId="4" borderId="44" xfId="16" applyFont="1" applyFill="1" applyBorder="1" applyAlignment="1">
      <alignment horizontal="center" vertical="center" wrapText="1"/>
    </xf>
    <xf numFmtId="0" fontId="312" fillId="2" borderId="384" xfId="16" applyFont="1" applyFill="1" applyBorder="1" applyAlignment="1">
      <alignment horizontal="center" vertical="center" textRotation="90" wrapText="1"/>
    </xf>
    <xf numFmtId="0" fontId="313" fillId="0" borderId="384" xfId="16" applyFont="1" applyBorder="1" applyAlignment="1"/>
    <xf numFmtId="0" fontId="313" fillId="0" borderId="341" xfId="16" applyFont="1" applyBorder="1" applyAlignment="1"/>
    <xf numFmtId="0" fontId="312" fillId="12" borderId="370" xfId="16" applyFont="1" applyFill="1" applyBorder="1" applyAlignment="1">
      <alignment horizontal="center" vertical="center" textRotation="90" wrapText="1"/>
    </xf>
    <xf numFmtId="0" fontId="9" fillId="11" borderId="496" xfId="16" applyFont="1" applyFill="1" applyBorder="1" applyAlignment="1">
      <alignment horizontal="center" vertical="center" wrapText="1"/>
    </xf>
    <xf numFmtId="0" fontId="297" fillId="0" borderId="499" xfId="16" applyFont="1" applyBorder="1" applyAlignment="1"/>
    <xf numFmtId="0" fontId="9" fillId="11" borderId="497" xfId="16" applyFont="1" applyFill="1" applyBorder="1" applyAlignment="1">
      <alignment horizontal="center" vertical="center" wrapText="1"/>
    </xf>
    <xf numFmtId="0" fontId="297" fillId="0" borderId="500" xfId="16" applyFont="1" applyBorder="1" applyAlignment="1"/>
    <xf numFmtId="0" fontId="297" fillId="0" borderId="497" xfId="16" applyFont="1" applyBorder="1" applyAlignment="1"/>
    <xf numFmtId="0" fontId="9" fillId="9" borderId="536" xfId="16" applyFont="1" applyFill="1" applyBorder="1" applyAlignment="1">
      <alignment horizontal="center" vertical="center" wrapText="1"/>
    </xf>
    <xf numFmtId="0" fontId="297" fillId="0" borderId="537" xfId="16" applyFont="1" applyBorder="1" applyAlignment="1"/>
    <xf numFmtId="0" fontId="9" fillId="10" borderId="491" xfId="16" applyFont="1" applyFill="1" applyBorder="1" applyAlignment="1">
      <alignment horizontal="center" vertical="center" wrapText="1"/>
    </xf>
    <xf numFmtId="0" fontId="297" fillId="0" borderId="492" xfId="16" applyFont="1" applyBorder="1" applyAlignment="1"/>
    <xf numFmtId="0" fontId="5" fillId="0" borderId="344" xfId="16" applyFont="1" applyAlignment="1">
      <alignment horizontal="center" vertical="center"/>
    </xf>
    <xf numFmtId="0" fontId="126" fillId="0" borderId="344" xfId="16" applyFont="1" applyAlignment="1">
      <alignment horizontal="center" vertical="center"/>
    </xf>
    <xf numFmtId="0" fontId="188" fillId="0" borderId="344" xfId="16" applyFont="1" applyAlignment="1"/>
    <xf numFmtId="0" fontId="10" fillId="0" borderId="344" xfId="16" applyFont="1" applyAlignment="1">
      <alignment horizontal="center" vertical="center"/>
    </xf>
    <xf numFmtId="0" fontId="299" fillId="0" borderId="344" xfId="16" applyFont="1" applyAlignment="1"/>
    <xf numFmtId="0" fontId="20" fillId="0" borderId="344" xfId="16" applyFont="1" applyAlignment="1">
      <alignment horizontal="center" vertical="center"/>
    </xf>
    <xf numFmtId="0" fontId="9" fillId="2" borderId="215" xfId="16" applyFont="1" applyFill="1" applyBorder="1" applyAlignment="1">
      <alignment horizontal="center" vertical="center" textRotation="90"/>
    </xf>
    <xf numFmtId="0" fontId="297" fillId="0" borderId="55" xfId="16" applyFont="1" applyBorder="1" applyAlignment="1"/>
    <xf numFmtId="0" fontId="297" fillId="0" borderId="384" xfId="16" applyFont="1" applyBorder="1" applyAlignment="1"/>
    <xf numFmtId="0" fontId="297" fillId="0" borderId="59" xfId="16" applyFont="1" applyBorder="1" applyAlignment="1"/>
    <xf numFmtId="0" fontId="297" fillId="0" borderId="361" xfId="16" applyFont="1" applyBorder="1" applyAlignment="1"/>
    <xf numFmtId="0" fontId="297" fillId="0" borderId="65" xfId="16" applyFont="1" applyBorder="1" applyAlignment="1"/>
    <xf numFmtId="49" fontId="71" fillId="5" borderId="11" xfId="16" applyNumberFormat="1" applyFont="1" applyFill="1" applyBorder="1" applyAlignment="1">
      <alignment horizontal="center" vertical="center" wrapText="1"/>
    </xf>
    <xf numFmtId="0" fontId="297" fillId="0" borderId="56" xfId="16" applyFont="1" applyBorder="1" applyAlignment="1"/>
    <xf numFmtId="0" fontId="71" fillId="6" borderId="490" xfId="16" applyFont="1" applyFill="1" applyBorder="1" applyAlignment="1">
      <alignment horizontal="center" vertical="center" wrapText="1"/>
    </xf>
    <xf numFmtId="0" fontId="297" fillId="0" borderId="490" xfId="16" applyFont="1" applyBorder="1" applyAlignment="1"/>
    <xf numFmtId="0" fontId="71" fillId="7" borderId="493" xfId="16" applyFont="1" applyFill="1" applyBorder="1" applyAlignment="1">
      <alignment horizontal="center" vertical="center" wrapText="1"/>
    </xf>
    <xf numFmtId="0" fontId="297" fillId="0" borderId="494" xfId="16" applyFont="1" applyBorder="1" applyAlignment="1"/>
    <xf numFmtId="0" fontId="297" fillId="0" borderId="495" xfId="16" applyFont="1" applyBorder="1" applyAlignment="1"/>
    <xf numFmtId="0" fontId="71" fillId="8" borderId="57" xfId="16" applyFont="1" applyFill="1" applyBorder="1" applyAlignment="1">
      <alignment horizontal="center" vertical="center" wrapText="1"/>
    </xf>
    <xf numFmtId="0" fontId="297" fillId="0" borderId="250" xfId="16" applyFont="1" applyBorder="1" applyAlignment="1"/>
    <xf numFmtId="0" fontId="297" fillId="0" borderId="58" xfId="16" applyFont="1" applyBorder="1" applyAlignment="1"/>
    <xf numFmtId="0" fontId="9" fillId="9" borderId="81" xfId="16" applyFont="1" applyFill="1" applyBorder="1" applyAlignment="1">
      <alignment horizontal="center" vertical="center" wrapText="1"/>
    </xf>
    <xf numFmtId="0" fontId="297" fillId="0" borderId="66" xfId="16" applyFont="1" applyBorder="1" applyAlignment="1"/>
    <xf numFmtId="0" fontId="9" fillId="11" borderId="498" xfId="16" applyFont="1" applyFill="1" applyBorder="1" applyAlignment="1">
      <alignment horizontal="center" vertical="center" wrapText="1"/>
    </xf>
    <xf numFmtId="0" fontId="297" fillId="0" borderId="501" xfId="16" applyFont="1" applyBorder="1" applyAlignment="1"/>
    <xf numFmtId="0" fontId="9" fillId="12" borderId="61" xfId="16" applyFont="1" applyFill="1" applyBorder="1" applyAlignment="1">
      <alignment horizontal="center" vertical="center" wrapText="1"/>
    </xf>
    <xf numFmtId="0" fontId="297" fillId="0" borderId="251" xfId="16" applyFont="1" applyBorder="1" applyAlignment="1"/>
    <xf numFmtId="0" fontId="297" fillId="0" borderId="62" xfId="16" applyFont="1" applyBorder="1" applyAlignment="1"/>
    <xf numFmtId="0" fontId="9" fillId="12" borderId="63" xfId="16" applyFont="1" applyFill="1" applyBorder="1" applyAlignment="1">
      <alignment horizontal="center" vertical="center" wrapText="1"/>
    </xf>
    <xf numFmtId="0" fontId="9" fillId="12" borderId="251" xfId="16" applyFont="1" applyFill="1" applyBorder="1" applyAlignment="1">
      <alignment horizontal="center" vertical="center" wrapText="1"/>
    </xf>
    <xf numFmtId="0" fontId="9" fillId="12" borderId="62" xfId="16" applyFont="1" applyFill="1" applyBorder="1" applyAlignment="1">
      <alignment horizontal="center" vertical="center" wrapText="1"/>
    </xf>
    <xf numFmtId="0" fontId="9" fillId="12" borderId="64" xfId="16" applyFont="1" applyFill="1" applyBorder="1" applyAlignment="1">
      <alignment horizontal="center" vertical="center" wrapText="1"/>
    </xf>
    <xf numFmtId="0" fontId="297" fillId="0" borderId="70" xfId="16" applyFont="1" applyBorder="1" applyAlignment="1"/>
    <xf numFmtId="1" fontId="58" fillId="4" borderId="39" xfId="0" applyNumberFormat="1" applyFont="1" applyFill="1" applyBorder="1" applyAlignment="1">
      <alignment horizontal="center" vertical="center" wrapText="1"/>
    </xf>
    <xf numFmtId="0" fontId="151" fillId="0" borderId="34" xfId="0" applyFont="1" applyBorder="1" applyAlignment="1">
      <alignment vertical="center"/>
    </xf>
    <xf numFmtId="0" fontId="151" fillId="0" borderId="37" xfId="0" applyFont="1" applyBorder="1" applyAlignment="1">
      <alignment vertical="center"/>
    </xf>
    <xf numFmtId="0" fontId="23" fillId="4" borderId="39" xfId="0" applyFont="1" applyFill="1" applyBorder="1" applyAlignment="1">
      <alignment horizontal="left" vertical="center" wrapText="1" indent="1"/>
    </xf>
    <xf numFmtId="0" fontId="15" fillId="0" borderId="34" xfId="0" applyFont="1" applyBorder="1" applyAlignment="1">
      <alignment horizontal="left" vertical="center" indent="1"/>
    </xf>
    <xf numFmtId="0" fontId="15" fillId="0" borderId="37" xfId="0" applyFont="1" applyBorder="1" applyAlignment="1">
      <alignment horizontal="left" vertical="center" indent="1"/>
    </xf>
    <xf numFmtId="0" fontId="24" fillId="0" borderId="612" xfId="0" applyFont="1" applyBorder="1" applyAlignment="1">
      <alignment horizontal="left" vertical="center" wrapText="1" indent="1"/>
    </xf>
    <xf numFmtId="0" fontId="15" fillId="0" borderId="610" xfId="0" applyFont="1" applyBorder="1" applyAlignment="1">
      <alignment horizontal="left" vertical="center" indent="1"/>
    </xf>
    <xf numFmtId="0" fontId="15" fillId="0" borderId="611" xfId="0" applyFont="1" applyBorder="1" applyAlignment="1">
      <alignment horizontal="left" vertical="center" indent="1"/>
    </xf>
    <xf numFmtId="1" fontId="58" fillId="4" borderId="44" xfId="0" applyNumberFormat="1" applyFont="1" applyFill="1" applyBorder="1" applyAlignment="1">
      <alignment horizontal="center" vertical="center" wrapText="1"/>
    </xf>
    <xf numFmtId="0" fontId="151" fillId="0" borderId="43" xfId="0" applyFont="1" applyBorder="1" applyAlignment="1">
      <alignment vertical="center"/>
    </xf>
    <xf numFmtId="0" fontId="15" fillId="0" borderId="43" xfId="0" applyFont="1" applyBorder="1" applyAlignment="1">
      <alignment horizontal="left" vertical="center" indent="1"/>
    </xf>
    <xf numFmtId="0" fontId="24" fillId="0" borderId="613" xfId="0" applyFont="1" applyBorder="1" applyAlignment="1">
      <alignment horizontal="left" vertical="center" wrapText="1" indent="1"/>
    </xf>
    <xf numFmtId="0" fontId="15" fillId="0" borderId="383" xfId="0" applyFont="1" applyBorder="1" applyAlignment="1">
      <alignment horizontal="left" vertical="center" indent="1"/>
    </xf>
    <xf numFmtId="0" fontId="316" fillId="0" borderId="366" xfId="0" applyFont="1" applyBorder="1" applyAlignment="1">
      <alignment vertical="center"/>
    </xf>
    <xf numFmtId="0" fontId="316" fillId="0" borderId="235" xfId="0" applyFont="1" applyBorder="1" applyAlignment="1">
      <alignment vertical="center"/>
    </xf>
    <xf numFmtId="0" fontId="38" fillId="0" borderId="71" xfId="0" applyFont="1" applyBorder="1" applyAlignment="1">
      <alignment horizontal="left" vertical="center" wrapText="1" indent="1"/>
    </xf>
    <xf numFmtId="0" fontId="24" fillId="0" borderId="30" xfId="0" applyFont="1" applyBorder="1" applyAlignment="1">
      <alignment horizontal="left" vertical="center" wrapText="1" indent="1"/>
    </xf>
    <xf numFmtId="0" fontId="11" fillId="12" borderId="350" xfId="0" applyFont="1" applyFill="1" applyBorder="1" applyAlignment="1">
      <alignment horizontal="left" vertical="center"/>
    </xf>
    <xf numFmtId="0" fontId="138" fillId="0" borderId="350" xfId="0" applyFont="1" applyBorder="1" applyAlignment="1">
      <alignment vertical="center"/>
    </xf>
    <xf numFmtId="1" fontId="58" fillId="0" borderId="44" xfId="0" applyNumberFormat="1" applyFont="1" applyBorder="1" applyAlignment="1">
      <alignment horizontal="center" vertical="center" wrapText="1"/>
    </xf>
    <xf numFmtId="0" fontId="24" fillId="0" borderId="44" xfId="0" applyFont="1" applyBorder="1" applyAlignment="1">
      <alignment horizontal="left" vertical="center" wrapText="1" indent="2"/>
    </xf>
    <xf numFmtId="0" fontId="15" fillId="0" borderId="34" xfId="0" applyFont="1" applyBorder="1" applyAlignment="1">
      <alignment horizontal="left" vertical="center" indent="2"/>
    </xf>
    <xf numFmtId="0" fontId="15" fillId="0" borderId="43" xfId="0" applyFont="1" applyBorder="1" applyAlignment="1">
      <alignment horizontal="left" vertical="center" indent="2"/>
    </xf>
    <xf numFmtId="1" fontId="58" fillId="0" borderId="39" xfId="0" applyNumberFormat="1" applyFont="1" applyBorder="1" applyAlignment="1">
      <alignment horizontal="center" vertical="center" wrapText="1"/>
    </xf>
    <xf numFmtId="0" fontId="312" fillId="12" borderId="356" xfId="0" applyFont="1" applyFill="1" applyBorder="1" applyAlignment="1">
      <alignment horizontal="center" vertical="center" textRotation="90" wrapText="1"/>
    </xf>
    <xf numFmtId="0" fontId="316" fillId="0" borderId="374" xfId="0" applyFont="1" applyBorder="1" applyAlignment="1">
      <alignment vertical="center"/>
    </xf>
    <xf numFmtId="0" fontId="316" fillId="0" borderId="350" xfId="0" applyFont="1" applyBorder="1" applyAlignment="1">
      <alignment vertical="center"/>
    </xf>
    <xf numFmtId="0" fontId="242" fillId="0" borderId="358" xfId="0" applyFont="1" applyBorder="1" applyAlignment="1">
      <alignment vertical="center"/>
    </xf>
    <xf numFmtId="0" fontId="242" fillId="0" borderId="46" xfId="0" applyFont="1" applyBorder="1" applyAlignment="1">
      <alignment vertical="center"/>
    </xf>
    <xf numFmtId="0" fontId="96" fillId="0" borderId="123" xfId="0" applyFont="1" applyBorder="1" applyAlignment="1">
      <alignment horizontal="left" vertical="center" indent="1"/>
    </xf>
    <xf numFmtId="0" fontId="242" fillId="0" borderId="0" xfId="0" applyFont="1" applyAlignment="1">
      <alignment vertical="center"/>
    </xf>
    <xf numFmtId="0" fontId="242" fillId="0" borderId="310" xfId="0" applyFont="1" applyBorder="1" applyAlignment="1">
      <alignment vertical="center"/>
    </xf>
    <xf numFmtId="0" fontId="24" fillId="0" borderId="136" xfId="0" applyFont="1" applyBorder="1" applyAlignment="1">
      <alignment horizontal="left" vertical="center" wrapText="1"/>
    </xf>
    <xf numFmtId="0" fontId="15" fillId="0" borderId="132" xfId="0" applyFont="1" applyBorder="1" applyAlignment="1">
      <alignment vertical="center"/>
    </xf>
    <xf numFmtId="0" fontId="15" fillId="0" borderId="178" xfId="0" applyFont="1" applyBorder="1" applyAlignment="1">
      <alignment vertical="center"/>
    </xf>
    <xf numFmtId="0" fontId="24" fillId="0" borderId="132" xfId="0" applyFont="1" applyBorder="1" applyAlignment="1">
      <alignment horizontal="left" vertical="center" wrapText="1"/>
    </xf>
    <xf numFmtId="0" fontId="15" fillId="0" borderId="141" xfId="0" applyFont="1" applyBorder="1" applyAlignment="1">
      <alignment vertical="center"/>
    </xf>
    <xf numFmtId="0" fontId="15" fillId="0" borderId="166" xfId="0" applyFont="1" applyBorder="1" applyAlignment="1">
      <alignment horizontal="left" vertical="center" indent="1"/>
    </xf>
    <xf numFmtId="0" fontId="0" fillId="0" borderId="344" xfId="0" applyBorder="1" applyAlignment="1">
      <alignment vertical="center"/>
    </xf>
    <xf numFmtId="0" fontId="23" fillId="4" borderId="44" xfId="0" applyFont="1" applyFill="1" applyBorder="1" applyAlignment="1">
      <alignment horizontal="left" vertical="center" wrapText="1" indent="1"/>
    </xf>
    <xf numFmtId="0" fontId="35" fillId="12" borderId="344" xfId="0" applyFont="1" applyFill="1" applyBorder="1" applyAlignment="1">
      <alignment horizontal="left" vertical="center" indent="1"/>
    </xf>
    <xf numFmtId="0" fontId="99" fillId="0" borderId="344" xfId="0" applyFont="1" applyBorder="1" applyAlignment="1">
      <alignment horizontal="left" vertical="center" indent="1"/>
    </xf>
    <xf numFmtId="0" fontId="35" fillId="12" borderId="344" xfId="0" applyFont="1" applyFill="1" applyBorder="1" applyAlignment="1">
      <alignment horizontal="center" vertical="center"/>
    </xf>
    <xf numFmtId="0" fontId="99" fillId="0" borderId="344" xfId="0" applyFont="1" applyBorder="1" applyAlignment="1">
      <alignment vertical="center"/>
    </xf>
    <xf numFmtId="0" fontId="99" fillId="0" borderId="310" xfId="0" applyFont="1" applyBorder="1" applyAlignment="1">
      <alignment vertical="center"/>
    </xf>
    <xf numFmtId="0" fontId="24" fillId="4" borderId="30" xfId="0" applyFont="1" applyFill="1" applyBorder="1" applyAlignment="1">
      <alignment horizontal="left" vertical="center" wrapText="1" indent="1"/>
    </xf>
    <xf numFmtId="0" fontId="24" fillId="0" borderId="130" xfId="0" applyFont="1" applyBorder="1" applyAlignment="1">
      <alignment horizontal="left" vertical="center" wrapText="1"/>
    </xf>
    <xf numFmtId="0" fontId="24" fillId="17" borderId="132" xfId="0" applyFont="1" applyFill="1" applyBorder="1" applyAlignment="1">
      <alignment horizontal="left" vertical="center" wrapText="1"/>
    </xf>
    <xf numFmtId="0" fontId="15" fillId="17" borderId="132" xfId="0" applyFont="1" applyFill="1" applyBorder="1" applyAlignment="1">
      <alignment vertical="center"/>
    </xf>
    <xf numFmtId="0" fontId="24" fillId="17" borderId="136" xfId="0" applyFont="1" applyFill="1" applyBorder="1" applyAlignment="1">
      <alignment horizontal="left" vertical="center" wrapText="1"/>
    </xf>
    <xf numFmtId="0" fontId="15" fillId="17" borderId="141" xfId="0" applyFont="1" applyFill="1" applyBorder="1" applyAlignment="1">
      <alignment vertical="center"/>
    </xf>
    <xf numFmtId="0" fontId="24" fillId="4" borderId="132" xfId="0" applyFont="1" applyFill="1" applyBorder="1" applyAlignment="1">
      <alignment horizontal="left" vertical="center" wrapText="1"/>
    </xf>
    <xf numFmtId="0" fontId="104" fillId="0" borderId="350" xfId="0" applyFont="1" applyBorder="1" applyAlignment="1">
      <alignment horizontal="left" vertical="center" indent="1"/>
    </xf>
    <xf numFmtId="0" fontId="138" fillId="0" borderId="300" xfId="0" applyFont="1" applyBorder="1" applyAlignment="1">
      <alignment vertical="center"/>
    </xf>
    <xf numFmtId="0" fontId="15" fillId="0" borderId="231" xfId="0" applyFont="1" applyBorder="1" applyAlignment="1">
      <alignment horizontal="left" vertical="center" indent="1"/>
    </xf>
    <xf numFmtId="0" fontId="24" fillId="3" borderId="44" xfId="0" applyFont="1" applyFill="1" applyBorder="1" applyAlignment="1">
      <alignment horizontal="left" vertical="center" wrapText="1" indent="1"/>
    </xf>
    <xf numFmtId="0" fontId="24" fillId="3" borderId="39" xfId="0" applyFont="1" applyFill="1" applyBorder="1" applyAlignment="1">
      <alignment horizontal="left" vertical="center" wrapText="1" indent="1"/>
    </xf>
    <xf numFmtId="49" fontId="24" fillId="0" borderId="132" xfId="0" applyNumberFormat="1" applyFont="1" applyBorder="1" applyAlignment="1">
      <alignment horizontal="center" vertical="center"/>
    </xf>
    <xf numFmtId="49" fontId="24" fillId="0" borderId="39" xfId="0" applyNumberFormat="1" applyFont="1" applyBorder="1" applyAlignment="1">
      <alignment horizontal="left" vertical="center" wrapText="1" indent="1"/>
    </xf>
    <xf numFmtId="0" fontId="0" fillId="0" borderId="34" xfId="0" applyBorder="1" applyAlignment="1">
      <alignment vertical="center" indent="1"/>
    </xf>
    <xf numFmtId="0" fontId="0" fillId="0" borderId="37" xfId="0" applyBorder="1" applyAlignment="1">
      <alignment vertical="center" indent="1"/>
    </xf>
    <xf numFmtId="0" fontId="52" fillId="12" borderId="350" xfId="0" applyFont="1" applyFill="1" applyBorder="1" applyAlignment="1">
      <alignment horizontal="left" vertical="center"/>
    </xf>
    <xf numFmtId="0" fontId="38" fillId="0" borderId="30" xfId="0" applyFont="1" applyBorder="1" applyAlignment="1">
      <alignment horizontal="left" vertical="center" wrapText="1" indent="1"/>
    </xf>
    <xf numFmtId="0" fontId="24" fillId="4" borderId="136" xfId="0" applyFont="1" applyFill="1" applyBorder="1" applyAlignment="1">
      <alignment horizontal="left" vertical="center" wrapText="1"/>
    </xf>
    <xf numFmtId="0" fontId="15" fillId="0" borderId="132" xfId="0" applyFont="1" applyBorder="1" applyAlignment="1">
      <alignment vertical="center" indent="1"/>
    </xf>
    <xf numFmtId="0" fontId="15" fillId="0" borderId="141" xfId="0" applyFont="1" applyBorder="1" applyAlignment="1">
      <alignment vertical="center" indent="1"/>
    </xf>
    <xf numFmtId="0" fontId="22" fillId="0" borderId="44" xfId="0" applyFont="1" applyBorder="1" applyAlignment="1">
      <alignment horizontal="left" vertical="center" wrapText="1" indent="1"/>
    </xf>
    <xf numFmtId="0" fontId="24" fillId="0" borderId="609" xfId="0" applyFont="1" applyBorder="1" applyAlignment="1">
      <alignment horizontal="left" vertical="center" wrapText="1" indent="1"/>
    </xf>
    <xf numFmtId="9" fontId="58" fillId="0" borderId="30" xfId="0" applyNumberFormat="1" applyFont="1" applyBorder="1" applyAlignment="1">
      <alignment horizontal="center" vertical="center" wrapText="1"/>
    </xf>
    <xf numFmtId="9" fontId="58" fillId="0" borderId="44" xfId="0" applyNumberFormat="1" applyFont="1" applyBorder="1" applyAlignment="1">
      <alignment horizontal="center" vertical="center" wrapText="1"/>
    </xf>
    <xf numFmtId="0" fontId="312" fillId="2" borderId="351" xfId="0" applyFont="1" applyFill="1" applyBorder="1" applyAlignment="1">
      <alignment horizontal="center" vertical="center" textRotation="90" wrapText="1"/>
    </xf>
    <xf numFmtId="0" fontId="316" fillId="0" borderId="553" xfId="0" applyFont="1" applyBorder="1" applyAlignment="1">
      <alignment vertical="center"/>
    </xf>
    <xf numFmtId="0" fontId="316" fillId="0" borderId="384" xfId="0" applyFont="1" applyBorder="1" applyAlignment="1">
      <alignment vertical="center"/>
    </xf>
    <xf numFmtId="0" fontId="316" fillId="0" borderId="341" xfId="0" applyFont="1" applyBorder="1" applyAlignment="1">
      <alignment vertical="center"/>
    </xf>
    <xf numFmtId="0" fontId="9" fillId="8" borderId="57" xfId="0" applyFont="1" applyFill="1" applyBorder="1" applyAlignment="1">
      <alignment horizontal="center" vertical="center" wrapText="1"/>
    </xf>
    <xf numFmtId="0" fontId="35" fillId="12" borderId="149" xfId="0" applyFont="1" applyFill="1" applyBorder="1" applyAlignment="1">
      <alignment horizontal="left" vertical="center" indent="1"/>
    </xf>
    <xf numFmtId="0" fontId="38" fillId="4" borderId="39" xfId="0" applyFont="1" applyFill="1" applyBorder="1" applyAlignment="1">
      <alignment horizontal="left" vertical="center" wrapText="1" indent="1"/>
    </xf>
    <xf numFmtId="1" fontId="58" fillId="4" borderId="30" xfId="0" applyNumberFormat="1" applyFont="1" applyFill="1" applyBorder="1" applyAlignment="1">
      <alignment horizontal="center" vertical="center" wrapText="1"/>
    </xf>
    <xf numFmtId="0" fontId="23" fillId="0" borderId="39" xfId="0" applyFont="1" applyBorder="1" applyAlignment="1">
      <alignment horizontal="left" vertical="center" wrapText="1" indent="1"/>
    </xf>
    <xf numFmtId="0" fontId="23" fillId="0" borderId="44" xfId="0" applyFont="1" applyBorder="1" applyAlignment="1">
      <alignment horizontal="left" vertical="center" wrapText="1" indent="1"/>
    </xf>
    <xf numFmtId="0" fontId="24" fillId="0" borderId="737" xfId="0" applyFont="1" applyBorder="1" applyAlignment="1">
      <alignment horizontal="left" vertical="center" wrapText="1" indent="1"/>
    </xf>
    <xf numFmtId="0" fontId="96" fillId="0" borderId="662" xfId="0" applyFont="1" applyBorder="1" applyAlignment="1">
      <alignment indent="1"/>
    </xf>
    <xf numFmtId="0" fontId="96" fillId="0" borderId="738" xfId="0" applyFont="1" applyBorder="1" applyAlignment="1">
      <alignment indent="1"/>
    </xf>
    <xf numFmtId="0" fontId="54" fillId="0" borderId="737" xfId="0" applyFont="1" applyBorder="1" applyAlignment="1">
      <alignment horizontal="center" vertical="center" wrapText="1"/>
    </xf>
    <xf numFmtId="0" fontId="98" fillId="0" borderId="662" xfId="0" applyFont="1" applyBorder="1" applyAlignment="1"/>
    <xf numFmtId="0" fontId="98" fillId="0" borderId="738" xfId="0" applyFont="1" applyBorder="1" applyAlignment="1"/>
    <xf numFmtId="0" fontId="24" fillId="0" borderId="766" xfId="0" applyFont="1" applyBorder="1" applyAlignment="1">
      <alignment horizontal="left" vertical="center" wrapText="1" indent="1"/>
    </xf>
    <xf numFmtId="0" fontId="96" fillId="0" borderId="761" xfId="0" applyFont="1" applyBorder="1" applyAlignment="1">
      <alignment indent="1"/>
    </xf>
    <xf numFmtId="0" fontId="96" fillId="0" borderId="768" xfId="0" applyFont="1" applyBorder="1" applyAlignment="1">
      <alignment indent="1"/>
    </xf>
    <xf numFmtId="0" fontId="38" fillId="0" borderId="737" xfId="0" applyFont="1" applyBorder="1" applyAlignment="1">
      <alignment horizontal="left" vertical="center" wrapText="1" indent="1"/>
    </xf>
    <xf numFmtId="0" fontId="24" fillId="4" borderId="737" xfId="0" applyFont="1" applyFill="1" applyBorder="1" applyAlignment="1">
      <alignment horizontal="left" vertical="center" wrapText="1" indent="1"/>
    </xf>
    <xf numFmtId="0" fontId="24" fillId="0" borderId="674" xfId="0" applyFont="1" applyBorder="1" applyAlignment="1">
      <alignment horizontal="left" vertical="center" wrapText="1" indent="1"/>
    </xf>
    <xf numFmtId="0" fontId="96" fillId="0" borderId="770" xfId="0" applyFont="1" applyBorder="1" applyAlignment="1">
      <alignment indent="1"/>
    </xf>
    <xf numFmtId="0" fontId="54" fillId="0" borderId="674" xfId="0" applyFont="1" applyBorder="1" applyAlignment="1">
      <alignment horizontal="center" vertical="center" wrapText="1"/>
    </xf>
    <xf numFmtId="0" fontId="98" fillId="0" borderId="770" xfId="0" applyFont="1" applyBorder="1" applyAlignment="1"/>
    <xf numFmtId="0" fontId="24" fillId="4" borderId="674" xfId="0" applyFont="1" applyFill="1" applyBorder="1" applyAlignment="1">
      <alignment horizontal="left" vertical="center" wrapText="1" indent="1"/>
    </xf>
    <xf numFmtId="0" fontId="24" fillId="0" borderId="673" xfId="0" applyFont="1" applyBorder="1" applyAlignment="1">
      <alignment horizontal="left" vertical="center" wrapText="1" indent="1"/>
    </xf>
    <xf numFmtId="0" fontId="96" fillId="0" borderId="771" xfId="0" applyFont="1" applyBorder="1" applyAlignment="1">
      <alignment indent="1"/>
    </xf>
    <xf numFmtId="0" fontId="38" fillId="0" borderId="674" xfId="0" applyFont="1" applyBorder="1" applyAlignment="1">
      <alignment horizontal="left" vertical="center" wrapText="1" indent="1"/>
    </xf>
    <xf numFmtId="0" fontId="24" fillId="0" borderId="799" xfId="0" applyFont="1" applyBorder="1" applyAlignment="1">
      <alignment horizontal="left" vertical="center" wrapText="1" indent="1"/>
    </xf>
    <xf numFmtId="0" fontId="24" fillId="0" borderId="808" xfId="0" applyFont="1" applyBorder="1" applyAlignment="1">
      <alignment horizontal="left" vertical="center" wrapText="1" indent="1"/>
    </xf>
    <xf numFmtId="0" fontId="38" fillId="0" borderId="799" xfId="0" applyFont="1" applyBorder="1" applyAlignment="1">
      <alignment horizontal="left" vertical="center" wrapText="1" indent="1"/>
    </xf>
    <xf numFmtId="1" fontId="54" fillId="0" borderId="674" xfId="0" applyNumberFormat="1" applyFont="1" applyBorder="1" applyAlignment="1">
      <alignment horizontal="center" vertical="center" wrapText="1"/>
    </xf>
    <xf numFmtId="0" fontId="123" fillId="12" borderId="117" xfId="0" applyFont="1" applyFill="1" applyBorder="1" applyAlignment="1">
      <alignment horizontal="center" vertical="center"/>
    </xf>
    <xf numFmtId="0" fontId="15" fillId="0" borderId="300" xfId="0" applyFont="1" applyBorder="1" applyAlignment="1"/>
    <xf numFmtId="4" fontId="147" fillId="2" borderId="311" xfId="0" applyNumberFormat="1" applyFont="1" applyFill="1" applyBorder="1" applyAlignment="1">
      <alignment horizontal="center" vertical="center" wrapText="1"/>
    </xf>
    <xf numFmtId="0" fontId="23" fillId="0" borderId="344" xfId="0" applyFont="1" applyBorder="1" applyAlignment="1"/>
    <xf numFmtId="0" fontId="23" fillId="0" borderId="0" xfId="0" applyFont="1" applyAlignment="1"/>
    <xf numFmtId="0" fontId="38" fillId="0" borderId="810" xfId="0" applyFont="1" applyBorder="1" applyAlignment="1">
      <alignment horizontal="left" vertical="center" wrapText="1" indent="1"/>
    </xf>
    <xf numFmtId="0" fontId="96" fillId="0" borderId="801" xfId="0" applyFont="1" applyBorder="1" applyAlignment="1">
      <alignment indent="1"/>
    </xf>
    <xf numFmtId="0" fontId="96" fillId="0" borderId="813" xfId="0" applyFont="1" applyBorder="1" applyAlignment="1">
      <alignment indent="1"/>
    </xf>
    <xf numFmtId="0" fontId="24" fillId="0" borderId="815" xfId="0" applyFont="1" applyBorder="1" applyAlignment="1">
      <alignment horizontal="left" vertical="center" wrapText="1" indent="1"/>
    </xf>
    <xf numFmtId="0" fontId="96" fillId="0" borderId="806" xfId="0" applyFont="1" applyBorder="1" applyAlignment="1">
      <alignment indent="1"/>
    </xf>
    <xf numFmtId="0" fontId="24" fillId="0" borderId="800" xfId="0" applyFont="1" applyBorder="1" applyAlignment="1">
      <alignment horizontal="left" vertical="center" wrapText="1" indent="1"/>
    </xf>
    <xf numFmtId="0" fontId="24" fillId="0" borderId="810" xfId="0" applyFont="1" applyBorder="1" applyAlignment="1">
      <alignment horizontal="center" vertical="center" wrapText="1" indent="1"/>
    </xf>
    <xf numFmtId="0" fontId="38" fillId="0" borderId="815" xfId="0" applyFont="1" applyBorder="1" applyAlignment="1">
      <alignment horizontal="left" vertical="center" wrapText="1" indent="1"/>
    </xf>
    <xf numFmtId="0" fontId="38" fillId="0" borderId="801" xfId="0" applyFont="1" applyBorder="1" applyAlignment="1">
      <alignment horizontal="left" vertical="center" wrapText="1" indent="1"/>
    </xf>
    <xf numFmtId="1" fontId="54" fillId="0" borderId="737" xfId="0" applyNumberFormat="1" applyFont="1" applyBorder="1" applyAlignment="1">
      <alignment horizontal="center" vertical="center" wrapText="1"/>
    </xf>
    <xf numFmtId="0" fontId="240" fillId="12" borderId="213" xfId="0" applyFont="1" applyFill="1" applyBorder="1" applyAlignment="1">
      <alignment horizontal="left" vertical="center" indent="1"/>
    </xf>
    <xf numFmtId="0" fontId="111" fillId="0" borderId="350" xfId="0" applyFont="1" applyBorder="1" applyAlignment="1">
      <alignment horizontal="left" indent="1"/>
    </xf>
    <xf numFmtId="0" fontId="115" fillId="0" borderId="350" xfId="0" applyFont="1" applyBorder="1" applyAlignment="1">
      <alignment horizontal="left" indent="1"/>
    </xf>
    <xf numFmtId="0" fontId="123" fillId="12" borderId="347" xfId="0" applyFont="1" applyFill="1" applyBorder="1" applyAlignment="1">
      <alignment horizontal="center" vertical="center"/>
    </xf>
    <xf numFmtId="0" fontId="120" fillId="0" borderId="344" xfId="0" applyFont="1" applyBorder="1" applyAlignment="1"/>
    <xf numFmtId="0" fontId="54" fillId="0" borderId="799" xfId="0" applyFont="1" applyBorder="1" applyAlignment="1">
      <alignment horizontal="center" vertical="center" wrapText="1"/>
    </xf>
    <xf numFmtId="0" fontId="24" fillId="4" borderId="799" xfId="0" applyFont="1" applyFill="1" applyBorder="1" applyAlignment="1">
      <alignment horizontal="left" vertical="center" wrapText="1" indent="1"/>
    </xf>
    <xf numFmtId="0" fontId="24" fillId="0" borderId="815" xfId="0" applyFont="1" applyBorder="1" applyAlignment="1">
      <alignment horizontal="left" vertical="center" wrapText="1"/>
    </xf>
    <xf numFmtId="0" fontId="96" fillId="0" borderId="801" xfId="0" applyFont="1" applyBorder="1" applyAlignment="1"/>
    <xf numFmtId="0" fontId="96" fillId="0" borderId="813" xfId="0" applyFont="1" applyBorder="1" applyAlignment="1"/>
    <xf numFmtId="0" fontId="24" fillId="0" borderId="810" xfId="0" applyFont="1" applyBorder="1" applyAlignment="1">
      <alignment horizontal="left" vertical="center" wrapText="1"/>
    </xf>
    <xf numFmtId="0" fontId="96" fillId="0" borderId="806" xfId="0" applyFont="1" applyBorder="1" applyAlignment="1"/>
    <xf numFmtId="0" fontId="45" fillId="0" borderId="79" xfId="0" applyFont="1" applyBorder="1" applyAlignment="1">
      <alignment horizontal="left" vertical="center" wrapText="1" indent="1"/>
    </xf>
    <xf numFmtId="0" fontId="15" fillId="0" borderId="80" xfId="0" applyFont="1" applyBorder="1" applyAlignment="1">
      <alignment horizontal="left" indent="1"/>
    </xf>
    <xf numFmtId="1" fontId="14" fillId="0" borderId="47" xfId="0" applyNumberFormat="1" applyFont="1" applyBorder="1" applyAlignment="1">
      <alignment horizontal="left" vertical="center" wrapText="1" indent="1"/>
    </xf>
    <xf numFmtId="1" fontId="14" fillId="0" borderId="50" xfId="0" applyNumberFormat="1" applyFont="1" applyBorder="1" applyAlignment="1">
      <alignment horizontal="left" vertical="center" wrapText="1" indent="1"/>
    </xf>
    <xf numFmtId="0" fontId="152" fillId="12" borderId="350" xfId="0" applyFont="1" applyFill="1" applyBorder="1" applyAlignment="1">
      <alignment horizontal="left" vertical="center"/>
    </xf>
    <xf numFmtId="1" fontId="54" fillId="0" borderId="799" xfId="0" applyNumberFormat="1" applyFont="1" applyBorder="1" applyAlignment="1">
      <alignment horizontal="center" vertical="center" wrapText="1"/>
    </xf>
    <xf numFmtId="0" fontId="24" fillId="4" borderId="815" xfId="0" applyFont="1" applyFill="1" applyBorder="1" applyAlignment="1">
      <alignment vertical="center" wrapText="1" indent="1"/>
    </xf>
    <xf numFmtId="0" fontId="24" fillId="4" borderId="810" xfId="0" applyFont="1" applyFill="1" applyBorder="1" applyAlignment="1">
      <alignment vertical="center" wrapText="1" indent="1"/>
    </xf>
    <xf numFmtId="0" fontId="240" fillId="12" borderId="149" xfId="0" applyFont="1" applyFill="1" applyBorder="1" applyAlignment="1">
      <alignment horizontal="left" vertical="center" indent="1"/>
    </xf>
    <xf numFmtId="0" fontId="111" fillId="0" borderId="344" xfId="0" applyFont="1" applyBorder="1" applyAlignment="1">
      <alignment horizontal="left" indent="1"/>
    </xf>
    <xf numFmtId="0" fontId="115" fillId="0" borderId="374" xfId="0" applyFont="1" applyBorder="1" applyAlignment="1">
      <alignment horizontal="left" indent="1"/>
    </xf>
    <xf numFmtId="0" fontId="123" fillId="12" borderId="370" xfId="0" applyFont="1" applyFill="1" applyBorder="1" applyAlignment="1">
      <alignment horizontal="center" vertical="center"/>
    </xf>
    <xf numFmtId="0" fontId="24" fillId="17" borderId="800" xfId="0" applyFont="1" applyFill="1" applyBorder="1" applyAlignment="1">
      <alignment horizontal="left" vertical="center" wrapText="1" indent="1"/>
    </xf>
    <xf numFmtId="0" fontId="96" fillId="17" borderId="801" xfId="0" applyFont="1" applyFill="1" applyBorder="1" applyAlignment="1">
      <alignment indent="1"/>
    </xf>
    <xf numFmtId="0" fontId="96" fillId="17" borderId="813" xfId="0" applyFont="1" applyFill="1" applyBorder="1" applyAlignment="1">
      <alignment indent="1"/>
    </xf>
    <xf numFmtId="0" fontId="24" fillId="17" borderId="810" xfId="0" applyFont="1" applyFill="1" applyBorder="1" applyAlignment="1">
      <alignment vertical="center" wrapText="1" indent="1"/>
    </xf>
    <xf numFmtId="0" fontId="96" fillId="17" borderId="806" xfId="0" applyFont="1" applyFill="1" applyBorder="1" applyAlignment="1">
      <alignment indent="1"/>
    </xf>
    <xf numFmtId="0" fontId="24" fillId="0" borderId="662" xfId="0" applyFont="1" applyBorder="1" applyAlignment="1">
      <alignment horizontal="left" vertical="center" wrapText="1" indent="1"/>
    </xf>
    <xf numFmtId="0" fontId="24" fillId="0" borderId="770" xfId="0" applyFont="1" applyBorder="1" applyAlignment="1">
      <alignment horizontal="left" vertical="center" wrapText="1" indent="1"/>
    </xf>
    <xf numFmtId="0" fontId="38" fillId="0" borderId="662" xfId="0" applyFont="1" applyBorder="1" applyAlignment="1">
      <alignment horizontal="left" vertical="center" wrapText="1" indent="1"/>
    </xf>
    <xf numFmtId="0" fontId="38" fillId="0" borderId="770" xfId="0" applyFont="1" applyBorder="1" applyAlignment="1">
      <alignment horizontal="left" vertical="center" wrapText="1" indent="1"/>
    </xf>
    <xf numFmtId="1" fontId="54" fillId="0" borderId="662" xfId="0" applyNumberFormat="1" applyFont="1" applyBorder="1" applyAlignment="1">
      <alignment horizontal="center" vertical="center" wrapText="1"/>
    </xf>
    <xf numFmtId="1" fontId="54" fillId="0" borderId="770" xfId="0" applyNumberFormat="1" applyFont="1" applyBorder="1" applyAlignment="1">
      <alignment horizontal="center" vertical="center" wrapText="1"/>
    </xf>
    <xf numFmtId="0" fontId="24" fillId="4" borderId="662" xfId="0" applyFont="1" applyFill="1" applyBorder="1" applyAlignment="1">
      <alignment horizontal="left" vertical="center" wrapText="1" indent="1"/>
    </xf>
    <xf numFmtId="0" fontId="24" fillId="4" borderId="770" xfId="0" applyFont="1" applyFill="1" applyBorder="1" applyAlignment="1">
      <alignment horizontal="left" vertical="center" wrapText="1" indent="1"/>
    </xf>
    <xf numFmtId="0" fontId="24" fillId="0" borderId="761" xfId="0" applyFont="1" applyBorder="1" applyAlignment="1">
      <alignment horizontal="left" vertical="center" wrapText="1" indent="1"/>
    </xf>
    <xf numFmtId="0" fontId="24" fillId="0" borderId="771" xfId="0" applyFont="1" applyBorder="1" applyAlignment="1">
      <alignment horizontal="left" vertical="center" wrapText="1" indent="1"/>
    </xf>
    <xf numFmtId="1" fontId="54" fillId="0" borderId="799" xfId="0" applyNumberFormat="1" applyFont="1" applyBorder="1" applyAlignment="1">
      <alignment horizontal="center" vertical="center"/>
    </xf>
    <xf numFmtId="0" fontId="314" fillId="0" borderId="370" xfId="0" applyFont="1" applyBorder="1" applyAlignment="1"/>
    <xf numFmtId="0" fontId="38" fillId="0" borderId="814" xfId="0" applyFont="1" applyBorder="1" applyAlignment="1">
      <alignment horizontal="left" vertical="center" wrapText="1" indent="1"/>
    </xf>
    <xf numFmtId="0" fontId="96" fillId="0" borderId="804" xfId="0" applyFont="1" applyBorder="1" applyAlignment="1">
      <alignment indent="1"/>
    </xf>
    <xf numFmtId="0" fontId="96" fillId="0" borderId="805" xfId="0" applyFont="1" applyBorder="1" applyAlignment="1">
      <alignment indent="1"/>
    </xf>
    <xf numFmtId="0" fontId="96" fillId="0" borderId="811" xfId="0" applyFont="1" applyBorder="1" applyAlignment="1">
      <alignment indent="1"/>
    </xf>
    <xf numFmtId="0" fontId="38" fillId="0" borderId="809" xfId="0" applyFont="1" applyBorder="1" applyAlignment="1">
      <alignment horizontal="left" vertical="center" wrapText="1" indent="1"/>
    </xf>
    <xf numFmtId="0" fontId="313" fillId="0" borderId="924" xfId="0" applyFont="1" applyBorder="1" applyAlignment="1"/>
    <xf numFmtId="0" fontId="38" fillId="0" borderId="803" xfId="0" applyFont="1" applyBorder="1" applyAlignment="1">
      <alignment horizontal="left" vertical="center" wrapText="1" indent="1"/>
    </xf>
    <xf numFmtId="0" fontId="312" fillId="12" borderId="318" xfId="0" applyFont="1" applyFill="1" applyBorder="1" applyAlignment="1">
      <alignment horizontal="center" vertical="center" textRotation="90"/>
    </xf>
    <xf numFmtId="0" fontId="152" fillId="12" borderId="344" xfId="0" applyFont="1" applyFill="1" applyBorder="1" applyAlignment="1">
      <alignment horizontal="left" vertical="center"/>
    </xf>
    <xf numFmtId="0" fontId="15" fillId="0" borderId="344" xfId="0" applyFont="1" applyBorder="1" applyAlignment="1"/>
    <xf numFmtId="0" fontId="38" fillId="0" borderId="814" xfId="0" applyFont="1" applyBorder="1" applyAlignment="1">
      <alignment vertical="center" wrapText="1" indent="1"/>
    </xf>
    <xf numFmtId="0" fontId="38" fillId="0" borderId="804" xfId="0" applyFont="1" applyBorder="1" applyAlignment="1">
      <alignment vertical="center" wrapText="1" indent="1"/>
    </xf>
    <xf numFmtId="0" fontId="38" fillId="0" borderId="811" xfId="0" applyFont="1" applyBorder="1" applyAlignment="1">
      <alignment vertical="center" wrapText="1" indent="1"/>
    </xf>
    <xf numFmtId="0" fontId="24" fillId="0" borderId="810" xfId="0" applyFont="1" applyBorder="1" applyAlignment="1">
      <alignment horizontal="left" vertical="center" wrapText="1" indent="1"/>
    </xf>
    <xf numFmtId="0" fontId="240" fillId="12" borderId="149" xfId="0" applyFont="1" applyFill="1" applyBorder="1" applyAlignment="1">
      <alignment horizontal="left" vertical="center" indent="2"/>
    </xf>
    <xf numFmtId="0" fontId="111" fillId="0" borderId="344" xfId="0" applyFont="1" applyBorder="1" applyAlignment="1">
      <alignment horizontal="left" indent="2"/>
    </xf>
    <xf numFmtId="0" fontId="115" fillId="0" borderId="344" xfId="0" applyFont="1" applyBorder="1" applyAlignment="1">
      <alignment horizontal="left" indent="2"/>
    </xf>
    <xf numFmtId="0" fontId="152" fillId="12" borderId="205" xfId="0" applyFont="1" applyFill="1" applyBorder="1" applyAlignment="1">
      <alignment horizontal="left" vertical="center"/>
    </xf>
    <xf numFmtId="0" fontId="152" fillId="12" borderId="937" xfId="0" applyFont="1" applyFill="1" applyBorder="1" applyAlignment="1">
      <alignment horizontal="left" vertical="center"/>
    </xf>
    <xf numFmtId="0" fontId="24" fillId="0" borderId="800" xfId="0" applyFont="1" applyBorder="1" applyAlignment="1">
      <alignment horizontal="left" vertical="center" wrapText="1"/>
    </xf>
    <xf numFmtId="0" fontId="99" fillId="0" borderId="662" xfId="0" applyFont="1" applyBorder="1" applyAlignment="1"/>
    <xf numFmtId="0" fontId="99" fillId="0" borderId="738" xfId="0" applyFont="1" applyBorder="1" applyAlignment="1"/>
    <xf numFmtId="0" fontId="115" fillId="0" borderId="344" xfId="0" applyFont="1" applyBorder="1" applyAlignment="1">
      <alignment horizontal="left" indent="1"/>
    </xf>
    <xf numFmtId="0" fontId="24" fillId="17" borderId="815" xfId="0" applyFont="1" applyFill="1" applyBorder="1" applyAlignment="1">
      <alignment horizontal="left" vertical="center" wrapText="1"/>
    </xf>
    <xf numFmtId="0" fontId="96" fillId="17" borderId="801" xfId="0" applyFont="1" applyFill="1" applyBorder="1" applyAlignment="1"/>
    <xf numFmtId="0" fontId="96" fillId="17" borderId="813" xfId="0" applyFont="1" applyFill="1" applyBorder="1" applyAlignment="1"/>
    <xf numFmtId="0" fontId="24" fillId="17" borderId="810" xfId="0" applyFont="1" applyFill="1" applyBorder="1" applyAlignment="1">
      <alignment horizontal="left" vertical="center" wrapText="1"/>
    </xf>
    <xf numFmtId="0" fontId="96" fillId="17" borderId="806" xfId="0" applyFont="1" applyFill="1" applyBorder="1" applyAlignment="1"/>
    <xf numFmtId="0" fontId="120" fillId="0" borderId="350" xfId="0" applyFont="1" applyBorder="1" applyAlignment="1"/>
    <xf numFmtId="0" fontId="120" fillId="0" borderId="205" xfId="0" applyFont="1" applyBorder="1" applyAlignment="1"/>
    <xf numFmtId="0" fontId="15" fillId="0" borderId="937" xfId="0" applyFont="1" applyBorder="1" applyAlignment="1"/>
    <xf numFmtId="0" fontId="38" fillId="0" borderId="833" xfId="0" applyFont="1" applyBorder="1" applyAlignment="1">
      <alignment horizontal="left" vertical="center" wrapText="1" indent="1"/>
    </xf>
    <xf numFmtId="0" fontId="38" fillId="0" borderId="834" xfId="0" applyFont="1" applyBorder="1" applyAlignment="1">
      <alignment horizontal="left" vertical="center" wrapText="1" indent="1"/>
    </xf>
    <xf numFmtId="0" fontId="38" fillId="0" borderId="825" xfId="0" applyFont="1" applyBorder="1" applyAlignment="1">
      <alignment horizontal="left" vertical="center" wrapText="1" indent="1"/>
    </xf>
    <xf numFmtId="0" fontId="24" fillId="0" borderId="829" xfId="0" applyFont="1" applyBorder="1" applyAlignment="1">
      <alignment horizontal="left" vertical="center" wrapText="1" indent="1"/>
    </xf>
    <xf numFmtId="0" fontId="24" fillId="0" borderId="669" xfId="0" applyFont="1" applyBorder="1" applyAlignment="1">
      <alignment horizontal="left" vertical="center" wrapText="1" indent="1"/>
    </xf>
    <xf numFmtId="0" fontId="24" fillId="0" borderId="826" xfId="0" applyFont="1" applyBorder="1" applyAlignment="1">
      <alignment horizontal="left" vertical="center" wrapText="1" indent="1"/>
    </xf>
    <xf numFmtId="0" fontId="38" fillId="0" borderId="829" xfId="0" applyFont="1" applyBorder="1" applyAlignment="1">
      <alignment horizontal="left" vertical="center" wrapText="1" indent="1"/>
    </xf>
    <xf numFmtId="0" fontId="38" fillId="0" borderId="669" xfId="0" applyFont="1" applyBorder="1" applyAlignment="1">
      <alignment horizontal="left" vertical="center" wrapText="1" indent="1"/>
    </xf>
    <xf numFmtId="0" fontId="38" fillId="0" borderId="826" xfId="0" applyFont="1" applyBorder="1" applyAlignment="1">
      <alignment horizontal="left" vertical="center" wrapText="1" indent="1"/>
    </xf>
    <xf numFmtId="0" fontId="24" fillId="4" borderId="829" xfId="0" applyFont="1" applyFill="1" applyBorder="1" applyAlignment="1">
      <alignment horizontal="left" vertical="center" wrapText="1" indent="1"/>
    </xf>
    <xf numFmtId="0" fontId="24" fillId="4" borderId="669" xfId="0" applyFont="1" applyFill="1" applyBorder="1" applyAlignment="1">
      <alignment horizontal="left" vertical="center" wrapText="1" indent="1"/>
    </xf>
    <xf numFmtId="0" fontId="24" fillId="4" borderId="826" xfId="0" applyFont="1" applyFill="1" applyBorder="1" applyAlignment="1">
      <alignment horizontal="left" vertical="center" wrapText="1" indent="1"/>
    </xf>
    <xf numFmtId="1" fontId="56" fillId="0" borderId="737" xfId="0" applyNumberFormat="1" applyFont="1" applyBorder="1" applyAlignment="1">
      <alignment horizontal="center" vertical="center" wrapText="1" indent="1"/>
    </xf>
    <xf numFmtId="1" fontId="56" fillId="0" borderId="662" xfId="0" applyNumberFormat="1" applyFont="1" applyBorder="1" applyAlignment="1">
      <alignment horizontal="center" vertical="center" wrapText="1" indent="1"/>
    </xf>
    <xf numFmtId="1" fontId="56" fillId="0" borderId="770" xfId="0" applyNumberFormat="1" applyFont="1" applyBorder="1" applyAlignment="1">
      <alignment horizontal="center" vertical="center" wrapText="1" indent="1"/>
    </xf>
    <xf numFmtId="0" fontId="24" fillId="0" borderId="810" xfId="0" applyFont="1" applyBorder="1" applyAlignment="1">
      <alignment vertical="center"/>
    </xf>
    <xf numFmtId="0" fontId="24" fillId="0" borderId="801" xfId="0" applyFont="1" applyBorder="1" applyAlignment="1">
      <alignment vertical="center"/>
    </xf>
    <xf numFmtId="0" fontId="24" fillId="0" borderId="813" xfId="0" applyFont="1" applyBorder="1" applyAlignment="1">
      <alignment vertical="center"/>
    </xf>
    <xf numFmtId="1" fontId="56" fillId="0" borderId="674" xfId="0" applyNumberFormat="1" applyFont="1" applyBorder="1" applyAlignment="1">
      <alignment horizontal="center" vertical="center" wrapText="1" indent="1"/>
    </xf>
    <xf numFmtId="0" fontId="24" fillId="0" borderId="815" xfId="0" applyFont="1" applyBorder="1" applyAlignment="1">
      <alignment vertical="center"/>
    </xf>
    <xf numFmtId="0" fontId="24" fillId="0" borderId="801" xfId="0" applyFont="1" applyBorder="1" applyAlignment="1">
      <alignment horizontal="left" vertical="center" wrapText="1"/>
    </xf>
    <xf numFmtId="0" fontId="24" fillId="0" borderId="813" xfId="0" applyFont="1" applyBorder="1" applyAlignment="1">
      <alignment horizontal="left" vertical="center" wrapText="1"/>
    </xf>
    <xf numFmtId="0" fontId="24" fillId="0" borderId="806" xfId="0" applyFont="1" applyBorder="1" applyAlignment="1">
      <alignment horizontal="left" vertical="center" wrapText="1"/>
    </xf>
    <xf numFmtId="0" fontId="24" fillId="0" borderId="738" xfId="0" applyFont="1" applyBorder="1" applyAlignment="1">
      <alignment horizontal="left" vertical="center" wrapText="1" indent="1"/>
    </xf>
    <xf numFmtId="0" fontId="38" fillId="0" borderId="738" xfId="0" applyFont="1" applyBorder="1" applyAlignment="1">
      <alignment horizontal="left" vertical="center" wrapText="1" indent="1"/>
    </xf>
    <xf numFmtId="0" fontId="24" fillId="4" borderId="738" xfId="0" applyFont="1" applyFill="1" applyBorder="1" applyAlignment="1">
      <alignment horizontal="left" vertical="center" wrapText="1" indent="1"/>
    </xf>
    <xf numFmtId="0" fontId="24" fillId="0" borderId="832" xfId="0" applyFont="1" applyBorder="1" applyAlignment="1">
      <alignment horizontal="left" vertical="center" wrapText="1" indent="1"/>
    </xf>
    <xf numFmtId="0" fontId="24" fillId="0" borderId="836" xfId="0" applyFont="1" applyBorder="1" applyAlignment="1">
      <alignment horizontal="left" vertical="center" wrapText="1" indent="1"/>
    </xf>
    <xf numFmtId="0" fontId="24" fillId="0" borderId="828" xfId="0" applyFont="1" applyBorder="1" applyAlignment="1">
      <alignment horizontal="left" vertical="center" wrapText="1" indent="1"/>
    </xf>
    <xf numFmtId="1" fontId="56" fillId="0" borderId="829" xfId="0" applyNumberFormat="1" applyFont="1" applyBorder="1" applyAlignment="1">
      <alignment horizontal="center" vertical="center" wrapText="1" indent="1"/>
    </xf>
    <xf numFmtId="1" fontId="56" fillId="0" borderId="669" xfId="0" applyNumberFormat="1" applyFont="1" applyBorder="1" applyAlignment="1">
      <alignment horizontal="center" vertical="center" wrapText="1" indent="1"/>
    </xf>
    <xf numFmtId="1" fontId="56" fillId="0" borderId="826" xfId="0" applyNumberFormat="1" applyFont="1" applyBorder="1" applyAlignment="1">
      <alignment horizontal="center" vertical="center" wrapText="1" indent="1"/>
    </xf>
    <xf numFmtId="0" fontId="14" fillId="0" borderId="829" xfId="0" applyFont="1" applyBorder="1" applyAlignment="1">
      <alignment horizontal="left" vertical="center" wrapText="1" indent="1"/>
    </xf>
    <xf numFmtId="0" fontId="14" fillId="0" borderId="669" xfId="0" applyFont="1" applyBorder="1" applyAlignment="1">
      <alignment horizontal="left" vertical="center" wrapText="1" indent="1"/>
    </xf>
    <xf numFmtId="0" fontId="14" fillId="0" borderId="826" xfId="0" applyFont="1" applyBorder="1" applyAlignment="1">
      <alignment horizontal="left" vertical="center" wrapText="1" indent="1"/>
    </xf>
    <xf numFmtId="0" fontId="14" fillId="0" borderId="837" xfId="0" applyFont="1" applyBorder="1" applyAlignment="1">
      <alignment horizontal="left" vertical="center" wrapText="1" indent="1"/>
    </xf>
    <xf numFmtId="0" fontId="14" fillId="0" borderId="838" xfId="0" applyFont="1" applyBorder="1" applyAlignment="1">
      <alignment horizontal="left" vertical="center" wrapText="1" indent="1"/>
    </xf>
    <xf numFmtId="0" fontId="14" fillId="0" borderId="839" xfId="0" applyFont="1" applyBorder="1" applyAlignment="1">
      <alignment horizontal="left" vertical="center" wrapText="1" indent="1"/>
    </xf>
    <xf numFmtId="1" fontId="56" fillId="0" borderId="738" xfId="0" applyNumberFormat="1" applyFont="1" applyBorder="1" applyAlignment="1">
      <alignment horizontal="center" vertical="center" wrapText="1" indent="1"/>
    </xf>
    <xf numFmtId="0" fontId="107" fillId="12" borderId="213" xfId="0" applyFont="1" applyFill="1" applyBorder="1" applyAlignment="1">
      <alignment horizontal="center" vertical="center"/>
    </xf>
    <xf numFmtId="0" fontId="107" fillId="12" borderId="706" xfId="0" applyFont="1" applyFill="1" applyBorder="1" applyAlignment="1">
      <alignment horizontal="center" vertical="center"/>
    </xf>
    <xf numFmtId="0" fontId="24" fillId="0" borderId="766" xfId="0" applyFont="1" applyBorder="1" applyAlignment="1">
      <alignment horizontal="center" vertical="center" wrapText="1" indent="1"/>
    </xf>
    <xf numFmtId="0" fontId="24" fillId="0" borderId="761" xfId="0" applyFont="1" applyBorder="1" applyAlignment="1">
      <alignment horizontal="center" vertical="center" wrapText="1" indent="1"/>
    </xf>
    <xf numFmtId="0" fontId="24" fillId="0" borderId="768" xfId="0" applyFont="1" applyBorder="1" applyAlignment="1">
      <alignment horizontal="center" vertical="center" wrapText="1" indent="1"/>
    </xf>
    <xf numFmtId="1" fontId="56" fillId="0" borderId="799" xfId="0" applyNumberFormat="1" applyFont="1" applyBorder="1" applyAlignment="1">
      <alignment horizontal="center" vertical="center" wrapText="1" indent="1"/>
    </xf>
    <xf numFmtId="0" fontId="24" fillId="0" borderId="768" xfId="0" applyFont="1" applyBorder="1" applyAlignment="1">
      <alignment horizontal="left" vertical="center" wrapText="1" indent="1"/>
    </xf>
    <xf numFmtId="0" fontId="24" fillId="0" borderId="801" xfId="0" applyFont="1" applyBorder="1" applyAlignment="1">
      <alignment horizontal="left" vertical="center" wrapText="1" indent="1"/>
    </xf>
    <xf numFmtId="0" fontId="24" fillId="0" borderId="813" xfId="0" applyFont="1" applyBorder="1" applyAlignment="1">
      <alignment horizontal="left" vertical="center" wrapText="1" indent="1"/>
    </xf>
    <xf numFmtId="0" fontId="312" fillId="12" borderId="998" xfId="0" applyFont="1" applyFill="1" applyBorder="1" applyAlignment="1">
      <alignment horizontal="center" vertical="center" textRotation="90" wrapText="1"/>
    </xf>
    <xf numFmtId="0" fontId="38" fillId="0" borderId="804" xfId="0" applyFont="1" applyBorder="1" applyAlignment="1">
      <alignment horizontal="left" vertical="center" wrapText="1" indent="1"/>
    </xf>
    <xf numFmtId="0" fontId="38" fillId="0" borderId="811" xfId="0" applyFont="1" applyBorder="1" applyAlignment="1">
      <alignment horizontal="left" vertical="center" wrapText="1" indent="1"/>
    </xf>
    <xf numFmtId="0" fontId="28" fillId="12" borderId="300" xfId="0" applyFont="1" applyFill="1" applyBorder="1" applyAlignment="1">
      <alignment horizontal="center" vertical="center"/>
    </xf>
    <xf numFmtId="0" fontId="14" fillId="2" borderId="327" xfId="0" applyFont="1" applyFill="1" applyBorder="1" applyAlignment="1">
      <alignment horizontal="left" vertical="center" wrapText="1"/>
    </xf>
    <xf numFmtId="0" fontId="14" fillId="2" borderId="312" xfId="0" applyFont="1" applyFill="1" applyBorder="1" applyAlignment="1">
      <alignment horizontal="left" vertical="center" wrapText="1"/>
    </xf>
    <xf numFmtId="0" fontId="24" fillId="0" borderId="674" xfId="0" applyFont="1" applyBorder="1" applyAlignment="1">
      <alignment horizontal="center" vertical="center" wrapText="1" indent="1"/>
    </xf>
    <xf numFmtId="0" fontId="24" fillId="0" borderId="662" xfId="0" applyFont="1" applyBorder="1" applyAlignment="1">
      <alignment horizontal="center" vertical="center" wrapText="1" indent="1"/>
    </xf>
    <xf numFmtId="0" fontId="24" fillId="0" borderId="738" xfId="0" applyFont="1" applyBorder="1" applyAlignment="1">
      <alignment horizontal="center" vertical="center" wrapText="1" indent="1"/>
    </xf>
    <xf numFmtId="0" fontId="11" fillId="12" borderId="205" xfId="0" applyFont="1" applyFill="1" applyBorder="1" applyAlignment="1">
      <alignment horizontal="left" vertical="center"/>
    </xf>
    <xf numFmtId="0" fontId="11" fillId="12" borderId="937" xfId="0" applyFont="1" applyFill="1" applyBorder="1" applyAlignment="1">
      <alignment horizontal="left" vertical="center"/>
    </xf>
    <xf numFmtId="0" fontId="38" fillId="0" borderId="805" xfId="0" applyFont="1" applyBorder="1" applyAlignment="1">
      <alignment horizontal="left" vertical="center" wrapText="1" indent="1"/>
    </xf>
    <xf numFmtId="1" fontId="56" fillId="4" borderId="737" xfId="0" applyNumberFormat="1" applyFont="1" applyFill="1" applyBorder="1" applyAlignment="1">
      <alignment horizontal="center" vertical="center" wrapText="1" indent="1"/>
    </xf>
    <xf numFmtId="1" fontId="56" fillId="4" borderId="662" xfId="0" applyNumberFormat="1" applyFont="1" applyFill="1" applyBorder="1" applyAlignment="1">
      <alignment horizontal="center" vertical="center" wrapText="1" indent="1"/>
    </xf>
    <xf numFmtId="1" fontId="56" fillId="4" borderId="738" xfId="0" applyNumberFormat="1" applyFont="1" applyFill="1" applyBorder="1" applyAlignment="1">
      <alignment horizontal="center" vertical="center" wrapText="1" indent="1"/>
    </xf>
    <xf numFmtId="0" fontId="24" fillId="0" borderId="806" xfId="0" applyFont="1" applyBorder="1" applyAlignment="1">
      <alignment vertical="center"/>
    </xf>
    <xf numFmtId="0" fontId="14" fillId="0" borderId="766" xfId="0" applyFont="1" applyBorder="1" applyAlignment="1">
      <alignment horizontal="left" vertical="center" wrapText="1" indent="1"/>
    </xf>
    <xf numFmtId="0" fontId="14" fillId="0" borderId="761" xfId="0" applyFont="1" applyBorder="1" applyAlignment="1">
      <alignment horizontal="left" vertical="center" wrapText="1" indent="1"/>
    </xf>
    <xf numFmtId="0" fontId="14" fillId="0" borderId="768" xfId="0" applyFont="1" applyBorder="1" applyAlignment="1">
      <alignment horizontal="left" vertical="center" wrapText="1" indent="1"/>
    </xf>
    <xf numFmtId="0" fontId="14" fillId="0" borderId="771" xfId="0" applyFont="1" applyBorder="1" applyAlignment="1">
      <alignment horizontal="left" vertical="center" wrapText="1" indent="1"/>
    </xf>
    <xf numFmtId="0" fontId="14" fillId="0" borderId="674" xfId="0" applyFont="1" applyBorder="1" applyAlignment="1">
      <alignment horizontal="left" vertical="center" wrapText="1" indent="1"/>
    </xf>
    <xf numFmtId="0" fontId="14" fillId="0" borderId="662" xfId="0" applyFont="1" applyBorder="1" applyAlignment="1">
      <alignment horizontal="left" vertical="center" wrapText="1" indent="1"/>
    </xf>
    <xf numFmtId="0" fontId="14" fillId="0" borderId="770" xfId="0" applyFont="1" applyBorder="1" applyAlignment="1">
      <alignment horizontal="left" vertical="center" wrapText="1" indent="1"/>
    </xf>
    <xf numFmtId="0" fontId="14" fillId="0" borderId="738" xfId="0" applyFont="1" applyBorder="1" applyAlignment="1">
      <alignment horizontal="left" vertical="center" wrapText="1" indent="1"/>
    </xf>
    <xf numFmtId="0" fontId="312" fillId="12" borderId="344" xfId="0" applyFont="1" applyFill="1" applyBorder="1" applyAlignment="1">
      <alignment horizontal="center" vertical="center" textRotation="90" wrapText="1"/>
    </xf>
    <xf numFmtId="0" fontId="312" fillId="12" borderId="236" xfId="0" applyFont="1" applyFill="1" applyBorder="1" applyAlignment="1">
      <alignment horizontal="center" vertical="center" textRotation="90" wrapText="1"/>
    </xf>
    <xf numFmtId="0" fontId="9" fillId="9" borderId="821" xfId="0" applyFont="1" applyFill="1" applyBorder="1" applyAlignment="1">
      <alignment horizontal="center" vertical="center" wrapText="1"/>
    </xf>
    <xf numFmtId="0" fontId="9" fillId="9" borderId="822" xfId="0" applyFont="1" applyFill="1" applyBorder="1" applyAlignment="1">
      <alignment horizontal="center" vertical="center" wrapText="1"/>
    </xf>
    <xf numFmtId="0" fontId="312" fillId="2" borderId="1001" xfId="0" applyFont="1" applyFill="1" applyBorder="1" applyAlignment="1">
      <alignment horizontal="center" vertical="center" textRotation="90" wrapText="1"/>
    </xf>
    <xf numFmtId="0" fontId="14" fillId="0" borderId="673" xfId="0" applyFont="1" applyBorder="1" applyAlignment="1">
      <alignment horizontal="left" vertical="center" wrapText="1" indent="1"/>
    </xf>
    <xf numFmtId="0" fontId="68" fillId="12" borderId="205" xfId="0" applyFont="1" applyFill="1" applyBorder="1" applyAlignment="1">
      <alignment horizontal="left" vertical="center" indent="1"/>
    </xf>
    <xf numFmtId="0" fontId="68" fillId="12" borderId="937" xfId="0" applyFont="1" applyFill="1" applyBorder="1" applyAlignment="1">
      <alignment horizontal="left" vertical="center" indent="1"/>
    </xf>
    <xf numFmtId="0" fontId="38" fillId="0" borderId="813" xfId="0" applyFont="1" applyBorder="1" applyAlignment="1">
      <alignment horizontal="left" vertical="center" wrapText="1" indent="1"/>
    </xf>
    <xf numFmtId="0" fontId="38" fillId="0" borderId="806" xfId="0" applyFont="1" applyBorder="1" applyAlignment="1">
      <alignment horizontal="left" vertical="center" wrapText="1" indent="1"/>
    </xf>
    <xf numFmtId="0" fontId="24" fillId="0" borderId="806" xfId="0" applyFont="1" applyBorder="1" applyAlignment="1">
      <alignment horizontal="left" vertical="center" wrapText="1" indent="1"/>
    </xf>
    <xf numFmtId="168" fontId="11" fillId="0" borderId="815" xfId="0" applyNumberFormat="1" applyFont="1" applyBorder="1" applyAlignment="1">
      <alignment horizontal="left" vertical="center" wrapText="1" indent="1"/>
    </xf>
    <xf numFmtId="168" fontId="11" fillId="0" borderId="801" xfId="0" applyNumberFormat="1" applyFont="1" applyBorder="1" applyAlignment="1">
      <alignment horizontal="left" vertical="center" wrapText="1" indent="1"/>
    </xf>
    <xf numFmtId="168" fontId="11" fillId="0" borderId="806" xfId="0" applyNumberFormat="1" applyFont="1" applyBorder="1" applyAlignment="1">
      <alignment horizontal="left" vertical="center" wrapText="1" indent="1"/>
    </xf>
    <xf numFmtId="0" fontId="75" fillId="0" borderId="810" xfId="0" applyFont="1" applyBorder="1" applyAlignment="1">
      <alignment horizontal="left" vertical="center" wrapText="1" indent="1"/>
    </xf>
    <xf numFmtId="0" fontId="75" fillId="0" borderId="801" xfId="0" applyFont="1" applyBorder="1" applyAlignment="1">
      <alignment horizontal="left" vertical="center" wrapText="1" indent="1"/>
    </xf>
    <xf numFmtId="0" fontId="75" fillId="0" borderId="806" xfId="0" applyFont="1" applyBorder="1" applyAlignment="1">
      <alignment horizontal="left" vertical="center" wrapText="1" indent="1"/>
    </xf>
    <xf numFmtId="0" fontId="107" fillId="12" borderId="1021" xfId="0" applyFont="1" applyFill="1" applyBorder="1" applyAlignment="1">
      <alignment horizontal="center" vertical="center"/>
    </xf>
    <xf numFmtId="0" fontId="107" fillId="12" borderId="1022" xfId="0" applyFont="1" applyFill="1" applyBorder="1" applyAlignment="1">
      <alignment horizontal="center" vertical="center"/>
    </xf>
    <xf numFmtId="0" fontId="107" fillId="12" borderId="206" xfId="0" applyFont="1" applyFill="1" applyBorder="1" applyAlignment="1">
      <alignment horizontal="center" vertical="center"/>
    </xf>
    <xf numFmtId="0" fontId="107" fillId="12" borderId="1023" xfId="0" applyFont="1" applyFill="1" applyBorder="1" applyAlignment="1">
      <alignment horizontal="center" vertical="center"/>
    </xf>
    <xf numFmtId="0" fontId="38" fillId="4" borderId="815" xfId="0" applyFont="1" applyFill="1" applyBorder="1" applyAlignment="1">
      <alignment horizontal="left" vertical="center" wrapText="1" indent="1"/>
    </xf>
    <xf numFmtId="0" fontId="38" fillId="4" borderId="801" xfId="0" applyFont="1" applyFill="1" applyBorder="1" applyAlignment="1">
      <alignment horizontal="left" vertical="center" wrapText="1"/>
    </xf>
    <xf numFmtId="0" fontId="38" fillId="4" borderId="806" xfId="0" applyFont="1" applyFill="1" applyBorder="1" applyAlignment="1">
      <alignment horizontal="left" vertical="center" wrapText="1"/>
    </xf>
    <xf numFmtId="0" fontId="107" fillId="12" borderId="344" xfId="0" applyFont="1" applyFill="1" applyBorder="1" applyAlignment="1">
      <alignment horizontal="center" vertical="center"/>
    </xf>
    <xf numFmtId="0" fontId="107" fillId="12" borderId="310" xfId="0" applyFont="1" applyFill="1" applyBorder="1" applyAlignment="1">
      <alignment horizontal="center" vertical="center"/>
    </xf>
    <xf numFmtId="0" fontId="24" fillId="4" borderId="815" xfId="0" applyFont="1" applyFill="1" applyBorder="1" applyAlignment="1">
      <alignment horizontal="left" vertical="center" wrapText="1"/>
    </xf>
    <xf numFmtId="0" fontId="24" fillId="4" borderId="801" xfId="0" applyFont="1" applyFill="1" applyBorder="1" applyAlignment="1">
      <alignment horizontal="left" vertical="center" wrapText="1"/>
    </xf>
    <xf numFmtId="0" fontId="24" fillId="4" borderId="806" xfId="0" applyFont="1" applyFill="1" applyBorder="1" applyAlignment="1">
      <alignment horizontal="left" vertical="center" wrapText="1"/>
    </xf>
    <xf numFmtId="0" fontId="38" fillId="4" borderId="810" xfId="0" applyFont="1" applyFill="1" applyBorder="1" applyAlignment="1">
      <alignment horizontal="left" vertical="center" wrapText="1" indent="1"/>
    </xf>
    <xf numFmtId="0" fontId="38" fillId="4" borderId="801" xfId="0" applyFont="1" applyFill="1" applyBorder="1" applyAlignment="1">
      <alignment horizontal="left" vertical="center" wrapText="1" indent="1"/>
    </xf>
    <xf numFmtId="0" fontId="38" fillId="4" borderId="806" xfId="0" applyFont="1" applyFill="1" applyBorder="1" applyAlignment="1">
      <alignment horizontal="left" vertical="center" wrapText="1" indent="1"/>
    </xf>
    <xf numFmtId="0" fontId="38" fillId="4" borderId="813" xfId="0" applyFont="1" applyFill="1" applyBorder="1" applyAlignment="1">
      <alignment horizontal="left" vertical="center" wrapText="1" indent="1"/>
    </xf>
    <xf numFmtId="0" fontId="9" fillId="11" borderId="507" xfId="0" applyFont="1" applyFill="1" applyBorder="1" applyAlignment="1">
      <alignment horizontal="center" vertical="center" wrapText="1"/>
    </xf>
    <xf numFmtId="0" fontId="11" fillId="17" borderId="815" xfId="0" applyFont="1" applyFill="1" applyBorder="1" applyAlignment="1">
      <alignment horizontal="left" vertical="center" wrapText="1" indent="1"/>
    </xf>
    <xf numFmtId="0" fontId="11" fillId="17" borderId="801" xfId="0" applyFont="1" applyFill="1" applyBorder="1" applyAlignment="1">
      <alignment horizontal="left" vertical="center" wrapText="1" indent="1"/>
    </xf>
    <xf numFmtId="0" fontId="11" fillId="17" borderId="813" xfId="0" applyFont="1" applyFill="1" applyBorder="1" applyAlignment="1">
      <alignment horizontal="left" vertical="center" wrapText="1" indent="1"/>
    </xf>
    <xf numFmtId="0" fontId="38" fillId="17" borderId="810" xfId="0" applyFont="1" applyFill="1" applyBorder="1" applyAlignment="1">
      <alignment horizontal="left" vertical="center" wrapText="1" indent="1"/>
    </xf>
    <xf numFmtId="0" fontId="38" fillId="17" borderId="801" xfId="0" applyFont="1" applyFill="1" applyBorder="1" applyAlignment="1">
      <alignment horizontal="left" vertical="center" wrapText="1" indent="1"/>
    </xf>
    <xf numFmtId="0" fontId="38" fillId="17" borderId="806" xfId="0" applyFont="1" applyFill="1" applyBorder="1" applyAlignment="1">
      <alignment horizontal="left" vertical="center" wrapText="1" indent="1"/>
    </xf>
    <xf numFmtId="0" fontId="71" fillId="7" borderId="824" xfId="0" applyFont="1" applyFill="1" applyBorder="1" applyAlignment="1">
      <alignment horizontal="center" vertical="center" wrapText="1"/>
    </xf>
    <xf numFmtId="0" fontId="15" fillId="0" borderId="662" xfId="0" applyFont="1" applyBorder="1" applyAlignment="1">
      <alignment indent="1"/>
    </xf>
    <xf numFmtId="0" fontId="15" fillId="0" borderId="738" xfId="0" applyFont="1" applyBorder="1" applyAlignment="1">
      <alignment indent="1"/>
    </xf>
    <xf numFmtId="0" fontId="15" fillId="0" borderId="770" xfId="0" applyFont="1" applyBorder="1" applyAlignment="1">
      <alignment indent="1"/>
    </xf>
    <xf numFmtId="0" fontId="15" fillId="0" borderId="804" xfId="0" applyFont="1" applyBorder="1" applyAlignment="1">
      <alignment indent="1"/>
    </xf>
    <xf numFmtId="0" fontId="15" fillId="0" borderId="805" xfId="0" applyFont="1" applyBorder="1" applyAlignment="1">
      <alignment indent="1"/>
    </xf>
    <xf numFmtId="0" fontId="15" fillId="0" borderId="811" xfId="0" applyFont="1" applyBorder="1" applyAlignment="1">
      <alignment indent="1"/>
    </xf>
    <xf numFmtId="0" fontId="312" fillId="52" borderId="228" xfId="0" applyFont="1" applyFill="1" applyBorder="1" applyAlignment="1">
      <alignment horizontal="center" vertical="center" textRotation="90" wrapText="1"/>
    </xf>
    <xf numFmtId="0" fontId="313" fillId="29" borderId="384" xfId="0" applyFont="1" applyFill="1" applyBorder="1" applyAlignment="1"/>
    <xf numFmtId="0" fontId="313" fillId="29" borderId="361" xfId="0" applyFont="1" applyFill="1" applyBorder="1" applyAlignment="1"/>
    <xf numFmtId="0" fontId="312" fillId="52" borderId="360" xfId="0" applyFont="1" applyFill="1" applyBorder="1" applyAlignment="1">
      <alignment horizontal="center" vertical="center" textRotation="90" wrapText="1"/>
    </xf>
    <xf numFmtId="1" fontId="56" fillId="0" borderId="674" xfId="0" applyNumberFormat="1" applyFont="1" applyBorder="1" applyAlignment="1">
      <alignment horizontal="center" vertical="center" wrapText="1"/>
    </xf>
    <xf numFmtId="0" fontId="109" fillId="0" borderId="662" xfId="0" applyFont="1" applyBorder="1" applyAlignment="1"/>
    <xf numFmtId="0" fontId="109" fillId="0" borderId="770" xfId="0" applyFont="1" applyBorder="1" applyAlignment="1"/>
    <xf numFmtId="0" fontId="11" fillId="52" borderId="918" xfId="0" applyFont="1" applyFill="1" applyBorder="1" applyAlignment="1">
      <alignment vertical="center" wrapText="1"/>
    </xf>
    <xf numFmtId="0" fontId="138" fillId="29" borderId="918" xfId="0" applyFont="1" applyFill="1" applyBorder="1" applyAlignment="1"/>
    <xf numFmtId="0" fontId="138" fillId="29" borderId="1018" xfId="0" applyFont="1" applyFill="1" applyBorder="1" applyAlignment="1"/>
    <xf numFmtId="0" fontId="15" fillId="0" borderId="761" xfId="0" applyFont="1" applyBorder="1" applyAlignment="1">
      <alignment indent="1"/>
    </xf>
    <xf numFmtId="0" fontId="15" fillId="0" borderId="771" xfId="0" applyFont="1" applyBorder="1" applyAlignment="1">
      <alignment indent="1"/>
    </xf>
    <xf numFmtId="0" fontId="109" fillId="0" borderId="738" xfId="0" applyFont="1" applyBorder="1" applyAlignment="1"/>
    <xf numFmtId="0" fontId="15" fillId="0" borderId="768" xfId="0" applyFont="1" applyBorder="1" applyAlignment="1">
      <alignment indent="1"/>
    </xf>
    <xf numFmtId="1" fontId="56" fillId="0" borderId="737" xfId="0" applyNumberFormat="1" applyFont="1" applyBorder="1" applyAlignment="1">
      <alignment horizontal="center" vertical="center" wrapText="1"/>
    </xf>
    <xf numFmtId="0" fontId="14" fillId="4" borderId="737" xfId="0" applyFont="1" applyFill="1" applyBorder="1" applyAlignment="1">
      <alignment horizontal="left" vertical="center" wrapText="1" indent="1"/>
    </xf>
    <xf numFmtId="0" fontId="15" fillId="0" borderId="801" xfId="0" applyFont="1" applyBorder="1" applyAlignment="1">
      <alignment indent="1"/>
    </xf>
    <xf numFmtId="0" fontId="15" fillId="0" borderId="813" xfId="0" applyFont="1" applyBorder="1" applyAlignment="1">
      <alignment indent="1"/>
    </xf>
    <xf numFmtId="0" fontId="15" fillId="0" borderId="806" xfId="0" applyFont="1" applyBorder="1" applyAlignment="1">
      <alignment indent="1"/>
    </xf>
    <xf numFmtId="4" fontId="35" fillId="52" borderId="921" xfId="0" applyNumberFormat="1" applyFont="1" applyFill="1" applyBorder="1" applyAlignment="1">
      <alignment horizontal="left" vertical="center" wrapText="1" indent="1"/>
    </xf>
    <xf numFmtId="0" fontId="104" fillId="29" borderId="918" xfId="0" applyFont="1" applyFill="1" applyBorder="1" applyAlignment="1">
      <alignment horizontal="left" indent="1"/>
    </xf>
    <xf numFmtId="4" fontId="11" fillId="52" borderId="918" xfId="0" applyNumberFormat="1" applyFont="1" applyFill="1" applyBorder="1" applyAlignment="1">
      <alignment horizontal="center" vertical="center" wrapText="1"/>
    </xf>
    <xf numFmtId="0" fontId="138" fillId="29" borderId="922" xfId="0" applyFont="1" applyFill="1" applyBorder="1" applyAlignment="1"/>
    <xf numFmtId="4" fontId="12" fillId="2" borderId="327" xfId="0" applyNumberFormat="1" applyFont="1" applyFill="1" applyBorder="1" applyAlignment="1">
      <alignment horizontal="center" vertical="center" wrapText="1"/>
    </xf>
    <xf numFmtId="0" fontId="312" fillId="52" borderId="552" xfId="0" applyFont="1" applyFill="1" applyBorder="1" applyAlignment="1">
      <alignment horizontal="center" vertical="center" textRotation="90" wrapText="1"/>
    </xf>
    <xf numFmtId="0" fontId="313" fillId="29" borderId="553" xfId="0" applyFont="1" applyFill="1" applyBorder="1" applyAlignment="1"/>
    <xf numFmtId="0" fontId="313" fillId="29" borderId="864" xfId="0" applyFont="1" applyFill="1" applyBorder="1" applyAlignment="1"/>
    <xf numFmtId="0" fontId="87" fillId="29" borderId="918" xfId="0" applyFont="1" applyFill="1" applyBorder="1" applyAlignment="1">
      <alignment horizontal="left" indent="1"/>
    </xf>
    <xf numFmtId="0" fontId="104" fillId="29" borderId="919" xfId="0" applyFont="1" applyFill="1" applyBorder="1" applyAlignment="1">
      <alignment horizontal="left" indent="1"/>
    </xf>
    <xf numFmtId="0" fontId="14" fillId="0" borderId="737" xfId="0" applyFont="1" applyBorder="1" applyAlignment="1">
      <alignment horizontal="left" vertical="center" wrapText="1" indent="1"/>
    </xf>
    <xf numFmtId="0" fontId="24" fillId="17" borderId="810" xfId="0" applyFont="1" applyFill="1" applyBorder="1" applyAlignment="1">
      <alignment horizontal="left" vertical="center" wrapText="1" indent="1"/>
    </xf>
    <xf numFmtId="0" fontId="15" fillId="17" borderId="801" xfId="0" applyFont="1" applyFill="1" applyBorder="1" applyAlignment="1">
      <alignment indent="1"/>
    </xf>
    <xf numFmtId="0" fontId="15" fillId="17" borderId="806" xfId="0" applyFont="1" applyFill="1" applyBorder="1" applyAlignment="1">
      <alignment indent="1"/>
    </xf>
    <xf numFmtId="2" fontId="56" fillId="0" borderId="737" xfId="0" applyNumberFormat="1" applyFont="1" applyBorder="1" applyAlignment="1">
      <alignment horizontal="center" vertical="center" wrapText="1"/>
    </xf>
    <xf numFmtId="2" fontId="56" fillId="0" borderId="674" xfId="0" applyNumberFormat="1" applyFont="1" applyBorder="1" applyAlignment="1">
      <alignment horizontal="center" vertical="center" wrapText="1"/>
    </xf>
    <xf numFmtId="0" fontId="24" fillId="17" borderId="815" xfId="0" applyFont="1" applyFill="1" applyBorder="1" applyAlignment="1">
      <alignment horizontal="left" vertical="center" wrapText="1" indent="1"/>
    </xf>
    <xf numFmtId="0" fontId="15" fillId="17" borderId="813" xfId="0" applyFont="1" applyFill="1" applyBorder="1" applyAlignment="1">
      <alignment indent="1"/>
    </xf>
    <xf numFmtId="0" fontId="35" fillId="52" borderId="918" xfId="0" applyFont="1" applyFill="1" applyBorder="1" applyAlignment="1">
      <alignment vertical="center" wrapText="1"/>
    </xf>
    <xf numFmtId="0" fontId="104" fillId="29" borderId="918" xfId="0" applyFont="1" applyFill="1" applyBorder="1" applyAlignment="1"/>
    <xf numFmtId="0" fontId="104" fillId="29" borderId="919" xfId="0" applyFont="1" applyFill="1" applyBorder="1" applyAlignment="1"/>
    <xf numFmtId="0" fontId="24" fillId="4" borderId="815" xfId="0" applyFont="1" applyFill="1" applyBorder="1" applyAlignment="1">
      <alignment horizontal="left" vertical="center" wrapText="1" indent="1"/>
    </xf>
    <xf numFmtId="0" fontId="24" fillId="4" borderId="810" xfId="0" applyFont="1" applyFill="1" applyBorder="1" applyAlignment="1">
      <alignment horizontal="left" vertical="center" wrapText="1" indent="1"/>
    </xf>
    <xf numFmtId="0" fontId="313" fillId="29" borderId="359" xfId="0" applyFont="1" applyFill="1" applyBorder="1" applyAlignment="1"/>
    <xf numFmtId="0" fontId="14" fillId="0" borderId="810" xfId="0" applyFont="1" applyBorder="1" applyAlignment="1">
      <alignment horizontal="left" vertical="center" wrapText="1" indent="1"/>
    </xf>
    <xf numFmtId="0" fontId="24" fillId="0" borderId="810" xfId="0" applyFont="1" applyBorder="1" applyAlignment="1">
      <alignment horizontal="center" vertical="center" indent="1"/>
    </xf>
    <xf numFmtId="1" fontId="56" fillId="0" borderId="799" xfId="0" applyNumberFormat="1" applyFont="1" applyBorder="1" applyAlignment="1">
      <alignment horizontal="center" vertical="center" wrapText="1"/>
    </xf>
    <xf numFmtId="0" fontId="68" fillId="52" borderId="918" xfId="0" applyFont="1" applyFill="1" applyBorder="1" applyAlignment="1">
      <alignment vertical="center" wrapText="1"/>
    </xf>
    <xf numFmtId="0" fontId="99" fillId="29" borderId="918" xfId="0" applyFont="1" applyFill="1" applyBorder="1" applyAlignment="1"/>
    <xf numFmtId="0" fontId="99" fillId="29" borderId="1018" xfId="0" applyFont="1" applyFill="1" applyBorder="1" applyAlignment="1"/>
    <xf numFmtId="0" fontId="104" fillId="29" borderId="1018" xfId="0" applyFont="1" applyFill="1" applyBorder="1" applyAlignment="1"/>
    <xf numFmtId="4" fontId="35" fillId="52" borderId="917" xfId="0" applyNumberFormat="1" applyFont="1" applyFill="1" applyBorder="1" applyAlignment="1">
      <alignment horizontal="center" vertical="center" wrapText="1"/>
    </xf>
    <xf numFmtId="0" fontId="87" fillId="29" borderId="918" xfId="0" applyFont="1" applyFill="1" applyBorder="1" applyAlignment="1"/>
    <xf numFmtId="0" fontId="104" fillId="29" borderId="922" xfId="0" applyFont="1" applyFill="1" applyBorder="1" applyAlignment="1"/>
    <xf numFmtId="0" fontId="101" fillId="29" borderId="918" xfId="0" applyFont="1" applyFill="1" applyBorder="1" applyAlignment="1">
      <alignment horizontal="left" indent="1"/>
    </xf>
    <xf numFmtId="0" fontId="99" fillId="29" borderId="919" xfId="0" applyFont="1" applyFill="1" applyBorder="1" applyAlignment="1">
      <alignment horizontal="left" indent="1"/>
    </xf>
    <xf numFmtId="0" fontId="101" fillId="29" borderId="918" xfId="0" applyFont="1" applyFill="1" applyBorder="1" applyAlignment="1"/>
    <xf numFmtId="0" fontId="99" fillId="29" borderId="922" xfId="0" applyFont="1" applyFill="1" applyBorder="1" applyAlignment="1"/>
    <xf numFmtId="0" fontId="87" fillId="29" borderId="918" xfId="0" applyFont="1" applyFill="1" applyBorder="1" applyAlignment="1">
      <alignment indent="1"/>
    </xf>
    <xf numFmtId="0" fontId="104" fillId="29" borderId="919" xfId="0" applyFont="1" applyFill="1" applyBorder="1" applyAlignment="1">
      <alignment indent="1"/>
    </xf>
    <xf numFmtId="0" fontId="207" fillId="0" borderId="215" xfId="3" applyFont="1" applyBorder="1" applyAlignment="1" applyProtection="1">
      <alignment horizontal="center" vertical="center" indent="1"/>
      <protection locked="0"/>
    </xf>
    <xf numFmtId="0" fontId="207" fillId="0" borderId="358" xfId="3" applyFont="1" applyBorder="1" applyAlignment="1" applyProtection="1">
      <alignment horizontal="center" vertical="center" indent="1"/>
      <protection locked="0"/>
    </xf>
    <xf numFmtId="0" fontId="207" fillId="0" borderId="46" xfId="3" applyFont="1" applyBorder="1" applyAlignment="1" applyProtection="1">
      <alignment horizontal="center" vertical="center" indent="1"/>
      <protection locked="0"/>
    </xf>
    <xf numFmtId="0" fontId="207" fillId="0" borderId="384" xfId="0" applyFont="1" applyBorder="1" applyAlignment="1">
      <alignment horizontal="center" vertical="center" indent="1"/>
    </xf>
    <xf numFmtId="0" fontId="207" fillId="0" borderId="344" xfId="0" applyFont="1" applyBorder="1" applyAlignment="1">
      <alignment horizontal="center" vertical="center" indent="1"/>
    </xf>
    <xf numFmtId="0" fontId="207" fillId="0" borderId="310" xfId="0" applyFont="1" applyBorder="1" applyAlignment="1">
      <alignment horizontal="center" vertical="center" indent="1"/>
    </xf>
    <xf numFmtId="0" fontId="94" fillId="15" borderId="884" xfId="7" applyFont="1" applyFill="1" applyBorder="1" applyAlignment="1" applyProtection="1">
      <alignment horizontal="center" vertical="center" wrapText="1"/>
      <protection locked="0"/>
    </xf>
    <xf numFmtId="0" fontId="96" fillId="0" borderId="423" xfId="8" applyFont="1" applyBorder="1" applyAlignment="1">
      <alignment horizontal="left" vertical="center" wrapText="1" indent="1"/>
    </xf>
    <xf numFmtId="0" fontId="96" fillId="0" borderId="414" xfId="8" applyFont="1" applyBorder="1" applyAlignment="1">
      <alignment horizontal="left" vertical="center" wrapText="1" indent="1"/>
    </xf>
    <xf numFmtId="0" fontId="95" fillId="0" borderId="431" xfId="8" applyFont="1" applyBorder="1" applyAlignment="1">
      <alignment horizontal="left" vertical="center" wrapText="1" indent="1"/>
    </xf>
    <xf numFmtId="0" fontId="95" fillId="0" borderId="437" xfId="8" applyFont="1" applyBorder="1" applyAlignment="1">
      <alignment horizontal="left" vertical="center" wrapText="1" indent="1"/>
    </xf>
    <xf numFmtId="0" fontId="95" fillId="0" borderId="439" xfId="8" applyFont="1" applyBorder="1" applyAlignment="1">
      <alignment horizontal="left" vertical="center" wrapText="1" indent="1"/>
    </xf>
    <xf numFmtId="0" fontId="96" fillId="0" borderId="432" xfId="8" applyFont="1" applyBorder="1" applyAlignment="1">
      <alignment horizontal="left" vertical="center" wrapText="1" indent="1"/>
    </xf>
    <xf numFmtId="0" fontId="96" fillId="0" borderId="422" xfId="6" applyFont="1" applyBorder="1" applyAlignment="1">
      <alignment horizontal="left" vertical="center" wrapText="1" indent="1"/>
    </xf>
    <xf numFmtId="0" fontId="96" fillId="0" borderId="423" xfId="6" applyFont="1" applyBorder="1" applyAlignment="1">
      <alignment horizontal="left" vertical="center" wrapText="1" indent="1"/>
    </xf>
    <xf numFmtId="0" fontId="96" fillId="0" borderId="414" xfId="6" applyFont="1" applyBorder="1" applyAlignment="1">
      <alignment horizontal="left" vertical="center" wrapText="1" indent="1"/>
    </xf>
    <xf numFmtId="1" fontId="98" fillId="0" borderId="422" xfId="8" applyNumberFormat="1" applyFont="1" applyBorder="1" applyAlignment="1">
      <alignment horizontal="center" vertical="center" wrapText="1"/>
    </xf>
    <xf numFmtId="1" fontId="98" fillId="0" borderId="423" xfId="8" applyNumberFormat="1" applyFont="1" applyBorder="1" applyAlignment="1">
      <alignment horizontal="center" vertical="center" wrapText="1"/>
    </xf>
    <xf numFmtId="1" fontId="98" fillId="0" borderId="414" xfId="8" applyNumberFormat="1" applyFont="1" applyBorder="1" applyAlignment="1">
      <alignment horizontal="center" vertical="center" wrapText="1"/>
    </xf>
    <xf numFmtId="0" fontId="96" fillId="0" borderId="472" xfId="6" applyFont="1" applyBorder="1" applyAlignment="1">
      <alignment horizontal="left" vertical="center" wrapText="1" indent="1"/>
    </xf>
    <xf numFmtId="0" fontId="96" fillId="0" borderId="473" xfId="6" applyFont="1" applyBorder="1" applyAlignment="1">
      <alignment horizontal="left" vertical="center" wrapText="1" indent="1"/>
    </xf>
    <xf numFmtId="0" fontId="96" fillId="0" borderId="422" xfId="8" applyFont="1" applyBorder="1" applyAlignment="1">
      <alignment horizontal="left" vertical="center" wrapText="1" indent="1"/>
    </xf>
    <xf numFmtId="0" fontId="95" fillId="0" borderId="422" xfId="8" applyFont="1" applyBorder="1" applyAlignment="1">
      <alignment horizontal="left" vertical="center" wrapText="1" indent="1"/>
    </xf>
    <xf numFmtId="0" fontId="95" fillId="0" borderId="423" xfId="8" applyFont="1" applyBorder="1" applyAlignment="1">
      <alignment horizontal="left" vertical="center" wrapText="1" indent="1"/>
    </xf>
    <xf numFmtId="0" fontId="95" fillId="0" borderId="414" xfId="8" applyFont="1" applyBorder="1" applyAlignment="1">
      <alignment horizontal="left" vertical="center" wrapText="1" indent="1"/>
    </xf>
    <xf numFmtId="1" fontId="98" fillId="0" borderId="432" xfId="8" applyNumberFormat="1" applyFont="1" applyBorder="1" applyAlignment="1">
      <alignment horizontal="center" vertical="center" wrapText="1"/>
    </xf>
    <xf numFmtId="0" fontId="96" fillId="0" borderId="432" xfId="6" applyFont="1" applyBorder="1" applyAlignment="1">
      <alignment horizontal="left" vertical="center" wrapText="1" indent="1"/>
    </xf>
    <xf numFmtId="0" fontId="95" fillId="0" borderId="443" xfId="8" applyFont="1" applyBorder="1" applyAlignment="1">
      <alignment horizontal="left" vertical="center" wrapText="1" indent="1"/>
    </xf>
    <xf numFmtId="0" fontId="96" fillId="0" borderId="474" xfId="6" applyFont="1" applyBorder="1" applyAlignment="1">
      <alignment horizontal="left" vertical="center" wrapText="1" indent="1"/>
    </xf>
    <xf numFmtId="0" fontId="96" fillId="0" borderId="438" xfId="6" applyFont="1" applyBorder="1" applyAlignment="1">
      <alignment horizontal="left" vertical="center" wrapText="1" indent="1"/>
    </xf>
    <xf numFmtId="0" fontId="96" fillId="0" borderId="440" xfId="6" applyFont="1" applyBorder="1" applyAlignment="1">
      <alignment horizontal="left" vertical="center" wrapText="1" indent="1"/>
    </xf>
    <xf numFmtId="0" fontId="95" fillId="0" borderId="432" xfId="8" applyFont="1" applyBorder="1" applyAlignment="1">
      <alignment horizontal="left" vertical="center" wrapText="1" indent="1"/>
    </xf>
    <xf numFmtId="0" fontId="96" fillId="0" borderId="433" xfId="8" applyFont="1" applyBorder="1" applyAlignment="1">
      <alignment horizontal="left" vertical="center" wrapText="1" indent="1"/>
    </xf>
    <xf numFmtId="0" fontId="96" fillId="0" borderId="438" xfId="8" applyFont="1" applyBorder="1" applyAlignment="1">
      <alignment horizontal="left" vertical="center" wrapText="1" indent="1"/>
    </xf>
    <xf numFmtId="0" fontId="96" fillId="0" borderId="440" xfId="8" applyFont="1" applyBorder="1" applyAlignment="1">
      <alignment horizontal="left" vertical="center" wrapText="1" indent="1"/>
    </xf>
    <xf numFmtId="0" fontId="96" fillId="0" borderId="408" xfId="8" applyFont="1" applyBorder="1" applyAlignment="1">
      <alignment horizontal="left" vertical="center" wrapText="1" indent="1"/>
    </xf>
    <xf numFmtId="0" fontId="95" fillId="0" borderId="407" xfId="8" applyFont="1" applyBorder="1" applyAlignment="1">
      <alignment horizontal="left" vertical="center" wrapText="1" indent="1"/>
    </xf>
    <xf numFmtId="1" fontId="54" fillId="0" borderId="422" xfId="1" applyNumberFormat="1" applyFont="1" applyFill="1" applyBorder="1" applyAlignment="1">
      <alignment horizontal="center" vertical="center" wrapText="1"/>
    </xf>
    <xf numFmtId="1" fontId="54" fillId="0" borderId="423" xfId="1" applyNumberFormat="1" applyFont="1" applyFill="1" applyBorder="1" applyAlignment="1">
      <alignment horizontal="center" vertical="center" wrapText="1"/>
    </xf>
    <xf numFmtId="1" fontId="54" fillId="0" borderId="414" xfId="1" applyNumberFormat="1" applyFont="1" applyFill="1" applyBorder="1" applyAlignment="1">
      <alignment horizontal="center" vertical="center" wrapText="1"/>
    </xf>
    <xf numFmtId="1" fontId="54" fillId="0" borderId="408" xfId="1" applyNumberFormat="1" applyFont="1" applyFill="1" applyBorder="1" applyAlignment="1">
      <alignment horizontal="center" vertical="center" wrapText="1"/>
    </xf>
    <xf numFmtId="0" fontId="96" fillId="0" borderId="408" xfId="6" applyFont="1" applyBorder="1" applyAlignment="1">
      <alignment horizontal="left" vertical="center" wrapText="1" indent="1"/>
    </xf>
    <xf numFmtId="0" fontId="96" fillId="0" borderId="409" xfId="6" applyFont="1" applyBorder="1" applyAlignment="1">
      <alignment horizontal="left" vertical="center" wrapText="1" indent="1"/>
    </xf>
    <xf numFmtId="0" fontId="38" fillId="0" borderId="455" xfId="0" applyFont="1" applyBorder="1" applyAlignment="1">
      <alignment horizontal="left" vertical="center" wrapText="1" indent="1"/>
    </xf>
    <xf numFmtId="0" fontId="96" fillId="0" borderId="448" xfId="0" applyFont="1" applyBorder="1" applyAlignment="1">
      <alignment horizontal="left" indent="1"/>
    </xf>
    <xf numFmtId="0" fontId="96" fillId="0" borderId="457" xfId="0" applyFont="1" applyBorder="1" applyAlignment="1">
      <alignment horizontal="left" indent="1"/>
    </xf>
    <xf numFmtId="0" fontId="24" fillId="0" borderId="424" xfId="0" applyFont="1" applyBorder="1" applyAlignment="1">
      <alignment horizontal="left" vertical="center" wrapText="1" indent="1"/>
    </xf>
    <xf numFmtId="0" fontId="96" fillId="0" borderId="411" xfId="0" applyFont="1" applyBorder="1" applyAlignment="1">
      <alignment horizontal="left" indent="1"/>
    </xf>
    <xf numFmtId="0" fontId="96" fillId="0" borderId="415" xfId="0" applyFont="1" applyBorder="1" applyAlignment="1">
      <alignment horizontal="left" indent="1"/>
    </xf>
    <xf numFmtId="0" fontId="38" fillId="0" borderId="424" xfId="0" applyFont="1" applyBorder="1" applyAlignment="1">
      <alignment horizontal="left" vertical="center" wrapText="1" indent="1"/>
    </xf>
    <xf numFmtId="0" fontId="24" fillId="0" borderId="424" xfId="0" quotePrefix="1" applyFont="1" applyBorder="1" applyAlignment="1">
      <alignment horizontal="center" vertical="center" wrapText="1"/>
    </xf>
    <xf numFmtId="0" fontId="96" fillId="0" borderId="411" xfId="0" applyFont="1" applyBorder="1" applyAlignment="1">
      <alignment horizontal="center"/>
    </xf>
    <xf numFmtId="0" fontId="96" fillId="0" borderId="415" xfId="0" applyFont="1" applyBorder="1" applyAlignment="1">
      <alignment horizontal="center"/>
    </xf>
    <xf numFmtId="4" fontId="136" fillId="29" borderId="477" xfId="10" applyNumberFormat="1" applyFont="1" applyFill="1" applyBorder="1" applyAlignment="1">
      <alignment horizontal="center" vertical="center" wrapText="1"/>
    </xf>
    <xf numFmtId="4" fontId="136" fillId="29" borderId="476" xfId="10" applyNumberFormat="1" applyFont="1" applyFill="1" applyBorder="1" applyAlignment="1">
      <alignment horizontal="center" vertical="center" wrapText="1"/>
    </xf>
    <xf numFmtId="4" fontId="136" fillId="29" borderId="1017" xfId="10" applyNumberFormat="1" applyFont="1" applyFill="1" applyBorder="1" applyAlignment="1">
      <alignment horizontal="center" vertical="center" wrapText="1"/>
    </xf>
    <xf numFmtId="0" fontId="96" fillId="0" borderId="874" xfId="6" applyFont="1" applyBorder="1" applyAlignment="1">
      <alignment horizontal="left" vertical="center" wrapText="1" indent="1"/>
    </xf>
    <xf numFmtId="0" fontId="96" fillId="0" borderId="978" xfId="6" applyFont="1" applyBorder="1" applyAlignment="1">
      <alignment horizontal="left" vertical="center" wrapText="1" indent="1"/>
    </xf>
    <xf numFmtId="0" fontId="96" fillId="0" borderId="1010" xfId="6" applyFont="1" applyBorder="1" applyAlignment="1">
      <alignment horizontal="left" vertical="center" wrapText="1" indent="1"/>
    </xf>
    <xf numFmtId="0" fontId="96" fillId="0" borderId="1009" xfId="6" applyFont="1" applyBorder="1" applyAlignment="1">
      <alignment horizontal="left" vertical="center" wrapText="1" indent="1"/>
    </xf>
    <xf numFmtId="0" fontId="96" fillId="0" borderId="433" xfId="6" applyFont="1" applyBorder="1" applyAlignment="1">
      <alignment horizontal="left" vertical="center" wrapText="1" indent="2"/>
    </xf>
    <xf numFmtId="0" fontId="96" fillId="0" borderId="438" xfId="6" applyFont="1" applyBorder="1" applyAlignment="1">
      <alignment horizontal="left" vertical="center" wrapText="1" indent="2"/>
    </xf>
    <xf numFmtId="0" fontId="96" fillId="0" borderId="440" xfId="6" applyFont="1" applyBorder="1" applyAlignment="1">
      <alignment horizontal="left" vertical="center" wrapText="1" indent="2"/>
    </xf>
    <xf numFmtId="4" fontId="45" fillId="52" borderId="427" xfId="0" applyNumberFormat="1" applyFont="1" applyFill="1" applyBorder="1" applyAlignment="1">
      <alignment horizontal="center" vertical="center" wrapText="1"/>
    </xf>
    <xf numFmtId="0" fontId="15" fillId="29" borderId="427" xfId="0" applyFont="1" applyFill="1" applyBorder="1" applyAlignment="1"/>
    <xf numFmtId="0" fontId="15" fillId="29" borderId="751" xfId="0" applyFont="1" applyFill="1" applyBorder="1" applyAlignment="1"/>
    <xf numFmtId="4" fontId="147" fillId="2" borderId="327" xfId="0" applyNumberFormat="1" applyFont="1" applyFill="1" applyBorder="1" applyAlignment="1">
      <alignment horizontal="center" vertical="center" wrapText="1"/>
    </xf>
    <xf numFmtId="0" fontId="14" fillId="0" borderId="344" xfId="2" applyFont="1" applyAlignment="1">
      <alignment horizontal="left" vertical="center" wrapText="1" indent="1"/>
    </xf>
    <xf numFmtId="4" fontId="136" fillId="29" borderId="430" xfId="10" applyNumberFormat="1" applyFont="1" applyFill="1" applyBorder="1" applyAlignment="1">
      <alignment horizontal="center" vertical="center" wrapText="1"/>
    </xf>
    <xf numFmtId="4" fontId="136" fillId="29" borderId="427" xfId="10" applyNumberFormat="1" applyFont="1" applyFill="1" applyBorder="1" applyAlignment="1">
      <alignment horizontal="center" vertical="center" wrapText="1"/>
    </xf>
    <xf numFmtId="4" fontId="136" fillId="29" borderId="751" xfId="10" applyNumberFormat="1" applyFont="1" applyFill="1" applyBorder="1" applyAlignment="1">
      <alignment horizontal="center" vertical="center" wrapText="1"/>
    </xf>
    <xf numFmtId="0" fontId="96" fillId="0" borderId="434" xfId="6" applyFont="1" applyBorder="1" applyAlignment="1">
      <alignment horizontal="left" vertical="center" wrapText="1" indent="1"/>
    </xf>
    <xf numFmtId="0" fontId="95" fillId="0" borderId="408" xfId="8" applyFont="1" applyBorder="1" applyAlignment="1">
      <alignment horizontal="left" vertical="center" wrapText="1" indent="1"/>
    </xf>
    <xf numFmtId="0" fontId="96" fillId="0" borderId="874" xfId="0" applyFont="1" applyBorder="1" applyAlignment="1">
      <alignment horizontal="left" indent="1"/>
    </xf>
    <xf numFmtId="0" fontId="96" fillId="0" borderId="875" xfId="0" applyFont="1" applyBorder="1" applyAlignment="1">
      <alignment horizontal="left" indent="1"/>
    </xf>
    <xf numFmtId="0" fontId="24" fillId="0" borderId="408" xfId="9" applyFont="1" applyBorder="1" applyAlignment="1">
      <alignment horizontal="left" vertical="center" wrapText="1" indent="1"/>
    </xf>
    <xf numFmtId="0" fontId="24" fillId="0" borderId="460" xfId="0" applyFont="1" applyBorder="1" applyAlignment="1">
      <alignment horizontal="left" vertical="center" wrapText="1" indent="1"/>
    </xf>
    <xf numFmtId="0" fontId="96" fillId="0" borderId="449" xfId="0" applyFont="1" applyBorder="1" applyAlignment="1">
      <alignment horizontal="left" indent="1"/>
    </xf>
    <xf numFmtId="0" fontId="96" fillId="0" borderId="453" xfId="0" applyFont="1" applyBorder="1" applyAlignment="1">
      <alignment horizontal="left" indent="1"/>
    </xf>
    <xf numFmtId="0" fontId="24" fillId="0" borderId="442" xfId="9" applyFont="1" applyBorder="1" applyAlignment="1">
      <alignment horizontal="left" vertical="center" wrapText="1" indent="1"/>
    </xf>
    <xf numFmtId="0" fontId="24" fillId="0" borderId="423" xfId="9" applyFont="1" applyBorder="1" applyAlignment="1">
      <alignment horizontal="left" vertical="center" wrapText="1" indent="1"/>
    </xf>
    <xf numFmtId="0" fontId="24" fillId="0" borderId="441" xfId="9" applyFont="1" applyBorder="1" applyAlignment="1">
      <alignment horizontal="left" vertical="center" wrapText="1" indent="1"/>
    </xf>
    <xf numFmtId="0" fontId="9" fillId="29" borderId="215" xfId="4" applyFont="1" applyFill="1" applyBorder="1" applyAlignment="1">
      <alignment horizontal="center" vertical="center" textRotation="90"/>
    </xf>
    <xf numFmtId="0" fontId="9" fillId="29" borderId="384" xfId="4" applyFont="1" applyFill="1" applyBorder="1" applyAlignment="1">
      <alignment horizontal="center" vertical="center" textRotation="90"/>
    </xf>
    <xf numFmtId="0" fontId="9" fillId="29" borderId="864" xfId="4" applyFont="1" applyFill="1" applyBorder="1" applyAlignment="1">
      <alignment horizontal="center" vertical="center" textRotation="90"/>
    </xf>
    <xf numFmtId="0" fontId="71" fillId="21" borderId="1004" xfId="5" applyFont="1" applyFill="1" applyBorder="1" applyAlignment="1">
      <alignment horizontal="center" vertical="center" wrapText="1"/>
    </xf>
    <xf numFmtId="0" fontId="71" fillId="21" borderId="1005" xfId="5" applyFont="1" applyFill="1" applyBorder="1" applyAlignment="1">
      <alignment horizontal="center" vertical="center" wrapText="1"/>
    </xf>
    <xf numFmtId="0" fontId="71" fillId="21" borderId="1006" xfId="5" applyFont="1" applyFill="1" applyBorder="1" applyAlignment="1">
      <alignment horizontal="center" vertical="center" wrapText="1"/>
    </xf>
    <xf numFmtId="0" fontId="94" fillId="15" borderId="883" xfId="0" applyFont="1" applyFill="1" applyBorder="1" applyAlignment="1" applyProtection="1">
      <alignment horizontal="center" vertical="center" wrapText="1"/>
      <protection locked="0"/>
    </xf>
    <xf numFmtId="0" fontId="94" fillId="15" borderId="884" xfId="0" applyFont="1" applyFill="1" applyBorder="1" applyAlignment="1" applyProtection="1">
      <alignment horizontal="center" vertical="center" wrapText="1"/>
      <protection locked="0"/>
    </xf>
    <xf numFmtId="0" fontId="9" fillId="15" borderId="1007" xfId="6" applyFont="1" applyFill="1" applyBorder="1" applyAlignment="1" applyProtection="1">
      <alignment horizontal="center" vertical="center" wrapText="1"/>
      <protection locked="0"/>
    </xf>
    <xf numFmtId="0" fontId="9" fillId="15" borderId="1008" xfId="6" applyFont="1" applyFill="1" applyBorder="1" applyAlignment="1" applyProtection="1">
      <alignment horizontal="center" vertical="center" wrapText="1"/>
      <protection locked="0"/>
    </xf>
    <xf numFmtId="0" fontId="274" fillId="29" borderId="384" xfId="2" applyFont="1" applyFill="1" applyBorder="1" applyAlignment="1">
      <alignment horizontal="center" vertical="center" textRotation="90" wrapText="1"/>
    </xf>
    <xf numFmtId="0" fontId="274" fillId="29" borderId="968" xfId="2" applyFont="1" applyFill="1" applyBorder="1" applyAlignment="1">
      <alignment horizontal="center" vertical="center" textRotation="90" wrapText="1"/>
    </xf>
    <xf numFmtId="0" fontId="95" fillId="0" borderId="400" xfId="8" applyFont="1" applyBorder="1" applyAlignment="1">
      <alignment horizontal="left" vertical="center" wrapText="1" indent="1"/>
    </xf>
    <xf numFmtId="0" fontId="96" fillId="0" borderId="401" xfId="8" applyFont="1" applyBorder="1" applyAlignment="1">
      <alignment horizontal="left" vertical="center" wrapText="1" indent="1"/>
    </xf>
    <xf numFmtId="0" fontId="95" fillId="0" borderId="401" xfId="8" applyFont="1" applyBorder="1" applyAlignment="1">
      <alignment horizontal="left" vertical="center" wrapText="1" indent="1"/>
    </xf>
    <xf numFmtId="0" fontId="96" fillId="0" borderId="401" xfId="6" applyFont="1" applyBorder="1" applyAlignment="1">
      <alignment horizontal="left" vertical="center" wrapText="1" indent="1"/>
    </xf>
    <xf numFmtId="1" fontId="98" fillId="0" borderId="401" xfId="8" applyNumberFormat="1" applyFont="1" applyBorder="1" applyAlignment="1">
      <alignment horizontal="center" vertical="center" wrapText="1"/>
    </xf>
    <xf numFmtId="1" fontId="98" fillId="0" borderId="408" xfId="8" applyNumberFormat="1" applyFont="1" applyBorder="1" applyAlignment="1">
      <alignment horizontal="center" vertical="center" wrapText="1"/>
    </xf>
    <xf numFmtId="0" fontId="96" fillId="0" borderId="402" xfId="6" applyFont="1" applyBorder="1" applyAlignment="1">
      <alignment horizontal="left" vertical="center" wrapText="1" indent="1"/>
    </xf>
    <xf numFmtId="0" fontId="24" fillId="0" borderId="408" xfId="6" applyFont="1" applyBorder="1" applyAlignment="1">
      <alignment horizontal="left" vertical="center" wrapText="1" indent="1"/>
    </xf>
    <xf numFmtId="0" fontId="274" fillId="29" borderId="969" xfId="2" applyFont="1" applyFill="1" applyBorder="1" applyAlignment="1">
      <alignment horizontal="center" vertical="center" textRotation="90" wrapText="1"/>
    </xf>
    <xf numFmtId="0" fontId="24" fillId="0" borderId="408" xfId="2" applyFont="1" applyBorder="1" applyAlignment="1">
      <alignment horizontal="left" vertical="center" wrapText="1" indent="1"/>
    </xf>
    <xf numFmtId="0" fontId="24" fillId="0" borderId="408" xfId="8" applyFont="1" applyBorder="1" applyAlignment="1">
      <alignment horizontal="left" vertical="center" wrapText="1" indent="1"/>
    </xf>
    <xf numFmtId="0" fontId="274" fillId="29" borderId="1011" xfId="2" applyFont="1" applyFill="1" applyBorder="1" applyAlignment="1">
      <alignment horizontal="center" vertical="center" textRotation="90" wrapText="1"/>
    </xf>
    <xf numFmtId="0" fontId="274" fillId="29" borderId="380" xfId="2" applyFont="1" applyFill="1" applyBorder="1" applyAlignment="1">
      <alignment horizontal="center" vertical="center" textRotation="90" wrapText="1"/>
    </xf>
    <xf numFmtId="0" fontId="274" fillId="29" borderId="1012" xfId="2" applyFont="1" applyFill="1" applyBorder="1" applyAlignment="1">
      <alignment horizontal="center" vertical="center" textRotation="90" wrapText="1"/>
    </xf>
    <xf numFmtId="0" fontId="24" fillId="0" borderId="433" xfId="2" applyFont="1" applyBorder="1" applyAlignment="1">
      <alignment horizontal="left" vertical="center" wrapText="1" indent="1"/>
    </xf>
    <xf numFmtId="0" fontId="24" fillId="0" borderId="438" xfId="2" applyFont="1" applyBorder="1" applyAlignment="1">
      <alignment horizontal="left" vertical="center" wrapText="1" indent="1"/>
    </xf>
    <xf numFmtId="0" fontId="96" fillId="0" borderId="433" xfId="6" applyFont="1" applyBorder="1" applyAlignment="1">
      <alignment horizontal="left" vertical="center" wrapText="1" indent="1"/>
    </xf>
    <xf numFmtId="0" fontId="24" fillId="0" borderId="422" xfId="9" applyFont="1" applyBorder="1" applyAlignment="1">
      <alignment horizontal="left" vertical="center" wrapText="1" indent="1"/>
    </xf>
    <xf numFmtId="0" fontId="24" fillId="0" borderId="440" xfId="2" applyFont="1" applyBorder="1" applyAlignment="1">
      <alignment horizontal="left" vertical="center" wrapText="1" indent="1"/>
    </xf>
    <xf numFmtId="0" fontId="24" fillId="0" borderId="414" xfId="9" applyFont="1" applyBorder="1" applyAlignment="1">
      <alignment horizontal="left" vertical="center" wrapText="1" indent="1"/>
    </xf>
    <xf numFmtId="0" fontId="274" fillId="29" borderId="1013" xfId="2" applyFont="1" applyFill="1" applyBorder="1" applyAlignment="1">
      <alignment horizontal="center" vertical="center" textRotation="90" wrapText="1"/>
    </xf>
    <xf numFmtId="0" fontId="312" fillId="29" borderId="1014" xfId="0" applyFont="1" applyFill="1" applyBorder="1" applyAlignment="1">
      <alignment horizontal="center" vertical="center" textRotation="90" wrapText="1"/>
    </xf>
    <xf numFmtId="0" fontId="318" fillId="29" borderId="380" xfId="0" applyFont="1" applyFill="1" applyBorder="1" applyAlignment="1"/>
    <xf numFmtId="0" fontId="318" fillId="29" borderId="1015" xfId="0" applyFont="1" applyFill="1" applyBorder="1" applyAlignment="1"/>
    <xf numFmtId="0" fontId="38" fillId="0" borderId="445" xfId="0" applyFont="1" applyBorder="1" applyAlignment="1">
      <alignment horizontal="left" vertical="center" wrapText="1" indent="1"/>
    </xf>
    <xf numFmtId="0" fontId="96" fillId="0" borderId="452" xfId="0" applyFont="1" applyBorder="1" applyAlignment="1">
      <alignment horizontal="left" indent="1"/>
    </xf>
    <xf numFmtId="0" fontId="24" fillId="0" borderId="406" xfId="0" applyFont="1" applyBorder="1" applyAlignment="1">
      <alignment horizontal="left" vertical="center" wrapText="1" indent="1"/>
    </xf>
    <xf numFmtId="0" fontId="96" fillId="0" borderId="405" xfId="0" applyFont="1" applyBorder="1" applyAlignment="1">
      <alignment horizontal="left" indent="1"/>
    </xf>
    <xf numFmtId="0" fontId="38" fillId="0" borderId="406" xfId="0" applyFont="1" applyBorder="1" applyAlignment="1">
      <alignment horizontal="left" vertical="center" wrapText="1" indent="1"/>
    </xf>
    <xf numFmtId="0" fontId="54" fillId="0" borderId="406" xfId="0" applyFont="1" applyBorder="1" applyAlignment="1">
      <alignment horizontal="center" vertical="center" wrapText="1"/>
    </xf>
    <xf numFmtId="0" fontId="104" fillId="0" borderId="411" xfId="0" applyFont="1" applyBorder="1" applyAlignment="1"/>
    <xf numFmtId="0" fontId="104" fillId="0" borderId="405" xfId="0" applyFont="1" applyBorder="1" applyAlignment="1"/>
    <xf numFmtId="0" fontId="54" fillId="0" borderId="432" xfId="0" applyFont="1" applyBorder="1" applyAlignment="1">
      <alignment horizontal="center" vertical="center" wrapText="1"/>
    </xf>
    <xf numFmtId="0" fontId="54" fillId="0" borderId="423" xfId="0" applyFont="1" applyBorder="1" applyAlignment="1">
      <alignment horizontal="center" vertical="center" wrapText="1"/>
    </xf>
    <xf numFmtId="0" fontId="23" fillId="0" borderId="406" xfId="0" applyFont="1" applyBorder="1" applyAlignment="1">
      <alignment horizontal="left" vertical="center" wrapText="1" indent="1"/>
    </xf>
    <xf numFmtId="0" fontId="24" fillId="0" borderId="446" xfId="0" applyFont="1" applyBorder="1" applyAlignment="1">
      <alignment horizontal="left" vertical="center" wrapText="1" indent="1"/>
    </xf>
    <xf numFmtId="0" fontId="24" fillId="0" borderId="1009" xfId="0" applyFont="1" applyBorder="1" applyAlignment="1">
      <alignment horizontal="left" vertical="center" wrapText="1" indent="1"/>
    </xf>
    <xf numFmtId="0" fontId="54" fillId="0" borderId="424" xfId="0" applyFont="1" applyBorder="1" applyAlignment="1">
      <alignment horizontal="center" vertical="center" wrapText="1"/>
    </xf>
    <xf numFmtId="0" fontId="104" fillId="0" borderId="415" xfId="0" applyFont="1" applyBorder="1" applyAlignment="1"/>
    <xf numFmtId="0" fontId="54" fillId="0" borderId="422" xfId="0" applyFont="1" applyBorder="1" applyAlignment="1">
      <alignment horizontal="center" vertical="center" wrapText="1"/>
    </xf>
    <xf numFmtId="0" fontId="54" fillId="0" borderId="414" xfId="0" applyFont="1" applyBorder="1" applyAlignment="1">
      <alignment horizontal="center" vertical="center" wrapText="1"/>
    </xf>
    <xf numFmtId="0" fontId="24" fillId="0" borderId="456" xfId="0" applyFont="1" applyBorder="1" applyAlignment="1">
      <alignment horizontal="left" vertical="center" wrapText="1" indent="1"/>
    </xf>
    <xf numFmtId="0" fontId="96" fillId="0" borderId="458" xfId="0" applyFont="1" applyBorder="1" applyAlignment="1">
      <alignment horizontal="left" indent="1"/>
    </xf>
    <xf numFmtId="0" fontId="38" fillId="0" borderId="459" xfId="0" applyFont="1" applyBorder="1" applyAlignment="1">
      <alignment horizontal="left" vertical="center" wrapText="1" indent="1"/>
    </xf>
    <xf numFmtId="0" fontId="24" fillId="0" borderId="418" xfId="0" applyFont="1" applyBorder="1" applyAlignment="1">
      <alignment horizontal="left" vertical="center" wrapText="1" indent="1"/>
    </xf>
    <xf numFmtId="0" fontId="38" fillId="0" borderId="418" xfId="0" applyFont="1" applyBorder="1" applyAlignment="1">
      <alignment horizontal="left" vertical="center" wrapText="1" indent="1"/>
    </xf>
    <xf numFmtId="0" fontId="54" fillId="0" borderId="418" xfId="0" applyFont="1" applyBorder="1" applyAlignment="1">
      <alignment horizontal="center" vertical="center" wrapText="1"/>
    </xf>
    <xf numFmtId="0" fontId="23" fillId="3" borderId="874" xfId="0" applyFont="1" applyFill="1" applyBorder="1" applyAlignment="1">
      <alignment horizontal="left" vertical="center" wrapText="1" indent="1"/>
    </xf>
    <xf numFmtId="0" fontId="24" fillId="0" borderId="456" xfId="0" quotePrefix="1" applyFont="1" applyBorder="1" applyAlignment="1">
      <alignment horizontal="center" vertical="center" wrapText="1"/>
    </xf>
    <xf numFmtId="0" fontId="96" fillId="0" borderId="449" xfId="0" applyFont="1" applyBorder="1" applyAlignment="1">
      <alignment horizontal="center"/>
    </xf>
    <xf numFmtId="0" fontId="96" fillId="0" borderId="458" xfId="0" applyFont="1" applyBorder="1" applyAlignment="1">
      <alignment horizontal="center"/>
    </xf>
    <xf numFmtId="0" fontId="39" fillId="0" borderId="424" xfId="0" quotePrefix="1" applyFont="1" applyBorder="1" applyAlignment="1">
      <alignment horizontal="center" vertical="center" wrapText="1"/>
    </xf>
    <xf numFmtId="0" fontId="104" fillId="0" borderId="411" xfId="0" applyFont="1" applyBorder="1" applyAlignment="1">
      <alignment horizontal="center"/>
    </xf>
    <xf numFmtId="0" fontId="104" fillId="0" borderId="415" xfId="0" applyFont="1" applyBorder="1" applyAlignment="1">
      <alignment horizontal="center"/>
    </xf>
    <xf numFmtId="0" fontId="312" fillId="29" borderId="1016" xfId="0" applyFont="1" applyFill="1" applyBorder="1" applyAlignment="1">
      <alignment horizontal="center" vertical="center" textRotation="90" wrapText="1"/>
    </xf>
    <xf numFmtId="0" fontId="96" fillId="0" borderId="462" xfId="0" applyFont="1" applyBorder="1" applyAlignment="1">
      <alignment horizontal="left" indent="1"/>
    </xf>
    <xf numFmtId="0" fontId="96" fillId="0" borderId="463" xfId="0" applyFont="1" applyBorder="1" applyAlignment="1">
      <alignment horizontal="left" indent="1"/>
    </xf>
    <xf numFmtId="0" fontId="104" fillId="0" borderId="463" xfId="0" applyFont="1" applyBorder="1" applyAlignment="1"/>
    <xf numFmtId="0" fontId="96" fillId="0" borderId="464" xfId="0" applyFont="1" applyBorder="1" applyAlignment="1">
      <alignment horizontal="left" indent="1"/>
    </xf>
    <xf numFmtId="4" fontId="11" fillId="2" borderId="117" xfId="0" applyNumberFormat="1" applyFont="1" applyFill="1" applyBorder="1" applyAlignment="1">
      <alignment horizontal="center" vertical="center" wrapText="1"/>
    </xf>
    <xf numFmtId="0" fontId="103" fillId="0" borderId="350" xfId="0" applyFont="1" applyBorder="1" applyAlignment="1"/>
    <xf numFmtId="0" fontId="103" fillId="0" borderId="300" xfId="0" applyFont="1" applyBorder="1" applyAlignment="1"/>
    <xf numFmtId="0" fontId="38" fillId="0" borderId="466" xfId="0" applyFont="1" applyBorder="1" applyAlignment="1">
      <alignment horizontal="left" vertical="center" wrapText="1" indent="1"/>
    </xf>
    <xf numFmtId="0" fontId="38" fillId="0" borderId="468" xfId="0" applyFont="1" applyBorder="1" applyAlignment="1">
      <alignment horizontal="left" vertical="center" wrapText="1" indent="1"/>
    </xf>
    <xf numFmtId="0" fontId="38" fillId="0" borderId="470" xfId="0" applyFont="1" applyBorder="1" applyAlignment="1">
      <alignment horizontal="left" vertical="center" wrapText="1" indent="1"/>
    </xf>
    <xf numFmtId="0" fontId="24" fillId="0" borderId="422" xfId="0" applyFont="1" applyBorder="1" applyAlignment="1">
      <alignment horizontal="left" vertical="center" wrapText="1" indent="1"/>
    </xf>
    <xf numFmtId="0" fontId="24" fillId="0" borderId="423" xfId="0" applyFont="1" applyBorder="1" applyAlignment="1">
      <alignment horizontal="left" vertical="center" wrapText="1" indent="1"/>
    </xf>
    <xf numFmtId="0" fontId="24" fillId="0" borderId="414" xfId="0" applyFont="1" applyBorder="1" applyAlignment="1">
      <alignment horizontal="left" vertical="center" wrapText="1" indent="1"/>
    </xf>
    <xf numFmtId="0" fontId="38" fillId="0" borderId="422" xfId="0" applyFont="1" applyBorder="1" applyAlignment="1">
      <alignment horizontal="left" vertical="center" wrapText="1" indent="1"/>
    </xf>
    <xf numFmtId="0" fontId="38" fillId="0" borderId="423" xfId="0" applyFont="1" applyBorder="1" applyAlignment="1">
      <alignment horizontal="left" vertical="center" wrapText="1" indent="1"/>
    </xf>
    <xf numFmtId="0" fontId="38" fillId="0" borderId="414" xfId="0" applyFont="1" applyBorder="1" applyAlignment="1">
      <alignment horizontal="left" vertical="center" wrapText="1" indent="1"/>
    </xf>
    <xf numFmtId="1" fontId="54" fillId="0" borderId="422" xfId="0" applyNumberFormat="1" applyFont="1" applyBorder="1" applyAlignment="1">
      <alignment horizontal="center" vertical="center" wrapText="1"/>
    </xf>
    <xf numFmtId="1" fontId="54" fillId="0" borderId="423" xfId="0" applyNumberFormat="1" applyFont="1" applyBorder="1" applyAlignment="1">
      <alignment horizontal="center" vertical="center" wrapText="1"/>
    </xf>
    <xf numFmtId="1" fontId="54" fillId="0" borderId="414" xfId="0" applyNumberFormat="1" applyFont="1" applyBorder="1" applyAlignment="1">
      <alignment horizontal="center" vertical="center" wrapText="1"/>
    </xf>
    <xf numFmtId="0" fontId="24" fillId="0" borderId="467" xfId="0" applyFont="1" applyBorder="1" applyAlignment="1">
      <alignment horizontal="left" vertical="center" wrapText="1" indent="1"/>
    </xf>
    <xf numFmtId="0" fontId="24" fillId="0" borderId="469" xfId="0" applyFont="1" applyBorder="1" applyAlignment="1">
      <alignment horizontal="left" vertical="center" wrapText="1" indent="1"/>
    </xf>
    <xf numFmtId="0" fontId="24" fillId="0" borderId="471" xfId="0" applyFont="1" applyBorder="1" applyAlignment="1">
      <alignment horizontal="left" vertical="center" wrapText="1" indent="1"/>
    </xf>
    <xf numFmtId="0" fontId="312" fillId="52" borderId="1011" xfId="0" applyFont="1" applyFill="1" applyBorder="1" applyAlignment="1">
      <alignment horizontal="center" vertical="center" textRotation="90" wrapText="1"/>
    </xf>
    <xf numFmtId="0" fontId="312" fillId="52" borderId="380" xfId="0" applyFont="1" applyFill="1" applyBorder="1" applyAlignment="1">
      <alignment horizontal="center" vertical="center" textRotation="90" wrapText="1"/>
    </xf>
    <xf numFmtId="0" fontId="307" fillId="0" borderId="0" xfId="0" applyFont="1" applyAlignment="1">
      <alignment horizontal="center" vertical="center" wrapText="1"/>
    </xf>
    <xf numFmtId="0" fontId="276" fillId="0" borderId="0" xfId="0" applyFont="1" applyAlignment="1"/>
    <xf numFmtId="4" fontId="35" fillId="52" borderId="924" xfId="0" applyNumberFormat="1" applyFont="1" applyFill="1" applyBorder="1" applyAlignment="1">
      <alignment horizontal="left" vertical="center" wrapText="1" indent="1"/>
    </xf>
    <xf numFmtId="0" fontId="140" fillId="29" borderId="427" xfId="0" applyFont="1" applyFill="1" applyBorder="1" applyAlignment="1">
      <alignment horizontal="left" vertical="center" indent="1"/>
    </xf>
    <xf numFmtId="0" fontId="152" fillId="52" borderId="476" xfId="0" applyFont="1" applyFill="1" applyBorder="1" applyAlignment="1">
      <alignment vertical="center" wrapText="1"/>
    </xf>
    <xf numFmtId="0" fontId="15" fillId="29" borderId="476" xfId="0" applyFont="1" applyFill="1" applyBorder="1" applyAlignment="1"/>
    <xf numFmtId="0" fontId="15" fillId="29" borderId="1003" xfId="0" applyFont="1" applyFill="1" applyBorder="1" applyAlignment="1"/>
    <xf numFmtId="0" fontId="23" fillId="3" borderId="837" xfId="15" applyFont="1" applyFill="1" applyBorder="1" applyAlignment="1">
      <alignment horizontal="left" vertical="center" wrapText="1" indent="1"/>
    </xf>
    <xf numFmtId="0" fontId="23" fillId="3" borderId="838" xfId="15" applyFont="1" applyFill="1" applyBorder="1" applyAlignment="1">
      <alignment horizontal="left" vertical="center" wrapText="1" indent="1"/>
    </xf>
    <xf numFmtId="0" fontId="23" fillId="3" borderId="839" xfId="15" applyFont="1" applyFill="1" applyBorder="1" applyAlignment="1">
      <alignment horizontal="left" vertical="center" wrapText="1" indent="1"/>
    </xf>
    <xf numFmtId="0" fontId="23" fillId="0" borderId="837" xfId="15" applyFont="1" applyBorder="1" applyAlignment="1">
      <alignment horizontal="left" vertical="center" wrapText="1" indent="1"/>
    </xf>
    <xf numFmtId="0" fontId="23" fillId="0" borderId="838" xfId="15" applyFont="1" applyBorder="1" applyAlignment="1">
      <alignment horizontal="left" vertical="center" wrapText="1" indent="1"/>
    </xf>
    <xf numFmtId="0" fontId="23" fillId="0" borderId="839" xfId="15" applyFont="1" applyBorder="1" applyAlignment="1">
      <alignment horizontal="left" vertical="center" wrapText="1" indent="1"/>
    </xf>
    <xf numFmtId="0" fontId="23" fillId="0" borderId="810" xfId="15" applyFont="1" applyBorder="1" applyAlignment="1">
      <alignment horizontal="left" vertical="center" wrapText="1" indent="1"/>
    </xf>
    <xf numFmtId="0" fontId="23" fillId="0" borderId="801" xfId="15" applyFont="1" applyBorder="1" applyAlignment="1">
      <alignment horizontal="left" vertical="center" wrapText="1" indent="1"/>
    </xf>
    <xf numFmtId="0" fontId="23" fillId="0" borderId="806" xfId="15" applyFont="1" applyBorder="1" applyAlignment="1">
      <alignment horizontal="left" vertical="center" wrapText="1" indent="1"/>
    </xf>
    <xf numFmtId="0" fontId="23" fillId="0" borderId="815" xfId="15" applyFont="1" applyBorder="1" applyAlignment="1">
      <alignment horizontal="left" vertical="center" wrapText="1" indent="1"/>
    </xf>
    <xf numFmtId="0" fontId="23" fillId="0" borderId="813" xfId="15" applyFont="1" applyBorder="1" applyAlignment="1">
      <alignment horizontal="left" vertical="center" wrapText="1" indent="1"/>
    </xf>
    <xf numFmtId="0" fontId="23" fillId="3" borderId="829" xfId="15" applyFont="1" applyFill="1" applyBorder="1" applyAlignment="1">
      <alignment horizontal="center" vertical="center" wrapText="1"/>
    </xf>
    <xf numFmtId="0" fontId="23" fillId="3" borderId="826" xfId="15" applyFont="1" applyFill="1" applyBorder="1" applyAlignment="1">
      <alignment horizontal="center" vertical="center" wrapText="1"/>
    </xf>
    <xf numFmtId="0" fontId="23" fillId="3" borderId="669" xfId="15" applyFont="1" applyFill="1" applyBorder="1" applyAlignment="1">
      <alignment horizontal="center" vertical="center" wrapText="1"/>
    </xf>
    <xf numFmtId="0" fontId="23" fillId="0" borderId="832" xfId="15" applyFont="1" applyBorder="1" applyAlignment="1">
      <alignment horizontal="left" vertical="center" indent="1"/>
    </xf>
    <xf numFmtId="0" fontId="23" fillId="0" borderId="836" xfId="15" applyFont="1" applyBorder="1" applyAlignment="1">
      <alignment horizontal="left" vertical="center" indent="1"/>
    </xf>
    <xf numFmtId="0" fontId="23" fillId="0" borderId="828" xfId="15" applyFont="1" applyBorder="1" applyAlignment="1">
      <alignment horizontal="left" vertical="center" indent="1"/>
    </xf>
    <xf numFmtId="0" fontId="23" fillId="0" borderId="813" xfId="15" applyFont="1" applyBorder="1" applyAlignment="1">
      <alignment horizontal="left" vertical="center" indent="1"/>
    </xf>
    <xf numFmtId="0" fontId="23" fillId="0" borderId="832" xfId="15" applyFont="1" applyBorder="1" applyAlignment="1">
      <alignment horizontal="left" vertical="center" wrapText="1" indent="2"/>
    </xf>
    <xf numFmtId="0" fontId="23" fillId="0" borderId="836" xfId="15" applyFont="1" applyBorder="1" applyAlignment="1">
      <alignment horizontal="left" vertical="center" wrapText="1" indent="2"/>
    </xf>
    <xf numFmtId="0" fontId="23" fillId="0" borderId="828" xfId="15" applyFont="1" applyBorder="1" applyAlignment="1">
      <alignment horizontal="left" vertical="center" wrapText="1" indent="2"/>
    </xf>
    <xf numFmtId="0" fontId="128" fillId="2" borderId="631" xfId="15" applyFont="1" applyFill="1" applyBorder="1" applyAlignment="1">
      <alignment horizontal="center" vertical="center" textRotation="90" wrapText="1"/>
    </xf>
    <xf numFmtId="0" fontId="128" fillId="2" borderId="553" xfId="15" applyFont="1" applyFill="1" applyBorder="1" applyAlignment="1">
      <alignment horizontal="center" vertical="center" textRotation="90" wrapText="1"/>
    </xf>
    <xf numFmtId="0" fontId="23" fillId="0" borderId="836" xfId="15" applyFont="1" applyBorder="1" applyAlignment="1">
      <alignment horizontal="left" vertical="center" wrapText="1" indent="1"/>
    </xf>
    <xf numFmtId="0" fontId="23" fillId="0" borderId="828" xfId="15" applyFont="1" applyBorder="1" applyAlignment="1">
      <alignment horizontal="left" vertical="center" wrapText="1" indent="1"/>
    </xf>
    <xf numFmtId="0" fontId="23" fillId="0" borderId="931" xfId="15" applyFont="1" applyBorder="1" applyAlignment="1">
      <alignment horizontal="left" vertical="center" wrapText="1" indent="1"/>
    </xf>
    <xf numFmtId="0" fontId="23" fillId="0" borderId="832" xfId="15" applyFont="1" applyBorder="1" applyAlignment="1">
      <alignment horizontal="left" vertical="center" indent="2"/>
    </xf>
    <xf numFmtId="0" fontId="23" fillId="0" borderId="836" xfId="15" applyFont="1" applyBorder="1" applyAlignment="1">
      <alignment horizontal="left" vertical="center" indent="2"/>
    </xf>
    <xf numFmtId="0" fontId="23" fillId="0" borderId="828" xfId="15" applyFont="1" applyBorder="1" applyAlignment="1">
      <alignment horizontal="left" vertical="center" indent="2"/>
    </xf>
    <xf numFmtId="0" fontId="130" fillId="0" borderId="815" xfId="15" applyFont="1" applyBorder="1" applyAlignment="1">
      <alignment horizontal="left" vertical="center" indent="1"/>
    </xf>
    <xf numFmtId="0" fontId="130" fillId="0" borderId="801" xfId="15" applyFont="1" applyBorder="1" applyAlignment="1">
      <alignment horizontal="left" vertical="center" indent="1"/>
    </xf>
    <xf numFmtId="0" fontId="130" fillId="0" borderId="806" xfId="15" applyFont="1" applyBorder="1" applyAlignment="1">
      <alignment horizontal="left" vertical="center" indent="1"/>
    </xf>
    <xf numFmtId="0" fontId="22" fillId="0" borderId="809" xfId="15" applyFont="1" applyBorder="1" applyAlignment="1">
      <alignment horizontal="left" vertical="center" wrapText="1" indent="1"/>
    </xf>
    <xf numFmtId="0" fontId="22" fillId="0" borderId="804" xfId="15" applyFont="1" applyBorder="1" applyAlignment="1">
      <alignment horizontal="left" vertical="center" wrapText="1" indent="1"/>
    </xf>
    <xf numFmtId="0" fontId="22" fillId="0" borderId="805" xfId="15" applyFont="1" applyBorder="1" applyAlignment="1">
      <alignment horizontal="left" vertical="center" wrapText="1" indent="1"/>
    </xf>
    <xf numFmtId="0" fontId="23" fillId="0" borderId="737" xfId="15" applyFont="1" applyBorder="1" applyAlignment="1">
      <alignment horizontal="left" vertical="center" wrapText="1" indent="1"/>
    </xf>
    <xf numFmtId="0" fontId="23" fillId="0" borderId="662" xfId="15" applyFont="1" applyBorder="1" applyAlignment="1">
      <alignment horizontal="left" vertical="center" wrapText="1" indent="1"/>
    </xf>
    <xf numFmtId="0" fontId="23" fillId="0" borderId="738" xfId="15" applyFont="1" applyBorder="1" applyAlignment="1">
      <alignment horizontal="left" vertical="center" wrapText="1" indent="1"/>
    </xf>
    <xf numFmtId="0" fontId="22" fillId="0" borderId="737" xfId="15" applyFont="1" applyBorder="1" applyAlignment="1">
      <alignment horizontal="left" vertical="center" wrapText="1" indent="1"/>
    </xf>
    <xf numFmtId="0" fontId="22" fillId="0" borderId="662" xfId="15" applyFont="1" applyBorder="1" applyAlignment="1">
      <alignment horizontal="left" vertical="center" wrapText="1" indent="1"/>
    </xf>
    <xf numFmtId="0" fontId="22" fillId="0" borderId="738" xfId="15" applyFont="1" applyBorder="1" applyAlignment="1">
      <alignment horizontal="left" vertical="center" wrapText="1" indent="1"/>
    </xf>
    <xf numFmtId="0" fontId="106" fillId="0" borderId="737" xfId="15" applyFont="1" applyBorder="1" applyAlignment="1">
      <alignment horizontal="center" vertical="center" wrapText="1"/>
    </xf>
    <xf numFmtId="0" fontId="106" fillId="0" borderId="662" xfId="15" applyFont="1" applyBorder="1" applyAlignment="1">
      <alignment horizontal="center" vertical="center" wrapText="1"/>
    </xf>
    <xf numFmtId="0" fontId="106" fillId="0" borderId="738" xfId="15" applyFont="1" applyBorder="1" applyAlignment="1">
      <alignment horizontal="center" vertical="center" wrapText="1"/>
    </xf>
    <xf numFmtId="0" fontId="107" fillId="2" borderId="350" xfId="15" applyFont="1" applyFill="1" applyBorder="1" applyAlignment="1">
      <alignment horizontal="left" vertical="center" wrapText="1" indent="1"/>
    </xf>
    <xf numFmtId="0" fontId="133" fillId="2" borderId="350" xfId="15" applyFont="1" applyFill="1" applyBorder="1" applyAlignment="1">
      <alignment vertical="center" wrapText="1"/>
    </xf>
    <xf numFmtId="0" fontId="133" fillId="2" borderId="300" xfId="15" applyFont="1" applyFill="1" applyBorder="1" applyAlignment="1">
      <alignment vertical="center" wrapText="1"/>
    </xf>
    <xf numFmtId="0" fontId="23" fillId="0" borderId="674" xfId="15" applyFont="1" applyBorder="1" applyAlignment="1">
      <alignment horizontal="left" vertical="center" wrapText="1" indent="1"/>
    </xf>
    <xf numFmtId="0" fontId="106" fillId="0" borderId="674" xfId="15" applyFont="1" applyBorder="1" applyAlignment="1">
      <alignment horizontal="center" vertical="center" wrapText="1"/>
    </xf>
    <xf numFmtId="0" fontId="22" fillId="0" borderId="814" xfId="15" applyFont="1" applyBorder="1" applyAlignment="1">
      <alignment horizontal="left" vertical="center" wrapText="1" indent="1"/>
    </xf>
    <xf numFmtId="0" fontId="22" fillId="0" borderId="674" xfId="15" applyFont="1" applyBorder="1" applyAlignment="1">
      <alignment horizontal="left" vertical="center" wrapText="1" indent="1"/>
    </xf>
    <xf numFmtId="0" fontId="23" fillId="0" borderId="766" xfId="15" applyFont="1" applyBorder="1" applyAlignment="1">
      <alignment horizontal="left" vertical="center" wrapText="1" indent="1"/>
    </xf>
    <xf numFmtId="0" fontId="23" fillId="0" borderId="761" xfId="15" applyFont="1" applyBorder="1" applyAlignment="1">
      <alignment horizontal="left" vertical="center" wrapText="1" indent="1"/>
    </xf>
    <xf numFmtId="0" fontId="23" fillId="0" borderId="768" xfId="15" applyFont="1" applyBorder="1" applyAlignment="1">
      <alignment horizontal="left" vertical="center" wrapText="1" indent="1"/>
    </xf>
    <xf numFmtId="0" fontId="130" fillId="2" borderId="327" xfId="15" applyFont="1" applyFill="1" applyBorder="1" applyAlignment="1">
      <alignment horizontal="left" vertical="center" wrapText="1" indent="1"/>
    </xf>
    <xf numFmtId="0" fontId="103" fillId="3" borderId="550" xfId="15" applyFont="1" applyFill="1" applyBorder="1" applyAlignment="1">
      <alignment horizontal="left" vertical="center" wrapText="1" indent="1"/>
    </xf>
    <xf numFmtId="0" fontId="103" fillId="3" borderId="551" xfId="15" applyFont="1" applyFill="1" applyBorder="1" applyAlignment="1">
      <alignment horizontal="left" vertical="center" wrapText="1" indent="1"/>
    </xf>
    <xf numFmtId="0" fontId="130" fillId="2" borderId="427" xfId="15" applyFont="1" applyFill="1" applyBorder="1" applyAlignment="1">
      <alignment vertical="center" wrapText="1"/>
    </xf>
    <xf numFmtId="0" fontId="130" fillId="2" borderId="751" xfId="15" applyFont="1" applyFill="1" applyBorder="1" applyAlignment="1">
      <alignment vertical="center" wrapText="1"/>
    </xf>
    <xf numFmtId="0" fontId="104" fillId="3" borderId="550" xfId="15" applyFont="1" applyFill="1" applyBorder="1" applyAlignment="1">
      <alignment horizontal="left" vertical="center" indent="1"/>
    </xf>
    <xf numFmtId="0" fontId="104" fillId="3" borderId="551" xfId="15" applyFont="1" applyFill="1" applyBorder="1" applyAlignment="1">
      <alignment horizontal="left" vertical="center" indent="1"/>
    </xf>
    <xf numFmtId="0" fontId="136" fillId="3" borderId="478" xfId="15" applyFont="1" applyFill="1" applyBorder="1" applyAlignment="1">
      <alignment horizontal="left" vertical="center" wrapText="1" indent="1"/>
    </xf>
    <xf numFmtId="0" fontId="136" fillId="3" borderId="479" xfId="15" applyFont="1" applyFill="1" applyBorder="1" applyAlignment="1">
      <alignment horizontal="left" vertical="center" wrapText="1" indent="1"/>
    </xf>
    <xf numFmtId="0" fontId="133" fillId="2" borderId="118" xfId="15" applyFont="1" applyFill="1" applyBorder="1" applyAlignment="1">
      <alignment vertical="center" wrapText="1"/>
    </xf>
    <xf numFmtId="0" fontId="133" fillId="2" borderId="120" xfId="15" applyFont="1" applyFill="1" applyBorder="1" applyAlignment="1">
      <alignment vertical="center" wrapText="1"/>
    </xf>
    <xf numFmtId="0" fontId="136" fillId="3" borderId="399" xfId="15" applyFont="1" applyFill="1" applyBorder="1" applyAlignment="1">
      <alignment horizontal="left" vertical="center" wrapText="1" indent="1"/>
    </xf>
    <xf numFmtId="0" fontId="136" fillId="3" borderId="344" xfId="15" applyFont="1" applyFill="1" applyAlignment="1">
      <alignment horizontal="left" vertical="center" wrapText="1" indent="1"/>
    </xf>
    <xf numFmtId="0" fontId="142" fillId="3" borderId="399" xfId="15" applyFont="1" applyFill="1" applyBorder="1" applyAlignment="1">
      <alignment horizontal="center" vertical="center"/>
    </xf>
    <xf numFmtId="0" fontId="142" fillId="3" borderId="344" xfId="15" applyFont="1" applyFill="1" applyAlignment="1">
      <alignment horizontal="center" vertical="center"/>
    </xf>
    <xf numFmtId="0" fontId="142" fillId="3" borderId="310" xfId="15" applyFont="1" applyFill="1" applyBorder="1" applyAlignment="1">
      <alignment horizontal="center" vertical="center"/>
    </xf>
    <xf numFmtId="0" fontId="104" fillId="3" borderId="547" xfId="15" applyFont="1" applyFill="1" applyBorder="1" applyAlignment="1">
      <alignment horizontal="left" vertical="center" indent="1"/>
    </xf>
    <xf numFmtId="0" fontId="104" fillId="3" borderId="548" xfId="15" applyFont="1" applyFill="1" applyBorder="1" applyAlignment="1">
      <alignment horizontal="left" vertical="center" indent="1"/>
    </xf>
    <xf numFmtId="0" fontId="103" fillId="3" borderId="547" xfId="15" applyFont="1" applyFill="1" applyBorder="1" applyAlignment="1">
      <alignment horizontal="left" vertical="center" wrapText="1" indent="1"/>
    </xf>
    <xf numFmtId="0" fontId="103" fillId="3" borderId="548" xfId="15" applyFont="1" applyFill="1" applyBorder="1" applyAlignment="1">
      <alignment horizontal="left" vertical="center" wrapText="1" indent="1"/>
    </xf>
    <xf numFmtId="0" fontId="23" fillId="0" borderId="810" xfId="15" applyFont="1" applyBorder="1" applyAlignment="1">
      <alignment vertical="center" wrapText="1"/>
    </xf>
    <xf numFmtId="0" fontId="23" fillId="0" borderId="801" xfId="15" applyFont="1" applyBorder="1" applyAlignment="1">
      <alignment vertical="center" wrapText="1"/>
    </xf>
    <xf numFmtId="0" fontId="23" fillId="0" borderId="806" xfId="15" applyFont="1" applyBorder="1" applyAlignment="1">
      <alignment vertical="center" wrapText="1"/>
    </xf>
    <xf numFmtId="0" fontId="23" fillId="0" borderId="815" xfId="15" applyFont="1" applyBorder="1" applyAlignment="1">
      <alignment vertical="center" wrapText="1"/>
    </xf>
    <xf numFmtId="0" fontId="23" fillId="0" borderId="813" xfId="15" applyFont="1" applyBorder="1" applyAlignment="1">
      <alignment vertical="center" wrapText="1"/>
    </xf>
    <xf numFmtId="0" fontId="107" fillId="2" borderId="753" xfId="15" applyFont="1" applyFill="1" applyBorder="1" applyAlignment="1">
      <alignment horizontal="left" vertical="center" indent="1"/>
    </xf>
    <xf numFmtId="0" fontId="107" fillId="2" borderId="427" xfId="15" applyFont="1" applyFill="1" applyBorder="1" applyAlignment="1">
      <alignment horizontal="left" vertical="center" indent="1"/>
    </xf>
    <xf numFmtId="0" fontId="107" fillId="2" borderId="753" xfId="15" applyFont="1" applyFill="1" applyBorder="1" applyAlignment="1">
      <alignment horizontal="left" vertical="center" wrapText="1" indent="1"/>
    </xf>
    <xf numFmtId="0" fontId="107" fillId="2" borderId="427" xfId="15" applyFont="1" applyFill="1" applyBorder="1" applyAlignment="1">
      <alignment horizontal="left" vertical="center" wrapText="1" indent="1"/>
    </xf>
    <xf numFmtId="0" fontId="106" fillId="0" borderId="770" xfId="15" applyFont="1" applyBorder="1" applyAlignment="1">
      <alignment horizontal="center" vertical="center" wrapText="1"/>
    </xf>
    <xf numFmtId="0" fontId="23" fillId="0" borderId="770" xfId="15" applyFont="1" applyBorder="1" applyAlignment="1">
      <alignment horizontal="left" vertical="center" wrapText="1" indent="1"/>
    </xf>
    <xf numFmtId="0" fontId="23" fillId="0" borderId="673" xfId="15" applyFont="1" applyBorder="1" applyAlignment="1">
      <alignment horizontal="left" vertical="center" wrapText="1" indent="1"/>
    </xf>
    <xf numFmtId="0" fontId="23" fillId="0" borderId="771" xfId="15" applyFont="1" applyBorder="1" applyAlignment="1">
      <alignment horizontal="left" vertical="center" wrapText="1" indent="1"/>
    </xf>
    <xf numFmtId="0" fontId="86" fillId="0" borderId="344" xfId="15" applyFont="1" applyAlignment="1">
      <alignment vertical="center" wrapText="1"/>
    </xf>
    <xf numFmtId="0" fontId="307" fillId="0" borderId="344" xfId="15" applyFont="1" applyAlignment="1">
      <alignment horizontal="center" vertical="center" wrapText="1"/>
    </xf>
    <xf numFmtId="0" fontId="142" fillId="3" borderId="398" xfId="15" applyFont="1" applyFill="1" applyBorder="1" applyAlignment="1">
      <alignment horizontal="center" vertical="center" wrapText="1"/>
    </xf>
    <xf numFmtId="0" fontId="142" fillId="3" borderId="545" xfId="15" applyFont="1" applyFill="1" applyBorder="1" applyAlignment="1">
      <alignment horizontal="center" vertical="center" wrapText="1"/>
    </xf>
    <xf numFmtId="0" fontId="142" fillId="3" borderId="546" xfId="15" applyFont="1" applyFill="1" applyBorder="1" applyAlignment="1">
      <alignment horizontal="center" vertical="center" wrapText="1"/>
    </xf>
    <xf numFmtId="0" fontId="22" fillId="0" borderId="811" xfId="15" applyFont="1" applyBorder="1" applyAlignment="1">
      <alignment horizontal="left" vertical="center" wrapText="1" indent="1"/>
    </xf>
    <xf numFmtId="0" fontId="22" fillId="0" borderId="770" xfId="15" applyFont="1" applyBorder="1" applyAlignment="1">
      <alignment horizontal="left" vertical="center" wrapText="1" indent="1"/>
    </xf>
    <xf numFmtId="0" fontId="87" fillId="0" borderId="737" xfId="15" applyFont="1" applyBorder="1" applyAlignment="1">
      <alignment horizontal="center" vertical="center" wrapText="1"/>
    </xf>
    <xf numFmtId="0" fontId="87" fillId="0" borderId="662" xfId="15" applyFont="1" applyBorder="1" applyAlignment="1">
      <alignment horizontal="center" vertical="center" wrapText="1"/>
    </xf>
    <xf numFmtId="0" fontId="87" fillId="0" borderId="738" xfId="15" applyFont="1" applyBorder="1" applyAlignment="1">
      <alignment horizontal="center" vertical="center" wrapText="1"/>
    </xf>
    <xf numFmtId="0" fontId="87" fillId="0" borderId="674" xfId="15" applyFont="1" applyBorder="1" applyAlignment="1">
      <alignment horizontal="center" vertical="center" wrapText="1"/>
    </xf>
    <xf numFmtId="0" fontId="87" fillId="0" borderId="770" xfId="15" applyFont="1" applyBorder="1" applyAlignment="1">
      <alignment horizontal="center" vertical="center" wrapText="1"/>
    </xf>
    <xf numFmtId="0" fontId="128" fillId="2" borderId="384" xfId="15" applyFont="1" applyFill="1" applyBorder="1" applyAlignment="1">
      <alignment horizontal="center" vertical="center" textRotation="90" wrapText="1"/>
    </xf>
    <xf numFmtId="0" fontId="61" fillId="0" borderId="674" xfId="15" applyFont="1" applyBorder="1" applyAlignment="1">
      <alignment horizontal="left" vertical="center" wrapText="1" indent="1"/>
    </xf>
    <xf numFmtId="0" fontId="61" fillId="0" borderId="662" xfId="15" applyFont="1" applyBorder="1" applyAlignment="1">
      <alignment horizontal="left" vertical="center" wrapText="1" indent="1"/>
    </xf>
    <xf numFmtId="0" fontId="61" fillId="0" borderId="770" xfId="15" applyFont="1" applyBorder="1" applyAlignment="1">
      <alignment horizontal="left" vertical="center" wrapText="1" indent="1"/>
    </xf>
    <xf numFmtId="0" fontId="106" fillId="3" borderId="674" xfId="15" applyFont="1" applyFill="1" applyBorder="1" applyAlignment="1">
      <alignment horizontal="center" vertical="center" wrapText="1"/>
    </xf>
    <xf numFmtId="0" fontId="106" fillId="3" borderId="662" xfId="15" applyFont="1" applyFill="1" applyBorder="1" applyAlignment="1">
      <alignment horizontal="center" vertical="center" wrapText="1"/>
    </xf>
    <xf numFmtId="0" fontId="106" fillId="3" borderId="770" xfId="15" applyFont="1" applyFill="1" applyBorder="1" applyAlignment="1">
      <alignment horizontal="center" vertical="center" wrapText="1"/>
    </xf>
    <xf numFmtId="0" fontId="23" fillId="3" borderId="674" xfId="15" applyFont="1" applyFill="1" applyBorder="1" applyAlignment="1">
      <alignment horizontal="left" vertical="center" wrapText="1" indent="1"/>
    </xf>
    <xf numFmtId="0" fontId="23" fillId="3" borderId="662" xfId="15" applyFont="1" applyFill="1" applyBorder="1" applyAlignment="1">
      <alignment horizontal="left" vertical="center" wrapText="1" indent="1"/>
    </xf>
    <xf numFmtId="0" fontId="23" fillId="3" borderId="770" xfId="15" applyFont="1" applyFill="1" applyBorder="1" applyAlignment="1">
      <alignment horizontal="left" vertical="center" wrapText="1" indent="1"/>
    </xf>
    <xf numFmtId="0" fontId="23" fillId="13" borderId="737" xfId="15" applyFont="1" applyFill="1" applyBorder="1" applyAlignment="1">
      <alignment horizontal="left" vertical="center" wrapText="1" indent="1"/>
    </xf>
    <xf numFmtId="0" fontId="23" fillId="13" borderId="662" xfId="15" applyFont="1" applyFill="1" applyBorder="1" applyAlignment="1">
      <alignment horizontal="left" vertical="center" wrapText="1" indent="1"/>
    </xf>
    <xf numFmtId="0" fontId="23" fillId="13" borderId="738" xfId="15" applyFont="1" applyFill="1" applyBorder="1" applyAlignment="1">
      <alignment horizontal="left" vertical="center" wrapText="1" indent="1"/>
    </xf>
    <xf numFmtId="0" fontId="23" fillId="13" borderId="674" xfId="15" applyFont="1" applyFill="1" applyBorder="1" applyAlignment="1">
      <alignment horizontal="left" vertical="center" wrapText="1" indent="1"/>
    </xf>
    <xf numFmtId="0" fontId="23" fillId="13" borderId="770" xfId="15" applyFont="1" applyFill="1" applyBorder="1" applyAlignment="1">
      <alignment horizontal="left" vertical="center" wrapText="1" indent="1"/>
    </xf>
    <xf numFmtId="0" fontId="23" fillId="0" borderId="928" xfId="15" applyFont="1" applyBorder="1" applyAlignment="1">
      <alignment horizontal="left" vertical="center" wrapText="1" indent="1"/>
    </xf>
    <xf numFmtId="0" fontId="23" fillId="0" borderId="929" xfId="15" applyFont="1" applyBorder="1" applyAlignment="1">
      <alignment horizontal="left" vertical="center" wrapText="1" indent="1"/>
    </xf>
    <xf numFmtId="0" fontId="22" fillId="0" borderId="927" xfId="15" applyFont="1" applyBorder="1" applyAlignment="1">
      <alignment horizontal="left" vertical="center" wrapText="1" indent="1"/>
    </xf>
    <xf numFmtId="0" fontId="22" fillId="0" borderId="928" xfId="15" applyFont="1" applyBorder="1" applyAlignment="1">
      <alignment horizontal="left" vertical="center" wrapText="1" indent="1"/>
    </xf>
    <xf numFmtId="0" fontId="61" fillId="0" borderId="928" xfId="15" applyFont="1" applyBorder="1" applyAlignment="1">
      <alignment horizontal="left" vertical="center" wrapText="1" indent="1"/>
    </xf>
    <xf numFmtId="0" fontId="23" fillId="0" borderId="737" xfId="15" applyFont="1" applyBorder="1" applyAlignment="1">
      <alignment horizontal="center" vertical="center" wrapText="1"/>
    </xf>
    <xf numFmtId="0" fontId="23" fillId="0" borderId="662" xfId="15" applyFont="1" applyBorder="1" applyAlignment="1">
      <alignment horizontal="center" vertical="center" wrapText="1"/>
    </xf>
    <xf numFmtId="0" fontId="23" fillId="0" borderId="738" xfId="15" applyFont="1" applyBorder="1" applyAlignment="1">
      <alignment horizontal="center" vertical="center" wrapText="1"/>
    </xf>
    <xf numFmtId="0" fontId="23" fillId="13" borderId="928" xfId="15" applyFont="1" applyFill="1" applyBorder="1" applyAlignment="1">
      <alignment horizontal="left" vertical="center" wrapText="1" indent="1"/>
    </xf>
    <xf numFmtId="0" fontId="87" fillId="0" borderId="928" xfId="15" applyFont="1" applyBorder="1" applyAlignment="1">
      <alignment horizontal="center" vertical="center" wrapText="1"/>
    </xf>
    <xf numFmtId="0" fontId="100" fillId="0" borderId="737" xfId="15" applyFont="1" applyBorder="1" applyAlignment="1">
      <alignment horizontal="left" vertical="center" wrapText="1" indent="1"/>
    </xf>
    <xf numFmtId="0" fontId="100" fillId="0" borderId="662" xfId="15" applyFont="1" applyBorder="1" applyAlignment="1">
      <alignment horizontal="left" vertical="center" wrapText="1" indent="1"/>
    </xf>
    <xf numFmtId="0" fontId="100" fillId="0" borderId="738" xfId="15" applyFont="1" applyBorder="1" applyAlignment="1">
      <alignment horizontal="left" vertical="center" wrapText="1" indent="1"/>
    </xf>
    <xf numFmtId="0" fontId="100" fillId="0" borderId="674" xfId="15" applyFont="1" applyBorder="1" applyAlignment="1">
      <alignment horizontal="left" vertical="center" wrapText="1" indent="1"/>
    </xf>
    <xf numFmtId="0" fontId="128" fillId="2" borderId="755" xfId="15" applyFont="1" applyFill="1" applyBorder="1" applyAlignment="1">
      <alignment horizontal="center" vertical="center" textRotation="90" wrapText="1"/>
    </xf>
    <xf numFmtId="0" fontId="100" fillId="0" borderId="770" xfId="15" applyFont="1" applyBorder="1" applyAlignment="1">
      <alignment horizontal="left" vertical="center" wrapText="1" indent="1"/>
    </xf>
    <xf numFmtId="0" fontId="23" fillId="0" borderId="674" xfId="15" applyFont="1" applyBorder="1" applyAlignment="1">
      <alignment horizontal="center" vertical="center" wrapText="1"/>
    </xf>
    <xf numFmtId="0" fontId="23" fillId="0" borderId="770" xfId="15" applyFont="1" applyBorder="1" applyAlignment="1">
      <alignment horizontal="center" vertical="center" wrapText="1"/>
    </xf>
    <xf numFmtId="0" fontId="128" fillId="2" borderId="864" xfId="15" applyFont="1" applyFill="1" applyBorder="1" applyAlignment="1">
      <alignment horizontal="center" vertical="center" textRotation="90" wrapText="1"/>
    </xf>
    <xf numFmtId="0" fontId="106" fillId="0" borderId="928" xfId="15" applyFont="1" applyBorder="1" applyAlignment="1">
      <alignment horizontal="center" vertical="center" wrapText="1"/>
    </xf>
    <xf numFmtId="0" fontId="23" fillId="0" borderId="928" xfId="15" applyFont="1" applyBorder="1" applyAlignment="1">
      <alignment horizontal="center" vertical="center" wrapText="1"/>
    </xf>
    <xf numFmtId="0" fontId="106" fillId="3" borderId="737" xfId="15" applyFont="1" applyFill="1" applyBorder="1" applyAlignment="1">
      <alignment horizontal="center" vertical="center" wrapText="1"/>
    </xf>
    <xf numFmtId="0" fontId="23" fillId="3" borderId="737" xfId="15" applyFont="1" applyFill="1" applyBorder="1" applyAlignment="1">
      <alignment horizontal="left" vertical="center" wrapText="1" indent="1"/>
    </xf>
    <xf numFmtId="0" fontId="23" fillId="3" borderId="738" xfId="15" applyFont="1" applyFill="1" applyBorder="1" applyAlignment="1">
      <alignment horizontal="left" vertical="center" wrapText="1" indent="1"/>
    </xf>
    <xf numFmtId="0" fontId="106" fillId="3" borderId="738" xfId="15" applyFont="1" applyFill="1" applyBorder="1" applyAlignment="1">
      <alignment horizontal="center" vertical="center" wrapText="1"/>
    </xf>
    <xf numFmtId="0" fontId="100" fillId="3" borderId="737" xfId="15" applyFont="1" applyFill="1" applyBorder="1" applyAlignment="1">
      <alignment horizontal="left" vertical="center" wrapText="1" indent="1"/>
    </xf>
    <xf numFmtId="0" fontId="100" fillId="3" borderId="662" xfId="15" applyFont="1" applyFill="1" applyBorder="1" applyAlignment="1">
      <alignment horizontal="left" vertical="center" wrapText="1" indent="1"/>
    </xf>
    <xf numFmtId="0" fontId="100" fillId="3" borderId="738" xfId="15" applyFont="1" applyFill="1" applyBorder="1" applyAlignment="1">
      <alignment horizontal="left" vertical="center" wrapText="1" indent="1"/>
    </xf>
    <xf numFmtId="0" fontId="100" fillId="3" borderId="770" xfId="15" applyFont="1" applyFill="1" applyBorder="1" applyAlignment="1">
      <alignment horizontal="left" vertical="center" wrapText="1" indent="1"/>
    </xf>
    <xf numFmtId="0" fontId="23" fillId="3" borderId="928" xfId="15" applyFont="1" applyFill="1" applyBorder="1" applyAlignment="1">
      <alignment horizontal="left" vertical="center" wrapText="1" indent="1"/>
    </xf>
    <xf numFmtId="0" fontId="135" fillId="0" borderId="737" xfId="15" applyFont="1" applyBorder="1" applyAlignment="1">
      <alignment horizontal="left" vertical="center" wrapText="1" indent="1"/>
    </xf>
    <xf numFmtId="0" fontId="135" fillId="0" borderId="662" xfId="15" applyFont="1" applyBorder="1" applyAlignment="1">
      <alignment horizontal="left" vertical="center" wrapText="1" indent="1"/>
    </xf>
    <xf numFmtId="0" fontId="135" fillId="0" borderId="738" xfId="15" applyFont="1" applyBorder="1" applyAlignment="1">
      <alignment horizontal="left" vertical="center" wrapText="1" indent="1"/>
    </xf>
    <xf numFmtId="0" fontId="83" fillId="0" borderId="737" xfId="15" applyFont="1" applyBorder="1" applyAlignment="1">
      <alignment horizontal="left" vertical="center" wrapText="1" indent="1"/>
    </xf>
    <xf numFmtId="0" fontId="83" fillId="0" borderId="662" xfId="15" applyFont="1" applyBorder="1" applyAlignment="1">
      <alignment horizontal="left" vertical="center" wrapText="1" indent="1"/>
    </xf>
    <xf numFmtId="0" fontId="83" fillId="0" borderId="738" xfId="15" applyFont="1" applyBorder="1" applyAlignment="1">
      <alignment horizontal="left" vertical="center" wrapText="1" indent="1"/>
    </xf>
    <xf numFmtId="0" fontId="23" fillId="0" borderId="737" xfId="15" quotePrefix="1" applyFont="1" applyBorder="1" applyAlignment="1">
      <alignment horizontal="left" vertical="center" wrapText="1" indent="1"/>
    </xf>
    <xf numFmtId="0" fontId="23" fillId="3" borderId="674" xfId="15" applyFont="1" applyFill="1" applyBorder="1" applyAlignment="1">
      <alignment horizontal="center" vertical="center" wrapText="1"/>
    </xf>
    <xf numFmtId="0" fontId="23" fillId="3" borderId="662" xfId="15" applyFont="1" applyFill="1" applyBorder="1" applyAlignment="1">
      <alignment horizontal="center" vertical="center" wrapText="1"/>
    </xf>
    <xf numFmtId="0" fontId="23" fillId="3" borderId="738" xfId="15" applyFont="1" applyFill="1" applyBorder="1" applyAlignment="1">
      <alignment horizontal="center" vertical="center" wrapText="1"/>
    </xf>
    <xf numFmtId="0" fontId="23" fillId="3" borderId="673" xfId="15" applyFont="1" applyFill="1" applyBorder="1" applyAlignment="1">
      <alignment horizontal="left" vertical="center" wrapText="1" indent="1"/>
    </xf>
    <xf numFmtId="0" fontId="23" fillId="3" borderId="761" xfId="15" applyFont="1" applyFill="1" applyBorder="1" applyAlignment="1">
      <alignment horizontal="left" vertical="center" wrapText="1" indent="1"/>
    </xf>
    <xf numFmtId="0" fontId="23" fillId="3" borderId="768" xfId="15" applyFont="1" applyFill="1" applyBorder="1" applyAlignment="1">
      <alignment horizontal="left" vertical="center" wrapText="1" indent="1"/>
    </xf>
    <xf numFmtId="0" fontId="23" fillId="3" borderId="771" xfId="15" applyFont="1" applyFill="1" applyBorder="1" applyAlignment="1">
      <alignment horizontal="left" vertical="center" wrapText="1" indent="1"/>
    </xf>
    <xf numFmtId="0" fontId="23" fillId="3" borderId="770" xfId="15" applyFont="1" applyFill="1" applyBorder="1" applyAlignment="1">
      <alignment horizontal="center" vertical="center" wrapText="1"/>
    </xf>
    <xf numFmtId="0" fontId="23" fillId="3" borderId="766" xfId="15" applyFont="1" applyFill="1" applyBorder="1" applyAlignment="1">
      <alignment horizontal="left" vertical="center" wrapText="1" indent="1"/>
    </xf>
    <xf numFmtId="0" fontId="23" fillId="0" borderId="669" xfId="15" applyFont="1" applyBorder="1" applyAlignment="1">
      <alignment horizontal="left" vertical="center" wrapText="1" indent="1"/>
    </xf>
    <xf numFmtId="0" fontId="23" fillId="0" borderId="826" xfId="15" applyFont="1" applyBorder="1" applyAlignment="1">
      <alignment horizontal="left" vertical="center" wrapText="1" indent="1"/>
    </xf>
    <xf numFmtId="0" fontId="23" fillId="3" borderId="737" xfId="15" applyFont="1" applyFill="1" applyBorder="1" applyAlignment="1">
      <alignment horizontal="center" vertical="center" wrapText="1"/>
    </xf>
    <xf numFmtId="0" fontId="23" fillId="0" borderId="829" xfId="15" applyFont="1" applyBorder="1" applyAlignment="1">
      <alignment horizontal="left" vertical="center" wrapText="1" indent="1"/>
    </xf>
    <xf numFmtId="0" fontId="29" fillId="0" borderId="737" xfId="15" applyFont="1" applyBorder="1" applyAlignment="1">
      <alignment horizontal="left" vertical="center" wrapText="1" indent="1"/>
    </xf>
    <xf numFmtId="0" fontId="29" fillId="0" borderId="662" xfId="15" applyFont="1" applyBorder="1" applyAlignment="1">
      <alignment horizontal="left" vertical="center" wrapText="1" indent="1"/>
    </xf>
    <xf numFmtId="0" fontId="29" fillId="0" borderId="738" xfId="15" applyFont="1" applyBorder="1" applyAlignment="1">
      <alignment horizontal="left" vertical="center" wrapText="1" indent="1"/>
    </xf>
    <xf numFmtId="0" fontId="22" fillId="3" borderId="766" xfId="15" applyFont="1" applyFill="1" applyBorder="1" applyAlignment="1">
      <alignment horizontal="left" vertical="center" wrapText="1" indent="1"/>
    </xf>
    <xf numFmtId="0" fontId="22" fillId="3" borderId="768" xfId="15" applyFont="1" applyFill="1" applyBorder="1" applyAlignment="1">
      <alignment horizontal="left" vertical="center" wrapText="1" indent="1"/>
    </xf>
    <xf numFmtId="0" fontId="22" fillId="3" borderId="673" xfId="15" applyFont="1" applyFill="1" applyBorder="1" applyAlignment="1">
      <alignment horizontal="left" vertical="center" wrapText="1" indent="1"/>
    </xf>
    <xf numFmtId="0" fontId="22" fillId="3" borderId="761" xfId="15" applyFont="1" applyFill="1" applyBorder="1" applyAlignment="1">
      <alignment horizontal="left" vertical="center" wrapText="1" indent="1"/>
    </xf>
    <xf numFmtId="0" fontId="22" fillId="3" borderId="771" xfId="15" applyFont="1" applyFill="1" applyBorder="1" applyAlignment="1">
      <alignment horizontal="left" vertical="center" wrapText="1" indent="1"/>
    </xf>
    <xf numFmtId="0" fontId="23" fillId="3" borderId="929" xfId="15" applyFont="1" applyFill="1" applyBorder="1" applyAlignment="1">
      <alignment horizontal="left" vertical="center" wrapText="1" indent="1"/>
    </xf>
    <xf numFmtId="0" fontId="23" fillId="3" borderId="928" xfId="15" applyFont="1" applyFill="1" applyBorder="1" applyAlignment="1">
      <alignment horizontal="center" vertical="center" wrapText="1"/>
    </xf>
    <xf numFmtId="0" fontId="130" fillId="2" borderId="427" xfId="15" applyFont="1" applyFill="1" applyBorder="1" applyAlignment="1">
      <alignment horizontal="center" vertical="center" wrapText="1"/>
    </xf>
    <xf numFmtId="0" fontId="5" fillId="0" borderId="344" xfId="15" applyFont="1" applyAlignment="1">
      <alignment horizontal="center" vertical="center"/>
    </xf>
    <xf numFmtId="0" fontId="126" fillId="0" borderId="344" xfId="15" applyFont="1" applyAlignment="1">
      <alignment horizontal="center" vertical="center"/>
    </xf>
    <xf numFmtId="0" fontId="10" fillId="0" borderId="344" xfId="15" applyFont="1" applyAlignment="1">
      <alignment horizontal="center" vertical="center"/>
    </xf>
    <xf numFmtId="0" fontId="127" fillId="0" borderId="344" xfId="15" applyFont="1" applyAlignment="1">
      <alignment horizontal="center" vertical="center"/>
    </xf>
    <xf numFmtId="0" fontId="9" fillId="2" borderId="215" xfId="15" applyFont="1" applyFill="1" applyBorder="1" applyAlignment="1">
      <alignment horizontal="center" vertical="center" textRotation="90"/>
    </xf>
    <xf numFmtId="0" fontId="297" fillId="0" borderId="384" xfId="15" applyFont="1" applyBorder="1" applyAlignment="1"/>
    <xf numFmtId="0" fontId="297" fillId="0" borderId="864" xfId="15" applyFont="1" applyBorder="1" applyAlignment="1"/>
    <xf numFmtId="49" fontId="71" fillId="5" borderId="487" xfId="15" applyNumberFormat="1" applyFont="1" applyFill="1" applyBorder="1" applyAlignment="1">
      <alignment horizontal="center" vertical="center" wrapText="1"/>
    </xf>
    <xf numFmtId="0" fontId="297" fillId="0" borderId="502" xfId="15" applyFont="1" applyBorder="1" applyAlignment="1"/>
    <xf numFmtId="0" fontId="9" fillId="11" borderId="506" xfId="15" applyFont="1" applyFill="1" applyBorder="1" applyAlignment="1">
      <alignment horizontal="center" vertical="center" wrapText="1"/>
    </xf>
    <xf numFmtId="0" fontId="297" fillId="0" borderId="892" xfId="15" applyFont="1" applyBorder="1" applyAlignment="1"/>
    <xf numFmtId="0" fontId="9" fillId="9" borderId="503" xfId="15" applyFont="1" applyFill="1" applyBorder="1" applyAlignment="1">
      <alignment horizontal="center" vertical="center" wrapText="1"/>
    </xf>
    <xf numFmtId="0" fontId="297" fillId="0" borderId="888" xfId="15" applyFont="1" applyBorder="1" applyAlignment="1"/>
    <xf numFmtId="0" fontId="9" fillId="10" borderId="491" xfId="15" applyFont="1" applyFill="1" applyBorder="1" applyAlignment="1">
      <alignment horizontal="center" vertical="center" wrapText="1"/>
    </xf>
    <xf numFmtId="0" fontId="297" fillId="0" borderId="889" xfId="15" applyFont="1" applyBorder="1" applyAlignment="1"/>
    <xf numFmtId="0" fontId="9" fillId="12" borderId="64" xfId="15" applyFont="1" applyFill="1" applyBorder="1" applyAlignment="1">
      <alignment horizontal="center" vertical="center" wrapText="1"/>
    </xf>
    <xf numFmtId="0" fontId="297" fillId="0" borderId="896" xfId="15" applyFont="1" applyBorder="1" applyAlignment="1"/>
    <xf numFmtId="0" fontId="9" fillId="11" borderId="497" xfId="15" applyFont="1" applyFill="1" applyBorder="1" applyAlignment="1">
      <alignment horizontal="center" vertical="center" wrapText="1"/>
    </xf>
    <xf numFmtId="0" fontId="297" fillId="0" borderId="891" xfId="15" applyFont="1" applyBorder="1" applyAlignment="1"/>
    <xf numFmtId="0" fontId="297" fillId="0" borderId="497" xfId="15" applyFont="1" applyBorder="1" applyAlignment="1"/>
    <xf numFmtId="0" fontId="71" fillId="6" borderId="490" xfId="15" applyFont="1" applyFill="1" applyBorder="1" applyAlignment="1">
      <alignment horizontal="center" vertical="center" wrapText="1"/>
    </xf>
    <xf numFmtId="0" fontId="297" fillId="0" borderId="490" xfId="15" applyFont="1" applyBorder="1" applyAlignment="1"/>
    <xf numFmtId="0" fontId="71" fillId="7" borderId="493" xfId="15" applyFont="1" applyFill="1" applyBorder="1" applyAlignment="1">
      <alignment horizontal="center" vertical="center" wrapText="1"/>
    </xf>
    <xf numFmtId="0" fontId="297" fillId="0" borderId="494" xfId="15" applyFont="1" applyBorder="1" applyAlignment="1"/>
    <xf numFmtId="0" fontId="297" fillId="0" borderId="505" xfId="15" applyFont="1" applyBorder="1" applyAlignment="1"/>
    <xf numFmtId="0" fontId="71" fillId="8" borderId="57" xfId="15" applyFont="1" applyFill="1" applyBorder="1" applyAlignment="1">
      <alignment horizontal="center" vertical="center" wrapText="1"/>
    </xf>
    <xf numFmtId="0" fontId="297" fillId="0" borderId="250" xfId="15" applyFont="1" applyBorder="1" applyAlignment="1"/>
    <xf numFmtId="0" fontId="297" fillId="0" borderId="58" xfId="15" applyFont="1" applyBorder="1" applyAlignment="1"/>
    <xf numFmtId="0" fontId="9" fillId="12" borderId="61" xfId="15" applyFont="1" applyFill="1" applyBorder="1" applyAlignment="1">
      <alignment horizontal="center" vertical="center" wrapText="1"/>
    </xf>
    <xf numFmtId="0" fontId="297" fillId="0" borderId="251" xfId="15" applyFont="1" applyBorder="1" applyAlignment="1"/>
    <xf numFmtId="0" fontId="297" fillId="0" borderId="62" xfId="15" applyFont="1" applyBorder="1" applyAlignment="1"/>
    <xf numFmtId="0" fontId="9" fillId="12" borderId="63" xfId="15" applyFont="1" applyFill="1" applyBorder="1" applyAlignment="1">
      <alignment horizontal="center" vertical="center" wrapText="1"/>
    </xf>
    <xf numFmtId="0" fontId="9" fillId="12" borderId="251" xfId="15" applyFont="1" applyFill="1" applyBorder="1" applyAlignment="1">
      <alignment horizontal="center" vertical="center" wrapText="1"/>
    </xf>
    <xf numFmtId="0" fontId="9" fillId="12" borderId="62" xfId="15" applyFont="1" applyFill="1" applyBorder="1" applyAlignment="1">
      <alignment horizontal="center" vertical="center" wrapText="1"/>
    </xf>
    <xf numFmtId="0" fontId="9" fillId="9" borderId="488" xfId="15" applyFont="1" applyFill="1" applyBorder="1" applyAlignment="1">
      <alignment horizontal="center" vertical="center" wrapText="1"/>
    </xf>
    <xf numFmtId="0" fontId="297" fillId="0" borderId="887" xfId="15" applyFont="1" applyBorder="1" applyAlignment="1"/>
    <xf numFmtId="0" fontId="128" fillId="2" borderId="359" xfId="15" applyFont="1" applyFill="1" applyBorder="1" applyAlignment="1">
      <alignment horizontal="center" vertical="center" textRotation="90" wrapText="1"/>
    </xf>
    <xf numFmtId="0" fontId="9" fillId="11" borderId="496" xfId="15" applyFont="1" applyFill="1" applyBorder="1" applyAlignment="1">
      <alignment horizontal="center" vertical="center" wrapText="1"/>
    </xf>
    <xf numFmtId="0" fontId="297" fillId="0" borderId="890" xfId="15" applyFont="1" applyBorder="1" applyAlignment="1"/>
    <xf numFmtId="0" fontId="96" fillId="0" borderId="801" xfId="0" applyFont="1" applyBorder="1" applyAlignment="1">
      <alignment horizontal="left" wrapText="1" indent="1"/>
    </xf>
    <xf numFmtId="0" fontId="96" fillId="0" borderId="806" xfId="0" applyFont="1" applyBorder="1" applyAlignment="1">
      <alignment horizontal="left" wrapText="1" indent="1"/>
    </xf>
    <xf numFmtId="0" fontId="24" fillId="0" borderId="842" xfId="0" applyFont="1" applyBorder="1" applyAlignment="1">
      <alignment horizontal="left" vertical="center" wrapText="1" indent="1"/>
    </xf>
    <xf numFmtId="0" fontId="96" fillId="0" borderId="832" xfId="0" applyFont="1" applyBorder="1" applyAlignment="1">
      <alignment horizontal="left" vertical="center" wrapText="1" indent="1"/>
    </xf>
    <xf numFmtId="0" fontId="96" fillId="0" borderId="836" xfId="0" applyFont="1" applyBorder="1" applyAlignment="1">
      <alignment horizontal="left" vertical="center" wrapText="1" indent="1"/>
    </xf>
    <xf numFmtId="0" fontId="96" fillId="0" borderId="828" xfId="0" applyFont="1" applyBorder="1" applyAlignment="1">
      <alignment horizontal="left" vertical="center" wrapText="1" indent="1"/>
    </xf>
    <xf numFmtId="0" fontId="24" fillId="0" borderId="842" xfId="0" applyFont="1" applyBorder="1" applyAlignment="1">
      <alignment horizontal="left" vertical="center" wrapText="1" indent="2"/>
    </xf>
    <xf numFmtId="0" fontId="24" fillId="0" borderId="836" xfId="0" applyFont="1" applyBorder="1" applyAlignment="1">
      <alignment horizontal="left" vertical="center" wrapText="1" indent="2"/>
    </xf>
    <xf numFmtId="0" fontId="24" fillId="0" borderId="828" xfId="0" applyFont="1" applyBorder="1" applyAlignment="1">
      <alignment horizontal="left" vertical="center" wrapText="1" indent="2"/>
    </xf>
    <xf numFmtId="0" fontId="96" fillId="0" borderId="662" xfId="0" applyFont="1" applyBorder="1" applyAlignment="1">
      <alignment horizontal="left" vertical="center" wrapText="1" indent="1"/>
    </xf>
    <xf numFmtId="0" fontId="96" fillId="0" borderId="770" xfId="0" applyFont="1" applyBorder="1" applyAlignment="1">
      <alignment horizontal="left" vertical="center" wrapText="1" indent="1"/>
    </xf>
    <xf numFmtId="0" fontId="96" fillId="0" borderId="738" xfId="0" applyFont="1" applyBorder="1" applyAlignment="1">
      <alignment horizontal="left" vertical="center" wrapText="1" indent="1"/>
    </xf>
    <xf numFmtId="0" fontId="96" fillId="0" borderId="761" xfId="0" applyFont="1" applyBorder="1" applyAlignment="1">
      <alignment horizontal="left" vertical="center" wrapText="1" indent="1"/>
    </xf>
    <xf numFmtId="0" fontId="96" fillId="0" borderId="768" xfId="0" applyFont="1" applyBorder="1" applyAlignment="1">
      <alignment horizontal="left" vertical="center" wrapText="1" indent="1"/>
    </xf>
    <xf numFmtId="1" fontId="54" fillId="0" borderId="738" xfId="0" applyNumberFormat="1" applyFont="1" applyBorder="1" applyAlignment="1">
      <alignment horizontal="center" vertical="center" wrapText="1"/>
    </xf>
    <xf numFmtId="0" fontId="34" fillId="0" borderId="737" xfId="0" applyFont="1" applyBorder="1" applyAlignment="1">
      <alignment horizontal="center" vertical="center" wrapText="1"/>
    </xf>
    <xf numFmtId="0" fontId="99" fillId="0" borderId="662" xfId="0" applyFont="1" applyBorder="1" applyAlignment="1">
      <alignment horizontal="center" vertical="center" wrapText="1"/>
    </xf>
    <xf numFmtId="0" fontId="99" fillId="0" borderId="738" xfId="0" applyFont="1" applyBorder="1" applyAlignment="1">
      <alignment horizontal="center" vertical="center" wrapText="1"/>
    </xf>
    <xf numFmtId="0" fontId="34" fillId="0" borderId="674" xfId="0" applyFont="1" applyBorder="1" applyAlignment="1">
      <alignment horizontal="center" vertical="center" wrapText="1"/>
    </xf>
    <xf numFmtId="0" fontId="99" fillId="0" borderId="770" xfId="0" applyFont="1" applyBorder="1" applyAlignment="1">
      <alignment horizontal="center" vertical="center" wrapText="1"/>
    </xf>
    <xf numFmtId="0" fontId="96" fillId="0" borderId="771" xfId="0" applyFont="1" applyBorder="1" applyAlignment="1">
      <alignment horizontal="left" vertical="center" wrapText="1" indent="1"/>
    </xf>
    <xf numFmtId="0" fontId="96" fillId="0" borderId="804" xfId="0" applyFont="1" applyBorder="1" applyAlignment="1">
      <alignment horizontal="left" vertical="center" wrapText="1" indent="1"/>
    </xf>
    <xf numFmtId="0" fontId="96" fillId="0" borderId="811" xfId="0" applyFont="1" applyBorder="1" applyAlignment="1">
      <alignment horizontal="left" vertical="center" wrapText="1" indent="1"/>
    </xf>
    <xf numFmtId="0" fontId="96" fillId="0" borderId="805" xfId="0" applyFont="1" applyBorder="1" applyAlignment="1">
      <alignment horizontal="left" vertical="center" wrapText="1" indent="1"/>
    </xf>
    <xf numFmtId="0" fontId="316" fillId="0" borderId="384" xfId="0" applyFont="1" applyBorder="1" applyAlignment="1">
      <alignment wrapText="1"/>
    </xf>
    <xf numFmtId="0" fontId="96" fillId="0" borderId="813" xfId="0" applyFont="1" applyBorder="1" applyAlignment="1">
      <alignment horizontal="left" wrapText="1" indent="1"/>
    </xf>
    <xf numFmtId="0" fontId="96" fillId="0" borderId="801" xfId="0" applyFont="1" applyBorder="1" applyAlignment="1">
      <alignment wrapText="1"/>
    </xf>
    <xf numFmtId="0" fontId="96" fillId="0" borderId="806" xfId="0" applyFont="1" applyBorder="1" applyAlignment="1">
      <alignment wrapText="1"/>
    </xf>
    <xf numFmtId="0" fontId="96" fillId="0" borderId="813" xfId="0" applyFont="1" applyBorder="1" applyAlignment="1">
      <alignment wrapText="1"/>
    </xf>
    <xf numFmtId="4" fontId="35" fillId="2" borderId="213" xfId="0" applyNumberFormat="1" applyFont="1" applyFill="1" applyBorder="1" applyAlignment="1">
      <alignment horizontal="left" vertical="center" wrapText="1" indent="1"/>
    </xf>
    <xf numFmtId="0" fontId="104" fillId="0" borderId="350" xfId="0" applyFont="1" applyBorder="1" applyAlignment="1">
      <alignment wrapText="1" indent="1"/>
    </xf>
    <xf numFmtId="4" fontId="35" fillId="2" borderId="117" xfId="0" applyNumberFormat="1" applyFont="1" applyFill="1" applyBorder="1" applyAlignment="1">
      <alignment horizontal="center" vertical="center" wrapText="1"/>
    </xf>
    <xf numFmtId="0" fontId="104" fillId="0" borderId="350" xfId="0" applyFont="1" applyBorder="1" applyAlignment="1">
      <alignment wrapText="1"/>
    </xf>
    <xf numFmtId="0" fontId="104" fillId="0" borderId="300" xfId="0" applyFont="1" applyBorder="1" applyAlignment="1">
      <alignment wrapText="1"/>
    </xf>
    <xf numFmtId="1" fontId="54" fillId="4" borderId="737" xfId="0" applyNumberFormat="1" applyFont="1" applyFill="1" applyBorder="1" applyAlignment="1">
      <alignment horizontal="center" vertical="center" wrapText="1"/>
    </xf>
    <xf numFmtId="0" fontId="305" fillId="3" borderId="550" xfId="0" applyFont="1" applyFill="1" applyBorder="1" applyAlignment="1">
      <alignment horizontal="left" vertical="center" wrapText="1" indent="1"/>
    </xf>
    <xf numFmtId="0" fontId="103" fillId="3" borderId="551" xfId="0" applyFont="1" applyFill="1" applyBorder="1" applyAlignment="1">
      <alignment horizontal="left" vertical="center" wrapText="1" indent="1"/>
    </xf>
    <xf numFmtId="0" fontId="136" fillId="3" borderId="478" xfId="0" applyFont="1" applyFill="1" applyBorder="1" applyAlignment="1">
      <alignment horizontal="left" vertical="center" wrapText="1" indent="1"/>
    </xf>
    <xf numFmtId="0" fontId="136" fillId="3" borderId="479" xfId="0" applyFont="1" applyFill="1" applyBorder="1" applyAlignment="1">
      <alignment horizontal="left" vertical="center" wrapText="1" indent="1"/>
    </xf>
    <xf numFmtId="0" fontId="103" fillId="3" borderId="550" xfId="0" applyFont="1" applyFill="1" applyBorder="1" applyAlignment="1">
      <alignment horizontal="left" vertical="center" wrapText="1" indent="1"/>
    </xf>
    <xf numFmtId="0" fontId="136" fillId="3" borderId="399" xfId="0" applyFont="1" applyFill="1" applyBorder="1" applyAlignment="1">
      <alignment horizontal="left" vertical="center" wrapText="1" indent="1"/>
    </xf>
    <xf numFmtId="0" fontId="136" fillId="3" borderId="344" xfId="0" applyFont="1" applyFill="1" applyBorder="1" applyAlignment="1">
      <alignment horizontal="left" vertical="center" wrapText="1" indent="1"/>
    </xf>
    <xf numFmtId="0" fontId="142" fillId="3" borderId="399" xfId="0" applyFont="1" applyFill="1" applyBorder="1" applyAlignment="1">
      <alignment horizontal="center" vertical="center" wrapText="1"/>
    </xf>
    <xf numFmtId="0" fontId="142" fillId="3" borderId="0" xfId="0" applyFont="1" applyFill="1" applyAlignment="1">
      <alignment horizontal="center" vertical="center" wrapText="1"/>
    </xf>
    <xf numFmtId="0" fontId="142" fillId="3" borderId="310" xfId="0" applyFont="1" applyFill="1" applyBorder="1" applyAlignment="1">
      <alignment horizontal="center" vertical="center" wrapText="1"/>
    </xf>
    <xf numFmtId="0" fontId="305" fillId="3" borderId="547" xfId="0" applyFont="1" applyFill="1" applyBorder="1" applyAlignment="1">
      <alignment horizontal="left" vertical="center" wrapText="1" indent="1"/>
    </xf>
    <xf numFmtId="0" fontId="103" fillId="3" borderId="548" xfId="0" applyFont="1" applyFill="1" applyBorder="1" applyAlignment="1">
      <alignment horizontal="left" vertical="center" wrapText="1" indent="1"/>
    </xf>
    <xf numFmtId="4" fontId="35" fillId="2" borderId="350" xfId="0" applyNumberFormat="1" applyFont="1" applyFill="1" applyBorder="1" applyAlignment="1">
      <alignment horizontal="left" vertical="center" wrapText="1" indent="1"/>
    </xf>
    <xf numFmtId="4" fontId="45" fillId="2" borderId="117" xfId="0" applyNumberFormat="1" applyFont="1" applyFill="1" applyBorder="1" applyAlignment="1">
      <alignment horizontal="center" vertical="center" wrapText="1"/>
    </xf>
    <xf numFmtId="0" fontId="138" fillId="0" borderId="350" xfId="0" applyFont="1" applyBorder="1" applyAlignment="1">
      <alignment wrapText="1"/>
    </xf>
    <xf numFmtId="0" fontId="138" fillId="0" borderId="300" xfId="0" applyFont="1" applyBorder="1" applyAlignment="1">
      <alignment wrapText="1"/>
    </xf>
    <xf numFmtId="0" fontId="98" fillId="0" borderId="327" xfId="0" applyFont="1" applyBorder="1" applyAlignment="1">
      <alignment wrapText="1" indent="1"/>
    </xf>
    <xf numFmtId="0" fontId="98" fillId="0" borderId="327" xfId="0" applyFont="1" applyBorder="1" applyAlignment="1">
      <alignment wrapText="1"/>
    </xf>
    <xf numFmtId="0" fontId="98" fillId="0" borderId="312" xfId="0" applyFont="1" applyBorder="1" applyAlignment="1">
      <alignment wrapText="1"/>
    </xf>
    <xf numFmtId="0" fontId="32" fillId="0" borderId="0" xfId="0" applyFont="1" applyAlignment="1">
      <alignment horizontal="left" vertical="center" wrapText="1"/>
    </xf>
    <xf numFmtId="0" fontId="120" fillId="0" borderId="0" xfId="0" applyFont="1" applyAlignment="1">
      <alignment wrapText="1"/>
    </xf>
    <xf numFmtId="0" fontId="194" fillId="0" borderId="0" xfId="0" applyFont="1" applyAlignment="1">
      <alignment horizontal="center" vertical="center" wrapText="1"/>
    </xf>
    <xf numFmtId="0" fontId="275" fillId="0" borderId="0" xfId="0" applyFont="1" applyAlignment="1">
      <alignment wrapText="1"/>
    </xf>
    <xf numFmtId="0" fontId="166" fillId="0" borderId="0" xfId="0" applyFont="1" applyAlignment="1">
      <alignment horizontal="center" vertical="center" wrapText="1"/>
    </xf>
    <xf numFmtId="0" fontId="142" fillId="3" borderId="398" xfId="0" applyFont="1" applyFill="1" applyBorder="1" applyAlignment="1">
      <alignment horizontal="center" vertical="center" wrapText="1"/>
    </xf>
    <xf numFmtId="0" fontId="142" fillId="3" borderId="545" xfId="0" applyFont="1" applyFill="1" applyBorder="1" applyAlignment="1">
      <alignment horizontal="center" vertical="center" wrapText="1"/>
    </xf>
    <xf numFmtId="0" fontId="142" fillId="3" borderId="546" xfId="0" applyFont="1" applyFill="1" applyBorder="1" applyAlignment="1">
      <alignment horizontal="center" vertical="center" wrapText="1"/>
    </xf>
    <xf numFmtId="0" fontId="103" fillId="3" borderId="547" xfId="0" applyFont="1" applyFill="1" applyBorder="1" applyAlignment="1">
      <alignment horizontal="left" vertical="center" wrapText="1" indent="1"/>
    </xf>
    <xf numFmtId="4" fontId="68" fillId="2" borderId="117" xfId="0" applyNumberFormat="1" applyFont="1" applyFill="1" applyBorder="1" applyAlignment="1">
      <alignment horizontal="center" vertical="center" wrapText="1"/>
    </xf>
    <xf numFmtId="0" fontId="99" fillId="0" borderId="350" xfId="0" applyFont="1" applyBorder="1" applyAlignment="1">
      <alignment wrapText="1"/>
    </xf>
    <xf numFmtId="0" fontId="99" fillId="0" borderId="300" xfId="0" applyFont="1" applyBorder="1" applyAlignment="1">
      <alignment wrapText="1"/>
    </xf>
    <xf numFmtId="0" fontId="316" fillId="0" borderId="359" xfId="0" applyFont="1" applyBorder="1" applyAlignment="1">
      <alignment wrapText="1"/>
    </xf>
    <xf numFmtId="1" fontId="54" fillId="4" borderId="674" xfId="0" applyNumberFormat="1" applyFont="1" applyFill="1" applyBorder="1" applyAlignment="1">
      <alignment horizontal="center" vertical="center" wrapText="1"/>
    </xf>
    <xf numFmtId="0" fontId="297" fillId="0" borderId="66" xfId="0" applyFont="1" applyBorder="1" applyAlignment="1">
      <alignment wrapText="1"/>
    </xf>
    <xf numFmtId="0" fontId="297" fillId="0" borderId="537" xfId="0" applyFont="1" applyBorder="1" applyAlignment="1">
      <alignment wrapText="1"/>
    </xf>
    <xf numFmtId="0" fontId="297" fillId="0" borderId="492" xfId="0" applyFont="1" applyBorder="1" applyAlignment="1">
      <alignment wrapText="1"/>
    </xf>
    <xf numFmtId="0" fontId="297" fillId="0" borderId="499" xfId="0" applyFont="1" applyBorder="1" applyAlignment="1">
      <alignment wrapText="1"/>
    </xf>
    <xf numFmtId="0" fontId="297" fillId="0" borderId="500" xfId="0" applyFont="1" applyBorder="1" applyAlignment="1">
      <alignment wrapText="1"/>
    </xf>
    <xf numFmtId="0" fontId="297" fillId="0" borderId="497" xfId="0" applyFont="1" applyBorder="1" applyAlignment="1">
      <alignment wrapText="1"/>
    </xf>
    <xf numFmtId="0" fontId="297" fillId="0" borderId="507" xfId="0" applyFont="1" applyBorder="1" applyAlignment="1">
      <alignment wrapText="1"/>
    </xf>
    <xf numFmtId="0" fontId="297" fillId="0" borderId="494" xfId="0" applyFont="1" applyBorder="1" applyAlignment="1">
      <alignment wrapText="1"/>
    </xf>
    <xf numFmtId="0" fontId="297" fillId="0" borderId="505" xfId="0" applyFont="1" applyBorder="1" applyAlignment="1">
      <alignment wrapText="1"/>
    </xf>
    <xf numFmtId="0" fontId="297" fillId="0" borderId="250" xfId="0" applyFont="1" applyBorder="1" applyAlignment="1">
      <alignment wrapText="1"/>
    </xf>
    <xf numFmtId="0" fontId="297" fillId="0" borderId="58" xfId="0" applyFont="1" applyBorder="1" applyAlignment="1">
      <alignment wrapText="1"/>
    </xf>
    <xf numFmtId="0" fontId="297" fillId="0" borderId="251" xfId="0" applyFont="1" applyBorder="1" applyAlignment="1">
      <alignment wrapText="1"/>
    </xf>
    <xf numFmtId="0" fontId="297" fillId="0" borderId="62" xfId="0" applyFont="1" applyBorder="1" applyAlignment="1">
      <alignment wrapText="1"/>
    </xf>
    <xf numFmtId="0" fontId="297" fillId="0" borderId="70" xfId="0" applyFont="1" applyBorder="1" applyAlignment="1">
      <alignment wrapText="1"/>
    </xf>
    <xf numFmtId="0" fontId="5" fillId="0" borderId="0" xfId="0" applyFont="1" applyAlignment="1">
      <alignment horizontal="center" vertical="center" wrapText="1"/>
    </xf>
    <xf numFmtId="0" fontId="0" fillId="0" borderId="0" xfId="0" applyAlignment="1">
      <alignment wrapText="1"/>
    </xf>
    <xf numFmtId="0" fontId="126" fillId="0" borderId="0" xfId="0" applyFont="1" applyAlignment="1">
      <alignment horizontal="center" vertical="center" wrapText="1"/>
    </xf>
    <xf numFmtId="0" fontId="188" fillId="0" borderId="0" xfId="0" applyFont="1" applyAlignment="1">
      <alignment wrapText="1"/>
    </xf>
    <xf numFmtId="0" fontId="10" fillId="0" borderId="0" xfId="0" applyFont="1" applyAlignment="1">
      <alignment horizontal="center" vertical="center" wrapText="1"/>
    </xf>
    <xf numFmtId="0" fontId="20" fillId="0" borderId="0" xfId="0" applyFont="1" applyAlignment="1">
      <alignment horizontal="center" vertical="center" wrapText="1"/>
    </xf>
    <xf numFmtId="0" fontId="9" fillId="2" borderId="215" xfId="0" applyFont="1" applyFill="1" applyBorder="1" applyAlignment="1">
      <alignment horizontal="center" vertical="center" textRotation="90" wrapText="1"/>
    </xf>
    <xf numFmtId="0" fontId="297" fillId="0" borderId="384" xfId="0" applyFont="1" applyBorder="1" applyAlignment="1">
      <alignment wrapText="1"/>
    </xf>
    <xf numFmtId="0" fontId="297" fillId="0" borderId="361" xfId="0" applyFont="1" applyBorder="1" applyAlignment="1">
      <alignment wrapText="1"/>
    </xf>
    <xf numFmtId="0" fontId="297" fillId="0" borderId="56" xfId="0" applyFont="1" applyBorder="1" applyAlignment="1">
      <alignment wrapText="1"/>
    </xf>
    <xf numFmtId="0" fontId="297" fillId="0" borderId="490" xfId="0" applyFont="1" applyBorder="1" applyAlignment="1">
      <alignment wrapText="1"/>
    </xf>
    <xf numFmtId="0" fontId="15" fillId="0" borderId="177" xfId="0" applyFont="1" applyBorder="1" applyAlignment="1">
      <alignment horizontal="left" wrapText="1" indent="1"/>
    </xf>
    <xf numFmtId="0" fontId="15" fillId="0" borderId="109" xfId="0" applyFont="1" applyBorder="1" applyAlignment="1">
      <alignment horizontal="left" wrapText="1" indent="1"/>
    </xf>
    <xf numFmtId="0" fontId="24" fillId="0" borderId="147" xfId="0" applyFont="1" applyBorder="1" applyAlignment="1">
      <alignment horizontal="left" vertical="center" wrapText="1" indent="1"/>
    </xf>
    <xf numFmtId="0" fontId="15" fillId="0" borderId="147" xfId="0" applyFont="1" applyBorder="1" applyAlignment="1">
      <alignment horizontal="left" wrapText="1" indent="1"/>
    </xf>
    <xf numFmtId="0" fontId="15" fillId="0" borderId="140" xfId="0" applyFont="1" applyBorder="1" applyAlignment="1">
      <alignment horizontal="left" wrapText="1" indent="1"/>
    </xf>
    <xf numFmtId="0" fontId="15" fillId="0" borderId="212" xfId="0" applyFont="1" applyBorder="1" applyAlignment="1">
      <alignment horizontal="left" wrapText="1" indent="1"/>
    </xf>
    <xf numFmtId="0" fontId="15" fillId="0" borderId="193" xfId="0" applyFont="1" applyBorder="1" applyAlignment="1">
      <alignment horizontal="left" wrapText="1" indent="1"/>
    </xf>
    <xf numFmtId="0" fontId="24" fillId="0" borderId="395" xfId="0" applyFont="1" applyBorder="1" applyAlignment="1">
      <alignment horizontal="left" vertical="center" wrapText="1" indent="1"/>
    </xf>
    <xf numFmtId="0" fontId="38" fillId="0" borderId="147" xfId="0" applyFont="1" applyBorder="1" applyAlignment="1">
      <alignment horizontal="left" vertical="center" wrapText="1" indent="1"/>
    </xf>
    <xf numFmtId="0" fontId="15" fillId="0" borderId="483" xfId="0" applyFont="1" applyBorder="1" applyAlignment="1">
      <alignment horizontal="left" wrapText="1" indent="1"/>
    </xf>
    <xf numFmtId="1" fontId="54" fillId="0" borderId="147" xfId="0" applyNumberFormat="1" applyFont="1" applyBorder="1" applyAlignment="1">
      <alignment horizontal="center" vertical="center" wrapText="1"/>
    </xf>
    <xf numFmtId="0" fontId="15" fillId="0" borderId="147" xfId="0" applyFont="1" applyBorder="1" applyAlignment="1">
      <alignment wrapText="1"/>
    </xf>
    <xf numFmtId="0" fontId="15" fillId="0" borderId="140" xfId="0" applyFont="1" applyBorder="1" applyAlignment="1">
      <alignment wrapText="1"/>
    </xf>
    <xf numFmtId="0" fontId="15" fillId="0" borderId="909" xfId="0" applyFont="1" applyBorder="1" applyAlignment="1">
      <alignment horizontal="left" wrapText="1" indent="1"/>
    </xf>
    <xf numFmtId="0" fontId="24" fillId="0" borderId="391" xfId="0" applyFont="1" applyBorder="1" applyAlignment="1">
      <alignment horizontal="left" vertical="center" wrapText="1" indent="1"/>
    </xf>
    <xf numFmtId="0" fontId="24" fillId="4" borderId="147" xfId="0" applyFont="1" applyFill="1" applyBorder="1" applyAlignment="1">
      <alignment horizontal="left" vertical="center" wrapText="1" indent="1"/>
    </xf>
    <xf numFmtId="0" fontId="54" fillId="0" borderId="147" xfId="0" applyFont="1" applyBorder="1" applyAlignment="1">
      <alignment horizontal="center" vertical="center" wrapText="1"/>
    </xf>
    <xf numFmtId="4" fontId="12" fillId="2" borderId="118" xfId="0" applyNumberFormat="1" applyFont="1" applyFill="1" applyBorder="1" applyAlignment="1">
      <alignment horizontal="left" vertical="center" wrapText="1" indent="1"/>
    </xf>
    <xf numFmtId="0" fontId="52" fillId="47" borderId="118" xfId="0" applyFont="1" applyFill="1" applyBorder="1" applyAlignment="1">
      <alignment horizontal="left" vertical="center" wrapText="1" indent="1"/>
    </xf>
    <xf numFmtId="0" fontId="38" fillId="0" borderId="902" xfId="0" applyFont="1" applyBorder="1" applyAlignment="1">
      <alignment horizontal="left" vertical="center" wrapText="1" indent="1"/>
    </xf>
    <xf numFmtId="0" fontId="38" fillId="0" borderId="899" xfId="0" applyFont="1" applyBorder="1" applyAlignment="1">
      <alignment horizontal="left" vertical="center" wrapText="1" indent="1"/>
    </xf>
    <xf numFmtId="0" fontId="38" fillId="0" borderId="900" xfId="0" applyFont="1" applyBorder="1" applyAlignment="1">
      <alignment horizontal="left" vertical="center" wrapText="1" indent="1"/>
    </xf>
    <xf numFmtId="0" fontId="54" fillId="4" borderId="147" xfId="0" applyFont="1" applyFill="1" applyBorder="1" applyAlignment="1">
      <alignment horizontal="center" vertical="center" wrapText="1"/>
    </xf>
    <xf numFmtId="1" fontId="54" fillId="0" borderId="391" xfId="0" applyNumberFormat="1" applyFont="1" applyBorder="1" applyAlignment="1">
      <alignment horizontal="center" vertical="center" wrapText="1"/>
    </xf>
    <xf numFmtId="0" fontId="15" fillId="0" borderId="909" xfId="0" applyFont="1" applyBorder="1" applyAlignment="1">
      <alignment wrapText="1"/>
    </xf>
    <xf numFmtId="1" fontId="54" fillId="0" borderId="395" xfId="0" applyNumberFormat="1" applyFont="1" applyBorder="1" applyAlignment="1">
      <alignment horizontal="center" vertical="center" wrapText="1"/>
    </xf>
    <xf numFmtId="0" fontId="35" fillId="52" borderId="964" xfId="0" applyFont="1" applyFill="1" applyBorder="1" applyAlignment="1">
      <alignment vertical="center" wrapText="1"/>
    </xf>
    <xf numFmtId="0" fontId="101" fillId="29" borderId="964" xfId="0" applyFont="1" applyFill="1" applyBorder="1" applyAlignment="1">
      <alignment wrapText="1"/>
    </xf>
    <xf numFmtId="0" fontId="99" fillId="29" borderId="1002" xfId="0" applyFont="1" applyFill="1" applyBorder="1" applyAlignment="1">
      <alignment wrapText="1"/>
    </xf>
    <xf numFmtId="0" fontId="15" fillId="0" borderId="910" xfId="0" applyFont="1" applyBorder="1" applyAlignment="1">
      <alignment horizontal="left" wrapText="1" indent="1"/>
    </xf>
    <xf numFmtId="0" fontId="14" fillId="0" borderId="212" xfId="0" applyFont="1" applyBorder="1" applyAlignment="1">
      <alignment horizontal="left" vertical="center" wrapText="1" indent="1"/>
    </xf>
    <xf numFmtId="0" fontId="24" fillId="4" borderId="395" xfId="0" applyFont="1" applyFill="1" applyBorder="1" applyAlignment="1">
      <alignment horizontal="left" vertical="center" wrapText="1" indent="1"/>
    </xf>
    <xf numFmtId="0" fontId="15" fillId="0" borderId="899" xfId="0" applyFont="1" applyBorder="1" applyAlignment="1">
      <alignment horizontal="left" wrapText="1" indent="1"/>
    </xf>
    <xf numFmtId="0" fontId="15" fillId="0" borderId="900" xfId="0" applyFont="1" applyBorder="1" applyAlignment="1">
      <alignment horizontal="left" wrapText="1" indent="1"/>
    </xf>
    <xf numFmtId="0" fontId="54" fillId="0" borderId="391" xfId="0" applyFont="1" applyBorder="1" applyAlignment="1">
      <alignment horizontal="center" vertical="center" wrapText="1"/>
    </xf>
    <xf numFmtId="0" fontId="15" fillId="0" borderId="908" xfId="0" applyFont="1" applyBorder="1" applyAlignment="1">
      <alignment horizontal="left" wrapText="1" indent="1"/>
    </xf>
    <xf numFmtId="0" fontId="87" fillId="29" borderId="964" xfId="0" applyFont="1" applyFill="1" applyBorder="1" applyAlignment="1">
      <alignment wrapText="1"/>
    </xf>
    <xf numFmtId="0" fontId="104" fillId="29" borderId="1002" xfId="0" applyFont="1" applyFill="1" applyBorder="1" applyAlignment="1">
      <alignment wrapText="1"/>
    </xf>
    <xf numFmtId="0" fontId="24" fillId="0" borderId="396" xfId="0" applyFont="1" applyBorder="1" applyAlignment="1">
      <alignment horizontal="left" vertical="center" wrapText="1" indent="1"/>
    </xf>
    <xf numFmtId="0" fontId="38" fillId="0" borderId="395" xfId="0" applyFont="1" applyBorder="1" applyAlignment="1">
      <alignment horizontal="left" vertical="center" wrapText="1" indent="1"/>
    </xf>
    <xf numFmtId="0" fontId="14" fillId="0" borderId="396" xfId="0" applyFont="1" applyBorder="1" applyAlignment="1">
      <alignment horizontal="left" vertical="center" wrapText="1" indent="1"/>
    </xf>
    <xf numFmtId="0" fontId="44" fillId="0" borderId="310" xfId="0" applyFont="1" applyBorder="1" applyAlignment="1">
      <alignment wrapText="1"/>
    </xf>
    <xf numFmtId="0" fontId="44" fillId="0" borderId="912" xfId="0" applyFont="1" applyBorder="1" applyAlignment="1">
      <alignment wrapText="1"/>
    </xf>
    <xf numFmtId="0" fontId="15" fillId="0" borderId="177" xfId="0" applyFont="1" applyBorder="1" applyAlignment="1">
      <alignment wrapText="1"/>
    </xf>
    <xf numFmtId="0" fontId="15" fillId="0" borderId="109" xfId="0" applyFont="1" applyBorder="1" applyAlignment="1">
      <alignment wrapText="1"/>
    </xf>
    <xf numFmtId="0" fontId="15" fillId="0" borderId="372" xfId="0" applyFont="1" applyBorder="1" applyAlignment="1">
      <alignment horizontal="left" wrapText="1" indent="1"/>
    </xf>
    <xf numFmtId="0" fontId="15" fillId="0" borderId="203" xfId="0" applyFont="1" applyBorder="1" applyAlignment="1">
      <alignment horizontal="left" wrapText="1" indent="1"/>
    </xf>
    <xf numFmtId="0" fontId="38" fillId="0" borderId="391" xfId="0" applyFont="1" applyBorder="1" applyAlignment="1">
      <alignment horizontal="left" vertical="center" wrapText="1" indent="1"/>
    </xf>
    <xf numFmtId="0" fontId="38" fillId="0" borderId="140" xfId="0" applyFont="1" applyBorder="1" applyAlignment="1">
      <alignment horizontal="left" vertical="center" wrapText="1" indent="1"/>
    </xf>
    <xf numFmtId="0" fontId="15" fillId="0" borderId="701" xfId="0" applyFont="1" applyBorder="1" applyAlignment="1">
      <alignment horizontal="left" wrapText="1" indent="1"/>
    </xf>
    <xf numFmtId="0" fontId="24" fillId="0" borderId="303" xfId="0" applyFont="1" applyBorder="1" applyAlignment="1">
      <alignment horizontal="left" vertical="center" wrapText="1"/>
    </xf>
    <xf numFmtId="0" fontId="44" fillId="0" borderId="178" xfId="0" applyFont="1" applyBorder="1" applyAlignment="1">
      <alignment wrapText="1"/>
    </xf>
    <xf numFmtId="0" fontId="24" fillId="0" borderId="310" xfId="0" applyFont="1" applyBorder="1" applyAlignment="1">
      <alignment vertical="center" wrapText="1"/>
    </xf>
    <xf numFmtId="0" fontId="24" fillId="0" borderId="310" xfId="0" applyFont="1" applyBorder="1" applyAlignment="1">
      <alignment horizontal="left" vertical="center" wrapText="1" indent="1"/>
    </xf>
    <xf numFmtId="0" fontId="44" fillId="0" borderId="310" xfId="0" applyFont="1" applyBorder="1" applyAlignment="1">
      <alignment wrapText="1" indent="1"/>
    </xf>
    <xf numFmtId="0" fontId="44" fillId="0" borderId="178" xfId="0" applyFont="1" applyBorder="1" applyAlignment="1">
      <alignment wrapText="1" indent="1"/>
    </xf>
    <xf numFmtId="0" fontId="15" fillId="0" borderId="310" xfId="0" applyFont="1" applyBorder="1" applyAlignment="1">
      <alignment wrapText="1"/>
    </xf>
    <xf numFmtId="0" fontId="15" fillId="0" borderId="178" xfId="0" applyFont="1" applyBorder="1" applyAlignment="1">
      <alignment wrapText="1"/>
    </xf>
    <xf numFmtId="0" fontId="24" fillId="0" borderId="189" xfId="0" applyFont="1" applyBorder="1" applyAlignment="1">
      <alignment horizontal="left" vertical="center" wrapText="1" indent="2"/>
    </xf>
    <xf numFmtId="0" fontId="24" fillId="0" borderId="212" xfId="0" applyFont="1" applyBorder="1" applyAlignment="1">
      <alignment horizontal="left" vertical="center" wrapText="1" indent="2"/>
    </xf>
    <xf numFmtId="0" fontId="24" fillId="0" borderId="193" xfId="0" applyFont="1" applyBorder="1" applyAlignment="1">
      <alignment horizontal="left" vertical="center" wrapText="1" indent="2"/>
    </xf>
    <xf numFmtId="0" fontId="24" fillId="0" borderId="391" xfId="0" applyFont="1" applyBorder="1" applyAlignment="1">
      <alignment horizontal="left" vertical="center" wrapText="1" indent="2"/>
    </xf>
    <xf numFmtId="0" fontId="24" fillId="0" borderId="147" xfId="0" applyFont="1" applyBorder="1" applyAlignment="1">
      <alignment horizontal="left" vertical="center" wrapText="1" indent="2"/>
    </xf>
    <xf numFmtId="0" fontId="24" fillId="0" borderId="140" xfId="0" applyFont="1" applyBorder="1" applyAlignment="1">
      <alignment horizontal="left" vertical="center" wrapText="1" indent="2"/>
    </xf>
    <xf numFmtId="1" fontId="54" fillId="0" borderId="140" xfId="0" applyNumberFormat="1" applyFont="1" applyBorder="1" applyAlignment="1">
      <alignment horizontal="center" vertical="center" wrapText="1"/>
    </xf>
    <xf numFmtId="0" fontId="24" fillId="4" borderId="391" xfId="0" applyFont="1" applyFill="1" applyBorder="1" applyAlignment="1">
      <alignment horizontal="left" vertical="center" wrapText="1" indent="2"/>
    </xf>
    <xf numFmtId="0" fontId="24" fillId="4" borderId="147" xfId="0" applyFont="1" applyFill="1" applyBorder="1" applyAlignment="1">
      <alignment horizontal="left" vertical="center" wrapText="1" indent="2"/>
    </xf>
    <xf numFmtId="0" fontId="24" fillId="4" borderId="140" xfId="0" applyFont="1" applyFill="1" applyBorder="1" applyAlignment="1">
      <alignment horizontal="left" vertical="center" wrapText="1" indent="2"/>
    </xf>
    <xf numFmtId="0" fontId="24" fillId="0" borderId="140" xfId="0" applyFont="1" applyBorder="1" applyAlignment="1">
      <alignment horizontal="left" vertical="center" wrapText="1" indent="1"/>
    </xf>
    <xf numFmtId="0" fontId="14" fillId="0" borderId="189" xfId="0" applyFont="1" applyBorder="1" applyAlignment="1">
      <alignment horizontal="left" vertical="center" wrapText="1" indent="1"/>
    </xf>
    <xf numFmtId="0" fontId="24" fillId="0" borderId="186" xfId="0" applyFont="1" applyBorder="1" applyAlignment="1">
      <alignment horizontal="left" vertical="center" wrapText="1"/>
    </xf>
    <xf numFmtId="0" fontId="44" fillId="0" borderId="186" xfId="0" applyFont="1" applyBorder="1" applyAlignment="1">
      <alignment wrapText="1"/>
    </xf>
    <xf numFmtId="0" fontId="44" fillId="0" borderId="188" xfId="0" applyFont="1" applyBorder="1" applyAlignment="1">
      <alignment wrapText="1"/>
    </xf>
    <xf numFmtId="4" fontId="12" fillId="52" borderId="964" xfId="0" applyNumberFormat="1" applyFont="1" applyFill="1" applyBorder="1" applyAlignment="1">
      <alignment horizontal="center" vertical="center" wrapText="1"/>
    </xf>
    <xf numFmtId="0" fontId="148" fillId="29" borderId="964" xfId="0" applyFont="1" applyFill="1" applyBorder="1" applyAlignment="1">
      <alignment wrapText="1"/>
    </xf>
    <xf numFmtId="0" fontId="148" fillId="29" borderId="967" xfId="0" applyFont="1" applyFill="1" applyBorder="1" applyAlignment="1">
      <alignment wrapText="1"/>
    </xf>
    <xf numFmtId="0" fontId="148" fillId="0" borderId="118" xfId="0" applyFont="1" applyBorder="1" applyAlignment="1">
      <alignment wrapText="1"/>
    </xf>
    <xf numFmtId="0" fontId="148" fillId="0" borderId="120" xfId="0" applyFont="1" applyBorder="1" applyAlignment="1">
      <alignment wrapText="1"/>
    </xf>
    <xf numFmtId="0" fontId="44" fillId="0" borderId="913" xfId="0" applyFont="1" applyBorder="1" applyAlignment="1">
      <alignment wrapText="1"/>
    </xf>
    <xf numFmtId="0" fontId="24" fillId="4" borderId="303" xfId="0" applyFont="1" applyFill="1" applyBorder="1" applyAlignment="1">
      <alignment horizontal="left" vertical="center" wrapText="1" indent="1"/>
    </xf>
    <xf numFmtId="4" fontId="35" fillId="52" borderId="344" xfId="0" applyNumberFormat="1" applyFont="1" applyFill="1" applyBorder="1" applyAlignment="1">
      <alignment horizontal="center" vertical="center" wrapText="1"/>
    </xf>
    <xf numFmtId="0" fontId="39" fillId="29" borderId="344" xfId="0" applyFont="1" applyFill="1" applyBorder="1" applyAlignment="1">
      <alignment wrapText="1"/>
    </xf>
    <xf numFmtId="0" fontId="39" fillId="29" borderId="310" xfId="0" applyFont="1" applyFill="1" applyBorder="1" applyAlignment="1">
      <alignment wrapText="1"/>
    </xf>
    <xf numFmtId="0" fontId="44" fillId="0" borderId="568" xfId="0" applyFont="1" applyBorder="1" applyAlignment="1">
      <alignment wrapText="1"/>
    </xf>
    <xf numFmtId="4" fontId="35" fillId="52" borderId="149" xfId="0" applyNumberFormat="1" applyFont="1" applyFill="1" applyBorder="1" applyAlignment="1">
      <alignment horizontal="left" vertical="center" wrapText="1" indent="1"/>
    </xf>
    <xf numFmtId="0" fontId="39" fillId="29" borderId="344" xfId="0" applyFont="1" applyFill="1" applyBorder="1" applyAlignment="1">
      <alignment horizontal="left" wrapText="1" indent="1"/>
    </xf>
    <xf numFmtId="0" fontId="39" fillId="29" borderId="264" xfId="0" applyFont="1" applyFill="1" applyBorder="1" applyAlignment="1">
      <alignment horizontal="left" wrapText="1" indent="1"/>
    </xf>
    <xf numFmtId="0" fontId="34" fillId="29" borderId="344" xfId="0" applyFont="1" applyFill="1" applyBorder="1" applyAlignment="1">
      <alignment wrapText="1"/>
    </xf>
    <xf numFmtId="0" fontId="34" fillId="29" borderId="310" xfId="0" applyFont="1" applyFill="1" applyBorder="1" applyAlignment="1">
      <alignment wrapText="1"/>
    </xf>
    <xf numFmtId="0" fontId="24" fillId="0" borderId="567" xfId="0" applyFont="1" applyBorder="1" applyAlignment="1">
      <alignment horizontal="left" vertical="center" wrapText="1"/>
    </xf>
    <xf numFmtId="0" fontId="24" fillId="0" borderId="303" xfId="0" applyFont="1" applyBorder="1" applyAlignment="1">
      <alignment horizontal="left" vertical="center" wrapText="1" indent="1"/>
    </xf>
    <xf numFmtId="0" fontId="34" fillId="29" borderId="344" xfId="0" applyFont="1" applyFill="1" applyBorder="1" applyAlignment="1">
      <alignment horizontal="left" wrapText="1" indent="1"/>
    </xf>
    <xf numFmtId="0" fontId="34" fillId="29" borderId="264" xfId="0" applyFont="1" applyFill="1" applyBorder="1" applyAlignment="1">
      <alignment horizontal="left" wrapText="1" indent="1"/>
    </xf>
    <xf numFmtId="0" fontId="14" fillId="0" borderId="147" xfId="0" applyFont="1" applyBorder="1" applyAlignment="1">
      <alignment horizontal="left" vertical="center" wrapText="1" indent="1"/>
    </xf>
    <xf numFmtId="0" fontId="104" fillId="3" borderId="547" xfId="0" applyFont="1" applyFill="1" applyBorder="1" applyAlignment="1">
      <alignment horizontal="left" vertical="center" wrapText="1" indent="1"/>
    </xf>
    <xf numFmtId="0" fontId="104" fillId="3" borderId="548" xfId="0" applyFont="1" applyFill="1" applyBorder="1" applyAlignment="1">
      <alignment horizontal="left" vertical="center" wrapText="1" indent="1"/>
    </xf>
    <xf numFmtId="0" fontId="104" fillId="3" borderId="550" xfId="0" applyFont="1" applyFill="1" applyBorder="1" applyAlignment="1">
      <alignment horizontal="left" vertical="center" wrapText="1" indent="1"/>
    </xf>
    <xf numFmtId="0" fontId="104" fillId="3" borderId="551" xfId="0" applyFont="1" applyFill="1" applyBorder="1" applyAlignment="1">
      <alignment horizontal="left" vertical="center" wrapText="1" indent="1"/>
    </xf>
    <xf numFmtId="0" fontId="12" fillId="52" borderId="964" xfId="0" applyFont="1" applyFill="1" applyBorder="1" applyAlignment="1">
      <alignment vertical="center" wrapText="1"/>
    </xf>
    <xf numFmtId="0" fontId="149" fillId="29" borderId="964" xfId="0" applyFont="1" applyFill="1" applyBorder="1" applyAlignment="1">
      <alignment wrapText="1"/>
    </xf>
    <xf numFmtId="0" fontId="149" fillId="29" borderId="1002" xfId="0" applyFont="1" applyFill="1" applyBorder="1" applyAlignment="1">
      <alignment wrapText="1"/>
    </xf>
    <xf numFmtId="0" fontId="38" fillId="0" borderId="898" xfId="0" applyFont="1" applyBorder="1" applyAlignment="1">
      <alignment horizontal="left" vertical="center" wrapText="1" indent="1"/>
    </xf>
    <xf numFmtId="0" fontId="15" fillId="0" borderId="483" xfId="0" applyFont="1" applyBorder="1" applyAlignment="1">
      <alignment wrapText="1"/>
    </xf>
    <xf numFmtId="0" fontId="87" fillId="29" borderId="964" xfId="0" applyFont="1" applyFill="1" applyBorder="1" applyAlignment="1">
      <alignment horizontal="left" wrapText="1" indent="1"/>
    </xf>
    <xf numFmtId="0" fontId="104" fillId="29" borderId="1002" xfId="0" applyFont="1" applyFill="1" applyBorder="1" applyAlignment="1">
      <alignment horizontal="left" wrapText="1" indent="1"/>
    </xf>
    <xf numFmtId="4" fontId="52" fillId="52" borderId="965" xfId="0" applyNumberFormat="1" applyFont="1" applyFill="1" applyBorder="1" applyAlignment="1">
      <alignment horizontal="left" vertical="center" wrapText="1" indent="1"/>
    </xf>
    <xf numFmtId="0" fontId="54" fillId="29" borderId="964" xfId="0" applyFont="1" applyFill="1" applyBorder="1" applyAlignment="1">
      <alignment horizontal="left" wrapText="1" indent="1"/>
    </xf>
    <xf numFmtId="0" fontId="14" fillId="0" borderId="344" xfId="0" applyFont="1" applyBorder="1" applyAlignment="1">
      <alignment vertical="center" wrapText="1"/>
    </xf>
    <xf numFmtId="0" fontId="33" fillId="0" borderId="344" xfId="0" applyFont="1" applyBorder="1" applyAlignment="1">
      <alignment wrapText="1"/>
    </xf>
    <xf numFmtId="0" fontId="239" fillId="0" borderId="0" xfId="0" applyFont="1" applyAlignment="1">
      <alignment wrapText="1"/>
    </xf>
    <xf numFmtId="0" fontId="24" fillId="0" borderId="185" xfId="0" applyFont="1" applyBorder="1" applyAlignment="1">
      <alignment horizontal="left" vertical="center" wrapText="1"/>
    </xf>
    <xf numFmtId="0" fontId="15" fillId="0" borderId="186" xfId="0" applyFont="1" applyBorder="1" applyAlignment="1">
      <alignment wrapText="1"/>
    </xf>
    <xf numFmtId="0" fontId="15" fillId="0" borderId="188" xfId="0" applyFont="1" applyBorder="1" applyAlignment="1">
      <alignment wrapText="1"/>
    </xf>
    <xf numFmtId="0" fontId="15" fillId="0" borderId="310" xfId="0" applyFont="1" applyBorder="1" applyAlignment="1">
      <alignment wrapText="1" indent="1"/>
    </xf>
    <xf numFmtId="0" fontId="15" fillId="0" borderId="178" xfId="0" applyFont="1" applyBorder="1" applyAlignment="1">
      <alignment wrapText="1" indent="1"/>
    </xf>
    <xf numFmtId="0" fontId="38" fillId="0" borderId="306" xfId="0" applyFont="1" applyBorder="1" applyAlignment="1">
      <alignment horizontal="center" vertical="center" wrapText="1"/>
    </xf>
    <xf numFmtId="0" fontId="152" fillId="0" borderId="393" xfId="0" applyFont="1" applyBorder="1" applyAlignment="1">
      <alignment wrapText="1"/>
    </xf>
    <xf numFmtId="0" fontId="152" fillId="0" borderId="258" xfId="0" applyFont="1" applyBorder="1" applyAlignment="1">
      <alignment wrapText="1"/>
    </xf>
    <xf numFmtId="0" fontId="38" fillId="0" borderId="309" xfId="0" applyFont="1" applyBorder="1" applyAlignment="1">
      <alignment horizontal="center" vertical="center" wrapText="1"/>
    </xf>
    <xf numFmtId="0" fontId="152" fillId="0" borderId="394" xfId="0" applyFont="1" applyBorder="1" applyAlignment="1">
      <alignment wrapText="1"/>
    </xf>
    <xf numFmtId="0" fontId="152" fillId="0" borderId="255" xfId="0" applyFont="1" applyBorder="1" applyAlignment="1">
      <alignment wrapText="1"/>
    </xf>
    <xf numFmtId="0" fontId="14" fillId="0" borderId="372" xfId="0" applyFont="1" applyBorder="1" applyAlignment="1">
      <alignment horizontal="left" vertical="center" wrapText="1" indent="1"/>
    </xf>
    <xf numFmtId="0" fontId="24" fillId="17" borderId="567" xfId="0" applyFont="1" applyFill="1" applyBorder="1" applyAlignment="1">
      <alignment horizontal="left" vertical="center" wrapText="1"/>
    </xf>
    <xf numFmtId="0" fontId="15" fillId="17" borderId="186" xfId="0" applyFont="1" applyFill="1" applyBorder="1" applyAlignment="1">
      <alignment wrapText="1"/>
    </xf>
    <xf numFmtId="0" fontId="15" fillId="17" borderId="188" xfId="0" applyFont="1" applyFill="1" applyBorder="1" applyAlignment="1">
      <alignment wrapText="1"/>
    </xf>
    <xf numFmtId="0" fontId="14" fillId="0" borderId="177" xfId="0" applyFont="1" applyBorder="1" applyAlignment="1">
      <alignment horizontal="left" vertical="center" wrapText="1" indent="1"/>
    </xf>
    <xf numFmtId="0" fontId="15" fillId="17" borderId="310" xfId="0" applyFont="1" applyFill="1" applyBorder="1" applyAlignment="1">
      <alignment wrapText="1"/>
    </xf>
    <xf numFmtId="0" fontId="15" fillId="17" borderId="178" xfId="0" applyFont="1" applyFill="1" applyBorder="1" applyAlignment="1">
      <alignment wrapText="1"/>
    </xf>
    <xf numFmtId="1" fontId="9" fillId="11" borderId="497" xfId="0" applyNumberFormat="1" applyFont="1" applyFill="1" applyBorder="1" applyAlignment="1">
      <alignment horizontal="center" vertical="center" wrapText="1"/>
    </xf>
    <xf numFmtId="0" fontId="15" fillId="0" borderId="904" xfId="0" applyFont="1" applyBorder="1" applyAlignment="1">
      <alignment horizontal="left" wrapText="1" indent="1"/>
    </xf>
    <xf numFmtId="0" fontId="15" fillId="0" borderId="905" xfId="0" applyFont="1" applyBorder="1" applyAlignment="1">
      <alignment horizontal="left" wrapText="1" indent="1"/>
    </xf>
    <xf numFmtId="0" fontId="35" fillId="52" borderId="964" xfId="0" applyFont="1" applyFill="1" applyBorder="1" applyAlignment="1">
      <alignment horizontal="left" vertical="center" wrapText="1" indent="1"/>
    </xf>
    <xf numFmtId="0" fontId="87" fillId="29" borderId="344" xfId="0" applyFont="1" applyFill="1" applyBorder="1" applyAlignment="1">
      <alignment horizontal="left" wrapText="1" indent="1"/>
    </xf>
    <xf numFmtId="0" fontId="15" fillId="17" borderId="310" xfId="0" applyFont="1" applyFill="1" applyBorder="1" applyAlignment="1">
      <alignment wrapText="1" indent="1"/>
    </xf>
    <xf numFmtId="0" fontId="15" fillId="17" borderId="178" xfId="0" applyFont="1" applyFill="1" applyBorder="1" applyAlignment="1">
      <alignment wrapText="1" indent="1"/>
    </xf>
    <xf numFmtId="0" fontId="15" fillId="0" borderId="912" xfId="0" applyFont="1" applyBorder="1" applyAlignment="1">
      <alignment wrapText="1"/>
    </xf>
    <xf numFmtId="4" fontId="35" fillId="52" borderId="273" xfId="0" applyNumberFormat="1" applyFont="1" applyFill="1" applyBorder="1" applyAlignment="1">
      <alignment horizontal="center" vertical="center" wrapText="1"/>
    </xf>
    <xf numFmtId="0" fontId="87" fillId="29" borderId="344" xfId="0" applyFont="1" applyFill="1" applyBorder="1" applyAlignment="1">
      <alignment wrapText="1"/>
    </xf>
    <xf numFmtId="0" fontId="104" fillId="29" borderId="310" xfId="0" applyFont="1" applyFill="1" applyBorder="1" applyAlignment="1">
      <alignment wrapText="1"/>
    </xf>
    <xf numFmtId="0" fontId="15" fillId="0" borderId="914" xfId="0" applyFont="1" applyBorder="1" applyAlignment="1">
      <alignment horizontal="left" wrapText="1" indent="1"/>
    </xf>
    <xf numFmtId="0" fontId="15" fillId="0" borderId="907" xfId="0" applyFont="1" applyBorder="1" applyAlignment="1">
      <alignment horizontal="left" wrapText="1" indent="1"/>
    </xf>
    <xf numFmtId="0" fontId="15" fillId="0" borderId="901" xfId="0" applyFont="1" applyBorder="1" applyAlignment="1">
      <alignment horizontal="left" wrapText="1" indent="1"/>
    </xf>
    <xf numFmtId="0" fontId="11" fillId="0" borderId="899" xfId="0" applyFont="1" applyBorder="1" applyAlignment="1">
      <alignment horizontal="left" vertical="center" wrapText="1" indent="1"/>
    </xf>
    <xf numFmtId="0" fontId="312" fillId="2" borderId="864" xfId="0" applyFont="1" applyFill="1" applyBorder="1" applyAlignment="1">
      <alignment horizontal="center" vertical="center" textRotation="90" wrapText="1"/>
    </xf>
    <xf numFmtId="0" fontId="312" fillId="2" borderId="361" xfId="0" applyFont="1" applyFill="1" applyBorder="1" applyAlignment="1">
      <alignment horizontal="center" vertical="center" textRotation="90" wrapText="1"/>
    </xf>
    <xf numFmtId="0" fontId="12" fillId="0" borderId="375" xfId="15" applyFont="1" applyBorder="1" applyAlignment="1">
      <alignment horizontal="center" vertical="center" wrapText="1"/>
    </xf>
    <xf numFmtId="0" fontId="15" fillId="0" borderId="376" xfId="15" applyFont="1" applyBorder="1" applyAlignment="1"/>
    <xf numFmtId="0" fontId="91" fillId="0" borderId="344" xfId="15" applyAlignment="1"/>
    <xf numFmtId="0" fontId="188" fillId="0" borderId="344" xfId="15" applyFont="1" applyAlignment="1"/>
    <xf numFmtId="0" fontId="20" fillId="0" borderId="344" xfId="15" applyFont="1" applyAlignment="1">
      <alignment horizontal="center" vertical="center"/>
    </xf>
    <xf numFmtId="0" fontId="189" fillId="0" borderId="344" xfId="15" applyFont="1" applyAlignment="1">
      <alignment horizontal="center" vertical="center"/>
    </xf>
    <xf numFmtId="0" fontId="12" fillId="0" borderId="365" xfId="15" applyFont="1" applyBorder="1" applyAlignment="1">
      <alignment horizontal="center" vertical="center"/>
    </xf>
    <xf numFmtId="0" fontId="15" fillId="0" borderId="367" xfId="15" applyFont="1" applyBorder="1" applyAlignment="1"/>
    <xf numFmtId="0" fontId="12" fillId="0" borderId="365" xfId="15" applyFont="1" applyBorder="1" applyAlignment="1">
      <alignment horizontal="center" vertical="center" wrapText="1"/>
    </xf>
    <xf numFmtId="49" fontId="12" fillId="0" borderId="365" xfId="15" applyNumberFormat="1" applyFont="1" applyBorder="1" applyAlignment="1">
      <alignment horizontal="center" vertical="center" wrapText="1"/>
    </xf>
    <xf numFmtId="0" fontId="190" fillId="0" borderId="344" xfId="15" applyFont="1" applyAlignment="1">
      <alignment horizontal="center" vertical="center"/>
    </xf>
    <xf numFmtId="0" fontId="15" fillId="0" borderId="376" xfId="15" applyFont="1" applyBorder="1" applyAlignment="1">
      <alignment horizontal="center"/>
    </xf>
    <xf numFmtId="0" fontId="12" fillId="0" borderId="375" xfId="15" applyFont="1" applyBorder="1" applyAlignment="1">
      <alignment horizontal="right" vertical="center" wrapText="1"/>
    </xf>
    <xf numFmtId="0" fontId="15" fillId="0" borderId="155" xfId="15" applyFont="1" applyBorder="1" applyAlignment="1"/>
    <xf numFmtId="0" fontId="186" fillId="0" borderId="444" xfId="11" applyFont="1" applyBorder="1" applyAlignment="1">
      <alignment horizontal="center" vertical="center"/>
    </xf>
    <xf numFmtId="0" fontId="169" fillId="0" borderId="344" xfId="11" applyFont="1" applyAlignment="1">
      <alignment horizontal="center" vertical="center"/>
    </xf>
    <xf numFmtId="0" fontId="172" fillId="0" borderId="619" xfId="12" applyFont="1" applyBorder="1" applyAlignment="1">
      <alignment horizontal="center" vertical="center"/>
    </xf>
    <xf numFmtId="0" fontId="172" fillId="0" borderId="622" xfId="12" applyFont="1" applyBorder="1" applyAlignment="1">
      <alignment horizontal="center" vertical="center"/>
    </xf>
    <xf numFmtId="49" fontId="172" fillId="0" borderId="619" xfId="11" applyNumberFormat="1" applyFont="1" applyBorder="1" applyAlignment="1">
      <alignment horizontal="center" vertical="center" wrapText="1"/>
    </xf>
    <xf numFmtId="49" fontId="172" fillId="0" borderId="622" xfId="11" applyNumberFormat="1" applyFont="1" applyBorder="1" applyAlignment="1">
      <alignment horizontal="center" vertical="center" wrapText="1"/>
    </xf>
    <xf numFmtId="0" fontId="194" fillId="0" borderId="365" xfId="0" applyFont="1" applyBorder="1" applyAlignment="1">
      <alignment horizontal="center" vertical="center" wrapText="1"/>
    </xf>
    <xf numFmtId="0" fontId="194" fillId="0" borderId="367" xfId="0" applyFont="1" applyBorder="1" applyAlignment="1">
      <alignment horizontal="center" vertical="center" wrapText="1"/>
    </xf>
    <xf numFmtId="0" fontId="200" fillId="0" borderId="0" xfId="0" applyFont="1" applyAlignment="1">
      <alignment horizontal="center" vertical="center"/>
    </xf>
    <xf numFmtId="0" fontId="203" fillId="0" borderId="0" xfId="0" applyFont="1" applyAlignment="1">
      <alignment horizontal="center" vertical="center"/>
    </xf>
    <xf numFmtId="0" fontId="201" fillId="0" borderId="0" xfId="0" applyFont="1" applyAlignment="1">
      <alignment horizontal="center" vertical="center"/>
    </xf>
    <xf numFmtId="0" fontId="202" fillId="0" borderId="0" xfId="0" applyFont="1" applyAlignment="1">
      <alignment horizontal="center" vertical="center"/>
    </xf>
    <xf numFmtId="0" fontId="194" fillId="0" borderId="365" xfId="0" applyFont="1" applyBorder="1" applyAlignment="1">
      <alignment horizontal="center" vertical="center"/>
    </xf>
    <xf numFmtId="0" fontId="194" fillId="0" borderId="367" xfId="0" applyFont="1" applyBorder="1" applyAlignment="1">
      <alignment horizontal="center" vertical="center"/>
    </xf>
    <xf numFmtId="0" fontId="194" fillId="0" borderId="155" xfId="0" applyFont="1" applyBorder="1" applyAlignment="1">
      <alignment horizontal="center" vertical="center"/>
    </xf>
    <xf numFmtId="0" fontId="194" fillId="0" borderId="376" xfId="0" applyFont="1" applyBorder="1" applyAlignment="1">
      <alignment horizontal="center" vertical="center"/>
    </xf>
    <xf numFmtId="0" fontId="179" fillId="0" borderId="444" xfId="11" applyFont="1" applyBorder="1" applyAlignment="1">
      <alignment horizontal="left" vertical="center"/>
    </xf>
    <xf numFmtId="0" fontId="35" fillId="0" borderId="344" xfId="11" applyFont="1" applyAlignment="1">
      <alignment horizontal="center" vertical="center"/>
    </xf>
    <xf numFmtId="168" fontId="175" fillId="0" borderId="344" xfId="17" applyNumberFormat="1" applyFont="1" applyAlignment="1">
      <alignment horizontal="center" vertical="center" wrapText="1"/>
    </xf>
    <xf numFmtId="0" fontId="169" fillId="0" borderId="344" xfId="17" applyFont="1" applyAlignment="1">
      <alignment horizontal="center" vertical="center"/>
    </xf>
    <xf numFmtId="49" fontId="172" fillId="0" borderId="619" xfId="17" applyNumberFormat="1" applyFont="1" applyBorder="1" applyAlignment="1">
      <alignment horizontal="center" vertical="center" wrapText="1"/>
    </xf>
    <xf numFmtId="49" fontId="172" fillId="0" borderId="622" xfId="17" applyNumberFormat="1" applyFont="1" applyBorder="1" applyAlignment="1">
      <alignment horizontal="center" vertical="center" wrapText="1"/>
    </xf>
    <xf numFmtId="0" fontId="175" fillId="0" borderId="621" xfId="17" applyFont="1" applyBorder="1" applyAlignment="1">
      <alignment horizontal="center" vertical="center"/>
    </xf>
    <xf numFmtId="0" fontId="99" fillId="0" borderId="621" xfId="17" applyFont="1" applyBorder="1" applyAlignment="1">
      <alignment horizontal="left" vertical="center"/>
    </xf>
    <xf numFmtId="0" fontId="206" fillId="0" borderId="365" xfId="19" applyFont="1" applyBorder="1" applyAlignment="1">
      <alignment horizontal="center" vertical="center" wrapText="1"/>
    </xf>
    <xf numFmtId="0" fontId="138" fillId="0" borderId="367" xfId="19" applyFont="1" applyBorder="1" applyAlignment="1"/>
    <xf numFmtId="0" fontId="262" fillId="0" borderId="344" xfId="19" applyFont="1" applyAlignment="1">
      <alignment horizontal="center" vertical="center"/>
    </xf>
    <xf numFmtId="0" fontId="261" fillId="0" borderId="344" xfId="19" applyAlignment="1"/>
    <xf numFmtId="0" fontId="263" fillId="0" borderId="344" xfId="19" applyFont="1" applyAlignment="1">
      <alignment horizontal="center" vertical="center"/>
    </xf>
    <xf numFmtId="0" fontId="264" fillId="0" borderId="344" xfId="19" applyFont="1" applyAlignment="1"/>
    <xf numFmtId="0" fontId="201" fillId="0" borderId="344" xfId="19" applyFont="1" applyAlignment="1">
      <alignment horizontal="center" vertical="center"/>
    </xf>
    <xf numFmtId="0" fontId="265" fillId="0" borderId="344" xfId="19" applyFont="1" applyAlignment="1">
      <alignment horizontal="center" vertical="center"/>
    </xf>
    <xf numFmtId="0" fontId="206" fillId="0" borderId="365" xfId="19" applyFont="1" applyBorder="1" applyAlignment="1">
      <alignment horizontal="center" vertical="center"/>
    </xf>
    <xf numFmtId="177" fontId="206" fillId="0" borderId="365" xfId="19" applyNumberFormat="1" applyFont="1" applyBorder="1" applyAlignment="1">
      <alignment horizontal="center" vertical="center" wrapText="1"/>
    </xf>
    <xf numFmtId="0" fontId="206" fillId="0" borderId="741" xfId="19" applyFont="1" applyBorder="1" applyAlignment="1">
      <alignment horizontal="center" vertical="center"/>
    </xf>
    <xf numFmtId="0" fontId="206" fillId="0" borderId="742" xfId="19" applyFont="1" applyBorder="1" applyAlignment="1">
      <alignment horizontal="center" vertical="center"/>
    </xf>
    <xf numFmtId="0" fontId="206" fillId="0" borderId="743" xfId="19" applyFont="1" applyBorder="1" applyAlignment="1">
      <alignment horizontal="center" vertical="center"/>
    </xf>
    <xf numFmtId="168" fontId="175" fillId="0" borderId="845" xfId="20" applyNumberFormat="1" applyFont="1" applyBorder="1" applyAlignment="1">
      <alignment horizontal="center" vertical="center" wrapText="1"/>
    </xf>
    <xf numFmtId="168" fontId="175" fillId="0" borderId="849" xfId="20" applyNumberFormat="1" applyFont="1" applyBorder="1" applyAlignment="1">
      <alignment horizontal="center" vertical="center" wrapText="1"/>
    </xf>
    <xf numFmtId="0" fontId="169" fillId="0" borderId="344" xfId="20" applyFont="1" applyAlignment="1">
      <alignment horizontal="center" vertical="center"/>
    </xf>
    <xf numFmtId="49" fontId="172" fillId="0" borderId="619" xfId="20" applyNumberFormat="1" applyFont="1" applyBorder="1" applyAlignment="1">
      <alignment horizontal="center" vertical="center" wrapText="1"/>
    </xf>
    <xf numFmtId="49" fontId="172" fillId="0" borderId="622" xfId="20" applyNumberFormat="1" applyFont="1" applyBorder="1" applyAlignment="1">
      <alignment horizontal="center" vertical="center" wrapText="1"/>
    </xf>
    <xf numFmtId="0" fontId="262" fillId="0" borderId="344" xfId="9" applyFont="1" applyAlignment="1">
      <alignment horizontal="center" vertical="center"/>
    </xf>
    <xf numFmtId="0" fontId="32" fillId="0" borderId="344" xfId="9" applyAlignment="1"/>
    <xf numFmtId="0" fontId="263" fillId="0" borderId="344" xfId="9" applyFont="1" applyAlignment="1">
      <alignment horizontal="center" vertical="center"/>
    </xf>
    <xf numFmtId="0" fontId="264" fillId="0" borderId="344" xfId="9" applyFont="1" applyAlignment="1"/>
    <xf numFmtId="0" fontId="201" fillId="0" borderId="344" xfId="9" applyFont="1" applyAlignment="1">
      <alignment horizontal="center" vertical="center"/>
    </xf>
    <xf numFmtId="0" fontId="265" fillId="0" borderId="344" xfId="9" applyFont="1" applyAlignment="1">
      <alignment horizontal="center" vertical="center"/>
    </xf>
    <xf numFmtId="0" fontId="206" fillId="0" borderId="5" xfId="22" applyFont="1" applyBorder="1" applyAlignment="1">
      <alignment horizontal="center" vertical="center" wrapText="1"/>
    </xf>
    <xf numFmtId="0" fontId="262" fillId="0" borderId="344" xfId="22" applyFont="1" applyAlignment="1">
      <alignment horizontal="center" vertical="center"/>
    </xf>
    <xf numFmtId="0" fontId="405" fillId="0" borderId="344" xfId="22" applyAlignment="1"/>
    <xf numFmtId="0" fontId="406" fillId="0" borderId="344" xfId="22" applyFont="1" applyAlignment="1">
      <alignment horizontal="center" vertical="center"/>
    </xf>
    <xf numFmtId="0" fontId="407" fillId="0" borderId="344" xfId="22" applyFont="1" applyAlignment="1"/>
    <xf numFmtId="0" fontId="201" fillId="0" borderId="344" xfId="22" applyFont="1" applyAlignment="1">
      <alignment horizontal="center" vertical="center"/>
    </xf>
    <xf numFmtId="0" fontId="265" fillId="0" borderId="344" xfId="22" applyFont="1" applyAlignment="1">
      <alignment horizontal="center" vertical="center"/>
    </xf>
    <xf numFmtId="0" fontId="206" fillId="0" borderId="365" xfId="22" applyFont="1" applyBorder="1" applyAlignment="1">
      <alignment horizontal="center" vertical="center"/>
    </xf>
    <xf numFmtId="0" fontId="206" fillId="0" borderId="367" xfId="22" applyFont="1" applyBorder="1" applyAlignment="1">
      <alignment horizontal="center" vertical="center"/>
    </xf>
    <xf numFmtId="0" fontId="206" fillId="0" borderId="365" xfId="22" applyFont="1" applyBorder="1" applyAlignment="1">
      <alignment horizontal="center" vertical="center" wrapText="1"/>
    </xf>
    <xf numFmtId="0" fontId="206" fillId="0" borderId="367" xfId="22" applyFont="1" applyBorder="1" applyAlignment="1">
      <alignment horizontal="center" vertical="center" wrapText="1"/>
    </xf>
    <xf numFmtId="177" fontId="206" fillId="0" borderId="365" xfId="22" applyNumberFormat="1" applyFont="1" applyBorder="1" applyAlignment="1">
      <alignment horizontal="center" vertical="center" wrapText="1"/>
    </xf>
    <xf numFmtId="177" fontId="206" fillId="0" borderId="367" xfId="22" applyNumberFormat="1" applyFont="1" applyBorder="1" applyAlignment="1">
      <alignment horizontal="center" vertical="center" wrapText="1"/>
    </xf>
    <xf numFmtId="0" fontId="206" fillId="0" borderId="375" xfId="22" applyFont="1" applyBorder="1" applyAlignment="1">
      <alignment horizontal="center" vertical="center" wrapText="1"/>
    </xf>
    <xf numFmtId="0" fontId="206" fillId="0" borderId="155" xfId="22" applyFont="1" applyBorder="1" applyAlignment="1">
      <alignment horizontal="center" vertical="center" wrapText="1"/>
    </xf>
    <xf numFmtId="0" fontId="206" fillId="0" borderId="376" xfId="22" applyFont="1" applyBorder="1" applyAlignment="1">
      <alignment horizontal="center" vertical="center" wrapText="1"/>
    </xf>
    <xf numFmtId="0" fontId="206" fillId="0" borderId="369" xfId="22" applyFont="1" applyBorder="1" applyAlignment="1">
      <alignment horizontal="center" vertical="center"/>
    </xf>
    <xf numFmtId="0" fontId="206" fillId="0" borderId="88" xfId="22" applyFont="1" applyBorder="1" applyAlignment="1">
      <alignment horizontal="center" vertical="center"/>
    </xf>
    <xf numFmtId="0" fontId="175" fillId="0" borderId="623" xfId="20" applyFont="1" applyBorder="1" applyAlignment="1">
      <alignment horizontal="center" vertical="center"/>
    </xf>
    <xf numFmtId="0" fontId="175" fillId="0" borderId="620" xfId="20" applyFont="1" applyBorder="1" applyAlignment="1">
      <alignment horizontal="center" vertical="center"/>
    </xf>
  </cellXfs>
  <cellStyles count="23">
    <cellStyle name="Millares 2" xfId="13" xr:uid="{00000000-0005-0000-0000-000000000000}"/>
    <cellStyle name="Moneda 2" xfId="14" xr:uid="{00000000-0005-0000-0000-000001000000}"/>
    <cellStyle name="Moneda 3" xfId="18" xr:uid="{00000000-0005-0000-0000-000002000000}"/>
    <cellStyle name="Normal" xfId="0" builtinId="0"/>
    <cellStyle name="Normal 10" xfId="22" xr:uid="{E5AFB48C-EE96-41EE-BD55-D7FA8FBCE0F8}"/>
    <cellStyle name="Normal 10 2" xfId="6" xr:uid="{00000000-0005-0000-0000-000004000000}"/>
    <cellStyle name="Normal 13" xfId="5" xr:uid="{00000000-0005-0000-0000-000005000000}"/>
    <cellStyle name="Normal 14" xfId="2" xr:uid="{00000000-0005-0000-0000-000006000000}"/>
    <cellStyle name="Normal 2" xfId="3" xr:uid="{00000000-0005-0000-0000-000007000000}"/>
    <cellStyle name="Normal 2 2" xfId="7" xr:uid="{00000000-0005-0000-0000-000008000000}"/>
    <cellStyle name="Normal 2 3" xfId="8" xr:uid="{00000000-0005-0000-0000-000009000000}"/>
    <cellStyle name="Normal 2 4" xfId="12" xr:uid="{00000000-0005-0000-0000-00000A000000}"/>
    <cellStyle name="Normal 3" xfId="11" xr:uid="{00000000-0005-0000-0000-00000B000000}"/>
    <cellStyle name="Normal 3 2 2" xfId="10" xr:uid="{00000000-0005-0000-0000-00000C000000}"/>
    <cellStyle name="Normal 4" xfId="15" xr:uid="{00000000-0005-0000-0000-00000D000000}"/>
    <cellStyle name="Normal 5" xfId="16" xr:uid="{00000000-0005-0000-0000-00000E000000}"/>
    <cellStyle name="Normal 6" xfId="17" xr:uid="{00000000-0005-0000-0000-00000F000000}"/>
    <cellStyle name="Normal 6 2" xfId="20" xr:uid="{F025AA38-7326-1C47-863E-60B0F0DA05A0}"/>
    <cellStyle name="Normal 7" xfId="9" xr:uid="{00000000-0005-0000-0000-000010000000}"/>
    <cellStyle name="Normal 8" xfId="19" xr:uid="{00000000-0005-0000-0000-000011000000}"/>
    <cellStyle name="Normal 9" xfId="21" xr:uid="{BA291BF1-C338-B442-A19A-237AF1A2C32E}"/>
    <cellStyle name="Normal_POA FCS" xfId="4" xr:uid="{00000000-0005-0000-0000-000012000000}"/>
    <cellStyle name="Porcentaje" xfId="1" builtinId="5"/>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90AA84"/>
      <color rgb="FFF4B084"/>
      <color rgb="FFF1BF8D"/>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a:solidFill>
                  <a:srgbClr val="002060"/>
                </a:solidFill>
                <a:latin typeface="Cambria" panose="02040503050406030204" pitchFamily="18" charset="0"/>
                <a:ea typeface="Cambria" panose="02040503050406030204" pitchFamily="18" charset="0"/>
              </a:defRPr>
            </a:pPr>
            <a:r>
              <a:rPr lang="es-EC" sz="1400" b="0">
                <a:solidFill>
                  <a:srgbClr val="002060"/>
                </a:solidFill>
                <a:latin typeface="Cambria" panose="02040503050406030204" pitchFamily="18" charset="0"/>
                <a:ea typeface="Cambria" panose="02040503050406030204" pitchFamily="18" charset="0"/>
              </a:rPr>
              <a:t>Por grupo de gasto</a:t>
            </a:r>
          </a:p>
        </c:rich>
      </c:tx>
      <c:overlay val="0"/>
    </c:title>
    <c:autoTitleDeleted val="0"/>
    <c:plotArea>
      <c:layout/>
      <c:pieChart>
        <c:varyColors val="1"/>
        <c:ser>
          <c:idx val="0"/>
          <c:order val="0"/>
          <c:tx>
            <c:strRef>
              <c:f>Resumen!$C$381</c:f>
              <c:strCache>
                <c:ptCount val="1"/>
              </c:strCache>
            </c:strRef>
          </c:tx>
          <c:dPt>
            <c:idx val="0"/>
            <c:bubble3D val="0"/>
            <c:spPr>
              <a:solidFill>
                <a:srgbClr val="4285F4"/>
              </a:solidFill>
            </c:spPr>
            <c:extLst>
              <c:ext xmlns:c16="http://schemas.microsoft.com/office/drawing/2014/chart" uri="{C3380CC4-5D6E-409C-BE32-E72D297353CC}">
                <c16:uniqueId val="{00000001-38FA-E34D-8457-B8C234D18A66}"/>
              </c:ext>
            </c:extLst>
          </c:dPt>
          <c:dPt>
            <c:idx val="1"/>
            <c:bubble3D val="0"/>
            <c:spPr>
              <a:solidFill>
                <a:srgbClr val="EA4335"/>
              </a:solidFill>
            </c:spPr>
            <c:extLst>
              <c:ext xmlns:c16="http://schemas.microsoft.com/office/drawing/2014/chart" uri="{C3380CC4-5D6E-409C-BE32-E72D297353CC}">
                <c16:uniqueId val="{00000003-38FA-E34D-8457-B8C234D18A66}"/>
              </c:ext>
            </c:extLst>
          </c:dPt>
          <c:dPt>
            <c:idx val="2"/>
            <c:bubble3D val="0"/>
            <c:spPr>
              <a:solidFill>
                <a:srgbClr val="FBBC04"/>
              </a:solidFill>
            </c:spPr>
            <c:extLst>
              <c:ext xmlns:c16="http://schemas.microsoft.com/office/drawing/2014/chart" uri="{C3380CC4-5D6E-409C-BE32-E72D297353CC}">
                <c16:uniqueId val="{00000005-38FA-E34D-8457-B8C234D18A66}"/>
              </c:ext>
            </c:extLst>
          </c:dPt>
          <c:dPt>
            <c:idx val="3"/>
            <c:bubble3D val="0"/>
            <c:spPr>
              <a:solidFill>
                <a:srgbClr val="34A853"/>
              </a:solidFill>
            </c:spPr>
            <c:extLst>
              <c:ext xmlns:c16="http://schemas.microsoft.com/office/drawing/2014/chart" uri="{C3380CC4-5D6E-409C-BE32-E72D297353CC}">
                <c16:uniqueId val="{00000007-38FA-E34D-8457-B8C234D18A66}"/>
              </c:ext>
            </c:extLst>
          </c:dPt>
          <c:dPt>
            <c:idx val="4"/>
            <c:bubble3D val="0"/>
            <c:spPr>
              <a:solidFill>
                <a:srgbClr val="FF6D01"/>
              </a:solidFill>
            </c:spPr>
            <c:extLst>
              <c:ext xmlns:c16="http://schemas.microsoft.com/office/drawing/2014/chart" uri="{C3380CC4-5D6E-409C-BE32-E72D297353CC}">
                <c16:uniqueId val="{00000009-38FA-E34D-8457-B8C234D18A66}"/>
              </c:ext>
            </c:extLst>
          </c:dPt>
          <c:dPt>
            <c:idx val="5"/>
            <c:bubble3D val="0"/>
            <c:spPr>
              <a:solidFill>
                <a:srgbClr val="46BDC6"/>
              </a:solidFill>
            </c:spPr>
            <c:extLst>
              <c:ext xmlns:c16="http://schemas.microsoft.com/office/drawing/2014/chart" uri="{C3380CC4-5D6E-409C-BE32-E72D297353CC}">
                <c16:uniqueId val="{0000000B-38FA-E34D-8457-B8C234D18A66}"/>
              </c:ext>
            </c:extLst>
          </c:dPt>
          <c:dPt>
            <c:idx val="7"/>
            <c:bubble3D val="0"/>
            <c:spPr>
              <a:solidFill>
                <a:srgbClr val="7BAAF7"/>
              </a:solidFill>
            </c:spPr>
            <c:extLst>
              <c:ext xmlns:c16="http://schemas.microsoft.com/office/drawing/2014/chart" uri="{C3380CC4-5D6E-409C-BE32-E72D297353CC}">
                <c16:uniqueId val="{0000000F-38FA-E34D-8457-B8C234D18A66}"/>
              </c:ext>
            </c:extLst>
          </c:dPt>
          <c:dPt>
            <c:idx val="8"/>
            <c:bubble3D val="0"/>
            <c:spPr>
              <a:solidFill>
                <a:srgbClr val="F07B72"/>
              </a:solidFill>
            </c:spPr>
            <c:extLst>
              <c:ext xmlns:c16="http://schemas.microsoft.com/office/drawing/2014/chart" uri="{C3380CC4-5D6E-409C-BE32-E72D297353CC}">
                <c16:uniqueId val="{0000000F-E63B-4D2F-B3C1-D852EFDC0D34}"/>
              </c:ext>
            </c:extLst>
          </c:dPt>
          <c:dLbls>
            <c:dLbl>
              <c:idx val="0"/>
              <c:layout>
                <c:manualLayout>
                  <c:x val="-0.13403963857336204"/>
                  <c:y val="-0.1816553167340568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A-E34D-8457-B8C234D18A66}"/>
                </c:ext>
              </c:extLst>
            </c:dLbl>
            <c:spPr>
              <a:noFill/>
              <a:ln>
                <a:noFill/>
              </a:ln>
              <a:effectLst/>
            </c:spPr>
            <c:txPr>
              <a:bodyPr wrap="square" lIns="38100" tIns="19050" rIns="38100" bIns="19050" anchor="ctr">
                <a:spAutoFit/>
              </a:bodyPr>
              <a:lstStyle/>
              <a:p>
                <a:pPr>
                  <a:defRPr sz="1200">
                    <a:latin typeface="Century Schoolbook" panose="02040604050505020304" pitchFamily="18" charset="0"/>
                  </a:defRPr>
                </a:pPr>
                <a:endParaRPr lang="es-EC"/>
              </a:p>
            </c:txPr>
            <c:showLegendKey val="0"/>
            <c:showVal val="0"/>
            <c:showCatName val="0"/>
            <c:showSerName val="0"/>
            <c:showPercent val="1"/>
            <c:showBubbleSize val="0"/>
            <c:showLeaderLines val="1"/>
            <c:extLst>
              <c:ext xmlns:c15="http://schemas.microsoft.com/office/drawing/2012/chart" uri="{CE6537A1-D6FC-4f65-9D91-7224C49458BB}"/>
            </c:extLst>
          </c:dLbls>
          <c:cat>
            <c:strRef>
              <c:f>Resumen!$B$382:$B$390</c:f>
              <c:strCache>
                <c:ptCount val="9"/>
                <c:pt idx="0">
                  <c:v>51 Egresos en Personal</c:v>
                </c:pt>
                <c:pt idx="1">
                  <c:v>53 Bienes y Servicios de Consumo</c:v>
                </c:pt>
                <c:pt idx="2">
                  <c:v>57 Otros Egresos Corrientes</c:v>
                </c:pt>
                <c:pt idx="3">
                  <c:v>58 Transferencias o Donaciones Corrientes </c:v>
                </c:pt>
                <c:pt idx="4">
                  <c:v>71 Egresos en Personal para Inversión </c:v>
                </c:pt>
                <c:pt idx="5">
                  <c:v>73 Bienes y Servicios para Inversión </c:v>
                </c:pt>
                <c:pt idx="6">
                  <c:v>75 Obras Públicas</c:v>
                </c:pt>
                <c:pt idx="7">
                  <c:v>84 Bienes de Larga Duración</c:v>
                </c:pt>
                <c:pt idx="8">
                  <c:v>99 Otros Pasivos</c:v>
                </c:pt>
              </c:strCache>
            </c:strRef>
          </c:cat>
          <c:val>
            <c:numRef>
              <c:f>Resumen!$C$382:$C$390</c:f>
              <c:numCache>
                <c:formatCode>"$"#,##0.00</c:formatCode>
                <c:ptCount val="9"/>
                <c:pt idx="0">
                  <c:v>25509089.09</c:v>
                </c:pt>
                <c:pt idx="1">
                  <c:v>3322696.1977694323</c:v>
                </c:pt>
                <c:pt idx="2">
                  <c:v>380638.19</c:v>
                </c:pt>
                <c:pt idx="3">
                  <c:v>1464357.0480800001</c:v>
                </c:pt>
                <c:pt idx="4">
                  <c:v>730626.75</c:v>
                </c:pt>
                <c:pt idx="5">
                  <c:v>799435.16400000022</c:v>
                </c:pt>
                <c:pt idx="6">
                  <c:v>2135103.63</c:v>
                </c:pt>
                <c:pt idx="7">
                  <c:v>3558137.8805996799</c:v>
                </c:pt>
                <c:pt idx="8">
                  <c:v>272601.11</c:v>
                </c:pt>
              </c:numCache>
            </c:numRef>
          </c:val>
          <c:extLst>
            <c:ext xmlns:c16="http://schemas.microsoft.com/office/drawing/2014/chart" uri="{C3380CC4-5D6E-409C-BE32-E72D297353CC}">
              <c16:uniqueId val="{00000010-38FA-E34D-8457-B8C234D18A66}"/>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0">
              <a:solidFill>
                <a:srgbClr val="1A1A1A"/>
              </a:solidFill>
              <a:latin typeface="Arial Narrow" panose="020B0606020202030204" pitchFamily="34" charset="0"/>
            </a:defRPr>
          </a:pPr>
          <a:endParaRPr lang="es-EC"/>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a:solidFill>
                  <a:srgbClr val="002060"/>
                </a:solidFill>
                <a:latin typeface="Cambria" panose="02040503050406030204" pitchFamily="18" charset="0"/>
                <a:ea typeface="Cambria" panose="02040503050406030204" pitchFamily="18" charset="0"/>
              </a:defRPr>
            </a:pPr>
            <a:r>
              <a:rPr lang="es-EC" sz="1400" b="0">
                <a:solidFill>
                  <a:srgbClr val="002060"/>
                </a:solidFill>
                <a:latin typeface="Cambria" panose="02040503050406030204" pitchFamily="18" charset="0"/>
                <a:ea typeface="Cambria" panose="02040503050406030204" pitchFamily="18" charset="0"/>
              </a:rPr>
              <a:t>Por programa presupuestario</a:t>
            </a:r>
          </a:p>
        </c:rich>
      </c:tx>
      <c:overlay val="0"/>
    </c:title>
    <c:autoTitleDeleted val="0"/>
    <c:plotArea>
      <c:layout/>
      <c:pieChart>
        <c:varyColors val="1"/>
        <c:ser>
          <c:idx val="0"/>
          <c:order val="0"/>
          <c:tx>
            <c:strRef>
              <c:f>Resumen!$C$393</c:f>
              <c:strCache>
                <c:ptCount val="1"/>
              </c:strCache>
            </c:strRef>
          </c:tx>
          <c:dPt>
            <c:idx val="0"/>
            <c:bubble3D val="0"/>
            <c:spPr>
              <a:solidFill>
                <a:srgbClr val="4285F4"/>
              </a:solidFill>
            </c:spPr>
            <c:extLst>
              <c:ext xmlns:c16="http://schemas.microsoft.com/office/drawing/2014/chart" uri="{C3380CC4-5D6E-409C-BE32-E72D297353CC}">
                <c16:uniqueId val="{00000001-F713-C743-91AE-7785CA3D9AEA}"/>
              </c:ext>
            </c:extLst>
          </c:dPt>
          <c:dPt>
            <c:idx val="1"/>
            <c:bubble3D val="0"/>
            <c:spPr>
              <a:solidFill>
                <a:srgbClr val="EA4335"/>
              </a:solidFill>
            </c:spPr>
            <c:extLst>
              <c:ext xmlns:c16="http://schemas.microsoft.com/office/drawing/2014/chart" uri="{C3380CC4-5D6E-409C-BE32-E72D297353CC}">
                <c16:uniqueId val="{00000003-F713-C743-91AE-7785CA3D9AEA}"/>
              </c:ext>
            </c:extLst>
          </c:dPt>
          <c:dPt>
            <c:idx val="2"/>
            <c:bubble3D val="0"/>
            <c:spPr>
              <a:solidFill>
                <a:srgbClr val="FBBC04"/>
              </a:solidFill>
            </c:spPr>
            <c:extLst>
              <c:ext xmlns:c16="http://schemas.microsoft.com/office/drawing/2014/chart" uri="{C3380CC4-5D6E-409C-BE32-E72D297353CC}">
                <c16:uniqueId val="{00000005-F713-C743-91AE-7785CA3D9AEA}"/>
              </c:ext>
            </c:extLst>
          </c:dPt>
          <c:dPt>
            <c:idx val="3"/>
            <c:bubble3D val="0"/>
            <c:spPr>
              <a:solidFill>
                <a:srgbClr val="34A853"/>
              </a:solidFill>
            </c:spPr>
            <c:extLst>
              <c:ext xmlns:c16="http://schemas.microsoft.com/office/drawing/2014/chart" uri="{C3380CC4-5D6E-409C-BE32-E72D297353CC}">
                <c16:uniqueId val="{00000007-F713-C743-91AE-7785CA3D9AEA}"/>
              </c:ext>
            </c:extLst>
          </c:dPt>
          <c:dLbls>
            <c:dLbl>
              <c:idx val="0"/>
              <c:layout>
                <c:manualLayout>
                  <c:x val="-0.14300867402013162"/>
                  <c:y val="0.1133773143221962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13-C743-91AE-7785CA3D9AEA}"/>
                </c:ext>
              </c:extLst>
            </c:dLbl>
            <c:dLbl>
              <c:idx val="1"/>
              <c:layout>
                <c:manualLayout>
                  <c:x val="0.11978662896782996"/>
                  <c:y val="-0.177044406611335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13-C743-91AE-7785CA3D9AEA}"/>
                </c:ext>
              </c:extLst>
            </c:dLbl>
            <c:spPr>
              <a:noFill/>
              <a:ln>
                <a:noFill/>
              </a:ln>
              <a:effectLst/>
            </c:spPr>
            <c:txPr>
              <a:bodyPr wrap="square" lIns="38100" tIns="19050" rIns="38100" bIns="19050" anchor="ctr">
                <a:spAutoFit/>
              </a:bodyPr>
              <a:lstStyle/>
              <a:p>
                <a:pPr>
                  <a:defRPr sz="1200">
                    <a:latin typeface="Century Schoolbook" panose="02040604050505020304" pitchFamily="18" charset="0"/>
                  </a:defRPr>
                </a:pPr>
                <a:endParaRPr lang="es-EC"/>
              </a:p>
            </c:txPr>
            <c:showLegendKey val="0"/>
            <c:showVal val="0"/>
            <c:showCatName val="0"/>
            <c:showSerName val="0"/>
            <c:showPercent val="1"/>
            <c:showBubbleSize val="0"/>
            <c:showLeaderLines val="1"/>
            <c:extLst>
              <c:ext xmlns:c15="http://schemas.microsoft.com/office/drawing/2012/chart" uri="{CE6537A1-D6FC-4f65-9D91-7224C49458BB}"/>
            </c:extLst>
          </c:dLbls>
          <c:cat>
            <c:strRef>
              <c:f>Resumen!$B$394:$B$397</c:f>
              <c:strCache>
                <c:ptCount val="4"/>
                <c:pt idx="0">
                  <c:v>01 - Administración central</c:v>
                </c:pt>
                <c:pt idx="1">
                  <c:v>82 - Formación y gestión académica</c:v>
                </c:pt>
                <c:pt idx="2">
                  <c:v>83 - Gestión de la investigación</c:v>
                </c:pt>
                <c:pt idx="3">
                  <c:v>84 - Gestión de la vinculación con la colectividad</c:v>
                </c:pt>
              </c:strCache>
            </c:strRef>
          </c:cat>
          <c:val>
            <c:numRef>
              <c:f>Resumen!$C$394:$C$397</c:f>
              <c:numCache>
                <c:formatCode>"$"#,##0.00</c:formatCode>
                <c:ptCount val="4"/>
                <c:pt idx="0">
                  <c:v>12842364.69328822</c:v>
                </c:pt>
                <c:pt idx="1">
                  <c:v>19665439.449521199</c:v>
                </c:pt>
                <c:pt idx="2">
                  <c:v>5474823.7040396817</c:v>
                </c:pt>
                <c:pt idx="3">
                  <c:v>190057.21360000002</c:v>
                </c:pt>
              </c:numCache>
            </c:numRef>
          </c:val>
          <c:extLst>
            <c:ext xmlns:c16="http://schemas.microsoft.com/office/drawing/2014/chart" uri="{C3380CC4-5D6E-409C-BE32-E72D297353CC}">
              <c16:uniqueId val="{00000008-F713-C743-91AE-7785CA3D9AEA}"/>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0">
              <a:solidFill>
                <a:srgbClr val="1A1A1A"/>
              </a:solidFill>
              <a:latin typeface="Arial Narrow" panose="020B0606020202030204" pitchFamily="34" charset="0"/>
            </a:defRPr>
          </a:pPr>
          <a:endParaRPr lang="es-EC"/>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a:solidFill>
                  <a:srgbClr val="002060"/>
                </a:solidFill>
                <a:latin typeface="Cambria" panose="02040503050406030204" pitchFamily="18" charset="0"/>
                <a:ea typeface="Cambria" panose="02040503050406030204" pitchFamily="18" charset="0"/>
              </a:defRPr>
            </a:pPr>
            <a:r>
              <a:rPr lang="es-EC" sz="1400" b="0">
                <a:solidFill>
                  <a:srgbClr val="002060"/>
                </a:solidFill>
                <a:latin typeface="Cambria" panose="02040503050406030204" pitchFamily="18" charset="0"/>
                <a:ea typeface="Cambria" panose="02040503050406030204" pitchFamily="18" charset="0"/>
              </a:rPr>
              <a:t>Por fuente de financiamiento</a:t>
            </a:r>
          </a:p>
        </c:rich>
      </c:tx>
      <c:overlay val="0"/>
    </c:title>
    <c:autoTitleDeleted val="0"/>
    <c:plotArea>
      <c:layout/>
      <c:pieChart>
        <c:varyColors val="1"/>
        <c:ser>
          <c:idx val="0"/>
          <c:order val="0"/>
          <c:tx>
            <c:strRef>
              <c:f>Resumen!$C$373</c:f>
              <c:strCache>
                <c:ptCount val="1"/>
              </c:strCache>
            </c:strRef>
          </c:tx>
          <c:dPt>
            <c:idx val="0"/>
            <c:bubble3D val="0"/>
            <c:spPr>
              <a:solidFill>
                <a:srgbClr val="4285F4"/>
              </a:solidFill>
            </c:spPr>
            <c:extLst>
              <c:ext xmlns:c16="http://schemas.microsoft.com/office/drawing/2014/chart" uri="{C3380CC4-5D6E-409C-BE32-E72D297353CC}">
                <c16:uniqueId val="{00000001-24BD-4F94-9B36-8001080AEDB0}"/>
              </c:ext>
            </c:extLst>
          </c:dPt>
          <c:dPt>
            <c:idx val="1"/>
            <c:bubble3D val="0"/>
            <c:spPr>
              <a:solidFill>
                <a:srgbClr val="EA4335"/>
              </a:solidFill>
            </c:spPr>
            <c:extLst>
              <c:ext xmlns:c16="http://schemas.microsoft.com/office/drawing/2014/chart" uri="{C3380CC4-5D6E-409C-BE32-E72D297353CC}">
                <c16:uniqueId val="{00000003-24BD-4F94-9B36-8001080AEDB0}"/>
              </c:ext>
            </c:extLst>
          </c:dPt>
          <c:dPt>
            <c:idx val="2"/>
            <c:bubble3D val="0"/>
            <c:spPr>
              <a:solidFill>
                <a:srgbClr val="FBBC04"/>
              </a:solidFill>
            </c:spPr>
            <c:extLst>
              <c:ext xmlns:c16="http://schemas.microsoft.com/office/drawing/2014/chart" uri="{C3380CC4-5D6E-409C-BE32-E72D297353CC}">
                <c16:uniqueId val="{00000005-24BD-4F94-9B36-8001080AEDB0}"/>
              </c:ext>
            </c:extLst>
          </c:dPt>
          <c:dPt>
            <c:idx val="3"/>
            <c:bubble3D val="0"/>
            <c:spPr>
              <a:solidFill>
                <a:srgbClr val="34A853"/>
              </a:solidFill>
            </c:spPr>
            <c:extLst>
              <c:ext xmlns:c16="http://schemas.microsoft.com/office/drawing/2014/chart" uri="{C3380CC4-5D6E-409C-BE32-E72D297353CC}">
                <c16:uniqueId val="{00000007-24BD-4F94-9B36-8001080AEDB0}"/>
              </c:ext>
            </c:extLst>
          </c:dPt>
          <c:dLbls>
            <c:dLbl>
              <c:idx val="2"/>
              <c:layout>
                <c:manualLayout>
                  <c:x val="0.13735867045846828"/>
                  <c:y val="-0.1721575512520393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D-4F94-9B36-8001080AEDB0}"/>
                </c:ext>
              </c:extLst>
            </c:dLbl>
            <c:spPr>
              <a:noFill/>
              <a:ln>
                <a:noFill/>
              </a:ln>
              <a:effectLst/>
            </c:spPr>
            <c:txPr>
              <a:bodyPr wrap="square" lIns="38100" tIns="19050" rIns="38100" bIns="19050" anchor="ctr">
                <a:spAutoFit/>
              </a:bodyPr>
              <a:lstStyle/>
              <a:p>
                <a:pPr>
                  <a:defRPr sz="1100">
                    <a:latin typeface="Century Schoolbook" panose="02040604050505020304" pitchFamily="18" charset="0"/>
                  </a:defRPr>
                </a:pPr>
                <a:endParaRPr lang="es-EC"/>
              </a:p>
            </c:txPr>
            <c:showLegendKey val="0"/>
            <c:showVal val="0"/>
            <c:showCatName val="0"/>
            <c:showSerName val="0"/>
            <c:showPercent val="1"/>
            <c:showBubbleSize val="0"/>
            <c:showLeaderLines val="1"/>
            <c:extLst>
              <c:ext xmlns:c15="http://schemas.microsoft.com/office/drawing/2012/chart" uri="{CE6537A1-D6FC-4f65-9D91-7224C49458BB}"/>
            </c:extLst>
          </c:dLbls>
          <c:cat>
            <c:strRef>
              <c:f>Resumen!$B$374:$B$378</c:f>
              <c:strCache>
                <c:ptCount val="5"/>
                <c:pt idx="0">
                  <c:v>FUENTE 1: Recursos fiscales</c:v>
                </c:pt>
                <c:pt idx="1">
                  <c:v>FUENTE 2: Recursos fiscales generados por las Instituciones</c:v>
                </c:pt>
                <c:pt idx="2">
                  <c:v>FUENTE 3: Recursos Provenientes de Preasignaciones</c:v>
                </c:pt>
                <c:pt idx="3">
                  <c:v>FUENTE 202: Préstamos Externos</c:v>
                </c:pt>
                <c:pt idx="4">
                  <c:v>FUENTE 998: Anticipos de Ejercicios Anteriores</c:v>
                </c:pt>
              </c:strCache>
            </c:strRef>
          </c:cat>
          <c:val>
            <c:numRef>
              <c:f>Resumen!$C$374:$C$378</c:f>
              <c:numCache>
                <c:formatCode>"$"#,##0.00</c:formatCode>
                <c:ptCount val="5"/>
                <c:pt idx="0">
                  <c:v>7040956.9894408835</c:v>
                </c:pt>
                <c:pt idx="1">
                  <c:v>933858.51947142859</c:v>
                </c:pt>
                <c:pt idx="2">
                  <c:v>28387466.447536789</c:v>
                </c:pt>
                <c:pt idx="3">
                  <c:v>1428165.4040000001</c:v>
                </c:pt>
                <c:pt idx="4">
                  <c:v>382237.69999999995</c:v>
                </c:pt>
              </c:numCache>
            </c:numRef>
          </c:val>
          <c:extLst>
            <c:ext xmlns:c16="http://schemas.microsoft.com/office/drawing/2014/chart" uri="{C3380CC4-5D6E-409C-BE32-E72D297353CC}">
              <c16:uniqueId val="{00000008-24BD-4F94-9B36-8001080AEDB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39658957035381"/>
          <c:y val="0.20016705682060013"/>
          <c:w val="0.34363958158674845"/>
          <c:h val="0.67360715045754405"/>
        </c:manualLayout>
      </c:layout>
      <c:overlay val="0"/>
      <c:txPr>
        <a:bodyPr/>
        <a:lstStyle/>
        <a:p>
          <a:pPr lvl="0">
            <a:defRPr b="0">
              <a:solidFill>
                <a:srgbClr val="1A1A1A"/>
              </a:solidFill>
              <a:latin typeface="Arial Narrow" panose="020B0606020202030204" pitchFamily="34" charset="0"/>
            </a:defRPr>
          </a:pPr>
          <a:endParaRPr lang="es-EC"/>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a:solidFill>
                  <a:srgbClr val="002060"/>
                </a:solidFill>
                <a:latin typeface="Cambria" panose="02040503050406030204" pitchFamily="18" charset="0"/>
                <a:ea typeface="Cambria" panose="02040503050406030204" pitchFamily="18" charset="0"/>
              </a:defRPr>
            </a:pPr>
            <a:r>
              <a:rPr lang="es-EC" sz="1400" b="0">
                <a:solidFill>
                  <a:srgbClr val="002060"/>
                </a:solidFill>
                <a:latin typeface="Cambria" panose="02040503050406030204" pitchFamily="18" charset="0"/>
                <a:ea typeface="Cambria" panose="02040503050406030204" pitchFamily="18" charset="0"/>
              </a:rPr>
              <a:t>Por dependencia</a:t>
            </a:r>
          </a:p>
        </c:rich>
      </c:tx>
      <c:overlay val="0"/>
    </c:title>
    <c:autoTitleDeleted val="0"/>
    <c:plotArea>
      <c:layout/>
      <c:barChart>
        <c:barDir val="col"/>
        <c:grouping val="clustered"/>
        <c:varyColors val="1"/>
        <c:ser>
          <c:idx val="0"/>
          <c:order val="0"/>
          <c:tx>
            <c:strRef>
              <c:f>Resumen!$D$400</c:f>
              <c:strCache>
                <c:ptCount val="1"/>
              </c:strCache>
            </c:strRef>
          </c:tx>
          <c:spPr>
            <a:solidFill>
              <a:srgbClr val="4285F4"/>
            </a:solidFill>
            <a:ln cmpd="sng">
              <a:solidFill>
                <a:srgbClr val="000000"/>
              </a:solidFill>
            </a:ln>
          </c:spPr>
          <c:invertIfNegative val="1"/>
          <c:cat>
            <c:strRef>
              <c:f>Resumen!$B$401:$B$425</c:f>
              <c:strCache>
                <c:ptCount val="25"/>
                <c:pt idx="0">
                  <c:v>1. Rectorado</c:v>
                </c:pt>
                <c:pt idx="1">
                  <c:v>2. Procuraduría General</c:v>
                </c:pt>
                <c:pt idx="2">
                  <c:v>3. Dirección de Comunicación</c:v>
                </c:pt>
                <c:pt idx="3">
                  <c:v>4. Secretaría General</c:v>
                </c:pt>
                <c:pt idx="4">
                  <c:v>5. Dirección de Planificación</c:v>
                </c:pt>
                <c:pt idx="5">
                  <c:v>6. Dirección de Bienestar Universitario, Arte y Cultura</c:v>
                </c:pt>
                <c:pt idx="6">
                  <c:v>7. Dirección de Aseguramiento de la Calidad</c:v>
                </c:pt>
                <c:pt idx="7">
                  <c:v>8. Vicerrectorado de Investigación, Vinculación y Posgrado</c:v>
                </c:pt>
                <c:pt idx="8">
                  <c:v>9. Dirección de Investigación, Desarrollo e Innovación</c:v>
                </c:pt>
                <c:pt idx="9">
                  <c:v>10. Dirección de Posgrado</c:v>
                </c:pt>
                <c:pt idx="10">
                  <c:v>11. Dirección de Vinculación</c:v>
                </c:pt>
                <c:pt idx="11">
                  <c:v>12. Vicerrectorado Académico</c:v>
                </c:pt>
                <c:pt idx="12">
                  <c:v>13. Dirección Académica</c:v>
                </c:pt>
                <c:pt idx="13">
                  <c:v>14. Dirección de Formación Profesional</c:v>
                </c:pt>
                <c:pt idx="14">
                  <c:v>15. Dirección de Educación Continua</c:v>
                </c:pt>
                <c:pt idx="15">
                  <c:v>16. Vicerrectorado Administrativo</c:v>
                </c:pt>
                <c:pt idx="16">
                  <c:v>17. Dirección de Tecnologías de la Información y Comunicación</c:v>
                </c:pt>
                <c:pt idx="17">
                  <c:v>18. Dirección de Talento Humano</c:v>
                </c:pt>
                <c:pt idx="18">
                  <c:v>19. Dirección Financiera</c:v>
                </c:pt>
                <c:pt idx="19">
                  <c:v>20. Dirección Administrativa</c:v>
                </c:pt>
                <c:pt idx="20">
                  <c:v>21.1. Facultad de Ciencias Agropecuarias</c:v>
                </c:pt>
                <c:pt idx="21">
                  <c:v>21.2. Facultad de Ciencias Empresariales</c:v>
                </c:pt>
                <c:pt idx="22">
                  <c:v>21.3. Facultad de Ciencias Químicas y de la Salud</c:v>
                </c:pt>
                <c:pt idx="23">
                  <c:v>21.4. Facultad de Ciencias Sociales</c:v>
                </c:pt>
                <c:pt idx="24">
                  <c:v>21.5. Facultad de Ingeniería Civil</c:v>
                </c:pt>
              </c:strCache>
            </c:strRef>
          </c:cat>
          <c:val>
            <c:numRef>
              <c:f>Resumen!$D$401:$D$425</c:f>
              <c:numCache>
                <c:formatCode>0.00%</c:formatCode>
                <c:ptCount val="25"/>
                <c:pt idx="0">
                  <c:v>1.3998451697956433E-3</c:v>
                </c:pt>
                <c:pt idx="1">
                  <c:v>9.8897942180952369E-5</c:v>
                </c:pt>
                <c:pt idx="2">
                  <c:v>1.9233777809826011E-3</c:v>
                </c:pt>
                <c:pt idx="3">
                  <c:v>2.4950469124500053E-4</c:v>
                </c:pt>
                <c:pt idx="4">
                  <c:v>2.5400136209034921E-3</c:v>
                </c:pt>
                <c:pt idx="5">
                  <c:v>3.3222714724797944E-2</c:v>
                </c:pt>
                <c:pt idx="6">
                  <c:v>2.2575660837148903E-4</c:v>
                </c:pt>
                <c:pt idx="7">
                  <c:v>1.7677830494014001E-3</c:v>
                </c:pt>
                <c:pt idx="8">
                  <c:v>1.6621409226910046E-2</c:v>
                </c:pt>
                <c:pt idx="9">
                  <c:v>9.6281149575406879E-5</c:v>
                </c:pt>
                <c:pt idx="10">
                  <c:v>2.0020739719769885E-3</c:v>
                </c:pt>
                <c:pt idx="11">
                  <c:v>8.3041892258304379E-4</c:v>
                </c:pt>
                <c:pt idx="12">
                  <c:v>0</c:v>
                </c:pt>
                <c:pt idx="13">
                  <c:v>0</c:v>
                </c:pt>
                <c:pt idx="14">
                  <c:v>6.1328595468009158E-4</c:v>
                </c:pt>
                <c:pt idx="15">
                  <c:v>0</c:v>
                </c:pt>
                <c:pt idx="16">
                  <c:v>4.2350057107064298E-2</c:v>
                </c:pt>
                <c:pt idx="17">
                  <c:v>0.72285817961989995</c:v>
                </c:pt>
                <c:pt idx="18">
                  <c:v>7.4403901813622749E-3</c:v>
                </c:pt>
                <c:pt idx="19">
                  <c:v>0.11175058378071367</c:v>
                </c:pt>
                <c:pt idx="20">
                  <c:v>7.8004323194749729E-3</c:v>
                </c:pt>
                <c:pt idx="21">
                  <c:v>4.0387585750350187E-3</c:v>
                </c:pt>
                <c:pt idx="22">
                  <c:v>3.9497585924470951E-3</c:v>
                </c:pt>
                <c:pt idx="23">
                  <c:v>1.0662460850093824E-2</c:v>
                </c:pt>
                <c:pt idx="24">
                  <c:v>2.7558016160504732E-2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2A-442D-A564-303ED94B0359}"/>
            </c:ext>
          </c:extLst>
        </c:ser>
        <c:dLbls>
          <c:showLegendKey val="0"/>
          <c:showVal val="0"/>
          <c:showCatName val="0"/>
          <c:showSerName val="0"/>
          <c:showPercent val="0"/>
          <c:showBubbleSize val="0"/>
        </c:dLbls>
        <c:gapWidth val="150"/>
        <c:axId val="413792370"/>
        <c:axId val="991868009"/>
      </c:barChart>
      <c:catAx>
        <c:axId val="413792370"/>
        <c:scaling>
          <c:orientation val="minMax"/>
        </c:scaling>
        <c:delete val="0"/>
        <c:axPos val="b"/>
        <c:numFmt formatCode="General" sourceLinked="1"/>
        <c:majorTickMark val="none"/>
        <c:minorTickMark val="none"/>
        <c:tickLblPos val="nextTo"/>
        <c:spPr>
          <a:ln>
            <a:solidFill/>
          </a:ln>
        </c:spPr>
        <c:txPr>
          <a:bodyPr/>
          <a:lstStyle/>
          <a:p>
            <a:pPr lvl="0">
              <a:defRPr b="0">
                <a:solidFill>
                  <a:sysClr val="windowText" lastClr="000000"/>
                </a:solidFill>
                <a:latin typeface="Arial Narrow" panose="020B0606020202030204" pitchFamily="34" charset="0"/>
              </a:defRPr>
            </a:pPr>
            <a:endParaRPr lang="es-EC"/>
          </a:p>
        </c:txPr>
        <c:crossAx val="991868009"/>
        <c:crosses val="autoZero"/>
        <c:auto val="1"/>
        <c:lblAlgn val="ctr"/>
        <c:lblOffset val="100"/>
        <c:noMultiLvlLbl val="1"/>
      </c:catAx>
      <c:valAx>
        <c:axId val="991868009"/>
        <c:scaling>
          <c:orientation val="minMax"/>
          <c:min val="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EC"/>
              </a:p>
            </c:rich>
          </c:tx>
          <c:overlay val="0"/>
        </c:title>
        <c:numFmt formatCode="0.00%" sourceLinked="0"/>
        <c:majorTickMark val="none"/>
        <c:minorTickMark val="none"/>
        <c:tickLblPos val="nextTo"/>
        <c:spPr>
          <a:ln/>
        </c:spPr>
        <c:txPr>
          <a:bodyPr/>
          <a:lstStyle/>
          <a:p>
            <a:pPr lvl="0">
              <a:defRPr b="0">
                <a:solidFill>
                  <a:srgbClr val="000000"/>
                </a:solidFill>
                <a:latin typeface="Century Schoolbook" panose="02040604050505020304" pitchFamily="18" charset="0"/>
              </a:defRPr>
            </a:pPr>
            <a:endParaRPr lang="es-EC"/>
          </a:p>
        </c:txPr>
        <c:crossAx val="413792370"/>
        <c:crosses val="autoZero"/>
        <c:crossBetween val="between"/>
        <c:majorUnit val="0.2"/>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4</xdr:col>
      <xdr:colOff>504825</xdr:colOff>
      <xdr:row>380</xdr:row>
      <xdr:rowOff>295275</xdr:rowOff>
    </xdr:from>
    <xdr:ext cx="4562475" cy="3114675"/>
    <xdr:graphicFrame macro="">
      <xdr:nvGraphicFramePr>
        <xdr:cNvPr id="8" name="Chart 2" title="Gráfico">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561975</xdr:colOff>
      <xdr:row>392</xdr:row>
      <xdr:rowOff>0</xdr:rowOff>
    </xdr:from>
    <xdr:ext cx="4562475" cy="2819400"/>
    <xdr:graphicFrame macro="">
      <xdr:nvGraphicFramePr>
        <xdr:cNvPr id="4" name="Chart 3" title="Gráfico">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1628776</xdr:colOff>
      <xdr:row>0</xdr:row>
      <xdr:rowOff>9525</xdr:rowOff>
    </xdr:from>
    <xdr:ext cx="1019174" cy="1066800"/>
    <xdr:pic>
      <xdr:nvPicPr>
        <xdr:cNvPr id="6" name="image1.jpg" title="Imagen">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4000000}"/>
            </a:ext>
          </a:extLst>
        </xdr:cNvPr>
        <xdr:cNvPicPr preferRelativeResize="0"/>
      </xdr:nvPicPr>
      <xdr:blipFill>
        <a:blip xmlns:r="http://schemas.openxmlformats.org/officeDocument/2006/relationships" r:embed="rId3" cstate="print"/>
        <a:stretch>
          <a:fillRect/>
        </a:stretch>
      </xdr:blipFill>
      <xdr:spPr>
        <a:xfrm>
          <a:off x="5457826" y="9525"/>
          <a:ext cx="1019174" cy="1066800"/>
        </a:xfrm>
        <a:prstGeom prst="rect">
          <a:avLst/>
        </a:prstGeom>
        <a:noFill/>
      </xdr:spPr>
    </xdr:pic>
    <xdr:clientData fLocksWithSheet="0"/>
  </xdr:oneCellAnchor>
  <xdr:twoCellAnchor>
    <xdr:from>
      <xdr:col>4</xdr:col>
      <xdr:colOff>466725</xdr:colOff>
      <xdr:row>372</xdr:row>
      <xdr:rowOff>9525</xdr:rowOff>
    </xdr:from>
    <xdr:to>
      <xdr:col>7</xdr:col>
      <xdr:colOff>1371600</xdr:colOff>
      <xdr:row>379</xdr:row>
      <xdr:rowOff>38100</xdr:rowOff>
    </xdr:to>
    <xdr:graphicFrame macro="">
      <xdr:nvGraphicFramePr>
        <xdr:cNvPr id="2" name="Gráfico 8" title="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401</xdr:row>
      <xdr:rowOff>381000</xdr:rowOff>
    </xdr:from>
    <xdr:to>
      <xdr:col>12</xdr:col>
      <xdr:colOff>485775</xdr:colOff>
      <xdr:row>420</xdr:row>
      <xdr:rowOff>295275</xdr:rowOff>
    </xdr:to>
    <xdr:graphicFrame macro="">
      <xdr:nvGraphicFramePr>
        <xdr:cNvPr id="10" name="Gráfico 9" title="Gráfico">
          <a:extLst>
            <a:ext uri="{FF2B5EF4-FFF2-40B4-BE49-F238E27FC236}">
              <a16:creationId xmlns:a16="http://schemas.microsoft.com/office/drawing/2014/main" id="{00000000-0008-0000-0000-00000A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30</xdr:col>
      <xdr:colOff>209550</xdr:colOff>
      <xdr:row>0</xdr:row>
      <xdr:rowOff>266700</xdr:rowOff>
    </xdr:from>
    <xdr:ext cx="1276350" cy="1295400"/>
    <xdr:pic>
      <xdr:nvPicPr>
        <xdr:cNvPr id="2" name="image10.jp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30</xdr:col>
      <xdr:colOff>161925</xdr:colOff>
      <xdr:row>0</xdr:row>
      <xdr:rowOff>333375</xdr:rowOff>
    </xdr:from>
    <xdr:ext cx="1304925" cy="1323975"/>
    <xdr:pic>
      <xdr:nvPicPr>
        <xdr:cNvPr id="10" name="image11.jpg" title="Imagen">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1" cstate="print"/>
        <a:stretch>
          <a:fillRect/>
        </a:stretch>
      </xdr:blipFill>
      <xdr:spPr>
        <a:xfrm>
          <a:off x="36309300" y="333375"/>
          <a:ext cx="1304925" cy="13239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30</xdr:col>
      <xdr:colOff>304800</xdr:colOff>
      <xdr:row>0</xdr:row>
      <xdr:rowOff>400050</xdr:rowOff>
    </xdr:from>
    <xdr:ext cx="1257300" cy="1219200"/>
    <xdr:pic>
      <xdr:nvPicPr>
        <xdr:cNvPr id="2" name="image13.jp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30</xdr:col>
      <xdr:colOff>304800</xdr:colOff>
      <xdr:row>0</xdr:row>
      <xdr:rowOff>400050</xdr:rowOff>
    </xdr:from>
    <xdr:ext cx="1304925" cy="1323975"/>
    <xdr:pic>
      <xdr:nvPicPr>
        <xdr:cNvPr id="2" name="image12.jp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30</xdr:col>
      <xdr:colOff>209550</xdr:colOff>
      <xdr:row>0</xdr:row>
      <xdr:rowOff>304800</xdr:rowOff>
    </xdr:from>
    <xdr:ext cx="1304925" cy="1323975"/>
    <xdr:pic>
      <xdr:nvPicPr>
        <xdr:cNvPr id="2" name="image16.jp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30</xdr:col>
      <xdr:colOff>266700</xdr:colOff>
      <xdr:row>1</xdr:row>
      <xdr:rowOff>57150</xdr:rowOff>
    </xdr:from>
    <xdr:ext cx="1304925" cy="1323975"/>
    <xdr:pic>
      <xdr:nvPicPr>
        <xdr:cNvPr id="2" name="image14.jp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29</xdr:col>
      <xdr:colOff>304800</xdr:colOff>
      <xdr:row>0</xdr:row>
      <xdr:rowOff>400050</xdr:rowOff>
    </xdr:from>
    <xdr:ext cx="1304925" cy="1323975"/>
    <xdr:pic>
      <xdr:nvPicPr>
        <xdr:cNvPr id="2" name="image15.jp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30</xdr:col>
      <xdr:colOff>152400</xdr:colOff>
      <xdr:row>0</xdr:row>
      <xdr:rowOff>342900</xdr:rowOff>
    </xdr:from>
    <xdr:ext cx="1304925" cy="1323975"/>
    <xdr:pic>
      <xdr:nvPicPr>
        <xdr:cNvPr id="2" name="image17.jpg" title="Image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30</xdr:col>
      <xdr:colOff>704850</xdr:colOff>
      <xdr:row>0</xdr:row>
      <xdr:rowOff>228600</xdr:rowOff>
    </xdr:from>
    <xdr:ext cx="1304925" cy="1323975"/>
    <xdr:pic>
      <xdr:nvPicPr>
        <xdr:cNvPr id="2" name="image18.jpg" title="Imagen">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38395275" y="228600"/>
          <a:ext cx="1304925" cy="13239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30</xdr:col>
      <xdr:colOff>857250</xdr:colOff>
      <xdr:row>0</xdr:row>
      <xdr:rowOff>209550</xdr:rowOff>
    </xdr:from>
    <xdr:ext cx="1304925" cy="1323975"/>
    <xdr:pic>
      <xdr:nvPicPr>
        <xdr:cNvPr id="2" name="image19.jp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31</xdr:col>
      <xdr:colOff>342900</xdr:colOff>
      <xdr:row>0</xdr:row>
      <xdr:rowOff>161925</xdr:rowOff>
    </xdr:from>
    <xdr:ext cx="1219200" cy="1323975"/>
    <xdr:pic>
      <xdr:nvPicPr>
        <xdr:cNvPr id="2" name="image3.jpg" descr="Imagen 5"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9119175" y="161925"/>
          <a:ext cx="1219200" cy="1323975"/>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30</xdr:col>
      <xdr:colOff>781050</xdr:colOff>
      <xdr:row>0</xdr:row>
      <xdr:rowOff>190500</xdr:rowOff>
    </xdr:from>
    <xdr:ext cx="1304925" cy="1323975"/>
    <xdr:pic>
      <xdr:nvPicPr>
        <xdr:cNvPr id="2" name="image20.jp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30</xdr:col>
      <xdr:colOff>876300</xdr:colOff>
      <xdr:row>0</xdr:row>
      <xdr:rowOff>323850</xdr:rowOff>
    </xdr:from>
    <xdr:ext cx="1304925" cy="1323975"/>
    <xdr:pic>
      <xdr:nvPicPr>
        <xdr:cNvPr id="2" name="image21.jp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29</xdr:col>
      <xdr:colOff>590550</xdr:colOff>
      <xdr:row>0</xdr:row>
      <xdr:rowOff>266700</xdr:rowOff>
    </xdr:from>
    <xdr:ext cx="1304925" cy="1323975"/>
    <xdr:pic>
      <xdr:nvPicPr>
        <xdr:cNvPr id="2" name="image22.jp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30</xdr:col>
      <xdr:colOff>28575</xdr:colOff>
      <xdr:row>0</xdr:row>
      <xdr:rowOff>0</xdr:rowOff>
    </xdr:from>
    <xdr:ext cx="1395413" cy="1323975"/>
    <xdr:pic>
      <xdr:nvPicPr>
        <xdr:cNvPr id="6" name="Imagen 3">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474"/>
        <a:stretch/>
      </xdr:blipFill>
      <xdr:spPr>
        <a:xfrm>
          <a:off x="41128950" y="28574"/>
          <a:ext cx="1395413" cy="13239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29</xdr:col>
      <xdr:colOff>161925</xdr:colOff>
      <xdr:row>0</xdr:row>
      <xdr:rowOff>200025</xdr:rowOff>
    </xdr:from>
    <xdr:ext cx="1395413" cy="1323975"/>
    <xdr:pic>
      <xdr:nvPicPr>
        <xdr:cNvPr id="2" name="Imagen 3">
          <a:extLst>
            <a:ext uri="{FF2B5EF4-FFF2-40B4-BE49-F238E27FC236}">
              <a16:creationId xmlns:a16="http://schemas.microsoft.com/office/drawing/2014/main" id="{17FFF669-E65E-421D-9E29-71A20D9DE0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7474"/>
        <a:stretch/>
      </xdr:blipFill>
      <xdr:spPr>
        <a:xfrm>
          <a:off x="34347150" y="200025"/>
          <a:ext cx="1395413" cy="132397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29</xdr:col>
      <xdr:colOff>304800</xdr:colOff>
      <xdr:row>0</xdr:row>
      <xdr:rowOff>304800</xdr:rowOff>
    </xdr:from>
    <xdr:ext cx="1304925" cy="1323975"/>
    <xdr:pic>
      <xdr:nvPicPr>
        <xdr:cNvPr id="2" name="image24.jp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29</xdr:col>
      <xdr:colOff>133350</xdr:colOff>
      <xdr:row>0</xdr:row>
      <xdr:rowOff>247650</xdr:rowOff>
    </xdr:from>
    <xdr:ext cx="1304925" cy="1323975"/>
    <xdr:pic>
      <xdr:nvPicPr>
        <xdr:cNvPr id="2" name="image25.jpg" title="Imagen">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oneCell">
    <xdr:from>
      <xdr:col>5</xdr:col>
      <xdr:colOff>495300</xdr:colOff>
      <xdr:row>0</xdr:row>
      <xdr:rowOff>0</xdr:rowOff>
    </xdr:from>
    <xdr:to>
      <xdr:col>6</xdr:col>
      <xdr:colOff>685800</xdr:colOff>
      <xdr:row>4</xdr:row>
      <xdr:rowOff>133350</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4610100" y="0"/>
          <a:ext cx="800100" cy="7810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5</xdr:col>
      <xdr:colOff>0</xdr:colOff>
      <xdr:row>0</xdr:row>
      <xdr:rowOff>85725</xdr:rowOff>
    </xdr:from>
    <xdr:ext cx="0" cy="857250"/>
    <xdr:pic>
      <xdr:nvPicPr>
        <xdr:cNvPr id="2" name="image2.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xfrm>
          <a:off x="4591050" y="85725"/>
          <a:ext cx="0" cy="857250"/>
        </a:xfrm>
        <a:prstGeom prst="rect">
          <a:avLst/>
        </a:prstGeom>
        <a:noFill/>
      </xdr:spPr>
    </xdr:pic>
    <xdr:clientData fLocksWithSheet="0"/>
  </xdr:oneCellAnchor>
  <xdr:oneCellAnchor>
    <xdr:from>
      <xdr:col>7</xdr:col>
      <xdr:colOff>666750</xdr:colOff>
      <xdr:row>0</xdr:row>
      <xdr:rowOff>19051</xdr:rowOff>
    </xdr:from>
    <xdr:ext cx="914400" cy="895350"/>
    <xdr:pic>
      <xdr:nvPicPr>
        <xdr:cNvPr id="3" name="image1.pn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xfrm>
          <a:off x="6515100" y="19051"/>
          <a:ext cx="914400" cy="89535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4</xdr:col>
      <xdr:colOff>0</xdr:colOff>
      <xdr:row>0</xdr:row>
      <xdr:rowOff>85725</xdr:rowOff>
    </xdr:from>
    <xdr:ext cx="0" cy="857250"/>
    <xdr:pic>
      <xdr:nvPicPr>
        <xdr:cNvPr id="2" name="image2.png">
          <a:extLst>
            <a:ext uri="{FF2B5EF4-FFF2-40B4-BE49-F238E27FC236}">
              <a16:creationId xmlns:a16="http://schemas.microsoft.com/office/drawing/2014/main" id="{13A2FD9B-1B29-E547-BA9E-4079CB4955E3}"/>
            </a:ext>
          </a:extLst>
        </xdr:cNvPr>
        <xdr:cNvPicPr preferRelativeResize="0"/>
      </xdr:nvPicPr>
      <xdr:blipFill>
        <a:blip xmlns:r="http://schemas.openxmlformats.org/officeDocument/2006/relationships" r:embed="rId1" cstate="print"/>
        <a:stretch>
          <a:fillRect/>
        </a:stretch>
      </xdr:blipFill>
      <xdr:spPr>
        <a:xfrm>
          <a:off x="3860800" y="85725"/>
          <a:ext cx="0" cy="857250"/>
        </a:xfrm>
        <a:prstGeom prst="rect">
          <a:avLst/>
        </a:prstGeom>
        <a:noFill/>
      </xdr:spPr>
    </xdr:pic>
    <xdr:clientData fLocksWithSheet="0"/>
  </xdr:oneCellAnchor>
  <xdr:oneCellAnchor>
    <xdr:from>
      <xdr:col>4</xdr:col>
      <xdr:colOff>638175</xdr:colOff>
      <xdr:row>0</xdr:row>
      <xdr:rowOff>0</xdr:rowOff>
    </xdr:from>
    <xdr:ext cx="914400" cy="895350"/>
    <xdr:pic>
      <xdr:nvPicPr>
        <xdr:cNvPr id="3" name="image1.png">
          <a:extLst>
            <a:ext uri="{FF2B5EF4-FFF2-40B4-BE49-F238E27FC236}">
              <a16:creationId xmlns:a16="http://schemas.microsoft.com/office/drawing/2014/main" id="{DCFFD053-CCE0-B442-80C2-7BBEB7A037FB}"/>
            </a:ext>
            <a:ext uri="{147F2762-F138-4A5C-976F-8EAC2B608ADB}">
              <a16:predDERef xmlns:a16="http://schemas.microsoft.com/office/drawing/2014/main" pred="{00000000-0008-0000-0000-000002000000}"/>
            </a:ext>
          </a:extLst>
        </xdr:cNvPr>
        <xdr:cNvPicPr preferRelativeResize="0"/>
      </xdr:nvPicPr>
      <xdr:blipFill>
        <a:blip xmlns:r="http://schemas.openxmlformats.org/officeDocument/2006/relationships" r:embed="rId2" cstate="print"/>
        <a:stretch>
          <a:fillRect/>
        </a:stretch>
      </xdr:blipFill>
      <xdr:spPr>
        <a:xfrm>
          <a:off x="5457825" y="0"/>
          <a:ext cx="914400" cy="895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30</xdr:col>
      <xdr:colOff>438150</xdr:colOff>
      <xdr:row>0</xdr:row>
      <xdr:rowOff>266700</xdr:rowOff>
    </xdr:from>
    <xdr:ext cx="1304925" cy="1323975"/>
    <xdr:pic>
      <xdr:nvPicPr>
        <xdr:cNvPr id="2" name="image2.jp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7</xdr:col>
      <xdr:colOff>0</xdr:colOff>
      <xdr:row>0</xdr:row>
      <xdr:rowOff>85725</xdr:rowOff>
    </xdr:from>
    <xdr:ext cx="0" cy="857250"/>
    <xdr:pic>
      <xdr:nvPicPr>
        <xdr:cNvPr id="2" name="image2.png">
          <a:extLst>
            <a:ext uri="{FF2B5EF4-FFF2-40B4-BE49-F238E27FC236}">
              <a16:creationId xmlns:a16="http://schemas.microsoft.com/office/drawing/2014/main" id="{EF7FA292-3F17-4D6D-8BC3-9810F165F12E}"/>
            </a:ext>
          </a:extLst>
        </xdr:cNvPr>
        <xdr:cNvPicPr preferRelativeResize="0"/>
      </xdr:nvPicPr>
      <xdr:blipFill>
        <a:blip xmlns:r="http://schemas.openxmlformats.org/officeDocument/2006/relationships" r:embed="rId1" cstate="print"/>
        <a:stretch>
          <a:fillRect/>
        </a:stretch>
      </xdr:blipFill>
      <xdr:spPr>
        <a:xfrm>
          <a:off x="7067550" y="85725"/>
          <a:ext cx="0" cy="857250"/>
        </a:xfrm>
        <a:prstGeom prst="rect">
          <a:avLst/>
        </a:prstGeom>
        <a:noFill/>
      </xdr:spPr>
    </xdr:pic>
    <xdr:clientData fLocksWithSheet="0"/>
  </xdr:oneCellAnchor>
  <xdr:oneCellAnchor>
    <xdr:from>
      <xdr:col>6</xdr:col>
      <xdr:colOff>790575</xdr:colOff>
      <xdr:row>0</xdr:row>
      <xdr:rowOff>1</xdr:rowOff>
    </xdr:from>
    <xdr:ext cx="914400" cy="895350"/>
    <xdr:pic>
      <xdr:nvPicPr>
        <xdr:cNvPr id="3" name="image1.png">
          <a:extLst>
            <a:ext uri="{FF2B5EF4-FFF2-40B4-BE49-F238E27FC236}">
              <a16:creationId xmlns:a16="http://schemas.microsoft.com/office/drawing/2014/main" id="{86538BB1-68A3-4DBC-8049-B7C5F6E46135}"/>
            </a:ext>
            <a:ext uri="{147F2762-F138-4A5C-976F-8EAC2B608ADB}">
              <a16:predDERef xmlns:a16="http://schemas.microsoft.com/office/drawing/2014/main" pred="{00000000-0008-0000-0000-000002000000}"/>
            </a:ext>
          </a:extLst>
        </xdr:cNvPr>
        <xdr:cNvPicPr preferRelativeResize="0"/>
      </xdr:nvPicPr>
      <xdr:blipFill>
        <a:blip xmlns:r="http://schemas.openxmlformats.org/officeDocument/2006/relationships" r:embed="rId2" cstate="print"/>
        <a:stretch>
          <a:fillRect/>
        </a:stretch>
      </xdr:blipFill>
      <xdr:spPr>
        <a:xfrm>
          <a:off x="7058025" y="1"/>
          <a:ext cx="914400" cy="895350"/>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7</xdr:col>
      <xdr:colOff>0</xdr:colOff>
      <xdr:row>0</xdr:row>
      <xdr:rowOff>85725</xdr:rowOff>
    </xdr:from>
    <xdr:ext cx="0" cy="857250"/>
    <xdr:pic>
      <xdr:nvPicPr>
        <xdr:cNvPr id="2" name="image2.png">
          <a:extLst>
            <a:ext uri="{FF2B5EF4-FFF2-40B4-BE49-F238E27FC236}">
              <a16:creationId xmlns:a16="http://schemas.microsoft.com/office/drawing/2014/main" id="{12D4722C-08A3-4BB8-ACFD-FD88699A2AD7}"/>
            </a:ext>
          </a:extLst>
        </xdr:cNvPr>
        <xdr:cNvPicPr preferRelativeResize="0"/>
      </xdr:nvPicPr>
      <xdr:blipFill>
        <a:blip xmlns:r="http://schemas.openxmlformats.org/officeDocument/2006/relationships" r:embed="rId1" cstate="print"/>
        <a:stretch>
          <a:fillRect/>
        </a:stretch>
      </xdr:blipFill>
      <xdr:spPr>
        <a:xfrm>
          <a:off x="7067550" y="85725"/>
          <a:ext cx="0" cy="857250"/>
        </a:xfrm>
        <a:prstGeom prst="rect">
          <a:avLst/>
        </a:prstGeom>
        <a:noFill/>
      </xdr:spPr>
    </xdr:pic>
    <xdr:clientData fLocksWithSheet="0"/>
  </xdr:oneCellAnchor>
  <xdr:oneCellAnchor>
    <xdr:from>
      <xdr:col>6</xdr:col>
      <xdr:colOff>685800</xdr:colOff>
      <xdr:row>0</xdr:row>
      <xdr:rowOff>1</xdr:rowOff>
    </xdr:from>
    <xdr:ext cx="914400" cy="895350"/>
    <xdr:pic>
      <xdr:nvPicPr>
        <xdr:cNvPr id="3" name="image1.png">
          <a:extLst>
            <a:ext uri="{FF2B5EF4-FFF2-40B4-BE49-F238E27FC236}">
              <a16:creationId xmlns:a16="http://schemas.microsoft.com/office/drawing/2014/main" id="{9ACEDFFB-B9F0-450C-B985-646E2244C39C}"/>
            </a:ext>
            <a:ext uri="{147F2762-F138-4A5C-976F-8EAC2B608ADB}">
              <a16:predDERef xmlns:a16="http://schemas.microsoft.com/office/drawing/2014/main" pred="{00000000-0008-0000-0000-000002000000}"/>
            </a:ext>
          </a:extLst>
        </xdr:cNvPr>
        <xdr:cNvPicPr preferRelativeResize="0"/>
      </xdr:nvPicPr>
      <xdr:blipFill>
        <a:blip xmlns:r="http://schemas.openxmlformats.org/officeDocument/2006/relationships" r:embed="rId2" cstate="print"/>
        <a:stretch>
          <a:fillRect/>
        </a:stretch>
      </xdr:blipFill>
      <xdr:spPr>
        <a:xfrm>
          <a:off x="6953250" y="1"/>
          <a:ext cx="914400" cy="8953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31</xdr:col>
      <xdr:colOff>438150</xdr:colOff>
      <xdr:row>0</xdr:row>
      <xdr:rowOff>152400</xdr:rowOff>
    </xdr:from>
    <xdr:ext cx="1304925" cy="1323975"/>
    <xdr:pic>
      <xdr:nvPicPr>
        <xdr:cNvPr id="2" name="image5.jp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32</xdr:col>
      <xdr:colOff>342900</xdr:colOff>
      <xdr:row>0</xdr:row>
      <xdr:rowOff>200025</xdr:rowOff>
    </xdr:from>
    <xdr:ext cx="1304925" cy="1323975"/>
    <xdr:pic>
      <xdr:nvPicPr>
        <xdr:cNvPr id="2" name="image4.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30</xdr:col>
      <xdr:colOff>266700</xdr:colOff>
      <xdr:row>0</xdr:row>
      <xdr:rowOff>438150</xdr:rowOff>
    </xdr:from>
    <xdr:ext cx="1304925" cy="1323975"/>
    <xdr:pic>
      <xdr:nvPicPr>
        <xdr:cNvPr id="2" name="image6.jp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31</xdr:col>
      <xdr:colOff>19050</xdr:colOff>
      <xdr:row>0</xdr:row>
      <xdr:rowOff>152400</xdr:rowOff>
    </xdr:from>
    <xdr:ext cx="1304925" cy="1323975"/>
    <xdr:pic>
      <xdr:nvPicPr>
        <xdr:cNvPr id="2" name="image7.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30</xdr:col>
      <xdr:colOff>247650</xdr:colOff>
      <xdr:row>0</xdr:row>
      <xdr:rowOff>190500</xdr:rowOff>
    </xdr:from>
    <xdr:ext cx="1304925" cy="1323975"/>
    <xdr:pic>
      <xdr:nvPicPr>
        <xdr:cNvPr id="2" name="image8.jp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31</xdr:col>
      <xdr:colOff>381000</xdr:colOff>
      <xdr:row>0</xdr:row>
      <xdr:rowOff>342900</xdr:rowOff>
    </xdr:from>
    <xdr:ext cx="1304925" cy="1323975"/>
    <xdr:pic>
      <xdr:nvPicPr>
        <xdr:cNvPr id="2" name="image9.jp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Reforma%209%20Presupuesto%2015-1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skrolando/Library/Application%20Support/Microsoft/POA%202023%20ajustado%20a%20la%20Reforma%20N&#176;%20004-2023%2020230815(Recuperado%20automa&#769;ticamen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tmachalaeduec-my.sharepoint.com/personal/planificacion_utmachala_edu_ec/Documents/Gesti&#243;n%202023/G.06%20EMISION%20DE%20INSUMOS%20PARA%20ELAB.%20DE%20LA%20PROF,%20PRESUPUESTARIA%20Y%20SUS%20REFORMAS/REFORMA%20N&#176;%20002-2023/PND"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tmachalaeduec-my.sharepoint.com/personal/planificacion_utmachala_edu_ec/Documents/Gesti&#243;n%202023/G.06%20EMISION%20DE%20INSUMOS%20PARA%20ELAB.%20DE%20LA%20PROF,%20PRESUPUESTARIA%20Y%20SUS%20REFORMAS/REFORMA%20N&#176;%20002-2023/PED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tmachalaeduec-my.sharepoint.com/personal/planificacion_utmachala_edu_ec/Documents/Gesti&#243;n%202023/G.06%20EMISION%20DE%20INSUMOS%20PARA%20ELAB.%20DE%20LA%20PROF,%20PRESUPUESTARIA%20Y%20SUS%20REFORMAS/REFORMA%20N&#176;%20002-2023/Estrategias%20DAFO"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2017"/>
      <sheetName val="Incremento Reducción"/>
      <sheetName val="Presupuesto 2017 (2)"/>
      <sheetName val="REF. MARZO"/>
      <sheetName val="REF. MARZO + -"/>
      <sheetName val="Comprobación por Fuentes"/>
      <sheetName val="Incremento Reducción Marzo"/>
      <sheetName val="Reforma 4"/>
      <sheetName val="Incremento Reducción Abril"/>
      <sheetName val="Reforma 5"/>
      <sheetName val="Incremento Reducción 5"/>
      <sheetName val="Reforma 6"/>
      <sheetName val="Incremento Reducción 6"/>
      <sheetName val="Reforma 7"/>
      <sheetName val="Incremento Reducción 7"/>
      <sheetName val="Reforma 8"/>
      <sheetName val="Incremento Reducción 8"/>
      <sheetName val="Reforma 9"/>
      <sheetName val="Incremento Reducción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3. FCQ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D"/>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s DAFO"/>
    </sheetNames>
    <sheetDataSet>
      <sheetData sheetId="0"/>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57620F6A-8A5B-4F36-B5C9-DC08D1884307}"/>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29228EC0-A7D3-4177-BE5B-18D4CE2E4BE9}"/>
  <namedSheetView name="Ver2" id="{03C63A69-1E39-4F85-84C7-C85DABEE99EE}"/>
  <namedSheetView name="Ver3" id="{DACF8BFA-C2DD-4F38-BE94-399A8BBE285E}"/>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971BEDEA-8C2C-4957-A933-66B330608A70}"/>
</namedSheetViews>
</file>

<file path=xl/persons/person.xml><?xml version="1.0" encoding="utf-8"?>
<personList xmlns="http://schemas.microsoft.com/office/spreadsheetml/2018/threadedcomments" xmlns:x="http://schemas.openxmlformats.org/spreadsheetml/2006/main">
  <person displayName="valeriaramonc@hotmail.com" id="{4AA2B536-14FD-4A07-BA61-8364C7A11B2A}" userId="S::urn:spo:guest#valeriaramonc@hotmail.com::" providerId="AD"/>
  <person displayName="Valeria  Lisstte Ramon Capa" id="{99E8E0DC-61CD-48A9-8257-79AD4D370B88}" userId="S::vramon@utmachala.edu.ec::d95b5b06-b2c9-4dee-b75a-9d9e21ddebbc" providerId="AD"/>
  <person displayName="Fanny Eunice Basilio Banchon" id="{7C9F1331-5230-414B-A950-0E0D55932BD7}" userId="S::fbasilio@utmachala.edu.ec::eddf187e-7f6d-4a3f-8a18-338576fe0b92" providerId="AD"/>
  <person displayName="Dirección De Planificación" id="{550D8F33-C969-4E55-B50C-EE2BCD73E04D}" userId="S::planificacion@utmachala.edu.ec::406cbea7-217a-49ae-a0d8-6a60278496eb"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21" dT="2023-10-18T16:55:09.56" personId="{550D8F33-C969-4E55-B50C-EE2BCD73E04D}" id="{298D1797-1D63-41E5-9960-8F4BF0D8F67B}">
    <text>CERTIFICACION Nro 373</text>
  </threadedComment>
</ThreadedComments>
</file>

<file path=xl/threadedComments/threadedComment10.xml><?xml version="1.0" encoding="utf-8"?>
<ThreadedComments xmlns="http://schemas.microsoft.com/office/spreadsheetml/2018/threadedcomments" xmlns:x="http://schemas.openxmlformats.org/spreadsheetml/2006/main">
  <threadedComment ref="AB53" dT="2023-10-17T20:14:38.85" personId="{99E8E0DC-61CD-48A9-8257-79AD4D370B88}" id="{9997F8E4-780E-40D4-AC4C-5A168AA52DA3}">
    <text>certificacion 367</text>
  </threadedComment>
  <threadedComment ref="AA81" dT="2023-10-19T22:37:09.24" personId="{7C9F1331-5230-414B-A950-0E0D55932BD7}" id="{59264EAE-609C-4D40-9625-252E6539161A}">
    <text>Certificacion 210</text>
  </threadedComment>
  <threadedComment ref="AA85" dT="2023-10-19T22:36:47.80" personId="{7C9F1331-5230-414B-A950-0E0D55932BD7}" id="{67DA1EBD-0E6F-4771-A5AC-C0C0EDC48BC6}">
    <text>Certificacion nro 210</text>
  </threadedComment>
  <threadedComment ref="AB201" dT="2023-09-29T20:27:31.68" personId="{99E8E0DC-61CD-48A9-8257-79AD4D370B88}" id="{4C805AC6-1B59-479F-986A-8B177A44FDBE}">
    <text>2887.36</text>
  </threadedComment>
  <threadedComment ref="W202" dT="2023-09-29T20:27:23.88" personId="{99E8E0DC-61CD-48A9-8257-79AD4D370B88}" id="{ADB50D4F-B078-4611-AD32-C7D2BFD2D700}">
    <text>2</text>
  </threadedComment>
  <threadedComment ref="Y202" dT="2023-09-29T20:27:10.24" personId="{99E8E0DC-61CD-48A9-8257-79AD4D370B88}" id="{B6542109-9411-46F5-A060-DB680BB61265}">
    <text>1289</text>
  </threadedComment>
  <threadedComment ref="W217" dT="2023-09-29T20:32:27.52" personId="{99E8E0DC-61CD-48A9-8257-79AD4D370B88}" id="{503A7D5D-C07A-4DC2-BAB1-306AEE314E68}">
    <text>2</text>
  </threadedComment>
  <threadedComment ref="AA253" dT="2023-10-18T19:54:17.31" personId="{550D8F33-C969-4E55-B50C-EE2BCD73E04D}" id="{02B0E6E2-7D31-44B0-84A9-8BB279C1F5D4}">
    <text>DTIC-0326-M</text>
  </threadedComment>
  <threadedComment ref="AA254" dT="2023-10-18T19:53:27.04" personId="{550D8F33-C969-4E55-B50C-EE2BCD73E04D}" id="{021C8AF5-4D7B-435D-9AEE-4C7FBEF312F3}">
    <text>CERTIFICACION Nro 370</text>
  </threadedComment>
</ThreadedComments>
</file>

<file path=xl/threadedComments/threadedComment11.xml><?xml version="1.0" encoding="utf-8"?>
<ThreadedComments xmlns="http://schemas.microsoft.com/office/spreadsheetml/2018/threadedcomments" xmlns:x="http://schemas.openxmlformats.org/spreadsheetml/2006/main">
  <threadedComment ref="AA75" dT="2023-10-19T15:06:04.11" personId="{99E8E0DC-61CD-48A9-8257-79AD4D370B88}" id="{87ADF63D-F47B-4B83-A451-DFCBDFECDB6F}">
    <text>certificación 139</text>
  </threadedComment>
</ThreadedComments>
</file>

<file path=xl/threadedComments/threadedComment12.xml><?xml version="1.0" encoding="utf-8"?>
<ThreadedComments xmlns="http://schemas.microsoft.com/office/spreadsheetml/2018/threadedcomments" xmlns:x="http://schemas.openxmlformats.org/spreadsheetml/2006/main">
  <threadedComment ref="W262" dT="2023-10-04T15:40:40.18" personId="{99E8E0DC-61CD-48A9-8257-79AD4D370B88}" id="{78C55EE4-24EB-4BCB-906B-3F01D243E732}">
    <text>5</text>
  </threadedComment>
</ThreadedComments>
</file>

<file path=xl/threadedComments/threadedComment13.xml><?xml version="1.0" encoding="utf-8"?>
<ThreadedComments xmlns="http://schemas.microsoft.com/office/spreadsheetml/2018/threadedcomments" xmlns:x="http://schemas.openxmlformats.org/spreadsheetml/2006/main">
  <threadedComment ref="AB20" dT="2023-02-10T16:26:23.07" personId="{4AA2B536-14FD-4A07-BA61-8364C7A11B2A}" id="{6320B654-4B39-4F75-9C11-4B9E3DA923CE}">
    <text xml:space="preserve">14000 se redujo para cubrir liquidaciones por juicios  990101 003
</text>
  </threadedComment>
  <threadedComment ref="AA74" dT="2023-10-17T20:56:40.71" personId="{99E8E0DC-61CD-48A9-8257-79AD4D370B88}" id="{FCF50C39-B88B-4F78-8D97-80036E681F83}">
    <text xml:space="preserve">certificacion 386
</text>
  </threadedComment>
  <threadedComment ref="AB96" dT="2023-10-18T17:12:25.04" personId="{550D8F33-C969-4E55-B50C-EE2BCD73E04D}" id="{80631304-42D4-4261-88F8-9A06E891CFDD}">
    <text>CERTIFICACION Nro 501</text>
  </threadedComment>
  <threadedComment ref="AA102" dT="2023-10-18T17:37:23.90" personId="{550D8F33-C969-4E55-B50C-EE2BCD73E04D}" id="{6BBEF778-9E89-42F9-8F3E-B86F684BEF7F}">
    <text>CERTIFICACION Nro 247</text>
  </threadedComment>
  <threadedComment ref="AA106" dT="2023-10-18T17:39:18.94" personId="{550D8F33-C969-4E55-B50C-EE2BCD73E04D}" id="{B74E6F9F-39D7-4176-9934-2357D4F7F786}">
    <text>CERTIFICACION Nro 247</text>
  </threadedComment>
  <threadedComment ref="AB116" dT="2023-10-17T20:24:18.72" personId="{99E8E0DC-61CD-48A9-8257-79AD4D370B88}" id="{0B3C6B11-C58D-4978-B748-A71602DC68D6}">
    <text>certificacion 386</text>
  </threadedComment>
  <threadedComment ref="AA122" dT="2023-10-18T15:55:00.10" personId="{550D8F33-C969-4E55-B50C-EE2BCD73E04D}" id="{3E0EAAD2-5BD4-48F0-9C17-50EA4E3680EF}">
    <text>Certificación nro. 433</text>
  </threadedComment>
  <threadedComment ref="AA125" dT="2023-10-18T15:39:17.62" personId="{550D8F33-C969-4E55-B50C-EE2BCD73E04D}" id="{24BE2289-C5DA-4832-BD5B-E0403F1A3DCF}">
    <text>Certificaciones nro. 33 y 34</text>
  </threadedComment>
  <threadedComment ref="AB243" dT="2023-10-17T19:39:28.77" personId="{99E8E0DC-61CD-48A9-8257-79AD4D370B88}" id="{7738FBAA-C501-4382-8E04-CA12FAB06224}">
    <text>certificacion 382</text>
  </threadedComment>
  <threadedComment ref="AB309" dT="2023-10-17T17:19:11.09" personId="{99E8E0DC-61CD-48A9-8257-79AD4D370B88}" id="{C7D0ACB8-6E67-4CAE-BBF5-7E36F4233565}">
    <text>Certificación 520</text>
  </threadedComment>
</ThreadedComments>
</file>

<file path=xl/threadedComments/threadedComment14.xml><?xml version="1.0" encoding="utf-8"?>
<ThreadedComments xmlns="http://schemas.microsoft.com/office/spreadsheetml/2018/threadedcomments" xmlns:x="http://schemas.openxmlformats.org/spreadsheetml/2006/main">
  <threadedComment ref="Z29" dT="2023-10-18T20:07:40.60" personId="{550D8F33-C969-4E55-B50C-EE2BCD73E04D}" id="{4217BB85-B26C-4DAC-BF8D-548482537336}">
    <text>Liquidado por creación de fondo</text>
  </threadedComment>
  <threadedComment ref="Z125" dT="2023-10-19T14:56:40.42" personId="{99E8E0DC-61CD-48A9-8257-79AD4D370B88}" id="{117CD7E9-3653-4660-B343-83DEF1223B94}">
    <text>certificacion 462</text>
  </threadedComment>
  <threadedComment ref="AA130" dT="2023-10-19T17:12:59.80" personId="{99E8E0DC-61CD-48A9-8257-79AD4D370B88}" id="{F3A0FAA0-2D35-4BE0-828D-CD600B3DFFBE}">
    <text>certificacion 352</text>
  </threadedComment>
  <threadedComment ref="AA197" dT="2023-10-19T16:20:23.43" personId="{99E8E0DC-61CD-48A9-8257-79AD4D370B88}" id="{14FF5A77-5B95-4E83-8691-C204F6E91647}">
    <text>CERTIFICACION Nro 421</text>
  </threadedComment>
  <threadedComment ref="V215" dT="2023-10-19T17:18:57.44" personId="{99E8E0DC-61CD-48A9-8257-79AD4D370B88}" id="{2D5745C2-E692-4F7C-B34A-0AEA0B5F9178}">
    <text>1</text>
  </threadedComment>
  <threadedComment ref="AA240" dT="2023-10-19T16:02:46.35" personId="{99E8E0DC-61CD-48A9-8257-79AD4D370B88}" id="{95F10D82-85C1-4A2B-9EA5-2689C55393D7}">
    <text>CERTIFICACION Nro 327</text>
  </threadedComment>
</ThreadedComments>
</file>

<file path=xl/threadedComments/threadedComment15.xml><?xml version="1.0" encoding="utf-8"?>
<ThreadedComments xmlns="http://schemas.microsoft.com/office/spreadsheetml/2018/threadedcomments" xmlns:x="http://schemas.openxmlformats.org/spreadsheetml/2006/main">
  <threadedComment ref="Z441" dT="2023-10-19T22:07:52.17" personId="{550D8F33-C969-4E55-B50C-EE2BCD73E04D}" id="{CE5A9B7C-6BBF-4AB7-A08F-7292D353D0B7}">
    <text>CERTIFICACION Nro 484</text>
  </threadedComment>
</ThreadedComments>
</file>

<file path=xl/threadedComments/threadedComment16.xml><?xml version="1.0" encoding="utf-8"?>
<ThreadedComments xmlns="http://schemas.microsoft.com/office/spreadsheetml/2018/threadedcomments" xmlns:x="http://schemas.openxmlformats.org/spreadsheetml/2006/main">
  <threadedComment ref="Z15" dT="2023-10-18T19:26:03.34" personId="{550D8F33-C969-4E55-B50C-EE2BCD73E04D}" id="{81EF29CE-1E96-49BB-A2F9-2278CF3CB673}">
    <text>CERTIFICACION Nro 66</text>
  </threadedComment>
  <threadedComment ref="Z31" dT="2023-10-19T21:44:14.09" personId="{550D8F33-C969-4E55-B50C-EE2BCD73E04D}" id="{4F13012C-E226-470F-8587-7A9181C9D25E}">
    <text>CERTIFICACION Nro 538</text>
  </threadedComment>
  <threadedComment ref="AA128" dT="2023-10-19T16:14:41.67" personId="{99E8E0DC-61CD-48A9-8257-79AD4D370B88}" id="{63C9AA72-8B47-4FF1-8419-22F763CDFFB4}">
    <text>CERTIFICACION Nro 428</text>
  </threadedComment>
  <threadedComment ref="AA228" dT="2023-09-27T20:35:21.96" personId="{99E8E0DC-61CD-48A9-8257-79AD4D370B88}" id="{0953FB0F-F338-43B6-BB3F-FC46955F4080}">
    <text>modificar a valor sin IVA EN POA Y REFORMA</text>
  </threadedComment>
  <threadedComment ref="Z229" dT="2023-10-19T22:14:04.46" personId="{550D8F33-C969-4E55-B50C-EE2BCD73E04D}" id="{28F3954F-4DAA-495B-8225-2817A47855D4}">
    <text>CERTIFICACION Nro 341</text>
  </threadedComment>
  <threadedComment ref="V253" dT="2023-10-19T15:51:10.84" personId="{99E8E0DC-61CD-48A9-8257-79AD4D370B88}" id="{6F1F764E-3C0C-4879-A852-3F53EE8BFF2B}">
    <text>2</text>
  </threadedComment>
  <threadedComment ref="V255" dT="2023-10-19T16:17:05.25" personId="{99E8E0DC-61CD-48A9-8257-79AD4D370B88}" id="{33685EA9-7F3D-40CD-B085-6029F0EF9C99}">
    <text>1</text>
  </threadedComment>
  <threadedComment ref="V261" dT="2023-10-19T23:12:36.22" personId="{550D8F33-C969-4E55-B50C-EE2BCD73E04D}" id="{2F6B12C6-A088-40FC-860D-68A0E3E609A8}">
    <text>2</text>
  </threadedComment>
  <threadedComment ref="V262" dT="2023-10-19T23:12:40.36" personId="{550D8F33-C969-4E55-B50C-EE2BCD73E04D}" id="{81C370BC-5019-4114-ADF1-D6F12E352931}">
    <text>2</text>
  </threadedComment>
  <threadedComment ref="V263" dT="2023-10-19T23:12:43.61" personId="{550D8F33-C969-4E55-B50C-EE2BCD73E04D}" id="{F4715BC5-DB92-4357-AD7C-14F89CB167F2}">
    <text>2</text>
  </threadedComment>
  <threadedComment ref="V264" dT="2023-10-19T23:12:46.70" personId="{550D8F33-C969-4E55-B50C-EE2BCD73E04D}" id="{5FF09611-DDED-4FD0-9FA1-7B67CA37363F}">
    <text>2</text>
  </threadedComment>
  <threadedComment ref="V265" dT="2023-10-19T23:14:11.50" personId="{550D8F33-C969-4E55-B50C-EE2BCD73E04D}" id="{2E2CE04F-0B72-4D4C-B7F0-5D84800DF454}">
    <text>2</text>
  </threadedComment>
  <threadedComment ref="V266" dT="2023-10-19T23:14:18.44" personId="{550D8F33-C969-4E55-B50C-EE2BCD73E04D}" id="{C88493C5-CAD0-4781-9B92-3B960DAC02BA}">
    <text>2</text>
  </threadedComment>
  <threadedComment ref="V267" dT="2023-10-19T23:14:22.47" personId="{550D8F33-C969-4E55-B50C-EE2BCD73E04D}" id="{AB374DEF-73DC-4344-98DC-F99EC11B369C}">
    <text>12</text>
  </threadedComment>
  <threadedComment ref="V268" dT="2023-10-19T23:14:28.80" personId="{550D8F33-C969-4E55-B50C-EE2BCD73E04D}" id="{784CF91F-7E6E-485C-B5D7-7D9D63381D6F}">
    <text>100</text>
  </threadedComment>
  <threadedComment ref="V269" dT="2023-10-19T23:14:33.52" personId="{550D8F33-C969-4E55-B50C-EE2BCD73E04D}" id="{CA7D6EC6-36FE-4CF7-BA60-2491FEC97693}">
    <text>12</text>
  </threadedComment>
  <threadedComment ref="V270" dT="2023-10-19T23:14:38.55" personId="{550D8F33-C969-4E55-B50C-EE2BCD73E04D}" id="{51942998-92DE-4FA0-B1A7-6B333FCC92F7}">
    <text>100</text>
  </threadedComment>
  <threadedComment ref="V272" dT="2023-10-19T23:10:27.62" personId="{7C9F1331-5230-414B-A950-0E0D55932BD7}" id="{81817F83-4E35-4EE4-B036-D43AA704A1C1}">
    <text>4</text>
  </threadedComment>
  <threadedComment ref="V273" dT="2023-10-19T23:10:32.03" personId="{7C9F1331-5230-414B-A950-0E0D55932BD7}" id="{953CB11D-E931-4DED-9FCA-6B1F61345D15}">
    <text>1</text>
  </threadedComment>
  <threadedComment ref="V274" dT="2023-10-19T23:10:35.20" personId="{7C9F1331-5230-414B-A950-0E0D55932BD7}" id="{58742912-2A0F-48AE-B9B6-95885BE84FE3}">
    <text>1</text>
  </threadedComment>
  <threadedComment ref="V275" dT="2023-10-19T23:10:38.56" personId="{7C9F1331-5230-414B-A950-0E0D55932BD7}" id="{946F6EA6-FD4B-418B-9FFC-02889BD5A606}">
    <text>2</text>
  </threadedComment>
  <threadedComment ref="V276" dT="2023-10-19T23:10:38.56" personId="{7C9F1331-5230-414B-A950-0E0D55932BD7}" id="{3CBDE2CA-A5CA-416A-B899-634B68FA7911}">
    <text>2</text>
  </threadedComment>
  <threadedComment ref="AA280" dT="2023-09-27T20:43:41.88" personId="{99E8E0DC-61CD-48A9-8257-79AD4D370B88}" id="{FA542D5E-BCA8-46F3-93CE-A240ECBFABA8}">
    <text xml:space="preserve">DISMINUIR VALOR DE IVA EN POA Y REFORMA
</text>
  </threadedComment>
  <threadedComment ref="AA288" dT="2023-09-27T20:23:29.10" personId="{99E8E0DC-61CD-48A9-8257-79AD4D370B88}" id="{36ED743C-A8A5-4A42-81AE-1F8D24036AB4}">
    <text>CAMBIAR A 1350 EN POA Y REFORMA</text>
  </threadedComment>
  <threadedComment ref="Z291" dT="2023-10-19T23:34:23.50" personId="{550D8F33-C969-4E55-B50C-EE2BCD73E04D}" id="{D59E8F3E-225C-48FF-8D97-72EDC340FDD0}">
    <text>CERTIFICACION Nro 329</text>
  </threadedComment>
  <threadedComment ref="Z292" dT="2023-10-19T23:34:00.30" personId="{550D8F33-C969-4E55-B50C-EE2BCD73E04D}" id="{FF98E67B-FB9F-40FB-BB6F-BE48B42E4563}">
    <text>CERTIFICACION Nro 512</text>
  </threadedComment>
  <threadedComment ref="AA298" dT="2023-09-27T20:25:05.92" personId="{99E8E0DC-61CD-48A9-8257-79AD4D370B88}" id="{3331066B-7476-40B9-8F63-62FB1B0A2A4A}">
    <text xml:space="preserve">165 CAMBIAR EN POA Y REFORMA
</text>
  </threadedComment>
  <threadedComment ref="AA305" dT="2023-10-19T16:13:33.26" personId="{99E8E0DC-61CD-48A9-8257-79AD4D370B88}" id="{CEB1721B-1D88-4F71-A66B-1A57DC354271}">
    <text>CERTIFICACION Nro 459</text>
  </threadedComment>
  <threadedComment ref="Z543" dT="2023-10-19T23:28:15.67" personId="{550D8F33-C969-4E55-B50C-EE2BCD73E04D}" id="{CB64551F-DAA8-4ECE-968B-BFC916227BE5}">
    <text>CERTIFICACION Nro 405</text>
  </threadedComment>
</ThreadedComments>
</file>

<file path=xl/threadedComments/threadedComment17.xml><?xml version="1.0" encoding="utf-8"?>
<ThreadedComments xmlns="http://schemas.microsoft.com/office/spreadsheetml/2018/threadedcomments" xmlns:x="http://schemas.openxmlformats.org/spreadsheetml/2006/main">
  <threadedComment ref="Z54" dT="2023-10-19T23:31:08.88" personId="{550D8F33-C969-4E55-B50C-EE2BCD73E04D}" id="{C30F89DB-356E-48E0-BC58-8ED238E011A8}">
    <text>CERTIFICACION Nro 351</text>
  </threadedComment>
  <threadedComment ref="Z60" dT="2023-10-19T23:21:19.05" personId="{550D8F33-C969-4E55-B50C-EE2BCD73E04D}" id="{E4C941F8-DAD8-4AD0-BAE1-25615251EE47}">
    <text>CERTIFICACION Nro 503</text>
  </threadedComment>
  <threadedComment ref="Z82" dT="2023-10-18T20:02:10.46" personId="{550D8F33-C969-4E55-B50C-EE2BCD73E04D}" id="{2B153D44-D6A3-4B74-B6EB-D19AA5E2068C}">
    <text>CERTIFICACION Nro 301</text>
  </threadedComment>
</ThreadedComments>
</file>

<file path=xl/threadedComments/threadedComment18.xml><?xml version="1.0" encoding="utf-8"?>
<ThreadedComments xmlns="http://schemas.microsoft.com/office/spreadsheetml/2018/threadedcomments" xmlns:x="http://schemas.openxmlformats.org/spreadsheetml/2006/main">
  <threadedComment ref="Z118" dT="2023-10-18T19:28:24.24" personId="{550D8F33-C969-4E55-B50C-EE2BCD73E04D}" id="{B88B9CD3-195E-4EA5-BE0B-87E28702831C}">
    <text>CERTIFICACION Nro 437</text>
  </threadedComment>
</ThreadedComments>
</file>

<file path=xl/threadedComments/threadedComment2.xml><?xml version="1.0" encoding="utf-8"?>
<ThreadedComments xmlns="http://schemas.microsoft.com/office/spreadsheetml/2018/threadedcomments" xmlns:x="http://schemas.openxmlformats.org/spreadsheetml/2006/main">
  <threadedComment ref="AA30" dT="2023-10-18T19:22:31.37" personId="{550D8F33-C969-4E55-B50C-EE2BCD73E04D}" id="{CBF3F27F-289E-4F52-8C1D-3F545578393E}">
    <text>CERTIFICACION Nro 497</text>
  </threadedComment>
  <threadedComment ref="Y38" dT="2023-09-29T20:06:08.82" personId="{99E8E0DC-61CD-48A9-8257-79AD4D370B88}" id="{7E87AA62-4C02-4A98-BC4B-295C664DFAF0}">
    <text>1153.93</text>
  </threadedComment>
  <threadedComment ref="AB81" dT="2023-10-17T21:03:12.80" personId="{99E8E0DC-61CD-48A9-8257-79AD4D370B88}" id="{C33F88E0-A3A2-4024-A14E-FF0EBB6C6979}">
    <text>CERTIFICACION Nro 383</text>
  </threadedComment>
  <threadedComment ref="AA87" dT="2023-10-18T17:02:31.07" personId="{550D8F33-C969-4E55-B50C-EE2BCD73E04D}" id="{7102A329-CB57-476A-8500-2C20CACB0941}">
    <text>DBUAC-920-M</text>
  </threadedComment>
  <threadedComment ref="AA118" dT="2023-10-18T17:03:45.59" personId="{550D8F33-C969-4E55-B50C-EE2BCD73E04D}" id="{C4065BDA-75B2-4ABB-91F0-4948106BB320}">
    <text>CERTIFICACION Nro 392</text>
  </threadedComment>
  <threadedComment ref="W239" dT="2023-10-17T20:10:15.22" personId="{99E8E0DC-61CD-48A9-8257-79AD4D370B88}" id="{FC8DAFFD-0B4C-4889-80EF-ABCEDB2237FC}">
    <text>11</text>
  </threadedComment>
  <threadedComment ref="W240" dT="2023-10-17T20:10:18.86" personId="{99E8E0DC-61CD-48A9-8257-79AD4D370B88}" id="{5CC87133-4EAE-4A58-B78E-87251C4B116B}">
    <text>4</text>
  </threadedComment>
  <threadedComment ref="W241" dT="2023-10-17T20:10:22.93" personId="{99E8E0DC-61CD-48A9-8257-79AD4D370B88}" id="{433A7EEB-3F0D-425A-BC35-1ECF8E9758EE}">
    <text>5</text>
  </threadedComment>
</ThreadedComments>
</file>

<file path=xl/threadedComments/threadedComment3.xml><?xml version="1.0" encoding="utf-8"?>
<ThreadedComments xmlns="http://schemas.microsoft.com/office/spreadsheetml/2018/threadedcomments" xmlns:x="http://schemas.openxmlformats.org/spreadsheetml/2006/main">
  <threadedComment ref="AB14" dT="2023-10-17T20:55:19.30" personId="{99E8E0DC-61CD-48A9-8257-79AD4D370B88}" id="{09A50006-EC1A-4B96-B1F2-A7E1D451F4A9}">
    <text>CERTIFICACION Nro 169</text>
  </threadedComment>
</ThreadedComments>
</file>

<file path=xl/threadedComments/threadedComment4.xml><?xml version="1.0" encoding="utf-8"?>
<ThreadedComments xmlns="http://schemas.microsoft.com/office/spreadsheetml/2018/threadedcomments" xmlns:x="http://schemas.openxmlformats.org/spreadsheetml/2006/main">
  <threadedComment ref="AA123" dT="2023-10-19T22:03:24.70" personId="{550D8F33-C969-4E55-B50C-EE2BCD73E04D}" id="{CA14DB5A-699D-48FD-8669-4E002654E9D5}">
    <text>CERTIFICACION Nro 481</text>
  </threadedComment>
</ThreadedComments>
</file>

<file path=xl/threadedComments/threadedComment5.xml><?xml version="1.0" encoding="utf-8"?>
<ThreadedComments xmlns="http://schemas.microsoft.com/office/spreadsheetml/2018/threadedcomments" xmlns:x="http://schemas.openxmlformats.org/spreadsheetml/2006/main">
  <threadedComment ref="AA37" dT="2023-10-19T16:38:10.73" personId="{99E8E0DC-61CD-48A9-8257-79AD4D370B88}" id="{4049EB25-0F89-4661-BB61-263665D70338}">
    <text>certificación 94</text>
  </threadedComment>
  <threadedComment ref="AA45" dT="2023-10-19T15:36:15.44" personId="{550D8F33-C969-4E55-B50C-EE2BCD73E04D}" id="{A63BC58F-A90B-45B5-BFBC-5965471230DC}">
    <text>CERTIFICACION Nro 516</text>
  </threadedComment>
  <threadedComment ref="AB121" dT="2023-10-25T22:29:29.69" personId="{99E8E0DC-61CD-48A9-8257-79AD4D370B88}" id="{CE169F96-2873-43E0-A898-1D2659F13CC5}">
    <text>10714.29</text>
  </threadedComment>
  <threadedComment ref="AC121" dT="2023-09-27T16:42:09.89" personId="{99E8E0DC-61CD-48A9-8257-79AD4D370B88}" id="{CF736709-1321-44C0-B568-D4D02CE9BCD5}">
    <text>IVA A DESCONTAR DEL PROCESO, FALTA DE DISMINUIR EN REFORMA Y POA</text>
  </threadedComment>
  <threadedComment ref="AA295" dT="2023-10-19T14:26:36.92" personId="{550D8F33-C969-4E55-B50C-EE2BCD73E04D}" id="{542EA6F0-7840-45DA-A2DE-7D9D27D48629}">
    <text>CERTIFICACION Nro 502</text>
  </threadedComment>
  <threadedComment ref="AA299" dT="2023-09-27T17:23:41.83" personId="{99E8E0DC-61CD-48A9-8257-79AD4D370B88}" id="{0FCA4669-B2D4-4676-9628-E6238B263C3D}">
    <text>Certificación nro 429  pendiente de disrminuir el iva en POA y reforma</text>
  </threadedComment>
  <threadedComment ref="AA299" dT="2023-09-29T23:10:40.35" personId="{550D8F33-C969-4E55-B50C-EE2BCD73E04D}" id="{B5877C94-48B6-4650-B588-C901646743CF}" parentId="{0FCA4669-B2D4-4676-9628-E6238B263C3D}">
    <text> Certificación Nro. 429</text>
  </threadedComment>
</ThreadedComments>
</file>

<file path=xl/threadedComments/threadedComment6.xml><?xml version="1.0" encoding="utf-8"?>
<ThreadedComments xmlns="http://schemas.microsoft.com/office/spreadsheetml/2018/threadedcomments" xmlns:x="http://schemas.openxmlformats.org/spreadsheetml/2006/main">
  <threadedComment ref="AA15" dT="2023-10-18T20:28:57.47" personId="{550D8F33-C969-4E55-B50C-EE2BCD73E04D}" id="{22EDCE02-DE07-43B4-8946-9F05AEE264C3}">
    <text>CERTIFICACION Nro 381</text>
  </threadedComment>
</ThreadedComments>
</file>

<file path=xl/threadedComments/threadedComment7.xml><?xml version="1.0" encoding="utf-8"?>
<ThreadedComments xmlns="http://schemas.microsoft.com/office/spreadsheetml/2018/threadedcomments" xmlns:x="http://schemas.openxmlformats.org/spreadsheetml/2006/main">
  <threadedComment ref="AA118" dT="2023-10-19T23:39:01.28" personId="{550D8F33-C969-4E55-B50C-EE2BCD73E04D}" id="{EE9E1B0D-CA7C-4C1D-BA10-B0DEA563082E}">
    <text>CERTIFICACION Nro 422</text>
  </threadedComment>
  <threadedComment ref="AA225" dT="2023-10-19T22:56:24.44" personId="{550D8F33-C969-4E55-B50C-EE2BCD73E04D}" id="{38F3CF82-72B9-4B3C-BE15-05F1A13268CB}">
    <text>CERTIFICACION Nro 368</text>
  </threadedComment>
</ThreadedComments>
</file>

<file path=xl/threadedComments/threadedComment8.xml><?xml version="1.0" encoding="utf-8"?>
<ThreadedComments xmlns="http://schemas.microsoft.com/office/spreadsheetml/2018/threadedcomments" xmlns:x="http://schemas.openxmlformats.org/spreadsheetml/2006/main">
  <threadedComment ref="Z25" dT="2023-10-19T23:07:00.14" personId="{550D8F33-C969-4E55-B50C-EE2BCD73E04D}" id="{728A4A1F-4568-46EA-AA6E-638A201F053E}">
    <text>CERTIFICACION Nro 473</text>
  </threadedComment>
  <threadedComment ref="Z30" dT="2023-10-19T23:51:34.04" personId="{550D8F33-C969-4E55-B50C-EE2BCD73E04D}" id="{E2311742-5E0D-4828-B9F6-84FFF8D57B77}">
    <text>CERTIFICACION Nro 466</text>
  </threadedComment>
</ThreadedComments>
</file>

<file path=xl/threadedComments/threadedComment9.xml><?xml version="1.0" encoding="utf-8"?>
<ThreadedComments xmlns="http://schemas.microsoft.com/office/spreadsheetml/2018/threadedcomments" xmlns:x="http://schemas.openxmlformats.org/spreadsheetml/2006/main">
  <threadedComment ref="AB35" dT="2023-10-03T14:49:52.33" personId="{99E8E0DC-61CD-48A9-8257-79AD4D370B88}" id="{D9550EEC-7D7C-4AD7-A3E1-ECB7C3B5B4BC}">
    <text xml:space="preserve">190089.58 se reduce por cuanto se realizará el proyecto el otro año </text>
  </threadedComment>
  <threadedComment ref="Y36" dT="2023-10-03T14:51:27.56" personId="{99E8E0DC-61CD-48A9-8257-79AD4D370B88}" id="{5F8945FB-B87F-4011-BF07-1EA3460A40FC}">
    <text>169722.84</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6.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microsoft.com/office/2017/10/relationships/threadedComment" Target="../threadedComments/threadedComment7.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microsoft.com/office/2017/10/relationships/threadedComment" Target="../threadedComments/threadedComment8.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9.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microsoft.com/office/2017/10/relationships/threadedComment" Target="../threadedComments/threadedComment10.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11.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2.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13.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4.xml"/><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microsoft.com/office/2017/10/relationships/threadedComment" Target="../threadedComments/threadedComment15.xml"/><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microsoft.com/office/2019/04/relationships/namedSheetView" Target="../namedSheetViews/namedSheetView2.xml"/><Relationship Id="rId5" Type="http://schemas.microsoft.com/office/2017/10/relationships/threadedComment" Target="../threadedComments/threadedComment16.xml"/><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microsoft.com/office/2017/10/relationships/threadedComment" Target="../threadedComments/threadedComment17.xml"/><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microsoft.com/office/2019/04/relationships/namedSheetView" Target="../namedSheetViews/namedSheetView3.xml"/><Relationship Id="rId5" Type="http://schemas.microsoft.com/office/2017/10/relationships/threadedComment" Target="../threadedComments/threadedComment18.xml"/><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9/04/relationships/namedSheetView" Target="../namedSheetViews/namedSheetView1.xml"/><Relationship Id="rId5" Type="http://schemas.microsoft.com/office/2017/10/relationships/threadedComment" Target="../threadedComments/threadedComment4.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56"/>
  <sheetViews>
    <sheetView showGridLines="0" topLeftCell="A411" zoomScaleNormal="100" workbookViewId="0">
      <selection activeCell="C420" sqref="C420"/>
    </sheetView>
  </sheetViews>
  <sheetFormatPr baseColWidth="10" defaultColWidth="12.7109375" defaultRowHeight="15.75" customHeight="1"/>
  <cols>
    <col min="1" max="1" width="5" style="894" customWidth="1"/>
    <col min="2" max="2" width="32.85546875" style="894" customWidth="1"/>
    <col min="3" max="3" width="29.85546875" style="2025" customWidth="1"/>
    <col min="4" max="4" width="41.85546875" style="2025" customWidth="1"/>
    <col min="5" max="5" width="18.140625" style="2025" customWidth="1"/>
    <col min="6" max="6" width="19.140625" style="2953" customWidth="1"/>
    <col min="7" max="7" width="17.5703125" style="2953" customWidth="1"/>
    <col min="8" max="8" width="21" style="2954" customWidth="1"/>
    <col min="9" max="9" width="15.85546875" style="894" customWidth="1"/>
    <col min="10" max="10" width="12.7109375" style="894"/>
    <col min="11" max="11" width="17.140625" style="894" customWidth="1"/>
    <col min="12" max="16384" width="12.7109375" style="894"/>
  </cols>
  <sheetData>
    <row r="1" spans="1:9" ht="15.75" customHeight="1">
      <c r="D1" s="2901"/>
      <c r="E1" s="2901"/>
      <c r="F1" s="2952"/>
    </row>
    <row r="2" spans="1:9" ht="15.75" customHeight="1">
      <c r="E2" s="2901"/>
    </row>
    <row r="5" spans="1:9" ht="16.5" customHeight="1">
      <c r="A5" s="7"/>
      <c r="B5" s="927"/>
      <c r="C5" s="2880"/>
      <c r="D5" s="2880"/>
      <c r="E5" s="2881"/>
      <c r="F5" s="2945"/>
      <c r="G5" s="2945"/>
      <c r="I5" s="7"/>
    </row>
    <row r="6" spans="1:9" ht="37.5" customHeight="1">
      <c r="A6" s="928"/>
      <c r="B6" s="8747" t="s">
        <v>0</v>
      </c>
      <c r="C6" s="8747"/>
      <c r="D6" s="8747"/>
      <c r="E6" s="8747"/>
      <c r="F6" s="8747"/>
      <c r="G6" s="8747"/>
      <c r="H6" s="8748"/>
      <c r="I6" s="928"/>
    </row>
    <row r="7" spans="1:9" ht="24.75" customHeight="1">
      <c r="A7" s="929"/>
      <c r="B7" s="8749" t="s">
        <v>1</v>
      </c>
      <c r="C7" s="8749"/>
      <c r="D7" s="8749"/>
      <c r="E7" s="8749"/>
      <c r="F7" s="8749"/>
      <c r="G7" s="8749"/>
      <c r="H7" s="8750"/>
      <c r="I7" s="929"/>
    </row>
    <row r="8" spans="1:9" ht="9.75" customHeight="1">
      <c r="A8" s="11"/>
      <c r="B8" s="5"/>
      <c r="C8" s="2882"/>
      <c r="D8" s="2882"/>
      <c r="E8" s="2882"/>
      <c r="F8" s="2883"/>
      <c r="G8" s="2883"/>
      <c r="I8" s="11"/>
    </row>
    <row r="9" spans="1:9" ht="24.75" customHeight="1">
      <c r="A9" s="930"/>
      <c r="B9" s="8751" t="s">
        <v>2</v>
      </c>
      <c r="C9" s="8751"/>
      <c r="D9" s="8751"/>
      <c r="E9" s="8751"/>
      <c r="F9" s="8751"/>
      <c r="G9" s="8751"/>
      <c r="H9" s="8752"/>
      <c r="I9" s="930"/>
    </row>
    <row r="10" spans="1:9" ht="24.75" customHeight="1">
      <c r="A10" s="930"/>
      <c r="B10" s="8751" t="s">
        <v>3</v>
      </c>
      <c r="C10" s="8751"/>
      <c r="D10" s="8751"/>
      <c r="E10" s="8751"/>
      <c r="F10" s="8751"/>
      <c r="G10" s="8751"/>
      <c r="H10" s="8752"/>
      <c r="I10" s="930"/>
    </row>
    <row r="11" spans="1:9" ht="16.5" customHeight="1">
      <c r="A11" s="231"/>
      <c r="B11" s="918"/>
      <c r="C11" s="2884"/>
      <c r="D11" s="2885"/>
      <c r="E11" s="2885"/>
      <c r="F11" s="2946"/>
      <c r="G11" s="2946"/>
      <c r="H11" s="2955"/>
      <c r="I11" s="7"/>
    </row>
    <row r="12" spans="1:9" ht="32.25" customHeight="1">
      <c r="A12" s="917"/>
      <c r="B12" s="4471" t="s">
        <v>4</v>
      </c>
      <c r="C12" s="2886" t="s">
        <v>5</v>
      </c>
      <c r="D12" s="2886" t="s">
        <v>6</v>
      </c>
      <c r="E12" s="2886" t="s">
        <v>7</v>
      </c>
      <c r="F12" s="2886" t="s">
        <v>8</v>
      </c>
      <c r="G12" s="2886" t="s">
        <v>9</v>
      </c>
      <c r="H12" s="4467" t="s">
        <v>10</v>
      </c>
      <c r="I12" s="917"/>
    </row>
    <row r="13" spans="1:9" s="2022" customFormat="1">
      <c r="A13" s="2021"/>
      <c r="B13" s="4472" t="s">
        <v>11</v>
      </c>
      <c r="C13" s="2966" t="str">
        <f>'1. REC'!U152</f>
        <v>01 - Administración central</v>
      </c>
      <c r="D13" s="2966" t="str">
        <f>'1. REC'!V152</f>
        <v>Viáticos y Subsistencias en el Interior</v>
      </c>
      <c r="E13" s="3140" t="str">
        <f>'1. REC'!W152</f>
        <v>530303</v>
      </c>
      <c r="F13" s="3140" t="str">
        <f>'1. REC'!X152</f>
        <v>0701</v>
      </c>
      <c r="G13" s="3140" t="str">
        <f>'1. REC'!Y152</f>
        <v>003</v>
      </c>
      <c r="H13" s="8653">
        <f>'1. REC'!Z152</f>
        <v>20000</v>
      </c>
      <c r="I13" s="2021"/>
    </row>
    <row r="14" spans="1:9">
      <c r="A14" s="917"/>
      <c r="B14" s="4472" t="s">
        <v>11</v>
      </c>
      <c r="C14" s="2966" t="str">
        <f>'1. REC'!U153</f>
        <v>01 - Administración central</v>
      </c>
      <c r="D14" s="2966" t="str">
        <f>'1. REC'!V153</f>
        <v>Viáticos y Subsistencias en el Exterior</v>
      </c>
      <c r="E14" s="3140">
        <f>'1. REC'!W153</f>
        <v>530304</v>
      </c>
      <c r="F14" s="3140" t="str">
        <f>'1. REC'!X153</f>
        <v>0701</v>
      </c>
      <c r="G14" s="3140" t="str">
        <f>'1. REC'!Y153</f>
        <v>003</v>
      </c>
      <c r="H14" s="8653">
        <f>'1. REC'!Z153</f>
        <v>8400</v>
      </c>
      <c r="I14" s="917"/>
    </row>
    <row r="15" spans="1:9" ht="47.25">
      <c r="A15" s="917"/>
      <c r="B15" s="4472" t="s">
        <v>11</v>
      </c>
      <c r="C15" s="2966" t="str">
        <f>'1. REC'!U154</f>
        <v>01 - Administración central</v>
      </c>
      <c r="D15" s="2966" t="str">
        <f>'1. REC'!V154</f>
        <v>Atención a Delegados Extranjeros y Nacionales, Deportistas, Entrenadores y Cuerpo Técnico que Representen al País</v>
      </c>
      <c r="E15" s="3140">
        <f>'1. REC'!W154</f>
        <v>530307</v>
      </c>
      <c r="F15" s="3140" t="str">
        <f>'1. REC'!X154</f>
        <v>0701</v>
      </c>
      <c r="G15" s="3140" t="str">
        <f>'1. REC'!Y154</f>
        <v>003</v>
      </c>
      <c r="H15" s="8653">
        <f>'1. REC'!Z154</f>
        <v>12000</v>
      </c>
      <c r="I15" s="917"/>
    </row>
    <row r="16" spans="1:9">
      <c r="A16" s="917"/>
      <c r="B16" s="4472" t="s">
        <v>11</v>
      </c>
      <c r="C16" s="2966" t="str">
        <f>'1. REC'!U155</f>
        <v>01 - Administración central</v>
      </c>
      <c r="D16" s="2966" t="str">
        <f>'1. REC'!V155</f>
        <v>Servicio de Auditoría</v>
      </c>
      <c r="E16" s="3140" t="str">
        <f>'1. REC'!W155</f>
        <v>530602</v>
      </c>
      <c r="F16" s="3140" t="str">
        <f>'1. REC'!X155</f>
        <v>0701</v>
      </c>
      <c r="G16" s="3140" t="str">
        <f>'1. REC'!Y155</f>
        <v>003</v>
      </c>
      <c r="H16" s="8653">
        <f>'1. REC'!Z155</f>
        <v>6300</v>
      </c>
      <c r="I16" s="917"/>
    </row>
    <row r="17" spans="1:10">
      <c r="A17" s="917"/>
      <c r="B17" s="4472" t="s">
        <v>11</v>
      </c>
      <c r="C17" s="2966" t="str">
        <f>'1. REC'!U156</f>
        <v>01 - Administración central</v>
      </c>
      <c r="D17" s="2966" t="str">
        <f>'1. REC'!V156</f>
        <v>Equipos, Sistemas y Paquetes Informáticos</v>
      </c>
      <c r="E17" s="3140">
        <f>'1. REC'!W156</f>
        <v>840107</v>
      </c>
      <c r="F17" s="3140" t="str">
        <f>'1. REC'!X156</f>
        <v>0701</v>
      </c>
      <c r="G17" s="3140" t="str">
        <f>'1. REC'!Y156</f>
        <v>003</v>
      </c>
      <c r="H17" s="8653">
        <f>'1. REC'!Z156</f>
        <v>6548.3488000000007</v>
      </c>
      <c r="I17" s="917"/>
    </row>
    <row r="18" spans="1:10" ht="31.5">
      <c r="A18" s="917"/>
      <c r="B18" s="4472" t="s">
        <v>11</v>
      </c>
      <c r="C18" s="2966" t="str">
        <f>'1. REC'!U157</f>
        <v>83 - Gestión de la investigación</v>
      </c>
      <c r="D18" s="2966" t="str">
        <f>'1. REC'!V157</f>
        <v>Maquinarias y Equipos</v>
      </c>
      <c r="E18" s="3140">
        <f>'1. REC'!W157</f>
        <v>840104</v>
      </c>
      <c r="F18" s="3140" t="str">
        <f>'1. REC'!X157</f>
        <v>0701</v>
      </c>
      <c r="G18" s="3140" t="str">
        <f>'1. REC'!Y157</f>
        <v>003</v>
      </c>
      <c r="H18" s="8653">
        <f>'1. REC'!Z157</f>
        <v>187.5</v>
      </c>
      <c r="I18" s="917"/>
    </row>
    <row r="19" spans="1:10" ht="78.75">
      <c r="A19" s="917"/>
      <c r="B19" s="4472" t="s">
        <v>12</v>
      </c>
      <c r="C19" s="2966" t="str">
        <f>'2. PG'!U92</f>
        <v>01 - Administración central</v>
      </c>
      <c r="D19" s="2966" t="str">
        <f>'2. PG'!V92</f>
        <v>Edición, Impresión, Reproducción, Publicaciones, Suscripciones, Fotocopiado, Traducción, Empastado, Enmarcación, Serigrafía, Fotografía, Carnetización, Filmación e Imágenes Satelitales.</v>
      </c>
      <c r="E19" s="3140">
        <f>'2. PG'!W92</f>
        <v>530204</v>
      </c>
      <c r="F19" s="3140" t="str">
        <f>'2. PG'!X92</f>
        <v>0701</v>
      </c>
      <c r="G19" s="3140" t="str">
        <f>'2. PG'!Y92</f>
        <v>003</v>
      </c>
      <c r="H19" s="8653">
        <f>'2. PG'!Z92</f>
        <v>2775.2000000000003</v>
      </c>
      <c r="I19" s="917"/>
    </row>
    <row r="20" spans="1:10" ht="47.25">
      <c r="A20" s="917"/>
      <c r="B20" s="4472" t="s">
        <v>12</v>
      </c>
      <c r="C20" s="2966" t="str">
        <f>'2. PG'!U93</f>
        <v>01 - Administración central</v>
      </c>
      <c r="D20" s="2966" t="str">
        <f>'2. PG'!V93</f>
        <v>Costas Judiciales, Trámites Notariales, Legalización de Documentos y Arreglos Extrajudiciales</v>
      </c>
      <c r="E20" s="3140">
        <f>'2. PG'!W93</f>
        <v>570206</v>
      </c>
      <c r="F20" s="3140" t="str">
        <f>'2. PG'!X93</f>
        <v>0701</v>
      </c>
      <c r="G20" s="3140" t="str">
        <f>'2. PG'!Y93</f>
        <v>003</v>
      </c>
      <c r="H20" s="8653">
        <f>'2. PG'!Z93</f>
        <v>1000</v>
      </c>
      <c r="I20" s="917"/>
    </row>
    <row r="21" spans="1:10" ht="78.75">
      <c r="A21" s="917"/>
      <c r="B21" s="4472" t="s">
        <v>13</v>
      </c>
      <c r="C21" s="2966" t="str">
        <f>'3. DCOM'!U62</f>
        <v>01 - Administración central</v>
      </c>
      <c r="D21" s="2966" t="str">
        <f>'3. DCOM'!V62</f>
        <v>Edición, Impresión, Reproducción, Publicaciones, Suscripciones, Fotocopiado, Traducción, Empastado, Enmarcación, Serigrafía, Fotografía, Carnetización, Filmación e Imágenes Satelitales</v>
      </c>
      <c r="E21" s="3140">
        <f>'3. DCOM'!W62</f>
        <v>530204</v>
      </c>
      <c r="F21" s="3140" t="str">
        <f>'3. DCOM'!X62</f>
        <v>0701</v>
      </c>
      <c r="G21" s="3140" t="str">
        <f>'3. DCOM'!Y62</f>
        <v>003</v>
      </c>
      <c r="H21" s="8653">
        <f>'3. DCOM'!Z62</f>
        <v>6367.2</v>
      </c>
      <c r="I21" s="917"/>
    </row>
    <row r="22" spans="1:10">
      <c r="A22" s="917"/>
      <c r="B22" s="4472" t="s">
        <v>13</v>
      </c>
      <c r="C22" s="2966" t="str">
        <f>'3. DCOM'!U63</f>
        <v>01 - Administración central</v>
      </c>
      <c r="D22" s="2966" t="str">
        <f>'3. DCOM'!V63</f>
        <v>Difusión, Información y Publicidad</v>
      </c>
      <c r="E22" s="3140">
        <f>'3. DCOM'!W63</f>
        <v>530207</v>
      </c>
      <c r="F22" s="3140" t="str">
        <f>'3. DCOM'!X63</f>
        <v>0701</v>
      </c>
      <c r="G22" s="3140" t="str">
        <f>'3. DCOM'!Y63</f>
        <v>001</v>
      </c>
      <c r="H22" s="8653">
        <f>'3. DCOM'!Z63</f>
        <v>2623.94</v>
      </c>
      <c r="I22" s="917"/>
    </row>
    <row r="23" spans="1:10">
      <c r="A23" s="917"/>
      <c r="B23" s="4472" t="s">
        <v>13</v>
      </c>
      <c r="C23" s="2966" t="str">
        <f>'3. DCOM'!U64</f>
        <v>01 - Administración central</v>
      </c>
      <c r="D23" s="2966" t="str">
        <f>'3. DCOM'!V64</f>
        <v>Difusión, Información y Publicidad</v>
      </c>
      <c r="E23" s="3140">
        <f>'3. DCOM'!W64</f>
        <v>530207</v>
      </c>
      <c r="F23" s="3140" t="str">
        <f>'3. DCOM'!X64</f>
        <v>0701</v>
      </c>
      <c r="G23" s="3140" t="str">
        <f>'3. DCOM'!Y64</f>
        <v>002</v>
      </c>
      <c r="H23" s="8653">
        <f>'3. DCOM'!Z64</f>
        <v>16267.86</v>
      </c>
      <c r="I23" s="917"/>
    </row>
    <row r="24" spans="1:10" ht="31.5">
      <c r="A24" s="917"/>
      <c r="B24" s="4472" t="s">
        <v>13</v>
      </c>
      <c r="C24" s="8361" t="str">
        <f>'3. DCOM'!U65</f>
        <v>01 - Administración central</v>
      </c>
      <c r="D24" s="8361" t="str">
        <f>'3. DCOM'!V65</f>
        <v>Maquinarias y Equipos (Instalación, Mantenimiento y Reparación)</v>
      </c>
      <c r="E24" s="8362">
        <f>'3. DCOM'!W65</f>
        <v>530404</v>
      </c>
      <c r="F24" s="8362" t="str">
        <f>'3. DCOM'!X65</f>
        <v>0701</v>
      </c>
      <c r="G24" s="8362" t="str">
        <f>'3. DCOM'!Y65</f>
        <v>003</v>
      </c>
      <c r="H24" s="8654">
        <f>'3. DCOM'!Z65</f>
        <v>10000</v>
      </c>
      <c r="I24" s="917"/>
    </row>
    <row r="25" spans="1:10" ht="31.5">
      <c r="A25" s="917"/>
      <c r="B25" s="4472" t="s">
        <v>13</v>
      </c>
      <c r="C25" s="8361" t="str">
        <f>'3. DCOM'!U66</f>
        <v>01 - Administración central</v>
      </c>
      <c r="D25" s="8361" t="str">
        <f>'3. DCOM'!V66</f>
        <v xml:space="preserve">Materiales de impresión, fotográfica, reproducción y publicaciones </v>
      </c>
      <c r="E25" s="8362">
        <f>'3. DCOM'!W66</f>
        <v>530807</v>
      </c>
      <c r="F25" s="8362" t="str">
        <f>'3. DCOM'!X66</f>
        <v>0701</v>
      </c>
      <c r="G25" s="8362" t="str">
        <f>'3. DCOM'!Y66</f>
        <v>003</v>
      </c>
      <c r="H25" s="8654">
        <f>'3. DCOM'!Z66</f>
        <v>6053.6</v>
      </c>
      <c r="I25" s="917"/>
    </row>
    <row r="26" spans="1:10">
      <c r="A26" s="917"/>
      <c r="B26" s="4472" t="s">
        <v>13</v>
      </c>
      <c r="C26" s="8361" t="str">
        <f>'3. DCOM'!U67</f>
        <v>01 - Administración central</v>
      </c>
      <c r="D26" s="8361" t="str">
        <f>'3. DCOM'!V67</f>
        <v>Maquinarias y Equipos</v>
      </c>
      <c r="E26" s="8362">
        <f>'3. DCOM'!W67</f>
        <v>531404</v>
      </c>
      <c r="F26" s="8362" t="str">
        <f>'3. DCOM'!X67</f>
        <v>0701</v>
      </c>
      <c r="G26" s="8362" t="str">
        <f>'3. DCOM'!Y67</f>
        <v>003</v>
      </c>
      <c r="H26" s="8654">
        <f>'3. DCOM'!Z67</f>
        <v>0</v>
      </c>
      <c r="I26" s="917"/>
    </row>
    <row r="27" spans="1:10">
      <c r="A27" s="917"/>
      <c r="B27" s="4472" t="s">
        <v>13</v>
      </c>
      <c r="C27" s="2966" t="str">
        <f>'3. DCOM'!U68</f>
        <v>01 - Administración central</v>
      </c>
      <c r="D27" s="2966" t="str">
        <f>'3. DCOM'!V68</f>
        <v>Maquinarias y Equipos</v>
      </c>
      <c r="E27" s="3140">
        <f>'3. DCOM'!W68</f>
        <v>840104</v>
      </c>
      <c r="F27" s="3140" t="str">
        <f>'3. DCOM'!X68</f>
        <v>0701</v>
      </c>
      <c r="G27" s="3140" t="str">
        <f>'3. DCOM'!Y68</f>
        <v>003</v>
      </c>
      <c r="H27" s="8653">
        <f>'3. DCOM'!Z68</f>
        <v>14988.99</v>
      </c>
      <c r="I27" s="917"/>
    </row>
    <row r="28" spans="1:10">
      <c r="A28" s="917"/>
      <c r="B28" s="4472" t="s">
        <v>13</v>
      </c>
      <c r="C28" s="2966" t="str">
        <f>'3. DCOM'!U69</f>
        <v>01 - Administración central</v>
      </c>
      <c r="D28" s="2966" t="str">
        <f>'3. DCOM'!V69</f>
        <v>Equipos, Sistemas y Paquetes Informáticos</v>
      </c>
      <c r="E28" s="3140">
        <f>'3. DCOM'!W69</f>
        <v>840107</v>
      </c>
      <c r="F28" s="3140" t="str">
        <f>'3. DCOM'!X69</f>
        <v>0701</v>
      </c>
      <c r="G28" s="3140" t="str">
        <f>'3. DCOM'!Y69</f>
        <v>003</v>
      </c>
      <c r="H28" s="8653">
        <f>'3. DCOM'!Z69</f>
        <v>3083.19</v>
      </c>
      <c r="I28" s="917"/>
    </row>
    <row r="29" spans="1:10" ht="78.75">
      <c r="A29" s="917"/>
      <c r="B29" s="4472" t="s">
        <v>13</v>
      </c>
      <c r="C29" s="2966" t="str">
        <f>'3. DCOM'!U61</f>
        <v>01 - Administración central</v>
      </c>
      <c r="D29" s="2966" t="str">
        <f>'3. DCOM'!V61</f>
        <v>Edición, Impresión, Reproducción, Publicaciones, Suscripciones, Fotocopiado, Traducción, Empastado, Enmarcación, Serigrafía, Fotografía, Carnetización, Filmación e Imágenes Satelitales</v>
      </c>
      <c r="E29" s="3140">
        <f>'3. DCOM'!W61</f>
        <v>530204</v>
      </c>
      <c r="F29" s="3140" t="str">
        <f>'3. DCOM'!X61</f>
        <v>0701</v>
      </c>
      <c r="G29" s="3140" t="str">
        <f>'3. DCOM'!Y61</f>
        <v>002</v>
      </c>
      <c r="H29" s="8653">
        <f>'3. DCOM'!Z61</f>
        <v>14035.714285714286</v>
      </c>
      <c r="I29" s="917"/>
    </row>
    <row r="30" spans="1:10">
      <c r="A30" s="917"/>
      <c r="B30" s="4472" t="s">
        <v>14</v>
      </c>
      <c r="C30" s="2966" t="str">
        <f>'4. SG'!U119</f>
        <v>01 - Administración central</v>
      </c>
      <c r="D30" s="2966" t="str">
        <f>'4. SG'!V119</f>
        <v>Servicio de Correo</v>
      </c>
      <c r="E30" s="3140">
        <f>'4. SG'!W119</f>
        <v>530106</v>
      </c>
      <c r="F30" s="3140" t="str">
        <f>'4. SG'!X119</f>
        <v>0701</v>
      </c>
      <c r="G30" s="3140" t="str">
        <f>'4. SG'!Y119</f>
        <v>003</v>
      </c>
      <c r="H30" s="8653">
        <f>'4. SG'!Z119</f>
        <v>200</v>
      </c>
      <c r="I30" s="917"/>
    </row>
    <row r="31" spans="1:10" ht="78.75">
      <c r="A31" s="917"/>
      <c r="B31" s="4472" t="s">
        <v>14</v>
      </c>
      <c r="C31" s="2966" t="s">
        <v>15</v>
      </c>
      <c r="D31" s="2966" t="s">
        <v>16</v>
      </c>
      <c r="E31" s="3140">
        <v>530204</v>
      </c>
      <c r="F31" s="3140" t="s">
        <v>17</v>
      </c>
      <c r="G31" s="3140" t="s">
        <v>18</v>
      </c>
      <c r="H31" s="8653">
        <v>388.16</v>
      </c>
      <c r="I31" s="917"/>
    </row>
    <row r="32" spans="1:10" ht="47.25">
      <c r="A32" s="917"/>
      <c r="B32" s="4472" t="s">
        <v>14</v>
      </c>
      <c r="C32" s="2966" t="str">
        <f>'4. SG'!U121</f>
        <v>01 - Administración central</v>
      </c>
      <c r="D32" s="2966" t="str">
        <f>'4. SG'!V121</f>
        <v>Edificios, Locales, Residencias y Cableado Estructurado (Instalación, Mantenimiento y Reparaciones)</v>
      </c>
      <c r="E32" s="3140">
        <f>'4. SG'!W121</f>
        <v>530402</v>
      </c>
      <c r="F32" s="3140" t="str">
        <f>'4. SG'!X121</f>
        <v>0701</v>
      </c>
      <c r="G32" s="3140" t="str">
        <f>'4. SG'!Y121</f>
        <v>003</v>
      </c>
      <c r="H32" s="8653">
        <f>'4. SG'!Z121</f>
        <v>3075</v>
      </c>
      <c r="I32" s="7979"/>
      <c r="J32" s="2027"/>
    </row>
    <row r="33" spans="1:9">
      <c r="A33" s="917"/>
      <c r="B33" s="4472" t="s">
        <v>14</v>
      </c>
      <c r="C33" s="2966" t="str">
        <f>'4. SG'!U122</f>
        <v>01 - Administración central</v>
      </c>
      <c r="D33" s="2966" t="str">
        <f>'4. SG'!V122</f>
        <v>Equipos, Sistemas y Paquetes Informáticos</v>
      </c>
      <c r="E33" s="3140">
        <f>'4. SG'!W122</f>
        <v>531407</v>
      </c>
      <c r="F33" s="3140" t="str">
        <f>'4. SG'!X122</f>
        <v>0701</v>
      </c>
      <c r="G33" s="3140" t="str">
        <f>'4. SG'!Y122</f>
        <v>003</v>
      </c>
      <c r="H33" s="8653">
        <f>'4. SG'!Z122</f>
        <v>235.20000000000002</v>
      </c>
      <c r="I33" s="917"/>
    </row>
    <row r="34" spans="1:9">
      <c r="A34" s="917"/>
      <c r="B34" s="4472" t="s">
        <v>14</v>
      </c>
      <c r="C34" s="2966" t="str">
        <f>'4. SG'!U123</f>
        <v>01 - Administración central</v>
      </c>
      <c r="D34" s="2966" t="str">
        <f>'4. SG'!V123</f>
        <v>Mobiliarios</v>
      </c>
      <c r="E34" s="3140">
        <f>'4. SG'!W123</f>
        <v>840103</v>
      </c>
      <c r="F34" s="3140" t="str">
        <f>'4. SG'!X123</f>
        <v>0701</v>
      </c>
      <c r="G34" s="3140" t="str">
        <f>'4. SG'!Y123</f>
        <v>003</v>
      </c>
      <c r="H34" s="8653">
        <f>'4. SG'!Z123</f>
        <v>679.79999999999984</v>
      </c>
      <c r="I34" s="917"/>
    </row>
    <row r="35" spans="1:9">
      <c r="A35" s="917"/>
      <c r="B35" s="4472" t="s">
        <v>14</v>
      </c>
      <c r="C35" s="2966" t="str">
        <f>'4. SG'!U124</f>
        <v>01 - Administración central</v>
      </c>
      <c r="D35" s="2966" t="str">
        <f>'4. SG'!V124</f>
        <v>Maquinaria y Equipos</v>
      </c>
      <c r="E35" s="3140">
        <f>'4. SG'!W124</f>
        <v>840104</v>
      </c>
      <c r="F35" s="3140" t="str">
        <f>'4. SG'!X124</f>
        <v>0701</v>
      </c>
      <c r="G35" s="3140" t="str">
        <f>'4. SG'!Y124</f>
        <v>003</v>
      </c>
      <c r="H35" s="8653">
        <f>'4. SG'!Z124</f>
        <v>1225</v>
      </c>
      <c r="I35" s="917"/>
    </row>
    <row r="36" spans="1:9">
      <c r="A36" s="917"/>
      <c r="B36" s="4472" t="s">
        <v>14</v>
      </c>
      <c r="C36" s="2966" t="str">
        <f>'4. SG'!U125</f>
        <v>01 - Administración central</v>
      </c>
      <c r="D36" s="2966" t="str">
        <f>'4. SG'!V125</f>
        <v>Equipos, Sistemas y Paquetes Informáticos</v>
      </c>
      <c r="E36" s="3140">
        <f>'4. SG'!W125</f>
        <v>840107</v>
      </c>
      <c r="F36" s="3140" t="str">
        <f>'4. SG'!X125</f>
        <v>0701</v>
      </c>
      <c r="G36" s="3140" t="str">
        <f>'4. SG'!Y125</f>
        <v>003</v>
      </c>
      <c r="H36" s="8653">
        <f>'4. SG'!Z125</f>
        <v>3721.1040000000003</v>
      </c>
      <c r="I36" s="917"/>
    </row>
    <row r="37" spans="1:9" ht="78.75">
      <c r="A37" s="917"/>
      <c r="B37" s="4472" t="s">
        <v>19</v>
      </c>
      <c r="C37" s="2966" t="str">
        <f>'5. DPLAN'!U129</f>
        <v>01 - Administración central</v>
      </c>
      <c r="D37" s="2966" t="str">
        <f>'5. DPLAN'!V129</f>
        <v>Edición, Impresión, Reproducción, Publicaciones, Suscripciones, Fotocopiado, Traducción, Empastado, Enmarcación, Serigrafía, Fotografía, Carnetización, Filmación e Imágenes Satelitales</v>
      </c>
      <c r="E37" s="3140">
        <f>'5. DPLAN'!W129</f>
        <v>530204</v>
      </c>
      <c r="F37" s="3140" t="str">
        <f>'5. DPLAN'!X129</f>
        <v>0701</v>
      </c>
      <c r="G37" s="3140" t="str">
        <f>'5. DPLAN'!Y129</f>
        <v>002</v>
      </c>
      <c r="H37" s="8653">
        <f>'5. DPLAN'!Z129</f>
        <v>6300</v>
      </c>
      <c r="I37" s="917"/>
    </row>
    <row r="38" spans="1:9" ht="31.5">
      <c r="A38" s="917"/>
      <c r="B38" s="4472" t="s">
        <v>19</v>
      </c>
      <c r="C38" s="2966" t="str">
        <f>'5. DPLAN'!U130</f>
        <v>01 - Administración central</v>
      </c>
      <c r="D38" s="2966" t="str">
        <f>'5. DPLAN'!V130</f>
        <v>Consultoría, Asesoría e Investigación Especializada</v>
      </c>
      <c r="E38" s="3140">
        <f>'5. DPLAN'!W130</f>
        <v>530601</v>
      </c>
      <c r="F38" s="3140" t="str">
        <f>'5. DPLAN'!X130</f>
        <v>0701</v>
      </c>
      <c r="G38" s="3140" t="str">
        <f>'5. DPLAN'!Y130</f>
        <v>001</v>
      </c>
      <c r="H38" s="8653">
        <f>'5. DPLAN'!Z130</f>
        <v>15350</v>
      </c>
      <c r="I38" s="917"/>
    </row>
    <row r="39" spans="1:9" ht="31.5">
      <c r="A39" s="917"/>
      <c r="B39" s="4472" t="s">
        <v>19</v>
      </c>
      <c r="C39" s="2966" t="str">
        <f>'5. DPLAN'!U131</f>
        <v>01 - Administración central</v>
      </c>
      <c r="D39" s="2966" t="str">
        <f>'5. DPLAN'!V131</f>
        <v>Consultoría, Asesoría e Investigación Especializada</v>
      </c>
      <c r="E39" s="3140">
        <f>'5. DPLAN'!W131</f>
        <v>530601</v>
      </c>
      <c r="F39" s="3140" t="str">
        <f>'5. DPLAN'!X131</f>
        <v>0701</v>
      </c>
      <c r="G39" s="3140" t="str">
        <f>'5. DPLAN'!Y131</f>
        <v>003</v>
      </c>
      <c r="H39" s="8653">
        <f>'5. DPLAN'!Z131</f>
        <v>15000</v>
      </c>
      <c r="I39" s="917"/>
    </row>
    <row r="40" spans="1:9" ht="47.25">
      <c r="A40" s="917"/>
      <c r="B40" s="4472" t="s">
        <v>19</v>
      </c>
      <c r="C40" s="2966" t="str">
        <f>'5. DPLAN'!U132</f>
        <v>01 - Administración central</v>
      </c>
      <c r="D40" s="2966" t="str">
        <f>'5. DPLAN'!V132</f>
        <v>Tasas Generales, Impuestos, Contribuciones, Permisos, Licencias y Patentes</v>
      </c>
      <c r="E40" s="3140">
        <f>'5. DPLAN'!W132</f>
        <v>570102</v>
      </c>
      <c r="F40" s="3140" t="str">
        <f>'5. DPLAN'!X132</f>
        <v>0701</v>
      </c>
      <c r="G40" s="3140" t="str">
        <f>'5. DPLAN'!Y132</f>
        <v>001</v>
      </c>
      <c r="H40" s="8653">
        <f>'5. DPLAN'!Z132</f>
        <v>4000</v>
      </c>
      <c r="I40" s="917"/>
    </row>
    <row r="41" spans="1:9" ht="31.5">
      <c r="A41" s="917"/>
      <c r="B41" s="4472" t="s">
        <v>19</v>
      </c>
      <c r="C41" s="2966" t="str">
        <f>'5. DPLAN'!U133</f>
        <v>83 - Gestión de la investigación</v>
      </c>
      <c r="D41" s="2966" t="str">
        <f>'5. DPLAN'!V133</f>
        <v>Consultoría, Asesoría e Investigación Especializada</v>
      </c>
      <c r="E41" s="3140" t="str">
        <f>'5. DPLAN'!W133</f>
        <v>004 730601</v>
      </c>
      <c r="F41" s="3140" t="str">
        <f>'5. DPLAN'!X133</f>
        <v>0701</v>
      </c>
      <c r="G41" s="3140" t="str">
        <f>'5. DPLAN'!Y133</f>
        <v>202</v>
      </c>
      <c r="H41" s="8653">
        <f>'5. DPLAN'!Z133</f>
        <v>26785.72</v>
      </c>
      <c r="I41" s="917"/>
    </row>
    <row r="42" spans="1:9" ht="31.5">
      <c r="A42" s="917"/>
      <c r="B42" s="4472" t="s">
        <v>19</v>
      </c>
      <c r="C42" s="2966" t="str">
        <f>'5. DPLAN'!U134</f>
        <v>83 - Gestión de la investigación</v>
      </c>
      <c r="D42" s="2966" t="str">
        <f>'5. DPLAN'!V134</f>
        <v>Consultoría, Asesoría e Investigación Especializada</v>
      </c>
      <c r="E42" s="3140" t="str">
        <f>'5. DPLAN'!W134</f>
        <v>004 730601</v>
      </c>
      <c r="F42" s="3140" t="str">
        <f>'5. DPLAN'!X134</f>
        <v>0701</v>
      </c>
      <c r="G42" s="3140" t="str">
        <f>'5. DPLAN'!Y134</f>
        <v>998</v>
      </c>
      <c r="H42" s="8653">
        <f>'5. DPLAN'!Z134</f>
        <v>26785.71</v>
      </c>
      <c r="I42" s="917"/>
    </row>
    <row r="43" spans="1:9">
      <c r="A43" s="917"/>
      <c r="B43" s="4472" t="s">
        <v>19</v>
      </c>
      <c r="C43" s="2966" t="str">
        <f>'5. DPLAN'!U135</f>
        <v>01 - Administración central</v>
      </c>
      <c r="D43" s="2966" t="str">
        <f>'5. DPLAN'!V135</f>
        <v>Mobiliarios</v>
      </c>
      <c r="E43" s="3140">
        <f>'5. DPLAN'!W135</f>
        <v>840103</v>
      </c>
      <c r="F43" s="3140" t="str">
        <f>'5. DPLAN'!X135</f>
        <v>0701</v>
      </c>
      <c r="G43" s="3140" t="str">
        <f>'5. DPLAN'!Y135</f>
        <v>001</v>
      </c>
      <c r="H43" s="8653">
        <f>'5. DPLAN'!Z135</f>
        <v>358.5</v>
      </c>
      <c r="I43" s="917"/>
    </row>
    <row r="44" spans="1:9">
      <c r="A44" s="917"/>
      <c r="B44" s="4472" t="s">
        <v>19</v>
      </c>
      <c r="C44" s="2966" t="str">
        <f>'5. DPLAN'!U136</f>
        <v>01 - Administración central</v>
      </c>
      <c r="D44" s="2966" t="str">
        <f>'5. DPLAN'!V136</f>
        <v>Mobiliarios</v>
      </c>
      <c r="E44" s="3140">
        <f>'5. DPLAN'!W136</f>
        <v>840103</v>
      </c>
      <c r="F44" s="3140" t="str">
        <f>'5. DPLAN'!X136</f>
        <v>0701</v>
      </c>
      <c r="G44" s="3140" t="str">
        <f>'5. DPLAN'!Y136</f>
        <v>002</v>
      </c>
      <c r="H44" s="8653">
        <f>'5. DPLAN'!Z136</f>
        <v>478.97</v>
      </c>
      <c r="I44" s="917"/>
    </row>
    <row r="45" spans="1:9">
      <c r="A45" s="917"/>
      <c r="B45" s="4472" t="s">
        <v>19</v>
      </c>
      <c r="C45" s="2966" t="str">
        <f>'5. DPLAN'!U137</f>
        <v>01 - Administración central</v>
      </c>
      <c r="D45" s="2966" t="str">
        <f>'5. DPLAN'!V137</f>
        <v>Mobiliarios</v>
      </c>
      <c r="E45" s="3140">
        <f>'5. DPLAN'!W137</f>
        <v>840103</v>
      </c>
      <c r="F45" s="3140" t="str">
        <f>'5. DPLAN'!X137</f>
        <v>0701</v>
      </c>
      <c r="G45" s="3140" t="str">
        <f>'5. DPLAN'!Y137</f>
        <v>202</v>
      </c>
      <c r="H45" s="8653">
        <f>'5. DPLAN'!Z137</f>
        <v>770.34</v>
      </c>
      <c r="I45" s="917"/>
    </row>
    <row r="46" spans="1:9">
      <c r="A46" s="917"/>
      <c r="B46" s="4472" t="s">
        <v>19</v>
      </c>
      <c r="C46" s="2966" t="str">
        <f>'5. DPLAN'!U138</f>
        <v>01 - Administración central</v>
      </c>
      <c r="D46" s="2966" t="str">
        <f>'5. DPLAN'!V138</f>
        <v>Equipos, Sistemas y Paquetes Informáticos</v>
      </c>
      <c r="E46" s="3140">
        <f>'5. DPLAN'!W138</f>
        <v>840107</v>
      </c>
      <c r="F46" s="3140" t="str">
        <f>'5. DPLAN'!X138</f>
        <v>0701</v>
      </c>
      <c r="G46" s="3140" t="str">
        <f>'5. DPLAN'!Y138</f>
        <v>001</v>
      </c>
      <c r="H46" s="8653">
        <f>'5. DPLAN'!Z138</f>
        <v>1129.9000000000001</v>
      </c>
      <c r="I46" s="917"/>
    </row>
    <row r="47" spans="1:9" ht="31.5">
      <c r="A47" s="917"/>
      <c r="B47" s="4472" t="s">
        <v>20</v>
      </c>
      <c r="C47" s="2966" t="str">
        <f>'6. DBUAC'!U256</f>
        <v>01 - Administración central</v>
      </c>
      <c r="D47" s="2966" t="str">
        <f>'6. DBUAC'!V256</f>
        <v>Telecomunicaciones</v>
      </c>
      <c r="E47" s="3140">
        <f>'6. DBUAC'!W256</f>
        <v>530105</v>
      </c>
      <c r="F47" s="3140" t="str">
        <f>'6. DBUAC'!X256</f>
        <v>0701</v>
      </c>
      <c r="G47" s="3140" t="str">
        <f>'6. DBUAC'!Y256</f>
        <v>001</v>
      </c>
      <c r="H47" s="8653">
        <f>'6. DBUAC'!Z256</f>
        <v>2686.7599999999998</v>
      </c>
      <c r="I47" s="917"/>
    </row>
    <row r="48" spans="1:9" ht="78.75">
      <c r="A48" s="917"/>
      <c r="B48" s="4472" t="s">
        <v>20</v>
      </c>
      <c r="C48" s="2966" t="str">
        <f>'6. DBUAC'!U257</f>
        <v>01 - Administración central</v>
      </c>
      <c r="D48" s="2966" t="str">
        <f>'6. DBUAC'!V257</f>
        <v>Edición, Impresión, Reproducción, Publicaciones, Suscripciones, Fotocopiado, Traducción, Empastado, Enmarcación, Serigrafía, Fotografía, Carnetización, Filmación e Imágenes Satelitales</v>
      </c>
      <c r="E48" s="3140">
        <f>'6. DBUAC'!W257</f>
        <v>530204</v>
      </c>
      <c r="F48" s="3140" t="str">
        <f>'6. DBUAC'!X257</f>
        <v>0701</v>
      </c>
      <c r="G48" s="3140" t="str">
        <f>'6. DBUAC'!Y257</f>
        <v>001</v>
      </c>
      <c r="H48" s="8653">
        <f>'6. DBUAC'!Z257</f>
        <v>1292.4016000000001</v>
      </c>
      <c r="I48" s="917"/>
    </row>
    <row r="49" spans="1:10" ht="78.75">
      <c r="A49" s="917"/>
      <c r="B49" s="4472" t="s">
        <v>20</v>
      </c>
      <c r="C49" s="2966" t="str">
        <f>'6. DBUAC'!U258</f>
        <v>01 - Administración central</v>
      </c>
      <c r="D49" s="2966" t="str">
        <f>'6. DBUAC'!V258</f>
        <v>Edición, Impresión, Reproducción, Publicaciones, Suscripciones, Fotocopiado, Traducción, Empastado, Enmarcación, Serigrafía, Fotografía, Carnetización, Filmación e Imágenes Satelitales</v>
      </c>
      <c r="E49" s="3140">
        <f>'6. DBUAC'!W258</f>
        <v>530204</v>
      </c>
      <c r="F49" s="3140" t="str">
        <f>'6. DBUAC'!X258</f>
        <v>0701</v>
      </c>
      <c r="G49" s="3140" t="str">
        <f>'6. DBUAC'!Y258</f>
        <v>003</v>
      </c>
      <c r="H49" s="8653">
        <f>'6. DBUAC'!Z258</f>
        <v>15998.8</v>
      </c>
      <c r="I49" s="917"/>
    </row>
    <row r="50" spans="1:10" ht="31.5">
      <c r="A50" s="917"/>
      <c r="B50" s="4472" t="s">
        <v>20</v>
      </c>
      <c r="C50" s="2966" t="str">
        <f>'6. DBUAC'!U259</f>
        <v>01 - Administración central</v>
      </c>
      <c r="D50" s="2966" t="str">
        <f>'6. DBUAC'!V259</f>
        <v>Servicio de Alimentación</v>
      </c>
      <c r="E50" s="3140">
        <f>'6. DBUAC'!W259</f>
        <v>530235</v>
      </c>
      <c r="F50" s="3140" t="str">
        <f>'6. DBUAC'!X259</f>
        <v>0701</v>
      </c>
      <c r="G50" s="3140" t="str">
        <f>'6. DBUAC'!Y259</f>
        <v>003</v>
      </c>
      <c r="H50" s="8653">
        <f>'6. DBUAC'!Z259</f>
        <v>23026.2</v>
      </c>
      <c r="I50" s="917"/>
    </row>
    <row r="51" spans="1:10" ht="47.25">
      <c r="A51" s="917"/>
      <c r="B51" s="4472" t="s">
        <v>20</v>
      </c>
      <c r="C51" s="2966" t="str">
        <f>'6. DBUAC'!U260</f>
        <v>01 - Administración central</v>
      </c>
      <c r="D51" s="2966" t="str">
        <f>'6. DBUAC'!V260</f>
        <v>Edificios, Locales, Residencias y Cableado Estructurado (Instalación, Mantenimiento y Reparación)</v>
      </c>
      <c r="E51" s="3140">
        <f>'6. DBUAC'!W260</f>
        <v>530402</v>
      </c>
      <c r="F51" s="3140" t="str">
        <f>'6. DBUAC'!X260</f>
        <v>0701</v>
      </c>
      <c r="G51" s="3140" t="str">
        <f>'6. DBUAC'!Y260</f>
        <v>001</v>
      </c>
      <c r="H51" s="8653">
        <f>'6. DBUAC'!Z260</f>
        <v>70203.710000000006</v>
      </c>
      <c r="I51" s="917"/>
    </row>
    <row r="52" spans="1:10" ht="47.25">
      <c r="A52" s="917"/>
      <c r="B52" s="4472" t="s">
        <v>20</v>
      </c>
      <c r="C52" s="2966" t="str">
        <f>'6. DBUAC'!U261</f>
        <v>01 - Administración central</v>
      </c>
      <c r="D52" s="2966" t="str">
        <f>'6. DBUAC'!V261</f>
        <v>Edificios, Locales, Residencias y Cableado Estructurado (Instalación, Mantenimiento y Reparación)</v>
      </c>
      <c r="E52" s="3140">
        <f>'6. DBUAC'!W261</f>
        <v>530402</v>
      </c>
      <c r="F52" s="3140" t="str">
        <f>'6. DBUAC'!X261</f>
        <v>0701</v>
      </c>
      <c r="G52" s="3140" t="str">
        <f>'6. DBUAC'!Y261</f>
        <v>002</v>
      </c>
      <c r="H52" s="8653">
        <f>'6. DBUAC'!Z261</f>
        <v>7543.88</v>
      </c>
      <c r="I52" s="917"/>
    </row>
    <row r="53" spans="1:10" ht="47.25">
      <c r="A53" s="917"/>
      <c r="B53" s="4472" t="s">
        <v>20</v>
      </c>
      <c r="C53" s="2966" t="str">
        <f>'6. DBUAC'!U262</f>
        <v>01 - Administración central</v>
      </c>
      <c r="D53" s="2966" t="str">
        <f>'6. DBUAC'!V262</f>
        <v>Edificios, Locales, Residencias y Cableado Estructurado (Instalación, Mantenimiento y Reparación)</v>
      </c>
      <c r="E53" s="3140">
        <f>'6. DBUAC'!W262</f>
        <v>530402</v>
      </c>
      <c r="F53" s="3140" t="str">
        <f>'6. DBUAC'!X262</f>
        <v>0701</v>
      </c>
      <c r="G53" s="3140" t="str">
        <f>'6. DBUAC'!Y262</f>
        <v>003</v>
      </c>
      <c r="H53" s="8653">
        <f>'6. DBUAC'!Z262</f>
        <v>83275.509999999995</v>
      </c>
      <c r="I53" s="917"/>
    </row>
    <row r="54" spans="1:10" ht="31.5">
      <c r="A54" s="917"/>
      <c r="B54" s="4472" t="s">
        <v>20</v>
      </c>
      <c r="C54" s="2966" t="str">
        <f>'6. DBUAC'!U263</f>
        <v>01 - Administración central</v>
      </c>
      <c r="D54" s="2966" t="str">
        <f>'6. DBUAC'!V263</f>
        <v>Maquinarias y Equipos (Instalación, Mantenimiento y Reparación)</v>
      </c>
      <c r="E54" s="3140">
        <f>'6. DBUAC'!W263</f>
        <v>530404</v>
      </c>
      <c r="F54" s="3140" t="str">
        <f>'6. DBUAC'!X263</f>
        <v>0701</v>
      </c>
      <c r="G54" s="3140" t="str">
        <f>'6. DBUAC'!Y263</f>
        <v>003</v>
      </c>
      <c r="H54" s="8653">
        <f>'6. DBUAC'!Z263</f>
        <v>1982.4</v>
      </c>
      <c r="I54" s="917"/>
    </row>
    <row r="55" spans="1:10" ht="47.25">
      <c r="A55" s="917"/>
      <c r="B55" s="4472" t="s">
        <v>20</v>
      </c>
      <c r="C55" s="2966" t="str">
        <f>'6. DBUAC'!U264</f>
        <v>01 - Administración central</v>
      </c>
      <c r="D55" s="2966" t="str">
        <f>'6. DBUAC'!V264</f>
        <v>Instalación, Readecuación, Montaje de Exposiciones, Mantenimiento y Reparación de Espacios y Bienes Culturales</v>
      </c>
      <c r="E55" s="3140">
        <f>'6. DBUAC'!W264</f>
        <v>530425</v>
      </c>
      <c r="F55" s="3140" t="str">
        <f>'6. DBUAC'!X264</f>
        <v>0701</v>
      </c>
      <c r="G55" s="3140" t="str">
        <f>'6. DBUAC'!Y264</f>
        <v>001</v>
      </c>
      <c r="H55" s="8653">
        <f>'6. DBUAC'!Z264</f>
        <v>6300</v>
      </c>
      <c r="I55" s="917"/>
    </row>
    <row r="56" spans="1:10" ht="31.5">
      <c r="A56" s="917"/>
      <c r="B56" s="4472" t="s">
        <v>20</v>
      </c>
      <c r="C56" s="2966" t="str">
        <f>'6. DBUAC'!U265</f>
        <v>01 - Administración central</v>
      </c>
      <c r="D56" s="2966" t="str">
        <f>'6. DBUAC'!V265</f>
        <v>Vestuario, Lenceria y Prendas de Protección</v>
      </c>
      <c r="E56" s="3140">
        <f>'6. DBUAC'!W265</f>
        <v>530802</v>
      </c>
      <c r="F56" s="3140" t="str">
        <f>'6. DBUAC'!X265</f>
        <v>0701</v>
      </c>
      <c r="G56" s="3140" t="str">
        <f>'6. DBUAC'!Y265</f>
        <v>001</v>
      </c>
      <c r="H56" s="8653">
        <f>'6. DBUAC'!Z265</f>
        <v>198.99</v>
      </c>
      <c r="I56" s="917"/>
    </row>
    <row r="57" spans="1:10" ht="31.5">
      <c r="A57" s="917"/>
      <c r="B57" s="4472" t="s">
        <v>20</v>
      </c>
      <c r="C57" s="2966" t="str">
        <f>'6. DBUAC'!U266</f>
        <v>01 - Administración central</v>
      </c>
      <c r="D57" s="2966" t="str">
        <f>'6. DBUAC'!V266</f>
        <v>Materiales de Impresión, Fotografía, Reproducción y Publicaciones</v>
      </c>
      <c r="E57" s="3140">
        <f>'6. DBUAC'!W266</f>
        <v>530807</v>
      </c>
      <c r="F57" s="3140" t="str">
        <f>'6. DBUAC'!X266</f>
        <v>0701</v>
      </c>
      <c r="G57" s="3140" t="str">
        <f>'6. DBUAC'!Y266</f>
        <v>003</v>
      </c>
      <c r="H57" s="8653">
        <f>'6. DBUAC'!Z266</f>
        <v>1353.2800000000002</v>
      </c>
      <c r="I57" s="917"/>
    </row>
    <row r="58" spans="1:10" ht="31.5">
      <c r="A58" s="917"/>
      <c r="B58" s="4472" t="s">
        <v>20</v>
      </c>
      <c r="C58" s="2966" t="str">
        <f>'6. DBUAC'!U267</f>
        <v>01 - Administración central</v>
      </c>
      <c r="D58" s="2966" t="str">
        <f>'6. DBUAC'!V267</f>
        <v>Medicamentos</v>
      </c>
      <c r="E58" s="3140">
        <f>'6. DBUAC'!W267</f>
        <v>530809</v>
      </c>
      <c r="F58" s="3140" t="str">
        <f>'6. DBUAC'!X267</f>
        <v>0701</v>
      </c>
      <c r="G58" s="3140" t="str">
        <f>'6. DBUAC'!Y267</f>
        <v>001</v>
      </c>
      <c r="H58" s="8653">
        <f>'6. DBUAC'!Z267</f>
        <v>49108.3675</v>
      </c>
      <c r="I58" s="917"/>
    </row>
    <row r="59" spans="1:10" ht="31.5">
      <c r="A59" s="917"/>
      <c r="B59" s="4472" t="s">
        <v>20</v>
      </c>
      <c r="C59" s="2966" t="str">
        <f>'6. DBUAC'!U268</f>
        <v>01 - Administración central</v>
      </c>
      <c r="D59" s="2966" t="str">
        <f>'6. DBUAC'!V268</f>
        <v>Materiales Didácticos</v>
      </c>
      <c r="E59" s="3140" t="str">
        <f>'6. DBUAC'!W268</f>
        <v>530812</v>
      </c>
      <c r="F59" s="3140" t="str">
        <f>'6. DBUAC'!X268</f>
        <v>0701</v>
      </c>
      <c r="G59" s="3140" t="str">
        <f>'6. DBUAC'!Y268</f>
        <v>003</v>
      </c>
      <c r="H59" s="8653">
        <f>'6. DBUAC'!Z268</f>
        <v>1189.5</v>
      </c>
      <c r="I59" s="917"/>
    </row>
    <row r="60" spans="1:10" ht="31.5">
      <c r="A60" s="917"/>
      <c r="B60" s="4472" t="s">
        <v>20</v>
      </c>
      <c r="C60" s="2966" t="str">
        <f>'6. DBUAC'!U269</f>
        <v>01 - Administración central</v>
      </c>
      <c r="D60" s="2966" t="str">
        <f>'6. DBUAC'!V269</f>
        <v>Bienes Artísticos, Culturales, Deportivos y Símbolos Patrios</v>
      </c>
      <c r="E60" s="3140">
        <f>'6. DBUAC'!W269</f>
        <v>531408</v>
      </c>
      <c r="F60" s="3140" t="str">
        <f>'6. DBUAC'!X269</f>
        <v>0701</v>
      </c>
      <c r="G60" s="3140" t="str">
        <f>'6. DBUAC'!Y269</f>
        <v>003</v>
      </c>
      <c r="H60" s="8653">
        <f>'6. DBUAC'!Z269</f>
        <v>1917.5</v>
      </c>
      <c r="I60" s="2016"/>
    </row>
    <row r="61" spans="1:10" ht="31.5">
      <c r="A61" s="917"/>
      <c r="B61" s="4472" t="s">
        <v>20</v>
      </c>
      <c r="C61" s="2966" t="str">
        <f>'6. DBUAC'!U270</f>
        <v>01 - Administración central</v>
      </c>
      <c r="D61" s="2966" t="str">
        <f>'6. DBUAC'!V270</f>
        <v>Maquinarias y Equipos</v>
      </c>
      <c r="E61" s="3140">
        <f>'6. DBUAC'!W270</f>
        <v>840104</v>
      </c>
      <c r="F61" s="3140" t="str">
        <f>'6. DBUAC'!X270</f>
        <v>0701</v>
      </c>
      <c r="G61" s="3140" t="str">
        <f>'6. DBUAC'!Y270</f>
        <v>003</v>
      </c>
      <c r="H61" s="8653">
        <f>'6. DBUAC'!Z270</f>
        <v>132688.742</v>
      </c>
      <c r="I61" s="8753"/>
      <c r="J61" s="8753"/>
    </row>
    <row r="62" spans="1:10" ht="31.5">
      <c r="A62" s="917"/>
      <c r="B62" s="4472" t="s">
        <v>20</v>
      </c>
      <c r="C62" s="2966" t="str">
        <f>'6. DBUAC'!U271</f>
        <v>01 - Administración central</v>
      </c>
      <c r="D62" s="2966" t="str">
        <f>'6. DBUAC'!V271</f>
        <v>Equipos, Sistemas y Paquetes Informáticos</v>
      </c>
      <c r="E62" s="3140">
        <f>'6. DBUAC'!W271</f>
        <v>840107</v>
      </c>
      <c r="F62" s="3140" t="str">
        <f>'6. DBUAC'!X271</f>
        <v>0701</v>
      </c>
      <c r="G62" s="3140" t="str">
        <f>'6. DBUAC'!Y271</f>
        <v>001</v>
      </c>
      <c r="H62" s="8653">
        <f>'6. DBUAC'!Z271</f>
        <v>73170.899999999994</v>
      </c>
      <c r="I62" s="917"/>
    </row>
    <row r="63" spans="1:10" ht="31.5">
      <c r="A63" s="917"/>
      <c r="B63" s="4472" t="s">
        <v>20</v>
      </c>
      <c r="C63" s="2966" t="str">
        <f>'6. DBUAC'!U272</f>
        <v>01 - Administración central</v>
      </c>
      <c r="D63" s="2966" t="str">
        <f>'6. DBUAC'!V272</f>
        <v>Bienes Artísticos y Culturales</v>
      </c>
      <c r="E63" s="3140">
        <f>'6. DBUAC'!W272</f>
        <v>840108</v>
      </c>
      <c r="F63" s="3140" t="str">
        <f>'6. DBUAC'!X272</f>
        <v>0701</v>
      </c>
      <c r="G63" s="3140" t="str">
        <f>'6. DBUAC'!Y272</f>
        <v>001</v>
      </c>
      <c r="H63" s="8653">
        <f>'6. DBUAC'!Z272</f>
        <v>2520</v>
      </c>
      <c r="I63" s="917"/>
    </row>
    <row r="64" spans="1:10" ht="47.25">
      <c r="A64" s="917"/>
      <c r="B64" s="4472" t="s">
        <v>20</v>
      </c>
      <c r="C64" s="2966" t="str">
        <f>'6. DBUAC'!U273</f>
        <v>82 - Formación y gestión académica</v>
      </c>
      <c r="D64" s="2966" t="str">
        <f>'6. DBUAC'!V273</f>
        <v>Edificios, Locales, Residencias y Cableado Estructurado (Instalación, Mantenimiento y Reparación)</v>
      </c>
      <c r="E64" s="3140">
        <f>'6. DBUAC'!W273</f>
        <v>530402</v>
      </c>
      <c r="F64" s="3140" t="str">
        <f>'6. DBUAC'!X273</f>
        <v>0701</v>
      </c>
      <c r="G64" s="3140" t="str">
        <f>'6. DBUAC'!Y273</f>
        <v>001</v>
      </c>
      <c r="H64" s="8653">
        <f>'6. DBUAC'!Z273</f>
        <v>363984.4821428571</v>
      </c>
      <c r="I64" s="917"/>
    </row>
    <row r="65" spans="1:9" ht="31.5">
      <c r="A65" s="917"/>
      <c r="B65" s="4472" t="s">
        <v>20</v>
      </c>
      <c r="C65" s="2966" t="str">
        <f>'6. DBUAC'!U274</f>
        <v>82 - Formación y gestión académica</v>
      </c>
      <c r="D65" s="2966" t="str">
        <f>'6. DBUAC'!V274</f>
        <v>Seguros</v>
      </c>
      <c r="E65" s="3140">
        <f>'6. DBUAC'!W274</f>
        <v>570201</v>
      </c>
      <c r="F65" s="3140" t="str">
        <f>'6. DBUAC'!X274</f>
        <v>0701</v>
      </c>
      <c r="G65" s="3140" t="str">
        <f>'6. DBUAC'!Y274</f>
        <v>001</v>
      </c>
      <c r="H65" s="8653">
        <f>'6. DBUAC'!Z274</f>
        <v>146854.69</v>
      </c>
      <c r="I65" s="917"/>
    </row>
    <row r="66" spans="1:9" ht="31.5">
      <c r="A66" s="917"/>
      <c r="B66" s="4472" t="s">
        <v>20</v>
      </c>
      <c r="C66" s="2966" t="str">
        <f>'6. DBUAC'!U275</f>
        <v>82 - Formación y gestión académica</v>
      </c>
      <c r="D66" s="2966" t="str">
        <f>'6. DBUAC'!V275</f>
        <v>Becas y Ayudas Económicas</v>
      </c>
      <c r="E66" s="3140">
        <f>'6. DBUAC'!W275</f>
        <v>580208</v>
      </c>
      <c r="F66" s="3140" t="str">
        <f>'6. DBUAC'!X275</f>
        <v>0701</v>
      </c>
      <c r="G66" s="3140" t="str">
        <f>'6. DBUAC'!Y275</f>
        <v>001</v>
      </c>
      <c r="H66" s="8653">
        <f>'6. DBUAC'!Z275</f>
        <v>251470</v>
      </c>
      <c r="I66" s="917"/>
    </row>
    <row r="67" spans="1:9" ht="31.5">
      <c r="A67" s="917"/>
      <c r="B67" s="4472" t="s">
        <v>20</v>
      </c>
      <c r="C67" s="2966" t="str">
        <f>'6. DBUAC'!U276</f>
        <v>84 - Gestión de la vinculación con la colectividad</v>
      </c>
      <c r="D67" s="2966" t="str">
        <f>'6. DBUAC'!V276</f>
        <v>Mobiliarios</v>
      </c>
      <c r="E67" s="3140">
        <f>'6. DBUAC'!W276</f>
        <v>840103</v>
      </c>
      <c r="F67" s="3140" t="str">
        <f>'6. DBUAC'!X276</f>
        <v>0701</v>
      </c>
      <c r="G67" s="3140" t="str">
        <f>'6. DBUAC'!Y276</f>
        <v>003</v>
      </c>
      <c r="H67" s="8653">
        <f>'6. DBUAC'!Z276</f>
        <v>10869.5344</v>
      </c>
      <c r="I67" s="917"/>
    </row>
    <row r="68" spans="1:9" ht="31.5">
      <c r="A68" s="917"/>
      <c r="B68" s="4472" t="s">
        <v>20</v>
      </c>
      <c r="C68" s="2966" t="str">
        <f>'6. DBUAC'!U277</f>
        <v>84 - Gestión de la vinculación con la colectividad</v>
      </c>
      <c r="D68" s="2966" t="str">
        <f>'6. DBUAC'!V277</f>
        <v>Maquinarias y Equipos</v>
      </c>
      <c r="E68" s="3140">
        <f>'6. DBUAC'!W277</f>
        <v>840104</v>
      </c>
      <c r="F68" s="3140" t="str">
        <f>'6. DBUAC'!X277</f>
        <v>0701</v>
      </c>
      <c r="G68" s="3140" t="str">
        <f>'6. DBUAC'!Y277</f>
        <v>003</v>
      </c>
      <c r="H68" s="8653">
        <f>'6. DBUAC'!Z277</f>
        <v>20564.578400000002</v>
      </c>
      <c r="I68" s="917"/>
    </row>
    <row r="69" spans="1:9" ht="47.25">
      <c r="A69" s="917"/>
      <c r="B69" s="4472" t="s">
        <v>21</v>
      </c>
      <c r="C69" s="2966" t="str">
        <f>'7. DAC'!U148</f>
        <v>01 - Administración central</v>
      </c>
      <c r="D69" s="2966" t="str">
        <f>'7. DAC'!V148</f>
        <v>Atención a Delegados Extranjeros y Nacionales, Deportistas, Entrenadores y Cuerpo Técnico que Representen al País</v>
      </c>
      <c r="E69" s="3140" t="str">
        <f>'7. DAC'!W148</f>
        <v>530307</v>
      </c>
      <c r="F69" s="3140" t="str">
        <f>'7. DAC'!X148</f>
        <v>0701</v>
      </c>
      <c r="G69" s="3140" t="str">
        <f>'7. DAC'!Y148</f>
        <v>002</v>
      </c>
      <c r="H69" s="8653">
        <f>'7. DAC'!Z148</f>
        <v>0</v>
      </c>
      <c r="I69" s="917"/>
    </row>
    <row r="70" spans="1:9" ht="31.5">
      <c r="A70" s="917"/>
      <c r="B70" s="4472" t="s">
        <v>21</v>
      </c>
      <c r="C70" s="2966" t="str">
        <f>'7. DAC'!U149</f>
        <v>01 - Administración central</v>
      </c>
      <c r="D70" s="2966" t="str">
        <f>'7. DAC'!V149</f>
        <v xml:space="preserve">Materiales de Oficina </v>
      </c>
      <c r="E70" s="3140" t="str">
        <f>'7. DAC'!W149</f>
        <v>530804</v>
      </c>
      <c r="F70" s="3140" t="str">
        <f>'7. DAC'!X149</f>
        <v>0701</v>
      </c>
      <c r="G70" s="3140" t="str">
        <f>'7. DAC'!Y149</f>
        <v>002</v>
      </c>
      <c r="H70" s="8653">
        <f>'7. DAC'!Z149</f>
        <v>77.28</v>
      </c>
      <c r="I70" s="917"/>
    </row>
    <row r="71" spans="1:9" ht="31.5">
      <c r="A71" s="917"/>
      <c r="B71" s="4472" t="s">
        <v>21</v>
      </c>
      <c r="C71" s="2966" t="str">
        <f>'7. DAC'!U150</f>
        <v>01 - Administración central</v>
      </c>
      <c r="D71" s="2966" t="str">
        <f>'7. DAC'!V150</f>
        <v>Herramientas y Equipos menores</v>
      </c>
      <c r="E71" s="3140" t="str">
        <f>'7. DAC'!W150</f>
        <v>531406</v>
      </c>
      <c r="F71" s="3140" t="str">
        <f>'7. DAC'!X150</f>
        <v>0701</v>
      </c>
      <c r="G71" s="3140" t="str">
        <f>'7. DAC'!Y150</f>
        <v>003</v>
      </c>
      <c r="H71" s="8653">
        <f>'7. DAC'!Z150</f>
        <v>76</v>
      </c>
      <c r="I71" s="917"/>
    </row>
    <row r="72" spans="1:9" ht="31.5">
      <c r="A72" s="917"/>
      <c r="B72" s="4472" t="s">
        <v>21</v>
      </c>
      <c r="C72" s="2966" t="str">
        <f>'7. DAC'!U151</f>
        <v>01 - Administración central</v>
      </c>
      <c r="D72" s="2966" t="str">
        <f>'7. DAC'!V151</f>
        <v>Equipos, Sistemas y Paquetes Informáticos</v>
      </c>
      <c r="E72" s="3140" t="str">
        <f>'7. DAC'!W151</f>
        <v>531407</v>
      </c>
      <c r="F72" s="3140" t="str">
        <f>'7. DAC'!X151</f>
        <v>0701</v>
      </c>
      <c r="G72" s="3140" t="str">
        <f>'7. DAC'!Y151</f>
        <v>003</v>
      </c>
      <c r="H72" s="8653">
        <f>'7. DAC'!Z151</f>
        <v>513.66</v>
      </c>
      <c r="I72" s="917"/>
    </row>
    <row r="73" spans="1:9" ht="31.5">
      <c r="A73" s="917"/>
      <c r="B73" s="4472" t="s">
        <v>21</v>
      </c>
      <c r="C73" s="2966" t="str">
        <f>'7. DAC'!U152</f>
        <v>01 - Administración central</v>
      </c>
      <c r="D73" s="2966" t="str">
        <f>'7. DAC'!V152</f>
        <v>Maquinarias y Equipos</v>
      </c>
      <c r="E73" s="3140" t="str">
        <f>'7. DAC'!W152</f>
        <v>840104</v>
      </c>
      <c r="F73" s="3140" t="str">
        <f>'7. DAC'!X152</f>
        <v>0701</v>
      </c>
      <c r="G73" s="3140" t="str">
        <f>'7. DAC'!Y152</f>
        <v>003</v>
      </c>
      <c r="H73" s="8653">
        <f>'7. DAC'!Z152</f>
        <v>999.9</v>
      </c>
      <c r="I73" s="917"/>
    </row>
    <row r="74" spans="1:9" ht="31.5">
      <c r="A74" s="917"/>
      <c r="B74" s="4472" t="s">
        <v>21</v>
      </c>
      <c r="C74" s="2966" t="str">
        <f>'7. DAC'!U153</f>
        <v>01 - Administración central</v>
      </c>
      <c r="D74" s="2966" t="str">
        <f>'7. DAC'!V153</f>
        <v>Equipos, Sistemas y Paquetes Informáticos</v>
      </c>
      <c r="E74" s="3140" t="str">
        <f>'7. DAC'!W153</f>
        <v>840107</v>
      </c>
      <c r="F74" s="3140" t="str">
        <f>'7. DAC'!X153</f>
        <v>0701</v>
      </c>
      <c r="G74" s="3140" t="str">
        <f>'7. DAC'!Y153</f>
        <v>003</v>
      </c>
      <c r="H74" s="8653">
        <f>'7. DAC'!Z153</f>
        <v>2116</v>
      </c>
      <c r="I74" s="917"/>
    </row>
    <row r="75" spans="1:9" ht="47.25">
      <c r="A75" s="917"/>
      <c r="B75" s="4472" t="s">
        <v>21</v>
      </c>
      <c r="C75" s="2966" t="str">
        <f>'7. DAC'!U154</f>
        <v>82 - Formación y gestión académica</v>
      </c>
      <c r="D75" s="2966" t="str">
        <f>'7. DAC'!V154</f>
        <v>Edificios, Locales, Residencias y Cableado Estructurado (Instalación, Mantenimiento y Reparación)</v>
      </c>
      <c r="E75" s="3140" t="str">
        <f>'7. DAC'!W154</f>
        <v>530402</v>
      </c>
      <c r="F75" s="3140" t="str">
        <f>'7. DAC'!X154</f>
        <v>0701</v>
      </c>
      <c r="G75" s="3140" t="str">
        <f>'7. DAC'!Y154</f>
        <v>001</v>
      </c>
      <c r="H75" s="8653">
        <f>'7. DAC'!Z154</f>
        <v>2284.9</v>
      </c>
      <c r="I75" s="917"/>
    </row>
    <row r="76" spans="1:9" ht="31.5">
      <c r="A76" s="917"/>
      <c r="B76" s="4472" t="s">
        <v>21</v>
      </c>
      <c r="C76" s="2966" t="str">
        <f>'7. DAC'!U155</f>
        <v>82 - Formación y gestión académica</v>
      </c>
      <c r="D76" s="2966" t="str">
        <f>'7. DAC'!V155</f>
        <v>Mobiliarios</v>
      </c>
      <c r="E76" s="3140" t="str">
        <f>'7. DAC'!W155</f>
        <v>531403</v>
      </c>
      <c r="F76" s="3140" t="str">
        <f>'7. DAC'!X155</f>
        <v>0701</v>
      </c>
      <c r="G76" s="3140" t="str">
        <f>'7. DAC'!Y155</f>
        <v>001</v>
      </c>
      <c r="H76" s="8653">
        <f>'7. DAC'!Z155</f>
        <v>553.99911168000006</v>
      </c>
      <c r="I76" s="917"/>
    </row>
    <row r="77" spans="1:9" ht="31.5">
      <c r="A77" s="917"/>
      <c r="B77" s="4472" t="s">
        <v>21</v>
      </c>
      <c r="C77" s="2966" t="str">
        <f>'7. DAC'!U156</f>
        <v>82 - Formación y gestión académica</v>
      </c>
      <c r="D77" s="2966" t="str">
        <f>'7. DAC'!V156</f>
        <v>Mobiliarios</v>
      </c>
      <c r="E77" s="3140" t="str">
        <f>'7. DAC'!W156</f>
        <v>840103</v>
      </c>
      <c r="F77" s="3140" t="str">
        <f>'7. DAC'!X156</f>
        <v>0701</v>
      </c>
      <c r="G77" s="3140" t="str">
        <f>'7. DAC'!Y156</f>
        <v>001</v>
      </c>
      <c r="H77" s="8653">
        <f>'7. DAC'!Z156</f>
        <v>1995.9967999999999</v>
      </c>
      <c r="I77" s="917"/>
    </row>
    <row r="78" spans="1:9" ht="78.75">
      <c r="A78" s="917"/>
      <c r="B78" s="4472" t="s">
        <v>22</v>
      </c>
      <c r="C78" s="2966" t="str">
        <f>'8. VIVP'!U171</f>
        <v>83 - Gestión de la investigación</v>
      </c>
      <c r="D78" s="2966" t="str">
        <f>'8. VIVP'!V171</f>
        <v>Edición, Impresión, Reproducción, Publicaciones, Suscripciones, Fotocopiado, Traducción, Empastado, Enmarcación, Serigrafía, Fotografía, Carnetización, Filmación e Imágenes Satelitales</v>
      </c>
      <c r="E78" s="3140">
        <f>'8. VIVP'!W171</f>
        <v>530204</v>
      </c>
      <c r="F78" s="3140" t="str">
        <f>'8. VIVP'!X171</f>
        <v>0701</v>
      </c>
      <c r="G78" s="3140" t="str">
        <f>'8. VIVP'!Y171</f>
        <v>001</v>
      </c>
      <c r="H78" s="8653">
        <f>'8. VIVP'!Z171</f>
        <v>4378.8599999999997</v>
      </c>
      <c r="I78" s="917"/>
    </row>
    <row r="79" spans="1:9" ht="78.75">
      <c r="A79" s="917"/>
      <c r="B79" s="4472" t="s">
        <v>22</v>
      </c>
      <c r="C79" s="2966" t="str">
        <f>'8. VIVP'!U172</f>
        <v>83 - Gestión de la investigación</v>
      </c>
      <c r="D79" s="2966" t="str">
        <f>'8. VIVP'!V172</f>
        <v>Edición, Impresión, Reproducción, Publicaciones, Suscripciones, Fotocopiado, Traducción, Empastado, Enmarcación, Serigrafía, Fotografía, Carnetización, Filmación e Imágenes Satelitales</v>
      </c>
      <c r="E79" s="3140">
        <f>'8. VIVP'!W172</f>
        <v>530204</v>
      </c>
      <c r="F79" s="3140" t="str">
        <f>'8. VIVP'!X172</f>
        <v>0701</v>
      </c>
      <c r="G79" s="3140" t="str">
        <f>'8. VIVP'!Y172</f>
        <v>002</v>
      </c>
      <c r="H79" s="8653">
        <f>'8. VIVP'!Z172</f>
        <v>2352</v>
      </c>
      <c r="I79" s="917"/>
    </row>
    <row r="80" spans="1:9" ht="47.25">
      <c r="A80" s="917"/>
      <c r="B80" s="4472" t="s">
        <v>22</v>
      </c>
      <c r="C80" s="2966" t="str">
        <f>'8. VIVP'!U173</f>
        <v>83 - Gestión de la investigación</v>
      </c>
      <c r="D80" s="2966" t="str">
        <f>'8. VIVP'!V173</f>
        <v>Pasajes en el Exterior</v>
      </c>
      <c r="E80" s="3140">
        <f>'8. VIVP'!W173</f>
        <v>530302</v>
      </c>
      <c r="F80" s="3140" t="str">
        <f>'8. VIVP'!X173</f>
        <v>0701</v>
      </c>
      <c r="G80" s="3140" t="str">
        <f>'8. VIVP'!Y173</f>
        <v>001</v>
      </c>
      <c r="H80" s="8653">
        <f>'8. VIVP'!Z173</f>
        <v>13567.6</v>
      </c>
      <c r="I80" s="917"/>
    </row>
    <row r="81" spans="1:9" ht="47.25">
      <c r="A81" s="917"/>
      <c r="B81" s="4472" t="s">
        <v>22</v>
      </c>
      <c r="C81" s="2966" t="str">
        <f>'8. VIVP'!U174</f>
        <v>83 - Gestión de la investigación</v>
      </c>
      <c r="D81" s="2966" t="str">
        <f>'8. VIVP'!V174</f>
        <v>Viáticos y Subsistencias en el Exterior</v>
      </c>
      <c r="E81" s="3140">
        <f>'8. VIVP'!W174</f>
        <v>530304</v>
      </c>
      <c r="F81" s="3140" t="str">
        <f>'8. VIVP'!X174</f>
        <v>0701</v>
      </c>
      <c r="G81" s="3140" t="str">
        <f>'8. VIVP'!Y174</f>
        <v>001</v>
      </c>
      <c r="H81" s="8653">
        <f>'8. VIVP'!Z174</f>
        <v>3826</v>
      </c>
      <c r="I81" s="917"/>
    </row>
    <row r="82" spans="1:9" ht="47.25">
      <c r="A82" s="917"/>
      <c r="B82" s="4472" t="s">
        <v>22</v>
      </c>
      <c r="C82" s="2966" t="str">
        <f>'8. VIVP'!U175</f>
        <v>83 - Gestión de la investigación</v>
      </c>
      <c r="D82" s="2966" t="str">
        <f>'8. VIVP'!V175</f>
        <v>Capacitación a Servidores Públicos</v>
      </c>
      <c r="E82" s="3140">
        <f>'8. VIVP'!W175</f>
        <v>530612</v>
      </c>
      <c r="F82" s="3140" t="str">
        <f>'8. VIVP'!X175</f>
        <v>0701</v>
      </c>
      <c r="G82" s="3140" t="str">
        <f>'8. VIVP'!Y175</f>
        <v>001</v>
      </c>
      <c r="H82" s="8653">
        <f>'8. VIVP'!Z175</f>
        <v>13494.74</v>
      </c>
      <c r="I82" s="917"/>
    </row>
    <row r="83" spans="1:9" ht="47.25">
      <c r="A83" s="917"/>
      <c r="B83" s="4472" t="s">
        <v>22</v>
      </c>
      <c r="C83" s="2966" t="str">
        <f>'8. VIVP'!U176</f>
        <v>83 - Gestión de la investigación</v>
      </c>
      <c r="D83" s="2966" t="str">
        <f>'8. VIVP'!V176</f>
        <v>Capacitación a Servidores Públicos</v>
      </c>
      <c r="E83" s="3140">
        <f>'8. VIVP'!W176</f>
        <v>530612</v>
      </c>
      <c r="F83" s="3140" t="str">
        <f>'8. VIVP'!X176</f>
        <v>0701</v>
      </c>
      <c r="G83" s="3140" t="str">
        <f>'8. VIVP'!Y176</f>
        <v>002</v>
      </c>
      <c r="H83" s="8653">
        <f>'8. VIVP'!Z176</f>
        <v>150</v>
      </c>
      <c r="I83" s="917"/>
    </row>
    <row r="84" spans="1:9" ht="47.25">
      <c r="A84" s="917"/>
      <c r="B84" s="4472" t="s">
        <v>22</v>
      </c>
      <c r="C84" s="2966" t="str">
        <f>'8. VIVP'!U177</f>
        <v>83 - Gestión de la investigación</v>
      </c>
      <c r="D84" s="2966" t="str">
        <f>'8. VIVP'!V177</f>
        <v>Arrendamiento y Licencias de Uso de Paquetes Informáticos</v>
      </c>
      <c r="E84" s="3140">
        <f>'8. VIVP'!W177</f>
        <v>530702</v>
      </c>
      <c r="F84" s="3140" t="str">
        <f>'8. VIVP'!X177</f>
        <v>0701</v>
      </c>
      <c r="G84" s="3140" t="str">
        <f>'8. VIVP'!Y177</f>
        <v>002</v>
      </c>
      <c r="H84" s="8653">
        <f>'8. VIVP'!Z177</f>
        <v>5880</v>
      </c>
      <c r="I84" s="2017"/>
    </row>
    <row r="85" spans="1:9" ht="47.25">
      <c r="A85" s="917"/>
      <c r="B85" s="4472" t="s">
        <v>22</v>
      </c>
      <c r="C85" s="2966" t="str">
        <f>'8. VIVP'!U178</f>
        <v>83 - Gestión de la investigación</v>
      </c>
      <c r="D85" s="2966" t="str">
        <f>'8. VIVP'!V178</f>
        <v>Maquinarias y Equipos</v>
      </c>
      <c r="E85" s="3140">
        <f>'8. VIVP'!W178</f>
        <v>840104</v>
      </c>
      <c r="F85" s="3140" t="str">
        <f>'8. VIVP'!X178</f>
        <v>0701</v>
      </c>
      <c r="G85" s="3140" t="str">
        <f>'8. VIVP'!Y178</f>
        <v>003</v>
      </c>
      <c r="H85" s="8653">
        <f>'8. VIVP'!Z178</f>
        <v>10710</v>
      </c>
      <c r="I85" s="917"/>
    </row>
    <row r="86" spans="1:9" ht="47.25">
      <c r="A86" s="917"/>
      <c r="B86" s="4472" t="s">
        <v>22</v>
      </c>
      <c r="C86" s="2966" t="str">
        <f>'8. VIVP'!U179</f>
        <v>83 - Gestión de la investigación</v>
      </c>
      <c r="D86" s="2966" t="str">
        <f>'8. VIVP'!V179</f>
        <v>Equipos, Sistemas y Paquetes Informáticos</v>
      </c>
      <c r="E86" s="3140">
        <f>'8. VIVP'!W179</f>
        <v>840107</v>
      </c>
      <c r="F86" s="3140" t="str">
        <f>'8. VIVP'!X179</f>
        <v>0701</v>
      </c>
      <c r="G86" s="3140" t="str">
        <f>'8. VIVP'!Y179</f>
        <v>003</v>
      </c>
      <c r="H86" s="8653">
        <f>'8. VIVP'!Z179</f>
        <v>11441.8256</v>
      </c>
      <c r="I86" s="917"/>
    </row>
    <row r="87" spans="1:9" ht="47.25">
      <c r="A87" s="917"/>
      <c r="B87" s="4472" t="s">
        <v>22</v>
      </c>
      <c r="C87" s="2966" t="str">
        <f>'8. VIVP'!U180</f>
        <v>84 - Gestión de la vinculación con la colectividad</v>
      </c>
      <c r="D87" s="2966" t="str">
        <f>'8. VIVP'!V180</f>
        <v>Membrecías</v>
      </c>
      <c r="E87" s="3140">
        <f>'8. VIVP'!W180</f>
        <v>530239</v>
      </c>
      <c r="F87" s="3140" t="str">
        <f>'8. VIVP'!X180</f>
        <v>0701</v>
      </c>
      <c r="G87" s="3140" t="str">
        <f>'8. VIVP'!Y180</f>
        <v>002</v>
      </c>
      <c r="H87" s="8653">
        <f>'8. VIVP'!Z180</f>
        <v>560</v>
      </c>
      <c r="I87" s="917"/>
    </row>
    <row r="88" spans="1:9" ht="47.25">
      <c r="A88" s="917"/>
      <c r="B88" s="4472" t="s">
        <v>22</v>
      </c>
      <c r="C88" s="2966" t="str">
        <f>'8. VIVP'!U181</f>
        <v>84 - Gestión de la vinculación con la colectividad</v>
      </c>
      <c r="D88" s="2966" t="str">
        <f>'8. VIVP'!V181</f>
        <v>Arrendamiento y Licencias de Uso de Paquetes Informáticos</v>
      </c>
      <c r="E88" s="3140">
        <f>'8. VIVP'!W181</f>
        <v>530702</v>
      </c>
      <c r="F88" s="3140" t="str">
        <f>'8. VIVP'!X181</f>
        <v>0701</v>
      </c>
      <c r="G88" s="3140" t="str">
        <f>'8. VIVP'!Y181</f>
        <v>001</v>
      </c>
      <c r="H88" s="8653">
        <f>'8. VIVP'!Z181</f>
        <v>0</v>
      </c>
      <c r="I88" s="917"/>
    </row>
    <row r="89" spans="1:9" ht="47.25">
      <c r="A89" s="917"/>
      <c r="B89" s="4472" t="s">
        <v>22</v>
      </c>
      <c r="C89" s="2966" t="str">
        <f>'8. VIVP'!U182</f>
        <v>84 - Gestión de la vinculación con la colectividad</v>
      </c>
      <c r="D89" s="2966" t="str">
        <f>'8. VIVP'!V182</f>
        <v>Tasas Generales, Impuestos, Contribuciones, Permisos, Licencias y Patentes</v>
      </c>
      <c r="E89" s="3140">
        <f>'8. VIVP'!W182</f>
        <v>570102</v>
      </c>
      <c r="F89" s="3140" t="str">
        <f>'8. VIVP'!X182</f>
        <v>0701</v>
      </c>
      <c r="G89" s="3140" t="str">
        <f>'8. VIVP'!Y182</f>
        <v>003</v>
      </c>
      <c r="H89" s="8653">
        <f>'8. VIVP'!Z182</f>
        <v>1120</v>
      </c>
      <c r="I89" s="917"/>
    </row>
    <row r="90" spans="1:9" ht="78.75">
      <c r="A90" s="917"/>
      <c r="B90" s="4472" t="s">
        <v>23</v>
      </c>
      <c r="C90" s="2966" t="str">
        <f>'9. DIDI'!U331</f>
        <v>83 - Gestión de la investigación</v>
      </c>
      <c r="D90" s="2966" t="s">
        <v>24</v>
      </c>
      <c r="E90" s="3140">
        <v>530204</v>
      </c>
      <c r="F90" s="3140" t="s">
        <v>17</v>
      </c>
      <c r="G90" s="3140" t="s">
        <v>25</v>
      </c>
      <c r="H90" s="8653">
        <f>'9. DIDI'!Z331</f>
        <v>151739.19999999998</v>
      </c>
      <c r="I90" s="917"/>
    </row>
    <row r="91" spans="1:9" ht="78.75">
      <c r="A91" s="917"/>
      <c r="B91" s="4472" t="s">
        <v>23</v>
      </c>
      <c r="C91" s="2966" t="str">
        <f>'9. DIDI'!U333</f>
        <v>83 - Gestión de la investigación</v>
      </c>
      <c r="D91" s="2966" t="s">
        <v>24</v>
      </c>
      <c r="E91" s="3140">
        <v>530204</v>
      </c>
      <c r="F91" s="3140" t="s">
        <v>17</v>
      </c>
      <c r="G91" s="3140" t="s">
        <v>26</v>
      </c>
      <c r="H91" s="8653">
        <f>'9. DIDI'!Z332</f>
        <v>5000</v>
      </c>
      <c r="I91" s="917"/>
    </row>
    <row r="92" spans="1:9" ht="31.5">
      <c r="A92" s="917"/>
      <c r="B92" s="4472" t="s">
        <v>23</v>
      </c>
      <c r="C92" s="2966" t="str">
        <f>'9. DIDI'!U334</f>
        <v>83 - Gestión de la investigación</v>
      </c>
      <c r="D92" s="2966" t="s">
        <v>27</v>
      </c>
      <c r="E92" s="3140">
        <v>530301</v>
      </c>
      <c r="F92" s="3140" t="s">
        <v>17</v>
      </c>
      <c r="G92" s="3140" t="s">
        <v>18</v>
      </c>
      <c r="H92" s="8653">
        <f>'9. DIDI'!Z333</f>
        <v>500</v>
      </c>
      <c r="I92" s="917"/>
    </row>
    <row r="93" spans="1:9" ht="31.5">
      <c r="A93" s="917"/>
      <c r="B93" s="4472" t="s">
        <v>23</v>
      </c>
      <c r="C93" s="2966" t="str">
        <f>'9. DIDI'!U335</f>
        <v>83 - Gestión de la investigación</v>
      </c>
      <c r="D93" s="2966" t="s">
        <v>28</v>
      </c>
      <c r="E93" s="3140">
        <v>530302</v>
      </c>
      <c r="F93" s="3140" t="s">
        <v>17</v>
      </c>
      <c r="G93" s="3140" t="s">
        <v>18</v>
      </c>
      <c r="H93" s="8653">
        <f>'9. DIDI'!Z334</f>
        <v>9951.8700000000008</v>
      </c>
      <c r="I93" s="917"/>
    </row>
    <row r="94" spans="1:9" ht="31.5">
      <c r="A94" s="917"/>
      <c r="B94" s="4472" t="s">
        <v>23</v>
      </c>
      <c r="C94" s="2966" t="str">
        <f>'9. DIDI'!U336</f>
        <v>83 - Gestión de la investigación</v>
      </c>
      <c r="D94" s="2966" t="s">
        <v>29</v>
      </c>
      <c r="E94" s="3140">
        <v>530303</v>
      </c>
      <c r="F94" s="3140" t="s">
        <v>17</v>
      </c>
      <c r="G94" s="3140" t="s">
        <v>25</v>
      </c>
      <c r="H94" s="8653">
        <f>'9. DIDI'!Z335</f>
        <v>1920</v>
      </c>
      <c r="I94" s="917"/>
    </row>
    <row r="95" spans="1:9" ht="31.5">
      <c r="A95" s="917"/>
      <c r="B95" s="4472" t="s">
        <v>23</v>
      </c>
      <c r="C95" s="2966" t="str">
        <f>'9. DIDI'!U337</f>
        <v>83 - Gestión de la investigación</v>
      </c>
      <c r="D95" s="2966" t="s">
        <v>30</v>
      </c>
      <c r="E95" s="3140">
        <v>530304</v>
      </c>
      <c r="F95" s="3140" t="s">
        <v>17</v>
      </c>
      <c r="G95" s="3140" t="s">
        <v>25</v>
      </c>
      <c r="H95" s="8653">
        <f>'9. DIDI'!Z336</f>
        <v>4880</v>
      </c>
      <c r="I95" s="917"/>
    </row>
    <row r="96" spans="1:9" ht="31.5">
      <c r="A96" s="917"/>
      <c r="B96" s="4472" t="s">
        <v>23</v>
      </c>
      <c r="C96" s="2966" t="str">
        <f>'9. DIDI'!U338</f>
        <v>83 - Gestión de la investigación</v>
      </c>
      <c r="D96" s="2966" t="s">
        <v>30</v>
      </c>
      <c r="E96" s="3140">
        <v>530304</v>
      </c>
      <c r="F96" s="3140" t="s">
        <v>17</v>
      </c>
      <c r="G96" s="3140" t="s">
        <v>18</v>
      </c>
      <c r="H96" s="8653">
        <f>'9. DIDI'!Z337</f>
        <v>5000</v>
      </c>
      <c r="I96" s="917"/>
    </row>
    <row r="97" spans="1:9" ht="31.5">
      <c r="A97" s="917"/>
      <c r="B97" s="4472" t="s">
        <v>23</v>
      </c>
      <c r="C97" s="2966" t="str">
        <f>'9. DIDI'!U339</f>
        <v>83 - Gestión de la investigación</v>
      </c>
      <c r="D97" s="2966" t="s">
        <v>31</v>
      </c>
      <c r="E97" s="3140">
        <v>530404</v>
      </c>
      <c r="F97" s="3140" t="s">
        <v>17</v>
      </c>
      <c r="G97" s="3140" t="s">
        <v>18</v>
      </c>
      <c r="H97" s="8653">
        <f>'9. DIDI'!Z338</f>
        <v>5060.96</v>
      </c>
      <c r="I97" s="917"/>
    </row>
    <row r="98" spans="1:9" ht="31.5">
      <c r="A98" s="917"/>
      <c r="B98" s="4472" t="s">
        <v>23</v>
      </c>
      <c r="C98" s="2966" t="str">
        <f>'9. DIDI'!U340</f>
        <v>83 - Gestión de la investigación</v>
      </c>
      <c r="D98" s="2966" t="s">
        <v>32</v>
      </c>
      <c r="E98" s="3140">
        <v>530609</v>
      </c>
      <c r="F98" s="3140" t="s">
        <v>17</v>
      </c>
      <c r="G98" s="3140" t="s">
        <v>25</v>
      </c>
      <c r="H98" s="8653">
        <f>'9. DIDI'!Z339</f>
        <v>4480</v>
      </c>
      <c r="I98" s="917"/>
    </row>
    <row r="99" spans="1:9" ht="31.5">
      <c r="A99" s="917"/>
      <c r="B99" s="4472" t="s">
        <v>23</v>
      </c>
      <c r="C99" s="2966" t="str">
        <f>'9. DIDI'!U341</f>
        <v>83 - Gestión de la investigación</v>
      </c>
      <c r="D99" s="2966" t="s">
        <v>33</v>
      </c>
      <c r="E99" s="3140">
        <v>530702</v>
      </c>
      <c r="F99" s="3140" t="s">
        <v>17</v>
      </c>
      <c r="G99" s="3140" t="s">
        <v>25</v>
      </c>
      <c r="H99" s="8653">
        <f>'9. DIDI'!Z340</f>
        <v>9900</v>
      </c>
      <c r="I99" s="917"/>
    </row>
    <row r="100" spans="1:9" ht="31.5">
      <c r="A100" s="917"/>
      <c r="B100" s="4472" t="s">
        <v>23</v>
      </c>
      <c r="C100" s="2966" t="str">
        <f>'9. DIDI'!U342</f>
        <v>83 - Gestión de la investigación</v>
      </c>
      <c r="D100" s="2966" t="s">
        <v>33</v>
      </c>
      <c r="E100" s="3140">
        <v>530702</v>
      </c>
      <c r="F100" s="3140" t="s">
        <v>17</v>
      </c>
      <c r="G100" s="3140" t="s">
        <v>26</v>
      </c>
      <c r="H100" s="8653">
        <f>'9. DIDI'!Z341</f>
        <v>17780</v>
      </c>
      <c r="I100" s="917"/>
    </row>
    <row r="101" spans="1:9" ht="31.5">
      <c r="A101" s="917"/>
      <c r="B101" s="4472" t="s">
        <v>23</v>
      </c>
      <c r="C101" s="2966" t="str">
        <f>'9. DIDI'!U343</f>
        <v>83 - Gestión de la investigación</v>
      </c>
      <c r="D101" s="2966" t="s">
        <v>34</v>
      </c>
      <c r="E101" s="3140">
        <v>530829</v>
      </c>
      <c r="F101" s="3140" t="s">
        <v>17</v>
      </c>
      <c r="G101" s="3140" t="s">
        <v>26</v>
      </c>
      <c r="H101" s="8653">
        <f>'9. DIDI'!Z342</f>
        <v>5143.2</v>
      </c>
      <c r="I101" s="917"/>
    </row>
    <row r="102" spans="1:9" ht="31.5">
      <c r="A102" s="917"/>
      <c r="B102" s="4472" t="s">
        <v>23</v>
      </c>
      <c r="C102" s="2966" t="str">
        <f>'9. DIDI'!U344</f>
        <v>83 - Gestión de la investigación</v>
      </c>
      <c r="D102" s="2966" t="s">
        <v>35</v>
      </c>
      <c r="E102" s="3140">
        <v>531407</v>
      </c>
      <c r="F102" s="3140" t="s">
        <v>17</v>
      </c>
      <c r="G102" s="3140" t="s">
        <v>26</v>
      </c>
      <c r="H102" s="8653">
        <f>'9. DIDI'!Z343</f>
        <v>2456.3200000000002</v>
      </c>
      <c r="I102" s="917"/>
    </row>
    <row r="103" spans="1:9" ht="31.5">
      <c r="A103" s="917"/>
      <c r="B103" s="4472" t="s">
        <v>23</v>
      </c>
      <c r="C103" s="2966" t="str">
        <f>'9. DIDI'!U345</f>
        <v>83 - Gestión de la investigación</v>
      </c>
      <c r="D103" s="2966" t="s">
        <v>36</v>
      </c>
      <c r="E103" s="3140">
        <v>531409</v>
      </c>
      <c r="F103" s="3140" t="s">
        <v>17</v>
      </c>
      <c r="G103" s="3140" t="s">
        <v>26</v>
      </c>
      <c r="H103" s="8653">
        <f>'9. DIDI'!Z344</f>
        <v>36867</v>
      </c>
      <c r="I103" s="917"/>
    </row>
    <row r="104" spans="1:9" ht="31.5">
      <c r="A104" s="917"/>
      <c r="B104" s="4472" t="s">
        <v>23</v>
      </c>
      <c r="C104" s="2966" t="str">
        <f>'9. DIDI'!U346</f>
        <v>83 - Gestión de la investigación</v>
      </c>
      <c r="D104" s="2966" t="s">
        <v>37</v>
      </c>
      <c r="E104" s="3140">
        <v>531411</v>
      </c>
      <c r="F104" s="3140" t="s">
        <v>17</v>
      </c>
      <c r="G104" s="3140" t="s">
        <v>26</v>
      </c>
      <c r="H104" s="8653">
        <f>'9. DIDI'!Z345</f>
        <v>0</v>
      </c>
      <c r="I104" s="917"/>
    </row>
    <row r="105" spans="1:9" ht="31.5">
      <c r="A105" s="917"/>
      <c r="B105" s="4472" t="s">
        <v>23</v>
      </c>
      <c r="C105" s="2966" t="str">
        <f>'9. DIDI'!U347</f>
        <v>83 - Gestión de la investigación</v>
      </c>
      <c r="D105" s="2966" t="s">
        <v>38</v>
      </c>
      <c r="E105" s="3140">
        <v>580208</v>
      </c>
      <c r="F105" s="3140" t="s">
        <v>17</v>
      </c>
      <c r="G105" s="3140" t="s">
        <v>25</v>
      </c>
      <c r="H105" s="8653">
        <f>'9. DIDI'!Z346</f>
        <v>97298.069680000001</v>
      </c>
      <c r="I105" s="917"/>
    </row>
    <row r="106" spans="1:9" ht="31.5">
      <c r="A106" s="917"/>
      <c r="B106" s="4472" t="s">
        <v>23</v>
      </c>
      <c r="C106" s="2966" t="str">
        <f>'9. DIDI'!U348</f>
        <v>83 - Gestión de la investigación</v>
      </c>
      <c r="D106" s="2966" t="s">
        <v>39</v>
      </c>
      <c r="E106" s="3140">
        <v>840104</v>
      </c>
      <c r="F106" s="3140" t="s">
        <v>17</v>
      </c>
      <c r="G106" s="3140" t="s">
        <v>25</v>
      </c>
      <c r="H106" s="8654">
        <f>'9. DIDI'!Z347</f>
        <v>3494.9999996800007</v>
      </c>
      <c r="I106" s="917"/>
    </row>
    <row r="107" spans="1:9" ht="31.5">
      <c r="A107" s="917"/>
      <c r="B107" s="4472" t="s">
        <v>23</v>
      </c>
      <c r="C107" s="2966" t="str">
        <f>'9. DIDI'!U349</f>
        <v>83 - Gestión de la investigación</v>
      </c>
      <c r="D107" s="2966" t="s">
        <v>39</v>
      </c>
      <c r="E107" s="3140">
        <v>840104</v>
      </c>
      <c r="F107" s="3140" t="s">
        <v>17</v>
      </c>
      <c r="G107" s="3140" t="s">
        <v>18</v>
      </c>
      <c r="H107" s="8654">
        <f>'9. DIDI'!Z348</f>
        <v>188658.40000000002</v>
      </c>
      <c r="I107" s="917"/>
    </row>
    <row r="108" spans="1:9" ht="31.5">
      <c r="A108" s="917"/>
      <c r="B108" s="4472" t="s">
        <v>23</v>
      </c>
      <c r="C108" s="2966" t="str">
        <f>'9. DIDI'!U350</f>
        <v>83 - Gestión de la investigación</v>
      </c>
      <c r="D108" s="2966" t="s">
        <v>40</v>
      </c>
      <c r="E108" s="3140">
        <v>840107</v>
      </c>
      <c r="F108" s="3140" t="s">
        <v>17</v>
      </c>
      <c r="G108" s="3140" t="s">
        <v>18</v>
      </c>
      <c r="H108" s="8654">
        <f>'9. DIDI'!Z349</f>
        <v>71220.800000000003</v>
      </c>
      <c r="I108" s="917"/>
    </row>
    <row r="109" spans="1:9" ht="31.5">
      <c r="A109" s="917"/>
      <c r="B109" s="4472" t="s">
        <v>23</v>
      </c>
      <c r="C109" s="2966" t="str">
        <f>'9. DIDI'!U347</f>
        <v>83 - Gestión de la investigación</v>
      </c>
      <c r="D109" s="2966" t="s">
        <v>36</v>
      </c>
      <c r="E109" s="3140">
        <v>840109</v>
      </c>
      <c r="F109" s="3140" t="s">
        <v>17</v>
      </c>
      <c r="G109" s="3140" t="s">
        <v>26</v>
      </c>
      <c r="H109" s="8654">
        <f>'9. DIDI'!Z350</f>
        <v>13133</v>
      </c>
      <c r="I109" s="917"/>
    </row>
    <row r="110" spans="1:9">
      <c r="A110" s="917"/>
      <c r="B110" s="4472" t="s">
        <v>41</v>
      </c>
      <c r="C110" s="2966" t="str">
        <f>'10. DPOS'!U97</f>
        <v>01 - Administración central</v>
      </c>
      <c r="D110" s="2966" t="str">
        <f>'10. DPOS'!V97</f>
        <v>Mobiliarios</v>
      </c>
      <c r="E110" s="3140">
        <f>'10. DPOS'!W97</f>
        <v>840103</v>
      </c>
      <c r="F110" s="3140" t="str">
        <f>'10. DPOS'!X97</f>
        <v>0701</v>
      </c>
      <c r="G110" s="3140" t="str">
        <f>'10. DPOS'!Y97</f>
        <v>003</v>
      </c>
      <c r="H110" s="8653">
        <f>'10. DPOS'!Z97</f>
        <v>1269.23</v>
      </c>
      <c r="I110" s="917"/>
    </row>
    <row r="111" spans="1:9" ht="78.75">
      <c r="A111" s="917"/>
      <c r="B111" s="4472" t="s">
        <v>41</v>
      </c>
      <c r="C111" s="2966" t="str">
        <f>'10. DPOS'!U98</f>
        <v>82 - Formación y gestión académica</v>
      </c>
      <c r="D111" s="2966" t="str">
        <f>'10. DPOS'!V98</f>
        <v>Edición, Impresión, Reproducción, Publicaciones, Suscripciones, Fotocopiado, Traducción, Empastado, Enmarcación, Serigrafía, Fotografía, Carnetización, Filmación e Imágenes Satelitales</v>
      </c>
      <c r="E111" s="3140">
        <f>'10. DPOS'!W98</f>
        <v>530204</v>
      </c>
      <c r="F111" s="3140" t="str">
        <f>'10. DPOS'!X98</f>
        <v>0701</v>
      </c>
      <c r="G111" s="3140" t="str">
        <f>'10. DPOS'!Y98</f>
        <v>001</v>
      </c>
      <c r="H111" s="8653">
        <f>'10. DPOS'!Z98</f>
        <v>300</v>
      </c>
      <c r="I111" s="917"/>
    </row>
    <row r="112" spans="1:9" ht="31.5">
      <c r="A112" s="917"/>
      <c r="B112" s="4472" t="s">
        <v>41</v>
      </c>
      <c r="C112" s="2966" t="str">
        <f>'10. DPOS'!U99</f>
        <v>82 - Formación y gestión académica</v>
      </c>
      <c r="D112" s="2966" t="str">
        <f>'10. DPOS'!V99</f>
        <v>Difusión, Información y Publicidad</v>
      </c>
      <c r="E112" s="3140">
        <f>'10. DPOS'!W99</f>
        <v>530207</v>
      </c>
      <c r="F112" s="3140" t="str">
        <f>'10. DPOS'!X99</f>
        <v>0701</v>
      </c>
      <c r="G112" s="3140" t="str">
        <f>'10. DPOS'!Y99</f>
        <v>001</v>
      </c>
      <c r="H112" s="8653">
        <f>'10. DPOS'!Z99</f>
        <v>0</v>
      </c>
      <c r="I112" s="917"/>
    </row>
    <row r="113" spans="1:10" ht="31.5">
      <c r="A113" s="917"/>
      <c r="B113" s="4472" t="s">
        <v>41</v>
      </c>
      <c r="C113" s="2966" t="str">
        <f>'10. DPOS'!U100</f>
        <v>82 - Formación y gestión académica</v>
      </c>
      <c r="D113" s="2966" t="s">
        <v>39</v>
      </c>
      <c r="E113" s="4452">
        <v>840104</v>
      </c>
      <c r="F113" s="3140" t="s">
        <v>17</v>
      </c>
      <c r="G113" s="3140" t="s">
        <v>18</v>
      </c>
      <c r="H113" s="8653">
        <f>'10. DPOS'!Z100</f>
        <v>980</v>
      </c>
      <c r="I113" s="917"/>
    </row>
    <row r="114" spans="1:10" ht="31.5">
      <c r="A114" s="917"/>
      <c r="B114" s="4472" t="s">
        <v>41</v>
      </c>
      <c r="C114" s="2966" t="str">
        <f>'10. DPOS'!U101</f>
        <v>82 - Formación y gestión académica</v>
      </c>
      <c r="D114" s="2966" t="str">
        <f>'10. DPOS'!V101</f>
        <v>Equipos, Sistemas y Paquetes Informáticos</v>
      </c>
      <c r="E114" s="3140">
        <f>'10. DPOS'!W101</f>
        <v>840107</v>
      </c>
      <c r="F114" s="3140" t="str">
        <f>'10. DPOS'!X101</f>
        <v>0701</v>
      </c>
      <c r="G114" s="3140" t="str">
        <f>'10. DPOS'!Y101</f>
        <v>003</v>
      </c>
      <c r="H114" s="8653">
        <f>'10. DPOS'!Z101</f>
        <v>1126.08</v>
      </c>
      <c r="I114" s="917"/>
      <c r="J114" s="8074"/>
    </row>
    <row r="115" spans="1:10" ht="31.5">
      <c r="A115" s="917"/>
      <c r="B115" s="4472" t="s">
        <v>42</v>
      </c>
      <c r="C115" s="2966" t="str">
        <f>'11. DV'!U273</f>
        <v>84 - Gestión de la vinculación con la colectividad</v>
      </c>
      <c r="D115" s="2966" t="str">
        <f>'11. DV'!V273</f>
        <v>Membrecías</v>
      </c>
      <c r="E115" s="3140">
        <f>'11. DV'!W273</f>
        <v>530239</v>
      </c>
      <c r="F115" s="3140" t="str">
        <f>'11. DV'!X273</f>
        <v>0701</v>
      </c>
      <c r="G115" s="3140" t="str">
        <f>'11. DV'!Y273</f>
        <v>002</v>
      </c>
      <c r="H115" s="8653">
        <f>'11. DV'!Z273</f>
        <v>2240</v>
      </c>
      <c r="I115" s="917"/>
    </row>
    <row r="116" spans="1:10" ht="31.5">
      <c r="A116" s="917"/>
      <c r="B116" s="4472" t="s">
        <v>42</v>
      </c>
      <c r="C116" s="2966" t="str">
        <f>'11. DV'!U274</f>
        <v>84 - Gestión de la vinculación con la colectividad</v>
      </c>
      <c r="D116" s="2966" t="str">
        <f>'11. DV'!V274</f>
        <v xml:space="preserve">Pasajes al Exterior </v>
      </c>
      <c r="E116" s="3140">
        <f>'11. DV'!W274</f>
        <v>530302</v>
      </c>
      <c r="F116" s="3140" t="str">
        <f>'11. DV'!X274</f>
        <v>0701</v>
      </c>
      <c r="G116" s="3140" t="str">
        <f>'11. DV'!Y274</f>
        <v>002</v>
      </c>
      <c r="H116" s="8653">
        <f>'11. DV'!Z274</f>
        <v>4480</v>
      </c>
      <c r="I116" s="917"/>
    </row>
    <row r="117" spans="1:10" ht="31.5">
      <c r="A117" s="917"/>
      <c r="B117" s="4472" t="s">
        <v>42</v>
      </c>
      <c r="C117" s="2966" t="str">
        <f>'11. DV'!U275</f>
        <v>84 - Gestión de la vinculación con la colectividad</v>
      </c>
      <c r="D117" s="2966" t="str">
        <f>'11. DV'!V275</f>
        <v>Capacitación a Servidores Públicos</v>
      </c>
      <c r="E117" s="3140">
        <f>'11. DV'!W275</f>
        <v>530612</v>
      </c>
      <c r="F117" s="3140" t="str">
        <f>'11. DV'!X275</f>
        <v>0701</v>
      </c>
      <c r="G117" s="3140" t="str">
        <f>'11. DV'!Y275</f>
        <v>002</v>
      </c>
      <c r="H117" s="8653">
        <f>'11. DV'!Z275</f>
        <v>7409.82</v>
      </c>
      <c r="I117" s="917"/>
    </row>
    <row r="118" spans="1:10" ht="31.5">
      <c r="A118" s="917"/>
      <c r="B118" s="4472" t="s">
        <v>42</v>
      </c>
      <c r="C118" s="2966" t="str">
        <f>'11. DV'!U276</f>
        <v>84 - Gestión de la vinculación con la colectividad</v>
      </c>
      <c r="D118" s="2966" t="str">
        <f>'11. DV'!V276</f>
        <v>Arrendamiento y Licencias de Uso de Paquetes Informáticos</v>
      </c>
      <c r="E118" s="3140">
        <f>'11. DV'!W276</f>
        <v>530702</v>
      </c>
      <c r="F118" s="3140" t="str">
        <f>'11. DV'!X276</f>
        <v>0701</v>
      </c>
      <c r="G118" s="3140" t="str">
        <f>'11. DV'!Y276</f>
        <v>001</v>
      </c>
      <c r="H118" s="8653">
        <f>'11. DV'!Z276</f>
        <v>15800</v>
      </c>
      <c r="I118" s="917"/>
    </row>
    <row r="119" spans="1:10" ht="31.5">
      <c r="A119" s="917"/>
      <c r="B119" s="4472" t="s">
        <v>42</v>
      </c>
      <c r="C119" s="2966" t="str">
        <f>'11. DV'!U277</f>
        <v>84 - Gestión de la vinculación con la colectividad</v>
      </c>
      <c r="D119" s="2966" t="str">
        <f>'11. DV'!V277</f>
        <v>Arrendamiento y Licencias de Uso de Paquetes Informáticos</v>
      </c>
      <c r="E119" s="3140">
        <f>'11. DV'!W277</f>
        <v>530702</v>
      </c>
      <c r="F119" s="3140" t="str">
        <f>'11. DV'!X277</f>
        <v>0701</v>
      </c>
      <c r="G119" s="3140" t="str">
        <f>'11. DV'!Y277</f>
        <v>002</v>
      </c>
      <c r="H119" s="8653">
        <f>'11. DV'!Z277</f>
        <v>3300</v>
      </c>
      <c r="I119" s="917"/>
    </row>
    <row r="120" spans="1:10" ht="31.5">
      <c r="A120" s="917"/>
      <c r="B120" s="4472" t="s">
        <v>42</v>
      </c>
      <c r="C120" s="2966" t="str">
        <f>'11. DV'!U278</f>
        <v>84 - Gestión de la vinculación con la colectividad</v>
      </c>
      <c r="D120" s="2966" t="str">
        <f>'11. DV'!V278</f>
        <v>Materiales de Oficina</v>
      </c>
      <c r="E120" s="3140">
        <f>'11. DV'!W278</f>
        <v>530804</v>
      </c>
      <c r="F120" s="3140" t="str">
        <f>'11. DV'!X278</f>
        <v>0701</v>
      </c>
      <c r="G120" s="3140" t="str">
        <f>'11. DV'!Y278</f>
        <v>002</v>
      </c>
      <c r="H120" s="8653">
        <f>'11. DV'!Z278</f>
        <v>925.12000000000012</v>
      </c>
      <c r="I120" s="917"/>
    </row>
    <row r="121" spans="1:10" ht="31.5">
      <c r="A121" s="917"/>
      <c r="B121" s="4472" t="s">
        <v>42</v>
      </c>
      <c r="C121" s="2966" t="str">
        <f>'11. DV'!U279</f>
        <v>84 - Gestión de la vinculación con la colectividad</v>
      </c>
      <c r="D121" s="2966" t="str">
        <f>'11. DV'!V279</f>
        <v>Materiales Didácticos</v>
      </c>
      <c r="E121" s="3140">
        <f>'11. DV'!W279</f>
        <v>530812</v>
      </c>
      <c r="F121" s="3140" t="str">
        <f>'11. DV'!X279</f>
        <v>0701</v>
      </c>
      <c r="G121" s="3140" t="str">
        <f>'11. DV'!Y279</f>
        <v>002</v>
      </c>
      <c r="H121" s="8653">
        <f>'11. DV'!Z279</f>
        <v>3382.4</v>
      </c>
      <c r="I121" s="917"/>
    </row>
    <row r="122" spans="1:10" ht="31.5">
      <c r="A122" s="917"/>
      <c r="B122" s="4472" t="s">
        <v>42</v>
      </c>
      <c r="C122" s="2966" t="str">
        <f>'11. DV'!U280</f>
        <v>84 - Gestión de la vinculación con la colectividad</v>
      </c>
      <c r="D122" s="2966" t="str">
        <f>'11. DV'!V280</f>
        <v>Equipos, Sistemas y Paquetes Informáticos</v>
      </c>
      <c r="E122" s="3140">
        <f>'11. DV'!W280</f>
        <v>531407</v>
      </c>
      <c r="F122" s="3140" t="str">
        <f>'11. DV'!X280</f>
        <v>0701</v>
      </c>
      <c r="G122" s="3140" t="str">
        <f>'11. DV'!Y280</f>
        <v>001</v>
      </c>
      <c r="H122" s="8653">
        <f>'11. DV'!Z280</f>
        <v>56.95000000000001</v>
      </c>
      <c r="I122" s="917"/>
    </row>
    <row r="123" spans="1:10" ht="31.5">
      <c r="A123" s="917"/>
      <c r="B123" s="4472" t="s">
        <v>42</v>
      </c>
      <c r="C123" s="2966" t="str">
        <f>'11. DV'!U281</f>
        <v>84 - Gestión de la vinculación con la colectividad</v>
      </c>
      <c r="D123" s="2966" t="str">
        <f>'11. DV'!V281</f>
        <v>Equipos, Sistemas y Paquetes Informáticos</v>
      </c>
      <c r="E123" s="3140">
        <f>'11. DV'!W281</f>
        <v>531407</v>
      </c>
      <c r="F123" s="3140" t="str">
        <f>'11. DV'!X281</f>
        <v>0701</v>
      </c>
      <c r="G123" s="3140" t="str">
        <f>'11. DV'!Y281</f>
        <v>003</v>
      </c>
      <c r="H123" s="8653">
        <f>'11. DV'!Z281</f>
        <v>171.51</v>
      </c>
      <c r="I123" s="917"/>
    </row>
    <row r="124" spans="1:10" ht="31.5">
      <c r="A124" s="917"/>
      <c r="B124" s="4472" t="s">
        <v>42</v>
      </c>
      <c r="C124" s="2966" t="str">
        <f>'11. DV'!U282</f>
        <v>84 - Gestión de la vinculación con la colectividad</v>
      </c>
      <c r="D124" s="2966" t="str">
        <f>'11. DV'!V282</f>
        <v>Maquinarias y Equipos</v>
      </c>
      <c r="E124" s="3140">
        <f>'11. DV'!W282</f>
        <v>840104</v>
      </c>
      <c r="F124" s="3140" t="str">
        <f>'11. DV'!X282</f>
        <v>0701</v>
      </c>
      <c r="G124" s="3140" t="str">
        <f>'11. DV'!Y282</f>
        <v>003</v>
      </c>
      <c r="H124" s="8653">
        <f>'11. DV'!Z282</f>
        <v>8649</v>
      </c>
      <c r="I124" s="917"/>
    </row>
    <row r="125" spans="1:10" ht="31.5">
      <c r="A125" s="917"/>
      <c r="B125" s="4472" t="s">
        <v>42</v>
      </c>
      <c r="C125" s="2966" t="str">
        <f>'11. DV'!U283</f>
        <v>84 - Gestión de la vinculación con la colectividad</v>
      </c>
      <c r="D125" s="2966" t="str">
        <f>'11. DV'!V283</f>
        <v>Equipos, Sistemas y Paquetes Informáticos</v>
      </c>
      <c r="E125" s="3140">
        <f>'11. DV'!W283</f>
        <v>840107</v>
      </c>
      <c r="F125" s="3140" t="str">
        <f>'11. DV'!X283</f>
        <v>0701</v>
      </c>
      <c r="G125" s="3140" t="str">
        <f>'11. DV'!Y283</f>
        <v>003</v>
      </c>
      <c r="H125" s="8653">
        <f>'11. DV'!Z283</f>
        <v>30009.739200000004</v>
      </c>
      <c r="I125" s="4458"/>
      <c r="J125" s="4460"/>
    </row>
    <row r="126" spans="1:10">
      <c r="A126" s="917"/>
      <c r="B126" s="4472" t="s">
        <v>43</v>
      </c>
      <c r="C126" s="2966" t="str">
        <f>'12. VAC'!U52</f>
        <v>01 - Administración central</v>
      </c>
      <c r="D126" s="2966" t="str">
        <f>'12. VAC'!V52</f>
        <v>Maquinarias y Equipos</v>
      </c>
      <c r="E126" s="3140">
        <f>'12. VAC'!W52</f>
        <v>840104</v>
      </c>
      <c r="F126" s="3140" t="str">
        <f>'12. VAC'!X52</f>
        <v>0701</v>
      </c>
      <c r="G126" s="3140" t="str">
        <f>'12. VAC'!Y52</f>
        <v>002</v>
      </c>
      <c r="H126" s="8653">
        <f>'12. VAC'!Z52</f>
        <v>313.60000000000002</v>
      </c>
      <c r="I126" s="917"/>
    </row>
    <row r="127" spans="1:10" ht="31.5">
      <c r="A127" s="917"/>
      <c r="B127" s="4472" t="s">
        <v>43</v>
      </c>
      <c r="C127" s="2966" t="str">
        <f>'12. VAC'!U53</f>
        <v>82 - Formación y gestión académica</v>
      </c>
      <c r="D127" s="2966" t="str">
        <f>'12. VAC'!V53</f>
        <v>Capacitación a Servidores Públicos</v>
      </c>
      <c r="E127" s="3140">
        <f>'12. VAC'!W53</f>
        <v>530612</v>
      </c>
      <c r="F127" s="3140" t="str">
        <f>'12. VAC'!X53</f>
        <v>0701</v>
      </c>
      <c r="G127" s="3140" t="str">
        <f>'12. VAC'!Y53</f>
        <v>001</v>
      </c>
      <c r="H127" s="8653">
        <f>'12. VAC'!Z53</f>
        <v>31385.72</v>
      </c>
      <c r="I127" s="917"/>
    </row>
    <row r="128" spans="1:10">
      <c r="A128" s="917"/>
      <c r="B128" s="4472" t="s">
        <v>44</v>
      </c>
      <c r="C128" s="2966">
        <f>'13. DA'!U128</f>
        <v>0</v>
      </c>
      <c r="D128" s="2966">
        <f>'13. DA'!V128</f>
        <v>0</v>
      </c>
      <c r="E128" s="3140">
        <f>'13. DA'!W128</f>
        <v>0</v>
      </c>
      <c r="F128" s="3140">
        <f>'13. DA'!X128</f>
        <v>0</v>
      </c>
      <c r="G128" s="3140">
        <f>'13. DA'!Y128</f>
        <v>0</v>
      </c>
      <c r="H128" s="8653">
        <f>'13. DA'!Z128</f>
        <v>0</v>
      </c>
      <c r="I128" s="917"/>
    </row>
    <row r="129" spans="1:10" ht="31.5">
      <c r="A129" s="917"/>
      <c r="B129" s="4472" t="s">
        <v>45</v>
      </c>
      <c r="C129" s="2966" t="str">
        <f>'14. DFP'!U138</f>
        <v>82 - Formación y gestión académica</v>
      </c>
      <c r="D129" s="2966" t="str">
        <f>'14. DFP'!V138</f>
        <v>Capacitación para la Ciudadanía en General</v>
      </c>
      <c r="E129" s="3140">
        <f>'14. DFP'!W138</f>
        <v>530613</v>
      </c>
      <c r="F129" s="3140" t="str">
        <f>'14. DFP'!X138</f>
        <v>0701</v>
      </c>
      <c r="G129" s="3140" t="str">
        <f>'14. DFP'!Y138</f>
        <v>001</v>
      </c>
      <c r="H129" s="8653">
        <f>'14. DFP'!Z138</f>
        <v>0</v>
      </c>
      <c r="I129" s="2018"/>
    </row>
    <row r="130" spans="1:10" ht="31.5">
      <c r="A130" s="917"/>
      <c r="B130" s="4472" t="s">
        <v>46</v>
      </c>
      <c r="C130" s="2966" t="str">
        <f>'15. DEC'!T81</f>
        <v>84 - Gestión de la vinculación con la colectividad</v>
      </c>
      <c r="D130" s="2966" t="str">
        <f>'15. DEC'!U81</f>
        <v>Honorarios por Contratos Civiles de Servicios</v>
      </c>
      <c r="E130" s="3140">
        <f>'15. DEC'!V81</f>
        <v>530606</v>
      </c>
      <c r="F130" s="3140" t="str">
        <f>'15. DEC'!W81</f>
        <v>0701</v>
      </c>
      <c r="G130" s="3140" t="str">
        <f>'15. DEC'!X81</f>
        <v>002</v>
      </c>
      <c r="H130" s="8653">
        <f>'15. DEC'!Y81</f>
        <v>18120</v>
      </c>
      <c r="I130" s="917"/>
    </row>
    <row r="131" spans="1:10" ht="31.5">
      <c r="A131" s="917"/>
      <c r="B131" s="4472" t="s">
        <v>46</v>
      </c>
      <c r="C131" s="2966" t="str">
        <f>'15. DEC'!T82</f>
        <v>84 - Gestión de la vinculación con la colectividad</v>
      </c>
      <c r="D131" s="2966" t="str">
        <f>'15. DEC'!U82</f>
        <v>Vestuario, Lencería, Prendas de Protección</v>
      </c>
      <c r="E131" s="3140">
        <f>'15. DEC'!V82</f>
        <v>530802</v>
      </c>
      <c r="F131" s="3140" t="str">
        <f>'15. DEC'!W82</f>
        <v>0701</v>
      </c>
      <c r="G131" s="3140" t="str">
        <f>'15. DEC'!X82</f>
        <v>002</v>
      </c>
      <c r="H131" s="8653">
        <f>'15. DEC'!Y82</f>
        <v>584.00160000000005</v>
      </c>
      <c r="I131" s="917"/>
    </row>
    <row r="132" spans="1:10" ht="31.5">
      <c r="A132" s="917"/>
      <c r="B132" s="4472" t="s">
        <v>46</v>
      </c>
      <c r="C132" s="2966" t="str">
        <f>'15. DEC'!T83</f>
        <v>84 - Gestión de la vinculación con la colectividad</v>
      </c>
      <c r="D132" s="2966" t="str">
        <f>'15. DEC'!U83</f>
        <v>Materiales de Impresión, Fotografía, Reproducción y Publicaciones</v>
      </c>
      <c r="E132" s="3140">
        <f>'15. DEC'!V83</f>
        <v>530807</v>
      </c>
      <c r="F132" s="3140" t="str">
        <f>'15. DEC'!W83</f>
        <v>0701</v>
      </c>
      <c r="G132" s="3140" t="str">
        <f>'15. DEC'!X83</f>
        <v>002</v>
      </c>
      <c r="H132" s="8653">
        <f>'15. DEC'!Y83</f>
        <v>143.77000000000001</v>
      </c>
      <c r="I132" s="917"/>
    </row>
    <row r="133" spans="1:10" ht="31.5">
      <c r="A133" s="917"/>
      <c r="B133" s="4472" t="s">
        <v>46</v>
      </c>
      <c r="C133" s="2966" t="str">
        <f>'15. DEC'!T84</f>
        <v>84 - Gestión de la vinculación con la colectividad</v>
      </c>
      <c r="D133" s="2966" t="str">
        <f>'15. DEC'!U84</f>
        <v>Equipos, Sistemas y Paquetes Informáticos</v>
      </c>
      <c r="E133" s="3140">
        <f>'15. DEC'!V84</f>
        <v>840107</v>
      </c>
      <c r="F133" s="3140" t="str">
        <f>'15. DEC'!W84</f>
        <v>0701</v>
      </c>
      <c r="G133" s="3140" t="str">
        <f>'15. DEC'!X84</f>
        <v>003</v>
      </c>
      <c r="H133" s="8653">
        <f>'15. DEC'!Y84</f>
        <v>4563</v>
      </c>
      <c r="I133" s="4458"/>
      <c r="J133" s="4460"/>
    </row>
    <row r="134" spans="1:10" ht="31.5">
      <c r="A134" s="917"/>
      <c r="B134" s="4472" t="s">
        <v>47</v>
      </c>
      <c r="C134" s="2966" t="str">
        <f>'17. DTIC'!U317</f>
        <v>01 - Administración central</v>
      </c>
      <c r="D134" s="2966" t="str">
        <f>'17. DTIC'!V317</f>
        <v>Garantía Extendida de Bienes</v>
      </c>
      <c r="E134" s="3140">
        <f>'17. DTIC'!W317</f>
        <v>530243</v>
      </c>
      <c r="F134" s="3140" t="str">
        <f>'17. DTIC'!X317</f>
        <v>0701</v>
      </c>
      <c r="G134" s="3140" t="str">
        <f>'17. DTIC'!Y317</f>
        <v>003</v>
      </c>
      <c r="H134" s="8653">
        <f>'17. DTIC'!Z317</f>
        <v>52000.000000000007</v>
      </c>
      <c r="I134" s="917"/>
    </row>
    <row r="135" spans="1:10" ht="31.5">
      <c r="A135" s="917"/>
      <c r="B135" s="4472" t="s">
        <v>47</v>
      </c>
      <c r="C135" s="2966" t="str">
        <f>'17. DTIC'!U318</f>
        <v>01 - Administración central</v>
      </c>
      <c r="D135" s="2966" t="str">
        <f>'17. DTIC'!V318</f>
        <v>Capacitación a Servidores Públicos</v>
      </c>
      <c r="E135" s="3140">
        <f>'17. DTIC'!W318</f>
        <v>530612</v>
      </c>
      <c r="F135" s="3140" t="str">
        <f>'17. DTIC'!X318</f>
        <v>0701</v>
      </c>
      <c r="G135" s="3140" t="str">
        <f>'17. DTIC'!Y318</f>
        <v>001</v>
      </c>
      <c r="H135" s="8653">
        <f>'17. DTIC'!Z318</f>
        <v>9870</v>
      </c>
      <c r="I135" s="917"/>
    </row>
    <row r="136" spans="1:10" ht="31.5">
      <c r="A136" s="917"/>
      <c r="B136" s="4472" t="s">
        <v>47</v>
      </c>
      <c r="C136" s="2966" t="str">
        <f>'17. DTIC'!U319</f>
        <v>01 - Administración central</v>
      </c>
      <c r="D136" s="2966" t="str">
        <f>'17. DTIC'!V319</f>
        <v xml:space="preserve">Materiales de Oficina </v>
      </c>
      <c r="E136" s="3140">
        <f>'17. DTIC'!W319</f>
        <v>530804</v>
      </c>
      <c r="F136" s="3140" t="str">
        <f>'17. DTIC'!X319</f>
        <v>0701</v>
      </c>
      <c r="G136" s="3140" t="str">
        <f>'17. DTIC'!Y319</f>
        <v>001</v>
      </c>
      <c r="H136" s="8653">
        <f>'17. DTIC'!Z319</f>
        <v>21.12</v>
      </c>
      <c r="I136" s="917"/>
    </row>
    <row r="137" spans="1:10" ht="63">
      <c r="A137" s="917"/>
      <c r="B137" s="4472" t="s">
        <v>47</v>
      </c>
      <c r="C137" s="2966" t="str">
        <f>'17. DTIC'!U320</f>
        <v>01 - Administración central</v>
      </c>
      <c r="D137" s="2966" t="str">
        <f>'17. DTIC'!V320</f>
        <v>Insumos, Materiales y Suministros para Construcción, Electricidad, Plomería, Carpintería, Señalización Vial, Navegación, Contra Incendios y Placas</v>
      </c>
      <c r="E137" s="3140">
        <f>'17. DTIC'!W320</f>
        <v>530811</v>
      </c>
      <c r="F137" s="3140" t="str">
        <f>'17. DTIC'!X320</f>
        <v>0701</v>
      </c>
      <c r="G137" s="3140" t="str">
        <f>'17. DTIC'!Y320</f>
        <v>001</v>
      </c>
      <c r="H137" s="8653">
        <f>'17. DTIC'!Z320</f>
        <v>599.99520000000007</v>
      </c>
      <c r="I137" s="917"/>
    </row>
    <row r="138" spans="1:10" ht="63">
      <c r="A138" s="917"/>
      <c r="B138" s="4472" t="s">
        <v>47</v>
      </c>
      <c r="C138" s="2966" t="str">
        <f>'17. DTIC'!U321</f>
        <v>01 - Administración central</v>
      </c>
      <c r="D138" s="2966" t="str">
        <f>'17. DTIC'!V321</f>
        <v>Insumos, Materiales y Suministros para Construcción, Electricidad, Plomería, Carpintería, Señalización Vial, Navegación, Contra Incendios y Placas</v>
      </c>
      <c r="E138" s="3140">
        <f>'17. DTIC'!W321</f>
        <v>530811</v>
      </c>
      <c r="F138" s="3140" t="str">
        <f>'17. DTIC'!X321</f>
        <v>0701</v>
      </c>
      <c r="G138" s="3140" t="str">
        <f>'17. DTIC'!Y321</f>
        <v>003</v>
      </c>
      <c r="H138" s="8653">
        <f>'17. DTIC'!Z321</f>
        <v>1120</v>
      </c>
      <c r="I138" s="917"/>
      <c r="J138" s="2027"/>
    </row>
    <row r="139" spans="1:10" ht="31.5">
      <c r="A139" s="917"/>
      <c r="B139" s="4472" t="s">
        <v>47</v>
      </c>
      <c r="C139" s="2966" t="str">
        <f>'17. DTIC'!U322</f>
        <v>01 - Administración central</v>
      </c>
      <c r="D139" s="2966" t="str">
        <f>'17. DTIC'!V322</f>
        <v>Repuestos y Accesorios</v>
      </c>
      <c r="E139" s="3140">
        <f>'17. DTIC'!W322</f>
        <v>530813</v>
      </c>
      <c r="F139" s="3140" t="str">
        <f>'17. DTIC'!X322</f>
        <v>0701</v>
      </c>
      <c r="G139" s="3140" t="str">
        <f>'17. DTIC'!Y322</f>
        <v>001</v>
      </c>
      <c r="H139" s="8653">
        <f>'17. DTIC'!Z322</f>
        <v>6249.77</v>
      </c>
      <c r="I139" s="917"/>
    </row>
    <row r="140" spans="1:10" ht="31.5">
      <c r="A140" s="917"/>
      <c r="B140" s="4472" t="s">
        <v>47</v>
      </c>
      <c r="C140" s="2966" t="str">
        <f>'17. DTIC'!U323</f>
        <v>01 - Administración central</v>
      </c>
      <c r="D140" s="2966" t="str">
        <f>'17. DTIC'!V323</f>
        <v>Equipos, Sistemas y Paquetes Informáticos</v>
      </c>
      <c r="E140" s="3140">
        <f>'17. DTIC'!W323</f>
        <v>531407</v>
      </c>
      <c r="F140" s="3140" t="str">
        <f>'17. DTIC'!X323</f>
        <v>0701</v>
      </c>
      <c r="G140" s="3140" t="str">
        <f>'17. DTIC'!Y323</f>
        <v>003</v>
      </c>
      <c r="H140" s="8653">
        <f>'17. DTIC'!Z323</f>
        <v>470.4004000000001</v>
      </c>
      <c r="I140" s="2017"/>
    </row>
    <row r="141" spans="1:10" ht="31.5">
      <c r="A141" s="917"/>
      <c r="B141" s="4472" t="s">
        <v>47</v>
      </c>
      <c r="C141" s="2966" t="str">
        <f>'17. DTIC'!U324</f>
        <v>01 - Administración central</v>
      </c>
      <c r="D141" s="2966" t="str">
        <f>'17. DTIC'!V324</f>
        <v>Mobiliario</v>
      </c>
      <c r="E141" s="3140">
        <f>'17. DTIC'!W324</f>
        <v>840103</v>
      </c>
      <c r="F141" s="3140" t="str">
        <f>'17. DTIC'!X324</f>
        <v>0701</v>
      </c>
      <c r="G141" s="3140" t="str">
        <f>'17. DTIC'!Y324</f>
        <v>003</v>
      </c>
      <c r="H141" s="8653">
        <f>'17. DTIC'!Z324</f>
        <v>1425.27</v>
      </c>
      <c r="I141" s="917"/>
    </row>
    <row r="142" spans="1:10" ht="31.5">
      <c r="A142" s="917"/>
      <c r="B142" s="4472" t="s">
        <v>47</v>
      </c>
      <c r="C142" s="2966" t="str">
        <f>'17. DTIC'!U325</f>
        <v>01 - Administración central</v>
      </c>
      <c r="D142" s="2966" t="str">
        <f>'17. DTIC'!V325</f>
        <v>Maquinarias y Equipos</v>
      </c>
      <c r="E142" s="3140">
        <f>'17. DTIC'!W325</f>
        <v>840104</v>
      </c>
      <c r="F142" s="3140" t="str">
        <f>'17. DTIC'!X325</f>
        <v>0701</v>
      </c>
      <c r="G142" s="3140" t="str">
        <f>'17. DTIC'!Y325</f>
        <v>002</v>
      </c>
      <c r="H142" s="8653">
        <f>'17. DTIC'!Z325</f>
        <v>2625</v>
      </c>
      <c r="I142" s="917"/>
    </row>
    <row r="143" spans="1:10" ht="31.5">
      <c r="A143" s="917"/>
      <c r="B143" s="4472" t="s">
        <v>47</v>
      </c>
      <c r="C143" s="2966" t="str">
        <f>'17. DTIC'!U326</f>
        <v>01 - Administración central</v>
      </c>
      <c r="D143" s="2966" t="str">
        <f>'17. DTIC'!V326</f>
        <v>Maquinarias y Equipos</v>
      </c>
      <c r="E143" s="3140">
        <f>'17. DTIC'!W326</f>
        <v>840104</v>
      </c>
      <c r="F143" s="3140" t="str">
        <f>'17. DTIC'!X326</f>
        <v>0701</v>
      </c>
      <c r="G143" s="3140" t="str">
        <f>'17. DTIC'!Y326</f>
        <v>003</v>
      </c>
      <c r="H143" s="8653">
        <f>'17. DTIC'!Z326</f>
        <v>53704.13440000001</v>
      </c>
      <c r="I143" s="917"/>
    </row>
    <row r="144" spans="1:10" ht="31.5">
      <c r="A144" s="917"/>
      <c r="B144" s="4472" t="s">
        <v>47</v>
      </c>
      <c r="C144" s="2966" t="str">
        <f>'17. DTIC'!U327</f>
        <v>01 - Administración central</v>
      </c>
      <c r="D144" s="2966" t="str">
        <f>'17. DTIC'!V327</f>
        <v>Equipos, Sistemas y Paquetes Informáticos</v>
      </c>
      <c r="E144" s="3140">
        <f>'17. DTIC'!W327</f>
        <v>840107</v>
      </c>
      <c r="F144" s="3140" t="str">
        <f>'17. DTIC'!X327</f>
        <v>0701</v>
      </c>
      <c r="G144" s="3140" t="str">
        <f>'17. DTIC'!Y327</f>
        <v>003</v>
      </c>
      <c r="H144" s="8653">
        <f>'17. DTIC'!Z327</f>
        <v>10313.89</v>
      </c>
      <c r="I144" s="917"/>
    </row>
    <row r="145" spans="1:10" ht="31.5">
      <c r="A145" s="917"/>
      <c r="B145" s="4472" t="s">
        <v>47</v>
      </c>
      <c r="C145" s="2966" t="str">
        <f>'17. DTIC'!U328</f>
        <v>82 - Formación y gestión académica</v>
      </c>
      <c r="D145" s="2966" t="str">
        <f>'17. DTIC'!V328</f>
        <v>Mantenimiento y Reparación de Equipos y Sistemas Informáticos</v>
      </c>
      <c r="E145" s="3140">
        <f>'17. DTIC'!W328</f>
        <v>530704</v>
      </c>
      <c r="F145" s="3140" t="str">
        <f>'17. DTIC'!X328</f>
        <v>0701</v>
      </c>
      <c r="G145" s="3140" t="str">
        <f>'17. DTIC'!Y328</f>
        <v>001</v>
      </c>
      <c r="H145" s="8653">
        <f>'17. DTIC'!Z328</f>
        <v>10957.1008</v>
      </c>
      <c r="I145" s="917"/>
    </row>
    <row r="146" spans="1:10" ht="31.5">
      <c r="A146" s="917"/>
      <c r="B146" s="4472" t="s">
        <v>47</v>
      </c>
      <c r="C146" s="2966" t="str">
        <f>'17. DTIC'!U329</f>
        <v>82 - Formación y gestión académica</v>
      </c>
      <c r="D146" s="2966" t="str">
        <f>'17. DTIC'!V329</f>
        <v>Maquinarias y Equipos</v>
      </c>
      <c r="E146" s="3140">
        <f>'17. DTIC'!W329</f>
        <v>840104</v>
      </c>
      <c r="F146" s="3140" t="str">
        <f>'17. DTIC'!X329</f>
        <v>0701</v>
      </c>
      <c r="G146" s="3140" t="str">
        <f>'17. DTIC'!Y329</f>
        <v>003</v>
      </c>
      <c r="H146" s="8653">
        <f>'17. DTIC'!Z329</f>
        <v>0</v>
      </c>
      <c r="I146" s="917"/>
    </row>
    <row r="147" spans="1:10" ht="31.5">
      <c r="A147" s="917"/>
      <c r="B147" s="4472" t="s">
        <v>47</v>
      </c>
      <c r="C147" s="2966" t="str">
        <f>'17. DTIC'!U330</f>
        <v>83 - Gestión de la investigación</v>
      </c>
      <c r="D147" s="2966" t="str">
        <f>'17. DTIC'!V330</f>
        <v>Telecomunicaciones</v>
      </c>
      <c r="E147" s="3140">
        <f>'17. DTIC'!W330</f>
        <v>530105</v>
      </c>
      <c r="F147" s="3140" t="str">
        <f>'17. DTIC'!X330</f>
        <v>0701</v>
      </c>
      <c r="G147" s="3140" t="str">
        <f>'17. DTIC'!Y330</f>
        <v>001</v>
      </c>
      <c r="H147" s="8653">
        <f>'17. DTIC'!Z330</f>
        <v>283018.39079999994</v>
      </c>
      <c r="I147" s="917"/>
    </row>
    <row r="148" spans="1:10" ht="31.5">
      <c r="A148" s="917"/>
      <c r="B148" s="4472" t="s">
        <v>47</v>
      </c>
      <c r="C148" s="2966" t="str">
        <f>'17. DTIC'!U331</f>
        <v>83 - Gestión de la investigación</v>
      </c>
      <c r="D148" s="2966" t="str">
        <f>'17. DTIC'!V331</f>
        <v>Garantía Extendida de Bienes</v>
      </c>
      <c r="E148" s="3140">
        <f>'17. DTIC'!W331</f>
        <v>530243</v>
      </c>
      <c r="F148" s="3140" t="str">
        <f>'17. DTIC'!X331</f>
        <v>0701</v>
      </c>
      <c r="G148" s="3140" t="str">
        <f>'17. DTIC'!Y331</f>
        <v>001</v>
      </c>
      <c r="H148" s="8653">
        <f>'17. DTIC'!Z331</f>
        <v>25066.04</v>
      </c>
      <c r="I148" s="2019"/>
    </row>
    <row r="149" spans="1:10" ht="31.5">
      <c r="A149" s="917"/>
      <c r="B149" s="4472" t="s">
        <v>47</v>
      </c>
      <c r="C149" s="2966" t="str">
        <f>'17. DTIC'!U332</f>
        <v>83 - Gestión de la investigación</v>
      </c>
      <c r="D149" s="2966" t="str">
        <f>'17. DTIC'!V332</f>
        <v>Garantía Extendida de Bienes</v>
      </c>
      <c r="E149" s="3140">
        <f>'17. DTIC'!W332</f>
        <v>530243</v>
      </c>
      <c r="F149" s="3140" t="str">
        <f>'17. DTIC'!X332</f>
        <v>0701</v>
      </c>
      <c r="G149" s="3140" t="str">
        <f>'17. DTIC'!Y332</f>
        <v>998</v>
      </c>
      <c r="H149" s="8653">
        <f>'17. DTIC'!Z332</f>
        <v>25066.04</v>
      </c>
      <c r="I149" s="2019"/>
    </row>
    <row r="150" spans="1:10" ht="31.5">
      <c r="A150" s="917"/>
      <c r="B150" s="4472" t="s">
        <v>47</v>
      </c>
      <c r="C150" s="2966" t="str">
        <f>'17. DTIC'!U333</f>
        <v>83 - Gestión de la investigación</v>
      </c>
      <c r="D150" s="2966" t="str">
        <f>'17. DTIC'!V333</f>
        <v>Arrendamiento y Licencias de Uso de Paquetes Informáticos</v>
      </c>
      <c r="E150" s="3140">
        <f>'17. DTIC'!W333</f>
        <v>530702</v>
      </c>
      <c r="F150" s="3140" t="str">
        <f>'17. DTIC'!X333</f>
        <v>0701</v>
      </c>
      <c r="G150" s="3140" t="str">
        <f>'17. DTIC'!Y333</f>
        <v>001</v>
      </c>
      <c r="H150" s="8653">
        <f>'17. DTIC'!Z333</f>
        <v>2647.02</v>
      </c>
      <c r="I150" s="2019"/>
    </row>
    <row r="151" spans="1:10" ht="31.5">
      <c r="A151" s="917"/>
      <c r="B151" s="4472" t="s">
        <v>47</v>
      </c>
      <c r="C151" s="2966" t="str">
        <f>'17. DTIC'!U334</f>
        <v>83 - Gestión de la investigación</v>
      </c>
      <c r="D151" s="2966" t="str">
        <f>'17. DTIC'!V334</f>
        <v>Arrendamiento y Licencias de Uso de Paquetes Informáticos</v>
      </c>
      <c r="E151" s="3140">
        <f>'17. DTIC'!W334</f>
        <v>530702</v>
      </c>
      <c r="F151" s="3140" t="str">
        <f>'17. DTIC'!X334</f>
        <v>0701</v>
      </c>
      <c r="G151" s="3140" t="str">
        <f>'17. DTIC'!Y334</f>
        <v>002</v>
      </c>
      <c r="H151" s="8653">
        <f>'17. DTIC'!Z334</f>
        <v>30472.6</v>
      </c>
      <c r="I151" s="2020"/>
    </row>
    <row r="152" spans="1:10" ht="31.5">
      <c r="A152" s="917"/>
      <c r="B152" s="4472" t="s">
        <v>47</v>
      </c>
      <c r="C152" s="2966" t="str">
        <f>'17. DTIC'!U335</f>
        <v>83 - Gestión de la investigación</v>
      </c>
      <c r="D152" s="2966" t="str">
        <f>'17. DTIC'!V335</f>
        <v>Equipos, Sistemas y Paquetes Informáticos</v>
      </c>
      <c r="E152" s="3140">
        <f>'17. DTIC'!W335</f>
        <v>531407</v>
      </c>
      <c r="F152" s="3140" t="str">
        <f>'17. DTIC'!X335</f>
        <v>0701</v>
      </c>
      <c r="G152" s="3140" t="str">
        <f>'17. DTIC'!Y335</f>
        <v>001</v>
      </c>
      <c r="H152" s="8653">
        <f>'17. DTIC'!Z335</f>
        <v>714.24</v>
      </c>
      <c r="I152" s="2020"/>
    </row>
    <row r="153" spans="1:10" ht="31.5">
      <c r="A153" s="917"/>
      <c r="B153" s="4472" t="s">
        <v>47</v>
      </c>
      <c r="C153" s="2966" t="str">
        <f>'17. DTIC'!U336</f>
        <v>83 - Gestión de la investigación</v>
      </c>
      <c r="D153" s="2966" t="str">
        <f>'17. DTIC'!V336</f>
        <v>Equipos, Sistemas y Paquetes Informáticos</v>
      </c>
      <c r="E153" s="3140">
        <f>'17. DTIC'!W336</f>
        <v>531407</v>
      </c>
      <c r="F153" s="3140" t="str">
        <f>'17. DTIC'!X336</f>
        <v>0701</v>
      </c>
      <c r="G153" s="3140" t="str">
        <f>'17. DTIC'!Y336</f>
        <v>002</v>
      </c>
      <c r="H153" s="8653">
        <f>'17. DTIC'!Z336</f>
        <v>1662.5</v>
      </c>
      <c r="I153" s="2020"/>
    </row>
    <row r="154" spans="1:10" ht="31.5">
      <c r="A154" s="917"/>
      <c r="B154" s="4472" t="s">
        <v>47</v>
      </c>
      <c r="C154" s="2966" t="str">
        <f>'17. DTIC'!U337</f>
        <v>83 - Gestión de la investigación</v>
      </c>
      <c r="D154" s="2966" t="str">
        <f>'17. DTIC'!V337</f>
        <v>Arrendamiento y Licencias de uso de paquetes informáticos</v>
      </c>
      <c r="E154" s="3140" t="str">
        <f>'17. DTIC'!W337</f>
        <v>002 730703</v>
      </c>
      <c r="F154" s="3140" t="str">
        <f>'17. DTIC'!X337</f>
        <v>0701</v>
      </c>
      <c r="G154" s="3140" t="str">
        <f>'17. DTIC'!Y337</f>
        <v>202</v>
      </c>
      <c r="H154" s="8653">
        <f>'17. DTIC'!Z337</f>
        <v>547122.17400000012</v>
      </c>
      <c r="I154" s="2020"/>
    </row>
    <row r="155" spans="1:10" ht="31.5">
      <c r="A155" s="917"/>
      <c r="B155" s="4472" t="s">
        <v>47</v>
      </c>
      <c r="C155" s="2966" t="str">
        <f>'17. DTIC'!U338</f>
        <v>83 - Gestión de la investigación</v>
      </c>
      <c r="D155" s="2966" t="str">
        <f>'17. DTIC'!V338</f>
        <v>Maquinarias y Equipos</v>
      </c>
      <c r="E155" s="3140">
        <f>'17. DTIC'!W338</f>
        <v>840104</v>
      </c>
      <c r="F155" s="3140" t="str">
        <f>'17. DTIC'!X338</f>
        <v>0701</v>
      </c>
      <c r="G155" s="3140" t="str">
        <f>'17. DTIC'!Y338</f>
        <v>001</v>
      </c>
      <c r="H155" s="8654">
        <f>'17. DTIC'!Z338</f>
        <v>14192.2528</v>
      </c>
      <c r="I155" s="2020"/>
    </row>
    <row r="156" spans="1:10" ht="31.5">
      <c r="A156" s="917"/>
      <c r="B156" s="4472" t="s">
        <v>47</v>
      </c>
      <c r="C156" s="2966" t="str">
        <f>'17. DTIC'!U339</f>
        <v>83 - Gestión de la investigación</v>
      </c>
      <c r="D156" s="2966" t="str">
        <f>'17. DTIC'!V339</f>
        <v>Maquinarias y Equipos</v>
      </c>
      <c r="E156" s="3140">
        <f>'17. DTIC'!W339</f>
        <v>840104</v>
      </c>
      <c r="F156" s="3140" t="str">
        <f>'17. DTIC'!X339</f>
        <v>0701</v>
      </c>
      <c r="G156" s="3140" t="str">
        <f>'17. DTIC'!Y339</f>
        <v>002</v>
      </c>
      <c r="H156" s="8653">
        <f>'17. DTIC'!Z339</f>
        <v>9325.25</v>
      </c>
      <c r="I156" s="2020"/>
    </row>
    <row r="157" spans="1:10" ht="31.5">
      <c r="A157" s="917"/>
      <c r="B157" s="4472" t="s">
        <v>47</v>
      </c>
      <c r="C157" s="2966" t="str">
        <f>'17. DTIC'!U340</f>
        <v>83 - Gestión de la investigación</v>
      </c>
      <c r="D157" s="2966" t="str">
        <f>'17. DTIC'!V340</f>
        <v>Maquinarias y Equipos</v>
      </c>
      <c r="E157" s="3140">
        <f>'17. DTIC'!W340</f>
        <v>840104</v>
      </c>
      <c r="F157" s="3140" t="str">
        <f>'17. DTIC'!X340</f>
        <v>0701</v>
      </c>
      <c r="G157" s="3140" t="str">
        <f>'17. DTIC'!Y340</f>
        <v>998</v>
      </c>
      <c r="H157" s="8653">
        <f>'17. DTIC'!Z340</f>
        <v>24677.5</v>
      </c>
      <c r="I157" s="2020"/>
    </row>
    <row r="158" spans="1:10" ht="31.5">
      <c r="A158" s="917"/>
      <c r="B158" s="4472" t="s">
        <v>47</v>
      </c>
      <c r="C158" s="2966" t="str">
        <f>'17. DTIC'!U341</f>
        <v>83 - Gestión de la investigación</v>
      </c>
      <c r="D158" s="2966" t="str">
        <f>'17. DTIC'!V341</f>
        <v>Equipos, Sistemas y Paquetes Informáticos</v>
      </c>
      <c r="E158" s="3140">
        <f>'17. DTIC'!W341</f>
        <v>840107</v>
      </c>
      <c r="F158" s="3140" t="str">
        <f>'17. DTIC'!X341</f>
        <v>0701</v>
      </c>
      <c r="G158" s="3140" t="str">
        <f>'17. DTIC'!Y341</f>
        <v>001</v>
      </c>
      <c r="H158" s="8653">
        <f>'17. DTIC'!Z341</f>
        <v>5252.7014400000007</v>
      </c>
      <c r="I158" s="2960"/>
      <c r="J158" s="2027"/>
    </row>
    <row r="159" spans="1:10" ht="31.5">
      <c r="A159" s="917"/>
      <c r="B159" s="4472" t="s">
        <v>47</v>
      </c>
      <c r="C159" s="2966" t="str">
        <f>'17. DTIC'!U342</f>
        <v>83 - Gestión de la investigación</v>
      </c>
      <c r="D159" s="2966" t="str">
        <f>'17. DTIC'!V342</f>
        <v>Equipos, Sistemas y Paquetes Informáticos</v>
      </c>
      <c r="E159" s="3140">
        <f>'17. DTIC'!W342</f>
        <v>840107</v>
      </c>
      <c r="F159" s="3140" t="str">
        <f>'17. DTIC'!X342</f>
        <v>0701</v>
      </c>
      <c r="G159" s="3140" t="str">
        <f>'17. DTIC'!Y342</f>
        <v>002</v>
      </c>
      <c r="H159" s="8653">
        <f>'17. DTIC'!Z342</f>
        <v>105759.00000000001</v>
      </c>
      <c r="I159" s="2960"/>
      <c r="J159" s="2027"/>
    </row>
    <row r="160" spans="1:10" ht="31.5">
      <c r="A160" s="917"/>
      <c r="B160" s="4472" t="s">
        <v>47</v>
      </c>
      <c r="C160" s="2966" t="str">
        <f>'17. DTIC'!U343</f>
        <v>83 - Gestión de la investigación</v>
      </c>
      <c r="D160" s="2966" t="str">
        <f>'17. DTIC'!V343</f>
        <v>Equipos, Sistemas y Paquetes Informáticos</v>
      </c>
      <c r="E160" s="3140">
        <f>'17. DTIC'!W343</f>
        <v>840107</v>
      </c>
      <c r="F160" s="3140" t="str">
        <f>'17. DTIC'!X343</f>
        <v>0701</v>
      </c>
      <c r="G160" s="3140" t="str">
        <f>'17. DTIC'!Y343</f>
        <v>003</v>
      </c>
      <c r="H160" s="8653">
        <f>'17. DTIC'!Z343</f>
        <v>153044.40240000002</v>
      </c>
      <c r="I160" s="917"/>
    </row>
    <row r="161" spans="1:9" ht="31.5">
      <c r="A161" s="917"/>
      <c r="B161" s="4472" t="s">
        <v>47</v>
      </c>
      <c r="C161" s="2966" t="str">
        <f>'17. DTIC'!U344</f>
        <v>83 - Gestión de la investigación</v>
      </c>
      <c r="D161" s="2966" t="str">
        <f>'17. DTIC'!V344</f>
        <v>Equipos, Sistemas y Paquetes Informáticos</v>
      </c>
      <c r="E161" s="3140" t="str">
        <f>'17. DTIC'!W344</f>
        <v>002 840107</v>
      </c>
      <c r="F161" s="3140" t="str">
        <f>'17. DTIC'!X344</f>
        <v>0701</v>
      </c>
      <c r="G161" s="3140" t="str">
        <f>'17. DTIC'!Y344</f>
        <v>202</v>
      </c>
      <c r="H161" s="8653">
        <f>'17. DTIC'!Z344</f>
        <v>110690</v>
      </c>
      <c r="I161" s="917"/>
    </row>
    <row r="162" spans="1:9" ht="31.5">
      <c r="A162" s="917"/>
      <c r="B162" s="4472" t="s">
        <v>47</v>
      </c>
      <c r="C162" s="2966" t="str">
        <f>'17. DTIC'!U345</f>
        <v>83 - Gestión de la investigación</v>
      </c>
      <c r="D162" s="2966" t="str">
        <f>'17. DTIC'!V345</f>
        <v>Equipos, Sistemas y Paquetes Informáticos</v>
      </c>
      <c r="E162" s="3140" t="str">
        <f>'17. DTIC'!W345</f>
        <v>002 840107</v>
      </c>
      <c r="F162" s="3140" t="str">
        <f>'17. DTIC'!X345</f>
        <v>0701</v>
      </c>
      <c r="G162" s="3140" t="str">
        <f>'17. DTIC'!Y345</f>
        <v>998</v>
      </c>
      <c r="H162" s="8653">
        <f>'17. DTIC'!Z345</f>
        <v>110690</v>
      </c>
      <c r="I162" s="917"/>
    </row>
    <row r="163" spans="1:9" ht="31.5">
      <c r="A163" s="917"/>
      <c r="B163" s="4472" t="s">
        <v>47</v>
      </c>
      <c r="C163" s="2966" t="str">
        <f>'17. DTIC'!U346</f>
        <v>84 - Gestión de la vinculación con la colectividad</v>
      </c>
      <c r="D163" s="2966" t="str">
        <f>'17. DTIC'!V346</f>
        <v>Maquinarias y Equipos</v>
      </c>
      <c r="E163" s="3140">
        <f>'17. DTIC'!W346</f>
        <v>840104</v>
      </c>
      <c r="F163" s="3140" t="str">
        <f>'17. DTIC'!X346</f>
        <v>0701</v>
      </c>
      <c r="G163" s="3140" t="str">
        <f>'17. DTIC'!Y346</f>
        <v>003</v>
      </c>
      <c r="H163" s="8653">
        <f>'17. DTIC'!Z346</f>
        <v>17858.600000000002</v>
      </c>
      <c r="I163" s="917"/>
    </row>
    <row r="164" spans="1:9" ht="16.5">
      <c r="A164" s="917"/>
      <c r="B164" s="4472" t="s">
        <v>48</v>
      </c>
      <c r="C164" s="2966" t="str">
        <f>'18. DTH'!U405</f>
        <v>01 - Administración central</v>
      </c>
      <c r="D164" s="2966" t="str">
        <f>'18. DTH'!V405</f>
        <v>Remuneraciones Unificadas</v>
      </c>
      <c r="E164" s="3140" t="str">
        <f>'18. DTH'!W405</f>
        <v>510105</v>
      </c>
      <c r="F164" s="3140" t="str">
        <f>'18. DTH'!X405</f>
        <v>0700</v>
      </c>
      <c r="G164" s="3140" t="str">
        <f>'18. DTH'!Y405</f>
        <v>003</v>
      </c>
      <c r="H164" s="8653">
        <f>'18. DTH'!Z405</f>
        <v>3549942.24</v>
      </c>
      <c r="I164" s="2017"/>
    </row>
    <row r="165" spans="1:9">
      <c r="A165" s="917"/>
      <c r="B165" s="4472" t="s">
        <v>48</v>
      </c>
      <c r="C165" s="2966" t="str">
        <f>'18. DTH'!U406</f>
        <v>01 - Administración central</v>
      </c>
      <c r="D165" s="2966" t="str">
        <f>'18. DTH'!V406</f>
        <v>Salarios Unificados</v>
      </c>
      <c r="E165" s="3140" t="str">
        <f>'18. DTH'!W406</f>
        <v>510106</v>
      </c>
      <c r="F165" s="3140" t="str">
        <f>'18. DTH'!X406</f>
        <v>0700</v>
      </c>
      <c r="G165" s="3140" t="str">
        <f>'18. DTH'!Y406</f>
        <v>003</v>
      </c>
      <c r="H165" s="8653">
        <f>'18. DTH'!Z406</f>
        <v>929212.08</v>
      </c>
      <c r="I165" s="917"/>
    </row>
    <row r="166" spans="1:9" ht="47.25">
      <c r="A166" s="917"/>
      <c r="B166" s="4472" t="s">
        <v>48</v>
      </c>
      <c r="C166" s="2966" t="str">
        <f>'18. DTH'!U407</f>
        <v>01 - Administración central</v>
      </c>
      <c r="D166" s="2966" t="str">
        <f>'18. DTH'!V407</f>
        <v>Remuneración Mensual Unificada de Docentes del Magisterio y Docentes e Investigadores Universitarios</v>
      </c>
      <c r="E166" s="3140" t="str">
        <f>'18. DTH'!W407</f>
        <v>510108</v>
      </c>
      <c r="F166" s="3140" t="str">
        <f>'18. DTH'!X407</f>
        <v>0700</v>
      </c>
      <c r="G166" s="3140" t="str">
        <f>'18. DTH'!Y407</f>
        <v>003</v>
      </c>
      <c r="H166" s="8653">
        <f>'18. DTH'!Z407</f>
        <v>828059.49</v>
      </c>
      <c r="I166" s="917"/>
    </row>
    <row r="167" spans="1:9">
      <c r="A167" s="917"/>
      <c r="B167" s="4472" t="s">
        <v>48</v>
      </c>
      <c r="C167" s="2966" t="str">
        <f>'18. DTH'!U408</f>
        <v>01 - Administración central</v>
      </c>
      <c r="D167" s="2966" t="str">
        <f>'18. DTH'!V408</f>
        <v>Décimo Tercer Sueldo</v>
      </c>
      <c r="E167" s="3140" t="str">
        <f>'18. DTH'!W408</f>
        <v>510203</v>
      </c>
      <c r="F167" s="3140" t="str">
        <f>'18. DTH'!X408</f>
        <v>0700</v>
      </c>
      <c r="G167" s="3140" t="str">
        <f>'18. DTH'!Y408</f>
        <v>003</v>
      </c>
      <c r="H167" s="8653">
        <f>'18. DTH'!Z408</f>
        <v>514670.12</v>
      </c>
      <c r="I167" s="917"/>
    </row>
    <row r="168" spans="1:9">
      <c r="A168" s="917"/>
      <c r="B168" s="4472" t="s">
        <v>48</v>
      </c>
      <c r="C168" s="2966" t="str">
        <f>'18. DTH'!U409</f>
        <v>01 - Administración central</v>
      </c>
      <c r="D168" s="2966" t="str">
        <f>'18. DTH'!V409</f>
        <v>Décimo Cuarto Sueldo</v>
      </c>
      <c r="E168" s="3140" t="str">
        <f>'18. DTH'!W409</f>
        <v>510204</v>
      </c>
      <c r="F168" s="3140" t="str">
        <f>'18. DTH'!X409</f>
        <v>0700</v>
      </c>
      <c r="G168" s="3140" t="str">
        <f>'18. DTH'!Y409</f>
        <v>003</v>
      </c>
      <c r="H168" s="8653">
        <f>'18. DTH'!Z409</f>
        <v>181875.81</v>
      </c>
      <c r="I168" s="917"/>
    </row>
    <row r="169" spans="1:9">
      <c r="A169" s="917"/>
      <c r="B169" s="4472" t="s">
        <v>48</v>
      </c>
      <c r="C169" s="2966" t="str">
        <f>'18. DTH'!U410</f>
        <v>01 - Administración central</v>
      </c>
      <c r="D169" s="2966" t="str">
        <f>'18. DTH'!V410</f>
        <v>Compensación por Transporte</v>
      </c>
      <c r="E169" s="3140" t="str">
        <f>'18. DTH'!W410</f>
        <v>510304</v>
      </c>
      <c r="F169" s="3140" t="str">
        <f>'18. DTH'!X410</f>
        <v>0700</v>
      </c>
      <c r="G169" s="3140" t="str">
        <f>'18. DTH'!Y410</f>
        <v>003</v>
      </c>
      <c r="H169" s="8653">
        <f>'18. DTH'!Z410</f>
        <v>15000</v>
      </c>
      <c r="I169" s="917"/>
    </row>
    <row r="170" spans="1:9">
      <c r="A170" s="917"/>
      <c r="B170" s="4472" t="s">
        <v>48</v>
      </c>
      <c r="C170" s="2966" t="str">
        <f>'18. DTH'!U411</f>
        <v>01 - Administración central</v>
      </c>
      <c r="D170" s="2966" t="str">
        <f>'18. DTH'!V411</f>
        <v>Alimentación</v>
      </c>
      <c r="E170" s="3140" t="str">
        <f>'18. DTH'!W411</f>
        <v>510306</v>
      </c>
      <c r="F170" s="3140" t="str">
        <f>'18. DTH'!X411</f>
        <v>0700</v>
      </c>
      <c r="G170" s="3140" t="str">
        <f>'18. DTH'!Y411</f>
        <v>003</v>
      </c>
      <c r="H170" s="8653">
        <f>'18. DTH'!Z411</f>
        <v>95000</v>
      </c>
      <c r="I170" s="917"/>
    </row>
    <row r="171" spans="1:9">
      <c r="A171" s="917"/>
      <c r="B171" s="4472" t="s">
        <v>48</v>
      </c>
      <c r="C171" s="2966" t="str">
        <f>'18. DTH'!U412</f>
        <v>01 - Administración central</v>
      </c>
      <c r="D171" s="2966" t="str">
        <f>'18. DTH'!V412</f>
        <v>Por Cargas Familiares</v>
      </c>
      <c r="E171" s="3140" t="str">
        <f>'18. DTH'!W412</f>
        <v>510401</v>
      </c>
      <c r="F171" s="3140" t="str">
        <f>'18. DTH'!X412</f>
        <v>0700</v>
      </c>
      <c r="G171" s="3140" t="str">
        <f>'18. DTH'!Y412</f>
        <v>003</v>
      </c>
      <c r="H171" s="8653">
        <f>'18. DTH'!Z412</f>
        <v>5000</v>
      </c>
      <c r="I171" s="917"/>
    </row>
    <row r="172" spans="1:9">
      <c r="A172" s="917"/>
      <c r="B172" s="4472" t="s">
        <v>48</v>
      </c>
      <c r="C172" s="2966" t="str">
        <f>'18. DTH'!U413</f>
        <v>01 - Administración central</v>
      </c>
      <c r="D172" s="2966" t="str">
        <f>'18. DTH'!V413</f>
        <v>Subsidios por Antigüedad</v>
      </c>
      <c r="E172" s="3140" t="str">
        <f>'18. DTH'!W413</f>
        <v>510408</v>
      </c>
      <c r="F172" s="3140" t="str">
        <f>'18. DTH'!X413</f>
        <v>0700</v>
      </c>
      <c r="G172" s="3140" t="str">
        <f>'18. DTH'!Y413</f>
        <v>003</v>
      </c>
      <c r="H172" s="8653">
        <f>'18. DTH'!Z413</f>
        <v>24000</v>
      </c>
      <c r="I172" s="917"/>
    </row>
    <row r="173" spans="1:9">
      <c r="A173" s="917"/>
      <c r="B173" s="4472" t="s">
        <v>48</v>
      </c>
      <c r="C173" s="2966" t="str">
        <f>'18. DTH'!U414</f>
        <v>01 - Administración central</v>
      </c>
      <c r="D173" s="2966" t="str">
        <f>'18. DTH'!V414</f>
        <v>Horas Extras Ordinarias y Suplementarias</v>
      </c>
      <c r="E173" s="3140" t="str">
        <f>'18. DTH'!W414</f>
        <v>510509</v>
      </c>
      <c r="F173" s="3140" t="str">
        <f>'18. DTH'!X414</f>
        <v>0700</v>
      </c>
      <c r="G173" s="3140" t="str">
        <f>'18. DTH'!Y414</f>
        <v>003</v>
      </c>
      <c r="H173" s="8653">
        <f>'18. DTH'!Z414</f>
        <v>31000</v>
      </c>
      <c r="I173" s="917"/>
    </row>
    <row r="174" spans="1:9">
      <c r="A174" s="917"/>
      <c r="B174" s="4472" t="s">
        <v>48</v>
      </c>
      <c r="C174" s="2966" t="str">
        <f>'18. DTH'!U415</f>
        <v>01 - Administración central</v>
      </c>
      <c r="D174" s="2966" t="str">
        <f>'18. DTH'!V415</f>
        <v>Servicios Personales por Contrato</v>
      </c>
      <c r="E174" s="3140" t="str">
        <f>'18. DTH'!W415</f>
        <v>510510</v>
      </c>
      <c r="F174" s="3140" t="str">
        <f>'18. DTH'!X415</f>
        <v>0700</v>
      </c>
      <c r="G174" s="3140" t="str">
        <f>'18. DTH'!Y415</f>
        <v>003</v>
      </c>
      <c r="H174" s="8653">
        <f>'18. DTH'!Z415</f>
        <v>665424</v>
      </c>
      <c r="I174" s="917"/>
    </row>
    <row r="175" spans="1:9">
      <c r="A175" s="917"/>
      <c r="B175" s="4472" t="s">
        <v>48</v>
      </c>
      <c r="C175" s="2966" t="str">
        <f>'18. DTH'!U416</f>
        <v>01 - Administración central</v>
      </c>
      <c r="D175" s="2966" t="str">
        <f>'18. DTH'!V416</f>
        <v>Subrogación</v>
      </c>
      <c r="E175" s="3140" t="str">
        <f>'18. DTH'!W416</f>
        <v>510512</v>
      </c>
      <c r="F175" s="3140" t="str">
        <f>'18. DTH'!X416</f>
        <v>0700</v>
      </c>
      <c r="G175" s="3140" t="str">
        <f>'18. DTH'!Y416</f>
        <v>003</v>
      </c>
      <c r="H175" s="8653">
        <f>'18. DTH'!Z416</f>
        <v>15000</v>
      </c>
      <c r="I175" s="917"/>
    </row>
    <row r="176" spans="1:9">
      <c r="A176" s="917"/>
      <c r="B176" s="4472" t="s">
        <v>48</v>
      </c>
      <c r="C176" s="2966" t="str">
        <f>'18. DTH'!U417</f>
        <v>01 - Administración central</v>
      </c>
      <c r="D176" s="2966" t="str">
        <f>'18. DTH'!V417</f>
        <v>Encargos</v>
      </c>
      <c r="E176" s="3140" t="str">
        <f>'18. DTH'!W417</f>
        <v>510513</v>
      </c>
      <c r="F176" s="3140" t="str">
        <f>'18. DTH'!X417</f>
        <v>0700</v>
      </c>
      <c r="G176" s="3140" t="str">
        <f>'18. DTH'!Y417</f>
        <v>003</v>
      </c>
      <c r="H176" s="8653">
        <f>'18. DTH'!Z417</f>
        <v>4804</v>
      </c>
      <c r="I176" s="917"/>
    </row>
    <row r="177" spans="1:9">
      <c r="A177" s="917"/>
      <c r="B177" s="4472" t="s">
        <v>48</v>
      </c>
      <c r="C177" s="2966" t="str">
        <f>'18. DTH'!U418</f>
        <v>01 - Administración central</v>
      </c>
      <c r="D177" s="2966" t="str">
        <f>'18. DTH'!V418</f>
        <v>Aporte Patronal</v>
      </c>
      <c r="E177" s="3140" t="str">
        <f>'18. DTH'!W418</f>
        <v>510601</v>
      </c>
      <c r="F177" s="3140" t="str">
        <f>'18. DTH'!X418</f>
        <v>0700</v>
      </c>
      <c r="G177" s="3140" t="str">
        <f>'18. DTH'!Y418</f>
        <v>003</v>
      </c>
      <c r="H177" s="8653">
        <f>'18. DTH'!Z418</f>
        <v>604823.06999999995</v>
      </c>
      <c r="I177" s="917"/>
    </row>
    <row r="178" spans="1:9">
      <c r="A178" s="917"/>
      <c r="B178" s="4472" t="s">
        <v>48</v>
      </c>
      <c r="C178" s="2966" t="str">
        <f>'18. DTH'!U419</f>
        <v>01 - Administración central</v>
      </c>
      <c r="D178" s="2966" t="str">
        <f>'18. DTH'!V419</f>
        <v>Fondo de Reserva</v>
      </c>
      <c r="E178" s="3140" t="str">
        <f>'18. DTH'!W419</f>
        <v>510602</v>
      </c>
      <c r="F178" s="3140" t="str">
        <f>'18. DTH'!X419</f>
        <v>0700</v>
      </c>
      <c r="G178" s="3140" t="str">
        <f>'18. DTH'!Y419</f>
        <v>003</v>
      </c>
      <c r="H178" s="8653">
        <f>'18. DTH'!Z419</f>
        <v>492782.5</v>
      </c>
      <c r="I178" s="917"/>
    </row>
    <row r="179" spans="1:9">
      <c r="A179" s="917"/>
      <c r="B179" s="4472" t="s">
        <v>48</v>
      </c>
      <c r="C179" s="2966" t="str">
        <f>'18. DTH'!U420</f>
        <v>01 - Administración central</v>
      </c>
      <c r="D179" s="2966" t="str">
        <f>'18. DTH'!V420</f>
        <v>Compensación por Desahucio</v>
      </c>
      <c r="E179" s="3140" t="str">
        <f>'18. DTH'!W420</f>
        <v>510704</v>
      </c>
      <c r="F179" s="3140" t="str">
        <f>'18. DTH'!X420</f>
        <v>0700</v>
      </c>
      <c r="G179" s="3140" t="str">
        <f>'18. DTH'!Y420</f>
        <v>003</v>
      </c>
      <c r="H179" s="8653">
        <f>'18. DTH'!Z420</f>
        <v>5750.25</v>
      </c>
      <c r="I179" s="917"/>
    </row>
    <row r="180" spans="1:9">
      <c r="A180" s="917"/>
      <c r="B180" s="4472" t="s">
        <v>48</v>
      </c>
      <c r="C180" s="2966" t="str">
        <f>'18. DTH'!U421</f>
        <v>01 - Administración central</v>
      </c>
      <c r="D180" s="2966" t="str">
        <f>'18. DTH'!V421</f>
        <v>Beneficio por Jubilación</v>
      </c>
      <c r="E180" s="3140" t="str">
        <f>'18. DTH'!W421</f>
        <v>510706</v>
      </c>
      <c r="F180" s="3140" t="str">
        <f>'18. DTH'!X421</f>
        <v>0700</v>
      </c>
      <c r="G180" s="3140" t="str">
        <f>'18. DTH'!Y421</f>
        <v>003</v>
      </c>
      <c r="H180" s="8653">
        <f>'18. DTH'!Z421</f>
        <v>29000</v>
      </c>
      <c r="I180" s="917"/>
    </row>
    <row r="181" spans="1:9">
      <c r="A181" s="917"/>
      <c r="B181" s="4472" t="s">
        <v>48</v>
      </c>
      <c r="C181" s="2966" t="str">
        <f>'18. DTH'!U422</f>
        <v>01 - Administración central</v>
      </c>
      <c r="D181" s="2966" t="str">
        <f>'18. DTH'!V422</f>
        <v>Por Renuncia Voluntaria</v>
      </c>
      <c r="E181" s="3140" t="str">
        <f>'18. DTH'!W422</f>
        <v>510709</v>
      </c>
      <c r="F181" s="3140" t="str">
        <f>'18. DTH'!X422</f>
        <v>0700</v>
      </c>
      <c r="G181" s="3140" t="str">
        <f>'18. DTH'!Y422</f>
        <v>003</v>
      </c>
      <c r="H181" s="8653">
        <f>'18. DTH'!Z422</f>
        <v>123900</v>
      </c>
      <c r="I181" s="917"/>
    </row>
    <row r="182" spans="1:9" ht="31.5">
      <c r="A182" s="917"/>
      <c r="B182" s="4472" t="s">
        <v>48</v>
      </c>
      <c r="C182" s="2966" t="str">
        <f>'18. DTH'!U423</f>
        <v>01 - Administración central</v>
      </c>
      <c r="D182" s="2966" t="str">
        <f>'18. DTH'!V423</f>
        <v>Compensación por Vacaciones no Gozadas por Cesación de Funciones</v>
      </c>
      <c r="E182" s="3140" t="str">
        <f>'18. DTH'!W423</f>
        <v>510707</v>
      </c>
      <c r="F182" s="3140" t="str">
        <f>'18. DTH'!X423</f>
        <v>0700</v>
      </c>
      <c r="G182" s="3140" t="str">
        <f>'18. DTH'!Y423</f>
        <v>003</v>
      </c>
      <c r="H182" s="8653">
        <f>'18. DTH'!Z423</f>
        <v>3000</v>
      </c>
      <c r="I182" s="917"/>
    </row>
    <row r="183" spans="1:9" ht="31.5">
      <c r="A183" s="917"/>
      <c r="B183" s="4472" t="s">
        <v>48</v>
      </c>
      <c r="C183" s="2966" t="str">
        <f>'18. DTH'!U424</f>
        <v>01 - Administración central</v>
      </c>
      <c r="D183" s="2966" t="str">
        <f>'18. DTH'!V424</f>
        <v>Almacenamiento, Embalaje, Desembalaje, Envase, Desenvase y Recarga de Extintores</v>
      </c>
      <c r="E183" s="3140">
        <f>'18. DTH'!W424</f>
        <v>530203</v>
      </c>
      <c r="F183" s="3140" t="str">
        <f>'18. DTH'!X424</f>
        <v>0701</v>
      </c>
      <c r="G183" s="3140" t="str">
        <f>'18. DTH'!Y424</f>
        <v>002</v>
      </c>
      <c r="H183" s="8653">
        <f>'18. DTH'!Z424</f>
        <v>1300</v>
      </c>
      <c r="I183" s="917"/>
    </row>
    <row r="184" spans="1:9" ht="31.5">
      <c r="A184" s="917"/>
      <c r="B184" s="4472" t="s">
        <v>48</v>
      </c>
      <c r="C184" s="2966" t="str">
        <f>'18. DTH'!U425</f>
        <v>01 - Administración central</v>
      </c>
      <c r="D184" s="2966" t="str">
        <f>'18. DTH'!V425</f>
        <v>Honorarios por Contratos Civiles de Servicios</v>
      </c>
      <c r="E184" s="3140" t="str">
        <f>'18. DTH'!W425</f>
        <v>530606</v>
      </c>
      <c r="F184" s="3140" t="str">
        <f>'18. DTH'!X425</f>
        <v>0701</v>
      </c>
      <c r="G184" s="3140" t="str">
        <f>'18. DTH'!Y425</f>
        <v>003</v>
      </c>
      <c r="H184" s="8653">
        <f>'18. DTH'!Z425</f>
        <v>18873.099999999999</v>
      </c>
      <c r="I184" s="917"/>
    </row>
    <row r="185" spans="1:9">
      <c r="A185" s="917"/>
      <c r="B185" s="4472" t="s">
        <v>48</v>
      </c>
      <c r="C185" s="2966" t="str">
        <f>'18. DTH'!U426</f>
        <v>01 - Administración central</v>
      </c>
      <c r="D185" s="2966" t="str">
        <f>'18. DTH'!V426</f>
        <v>Capacitación a Servidores Públicos</v>
      </c>
      <c r="E185" s="3140" t="str">
        <f>'18. DTH'!W426</f>
        <v>530612</v>
      </c>
      <c r="F185" s="3140" t="str">
        <f>'18. DTH'!X426</f>
        <v>0701</v>
      </c>
      <c r="G185" s="3140" t="str">
        <f>'18. DTH'!Y426</f>
        <v>003</v>
      </c>
      <c r="H185" s="8653">
        <f>'18. DTH'!Z426</f>
        <v>10999.996800000001</v>
      </c>
      <c r="I185" s="917"/>
    </row>
    <row r="186" spans="1:9" ht="47.25">
      <c r="A186" s="917"/>
      <c r="B186" s="4472" t="s">
        <v>48</v>
      </c>
      <c r="C186" s="2966" t="str">
        <f>'18. DTH'!U427</f>
        <v>01 - Administración central</v>
      </c>
      <c r="D186" s="2966" t="str">
        <f>'18. DTH'!V427</f>
        <v>Vestuario, Lencería, Prendas de Protección y Accesorios para Uniformes del Personal de Protección, Vigilancia y Seguridad</v>
      </c>
      <c r="E186" s="3140" t="str">
        <f>'18. DTH'!W427</f>
        <v>530802</v>
      </c>
      <c r="F186" s="3140" t="str">
        <f>'18. DTH'!X427</f>
        <v>0701</v>
      </c>
      <c r="G186" s="3140" t="str">
        <f>'18. DTH'!Y427</f>
        <v>003</v>
      </c>
      <c r="H186" s="8653">
        <f>'18. DTH'!Z427</f>
        <v>60396.23</v>
      </c>
      <c r="I186" s="917"/>
    </row>
    <row r="187" spans="1:9" ht="31.5">
      <c r="A187" s="917"/>
      <c r="B187" s="4472" t="s">
        <v>48</v>
      </c>
      <c r="C187" s="2966" t="str">
        <f>'18. DTH'!U428</f>
        <v>01 - Administración central</v>
      </c>
      <c r="D187" s="2966" t="str">
        <f>'18. DTH'!V428</f>
        <v>Materiales de Impresión, Fotografía, Reproducción y Publicaciones</v>
      </c>
      <c r="E187" s="3140" t="str">
        <f>'18. DTH'!W428</f>
        <v>530807</v>
      </c>
      <c r="F187" s="3140" t="str">
        <f>'18. DTH'!X428</f>
        <v>0701</v>
      </c>
      <c r="G187" s="3140" t="str">
        <f>'18. DTH'!Y428</f>
        <v>003</v>
      </c>
      <c r="H187" s="8653">
        <f>'18. DTH'!Z428</f>
        <v>426.72</v>
      </c>
      <c r="I187" s="917"/>
    </row>
    <row r="188" spans="1:9">
      <c r="A188" s="917"/>
      <c r="B188" s="4472" t="s">
        <v>48</v>
      </c>
      <c r="C188" s="2966" t="str">
        <f>'18. DTH'!U429</f>
        <v>01 - Administración central</v>
      </c>
      <c r="D188" s="2966" t="str">
        <f>'18. DTH'!V429</f>
        <v>Medicamentos</v>
      </c>
      <c r="E188" s="3140" t="str">
        <f>'18. DTH'!W429</f>
        <v>530809</v>
      </c>
      <c r="F188" s="3140" t="str">
        <f>'18. DTH'!X429</f>
        <v>0701</v>
      </c>
      <c r="G188" s="3140" t="str">
        <f>'18. DTH'!Y429</f>
        <v>003</v>
      </c>
      <c r="H188" s="8653">
        <f>'18. DTH'!Z429</f>
        <v>5174.8388000000014</v>
      </c>
      <c r="I188" s="917"/>
    </row>
    <row r="189" spans="1:9">
      <c r="A189" s="917"/>
      <c r="B189" s="4472" t="s">
        <v>48</v>
      </c>
      <c r="C189" s="2966" t="str">
        <f>'18. DTH'!U430</f>
        <v>01 - Administración central</v>
      </c>
      <c r="D189" s="2966" t="str">
        <f>'18. DTH'!V430</f>
        <v>Dispositivos Médicos de Uso General</v>
      </c>
      <c r="E189" s="3140" t="str">
        <f>'18. DTH'!W430</f>
        <v>530826</v>
      </c>
      <c r="F189" s="3140" t="str">
        <f>'18. DTH'!X430</f>
        <v>0701</v>
      </c>
      <c r="G189" s="3140" t="str">
        <f>'18. DTH'!Y430</f>
        <v>003</v>
      </c>
      <c r="H189" s="8653">
        <f>'18. DTH'!Z430</f>
        <v>2869.12</v>
      </c>
      <c r="I189" s="917"/>
    </row>
    <row r="190" spans="1:9">
      <c r="A190" s="917"/>
      <c r="B190" s="4472" t="s">
        <v>48</v>
      </c>
      <c r="C190" s="2966" t="str">
        <f>'18. DTH'!U431</f>
        <v>01 - Administración central</v>
      </c>
      <c r="D190" s="2966" t="str">
        <f>'18. DTH'!V431</f>
        <v>Bienes y Suministros para Investigación</v>
      </c>
      <c r="E190" s="3140">
        <f>'18. DTH'!W431</f>
        <v>530829</v>
      </c>
      <c r="F190" s="3140" t="str">
        <f>'18. DTH'!X431</f>
        <v>0701</v>
      </c>
      <c r="G190" s="3140" t="str">
        <f>'18. DTH'!Y431</f>
        <v>003</v>
      </c>
      <c r="H190" s="8653">
        <f>'18. DTH'!Z431</f>
        <v>5000</v>
      </c>
      <c r="I190" s="917"/>
    </row>
    <row r="191" spans="1:9">
      <c r="A191" s="917"/>
      <c r="B191" s="4472" t="s">
        <v>48</v>
      </c>
      <c r="C191" s="2966" t="str">
        <f>'18. DTH'!U432</f>
        <v>01 - Administración central</v>
      </c>
      <c r="D191" s="2966" t="str">
        <f>'18. DTH'!V432</f>
        <v>Equipos, Sistemas y Paquetes Informáticos</v>
      </c>
      <c r="E191" s="3140">
        <f>'18. DTH'!W432</f>
        <v>531407</v>
      </c>
      <c r="F191" s="3140" t="str">
        <f>'18. DTH'!X432</f>
        <v>0701</v>
      </c>
      <c r="G191" s="3140" t="str">
        <f>'18. DTH'!Y432</f>
        <v>003</v>
      </c>
      <c r="H191" s="8653">
        <f>'18. DTH'!Z432</f>
        <v>35</v>
      </c>
      <c r="I191" s="917"/>
    </row>
    <row r="192" spans="1:9">
      <c r="A192" s="917"/>
      <c r="B192" s="4472" t="s">
        <v>48</v>
      </c>
      <c r="C192" s="2966" t="str">
        <f>'18. DTH'!U433</f>
        <v>01 - Administración central</v>
      </c>
      <c r="D192" s="2966" t="str">
        <f>'18. DTH'!V433</f>
        <v>Seguros</v>
      </c>
      <c r="E192" s="3140" t="str">
        <f>'18. DTH'!W433</f>
        <v>570201</v>
      </c>
      <c r="F192" s="3140" t="str">
        <f>'18. DTH'!X433</f>
        <v>0701</v>
      </c>
      <c r="G192" s="3140" t="str">
        <f>'18. DTH'!Y433</f>
        <v>001</v>
      </c>
      <c r="H192" s="8653">
        <f>'18. DTH'!Z433</f>
        <v>1569.27</v>
      </c>
      <c r="I192" s="917"/>
    </row>
    <row r="193" spans="1:9">
      <c r="A193" s="917"/>
      <c r="B193" s="4472" t="s">
        <v>48</v>
      </c>
      <c r="C193" s="2966" t="str">
        <f>'18. DTH'!U434</f>
        <v>01 - Administración central</v>
      </c>
      <c r="D193" s="2966" t="str">
        <f>'18. DTH'!V434</f>
        <v>Becas y Ayudas Económicas</v>
      </c>
      <c r="E193" s="3140" t="str">
        <f>'18. DTH'!W434</f>
        <v>580208</v>
      </c>
      <c r="F193" s="3140" t="str">
        <f>'18. DTH'!X434</f>
        <v>0701</v>
      </c>
      <c r="G193" s="3140" t="str">
        <f>'18. DTH'!Y434</f>
        <v>001</v>
      </c>
      <c r="H193" s="8653">
        <f>'18. DTH'!Z434</f>
        <v>4979.9984000000004</v>
      </c>
      <c r="I193" s="917"/>
    </row>
    <row r="194" spans="1:9">
      <c r="A194" s="917"/>
      <c r="B194" s="4472" t="s">
        <v>48</v>
      </c>
      <c r="C194" s="2966" t="str">
        <f>'18. DTH'!U435</f>
        <v>01 - Administración central</v>
      </c>
      <c r="D194" s="2966" t="str">
        <f>'18. DTH'!V435</f>
        <v>A Jubilados Patronales</v>
      </c>
      <c r="E194" s="3140" t="str">
        <f>'18. DTH'!W435</f>
        <v>580209</v>
      </c>
      <c r="F194" s="3140" t="str">
        <f>'18. DTH'!X435</f>
        <v>0701</v>
      </c>
      <c r="G194" s="3140" t="str">
        <f>'18. DTH'!Y435</f>
        <v>001</v>
      </c>
      <c r="H194" s="8653">
        <f>'18. DTH'!Z435</f>
        <v>1109108.98</v>
      </c>
      <c r="I194" s="917"/>
    </row>
    <row r="195" spans="1:9">
      <c r="A195" s="917"/>
      <c r="B195" s="4472" t="s">
        <v>48</v>
      </c>
      <c r="C195" s="2966" t="str">
        <f>'18. DTH'!U436</f>
        <v>01 - Administración central</v>
      </c>
      <c r="D195" s="2966" t="str">
        <f>'18. DTH'!V436</f>
        <v>Beneficio por Jubilación</v>
      </c>
      <c r="E195" s="3140" t="str">
        <f>'18. DTH'!W436</f>
        <v>011 710706</v>
      </c>
      <c r="F195" s="3140" t="str">
        <f>'18. DTH'!X436</f>
        <v>0700</v>
      </c>
      <c r="G195" s="3140" t="str">
        <f>'18. DTH'!Y436</f>
        <v>202</v>
      </c>
      <c r="H195" s="8653">
        <f>'18. DTH'!Z436</f>
        <v>412916.6</v>
      </c>
      <c r="I195" s="917"/>
    </row>
    <row r="196" spans="1:9">
      <c r="A196" s="917"/>
      <c r="B196" s="4472" t="s">
        <v>48</v>
      </c>
      <c r="C196" s="2966" t="str">
        <f>'18. DTH'!U437</f>
        <v>01 - Administración central</v>
      </c>
      <c r="D196" s="2966" t="str">
        <f>'18. DTH'!V437</f>
        <v>Compensación por Desahucio</v>
      </c>
      <c r="E196" s="3140" t="str">
        <f>'18. DTH'!W437</f>
        <v>011 710704</v>
      </c>
      <c r="F196" s="3140" t="str">
        <f>'18. DTH'!X437</f>
        <v>0701</v>
      </c>
      <c r="G196" s="3140" t="str">
        <f>'18. DTH'!Y437</f>
        <v>202</v>
      </c>
      <c r="H196" s="8653">
        <f>'18. DTH'!Z437</f>
        <v>10271.700000000001</v>
      </c>
      <c r="I196" s="917"/>
    </row>
    <row r="197" spans="1:9">
      <c r="A197" s="917"/>
      <c r="B197" s="4472" t="s">
        <v>48</v>
      </c>
      <c r="C197" s="2966" t="str">
        <f>'18. DTH'!U438</f>
        <v>01 - Administración central</v>
      </c>
      <c r="D197" s="2966" t="str">
        <f>'18. DTH'!V438</f>
        <v>Equipos Sistemas y Paquetes Informaticos</v>
      </c>
      <c r="E197" s="3140" t="str">
        <f>'18. DTH'!W438</f>
        <v>840107</v>
      </c>
      <c r="F197" s="3140" t="str">
        <f>'18. DTH'!X438</f>
        <v>0701</v>
      </c>
      <c r="G197" s="3140" t="str">
        <f>'18. DTH'!Y438</f>
        <v>001</v>
      </c>
      <c r="H197" s="8653">
        <f>'18. DTH'!Z438</f>
        <v>1044.9000000000001</v>
      </c>
      <c r="I197" s="917"/>
    </row>
    <row r="198" spans="1:9">
      <c r="A198" s="917"/>
      <c r="B198" s="4472" t="s">
        <v>48</v>
      </c>
      <c r="C198" s="2966" t="str">
        <f>'18. DTH'!U439</f>
        <v>01 - Administración central</v>
      </c>
      <c r="D198" s="2966" t="str">
        <f>'18. DTH'!V439</f>
        <v>Compensación por Deshaucio</v>
      </c>
      <c r="E198" s="3140" t="str">
        <f>'18. DTH'!W439</f>
        <v>510704</v>
      </c>
      <c r="F198" s="3140" t="str">
        <f>'18. DTH'!X439</f>
        <v>0701</v>
      </c>
      <c r="G198" s="3140" t="str">
        <f>'18. DTH'!Y439</f>
        <v>003</v>
      </c>
      <c r="H198" s="8653">
        <f>'18. DTH'!Z439</f>
        <v>6678.75</v>
      </c>
      <c r="I198" s="917"/>
    </row>
    <row r="199" spans="1:9">
      <c r="A199" s="917"/>
      <c r="B199" s="4472" t="s">
        <v>48</v>
      </c>
      <c r="C199" s="2966" t="str">
        <f>'18. DTH'!U440</f>
        <v>01 - Administración central</v>
      </c>
      <c r="D199" s="2966" t="str">
        <f>'18. DTH'!V440</f>
        <v>Beneficio por Jubilación</v>
      </c>
      <c r="E199" s="3140" t="str">
        <f>'18. DTH'!W440</f>
        <v>013 710706</v>
      </c>
      <c r="F199" s="3140" t="str">
        <f>'18. DTH'!X440</f>
        <v>0701</v>
      </c>
      <c r="G199" s="3140" t="str">
        <f>'18. DTH'!Y440</f>
        <v>202</v>
      </c>
      <c r="H199" s="8653">
        <f>'18. DTH'!Z440</f>
        <v>95038.45</v>
      </c>
      <c r="I199" s="917"/>
    </row>
    <row r="200" spans="1:9">
      <c r="A200" s="917"/>
      <c r="B200" s="4472" t="s">
        <v>48</v>
      </c>
      <c r="C200" s="2966" t="str">
        <f>'18. DTH'!U441</f>
        <v>01 - Administración central</v>
      </c>
      <c r="D200" s="2966" t="str">
        <f>'18. DTH'!V441</f>
        <v>Beneficio por Jubilación</v>
      </c>
      <c r="E200" s="3140" t="str">
        <f>'18. DTH'!W441</f>
        <v>013 710706</v>
      </c>
      <c r="F200" s="3140" t="str">
        <f>'18. DTH'!X441</f>
        <v>0701</v>
      </c>
      <c r="G200" s="3140" t="str">
        <f>'18. DTH'!Y441</f>
        <v>001</v>
      </c>
      <c r="H200" s="8653">
        <f>'18. DTH'!Z441</f>
        <v>212400</v>
      </c>
      <c r="I200" s="917"/>
    </row>
    <row r="201" spans="1:9">
      <c r="A201" s="917"/>
      <c r="B201" s="4472" t="s">
        <v>48</v>
      </c>
      <c r="C201" s="2966" t="str">
        <f>'18. DTH'!U442</f>
        <v>01 - Administración central</v>
      </c>
      <c r="D201" s="2966" t="str">
        <f>'18. DTH'!V442</f>
        <v>Beneficio por Jubilación</v>
      </c>
      <c r="E201" s="3140" t="str">
        <f>'18. DTH'!W442</f>
        <v>510706</v>
      </c>
      <c r="F201" s="3140" t="str">
        <f>'18. DTH'!X442</f>
        <v>0701</v>
      </c>
      <c r="G201" s="3140" t="str">
        <f>'18. DTH'!Y442</f>
        <v>003</v>
      </c>
      <c r="H201" s="8653">
        <f>'18. DTH'!Z442</f>
        <v>150174.87</v>
      </c>
      <c r="I201" s="917"/>
    </row>
    <row r="202" spans="1:9">
      <c r="A202" s="917"/>
      <c r="B202" s="4472" t="s">
        <v>48</v>
      </c>
      <c r="C202" s="2966" t="str">
        <f>'18. DTH'!U443</f>
        <v>01 - Administración central</v>
      </c>
      <c r="D202" s="2966" t="str">
        <f>'18. DTH'!V443</f>
        <v>Por Compra de Reununcia</v>
      </c>
      <c r="E202" s="3140" t="str">
        <f>'18. DTH'!W443</f>
        <v>510710</v>
      </c>
      <c r="F202" s="3140" t="str">
        <f>'18. DTH'!X443</f>
        <v>0701</v>
      </c>
      <c r="G202" s="3140" t="str">
        <f>'18. DTH'!Y443</f>
        <v>003</v>
      </c>
      <c r="H202" s="8653">
        <f>'18. DTH'!Z443</f>
        <v>53100</v>
      </c>
      <c r="I202" s="917"/>
    </row>
    <row r="203" spans="1:9" ht="47.25">
      <c r="A203" s="917"/>
      <c r="B203" s="4472" t="s">
        <v>48</v>
      </c>
      <c r="C203" s="2966" t="str">
        <f>'18. DTH'!U444</f>
        <v>82 - Formación y gestión académica</v>
      </c>
      <c r="D203" s="2966" t="str">
        <f>'18. DTH'!V444</f>
        <v>Remuneración Mensual Unificada de Docentes del Magisterio y Docentes e Investigadores Universitarios</v>
      </c>
      <c r="E203" s="3140" t="str">
        <f>'18. DTH'!W444</f>
        <v>510108</v>
      </c>
      <c r="F203" s="3140" t="str">
        <f>'18. DTH'!X444</f>
        <v>0700</v>
      </c>
      <c r="G203" s="3140" t="str">
        <f>'18. DTH'!Y444</f>
        <v>003</v>
      </c>
      <c r="H203" s="8653">
        <f>'18. DTH'!Z444</f>
        <v>8902539.5199999996</v>
      </c>
      <c r="I203" s="917"/>
    </row>
    <row r="204" spans="1:9" ht="31.5">
      <c r="A204" s="917"/>
      <c r="B204" s="4472" t="s">
        <v>48</v>
      </c>
      <c r="C204" s="2966" t="str">
        <f>'18. DTH'!U445</f>
        <v>82 - Formación y gestión académica</v>
      </c>
      <c r="D204" s="2966" t="str">
        <f>'18. DTH'!V445</f>
        <v>Décimo Tercer Sueldo</v>
      </c>
      <c r="E204" s="3140" t="str">
        <f>'18. DTH'!W445</f>
        <v>510203</v>
      </c>
      <c r="F204" s="3140" t="str">
        <f>'18. DTH'!X445</f>
        <v>0700</v>
      </c>
      <c r="G204" s="3140" t="str">
        <f>'18. DTH'!Y445</f>
        <v>003</v>
      </c>
      <c r="H204" s="8653">
        <f>'18. DTH'!Z445</f>
        <v>1135912.31</v>
      </c>
      <c r="I204" s="917"/>
    </row>
    <row r="205" spans="1:9" ht="31.5">
      <c r="A205" s="917"/>
      <c r="B205" s="4472" t="s">
        <v>48</v>
      </c>
      <c r="C205" s="2966" t="str">
        <f>'18. DTH'!U446</f>
        <v>82 - Formación y gestión académica</v>
      </c>
      <c r="D205" s="2966" t="str">
        <f>'18. DTH'!V446</f>
        <v>Décimo Cuarto Sueldo</v>
      </c>
      <c r="E205" s="3140" t="str">
        <f>'18. DTH'!W446</f>
        <v>510204</v>
      </c>
      <c r="F205" s="3140" t="str">
        <f>'18. DTH'!X446</f>
        <v>0700</v>
      </c>
      <c r="G205" s="3140" t="str">
        <f>'18. DTH'!Y446</f>
        <v>003</v>
      </c>
      <c r="H205" s="8653">
        <f>'18. DTH'!Z446</f>
        <v>252300</v>
      </c>
      <c r="I205" s="917"/>
    </row>
    <row r="206" spans="1:9" ht="47.25">
      <c r="A206" s="917"/>
      <c r="B206" s="4472" t="s">
        <v>48</v>
      </c>
      <c r="C206" s="2966" t="str">
        <f>'18. DTH'!U447</f>
        <v>82 - Formación y gestión académica</v>
      </c>
      <c r="D206" s="2966" t="str">
        <f>'18. DTH'!V447</f>
        <v>Servicios Personales por Contrato de Docentes del Magisterio y Docentes e Investigadores Universitarios</v>
      </c>
      <c r="E206" s="3140" t="str">
        <f>'18. DTH'!W447</f>
        <v>510518</v>
      </c>
      <c r="F206" s="3140" t="str">
        <f>'18. DTH'!X447</f>
        <v>0700</v>
      </c>
      <c r="G206" s="3140" t="str">
        <f>'18. DTH'!Y447</f>
        <v>003</v>
      </c>
      <c r="H206" s="8653">
        <f>'18. DTH'!Z447</f>
        <v>4545677.5999999996</v>
      </c>
      <c r="I206" s="917"/>
    </row>
    <row r="207" spans="1:9" ht="31.5">
      <c r="A207" s="917"/>
      <c r="B207" s="4472" t="s">
        <v>48</v>
      </c>
      <c r="C207" s="2966" t="str">
        <f>'18. DTH'!U448</f>
        <v>82 - Formación y gestión académica</v>
      </c>
      <c r="D207" s="2966" t="str">
        <f>'18. DTH'!V448</f>
        <v>Aporte Patronal</v>
      </c>
      <c r="E207" s="3140" t="str">
        <f>'18. DTH'!W448</f>
        <v>510601</v>
      </c>
      <c r="F207" s="3140" t="str">
        <f>'18. DTH'!X448</f>
        <v>0700</v>
      </c>
      <c r="G207" s="3140" t="str">
        <f>'18. DTH'!Y448</f>
        <v>003</v>
      </c>
      <c r="H207" s="8653">
        <f>'18. DTH'!Z448</f>
        <v>1236170.96</v>
      </c>
      <c r="I207" s="917"/>
    </row>
    <row r="208" spans="1:9" ht="31.5">
      <c r="A208" s="917"/>
      <c r="B208" s="4472" t="s">
        <v>48</v>
      </c>
      <c r="C208" s="2966" t="str">
        <f>'18. DTH'!U449</f>
        <v>82 - Formación y gestión académica</v>
      </c>
      <c r="D208" s="2966" t="str">
        <f>'18. DTH'!V449</f>
        <v>Fondo de Reserva</v>
      </c>
      <c r="E208" s="3140" t="str">
        <f>'18. DTH'!W449</f>
        <v>510602</v>
      </c>
      <c r="F208" s="3140" t="str">
        <f>'18. DTH'!X449</f>
        <v>0700</v>
      </c>
      <c r="G208" s="3140" t="str">
        <f>'18. DTH'!Y449</f>
        <v>003</v>
      </c>
      <c r="H208" s="8653">
        <f>'18. DTH'!Z449</f>
        <v>1098791.52</v>
      </c>
      <c r="I208" s="917"/>
    </row>
    <row r="209" spans="1:9" ht="31.5">
      <c r="A209" s="917"/>
      <c r="B209" s="4472" t="s">
        <v>48</v>
      </c>
      <c r="C209" s="2966" t="str">
        <f>'18. DTH'!U450</f>
        <v>82 - Formación y gestión académica</v>
      </c>
      <c r="D209" s="2966" t="str">
        <f>'18. DTH'!V450</f>
        <v>Compensación por Vacaciones no Gozadas por Cesación de Funciones</v>
      </c>
      <c r="E209" s="3140" t="str">
        <f>'18. DTH'!W450</f>
        <v>510707</v>
      </c>
      <c r="F209" s="3140" t="str">
        <f>'18. DTH'!X450</f>
        <v>0700</v>
      </c>
      <c r="G209" s="3140" t="str">
        <f>'18. DTH'!Y450</f>
        <v>003</v>
      </c>
      <c r="H209" s="8653">
        <f>'18. DTH'!Z450</f>
        <v>9500</v>
      </c>
      <c r="I209" s="917"/>
    </row>
    <row r="210" spans="1:9" ht="31.5">
      <c r="A210" s="917"/>
      <c r="B210" s="4472" t="s">
        <v>48</v>
      </c>
      <c r="C210" s="2966" t="str">
        <f>'18. DTH'!U451</f>
        <v>82 - Formación y gestión académica</v>
      </c>
      <c r="D210" s="2966" t="str">
        <f>'18. DTH'!V451</f>
        <v>Honorarios por Contratos Civiles de Servicios</v>
      </c>
      <c r="E210" s="3140" t="str">
        <f>'18. DTH'!W451</f>
        <v>530606</v>
      </c>
      <c r="F210" s="3140" t="str">
        <f>'18. DTH'!X451</f>
        <v>0701</v>
      </c>
      <c r="G210" s="3140" t="str">
        <f>'18. DTH'!Y451</f>
        <v>001</v>
      </c>
      <c r="H210" s="8653">
        <f>'18. DTH'!Z451</f>
        <v>129543.64000000001</v>
      </c>
      <c r="I210" s="917"/>
    </row>
    <row r="211" spans="1:9" ht="31.5">
      <c r="A211" s="917"/>
      <c r="B211" s="4472" t="s">
        <v>48</v>
      </c>
      <c r="C211" s="2966" t="str">
        <f>'18. DTH'!U452</f>
        <v>82 - Formación y gestión académica</v>
      </c>
      <c r="D211" s="2966" t="str">
        <f>'18. DTH'!V452</f>
        <v>Maquinarias y Equipos</v>
      </c>
      <c r="E211" s="3140" t="str">
        <f>'18. DTH'!W452</f>
        <v>840104</v>
      </c>
      <c r="F211" s="3140" t="str">
        <f>'18. DTH'!X452</f>
        <v>0701</v>
      </c>
      <c r="G211" s="3140" t="str">
        <f>'18. DTH'!Y452</f>
        <v>003</v>
      </c>
      <c r="H211" s="8653">
        <f>'18. DTH'!Z452</f>
        <v>0</v>
      </c>
      <c r="I211" s="917"/>
    </row>
    <row r="212" spans="1:9" ht="31.5">
      <c r="A212" s="917"/>
      <c r="B212" s="4472" t="s">
        <v>48</v>
      </c>
      <c r="C212" s="2966" t="str">
        <f>'18. DTH'!U453</f>
        <v>83 - Gestión de la investigación</v>
      </c>
      <c r="D212" s="2966" t="str">
        <f>'18. DTH'!V453</f>
        <v>Honorarios por Contratos Civiles de Servicios</v>
      </c>
      <c r="E212" s="3140" t="str">
        <f>'18. DTH'!W453</f>
        <v>530606</v>
      </c>
      <c r="F212" s="3140" t="str">
        <f>'18. DTH'!X453</f>
        <v>0701</v>
      </c>
      <c r="G212" s="3140" t="str">
        <f>'18. DTH'!Y453</f>
        <v>002</v>
      </c>
      <c r="H212" s="8653">
        <f>'18. DTH'!Z453</f>
        <v>2400</v>
      </c>
      <c r="I212" s="917"/>
    </row>
    <row r="213" spans="1:9" ht="78.75">
      <c r="A213" s="917"/>
      <c r="B213" s="4472" t="s">
        <v>49</v>
      </c>
      <c r="C213" s="2966" t="str">
        <f>'19. DFIN'!U298</f>
        <v>01 - Administración central</v>
      </c>
      <c r="D213" s="2966" t="str">
        <f>'19. DFIN'!V298</f>
        <v>Edición, Impresión, Reproducción, Publicaciones, Suscripciones, Fotocopiado, Traducción, Empastado, Enmarcación, Serigrafía, Fotografía, Carnetización, Filmación e Imágenes Satelitales</v>
      </c>
      <c r="E213" s="3140">
        <f>'19. DFIN'!W298</f>
        <v>530204</v>
      </c>
      <c r="F213" s="3140" t="str">
        <f>'19. DFIN'!X298</f>
        <v>0701</v>
      </c>
      <c r="G213" s="3140" t="str">
        <f>'19. DFIN'!Y298</f>
        <v>003</v>
      </c>
      <c r="H213" s="8653">
        <f>'19. DFIN'!Z298</f>
        <v>3174.0648000000001</v>
      </c>
      <c r="I213" s="917"/>
    </row>
    <row r="214" spans="1:9">
      <c r="A214" s="917"/>
      <c r="B214" s="4472" t="s">
        <v>49</v>
      </c>
      <c r="C214" s="2966" t="str">
        <f>'19. DFIN'!U299</f>
        <v>01 - Administración central</v>
      </c>
      <c r="D214" s="2966" t="str">
        <f>'19. DFIN'!V299</f>
        <v>Difusión, Información y Publicidad</v>
      </c>
      <c r="E214" s="3140">
        <f>'19. DFIN'!W299</f>
        <v>530207</v>
      </c>
      <c r="F214" s="3140" t="str">
        <f>'19. DFIN'!X299</f>
        <v>0701</v>
      </c>
      <c r="G214" s="3140" t="str">
        <f>'19. DFIN'!Y299</f>
        <v>003</v>
      </c>
      <c r="H214" s="8653">
        <f>'19. DFIN'!Z299</f>
        <v>0</v>
      </c>
      <c r="I214" s="917"/>
    </row>
    <row r="215" spans="1:9" ht="47.25">
      <c r="A215" s="917"/>
      <c r="B215" s="4472" t="s">
        <v>49</v>
      </c>
      <c r="C215" s="2966" t="str">
        <f>'19. DFIN'!U300</f>
        <v>01 - Administración central</v>
      </c>
      <c r="D215" s="2966" t="str">
        <f>'19. DFIN'!V300</f>
        <v>Servicios de Provisión de Dispositivos Electrónicos y Certificación para Registro de Firmas Digitales</v>
      </c>
      <c r="E215" s="3140">
        <f>'19. DFIN'!W300</f>
        <v>530228</v>
      </c>
      <c r="F215" s="3140" t="str">
        <f>'19. DFIN'!X300</f>
        <v>0701</v>
      </c>
      <c r="G215" s="3140" t="str">
        <f>'19. DFIN'!Y300</f>
        <v>003</v>
      </c>
      <c r="H215" s="8653">
        <f>'19. DFIN'!Z300</f>
        <v>20.160000000000004</v>
      </c>
      <c r="I215" s="917"/>
    </row>
    <row r="216" spans="1:9">
      <c r="A216" s="917"/>
      <c r="B216" s="4472" t="s">
        <v>49</v>
      </c>
      <c r="C216" s="2966" t="str">
        <f>'19. DFIN'!U301</f>
        <v>01 - Administración central</v>
      </c>
      <c r="D216" s="2966" t="str">
        <f>'19. DFIN'!V301</f>
        <v>Equipos, Sistemas y Paquetes Informáticos</v>
      </c>
      <c r="E216" s="3140">
        <f>'19. DFIN'!W301</f>
        <v>531407</v>
      </c>
      <c r="F216" s="3140" t="str">
        <f>'19. DFIN'!X301</f>
        <v>0701</v>
      </c>
      <c r="G216" s="3140" t="str">
        <f>'19. DFIN'!Y301</f>
        <v>003</v>
      </c>
      <c r="H216" s="8653">
        <f>'19. DFIN'!Z301</f>
        <v>1275.2924800000001</v>
      </c>
      <c r="I216" s="917"/>
    </row>
    <row r="217" spans="1:9">
      <c r="A217" s="917"/>
      <c r="B217" s="4472" t="s">
        <v>49</v>
      </c>
      <c r="C217" s="2966" t="str">
        <f>'19. DFIN'!U302</f>
        <v>01 - Administración central</v>
      </c>
      <c r="D217" s="2966" t="str">
        <f>'19. DFIN'!V302</f>
        <v>Comisiones Bancarias</v>
      </c>
      <c r="E217" s="3140">
        <f>'19. DFIN'!W302</f>
        <v>570203</v>
      </c>
      <c r="F217" s="3140" t="str">
        <f>'19. DFIN'!X302</f>
        <v>0701</v>
      </c>
      <c r="G217" s="3140" t="str">
        <f>'19. DFIN'!Y302</f>
        <v>002</v>
      </c>
      <c r="H217" s="8653">
        <f>'19. DFIN'!Z302</f>
        <v>89.04</v>
      </c>
      <c r="I217" s="917"/>
    </row>
    <row r="218" spans="1:9">
      <c r="A218" s="917"/>
      <c r="B218" s="4472" t="s">
        <v>49</v>
      </c>
      <c r="C218" s="2966" t="str">
        <f>'19. DFIN'!U303</f>
        <v>01 - Administración central</v>
      </c>
      <c r="D218" s="2966" t="str">
        <f>'19. DFIN'!V303</f>
        <v>Intereses por mora patronal al IESS</v>
      </c>
      <c r="E218" s="3140">
        <f>'19. DFIN'!W303</f>
        <v>570218</v>
      </c>
      <c r="F218" s="3140" t="str">
        <f>'19. DFIN'!X303</f>
        <v>0701</v>
      </c>
      <c r="G218" s="3140" t="str">
        <f>'19. DFIN'!Y303</f>
        <v>003</v>
      </c>
      <c r="H218" s="8653">
        <f>'19. DFIN'!Z303</f>
        <v>5000</v>
      </c>
      <c r="I218" s="917"/>
    </row>
    <row r="219" spans="1:9" ht="31.5">
      <c r="A219" s="917"/>
      <c r="B219" s="4472" t="s">
        <v>49</v>
      </c>
      <c r="C219" s="2966" t="str">
        <f>'19. DFIN'!U304</f>
        <v>01 - Administración central</v>
      </c>
      <c r="D219" s="2966" t="str">
        <f>'19. DFIN'!V304</f>
        <v>Transferencias al Sector Privado No Financiero</v>
      </c>
      <c r="E219" s="3140">
        <f>'19. DFIN'!W304</f>
        <v>580204</v>
      </c>
      <c r="F219" s="3140" t="str">
        <f>'19. DFIN'!X304</f>
        <v>0701</v>
      </c>
      <c r="G219" s="3140" t="str">
        <f>'19. DFIN'!Y304</f>
        <v>003</v>
      </c>
      <c r="H219" s="8653">
        <f>'19. DFIN'!Z304</f>
        <v>1500</v>
      </c>
      <c r="I219" s="917"/>
    </row>
    <row r="220" spans="1:9">
      <c r="A220" s="917"/>
      <c r="B220" s="4472" t="s">
        <v>49</v>
      </c>
      <c r="C220" s="2966" t="str">
        <f>'19. DFIN'!U305</f>
        <v>01 - Administración central</v>
      </c>
      <c r="D220" s="2966" t="str">
        <f>'19. DFIN'!V305</f>
        <v>Maquinaria y Equipos</v>
      </c>
      <c r="E220" s="3140">
        <f>'19. DFIN'!W305</f>
        <v>840104</v>
      </c>
      <c r="F220" s="3140" t="str">
        <f>'19. DFIN'!X305</f>
        <v>0701</v>
      </c>
      <c r="G220" s="3140" t="str">
        <f>'19. DFIN'!Y305</f>
        <v>003</v>
      </c>
      <c r="H220" s="8653">
        <f>'19. DFIN'!Z305</f>
        <v>360.00384000000003</v>
      </c>
      <c r="I220" s="917"/>
    </row>
    <row r="221" spans="1:9" ht="31.5">
      <c r="A221" s="917"/>
      <c r="B221" s="4472" t="s">
        <v>49</v>
      </c>
      <c r="C221" s="2966" t="str">
        <f>'19. DFIN'!U306</f>
        <v>01 - Administración central</v>
      </c>
      <c r="D221" s="2966" t="str">
        <f>'19. DFIN'!V306</f>
        <v>Obligaciones de Ejercicios Anteriores por Egresos en Personal</v>
      </c>
      <c r="E221" s="3140">
        <f>'19. DFIN'!W306</f>
        <v>990101</v>
      </c>
      <c r="F221" s="3140" t="str">
        <f>'19. DFIN'!X306</f>
        <v>0701</v>
      </c>
      <c r="G221" s="3140" t="str">
        <f>'19. DFIN'!Y306</f>
        <v>003</v>
      </c>
      <c r="H221" s="8653">
        <f>'19. DFIN'!Z306</f>
        <v>23000</v>
      </c>
      <c r="I221" s="917"/>
    </row>
    <row r="222" spans="1:9" ht="31.5">
      <c r="A222" s="917"/>
      <c r="B222" s="4472" t="s">
        <v>49</v>
      </c>
      <c r="C222" s="2966" t="str">
        <f>'19. DFIN'!U307</f>
        <v>82 - Formación y gestión académica</v>
      </c>
      <c r="D222" s="2966" t="str">
        <f>'19. DFIN'!V307</f>
        <v>Obligaciones de Ejercicios Anteriores por Egresos en Personal</v>
      </c>
      <c r="E222" s="3140">
        <f>'19. DFIN'!W307</f>
        <v>990101</v>
      </c>
      <c r="F222" s="3140" t="str">
        <f>'19. DFIN'!X307</f>
        <v>0701</v>
      </c>
      <c r="G222" s="3140" t="str">
        <f>'19. DFIN'!Y307</f>
        <v>003</v>
      </c>
      <c r="H222" s="8653">
        <f>'19. DFIN'!Z307</f>
        <v>249601.11</v>
      </c>
      <c r="I222" s="917"/>
    </row>
    <row r="223" spans="1:9">
      <c r="A223" s="917"/>
      <c r="B223" s="4472" t="s">
        <v>50</v>
      </c>
      <c r="C223" s="2966" t="str">
        <f>'20. DADM'!U377</f>
        <v>01 - Administración central</v>
      </c>
      <c r="D223" s="2966" t="str">
        <f>'20. DADM'!V377</f>
        <v>Agua Potable</v>
      </c>
      <c r="E223" s="3140">
        <f>'20. DADM'!W377</f>
        <v>530101</v>
      </c>
      <c r="F223" s="3140" t="str">
        <f>'20. DADM'!X377</f>
        <v>0701</v>
      </c>
      <c r="G223" s="3140" t="str">
        <f>'20. DADM'!Y377</f>
        <v>003</v>
      </c>
      <c r="H223" s="8653">
        <f>'20. DADM'!Z377</f>
        <v>72708.69</v>
      </c>
      <c r="I223" s="917"/>
    </row>
    <row r="224" spans="1:9">
      <c r="A224" s="917"/>
      <c r="B224" s="4472" t="s">
        <v>50</v>
      </c>
      <c r="C224" s="2966" t="str">
        <f>'20. DADM'!U378</f>
        <v>01 - Administración central</v>
      </c>
      <c r="D224" s="2966" t="str">
        <f>'20. DADM'!V378</f>
        <v>Energía Eléctrica</v>
      </c>
      <c r="E224" s="3140">
        <f>'20. DADM'!W378</f>
        <v>530104</v>
      </c>
      <c r="F224" s="3140" t="str">
        <f>'20. DADM'!X378</f>
        <v>0701</v>
      </c>
      <c r="G224" s="3140" t="str">
        <f>'20. DADM'!Y378</f>
        <v>002</v>
      </c>
      <c r="H224" s="8653">
        <f>'20. DADM'!Z378</f>
        <v>108903.27</v>
      </c>
      <c r="I224" s="917"/>
    </row>
    <row r="225" spans="1:9">
      <c r="A225" s="917"/>
      <c r="B225" s="4472" t="s">
        <v>50</v>
      </c>
      <c r="C225" s="2966" t="str">
        <f>'20. DADM'!U379</f>
        <v>01 - Administración central</v>
      </c>
      <c r="D225" s="2966" t="str">
        <f>'20. DADM'!V379</f>
        <v>Energía Eléctrica</v>
      </c>
      <c r="E225" s="3140">
        <f>'20. DADM'!W379</f>
        <v>530104</v>
      </c>
      <c r="F225" s="3140" t="str">
        <f>'20. DADM'!X379</f>
        <v>0701</v>
      </c>
      <c r="G225" s="3140" t="str">
        <f>'20. DADM'!Y379</f>
        <v>003</v>
      </c>
      <c r="H225" s="8653">
        <f>'20. DADM'!Z379</f>
        <v>219857.37</v>
      </c>
      <c r="I225" s="917"/>
    </row>
    <row r="226" spans="1:9">
      <c r="A226" s="917"/>
      <c r="B226" s="4472" t="s">
        <v>50</v>
      </c>
      <c r="C226" s="2966" t="str">
        <f>'20. DADM'!U380</f>
        <v>01 - Administración central</v>
      </c>
      <c r="D226" s="2966" t="str">
        <f>'20. DADM'!V380</f>
        <v>Telecomunicaciones</v>
      </c>
      <c r="E226" s="3140">
        <f>'20. DADM'!W380</f>
        <v>530105</v>
      </c>
      <c r="F226" s="3140" t="str">
        <f>'20. DADM'!X380</f>
        <v>0701</v>
      </c>
      <c r="G226" s="3140" t="str">
        <f>'20. DADM'!Y380</f>
        <v>003</v>
      </c>
      <c r="H226" s="8653">
        <f>'20. DADM'!Z380</f>
        <v>22200</v>
      </c>
      <c r="I226" s="917"/>
    </row>
    <row r="227" spans="1:9" s="2022" customFormat="1">
      <c r="A227" s="2021"/>
      <c r="B227" s="4472" t="s">
        <v>50</v>
      </c>
      <c r="C227" s="2966" t="str">
        <f>'20. DADM'!U381</f>
        <v>01 - Administración central</v>
      </c>
      <c r="D227" s="2966" t="str">
        <f>'20. DADM'!V381</f>
        <v>Servicio de Correo</v>
      </c>
      <c r="E227" s="3140">
        <f>'20. DADM'!W381</f>
        <v>530106</v>
      </c>
      <c r="F227" s="3140" t="str">
        <f>'20. DADM'!X381</f>
        <v>0701</v>
      </c>
      <c r="G227" s="3140" t="str">
        <f>'20. DADM'!Y381</f>
        <v>003</v>
      </c>
      <c r="H227" s="8653">
        <f>'20. DADM'!Z381</f>
        <v>250</v>
      </c>
      <c r="I227" s="2021"/>
    </row>
    <row r="228" spans="1:9" s="2022" customFormat="1" ht="78.75">
      <c r="A228" s="2021"/>
      <c r="B228" s="4472" t="s">
        <v>50</v>
      </c>
      <c r="C228" s="2966" t="str">
        <f>'20. DADM'!U382</f>
        <v>01 - Administración central</v>
      </c>
      <c r="D228" s="2966" t="str">
        <f>'20. DADM'!V382</f>
        <v>Edición, Impresión, Reproducción, Publicaciones, Suscripciones, Fotocopiado, Traducción, Empastado, Enmarcación, Serigrafía, Fotografía, Carnetización, Filmación e Imágenes Satelitales</v>
      </c>
      <c r="E228" s="3140">
        <f>'20. DADM'!W382</f>
        <v>530204</v>
      </c>
      <c r="F228" s="3140" t="str">
        <f>'20. DADM'!X382</f>
        <v>0701</v>
      </c>
      <c r="G228" s="3140" t="str">
        <f>'20. DADM'!Y382</f>
        <v>003</v>
      </c>
      <c r="H228" s="8653">
        <f>'20. DADM'!Z382</f>
        <v>100</v>
      </c>
      <c r="I228" s="2021"/>
    </row>
    <row r="229" spans="1:9" s="2022" customFormat="1">
      <c r="A229" s="2021"/>
      <c r="B229" s="4472" t="s">
        <v>50</v>
      </c>
      <c r="C229" s="2966" t="str">
        <f>'20. DADM'!U383</f>
        <v>01 - Administración central</v>
      </c>
      <c r="D229" s="2966" t="str">
        <f>'20. DADM'!V383</f>
        <v>Servicio de Seguridad y Vigilancia</v>
      </c>
      <c r="E229" s="3140">
        <f>'20. DADM'!W383</f>
        <v>530208</v>
      </c>
      <c r="F229" s="3140" t="str">
        <f>'20. DADM'!X383</f>
        <v>0701</v>
      </c>
      <c r="G229" s="3140" t="str">
        <f>'20. DADM'!Y383</f>
        <v>003</v>
      </c>
      <c r="H229" s="8653">
        <f>'20. DADM'!Z383</f>
        <v>327179.12</v>
      </c>
      <c r="I229" s="2021"/>
    </row>
    <row r="230" spans="1:9" s="2022" customFormat="1">
      <c r="A230" s="2021"/>
      <c r="B230" s="4472" t="s">
        <v>50</v>
      </c>
      <c r="C230" s="2966" t="str">
        <f>'20. DADM'!U384</f>
        <v>01 - Administración central</v>
      </c>
      <c r="D230" s="2966" t="str">
        <f>'20. DADM'!V384</f>
        <v>Servicio de Aseo</v>
      </c>
      <c r="E230" s="3140">
        <f>'20. DADM'!W384</f>
        <v>530209</v>
      </c>
      <c r="F230" s="3140" t="str">
        <f>'20. DADM'!X384</f>
        <v>0701</v>
      </c>
      <c r="G230" s="3140" t="str">
        <f>'20. DADM'!Y384</f>
        <v>001</v>
      </c>
      <c r="H230" s="8653">
        <f>'20. DADM'!Z384</f>
        <v>30681</v>
      </c>
      <c r="I230" s="2021"/>
    </row>
    <row r="231" spans="1:9" s="2022" customFormat="1">
      <c r="A231" s="2021"/>
      <c r="B231" s="4472" t="s">
        <v>50</v>
      </c>
      <c r="C231" s="2966" t="str">
        <f>'20. DADM'!U385</f>
        <v>01 - Administración central</v>
      </c>
      <c r="D231" s="2966" t="str">
        <f>'20. DADM'!V385</f>
        <v>Combustibles</v>
      </c>
      <c r="E231" s="3140">
        <f>'20. DADM'!W385</f>
        <v>530255</v>
      </c>
      <c r="F231" s="3140" t="str">
        <f>'20. DADM'!X385</f>
        <v>0701</v>
      </c>
      <c r="G231" s="3140" t="str">
        <f>'20. DADM'!Y385</f>
        <v>003</v>
      </c>
      <c r="H231" s="8653">
        <f>'20. DADM'!Z385</f>
        <v>30040</v>
      </c>
      <c r="I231" s="2021"/>
    </row>
    <row r="232" spans="1:9" s="2022" customFormat="1">
      <c r="A232" s="2021"/>
      <c r="B232" s="4472" t="s">
        <v>50</v>
      </c>
      <c r="C232" s="2966" t="str">
        <f>'20. DADM'!U386</f>
        <v>01 - Administración central</v>
      </c>
      <c r="D232" s="2966" t="str">
        <f>'20. DADM'!V386</f>
        <v>Pasajes al Interior</v>
      </c>
      <c r="E232" s="3140">
        <f>'20. DADM'!W386</f>
        <v>530301</v>
      </c>
      <c r="F232" s="3140" t="str">
        <f>'20. DADM'!X386</f>
        <v>0701</v>
      </c>
      <c r="G232" s="3140" t="str">
        <f>'20. DADM'!Y386</f>
        <v>003</v>
      </c>
      <c r="H232" s="8653">
        <f>'20. DADM'!Z386</f>
        <v>11700</v>
      </c>
      <c r="I232" s="2021"/>
    </row>
    <row r="233" spans="1:9" s="2022" customFormat="1">
      <c r="A233" s="2021"/>
      <c r="B233" s="4472" t="s">
        <v>50</v>
      </c>
      <c r="C233" s="2966" t="str">
        <f>'20. DADM'!U387</f>
        <v>01 - Administración central</v>
      </c>
      <c r="D233" s="2966" t="str">
        <f>'20. DADM'!V387</f>
        <v>Pasajes al Exterior</v>
      </c>
      <c r="E233" s="3140">
        <f>'20. DADM'!W387</f>
        <v>530302</v>
      </c>
      <c r="F233" s="3140" t="str">
        <f>'20. DADM'!X387</f>
        <v>0701</v>
      </c>
      <c r="G233" s="3140" t="str">
        <f>'20. DADM'!Y387</f>
        <v>003</v>
      </c>
      <c r="H233" s="8653">
        <f>'20. DADM'!Z387</f>
        <v>2000</v>
      </c>
      <c r="I233" s="2021"/>
    </row>
    <row r="234" spans="1:9" s="2022" customFormat="1" ht="47.25">
      <c r="A234" s="2021"/>
      <c r="B234" s="4472" t="s">
        <v>50</v>
      </c>
      <c r="C234" s="2966" t="str">
        <f>'20. DADM'!U388</f>
        <v>01 - Administración central</v>
      </c>
      <c r="D234" s="2966" t="str">
        <f>'20. DADM'!V388</f>
        <v>Edificios, Locales, Residencias y Cableado Estructurado (Instalación, Mantenimiento y Reparación)</v>
      </c>
      <c r="E234" s="3140">
        <f>'20. DADM'!W388</f>
        <v>530402</v>
      </c>
      <c r="F234" s="3140" t="str">
        <f>'20. DADM'!X388</f>
        <v>0701</v>
      </c>
      <c r="G234" s="3140" t="str">
        <f>'20. DADM'!Y388</f>
        <v>002</v>
      </c>
      <c r="H234" s="8653">
        <f>'20. DADM'!Z388</f>
        <v>90228.723928571417</v>
      </c>
      <c r="I234" s="2021"/>
    </row>
    <row r="235" spans="1:9" s="2022" customFormat="1" ht="47.25">
      <c r="A235" s="2021"/>
      <c r="B235" s="4472" t="s">
        <v>50</v>
      </c>
      <c r="C235" s="2966" t="str">
        <f>'20. DADM'!U389</f>
        <v>01 - Administración central</v>
      </c>
      <c r="D235" s="2966" t="str">
        <f>'20. DADM'!V389</f>
        <v>Edificios, Locales, Residencias y Cableado Estructurado (Instalación, Mantenimiento y Reparación)</v>
      </c>
      <c r="E235" s="3140">
        <f>'20. DADM'!W389</f>
        <v>530402</v>
      </c>
      <c r="F235" s="3140" t="str">
        <f>'20. DADM'!X389</f>
        <v>0701</v>
      </c>
      <c r="G235" s="3140" t="str">
        <f>'20. DADM'!Y389</f>
        <v>003</v>
      </c>
      <c r="H235" s="8653">
        <f>'20. DADM'!Z389</f>
        <v>400</v>
      </c>
      <c r="I235" s="2021"/>
    </row>
    <row r="236" spans="1:9" s="2022" customFormat="1" ht="31.5">
      <c r="A236" s="2021"/>
      <c r="B236" s="4472" t="s">
        <v>50</v>
      </c>
      <c r="C236" s="2966" t="str">
        <f>'20. DADM'!U390</f>
        <v>01 - Administración central</v>
      </c>
      <c r="D236" s="2966" t="str">
        <f>'20. DADM'!V390</f>
        <v>Mobiliarios (Instalación, Mantenimiento y Reparación)</v>
      </c>
      <c r="E236" s="3140">
        <f>'20. DADM'!W390</f>
        <v>530403</v>
      </c>
      <c r="F236" s="3140" t="str">
        <f>'20. DADM'!X390</f>
        <v>0701</v>
      </c>
      <c r="G236" s="3140" t="str">
        <f>'20. DADM'!Y390</f>
        <v>003</v>
      </c>
      <c r="H236" s="8653">
        <f>'20. DADM'!Z390</f>
        <v>13392.859996800002</v>
      </c>
      <c r="I236" s="2021"/>
    </row>
    <row r="237" spans="1:9" s="2022" customFormat="1" ht="31.5">
      <c r="A237" s="2021"/>
      <c r="B237" s="4472" t="s">
        <v>50</v>
      </c>
      <c r="C237" s="2966" t="str">
        <f>'20. DADM'!U391</f>
        <v>01 - Administración central</v>
      </c>
      <c r="D237" s="2966" t="str">
        <f>'20. DADM'!V391</f>
        <v>Maquinarias y Equipos (Mantenimiento, Reparación e Instalación)</v>
      </c>
      <c r="E237" s="3140">
        <f>'20. DADM'!W391</f>
        <v>530404</v>
      </c>
      <c r="F237" s="3140" t="str">
        <f>'20. DADM'!X391</f>
        <v>0701</v>
      </c>
      <c r="G237" s="3140" t="str">
        <f>'20. DADM'!Y391</f>
        <v>003</v>
      </c>
      <c r="H237" s="8653">
        <f>'20. DADM'!Z391</f>
        <v>15930.483199999999</v>
      </c>
      <c r="I237" s="2021"/>
    </row>
    <row r="238" spans="1:9" s="2022" customFormat="1" ht="31.5">
      <c r="A238" s="2021"/>
      <c r="B238" s="4472" t="s">
        <v>50</v>
      </c>
      <c r="C238" s="2966" t="str">
        <f>'20. DADM'!U392</f>
        <v>01 - Administración central</v>
      </c>
      <c r="D238" s="2966" t="str">
        <f>'20. DADM'!V392</f>
        <v>Vehículos (Servicio para Mantenimiento y Reparación)</v>
      </c>
      <c r="E238" s="3140">
        <f>'20. DADM'!W392</f>
        <v>530405</v>
      </c>
      <c r="F238" s="3140" t="str">
        <f>'20. DADM'!X392</f>
        <v>0701</v>
      </c>
      <c r="G238" s="3140" t="str">
        <f>'20. DADM'!Y392</f>
        <v>002</v>
      </c>
      <c r="H238" s="8653">
        <f>'20. DADM'!Z392</f>
        <v>6109.1900000000005</v>
      </c>
      <c r="I238" s="2021"/>
    </row>
    <row r="239" spans="1:9" s="2022" customFormat="1" ht="31.5">
      <c r="A239" s="2021"/>
      <c r="B239" s="4472" t="s">
        <v>50</v>
      </c>
      <c r="C239" s="2966" t="str">
        <f>'20. DADM'!U393</f>
        <v>01 - Administración central</v>
      </c>
      <c r="D239" s="2966" t="str">
        <f>'20. DADM'!V393</f>
        <v>Vehículos (Servicio para Mantenimiento y Reparación)</v>
      </c>
      <c r="E239" s="3140">
        <f>'20. DADM'!W393</f>
        <v>530405</v>
      </c>
      <c r="F239" s="3140" t="str">
        <f>'20. DADM'!X393</f>
        <v>0701</v>
      </c>
      <c r="G239" s="3140" t="str">
        <f>'20. DADM'!Y393</f>
        <v>003</v>
      </c>
      <c r="H239" s="8653">
        <f>'20. DADM'!Z393</f>
        <v>50357.62</v>
      </c>
      <c r="I239" s="2021"/>
    </row>
    <row r="240" spans="1:9" s="2022" customFormat="1">
      <c r="A240" s="2021"/>
      <c r="B240" s="4472" t="s">
        <v>50</v>
      </c>
      <c r="C240" s="2966" t="str">
        <f>'20. DADM'!U394</f>
        <v>01 - Administración central</v>
      </c>
      <c r="D240" s="2966" t="str">
        <f>'20. DADM'!V394</f>
        <v>Herramientas (Mantenimiento y Reparación)</v>
      </c>
      <c r="E240" s="3140">
        <f>'20. DADM'!W394</f>
        <v>530406</v>
      </c>
      <c r="F240" s="3140" t="str">
        <f>'20. DADM'!X394</f>
        <v>0701</v>
      </c>
      <c r="G240" s="3140" t="str">
        <f>'20. DADM'!Y394</f>
        <v>003</v>
      </c>
      <c r="H240" s="8653">
        <f>'20. DADM'!Z394</f>
        <v>200</v>
      </c>
      <c r="I240" s="2021"/>
    </row>
    <row r="241" spans="1:9" s="2022" customFormat="1" ht="31.5">
      <c r="A241" s="2021"/>
      <c r="B241" s="4472" t="s">
        <v>50</v>
      </c>
      <c r="C241" s="2966" t="str">
        <f>'20. DADM'!U395</f>
        <v>01 - Administración central</v>
      </c>
      <c r="D241" s="2966" t="str">
        <f>'20. DADM'!V395</f>
        <v>Consultoría, Asesoría e Investigación Especializada</v>
      </c>
      <c r="E241" s="3140">
        <f>'20. DADM'!W395</f>
        <v>530601</v>
      </c>
      <c r="F241" s="3140" t="str">
        <f>'20. DADM'!X395</f>
        <v>0701</v>
      </c>
      <c r="G241" s="3140" t="str">
        <f>'20. DADM'!Y395</f>
        <v>001</v>
      </c>
      <c r="H241" s="8653">
        <f>'20. DADM'!Z395</f>
        <v>121940.59</v>
      </c>
      <c r="I241" s="2021"/>
    </row>
    <row r="242" spans="1:9" s="2022" customFormat="1" ht="31.5">
      <c r="A242" s="2021"/>
      <c r="B242" s="4472" t="s">
        <v>50</v>
      </c>
      <c r="C242" s="2966" t="str">
        <f>'20. DADM'!U396</f>
        <v>01 - Administración central</v>
      </c>
      <c r="D242" s="2966" t="str">
        <f>'20. DADM'!V396</f>
        <v>Consultoría, Asesoría e Investigación Especializada</v>
      </c>
      <c r="E242" s="3140">
        <f>'20. DADM'!W396</f>
        <v>530601</v>
      </c>
      <c r="F242" s="3140" t="str">
        <f>'20. DADM'!X396</f>
        <v>0701</v>
      </c>
      <c r="G242" s="3140" t="str">
        <f>'20. DADM'!Y396</f>
        <v>003</v>
      </c>
      <c r="H242" s="8653">
        <f>'20. DADM'!Z396</f>
        <v>60000</v>
      </c>
      <c r="I242" s="2021"/>
    </row>
    <row r="243" spans="1:9" s="2022" customFormat="1" ht="31.5">
      <c r="A243" s="2021"/>
      <c r="B243" s="4472" t="s">
        <v>50</v>
      </c>
      <c r="C243" s="2966" t="str">
        <f>'20. DADM'!U397</f>
        <v>01 - Administración central</v>
      </c>
      <c r="D243" s="2966" t="str">
        <f>'20. DADM'!V397</f>
        <v>Arrendamiento y Licencias de Uso de Paquetes Informáticos</v>
      </c>
      <c r="E243" s="3140">
        <f>'20. DADM'!W397</f>
        <v>530702</v>
      </c>
      <c r="F243" s="3140" t="str">
        <f>'20. DADM'!X397</f>
        <v>0701</v>
      </c>
      <c r="G243" s="3140" t="str">
        <f>'20. DADM'!Y397</f>
        <v>002</v>
      </c>
      <c r="H243" s="8653">
        <f>'20. DADM'!Z397</f>
        <v>2232.1428571428569</v>
      </c>
      <c r="I243" s="2021"/>
    </row>
    <row r="244" spans="1:9" s="2022" customFormat="1" ht="31.5">
      <c r="A244" s="2021"/>
      <c r="B244" s="4472" t="s">
        <v>50</v>
      </c>
      <c r="C244" s="2966" t="str">
        <f>'20. DADM'!U398</f>
        <v>01 - Administración central</v>
      </c>
      <c r="D244" s="2966" t="str">
        <f>'20. DADM'!V398</f>
        <v>Mantenimiento y Reparación de Equipos y Sistemas Informáticos</v>
      </c>
      <c r="E244" s="3140">
        <f>'20. DADM'!W398</f>
        <v>530704</v>
      </c>
      <c r="F244" s="3140" t="str">
        <f>'20. DADM'!X398</f>
        <v>0701</v>
      </c>
      <c r="G244" s="3140" t="str">
        <f>'20. DADM'!Y398</f>
        <v>003</v>
      </c>
      <c r="H244" s="8653">
        <f>'20. DADM'!Z398</f>
        <v>250</v>
      </c>
      <c r="I244" s="2021"/>
    </row>
    <row r="245" spans="1:9" s="2022" customFormat="1">
      <c r="A245" s="2021"/>
      <c r="B245" s="4472" t="s">
        <v>50</v>
      </c>
      <c r="C245" s="2966" t="str">
        <f>'20. DADM'!U399</f>
        <v>01 - Administración central</v>
      </c>
      <c r="D245" s="2966" t="str">
        <f>'20. DADM'!V399</f>
        <v>Lubricantes</v>
      </c>
      <c r="E245" s="3140">
        <f>'20. DADM'!W399</f>
        <v>530803</v>
      </c>
      <c r="F245" s="3140" t="str">
        <f>'20. DADM'!X399</f>
        <v>0701</v>
      </c>
      <c r="G245" s="3140" t="str">
        <f>'20. DADM'!Y399</f>
        <v>003</v>
      </c>
      <c r="H245" s="8653">
        <f>'20. DADM'!Z399</f>
        <v>5000</v>
      </c>
      <c r="I245" s="2961"/>
    </row>
    <row r="246" spans="1:9" s="2022" customFormat="1">
      <c r="A246" s="2021"/>
      <c r="B246" s="4472" t="s">
        <v>50</v>
      </c>
      <c r="C246" s="2966" t="str">
        <f>'20. DADM'!U400</f>
        <v>01 - Administración central</v>
      </c>
      <c r="D246" s="2966" t="str">
        <f>'20. DADM'!V400</f>
        <v>Materiales de Oficina</v>
      </c>
      <c r="E246" s="3140">
        <f>'20. DADM'!W400</f>
        <v>530804</v>
      </c>
      <c r="F246" s="3140" t="str">
        <f>'20. DADM'!X400</f>
        <v>0701</v>
      </c>
      <c r="G246" s="3140" t="str">
        <f>'20. DADM'!Y400</f>
        <v>002</v>
      </c>
      <c r="H246" s="8653">
        <f>'20. DADM'!Z400</f>
        <v>13350.27</v>
      </c>
      <c r="I246" s="2021"/>
    </row>
    <row r="247" spans="1:9" s="2022" customFormat="1">
      <c r="A247" s="2021"/>
      <c r="B247" s="4472" t="s">
        <v>50</v>
      </c>
      <c r="C247" s="2966" t="str">
        <f>'20. DADM'!U401</f>
        <v>01 - Administración central</v>
      </c>
      <c r="D247" s="2966" t="str">
        <f>'20. DADM'!V401</f>
        <v>Materiales de Aseo</v>
      </c>
      <c r="E247" s="3140">
        <f>'20. DADM'!W401</f>
        <v>530805</v>
      </c>
      <c r="F247" s="3140" t="str">
        <f>'20. DADM'!X401</f>
        <v>0701</v>
      </c>
      <c r="G247" s="3140" t="str">
        <f>'20. DADM'!Y401</f>
        <v>003</v>
      </c>
      <c r="H247" s="8653">
        <f>'20. DADM'!Z401</f>
        <v>12534.49</v>
      </c>
      <c r="I247" s="2021"/>
    </row>
    <row r="248" spans="1:9" s="2022" customFormat="1" ht="31.5">
      <c r="A248" s="2021"/>
      <c r="B248" s="4472" t="s">
        <v>50</v>
      </c>
      <c r="C248" s="2966" t="str">
        <f>'20. DADM'!U402</f>
        <v>01 - Administración central</v>
      </c>
      <c r="D248" s="2966" t="str">
        <f>'20. DADM'!V402</f>
        <v>Materiales de Impresión, Fotografía, Reproducción y Publicaciones</v>
      </c>
      <c r="E248" s="3140">
        <f>'20. DADM'!W402</f>
        <v>530807</v>
      </c>
      <c r="F248" s="3140" t="str">
        <f>'20. DADM'!X402</f>
        <v>0701</v>
      </c>
      <c r="G248" s="3140" t="str">
        <f>'20. DADM'!Y402</f>
        <v>003</v>
      </c>
      <c r="H248" s="8653">
        <f>'20. DADM'!Z402</f>
        <v>10917.78</v>
      </c>
      <c r="I248" s="2021"/>
    </row>
    <row r="249" spans="1:9" s="2022" customFormat="1" ht="63">
      <c r="A249" s="2021"/>
      <c r="B249" s="4472" t="s">
        <v>50</v>
      </c>
      <c r="C249" s="2966" t="str">
        <f>'20. DADM'!U403</f>
        <v>01 - Administración central</v>
      </c>
      <c r="D249" s="2966" t="str">
        <f>'20. DADM'!V403</f>
        <v>Insumos, Materiales y Suministros para Construcción, Electricidad, Plomería, Carpintería, Señalización Vial, Navegación, Contra Incendios y Placas</v>
      </c>
      <c r="E249" s="3140">
        <f>'20. DADM'!W403</f>
        <v>530811</v>
      </c>
      <c r="F249" s="3140" t="str">
        <f>'20. DADM'!X403</f>
        <v>0701</v>
      </c>
      <c r="G249" s="3140" t="str">
        <f>'20. DADM'!Y403</f>
        <v>003</v>
      </c>
      <c r="H249" s="8653">
        <f>'20. DADM'!Z403</f>
        <v>11785.650000000001</v>
      </c>
      <c r="I249" s="2021"/>
    </row>
    <row r="250" spans="1:9" s="2022" customFormat="1">
      <c r="A250" s="2021"/>
      <c r="B250" s="4472" t="s">
        <v>50</v>
      </c>
      <c r="C250" s="2966" t="str">
        <f>'20. DADM'!U404</f>
        <v>01 - Administración central</v>
      </c>
      <c r="D250" s="2966" t="str">
        <f>'20. DADM'!V404</f>
        <v>Repuestos y Accesorios</v>
      </c>
      <c r="E250" s="3140">
        <f>'20. DADM'!W404</f>
        <v>530813</v>
      </c>
      <c r="F250" s="3140" t="str">
        <f>'20. DADM'!X404</f>
        <v>0701</v>
      </c>
      <c r="G250" s="3140" t="str">
        <f>'20. DADM'!Y404</f>
        <v>003</v>
      </c>
      <c r="H250" s="8653">
        <f>'20. DADM'!Z404</f>
        <v>2863.24</v>
      </c>
      <c r="I250" s="2021"/>
    </row>
    <row r="251" spans="1:9" s="2022" customFormat="1" ht="31.5">
      <c r="A251" s="2021"/>
      <c r="B251" s="4472" t="s">
        <v>50</v>
      </c>
      <c r="C251" s="2966" t="str">
        <f>'20. DADM'!U405</f>
        <v>01 - Administración central</v>
      </c>
      <c r="D251" s="2966" t="str">
        <f>'20. DADM'!V405</f>
        <v>Accesorios e Insumos Químicos y Orgánicos</v>
      </c>
      <c r="E251" s="3140">
        <f>'20. DADM'!W405</f>
        <v>530819</v>
      </c>
      <c r="F251" s="3140" t="str">
        <f>'20. DADM'!X405</f>
        <v>0701</v>
      </c>
      <c r="G251" s="3140" t="str">
        <f>'20. DADM'!Y405</f>
        <v>003</v>
      </c>
      <c r="H251" s="8653">
        <f>'20. DADM'!Z405</f>
        <v>100</v>
      </c>
      <c r="I251" s="2021"/>
    </row>
    <row r="252" spans="1:9" s="2022" customFormat="1">
      <c r="A252" s="2021"/>
      <c r="B252" s="4472" t="s">
        <v>50</v>
      </c>
      <c r="C252" s="2966" t="str">
        <f>'20. DADM'!U406</f>
        <v>01 - Administración central</v>
      </c>
      <c r="D252" s="2966" t="str">
        <f>'20. DADM'!V406</f>
        <v>Maquinarias y Equipos</v>
      </c>
      <c r="E252" s="3140">
        <f>'20. DADM'!W406</f>
        <v>531404</v>
      </c>
      <c r="F252" s="3140" t="str">
        <f>'20. DADM'!X406</f>
        <v>0701</v>
      </c>
      <c r="G252" s="3140" t="str">
        <f>'20. DADM'!Y406</f>
        <v>003</v>
      </c>
      <c r="H252" s="8653">
        <f>'20. DADM'!Z406</f>
        <v>0</v>
      </c>
      <c r="I252" s="2021"/>
    </row>
    <row r="253" spans="1:9" s="2022" customFormat="1">
      <c r="A253" s="2021"/>
      <c r="B253" s="4472" t="s">
        <v>50</v>
      </c>
      <c r="C253" s="2966" t="str">
        <f>'20. DADM'!U407</f>
        <v>01 - Administración central</v>
      </c>
      <c r="D253" s="2966" t="str">
        <f>'20. DADM'!V407</f>
        <v>Herramientas y Equipos Menores</v>
      </c>
      <c r="E253" s="3140">
        <f>'20. DADM'!W407</f>
        <v>531406</v>
      </c>
      <c r="F253" s="3140" t="str">
        <f>'20. DADM'!X407</f>
        <v>0701</v>
      </c>
      <c r="G253" s="3140" t="str">
        <f>'20. DADM'!Y407</f>
        <v>003</v>
      </c>
      <c r="H253" s="8653">
        <f>'20. DADM'!Z407</f>
        <v>1828.02</v>
      </c>
      <c r="I253" s="2021"/>
    </row>
    <row r="254" spans="1:9" s="2022" customFormat="1">
      <c r="A254" s="2021"/>
      <c r="B254" s="4472" t="s">
        <v>50</v>
      </c>
      <c r="C254" s="2966" t="str">
        <f>'20. DADM'!U408</f>
        <v>01 - Administración central</v>
      </c>
      <c r="D254" s="2966" t="str">
        <f>'20. DADM'!V408</f>
        <v>Equipos, Sistemas y Paquetes Informáticos</v>
      </c>
      <c r="E254" s="3140">
        <f>'20. DADM'!W408</f>
        <v>531407</v>
      </c>
      <c r="F254" s="3140" t="str">
        <f>'20. DADM'!X408</f>
        <v>0701</v>
      </c>
      <c r="G254" s="3140" t="str">
        <f>'20. DADM'!Y408</f>
        <v>003</v>
      </c>
      <c r="H254" s="8653">
        <f>'20. DADM'!Z408</f>
        <v>896.40000000000009</v>
      </c>
      <c r="I254" s="2021"/>
    </row>
    <row r="255" spans="1:9" s="2022" customFormat="1">
      <c r="A255" s="2021"/>
      <c r="B255" s="4472" t="s">
        <v>50</v>
      </c>
      <c r="C255" s="2966" t="str">
        <f>'20. DADM'!U409</f>
        <v>01 - Administración central</v>
      </c>
      <c r="D255" s="2966" t="str">
        <f>'20. DADM'!V409</f>
        <v>Fondos de Reposición de Caja Chica</v>
      </c>
      <c r="E255" s="3140">
        <f>'20. DADM'!W409</f>
        <v>531601</v>
      </c>
      <c r="F255" s="3140" t="str">
        <f>'20. DADM'!X409</f>
        <v>0701</v>
      </c>
      <c r="G255" s="3140" t="str">
        <f>'20. DADM'!Y409</f>
        <v>003</v>
      </c>
      <c r="H255" s="8653">
        <f>'20. DADM'!Z409</f>
        <v>0</v>
      </c>
      <c r="I255" s="2021"/>
    </row>
    <row r="256" spans="1:9" s="2022" customFormat="1" ht="47.25">
      <c r="A256" s="2021"/>
      <c r="B256" s="4472" t="s">
        <v>50</v>
      </c>
      <c r="C256" s="2966" t="str">
        <f>'20. DADM'!U410</f>
        <v>01 - Administración central</v>
      </c>
      <c r="D256" s="2966" t="str">
        <f>'20. DADM'!V410</f>
        <v>Tasas Generales, Impuestos, Contribuciones, Permisos, Licencias y Patentes</v>
      </c>
      <c r="E256" s="3140">
        <f>'20. DADM'!W410</f>
        <v>570102</v>
      </c>
      <c r="F256" s="3140" t="str">
        <f>'20. DADM'!X410</f>
        <v>0701</v>
      </c>
      <c r="G256" s="3140" t="str">
        <f>'20. DADM'!Y410</f>
        <v>002</v>
      </c>
      <c r="H256" s="8653">
        <f>'20. DADM'!Z410</f>
        <v>73833.86</v>
      </c>
      <c r="I256" s="2021"/>
    </row>
    <row r="257" spans="1:9" s="2022" customFormat="1" ht="47.25">
      <c r="A257" s="2021"/>
      <c r="B257" s="4472" t="s">
        <v>50</v>
      </c>
      <c r="C257" s="2966" t="str">
        <f>'20. DADM'!U411</f>
        <v>01 - Administración central</v>
      </c>
      <c r="D257" s="2966" t="str">
        <f>'20. DADM'!V411</f>
        <v>Tasas Generales, Impuestos, Contribuciones, Permisos, Licencias y Patentes</v>
      </c>
      <c r="E257" s="3140">
        <f>'20. DADM'!W411</f>
        <v>570102</v>
      </c>
      <c r="F257" s="3140" t="str">
        <f>'20. DADM'!X411</f>
        <v>0701</v>
      </c>
      <c r="G257" s="3140" t="str">
        <f>'20. DADM'!Y411</f>
        <v>003</v>
      </c>
      <c r="H257" s="8653">
        <f>'20. DADM'!Z411</f>
        <v>51500</v>
      </c>
      <c r="I257" s="2021"/>
    </row>
    <row r="258" spans="1:9" s="2022" customFormat="1">
      <c r="A258" s="2021"/>
      <c r="B258" s="4472" t="s">
        <v>50</v>
      </c>
      <c r="C258" s="2966" t="str">
        <f>'20. DADM'!U412</f>
        <v>01 - Administración central</v>
      </c>
      <c r="D258" s="2966" t="str">
        <f>'20. DADM'!V412</f>
        <v>Seguros</v>
      </c>
      <c r="E258" s="3140">
        <f>'20. DADM'!W412</f>
        <v>570201</v>
      </c>
      <c r="F258" s="3140" t="str">
        <f>'20. DADM'!X412</f>
        <v>0701</v>
      </c>
      <c r="G258" s="3140" t="str">
        <f>'20. DADM'!Y412</f>
        <v>002</v>
      </c>
      <c r="H258" s="8653">
        <f>'20. DADM'!Z412</f>
        <v>81999.999999999985</v>
      </c>
      <c r="I258" s="2021"/>
    </row>
    <row r="259" spans="1:9" s="2022" customFormat="1">
      <c r="A259" s="2021"/>
      <c r="B259" s="4472" t="s">
        <v>50</v>
      </c>
      <c r="C259" s="2966" t="str">
        <f>'20. DADM'!U413</f>
        <v>01 - Administración central</v>
      </c>
      <c r="D259" s="2966" t="str">
        <f>'20. DADM'!V413</f>
        <v>Seguros</v>
      </c>
      <c r="E259" s="3140">
        <f>'20. DADM'!W413</f>
        <v>570201</v>
      </c>
      <c r="F259" s="3140" t="str">
        <f>'20. DADM'!X413</f>
        <v>0701</v>
      </c>
      <c r="G259" s="3140" t="str">
        <f>'20. DADM'!Y413</f>
        <v>003</v>
      </c>
      <c r="H259" s="8653">
        <f>'20. DADM'!Z413</f>
        <v>11501.33</v>
      </c>
      <c r="I259" s="2021"/>
    </row>
    <row r="260" spans="1:9" s="2022" customFormat="1" ht="47.25">
      <c r="A260" s="2021"/>
      <c r="B260" s="4472" t="s">
        <v>50</v>
      </c>
      <c r="C260" s="2966" t="str">
        <f>'20. DADM'!U414</f>
        <v>01 - Administración central</v>
      </c>
      <c r="D260" s="2966" t="str">
        <f>'20. DADM'!V414</f>
        <v>Costas Judiciales, Trámites Notariales, Legalización 
de Documentos y Arreglos Extrajudiciales</v>
      </c>
      <c r="E260" s="3140">
        <f>'20. DADM'!W414</f>
        <v>570206</v>
      </c>
      <c r="F260" s="3140" t="str">
        <f>'20. DADM'!X414</f>
        <v>0701</v>
      </c>
      <c r="G260" s="3140" t="str">
        <f>'20. DADM'!Y414</f>
        <v>003</v>
      </c>
      <c r="H260" s="8653">
        <f>'20. DADM'!Z414</f>
        <v>2170</v>
      </c>
      <c r="I260" s="2961"/>
    </row>
    <row r="261" spans="1:9" s="2022" customFormat="1">
      <c r="A261" s="2021"/>
      <c r="B261" s="4472" t="s">
        <v>50</v>
      </c>
      <c r="C261" s="2966" t="str">
        <f>'20. DADM'!U415</f>
        <v>01 - Administración central</v>
      </c>
      <c r="D261" s="2966" t="str">
        <f>'20. DADM'!V415</f>
        <v>Mobiliarios</v>
      </c>
      <c r="E261" s="3140">
        <f>'20. DADM'!W415</f>
        <v>840103</v>
      </c>
      <c r="F261" s="3140" t="str">
        <f>'20. DADM'!X415</f>
        <v>0701</v>
      </c>
      <c r="G261" s="3140" t="str">
        <f>'20. DADM'!Y415</f>
        <v>001</v>
      </c>
      <c r="H261" s="8653">
        <f>'20. DADM'!Z415</f>
        <v>486</v>
      </c>
      <c r="I261" s="2021"/>
    </row>
    <row r="262" spans="1:9" s="2022" customFormat="1">
      <c r="A262" s="2021"/>
      <c r="B262" s="4472" t="s">
        <v>50</v>
      </c>
      <c r="C262" s="2966" t="str">
        <f>'20. DADM'!U416</f>
        <v>01 - Administración central</v>
      </c>
      <c r="D262" s="2966" t="str">
        <f>'20. DADM'!V416</f>
        <v>Mobiliarios</v>
      </c>
      <c r="E262" s="3140">
        <f>'20. DADM'!W416</f>
        <v>840103</v>
      </c>
      <c r="F262" s="3140" t="str">
        <f>'20. DADM'!X416</f>
        <v>0701</v>
      </c>
      <c r="G262" s="3140" t="str">
        <f>'20. DADM'!Y416</f>
        <v>003</v>
      </c>
      <c r="H262" s="8653">
        <f>'20. DADM'!Z416</f>
        <v>23198.45</v>
      </c>
      <c r="I262" s="2021"/>
    </row>
    <row r="263" spans="1:9" s="2022" customFormat="1">
      <c r="A263" s="2021"/>
      <c r="B263" s="4472" t="s">
        <v>50</v>
      </c>
      <c r="C263" s="2966" t="str">
        <f>'20. DADM'!U417</f>
        <v>01 - Administración central</v>
      </c>
      <c r="D263" s="2966" t="str">
        <f>'20. DADM'!V417</f>
        <v>Maquinarias y Equipos</v>
      </c>
      <c r="E263" s="3140">
        <f>'20. DADM'!W417</f>
        <v>840104</v>
      </c>
      <c r="F263" s="3140" t="str">
        <f>'20. DADM'!X417</f>
        <v>0701</v>
      </c>
      <c r="G263" s="3140" t="str">
        <f>'20. DADM'!Y417</f>
        <v>002</v>
      </c>
      <c r="H263" s="8653">
        <f>'20. DADM'!Z417</f>
        <v>39820</v>
      </c>
      <c r="I263" s="2021"/>
    </row>
    <row r="264" spans="1:9" s="2022" customFormat="1">
      <c r="A264" s="2021"/>
      <c r="B264" s="4472" t="s">
        <v>50</v>
      </c>
      <c r="C264" s="2966" t="str">
        <f>'20. DADM'!U418</f>
        <v>01 - Administración central</v>
      </c>
      <c r="D264" s="2966" t="str">
        <f>'20. DADM'!V418</f>
        <v>Maquinarias y Equipos</v>
      </c>
      <c r="E264" s="3140">
        <f>'20. DADM'!W418</f>
        <v>840104</v>
      </c>
      <c r="F264" s="3140" t="str">
        <f>'20. DADM'!X418</f>
        <v>0701</v>
      </c>
      <c r="G264" s="3140" t="str">
        <f>'20. DADM'!Y418</f>
        <v>003</v>
      </c>
      <c r="H264" s="8653">
        <f>'20. DADM'!Z418</f>
        <v>16973.78</v>
      </c>
      <c r="I264" s="2021"/>
    </row>
    <row r="265" spans="1:9" s="2022" customFormat="1">
      <c r="A265" s="2021"/>
      <c r="B265" s="4472" t="s">
        <v>50</v>
      </c>
      <c r="C265" s="2966" t="str">
        <f>'20. DADM'!U419</f>
        <v>01 - Administración central</v>
      </c>
      <c r="D265" s="2966" t="str">
        <f>'20. DADM'!V419</f>
        <v>Seguridad y Vigilancia</v>
      </c>
      <c r="E265" s="3140" t="str">
        <f>'20. DADM'!W419</f>
        <v>012 730208</v>
      </c>
      <c r="F265" s="3140" t="str">
        <f>'20. DADM'!X419</f>
        <v>0701</v>
      </c>
      <c r="G265" s="3140" t="str">
        <f>'20. DADM'!Y419</f>
        <v>202</v>
      </c>
      <c r="H265" s="8653">
        <f>'20. DADM'!Z419</f>
        <v>50279.23</v>
      </c>
      <c r="I265" s="2021"/>
    </row>
    <row r="266" spans="1:9" s="2022" customFormat="1">
      <c r="A266" s="2021"/>
      <c r="B266" s="4472" t="s">
        <v>50</v>
      </c>
      <c r="C266" s="2966" t="str">
        <f>'20. DADM'!U420</f>
        <v>01 - Administración central</v>
      </c>
      <c r="D266" s="2966" t="str">
        <f>'20. DADM'!V420</f>
        <v>Maquinarias y Equipos</v>
      </c>
      <c r="E266" s="3140" t="str">
        <f>'20. DADM'!W420</f>
        <v>012 840104</v>
      </c>
      <c r="F266" s="3140" t="str">
        <f>'20. DADM'!X420</f>
        <v>0701</v>
      </c>
      <c r="G266" s="3140" t="str">
        <f>'20. DADM'!Y420</f>
        <v>202</v>
      </c>
      <c r="H266" s="8653">
        <f>'20. DADM'!Z420</f>
        <v>33731.54</v>
      </c>
      <c r="I266" s="2021"/>
    </row>
    <row r="267" spans="1:9" s="2022" customFormat="1">
      <c r="A267" s="2021"/>
      <c r="B267" s="4472" t="s">
        <v>50</v>
      </c>
      <c r="C267" s="2966" t="str">
        <f>'20. DADM'!U421</f>
        <v>01 - Administración central</v>
      </c>
      <c r="D267" s="2966" t="str">
        <f>'20. DADM'!V421</f>
        <v>Maquinarias y Equipos</v>
      </c>
      <c r="E267" s="3140" t="str">
        <f>'20. DADM'!W421</f>
        <v>012 840104</v>
      </c>
      <c r="F267" s="3140" t="str">
        <f>'20. DADM'!X421</f>
        <v>0701</v>
      </c>
      <c r="G267" s="3140" t="str">
        <f>'20. DADM'!Y421</f>
        <v>998</v>
      </c>
      <c r="H267" s="8653">
        <f>'20. DADM'!Z421</f>
        <v>37765.46</v>
      </c>
      <c r="I267" s="2021"/>
    </row>
    <row r="268" spans="1:9" s="2022" customFormat="1">
      <c r="A268" s="2021"/>
      <c r="B268" s="4472" t="s">
        <v>50</v>
      </c>
      <c r="C268" s="2966" t="str">
        <f>'20. DADM'!U422</f>
        <v>01 - Administración central</v>
      </c>
      <c r="D268" s="2966" t="str">
        <f>'20. DADM'!V422</f>
        <v>Maquinarias y Equipos</v>
      </c>
      <c r="E268" s="3140">
        <f>'20. DADM'!W422</f>
        <v>840104</v>
      </c>
      <c r="F268" s="3140" t="str">
        <f>'20. DADM'!X422</f>
        <v>0701</v>
      </c>
      <c r="G268" s="3140" t="str">
        <f>'20. DADM'!Y422</f>
        <v>998</v>
      </c>
      <c r="H268" s="8653">
        <f>'20. DADM'!Z422</f>
        <v>39500</v>
      </c>
      <c r="I268" s="2021"/>
    </row>
    <row r="269" spans="1:9" s="2022" customFormat="1">
      <c r="A269" s="2021"/>
      <c r="B269" s="4472" t="s">
        <v>50</v>
      </c>
      <c r="C269" s="2966" t="str">
        <f>'20. DADM'!U423</f>
        <v>01 - Administración central</v>
      </c>
      <c r="D269" s="2966" t="str">
        <f>'20. DADM'!V423</f>
        <v>Herramientas</v>
      </c>
      <c r="E269" s="3140">
        <f>'20. DADM'!W423</f>
        <v>840106</v>
      </c>
      <c r="F269" s="3140" t="str">
        <f>'20. DADM'!X423</f>
        <v>0701</v>
      </c>
      <c r="G269" s="3140" t="str">
        <f>'20. DADM'!Y423</f>
        <v>002</v>
      </c>
      <c r="H269" s="8653">
        <f>'20. DADM'!Z423</f>
        <v>6300</v>
      </c>
      <c r="I269" s="2021"/>
    </row>
    <row r="270" spans="1:9" s="2022" customFormat="1">
      <c r="A270" s="2021"/>
      <c r="B270" s="4472" t="s">
        <v>50</v>
      </c>
      <c r="C270" s="2966" t="str">
        <f>'20. DADM'!U424</f>
        <v>01 - Administración central</v>
      </c>
      <c r="D270" s="2966" t="str">
        <f>'20. DADM'!V424</f>
        <v>Equipos, Sistemas y Paquetes Informáticos</v>
      </c>
      <c r="E270" s="3140">
        <f>'20. DADM'!W424</f>
        <v>840107</v>
      </c>
      <c r="F270" s="3140" t="str">
        <f>'20. DADM'!X424</f>
        <v>0701</v>
      </c>
      <c r="G270" s="3140" t="str">
        <f>'20. DADM'!Y424</f>
        <v>002</v>
      </c>
      <c r="H270" s="8653">
        <f>'20. DADM'!Z424</f>
        <v>879.99999999999989</v>
      </c>
      <c r="I270" s="2021"/>
    </row>
    <row r="271" spans="1:9" s="2022" customFormat="1">
      <c r="A271" s="2021"/>
      <c r="B271" s="4472" t="s">
        <v>50</v>
      </c>
      <c r="C271" s="2966" t="str">
        <f>'20. DADM'!U425</f>
        <v>01 - Administración central</v>
      </c>
      <c r="D271" s="2966" t="str">
        <f>'20. DADM'!V425</f>
        <v>Equipos, Sistemas y Paquetes Informáticos</v>
      </c>
      <c r="E271" s="3140">
        <f>'20. DADM'!W425</f>
        <v>840107</v>
      </c>
      <c r="F271" s="3140" t="str">
        <f>'20. DADM'!X425</f>
        <v>0701</v>
      </c>
      <c r="G271" s="3140" t="str">
        <f>'20. DADM'!Y425</f>
        <v>003</v>
      </c>
      <c r="H271" s="8653">
        <f>'20. DADM'!Z425</f>
        <v>3801.28</v>
      </c>
      <c r="I271" s="2021"/>
    </row>
    <row r="272" spans="1:9" s="2022" customFormat="1">
      <c r="A272" s="2021"/>
      <c r="B272" s="4472" t="s">
        <v>50</v>
      </c>
      <c r="C272" s="2966" t="str">
        <f>'20. DADM'!U426</f>
        <v>01 - Administración central</v>
      </c>
      <c r="D272" s="2966" t="str">
        <f>'20. DADM'!V426</f>
        <v>Equipos, Sistemas y Paquetes Informáticos</v>
      </c>
      <c r="E272" s="3140" t="str">
        <f>'20. DADM'!W426</f>
        <v>012 840107</v>
      </c>
      <c r="F272" s="3140" t="str">
        <f>'20. DADM'!X426</f>
        <v>0701</v>
      </c>
      <c r="G272" s="3140" t="str">
        <f>'20. DADM'!Y426</f>
        <v>202</v>
      </c>
      <c r="H272" s="8653">
        <f>'20. DADM'!Z426</f>
        <v>6088</v>
      </c>
      <c r="I272" s="2021"/>
    </row>
    <row r="273" spans="1:9" s="2022" customFormat="1" ht="31.5">
      <c r="A273" s="2021"/>
      <c r="B273" s="4472" t="s">
        <v>50</v>
      </c>
      <c r="C273" s="2966" t="str">
        <f>'20. DADM'!U427</f>
        <v>82 - Formación y gestión académica</v>
      </c>
      <c r="D273" s="2966" t="str">
        <f>'20. DADM'!V427</f>
        <v>Maquinarias y Equipos (Mantenimiento, Reparación e Instalación)</v>
      </c>
      <c r="E273" s="3140">
        <f>'20. DADM'!W427</f>
        <v>530404</v>
      </c>
      <c r="F273" s="3140" t="str">
        <f>'20. DADM'!X427</f>
        <v>0701</v>
      </c>
      <c r="G273" s="3140" t="str">
        <f>'20. DADM'!Y427</f>
        <v>001</v>
      </c>
      <c r="H273" s="8653">
        <f>'20. DADM'!Z427</f>
        <v>9072.0000000000018</v>
      </c>
      <c r="I273" s="2021"/>
    </row>
    <row r="274" spans="1:9" s="2022" customFormat="1" ht="31.5">
      <c r="A274" s="2021"/>
      <c r="B274" s="4472" t="s">
        <v>50</v>
      </c>
      <c r="C274" s="2966" t="str">
        <f>'20. DADM'!U428</f>
        <v>82 - Formación y gestión académica</v>
      </c>
      <c r="D274" s="2966" t="str">
        <f>'20. DADM'!V428</f>
        <v>Mobiliarios</v>
      </c>
      <c r="E274" s="3140">
        <f>'20. DADM'!W428</f>
        <v>531403</v>
      </c>
      <c r="F274" s="3140" t="str">
        <f>'20. DADM'!X428</f>
        <v>0701</v>
      </c>
      <c r="G274" s="3140" t="str">
        <f>'20. DADM'!Y428</f>
        <v>002</v>
      </c>
      <c r="H274" s="8653">
        <f>'20. DADM'!Z428</f>
        <v>57539.199999999997</v>
      </c>
      <c r="I274" s="2021"/>
    </row>
    <row r="275" spans="1:9" s="2022" customFormat="1" ht="47.25">
      <c r="A275" s="2021"/>
      <c r="B275" s="4472" t="s">
        <v>50</v>
      </c>
      <c r="C275" s="2966" t="str">
        <f>'20. DADM'!U429</f>
        <v>82 - Formación y gestión académica</v>
      </c>
      <c r="D275" s="2966" t="str">
        <f>'20. DADM'!V429</f>
        <v>Edificios, Locales, Residencias y Cableado Estructurado (Instalación, Mantenimiento y Reparación)</v>
      </c>
      <c r="E275" s="3140" t="str">
        <f>'20. DADM'!W429</f>
        <v>009 730402</v>
      </c>
      <c r="F275" s="3140" t="str">
        <f>'20. DADM'!X429</f>
        <v>0701</v>
      </c>
      <c r="G275" s="3140" t="str">
        <f>'20. DADM'!Y429</f>
        <v>202</v>
      </c>
      <c r="H275" s="8653">
        <f>'20. DADM'!Z429</f>
        <v>29947.41</v>
      </c>
      <c r="I275" s="2021"/>
    </row>
    <row r="276" spans="1:9" s="2022" customFormat="1" ht="47.25">
      <c r="A276" s="2021"/>
      <c r="B276" s="4472" t="s">
        <v>50</v>
      </c>
      <c r="C276" s="2966" t="str">
        <f>'20. DADM'!U430</f>
        <v>82 - Formación y gestión académica</v>
      </c>
      <c r="D276" s="2966" t="str">
        <f>'20. DADM'!V430</f>
        <v>Edificios, Locales, Residencias y Cableado Estructurado (Instalación, Mantenimiento y Reparación)</v>
      </c>
      <c r="E276" s="3140" t="str">
        <f>'20. DADM'!W430</f>
        <v>009 730402</v>
      </c>
      <c r="F276" s="3140" t="str">
        <f>'20. DADM'!X430</f>
        <v>0701</v>
      </c>
      <c r="G276" s="3140" t="str">
        <f>'20. DADM'!Y430</f>
        <v>998</v>
      </c>
      <c r="H276" s="8653">
        <f>'20. DADM'!Z430</f>
        <v>26785.57</v>
      </c>
      <c r="I276" s="2021"/>
    </row>
    <row r="277" spans="1:9" s="2022" customFormat="1" ht="31.5">
      <c r="A277" s="2021"/>
      <c r="B277" s="4472" t="s">
        <v>50</v>
      </c>
      <c r="C277" s="2966" t="str">
        <f>'20. DADM'!U431</f>
        <v>83 - Gestión de la Investigación</v>
      </c>
      <c r="D277" s="2966" t="str">
        <f>'20. DADM'!V431</f>
        <v>Fiscalización e Inspecciones Técnicas</v>
      </c>
      <c r="E277" s="3140" t="str">
        <f>'20. DADM'!W431</f>
        <v>006 730604</v>
      </c>
      <c r="F277" s="3140" t="str">
        <f>'20. DADM'!X431</f>
        <v>0701</v>
      </c>
      <c r="G277" s="3140" t="str">
        <f>'20. DADM'!Y431</f>
        <v>003</v>
      </c>
      <c r="H277" s="8653">
        <f>'20. DADM'!Z431</f>
        <v>62540.299999999996</v>
      </c>
      <c r="I277" s="2021"/>
    </row>
    <row r="278" spans="1:9" s="2022" customFormat="1" ht="31.5">
      <c r="A278" s="2021"/>
      <c r="B278" s="4472" t="s">
        <v>50</v>
      </c>
      <c r="C278" s="2966" t="str">
        <f>'20. DADM'!U432</f>
        <v>82 - Formación y gestión académica</v>
      </c>
      <c r="D278" s="2966" t="str">
        <f>'20. DADM'!V432</f>
        <v>Fiscalización e Inspecciones Técnicas</v>
      </c>
      <c r="E278" s="3140" t="str">
        <f>'20. DADM'!W432</f>
        <v>010 730604</v>
      </c>
      <c r="F278" s="3140" t="str">
        <f>'20. DADM'!X432</f>
        <v>0701</v>
      </c>
      <c r="G278" s="3140" t="str">
        <f>'20. DADM'!Y432</f>
        <v>202</v>
      </c>
      <c r="H278" s="8653">
        <f>'20. DADM'!Z432</f>
        <v>28840</v>
      </c>
      <c r="I278" s="2021"/>
    </row>
    <row r="279" spans="1:9" s="2022" customFormat="1" ht="31.5">
      <c r="A279" s="2021"/>
      <c r="B279" s="4472" t="s">
        <v>50</v>
      </c>
      <c r="C279" s="2966" t="str">
        <f>'20. DADM'!U437</f>
        <v>83 - Gestión de la Investigación</v>
      </c>
      <c r="D279" s="2966" t="str">
        <f>'20. DADM'!V437</f>
        <v>Construcciones y Edificaciones</v>
      </c>
      <c r="E279" s="3140" t="str">
        <f>'20. DADM'!W437</f>
        <v>006 750107</v>
      </c>
      <c r="F279" s="3140" t="str">
        <f>'20. DADM'!X437</f>
        <v>0701</v>
      </c>
      <c r="G279" s="3140" t="str">
        <f>'20. DADM'!Y437</f>
        <v>001</v>
      </c>
      <c r="H279" s="8653">
        <f>'20. DADM'!Z437</f>
        <v>1563507.51</v>
      </c>
      <c r="I279" s="2021"/>
    </row>
    <row r="280" spans="1:9" s="2022" customFormat="1" ht="31.5">
      <c r="A280" s="2021"/>
      <c r="B280" s="4472" t="s">
        <v>50</v>
      </c>
      <c r="C280" s="2966" t="str">
        <f>'20. DADM'!U433</f>
        <v>82 - Formación y gestión académica</v>
      </c>
      <c r="D280" s="2966" t="str">
        <f>'20. DADM'!V433</f>
        <v>Obras de Infraestructura</v>
      </c>
      <c r="E280" s="3140" t="str">
        <f>'20. DADM'!W433</f>
        <v>010 750501</v>
      </c>
      <c r="F280" s="3140" t="str">
        <f>'20. DADM'!X433</f>
        <v>0701</v>
      </c>
      <c r="G280" s="3140" t="str">
        <f>'20. DADM'!Y433</f>
        <v>001</v>
      </c>
      <c r="H280" s="8653">
        <f>'20. DADM'!Z433</f>
        <v>571596.12</v>
      </c>
      <c r="I280" s="2021"/>
    </row>
    <row r="281" spans="1:9" s="2022" customFormat="1" ht="31.5">
      <c r="A281" s="2021"/>
      <c r="B281" s="4472" t="s">
        <v>50</v>
      </c>
      <c r="C281" s="2966" t="str">
        <f>'20. DADM'!U434</f>
        <v>82 - Formación y gestión académica</v>
      </c>
      <c r="D281" s="2966" t="str">
        <f>'20. DADM'!V434</f>
        <v>Maquinarias y Equipos</v>
      </c>
      <c r="E281" s="3140" t="str">
        <f>'20. DADM'!W434</f>
        <v>009 840104</v>
      </c>
      <c r="F281" s="3140" t="str">
        <f>'20. DADM'!X434</f>
        <v>0701</v>
      </c>
      <c r="G281" s="3140" t="str">
        <f>'20. DADM'!Y434</f>
        <v>001</v>
      </c>
      <c r="H281" s="8653">
        <f>'20. DADM'!Z434</f>
        <v>41623.279999999999</v>
      </c>
      <c r="I281" s="2021"/>
    </row>
    <row r="282" spans="1:9" s="2022" customFormat="1" ht="31.5">
      <c r="A282" s="2021"/>
      <c r="B282" s="4472" t="s">
        <v>50</v>
      </c>
      <c r="C282" s="2966" t="str">
        <f>'20. DADM'!U435</f>
        <v>82 - Formación y gestión académica</v>
      </c>
      <c r="D282" s="2966" t="str">
        <f>'20. DADM'!V435</f>
        <v>Maquinarias y Equipos</v>
      </c>
      <c r="E282" s="3140" t="str">
        <f>'20. DADM'!W435</f>
        <v>009 840104</v>
      </c>
      <c r="F282" s="3140" t="str">
        <f>'20. DADM'!X435</f>
        <v>0701</v>
      </c>
      <c r="G282" s="3140" t="str">
        <f>'20. DADM'!Y435</f>
        <v>998</v>
      </c>
      <c r="H282" s="8653">
        <f>'20. DADM'!Z435</f>
        <v>90967.42</v>
      </c>
      <c r="I282" s="2021"/>
    </row>
    <row r="283" spans="1:9" s="2022" customFormat="1" ht="31.5">
      <c r="A283" s="2021"/>
      <c r="B283" s="4472" t="s">
        <v>50</v>
      </c>
      <c r="C283" s="2966" t="str">
        <f>'20. DADM'!U436</f>
        <v>82 - Formación y gestión académica</v>
      </c>
      <c r="D283" s="2966" t="str">
        <f>'20. DADM'!V436</f>
        <v>Maquinarias y Equipos</v>
      </c>
      <c r="E283" s="3140" t="str">
        <f>'20. DADM'!W436</f>
        <v>009 840104</v>
      </c>
      <c r="F283" s="3140" t="str">
        <f>'20. DADM'!X436</f>
        <v>0701</v>
      </c>
      <c r="G283" s="3140" t="str">
        <f>'20. DADM'!Y436</f>
        <v>202</v>
      </c>
      <c r="H283" s="8653">
        <f>'20. DADM'!Z436</f>
        <v>57635.19</v>
      </c>
      <c r="I283" s="2021"/>
    </row>
    <row r="284" spans="1:9" s="2022" customFormat="1" ht="31.5">
      <c r="A284" s="2021"/>
      <c r="B284" s="4472" t="s">
        <v>51</v>
      </c>
      <c r="C284" s="2966" t="str">
        <f>'21.1. FCA'!T701</f>
        <v>82 - Formación y gestión académica</v>
      </c>
      <c r="D284" s="2966" t="str">
        <f>'21.1. FCA'!U701</f>
        <v>Consultoría, Asesoría e Investigación Especializada</v>
      </c>
      <c r="E284" s="3140">
        <f>'21.1. FCA'!V701</f>
        <v>530601</v>
      </c>
      <c r="F284" s="3140" t="str">
        <f>'21.1. FCA'!W701</f>
        <v>0701</v>
      </c>
      <c r="G284" s="3140" t="str">
        <f>'21.1. FCA'!X701</f>
        <v>003</v>
      </c>
      <c r="H284" s="8653">
        <f>'21.1. FCA'!Y701</f>
        <v>0</v>
      </c>
      <c r="I284" s="2021"/>
    </row>
    <row r="285" spans="1:9" s="2022" customFormat="1" ht="31.5">
      <c r="A285" s="2021"/>
      <c r="B285" s="4472" t="s">
        <v>51</v>
      </c>
      <c r="C285" s="2966" t="str">
        <f>'21.1. FCA'!T702</f>
        <v>82 - Formación y gestión académica</v>
      </c>
      <c r="D285" s="2966" t="str">
        <f>'21.1. FCA'!U702</f>
        <v>Materiales de Aseo</v>
      </c>
      <c r="E285" s="3140">
        <f>'21.1. FCA'!V702</f>
        <v>530805</v>
      </c>
      <c r="F285" s="3140" t="str">
        <f>'21.1. FCA'!W702</f>
        <v>0701</v>
      </c>
      <c r="G285" s="3140" t="str">
        <f>'21.1. FCA'!X702</f>
        <v>001</v>
      </c>
      <c r="H285" s="8653">
        <f>'21.1. FCA'!Y702</f>
        <v>157.33333333333334</v>
      </c>
      <c r="I285" s="2021"/>
    </row>
    <row r="286" spans="1:9" s="2022" customFormat="1" ht="63">
      <c r="A286" s="2021"/>
      <c r="B286" s="4472" t="s">
        <v>51</v>
      </c>
      <c r="C286" s="2966" t="str">
        <f>'21.1. FCA'!T703</f>
        <v>82 - Formación y gestión académica</v>
      </c>
      <c r="D286" s="2966" t="str">
        <f>'21.1. FCA'!U703</f>
        <v>Insumos, Materiales y Suministros para Construcción, Electricidad, Plomería, Carpintería, Señalización Vial, Navegación, Contra Incendios y Placas</v>
      </c>
      <c r="E286" s="3140">
        <f>'21.1. FCA'!V703</f>
        <v>530811</v>
      </c>
      <c r="F286" s="3140" t="str">
        <f>'21.1. FCA'!W703</f>
        <v>0701</v>
      </c>
      <c r="G286" s="3140" t="str">
        <f>'21.1. FCA'!X703</f>
        <v>001</v>
      </c>
      <c r="H286" s="8653">
        <f>'21.1. FCA'!Y703</f>
        <v>6457.39</v>
      </c>
      <c r="I286" s="2021"/>
    </row>
    <row r="287" spans="1:9" s="2022" customFormat="1" ht="31.5">
      <c r="A287" s="2021"/>
      <c r="B287" s="4472" t="s">
        <v>51</v>
      </c>
      <c r="C287" s="2966" t="str">
        <f>'21.1. FCA'!T704</f>
        <v>82 - Formación y gestión académica</v>
      </c>
      <c r="D287" s="2966" t="str">
        <f>'21.1. FCA'!U704</f>
        <v>Repuestos y Accesorios</v>
      </c>
      <c r="E287" s="3140">
        <f>'21.1. FCA'!V704</f>
        <v>530813</v>
      </c>
      <c r="F287" s="3140" t="str">
        <f>'21.1. FCA'!W704</f>
        <v>0701</v>
      </c>
      <c r="G287" s="3140" t="str">
        <f>'21.1. FCA'!X704</f>
        <v>001</v>
      </c>
      <c r="H287" s="8653">
        <f>'21.1. FCA'!Y704</f>
        <v>308.76333333333332</v>
      </c>
      <c r="I287" s="2021"/>
    </row>
    <row r="288" spans="1:9" s="2022" customFormat="1" ht="31.5">
      <c r="A288" s="2021"/>
      <c r="B288" s="4472" t="s">
        <v>51</v>
      </c>
      <c r="C288" s="2966" t="str">
        <f>'21.1. FCA'!T705</f>
        <v>82 - Formación y gestión académica</v>
      </c>
      <c r="D288" s="2966" t="str">
        <f>'21.1. FCA'!U705</f>
        <v>Maquinarias y Equipos</v>
      </c>
      <c r="E288" s="3140">
        <f>'21.1. FCA'!V705</f>
        <v>531404</v>
      </c>
      <c r="F288" s="3140" t="str">
        <f>'21.1. FCA'!W705</f>
        <v>0701</v>
      </c>
      <c r="G288" s="3140" t="str">
        <f>'21.1. FCA'!X705</f>
        <v>001</v>
      </c>
      <c r="H288" s="8653">
        <f>'21.1. FCA'!Y705</f>
        <v>100</v>
      </c>
      <c r="I288" s="2021"/>
    </row>
    <row r="289" spans="1:10" s="2022" customFormat="1" ht="31.5">
      <c r="A289" s="2021"/>
      <c r="B289" s="4472" t="s">
        <v>51</v>
      </c>
      <c r="C289" s="2966" t="str">
        <f>'21.1. FCA'!T706</f>
        <v>82 - Formación y gestión académica</v>
      </c>
      <c r="D289" s="2966" t="str">
        <f>'21.1. FCA'!U706</f>
        <v>Herramientas y Equipos Menores</v>
      </c>
      <c r="E289" s="3140">
        <f>'21.1. FCA'!V706</f>
        <v>531406</v>
      </c>
      <c r="F289" s="3140" t="str">
        <f>'21.1. FCA'!W706</f>
        <v>0701</v>
      </c>
      <c r="G289" s="3140" t="str">
        <f>'21.1. FCA'!X706</f>
        <v>001</v>
      </c>
      <c r="H289" s="8653">
        <f>'21.1. FCA'!Y706</f>
        <v>521</v>
      </c>
      <c r="I289" s="2021"/>
    </row>
    <row r="290" spans="1:10" ht="31.5">
      <c r="A290" s="917"/>
      <c r="B290" s="4472" t="s">
        <v>51</v>
      </c>
      <c r="C290" s="2966" t="str">
        <f>'21.1. FCA'!T707</f>
        <v>82 - Formación y gestión académica</v>
      </c>
      <c r="D290" s="2966" t="str">
        <f>'21.1. FCA'!U707</f>
        <v>Equipos, Sistemas y Paquetes Informáticos</v>
      </c>
      <c r="E290" s="3140">
        <f>'21.1. FCA'!V707</f>
        <v>531407</v>
      </c>
      <c r="F290" s="3140" t="str">
        <f>'21.1. FCA'!W707</f>
        <v>0701</v>
      </c>
      <c r="G290" s="3140" t="str">
        <f>'21.1. FCA'!X707</f>
        <v>001</v>
      </c>
      <c r="H290" s="8653">
        <f>'21.1. FCA'!Y707</f>
        <v>760.50480000000005</v>
      </c>
      <c r="I290" s="917"/>
    </row>
    <row r="291" spans="1:10" ht="31.5">
      <c r="A291" s="917"/>
      <c r="B291" s="4472" t="s">
        <v>51</v>
      </c>
      <c r="C291" s="2966" t="str">
        <f>'21.1. FCA'!T708</f>
        <v>82 - Formación y gestión académica</v>
      </c>
      <c r="D291" s="2966" t="str">
        <f>'21.1. FCA'!U708</f>
        <v>Fondos de Reposición Cajas Chicas</v>
      </c>
      <c r="E291" s="3140">
        <f>'21.1. FCA'!V708</f>
        <v>531601</v>
      </c>
      <c r="F291" s="3140" t="str">
        <f>'21.1. FCA'!W708</f>
        <v>0701</v>
      </c>
      <c r="G291" s="3140" t="str">
        <f>'21.1. FCA'!X708</f>
        <v>001</v>
      </c>
      <c r="H291" s="8653">
        <f>'21.1. FCA'!Y708</f>
        <v>0</v>
      </c>
      <c r="I291" s="917"/>
    </row>
    <row r="292" spans="1:10" ht="31.5">
      <c r="A292" s="917"/>
      <c r="B292" s="4472" t="s">
        <v>51</v>
      </c>
      <c r="C292" s="2966" t="str">
        <f>'21.1. FCA'!T709</f>
        <v>82 - Formación y gestión académica</v>
      </c>
      <c r="D292" s="2966" t="str">
        <f>'21.1. FCA'!U709</f>
        <v>Equipos, Sistemas y Paquetes Informáticos</v>
      </c>
      <c r="E292" s="3140">
        <f>'21.1. FCA'!V709</f>
        <v>840107</v>
      </c>
      <c r="F292" s="3140" t="str">
        <f>'21.1. FCA'!W709</f>
        <v>0701</v>
      </c>
      <c r="G292" s="3140" t="str">
        <f>'21.1. FCA'!X709</f>
        <v>003</v>
      </c>
      <c r="H292" s="8653">
        <f>'21.1. FCA'!Y709</f>
        <v>1530.1984000000002</v>
      </c>
      <c r="I292" s="917"/>
    </row>
    <row r="293" spans="1:10" ht="47.25">
      <c r="A293" s="917"/>
      <c r="B293" s="4472" t="s">
        <v>51</v>
      </c>
      <c r="C293" s="2966" t="str">
        <f>'21.1. FCA'!T710</f>
        <v>83 - Gestión de la investigación</v>
      </c>
      <c r="D293" s="2966" t="str">
        <f>'21.1. FCA'!U710</f>
        <v>Edificios, Locales, Residencias y Cableado Estructurado (Instalación, Mantenimiento y Reparación)</v>
      </c>
      <c r="E293" s="3140">
        <f>'21.1. FCA'!V710</f>
        <v>530402</v>
      </c>
      <c r="F293" s="3140" t="str">
        <f>'21.1. FCA'!W710</f>
        <v>0701</v>
      </c>
      <c r="G293" s="3140" t="str">
        <f>'21.1. FCA'!X710</f>
        <v>001</v>
      </c>
      <c r="H293" s="8653">
        <f>'21.1. FCA'!Y710</f>
        <v>40550.85</v>
      </c>
      <c r="I293" s="917"/>
    </row>
    <row r="294" spans="1:10" ht="47.25">
      <c r="A294" s="917"/>
      <c r="B294" s="4472" t="s">
        <v>51</v>
      </c>
      <c r="C294" s="2966" t="str">
        <f>'21.1. FCA'!T711</f>
        <v>83 - Gestión de la investigación</v>
      </c>
      <c r="D294" s="2966" t="str">
        <f>'21.1. FCA'!U711</f>
        <v>Edificios, Locales, Residencias y Cableado Estructurado (Instalación, Mantenimiento y Reparación)</v>
      </c>
      <c r="E294" s="3140">
        <f>'21.1. FCA'!V711</f>
        <v>530402</v>
      </c>
      <c r="F294" s="3140" t="str">
        <f>'21.1. FCA'!W711</f>
        <v>0701</v>
      </c>
      <c r="G294" s="3140" t="str">
        <f>'21.1. FCA'!X711</f>
        <v>002</v>
      </c>
      <c r="H294" s="8653">
        <f>'21.1. FCA'!Y711</f>
        <v>31960.45</v>
      </c>
      <c r="I294" s="917"/>
    </row>
    <row r="295" spans="1:10" ht="31.5">
      <c r="A295" s="917"/>
      <c r="B295" s="4472" t="s">
        <v>51</v>
      </c>
      <c r="C295" s="2966" t="str">
        <f>'21.1. FCA'!T712</f>
        <v>83 - Gestión de la investigación</v>
      </c>
      <c r="D295" s="2966" t="str">
        <f>'21.1. FCA'!U712</f>
        <v>Maquinarias y Equipos (Instalación, Mantenimiento y Reparación)</v>
      </c>
      <c r="E295" s="3140">
        <f>'21.1. FCA'!V712</f>
        <v>530404</v>
      </c>
      <c r="F295" s="3140" t="str">
        <f>'21.1. FCA'!W712</f>
        <v>0701</v>
      </c>
      <c r="G295" s="3140" t="str">
        <f>'21.1. FCA'!X712</f>
        <v>003</v>
      </c>
      <c r="H295" s="8653">
        <f>'21.1. FCA'!Y712</f>
        <v>11000</v>
      </c>
      <c r="I295" s="917"/>
    </row>
    <row r="296" spans="1:10" ht="31.5">
      <c r="A296" s="917"/>
      <c r="B296" s="4472" t="s">
        <v>51</v>
      </c>
      <c r="C296" s="2966" t="str">
        <f>'21.1. FCA'!T713</f>
        <v>83 - Gestión de la investigación</v>
      </c>
      <c r="D296" s="2966" t="str">
        <f>'21.1. FCA'!U713</f>
        <v>Dispositivos Médicos para Laboratorio Clínico y de Patología</v>
      </c>
      <c r="E296" s="3140">
        <f>'21.1. FCA'!V713</f>
        <v>530810</v>
      </c>
      <c r="F296" s="3140" t="str">
        <f>'21.1. FCA'!W713</f>
        <v>0701</v>
      </c>
      <c r="G296" s="3140" t="str">
        <f>'21.1. FCA'!X713</f>
        <v>001</v>
      </c>
      <c r="H296" s="8653">
        <f>'21.1. FCA'!Y713</f>
        <v>0</v>
      </c>
      <c r="I296" s="917"/>
    </row>
    <row r="297" spans="1:10" ht="31.5">
      <c r="A297" s="917"/>
      <c r="B297" s="4472" t="s">
        <v>51</v>
      </c>
      <c r="C297" s="2966" t="str">
        <f>'21.1. FCA'!T714</f>
        <v>83 - Gestión de la investigación</v>
      </c>
      <c r="D297" s="2966" t="str">
        <f>'21.1. FCA'!U714</f>
        <v>Suministros para Actividades Agropecuarias, Pesca y Caza</v>
      </c>
      <c r="E297" s="3140">
        <f>'21.1. FCA'!V714</f>
        <v>530814</v>
      </c>
      <c r="F297" s="3140" t="str">
        <f>'21.1. FCA'!W714</f>
        <v>0701</v>
      </c>
      <c r="G297" s="3140" t="str">
        <f>'21.1. FCA'!X714</f>
        <v>003</v>
      </c>
      <c r="H297" s="8653">
        <f>'21.1. FCA'!Y714</f>
        <v>190.39999999999998</v>
      </c>
      <c r="I297" s="917"/>
      <c r="J297" s="2023"/>
    </row>
    <row r="298" spans="1:10" ht="31.5">
      <c r="A298" s="917"/>
      <c r="B298" s="4472" t="s">
        <v>51</v>
      </c>
      <c r="C298" s="2966" t="str">
        <f>'21.1. FCA'!T715</f>
        <v>83 - Gestión de la investigación</v>
      </c>
      <c r="D298" s="2966" t="str">
        <f>'21.1. FCA'!U715</f>
        <v>Egresos para Sanidad Agropecuaria</v>
      </c>
      <c r="E298" s="3140">
        <f>'21.1. FCA'!V715</f>
        <v>530823</v>
      </c>
      <c r="F298" s="3140" t="str">
        <f>'21.1. FCA'!W715</f>
        <v>0701</v>
      </c>
      <c r="G298" s="3140" t="str">
        <f>'21.1. FCA'!X715</f>
        <v>003</v>
      </c>
      <c r="H298" s="8653">
        <f>'21.1. FCA'!Y715</f>
        <v>173.99</v>
      </c>
      <c r="I298" s="917"/>
    </row>
    <row r="299" spans="1:10" ht="31.5">
      <c r="A299" s="917"/>
      <c r="B299" s="4472" t="s">
        <v>51</v>
      </c>
      <c r="C299" s="2966" t="str">
        <f>'21.1. FCA'!T716</f>
        <v>83 - Gestión de la investigación</v>
      </c>
      <c r="D299" s="2966" t="str">
        <f>'21.1. FCA'!U716</f>
        <v>Insumos, Materiales, Suministros y Bienes para Investigación</v>
      </c>
      <c r="E299" s="3140">
        <f>'21.1. FCA'!V716</f>
        <v>530829</v>
      </c>
      <c r="F299" s="3140" t="str">
        <f>'21.1. FCA'!W716</f>
        <v>0701</v>
      </c>
      <c r="G299" s="3140" t="str">
        <f>'21.1. FCA'!X716</f>
        <v>002</v>
      </c>
      <c r="H299" s="8653">
        <f>'21.1. FCA'!Y716</f>
        <v>333</v>
      </c>
      <c r="I299" s="917"/>
    </row>
    <row r="300" spans="1:10" ht="31.5">
      <c r="A300" s="917"/>
      <c r="B300" s="4472" t="s">
        <v>51</v>
      </c>
      <c r="C300" s="2966" t="str">
        <f>'21.1. FCA'!T717</f>
        <v>83 - Gestión de la investigación</v>
      </c>
      <c r="D300" s="2966" t="str">
        <f>'21.1. FCA'!U717</f>
        <v>Mobiliarios</v>
      </c>
      <c r="E300" s="3140">
        <f>'21.1. FCA'!V717</f>
        <v>531403</v>
      </c>
      <c r="F300" s="3140" t="str">
        <f>'21.1. FCA'!W717</f>
        <v>0701</v>
      </c>
      <c r="G300" s="3140" t="str">
        <f>'21.1. FCA'!X717</f>
        <v>002</v>
      </c>
      <c r="H300" s="8653">
        <f>'21.1. FCA'!Y717</f>
        <v>371.76000000000005</v>
      </c>
      <c r="I300" s="917"/>
    </row>
    <row r="301" spans="1:10" ht="31.5">
      <c r="A301" s="917"/>
      <c r="B301" s="4472" t="s">
        <v>51</v>
      </c>
      <c r="C301" s="2966" t="str">
        <f>'21.1. FCA'!T718</f>
        <v>83 - Gestión de la investigación</v>
      </c>
      <c r="D301" s="2966" t="str">
        <f>'21.1. FCA'!U718</f>
        <v>Maquinarias y Equipos</v>
      </c>
      <c r="E301" s="3140">
        <f>'21.1. FCA'!V718</f>
        <v>531404</v>
      </c>
      <c r="F301" s="3140" t="str">
        <f>'21.1. FCA'!W718</f>
        <v>0701</v>
      </c>
      <c r="G301" s="3140" t="str">
        <f>'21.1. FCA'!X718</f>
        <v>002</v>
      </c>
      <c r="H301" s="8653">
        <f>'21.1. FCA'!Y718</f>
        <v>798.28</v>
      </c>
      <c r="I301" s="917"/>
    </row>
    <row r="302" spans="1:10" ht="31.5">
      <c r="A302" s="917"/>
      <c r="B302" s="4472" t="s">
        <v>51</v>
      </c>
      <c r="C302" s="2966" t="str">
        <f>'21.1. FCA'!T719</f>
        <v>83 - Gestión de la investigación</v>
      </c>
      <c r="D302" s="2966" t="str">
        <f>'21.1. FCA'!U719</f>
        <v>Equipos, Sistemas y Paquetes Informáticos</v>
      </c>
      <c r="E302" s="3140">
        <f>'21.1. FCA'!V719</f>
        <v>531407</v>
      </c>
      <c r="F302" s="3140" t="str">
        <f>'21.1. FCA'!W719</f>
        <v>0701</v>
      </c>
      <c r="G302" s="3140" t="str">
        <f>'21.1. FCA'!X719</f>
        <v>001</v>
      </c>
      <c r="H302" s="8653">
        <f>'21.1. FCA'!Y719</f>
        <v>1881.52</v>
      </c>
      <c r="I302" s="917"/>
    </row>
    <row r="303" spans="1:10" ht="31.5">
      <c r="A303" s="917"/>
      <c r="B303" s="4472" t="s">
        <v>51</v>
      </c>
      <c r="C303" s="2966" t="str">
        <f>'21.1. FCA'!T720</f>
        <v>83 - Gestión de la investigación</v>
      </c>
      <c r="D303" s="2966" t="str">
        <f>'21.1. FCA'!U720</f>
        <v>Mobiliarios</v>
      </c>
      <c r="E303" s="3140">
        <f>'21.1. FCA'!V720</f>
        <v>840103</v>
      </c>
      <c r="F303" s="3140" t="str">
        <f>'21.1. FCA'!W720</f>
        <v>0701</v>
      </c>
      <c r="G303" s="3140" t="str">
        <f>'21.1. FCA'!X720</f>
        <v>002</v>
      </c>
      <c r="H303" s="8653">
        <f>'21.1. FCA'!Y720</f>
        <v>2800.0016000000005</v>
      </c>
      <c r="I303" s="917"/>
    </row>
    <row r="304" spans="1:10" ht="31.5">
      <c r="A304" s="917"/>
      <c r="B304" s="4472" t="s">
        <v>51</v>
      </c>
      <c r="C304" s="2966" t="str">
        <f>'21.1. FCA'!T721</f>
        <v>83 - Gestión de la investigación</v>
      </c>
      <c r="D304" s="2966" t="str">
        <f>'21.1. FCA'!U721</f>
        <v>Maquinarias y Equipos</v>
      </c>
      <c r="E304" s="3140">
        <f>'21.1. FCA'!V721</f>
        <v>840104</v>
      </c>
      <c r="F304" s="3140" t="str">
        <f>'21.1. FCA'!W721</f>
        <v>0701</v>
      </c>
      <c r="G304" s="3140" t="str">
        <f>'21.1. FCA'!X721</f>
        <v>001</v>
      </c>
      <c r="H304" s="8653">
        <f>'21.1. FCA'!Y721</f>
        <v>65824.59</v>
      </c>
      <c r="I304" s="917"/>
    </row>
    <row r="305" spans="1:10" ht="31.5">
      <c r="A305" s="917"/>
      <c r="B305" s="4472" t="s">
        <v>51</v>
      </c>
      <c r="C305" s="2966" t="str">
        <f>'21.1. FCA'!T722</f>
        <v>83 - Gestión de la investigación</v>
      </c>
      <c r="D305" s="2966" t="str">
        <f>'21.1. FCA'!U722</f>
        <v>Maquinarias y Equipos</v>
      </c>
      <c r="E305" s="3140">
        <f>'21.1. FCA'!V722</f>
        <v>840104</v>
      </c>
      <c r="F305" s="3140" t="str">
        <f>'21.1. FCA'!W722</f>
        <v>0701</v>
      </c>
      <c r="G305" s="3140" t="str">
        <f>'21.1. FCA'!X722</f>
        <v>002</v>
      </c>
      <c r="H305" s="8653">
        <f>'21.1. FCA'!Y722</f>
        <v>11800</v>
      </c>
      <c r="I305" s="917"/>
    </row>
    <row r="306" spans="1:10" ht="31.5">
      <c r="A306" s="917"/>
      <c r="B306" s="4472" t="s">
        <v>51</v>
      </c>
      <c r="C306" s="2966" t="str">
        <f>'21.1. FCA'!T723</f>
        <v>83 - Gestión de la investigación</v>
      </c>
      <c r="D306" s="2966" t="str">
        <f>'21.1. FCA'!U723</f>
        <v>Maquinarias y Equipos</v>
      </c>
      <c r="E306" s="3140">
        <f>'21.1. FCA'!V723</f>
        <v>840104</v>
      </c>
      <c r="F306" s="3140" t="str">
        <f>'21.1. FCA'!W723</f>
        <v>0701</v>
      </c>
      <c r="G306" s="3140" t="str">
        <f>'21.1. FCA'!X723</f>
        <v>003</v>
      </c>
      <c r="H306" s="8653">
        <f>'21.1. FCA'!Y723</f>
        <v>102143.41480000001</v>
      </c>
      <c r="I306" s="917"/>
    </row>
    <row r="307" spans="1:10" ht="31.5">
      <c r="A307" s="917"/>
      <c r="B307" s="4472" t="s">
        <v>51</v>
      </c>
      <c r="C307" s="2966" t="str">
        <f>'21.1. FCA'!T724</f>
        <v>83 - Gestión de la investigación</v>
      </c>
      <c r="D307" s="2966" t="str">
        <f>'21.1. FCA'!U724</f>
        <v>Maquinarias y Equipos</v>
      </c>
      <c r="E307" s="3140">
        <f>'21.1. FCA'!V724</f>
        <v>840104</v>
      </c>
      <c r="F307" s="3140" t="str">
        <f>'21.1. FCA'!W724</f>
        <v>0701</v>
      </c>
      <c r="G307" s="3140" t="str">
        <f>'21.1. FCA'!X724</f>
        <v>202</v>
      </c>
      <c r="H307" s="8653">
        <f>'21.1. FCA'!Y724</f>
        <v>17700</v>
      </c>
      <c r="I307" s="917"/>
    </row>
    <row r="308" spans="1:10" ht="31.5">
      <c r="A308" s="917"/>
      <c r="B308" s="4472" t="s">
        <v>51</v>
      </c>
      <c r="C308" s="2966" t="str">
        <f>'21.1. FCA'!T725</f>
        <v>84 - Gestión de la vinculación con la colectividad</v>
      </c>
      <c r="D308" s="2966" t="str">
        <f>'21.1. FCA'!U725</f>
        <v>Equipos, Sistemas y Paquetes Informáticos</v>
      </c>
      <c r="E308" s="3140">
        <f>'21.1. FCA'!V725</f>
        <v>840107</v>
      </c>
      <c r="F308" s="3140" t="str">
        <f>'21.1. FCA'!W725</f>
        <v>0701</v>
      </c>
      <c r="G308" s="3140" t="str">
        <f>'21.1. FCA'!X725</f>
        <v>003</v>
      </c>
      <c r="H308" s="8653">
        <f>'21.1. FCA'!Y725</f>
        <v>400</v>
      </c>
      <c r="I308" s="4458"/>
      <c r="J308" s="4460"/>
    </row>
    <row r="309" spans="1:10" ht="31.5">
      <c r="A309" s="917"/>
      <c r="B309" s="4472" t="s">
        <v>52</v>
      </c>
      <c r="C309" s="4469" t="str">
        <f>'21.2. FCE'!T716</f>
        <v>82 - Formación y gestión académica</v>
      </c>
      <c r="D309" s="4469" t="str">
        <f>'21.2. FCE'!U716</f>
        <v>Mobiliario</v>
      </c>
      <c r="E309" s="4470" t="str">
        <f>'21.2. FCE'!V716</f>
        <v>531403</v>
      </c>
      <c r="F309" s="4470" t="str">
        <f>'21.2. FCE'!W716</f>
        <v>0701</v>
      </c>
      <c r="G309" s="4470" t="str">
        <f>'21.2. FCE'!X716</f>
        <v>003</v>
      </c>
      <c r="H309" s="8655">
        <f>'21.2. FCE'!Y716</f>
        <v>1517.88</v>
      </c>
      <c r="I309" s="2960"/>
    </row>
    <row r="310" spans="1:10" ht="31.5">
      <c r="A310" s="917"/>
      <c r="B310" s="4472" t="s">
        <v>52</v>
      </c>
      <c r="C310" s="4469" t="str">
        <f>'21.2. FCE'!T717</f>
        <v>82 - Formación y gestión académica</v>
      </c>
      <c r="D310" s="4469" t="str">
        <f>'21.2. FCE'!U717</f>
        <v>Equipos, Sistemas y Paquetes Informáticos</v>
      </c>
      <c r="E310" s="4470" t="str">
        <f>'21.2. FCE'!V717</f>
        <v>531407</v>
      </c>
      <c r="F310" s="4470" t="str">
        <f>'21.2. FCE'!W717</f>
        <v>0701</v>
      </c>
      <c r="G310" s="4470" t="str">
        <f>'21.2. FCE'!X717</f>
        <v>001</v>
      </c>
      <c r="H310" s="8655">
        <f>'21.2. FCE'!Y717</f>
        <v>231.45920000000001</v>
      </c>
      <c r="I310" s="917"/>
    </row>
    <row r="311" spans="1:10" ht="31.5">
      <c r="A311" s="917"/>
      <c r="B311" s="4472" t="s">
        <v>52</v>
      </c>
      <c r="C311" s="4469" t="str">
        <f>'21.2. FCE'!T718</f>
        <v>82 - Formación y gestión académica</v>
      </c>
      <c r="D311" s="4469" t="str">
        <f>'21.2. FCE'!U718</f>
        <v>Equipos, Sistemas y Paquetes Informáticos</v>
      </c>
      <c r="E311" s="4470" t="str">
        <f>'21.2. FCE'!V718</f>
        <v>840107</v>
      </c>
      <c r="F311" s="4470" t="str">
        <f>'21.2. FCE'!W718</f>
        <v>0701</v>
      </c>
      <c r="G311" s="4470" t="str">
        <f>'21.2. FCE'!X718</f>
        <v>003</v>
      </c>
      <c r="H311" s="8655">
        <f>'21.2. FCE'!Y718</f>
        <v>6575.22</v>
      </c>
      <c r="I311" s="919"/>
      <c r="J311" s="8074"/>
    </row>
    <row r="312" spans="1:10" ht="31.5">
      <c r="A312" s="917"/>
      <c r="B312" s="4472" t="s">
        <v>52</v>
      </c>
      <c r="C312" s="4469" t="str">
        <f>'21.2. FCE'!T719</f>
        <v>83 - Gestión de la investigación</v>
      </c>
      <c r="D312" s="4469" t="str">
        <f>'21.2. FCE'!U719</f>
        <v>Membrecias</v>
      </c>
      <c r="E312" s="4470" t="str">
        <f>'21.2. FCE'!V719</f>
        <v>530239</v>
      </c>
      <c r="F312" s="4470" t="str">
        <f>'21.2. FCE'!W719</f>
        <v>0701</v>
      </c>
      <c r="G312" s="4470" t="str">
        <f>'21.2. FCE'!X719</f>
        <v>002</v>
      </c>
      <c r="H312" s="8655">
        <f>'21.2. FCE'!Y719</f>
        <v>1500</v>
      </c>
      <c r="I312" s="919"/>
      <c r="J312" s="8074"/>
    </row>
    <row r="313" spans="1:10" ht="31.5">
      <c r="A313" s="917"/>
      <c r="B313" s="4472" t="s">
        <v>52</v>
      </c>
      <c r="C313" s="4469" t="str">
        <f>'21.2. FCE'!T720</f>
        <v>83 - Gestión de la investigación</v>
      </c>
      <c r="D313" s="4469" t="str">
        <f>'21.2. FCE'!U720</f>
        <v>Arrendamiento y Licencias de Uso de Paquetes Informáticos</v>
      </c>
      <c r="E313" s="4470" t="str">
        <f>'21.2. FCE'!V720</f>
        <v>530702</v>
      </c>
      <c r="F313" s="4470" t="str">
        <f>'21.2. FCE'!W720</f>
        <v>0701</v>
      </c>
      <c r="G313" s="4470" t="str">
        <f>'21.2. FCE'!X720</f>
        <v>002</v>
      </c>
      <c r="H313" s="8655">
        <f>'21.2. FCE'!Y720</f>
        <v>5000</v>
      </c>
      <c r="I313" s="917"/>
    </row>
    <row r="314" spans="1:10" ht="31.5">
      <c r="A314" s="917"/>
      <c r="B314" s="4472" t="s">
        <v>52</v>
      </c>
      <c r="C314" s="4469" t="str">
        <f>'21.2. FCE'!T721</f>
        <v>83 - Gestión de la investigación</v>
      </c>
      <c r="D314" s="4469" t="str">
        <f>'21.2. FCE'!U721</f>
        <v>Mobiliario</v>
      </c>
      <c r="E314" s="4470" t="str">
        <f>'21.2. FCE'!V721</f>
        <v>840103</v>
      </c>
      <c r="F314" s="4470" t="str">
        <f>'21.2. FCE'!W721</f>
        <v>0701</v>
      </c>
      <c r="G314" s="4470" t="str">
        <f>'21.2. FCE'!X721</f>
        <v>003</v>
      </c>
      <c r="H314" s="8655">
        <f>'21.2. FCE'!Y721</f>
        <v>6087.12</v>
      </c>
      <c r="I314" s="917"/>
    </row>
    <row r="315" spans="1:10" ht="31.5">
      <c r="A315" s="917"/>
      <c r="B315" s="4472" t="s">
        <v>52</v>
      </c>
      <c r="C315" s="4469" t="str">
        <f>'21.2. FCE'!T722</f>
        <v>83 - Gestión de la investigación</v>
      </c>
      <c r="D315" s="4469" t="str">
        <f>'21.2. FCE'!U722</f>
        <v>Maquinarias y Equipos</v>
      </c>
      <c r="E315" s="4470" t="str">
        <f>'21.2. FCE'!V722</f>
        <v>840104</v>
      </c>
      <c r="F315" s="4470" t="str">
        <f>'21.2. FCE'!W722</f>
        <v>0701</v>
      </c>
      <c r="G315" s="4470" t="str">
        <f>'21.2. FCE'!X722</f>
        <v>003</v>
      </c>
      <c r="H315" s="8655">
        <f>'21.2. FCE'!Y722</f>
        <v>8505</v>
      </c>
      <c r="I315" s="917"/>
    </row>
    <row r="316" spans="1:10" ht="31.5">
      <c r="A316" s="917"/>
      <c r="B316" s="4472" t="s">
        <v>52</v>
      </c>
      <c r="C316" s="4469" t="str">
        <f>'21.2. FCE'!T723</f>
        <v>83 - Gestión de la investigación</v>
      </c>
      <c r="D316" s="4469" t="str">
        <f>'21.2. FCE'!U723</f>
        <v>Equipos, Sistemas y Paquetes Informáticos</v>
      </c>
      <c r="E316" s="4470" t="str">
        <f>'21.2. FCE'!V723</f>
        <v>840107</v>
      </c>
      <c r="F316" s="4470" t="str">
        <f>'21.2. FCE'!W723</f>
        <v>0701</v>
      </c>
      <c r="G316" s="4470" t="str">
        <f>'21.2. FCE'!X723</f>
        <v>003</v>
      </c>
      <c r="H316" s="8655">
        <f>'21.2. FCE'!Y723</f>
        <v>124404.52992</v>
      </c>
      <c r="I316" s="917"/>
    </row>
    <row r="317" spans="1:10" ht="31.5">
      <c r="A317" s="917"/>
      <c r="B317" s="4472" t="s">
        <v>52</v>
      </c>
      <c r="C317" s="4469" t="str">
        <f>'21.2. FCE'!T724</f>
        <v>84 - Gestión de la vinculación con la colectividad</v>
      </c>
      <c r="D317" s="4469" t="str">
        <f>'21.2. FCE'!U724</f>
        <v>Consultoría, Asesoría e Investigación Especializada</v>
      </c>
      <c r="E317" s="4470" t="str">
        <f>'21.2. FCE'!V724</f>
        <v>001 730601</v>
      </c>
      <c r="F317" s="4470" t="str">
        <f>'21.2. FCE'!W724</f>
        <v>0701</v>
      </c>
      <c r="G317" s="4470" t="str">
        <f>'21.2. FCE'!X724</f>
        <v>202</v>
      </c>
      <c r="H317" s="8655">
        <f>'21.2. FCE'!Y724</f>
        <v>349.05000000000291</v>
      </c>
      <c r="I317" s="917"/>
    </row>
    <row r="318" spans="1:10" ht="31.5">
      <c r="A318" s="917"/>
      <c r="B318" s="4472" t="s">
        <v>53</v>
      </c>
      <c r="C318" s="4469" t="str">
        <f>'21.3. FCQS'!T714</f>
        <v>82 - Formación y gestión académica</v>
      </c>
      <c r="D318" s="4469" t="str">
        <f>'21.3. FCQS'!U714</f>
        <v>Membrecías</v>
      </c>
      <c r="E318" s="4470">
        <f>'21.3. FCQS'!V714</f>
        <v>530239</v>
      </c>
      <c r="F318" s="4470">
        <f>'21.3. FCQS'!W714</f>
        <v>701</v>
      </c>
      <c r="G318" s="4470" t="str">
        <f>'21.3. FCQS'!X714</f>
        <v>002</v>
      </c>
      <c r="H318" s="8655">
        <f>'21.3. FCQS'!Y714</f>
        <v>4500</v>
      </c>
      <c r="I318" s="917"/>
    </row>
    <row r="319" spans="1:10" ht="47.25">
      <c r="A319" s="917"/>
      <c r="B319" s="4472" t="s">
        <v>53</v>
      </c>
      <c r="C319" s="4469" t="str">
        <f>'21.3. FCQS'!T715</f>
        <v>82 - Formación y gestión académica</v>
      </c>
      <c r="D319" s="4469" t="str">
        <f>'21.3. FCQS'!U715</f>
        <v>Edificios, Locales, Residencias y Cableado Estructurado (Instalación, Mantenimiento y Reparación)</v>
      </c>
      <c r="E319" s="4470">
        <f>'21.3. FCQS'!V715</f>
        <v>530402</v>
      </c>
      <c r="F319" s="4470">
        <f>'21.3. FCQS'!W715</f>
        <v>701</v>
      </c>
      <c r="G319" s="4470" t="str">
        <f>'21.3. FCQS'!X715</f>
        <v>003</v>
      </c>
      <c r="H319" s="8655">
        <f>'21.3. FCQS'!Y715</f>
        <v>5059.7</v>
      </c>
      <c r="I319" s="917"/>
    </row>
    <row r="320" spans="1:10" ht="31.5">
      <c r="A320" s="917"/>
      <c r="B320" s="4472" t="s">
        <v>53</v>
      </c>
      <c r="C320" s="4469" t="str">
        <f>'21.3. FCQS'!T716</f>
        <v>82 - Formación y gestión académica</v>
      </c>
      <c r="D320" s="4469" t="str">
        <f>'21.3. FCQS'!U716</f>
        <v>Equipos, Sistemas y Paquetes Informáticos</v>
      </c>
      <c r="E320" s="4470">
        <f>'21.3. FCQS'!V716</f>
        <v>840107</v>
      </c>
      <c r="F320" s="4470">
        <f>'21.3. FCQS'!W716</f>
        <v>701</v>
      </c>
      <c r="G320" s="4470" t="str">
        <f>'21.3. FCQS'!X716</f>
        <v>003</v>
      </c>
      <c r="H320" s="8655">
        <f>'21.3. FCQS'!Y716</f>
        <v>1310.6016000000002</v>
      </c>
      <c r="I320" s="917"/>
    </row>
    <row r="321" spans="1:10" ht="31.5">
      <c r="A321" s="917"/>
      <c r="B321" s="4472" t="s">
        <v>53</v>
      </c>
      <c r="C321" s="4469" t="str">
        <f>'21.3. FCQS'!T717</f>
        <v>83 - Gestión de la investigación</v>
      </c>
      <c r="D321" s="4469" t="str">
        <f>'21.3. FCQS'!U717</f>
        <v>Maquinarias y Equipos (Instalación, Mantenimiento y Reparación)</v>
      </c>
      <c r="E321" s="4470">
        <f>'21.3. FCQS'!V717</f>
        <v>530404</v>
      </c>
      <c r="F321" s="4470">
        <f>'21.3. FCQS'!W717</f>
        <v>701</v>
      </c>
      <c r="G321" s="4470" t="str">
        <f>'21.3. FCQS'!X717</f>
        <v>003</v>
      </c>
      <c r="H321" s="8655">
        <f>'21.3. FCQS'!Y717</f>
        <v>0</v>
      </c>
      <c r="I321" s="917"/>
    </row>
    <row r="322" spans="1:10" ht="31.5">
      <c r="A322" s="917"/>
      <c r="B322" s="4472" t="s">
        <v>53</v>
      </c>
      <c r="C322" s="4469" t="str">
        <f>'21.3. FCQS'!T718</f>
        <v>83 - Gestión de la investigación</v>
      </c>
      <c r="D322" s="4469" t="str">
        <f>'21.3. FCQS'!U718</f>
        <v>Materiales didacticos</v>
      </c>
      <c r="E322" s="4470">
        <f>'21.3. FCQS'!V718</f>
        <v>530812</v>
      </c>
      <c r="F322" s="4470">
        <f>'21.3. FCQS'!W718</f>
        <v>701</v>
      </c>
      <c r="G322" s="4470" t="str">
        <f>'21.3. FCQS'!X718</f>
        <v>001</v>
      </c>
      <c r="H322" s="8655">
        <f>'21.3. FCQS'!Y718</f>
        <v>56.000000000000007</v>
      </c>
      <c r="I322" s="917"/>
    </row>
    <row r="323" spans="1:10" ht="31.5">
      <c r="A323" s="917"/>
      <c r="B323" s="4472" t="s">
        <v>53</v>
      </c>
      <c r="C323" s="4469" t="str">
        <f>'21.3. FCQS'!T719</f>
        <v>83 - Gestión de la investigación</v>
      </c>
      <c r="D323" s="4469" t="str">
        <f>'21.3. FCQS'!U719</f>
        <v>Materiales didacticos</v>
      </c>
      <c r="E323" s="4470">
        <f>'21.3. FCQS'!V719</f>
        <v>530812</v>
      </c>
      <c r="F323" s="4470">
        <f>'21.3. FCQS'!W719</f>
        <v>701</v>
      </c>
      <c r="G323" s="4470" t="str">
        <f>'21.3. FCQS'!X719</f>
        <v>003</v>
      </c>
      <c r="H323" s="8655">
        <f>'21.3. FCQS'!Y719</f>
        <v>318.18079999999998</v>
      </c>
      <c r="I323" s="917"/>
      <c r="J323" s="2023"/>
    </row>
    <row r="324" spans="1:10" ht="31.5">
      <c r="A324" s="917"/>
      <c r="B324" s="4472" t="s">
        <v>53</v>
      </c>
      <c r="C324" s="4469" t="str">
        <f>'21.3. FCQS'!T720</f>
        <v>83 - Gestión de la investigación</v>
      </c>
      <c r="D324" s="4469" t="str">
        <f>'21.3. FCQS'!U720</f>
        <v>Accesorios e Insumos Químicos y Orgánicos</v>
      </c>
      <c r="E324" s="4470">
        <f>'21.3. FCQS'!V720</f>
        <v>530819</v>
      </c>
      <c r="F324" s="4470">
        <f>'21.3. FCQS'!W720</f>
        <v>701</v>
      </c>
      <c r="G324" s="4470" t="str">
        <f>'21.3. FCQS'!X720</f>
        <v>003</v>
      </c>
      <c r="H324" s="8655">
        <f>'21.3. FCQS'!Y720</f>
        <v>302.40000000000003</v>
      </c>
      <c r="I324" s="917"/>
    </row>
    <row r="325" spans="1:10" ht="31.5">
      <c r="A325" s="917"/>
      <c r="B325" s="4472" t="s">
        <v>53</v>
      </c>
      <c r="C325" s="4469" t="str">
        <f>'21.3. FCQS'!T721</f>
        <v>83 - Gestión de la investigación</v>
      </c>
      <c r="D325" s="4469" t="str">
        <f>'21.3. FCQS'!U721</f>
        <v>Egresos para Sanidad Agropecuaria</v>
      </c>
      <c r="E325" s="4470">
        <f>'21.3. FCQS'!V721</f>
        <v>530823</v>
      </c>
      <c r="F325" s="4470">
        <f>'21.3. FCQS'!W721</f>
        <v>701</v>
      </c>
      <c r="G325" s="4470" t="str">
        <f>'21.3. FCQS'!X721</f>
        <v>002</v>
      </c>
      <c r="H325" s="8655">
        <f>'21.3. FCQS'!Y721</f>
        <v>672.00000000000011</v>
      </c>
      <c r="I325" s="917"/>
    </row>
    <row r="326" spans="1:10" ht="31.5">
      <c r="A326" s="917"/>
      <c r="B326" s="4472" t="s">
        <v>53</v>
      </c>
      <c r="C326" s="4469" t="str">
        <f>'21.3. FCQS'!T722</f>
        <v>83 - Gestión de la investigación</v>
      </c>
      <c r="D326" s="4469" t="str">
        <f>'21.3. FCQS'!U722</f>
        <v>Insumos, Materiales, Suministros y Bienes para Investigación</v>
      </c>
      <c r="E326" s="4470">
        <f>'21.3. FCQS'!V722</f>
        <v>530829</v>
      </c>
      <c r="F326" s="4470">
        <f>'21.3. FCQS'!W722</f>
        <v>701</v>
      </c>
      <c r="G326" s="4470" t="str">
        <f>'21.3. FCQS'!X722</f>
        <v>002</v>
      </c>
      <c r="H326" s="8655">
        <f>'21.3. FCQS'!Y722</f>
        <v>2932.24</v>
      </c>
      <c r="I326" s="917"/>
    </row>
    <row r="327" spans="1:10" ht="31.5">
      <c r="A327" s="917"/>
      <c r="B327" s="4472" t="s">
        <v>53</v>
      </c>
      <c r="C327" s="4469" t="str">
        <f>'21.3. FCQS'!T723</f>
        <v>83 - Gestión de la investigación</v>
      </c>
      <c r="D327" s="4469" t="str">
        <f>'21.3. FCQS'!U723</f>
        <v>Herramientas y Equipos Menores</v>
      </c>
      <c r="E327" s="4470">
        <f>'21.3. FCQS'!V723</f>
        <v>531406</v>
      </c>
      <c r="F327" s="4470">
        <f>'21.3. FCQS'!W723</f>
        <v>701</v>
      </c>
      <c r="G327" s="4470" t="str">
        <f>'21.3. FCQS'!X723</f>
        <v>002</v>
      </c>
      <c r="H327" s="8655">
        <f>'21.3. FCQS'!Y723</f>
        <v>0</v>
      </c>
      <c r="I327" s="917"/>
    </row>
    <row r="328" spans="1:10" ht="31.5">
      <c r="A328" s="917"/>
      <c r="B328" s="4472" t="s">
        <v>53</v>
      </c>
      <c r="C328" s="4469" t="str">
        <f>'21.3. FCQS'!T724</f>
        <v>83 - Gestión de la investigación</v>
      </c>
      <c r="D328" s="4469" t="str">
        <f>'21.3. FCQS'!U724</f>
        <v>Maquinarias y Equipos</v>
      </c>
      <c r="E328" s="4470">
        <f>'21.3. FCQS'!V724</f>
        <v>840104</v>
      </c>
      <c r="F328" s="4470">
        <f>'21.3. FCQS'!W724</f>
        <v>701</v>
      </c>
      <c r="G328" s="4470" t="str">
        <f>'21.3. FCQS'!X724</f>
        <v>001</v>
      </c>
      <c r="H328" s="8655">
        <f>'21.3. FCQS'!Y724</f>
        <v>42093.220714285722</v>
      </c>
      <c r="I328" s="917"/>
    </row>
    <row r="329" spans="1:10" ht="31.5">
      <c r="A329" s="917"/>
      <c r="B329" s="4472" t="s">
        <v>53</v>
      </c>
      <c r="C329" s="4469" t="str">
        <f>'21.3. FCQS'!T725</f>
        <v>83 - Gestión de la investigación</v>
      </c>
      <c r="D329" s="4469" t="str">
        <f>'21.3. FCQS'!U725</f>
        <v>Maquinarias y Equipos</v>
      </c>
      <c r="E329" s="4470">
        <f>'21.3. FCQS'!V725</f>
        <v>840104</v>
      </c>
      <c r="F329" s="4470">
        <f>'21.3. FCQS'!W725</f>
        <v>701</v>
      </c>
      <c r="G329" s="4470" t="str">
        <f>'21.3. FCQS'!X725</f>
        <v>002</v>
      </c>
      <c r="H329" s="8655">
        <f>'21.3. FCQS'!Y725</f>
        <v>18003.1152</v>
      </c>
      <c r="I329" s="917"/>
    </row>
    <row r="330" spans="1:10" ht="31.5">
      <c r="A330" s="917"/>
      <c r="B330" s="4472" t="s">
        <v>53</v>
      </c>
      <c r="C330" s="4469" t="str">
        <f>'21.3. FCQS'!T726</f>
        <v>83 - Gestión de la investigación</v>
      </c>
      <c r="D330" s="4469" t="str">
        <f>'21.3. FCQS'!U726</f>
        <v>Maquinarias y Equipos</v>
      </c>
      <c r="E330" s="4470">
        <f>'21.3. FCQS'!V726</f>
        <v>840104</v>
      </c>
      <c r="F330" s="4470">
        <f>'21.3. FCQS'!W726</f>
        <v>701</v>
      </c>
      <c r="G330" s="4470" t="str">
        <f>'21.3. FCQS'!X726</f>
        <v>003</v>
      </c>
      <c r="H330" s="8655">
        <f>'21.3. FCQS'!Y726</f>
        <v>53003.322500000009</v>
      </c>
      <c r="I330" s="917"/>
    </row>
    <row r="331" spans="1:10" ht="31.5">
      <c r="A331" s="917"/>
      <c r="B331" s="4472" t="s">
        <v>53</v>
      </c>
      <c r="C331" s="4469" t="str">
        <f>'21.3. FCQS'!T727</f>
        <v>83 - Gestión de la investigación</v>
      </c>
      <c r="D331" s="4469" t="str">
        <f>'21.3. FCQS'!U727</f>
        <v>Equipos, Sistemas y Paquetes Informáticos</v>
      </c>
      <c r="E331" s="4470">
        <f>'21.3. FCQS'!V727</f>
        <v>840107</v>
      </c>
      <c r="F331" s="4470">
        <f>'21.3. FCQS'!W727</f>
        <v>701</v>
      </c>
      <c r="G331" s="4470" t="str">
        <f>'21.3. FCQS'!X727</f>
        <v>001</v>
      </c>
      <c r="H331" s="8655">
        <f>'21.3. FCQS'!Y727</f>
        <v>1252.98</v>
      </c>
      <c r="I331" s="917"/>
    </row>
    <row r="332" spans="1:10" ht="31.5">
      <c r="A332" s="917"/>
      <c r="B332" s="4472" t="s">
        <v>53</v>
      </c>
      <c r="C332" s="4469" t="str">
        <f>'21.3. FCQS'!T728</f>
        <v>84 - Gestión de la vinculación con la colectividad</v>
      </c>
      <c r="D332" s="4469" t="str">
        <f>'21.3. FCQS'!U728</f>
        <v>Maquinarias y Equipos (Instalación, Mantenimiento y Reparación)</v>
      </c>
      <c r="E332" s="4470">
        <f>'21.3. FCQS'!V728</f>
        <v>530404</v>
      </c>
      <c r="F332" s="4470">
        <f>'21.3. FCQS'!W728</f>
        <v>701</v>
      </c>
      <c r="G332" s="4470" t="str">
        <f>'21.3. FCQS'!X728</f>
        <v>002</v>
      </c>
      <c r="H332" s="8655">
        <f>'21.3. FCQS'!Y728</f>
        <v>2000</v>
      </c>
      <c r="I332" s="917"/>
    </row>
    <row r="333" spans="1:10" ht="31.5">
      <c r="A333" s="917"/>
      <c r="B333" s="4472" t="s">
        <v>53</v>
      </c>
      <c r="C333" s="4469" t="str">
        <f>'21.3. FCQS'!T729</f>
        <v>84 - Gestión de la vinculación con la colectividad</v>
      </c>
      <c r="D333" s="4469" t="str">
        <f>'21.3. FCQS'!U729</f>
        <v>Materiales Didácticos</v>
      </c>
      <c r="E333" s="4470">
        <f>'21.3. FCQS'!V729</f>
        <v>530812</v>
      </c>
      <c r="F333" s="4470">
        <f>'21.3. FCQS'!W729</f>
        <v>701</v>
      </c>
      <c r="G333" s="4470" t="str">
        <f>'21.3. FCQS'!X729</f>
        <v>002</v>
      </c>
      <c r="H333" s="8655">
        <f>'21.3. FCQS'!Y729</f>
        <v>781.76</v>
      </c>
      <c r="I333" s="917"/>
    </row>
    <row r="334" spans="1:10" ht="31.5">
      <c r="A334" s="917"/>
      <c r="B334" s="4472" t="s">
        <v>53</v>
      </c>
      <c r="C334" s="4469" t="str">
        <f>'21.3. FCQS'!T730</f>
        <v>84 - Gestión de la vinculación con la colectividad</v>
      </c>
      <c r="D334" s="4469" t="str">
        <f>'21.3. FCQS'!U730</f>
        <v>Dispositivos Médicos de Uso General</v>
      </c>
      <c r="E334" s="4470">
        <f>'21.3. FCQS'!V730</f>
        <v>530826</v>
      </c>
      <c r="F334" s="4470">
        <f>'21.3. FCQS'!W730</f>
        <v>701</v>
      </c>
      <c r="G334" s="4470" t="str">
        <f>'21.3. FCQS'!X730</f>
        <v>002</v>
      </c>
      <c r="H334" s="8655">
        <f>'21.3. FCQS'!Y730</f>
        <v>5600.0000000000018</v>
      </c>
      <c r="I334" s="917"/>
    </row>
    <row r="335" spans="1:10" ht="31.5">
      <c r="A335" s="917"/>
      <c r="B335" s="4472" t="s">
        <v>53</v>
      </c>
      <c r="C335" s="4469" t="str">
        <f>'21.3. FCQS'!T731</f>
        <v>84 - Gestión de la vinculación con la colectividad</v>
      </c>
      <c r="D335" s="4469" t="str">
        <f>'21.3. FCQS'!U731</f>
        <v>Mobiliarios</v>
      </c>
      <c r="E335" s="4470">
        <f>'21.3. FCQS'!V731</f>
        <v>840103</v>
      </c>
      <c r="F335" s="4470">
        <f>'21.3. FCQS'!W731</f>
        <v>701</v>
      </c>
      <c r="G335" s="4470" t="str">
        <f>'21.3. FCQS'!X731</f>
        <v>003</v>
      </c>
      <c r="H335" s="8655">
        <f>'21.3. FCQS'!Y731</f>
        <v>4555.5200000000004</v>
      </c>
      <c r="I335" s="917"/>
    </row>
    <row r="336" spans="1:10" ht="31.5">
      <c r="A336" s="917"/>
      <c r="B336" s="4472" t="s">
        <v>53</v>
      </c>
      <c r="C336" s="4469" t="str">
        <f>'21.3. FCQS'!T732</f>
        <v>84 - Gestión de la vinculación con la colectividad</v>
      </c>
      <c r="D336" s="4469" t="str">
        <f>'21.3. FCQS'!U732</f>
        <v>Maquinarias y Equipos</v>
      </c>
      <c r="E336" s="4470">
        <f>'21.3. FCQS'!V732</f>
        <v>840104</v>
      </c>
      <c r="F336" s="4470">
        <f>'21.3. FCQS'!W732</f>
        <v>701</v>
      </c>
      <c r="G336" s="4470" t="str">
        <f>'21.3. FCQS'!X732</f>
        <v>001</v>
      </c>
      <c r="H336" s="8655">
        <f>'21.3. FCQS'!Y732</f>
        <v>5643.93</v>
      </c>
      <c r="I336" s="917"/>
      <c r="J336" s="2024"/>
    </row>
    <row r="337" spans="1:10" ht="31.5">
      <c r="A337" s="917"/>
      <c r="B337" s="4472" t="s">
        <v>53</v>
      </c>
      <c r="C337" s="4469" t="str">
        <f>'21.3. FCQS'!T733</f>
        <v>84 - Gestión de la vinculación con la colectividad</v>
      </c>
      <c r="D337" s="4469" t="str">
        <f>'21.3. FCQS'!U733</f>
        <v>Maquinarias y Equipos</v>
      </c>
      <c r="E337" s="4470">
        <f>'21.3. FCQS'!V733</f>
        <v>840104</v>
      </c>
      <c r="F337" s="4470">
        <f>'21.3. FCQS'!W733</f>
        <v>701</v>
      </c>
      <c r="G337" s="4470" t="str">
        <f>'21.3. FCQS'!X733</f>
        <v>003</v>
      </c>
      <c r="H337" s="8655">
        <f>'21.3. FCQS'!Y733</f>
        <v>839.91</v>
      </c>
      <c r="I337" s="917"/>
    </row>
    <row r="338" spans="1:10" ht="31.5">
      <c r="A338" s="917"/>
      <c r="B338" s="4472" t="s">
        <v>53</v>
      </c>
      <c r="C338" s="4469" t="str">
        <f>'21.3. FCQS'!T734</f>
        <v>84 - Gestión de la vinculación con la colectividad</v>
      </c>
      <c r="D338" s="4469" t="str">
        <f>'21.3. FCQS'!U734</f>
        <v>Equipos Médicos</v>
      </c>
      <c r="E338" s="4470">
        <f>'21.3. FCQS'!V734</f>
        <v>840113</v>
      </c>
      <c r="F338" s="4470">
        <f>'21.3. FCQS'!W734</f>
        <v>701</v>
      </c>
      <c r="G338" s="4470" t="str">
        <f>'21.3. FCQS'!X734</f>
        <v>003</v>
      </c>
      <c r="H338" s="8655">
        <f>'21.3. FCQS'!Y734</f>
        <v>1512.0000000000002</v>
      </c>
      <c r="I338" s="917"/>
    </row>
    <row r="339" spans="1:10" ht="31.5">
      <c r="A339" s="917"/>
      <c r="B339" s="4472" t="s">
        <v>53</v>
      </c>
      <c r="C339" s="4469" t="str">
        <f>'21.3. FCQS'!T735</f>
        <v>84 - Gestión de la vinculación con la colectividad</v>
      </c>
      <c r="D339" s="4469" t="str">
        <f>'21.3. FCQS'!U735</f>
        <v>Equipos, Sistemas y Paquetes Informáticos</v>
      </c>
      <c r="E339" s="4470">
        <f>'21.3. FCQS'!V735</f>
        <v>840107</v>
      </c>
      <c r="F339" s="4470">
        <f>'21.3. FCQS'!W735</f>
        <v>701</v>
      </c>
      <c r="G339" s="4470" t="str">
        <f>'21.3. FCQS'!X735</f>
        <v>003</v>
      </c>
      <c r="H339" s="8655">
        <f>'21.3. FCQS'!Y735</f>
        <v>336.01000000000005</v>
      </c>
      <c r="I339" s="4459"/>
      <c r="J339" s="4460"/>
    </row>
    <row r="340" spans="1:10" ht="47.25">
      <c r="A340" s="917"/>
      <c r="B340" s="4472" t="s">
        <v>54</v>
      </c>
      <c r="C340" s="2966" t="str">
        <f>'21.4. FCS'!T1243</f>
        <v>82 - Formación y gestión académica</v>
      </c>
      <c r="D340" s="2966" t="str">
        <f>'21.4. FCS'!U1243</f>
        <v>Edificios, Locales, Residencias y Cableado Estructurado (Instalación, Mantenimiento y Reparación)</v>
      </c>
      <c r="E340" s="3140">
        <f>'21.4. FCS'!V1243</f>
        <v>530402</v>
      </c>
      <c r="F340" s="3140" t="str">
        <f>'21.4. FCS'!W1243</f>
        <v>0701</v>
      </c>
      <c r="G340" s="3140" t="str">
        <f>'21.4. FCS'!X1243</f>
        <v>002</v>
      </c>
      <c r="H340" s="8653">
        <f>'21.4. FCS'!Y1243</f>
        <v>0</v>
      </c>
      <c r="I340" s="4459"/>
      <c r="J340" s="4460"/>
    </row>
    <row r="341" spans="1:10" ht="31.5">
      <c r="A341" s="917"/>
      <c r="B341" s="4472" t="s">
        <v>54</v>
      </c>
      <c r="C341" s="2966" t="str">
        <f>'21.4. FCS'!T1244</f>
        <v>82 - Formación y gestión académica</v>
      </c>
      <c r="D341" s="2966" t="str">
        <f>'21.4. FCS'!U1244</f>
        <v>Mobiliario</v>
      </c>
      <c r="E341" s="3140">
        <f>'21.4. FCS'!V1244</f>
        <v>531403</v>
      </c>
      <c r="F341" s="3140" t="str">
        <f>'21.4. FCS'!W1244</f>
        <v>0701</v>
      </c>
      <c r="G341" s="3140" t="str">
        <f>'21.4. FCS'!X1244</f>
        <v>003</v>
      </c>
      <c r="H341" s="8653">
        <f>'21.4. FCS'!Y1244</f>
        <v>868.55</v>
      </c>
      <c r="I341" s="917"/>
      <c r="J341" s="2025"/>
    </row>
    <row r="342" spans="1:10" ht="31.5">
      <c r="A342" s="917"/>
      <c r="B342" s="4472" t="s">
        <v>54</v>
      </c>
      <c r="C342" s="2966" t="str">
        <f>'21.4. FCS'!T1245</f>
        <v>82 - Formación y gestión académica</v>
      </c>
      <c r="D342" s="2966" t="str">
        <f>'21.4. FCS'!U1245</f>
        <v>Bienes Artísticos, Culturales, Deportivos y Símbolos Patrios</v>
      </c>
      <c r="E342" s="3140">
        <f>'21.4. FCS'!V1245</f>
        <v>531408</v>
      </c>
      <c r="F342" s="3140" t="str">
        <f>'21.4. FCS'!W1245</f>
        <v>0701</v>
      </c>
      <c r="G342" s="3140" t="str">
        <f>'21.4. FCS'!X1245</f>
        <v>001</v>
      </c>
      <c r="H342" s="8653">
        <f>'21.4. FCS'!Y1245</f>
        <v>1179.75</v>
      </c>
      <c r="I342" s="917"/>
    </row>
    <row r="343" spans="1:10" ht="31.5">
      <c r="A343" s="917"/>
      <c r="B343" s="4472" t="s">
        <v>54</v>
      </c>
      <c r="C343" s="2966" t="str">
        <f>'21.4. FCS'!T1246</f>
        <v>82 - Formación y gestión académica</v>
      </c>
      <c r="D343" s="2966" t="str">
        <f>'21.4. FCS'!U1246</f>
        <v>Mobiliarios</v>
      </c>
      <c r="E343" s="3140">
        <f>'21.4. FCS'!V1246</f>
        <v>840103</v>
      </c>
      <c r="F343" s="3140" t="str">
        <f>'21.4. FCS'!W1246</f>
        <v>0701</v>
      </c>
      <c r="G343" s="3140" t="str">
        <f>'21.4. FCS'!X1246</f>
        <v>001</v>
      </c>
      <c r="H343" s="8653">
        <f>'21.4. FCS'!Y1246</f>
        <v>860</v>
      </c>
      <c r="I343" s="917"/>
    </row>
    <row r="344" spans="1:10" ht="31.5">
      <c r="A344" s="917"/>
      <c r="B344" s="4472" t="s">
        <v>54</v>
      </c>
      <c r="C344" s="2966" t="str">
        <f>'21.4. FCS'!T1247</f>
        <v>82 - Formación y gestión académica</v>
      </c>
      <c r="D344" s="2966" t="str">
        <f>'21.4. FCS'!U1247</f>
        <v>Mobiliarios</v>
      </c>
      <c r="E344" s="3140">
        <f>'21.4. FCS'!V1247</f>
        <v>840103</v>
      </c>
      <c r="F344" s="3140" t="str">
        <f>'21.4. FCS'!W1247</f>
        <v>0701</v>
      </c>
      <c r="G344" s="3140" t="str">
        <f>'21.4. FCS'!X1247</f>
        <v>003</v>
      </c>
      <c r="H344" s="8653">
        <f>'21.4. FCS'!Y1247</f>
        <v>12958.62</v>
      </c>
      <c r="I344" s="917"/>
    </row>
    <row r="345" spans="1:10" ht="31.5">
      <c r="A345" s="917"/>
      <c r="B345" s="4472" t="s">
        <v>54</v>
      </c>
      <c r="C345" s="2966" t="str">
        <f>'21.4. FCS'!T1248</f>
        <v>82 - Formación y gestión académica</v>
      </c>
      <c r="D345" s="2966" t="str">
        <f>'21.4. FCS'!U1248</f>
        <v>Maquinarias y Equipos</v>
      </c>
      <c r="E345" s="3140">
        <f>'21.4. FCS'!V1248</f>
        <v>840104</v>
      </c>
      <c r="F345" s="3140" t="str">
        <f>'21.4. FCS'!W1248</f>
        <v>0701</v>
      </c>
      <c r="G345" s="3140" t="str">
        <f>'21.4. FCS'!X1248</f>
        <v>003</v>
      </c>
      <c r="H345" s="8653">
        <f>'21.4. FCS'!Y1248</f>
        <v>1325</v>
      </c>
      <c r="I345" s="2960"/>
      <c r="J345" s="2027"/>
    </row>
    <row r="346" spans="1:10" ht="31.5">
      <c r="A346" s="917"/>
      <c r="B346" s="4472" t="s">
        <v>54</v>
      </c>
      <c r="C346" s="2966" t="str">
        <f>'21.4. FCS'!T1249</f>
        <v>82 - Formación y gestión académica</v>
      </c>
      <c r="D346" s="2966" t="str">
        <f>'21.4. FCS'!U1249</f>
        <v>Bienes Prefabricados (Inmuebles)</v>
      </c>
      <c r="E346" s="3140">
        <f>'21.4. FCS'!V1249</f>
        <v>840203</v>
      </c>
      <c r="F346" s="3140" t="str">
        <f>'21.4. FCS'!W1249</f>
        <v>0701</v>
      </c>
      <c r="G346" s="3140" t="str">
        <f>'21.4. FCS'!X1249</f>
        <v>001</v>
      </c>
      <c r="H346" s="8653">
        <f>'21.4. FCS'!Y1249</f>
        <v>329688.40999999997</v>
      </c>
      <c r="I346" s="917"/>
    </row>
    <row r="347" spans="1:10" ht="31.5">
      <c r="A347" s="917"/>
      <c r="B347" s="4472" t="s">
        <v>54</v>
      </c>
      <c r="C347" s="2966" t="str">
        <f>'21.4. FCS'!T1250</f>
        <v>83 - Gestión de la investigación</v>
      </c>
      <c r="D347" s="2966" t="str">
        <f>'21.4. FCS'!U1250</f>
        <v>Edición, Impresión y Reproducción</v>
      </c>
      <c r="E347" s="3140">
        <f>'21.4. FCS'!V1250</f>
        <v>530204</v>
      </c>
      <c r="F347" s="3140" t="str">
        <f>'21.4. FCS'!W1250</f>
        <v>0701</v>
      </c>
      <c r="G347" s="3140" t="str">
        <f>'21.4. FCS'!X1250</f>
        <v>001</v>
      </c>
      <c r="H347" s="8653">
        <f>'21.4. FCS'!Y1250</f>
        <v>2000</v>
      </c>
      <c r="I347" s="917"/>
    </row>
    <row r="348" spans="1:10" ht="31.5">
      <c r="A348" s="917"/>
      <c r="B348" s="4472" t="s">
        <v>54</v>
      </c>
      <c r="C348" s="2966" t="str">
        <f>'21.4. FCS'!T1251</f>
        <v>83 - Gestión de la investigación</v>
      </c>
      <c r="D348" s="2966" t="str">
        <f>'21.4. FCS'!U1251</f>
        <v>Materiales Didácticos</v>
      </c>
      <c r="E348" s="3140">
        <f>'21.4. FCS'!V1251</f>
        <v>530812</v>
      </c>
      <c r="F348" s="3140" t="str">
        <f>'21.4. FCS'!W1251</f>
        <v>0701</v>
      </c>
      <c r="G348" s="3140" t="str">
        <f>'21.4. FCS'!X1251</f>
        <v>003</v>
      </c>
      <c r="H348" s="8653">
        <f>'21.4. FCS'!Y1251</f>
        <v>2477.5000000000005</v>
      </c>
      <c r="I348" s="917"/>
    </row>
    <row r="349" spans="1:10" ht="31.5">
      <c r="A349" s="917"/>
      <c r="B349" s="4472" t="s">
        <v>54</v>
      </c>
      <c r="C349" s="2966" t="str">
        <f>'21.4. FCS'!T1252</f>
        <v>83 - Gestión de la investigación</v>
      </c>
      <c r="D349" s="2966" t="str">
        <f>'21.4. FCS'!U1252</f>
        <v>Maquinarias y Equipos</v>
      </c>
      <c r="E349" s="3140">
        <f>'21.4. FCS'!V1252</f>
        <v>840104</v>
      </c>
      <c r="F349" s="3140" t="str">
        <f>'21.4. FCS'!W1252</f>
        <v>0701</v>
      </c>
      <c r="G349" s="3140" t="str">
        <f>'21.4. FCS'!X1252</f>
        <v>002</v>
      </c>
      <c r="H349" s="8653">
        <f>'21.4. FCS'!Y1252</f>
        <v>28605.919999999998</v>
      </c>
      <c r="I349" s="917"/>
    </row>
    <row r="350" spans="1:10" ht="31.5">
      <c r="A350" s="917"/>
      <c r="B350" s="4472" t="s">
        <v>54</v>
      </c>
      <c r="C350" s="2966" t="str">
        <f>'21.4. FCS'!T1253</f>
        <v>83 - Gestión de la investigación</v>
      </c>
      <c r="D350" s="2966" t="str">
        <f>'21.4. FCS'!U1253</f>
        <v>Maquinarias y Equipos</v>
      </c>
      <c r="E350" s="3140">
        <f>'21.4. FCS'!V1253</f>
        <v>840104</v>
      </c>
      <c r="F350" s="3140" t="str">
        <f>'21.4. FCS'!W1253</f>
        <v>0701</v>
      </c>
      <c r="G350" s="3140" t="str">
        <f>'21.4. FCS'!X1253</f>
        <v>003</v>
      </c>
      <c r="H350" s="8653">
        <f>'21.4. FCS'!Y1253</f>
        <v>0</v>
      </c>
      <c r="I350" s="917"/>
    </row>
    <row r="351" spans="1:10" ht="31.5">
      <c r="A351" s="917"/>
      <c r="B351" s="4472" t="s">
        <v>54</v>
      </c>
      <c r="C351" s="2966" t="str">
        <f>'21.4. FCS'!T1254</f>
        <v>83 - Gestión de la investigación</v>
      </c>
      <c r="D351" s="2966" t="str">
        <f>'21.4. FCS'!U1254</f>
        <v>Equipos, Sistemas y Paquetes Informáticos</v>
      </c>
      <c r="E351" s="3140" t="str">
        <f>'21.4. FCS'!V1254</f>
        <v>840107</v>
      </c>
      <c r="F351" s="3140" t="str">
        <f>'21.4. FCS'!W1254</f>
        <v>0701</v>
      </c>
      <c r="G351" s="3140" t="str">
        <f>'21.4. FCS'!X1254</f>
        <v>003</v>
      </c>
      <c r="H351" s="8653">
        <f>'21.4. FCS'!Y1254</f>
        <v>9820</v>
      </c>
      <c r="I351" s="8119"/>
    </row>
    <row r="352" spans="1:10" ht="47.25">
      <c r="A352" s="917"/>
      <c r="B352" s="4472" t="s">
        <v>54</v>
      </c>
      <c r="C352" s="2966" t="str">
        <f>'21.4. FCS'!T1255</f>
        <v>84 - Gestión de la vinculación con la colectividad</v>
      </c>
      <c r="D352" s="2966" t="str">
        <f>'21.4. FCS'!U1255</f>
        <v>Edificios, Locales, Residencias y Cableado Estructurado (Instalación, Mantenimiento y Reparación)</v>
      </c>
      <c r="E352" s="3140">
        <f>'21.4. FCS'!V1255</f>
        <v>530402</v>
      </c>
      <c r="F352" s="3140" t="str">
        <f>'21.4. FCS'!W1255</f>
        <v>0701</v>
      </c>
      <c r="G352" s="3140" t="str">
        <f>'21.4. FCS'!X1255</f>
        <v>002</v>
      </c>
      <c r="H352" s="8653">
        <f>'21.4. FCS'!Y1255</f>
        <v>4961.1499999999996</v>
      </c>
      <c r="I352" s="917"/>
    </row>
    <row r="353" spans="1:10" ht="31.5">
      <c r="A353" s="917"/>
      <c r="B353" s="4472" t="s">
        <v>54</v>
      </c>
      <c r="C353" s="2966" t="str">
        <f>'21.4. FCS'!T1256</f>
        <v>84 - Gestión de la vinculación con la colectividad</v>
      </c>
      <c r="D353" s="2966" t="str">
        <f>'21.4. FCS'!U1256</f>
        <v>Materiales de Oficina</v>
      </c>
      <c r="E353" s="3140">
        <f>'21.4. FCS'!V1256</f>
        <v>530804</v>
      </c>
      <c r="F353" s="3140" t="str">
        <f>'21.4. FCS'!W1256</f>
        <v>0701</v>
      </c>
      <c r="G353" s="3140" t="str">
        <f>'21.4. FCS'!X1256</f>
        <v>002</v>
      </c>
      <c r="H353" s="8653">
        <f>'21.4. FCS'!Y1256</f>
        <v>275.31</v>
      </c>
      <c r="I353" s="917"/>
    </row>
    <row r="354" spans="1:10" ht="31.5">
      <c r="A354" s="917"/>
      <c r="B354" s="4472" t="s">
        <v>54</v>
      </c>
      <c r="C354" s="2966" t="str">
        <f>'21.4. FCS'!T1257</f>
        <v>84 - Gestión de la vinculación con la colectividad</v>
      </c>
      <c r="D354" s="2966" t="str">
        <f>'21.4. FCS'!U1257</f>
        <v>Materiales de Impresión, Fotografía, Reproducción y Publicaciones</v>
      </c>
      <c r="E354" s="3140">
        <f>'21.4. FCS'!V1257</f>
        <v>530807</v>
      </c>
      <c r="F354" s="3140" t="str">
        <f>'21.4. FCS'!W1257</f>
        <v>0701</v>
      </c>
      <c r="G354" s="3140" t="str">
        <f>'21.4. FCS'!X1257</f>
        <v>002</v>
      </c>
      <c r="H354" s="8653">
        <f>'21.4. FCS'!Y1257</f>
        <v>332.64000000000004</v>
      </c>
      <c r="I354" s="917"/>
    </row>
    <row r="355" spans="1:10" ht="31.5">
      <c r="A355" s="917"/>
      <c r="B355" s="4472" t="s">
        <v>54</v>
      </c>
      <c r="C355" s="2966" t="str">
        <f>'21.4. FCS'!T1258</f>
        <v>84 - Gestión de la vinculación con la colectividad</v>
      </c>
      <c r="D355" s="2966" t="str">
        <f>'21.4. FCS'!U1258</f>
        <v>Mobiliarios</v>
      </c>
      <c r="E355" s="3140">
        <f>'21.4. FCS'!V1258</f>
        <v>531403</v>
      </c>
      <c r="F355" s="3140" t="str">
        <f>'21.4. FCS'!W1258</f>
        <v>0701</v>
      </c>
      <c r="G355" s="3140" t="str">
        <f>'21.4. FCS'!X1258</f>
        <v>002</v>
      </c>
      <c r="H355" s="8653">
        <f>'21.4. FCS'!Y1258</f>
        <v>158.88</v>
      </c>
      <c r="I355" s="917"/>
    </row>
    <row r="356" spans="1:10" ht="31.5">
      <c r="A356" s="917"/>
      <c r="B356" s="4472" t="s">
        <v>54</v>
      </c>
      <c r="C356" s="2966" t="str">
        <f>'21.4. FCS'!T1259</f>
        <v>84 - Gestión de la vinculación con la colectividad</v>
      </c>
      <c r="D356" s="2966" t="str">
        <f>'21.4. FCS'!U1259</f>
        <v>Mobiliarios</v>
      </c>
      <c r="E356" s="3140">
        <f>'21.4. FCS'!V1259</f>
        <v>840103</v>
      </c>
      <c r="F356" s="3140" t="str">
        <f>'21.4. FCS'!W1259</f>
        <v>0701</v>
      </c>
      <c r="G356" s="3140" t="str">
        <f>'21.4. FCS'!X1259</f>
        <v>002</v>
      </c>
      <c r="H356" s="8653">
        <f>'21.4. FCS'!Y1259</f>
        <v>718.03</v>
      </c>
      <c r="I356" s="917"/>
    </row>
    <row r="357" spans="1:10" ht="31.5">
      <c r="A357" s="917"/>
      <c r="B357" s="4472" t="s">
        <v>54</v>
      </c>
      <c r="C357" s="2966" t="str">
        <f>'21.4. FCS'!T1260</f>
        <v>84 - Gestión de la vinculación con la colectividad</v>
      </c>
      <c r="D357" s="2966" t="str">
        <f>'21.4. FCS'!U1260</f>
        <v>Mobiliarios</v>
      </c>
      <c r="E357" s="3140">
        <f>'21.4. FCS'!V1260</f>
        <v>840103</v>
      </c>
      <c r="F357" s="3140" t="str">
        <f>'21.4. FCS'!W1260</f>
        <v>0701</v>
      </c>
      <c r="G357" s="3140" t="str">
        <f>'21.4. FCS'!X1260</f>
        <v>003</v>
      </c>
      <c r="H357" s="8653">
        <f>'21.4. FCS'!Y1260</f>
        <v>1200</v>
      </c>
      <c r="I357" s="917"/>
    </row>
    <row r="358" spans="1:10" ht="31.5">
      <c r="A358" s="917"/>
      <c r="B358" s="4472" t="s">
        <v>54</v>
      </c>
      <c r="C358" s="2966" t="str">
        <f>'21.4. FCS'!T1261</f>
        <v>84 - Gestión de la vinculación con la colectividad</v>
      </c>
      <c r="D358" s="2966" t="str">
        <f>'21.4. FCS'!U1261</f>
        <v>Maquinarias y Equipos</v>
      </c>
      <c r="E358" s="3140">
        <f>'21.4. FCS'!V1261</f>
        <v>840104</v>
      </c>
      <c r="F358" s="3140" t="str">
        <f>'21.4. FCS'!W1261</f>
        <v>0701</v>
      </c>
      <c r="G358" s="3140" t="str">
        <f>'21.4. FCS'!X1261</f>
        <v>003</v>
      </c>
      <c r="H358" s="8653">
        <f>'21.4. FCS'!Y1261</f>
        <v>3351</v>
      </c>
      <c r="I358" s="917"/>
    </row>
    <row r="359" spans="1:10" ht="31.5">
      <c r="A359" s="917"/>
      <c r="B359" s="4472" t="s">
        <v>54</v>
      </c>
      <c r="C359" s="2966" t="str">
        <f>'21.4. FCS'!T1262</f>
        <v>84 - Gestión de la vinculación con la colectividad</v>
      </c>
      <c r="D359" s="2966" t="str">
        <f>'21.4. FCS'!U1262</f>
        <v>Equipos, Sistemas y Paquetes Informáticos</v>
      </c>
      <c r="E359" s="3140" t="str">
        <f>'21.4. FCS'!V1262</f>
        <v>840107</v>
      </c>
      <c r="F359" s="3140" t="str">
        <f>'21.4. FCS'!W1262</f>
        <v>0701</v>
      </c>
      <c r="G359" s="3140" t="str">
        <f>'21.4. FCS'!X1262</f>
        <v>003</v>
      </c>
      <c r="H359" s="8653">
        <f>'21.4. FCS'!Y1262</f>
        <v>6234</v>
      </c>
      <c r="I359" s="4458"/>
      <c r="J359" s="4460"/>
    </row>
    <row r="360" spans="1:10" ht="47.25">
      <c r="A360" s="917"/>
      <c r="B360" s="4472" t="s">
        <v>55</v>
      </c>
      <c r="C360" s="2966" t="str">
        <f>'21.5. FIC'!T388</f>
        <v>82 - Formación y gestión académica</v>
      </c>
      <c r="D360" s="2966" t="str">
        <f>'21.5. FIC'!U388</f>
        <v>Edificios, Locales, Residencias y Cableado Estructurado (Instalación, Mantenimiento y Reparación)</v>
      </c>
      <c r="E360" s="3140">
        <f>'21.5. FIC'!V388</f>
        <v>530402</v>
      </c>
      <c r="F360" s="3140" t="str">
        <f>'21.5. FIC'!W388</f>
        <v>0701</v>
      </c>
      <c r="G360" s="3140" t="str">
        <f>'21.5. FIC'!X388</f>
        <v>003</v>
      </c>
      <c r="H360" s="8653">
        <f>'21.5. FIC'!Y388</f>
        <v>2878.96</v>
      </c>
      <c r="I360" s="917"/>
    </row>
    <row r="361" spans="1:10" ht="31.5">
      <c r="A361" s="917"/>
      <c r="B361" s="4472" t="s">
        <v>55</v>
      </c>
      <c r="C361" s="2966" t="str">
        <f>'21.5. FIC'!T389</f>
        <v>82 - Formación y gestión académica</v>
      </c>
      <c r="D361" s="2966" t="str">
        <f>'21.5. FIC'!U389</f>
        <v>Maquinarias y Equipos</v>
      </c>
      <c r="E361" s="3140">
        <f>'21.5. FIC'!V389</f>
        <v>840104</v>
      </c>
      <c r="F361" s="3140" t="str">
        <f>'21.5. FIC'!W389</f>
        <v>0701</v>
      </c>
      <c r="G361" s="3140" t="str">
        <f>'21.5. FIC'!X389</f>
        <v>001</v>
      </c>
      <c r="H361" s="8653">
        <f>'21.5. FIC'!Y389</f>
        <v>714.29</v>
      </c>
      <c r="I361" s="2960"/>
    </row>
    <row r="362" spans="1:10" ht="47.25">
      <c r="A362" s="917"/>
      <c r="B362" s="4472" t="s">
        <v>55</v>
      </c>
      <c r="C362" s="2966" t="str">
        <f>'21.5. FIC'!T390</f>
        <v>83 - Gestión de la investigación</v>
      </c>
      <c r="D362" s="2966" t="str">
        <f>'21.5. FIC'!U390</f>
        <v>Edificios, Locales, Residencias y Cableado Estructurado (Instalación, Mantenimiento y Reparación)</v>
      </c>
      <c r="E362" s="3140">
        <f>'21.5. FIC'!V390</f>
        <v>530402</v>
      </c>
      <c r="F362" s="3140" t="str">
        <f>'21.5. FIC'!W390</f>
        <v>0701</v>
      </c>
      <c r="G362" s="3140" t="str">
        <f>'21.5. FIC'!X390</f>
        <v>003</v>
      </c>
      <c r="H362" s="8653">
        <f>'21.5. FIC'!Y390</f>
        <v>5428.57</v>
      </c>
      <c r="I362" s="917"/>
    </row>
    <row r="363" spans="1:10" ht="31.5">
      <c r="A363" s="917"/>
      <c r="B363" s="4472" t="s">
        <v>55</v>
      </c>
      <c r="C363" s="2966" t="str">
        <f>'21.5. FIC'!T391</f>
        <v>83 - Gestión de la investigación</v>
      </c>
      <c r="D363" s="2966" t="str">
        <f>'21.5. FIC'!U391</f>
        <v>Maquinarias y Equipos</v>
      </c>
      <c r="E363" s="3140">
        <f>'21.5. FIC'!V391</f>
        <v>840104</v>
      </c>
      <c r="F363" s="3140" t="str">
        <f>'21.5. FIC'!W391</f>
        <v>0701</v>
      </c>
      <c r="G363" s="3140" t="str">
        <f>'21.5. FIC'!X391</f>
        <v>003</v>
      </c>
      <c r="H363" s="8653">
        <f>'21.5. FIC'!Y391</f>
        <v>7018.25</v>
      </c>
      <c r="I363" s="917"/>
    </row>
    <row r="364" spans="1:10" ht="31.5">
      <c r="A364" s="917"/>
      <c r="B364" s="4472" t="s">
        <v>55</v>
      </c>
      <c r="C364" s="2966" t="str">
        <f>'21.5. FIC'!T392</f>
        <v>83 - Gestión de la investigación</v>
      </c>
      <c r="D364" s="2966" t="str">
        <f>'21.5. FIC'!U392</f>
        <v>Maquinarias y Equipos</v>
      </c>
      <c r="E364" s="3140" t="str">
        <f>'21.5. FIC'!V392</f>
        <v>005 840104</v>
      </c>
      <c r="F364" s="3140" t="str">
        <f>'21.5. FIC'!W392</f>
        <v>0701</v>
      </c>
      <c r="G364" s="3140" t="str">
        <f>'21.5. FIC'!X392</f>
        <v>001</v>
      </c>
      <c r="H364" s="8653">
        <f>'21.5. FIC'!Y392</f>
        <v>899035.4017857142</v>
      </c>
      <c r="I364" s="917"/>
    </row>
    <row r="365" spans="1:10" ht="31.5">
      <c r="A365" s="917"/>
      <c r="B365" s="4472" t="s">
        <v>55</v>
      </c>
      <c r="C365" s="2966" t="str">
        <f>'21.5. FIC'!T393</f>
        <v>83 - Gestión de la investigación</v>
      </c>
      <c r="D365" s="2966" t="str">
        <f>'21.5. FIC'!U393</f>
        <v>Equipos, Sistemas y Paquetes Informáticos</v>
      </c>
      <c r="E365" s="3140">
        <f>'21.5. FIC'!V393</f>
        <v>840107</v>
      </c>
      <c r="F365" s="3140" t="str">
        <f>'21.5. FIC'!W393</f>
        <v>0701</v>
      </c>
      <c r="G365" s="3140" t="str">
        <f>'21.5. FIC'!X393</f>
        <v>003</v>
      </c>
      <c r="H365" s="8653">
        <f>'21.5. FIC'!Y393</f>
        <v>4000</v>
      </c>
      <c r="I365" s="917"/>
    </row>
    <row r="366" spans="1:10" ht="31.5">
      <c r="A366" s="917"/>
      <c r="B366" s="4472" t="s">
        <v>55</v>
      </c>
      <c r="C366" s="2966" t="str">
        <f>'21.5. FIC'!T394</f>
        <v>83 - Gestión de la investigación</v>
      </c>
      <c r="D366" s="2966" t="str">
        <f>'21.5. FIC'!U394</f>
        <v>Equipos, Sistemas y Paquetes Informáticos</v>
      </c>
      <c r="E366" s="3140" t="str">
        <f>'21.5. FIC'!V394</f>
        <v>005 840107</v>
      </c>
      <c r="F366" s="3140" t="str">
        <f>'21.5. FIC'!W394</f>
        <v>0701</v>
      </c>
      <c r="G366" s="3140" t="str">
        <f>'21.5. FIC'!X394</f>
        <v>001</v>
      </c>
      <c r="H366" s="8653">
        <f>'21.5. FIC'!Y394</f>
        <v>132888</v>
      </c>
      <c r="I366" s="917"/>
    </row>
    <row r="367" spans="1:10" ht="30" customHeight="1">
      <c r="A367" s="917"/>
      <c r="B367" s="2029"/>
      <c r="C367" s="8745" t="s">
        <v>56</v>
      </c>
      <c r="D367" s="8746"/>
      <c r="E367" s="8746"/>
      <c r="F367" s="8746"/>
      <c r="G367" s="2887" t="s">
        <v>57</v>
      </c>
      <c r="H367" s="4468">
        <f>SUM(H13:H366)</f>
        <v>38172685.060449094</v>
      </c>
      <c r="I367" s="2026"/>
    </row>
    <row r="368" spans="1:10">
      <c r="A368" s="7"/>
      <c r="B368" s="4450" t="s">
        <v>58</v>
      </c>
      <c r="C368" s="2888"/>
      <c r="D368" s="861"/>
      <c r="E368" s="861"/>
      <c r="F368" s="2947"/>
      <c r="G368" s="2947"/>
      <c r="H368" s="2956"/>
      <c r="I368" s="2971"/>
    </row>
    <row r="369" spans="1:13" ht="16.5" customHeight="1">
      <c r="A369" s="7"/>
      <c r="B369" s="7957" t="s">
        <v>59</v>
      </c>
      <c r="C369" s="2889"/>
      <c r="D369" s="2890"/>
      <c r="E369" s="2890"/>
      <c r="F369" s="2883"/>
      <c r="G369" s="2883"/>
      <c r="H369" s="2957"/>
      <c r="I369" s="7"/>
    </row>
    <row r="370" spans="1:13" ht="16.5" customHeight="1">
      <c r="A370" s="7"/>
      <c r="B370" s="7956" t="s">
        <v>60</v>
      </c>
      <c r="C370" s="2889"/>
      <c r="D370" s="2890"/>
      <c r="E370" s="2890"/>
      <c r="F370" s="2883"/>
      <c r="G370" s="2883"/>
      <c r="H370" s="2957"/>
      <c r="I370" s="7"/>
      <c r="J370" s="7650"/>
      <c r="K370" s="7650"/>
      <c r="L370" s="7650"/>
    </row>
    <row r="371" spans="1:13" ht="16.5" customHeight="1">
      <c r="A371" s="7"/>
      <c r="B371" s="11"/>
      <c r="C371" s="2891"/>
      <c r="D371" s="2892"/>
      <c r="E371" s="2892"/>
      <c r="F371" s="2948"/>
      <c r="G371" s="2948"/>
      <c r="H371" s="2957"/>
      <c r="I371" s="2152"/>
      <c r="J371" s="7651"/>
      <c r="K371" s="7650"/>
      <c r="L371" s="7650"/>
      <c r="M371" s="2231"/>
    </row>
    <row r="372" spans="1:13" ht="16.5" customHeight="1">
      <c r="A372" s="7"/>
      <c r="B372" s="7652"/>
      <c r="C372" s="2893"/>
      <c r="D372" s="2894"/>
      <c r="E372" s="2894"/>
      <c r="F372" s="2949"/>
      <c r="G372" s="2949"/>
      <c r="H372" s="2957"/>
      <c r="I372" s="2239"/>
      <c r="J372" s="7650"/>
      <c r="K372" s="7650"/>
      <c r="L372" s="7650"/>
      <c r="M372" s="2231"/>
    </row>
    <row r="373" spans="1:13" ht="25.5" customHeight="1">
      <c r="A373" s="7"/>
      <c r="B373" s="8743" t="s">
        <v>61</v>
      </c>
      <c r="C373" s="8744"/>
      <c r="D373" s="8744"/>
      <c r="F373" s="2895"/>
      <c r="G373" s="2949"/>
      <c r="H373" s="7653"/>
      <c r="I373" s="2977"/>
      <c r="J373" s="7651">
        <f>SUM('1. REC'!AB146,'2. PG'!AB54,'3. DCOM'!AB55,'4. SG'!AB113,'5. DPLAN'!AB123,'6. DBUAC'!AB250,'7. DAC'!AB142,'8. VIVP'!AB165,'9. DIDI'!AB325,'10. DPOS'!AB91,'11. DV'!AB267,'12. VAC'!AB45,'13. DA'!AB122,'14. DFP'!AB132,'15. DEC'!AA75,'16. VAD'!AB55,'17. DTIC'!AB311,'18. DTH'!AB399,'19. DFIN'!AB292,'20. DADM'!AB371,'21.1. FCA'!AA695,'21.2. FCE'!AA710,'21.3. FCQS'!AA708,'21.4. FCS'!AA1237,'21.5. FIC'!AA382)</f>
        <v>38172685.060449123</v>
      </c>
      <c r="K373" s="7651">
        <f>+H367-J373</f>
        <v>0</v>
      </c>
      <c r="L373" s="7650"/>
      <c r="M373" s="2231"/>
    </row>
    <row r="374" spans="1:13">
      <c r="A374" s="7"/>
      <c r="B374" s="2030" t="s">
        <v>62</v>
      </c>
      <c r="C374" s="2943">
        <f>+H22+H38+H40+H43+H46+H47+H48+H51+H55+H56+H58+H62+H63+H64+H65+H66+H75+H76+H77+H78+H80+H81+H82+H88+H90+H94+H95+H98+H99+H105+H106+H111+H112+H118+H122+H127+H129+H135+H136+H137+H139+H145+H147+H148+H150+H152+H155+H158+H192+H193+H194+H197+H200+H210+H230+H241+H261+H273+H279+H280+H281+H285+H286+H287+H288+H289+H290+H291+H293+H296+H302+H304+H310+H322+H328+H331+H336+H342+H343+H346+H347+H361+H364+H366</f>
        <v>7040956.9894408835</v>
      </c>
      <c r="D374" s="2937">
        <f>C374/$C$379</f>
        <v>0.18445013701003843</v>
      </c>
      <c r="F374" s="2949"/>
      <c r="G374" s="2949"/>
      <c r="H374" s="7653"/>
      <c r="I374" s="2239"/>
      <c r="J374" s="7651">
        <f>SUM('1. REC'!W162,'2. PG'!W98,'3. DCOM'!W74,'4. SG'!W130,'5. DPLAN'!W143,'6. DBUAC'!W282,'7. DAC'!W161,'8. VIVP'!W187,'9. DIDI'!W355,'10. DPOS'!W106,'11. DV'!W288,'12. VAC'!W58,'13. DA'!W133,'14. DFP'!W143,'15. DEC'!V89,'16. VAD'!W66,'17. DTIC'!W351,'18. DTH'!W458,'19. DFIN'!W312,'20. DADM'!W443,'21.1. FCA'!V730,'21.2. FCE'!V729,'21.3. FCQS'!V740,'21.4. FCS'!V1267,'21.5. FIC'!V399)</f>
        <v>7040956.9894408844</v>
      </c>
      <c r="K374" s="7654">
        <f>C374-J374</f>
        <v>0</v>
      </c>
      <c r="L374" s="7654"/>
      <c r="M374" s="2231"/>
    </row>
    <row r="375" spans="1:13" ht="31.5">
      <c r="A375" s="7"/>
      <c r="B375" s="2030" t="s">
        <v>63</v>
      </c>
      <c r="C375" s="2943">
        <f>+H23+H29+H37+H44+H52+H69+H70+H79+H83+H84+H87+H91+H100+H101+H102+H103+H104+H109+H115+H116+H117+H119+H120+H121+H126+H130+H131+H132+H142+H151+H153+H156+H159+H183+H212+H217+H224+H234+H238+H243+H246+H256+H258+H263+H269+H270+H274+H294+H299+H300+H301+H303+H305+H312+H313+H318+H325+H326+H327+H329+H332+H333+H334+H340+H349+H352+H353+H354+H355+H356</f>
        <v>933858.51947142859</v>
      </c>
      <c r="D375" s="2937">
        <f t="shared" ref="D375:D378" si="0">C375/$C$379</f>
        <v>2.4464051140038974E-2</v>
      </c>
      <c r="F375" s="2949"/>
      <c r="G375" s="2949"/>
      <c r="H375" s="7653"/>
      <c r="I375" s="2239"/>
      <c r="J375" s="7651">
        <f>SUM('1. REC'!W163,'2. PG'!W99,'3. DCOM'!W75,'4. SG'!W131,'5. DPLAN'!W144,'6. DBUAC'!W283,'7. DAC'!W162,'8. VIVP'!W188,'9. DIDI'!W356,'10. DPOS'!W107,'11. DV'!W289,'12. VAC'!W59,'13. DA'!W134,'14. DFP'!W144,'15. DEC'!V90,'16. VAD'!W67,'17. DTIC'!W352,'18. DTH'!W459,'19. DFIN'!W313,'20. DADM'!W444,'21.1. FCA'!V731,'21.2. FCE'!V730,'21.3. FCQS'!V741,'21.4. FCS'!V1268,'21.5. FIC'!V400)</f>
        <v>933858.51947142836</v>
      </c>
      <c r="K375" s="7654">
        <f t="shared" ref="K375:K378" si="1">C375-J375</f>
        <v>0</v>
      </c>
      <c r="L375" s="7654"/>
      <c r="M375" s="2231"/>
    </row>
    <row r="376" spans="1:13" ht="31.5">
      <c r="A376" s="7"/>
      <c r="B376" s="2030" t="s">
        <v>64</v>
      </c>
      <c r="C376" s="2943">
        <f>+H13+H14+H15+H16+H17+H18+H19+H20+H21+H24+H25+H26+H27+H28+H30+H31+H32+H33+H34+H35+H36+H39+H49+H50+H53+H54+H57+H59+H60+H61+H67+H68+H71+H72+H73+H74+H85+H86+H89+H92+H93+H96+H97+H107+H108+H110+H113+H114+H123+H124+H125+H133+H134+H138+H140+H141+H143+H144+H146+H160+H163+H164+H165+H166+H167+H168+H169+H170+H171+H172+H173+H174+H175+H176+H177+H178+H179+H180+H181+H182+H184+H185+H186+H187+H188+H189+H190+H191+H198+H201+H202+H203+H204+H205+H206+H207+H208+H209+H211+H213+H214+H215+H216+H218+H219+H220+H221+H222+H223+H225+H226+H227+H228+H229+H231+H232+H233+H235+H236+H237+H239+H240+H242+H244+H245+H247+H248+H249+H250+H251+H252+H253+H254+H255+H257+H259+H260+H262+H264+H271+H277+H284+H292+H295+H297+H298+H306+H308+H309+H311+H314+H315+H316+H319+H320+H321+H323+H324+H330+H335+H337+H338+H339+H341+H344+H345+H348+H350+H351+H357+H358+H359+H360+H362+H363+H365</f>
        <v>28387466.447536789</v>
      </c>
      <c r="D376" s="2937">
        <f t="shared" si="0"/>
        <v>0.74365914796360966</v>
      </c>
      <c r="F376" s="2949"/>
      <c r="G376" s="2949"/>
      <c r="H376" s="7653"/>
      <c r="I376" s="2239"/>
      <c r="J376" s="7651">
        <f>SUM('1. REC'!W164,'2. PG'!W100,'3. DCOM'!W76,'4. SG'!W132,'5. DPLAN'!W145,'6. DBUAC'!W284,'7. DAC'!W163,'8. VIVP'!W189,'9. DIDI'!W357,'10. DPOS'!W108,'11. DV'!W290,'12. VAC'!W60,'13. DA'!W135,'14. DFP'!W145,'15. DEC'!V91,'16. VAD'!W68,'17. DTIC'!W353,'18. DTH'!W460,'19. DFIN'!W314,'20. DADM'!W445,'21.1. FCA'!V732,'21.2. FCE'!V732,'21.3. FCQS'!V742,'21.4. FCS'!V1269,'21.5. FIC'!V401)</f>
        <v>28240725.747616805</v>
      </c>
      <c r="K376" s="7654">
        <f t="shared" si="1"/>
        <v>146740.69991998374</v>
      </c>
      <c r="L376" s="7654"/>
      <c r="M376" s="2231"/>
    </row>
    <row r="377" spans="1:13">
      <c r="A377" s="7"/>
      <c r="B377" s="2030" t="s">
        <v>65</v>
      </c>
      <c r="C377" s="2943">
        <f>+H41+H45+H154+H161+H195+H196+H199+H265+H266+H272+H275+H278+H283+H307+H317</f>
        <v>1428165.4040000001</v>
      </c>
      <c r="D377" s="2937">
        <f t="shared" ref="D377" si="2">C377/$C$379</f>
        <v>3.7413281296256755E-2</v>
      </c>
      <c r="F377" s="2949"/>
      <c r="G377" s="2949"/>
      <c r="H377" s="7653"/>
      <c r="I377" s="2239"/>
      <c r="J377" s="7651">
        <f>SUM('1. REC'!W165,'2. PG'!W101,'3. DCOM'!W77,'4. SG'!W133,'5. DPLAN'!W146,'6. DBUAC'!W285,'7. DAC'!W164,'8. VIVP'!W190,'9. DIDI'!W358,'10. DPOS'!W109,'11. DV'!W291,'12. VAC'!W61,'13. DA'!W136,'14. DFP'!W146,'15. DEC'!V92,'16. VAD'!W69,'17. DTIC'!W354,'18. DTH'!W461,'19. DFIN'!W315,'20. DADM'!W446,'21.1. FCA'!V733,'21.3. FCQS'!V743,'21.4. FCS'!V1270,'21.5. FIC'!V402)</f>
        <v>1427816.3540000003</v>
      </c>
      <c r="K377" s="7654">
        <f t="shared" si="1"/>
        <v>349.04999999981374</v>
      </c>
      <c r="L377" s="7654"/>
      <c r="M377" s="2231"/>
    </row>
    <row r="378" spans="1:13" ht="31.5">
      <c r="A378" s="7"/>
      <c r="B378" s="2030" t="s">
        <v>66</v>
      </c>
      <c r="C378" s="2943">
        <f>+H42+H149+H157+H162+H267+H268+H276+H282</f>
        <v>382237.69999999995</v>
      </c>
      <c r="D378" s="2937">
        <f t="shared" si="0"/>
        <v>1.0013382590056213E-2</v>
      </c>
      <c r="F378" s="2949"/>
      <c r="G378" s="2949"/>
      <c r="H378" s="7653"/>
      <c r="I378" s="2239"/>
      <c r="J378" s="7651">
        <f>SUM('5. DPLAN'!W147,'17. DTIC'!W355,'20. DADM'!W447)</f>
        <v>382237.7</v>
      </c>
      <c r="K378" s="7654">
        <f t="shared" si="1"/>
        <v>0</v>
      </c>
      <c r="L378" s="7654"/>
      <c r="M378" s="2231"/>
    </row>
    <row r="379" spans="1:13" ht="16.5" customHeight="1">
      <c r="A379" s="7"/>
      <c r="B379" s="2031" t="s">
        <v>67</v>
      </c>
      <c r="C379" s="2944">
        <f>SUM(C374:C378)</f>
        <v>38172685.060449101</v>
      </c>
      <c r="D379" s="2938">
        <f t="shared" ref="D379" si="3">SUM(D374:D378)</f>
        <v>1</v>
      </c>
      <c r="F379" s="2950"/>
      <c r="G379" s="2949"/>
      <c r="H379" s="7653"/>
      <c r="I379" s="2239"/>
      <c r="J379" s="7651">
        <f>SUM(J374:J378)</f>
        <v>38025595.31052912</v>
      </c>
      <c r="K379" s="7654">
        <f>H367-C379</f>
        <v>0</v>
      </c>
      <c r="L379" s="7650"/>
      <c r="M379" s="2231"/>
    </row>
    <row r="380" spans="1:13" ht="16.5" customHeight="1">
      <c r="A380" s="7"/>
      <c r="B380" s="2028"/>
      <c r="C380" s="2896"/>
      <c r="D380" s="2896"/>
      <c r="F380" s="2950"/>
      <c r="G380" s="2950"/>
      <c r="H380" s="7653"/>
      <c r="I380" s="2239"/>
      <c r="J380" s="7650"/>
      <c r="K380" s="7654">
        <f>H367-C391</f>
        <v>0</v>
      </c>
      <c r="L380" s="7650"/>
      <c r="M380" s="2231"/>
    </row>
    <row r="381" spans="1:13" ht="25.5" customHeight="1">
      <c r="A381" s="7"/>
      <c r="B381" s="8743" t="s">
        <v>68</v>
      </c>
      <c r="C381" s="8744"/>
      <c r="D381" s="8744"/>
      <c r="F381" s="2895"/>
      <c r="G381" s="2895"/>
      <c r="H381" s="7653"/>
      <c r="I381" s="2239"/>
      <c r="J381" s="7650"/>
      <c r="K381" s="7654">
        <f>H367-C398</f>
        <v>0</v>
      </c>
      <c r="L381" s="7650"/>
      <c r="M381" s="2231"/>
    </row>
    <row r="382" spans="1:13">
      <c r="A382" s="7"/>
      <c r="B382" s="2032" t="s">
        <v>69</v>
      </c>
      <c r="C382" s="2943">
        <f>SUM(H164,H165,H166,H167,H168,H169,H170,H171,H172,H173,H174,H175,H176,H177,H178,H179,H180,H181,H182,H198,H201,H202,H203,H204,H205,H206,H207,H208,H209)</f>
        <v>25509089.09</v>
      </c>
      <c r="D382" s="2937">
        <f t="shared" ref="D382:D390" si="4">C382/$C$391</f>
        <v>0.66825503759048055</v>
      </c>
      <c r="F382" s="2951"/>
      <c r="G382" s="2949"/>
      <c r="H382" s="7653"/>
      <c r="I382" s="2239"/>
      <c r="J382" s="7650"/>
      <c r="K382" s="7654">
        <f>H367-C426</f>
        <v>0</v>
      </c>
      <c r="L382" s="7650"/>
      <c r="M382" s="2231"/>
    </row>
    <row r="383" spans="1:13">
      <c r="A383" s="7"/>
      <c r="B383" s="2032" t="s">
        <v>70</v>
      </c>
      <c r="C383" s="2943">
        <f>SUM(H13,H14,H15,H16,H19,H21,H22,H23,H24,H25,H26,H29,H30,H31,H32,H33,H37,H38,H39,H47,H48,H49,H50,H51,H52,H53,H54,H55,H56,H57,H58,H59,H60,H64,H69,H70,H71,H72,H75,H76,H78,H79,H80,H81,H82,H83,H84,H87,H88,H90,H91,H92,H93,H94,H95,H96,H97,H98,H99,H100,H101,H102,H103,H104,H111,H112,H115,H116,H117,H118,H119,H120,H121,H122,H123,H127,H129,H130,H131,H132,H134,H135,H136,H137,H138,H139,H140,H145,H147,H148,H149,H150,H151,H152,H153,H183,H184,H185,H186,H187,H188,H189,H191,H190,H210,H212,H213,H214,H215,H216,H223,H224,H225,H226,H227,H228,H229,H230,H231,H232,H233,H234,H235,H236,H237,H238,H239,H240,H241,H242,H243,H244,H245,H246,H247,H248,H249,H250,H251,H252,H254,H253,H255,H273,H274,H284,H285,H286,H287,H288,H289,H290,H291,H293,H294,H295,H296,H297,H298,H299,H300,H301,H302,H309,H310,H312,H313,H318,H319,H321,H322,H323,H324,H325,H326,H327,H332,H333,H334,H340,H341,H342,H347,H348,H352,H353,H354,H355,H360,H362)</f>
        <v>3322696.1977694323</v>
      </c>
      <c r="D383" s="2937">
        <f t="shared" si="4"/>
        <v>8.7043816606238486E-2</v>
      </c>
      <c r="F383" s="2951"/>
      <c r="G383" s="2949"/>
      <c r="H383" s="7653"/>
      <c r="I383" s="2239"/>
      <c r="J383" s="7650"/>
      <c r="K383" s="7650"/>
      <c r="L383" s="7650"/>
      <c r="M383" s="2231"/>
    </row>
    <row r="384" spans="1:13">
      <c r="A384" s="7"/>
      <c r="B384" s="2032" t="s">
        <v>71</v>
      </c>
      <c r="C384" s="2959">
        <f>SUM(H20,H40,H65,H192,H89,H217,H218,H256,H257,H258,H259,H260)</f>
        <v>380638.19</v>
      </c>
      <c r="D384" s="2937">
        <f t="shared" si="4"/>
        <v>9.971480638504544E-3</v>
      </c>
      <c r="F384" s="2951"/>
      <c r="G384" s="2949"/>
      <c r="H384" s="7653"/>
      <c r="I384" s="2239"/>
      <c r="J384" s="7650"/>
      <c r="K384" s="7650"/>
      <c r="L384" s="7650"/>
      <c r="M384" s="2231"/>
    </row>
    <row r="385" spans="1:13" ht="31.5">
      <c r="A385" s="7"/>
      <c r="B385" s="2032" t="s">
        <v>72</v>
      </c>
      <c r="C385" s="2959">
        <f>SUM(H66,H105,H193,H194,H219)</f>
        <v>1464357.0480800001</v>
      </c>
      <c r="D385" s="2937">
        <f t="shared" si="4"/>
        <v>3.8361384475865096E-2</v>
      </c>
      <c r="F385" s="2951"/>
      <c r="G385" s="2949"/>
      <c r="H385" s="7653"/>
      <c r="I385" s="2239"/>
      <c r="J385" s="2231"/>
      <c r="K385" s="2231"/>
      <c r="L385" s="2231"/>
      <c r="M385" s="2231"/>
    </row>
    <row r="386" spans="1:13" ht="31.5">
      <c r="A386" s="7"/>
      <c r="B386" s="2032" t="s">
        <v>73</v>
      </c>
      <c r="C386" s="2959">
        <f>SUM(H195,H196,H199,H200,)</f>
        <v>730626.75</v>
      </c>
      <c r="D386" s="2937">
        <f t="shared" si="4"/>
        <v>1.914004081303166E-2</v>
      </c>
      <c r="F386" s="2951"/>
      <c r="G386" s="2949"/>
      <c r="H386" s="7653"/>
      <c r="I386" s="2239"/>
      <c r="J386" s="2231"/>
      <c r="K386" s="2231"/>
      <c r="L386" s="2231"/>
      <c r="M386" s="2231"/>
    </row>
    <row r="387" spans="1:13">
      <c r="A387" s="7"/>
      <c r="B387" s="2032" t="s">
        <v>74</v>
      </c>
      <c r="C387" s="2959">
        <f>SUM(H41,H42,H154,H265,H275,H276,H277,H278,H317)</f>
        <v>799435.16400000022</v>
      </c>
      <c r="D387" s="2937">
        <f t="shared" si="4"/>
        <v>2.0942597114508417E-2</v>
      </c>
      <c r="F387" s="2951"/>
      <c r="G387" s="2949"/>
      <c r="H387" s="7653"/>
      <c r="I387" s="2239"/>
      <c r="J387" s="2231"/>
      <c r="K387" s="2231"/>
      <c r="L387" s="2231"/>
      <c r="M387" s="2231"/>
    </row>
    <row r="388" spans="1:13">
      <c r="A388" s="7"/>
      <c r="B388" s="2032" t="s">
        <v>75</v>
      </c>
      <c r="C388" s="2959">
        <f>SUM(H279,H280)</f>
        <v>2135103.63</v>
      </c>
      <c r="D388" s="2937">
        <f t="shared" si="4"/>
        <v>5.5932759946514476E-2</v>
      </c>
      <c r="F388" s="2951"/>
      <c r="G388" s="2949"/>
      <c r="H388" s="7653"/>
      <c r="I388" s="2239"/>
      <c r="J388" s="2231"/>
      <c r="K388" s="2231"/>
      <c r="L388" s="2231"/>
      <c r="M388" s="2231"/>
    </row>
    <row r="389" spans="1:13">
      <c r="A389" s="7"/>
      <c r="B389" s="2032" t="s">
        <v>76</v>
      </c>
      <c r="C389" s="2959">
        <f>H17+H18+H27+H28+H35+H34+H36+H43+H44+H45+H46+H61+H62+H63+H67+H68+H73+H74+H77+H85+H86+H106+H107+H108+H109+H110+H113+H114+H124+H125+H126+H133+H141+H142+H143+H144+H146+H155+H156+H157+H158+H159+H160+H161+H162+H163+H197+H211+H220+H261+H262+H263+H264+H266+H267+H268+H269+H270+H271+H272+H281+H282+H283+H303+H292+H304+H305+H306+H307+H311+H308+H314+H315+H316+H320+H328+H329+H330+H331+H335+H336+H337+H338+H339+H343+H344+H346+H345+H349+H350+H356+H351+H357+H358+H359+H361+H363+H364+H365+H366</f>
        <v>3558137.8805996799</v>
      </c>
      <c r="D389" s="2937">
        <f t="shared" si="4"/>
        <v>9.3211621738557807E-2</v>
      </c>
      <c r="F389" s="2951"/>
      <c r="G389" s="2949"/>
      <c r="H389" s="7653"/>
      <c r="I389" s="2239"/>
      <c r="J389" s="2231"/>
      <c r="K389" s="2231"/>
      <c r="L389" s="2231"/>
      <c r="M389" s="2231"/>
    </row>
    <row r="390" spans="1:13">
      <c r="A390" s="7"/>
      <c r="B390" s="2032" t="s">
        <v>77</v>
      </c>
      <c r="C390" s="2959">
        <f>+H221+H222</f>
        <v>272601.11</v>
      </c>
      <c r="D390" s="2937">
        <f t="shared" si="4"/>
        <v>7.141261076298853E-3</v>
      </c>
      <c r="F390" s="2951"/>
      <c r="G390" s="2949"/>
      <c r="H390" s="7653"/>
      <c r="I390" s="2239"/>
      <c r="J390" s="2231"/>
      <c r="K390" s="2231"/>
      <c r="L390" s="2231"/>
      <c r="M390" s="2231"/>
    </row>
    <row r="391" spans="1:13" ht="16.5" customHeight="1">
      <c r="A391" s="7"/>
      <c r="B391" s="2031" t="s">
        <v>67</v>
      </c>
      <c r="C391" s="4473">
        <f>SUM(C382:C390)</f>
        <v>38172685.060449116</v>
      </c>
      <c r="D391" s="2938">
        <f t="shared" ref="D391" si="5">SUM(D382:D390)</f>
        <v>0.99999999999999989</v>
      </c>
      <c r="F391" s="2950"/>
      <c r="G391" s="2949"/>
      <c r="H391" s="7653"/>
      <c r="I391" s="2239"/>
      <c r="J391" s="2231"/>
      <c r="K391" s="2231"/>
      <c r="L391" s="2231"/>
      <c r="M391" s="2231"/>
    </row>
    <row r="392" spans="1:13" ht="16.5" customHeight="1">
      <c r="A392" s="7"/>
      <c r="B392" s="2028"/>
      <c r="C392" s="4473"/>
      <c r="D392" s="2896"/>
      <c r="F392" s="2950"/>
      <c r="G392" s="2950"/>
      <c r="H392" s="7653"/>
      <c r="I392" s="2239"/>
      <c r="J392" s="2231"/>
      <c r="K392" s="2231"/>
      <c r="L392" s="2231"/>
      <c r="M392" s="2231"/>
    </row>
    <row r="393" spans="1:13" ht="25.5" customHeight="1">
      <c r="A393" s="7"/>
      <c r="B393" s="8743" t="s">
        <v>78</v>
      </c>
      <c r="C393" s="8744"/>
      <c r="D393" s="8744"/>
      <c r="F393" s="2950"/>
      <c r="G393" s="2950"/>
      <c r="H393" s="7653"/>
      <c r="I393" s="2239"/>
      <c r="J393" s="2231"/>
      <c r="K393" s="2231"/>
      <c r="L393" s="2231"/>
      <c r="M393" s="2231"/>
    </row>
    <row r="394" spans="1:13">
      <c r="A394" s="7"/>
      <c r="B394" s="2030" t="s">
        <v>15</v>
      </c>
      <c r="C394" s="2943">
        <f>H13+H14+H15+H16+H17+H19+H20+H21+H22+H23+H24+H25+H26+H27+H28+H29+H30+H31+H32+H33+H34+H36+H35+H37+H38+H39+H40+H43+H44+H45+H46+H47+H48+H49+H50+H51+H52+H53+H54+H55+H56+H57+H58+H59+H60+H61+H62+H63+H69+H70+H71+H72+H73+H74+H110+H126+H134+H135+H136+H137+H138+H139+H140+H141+H142+H143+H144+H164+H165+H166+H167+H168+H169+H170+H171+H172+H173+H174+H175+H176+H177+H178+H179+H180+H181+H182+H183+H184+H185+H186+H187+H188+H189+H190+H191+H192+H193+H194+H195+H196+H197+H198+H199+H200+H201+H213+H202+H214+H215+H216+H217+H218+H219+H220+H221+H224+H223+H225+H226+H227+H228+H229+H230+H231+H232+H233+H234+H235+H236+H237+H238+H239+H240+H241++H242+H243+H244+H245+H246+H247+H248+H249+H250+H251+H252+H253+H254+H255+H256+H257+H258+H259+H260+H261+H262+H263+H264+H265+H266+H268+H267+H269+H270+H271+H272</f>
        <v>12842364.69328822</v>
      </c>
      <c r="D394" s="2937">
        <f t="shared" ref="D394:D397" si="6">C394/$C$379</f>
        <v>0.33642812060381505</v>
      </c>
      <c r="F394" s="2950"/>
      <c r="G394" s="2950"/>
      <c r="H394" s="7653"/>
      <c r="I394" s="2239"/>
      <c r="J394" s="2231"/>
      <c r="K394" s="2231"/>
      <c r="L394" s="2231"/>
      <c r="M394" s="2231"/>
    </row>
    <row r="395" spans="1:13">
      <c r="A395" s="7"/>
      <c r="B395" s="2030" t="s">
        <v>79</v>
      </c>
      <c r="C395" s="2943">
        <f>+H64+H65+H66+H75+H76+H77+H111+H112+H113+H114+H127+H129+H145+H146+H203+H204+H205+H206+H207+H208+H209+H210+H211+H222+H273+H274+H275+H276+H278+H280+H281+H282+H283+H284+H285+H286+H287+H288+H289+H290+H291+H292+H309+H310+H311+H318+H319+H320+H340+H341+H342+H343+H344+H345+H346+H360+H361</f>
        <v>19665439.449521199</v>
      </c>
      <c r="D395" s="2937">
        <f t="shared" si="6"/>
        <v>0.51517045286124374</v>
      </c>
      <c r="F395" s="2950"/>
      <c r="G395" s="2950"/>
      <c r="H395" s="7653"/>
      <c r="I395" s="2239"/>
      <c r="J395" s="2231"/>
      <c r="K395" s="2231"/>
      <c r="L395" s="2231"/>
      <c r="M395" s="2231"/>
    </row>
    <row r="396" spans="1:13">
      <c r="A396" s="7"/>
      <c r="B396" s="2030" t="s">
        <v>80</v>
      </c>
      <c r="C396" s="2943">
        <f>SUM(H18,H41,H42,H78,H79,H80,H81,H82,H83,H84,H85,H86,H90,H91,H93,H92,H94,H95,H96,H97,H98,H99,H100,H101,H102,H103,H104,H105,H106,H107,H108,H109,H147,H148,H149,H150,H151,H152,H153,H154,H155,H156,H157,H158,H159,H160,H161,H162,H212,H277,H279,H293,H294,H295,H296,H297,H298,H299,H300,H301,H302,H303,H304,H305,H306,H307,H313,H312,H314,H315,H316,H321,H322,H323,H324,H325,H326,H327,H328,H329,H330,H331,H348,H347,H349,H350,H351,H362,H363,H364,H365,H366)</f>
        <v>5474823.7040396817</v>
      </c>
      <c r="D396" s="2937">
        <f t="shared" si="6"/>
        <v>0.1434225466552829</v>
      </c>
      <c r="F396" s="2950"/>
      <c r="G396" s="2950"/>
      <c r="H396" s="7653"/>
      <c r="I396" s="2239"/>
      <c r="J396" s="2231"/>
      <c r="K396" s="2231"/>
      <c r="L396" s="2231"/>
      <c r="M396" s="2231"/>
    </row>
    <row r="397" spans="1:13" ht="31.5">
      <c r="A397" s="7"/>
      <c r="B397" s="2030" t="s">
        <v>81</v>
      </c>
      <c r="C397" s="2943">
        <f>H67+H68+H87+H88+H89+H115+H116+H117+H118+H119+H120+H121+H122+H123+H124+H125+H130+H131+H132+H133+H163+H308+H317+H332+H333+H334+H335+H336+H337+H338+H339+H352+H353+H354+H355+H356+H357+H358+H359</f>
        <v>190057.21360000002</v>
      </c>
      <c r="D397" s="2937">
        <f t="shared" si="6"/>
        <v>4.9788798796582216E-3</v>
      </c>
      <c r="F397" s="2950"/>
      <c r="G397" s="2950"/>
      <c r="H397" s="7653"/>
      <c r="I397" s="2239"/>
      <c r="J397" s="2231"/>
      <c r="K397" s="2231"/>
      <c r="L397" s="2231"/>
      <c r="M397" s="2231"/>
    </row>
    <row r="398" spans="1:13" ht="16.5" customHeight="1">
      <c r="A398" s="7"/>
      <c r="B398" s="2031" t="s">
        <v>67</v>
      </c>
      <c r="C398" s="4473">
        <f t="shared" ref="C398:D398" si="7">SUM(C394:C397)</f>
        <v>38172685.060449101</v>
      </c>
      <c r="D398" s="2938">
        <f t="shared" si="7"/>
        <v>0.99999999999999989</v>
      </c>
      <c r="F398" s="2950"/>
      <c r="G398" s="2950"/>
      <c r="H398" s="7653"/>
      <c r="I398" s="2239"/>
      <c r="J398" s="2231"/>
      <c r="K398" s="2231"/>
      <c r="L398" s="2231"/>
      <c r="M398" s="2231"/>
    </row>
    <row r="399" spans="1:13" ht="16.5" customHeight="1">
      <c r="A399" s="7"/>
      <c r="B399" s="2028"/>
      <c r="C399" s="2896"/>
      <c r="D399" s="2896"/>
      <c r="F399" s="2950"/>
      <c r="G399" s="2950"/>
      <c r="H399" s="7653"/>
      <c r="I399" s="2239"/>
      <c r="J399" s="2231"/>
      <c r="K399" s="2231"/>
      <c r="L399" s="2231"/>
      <c r="M399" s="2231"/>
    </row>
    <row r="400" spans="1:13" ht="25.5" customHeight="1">
      <c r="A400" s="7"/>
      <c r="B400" s="8743" t="s">
        <v>82</v>
      </c>
      <c r="C400" s="8744"/>
      <c r="D400" s="8744"/>
      <c r="F400" s="2950"/>
      <c r="G400" s="2950"/>
      <c r="H400" s="7653"/>
      <c r="I400" s="2239"/>
      <c r="J400" s="2231"/>
      <c r="K400" s="2231"/>
      <c r="L400" s="2231"/>
      <c r="M400" s="2231"/>
    </row>
    <row r="401" spans="1:13">
      <c r="A401" s="7"/>
      <c r="B401" s="2030" t="s">
        <v>11</v>
      </c>
      <c r="C401" s="2943">
        <f>SUM(H13:H18)</f>
        <v>53435.8488</v>
      </c>
      <c r="D401" s="2937">
        <f>C401/$C$426</f>
        <v>1.3998451697956433E-3</v>
      </c>
      <c r="F401" s="2950"/>
      <c r="G401" s="2950"/>
      <c r="H401" s="7653"/>
      <c r="I401" s="2239"/>
      <c r="J401" s="2231"/>
      <c r="K401" s="2231"/>
      <c r="L401" s="2231"/>
      <c r="M401" s="2231"/>
    </row>
    <row r="402" spans="1:13">
      <c r="A402" s="7"/>
      <c r="B402" s="2030" t="s">
        <v>12</v>
      </c>
      <c r="C402" s="2943">
        <f>SUM(H19:H20)</f>
        <v>3775.2000000000003</v>
      </c>
      <c r="D402" s="2937">
        <f>C402/$C$426</f>
        <v>9.8897942180952369E-5</v>
      </c>
      <c r="F402" s="2950"/>
      <c r="G402" s="2950"/>
      <c r="H402" s="7653"/>
      <c r="I402" s="2239"/>
      <c r="J402" s="2231"/>
      <c r="K402" s="2231"/>
      <c r="L402" s="2231"/>
      <c r="M402" s="2231"/>
    </row>
    <row r="403" spans="1:13">
      <c r="A403" s="7"/>
      <c r="B403" s="2030" t="s">
        <v>13</v>
      </c>
      <c r="C403" s="2943">
        <f>SUM(H21:H29)</f>
        <v>73420.494285714289</v>
      </c>
      <c r="D403" s="2937">
        <f t="shared" ref="D403:D425" si="8">C403/$C$426</f>
        <v>1.9233777809826011E-3</v>
      </c>
      <c r="F403" s="2950"/>
      <c r="G403" s="2950"/>
      <c r="H403" s="7653"/>
      <c r="I403" s="7"/>
    </row>
    <row r="404" spans="1:13">
      <c r="A404" s="7"/>
      <c r="B404" s="2030" t="s">
        <v>14</v>
      </c>
      <c r="C404" s="2943">
        <f>SUM(H30:H36)</f>
        <v>9524.2639999999992</v>
      </c>
      <c r="D404" s="2937">
        <f t="shared" si="8"/>
        <v>2.4950469124500053E-4</v>
      </c>
      <c r="F404" s="2950"/>
      <c r="G404" s="2950"/>
      <c r="H404" s="7653"/>
      <c r="I404" s="7"/>
    </row>
    <row r="405" spans="1:13">
      <c r="A405" s="7"/>
      <c r="B405" s="2030" t="s">
        <v>19</v>
      </c>
      <c r="C405" s="2943">
        <f>SUM(H37:H46)</f>
        <v>96959.139999999985</v>
      </c>
      <c r="D405" s="2937">
        <f t="shared" si="8"/>
        <v>2.5400136209034921E-3</v>
      </c>
      <c r="F405" s="2950"/>
      <c r="G405" s="2950"/>
      <c r="H405" s="7653"/>
      <c r="I405" s="7"/>
    </row>
    <row r="406" spans="1:13" ht="31.5">
      <c r="A406" s="7"/>
      <c r="B406" s="2030" t="s">
        <v>20</v>
      </c>
      <c r="C406" s="2943">
        <f>SUM(H47:H68)</f>
        <v>1268200.2260428572</v>
      </c>
      <c r="D406" s="2937">
        <f t="shared" si="8"/>
        <v>3.3222714724797944E-2</v>
      </c>
      <c r="F406" s="2950"/>
      <c r="G406" s="2950"/>
      <c r="H406" s="7653"/>
      <c r="I406" s="7"/>
    </row>
    <row r="407" spans="1:13" ht="31.5">
      <c r="A407" s="7"/>
      <c r="B407" s="2030" t="s">
        <v>21</v>
      </c>
      <c r="C407" s="2943">
        <f>+H69+H70+H71+H72+H73+H74+H75+H76+H77</f>
        <v>8617.7359116799998</v>
      </c>
      <c r="D407" s="2937">
        <f t="shared" si="8"/>
        <v>2.2575660837148903E-4</v>
      </c>
      <c r="F407" s="2950"/>
      <c r="G407" s="2950"/>
      <c r="H407" s="7653"/>
      <c r="I407" s="7"/>
    </row>
    <row r="408" spans="1:13" ht="31.5">
      <c r="A408" s="7"/>
      <c r="B408" s="2030" t="s">
        <v>22</v>
      </c>
      <c r="C408" s="2943">
        <f>SUM(H78:H89)</f>
        <v>67481.025599999994</v>
      </c>
      <c r="D408" s="2937">
        <f t="shared" si="8"/>
        <v>1.7677830494014001E-3</v>
      </c>
      <c r="F408" s="2950"/>
      <c r="G408" s="2950"/>
      <c r="H408" s="7653"/>
      <c r="I408" s="7"/>
    </row>
    <row r="409" spans="1:13" ht="31.5">
      <c r="A409" s="7"/>
      <c r="B409" s="2033" t="s">
        <v>23</v>
      </c>
      <c r="C409" s="2943">
        <f>SUM(H90:H109)</f>
        <v>634483.81967968005</v>
      </c>
      <c r="D409" s="2937">
        <f t="shared" si="8"/>
        <v>1.6621409226910046E-2</v>
      </c>
      <c r="F409" s="2950"/>
      <c r="G409" s="2950"/>
      <c r="H409" s="7653"/>
      <c r="I409" s="7"/>
    </row>
    <row r="410" spans="1:13">
      <c r="A410" s="7"/>
      <c r="B410" s="2030" t="s">
        <v>41</v>
      </c>
      <c r="C410" s="2943">
        <f>SUM(H110:H114)</f>
        <v>3675.31</v>
      </c>
      <c r="D410" s="2937">
        <f t="shared" si="8"/>
        <v>9.6281149575406879E-5</v>
      </c>
      <c r="F410" s="2950"/>
      <c r="G410" s="2950"/>
      <c r="H410" s="7653"/>
      <c r="I410" s="7"/>
    </row>
    <row r="411" spans="1:13">
      <c r="A411" s="7"/>
      <c r="B411" s="2030" t="s">
        <v>42</v>
      </c>
      <c r="C411" s="2943">
        <f>SUM(H115:H125)</f>
        <v>76424.539199999999</v>
      </c>
      <c r="D411" s="2937">
        <f t="shared" si="8"/>
        <v>2.0020739719769885E-3</v>
      </c>
      <c r="F411" s="2950"/>
      <c r="G411" s="2950"/>
      <c r="H411" s="7653"/>
      <c r="I411" s="7"/>
    </row>
    <row r="412" spans="1:13">
      <c r="A412" s="7"/>
      <c r="B412" s="2030" t="s">
        <v>43</v>
      </c>
      <c r="C412" s="2943">
        <f>SUM(H126:H127)</f>
        <v>31699.32</v>
      </c>
      <c r="D412" s="2937">
        <f t="shared" si="8"/>
        <v>8.3041892258304379E-4</v>
      </c>
      <c r="F412" s="2950"/>
      <c r="G412" s="2950"/>
      <c r="H412" s="7653"/>
      <c r="I412" s="7"/>
    </row>
    <row r="413" spans="1:13">
      <c r="A413" s="7"/>
      <c r="B413" s="2030" t="s">
        <v>44</v>
      </c>
      <c r="C413" s="2943">
        <f>SUM(H128)</f>
        <v>0</v>
      </c>
      <c r="D413" s="2937">
        <f t="shared" si="8"/>
        <v>0</v>
      </c>
      <c r="F413" s="2950"/>
      <c r="G413" s="2950"/>
      <c r="H413" s="7653"/>
      <c r="I413" s="7"/>
    </row>
    <row r="414" spans="1:13" ht="31.5">
      <c r="A414" s="7"/>
      <c r="B414" s="2030" t="s">
        <v>45</v>
      </c>
      <c r="C414" s="2943">
        <f>SUM(H129:H129)</f>
        <v>0</v>
      </c>
      <c r="D414" s="2937">
        <f t="shared" si="8"/>
        <v>0</v>
      </c>
      <c r="F414" s="2950"/>
      <c r="G414" s="2950"/>
      <c r="H414" s="7653"/>
      <c r="I414" s="7"/>
    </row>
    <row r="415" spans="1:13" ht="31.5">
      <c r="A415" s="7"/>
      <c r="B415" s="2030" t="s">
        <v>46</v>
      </c>
      <c r="C415" s="2943">
        <f>SUM(H130:H133)</f>
        <v>23410.7716</v>
      </c>
      <c r="D415" s="2937">
        <f t="shared" si="8"/>
        <v>6.1328595468009158E-4</v>
      </c>
      <c r="F415" s="2950"/>
      <c r="G415" s="2950"/>
      <c r="H415" s="7653"/>
      <c r="I415" s="7"/>
    </row>
    <row r="416" spans="1:13">
      <c r="A416" s="7"/>
      <c r="B416" s="2030" t="s">
        <v>83</v>
      </c>
      <c r="C416" s="2943">
        <v>0</v>
      </c>
      <c r="D416" s="2937">
        <f t="shared" si="8"/>
        <v>0</v>
      </c>
      <c r="F416" s="2950"/>
      <c r="G416" s="2950"/>
      <c r="H416" s="7653"/>
      <c r="I416" s="7"/>
    </row>
    <row r="417" spans="1:9" ht="31.5">
      <c r="A417" s="7"/>
      <c r="B417" s="2030" t="s">
        <v>47</v>
      </c>
      <c r="C417" s="2943">
        <f>SUM(H134:H163)</f>
        <v>1616615.39224</v>
      </c>
      <c r="D417" s="2937">
        <f t="shared" si="8"/>
        <v>4.2350057107064298E-2</v>
      </c>
      <c r="F417" s="2950"/>
      <c r="G417" s="2950"/>
      <c r="H417" s="7653"/>
      <c r="I417" s="7"/>
    </row>
    <row r="418" spans="1:9">
      <c r="A418" s="7"/>
      <c r="B418" s="2030" t="s">
        <v>48</v>
      </c>
      <c r="C418" s="2943">
        <f>SUM(H164:H212)</f>
        <v>27593437.633999992</v>
      </c>
      <c r="D418" s="2937">
        <f t="shared" si="8"/>
        <v>0.72285817961989995</v>
      </c>
      <c r="F418" s="2950"/>
      <c r="G418" s="2950"/>
      <c r="H418" s="7653"/>
      <c r="I418" s="7"/>
    </row>
    <row r="419" spans="1:9">
      <c r="A419" s="7"/>
      <c r="B419" s="2030" t="s">
        <v>49</v>
      </c>
      <c r="C419" s="2943">
        <f>SUM(H213:H222)</f>
        <v>284019.67111999996</v>
      </c>
      <c r="D419" s="2937">
        <f t="shared" si="8"/>
        <v>7.4403901813622749E-3</v>
      </c>
      <c r="F419" s="2950"/>
      <c r="G419" s="2950"/>
      <c r="H419" s="7653"/>
      <c r="I419" s="7"/>
    </row>
    <row r="420" spans="1:9">
      <c r="A420" s="7"/>
      <c r="B420" s="2030" t="s">
        <v>50</v>
      </c>
      <c r="C420" s="2943">
        <f>SUM(H223:H283)</f>
        <v>4265819.8399825152</v>
      </c>
      <c r="D420" s="2937">
        <f t="shared" si="8"/>
        <v>0.11175058378071367</v>
      </c>
      <c r="F420" s="2950"/>
      <c r="G420" s="2950"/>
      <c r="H420" s="7653"/>
      <c r="I420" s="7"/>
    </row>
    <row r="421" spans="1:9" ht="31.5">
      <c r="A421" s="7"/>
      <c r="B421" s="2030" t="s">
        <v>51</v>
      </c>
      <c r="C421" s="2943">
        <f>SUM(H284:H308)</f>
        <v>297763.4462666667</v>
      </c>
      <c r="D421" s="2937">
        <f t="shared" si="8"/>
        <v>7.8004323194749729E-3</v>
      </c>
      <c r="F421" s="2950"/>
      <c r="G421" s="2950"/>
      <c r="H421" s="7653"/>
      <c r="I421" s="7"/>
    </row>
    <row r="422" spans="1:9" ht="31.5">
      <c r="A422" s="7"/>
      <c r="B422" s="2030" t="s">
        <v>52</v>
      </c>
      <c r="C422" s="2943">
        <f>SUM(H309:H317)</f>
        <v>154170.25912</v>
      </c>
      <c r="D422" s="2937">
        <f t="shared" si="8"/>
        <v>4.0387585750350187E-3</v>
      </c>
      <c r="F422" s="2950"/>
      <c r="G422" s="2950"/>
      <c r="H422" s="7653"/>
      <c r="I422" s="7"/>
    </row>
    <row r="423" spans="1:9" ht="31.5">
      <c r="A423" s="7"/>
      <c r="B423" s="2030" t="s">
        <v>53</v>
      </c>
      <c r="C423" s="2943">
        <f>SUM(H318:H339)</f>
        <v>150772.89081428573</v>
      </c>
      <c r="D423" s="2937">
        <f t="shared" si="8"/>
        <v>3.9497585924470951E-3</v>
      </c>
      <c r="F423" s="2950"/>
      <c r="G423" s="2950"/>
      <c r="H423" s="7653"/>
      <c r="I423" s="7"/>
    </row>
    <row r="424" spans="1:9">
      <c r="A424" s="7"/>
      <c r="B424" s="2030" t="s">
        <v>54</v>
      </c>
      <c r="C424" s="2943">
        <f>SUM(H341:H359)</f>
        <v>407014.76</v>
      </c>
      <c r="D424" s="2937">
        <f t="shared" si="8"/>
        <v>1.0662460850093824E-2</v>
      </c>
      <c r="F424" s="2950"/>
      <c r="G424" s="2950"/>
      <c r="H424" s="7653"/>
      <c r="I424" s="7"/>
    </row>
    <row r="425" spans="1:9">
      <c r="A425" s="7"/>
      <c r="B425" s="2030" t="s">
        <v>55</v>
      </c>
      <c r="C425" s="2943">
        <f>SUM(H360:H366)</f>
        <v>1051963.4717857142</v>
      </c>
      <c r="D425" s="2937">
        <f t="shared" si="8"/>
        <v>2.7558016160504732E-2</v>
      </c>
      <c r="F425" s="2950"/>
      <c r="G425" s="2950"/>
      <c r="H425" s="7653"/>
      <c r="I425" s="7"/>
    </row>
    <row r="426" spans="1:9" ht="16.5" customHeight="1">
      <c r="A426" s="7"/>
      <c r="B426" s="2031" t="s">
        <v>67</v>
      </c>
      <c r="C426" s="2944">
        <f>SUM(C401:C425)</f>
        <v>38172685.060449108</v>
      </c>
      <c r="D426" s="2938">
        <f>SUM(D401:D425)</f>
        <v>0.99999999999999978</v>
      </c>
      <c r="F426" s="2950"/>
      <c r="G426" s="2950"/>
      <c r="H426" s="7653"/>
      <c r="I426" s="7"/>
    </row>
    <row r="427" spans="1:9" ht="16.5" customHeight="1">
      <c r="A427" s="7"/>
      <c r="B427" s="2028"/>
      <c r="C427" s="2896"/>
      <c r="D427" s="2896"/>
      <c r="F427" s="2950"/>
      <c r="G427" s="2950"/>
      <c r="H427" s="7653"/>
      <c r="I427" s="7"/>
    </row>
    <row r="428" spans="1:9">
      <c r="A428" s="7"/>
      <c r="B428" s="4451" t="s">
        <v>84</v>
      </c>
      <c r="C428" s="2897"/>
      <c r="D428" s="2897"/>
      <c r="F428" s="2949"/>
      <c r="G428" s="2949"/>
      <c r="H428" s="7653"/>
      <c r="I428" s="7"/>
    </row>
    <row r="429" spans="1:9" ht="16.5" customHeight="1">
      <c r="A429" s="7"/>
      <c r="B429" s="4451" t="s">
        <v>85</v>
      </c>
      <c r="C429" s="2897"/>
      <c r="D429" s="2897"/>
      <c r="F429" s="2949"/>
      <c r="G429" s="2949"/>
      <c r="H429" s="7653"/>
      <c r="I429" s="7"/>
    </row>
    <row r="430" spans="1:9" ht="16.5" customHeight="1">
      <c r="A430" s="7"/>
      <c r="B430" s="7958" t="s">
        <v>86</v>
      </c>
      <c r="C430" s="2898"/>
      <c r="D430" s="2899"/>
      <c r="F430" s="2949"/>
      <c r="G430" s="2949"/>
      <c r="H430" s="7653"/>
      <c r="I430" s="7"/>
    </row>
    <row r="431" spans="1:9" ht="16.5" customHeight="1">
      <c r="A431" s="7"/>
      <c r="B431" s="1002"/>
      <c r="C431" s="2900"/>
      <c r="D431" s="2898"/>
      <c r="F431" s="2949"/>
      <c r="G431" s="2949"/>
      <c r="H431" s="2957"/>
      <c r="I431" s="7"/>
    </row>
    <row r="432" spans="1:9" ht="15.75" customHeight="1">
      <c r="B432" s="2808"/>
      <c r="C432" s="2901"/>
      <c r="D432" s="2901"/>
      <c r="E432" s="2901"/>
      <c r="F432" s="2952"/>
      <c r="G432" s="2952"/>
      <c r="H432" s="2958"/>
    </row>
    <row r="433" spans="1:10" ht="15.75" customHeight="1">
      <c r="A433" s="2808"/>
      <c r="B433" s="2808"/>
      <c r="C433" s="2901"/>
      <c r="D433" s="2901"/>
      <c r="E433" s="2901"/>
      <c r="F433" s="2952"/>
      <c r="G433" s="2952"/>
      <c r="H433" s="2958"/>
      <c r="I433" s="2808"/>
    </row>
    <row r="434" spans="1:10" ht="15.75" customHeight="1">
      <c r="A434" s="2808"/>
      <c r="B434" s="2809"/>
      <c r="C434" s="2902"/>
      <c r="D434" s="2905"/>
      <c r="E434" s="2905"/>
      <c r="F434" s="2976"/>
      <c r="G434" s="2905"/>
      <c r="H434" s="2958"/>
      <c r="I434" s="2808"/>
    </row>
    <row r="435" spans="1:10" ht="15.75" customHeight="1">
      <c r="A435" s="2808"/>
      <c r="B435" s="2808"/>
      <c r="C435" s="2901"/>
      <c r="D435" s="2901"/>
      <c r="E435" s="2901"/>
      <c r="F435" s="2952"/>
      <c r="G435" s="2952"/>
      <c r="H435" s="2958"/>
      <c r="I435" s="2808"/>
    </row>
    <row r="436" spans="1:10" ht="15.75" customHeight="1">
      <c r="A436" s="2808"/>
      <c r="B436" s="2808"/>
      <c r="C436" s="2901"/>
      <c r="D436" s="2901"/>
      <c r="E436" s="2901"/>
      <c r="F436" s="2952"/>
      <c r="G436" s="2952"/>
      <c r="H436" s="2958"/>
      <c r="I436" s="2808"/>
    </row>
    <row r="437" spans="1:10" ht="15.75" customHeight="1">
      <c r="B437" s="2808"/>
      <c r="C437" s="2901"/>
      <c r="D437" s="2901"/>
      <c r="E437" s="2901"/>
      <c r="F437" s="2952"/>
      <c r="G437" s="2952"/>
      <c r="H437" s="2958"/>
    </row>
    <row r="446" spans="1:10" ht="15.75" customHeight="1">
      <c r="F446" s="2972"/>
      <c r="G446" s="2972"/>
      <c r="H446" s="2973"/>
      <c r="I446" s="2974"/>
      <c r="J446" s="2974"/>
    </row>
    <row r="447" spans="1:10" ht="15.75" customHeight="1">
      <c r="F447" s="2972"/>
      <c r="G447" s="2972"/>
      <c r="H447" s="2973"/>
      <c r="I447" s="2974"/>
      <c r="J447" s="2974"/>
    </row>
    <row r="448" spans="1:10" ht="15.75" customHeight="1">
      <c r="F448" s="2972"/>
      <c r="G448" s="2972"/>
      <c r="H448" s="2973"/>
      <c r="I448" s="2974"/>
      <c r="J448" s="2974"/>
    </row>
    <row r="449" spans="6:10" ht="15.75" customHeight="1">
      <c r="F449" s="2972"/>
      <c r="G449" s="2972"/>
      <c r="H449" s="2973"/>
      <c r="I449" s="2974"/>
      <c r="J449" s="2974"/>
    </row>
    <row r="450" spans="6:10" ht="15.75" customHeight="1">
      <c r="F450" s="2972"/>
      <c r="G450" s="2972"/>
      <c r="H450" s="2973"/>
      <c r="I450" s="2974"/>
      <c r="J450" s="2974"/>
    </row>
    <row r="451" spans="6:10" ht="15.75" customHeight="1">
      <c r="F451" s="2972"/>
      <c r="G451" s="2972"/>
      <c r="H451" s="2973"/>
      <c r="I451" s="2974"/>
      <c r="J451" s="2974"/>
    </row>
    <row r="452" spans="6:10" ht="15.75" customHeight="1">
      <c r="F452" s="2972"/>
      <c r="G452" s="2972"/>
      <c r="H452" s="2975"/>
      <c r="I452" s="2974"/>
      <c r="J452" s="2974"/>
    </row>
    <row r="453" spans="6:10" ht="15.75" customHeight="1">
      <c r="F453" s="2972"/>
      <c r="G453" s="2972"/>
      <c r="H453" s="2973"/>
      <c r="I453" s="2974"/>
      <c r="J453" s="2974"/>
    </row>
    <row r="454" spans="6:10" ht="15.75" customHeight="1">
      <c r="F454" s="2972"/>
      <c r="G454" s="2972"/>
      <c r="H454" s="2973"/>
      <c r="I454" s="2974"/>
      <c r="J454" s="2974"/>
    </row>
    <row r="455" spans="6:10" ht="15.75" customHeight="1">
      <c r="F455" s="2972"/>
      <c r="G455" s="2972"/>
      <c r="H455" s="2973"/>
      <c r="I455" s="2974"/>
      <c r="J455" s="2974"/>
    </row>
    <row r="456" spans="6:10" ht="15.75" customHeight="1">
      <c r="F456" s="2972"/>
      <c r="G456" s="2972"/>
      <c r="H456" s="2973"/>
      <c r="I456" s="2974"/>
      <c r="J456" s="2974"/>
    </row>
  </sheetData>
  <autoFilter ref="B12:H370" xr:uid="{00000000-0001-0000-0000-000000000000}"/>
  <mergeCells count="10">
    <mergeCell ref="B6:H6"/>
    <mergeCell ref="B7:H7"/>
    <mergeCell ref="B9:H9"/>
    <mergeCell ref="B10:H10"/>
    <mergeCell ref="I61:J61"/>
    <mergeCell ref="B381:D381"/>
    <mergeCell ref="B393:D393"/>
    <mergeCell ref="B400:D400"/>
    <mergeCell ref="C367:F367"/>
    <mergeCell ref="B373:D373"/>
  </mergeCells>
  <printOptions horizontalCentered="1"/>
  <pageMargins left="0.23622047244094491" right="0.23622047244094491" top="0.74803149606299213" bottom="0.74803149606299213" header="0" footer="0"/>
  <pageSetup paperSize="9" scale="50" fitToHeight="0" pageOrder="overThenDown" orientation="landscape" r:id="rId1"/>
  <headerFooter>
    <oddHeader>&amp;L&amp;F&amp;C002060&amp;R&amp;A</oddHeader>
    <oddFooter>&amp;L&amp;D&amp;R&amp;P</oddFooter>
  </headerFooter>
  <ignoredErrors>
    <ignoredError sqref="J374:K381" evalError="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36C09"/>
  </sheetPr>
  <dimension ref="A1:AI370"/>
  <sheetViews>
    <sheetView showGridLines="0" topLeftCell="A231" zoomScaleNormal="100" workbookViewId="0">
      <selection activeCell="A231" sqref="A231"/>
    </sheetView>
  </sheetViews>
  <sheetFormatPr baseColWidth="10" defaultColWidth="12.7109375" defaultRowHeight="15.75" customHeight="1"/>
  <cols>
    <col min="1" max="2" width="4.710937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1.42578125" customWidth="1"/>
    <col min="24" max="25" width="12.7109375" customWidth="1"/>
    <col min="26" max="26" width="14.140625" customWidth="1"/>
    <col min="27" max="27" width="12.7109375" customWidth="1"/>
    <col min="28" max="28" width="13.28515625" customWidth="1"/>
    <col min="29" max="29" width="12.140625" style="365" customWidth="1"/>
    <col min="30" max="30" width="10.28515625" style="365" customWidth="1"/>
    <col min="31" max="33" width="8.7109375" customWidth="1"/>
    <col min="34" max="34" width="19.7109375" customWidth="1"/>
  </cols>
  <sheetData>
    <row r="1" spans="1:35" ht="39"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4"/>
      <c r="AE1" s="8824"/>
      <c r="AF1" s="8824"/>
      <c r="AG1" s="8824"/>
      <c r="AH1" s="8824"/>
    </row>
    <row r="2" spans="1:35" ht="30">
      <c r="A2" s="8826" t="s">
        <v>1478</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6"/>
      <c r="AE2" s="8826"/>
      <c r="AF2" s="8826"/>
      <c r="AG2" s="8826"/>
      <c r="AH2" s="8826"/>
    </row>
    <row r="3" spans="1:35" ht="30.75">
      <c r="A3" s="8828" t="s">
        <v>1479</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8"/>
      <c r="AE3" s="8828"/>
      <c r="AF3" s="8828"/>
      <c r="AG3" s="8828"/>
      <c r="AH3" s="8828"/>
    </row>
    <row r="4" spans="1:35"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9"/>
      <c r="AE4" s="8829"/>
      <c r="AF4" s="8829"/>
      <c r="AG4" s="8829"/>
      <c r="AH4" s="8829"/>
    </row>
    <row r="5" spans="1:35" ht="16.5" customHeight="1">
      <c r="A5" s="11"/>
      <c r="B5" s="7"/>
      <c r="C5" s="11"/>
      <c r="D5" s="11"/>
      <c r="E5" s="11"/>
      <c r="F5" s="11"/>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
    </row>
    <row r="6" spans="1:35" ht="24.75" customHeight="1">
      <c r="A6" s="9002" t="s">
        <v>89</v>
      </c>
      <c r="B6" s="9002"/>
      <c r="C6" s="9735" t="s">
        <v>90</v>
      </c>
      <c r="D6" s="9735"/>
      <c r="E6" s="9010" t="s">
        <v>91</v>
      </c>
      <c r="F6" s="9010"/>
      <c r="G6" s="9010"/>
      <c r="H6" s="9010"/>
      <c r="I6" s="9010"/>
      <c r="J6" s="8988" t="s">
        <v>92</v>
      </c>
      <c r="K6" s="8988"/>
      <c r="L6" s="8988"/>
      <c r="M6" s="8988"/>
      <c r="N6" s="8988"/>
      <c r="O6" s="8988"/>
      <c r="P6" s="8988"/>
      <c r="Q6" s="8988"/>
      <c r="R6" s="8988"/>
      <c r="S6" s="9150" t="s">
        <v>93</v>
      </c>
      <c r="T6" s="9150"/>
      <c r="U6" s="9150"/>
      <c r="V6" s="9150"/>
      <c r="W6" s="9150"/>
      <c r="X6" s="9150"/>
      <c r="Y6" s="9150"/>
      <c r="Z6" s="9150"/>
      <c r="AA6" s="9150"/>
      <c r="AB6" s="9150"/>
      <c r="AC6" s="9150"/>
      <c r="AD6" s="9150"/>
      <c r="AE6" s="9150"/>
      <c r="AF6" s="9150"/>
      <c r="AG6" s="9150"/>
      <c r="AH6" s="9729"/>
      <c r="AI6" s="559"/>
    </row>
    <row r="7" spans="1:35" ht="39.75" customHeight="1">
      <c r="A7" s="9002"/>
      <c r="B7" s="9002"/>
      <c r="C7" s="9663" t="s">
        <v>94</v>
      </c>
      <c r="D7" s="9665" t="s">
        <v>95</v>
      </c>
      <c r="E7" s="9012" t="s">
        <v>96</v>
      </c>
      <c r="F7" s="9012" t="s">
        <v>97</v>
      </c>
      <c r="G7" s="9012" t="s">
        <v>98</v>
      </c>
      <c r="H7" s="9012" t="s">
        <v>99</v>
      </c>
      <c r="I7" s="9012" t="s">
        <v>100</v>
      </c>
      <c r="J7" s="9014" t="s">
        <v>101</v>
      </c>
      <c r="K7" s="9016" t="s">
        <v>102</v>
      </c>
      <c r="L7" s="9016" t="s">
        <v>103</v>
      </c>
      <c r="M7" s="9016" t="s">
        <v>104</v>
      </c>
      <c r="N7" s="9016"/>
      <c r="O7" s="9016"/>
      <c r="P7" s="9016" t="s">
        <v>105</v>
      </c>
      <c r="Q7" s="9016" t="s">
        <v>106</v>
      </c>
      <c r="R7" s="9019" t="s">
        <v>107</v>
      </c>
      <c r="S7" s="9153" t="s">
        <v>108</v>
      </c>
      <c r="T7" s="9153"/>
      <c r="U7" s="9153"/>
      <c r="V7" s="9153"/>
      <c r="W7" s="9153"/>
      <c r="X7" s="9153"/>
      <c r="Y7" s="9153"/>
      <c r="Z7" s="9156" t="s">
        <v>109</v>
      </c>
      <c r="AA7" s="9156"/>
      <c r="AB7" s="9156"/>
      <c r="AC7" s="9156"/>
      <c r="AD7" s="9156"/>
      <c r="AE7" s="9730" t="s">
        <v>110</v>
      </c>
      <c r="AF7" s="9156"/>
      <c r="AG7" s="9731"/>
      <c r="AH7" s="9732" t="s">
        <v>111</v>
      </c>
    </row>
    <row r="8" spans="1:35" ht="51.75" customHeight="1">
      <c r="A8" s="9734"/>
      <c r="B8" s="9734"/>
      <c r="C8" s="9664"/>
      <c r="D8" s="9666"/>
      <c r="E8" s="9738"/>
      <c r="F8" s="9738"/>
      <c r="G8" s="9738"/>
      <c r="H8" s="9738"/>
      <c r="I8" s="9738"/>
      <c r="J8" s="9745"/>
      <c r="K8" s="9736"/>
      <c r="L8" s="9736"/>
      <c r="M8" s="5086" t="s">
        <v>112</v>
      </c>
      <c r="N8" s="5086" t="s">
        <v>113</v>
      </c>
      <c r="O8" s="5086" t="s">
        <v>114</v>
      </c>
      <c r="P8" s="9736"/>
      <c r="Q8" s="9736"/>
      <c r="R8" s="9737"/>
      <c r="S8" s="5089" t="s">
        <v>115</v>
      </c>
      <c r="T8" s="5089" t="s">
        <v>116</v>
      </c>
      <c r="U8" s="5089" t="s">
        <v>117</v>
      </c>
      <c r="V8" s="5088" t="s">
        <v>118</v>
      </c>
      <c r="W8" s="5088" t="s">
        <v>119</v>
      </c>
      <c r="X8" s="5088" t="s">
        <v>1480</v>
      </c>
      <c r="Y8" s="5090" t="s">
        <v>121</v>
      </c>
      <c r="Z8" s="5088" t="s">
        <v>122</v>
      </c>
      <c r="AA8" s="5088" t="s">
        <v>123</v>
      </c>
      <c r="AB8" s="5088" t="s">
        <v>124</v>
      </c>
      <c r="AC8" s="5090" t="s">
        <v>125</v>
      </c>
      <c r="AD8" s="5090" t="s">
        <v>1100</v>
      </c>
      <c r="AE8" s="5088" t="s">
        <v>112</v>
      </c>
      <c r="AF8" s="5088" t="s">
        <v>113</v>
      </c>
      <c r="AG8" s="5088" t="s">
        <v>114</v>
      </c>
      <c r="AH8" s="9733"/>
    </row>
    <row r="9" spans="1:35" ht="29.25" customHeight="1">
      <c r="A9" s="9244" t="s">
        <v>1481</v>
      </c>
      <c r="B9" s="9659" t="s">
        <v>1481</v>
      </c>
      <c r="C9" s="9125" t="s">
        <v>1482</v>
      </c>
      <c r="D9" s="8834" t="s">
        <v>1483</v>
      </c>
      <c r="E9" s="8790" t="s">
        <v>490</v>
      </c>
      <c r="F9" s="8790" t="s">
        <v>1484</v>
      </c>
      <c r="G9" s="8974" t="s">
        <v>230</v>
      </c>
      <c r="H9" s="8834" t="s">
        <v>171</v>
      </c>
      <c r="I9" s="8834" t="s">
        <v>133</v>
      </c>
      <c r="J9" s="9727" t="s">
        <v>1485</v>
      </c>
      <c r="K9" s="8834" t="s">
        <v>1486</v>
      </c>
      <c r="L9" s="8834" t="s">
        <v>1487</v>
      </c>
      <c r="M9" s="8838">
        <v>0</v>
      </c>
      <c r="N9" s="8838">
        <v>0</v>
      </c>
      <c r="O9" s="8838">
        <v>0</v>
      </c>
      <c r="P9" s="9167" t="s">
        <v>1488</v>
      </c>
      <c r="Q9" s="9706" t="s">
        <v>1489</v>
      </c>
      <c r="R9" s="9705" t="s">
        <v>1490</v>
      </c>
      <c r="S9" s="8489"/>
      <c r="T9" s="6580"/>
      <c r="U9" s="6580"/>
      <c r="V9" s="8490"/>
      <c r="W9" s="8491"/>
      <c r="X9" s="8492"/>
      <c r="Y9" s="8493"/>
      <c r="Z9" s="6630"/>
      <c r="AA9" s="6630"/>
      <c r="AB9" s="6631"/>
      <c r="AC9" s="6723"/>
      <c r="AD9" s="423"/>
      <c r="AE9" s="196"/>
      <c r="AF9" s="197"/>
      <c r="AG9" s="197"/>
      <c r="AH9" s="9726"/>
    </row>
    <row r="10" spans="1:35" ht="29.25" customHeight="1">
      <c r="A10" s="9599"/>
      <c r="B10" s="9660"/>
      <c r="C10" s="9124"/>
      <c r="D10" s="8835"/>
      <c r="E10" s="9420"/>
      <c r="F10" s="9420"/>
      <c r="G10" s="9164"/>
      <c r="H10" s="8835"/>
      <c r="I10" s="8834"/>
      <c r="J10" s="9164"/>
      <c r="K10" s="8835"/>
      <c r="L10" s="8835"/>
      <c r="M10" s="8839"/>
      <c r="N10" s="8839"/>
      <c r="O10" s="8839"/>
      <c r="P10" s="9258"/>
      <c r="Q10" s="9276"/>
      <c r="R10" s="9705"/>
      <c r="S10" s="524"/>
      <c r="T10" s="6561"/>
      <c r="U10" s="6561"/>
      <c r="V10" s="541"/>
      <c r="W10" s="6599"/>
      <c r="X10" s="198"/>
      <c r="Y10" s="6632"/>
      <c r="Z10" s="6632"/>
      <c r="AA10" s="6633"/>
      <c r="AB10" s="6634"/>
      <c r="AC10" s="6724"/>
      <c r="AD10" s="424"/>
      <c r="AE10" s="198"/>
      <c r="AF10" s="200"/>
      <c r="AG10" s="200"/>
      <c r="AH10" s="9726"/>
    </row>
    <row r="11" spans="1:35" ht="29.25" customHeight="1">
      <c r="A11" s="9599"/>
      <c r="B11" s="9660"/>
      <c r="C11" s="9124"/>
      <c r="D11" s="8835"/>
      <c r="E11" s="9420"/>
      <c r="F11" s="9420"/>
      <c r="G11" s="9164"/>
      <c r="H11" s="8835"/>
      <c r="I11" s="8834"/>
      <c r="J11" s="9164"/>
      <c r="K11" s="8835"/>
      <c r="L11" s="8835"/>
      <c r="M11" s="8839"/>
      <c r="N11" s="8839"/>
      <c r="O11" s="8839"/>
      <c r="P11" s="9258"/>
      <c r="Q11" s="9276"/>
      <c r="R11" s="9705"/>
      <c r="S11" s="524"/>
      <c r="T11" s="6561"/>
      <c r="U11" s="6561"/>
      <c r="V11" s="541"/>
      <c r="W11" s="6599"/>
      <c r="X11" s="198"/>
      <c r="Y11" s="6632"/>
      <c r="Z11" s="6632"/>
      <c r="AA11" s="6633"/>
      <c r="AB11" s="6634"/>
      <c r="AC11" s="6724"/>
      <c r="AD11" s="424"/>
      <c r="AE11" s="198"/>
      <c r="AF11" s="200"/>
      <c r="AG11" s="200"/>
      <c r="AH11" s="9726"/>
    </row>
    <row r="12" spans="1:35" ht="29.25" customHeight="1">
      <c r="A12" s="9599"/>
      <c r="B12" s="9660"/>
      <c r="C12" s="9124"/>
      <c r="D12" s="8835"/>
      <c r="E12" s="9420"/>
      <c r="F12" s="9420"/>
      <c r="G12" s="9164"/>
      <c r="H12" s="8835"/>
      <c r="I12" s="8834"/>
      <c r="J12" s="9164"/>
      <c r="K12" s="8835"/>
      <c r="L12" s="8835"/>
      <c r="M12" s="8839"/>
      <c r="N12" s="8839"/>
      <c r="O12" s="8839"/>
      <c r="P12" s="9258"/>
      <c r="Q12" s="9276"/>
      <c r="R12" s="9705"/>
      <c r="S12" s="525"/>
      <c r="T12" s="6561"/>
      <c r="U12" s="6561"/>
      <c r="V12" s="542"/>
      <c r="W12" s="6599"/>
      <c r="X12" s="198"/>
      <c r="Y12" s="6632"/>
      <c r="Z12" s="6632"/>
      <c r="AA12" s="6633"/>
      <c r="AB12" s="6634"/>
      <c r="AC12" s="6724"/>
      <c r="AD12" s="424"/>
      <c r="AE12" s="198"/>
      <c r="AF12" s="200"/>
      <c r="AG12" s="200"/>
      <c r="AH12" s="9726"/>
    </row>
    <row r="13" spans="1:35" ht="29.25" customHeight="1">
      <c r="A13" s="9599"/>
      <c r="B13" s="9660"/>
      <c r="C13" s="9124"/>
      <c r="D13" s="8835"/>
      <c r="E13" s="9420"/>
      <c r="F13" s="9420"/>
      <c r="G13" s="9164"/>
      <c r="H13" s="8835"/>
      <c r="I13" s="8834"/>
      <c r="J13" s="9164"/>
      <c r="K13" s="8835"/>
      <c r="L13" s="8835"/>
      <c r="M13" s="8839"/>
      <c r="N13" s="8839"/>
      <c r="O13" s="8839"/>
      <c r="P13" s="9258"/>
      <c r="Q13" s="9276"/>
      <c r="R13" s="9705"/>
      <c r="S13" s="526"/>
      <c r="T13" s="6562"/>
      <c r="U13" s="6562"/>
      <c r="V13" s="543"/>
      <c r="W13" s="6600"/>
      <c r="X13" s="201"/>
      <c r="Y13" s="6635"/>
      <c r="Z13" s="6635"/>
      <c r="AA13" s="6635"/>
      <c r="AB13" s="6636"/>
      <c r="AC13" s="6725"/>
      <c r="AD13" s="425"/>
      <c r="AE13" s="201"/>
      <c r="AF13" s="202"/>
      <c r="AG13" s="202"/>
      <c r="AH13" s="9726"/>
    </row>
    <row r="14" spans="1:35" ht="30.75" customHeight="1">
      <c r="A14" s="9599"/>
      <c r="B14" s="9660"/>
      <c r="C14" s="9223" t="s">
        <v>1482</v>
      </c>
      <c r="D14" s="8782" t="s">
        <v>1291</v>
      </c>
      <c r="E14" s="8782" t="s">
        <v>1292</v>
      </c>
      <c r="F14" s="8782" t="s">
        <v>1293</v>
      </c>
      <c r="G14" s="8977" t="s">
        <v>1294</v>
      </c>
      <c r="H14" s="8782" t="s">
        <v>1304</v>
      </c>
      <c r="I14" s="8782" t="s">
        <v>189</v>
      </c>
      <c r="J14" s="9286" t="s">
        <v>1491</v>
      </c>
      <c r="K14" s="8782" t="s">
        <v>1492</v>
      </c>
      <c r="L14" s="9258" t="s">
        <v>1493</v>
      </c>
      <c r="M14" s="8823">
        <v>0</v>
      </c>
      <c r="N14" s="8975">
        <v>8</v>
      </c>
      <c r="O14" s="8975">
        <v>0</v>
      </c>
      <c r="P14" s="9258" t="s">
        <v>1494</v>
      </c>
      <c r="Q14" s="9276" t="s">
        <v>1495</v>
      </c>
      <c r="R14" s="9696" t="s">
        <v>1490</v>
      </c>
      <c r="S14" s="527"/>
      <c r="T14" s="6563"/>
      <c r="U14" s="6563"/>
      <c r="V14" s="544"/>
      <c r="W14" s="6601"/>
      <c r="X14" s="122"/>
      <c r="Y14" s="6637"/>
      <c r="Z14" s="6637"/>
      <c r="AA14" s="6637"/>
      <c r="AB14" s="6638"/>
      <c r="AC14" s="6726"/>
      <c r="AD14" s="421"/>
      <c r="AE14" s="122"/>
      <c r="AF14" s="190"/>
      <c r="AG14" s="190"/>
      <c r="AH14" s="9697"/>
    </row>
    <row r="15" spans="1:35" ht="30.75" customHeight="1">
      <c r="A15" s="9599"/>
      <c r="B15" s="9660"/>
      <c r="C15" s="9125"/>
      <c r="D15" s="8834"/>
      <c r="E15" s="8834"/>
      <c r="F15" s="8782"/>
      <c r="G15" s="8974"/>
      <c r="H15" s="8834"/>
      <c r="I15" s="8834"/>
      <c r="J15" s="8834"/>
      <c r="K15" s="8834"/>
      <c r="L15" s="9258"/>
      <c r="M15" s="8823"/>
      <c r="N15" s="8975"/>
      <c r="O15" s="8975"/>
      <c r="P15" s="9258"/>
      <c r="Q15" s="9276"/>
      <c r="R15" s="9696"/>
      <c r="S15" s="528"/>
      <c r="T15" s="6564"/>
      <c r="U15" s="6564"/>
      <c r="V15" s="541"/>
      <c r="W15" s="6602"/>
      <c r="X15" s="198"/>
      <c r="Y15" s="6639"/>
      <c r="Z15" s="6639"/>
      <c r="AA15" s="6639"/>
      <c r="AB15" s="6634"/>
      <c r="AC15" s="6724"/>
      <c r="AD15" s="424"/>
      <c r="AE15" s="198"/>
      <c r="AF15" s="198"/>
      <c r="AG15" s="200"/>
      <c r="AH15" s="9697"/>
    </row>
    <row r="16" spans="1:35" ht="30.75" customHeight="1">
      <c r="A16" s="9599"/>
      <c r="B16" s="9660"/>
      <c r="C16" s="9125"/>
      <c r="D16" s="8834"/>
      <c r="E16" s="8834"/>
      <c r="F16" s="8782"/>
      <c r="G16" s="8974"/>
      <c r="H16" s="8834"/>
      <c r="I16" s="8834"/>
      <c r="J16" s="8834"/>
      <c r="K16" s="8834"/>
      <c r="L16" s="9258"/>
      <c r="M16" s="8823"/>
      <c r="N16" s="8975"/>
      <c r="O16" s="8975"/>
      <c r="P16" s="9258"/>
      <c r="Q16" s="9276"/>
      <c r="R16" s="9696"/>
      <c r="S16" s="528"/>
      <c r="T16" s="6564"/>
      <c r="U16" s="6564"/>
      <c r="V16" s="541"/>
      <c r="W16" s="6602"/>
      <c r="X16" s="198"/>
      <c r="Y16" s="6639"/>
      <c r="Z16" s="6639"/>
      <c r="AA16" s="6639"/>
      <c r="AB16" s="6634"/>
      <c r="AC16" s="6724"/>
      <c r="AD16" s="424"/>
      <c r="AE16" s="198"/>
      <c r="AF16" s="198"/>
      <c r="AG16" s="200"/>
      <c r="AH16" s="9697"/>
    </row>
    <row r="17" spans="1:34" ht="30.75" customHeight="1">
      <c r="A17" s="9599"/>
      <c r="B17" s="9660"/>
      <c r="C17" s="9125"/>
      <c r="D17" s="8834"/>
      <c r="E17" s="8834"/>
      <c r="F17" s="8782"/>
      <c r="G17" s="8974"/>
      <c r="H17" s="8834"/>
      <c r="I17" s="8834"/>
      <c r="J17" s="8834"/>
      <c r="K17" s="8834"/>
      <c r="L17" s="9258"/>
      <c r="M17" s="8823"/>
      <c r="N17" s="8975"/>
      <c r="O17" s="8975"/>
      <c r="P17" s="9258"/>
      <c r="Q17" s="9276"/>
      <c r="R17" s="9696"/>
      <c r="S17" s="528"/>
      <c r="T17" s="6564"/>
      <c r="U17" s="6564"/>
      <c r="V17" s="541"/>
      <c r="W17" s="6602"/>
      <c r="X17" s="198"/>
      <c r="Y17" s="6639"/>
      <c r="Z17" s="6639"/>
      <c r="AA17" s="6639"/>
      <c r="AB17" s="6634"/>
      <c r="AC17" s="6724"/>
      <c r="AD17" s="424"/>
      <c r="AE17" s="198"/>
      <c r="AF17" s="198"/>
      <c r="AG17" s="200"/>
      <c r="AH17" s="9697"/>
    </row>
    <row r="18" spans="1:34" ht="30.75" customHeight="1">
      <c r="A18" s="9599"/>
      <c r="B18" s="9660"/>
      <c r="C18" s="9126"/>
      <c r="D18" s="9127"/>
      <c r="E18" s="9127"/>
      <c r="F18" s="8867"/>
      <c r="G18" s="9165"/>
      <c r="H18" s="9127"/>
      <c r="I18" s="9127"/>
      <c r="J18" s="9127"/>
      <c r="K18" s="9127"/>
      <c r="L18" s="9728"/>
      <c r="M18" s="8865"/>
      <c r="N18" s="9708"/>
      <c r="O18" s="9708"/>
      <c r="P18" s="9728"/>
      <c r="Q18" s="9749"/>
      <c r="R18" s="9718"/>
      <c r="S18" s="529"/>
      <c r="T18" s="6565"/>
      <c r="U18" s="6565"/>
      <c r="V18" s="545"/>
      <c r="W18" s="6600"/>
      <c r="X18" s="201"/>
      <c r="Y18" s="6635"/>
      <c r="Z18" s="6635"/>
      <c r="AA18" s="6635"/>
      <c r="AB18" s="6636"/>
      <c r="AC18" s="6725"/>
      <c r="AD18" s="425"/>
      <c r="AE18" s="201"/>
      <c r="AF18" s="201"/>
      <c r="AG18" s="202"/>
      <c r="AH18" s="9697"/>
    </row>
    <row r="19" spans="1:34" ht="28.5" customHeight="1">
      <c r="A19" s="9599"/>
      <c r="B19" s="9660"/>
      <c r="C19" s="9125" t="s">
        <v>1482</v>
      </c>
      <c r="D19" s="8834" t="s">
        <v>1291</v>
      </c>
      <c r="E19" s="8834" t="s">
        <v>1292</v>
      </c>
      <c r="F19" s="8834" t="s">
        <v>1293</v>
      </c>
      <c r="G19" s="8974" t="s">
        <v>1294</v>
      </c>
      <c r="H19" s="8834" t="s">
        <v>1304</v>
      </c>
      <c r="I19" s="8834" t="s">
        <v>189</v>
      </c>
      <c r="J19" s="9451" t="s">
        <v>1496</v>
      </c>
      <c r="K19" s="8834" t="s">
        <v>1497</v>
      </c>
      <c r="L19" s="8834" t="s">
        <v>1498</v>
      </c>
      <c r="M19" s="8856">
        <v>0</v>
      </c>
      <c r="N19" s="9687">
        <v>1</v>
      </c>
      <c r="O19" s="9687">
        <v>1</v>
      </c>
      <c r="P19" s="9751" t="s">
        <v>1499</v>
      </c>
      <c r="Q19" s="9205" t="s">
        <v>1500</v>
      </c>
      <c r="R19" s="9705" t="s">
        <v>1490</v>
      </c>
      <c r="S19" s="1247"/>
      <c r="T19" s="6566"/>
      <c r="U19" s="6566"/>
      <c r="V19" s="1262"/>
      <c r="W19" s="6603"/>
      <c r="X19" s="1063"/>
      <c r="Y19" s="6640"/>
      <c r="Z19" s="6640"/>
      <c r="AA19" s="6640"/>
      <c r="AB19" s="6641"/>
      <c r="AC19" s="6727"/>
      <c r="AD19" s="1263"/>
      <c r="AE19" s="122"/>
      <c r="AF19" s="190"/>
      <c r="AG19" s="190"/>
      <c r="AH19" s="9725"/>
    </row>
    <row r="20" spans="1:34" ht="28.5" customHeight="1">
      <c r="A20" s="9599"/>
      <c r="B20" s="9660"/>
      <c r="C20" s="9125"/>
      <c r="D20" s="8834"/>
      <c r="E20" s="8834"/>
      <c r="F20" s="8834"/>
      <c r="G20" s="8974"/>
      <c r="H20" s="8834"/>
      <c r="I20" s="8834"/>
      <c r="J20" s="8834"/>
      <c r="K20" s="8782"/>
      <c r="L20" s="8834"/>
      <c r="M20" s="8823"/>
      <c r="N20" s="9714"/>
      <c r="O20" s="9714"/>
      <c r="P20" s="9750"/>
      <c r="Q20" s="9217"/>
      <c r="R20" s="9696"/>
      <c r="S20" s="1289"/>
      <c r="T20" s="6567"/>
      <c r="U20" s="6567"/>
      <c r="V20" s="1266"/>
      <c r="W20" s="6604"/>
      <c r="X20" s="1250"/>
      <c r="Y20" s="6642"/>
      <c r="Z20" s="6642"/>
      <c r="AA20" s="6642"/>
      <c r="AB20" s="6503"/>
      <c r="AC20" s="6554"/>
      <c r="AD20" s="1249"/>
      <c r="AE20" s="198"/>
      <c r="AF20" s="200"/>
      <c r="AG20" s="200"/>
      <c r="AH20" s="9725"/>
    </row>
    <row r="21" spans="1:34" ht="28.5" customHeight="1">
      <c r="A21" s="9599"/>
      <c r="B21" s="9660"/>
      <c r="C21" s="9125"/>
      <c r="D21" s="8834"/>
      <c r="E21" s="8834"/>
      <c r="F21" s="8834"/>
      <c r="G21" s="8974"/>
      <c r="H21" s="8834"/>
      <c r="I21" s="8834"/>
      <c r="J21" s="8834"/>
      <c r="K21" s="8782"/>
      <c r="L21" s="8834"/>
      <c r="M21" s="8823"/>
      <c r="N21" s="9714"/>
      <c r="O21" s="9714"/>
      <c r="P21" s="9750"/>
      <c r="Q21" s="9217"/>
      <c r="R21" s="9696"/>
      <c r="S21" s="1289"/>
      <c r="T21" s="6567"/>
      <c r="U21" s="6567"/>
      <c r="V21" s="1266"/>
      <c r="W21" s="6604"/>
      <c r="X21" s="1250"/>
      <c r="Y21" s="6642"/>
      <c r="Z21" s="6642"/>
      <c r="AA21" s="6642"/>
      <c r="AB21" s="6503"/>
      <c r="AC21" s="6554"/>
      <c r="AD21" s="1249"/>
      <c r="AE21" s="198"/>
      <c r="AF21" s="200"/>
      <c r="AG21" s="200"/>
      <c r="AH21" s="9725"/>
    </row>
    <row r="22" spans="1:34" ht="28.5" customHeight="1">
      <c r="A22" s="9599"/>
      <c r="B22" s="9660"/>
      <c r="C22" s="9125"/>
      <c r="D22" s="8834"/>
      <c r="E22" s="8834"/>
      <c r="F22" s="8834"/>
      <c r="G22" s="8974"/>
      <c r="H22" s="8834"/>
      <c r="I22" s="8834"/>
      <c r="J22" s="8834"/>
      <c r="K22" s="8782"/>
      <c r="L22" s="8834"/>
      <c r="M22" s="8823"/>
      <c r="N22" s="9714"/>
      <c r="O22" s="9714"/>
      <c r="P22" s="9750"/>
      <c r="Q22" s="9217"/>
      <c r="R22" s="9696"/>
      <c r="S22" s="1290"/>
      <c r="T22" s="6439"/>
      <c r="U22" s="6439"/>
      <c r="V22" s="1291"/>
      <c r="W22" s="6604"/>
      <c r="X22" s="1250"/>
      <c r="Y22" s="6642"/>
      <c r="Z22" s="6642"/>
      <c r="AA22" s="6642"/>
      <c r="AB22" s="6503"/>
      <c r="AC22" s="6554"/>
      <c r="AD22" s="1249"/>
      <c r="AE22" s="198"/>
      <c r="AF22" s="200"/>
      <c r="AG22" s="200"/>
      <c r="AH22" s="9725"/>
    </row>
    <row r="23" spans="1:34" ht="28.5" customHeight="1">
      <c r="A23" s="9599"/>
      <c r="B23" s="9660"/>
      <c r="C23" s="9125"/>
      <c r="D23" s="8834"/>
      <c r="E23" s="8834"/>
      <c r="F23" s="8834"/>
      <c r="G23" s="8974"/>
      <c r="H23" s="8834"/>
      <c r="I23" s="8834"/>
      <c r="J23" s="8834"/>
      <c r="K23" s="8782"/>
      <c r="L23" s="8834"/>
      <c r="M23" s="8823"/>
      <c r="N23" s="9714"/>
      <c r="O23" s="9714"/>
      <c r="P23" s="9750"/>
      <c r="Q23" s="9217"/>
      <c r="R23" s="9696"/>
      <c r="S23" s="1292"/>
      <c r="T23" s="6568"/>
      <c r="U23" s="6568"/>
      <c r="V23" s="1288"/>
      <c r="W23" s="6605"/>
      <c r="X23" s="1268"/>
      <c r="Y23" s="6643"/>
      <c r="Z23" s="6643"/>
      <c r="AA23" s="6643"/>
      <c r="AB23" s="6644"/>
      <c r="AC23" s="6728"/>
      <c r="AD23" s="1267"/>
      <c r="AE23" s="206"/>
      <c r="AF23" s="207"/>
      <c r="AG23" s="207"/>
      <c r="AH23" s="9725"/>
    </row>
    <row r="24" spans="1:34" ht="28.5" customHeight="1">
      <c r="A24" s="9599"/>
      <c r="B24" s="9660"/>
      <c r="C24" s="9223" t="s">
        <v>1482</v>
      </c>
      <c r="D24" s="8782" t="s">
        <v>1291</v>
      </c>
      <c r="E24" s="8782" t="s">
        <v>1292</v>
      </c>
      <c r="F24" s="8782" t="s">
        <v>1310</v>
      </c>
      <c r="G24" s="8977" t="s">
        <v>1294</v>
      </c>
      <c r="H24" s="8782" t="s">
        <v>1304</v>
      </c>
      <c r="I24" s="8782" t="s">
        <v>133</v>
      </c>
      <c r="J24" s="8782" t="s">
        <v>1501</v>
      </c>
      <c r="K24" s="8782" t="s">
        <v>1502</v>
      </c>
      <c r="L24" s="8782" t="s">
        <v>1503</v>
      </c>
      <c r="M24" s="9747">
        <v>0</v>
      </c>
      <c r="N24" s="9747">
        <v>0</v>
      </c>
      <c r="O24" s="9747">
        <v>0</v>
      </c>
      <c r="P24" s="9258" t="s">
        <v>1504</v>
      </c>
      <c r="Q24" s="9759" t="s">
        <v>1505</v>
      </c>
      <c r="R24" s="9760" t="s">
        <v>1490</v>
      </c>
      <c r="S24" s="1120" t="s">
        <v>80</v>
      </c>
      <c r="T24" s="4697">
        <v>530301</v>
      </c>
      <c r="U24" s="6569"/>
      <c r="V24" s="1943" t="s">
        <v>27</v>
      </c>
      <c r="W24" s="6625"/>
      <c r="X24" s="1942"/>
      <c r="Y24" s="8080"/>
      <c r="Z24" s="8080"/>
      <c r="AA24" s="8080"/>
      <c r="AB24" s="8022">
        <f>SUM($AA$25)</f>
        <v>500</v>
      </c>
      <c r="AC24" s="4764" t="s">
        <v>18</v>
      </c>
      <c r="AD24" s="1293"/>
      <c r="AE24" s="18"/>
      <c r="AF24" s="20"/>
      <c r="AG24" s="20"/>
      <c r="AH24" s="8857"/>
    </row>
    <row r="25" spans="1:34" ht="59.25" customHeight="1">
      <c r="A25" s="9599"/>
      <c r="B25" s="9660"/>
      <c r="C25" s="9223"/>
      <c r="D25" s="8782"/>
      <c r="E25" s="8782"/>
      <c r="F25" s="8782"/>
      <c r="G25" s="8977"/>
      <c r="H25" s="8782"/>
      <c r="I25" s="8782"/>
      <c r="J25" s="8782"/>
      <c r="K25" s="8782"/>
      <c r="L25" s="8782"/>
      <c r="M25" s="9747"/>
      <c r="N25" s="9747"/>
      <c r="O25" s="9747"/>
      <c r="P25" s="9258"/>
      <c r="Q25" s="9759"/>
      <c r="R25" s="9760"/>
      <c r="S25" s="1117"/>
      <c r="T25" s="4684"/>
      <c r="U25" s="4684"/>
      <c r="V25" s="1944" t="s">
        <v>1506</v>
      </c>
      <c r="W25" s="6626">
        <v>1</v>
      </c>
      <c r="X25" s="69" t="s">
        <v>180</v>
      </c>
      <c r="Y25" s="7981">
        <f>500/1.12</f>
        <v>446.42857142857139</v>
      </c>
      <c r="Z25" s="8081">
        <f>+W25*Y25</f>
        <v>446.42857142857139</v>
      </c>
      <c r="AA25" s="8081">
        <f>+Z25*1.12</f>
        <v>500</v>
      </c>
      <c r="AB25" s="7982"/>
      <c r="AC25" s="4767"/>
      <c r="AD25" s="1282"/>
      <c r="AE25" s="15" t="s">
        <v>153</v>
      </c>
      <c r="AF25" s="15" t="s">
        <v>153</v>
      </c>
      <c r="AG25" s="15" t="s">
        <v>153</v>
      </c>
      <c r="AH25" s="8857"/>
    </row>
    <row r="26" spans="1:34" ht="29.25" customHeight="1">
      <c r="A26" s="9599"/>
      <c r="B26" s="9660"/>
      <c r="C26" s="9223"/>
      <c r="D26" s="8782"/>
      <c r="E26" s="8782"/>
      <c r="F26" s="8782"/>
      <c r="G26" s="8977"/>
      <c r="H26" s="8782"/>
      <c r="I26" s="8782"/>
      <c r="J26" s="8782"/>
      <c r="K26" s="8782"/>
      <c r="L26" s="8782"/>
      <c r="M26" s="9747"/>
      <c r="N26" s="9747"/>
      <c r="O26" s="9747"/>
      <c r="P26" s="9258"/>
      <c r="Q26" s="9759"/>
      <c r="R26" s="9760"/>
      <c r="S26" s="1117" t="s">
        <v>80</v>
      </c>
      <c r="T26" s="4686">
        <v>530302</v>
      </c>
      <c r="U26" s="4684"/>
      <c r="V26" s="1945" t="s">
        <v>1507</v>
      </c>
      <c r="W26" s="6626"/>
      <c r="X26" s="1850"/>
      <c r="Y26" s="8082"/>
      <c r="Z26" s="8081"/>
      <c r="AA26" s="8081"/>
      <c r="AB26" s="7982">
        <f>SUM(AA27)</f>
        <v>9951.8700000000008</v>
      </c>
      <c r="AC26" s="4767" t="s">
        <v>18</v>
      </c>
      <c r="AD26" s="1282"/>
      <c r="AE26" s="15"/>
      <c r="AF26" s="14"/>
      <c r="AG26" s="14"/>
      <c r="AH26" s="8857"/>
    </row>
    <row r="27" spans="1:34" ht="63.75" customHeight="1">
      <c r="A27" s="9599"/>
      <c r="B27" s="9660"/>
      <c r="C27" s="9223"/>
      <c r="D27" s="8782"/>
      <c r="E27" s="8782"/>
      <c r="F27" s="8782"/>
      <c r="G27" s="8977"/>
      <c r="H27" s="8782"/>
      <c r="I27" s="8782"/>
      <c r="J27" s="8782"/>
      <c r="K27" s="8782"/>
      <c r="L27" s="8782"/>
      <c r="M27" s="9747"/>
      <c r="N27" s="9747"/>
      <c r="O27" s="9747"/>
      <c r="P27" s="9258"/>
      <c r="Q27" s="9759"/>
      <c r="R27" s="9760"/>
      <c r="S27" s="1294"/>
      <c r="T27" s="4684"/>
      <c r="U27" s="4684"/>
      <c r="V27" s="1944" t="s">
        <v>1508</v>
      </c>
      <c r="W27" s="6626">
        <v>1</v>
      </c>
      <c r="X27" s="69" t="s">
        <v>180</v>
      </c>
      <c r="Y27" s="7981">
        <f>9951.87</f>
        <v>9951.8700000000008</v>
      </c>
      <c r="Z27" s="8081">
        <f>+W27*Y27</f>
        <v>9951.8700000000008</v>
      </c>
      <c r="AA27" s="8081">
        <f>Z27</f>
        <v>9951.8700000000008</v>
      </c>
      <c r="AB27" s="7982"/>
      <c r="AC27" s="6626"/>
      <c r="AD27" s="1282"/>
      <c r="AE27" s="15" t="s">
        <v>153</v>
      </c>
      <c r="AF27" s="15" t="s">
        <v>153</v>
      </c>
      <c r="AG27" s="15" t="s">
        <v>153</v>
      </c>
      <c r="AH27" s="8857"/>
    </row>
    <row r="28" spans="1:34" ht="28.5" customHeight="1">
      <c r="A28" s="9599"/>
      <c r="B28" s="9660"/>
      <c r="C28" s="9223"/>
      <c r="D28" s="8782"/>
      <c r="E28" s="8782"/>
      <c r="F28" s="8782"/>
      <c r="G28" s="8977"/>
      <c r="H28" s="8782"/>
      <c r="I28" s="8782"/>
      <c r="J28" s="8782"/>
      <c r="K28" s="8782"/>
      <c r="L28" s="8782"/>
      <c r="M28" s="9747"/>
      <c r="N28" s="9747"/>
      <c r="O28" s="9747"/>
      <c r="P28" s="9258"/>
      <c r="Q28" s="9759"/>
      <c r="R28" s="9760"/>
      <c r="S28" s="1117" t="s">
        <v>80</v>
      </c>
      <c r="T28" s="4686">
        <v>530303</v>
      </c>
      <c r="U28" s="4686"/>
      <c r="V28" s="1945" t="s">
        <v>29</v>
      </c>
      <c r="W28" s="6381"/>
      <c r="X28" s="69"/>
      <c r="Y28" s="7981"/>
      <c r="Z28" s="8081"/>
      <c r="AA28" s="8081"/>
      <c r="AB28" s="7982">
        <f>SUM($AA$28:$AA$29)</f>
        <v>1920</v>
      </c>
      <c r="AC28" s="4767" t="s">
        <v>25</v>
      </c>
      <c r="AD28" s="973"/>
      <c r="AE28" s="15"/>
      <c r="AF28" s="15"/>
      <c r="AG28" s="15"/>
      <c r="AH28" s="8857"/>
    </row>
    <row r="29" spans="1:34" ht="39" customHeight="1">
      <c r="A29" s="9599"/>
      <c r="B29" s="9660"/>
      <c r="C29" s="9223"/>
      <c r="D29" s="8782"/>
      <c r="E29" s="8782"/>
      <c r="F29" s="8782"/>
      <c r="G29" s="8977"/>
      <c r="H29" s="8782"/>
      <c r="I29" s="8782"/>
      <c r="J29" s="8782"/>
      <c r="K29" s="8782"/>
      <c r="L29" s="8782"/>
      <c r="M29" s="9747"/>
      <c r="N29" s="9747"/>
      <c r="O29" s="9747"/>
      <c r="P29" s="9258"/>
      <c r="Q29" s="9759"/>
      <c r="R29" s="9760"/>
      <c r="S29" s="1295"/>
      <c r="T29" s="6570"/>
      <c r="U29" s="4686"/>
      <c r="V29" s="1944" t="s">
        <v>1509</v>
      </c>
      <c r="W29" s="6381">
        <v>1</v>
      </c>
      <c r="X29" s="69" t="s">
        <v>180</v>
      </c>
      <c r="Y29" s="7981">
        <f>(1120+800)/1.12</f>
        <v>1714.2857142857142</v>
      </c>
      <c r="Z29" s="8081">
        <f>+W29*Y29</f>
        <v>1714.2857142857142</v>
      </c>
      <c r="AA29" s="8081">
        <f>+Z29*1.12</f>
        <v>1920</v>
      </c>
      <c r="AB29" s="7982"/>
      <c r="AC29" s="6729"/>
      <c r="AD29" s="973"/>
      <c r="AE29" s="15" t="s">
        <v>153</v>
      </c>
      <c r="AF29" s="15" t="s">
        <v>153</v>
      </c>
      <c r="AG29" s="15" t="s">
        <v>153</v>
      </c>
      <c r="AH29" s="8857"/>
    </row>
    <row r="30" spans="1:34" ht="27" customHeight="1">
      <c r="A30" s="9599"/>
      <c r="B30" s="9660"/>
      <c r="C30" s="9223"/>
      <c r="D30" s="8782"/>
      <c r="E30" s="8782"/>
      <c r="F30" s="8782"/>
      <c r="G30" s="8977"/>
      <c r="H30" s="8782"/>
      <c r="I30" s="8782"/>
      <c r="J30" s="8782"/>
      <c r="K30" s="8782"/>
      <c r="L30" s="8782"/>
      <c r="M30" s="9747"/>
      <c r="N30" s="9747"/>
      <c r="O30" s="9747"/>
      <c r="P30" s="9258"/>
      <c r="Q30" s="9759"/>
      <c r="R30" s="9760"/>
      <c r="S30" s="1117" t="s">
        <v>80</v>
      </c>
      <c r="T30" s="4686">
        <v>530304</v>
      </c>
      <c r="U30" s="4686"/>
      <c r="V30" s="1945" t="s">
        <v>30</v>
      </c>
      <c r="W30" s="6381"/>
      <c r="X30" s="69"/>
      <c r="Y30" s="6664"/>
      <c r="Z30" s="6664"/>
      <c r="AA30" s="6664"/>
      <c r="AB30" s="6666">
        <f>SUM($AA$31:$AA$31)</f>
        <v>2680</v>
      </c>
      <c r="AC30" s="4767" t="s">
        <v>25</v>
      </c>
      <c r="AD30" s="973"/>
      <c r="AE30" s="15"/>
      <c r="AF30" s="14"/>
      <c r="AG30" s="14"/>
      <c r="AH30" s="8857"/>
    </row>
    <row r="31" spans="1:34" ht="33.75" customHeight="1">
      <c r="A31" s="9599"/>
      <c r="B31" s="9660"/>
      <c r="C31" s="9223"/>
      <c r="D31" s="8782"/>
      <c r="E31" s="8782"/>
      <c r="F31" s="8782"/>
      <c r="G31" s="8977"/>
      <c r="H31" s="8782"/>
      <c r="I31" s="8782"/>
      <c r="J31" s="8782"/>
      <c r="K31" s="8782"/>
      <c r="L31" s="8782"/>
      <c r="M31" s="9747"/>
      <c r="N31" s="9747"/>
      <c r="O31" s="9747"/>
      <c r="P31" s="9258"/>
      <c r="Q31" s="9759"/>
      <c r="R31" s="9760"/>
      <c r="S31" s="1295"/>
      <c r="T31" s="6570"/>
      <c r="U31" s="4686"/>
      <c r="V31" s="1944" t="s">
        <v>1509</v>
      </c>
      <c r="W31" s="6381">
        <v>1</v>
      </c>
      <c r="X31" s="69" t="s">
        <v>180</v>
      </c>
      <c r="Y31" s="6667">
        <f>2680/1.12</f>
        <v>2392.8571428571427</v>
      </c>
      <c r="Z31" s="4783">
        <f t="shared" ref="Z31" si="0">+W31*Y31</f>
        <v>2392.8571428571427</v>
      </c>
      <c r="AA31" s="4783">
        <f t="shared" ref="AA31" si="1">+Z31*1.12</f>
        <v>2680</v>
      </c>
      <c r="AB31" s="6665"/>
      <c r="AC31" s="6729"/>
      <c r="AD31" s="973"/>
      <c r="AE31" s="15" t="s">
        <v>153</v>
      </c>
      <c r="AF31" s="15" t="s">
        <v>153</v>
      </c>
      <c r="AG31" s="15" t="s">
        <v>153</v>
      </c>
      <c r="AH31" s="8857"/>
    </row>
    <row r="32" spans="1:34" ht="26.25" customHeight="1">
      <c r="A32" s="9599"/>
      <c r="B32" s="9660"/>
      <c r="C32" s="9223"/>
      <c r="D32" s="8782"/>
      <c r="E32" s="8782"/>
      <c r="F32" s="8782"/>
      <c r="G32" s="8977"/>
      <c r="H32" s="8782"/>
      <c r="I32" s="8782"/>
      <c r="J32" s="8782"/>
      <c r="K32" s="8782"/>
      <c r="L32" s="8782"/>
      <c r="M32" s="9747"/>
      <c r="N32" s="9747"/>
      <c r="O32" s="9747"/>
      <c r="P32" s="9258"/>
      <c r="Q32" s="9759"/>
      <c r="R32" s="9760"/>
      <c r="S32" s="1117" t="s">
        <v>80</v>
      </c>
      <c r="T32" s="4686">
        <v>530304</v>
      </c>
      <c r="U32" s="4686"/>
      <c r="V32" s="1945" t="s">
        <v>30</v>
      </c>
      <c r="W32" s="6381"/>
      <c r="X32" s="69"/>
      <c r="Y32" s="6664"/>
      <c r="Z32" s="6664"/>
      <c r="AA32" s="6664"/>
      <c r="AB32" s="6665">
        <f>SUM(AA33)</f>
        <v>5000</v>
      </c>
      <c r="AC32" s="4767" t="s">
        <v>18</v>
      </c>
      <c r="AD32" s="973"/>
      <c r="AE32" s="15"/>
      <c r="AF32" s="15"/>
      <c r="AG32" s="15"/>
      <c r="AH32" s="8857"/>
    </row>
    <row r="33" spans="1:34" ht="39" customHeight="1">
      <c r="A33" s="9599"/>
      <c r="B33" s="9660"/>
      <c r="C33" s="9223"/>
      <c r="D33" s="8782"/>
      <c r="E33" s="8782"/>
      <c r="F33" s="8782"/>
      <c r="G33" s="8977"/>
      <c r="H33" s="8782"/>
      <c r="I33" s="8782"/>
      <c r="J33" s="8782"/>
      <c r="K33" s="8782"/>
      <c r="L33" s="8782"/>
      <c r="M33" s="9747"/>
      <c r="N33" s="9747"/>
      <c r="O33" s="9747"/>
      <c r="P33" s="9258"/>
      <c r="Q33" s="9759"/>
      <c r="R33" s="9760"/>
      <c r="S33" s="1296"/>
      <c r="T33" s="6571"/>
      <c r="U33" s="6572"/>
      <c r="V33" s="1946" t="s">
        <v>1509</v>
      </c>
      <c r="W33" s="6606">
        <v>1</v>
      </c>
      <c r="X33" s="1947" t="s">
        <v>180</v>
      </c>
      <c r="Y33" s="6668">
        <f>5000/1.12</f>
        <v>4464.2857142857138</v>
      </c>
      <c r="Z33" s="6669">
        <f t="shared" ref="Z33" si="2">+W33*Y33</f>
        <v>4464.2857142857138</v>
      </c>
      <c r="AA33" s="6669">
        <f t="shared" ref="AA33" si="3">+Z33*1.12</f>
        <v>5000</v>
      </c>
      <c r="AB33" s="6670"/>
      <c r="AC33" s="6730"/>
      <c r="AD33" s="1297"/>
      <c r="AE33" s="23" t="s">
        <v>153</v>
      </c>
      <c r="AF33" s="23" t="s">
        <v>153</v>
      </c>
      <c r="AG33" s="23" t="s">
        <v>153</v>
      </c>
      <c r="AH33" s="8857"/>
    </row>
    <row r="34" spans="1:34" ht="28.5" customHeight="1">
      <c r="A34" s="9599"/>
      <c r="B34" s="9660"/>
      <c r="C34" s="9223" t="s">
        <v>1482</v>
      </c>
      <c r="D34" s="8782" t="s">
        <v>1291</v>
      </c>
      <c r="E34" s="8782" t="s">
        <v>1292</v>
      </c>
      <c r="F34" s="8782" t="s">
        <v>1310</v>
      </c>
      <c r="G34" s="8977" t="s">
        <v>1294</v>
      </c>
      <c r="H34" s="8782" t="s">
        <v>1304</v>
      </c>
      <c r="I34" s="8782" t="s">
        <v>133</v>
      </c>
      <c r="J34" s="8782" t="s">
        <v>1510</v>
      </c>
      <c r="K34" s="8782" t="s">
        <v>1511</v>
      </c>
      <c r="L34" s="8782" t="s">
        <v>1512</v>
      </c>
      <c r="M34" s="9747">
        <v>0</v>
      </c>
      <c r="N34" s="9747">
        <v>0</v>
      </c>
      <c r="O34" s="9747">
        <v>0</v>
      </c>
      <c r="P34" s="9258" t="s">
        <v>1513</v>
      </c>
      <c r="Q34" s="9276" t="s">
        <v>1514</v>
      </c>
      <c r="R34" s="9696" t="s">
        <v>1490</v>
      </c>
      <c r="S34" s="1120" t="s">
        <v>80</v>
      </c>
      <c r="T34" s="4697">
        <v>530609</v>
      </c>
      <c r="U34" s="4697"/>
      <c r="V34" s="1843" t="s">
        <v>32</v>
      </c>
      <c r="W34" s="6607"/>
      <c r="X34" s="882"/>
      <c r="Y34" s="6671"/>
      <c r="Z34" s="6671"/>
      <c r="AA34" s="6671"/>
      <c r="AB34" s="6672">
        <f>SUM($AA$35:$AA$35)</f>
        <v>1680</v>
      </c>
      <c r="AC34" s="4764" t="s">
        <v>25</v>
      </c>
      <c r="AD34" s="981"/>
      <c r="AE34" s="18"/>
      <c r="AF34" s="20"/>
      <c r="AG34" s="20"/>
      <c r="AH34" s="9740"/>
    </row>
    <row r="35" spans="1:34" ht="55.5" customHeight="1">
      <c r="A35" s="9599"/>
      <c r="B35" s="9660"/>
      <c r="C35" s="9223"/>
      <c r="D35" s="8782"/>
      <c r="E35" s="8782"/>
      <c r="F35" s="8782"/>
      <c r="G35" s="8977"/>
      <c r="H35" s="8782"/>
      <c r="I35" s="8782"/>
      <c r="J35" s="8782"/>
      <c r="K35" s="8782"/>
      <c r="L35" s="8782"/>
      <c r="M35" s="9747"/>
      <c r="N35" s="9747"/>
      <c r="O35" s="9747"/>
      <c r="P35" s="9258"/>
      <c r="Q35" s="9276"/>
      <c r="R35" s="9696"/>
      <c r="S35" s="1294"/>
      <c r="T35" s="4686"/>
      <c r="U35" s="4686"/>
      <c r="V35" s="3264" t="s">
        <v>1515</v>
      </c>
      <c r="W35" s="6608">
        <v>1</v>
      </c>
      <c r="X35" s="3152" t="s">
        <v>180</v>
      </c>
      <c r="Y35" s="6667">
        <f>1680/1.12</f>
        <v>1499.9999999999998</v>
      </c>
      <c r="Z35" s="4783">
        <f t="shared" ref="Z35" si="4">+W35*Y35</f>
        <v>1499.9999999999998</v>
      </c>
      <c r="AA35" s="4783">
        <f t="shared" ref="AA35" si="5">+Z35*1.12</f>
        <v>1680</v>
      </c>
      <c r="AB35" s="6665"/>
      <c r="AC35" s="6729"/>
      <c r="AD35" s="973"/>
      <c r="AE35" s="15"/>
      <c r="AF35" s="15"/>
      <c r="AG35" s="15" t="s">
        <v>153</v>
      </c>
      <c r="AH35" s="9740"/>
    </row>
    <row r="36" spans="1:34" ht="33" customHeight="1">
      <c r="A36" s="9599"/>
      <c r="B36" s="9660"/>
      <c r="C36" s="9223"/>
      <c r="D36" s="8782"/>
      <c r="E36" s="8782"/>
      <c r="F36" s="8782"/>
      <c r="G36" s="8977"/>
      <c r="H36" s="8782"/>
      <c r="I36" s="8782"/>
      <c r="J36" s="8782"/>
      <c r="K36" s="8782"/>
      <c r="L36" s="8782"/>
      <c r="M36" s="9747"/>
      <c r="N36" s="9747"/>
      <c r="O36" s="9747"/>
      <c r="P36" s="9258"/>
      <c r="Q36" s="9276"/>
      <c r="R36" s="9696"/>
      <c r="S36" s="1117" t="s">
        <v>80</v>
      </c>
      <c r="T36" s="6313">
        <v>840104</v>
      </c>
      <c r="U36" s="6573"/>
      <c r="V36" s="1948" t="s">
        <v>39</v>
      </c>
      <c r="W36" s="6609"/>
      <c r="X36" s="1949"/>
      <c r="Y36" s="6673"/>
      <c r="Z36" s="6521"/>
      <c r="AA36" s="6521"/>
      <c r="AB36" s="6521">
        <f>SUM(AA37:AA37)</f>
        <v>3494.9999996800007</v>
      </c>
      <c r="AC36" s="4880" t="s">
        <v>25</v>
      </c>
      <c r="AD36" s="1299"/>
      <c r="AE36" s="825"/>
      <c r="AF36" s="825"/>
      <c r="AG36" s="825"/>
      <c r="AH36" s="9740"/>
    </row>
    <row r="37" spans="1:34" ht="42.75" customHeight="1">
      <c r="A37" s="9599"/>
      <c r="B37" s="9660"/>
      <c r="C37" s="9223"/>
      <c r="D37" s="8782"/>
      <c r="E37" s="8782"/>
      <c r="F37" s="8782"/>
      <c r="G37" s="8977"/>
      <c r="H37" s="8782"/>
      <c r="I37" s="8782"/>
      <c r="J37" s="8782"/>
      <c r="K37" s="8782"/>
      <c r="L37" s="8782"/>
      <c r="M37" s="9747"/>
      <c r="N37" s="9747"/>
      <c r="O37" s="9747"/>
      <c r="P37" s="9258"/>
      <c r="Q37" s="9276"/>
      <c r="R37" s="9696"/>
      <c r="S37" s="1117"/>
      <c r="T37" s="6574"/>
      <c r="U37" s="6574"/>
      <c r="V37" s="1950" t="s">
        <v>1516</v>
      </c>
      <c r="W37" s="6381">
        <v>1</v>
      </c>
      <c r="X37" s="69" t="s">
        <v>180</v>
      </c>
      <c r="Y37" s="4910">
        <v>3120.5357140000001</v>
      </c>
      <c r="Z37" s="6520">
        <f t="shared" ref="Z37" si="6">+W37*Y37</f>
        <v>3120.5357140000001</v>
      </c>
      <c r="AA37" s="6520">
        <f t="shared" ref="AA37" si="7">+Z37*1.12</f>
        <v>3494.9999996800007</v>
      </c>
      <c r="AB37" s="6674"/>
      <c r="AC37" s="6731"/>
      <c r="AD37" s="1299"/>
      <c r="AE37" s="825"/>
      <c r="AF37" s="825"/>
      <c r="AG37" s="285" t="s">
        <v>153</v>
      </c>
      <c r="AH37" s="9740"/>
    </row>
    <row r="38" spans="1:34" ht="18" customHeight="1">
      <c r="A38" s="9599"/>
      <c r="B38" s="9660"/>
      <c r="C38" s="9667"/>
      <c r="D38" s="8867"/>
      <c r="E38" s="8867"/>
      <c r="F38" s="8867"/>
      <c r="G38" s="9681"/>
      <c r="H38" s="8867"/>
      <c r="I38" s="8867"/>
      <c r="J38" s="8867"/>
      <c r="K38" s="8867"/>
      <c r="L38" s="8867"/>
      <c r="M38" s="9748"/>
      <c r="N38" s="9748"/>
      <c r="O38" s="9748"/>
      <c r="P38" s="9728"/>
      <c r="Q38" s="9749"/>
      <c r="R38" s="9718"/>
      <c r="S38" s="3393"/>
      <c r="T38" s="6575"/>
      <c r="U38" s="6575"/>
      <c r="V38" s="3394"/>
      <c r="W38" s="6382"/>
      <c r="X38" s="1868"/>
      <c r="Y38" s="4914"/>
      <c r="Z38" s="6522"/>
      <c r="AA38" s="6522"/>
      <c r="AB38" s="6675"/>
      <c r="AC38" s="6732"/>
      <c r="AD38" s="3395"/>
      <c r="AE38" s="3396"/>
      <c r="AF38" s="74"/>
      <c r="AG38" s="3396"/>
      <c r="AH38" s="9741"/>
    </row>
    <row r="39" spans="1:34" ht="30" customHeight="1">
      <c r="A39" s="9599"/>
      <c r="B39" s="9660"/>
      <c r="C39" s="9125" t="s">
        <v>1482</v>
      </c>
      <c r="D39" s="8834" t="s">
        <v>1291</v>
      </c>
      <c r="E39" s="8834" t="s">
        <v>1292</v>
      </c>
      <c r="F39" s="8834" t="s">
        <v>1293</v>
      </c>
      <c r="G39" s="8974" t="s">
        <v>1294</v>
      </c>
      <c r="H39" s="8834" t="s">
        <v>1304</v>
      </c>
      <c r="I39" s="8834" t="s">
        <v>189</v>
      </c>
      <c r="J39" s="9205" t="s">
        <v>1517</v>
      </c>
      <c r="K39" s="8834" t="s">
        <v>1518</v>
      </c>
      <c r="L39" s="8834" t="s">
        <v>1519</v>
      </c>
      <c r="M39" s="8979">
        <v>1</v>
      </c>
      <c r="N39" s="8979">
        <v>2</v>
      </c>
      <c r="O39" s="8979">
        <v>3</v>
      </c>
      <c r="P39" s="8834" t="s">
        <v>1520</v>
      </c>
      <c r="Q39" s="9706" t="s">
        <v>1521</v>
      </c>
      <c r="R39" s="9705" t="s">
        <v>1490</v>
      </c>
      <c r="S39" s="2146"/>
      <c r="T39" s="6576"/>
      <c r="U39" s="6577"/>
      <c r="V39" s="2145"/>
      <c r="W39" s="6610"/>
      <c r="X39" s="1081"/>
      <c r="Y39" s="6645"/>
      <c r="Z39" s="6645"/>
      <c r="AA39" s="6646"/>
      <c r="AB39" s="6647"/>
      <c r="AC39" s="6733"/>
      <c r="AD39" s="1225"/>
      <c r="AE39" s="196"/>
      <c r="AF39" s="197"/>
      <c r="AG39" s="197"/>
      <c r="AH39" s="9746"/>
    </row>
    <row r="40" spans="1:34" ht="30" customHeight="1">
      <c r="A40" s="9599"/>
      <c r="B40" s="9660"/>
      <c r="C40" s="9125"/>
      <c r="D40" s="8834"/>
      <c r="E40" s="8834"/>
      <c r="F40" s="8834"/>
      <c r="G40" s="8974"/>
      <c r="H40" s="8834"/>
      <c r="I40" s="8834"/>
      <c r="J40" s="9205"/>
      <c r="K40" s="8834"/>
      <c r="L40" s="8834"/>
      <c r="M40" s="8979"/>
      <c r="N40" s="8979"/>
      <c r="O40" s="8979"/>
      <c r="P40" s="8834"/>
      <c r="Q40" s="9706"/>
      <c r="R40" s="9705"/>
      <c r="S40" s="1300"/>
      <c r="T40" s="6445"/>
      <c r="U40" s="6439"/>
      <c r="V40" s="2096"/>
      <c r="W40" s="6611"/>
      <c r="X40" s="2090"/>
      <c r="Y40" s="6648"/>
      <c r="Z40" s="6648"/>
      <c r="AA40" s="6649"/>
      <c r="AB40" s="6650"/>
      <c r="AC40" s="6554"/>
      <c r="AD40" s="1249"/>
      <c r="AE40" s="198"/>
      <c r="AF40" s="2144"/>
      <c r="AG40" s="200"/>
      <c r="AH40" s="9746"/>
    </row>
    <row r="41" spans="1:34" ht="30" customHeight="1">
      <c r="A41" s="9599"/>
      <c r="B41" s="9660"/>
      <c r="C41" s="9125"/>
      <c r="D41" s="8834"/>
      <c r="E41" s="8834"/>
      <c r="F41" s="8834"/>
      <c r="G41" s="8974"/>
      <c r="H41" s="8834"/>
      <c r="I41" s="8834"/>
      <c r="J41" s="9205"/>
      <c r="K41" s="8834"/>
      <c r="L41" s="8834"/>
      <c r="M41" s="8979"/>
      <c r="N41" s="8979"/>
      <c r="O41" s="8979"/>
      <c r="P41" s="8834"/>
      <c r="Q41" s="9706"/>
      <c r="R41" s="9705"/>
      <c r="S41" s="1300"/>
      <c r="T41" s="6445"/>
      <c r="U41" s="6439"/>
      <c r="V41" s="2685"/>
      <c r="W41" s="6486"/>
      <c r="X41" s="2686"/>
      <c r="Y41" s="6502"/>
      <c r="Z41" s="6502"/>
      <c r="AA41" s="6502"/>
      <c r="AB41" s="6503"/>
      <c r="AC41" s="6554"/>
      <c r="AD41" s="1249"/>
      <c r="AE41" s="198"/>
      <c r="AF41" s="198"/>
      <c r="AG41" s="200"/>
      <c r="AH41" s="9746"/>
    </row>
    <row r="42" spans="1:34" ht="30" customHeight="1">
      <c r="A42" s="9599"/>
      <c r="B42" s="9660"/>
      <c r="C42" s="9125"/>
      <c r="D42" s="8834"/>
      <c r="E42" s="8834"/>
      <c r="F42" s="8834"/>
      <c r="G42" s="8974"/>
      <c r="H42" s="8834"/>
      <c r="I42" s="8834"/>
      <c r="J42" s="9205"/>
      <c r="K42" s="8834"/>
      <c r="L42" s="8834"/>
      <c r="M42" s="8979"/>
      <c r="N42" s="8979"/>
      <c r="O42" s="8979"/>
      <c r="P42" s="8834"/>
      <c r="Q42" s="9706"/>
      <c r="R42" s="9705"/>
      <c r="S42" s="1300"/>
      <c r="T42" s="6445"/>
      <c r="U42" s="6445"/>
      <c r="V42" s="1266"/>
      <c r="W42" s="6604"/>
      <c r="X42" s="1250"/>
      <c r="Y42" s="6642"/>
      <c r="Z42" s="6642"/>
      <c r="AA42" s="6642"/>
      <c r="AB42" s="6503"/>
      <c r="AC42" s="6554"/>
      <c r="AD42" s="1249"/>
      <c r="AE42" s="198"/>
      <c r="AF42" s="198"/>
      <c r="AG42" s="200"/>
      <c r="AH42" s="9746"/>
    </row>
    <row r="43" spans="1:34" ht="30" customHeight="1">
      <c r="A43" s="9599"/>
      <c r="B43" s="9660"/>
      <c r="C43" s="9125"/>
      <c r="D43" s="8834"/>
      <c r="E43" s="8834"/>
      <c r="F43" s="8834"/>
      <c r="G43" s="8974"/>
      <c r="H43" s="8834"/>
      <c r="I43" s="8834"/>
      <c r="J43" s="9205"/>
      <c r="K43" s="9127"/>
      <c r="L43" s="8834"/>
      <c r="M43" s="8979"/>
      <c r="N43" s="8979"/>
      <c r="O43" s="8979"/>
      <c r="P43" s="8834"/>
      <c r="Q43" s="9706"/>
      <c r="R43" s="9705"/>
      <c r="S43" s="1301"/>
      <c r="T43" s="6578"/>
      <c r="U43" s="6578"/>
      <c r="V43" s="1272"/>
      <c r="W43" s="6612"/>
      <c r="X43" s="1257"/>
      <c r="Y43" s="6651"/>
      <c r="Z43" s="6651"/>
      <c r="AA43" s="6651"/>
      <c r="AB43" s="6652"/>
      <c r="AC43" s="6734"/>
      <c r="AD43" s="1258"/>
      <c r="AE43" s="201"/>
      <c r="AF43" s="202"/>
      <c r="AG43" s="202"/>
      <c r="AH43" s="9746"/>
    </row>
    <row r="44" spans="1:34" ht="26.25" customHeight="1">
      <c r="A44" s="9599"/>
      <c r="B44" s="9660"/>
      <c r="C44" s="9223" t="s">
        <v>1482</v>
      </c>
      <c r="D44" s="8782" t="s">
        <v>1291</v>
      </c>
      <c r="E44" s="8782" t="s">
        <v>1292</v>
      </c>
      <c r="F44" s="8782" t="s">
        <v>1293</v>
      </c>
      <c r="G44" s="8977" t="s">
        <v>1294</v>
      </c>
      <c r="H44" s="8782" t="s">
        <v>1304</v>
      </c>
      <c r="I44" s="8782" t="s">
        <v>189</v>
      </c>
      <c r="J44" s="9217" t="s">
        <v>1522</v>
      </c>
      <c r="K44" s="8834" t="s">
        <v>1492</v>
      </c>
      <c r="L44" s="9258" t="s">
        <v>1523</v>
      </c>
      <c r="M44" s="8975">
        <v>2</v>
      </c>
      <c r="N44" s="8975">
        <v>3</v>
      </c>
      <c r="O44" s="9714">
        <v>2</v>
      </c>
      <c r="P44" s="9258" t="s">
        <v>1524</v>
      </c>
      <c r="Q44" s="9276" t="s">
        <v>1525</v>
      </c>
      <c r="R44" s="9702" t="s">
        <v>1490</v>
      </c>
      <c r="S44" s="527" t="s">
        <v>80</v>
      </c>
      <c r="T44" s="4956">
        <v>530702</v>
      </c>
      <c r="U44" s="4956"/>
      <c r="V44" s="1915" t="s">
        <v>33</v>
      </c>
      <c r="W44" s="6613"/>
      <c r="X44" s="93"/>
      <c r="Y44" s="6676"/>
      <c r="Z44" s="6677"/>
      <c r="AA44" s="6677"/>
      <c r="AB44" s="6678">
        <f>SUM(AA45:AA46)</f>
        <v>12000</v>
      </c>
      <c r="AC44" s="6735" t="s">
        <v>26</v>
      </c>
      <c r="AD44" s="3265"/>
      <c r="AE44" s="1061"/>
      <c r="AF44" s="114"/>
      <c r="AG44" s="114"/>
      <c r="AH44" s="9697"/>
    </row>
    <row r="45" spans="1:34" ht="51">
      <c r="A45" s="9599"/>
      <c r="B45" s="9660"/>
      <c r="C45" s="9223"/>
      <c r="D45" s="8782"/>
      <c r="E45" s="8782"/>
      <c r="F45" s="8782"/>
      <c r="G45" s="8977"/>
      <c r="H45" s="8782"/>
      <c r="I45" s="8782"/>
      <c r="J45" s="9217"/>
      <c r="K45" s="8834"/>
      <c r="L45" s="9258"/>
      <c r="M45" s="8975"/>
      <c r="N45" s="8975"/>
      <c r="O45" s="9714"/>
      <c r="P45" s="9258"/>
      <c r="Q45" s="9276"/>
      <c r="R45" s="9702"/>
      <c r="S45" s="528"/>
      <c r="T45" s="4958"/>
      <c r="U45" s="4958">
        <v>512900021</v>
      </c>
      <c r="V45" s="8086" t="s">
        <v>1526</v>
      </c>
      <c r="W45" s="6483">
        <v>1</v>
      </c>
      <c r="X45" s="90" t="s">
        <v>180</v>
      </c>
      <c r="Y45" s="6679">
        <v>9000</v>
      </c>
      <c r="Z45" s="6680">
        <f t="shared" ref="Z45:Z46" si="8">+W45*Y45</f>
        <v>9000</v>
      </c>
      <c r="AA45" s="8052">
        <f>Z45</f>
        <v>9000</v>
      </c>
      <c r="AB45" s="6681"/>
      <c r="AC45" s="6273"/>
      <c r="AD45" s="374"/>
      <c r="AE45" s="3266"/>
      <c r="AF45" s="90" t="s">
        <v>153</v>
      </c>
      <c r="AG45" s="92"/>
      <c r="AH45" s="9697"/>
    </row>
    <row r="46" spans="1:34" ht="21.75" customHeight="1">
      <c r="A46" s="9599"/>
      <c r="B46" s="9660"/>
      <c r="C46" s="9223"/>
      <c r="D46" s="8782"/>
      <c r="E46" s="8782"/>
      <c r="F46" s="8782"/>
      <c r="G46" s="8977"/>
      <c r="H46" s="8782"/>
      <c r="I46" s="8782"/>
      <c r="J46" s="9217"/>
      <c r="K46" s="8834"/>
      <c r="L46" s="9258"/>
      <c r="M46" s="8975"/>
      <c r="N46" s="8975"/>
      <c r="O46" s="9714"/>
      <c r="P46" s="9258"/>
      <c r="Q46" s="9276"/>
      <c r="R46" s="9702"/>
      <c r="S46" s="528"/>
      <c r="T46" s="4958"/>
      <c r="U46" s="4953">
        <v>512900021</v>
      </c>
      <c r="V46" s="3262" t="s">
        <v>1527</v>
      </c>
      <c r="W46" s="6496">
        <v>1</v>
      </c>
      <c r="X46" s="3192" t="s">
        <v>180</v>
      </c>
      <c r="Y46" s="6682">
        <v>3000</v>
      </c>
      <c r="Z46" s="6683">
        <f t="shared" si="8"/>
        <v>3000</v>
      </c>
      <c r="AA46" s="6683">
        <f>Z46</f>
        <v>3000</v>
      </c>
      <c r="AB46" s="6681"/>
      <c r="AC46" s="6273"/>
      <c r="AD46" s="374"/>
      <c r="AE46" s="3266"/>
      <c r="AF46" s="90" t="s">
        <v>153</v>
      </c>
      <c r="AG46" s="92"/>
      <c r="AH46" s="9697"/>
    </row>
    <row r="47" spans="1:34" ht="21.75" customHeight="1">
      <c r="A47" s="9599"/>
      <c r="B47" s="9660"/>
      <c r="C47" s="9223"/>
      <c r="D47" s="8782"/>
      <c r="E47" s="8782"/>
      <c r="F47" s="8782"/>
      <c r="G47" s="8977"/>
      <c r="H47" s="8782"/>
      <c r="I47" s="8782"/>
      <c r="J47" s="9217"/>
      <c r="K47" s="8834"/>
      <c r="L47" s="9258"/>
      <c r="M47" s="8975"/>
      <c r="N47" s="8975"/>
      <c r="O47" s="9714"/>
      <c r="P47" s="9258"/>
      <c r="Q47" s="9276"/>
      <c r="R47" s="9702"/>
      <c r="S47" s="530"/>
      <c r="T47" s="6437"/>
      <c r="U47" s="4958"/>
      <c r="V47" s="1938"/>
      <c r="W47" s="6614"/>
      <c r="X47" s="1939"/>
      <c r="Y47" s="6684"/>
      <c r="Z47" s="6680"/>
      <c r="AA47" s="6680"/>
      <c r="AB47" s="6681"/>
      <c r="AC47" s="6273"/>
      <c r="AD47" s="374"/>
      <c r="AE47" s="3266"/>
      <c r="AF47" s="90"/>
      <c r="AG47" s="92"/>
      <c r="AH47" s="9697"/>
    </row>
    <row r="48" spans="1:34" ht="21.75" customHeight="1">
      <c r="A48" s="9599"/>
      <c r="B48" s="9660"/>
      <c r="C48" s="9667"/>
      <c r="D48" s="8867"/>
      <c r="E48" s="8867"/>
      <c r="F48" s="8867"/>
      <c r="G48" s="9681"/>
      <c r="H48" s="8867"/>
      <c r="I48" s="8782"/>
      <c r="J48" s="9217"/>
      <c r="K48" s="8834"/>
      <c r="L48" s="9258"/>
      <c r="M48" s="8975"/>
      <c r="N48" s="8975"/>
      <c r="O48" s="9714"/>
      <c r="P48" s="9258"/>
      <c r="Q48" s="9276"/>
      <c r="R48" s="9702"/>
      <c r="S48" s="530"/>
      <c r="T48" s="6437"/>
      <c r="U48" s="4958"/>
      <c r="V48" s="1938"/>
      <c r="W48" s="6614"/>
      <c r="X48" s="1939"/>
      <c r="Y48" s="6684"/>
      <c r="Z48" s="6680"/>
      <c r="AA48" s="6680"/>
      <c r="AB48" s="6681"/>
      <c r="AC48" s="6273"/>
      <c r="AD48" s="374"/>
      <c r="AE48" s="3266"/>
      <c r="AF48" s="90"/>
      <c r="AG48" s="90"/>
      <c r="AH48" s="9697"/>
    </row>
    <row r="49" spans="1:34" ht="35.25" customHeight="1">
      <c r="A49" s="9599"/>
      <c r="B49" s="9660"/>
      <c r="C49" s="9125" t="s">
        <v>1482</v>
      </c>
      <c r="D49" s="8834" t="s">
        <v>1291</v>
      </c>
      <c r="E49" s="8834" t="s">
        <v>1292</v>
      </c>
      <c r="F49" s="8834" t="s">
        <v>1528</v>
      </c>
      <c r="G49" s="8974" t="s">
        <v>1294</v>
      </c>
      <c r="H49" s="8834" t="s">
        <v>1304</v>
      </c>
      <c r="I49" s="8782" t="s">
        <v>159</v>
      </c>
      <c r="J49" s="9217" t="s">
        <v>1529</v>
      </c>
      <c r="K49" s="8782" t="s">
        <v>1530</v>
      </c>
      <c r="L49" s="8782" t="s">
        <v>1531</v>
      </c>
      <c r="M49" s="8975">
        <v>0</v>
      </c>
      <c r="N49" s="8975">
        <v>4</v>
      </c>
      <c r="O49" s="8975">
        <v>4</v>
      </c>
      <c r="P49" s="8782" t="s">
        <v>1532</v>
      </c>
      <c r="Q49" s="9217" t="s">
        <v>1358</v>
      </c>
      <c r="R49" s="9696" t="s">
        <v>1490</v>
      </c>
      <c r="S49" s="531"/>
      <c r="T49" s="6579"/>
      <c r="U49" s="6579"/>
      <c r="V49" s="1952"/>
      <c r="W49" s="6615"/>
      <c r="X49" s="96"/>
      <c r="Y49" s="6653"/>
      <c r="Z49" s="6653"/>
      <c r="AA49" s="6653"/>
      <c r="AB49" s="6654"/>
      <c r="AC49" s="6736"/>
      <c r="AD49" s="421"/>
      <c r="AE49" s="122"/>
      <c r="AF49" s="190"/>
      <c r="AG49" s="190"/>
      <c r="AH49" s="9697"/>
    </row>
    <row r="50" spans="1:34" ht="35.25" customHeight="1">
      <c r="A50" s="9599"/>
      <c r="B50" s="9660"/>
      <c r="C50" s="9125"/>
      <c r="D50" s="8834"/>
      <c r="E50" s="8834"/>
      <c r="F50" s="8834"/>
      <c r="G50" s="8974"/>
      <c r="H50" s="8834"/>
      <c r="I50" s="8782"/>
      <c r="J50" s="9217"/>
      <c r="K50" s="8782"/>
      <c r="L50" s="8782"/>
      <c r="M50" s="8975"/>
      <c r="N50" s="8975"/>
      <c r="O50" s="8975"/>
      <c r="P50" s="8782"/>
      <c r="Q50" s="9217"/>
      <c r="R50" s="9696"/>
      <c r="S50" s="524"/>
      <c r="T50" s="6561"/>
      <c r="U50" s="6561"/>
      <c r="V50" s="546"/>
      <c r="W50" s="6602"/>
      <c r="X50" s="198"/>
      <c r="Y50" s="6639"/>
      <c r="Z50" s="6639"/>
      <c r="AA50" s="6639"/>
      <c r="AB50" s="6634"/>
      <c r="AC50" s="6724"/>
      <c r="AD50" s="424"/>
      <c r="AE50" s="198"/>
      <c r="AF50" s="200"/>
      <c r="AG50" s="200"/>
      <c r="AH50" s="9697"/>
    </row>
    <row r="51" spans="1:34" ht="35.25" customHeight="1">
      <c r="A51" s="9599"/>
      <c r="B51" s="9660"/>
      <c r="C51" s="9125"/>
      <c r="D51" s="8834"/>
      <c r="E51" s="8834"/>
      <c r="F51" s="8834"/>
      <c r="G51" s="8974"/>
      <c r="H51" s="8834"/>
      <c r="I51" s="8782"/>
      <c r="J51" s="9217"/>
      <c r="K51" s="8782"/>
      <c r="L51" s="8782"/>
      <c r="M51" s="8975"/>
      <c r="N51" s="8975"/>
      <c r="O51" s="8975"/>
      <c r="P51" s="8782"/>
      <c r="Q51" s="9217"/>
      <c r="R51" s="9696"/>
      <c r="S51" s="524"/>
      <c r="T51" s="6561"/>
      <c r="U51" s="6561"/>
      <c r="V51" s="546"/>
      <c r="W51" s="6602"/>
      <c r="X51" s="198"/>
      <c r="Y51" s="6639"/>
      <c r="Z51" s="6639"/>
      <c r="AA51" s="6639"/>
      <c r="AB51" s="6634"/>
      <c r="AC51" s="6724"/>
      <c r="AD51" s="424"/>
      <c r="AE51" s="198"/>
      <c r="AF51" s="200"/>
      <c r="AG51" s="200"/>
      <c r="AH51" s="9697"/>
    </row>
    <row r="52" spans="1:34" ht="35.25" customHeight="1">
      <c r="A52" s="9599"/>
      <c r="B52" s="9660"/>
      <c r="C52" s="9125"/>
      <c r="D52" s="8834"/>
      <c r="E52" s="8834"/>
      <c r="F52" s="8834"/>
      <c r="G52" s="8974"/>
      <c r="H52" s="8834"/>
      <c r="I52" s="8782"/>
      <c r="J52" s="9217"/>
      <c r="K52" s="8782"/>
      <c r="L52" s="8782"/>
      <c r="M52" s="8975"/>
      <c r="N52" s="8975"/>
      <c r="O52" s="8975"/>
      <c r="P52" s="8782"/>
      <c r="Q52" s="9217"/>
      <c r="R52" s="9696"/>
      <c r="S52" s="528"/>
      <c r="T52" s="6564"/>
      <c r="U52" s="6564"/>
      <c r="V52" s="546"/>
      <c r="W52" s="6602"/>
      <c r="X52" s="198"/>
      <c r="Y52" s="6639"/>
      <c r="Z52" s="6639"/>
      <c r="AA52" s="6639"/>
      <c r="AB52" s="6634"/>
      <c r="AC52" s="6724"/>
      <c r="AD52" s="424"/>
      <c r="AE52" s="198"/>
      <c r="AF52" s="200"/>
      <c r="AG52" s="200"/>
      <c r="AH52" s="9697"/>
    </row>
    <row r="53" spans="1:34" ht="35.25" customHeight="1">
      <c r="A53" s="9599"/>
      <c r="B53" s="9660"/>
      <c r="C53" s="9126"/>
      <c r="D53" s="9127"/>
      <c r="E53" s="9127"/>
      <c r="F53" s="9127"/>
      <c r="G53" s="9165"/>
      <c r="H53" s="9127"/>
      <c r="I53" s="8782"/>
      <c r="J53" s="9217"/>
      <c r="K53" s="8782"/>
      <c r="L53" s="8782"/>
      <c r="M53" s="8975"/>
      <c r="N53" s="8975"/>
      <c r="O53" s="8975"/>
      <c r="P53" s="8782"/>
      <c r="Q53" s="9217"/>
      <c r="R53" s="9696"/>
      <c r="S53" s="526"/>
      <c r="T53" s="6562"/>
      <c r="U53" s="6562"/>
      <c r="V53" s="543"/>
      <c r="W53" s="6600"/>
      <c r="X53" s="201"/>
      <c r="Y53" s="6635"/>
      <c r="Z53" s="6635"/>
      <c r="AA53" s="6635"/>
      <c r="AB53" s="6636"/>
      <c r="AC53" s="6725"/>
      <c r="AD53" s="425"/>
      <c r="AE53" s="201"/>
      <c r="AF53" s="202"/>
      <c r="AG53" s="202"/>
      <c r="AH53" s="9719"/>
    </row>
    <row r="54" spans="1:34" ht="30.75" customHeight="1">
      <c r="A54" s="9599"/>
      <c r="B54" s="9660"/>
      <c r="C54" s="9125" t="s">
        <v>1482</v>
      </c>
      <c r="D54" s="8834" t="s">
        <v>1291</v>
      </c>
      <c r="E54" s="8834" t="s">
        <v>1292</v>
      </c>
      <c r="F54" s="8834" t="s">
        <v>1533</v>
      </c>
      <c r="G54" s="8974" t="s">
        <v>1294</v>
      </c>
      <c r="H54" s="8834" t="s">
        <v>1304</v>
      </c>
      <c r="I54" s="8782" t="s">
        <v>159</v>
      </c>
      <c r="J54" s="9217" t="s">
        <v>1534</v>
      </c>
      <c r="K54" s="8782" t="s">
        <v>1535</v>
      </c>
      <c r="L54" s="8782" t="s">
        <v>1536</v>
      </c>
      <c r="M54" s="8975">
        <v>3</v>
      </c>
      <c r="N54" s="9714">
        <v>1</v>
      </c>
      <c r="O54" s="8975">
        <v>3</v>
      </c>
      <c r="P54" s="9750" t="s">
        <v>1537</v>
      </c>
      <c r="Q54" s="9217" t="s">
        <v>1538</v>
      </c>
      <c r="R54" s="9696" t="s">
        <v>1490</v>
      </c>
      <c r="S54" s="532"/>
      <c r="T54" s="6580"/>
      <c r="U54" s="6580"/>
      <c r="V54" s="547"/>
      <c r="W54" s="6616"/>
      <c r="X54" s="196"/>
      <c r="Y54" s="6630"/>
      <c r="Z54" s="6630"/>
      <c r="AA54" s="6630"/>
      <c r="AB54" s="6631"/>
      <c r="AC54" s="6723"/>
      <c r="AD54" s="423"/>
      <c r="AE54" s="196"/>
      <c r="AF54" s="197"/>
      <c r="AG54" s="197"/>
      <c r="AH54" s="9746"/>
    </row>
    <row r="55" spans="1:34" ht="30.75" customHeight="1">
      <c r="A55" s="9599"/>
      <c r="B55" s="9660"/>
      <c r="C55" s="9125"/>
      <c r="D55" s="8834"/>
      <c r="E55" s="8834"/>
      <c r="F55" s="8782"/>
      <c r="G55" s="8974"/>
      <c r="H55" s="8834"/>
      <c r="I55" s="8782"/>
      <c r="J55" s="9217"/>
      <c r="K55" s="8782"/>
      <c r="L55" s="8782"/>
      <c r="M55" s="8975"/>
      <c r="N55" s="9714"/>
      <c r="O55" s="8975"/>
      <c r="P55" s="9750"/>
      <c r="Q55" s="9217"/>
      <c r="R55" s="9696"/>
      <c r="S55" s="524"/>
      <c r="T55" s="6561"/>
      <c r="U55" s="6561"/>
      <c r="V55" s="546"/>
      <c r="W55" s="6602"/>
      <c r="X55" s="198"/>
      <c r="Y55" s="6639"/>
      <c r="Z55" s="6639"/>
      <c r="AA55" s="6639"/>
      <c r="AB55" s="6685"/>
      <c r="AC55" s="6737"/>
      <c r="AD55" s="426"/>
      <c r="AE55" s="198"/>
      <c r="AF55" s="200"/>
      <c r="AG55" s="200"/>
      <c r="AH55" s="9746"/>
    </row>
    <row r="56" spans="1:34" ht="30.75" customHeight="1">
      <c r="A56" s="9599"/>
      <c r="B56" s="9660"/>
      <c r="C56" s="9125"/>
      <c r="D56" s="8834"/>
      <c r="E56" s="8834"/>
      <c r="F56" s="8782"/>
      <c r="G56" s="8974"/>
      <c r="H56" s="8834"/>
      <c r="I56" s="8782"/>
      <c r="J56" s="9217"/>
      <c r="K56" s="8782"/>
      <c r="L56" s="8782"/>
      <c r="M56" s="8975"/>
      <c r="N56" s="9714"/>
      <c r="O56" s="8975"/>
      <c r="P56" s="9750"/>
      <c r="Q56" s="9217"/>
      <c r="R56" s="9696"/>
      <c r="S56" s="524"/>
      <c r="T56" s="6561"/>
      <c r="U56" s="6561"/>
      <c r="V56" s="546"/>
      <c r="W56" s="6602"/>
      <c r="X56" s="198"/>
      <c r="Y56" s="6639"/>
      <c r="Z56" s="6639"/>
      <c r="AA56" s="6639"/>
      <c r="AB56" s="6634"/>
      <c r="AC56" s="6724"/>
      <c r="AD56" s="424"/>
      <c r="AE56" s="198"/>
      <c r="AF56" s="200"/>
      <c r="AG56" s="200"/>
      <c r="AH56" s="9746"/>
    </row>
    <row r="57" spans="1:34" ht="30.75" customHeight="1">
      <c r="A57" s="9599"/>
      <c r="B57" s="9660"/>
      <c r="C57" s="9125"/>
      <c r="D57" s="8834"/>
      <c r="E57" s="8834"/>
      <c r="F57" s="8782"/>
      <c r="G57" s="8974"/>
      <c r="H57" s="8834"/>
      <c r="I57" s="8782"/>
      <c r="J57" s="9217"/>
      <c r="K57" s="8782"/>
      <c r="L57" s="8782"/>
      <c r="M57" s="8975"/>
      <c r="N57" s="9714"/>
      <c r="O57" s="8975"/>
      <c r="P57" s="9750"/>
      <c r="Q57" s="9217"/>
      <c r="R57" s="9696"/>
      <c r="S57" s="528"/>
      <c r="T57" s="6564"/>
      <c r="U57" s="6564"/>
      <c r="V57" s="546"/>
      <c r="W57" s="6602"/>
      <c r="X57" s="198"/>
      <c r="Y57" s="6639"/>
      <c r="Z57" s="6639"/>
      <c r="AA57" s="6639"/>
      <c r="AB57" s="6634"/>
      <c r="AC57" s="6724"/>
      <c r="AD57" s="424"/>
      <c r="AE57" s="198"/>
      <c r="AF57" s="200"/>
      <c r="AG57" s="200"/>
      <c r="AH57" s="9746"/>
    </row>
    <row r="58" spans="1:34" ht="30.75" customHeight="1">
      <c r="A58" s="9599"/>
      <c r="B58" s="9660"/>
      <c r="C58" s="9126"/>
      <c r="D58" s="9127"/>
      <c r="E58" s="9127"/>
      <c r="F58" s="8867"/>
      <c r="G58" s="9165"/>
      <c r="H58" s="9127"/>
      <c r="I58" s="8867"/>
      <c r="J58" s="9217"/>
      <c r="K58" s="8782"/>
      <c r="L58" s="8782"/>
      <c r="M58" s="8975"/>
      <c r="N58" s="9714"/>
      <c r="O58" s="8975"/>
      <c r="P58" s="9750"/>
      <c r="Q58" s="9217"/>
      <c r="R58" s="9696"/>
      <c r="S58" s="526"/>
      <c r="T58" s="6562"/>
      <c r="U58" s="6562"/>
      <c r="V58" s="543"/>
      <c r="W58" s="6600"/>
      <c r="X58" s="201"/>
      <c r="Y58" s="6635"/>
      <c r="Z58" s="6635"/>
      <c r="AA58" s="6635"/>
      <c r="AB58" s="6636"/>
      <c r="AC58" s="6725"/>
      <c r="AD58" s="425"/>
      <c r="AE58" s="201"/>
      <c r="AF58" s="202"/>
      <c r="AG58" s="202"/>
      <c r="AH58" s="9746"/>
    </row>
    <row r="59" spans="1:34" ht="31.5" customHeight="1">
      <c r="A59" s="9599"/>
      <c r="B59" s="9660"/>
      <c r="C59" s="9125" t="s">
        <v>1482</v>
      </c>
      <c r="D59" s="8834" t="s">
        <v>1291</v>
      </c>
      <c r="E59" s="8834" t="s">
        <v>1292</v>
      </c>
      <c r="F59" s="8834" t="s">
        <v>1341</v>
      </c>
      <c r="G59" s="8974" t="s">
        <v>1294</v>
      </c>
      <c r="H59" s="8834" t="s">
        <v>1304</v>
      </c>
      <c r="I59" s="8834" t="s">
        <v>159</v>
      </c>
      <c r="J59" s="9217" t="s">
        <v>1539</v>
      </c>
      <c r="K59" s="8782" t="s">
        <v>1540</v>
      </c>
      <c r="L59" s="9258" t="s">
        <v>1541</v>
      </c>
      <c r="M59" s="8975">
        <v>0</v>
      </c>
      <c r="N59" s="8975">
        <v>0</v>
      </c>
      <c r="O59" s="8975">
        <v>2</v>
      </c>
      <c r="P59" s="8782" t="s">
        <v>1542</v>
      </c>
      <c r="Q59" s="9217" t="s">
        <v>1543</v>
      </c>
      <c r="R59" s="9696" t="s">
        <v>1490</v>
      </c>
      <c r="S59" s="531"/>
      <c r="T59" s="6566"/>
      <c r="U59" s="6566"/>
      <c r="V59" s="1276"/>
      <c r="W59" s="6603"/>
      <c r="X59" s="1063"/>
      <c r="Y59" s="6640"/>
      <c r="Z59" s="6640"/>
      <c r="AA59" s="6640"/>
      <c r="AB59" s="6641"/>
      <c r="AC59" s="6727"/>
      <c r="AD59" s="1263"/>
      <c r="AE59" s="1063"/>
      <c r="AF59" s="1264"/>
      <c r="AG59" s="190"/>
      <c r="AH59" s="9725"/>
    </row>
    <row r="60" spans="1:34" ht="31.5" customHeight="1">
      <c r="A60" s="9599"/>
      <c r="B60" s="9660"/>
      <c r="C60" s="9125"/>
      <c r="D60" s="8834"/>
      <c r="E60" s="8834"/>
      <c r="F60" s="8782"/>
      <c r="G60" s="8974"/>
      <c r="H60" s="8834"/>
      <c r="I60" s="8782"/>
      <c r="J60" s="9217"/>
      <c r="K60" s="8782"/>
      <c r="L60" s="9258"/>
      <c r="M60" s="8975"/>
      <c r="N60" s="8975"/>
      <c r="O60" s="8975"/>
      <c r="P60" s="8782"/>
      <c r="Q60" s="9217"/>
      <c r="R60" s="9696"/>
      <c r="S60" s="524"/>
      <c r="T60" s="6439"/>
      <c r="U60" s="6439"/>
      <c r="V60" s="1254"/>
      <c r="W60" s="6604"/>
      <c r="X60" s="1250"/>
      <c r="Y60" s="6642"/>
      <c r="Z60" s="6642"/>
      <c r="AA60" s="6642"/>
      <c r="AB60" s="6503"/>
      <c r="AC60" s="6554"/>
      <c r="AD60" s="1249"/>
      <c r="AE60" s="1250"/>
      <c r="AF60" s="1251"/>
      <c r="AG60" s="200"/>
      <c r="AH60" s="9725"/>
    </row>
    <row r="61" spans="1:34" ht="31.5" customHeight="1">
      <c r="A61" s="9599"/>
      <c r="B61" s="9660"/>
      <c r="C61" s="9125"/>
      <c r="D61" s="8834"/>
      <c r="E61" s="8834"/>
      <c r="F61" s="8782"/>
      <c r="G61" s="8974"/>
      <c r="H61" s="8834"/>
      <c r="I61" s="8782"/>
      <c r="J61" s="9217"/>
      <c r="K61" s="8782"/>
      <c r="L61" s="9258"/>
      <c r="M61" s="8975"/>
      <c r="N61" s="8975"/>
      <c r="O61" s="8975"/>
      <c r="P61" s="8782"/>
      <c r="Q61" s="9217"/>
      <c r="R61" s="9696"/>
      <c r="S61" s="524"/>
      <c r="T61" s="6439"/>
      <c r="U61" s="6439"/>
      <c r="V61" s="1254"/>
      <c r="W61" s="6604"/>
      <c r="X61" s="1250"/>
      <c r="Y61" s="6642"/>
      <c r="Z61" s="6642"/>
      <c r="AA61" s="6642"/>
      <c r="AB61" s="6503"/>
      <c r="AC61" s="6554"/>
      <c r="AD61" s="1249"/>
      <c r="AE61" s="1250"/>
      <c r="AF61" s="1251"/>
      <c r="AG61" s="200"/>
      <c r="AH61" s="9725"/>
    </row>
    <row r="62" spans="1:34" ht="31.5" customHeight="1">
      <c r="A62" s="9599"/>
      <c r="B62" s="9660"/>
      <c r="C62" s="9125"/>
      <c r="D62" s="8834"/>
      <c r="E62" s="8834"/>
      <c r="F62" s="8782"/>
      <c r="G62" s="8974"/>
      <c r="H62" s="8834"/>
      <c r="I62" s="8782"/>
      <c r="J62" s="9217"/>
      <c r="K62" s="8782"/>
      <c r="L62" s="9258"/>
      <c r="M62" s="8975"/>
      <c r="N62" s="8975"/>
      <c r="O62" s="8975"/>
      <c r="P62" s="8782"/>
      <c r="Q62" s="9217"/>
      <c r="R62" s="9696"/>
      <c r="S62" s="528"/>
      <c r="T62" s="6445"/>
      <c r="U62" s="6445"/>
      <c r="V62" s="1254"/>
      <c r="W62" s="6604"/>
      <c r="X62" s="1250"/>
      <c r="Y62" s="6642"/>
      <c r="Z62" s="6642"/>
      <c r="AA62" s="6642"/>
      <c r="AB62" s="6503"/>
      <c r="AC62" s="6554"/>
      <c r="AD62" s="1249"/>
      <c r="AE62" s="1250"/>
      <c r="AF62" s="1251"/>
      <c r="AG62" s="200"/>
      <c r="AH62" s="9725"/>
    </row>
    <row r="63" spans="1:34" ht="31.5" customHeight="1">
      <c r="A63" s="9599"/>
      <c r="B63" s="9660"/>
      <c r="C63" s="9126"/>
      <c r="D63" s="9127"/>
      <c r="E63" s="9127"/>
      <c r="F63" s="8867"/>
      <c r="G63" s="9165"/>
      <c r="H63" s="9127"/>
      <c r="I63" s="8867"/>
      <c r="J63" s="9217"/>
      <c r="K63" s="8782"/>
      <c r="L63" s="9258"/>
      <c r="M63" s="8975"/>
      <c r="N63" s="8975"/>
      <c r="O63" s="8975"/>
      <c r="P63" s="8782"/>
      <c r="Q63" s="9217"/>
      <c r="R63" s="9696"/>
      <c r="S63" s="526"/>
      <c r="T63" s="6581"/>
      <c r="U63" s="6581"/>
      <c r="V63" s="1256"/>
      <c r="W63" s="6612"/>
      <c r="X63" s="1257"/>
      <c r="Y63" s="6651"/>
      <c r="Z63" s="6651"/>
      <c r="AA63" s="6651"/>
      <c r="AB63" s="6652"/>
      <c r="AC63" s="6734"/>
      <c r="AD63" s="1258"/>
      <c r="AE63" s="1257"/>
      <c r="AF63" s="1259"/>
      <c r="AG63" s="202"/>
      <c r="AH63" s="9725"/>
    </row>
    <row r="64" spans="1:34" ht="35.25" customHeight="1">
      <c r="A64" s="9599"/>
      <c r="B64" s="9660"/>
      <c r="C64" s="9125" t="s">
        <v>1482</v>
      </c>
      <c r="D64" s="8834" t="s">
        <v>1291</v>
      </c>
      <c r="E64" s="8834" t="s">
        <v>1292</v>
      </c>
      <c r="F64" s="8834" t="s">
        <v>1310</v>
      </c>
      <c r="G64" s="8974" t="s">
        <v>1294</v>
      </c>
      <c r="H64" s="8834" t="s">
        <v>1304</v>
      </c>
      <c r="I64" s="8834" t="s">
        <v>133</v>
      </c>
      <c r="J64" s="9217" t="s">
        <v>1544</v>
      </c>
      <c r="K64" s="9258" t="s">
        <v>1545</v>
      </c>
      <c r="L64" s="9258" t="s">
        <v>1546</v>
      </c>
      <c r="M64" s="8975">
        <v>0</v>
      </c>
      <c r="N64" s="8975">
        <v>0</v>
      </c>
      <c r="O64" s="8975">
        <v>1</v>
      </c>
      <c r="P64" s="9744" t="s">
        <v>1547</v>
      </c>
      <c r="Q64" s="9743" t="s">
        <v>1548</v>
      </c>
      <c r="R64" s="9696" t="s">
        <v>1490</v>
      </c>
      <c r="S64" s="527"/>
      <c r="T64" s="6566"/>
      <c r="U64" s="6566"/>
      <c r="V64" s="1276"/>
      <c r="W64" s="6603"/>
      <c r="X64" s="1063"/>
      <c r="Y64" s="6640"/>
      <c r="Z64" s="6640"/>
      <c r="AA64" s="6640"/>
      <c r="AB64" s="6641"/>
      <c r="AC64" s="6727"/>
      <c r="AD64" s="1263"/>
      <c r="AE64" s="1063"/>
      <c r="AF64" s="1264"/>
      <c r="AG64" s="190"/>
      <c r="AH64" s="9725"/>
    </row>
    <row r="65" spans="1:34" ht="35.25" customHeight="1">
      <c r="A65" s="9599"/>
      <c r="B65" s="9660"/>
      <c r="C65" s="9125"/>
      <c r="D65" s="8834"/>
      <c r="E65" s="8834"/>
      <c r="F65" s="8782"/>
      <c r="G65" s="8974"/>
      <c r="H65" s="8834"/>
      <c r="I65" s="8834"/>
      <c r="J65" s="9217"/>
      <c r="K65" s="9258"/>
      <c r="L65" s="9258"/>
      <c r="M65" s="8975"/>
      <c r="N65" s="8975"/>
      <c r="O65" s="8975"/>
      <c r="P65" s="9744"/>
      <c r="Q65" s="9743"/>
      <c r="R65" s="9696"/>
      <c r="S65" s="528"/>
      <c r="T65" s="6445"/>
      <c r="U65" s="6445"/>
      <c r="V65" s="1254"/>
      <c r="W65" s="6604"/>
      <c r="X65" s="1250"/>
      <c r="Y65" s="6642"/>
      <c r="Z65" s="6642"/>
      <c r="AA65" s="6642"/>
      <c r="AB65" s="6503"/>
      <c r="AC65" s="6554"/>
      <c r="AD65" s="1249"/>
      <c r="AE65" s="1250"/>
      <c r="AF65" s="1250"/>
      <c r="AG65" s="200"/>
      <c r="AH65" s="9725"/>
    </row>
    <row r="66" spans="1:34" ht="35.25" customHeight="1">
      <c r="A66" s="9599"/>
      <c r="B66" s="9660"/>
      <c r="C66" s="9125"/>
      <c r="D66" s="8834"/>
      <c r="E66" s="8834"/>
      <c r="F66" s="8782"/>
      <c r="G66" s="8974"/>
      <c r="H66" s="8834"/>
      <c r="I66" s="8834"/>
      <c r="J66" s="9217"/>
      <c r="K66" s="9258"/>
      <c r="L66" s="9258"/>
      <c r="M66" s="8975"/>
      <c r="N66" s="8975"/>
      <c r="O66" s="8975"/>
      <c r="P66" s="9744"/>
      <c r="Q66" s="9743"/>
      <c r="R66" s="9696"/>
      <c r="S66" s="528"/>
      <c r="T66" s="6445"/>
      <c r="U66" s="6445"/>
      <c r="V66" s="1254"/>
      <c r="W66" s="6604"/>
      <c r="X66" s="1250"/>
      <c r="Y66" s="6642"/>
      <c r="Z66" s="6642"/>
      <c r="AA66" s="6642"/>
      <c r="AB66" s="6503"/>
      <c r="AC66" s="6554"/>
      <c r="AD66" s="1249"/>
      <c r="AE66" s="1250"/>
      <c r="AF66" s="1250"/>
      <c r="AG66" s="200"/>
      <c r="AH66" s="9725"/>
    </row>
    <row r="67" spans="1:34" ht="35.25" customHeight="1">
      <c r="A67" s="9599"/>
      <c r="B67" s="9660"/>
      <c r="C67" s="9125"/>
      <c r="D67" s="8834"/>
      <c r="E67" s="8834"/>
      <c r="F67" s="8782"/>
      <c r="G67" s="8974"/>
      <c r="H67" s="8834"/>
      <c r="I67" s="8834"/>
      <c r="J67" s="9217"/>
      <c r="K67" s="9258"/>
      <c r="L67" s="9258"/>
      <c r="M67" s="8975"/>
      <c r="N67" s="8975"/>
      <c r="O67" s="8975"/>
      <c r="P67" s="9744"/>
      <c r="Q67" s="9743"/>
      <c r="R67" s="9696"/>
      <c r="S67" s="528"/>
      <c r="T67" s="6445"/>
      <c r="U67" s="6445"/>
      <c r="V67" s="1254"/>
      <c r="W67" s="6604"/>
      <c r="X67" s="1250"/>
      <c r="Y67" s="6642"/>
      <c r="Z67" s="6642"/>
      <c r="AA67" s="6642"/>
      <c r="AB67" s="6503"/>
      <c r="AC67" s="6554"/>
      <c r="AD67" s="1249"/>
      <c r="AE67" s="1250"/>
      <c r="AF67" s="1250"/>
      <c r="AG67" s="200"/>
      <c r="AH67" s="9725"/>
    </row>
    <row r="68" spans="1:34" ht="35.25" customHeight="1">
      <c r="A68" s="9599"/>
      <c r="B68" s="9660"/>
      <c r="C68" s="9125"/>
      <c r="D68" s="8834"/>
      <c r="E68" s="8834"/>
      <c r="F68" s="8782"/>
      <c r="G68" s="8974"/>
      <c r="H68" s="8834"/>
      <c r="I68" s="8834"/>
      <c r="J68" s="9217"/>
      <c r="K68" s="9258"/>
      <c r="L68" s="9258"/>
      <c r="M68" s="8975"/>
      <c r="N68" s="8975"/>
      <c r="O68" s="8975"/>
      <c r="P68" s="9744"/>
      <c r="Q68" s="9743"/>
      <c r="R68" s="9696"/>
      <c r="S68" s="526"/>
      <c r="T68" s="6581"/>
      <c r="U68" s="6581"/>
      <c r="V68" s="1256"/>
      <c r="W68" s="6612"/>
      <c r="X68" s="1257"/>
      <c r="Y68" s="6651"/>
      <c r="Z68" s="6651"/>
      <c r="AA68" s="6651"/>
      <c r="AB68" s="6652"/>
      <c r="AC68" s="6734"/>
      <c r="AD68" s="1258"/>
      <c r="AE68" s="1257"/>
      <c r="AF68" s="1257"/>
      <c r="AG68" s="202"/>
      <c r="AH68" s="9725"/>
    </row>
    <row r="69" spans="1:34" ht="50.25" customHeight="1">
      <c r="A69" s="9599"/>
      <c r="B69" s="9660"/>
      <c r="C69" s="9223" t="s">
        <v>1482</v>
      </c>
      <c r="D69" s="8782" t="s">
        <v>1291</v>
      </c>
      <c r="E69" s="8782" t="s">
        <v>1292</v>
      </c>
      <c r="F69" s="8782" t="s">
        <v>1310</v>
      </c>
      <c r="G69" s="8977" t="s">
        <v>1294</v>
      </c>
      <c r="H69" s="8782" t="s">
        <v>1304</v>
      </c>
      <c r="I69" s="8782" t="s">
        <v>159</v>
      </c>
      <c r="J69" s="9217" t="s">
        <v>1549</v>
      </c>
      <c r="K69" s="8782" t="s">
        <v>1550</v>
      </c>
      <c r="L69" s="9258" t="s">
        <v>1551</v>
      </c>
      <c r="M69" s="8975">
        <v>0</v>
      </c>
      <c r="N69" s="8975">
        <v>0</v>
      </c>
      <c r="O69" s="8975">
        <v>2</v>
      </c>
      <c r="P69" s="9258" t="s">
        <v>1552</v>
      </c>
      <c r="Q69" s="9276" t="s">
        <v>1553</v>
      </c>
      <c r="R69" s="9696" t="s">
        <v>1490</v>
      </c>
      <c r="S69" s="902"/>
      <c r="T69" s="6582"/>
      <c r="U69" s="6582"/>
      <c r="V69" s="742"/>
      <c r="W69" s="6617"/>
      <c r="X69" s="171"/>
      <c r="Y69" s="6677"/>
      <c r="Z69" s="6677"/>
      <c r="AA69" s="6677"/>
      <c r="AB69" s="5986"/>
      <c r="AC69" s="5969"/>
      <c r="AD69" s="3397"/>
      <c r="AE69" s="3398"/>
      <c r="AF69" s="3399"/>
      <c r="AG69" s="3399"/>
      <c r="AH69" s="9742"/>
    </row>
    <row r="70" spans="1:34" ht="50.25" customHeight="1">
      <c r="A70" s="9599"/>
      <c r="B70" s="9660"/>
      <c r="C70" s="9223"/>
      <c r="D70" s="8782"/>
      <c r="E70" s="8782"/>
      <c r="F70" s="8782"/>
      <c r="G70" s="8977"/>
      <c r="H70" s="8782"/>
      <c r="I70" s="8782"/>
      <c r="J70" s="9217"/>
      <c r="K70" s="8782"/>
      <c r="L70" s="9258"/>
      <c r="M70" s="8975"/>
      <c r="N70" s="8975"/>
      <c r="O70" s="8975"/>
      <c r="P70" s="9258"/>
      <c r="Q70" s="9276"/>
      <c r="R70" s="9696"/>
      <c r="S70" s="3400"/>
      <c r="T70" s="5996"/>
      <c r="U70" s="6583"/>
      <c r="V70" s="741"/>
      <c r="W70" s="6618"/>
      <c r="X70" s="57"/>
      <c r="Y70" s="6686"/>
      <c r="Z70" s="6680"/>
      <c r="AA70" s="6680"/>
      <c r="AB70" s="5962"/>
      <c r="AC70" s="6738"/>
      <c r="AD70" s="3401"/>
      <c r="AE70" s="324"/>
      <c r="AF70" s="324"/>
      <c r="AG70" s="324"/>
      <c r="AH70" s="9742"/>
    </row>
    <row r="71" spans="1:34" ht="50.25" customHeight="1">
      <c r="A71" s="9599"/>
      <c r="B71" s="9660"/>
      <c r="C71" s="9223"/>
      <c r="D71" s="8782"/>
      <c r="E71" s="8782"/>
      <c r="F71" s="8782"/>
      <c r="G71" s="8977"/>
      <c r="H71" s="8782"/>
      <c r="I71" s="8782"/>
      <c r="J71" s="9217"/>
      <c r="K71" s="8782"/>
      <c r="L71" s="9258"/>
      <c r="M71" s="8975"/>
      <c r="N71" s="8975"/>
      <c r="O71" s="8975"/>
      <c r="P71" s="9258"/>
      <c r="Q71" s="9276"/>
      <c r="R71" s="9696"/>
      <c r="S71" s="3402"/>
      <c r="T71" s="6584"/>
      <c r="U71" s="6584"/>
      <c r="V71" s="3403"/>
      <c r="W71" s="6619"/>
      <c r="X71" s="324"/>
      <c r="Y71" s="6687"/>
      <c r="Z71" s="6687"/>
      <c r="AA71" s="6687"/>
      <c r="AB71" s="6688"/>
      <c r="AC71" s="6739"/>
      <c r="AD71" s="3401"/>
      <c r="AE71" s="324"/>
      <c r="AF71" s="3404"/>
      <c r="AG71" s="3404"/>
      <c r="AH71" s="9742"/>
    </row>
    <row r="72" spans="1:34" ht="50.25" customHeight="1">
      <c r="A72" s="9599"/>
      <c r="B72" s="9660"/>
      <c r="C72" s="9223"/>
      <c r="D72" s="8782"/>
      <c r="E72" s="8782"/>
      <c r="F72" s="8782"/>
      <c r="G72" s="8977"/>
      <c r="H72" s="8782"/>
      <c r="I72" s="8782"/>
      <c r="J72" s="9217"/>
      <c r="K72" s="8782"/>
      <c r="L72" s="9258"/>
      <c r="M72" s="8975"/>
      <c r="N72" s="8975"/>
      <c r="O72" s="8975"/>
      <c r="P72" s="9258"/>
      <c r="Q72" s="9276"/>
      <c r="R72" s="9696"/>
      <c r="S72" s="3405"/>
      <c r="T72" s="6585"/>
      <c r="U72" s="6584"/>
      <c r="V72" s="1900"/>
      <c r="W72" s="6619"/>
      <c r="X72" s="324"/>
      <c r="Y72" s="6687"/>
      <c r="Z72" s="6680"/>
      <c r="AA72" s="6680"/>
      <c r="AB72" s="6688"/>
      <c r="AC72" s="6740"/>
      <c r="AD72" s="3401"/>
      <c r="AE72" s="324"/>
      <c r="AF72" s="324"/>
      <c r="AG72" s="324"/>
      <c r="AH72" s="9742"/>
    </row>
    <row r="73" spans="1:34" ht="50.25" customHeight="1">
      <c r="A73" s="9599"/>
      <c r="B73" s="9660"/>
      <c r="C73" s="9667"/>
      <c r="D73" s="8867"/>
      <c r="E73" s="8867"/>
      <c r="F73" s="8867"/>
      <c r="G73" s="9681"/>
      <c r="H73" s="8867"/>
      <c r="I73" s="8867"/>
      <c r="J73" s="9217"/>
      <c r="K73" s="8782"/>
      <c r="L73" s="9258"/>
      <c r="M73" s="8975"/>
      <c r="N73" s="8975"/>
      <c r="O73" s="8975"/>
      <c r="P73" s="9258"/>
      <c r="Q73" s="9276"/>
      <c r="R73" s="9696"/>
      <c r="S73" s="533"/>
      <c r="T73" s="6586"/>
      <c r="U73" s="6587"/>
      <c r="V73" s="1900"/>
      <c r="W73" s="6619"/>
      <c r="X73" s="324"/>
      <c r="Y73" s="6687"/>
      <c r="Z73" s="6680"/>
      <c r="AA73" s="6680"/>
      <c r="AB73" s="6689"/>
      <c r="AC73" s="6741"/>
      <c r="AD73" s="1281"/>
      <c r="AE73" s="1179"/>
      <c r="AF73" s="1179"/>
      <c r="AG73" s="175"/>
      <c r="AH73" s="9742"/>
    </row>
    <row r="74" spans="1:34" ht="23.25" customHeight="1">
      <c r="A74" s="9599"/>
      <c r="B74" s="9660"/>
      <c r="C74" s="9125" t="s">
        <v>1482</v>
      </c>
      <c r="D74" s="8834" t="s">
        <v>1291</v>
      </c>
      <c r="E74" s="8834" t="s">
        <v>1292</v>
      </c>
      <c r="F74" s="8834" t="s">
        <v>1293</v>
      </c>
      <c r="G74" s="8974" t="s">
        <v>1294</v>
      </c>
      <c r="H74" s="8834" t="s">
        <v>1304</v>
      </c>
      <c r="I74" s="8834" t="s">
        <v>133</v>
      </c>
      <c r="J74" s="9217" t="s">
        <v>1554</v>
      </c>
      <c r="K74" s="8782" t="s">
        <v>1555</v>
      </c>
      <c r="L74" s="8782" t="s">
        <v>1556</v>
      </c>
      <c r="M74" s="8975">
        <v>0</v>
      </c>
      <c r="N74" s="8975">
        <v>1</v>
      </c>
      <c r="O74" s="8975">
        <v>1</v>
      </c>
      <c r="P74" s="9258" t="s">
        <v>1557</v>
      </c>
      <c r="Q74" s="9276" t="s">
        <v>1558</v>
      </c>
      <c r="R74" s="9696" t="s">
        <v>1490</v>
      </c>
      <c r="S74" s="3406"/>
      <c r="T74" s="4697"/>
      <c r="U74" s="4697"/>
      <c r="V74" s="1843"/>
      <c r="W74" s="6607"/>
      <c r="X74" s="882"/>
      <c r="Y74" s="6671"/>
      <c r="Z74" s="6671"/>
      <c r="AA74" s="6671"/>
      <c r="AB74" s="6663"/>
      <c r="AC74" s="4764"/>
      <c r="AD74" s="3407"/>
      <c r="AE74" s="882"/>
      <c r="AF74" s="3408"/>
      <c r="AG74" s="3408"/>
      <c r="AH74" s="9740"/>
    </row>
    <row r="75" spans="1:34" ht="23.25" customHeight="1">
      <c r="A75" s="9599"/>
      <c r="B75" s="9660"/>
      <c r="C75" s="9125"/>
      <c r="D75" s="8834"/>
      <c r="E75" s="8834"/>
      <c r="F75" s="8834"/>
      <c r="G75" s="8974"/>
      <c r="H75" s="8834"/>
      <c r="I75" s="8834"/>
      <c r="J75" s="9217"/>
      <c r="K75" s="8782"/>
      <c r="L75" s="8782"/>
      <c r="M75" s="8975"/>
      <c r="N75" s="8975"/>
      <c r="O75" s="8975"/>
      <c r="P75" s="9258"/>
      <c r="Q75" s="9276"/>
      <c r="R75" s="9696"/>
      <c r="S75" s="1863"/>
      <c r="T75" s="4684"/>
      <c r="U75" s="4686"/>
      <c r="V75" s="1855"/>
      <c r="W75" s="6381"/>
      <c r="X75" s="69"/>
      <c r="Y75" s="6664"/>
      <c r="Z75" s="6520"/>
      <c r="AA75" s="6520"/>
      <c r="AB75" s="6665"/>
      <c r="AC75" s="6729"/>
      <c r="AD75" s="3409"/>
      <c r="AE75" s="69"/>
      <c r="AF75" s="2835"/>
      <c r="AG75" s="2835"/>
      <c r="AH75" s="9740"/>
    </row>
    <row r="76" spans="1:34" ht="23.25" customHeight="1">
      <c r="A76" s="9599"/>
      <c r="B76" s="9660"/>
      <c r="C76" s="9125"/>
      <c r="D76" s="8834"/>
      <c r="E76" s="8834"/>
      <c r="F76" s="8834"/>
      <c r="G76" s="8974"/>
      <c r="H76" s="8834"/>
      <c r="I76" s="8834"/>
      <c r="J76" s="9217"/>
      <c r="K76" s="8782"/>
      <c r="L76" s="8782"/>
      <c r="M76" s="8975"/>
      <c r="N76" s="8975"/>
      <c r="O76" s="8975"/>
      <c r="P76" s="9258"/>
      <c r="Q76" s="9276"/>
      <c r="R76" s="9696"/>
      <c r="S76" s="1863"/>
      <c r="T76" s="4684"/>
      <c r="U76" s="4686"/>
      <c r="V76" s="1855"/>
      <c r="W76" s="6381"/>
      <c r="X76" s="69"/>
      <c r="Y76" s="6664"/>
      <c r="Z76" s="6520"/>
      <c r="AA76" s="6520"/>
      <c r="AB76" s="6665"/>
      <c r="AC76" s="6729"/>
      <c r="AD76" s="3409"/>
      <c r="AE76" s="69"/>
      <c r="AF76" s="2835"/>
      <c r="AG76" s="2835"/>
      <c r="AH76" s="9740"/>
    </row>
    <row r="77" spans="1:34" ht="29.25" customHeight="1">
      <c r="A77" s="9599"/>
      <c r="B77" s="9660"/>
      <c r="C77" s="9125"/>
      <c r="D77" s="8834"/>
      <c r="E77" s="8834"/>
      <c r="F77" s="8834"/>
      <c r="G77" s="8974"/>
      <c r="H77" s="8834"/>
      <c r="I77" s="8834"/>
      <c r="J77" s="9217"/>
      <c r="K77" s="8782"/>
      <c r="L77" s="8782"/>
      <c r="M77" s="8975"/>
      <c r="N77" s="8975"/>
      <c r="O77" s="8975"/>
      <c r="P77" s="9258"/>
      <c r="Q77" s="9276"/>
      <c r="R77" s="9696"/>
      <c r="S77" s="824" t="s">
        <v>80</v>
      </c>
      <c r="T77" s="4686">
        <v>531411</v>
      </c>
      <c r="U77" s="4686"/>
      <c r="V77" s="1859" t="s">
        <v>37</v>
      </c>
      <c r="W77" s="8097"/>
      <c r="X77" s="8098"/>
      <c r="Y77" s="7981"/>
      <c r="Z77" s="7981"/>
      <c r="AA77" s="7981"/>
      <c r="AB77" s="8099">
        <f>AA78</f>
        <v>0</v>
      </c>
      <c r="AC77" s="8100" t="s">
        <v>26</v>
      </c>
      <c r="AD77" s="973"/>
      <c r="AE77" s="972"/>
      <c r="AF77" s="1278"/>
      <c r="AG77" s="14"/>
      <c r="AH77" s="9740"/>
    </row>
    <row r="78" spans="1:34" ht="51">
      <c r="A78" s="9599"/>
      <c r="B78" s="9660"/>
      <c r="C78" s="9125"/>
      <c r="D78" s="8834"/>
      <c r="E78" s="8834"/>
      <c r="F78" s="8834"/>
      <c r="G78" s="8974"/>
      <c r="H78" s="8834"/>
      <c r="I78" s="8834"/>
      <c r="J78" s="9217"/>
      <c r="K78" s="8782"/>
      <c r="L78" s="8782"/>
      <c r="M78" s="8975"/>
      <c r="N78" s="8975"/>
      <c r="O78" s="8975"/>
      <c r="P78" s="9258"/>
      <c r="Q78" s="9276"/>
      <c r="R78" s="9696"/>
      <c r="S78" s="828"/>
      <c r="T78" s="6588"/>
      <c r="U78" s="6441"/>
      <c r="V78" s="3282" t="s">
        <v>1559</v>
      </c>
      <c r="W78" s="8101">
        <v>0</v>
      </c>
      <c r="X78" s="8102" t="s">
        <v>180</v>
      </c>
      <c r="Y78" s="8103">
        <f>3500/1.12</f>
        <v>3124.9999999999995</v>
      </c>
      <c r="Z78" s="8104">
        <f t="shared" ref="Z78" si="9">+W78*Y78</f>
        <v>0</v>
      </c>
      <c r="AA78" s="8104">
        <f t="shared" ref="AA78" si="10">+Z78*1.12</f>
        <v>0</v>
      </c>
      <c r="AB78" s="8105"/>
      <c r="AC78" s="8106"/>
      <c r="AD78" s="973"/>
      <c r="AE78" s="1279"/>
      <c r="AF78" s="1283"/>
      <c r="AG78" s="829" t="s">
        <v>153</v>
      </c>
      <c r="AH78" s="9741"/>
    </row>
    <row r="79" spans="1:34" ht="30" customHeight="1">
      <c r="A79" s="9599"/>
      <c r="B79" s="9660"/>
      <c r="C79" s="9223" t="s">
        <v>1482</v>
      </c>
      <c r="D79" s="8782" t="s">
        <v>1291</v>
      </c>
      <c r="E79" s="8782" t="s">
        <v>1292</v>
      </c>
      <c r="F79" s="8782" t="s">
        <v>1560</v>
      </c>
      <c r="G79" s="8977" t="s">
        <v>1294</v>
      </c>
      <c r="H79" s="8782" t="s">
        <v>1304</v>
      </c>
      <c r="I79" s="8782" t="s">
        <v>133</v>
      </c>
      <c r="J79" s="9217" t="s">
        <v>1561</v>
      </c>
      <c r="K79" s="8782" t="s">
        <v>1562</v>
      </c>
      <c r="L79" s="8782" t="s">
        <v>1563</v>
      </c>
      <c r="M79" s="8975">
        <v>0</v>
      </c>
      <c r="N79" s="8975">
        <v>0</v>
      </c>
      <c r="O79" s="8975">
        <v>1</v>
      </c>
      <c r="P79" s="9258" t="s">
        <v>1564</v>
      </c>
      <c r="Q79" s="9276" t="s">
        <v>1565</v>
      </c>
      <c r="R79" s="9696" t="s">
        <v>1490</v>
      </c>
      <c r="S79" s="527"/>
      <c r="T79" s="6579"/>
      <c r="U79" s="6579"/>
      <c r="V79" s="1953"/>
      <c r="W79" s="6615"/>
      <c r="X79" s="96"/>
      <c r="Y79" s="6690"/>
      <c r="Z79" s="6691"/>
      <c r="AA79" s="6691"/>
      <c r="AB79" s="6692"/>
      <c r="AC79" s="6742"/>
      <c r="AD79" s="1284"/>
      <c r="AE79" s="1063"/>
      <c r="AF79" s="1264"/>
      <c r="AG79" s="190"/>
      <c r="AH79" s="9726"/>
    </row>
    <row r="80" spans="1:34" ht="30" customHeight="1">
      <c r="A80" s="9599"/>
      <c r="B80" s="9660"/>
      <c r="C80" s="9223"/>
      <c r="D80" s="8782"/>
      <c r="E80" s="8782"/>
      <c r="F80" s="8782"/>
      <c r="G80" s="8977"/>
      <c r="H80" s="8782"/>
      <c r="I80" s="8782"/>
      <c r="J80" s="9217"/>
      <c r="K80" s="8782"/>
      <c r="L80" s="8782"/>
      <c r="M80" s="8975"/>
      <c r="N80" s="8975"/>
      <c r="O80" s="8975"/>
      <c r="P80" s="9258"/>
      <c r="Q80" s="9276"/>
      <c r="R80" s="9696"/>
      <c r="S80" s="528"/>
      <c r="T80" s="6589"/>
      <c r="U80" s="6438"/>
      <c r="V80" s="1954"/>
      <c r="W80" s="6620"/>
      <c r="X80" s="1951"/>
      <c r="Y80" s="6693"/>
      <c r="Z80" s="6680"/>
      <c r="AA80" s="6680"/>
      <c r="AB80" s="6694"/>
      <c r="AC80" s="6729"/>
      <c r="AD80" s="973"/>
      <c r="AE80" s="1285"/>
      <c r="AF80" s="1251"/>
      <c r="AG80" s="200"/>
      <c r="AH80" s="9697"/>
    </row>
    <row r="81" spans="1:34" ht="30" customHeight="1">
      <c r="A81" s="9599"/>
      <c r="B81" s="9660"/>
      <c r="C81" s="9223"/>
      <c r="D81" s="8782"/>
      <c r="E81" s="8782"/>
      <c r="F81" s="8782"/>
      <c r="G81" s="8977"/>
      <c r="H81" s="8782"/>
      <c r="I81" s="8782"/>
      <c r="J81" s="9217"/>
      <c r="K81" s="8782"/>
      <c r="L81" s="8782"/>
      <c r="M81" s="8975"/>
      <c r="N81" s="8975"/>
      <c r="O81" s="8975"/>
      <c r="P81" s="9258"/>
      <c r="Q81" s="9276"/>
      <c r="R81" s="9696"/>
      <c r="S81" s="528"/>
      <c r="T81" s="6445"/>
      <c r="U81" s="6445"/>
      <c r="V81" s="1254"/>
      <c r="W81" s="6604"/>
      <c r="X81" s="1250"/>
      <c r="Y81" s="6695"/>
      <c r="Z81" s="6696"/>
      <c r="AA81" s="6696"/>
      <c r="AB81" s="6697"/>
      <c r="AC81" s="6295"/>
      <c r="AD81" s="973"/>
      <c r="AE81" s="1285"/>
      <c r="AF81" s="1251"/>
      <c r="AG81" s="200"/>
      <c r="AH81" s="9697"/>
    </row>
    <row r="82" spans="1:34" ht="30" customHeight="1">
      <c r="A82" s="9599"/>
      <c r="B82" s="9660"/>
      <c r="C82" s="9223"/>
      <c r="D82" s="8782"/>
      <c r="E82" s="8782"/>
      <c r="F82" s="8782"/>
      <c r="G82" s="8977"/>
      <c r="H82" s="8782"/>
      <c r="I82" s="8782"/>
      <c r="J82" s="9217"/>
      <c r="K82" s="8782"/>
      <c r="L82" s="8782"/>
      <c r="M82" s="8975"/>
      <c r="N82" s="8975"/>
      <c r="O82" s="8975"/>
      <c r="P82" s="9258"/>
      <c r="Q82" s="9276"/>
      <c r="R82" s="9696"/>
      <c r="S82" s="528"/>
      <c r="T82" s="6445"/>
      <c r="U82" s="6445"/>
      <c r="V82" s="1254"/>
      <c r="W82" s="6604"/>
      <c r="X82" s="1250"/>
      <c r="Y82" s="6695"/>
      <c r="Z82" s="6698"/>
      <c r="AA82" s="6698"/>
      <c r="AB82" s="6697"/>
      <c r="AC82" s="6295"/>
      <c r="AD82" s="973"/>
      <c r="AE82" s="1285"/>
      <c r="AF82" s="1251"/>
      <c r="AG82" s="200"/>
      <c r="AH82" s="9697"/>
    </row>
    <row r="83" spans="1:34" ht="30" customHeight="1">
      <c r="A83" s="9599"/>
      <c r="B83" s="9660"/>
      <c r="C83" s="9223"/>
      <c r="D83" s="8782"/>
      <c r="E83" s="8782"/>
      <c r="F83" s="8782"/>
      <c r="G83" s="8977"/>
      <c r="H83" s="8782"/>
      <c r="I83" s="8782"/>
      <c r="J83" s="9217"/>
      <c r="K83" s="8782"/>
      <c r="L83" s="8782"/>
      <c r="M83" s="8975"/>
      <c r="N83" s="8975"/>
      <c r="O83" s="8975"/>
      <c r="P83" s="9258"/>
      <c r="Q83" s="9276"/>
      <c r="R83" s="9696"/>
      <c r="S83" s="526"/>
      <c r="T83" s="6581"/>
      <c r="U83" s="6581"/>
      <c r="V83" s="1256"/>
      <c r="W83" s="6612"/>
      <c r="X83" s="1257"/>
      <c r="Y83" s="6699"/>
      <c r="Z83" s="6700"/>
      <c r="AA83" s="6700"/>
      <c r="AB83" s="6701"/>
      <c r="AC83" s="6743"/>
      <c r="AD83" s="1286"/>
      <c r="AE83" s="1257"/>
      <c r="AF83" s="1259"/>
      <c r="AG83" s="202"/>
      <c r="AH83" s="9719"/>
    </row>
    <row r="84" spans="1:34" ht="30" customHeight="1">
      <c r="A84" s="9599"/>
      <c r="B84" s="9660"/>
      <c r="C84" s="9223" t="s">
        <v>1482</v>
      </c>
      <c r="D84" s="8782" t="s">
        <v>1291</v>
      </c>
      <c r="E84" s="8782" t="s">
        <v>1292</v>
      </c>
      <c r="F84" s="8782" t="s">
        <v>1560</v>
      </c>
      <c r="G84" s="8977" t="s">
        <v>1294</v>
      </c>
      <c r="H84" s="8782" t="s">
        <v>1304</v>
      </c>
      <c r="I84" s="8782" t="s">
        <v>133</v>
      </c>
      <c r="J84" s="8780" t="s">
        <v>1566</v>
      </c>
      <c r="K84" s="8782" t="s">
        <v>1567</v>
      </c>
      <c r="L84" s="9217" t="s">
        <v>1568</v>
      </c>
      <c r="M84" s="9723">
        <v>0</v>
      </c>
      <c r="N84" s="8975">
        <v>5</v>
      </c>
      <c r="O84" s="8975">
        <v>5</v>
      </c>
      <c r="P84" s="8782" t="s">
        <v>1569</v>
      </c>
      <c r="Q84" s="9217" t="s">
        <v>1570</v>
      </c>
      <c r="R84" s="9696" t="s">
        <v>1490</v>
      </c>
      <c r="S84" s="528"/>
      <c r="T84" s="6445"/>
      <c r="U84" s="6445"/>
      <c r="V84" s="1254"/>
      <c r="W84" s="6604"/>
      <c r="X84" s="1250"/>
      <c r="Y84" s="6642"/>
      <c r="Z84" s="6642"/>
      <c r="AA84" s="6642"/>
      <c r="AB84" s="6503"/>
      <c r="AC84" s="6554"/>
      <c r="AD84" s="1249"/>
      <c r="AE84" s="1250"/>
      <c r="AF84" s="1251"/>
      <c r="AG84" s="197"/>
      <c r="AH84" s="478"/>
    </row>
    <row r="85" spans="1:34" ht="30" customHeight="1">
      <c r="A85" s="9599"/>
      <c r="B85" s="9660"/>
      <c r="C85" s="9223"/>
      <c r="D85" s="8782"/>
      <c r="E85" s="8782"/>
      <c r="F85" s="8782"/>
      <c r="G85" s="8977"/>
      <c r="H85" s="8782"/>
      <c r="I85" s="8782"/>
      <c r="J85" s="8780"/>
      <c r="K85" s="8782"/>
      <c r="L85" s="9217"/>
      <c r="M85" s="9723"/>
      <c r="N85" s="8975"/>
      <c r="O85" s="8975"/>
      <c r="P85" s="8782"/>
      <c r="Q85" s="9217"/>
      <c r="R85" s="9696"/>
      <c r="S85" s="528"/>
      <c r="T85" s="6445"/>
      <c r="U85" s="6445"/>
      <c r="V85" s="1254"/>
      <c r="W85" s="6604"/>
      <c r="X85" s="1250"/>
      <c r="Y85" s="6642"/>
      <c r="Z85" s="6642"/>
      <c r="AA85" s="6642"/>
      <c r="AB85" s="6503"/>
      <c r="AC85" s="6554"/>
      <c r="AD85" s="1249"/>
      <c r="AE85" s="1250"/>
      <c r="AF85" s="1251"/>
      <c r="AG85" s="200"/>
      <c r="AH85" s="478"/>
    </row>
    <row r="86" spans="1:34" ht="30" customHeight="1">
      <c r="A86" s="9599"/>
      <c r="B86" s="9660"/>
      <c r="C86" s="9223"/>
      <c r="D86" s="8782"/>
      <c r="E86" s="8782"/>
      <c r="F86" s="8782"/>
      <c r="G86" s="8977"/>
      <c r="H86" s="8782"/>
      <c r="I86" s="8782"/>
      <c r="J86" s="8780"/>
      <c r="K86" s="8782"/>
      <c r="L86" s="9217"/>
      <c r="M86" s="9723"/>
      <c r="N86" s="8975"/>
      <c r="O86" s="8975"/>
      <c r="P86" s="8782"/>
      <c r="Q86" s="9217"/>
      <c r="R86" s="9696"/>
      <c r="S86" s="528"/>
      <c r="T86" s="6445"/>
      <c r="U86" s="6445"/>
      <c r="V86" s="1254"/>
      <c r="W86" s="6604"/>
      <c r="X86" s="1250"/>
      <c r="Y86" s="6642"/>
      <c r="Z86" s="6642"/>
      <c r="AA86" s="6642"/>
      <c r="AB86" s="6503"/>
      <c r="AC86" s="6554"/>
      <c r="AD86" s="1249"/>
      <c r="AE86" s="1250"/>
      <c r="AF86" s="1251"/>
      <c r="AG86" s="200"/>
      <c r="AH86" s="478"/>
    </row>
    <row r="87" spans="1:34" ht="30" customHeight="1">
      <c r="A87" s="9599"/>
      <c r="B87" s="9660"/>
      <c r="C87" s="9223"/>
      <c r="D87" s="8782"/>
      <c r="E87" s="8782"/>
      <c r="F87" s="8782"/>
      <c r="G87" s="8977"/>
      <c r="H87" s="8782"/>
      <c r="I87" s="8782"/>
      <c r="J87" s="8780"/>
      <c r="K87" s="8782"/>
      <c r="L87" s="9217"/>
      <c r="M87" s="9723"/>
      <c r="N87" s="8975"/>
      <c r="O87" s="8975"/>
      <c r="P87" s="8782"/>
      <c r="Q87" s="9217"/>
      <c r="R87" s="9696"/>
      <c r="S87" s="528"/>
      <c r="T87" s="6445"/>
      <c r="U87" s="6445"/>
      <c r="V87" s="1254"/>
      <c r="W87" s="6604"/>
      <c r="X87" s="1250"/>
      <c r="Y87" s="6642"/>
      <c r="Z87" s="6642"/>
      <c r="AA87" s="6642"/>
      <c r="AB87" s="6503"/>
      <c r="AC87" s="6554"/>
      <c r="AD87" s="1249"/>
      <c r="AE87" s="1250"/>
      <c r="AF87" s="1251"/>
      <c r="AG87" s="200"/>
      <c r="AH87" s="478"/>
    </row>
    <row r="88" spans="1:34" ht="30" customHeight="1">
      <c r="A88" s="9599"/>
      <c r="B88" s="9660"/>
      <c r="C88" s="9667"/>
      <c r="D88" s="8867"/>
      <c r="E88" s="8867"/>
      <c r="F88" s="8867"/>
      <c r="G88" s="9681"/>
      <c r="H88" s="8867"/>
      <c r="I88" s="8867"/>
      <c r="J88" s="9722"/>
      <c r="K88" s="8867"/>
      <c r="L88" s="9717"/>
      <c r="M88" s="9724"/>
      <c r="N88" s="9708"/>
      <c r="O88" s="9708"/>
      <c r="P88" s="8867"/>
      <c r="Q88" s="9717"/>
      <c r="R88" s="9718"/>
      <c r="S88" s="526"/>
      <c r="T88" s="6581"/>
      <c r="U88" s="6581"/>
      <c r="V88" s="1256"/>
      <c r="W88" s="6612"/>
      <c r="X88" s="1257"/>
      <c r="Y88" s="6651"/>
      <c r="Z88" s="6651"/>
      <c r="AA88" s="6651"/>
      <c r="AB88" s="6652"/>
      <c r="AC88" s="6734"/>
      <c r="AD88" s="1258"/>
      <c r="AE88" s="1257"/>
      <c r="AF88" s="1259"/>
      <c r="AG88" s="202"/>
      <c r="AH88" s="208"/>
    </row>
    <row r="89" spans="1:34" ht="31.5" customHeight="1">
      <c r="A89" s="9599"/>
      <c r="B89" s="9660"/>
      <c r="C89" s="9400" t="s">
        <v>1571</v>
      </c>
      <c r="D89" s="9167" t="s">
        <v>1572</v>
      </c>
      <c r="E89" s="8834" t="s">
        <v>129</v>
      </c>
      <c r="F89" s="9668" t="s">
        <v>1573</v>
      </c>
      <c r="G89" s="9320" t="s">
        <v>131</v>
      </c>
      <c r="H89" s="9167" t="s">
        <v>132</v>
      </c>
      <c r="I89" s="8834" t="s">
        <v>159</v>
      </c>
      <c r="J89" s="9739" t="s">
        <v>1574</v>
      </c>
      <c r="K89" s="9167" t="s">
        <v>1575</v>
      </c>
      <c r="L89" s="9167" t="s">
        <v>1374</v>
      </c>
      <c r="M89" s="8979">
        <v>0</v>
      </c>
      <c r="N89" s="8979">
        <v>1</v>
      </c>
      <c r="O89" s="8979">
        <v>1</v>
      </c>
      <c r="P89" s="9167" t="s">
        <v>1576</v>
      </c>
      <c r="Q89" s="9205" t="s">
        <v>1577</v>
      </c>
      <c r="R89" s="9705" t="s">
        <v>1490</v>
      </c>
      <c r="S89" s="830"/>
      <c r="T89" s="6590"/>
      <c r="U89" s="6590"/>
      <c r="V89" s="1224"/>
      <c r="W89" s="6610"/>
      <c r="X89" s="1081"/>
      <c r="Y89" s="6645"/>
      <c r="Z89" s="6645"/>
      <c r="AA89" s="6645"/>
      <c r="AB89" s="6655"/>
      <c r="AC89" s="6744"/>
      <c r="AD89" s="1225"/>
      <c r="AE89" s="1081"/>
      <c r="AF89" s="1226"/>
      <c r="AG89" s="197"/>
      <c r="AH89" s="9726"/>
    </row>
    <row r="90" spans="1:34" ht="31.5" customHeight="1">
      <c r="A90" s="9599"/>
      <c r="B90" s="9660"/>
      <c r="C90" s="9400"/>
      <c r="D90" s="9167"/>
      <c r="E90" s="8834"/>
      <c r="F90" s="9669"/>
      <c r="G90" s="9320"/>
      <c r="H90" s="9167"/>
      <c r="I90" s="8834"/>
      <c r="J90" s="9739"/>
      <c r="K90" s="9167"/>
      <c r="L90" s="9167"/>
      <c r="M90" s="8979"/>
      <c r="N90" s="8979"/>
      <c r="O90" s="8979"/>
      <c r="P90" s="9167"/>
      <c r="Q90" s="9205"/>
      <c r="R90" s="9705"/>
      <c r="S90" s="528"/>
      <c r="T90" s="6445"/>
      <c r="U90" s="6445"/>
      <c r="V90" s="1254"/>
      <c r="W90" s="6604"/>
      <c r="X90" s="1250"/>
      <c r="Y90" s="6642"/>
      <c r="Z90" s="6642"/>
      <c r="AA90" s="6642"/>
      <c r="AB90" s="6503"/>
      <c r="AC90" s="6554"/>
      <c r="AD90" s="1249"/>
      <c r="AE90" s="1250"/>
      <c r="AF90" s="1251"/>
      <c r="AG90" s="200"/>
      <c r="AH90" s="9726"/>
    </row>
    <row r="91" spans="1:34" ht="31.5" customHeight="1">
      <c r="A91" s="9599"/>
      <c r="B91" s="9660"/>
      <c r="C91" s="9400"/>
      <c r="D91" s="9167"/>
      <c r="E91" s="8834"/>
      <c r="F91" s="9669"/>
      <c r="G91" s="9320"/>
      <c r="H91" s="9167"/>
      <c r="I91" s="8834"/>
      <c r="J91" s="9739"/>
      <c r="K91" s="9167"/>
      <c r="L91" s="9167"/>
      <c r="M91" s="8979"/>
      <c r="N91" s="8979"/>
      <c r="O91" s="8979"/>
      <c r="P91" s="9167"/>
      <c r="Q91" s="9205"/>
      <c r="R91" s="9705"/>
      <c r="S91" s="528"/>
      <c r="T91" s="6445"/>
      <c r="U91" s="6445"/>
      <c r="V91" s="1254"/>
      <c r="W91" s="6604"/>
      <c r="X91" s="1250"/>
      <c r="Y91" s="6642"/>
      <c r="Z91" s="6642"/>
      <c r="AA91" s="6642"/>
      <c r="AB91" s="6503"/>
      <c r="AC91" s="6554"/>
      <c r="AD91" s="1249"/>
      <c r="AE91" s="1250"/>
      <c r="AF91" s="1251"/>
      <c r="AG91" s="200"/>
      <c r="AH91" s="9726"/>
    </row>
    <row r="92" spans="1:34" ht="31.5" customHeight="1">
      <c r="A92" s="9599"/>
      <c r="B92" s="9660"/>
      <c r="C92" s="9400"/>
      <c r="D92" s="9167"/>
      <c r="E92" s="8834"/>
      <c r="F92" s="9669"/>
      <c r="G92" s="9320"/>
      <c r="H92" s="9167"/>
      <c r="I92" s="8834"/>
      <c r="J92" s="9739"/>
      <c r="K92" s="9167"/>
      <c r="L92" s="9167"/>
      <c r="M92" s="8979"/>
      <c r="N92" s="8979"/>
      <c r="O92" s="8979"/>
      <c r="P92" s="9167"/>
      <c r="Q92" s="9205"/>
      <c r="R92" s="9705"/>
      <c r="S92" s="528"/>
      <c r="T92" s="6445"/>
      <c r="U92" s="6445"/>
      <c r="V92" s="1254"/>
      <c r="W92" s="6604"/>
      <c r="X92" s="1250"/>
      <c r="Y92" s="6642"/>
      <c r="Z92" s="6642"/>
      <c r="AA92" s="6642"/>
      <c r="AB92" s="6503"/>
      <c r="AC92" s="6554"/>
      <c r="AD92" s="1249"/>
      <c r="AE92" s="1250"/>
      <c r="AF92" s="1251"/>
      <c r="AG92" s="200"/>
      <c r="AH92" s="9726"/>
    </row>
    <row r="93" spans="1:34" ht="31.5" customHeight="1">
      <c r="A93" s="9599"/>
      <c r="B93" s="9660"/>
      <c r="C93" s="9408"/>
      <c r="D93" s="9168"/>
      <c r="E93" s="9127"/>
      <c r="F93" s="9670"/>
      <c r="G93" s="9411"/>
      <c r="H93" s="9168"/>
      <c r="I93" s="8834"/>
      <c r="J93" s="9739"/>
      <c r="K93" s="9167"/>
      <c r="L93" s="9167"/>
      <c r="M93" s="8979"/>
      <c r="N93" s="8979"/>
      <c r="O93" s="8979"/>
      <c r="P93" s="9167"/>
      <c r="Q93" s="9205"/>
      <c r="R93" s="9705"/>
      <c r="S93" s="528"/>
      <c r="T93" s="6445"/>
      <c r="U93" s="6445"/>
      <c r="V93" s="1254"/>
      <c r="W93" s="6604"/>
      <c r="X93" s="1250"/>
      <c r="Y93" s="6642"/>
      <c r="Z93" s="6642"/>
      <c r="AA93" s="6642"/>
      <c r="AB93" s="6503"/>
      <c r="AC93" s="6554"/>
      <c r="AD93" s="1249"/>
      <c r="AE93" s="1250"/>
      <c r="AF93" s="1251"/>
      <c r="AG93" s="200"/>
      <c r="AH93" s="9726"/>
    </row>
    <row r="94" spans="1:34" ht="35.25" customHeight="1">
      <c r="A94" s="9599"/>
      <c r="B94" s="9660"/>
      <c r="C94" s="9400" t="s">
        <v>1571</v>
      </c>
      <c r="D94" s="9167" t="s">
        <v>1572</v>
      </c>
      <c r="E94" s="8834" t="s">
        <v>129</v>
      </c>
      <c r="F94" s="9668" t="s">
        <v>1573</v>
      </c>
      <c r="G94" s="9320" t="s">
        <v>131</v>
      </c>
      <c r="H94" s="9167" t="s">
        <v>132</v>
      </c>
      <c r="I94" s="8782" t="s">
        <v>159</v>
      </c>
      <c r="J94" s="9217" t="s">
        <v>1578</v>
      </c>
      <c r="K94" s="8782" t="s">
        <v>338</v>
      </c>
      <c r="L94" s="8782" t="s">
        <v>1379</v>
      </c>
      <c r="M94" s="8975">
        <v>0</v>
      </c>
      <c r="N94" s="8975">
        <v>0</v>
      </c>
      <c r="O94" s="9714">
        <v>1</v>
      </c>
      <c r="P94" s="8782" t="s">
        <v>1380</v>
      </c>
      <c r="Q94" s="9217" t="s">
        <v>1381</v>
      </c>
      <c r="R94" s="9696" t="s">
        <v>1490</v>
      </c>
      <c r="S94" s="527" t="s">
        <v>80</v>
      </c>
      <c r="T94" s="6579">
        <v>531407</v>
      </c>
      <c r="U94" s="6579"/>
      <c r="V94" s="1953" t="s">
        <v>35</v>
      </c>
      <c r="W94" s="6615"/>
      <c r="X94" s="96"/>
      <c r="Y94" s="6690"/>
      <c r="Z94" s="6691"/>
      <c r="AA94" s="6691"/>
      <c r="AB94" s="6692">
        <f>AA95</f>
        <v>2456.3200000000002</v>
      </c>
      <c r="AC94" s="6742" t="s">
        <v>26</v>
      </c>
      <c r="AD94" s="1284"/>
      <c r="AE94" s="1063"/>
      <c r="AF94" s="1264"/>
      <c r="AG94" s="190"/>
      <c r="AH94" s="9697"/>
    </row>
    <row r="95" spans="1:34" ht="41.25" customHeight="1">
      <c r="A95" s="9599"/>
      <c r="B95" s="9660"/>
      <c r="C95" s="9400"/>
      <c r="D95" s="9167"/>
      <c r="E95" s="8834"/>
      <c r="F95" s="9669"/>
      <c r="G95" s="9320"/>
      <c r="H95" s="9167"/>
      <c r="I95" s="8782"/>
      <c r="J95" s="9217"/>
      <c r="K95" s="8782"/>
      <c r="L95" s="8782"/>
      <c r="M95" s="8975"/>
      <c r="N95" s="8975"/>
      <c r="O95" s="9714"/>
      <c r="P95" s="8782"/>
      <c r="Q95" s="9217"/>
      <c r="R95" s="9696"/>
      <c r="S95" s="528"/>
      <c r="T95" s="6589"/>
      <c r="U95" s="6589"/>
      <c r="V95" s="585" t="s">
        <v>1579</v>
      </c>
      <c r="W95" s="6483">
        <v>1</v>
      </c>
      <c r="X95" s="90" t="s">
        <v>180</v>
      </c>
      <c r="Y95" s="6679">
        <f>2456.32/1.12</f>
        <v>2193.1428571428569</v>
      </c>
      <c r="Z95" s="6680">
        <f t="shared" ref="Z95" si="11">+W95*Y95</f>
        <v>2193.1428571428569</v>
      </c>
      <c r="AA95" s="6680">
        <f t="shared" ref="AA95" si="12">+Z95*1.12</f>
        <v>2456.3200000000002</v>
      </c>
      <c r="AB95" s="6681"/>
      <c r="AC95" s="6729"/>
      <c r="AD95" s="973"/>
      <c r="AE95" s="1285"/>
      <c r="AF95" s="2703"/>
      <c r="AG95" s="200" t="s">
        <v>153</v>
      </c>
      <c r="AH95" s="9697"/>
    </row>
    <row r="96" spans="1:34" ht="24.75" customHeight="1">
      <c r="A96" s="9599"/>
      <c r="B96" s="9660"/>
      <c r="C96" s="9400"/>
      <c r="D96" s="9167"/>
      <c r="E96" s="8834"/>
      <c r="F96" s="9669"/>
      <c r="G96" s="9320"/>
      <c r="H96" s="9167"/>
      <c r="I96" s="8782"/>
      <c r="J96" s="9217"/>
      <c r="K96" s="8782"/>
      <c r="L96" s="8782"/>
      <c r="M96" s="8975"/>
      <c r="N96" s="8975"/>
      <c r="O96" s="9714"/>
      <c r="P96" s="8782"/>
      <c r="Q96" s="9217"/>
      <c r="R96" s="9696"/>
      <c r="S96" s="530"/>
      <c r="T96" s="6591"/>
      <c r="U96" s="6589"/>
      <c r="V96" s="585"/>
      <c r="W96" s="6483"/>
      <c r="X96" s="90"/>
      <c r="Y96" s="6679"/>
      <c r="Z96" s="6680"/>
      <c r="AA96" s="6680"/>
      <c r="AB96" s="6681"/>
      <c r="AC96" s="6729"/>
      <c r="AD96" s="973"/>
      <c r="AE96" s="1287"/>
      <c r="AF96" s="8219"/>
      <c r="AG96" s="207"/>
      <c r="AH96" s="9697"/>
    </row>
    <row r="97" spans="1:35" ht="24.75" customHeight="1">
      <c r="A97" s="9599"/>
      <c r="B97" s="9660"/>
      <c r="C97" s="9400"/>
      <c r="D97" s="9167"/>
      <c r="E97" s="8834"/>
      <c r="F97" s="9669"/>
      <c r="G97" s="9320"/>
      <c r="H97" s="9167"/>
      <c r="I97" s="8782"/>
      <c r="J97" s="9217"/>
      <c r="K97" s="8782"/>
      <c r="L97" s="8782"/>
      <c r="M97" s="8975"/>
      <c r="N97" s="8975"/>
      <c r="O97" s="9714"/>
      <c r="P97" s="8782"/>
      <c r="Q97" s="9217"/>
      <c r="R97" s="9696"/>
      <c r="S97" s="530"/>
      <c r="T97" s="6591"/>
      <c r="U97" s="6438"/>
      <c r="V97" s="1954"/>
      <c r="W97" s="6620"/>
      <c r="X97" s="1951"/>
      <c r="Y97" s="6693"/>
      <c r="Z97" s="6680"/>
      <c r="AA97" s="6680"/>
      <c r="AB97" s="6694"/>
      <c r="AC97" s="6729"/>
      <c r="AD97" s="973"/>
      <c r="AE97" s="1287"/>
      <c r="AF97" s="1269"/>
      <c r="AG97" s="207"/>
      <c r="AH97" s="9697"/>
    </row>
    <row r="98" spans="1:35" ht="24.75" customHeight="1">
      <c r="A98" s="9599"/>
      <c r="B98" s="9660"/>
      <c r="C98" s="9408"/>
      <c r="D98" s="9168"/>
      <c r="E98" s="9127"/>
      <c r="F98" s="9670"/>
      <c r="G98" s="9411"/>
      <c r="H98" s="9168"/>
      <c r="I98" s="8867"/>
      <c r="J98" s="9717"/>
      <c r="K98" s="8867"/>
      <c r="L98" s="8867"/>
      <c r="M98" s="9708"/>
      <c r="N98" s="9708"/>
      <c r="O98" s="9716"/>
      <c r="P98" s="8867"/>
      <c r="Q98" s="9717"/>
      <c r="R98" s="9718"/>
      <c r="S98" s="526"/>
      <c r="T98" s="6581"/>
      <c r="U98" s="6439"/>
      <c r="V98" s="1254"/>
      <c r="W98" s="6612"/>
      <c r="X98" s="1257"/>
      <c r="Y98" s="6699"/>
      <c r="Z98" s="6700"/>
      <c r="AA98" s="6700"/>
      <c r="AB98" s="6701"/>
      <c r="AC98" s="6743"/>
      <c r="AD98" s="2878"/>
      <c r="AE98" s="1257"/>
      <c r="AF98" s="1259"/>
      <c r="AG98" s="202"/>
      <c r="AH98" s="9719"/>
    </row>
    <row r="99" spans="1:35" s="4835" customFormat="1" ht="34.5" customHeight="1">
      <c r="A99" s="9599"/>
      <c r="B99" s="9660"/>
      <c r="C99" s="465"/>
      <c r="D99" s="465"/>
      <c r="E99" s="465"/>
      <c r="F99" s="465"/>
      <c r="G99" s="465"/>
      <c r="H99" s="465"/>
      <c r="I99" s="465"/>
      <c r="J99" s="465"/>
      <c r="K99" s="465"/>
      <c r="L99" s="465"/>
      <c r="M99" s="5081"/>
      <c r="N99" s="5081"/>
      <c r="O99" s="5081"/>
      <c r="P99" s="5082"/>
      <c r="Q99" s="5082"/>
      <c r="R99" s="5082"/>
      <c r="S99" s="9720" t="s">
        <v>1580</v>
      </c>
      <c r="T99" s="9720"/>
      <c r="U99" s="9720"/>
      <c r="V99" s="9720"/>
      <c r="W99" s="9720"/>
      <c r="X99" s="9720"/>
      <c r="Y99" s="9720"/>
      <c r="Z99" s="9720"/>
      <c r="AA99" s="6045" t="s">
        <v>292</v>
      </c>
      <c r="AB99" s="6627">
        <f>SUM(AB9:AB98)</f>
        <v>39683.189999679998</v>
      </c>
      <c r="AC99" s="6721"/>
      <c r="AD99" s="6046"/>
      <c r="AE99" s="9628"/>
      <c r="AF99" s="9628"/>
      <c r="AG99" s="9628"/>
      <c r="AH99" s="9721"/>
      <c r="AI99" s="5952"/>
    </row>
    <row r="100" spans="1:35" ht="33" customHeight="1">
      <c r="A100" s="9599"/>
      <c r="B100" s="9660" t="s">
        <v>1581</v>
      </c>
      <c r="C100" s="9125" t="s">
        <v>1482</v>
      </c>
      <c r="D100" s="8835" t="s">
        <v>1291</v>
      </c>
      <c r="E100" s="8834" t="s">
        <v>1292</v>
      </c>
      <c r="F100" s="8835" t="s">
        <v>1293</v>
      </c>
      <c r="G100" s="8974" t="s">
        <v>1294</v>
      </c>
      <c r="H100" s="8834" t="s">
        <v>1304</v>
      </c>
      <c r="I100" s="8835" t="s">
        <v>159</v>
      </c>
      <c r="J100" s="9217" t="s">
        <v>1582</v>
      </c>
      <c r="K100" s="8782" t="s">
        <v>1583</v>
      </c>
      <c r="L100" s="8834" t="s">
        <v>1584</v>
      </c>
      <c r="M100" s="8979">
        <v>0</v>
      </c>
      <c r="N100" s="8986">
        <v>1</v>
      </c>
      <c r="O100" s="8979">
        <v>1</v>
      </c>
      <c r="P100" s="8782" t="s">
        <v>1585</v>
      </c>
      <c r="Q100" s="9217" t="s">
        <v>1586</v>
      </c>
      <c r="R100" s="9705" t="s">
        <v>1490</v>
      </c>
      <c r="S100" s="1277"/>
      <c r="T100" s="6592"/>
      <c r="U100" s="6592"/>
      <c r="V100" s="1248"/>
      <c r="W100" s="6610"/>
      <c r="X100" s="1081"/>
      <c r="Y100" s="6645"/>
      <c r="Z100" s="6645"/>
      <c r="AA100" s="6645"/>
      <c r="AB100" s="6655"/>
      <c r="AC100" s="6744"/>
      <c r="AD100" s="1225"/>
      <c r="AE100" s="1081"/>
      <c r="AF100" s="1226"/>
      <c r="AG100" s="1226"/>
      <c r="AH100" s="9710"/>
    </row>
    <row r="101" spans="1:35" ht="33" customHeight="1">
      <c r="A101" s="9599"/>
      <c r="B101" s="9660"/>
      <c r="C101" s="9125"/>
      <c r="D101" s="8835"/>
      <c r="E101" s="8834"/>
      <c r="F101" s="8835"/>
      <c r="G101" s="8974"/>
      <c r="H101" s="8834"/>
      <c r="I101" s="8835"/>
      <c r="J101" s="9217"/>
      <c r="K101" s="8782"/>
      <c r="L101" s="8834"/>
      <c r="M101" s="8979"/>
      <c r="N101" s="8986"/>
      <c r="O101" s="8979"/>
      <c r="P101" s="8782"/>
      <c r="Q101" s="9217"/>
      <c r="R101" s="9705"/>
      <c r="S101" s="1253"/>
      <c r="T101" s="6439"/>
      <c r="U101" s="6439"/>
      <c r="V101" s="1266"/>
      <c r="W101" s="6604"/>
      <c r="X101" s="1250"/>
      <c r="Y101" s="6642"/>
      <c r="Z101" s="6642"/>
      <c r="AA101" s="6642"/>
      <c r="AB101" s="6503"/>
      <c r="AC101" s="6554"/>
      <c r="AD101" s="1249"/>
      <c r="AE101" s="1250"/>
      <c r="AF101" s="1250"/>
      <c r="AG101" s="1250"/>
      <c r="AH101" s="9710"/>
    </row>
    <row r="102" spans="1:35" ht="33" customHeight="1">
      <c r="A102" s="9599"/>
      <c r="B102" s="9660"/>
      <c r="C102" s="9125"/>
      <c r="D102" s="8835"/>
      <c r="E102" s="8834"/>
      <c r="F102" s="8835"/>
      <c r="G102" s="8974"/>
      <c r="H102" s="8834"/>
      <c r="I102" s="8835"/>
      <c r="J102" s="9217"/>
      <c r="K102" s="8782"/>
      <c r="L102" s="8834"/>
      <c r="M102" s="8979"/>
      <c r="N102" s="8986"/>
      <c r="O102" s="8979"/>
      <c r="P102" s="8782"/>
      <c r="Q102" s="9217"/>
      <c r="R102" s="9705"/>
      <c r="S102" s="1253"/>
      <c r="T102" s="6439"/>
      <c r="U102" s="6439"/>
      <c r="V102" s="1266"/>
      <c r="W102" s="6604"/>
      <c r="X102" s="1250"/>
      <c r="Y102" s="6642"/>
      <c r="Z102" s="6642"/>
      <c r="AA102" s="6642"/>
      <c r="AB102" s="6503"/>
      <c r="AC102" s="6554"/>
      <c r="AD102" s="1249"/>
      <c r="AE102" s="1250"/>
      <c r="AF102" s="1250"/>
      <c r="AG102" s="1250"/>
      <c r="AH102" s="9710"/>
    </row>
    <row r="103" spans="1:35" ht="33" customHeight="1">
      <c r="A103" s="9599"/>
      <c r="B103" s="9660"/>
      <c r="C103" s="9125"/>
      <c r="D103" s="8835"/>
      <c r="E103" s="8834"/>
      <c r="F103" s="8835"/>
      <c r="G103" s="8974"/>
      <c r="H103" s="8834"/>
      <c r="I103" s="8835"/>
      <c r="J103" s="9217"/>
      <c r="K103" s="8782"/>
      <c r="L103" s="8834"/>
      <c r="M103" s="8979"/>
      <c r="N103" s="8986"/>
      <c r="O103" s="8979"/>
      <c r="P103" s="8782"/>
      <c r="Q103" s="9217"/>
      <c r="R103" s="9705"/>
      <c r="S103" s="1265"/>
      <c r="T103" s="6445"/>
      <c r="U103" s="6445"/>
      <c r="V103" s="1254"/>
      <c r="W103" s="6604"/>
      <c r="X103" s="1250"/>
      <c r="Y103" s="6642"/>
      <c r="Z103" s="6642"/>
      <c r="AA103" s="6642"/>
      <c r="AB103" s="6503"/>
      <c r="AC103" s="6554"/>
      <c r="AD103" s="1249"/>
      <c r="AE103" s="1250"/>
      <c r="AF103" s="1251"/>
      <c r="AG103" s="1251"/>
      <c r="AH103" s="9710"/>
    </row>
    <row r="104" spans="1:35" ht="33" customHeight="1">
      <c r="A104" s="9599"/>
      <c r="B104" s="9660"/>
      <c r="C104" s="9125"/>
      <c r="D104" s="8835"/>
      <c r="E104" s="9127"/>
      <c r="F104" s="9671"/>
      <c r="G104" s="9165"/>
      <c r="H104" s="9127"/>
      <c r="I104" s="8835"/>
      <c r="J104" s="9217"/>
      <c r="K104" s="8782"/>
      <c r="L104" s="8834"/>
      <c r="M104" s="8979"/>
      <c r="N104" s="8986"/>
      <c r="O104" s="8979"/>
      <c r="P104" s="8782"/>
      <c r="Q104" s="9217"/>
      <c r="R104" s="9705"/>
      <c r="S104" s="1271"/>
      <c r="T104" s="6581"/>
      <c r="U104" s="6581"/>
      <c r="V104" s="1256"/>
      <c r="W104" s="6612"/>
      <c r="X104" s="1257"/>
      <c r="Y104" s="6651"/>
      <c r="Z104" s="6651"/>
      <c r="AA104" s="6651"/>
      <c r="AB104" s="6652"/>
      <c r="AC104" s="6734"/>
      <c r="AD104" s="1258"/>
      <c r="AE104" s="1257"/>
      <c r="AF104" s="1259"/>
      <c r="AG104" s="1259"/>
      <c r="AH104" s="9710"/>
    </row>
    <row r="105" spans="1:35" ht="30" customHeight="1">
      <c r="A105" s="9599"/>
      <c r="B105" s="9660"/>
      <c r="C105" s="9223" t="s">
        <v>1482</v>
      </c>
      <c r="D105" s="8782" t="s">
        <v>1291</v>
      </c>
      <c r="E105" s="8834" t="s">
        <v>1292</v>
      </c>
      <c r="F105" s="8834" t="s">
        <v>1293</v>
      </c>
      <c r="G105" s="8974" t="s">
        <v>1294</v>
      </c>
      <c r="H105" s="8834" t="s">
        <v>1304</v>
      </c>
      <c r="I105" s="8782" t="s">
        <v>159</v>
      </c>
      <c r="J105" s="9217" t="s">
        <v>1587</v>
      </c>
      <c r="K105" s="8782" t="s">
        <v>1588</v>
      </c>
      <c r="L105" s="8782" t="s">
        <v>1589</v>
      </c>
      <c r="M105" s="8975">
        <v>0</v>
      </c>
      <c r="N105" s="8975">
        <v>1</v>
      </c>
      <c r="O105" s="8975">
        <v>0</v>
      </c>
      <c r="P105" s="8782" t="s">
        <v>1590</v>
      </c>
      <c r="Q105" s="9217" t="s">
        <v>1591</v>
      </c>
      <c r="R105" s="9696" t="s">
        <v>1490</v>
      </c>
      <c r="S105" s="1277"/>
      <c r="T105" s="6566"/>
      <c r="U105" s="6566"/>
      <c r="V105" s="1276"/>
      <c r="W105" s="6603"/>
      <c r="X105" s="1063"/>
      <c r="Y105" s="6640"/>
      <c r="Z105" s="6640"/>
      <c r="AA105" s="6640"/>
      <c r="AB105" s="6641"/>
      <c r="AC105" s="6727"/>
      <c r="AD105" s="1263"/>
      <c r="AE105" s="1063"/>
      <c r="AF105" s="1264"/>
      <c r="AG105" s="1264"/>
      <c r="AH105" s="9709"/>
    </row>
    <row r="106" spans="1:35" ht="30" customHeight="1">
      <c r="A106" s="9599"/>
      <c r="B106" s="9660"/>
      <c r="C106" s="9223"/>
      <c r="D106" s="8782"/>
      <c r="E106" s="8834"/>
      <c r="F106" s="8782"/>
      <c r="G106" s="8974"/>
      <c r="H106" s="8834"/>
      <c r="I106" s="8782"/>
      <c r="J106" s="9217"/>
      <c r="K106" s="8782"/>
      <c r="L106" s="8782"/>
      <c r="M106" s="8975"/>
      <c r="N106" s="8975"/>
      <c r="O106" s="8975"/>
      <c r="P106" s="8782"/>
      <c r="Q106" s="9217"/>
      <c r="R106" s="9696"/>
      <c r="S106" s="1253"/>
      <c r="T106" s="6439"/>
      <c r="U106" s="6445"/>
      <c r="V106" s="1266"/>
      <c r="W106" s="6604"/>
      <c r="X106" s="1250"/>
      <c r="Y106" s="6642"/>
      <c r="Z106" s="6642"/>
      <c r="AA106" s="6642"/>
      <c r="AB106" s="6503"/>
      <c r="AC106" s="6554"/>
      <c r="AD106" s="1249"/>
      <c r="AE106" s="1250"/>
      <c r="AF106" s="1250"/>
      <c r="AG106" s="1250"/>
      <c r="AH106" s="9709"/>
    </row>
    <row r="107" spans="1:35" ht="30" customHeight="1">
      <c r="A107" s="9599"/>
      <c r="B107" s="9660"/>
      <c r="C107" s="9223"/>
      <c r="D107" s="8782"/>
      <c r="E107" s="8834"/>
      <c r="F107" s="8782"/>
      <c r="G107" s="8974"/>
      <c r="H107" s="8834"/>
      <c r="I107" s="8782"/>
      <c r="J107" s="9217"/>
      <c r="K107" s="8782"/>
      <c r="L107" s="8782"/>
      <c r="M107" s="8975"/>
      <c r="N107" s="8975"/>
      <c r="O107" s="8975"/>
      <c r="P107" s="8782"/>
      <c r="Q107" s="9217"/>
      <c r="R107" s="9696"/>
      <c r="S107" s="1253"/>
      <c r="T107" s="6439"/>
      <c r="U107" s="6445"/>
      <c r="V107" s="1266"/>
      <c r="W107" s="6604"/>
      <c r="X107" s="1250"/>
      <c r="Y107" s="6642"/>
      <c r="Z107" s="6642"/>
      <c r="AA107" s="6642"/>
      <c r="AB107" s="6503"/>
      <c r="AC107" s="6554"/>
      <c r="AD107" s="1249"/>
      <c r="AE107" s="1250"/>
      <c r="AF107" s="1250"/>
      <c r="AG107" s="1250"/>
      <c r="AH107" s="9709"/>
    </row>
    <row r="108" spans="1:35" ht="30" customHeight="1">
      <c r="A108" s="9599"/>
      <c r="B108" s="9660"/>
      <c r="C108" s="9223"/>
      <c r="D108" s="8782"/>
      <c r="E108" s="8834"/>
      <c r="F108" s="8782"/>
      <c r="G108" s="8974"/>
      <c r="H108" s="8834"/>
      <c r="I108" s="8782"/>
      <c r="J108" s="9217"/>
      <c r="K108" s="8782"/>
      <c r="L108" s="8782"/>
      <c r="M108" s="8975"/>
      <c r="N108" s="8975"/>
      <c r="O108" s="8975"/>
      <c r="P108" s="8782"/>
      <c r="Q108" s="9217"/>
      <c r="R108" s="9696"/>
      <c r="S108" s="1265"/>
      <c r="T108" s="6445"/>
      <c r="U108" s="6445"/>
      <c r="V108" s="1254"/>
      <c r="W108" s="6604"/>
      <c r="X108" s="1250"/>
      <c r="Y108" s="6642"/>
      <c r="Z108" s="6642"/>
      <c r="AA108" s="6642"/>
      <c r="AB108" s="6503"/>
      <c r="AC108" s="6554"/>
      <c r="AD108" s="1249"/>
      <c r="AE108" s="1250"/>
      <c r="AF108" s="1251"/>
      <c r="AG108" s="1251"/>
      <c r="AH108" s="9709"/>
    </row>
    <row r="109" spans="1:35" ht="30" customHeight="1">
      <c r="A109" s="9599"/>
      <c r="B109" s="9660"/>
      <c r="C109" s="9667"/>
      <c r="D109" s="8867"/>
      <c r="E109" s="9127"/>
      <c r="F109" s="8867"/>
      <c r="G109" s="9165"/>
      <c r="H109" s="9127"/>
      <c r="I109" s="8782"/>
      <c r="J109" s="9217"/>
      <c r="K109" s="8867"/>
      <c r="L109" s="8782"/>
      <c r="M109" s="8975"/>
      <c r="N109" s="8975"/>
      <c r="O109" s="8975"/>
      <c r="P109" s="8782"/>
      <c r="Q109" s="9217"/>
      <c r="R109" s="9696"/>
      <c r="S109" s="1271"/>
      <c r="T109" s="6581"/>
      <c r="U109" s="6581"/>
      <c r="V109" s="1256"/>
      <c r="W109" s="6612"/>
      <c r="X109" s="1257"/>
      <c r="Y109" s="6651"/>
      <c r="Z109" s="6651"/>
      <c r="AA109" s="6651"/>
      <c r="AB109" s="6652"/>
      <c r="AC109" s="6734"/>
      <c r="AD109" s="1258"/>
      <c r="AE109" s="1257"/>
      <c r="AF109" s="1259"/>
      <c r="AG109" s="1259"/>
      <c r="AH109" s="9709"/>
    </row>
    <row r="110" spans="1:35" ht="37.5" customHeight="1">
      <c r="A110" s="9599"/>
      <c r="B110" s="9660"/>
      <c r="C110" s="9125" t="s">
        <v>1482</v>
      </c>
      <c r="D110" s="8834" t="s">
        <v>1291</v>
      </c>
      <c r="E110" s="8834" t="s">
        <v>1292</v>
      </c>
      <c r="F110" s="8834" t="s">
        <v>1293</v>
      </c>
      <c r="G110" s="8974" t="s">
        <v>1294</v>
      </c>
      <c r="H110" s="8834" t="s">
        <v>1304</v>
      </c>
      <c r="I110" s="8782" t="s">
        <v>189</v>
      </c>
      <c r="J110" s="9217" t="s">
        <v>1592</v>
      </c>
      <c r="K110" s="8834" t="s">
        <v>1593</v>
      </c>
      <c r="L110" s="8782" t="s">
        <v>1338</v>
      </c>
      <c r="M110" s="8975">
        <v>0</v>
      </c>
      <c r="N110" s="8975">
        <v>8</v>
      </c>
      <c r="O110" s="8975">
        <v>8</v>
      </c>
      <c r="P110" s="8782" t="s">
        <v>1594</v>
      </c>
      <c r="Q110" s="9217" t="s">
        <v>1595</v>
      </c>
      <c r="R110" s="9696" t="s">
        <v>1490</v>
      </c>
      <c r="S110" s="1086" t="s">
        <v>80</v>
      </c>
      <c r="T110" s="4956">
        <v>580208</v>
      </c>
      <c r="U110" s="4956"/>
      <c r="V110" s="1915" t="s">
        <v>38</v>
      </c>
      <c r="W110" s="6613"/>
      <c r="X110" s="93"/>
      <c r="Y110" s="6543"/>
      <c r="Z110" s="6543"/>
      <c r="AA110" s="6543"/>
      <c r="AB110" s="5054">
        <f>SUM($AA$111:$AA$113)</f>
        <v>97298.069680000001</v>
      </c>
      <c r="AC110" s="5008" t="s">
        <v>25</v>
      </c>
      <c r="AD110" s="1246"/>
      <c r="AE110" s="1061"/>
      <c r="AF110" s="1076"/>
      <c r="AG110" s="1076"/>
      <c r="AH110" s="9709"/>
    </row>
    <row r="111" spans="1:35" ht="37.5" customHeight="1">
      <c r="A111" s="9599"/>
      <c r="B111" s="9660"/>
      <c r="C111" s="9125"/>
      <c r="D111" s="8834"/>
      <c r="E111" s="8834"/>
      <c r="F111" s="8782"/>
      <c r="G111" s="8974"/>
      <c r="H111" s="8834"/>
      <c r="I111" s="8782"/>
      <c r="J111" s="9217"/>
      <c r="K111" s="8834"/>
      <c r="L111" s="8782"/>
      <c r="M111" s="8975"/>
      <c r="N111" s="8975"/>
      <c r="O111" s="8975"/>
      <c r="P111" s="8782"/>
      <c r="Q111" s="9217"/>
      <c r="R111" s="9696"/>
      <c r="S111" s="3277"/>
      <c r="T111" s="6436"/>
      <c r="U111" s="4958"/>
      <c r="V111" s="1918" t="s">
        <v>1596</v>
      </c>
      <c r="W111" s="6483">
        <v>1</v>
      </c>
      <c r="X111" s="90" t="s">
        <v>180</v>
      </c>
      <c r="Y111" s="6511">
        <f>86655.82-17474.61</f>
        <v>69181.210000000006</v>
      </c>
      <c r="Z111" s="6511">
        <f>+W111*Y111</f>
        <v>69181.210000000006</v>
      </c>
      <c r="AA111" s="6511">
        <f>+Z111</f>
        <v>69181.210000000006</v>
      </c>
      <c r="AB111" s="6656"/>
      <c r="AC111" s="6745"/>
      <c r="AD111" s="3500"/>
      <c r="AE111" s="3501"/>
      <c r="AF111" s="3502" t="s">
        <v>153</v>
      </c>
      <c r="AG111" s="3503"/>
      <c r="AH111" s="9709"/>
    </row>
    <row r="112" spans="1:35" ht="37.5" customHeight="1">
      <c r="A112" s="9599"/>
      <c r="B112" s="9660"/>
      <c r="C112" s="9125"/>
      <c r="D112" s="8834"/>
      <c r="E112" s="8834"/>
      <c r="F112" s="8782"/>
      <c r="G112" s="8974"/>
      <c r="H112" s="8834"/>
      <c r="I112" s="8782"/>
      <c r="J112" s="9217"/>
      <c r="K112" s="8834"/>
      <c r="L112" s="8782"/>
      <c r="M112" s="8975"/>
      <c r="N112" s="8975"/>
      <c r="O112" s="8975"/>
      <c r="P112" s="8782"/>
      <c r="Q112" s="9217"/>
      <c r="R112" s="9696"/>
      <c r="S112" s="3277"/>
      <c r="T112" s="6436"/>
      <c r="U112" s="4958"/>
      <c r="V112" s="3262" t="s">
        <v>1597</v>
      </c>
      <c r="W112" s="6496">
        <v>3</v>
      </c>
      <c r="X112" s="3192" t="s">
        <v>1598</v>
      </c>
      <c r="Y112" s="6509">
        <v>8705.6200000000008</v>
      </c>
      <c r="Z112" s="6509">
        <f>+W112*Y112</f>
        <v>26116.86</v>
      </c>
      <c r="AA112" s="6509">
        <f>+Z112</f>
        <v>26116.86</v>
      </c>
      <c r="AB112" s="6657"/>
      <c r="AC112" s="5817"/>
      <c r="AD112" s="2935"/>
      <c r="AE112" s="3504"/>
      <c r="AF112" s="3505"/>
      <c r="AG112" s="3506" t="s">
        <v>153</v>
      </c>
      <c r="AH112" s="9709"/>
    </row>
    <row r="113" spans="1:35" ht="37.5" customHeight="1">
      <c r="A113" s="9599"/>
      <c r="B113" s="9660"/>
      <c r="C113" s="9125"/>
      <c r="D113" s="8834"/>
      <c r="E113" s="8834"/>
      <c r="F113" s="8782"/>
      <c r="G113" s="8974"/>
      <c r="H113" s="8834"/>
      <c r="I113" s="8782"/>
      <c r="J113" s="9217"/>
      <c r="K113" s="8834"/>
      <c r="L113" s="8782"/>
      <c r="M113" s="8975"/>
      <c r="N113" s="8975"/>
      <c r="O113" s="8975"/>
      <c r="P113" s="8782"/>
      <c r="Q113" s="9217"/>
      <c r="R113" s="9696"/>
      <c r="S113" s="3267"/>
      <c r="T113" s="4958"/>
      <c r="U113" s="4958"/>
      <c r="V113" s="1918" t="s">
        <v>1599</v>
      </c>
      <c r="W113" s="6468">
        <v>1</v>
      </c>
      <c r="X113" s="90" t="s">
        <v>180</v>
      </c>
      <c r="Y113" s="6511">
        <v>1785.7139999999999</v>
      </c>
      <c r="Z113" s="6511">
        <f t="shared" ref="Z113" si="13">W113*Y113</f>
        <v>1785.7139999999999</v>
      </c>
      <c r="AA113" s="6511">
        <f>+Z113*1.12</f>
        <v>1999.9996800000001</v>
      </c>
      <c r="AB113" s="6702"/>
      <c r="AC113" s="6746"/>
      <c r="AD113" s="3507"/>
      <c r="AE113" s="3508"/>
      <c r="AF113" s="3509" t="s">
        <v>153</v>
      </c>
      <c r="AG113" s="3510" t="s">
        <v>153</v>
      </c>
      <c r="AH113" s="9709"/>
    </row>
    <row r="114" spans="1:35" ht="37.5" customHeight="1">
      <c r="A114" s="9599"/>
      <c r="B114" s="9660"/>
      <c r="C114" s="9126"/>
      <c r="D114" s="9127"/>
      <c r="E114" s="9127"/>
      <c r="F114" s="8867"/>
      <c r="G114" s="9165"/>
      <c r="H114" s="9127"/>
      <c r="I114" s="8782"/>
      <c r="J114" s="9217"/>
      <c r="K114" s="8834"/>
      <c r="L114" s="8782"/>
      <c r="M114" s="8975"/>
      <c r="N114" s="9708"/>
      <c r="O114" s="9708"/>
      <c r="P114" s="8867"/>
      <c r="Q114" s="9217"/>
      <c r="R114" s="9696"/>
      <c r="S114" s="1271"/>
      <c r="T114" s="6593"/>
      <c r="U114" s="6593"/>
      <c r="V114" s="1955"/>
      <c r="W114" s="6621"/>
      <c r="X114" s="1956"/>
      <c r="Y114" s="6658"/>
      <c r="Z114" s="6658"/>
      <c r="AA114" s="6658"/>
      <c r="AB114" s="6659"/>
      <c r="AC114" s="6747"/>
      <c r="AD114" s="1258"/>
      <c r="AE114" s="1257"/>
      <c r="AF114" s="1259"/>
      <c r="AG114" s="1259"/>
      <c r="AH114" s="9709"/>
    </row>
    <row r="115" spans="1:35" ht="28.5" customHeight="1">
      <c r="A115" s="9599"/>
      <c r="B115" s="9660"/>
      <c r="C115" s="9125" t="s">
        <v>1482</v>
      </c>
      <c r="D115" s="8834" t="s">
        <v>1291</v>
      </c>
      <c r="E115" s="8834" t="s">
        <v>1292</v>
      </c>
      <c r="F115" s="8834" t="s">
        <v>1293</v>
      </c>
      <c r="G115" s="8974" t="s">
        <v>1294</v>
      </c>
      <c r="H115" s="8834" t="s">
        <v>1304</v>
      </c>
      <c r="I115" s="8782" t="s">
        <v>189</v>
      </c>
      <c r="J115" s="9217" t="s">
        <v>1600</v>
      </c>
      <c r="K115" s="8782" t="s">
        <v>1601</v>
      </c>
      <c r="L115" s="9258" t="s">
        <v>1602</v>
      </c>
      <c r="M115" s="8975">
        <v>0</v>
      </c>
      <c r="N115" s="9687">
        <v>11</v>
      </c>
      <c r="O115" s="9687">
        <v>2</v>
      </c>
      <c r="P115" s="8834" t="s">
        <v>1603</v>
      </c>
      <c r="Q115" s="9217" t="s">
        <v>1604</v>
      </c>
      <c r="R115" s="9702" t="s">
        <v>1490</v>
      </c>
      <c r="S115" s="1086" t="s">
        <v>80</v>
      </c>
      <c r="T115" s="4956">
        <v>840104</v>
      </c>
      <c r="U115" s="4956"/>
      <c r="V115" s="3204" t="s">
        <v>39</v>
      </c>
      <c r="W115" s="6622"/>
      <c r="X115" s="3206"/>
      <c r="Y115" s="5064"/>
      <c r="Z115" s="5064"/>
      <c r="AA115" s="5064"/>
      <c r="AB115" s="5054">
        <f>SUM(AA116:AA142)</f>
        <v>121788.8</v>
      </c>
      <c r="AC115" s="5008" t="s">
        <v>18</v>
      </c>
      <c r="AD115" s="1246"/>
      <c r="AE115" s="1063"/>
      <c r="AF115" s="1264"/>
      <c r="AG115" s="1264"/>
      <c r="AH115" s="9756"/>
      <c r="AI115" s="559"/>
    </row>
    <row r="116" spans="1:35" ht="28.5" customHeight="1">
      <c r="A116" s="9599"/>
      <c r="B116" s="9660"/>
      <c r="C116" s="9125"/>
      <c r="D116" s="8834"/>
      <c r="E116" s="8834"/>
      <c r="F116" s="8782"/>
      <c r="G116" s="8974"/>
      <c r="H116" s="8834"/>
      <c r="I116" s="8782"/>
      <c r="J116" s="9217"/>
      <c r="K116" s="8782"/>
      <c r="L116" s="9258"/>
      <c r="M116" s="8975"/>
      <c r="N116" s="9687"/>
      <c r="O116" s="9714"/>
      <c r="P116" s="8834"/>
      <c r="Q116" s="9217"/>
      <c r="R116" s="9702"/>
      <c r="S116" s="3277"/>
      <c r="T116" s="6436"/>
      <c r="U116" s="4958"/>
      <c r="V116" s="3484" t="s">
        <v>1605</v>
      </c>
      <c r="W116" s="3486">
        <v>1</v>
      </c>
      <c r="X116" s="3487" t="s">
        <v>180</v>
      </c>
      <c r="Y116" s="6703">
        <v>9250</v>
      </c>
      <c r="Z116" s="6509">
        <f t="shared" ref="Z116:Z142" si="14">W116*Y116</f>
        <v>9250</v>
      </c>
      <c r="AA116" s="6509">
        <f t="shared" ref="AA116:AA142" si="15">Z116*1.12</f>
        <v>10360.000000000002</v>
      </c>
      <c r="AB116" s="5069"/>
      <c r="AC116" s="6748"/>
      <c r="AD116" s="366"/>
      <c r="AE116" s="2699"/>
      <c r="AF116" s="2700" t="s">
        <v>153</v>
      </c>
      <c r="AG116" s="1251"/>
      <c r="AH116" s="9757"/>
      <c r="AI116" s="559"/>
    </row>
    <row r="117" spans="1:35" ht="18" customHeight="1">
      <c r="A117" s="9599"/>
      <c r="B117" s="9660"/>
      <c r="C117" s="9125"/>
      <c r="D117" s="8834"/>
      <c r="E117" s="8834"/>
      <c r="F117" s="8782"/>
      <c r="G117" s="8974"/>
      <c r="H117" s="8834"/>
      <c r="I117" s="8782"/>
      <c r="J117" s="9217"/>
      <c r="K117" s="8782"/>
      <c r="L117" s="9258"/>
      <c r="M117" s="8975"/>
      <c r="N117" s="9687"/>
      <c r="O117" s="9714"/>
      <c r="P117" s="8834"/>
      <c r="Q117" s="9217"/>
      <c r="R117" s="9702"/>
      <c r="S117" s="3277"/>
      <c r="T117" s="6436"/>
      <c r="U117" s="4958"/>
      <c r="V117" s="3485" t="s">
        <v>1606</v>
      </c>
      <c r="W117" s="3488">
        <v>1</v>
      </c>
      <c r="X117" s="3489" t="s">
        <v>180</v>
      </c>
      <c r="Y117" s="6704">
        <v>4700</v>
      </c>
      <c r="Z117" s="6509">
        <f t="shared" si="14"/>
        <v>4700</v>
      </c>
      <c r="AA117" s="6509">
        <f t="shared" si="15"/>
        <v>5264.0000000000009</v>
      </c>
      <c r="AB117" s="5069"/>
      <c r="AC117" s="6748"/>
      <c r="AD117" s="366"/>
      <c r="AE117" s="2699"/>
      <c r="AF117" s="2700" t="s">
        <v>153</v>
      </c>
      <c r="AG117" s="1251"/>
      <c r="AH117" s="9757"/>
      <c r="AI117" s="559"/>
    </row>
    <row r="118" spans="1:35" ht="18" customHeight="1">
      <c r="A118" s="9599"/>
      <c r="B118" s="9660"/>
      <c r="C118" s="9125"/>
      <c r="D118" s="8834"/>
      <c r="E118" s="8834"/>
      <c r="F118" s="8782"/>
      <c r="G118" s="8974"/>
      <c r="H118" s="8834"/>
      <c r="I118" s="8782"/>
      <c r="J118" s="9217"/>
      <c r="K118" s="8782"/>
      <c r="L118" s="9258"/>
      <c r="M118" s="8975"/>
      <c r="N118" s="9687"/>
      <c r="O118" s="9714"/>
      <c r="P118" s="8834"/>
      <c r="Q118" s="9217"/>
      <c r="R118" s="9702"/>
      <c r="S118" s="3277"/>
      <c r="T118" s="6436"/>
      <c r="U118" s="4958"/>
      <c r="V118" s="3485" t="s">
        <v>1607</v>
      </c>
      <c r="W118" s="3488">
        <v>1</v>
      </c>
      <c r="X118" s="3489" t="s">
        <v>180</v>
      </c>
      <c r="Y118" s="6704">
        <v>2400</v>
      </c>
      <c r="Z118" s="6509">
        <f t="shared" si="14"/>
        <v>2400</v>
      </c>
      <c r="AA118" s="6509">
        <f t="shared" si="15"/>
        <v>2688.0000000000005</v>
      </c>
      <c r="AB118" s="5069"/>
      <c r="AC118" s="6748"/>
      <c r="AD118" s="366"/>
      <c r="AE118" s="2699"/>
      <c r="AF118" s="2700" t="s">
        <v>153</v>
      </c>
      <c r="AG118" s="1251"/>
      <c r="AH118" s="9757"/>
      <c r="AI118" s="559"/>
    </row>
    <row r="119" spans="1:35" ht="18" customHeight="1">
      <c r="A119" s="9599"/>
      <c r="B119" s="9660"/>
      <c r="C119" s="9125"/>
      <c r="D119" s="8834"/>
      <c r="E119" s="8834"/>
      <c r="F119" s="8782"/>
      <c r="G119" s="8974"/>
      <c r="H119" s="8834"/>
      <c r="I119" s="8782"/>
      <c r="J119" s="9217"/>
      <c r="K119" s="8782"/>
      <c r="L119" s="9258"/>
      <c r="M119" s="8975"/>
      <c r="N119" s="9687"/>
      <c r="O119" s="9714"/>
      <c r="P119" s="8834"/>
      <c r="Q119" s="9217"/>
      <c r="R119" s="9702"/>
      <c r="S119" s="3277"/>
      <c r="T119" s="6436"/>
      <c r="U119" s="4958"/>
      <c r="V119" s="3485" t="s">
        <v>1608</v>
      </c>
      <c r="W119" s="3488">
        <v>21</v>
      </c>
      <c r="X119" s="3489" t="s">
        <v>180</v>
      </c>
      <c r="Y119" s="6704">
        <v>205</v>
      </c>
      <c r="Z119" s="6509">
        <f t="shared" si="14"/>
        <v>4305</v>
      </c>
      <c r="AA119" s="6509">
        <f t="shared" si="15"/>
        <v>4821.6000000000004</v>
      </c>
      <c r="AB119" s="5069"/>
      <c r="AC119" s="6748"/>
      <c r="AD119" s="366"/>
      <c r="AE119" s="2699"/>
      <c r="AF119" s="2700" t="s">
        <v>153</v>
      </c>
      <c r="AG119" s="1251"/>
      <c r="AH119" s="9757"/>
      <c r="AI119" s="559"/>
    </row>
    <row r="120" spans="1:35" ht="18" customHeight="1">
      <c r="A120" s="9599"/>
      <c r="B120" s="9660"/>
      <c r="C120" s="9125"/>
      <c r="D120" s="8834"/>
      <c r="E120" s="8834"/>
      <c r="F120" s="8782"/>
      <c r="G120" s="8974"/>
      <c r="H120" s="8834"/>
      <c r="I120" s="8782"/>
      <c r="J120" s="9217"/>
      <c r="K120" s="8782"/>
      <c r="L120" s="9258"/>
      <c r="M120" s="8975"/>
      <c r="N120" s="9687"/>
      <c r="O120" s="9714"/>
      <c r="P120" s="8834"/>
      <c r="Q120" s="9217"/>
      <c r="R120" s="9702"/>
      <c r="S120" s="3277"/>
      <c r="T120" s="6436"/>
      <c r="U120" s="4958"/>
      <c r="V120" s="3485" t="s">
        <v>1609</v>
      </c>
      <c r="W120" s="3488">
        <v>1</v>
      </c>
      <c r="X120" s="3489" t="s">
        <v>180</v>
      </c>
      <c r="Y120" s="6704">
        <v>9200</v>
      </c>
      <c r="Z120" s="6509">
        <f t="shared" si="14"/>
        <v>9200</v>
      </c>
      <c r="AA120" s="6509">
        <f t="shared" si="15"/>
        <v>10304.000000000002</v>
      </c>
      <c r="AB120" s="5069"/>
      <c r="AC120" s="6748"/>
      <c r="AD120" s="366"/>
      <c r="AE120" s="2699"/>
      <c r="AF120" s="2700" t="s">
        <v>153</v>
      </c>
      <c r="AG120" s="1251"/>
      <c r="AH120" s="9757"/>
      <c r="AI120" s="559"/>
    </row>
    <row r="121" spans="1:35" ht="28.5" customHeight="1">
      <c r="A121" s="9599"/>
      <c r="B121" s="9660"/>
      <c r="C121" s="9125"/>
      <c r="D121" s="8834"/>
      <c r="E121" s="8834"/>
      <c r="F121" s="8782"/>
      <c r="G121" s="8974"/>
      <c r="H121" s="8834"/>
      <c r="I121" s="8782"/>
      <c r="J121" s="9217"/>
      <c r="K121" s="8782"/>
      <c r="L121" s="9258"/>
      <c r="M121" s="8975"/>
      <c r="N121" s="9687"/>
      <c r="O121" s="9714"/>
      <c r="P121" s="8834"/>
      <c r="Q121" s="9217"/>
      <c r="R121" s="9702"/>
      <c r="S121" s="3277"/>
      <c r="T121" s="6436"/>
      <c r="U121" s="4958"/>
      <c r="V121" s="3485" t="s">
        <v>1610</v>
      </c>
      <c r="W121" s="3488">
        <v>1</v>
      </c>
      <c r="X121" s="3489" t="s">
        <v>180</v>
      </c>
      <c r="Y121" s="6704">
        <v>10900</v>
      </c>
      <c r="Z121" s="6509">
        <f t="shared" si="14"/>
        <v>10900</v>
      </c>
      <c r="AA121" s="6509">
        <f t="shared" si="15"/>
        <v>12208.000000000002</v>
      </c>
      <c r="AB121" s="7764"/>
      <c r="AC121" s="7763"/>
      <c r="AD121" s="366"/>
      <c r="AE121" s="2699"/>
      <c r="AF121" s="2700" t="s">
        <v>153</v>
      </c>
      <c r="AG121" s="1251"/>
      <c r="AH121" s="9757"/>
      <c r="AI121" s="559"/>
    </row>
    <row r="122" spans="1:35" ht="18" customHeight="1">
      <c r="A122" s="9599"/>
      <c r="B122" s="9660"/>
      <c r="C122" s="9125"/>
      <c r="D122" s="8834"/>
      <c r="E122" s="8834"/>
      <c r="F122" s="8782"/>
      <c r="G122" s="8974"/>
      <c r="H122" s="8834"/>
      <c r="I122" s="8782"/>
      <c r="J122" s="9217"/>
      <c r="K122" s="8782"/>
      <c r="L122" s="9258"/>
      <c r="M122" s="8975"/>
      <c r="N122" s="9687"/>
      <c r="O122" s="9714"/>
      <c r="P122" s="8834"/>
      <c r="Q122" s="9217"/>
      <c r="R122" s="9702"/>
      <c r="S122" s="3277"/>
      <c r="T122" s="6436"/>
      <c r="U122" s="4958"/>
      <c r="V122" s="3485" t="s">
        <v>1611</v>
      </c>
      <c r="W122" s="3488">
        <v>2</v>
      </c>
      <c r="X122" s="3489" t="s">
        <v>180</v>
      </c>
      <c r="Y122" s="6704">
        <v>2500</v>
      </c>
      <c r="Z122" s="6509">
        <f t="shared" si="14"/>
        <v>5000</v>
      </c>
      <c r="AA122" s="6509">
        <f t="shared" si="15"/>
        <v>5600.0000000000009</v>
      </c>
      <c r="AB122" s="5069"/>
      <c r="AC122" s="6748"/>
      <c r="AD122" s="366"/>
      <c r="AE122" s="2699"/>
      <c r="AF122" s="2700" t="s">
        <v>153</v>
      </c>
      <c r="AG122" s="1251"/>
      <c r="AH122" s="9757"/>
      <c r="AI122" s="559"/>
    </row>
    <row r="123" spans="1:35" ht="18" customHeight="1">
      <c r="A123" s="9599"/>
      <c r="B123" s="9660"/>
      <c r="C123" s="9125"/>
      <c r="D123" s="8834"/>
      <c r="E123" s="8834"/>
      <c r="F123" s="8782"/>
      <c r="G123" s="8974"/>
      <c r="H123" s="8834"/>
      <c r="I123" s="8782"/>
      <c r="J123" s="9217"/>
      <c r="K123" s="8782"/>
      <c r="L123" s="9258"/>
      <c r="M123" s="8975"/>
      <c r="N123" s="9687"/>
      <c r="O123" s="9714"/>
      <c r="P123" s="8834"/>
      <c r="Q123" s="9217"/>
      <c r="R123" s="9702"/>
      <c r="S123" s="3277"/>
      <c r="T123" s="6436"/>
      <c r="U123" s="4958"/>
      <c r="V123" s="3485" t="s">
        <v>1612</v>
      </c>
      <c r="W123" s="3488">
        <v>1</v>
      </c>
      <c r="X123" s="3489" t="s">
        <v>180</v>
      </c>
      <c r="Y123" s="6704">
        <v>3400</v>
      </c>
      <c r="Z123" s="6509">
        <f t="shared" si="14"/>
        <v>3400</v>
      </c>
      <c r="AA123" s="6509">
        <f t="shared" si="15"/>
        <v>3808.0000000000005</v>
      </c>
      <c r="AB123" s="5069"/>
      <c r="AC123" s="6748"/>
      <c r="AD123" s="366"/>
      <c r="AE123" s="2699"/>
      <c r="AF123" s="2700" t="s">
        <v>153</v>
      </c>
      <c r="AG123" s="1251"/>
      <c r="AH123" s="9757"/>
      <c r="AI123" s="559"/>
    </row>
    <row r="124" spans="1:35" ht="18" customHeight="1">
      <c r="A124" s="9599"/>
      <c r="B124" s="9660"/>
      <c r="C124" s="9125"/>
      <c r="D124" s="8834"/>
      <c r="E124" s="8834"/>
      <c r="F124" s="8782"/>
      <c r="G124" s="8974"/>
      <c r="H124" s="8834"/>
      <c r="I124" s="8782"/>
      <c r="J124" s="9217"/>
      <c r="K124" s="8782"/>
      <c r="L124" s="9258"/>
      <c r="M124" s="8975"/>
      <c r="N124" s="9687"/>
      <c r="O124" s="9714"/>
      <c r="P124" s="8834"/>
      <c r="Q124" s="9217"/>
      <c r="R124" s="9702"/>
      <c r="S124" s="3277"/>
      <c r="T124" s="6436"/>
      <c r="U124" s="4958"/>
      <c r="V124" s="3485" t="s">
        <v>1613</v>
      </c>
      <c r="W124" s="3488">
        <v>1</v>
      </c>
      <c r="X124" s="3489" t="s">
        <v>180</v>
      </c>
      <c r="Y124" s="6704">
        <v>2000</v>
      </c>
      <c r="Z124" s="6509">
        <f t="shared" si="14"/>
        <v>2000</v>
      </c>
      <c r="AA124" s="6509">
        <f t="shared" si="15"/>
        <v>2240</v>
      </c>
      <c r="AB124" s="5069"/>
      <c r="AC124" s="6748"/>
      <c r="AD124" s="366"/>
      <c r="AE124" s="2699"/>
      <c r="AF124" s="2700" t="s">
        <v>153</v>
      </c>
      <c r="AG124" s="1251"/>
      <c r="AH124" s="9757"/>
      <c r="AI124" s="559"/>
    </row>
    <row r="125" spans="1:35" ht="18" customHeight="1">
      <c r="A125" s="9599"/>
      <c r="B125" s="9660"/>
      <c r="C125" s="9125"/>
      <c r="D125" s="8834"/>
      <c r="E125" s="8834"/>
      <c r="F125" s="8782"/>
      <c r="G125" s="8974"/>
      <c r="H125" s="8834"/>
      <c r="I125" s="8782"/>
      <c r="J125" s="9217"/>
      <c r="K125" s="8782"/>
      <c r="L125" s="9258"/>
      <c r="M125" s="8975"/>
      <c r="N125" s="9687"/>
      <c r="O125" s="9714"/>
      <c r="P125" s="8834"/>
      <c r="Q125" s="9217"/>
      <c r="R125" s="9702"/>
      <c r="S125" s="3277"/>
      <c r="T125" s="6436"/>
      <c r="U125" s="4958"/>
      <c r="V125" s="3485" t="s">
        <v>1614</v>
      </c>
      <c r="W125" s="3488">
        <v>1</v>
      </c>
      <c r="X125" s="3489" t="s">
        <v>180</v>
      </c>
      <c r="Y125" s="6704">
        <v>4000</v>
      </c>
      <c r="Z125" s="6509">
        <f t="shared" si="14"/>
        <v>4000</v>
      </c>
      <c r="AA125" s="6509">
        <f t="shared" si="15"/>
        <v>4480</v>
      </c>
      <c r="AB125" s="5069"/>
      <c r="AC125" s="6748"/>
      <c r="AD125" s="366"/>
      <c r="AE125" s="2699"/>
      <c r="AF125" s="2700" t="s">
        <v>153</v>
      </c>
      <c r="AG125" s="1251"/>
      <c r="AH125" s="9757"/>
      <c r="AI125" s="559"/>
    </row>
    <row r="126" spans="1:35" ht="18" customHeight="1">
      <c r="A126" s="9599"/>
      <c r="B126" s="9660"/>
      <c r="C126" s="9125"/>
      <c r="D126" s="8834"/>
      <c r="E126" s="8834"/>
      <c r="F126" s="8782"/>
      <c r="G126" s="8974"/>
      <c r="H126" s="8834"/>
      <c r="I126" s="8782"/>
      <c r="J126" s="9217"/>
      <c r="K126" s="8782"/>
      <c r="L126" s="9258"/>
      <c r="M126" s="8975"/>
      <c r="N126" s="9687"/>
      <c r="O126" s="9714"/>
      <c r="P126" s="8834"/>
      <c r="Q126" s="9217"/>
      <c r="R126" s="9702"/>
      <c r="S126" s="3277"/>
      <c r="T126" s="6436"/>
      <c r="U126" s="4958"/>
      <c r="V126" s="3485" t="s">
        <v>1615</v>
      </c>
      <c r="W126" s="3488">
        <v>1</v>
      </c>
      <c r="X126" s="3489" t="s">
        <v>180</v>
      </c>
      <c r="Y126" s="6704">
        <v>2400</v>
      </c>
      <c r="Z126" s="6509">
        <f t="shared" si="14"/>
        <v>2400</v>
      </c>
      <c r="AA126" s="6509">
        <f t="shared" si="15"/>
        <v>2688.0000000000005</v>
      </c>
      <c r="AB126" s="5069"/>
      <c r="AC126" s="6748"/>
      <c r="AD126" s="366"/>
      <c r="AE126" s="2699"/>
      <c r="AF126" s="2700" t="s">
        <v>153</v>
      </c>
      <c r="AG126" s="1251"/>
      <c r="AH126" s="9757"/>
      <c r="AI126" s="559"/>
    </row>
    <row r="127" spans="1:35" ht="18" customHeight="1">
      <c r="A127" s="9599"/>
      <c r="B127" s="9660"/>
      <c r="C127" s="9125"/>
      <c r="D127" s="8834"/>
      <c r="E127" s="8834"/>
      <c r="F127" s="8782"/>
      <c r="G127" s="8974"/>
      <c r="H127" s="8834"/>
      <c r="I127" s="8782"/>
      <c r="J127" s="9217"/>
      <c r="K127" s="8782"/>
      <c r="L127" s="9258"/>
      <c r="M127" s="8975"/>
      <c r="N127" s="9687"/>
      <c r="O127" s="9714"/>
      <c r="P127" s="8834"/>
      <c r="Q127" s="9217"/>
      <c r="R127" s="9702"/>
      <c r="S127" s="3277"/>
      <c r="T127" s="6436"/>
      <c r="U127" s="4958"/>
      <c r="V127" s="3485" t="s">
        <v>1616</v>
      </c>
      <c r="W127" s="3488">
        <v>1</v>
      </c>
      <c r="X127" s="3489" t="s">
        <v>180</v>
      </c>
      <c r="Y127" s="6704">
        <v>5300</v>
      </c>
      <c r="Z127" s="6509">
        <f t="shared" si="14"/>
        <v>5300</v>
      </c>
      <c r="AA127" s="6509">
        <f t="shared" si="15"/>
        <v>5936.0000000000009</v>
      </c>
      <c r="AB127" s="5069"/>
      <c r="AC127" s="6748"/>
      <c r="AD127" s="366"/>
      <c r="AE127" s="2699"/>
      <c r="AF127" s="2700" t="s">
        <v>153</v>
      </c>
      <c r="AG127" s="1251"/>
      <c r="AH127" s="9757"/>
      <c r="AI127" s="559"/>
    </row>
    <row r="128" spans="1:35" ht="18" customHeight="1">
      <c r="A128" s="9599"/>
      <c r="B128" s="9660"/>
      <c r="C128" s="9125"/>
      <c r="D128" s="8834"/>
      <c r="E128" s="8834"/>
      <c r="F128" s="8782"/>
      <c r="G128" s="8974"/>
      <c r="H128" s="8834"/>
      <c r="I128" s="8782"/>
      <c r="J128" s="9217"/>
      <c r="K128" s="8782"/>
      <c r="L128" s="9258"/>
      <c r="M128" s="8975"/>
      <c r="N128" s="9687"/>
      <c r="O128" s="9714"/>
      <c r="P128" s="8834"/>
      <c r="Q128" s="9217"/>
      <c r="R128" s="9702"/>
      <c r="S128" s="3277"/>
      <c r="T128" s="6436"/>
      <c r="U128" s="4958"/>
      <c r="V128" s="3485" t="s">
        <v>1617</v>
      </c>
      <c r="W128" s="3488">
        <v>1</v>
      </c>
      <c r="X128" s="3489" t="s">
        <v>180</v>
      </c>
      <c r="Y128" s="6704">
        <v>4900</v>
      </c>
      <c r="Z128" s="6509">
        <f t="shared" si="14"/>
        <v>4900</v>
      </c>
      <c r="AA128" s="6509">
        <f t="shared" si="15"/>
        <v>5488.0000000000009</v>
      </c>
      <c r="AB128" s="5069"/>
      <c r="AC128" s="6748"/>
      <c r="AD128" s="366"/>
      <c r="AE128" s="2699"/>
      <c r="AF128" s="2700" t="s">
        <v>153</v>
      </c>
      <c r="AG128" s="1251"/>
      <c r="AH128" s="9757"/>
      <c r="AI128" s="559"/>
    </row>
    <row r="129" spans="1:35" ht="18" customHeight="1">
      <c r="A129" s="9599"/>
      <c r="B129" s="9660"/>
      <c r="C129" s="9125"/>
      <c r="D129" s="8834"/>
      <c r="E129" s="8834"/>
      <c r="F129" s="8782"/>
      <c r="G129" s="8974"/>
      <c r="H129" s="8834"/>
      <c r="I129" s="8782"/>
      <c r="J129" s="9217"/>
      <c r="K129" s="8782"/>
      <c r="L129" s="9258"/>
      <c r="M129" s="8975"/>
      <c r="N129" s="9687"/>
      <c r="O129" s="9714"/>
      <c r="P129" s="8834"/>
      <c r="Q129" s="9217"/>
      <c r="R129" s="9702"/>
      <c r="S129" s="3277"/>
      <c r="T129" s="6436"/>
      <c r="U129" s="4958"/>
      <c r="V129" s="3485" t="s">
        <v>1618</v>
      </c>
      <c r="W129" s="3488">
        <v>1</v>
      </c>
      <c r="X129" s="3489" t="s">
        <v>180</v>
      </c>
      <c r="Y129" s="6704">
        <v>1950</v>
      </c>
      <c r="Z129" s="6509">
        <f t="shared" si="14"/>
        <v>1950</v>
      </c>
      <c r="AA129" s="6509">
        <f t="shared" si="15"/>
        <v>2184</v>
      </c>
      <c r="AB129" s="5069"/>
      <c r="AC129" s="6748"/>
      <c r="AD129" s="366"/>
      <c r="AE129" s="2699"/>
      <c r="AF129" s="2700" t="s">
        <v>153</v>
      </c>
      <c r="AG129" s="1251"/>
      <c r="AH129" s="9757"/>
      <c r="AI129" s="559"/>
    </row>
    <row r="130" spans="1:35" ht="18" customHeight="1">
      <c r="A130" s="9599"/>
      <c r="B130" s="9660"/>
      <c r="C130" s="9125"/>
      <c r="D130" s="8834"/>
      <c r="E130" s="8834"/>
      <c r="F130" s="8782"/>
      <c r="G130" s="8974"/>
      <c r="H130" s="8834"/>
      <c r="I130" s="8782"/>
      <c r="J130" s="9217"/>
      <c r="K130" s="8782"/>
      <c r="L130" s="9258"/>
      <c r="M130" s="8975"/>
      <c r="N130" s="9687"/>
      <c r="O130" s="9714"/>
      <c r="P130" s="8834"/>
      <c r="Q130" s="9217"/>
      <c r="R130" s="9702"/>
      <c r="S130" s="3277"/>
      <c r="T130" s="6436"/>
      <c r="U130" s="4958"/>
      <c r="V130" s="3485" t="s">
        <v>1619</v>
      </c>
      <c r="W130" s="3488">
        <v>1</v>
      </c>
      <c r="X130" s="3489" t="s">
        <v>180</v>
      </c>
      <c r="Y130" s="6704">
        <v>425</v>
      </c>
      <c r="Z130" s="6509">
        <f t="shared" si="14"/>
        <v>425</v>
      </c>
      <c r="AA130" s="6509">
        <f t="shared" si="15"/>
        <v>476.00000000000006</v>
      </c>
      <c r="AB130" s="5069"/>
      <c r="AC130" s="6748"/>
      <c r="AD130" s="366"/>
      <c r="AE130" s="2699"/>
      <c r="AF130" s="2700" t="s">
        <v>153</v>
      </c>
      <c r="AG130" s="1251"/>
      <c r="AH130" s="9757"/>
      <c r="AI130" s="559"/>
    </row>
    <row r="131" spans="1:35" ht="33.75" customHeight="1">
      <c r="A131" s="9599"/>
      <c r="B131" s="9660"/>
      <c r="C131" s="9125"/>
      <c r="D131" s="8834"/>
      <c r="E131" s="8834"/>
      <c r="F131" s="8782"/>
      <c r="G131" s="8974"/>
      <c r="H131" s="8834"/>
      <c r="I131" s="8782"/>
      <c r="J131" s="9217"/>
      <c r="K131" s="8782"/>
      <c r="L131" s="9258"/>
      <c r="M131" s="8975"/>
      <c r="N131" s="9687"/>
      <c r="O131" s="9714"/>
      <c r="P131" s="8834"/>
      <c r="Q131" s="9217"/>
      <c r="R131" s="9702"/>
      <c r="S131" s="3277"/>
      <c r="T131" s="6436"/>
      <c r="U131" s="4958"/>
      <c r="V131" s="3485" t="s">
        <v>1620</v>
      </c>
      <c r="W131" s="3488">
        <v>1</v>
      </c>
      <c r="X131" s="3489" t="s">
        <v>180</v>
      </c>
      <c r="Y131" s="6704">
        <v>2160</v>
      </c>
      <c r="Z131" s="6509">
        <f t="shared" si="14"/>
        <v>2160</v>
      </c>
      <c r="AA131" s="6509">
        <f t="shared" si="15"/>
        <v>2419.2000000000003</v>
      </c>
      <c r="AB131" s="5069"/>
      <c r="AC131" s="6748"/>
      <c r="AD131" s="366"/>
      <c r="AE131" s="2699"/>
      <c r="AF131" s="2700" t="s">
        <v>153</v>
      </c>
      <c r="AG131" s="1251"/>
      <c r="AH131" s="9757"/>
      <c r="AI131" s="559"/>
    </row>
    <row r="132" spans="1:35" ht="18" customHeight="1">
      <c r="A132" s="9599"/>
      <c r="B132" s="9660"/>
      <c r="C132" s="9125"/>
      <c r="D132" s="8834"/>
      <c r="E132" s="8834"/>
      <c r="F132" s="8782"/>
      <c r="G132" s="8974"/>
      <c r="H132" s="8834"/>
      <c r="I132" s="8782"/>
      <c r="J132" s="9217"/>
      <c r="K132" s="8782"/>
      <c r="L132" s="9258"/>
      <c r="M132" s="8975"/>
      <c r="N132" s="9687"/>
      <c r="O132" s="9714"/>
      <c r="P132" s="8834"/>
      <c r="Q132" s="9217"/>
      <c r="R132" s="9702"/>
      <c r="S132" s="3277"/>
      <c r="T132" s="6436"/>
      <c r="U132" s="4958"/>
      <c r="V132" s="3485" t="s">
        <v>1621</v>
      </c>
      <c r="W132" s="3488">
        <v>1</v>
      </c>
      <c r="X132" s="3489" t="s">
        <v>180</v>
      </c>
      <c r="Y132" s="6704">
        <v>1390</v>
      </c>
      <c r="Z132" s="6509">
        <f t="shared" si="14"/>
        <v>1390</v>
      </c>
      <c r="AA132" s="6509">
        <f t="shared" si="15"/>
        <v>1556.8000000000002</v>
      </c>
      <c r="AB132" s="5069"/>
      <c r="AC132" s="6748"/>
      <c r="AD132" s="366"/>
      <c r="AE132" s="2699"/>
      <c r="AF132" s="2700" t="s">
        <v>153</v>
      </c>
      <c r="AG132" s="1251"/>
      <c r="AH132" s="9757"/>
      <c r="AI132" s="559"/>
    </row>
    <row r="133" spans="1:35" ht="18" customHeight="1">
      <c r="A133" s="9599"/>
      <c r="B133" s="9660"/>
      <c r="C133" s="9125"/>
      <c r="D133" s="8834"/>
      <c r="E133" s="8834"/>
      <c r="F133" s="8782"/>
      <c r="G133" s="8974"/>
      <c r="H133" s="8834"/>
      <c r="I133" s="8782"/>
      <c r="J133" s="9217"/>
      <c r="K133" s="8782"/>
      <c r="L133" s="9258"/>
      <c r="M133" s="8975"/>
      <c r="N133" s="9687"/>
      <c r="O133" s="9714"/>
      <c r="P133" s="8834"/>
      <c r="Q133" s="9217"/>
      <c r="R133" s="9702"/>
      <c r="S133" s="3277"/>
      <c r="T133" s="6436"/>
      <c r="U133" s="4958"/>
      <c r="V133" s="3485" t="s">
        <v>1622</v>
      </c>
      <c r="W133" s="3488">
        <v>1</v>
      </c>
      <c r="X133" s="3489" t="s">
        <v>180</v>
      </c>
      <c r="Y133" s="6704">
        <v>700</v>
      </c>
      <c r="Z133" s="6509">
        <f t="shared" si="14"/>
        <v>700</v>
      </c>
      <c r="AA133" s="6509">
        <f t="shared" si="15"/>
        <v>784.00000000000011</v>
      </c>
      <c r="AB133" s="5069"/>
      <c r="AC133" s="6748"/>
      <c r="AD133" s="366"/>
      <c r="AE133" s="2699"/>
      <c r="AF133" s="2700" t="s">
        <v>153</v>
      </c>
      <c r="AG133" s="1251"/>
      <c r="AH133" s="9757"/>
      <c r="AI133" s="559"/>
    </row>
    <row r="134" spans="1:35" ht="18" customHeight="1">
      <c r="A134" s="9599"/>
      <c r="B134" s="9660"/>
      <c r="C134" s="9125"/>
      <c r="D134" s="8834"/>
      <c r="E134" s="8834"/>
      <c r="F134" s="8782"/>
      <c r="G134" s="8974"/>
      <c r="H134" s="8834"/>
      <c r="I134" s="8782"/>
      <c r="J134" s="9217"/>
      <c r="K134" s="8782"/>
      <c r="L134" s="9258"/>
      <c r="M134" s="8975"/>
      <c r="N134" s="9687"/>
      <c r="O134" s="9714"/>
      <c r="P134" s="8834"/>
      <c r="Q134" s="9217"/>
      <c r="R134" s="9702"/>
      <c r="S134" s="3277"/>
      <c r="T134" s="6436"/>
      <c r="U134" s="4958"/>
      <c r="V134" s="3485" t="s">
        <v>1623</v>
      </c>
      <c r="W134" s="3488">
        <v>1</v>
      </c>
      <c r="X134" s="3489" t="s">
        <v>180</v>
      </c>
      <c r="Y134" s="6704">
        <v>2700</v>
      </c>
      <c r="Z134" s="6509">
        <f t="shared" si="14"/>
        <v>2700</v>
      </c>
      <c r="AA134" s="6509">
        <f t="shared" si="15"/>
        <v>3024.0000000000005</v>
      </c>
      <c r="AB134" s="5069"/>
      <c r="AC134" s="6748"/>
      <c r="AD134" s="366"/>
      <c r="AE134" s="2699"/>
      <c r="AF134" s="2700" t="s">
        <v>153</v>
      </c>
      <c r="AG134" s="1251"/>
      <c r="AH134" s="9757"/>
      <c r="AI134" s="559"/>
    </row>
    <row r="135" spans="1:35" ht="18" customHeight="1">
      <c r="A135" s="9599"/>
      <c r="B135" s="9660"/>
      <c r="C135" s="9125"/>
      <c r="D135" s="8834"/>
      <c r="E135" s="8834"/>
      <c r="F135" s="8782"/>
      <c r="G135" s="8974"/>
      <c r="H135" s="8834"/>
      <c r="I135" s="8782"/>
      <c r="J135" s="9217"/>
      <c r="K135" s="8782"/>
      <c r="L135" s="9258"/>
      <c r="M135" s="8975"/>
      <c r="N135" s="9687"/>
      <c r="O135" s="9714"/>
      <c r="P135" s="8834"/>
      <c r="Q135" s="9217"/>
      <c r="R135" s="9702"/>
      <c r="S135" s="3277"/>
      <c r="T135" s="6436"/>
      <c r="U135" s="4958"/>
      <c r="V135" s="3485" t="s">
        <v>1624</v>
      </c>
      <c r="W135" s="3488">
        <v>1</v>
      </c>
      <c r="X135" s="3489" t="s">
        <v>180</v>
      </c>
      <c r="Y135" s="6704">
        <v>1950</v>
      </c>
      <c r="Z135" s="6509">
        <f t="shared" si="14"/>
        <v>1950</v>
      </c>
      <c r="AA135" s="6509">
        <f t="shared" si="15"/>
        <v>2184</v>
      </c>
      <c r="AB135" s="5069"/>
      <c r="AC135" s="6748"/>
      <c r="AD135" s="366"/>
      <c r="AE135" s="2699"/>
      <c r="AF135" s="2700" t="s">
        <v>153</v>
      </c>
      <c r="AG135" s="1251"/>
      <c r="AH135" s="9757"/>
      <c r="AI135" s="559"/>
    </row>
    <row r="136" spans="1:35" ht="18" customHeight="1">
      <c r="A136" s="9599"/>
      <c r="B136" s="9660"/>
      <c r="C136" s="9125"/>
      <c r="D136" s="8834"/>
      <c r="E136" s="8834"/>
      <c r="F136" s="8782"/>
      <c r="G136" s="8974"/>
      <c r="H136" s="8834"/>
      <c r="I136" s="8782"/>
      <c r="J136" s="9217"/>
      <c r="K136" s="8782"/>
      <c r="L136" s="9258"/>
      <c r="M136" s="8975"/>
      <c r="N136" s="9687"/>
      <c r="O136" s="9714"/>
      <c r="P136" s="8834"/>
      <c r="Q136" s="9217"/>
      <c r="R136" s="9702"/>
      <c r="S136" s="3277"/>
      <c r="T136" s="6436"/>
      <c r="U136" s="4958"/>
      <c r="V136" s="3485" t="s">
        <v>1625</v>
      </c>
      <c r="W136" s="3488">
        <v>1</v>
      </c>
      <c r="X136" s="3489" t="s">
        <v>180</v>
      </c>
      <c r="Y136" s="6704">
        <v>800</v>
      </c>
      <c r="Z136" s="6509">
        <f t="shared" si="14"/>
        <v>800</v>
      </c>
      <c r="AA136" s="6509">
        <f t="shared" si="15"/>
        <v>896.00000000000011</v>
      </c>
      <c r="AB136" s="5069"/>
      <c r="AC136" s="6748"/>
      <c r="AD136" s="366"/>
      <c r="AE136" s="2699"/>
      <c r="AF136" s="2700" t="s">
        <v>153</v>
      </c>
      <c r="AG136" s="1251"/>
      <c r="AH136" s="9757"/>
      <c r="AI136" s="559"/>
    </row>
    <row r="137" spans="1:35" ht="33.75" customHeight="1">
      <c r="A137" s="9599"/>
      <c r="B137" s="9660"/>
      <c r="C137" s="9125"/>
      <c r="D137" s="8834"/>
      <c r="E137" s="8834"/>
      <c r="F137" s="8782"/>
      <c r="G137" s="8974"/>
      <c r="H137" s="8834"/>
      <c r="I137" s="8782"/>
      <c r="J137" s="9217"/>
      <c r="K137" s="8782"/>
      <c r="L137" s="9258"/>
      <c r="M137" s="8975"/>
      <c r="N137" s="9687"/>
      <c r="O137" s="9714"/>
      <c r="P137" s="8834"/>
      <c r="Q137" s="9217"/>
      <c r="R137" s="9702"/>
      <c r="S137" s="3277"/>
      <c r="T137" s="6436"/>
      <c r="U137" s="4958"/>
      <c r="V137" s="3485" t="s">
        <v>1626</v>
      </c>
      <c r="W137" s="3488">
        <v>1</v>
      </c>
      <c r="X137" s="3489" t="s">
        <v>180</v>
      </c>
      <c r="Y137" s="6704">
        <v>500</v>
      </c>
      <c r="Z137" s="6509">
        <f t="shared" si="14"/>
        <v>500</v>
      </c>
      <c r="AA137" s="6509">
        <f t="shared" si="15"/>
        <v>560</v>
      </c>
      <c r="AB137" s="5069"/>
      <c r="AC137" s="6748"/>
      <c r="AD137" s="366"/>
      <c r="AE137" s="2699"/>
      <c r="AF137" s="2700" t="s">
        <v>153</v>
      </c>
      <c r="AG137" s="1251"/>
      <c r="AH137" s="9757"/>
      <c r="AI137" s="559"/>
    </row>
    <row r="138" spans="1:35" ht="21" customHeight="1">
      <c r="A138" s="9599"/>
      <c r="B138" s="9660"/>
      <c r="C138" s="9125"/>
      <c r="D138" s="8834"/>
      <c r="E138" s="8834"/>
      <c r="F138" s="8782"/>
      <c r="G138" s="8974"/>
      <c r="H138" s="8834"/>
      <c r="I138" s="8782"/>
      <c r="J138" s="9217"/>
      <c r="K138" s="8782"/>
      <c r="L138" s="9258"/>
      <c r="M138" s="8975"/>
      <c r="N138" s="9687"/>
      <c r="O138" s="9714"/>
      <c r="P138" s="8834"/>
      <c r="Q138" s="9217"/>
      <c r="R138" s="9702"/>
      <c r="S138" s="3277"/>
      <c r="T138" s="6436"/>
      <c r="U138" s="4958"/>
      <c r="V138" s="3485" t="s">
        <v>1627</v>
      </c>
      <c r="W138" s="3488">
        <v>1</v>
      </c>
      <c r="X138" s="3489" t="s">
        <v>180</v>
      </c>
      <c r="Y138" s="6704">
        <v>450</v>
      </c>
      <c r="Z138" s="6509">
        <f t="shared" si="14"/>
        <v>450</v>
      </c>
      <c r="AA138" s="6509">
        <f t="shared" si="15"/>
        <v>504.00000000000006</v>
      </c>
      <c r="AB138" s="5069"/>
      <c r="AC138" s="6748"/>
      <c r="AD138" s="366"/>
      <c r="AE138" s="2699"/>
      <c r="AF138" s="2700"/>
      <c r="AG138" s="1251"/>
      <c r="AH138" s="9757"/>
      <c r="AI138" s="559"/>
    </row>
    <row r="139" spans="1:35" ht="21" customHeight="1">
      <c r="A139" s="9599"/>
      <c r="B139" s="9660"/>
      <c r="C139" s="9125"/>
      <c r="D139" s="8834"/>
      <c r="E139" s="8834"/>
      <c r="F139" s="8782"/>
      <c r="G139" s="8974"/>
      <c r="H139" s="8834"/>
      <c r="I139" s="8782"/>
      <c r="J139" s="9217"/>
      <c r="K139" s="8782"/>
      <c r="L139" s="9258"/>
      <c r="M139" s="8975"/>
      <c r="N139" s="9687"/>
      <c r="O139" s="9714"/>
      <c r="P139" s="8834"/>
      <c r="Q139" s="9217"/>
      <c r="R139" s="9702"/>
      <c r="S139" s="3277"/>
      <c r="T139" s="6436"/>
      <c r="U139" s="4958"/>
      <c r="V139" s="3485" t="s">
        <v>1628</v>
      </c>
      <c r="W139" s="3488">
        <v>3</v>
      </c>
      <c r="X139" s="3489" t="s">
        <v>180</v>
      </c>
      <c r="Y139" s="6704">
        <v>1000</v>
      </c>
      <c r="Z139" s="6509">
        <f t="shared" si="14"/>
        <v>3000</v>
      </c>
      <c r="AA139" s="6509">
        <f t="shared" si="15"/>
        <v>3360.0000000000005</v>
      </c>
      <c r="AB139" s="5069"/>
      <c r="AC139" s="6748"/>
      <c r="AD139" s="366"/>
      <c r="AE139" s="2699"/>
      <c r="AF139" s="2700"/>
      <c r="AG139" s="1251"/>
      <c r="AH139" s="9757"/>
      <c r="AI139" s="559"/>
    </row>
    <row r="140" spans="1:35" ht="18.75" customHeight="1">
      <c r="A140" s="9599"/>
      <c r="B140" s="9660"/>
      <c r="C140" s="9125"/>
      <c r="D140" s="8834"/>
      <c r="E140" s="8834"/>
      <c r="F140" s="8782"/>
      <c r="G140" s="8974"/>
      <c r="H140" s="8834"/>
      <c r="I140" s="8782"/>
      <c r="J140" s="9217"/>
      <c r="K140" s="8782"/>
      <c r="L140" s="9258"/>
      <c r="M140" s="8975"/>
      <c r="N140" s="9687"/>
      <c r="O140" s="9714"/>
      <c r="P140" s="8834"/>
      <c r="Q140" s="9217"/>
      <c r="R140" s="9702"/>
      <c r="S140" s="3277"/>
      <c r="T140" s="6436"/>
      <c r="U140" s="4958"/>
      <c r="V140" s="3485" t="s">
        <v>1629</v>
      </c>
      <c r="W140" s="3488">
        <v>1</v>
      </c>
      <c r="X140" s="3489" t="s">
        <v>180</v>
      </c>
      <c r="Y140" s="6704">
        <v>600</v>
      </c>
      <c r="Z140" s="6509">
        <f t="shared" si="14"/>
        <v>600</v>
      </c>
      <c r="AA140" s="6509">
        <f t="shared" si="15"/>
        <v>672.00000000000011</v>
      </c>
      <c r="AB140" s="5069"/>
      <c r="AC140" s="6748"/>
      <c r="AD140" s="366"/>
      <c r="AE140" s="2699"/>
      <c r="AF140" s="2700"/>
      <c r="AG140" s="1251"/>
      <c r="AH140" s="9757"/>
      <c r="AI140" s="559"/>
    </row>
    <row r="141" spans="1:35" ht="18" customHeight="1">
      <c r="A141" s="9599"/>
      <c r="B141" s="9660"/>
      <c r="C141" s="9125"/>
      <c r="D141" s="8834"/>
      <c r="E141" s="8834"/>
      <c r="F141" s="8782"/>
      <c r="G141" s="8974"/>
      <c r="H141" s="8834"/>
      <c r="I141" s="8782"/>
      <c r="J141" s="9217"/>
      <c r="K141" s="8782"/>
      <c r="L141" s="9258"/>
      <c r="M141" s="8975"/>
      <c r="N141" s="9687"/>
      <c r="O141" s="9714"/>
      <c r="P141" s="8834"/>
      <c r="Q141" s="9217"/>
      <c r="R141" s="9702"/>
      <c r="S141" s="3277"/>
      <c r="T141" s="6436"/>
      <c r="U141" s="4958"/>
      <c r="V141" s="3485" t="s">
        <v>1630</v>
      </c>
      <c r="W141" s="3488">
        <v>2</v>
      </c>
      <c r="X141" s="3489" t="s">
        <v>180</v>
      </c>
      <c r="Y141" s="6704">
        <v>280</v>
      </c>
      <c r="Z141" s="6509">
        <f t="shared" si="14"/>
        <v>560</v>
      </c>
      <c r="AA141" s="6509">
        <f t="shared" si="15"/>
        <v>627.20000000000005</v>
      </c>
      <c r="AB141" s="5069"/>
      <c r="AC141" s="6748"/>
      <c r="AD141" s="366"/>
      <c r="AE141" s="2699"/>
      <c r="AF141" s="2700" t="s">
        <v>153</v>
      </c>
      <c r="AG141" s="1251"/>
      <c r="AH141" s="9757"/>
      <c r="AI141" s="559"/>
    </row>
    <row r="142" spans="1:35" ht="29.25" customHeight="1">
      <c r="A142" s="9599"/>
      <c r="B142" s="9660"/>
      <c r="C142" s="9125"/>
      <c r="D142" s="8834"/>
      <c r="E142" s="8834"/>
      <c r="F142" s="8782"/>
      <c r="G142" s="8974"/>
      <c r="H142" s="8834"/>
      <c r="I142" s="8782"/>
      <c r="J142" s="9217"/>
      <c r="K142" s="8782"/>
      <c r="L142" s="9258"/>
      <c r="M142" s="8975"/>
      <c r="N142" s="9687"/>
      <c r="O142" s="9714"/>
      <c r="P142" s="8834"/>
      <c r="Q142" s="9217"/>
      <c r="R142" s="9702"/>
      <c r="S142" s="3277"/>
      <c r="T142" s="6436"/>
      <c r="U142" s="4958"/>
      <c r="V142" s="3390" t="s">
        <v>1631</v>
      </c>
      <c r="W142" s="3490">
        <v>2</v>
      </c>
      <c r="X142" s="3491" t="s">
        <v>180</v>
      </c>
      <c r="Y142" s="6705">
        <v>11900</v>
      </c>
      <c r="Z142" s="6509">
        <f t="shared" si="14"/>
        <v>23800</v>
      </c>
      <c r="AA142" s="6509">
        <f t="shared" si="15"/>
        <v>26656.000000000004</v>
      </c>
      <c r="AB142" s="5069"/>
      <c r="AC142" s="6748"/>
      <c r="AD142" s="366"/>
      <c r="AE142" s="2699"/>
      <c r="AF142" s="2700" t="s">
        <v>153</v>
      </c>
      <c r="AG142" s="1251"/>
      <c r="AH142" s="9757"/>
      <c r="AI142" s="559"/>
    </row>
    <row r="143" spans="1:35" ht="27" customHeight="1">
      <c r="A143" s="9599"/>
      <c r="B143" s="9660"/>
      <c r="C143" s="9125"/>
      <c r="D143" s="8834"/>
      <c r="E143" s="8834"/>
      <c r="F143" s="8782"/>
      <c r="G143" s="8974"/>
      <c r="H143" s="8834"/>
      <c r="I143" s="8782"/>
      <c r="J143" s="9217"/>
      <c r="K143" s="8782"/>
      <c r="L143" s="9258"/>
      <c r="M143" s="8975"/>
      <c r="N143" s="9687"/>
      <c r="O143" s="9714"/>
      <c r="P143" s="8834"/>
      <c r="Q143" s="9217"/>
      <c r="R143" s="9702"/>
      <c r="S143" s="2872"/>
      <c r="T143" s="6594"/>
      <c r="U143" s="4682"/>
      <c r="V143" s="2871" t="s">
        <v>1632</v>
      </c>
      <c r="W143" s="2701"/>
      <c r="X143" s="2702"/>
      <c r="Y143" s="6707"/>
      <c r="Z143" s="6707"/>
      <c r="AA143" s="6707"/>
      <c r="AB143" s="6660"/>
      <c r="AC143" s="6749"/>
      <c r="AD143" s="2867"/>
      <c r="AE143" s="2868"/>
      <c r="AF143" s="2869"/>
      <c r="AG143" s="2870"/>
      <c r="AH143" s="9757"/>
      <c r="AI143" s="559"/>
    </row>
    <row r="144" spans="1:35" ht="27" customHeight="1">
      <c r="A144" s="9599"/>
      <c r="B144" s="9660"/>
      <c r="C144" s="9125"/>
      <c r="D144" s="8834"/>
      <c r="E144" s="8834"/>
      <c r="F144" s="8782"/>
      <c r="G144" s="8974"/>
      <c r="H144" s="8834"/>
      <c r="I144" s="8782"/>
      <c r="J144" s="9217"/>
      <c r="K144" s="8782"/>
      <c r="L144" s="9258"/>
      <c r="M144" s="8975"/>
      <c r="N144" s="9687"/>
      <c r="O144" s="9714"/>
      <c r="P144" s="8834"/>
      <c r="Q144" s="9217"/>
      <c r="R144" s="9702"/>
      <c r="S144" s="3384" t="s">
        <v>80</v>
      </c>
      <c r="T144" s="4952">
        <v>840104</v>
      </c>
      <c r="U144" s="6324"/>
      <c r="V144" s="3176" t="s">
        <v>39</v>
      </c>
      <c r="W144" s="3488"/>
      <c r="X144" s="3385"/>
      <c r="Y144" s="6708"/>
      <c r="Z144" s="6708"/>
      <c r="AA144" s="6708"/>
      <c r="AB144" s="4920">
        <f>SUM(AA145:AA163)</f>
        <v>66869.600000000006</v>
      </c>
      <c r="AC144" s="4782" t="s">
        <v>18</v>
      </c>
      <c r="AD144" s="3386"/>
      <c r="AE144" s="3177"/>
      <c r="AF144" s="3387"/>
      <c r="AG144" s="3388"/>
      <c r="AH144" s="9757"/>
      <c r="AI144" s="559"/>
    </row>
    <row r="145" spans="1:35" ht="18" customHeight="1">
      <c r="A145" s="9599"/>
      <c r="B145" s="9660"/>
      <c r="C145" s="9125"/>
      <c r="D145" s="8834"/>
      <c r="E145" s="8834"/>
      <c r="F145" s="8782"/>
      <c r="G145" s="8974"/>
      <c r="H145" s="8834"/>
      <c r="I145" s="8782"/>
      <c r="J145" s="9217"/>
      <c r="K145" s="8782"/>
      <c r="L145" s="9258"/>
      <c r="M145" s="8975"/>
      <c r="N145" s="9687"/>
      <c r="O145" s="9714"/>
      <c r="P145" s="8834"/>
      <c r="Q145" s="9217"/>
      <c r="R145" s="9702"/>
      <c r="S145" s="3389"/>
      <c r="T145" s="6324"/>
      <c r="U145" s="6324"/>
      <c r="V145" s="3484" t="s">
        <v>1633</v>
      </c>
      <c r="W145" s="3488">
        <v>1</v>
      </c>
      <c r="X145" s="3489" t="s">
        <v>180</v>
      </c>
      <c r="Y145" s="6703">
        <v>3500</v>
      </c>
      <c r="Z145" s="4919">
        <f>W145*Y145</f>
        <v>3500</v>
      </c>
      <c r="AA145" s="6709">
        <f>Z145*1.12</f>
        <v>3920.0000000000005</v>
      </c>
      <c r="AB145" s="4920"/>
      <c r="AC145" s="6750"/>
      <c r="AD145" s="3386"/>
      <c r="AE145" s="3177"/>
      <c r="AF145" s="3387"/>
      <c r="AG145" s="3388" t="s">
        <v>153</v>
      </c>
      <c r="AH145" s="9757"/>
      <c r="AI145" s="559"/>
    </row>
    <row r="146" spans="1:35" ht="18" customHeight="1">
      <c r="A146" s="9599"/>
      <c r="B146" s="9660"/>
      <c r="C146" s="9125"/>
      <c r="D146" s="8834"/>
      <c r="E146" s="8834"/>
      <c r="F146" s="8782"/>
      <c r="G146" s="8974"/>
      <c r="H146" s="8834"/>
      <c r="I146" s="8782"/>
      <c r="J146" s="9217"/>
      <c r="K146" s="8782"/>
      <c r="L146" s="9258"/>
      <c r="M146" s="8975"/>
      <c r="N146" s="9687"/>
      <c r="O146" s="9714"/>
      <c r="P146" s="8834"/>
      <c r="Q146" s="9217"/>
      <c r="R146" s="9702"/>
      <c r="S146" s="3389"/>
      <c r="T146" s="6324"/>
      <c r="U146" s="6324"/>
      <c r="V146" s="3485" t="s">
        <v>1634</v>
      </c>
      <c r="W146" s="3488">
        <v>1</v>
      </c>
      <c r="X146" s="3489" t="s">
        <v>180</v>
      </c>
      <c r="Y146" s="6704">
        <v>2000</v>
      </c>
      <c r="Z146" s="4919">
        <f t="shared" ref="Z146:Z162" si="16">W146*Y146</f>
        <v>2000</v>
      </c>
      <c r="AA146" s="6709">
        <f t="shared" ref="AA146:AA162" si="17">Z146*1.12</f>
        <v>2240</v>
      </c>
      <c r="AB146" s="4920"/>
      <c r="AC146" s="6750"/>
      <c r="AD146" s="3386"/>
      <c r="AE146" s="3177"/>
      <c r="AF146" s="3387"/>
      <c r="AG146" s="3388" t="s">
        <v>153</v>
      </c>
      <c r="AH146" s="9757"/>
      <c r="AI146" s="559"/>
    </row>
    <row r="147" spans="1:35" ht="18" customHeight="1">
      <c r="A147" s="9599"/>
      <c r="B147" s="9660"/>
      <c r="C147" s="9125"/>
      <c r="D147" s="8834"/>
      <c r="E147" s="8834"/>
      <c r="F147" s="8782"/>
      <c r="G147" s="8974"/>
      <c r="H147" s="8834"/>
      <c r="I147" s="8782"/>
      <c r="J147" s="9217"/>
      <c r="K147" s="8782"/>
      <c r="L147" s="9258"/>
      <c r="M147" s="8975"/>
      <c r="N147" s="9687"/>
      <c r="O147" s="9714"/>
      <c r="P147" s="8834"/>
      <c r="Q147" s="9217"/>
      <c r="R147" s="9702"/>
      <c r="S147" s="3389"/>
      <c r="T147" s="6324"/>
      <c r="U147" s="6324"/>
      <c r="V147" s="3485" t="s">
        <v>1635</v>
      </c>
      <c r="W147" s="3488">
        <v>1</v>
      </c>
      <c r="X147" s="3489" t="s">
        <v>180</v>
      </c>
      <c r="Y147" s="6704">
        <v>1450</v>
      </c>
      <c r="Z147" s="4919">
        <f t="shared" si="16"/>
        <v>1450</v>
      </c>
      <c r="AA147" s="6709">
        <f t="shared" si="17"/>
        <v>1624.0000000000002</v>
      </c>
      <c r="AB147" s="4920"/>
      <c r="AC147" s="6750"/>
      <c r="AD147" s="3386"/>
      <c r="AE147" s="3177"/>
      <c r="AF147" s="3387"/>
      <c r="AG147" s="3388" t="s">
        <v>153</v>
      </c>
      <c r="AH147" s="9757"/>
      <c r="AI147" s="559"/>
    </row>
    <row r="148" spans="1:35" ht="18" customHeight="1">
      <c r="A148" s="9599"/>
      <c r="B148" s="9660"/>
      <c r="C148" s="9125"/>
      <c r="D148" s="8834"/>
      <c r="E148" s="8834"/>
      <c r="F148" s="8782"/>
      <c r="G148" s="8974"/>
      <c r="H148" s="8834"/>
      <c r="I148" s="8782"/>
      <c r="J148" s="9217"/>
      <c r="K148" s="8782"/>
      <c r="L148" s="9258"/>
      <c r="M148" s="8975"/>
      <c r="N148" s="9687"/>
      <c r="O148" s="9714"/>
      <c r="P148" s="8834"/>
      <c r="Q148" s="9217"/>
      <c r="R148" s="9702"/>
      <c r="S148" s="3389"/>
      <c r="T148" s="6324"/>
      <c r="U148" s="6324"/>
      <c r="V148" s="3485" t="s">
        <v>1636</v>
      </c>
      <c r="W148" s="3488">
        <v>1</v>
      </c>
      <c r="X148" s="3489" t="s">
        <v>180</v>
      </c>
      <c r="Y148" s="6704">
        <v>4200</v>
      </c>
      <c r="Z148" s="4919">
        <f t="shared" si="16"/>
        <v>4200</v>
      </c>
      <c r="AA148" s="6709">
        <f t="shared" si="17"/>
        <v>4704</v>
      </c>
      <c r="AB148" s="4920"/>
      <c r="AC148" s="6750"/>
      <c r="AD148" s="3386"/>
      <c r="AE148" s="3177"/>
      <c r="AF148" s="3387"/>
      <c r="AG148" s="3388" t="s">
        <v>153</v>
      </c>
      <c r="AH148" s="9757"/>
      <c r="AI148" s="559"/>
    </row>
    <row r="149" spans="1:35" ht="18" customHeight="1">
      <c r="A149" s="9599"/>
      <c r="B149" s="9660"/>
      <c r="C149" s="9125"/>
      <c r="D149" s="8834"/>
      <c r="E149" s="8834"/>
      <c r="F149" s="8782"/>
      <c r="G149" s="8974"/>
      <c r="H149" s="8834"/>
      <c r="I149" s="8782"/>
      <c r="J149" s="9217"/>
      <c r="K149" s="8782"/>
      <c r="L149" s="9258"/>
      <c r="M149" s="8975"/>
      <c r="N149" s="9687"/>
      <c r="O149" s="9714"/>
      <c r="P149" s="8834"/>
      <c r="Q149" s="9217"/>
      <c r="R149" s="9702"/>
      <c r="S149" s="3389"/>
      <c r="T149" s="6324"/>
      <c r="U149" s="6324"/>
      <c r="V149" s="3485" t="s">
        <v>1637</v>
      </c>
      <c r="W149" s="3488">
        <v>1</v>
      </c>
      <c r="X149" s="3489" t="s">
        <v>180</v>
      </c>
      <c r="Y149" s="6704">
        <v>350</v>
      </c>
      <c r="Z149" s="4919">
        <f t="shared" si="16"/>
        <v>350</v>
      </c>
      <c r="AA149" s="6709">
        <f t="shared" si="17"/>
        <v>392.00000000000006</v>
      </c>
      <c r="AB149" s="4920"/>
      <c r="AC149" s="6750"/>
      <c r="AD149" s="3386"/>
      <c r="AE149" s="3177"/>
      <c r="AF149" s="3387"/>
      <c r="AG149" s="3388" t="s">
        <v>153</v>
      </c>
      <c r="AH149" s="9757"/>
      <c r="AI149" s="559"/>
    </row>
    <row r="150" spans="1:35" ht="18" customHeight="1">
      <c r="A150" s="9599"/>
      <c r="B150" s="9660"/>
      <c r="C150" s="9125"/>
      <c r="D150" s="8834"/>
      <c r="E150" s="8834"/>
      <c r="F150" s="8782"/>
      <c r="G150" s="8974"/>
      <c r="H150" s="8834"/>
      <c r="I150" s="8782"/>
      <c r="J150" s="9217"/>
      <c r="K150" s="8782"/>
      <c r="L150" s="9258"/>
      <c r="M150" s="8975"/>
      <c r="N150" s="9687"/>
      <c r="O150" s="9714"/>
      <c r="P150" s="8834"/>
      <c r="Q150" s="9217"/>
      <c r="R150" s="9702"/>
      <c r="S150" s="3389"/>
      <c r="T150" s="6324"/>
      <c r="U150" s="6324"/>
      <c r="V150" s="3485" t="s">
        <v>1638</v>
      </c>
      <c r="W150" s="3488">
        <v>2</v>
      </c>
      <c r="X150" s="3489" t="s">
        <v>180</v>
      </c>
      <c r="Y150" s="6704">
        <v>1000</v>
      </c>
      <c r="Z150" s="4919">
        <f t="shared" si="16"/>
        <v>2000</v>
      </c>
      <c r="AA150" s="6709">
        <f t="shared" si="17"/>
        <v>2240</v>
      </c>
      <c r="AB150" s="4920"/>
      <c r="AC150" s="6750"/>
      <c r="AD150" s="3386"/>
      <c r="AE150" s="3177"/>
      <c r="AF150" s="3387"/>
      <c r="AG150" s="3388" t="s">
        <v>153</v>
      </c>
      <c r="AH150" s="9757"/>
      <c r="AI150" s="559"/>
    </row>
    <row r="151" spans="1:35" ht="18" customHeight="1">
      <c r="A151" s="9599"/>
      <c r="B151" s="9660"/>
      <c r="C151" s="9125"/>
      <c r="D151" s="8834"/>
      <c r="E151" s="8834"/>
      <c r="F151" s="8782"/>
      <c r="G151" s="8974"/>
      <c r="H151" s="8834"/>
      <c r="I151" s="8782"/>
      <c r="J151" s="9217"/>
      <c r="K151" s="8782"/>
      <c r="L151" s="9258"/>
      <c r="M151" s="8975"/>
      <c r="N151" s="9687"/>
      <c r="O151" s="9714"/>
      <c r="P151" s="8834"/>
      <c r="Q151" s="9217"/>
      <c r="R151" s="9702"/>
      <c r="S151" s="3389"/>
      <c r="T151" s="6324"/>
      <c r="U151" s="6324"/>
      <c r="V151" s="3485" t="s">
        <v>1639</v>
      </c>
      <c r="W151" s="3488">
        <v>2</v>
      </c>
      <c r="X151" s="3489" t="s">
        <v>180</v>
      </c>
      <c r="Y151" s="6704">
        <v>1100</v>
      </c>
      <c r="Z151" s="4919">
        <f t="shared" si="16"/>
        <v>2200</v>
      </c>
      <c r="AA151" s="6709">
        <f t="shared" si="17"/>
        <v>2464.0000000000005</v>
      </c>
      <c r="AB151" s="4920"/>
      <c r="AC151" s="6750"/>
      <c r="AD151" s="3386"/>
      <c r="AE151" s="3177"/>
      <c r="AF151" s="3387"/>
      <c r="AG151" s="3388" t="s">
        <v>153</v>
      </c>
      <c r="AH151" s="9757"/>
      <c r="AI151" s="559"/>
    </row>
    <row r="152" spans="1:35" ht="18" customHeight="1">
      <c r="A152" s="9599"/>
      <c r="B152" s="9660"/>
      <c r="C152" s="9125"/>
      <c r="D152" s="8834"/>
      <c r="E152" s="8834"/>
      <c r="F152" s="8782"/>
      <c r="G152" s="8974"/>
      <c r="H152" s="8834"/>
      <c r="I152" s="8782"/>
      <c r="J152" s="9217"/>
      <c r="K152" s="8782"/>
      <c r="L152" s="9258"/>
      <c r="M152" s="8975"/>
      <c r="N152" s="9687"/>
      <c r="O152" s="9714"/>
      <c r="P152" s="8834"/>
      <c r="Q152" s="9217"/>
      <c r="R152" s="9702"/>
      <c r="S152" s="3389"/>
      <c r="T152" s="6324"/>
      <c r="U152" s="6324"/>
      <c r="V152" s="3485" t="s">
        <v>1640</v>
      </c>
      <c r="W152" s="3488">
        <v>1</v>
      </c>
      <c r="X152" s="3489" t="s">
        <v>180</v>
      </c>
      <c r="Y152" s="6704">
        <v>800</v>
      </c>
      <c r="Z152" s="4919">
        <f t="shared" si="16"/>
        <v>800</v>
      </c>
      <c r="AA152" s="6709">
        <f t="shared" si="17"/>
        <v>896.00000000000011</v>
      </c>
      <c r="AB152" s="4920"/>
      <c r="AC152" s="6750"/>
      <c r="AD152" s="3386"/>
      <c r="AE152" s="3177"/>
      <c r="AF152" s="3387"/>
      <c r="AG152" s="3388" t="s">
        <v>153</v>
      </c>
      <c r="AH152" s="9757"/>
      <c r="AI152" s="559"/>
    </row>
    <row r="153" spans="1:35" ht="18" customHeight="1">
      <c r="A153" s="9599"/>
      <c r="B153" s="9660"/>
      <c r="C153" s="9125"/>
      <c r="D153" s="8834"/>
      <c r="E153" s="8834"/>
      <c r="F153" s="8782"/>
      <c r="G153" s="8974"/>
      <c r="H153" s="8834"/>
      <c r="I153" s="8782"/>
      <c r="J153" s="9217"/>
      <c r="K153" s="8782"/>
      <c r="L153" s="9258"/>
      <c r="M153" s="8975"/>
      <c r="N153" s="9687"/>
      <c r="O153" s="9714"/>
      <c r="P153" s="8834"/>
      <c r="Q153" s="9217"/>
      <c r="R153" s="9702"/>
      <c r="S153" s="3389"/>
      <c r="T153" s="6324"/>
      <c r="U153" s="6324"/>
      <c r="V153" s="3485" t="s">
        <v>1641</v>
      </c>
      <c r="W153" s="3488">
        <v>6</v>
      </c>
      <c r="X153" s="3489" t="s">
        <v>180</v>
      </c>
      <c r="Y153" s="6704">
        <v>450</v>
      </c>
      <c r="Z153" s="4919">
        <f t="shared" si="16"/>
        <v>2700</v>
      </c>
      <c r="AA153" s="6709">
        <f t="shared" si="17"/>
        <v>3024.0000000000005</v>
      </c>
      <c r="AB153" s="4920"/>
      <c r="AC153" s="6750"/>
      <c r="AD153" s="3386"/>
      <c r="AE153" s="3177"/>
      <c r="AF153" s="3387"/>
      <c r="AG153" s="3388" t="s">
        <v>153</v>
      </c>
      <c r="AH153" s="9757"/>
      <c r="AI153" s="559"/>
    </row>
    <row r="154" spans="1:35" ht="18" customHeight="1">
      <c r="A154" s="9599"/>
      <c r="B154" s="9660"/>
      <c r="C154" s="9125"/>
      <c r="D154" s="8834"/>
      <c r="E154" s="8834"/>
      <c r="F154" s="8782"/>
      <c r="G154" s="8974"/>
      <c r="H154" s="8834"/>
      <c r="I154" s="8782"/>
      <c r="J154" s="9217"/>
      <c r="K154" s="8782"/>
      <c r="L154" s="9258"/>
      <c r="M154" s="8975"/>
      <c r="N154" s="9687"/>
      <c r="O154" s="9714"/>
      <c r="P154" s="8834"/>
      <c r="Q154" s="9217"/>
      <c r="R154" s="9702"/>
      <c r="S154" s="3389"/>
      <c r="T154" s="6324"/>
      <c r="U154" s="6324"/>
      <c r="V154" s="3485" t="s">
        <v>1642</v>
      </c>
      <c r="W154" s="3488">
        <v>1</v>
      </c>
      <c r="X154" s="3489" t="s">
        <v>180</v>
      </c>
      <c r="Y154" s="6704">
        <v>1600</v>
      </c>
      <c r="Z154" s="4919">
        <f t="shared" si="16"/>
        <v>1600</v>
      </c>
      <c r="AA154" s="6709">
        <f t="shared" si="17"/>
        <v>1792.0000000000002</v>
      </c>
      <c r="AB154" s="4920"/>
      <c r="AC154" s="6750"/>
      <c r="AD154" s="3386"/>
      <c r="AE154" s="3177"/>
      <c r="AF154" s="3387"/>
      <c r="AG154" s="3388" t="s">
        <v>153</v>
      </c>
      <c r="AH154" s="9757"/>
      <c r="AI154" s="559"/>
    </row>
    <row r="155" spans="1:35" ht="42" customHeight="1">
      <c r="A155" s="9599"/>
      <c r="B155" s="9660"/>
      <c r="C155" s="9125"/>
      <c r="D155" s="8834"/>
      <c r="E155" s="8834"/>
      <c r="F155" s="8782"/>
      <c r="G155" s="8974"/>
      <c r="H155" s="8834"/>
      <c r="I155" s="8782"/>
      <c r="J155" s="9217"/>
      <c r="K155" s="8782"/>
      <c r="L155" s="9258"/>
      <c r="M155" s="8975"/>
      <c r="N155" s="9687"/>
      <c r="O155" s="9714"/>
      <c r="P155" s="8834"/>
      <c r="Q155" s="9217"/>
      <c r="R155" s="9702"/>
      <c r="S155" s="3389"/>
      <c r="T155" s="6324"/>
      <c r="U155" s="6324"/>
      <c r="V155" s="3485" t="s">
        <v>1643</v>
      </c>
      <c r="W155" s="3488">
        <v>1</v>
      </c>
      <c r="X155" s="3489" t="s">
        <v>180</v>
      </c>
      <c r="Y155" s="6704">
        <v>16300</v>
      </c>
      <c r="Z155" s="4919">
        <f t="shared" si="16"/>
        <v>16300</v>
      </c>
      <c r="AA155" s="6709">
        <f t="shared" si="17"/>
        <v>18256</v>
      </c>
      <c r="AB155" s="4920"/>
      <c r="AC155" s="6750"/>
      <c r="AD155" s="3386"/>
      <c r="AE155" s="3177"/>
      <c r="AF155" s="3387"/>
      <c r="AG155" s="3388" t="s">
        <v>153</v>
      </c>
      <c r="AH155" s="9757"/>
      <c r="AI155" s="559"/>
    </row>
    <row r="156" spans="1:35" ht="18" customHeight="1">
      <c r="A156" s="9599"/>
      <c r="B156" s="9660"/>
      <c r="C156" s="9125"/>
      <c r="D156" s="8834"/>
      <c r="E156" s="8834"/>
      <c r="F156" s="8782"/>
      <c r="G156" s="8974"/>
      <c r="H156" s="8834"/>
      <c r="I156" s="8782"/>
      <c r="J156" s="9217"/>
      <c r="K156" s="8782"/>
      <c r="L156" s="9258"/>
      <c r="M156" s="8975"/>
      <c r="N156" s="9687"/>
      <c r="O156" s="9714"/>
      <c r="P156" s="8834"/>
      <c r="Q156" s="9217"/>
      <c r="R156" s="9702"/>
      <c r="S156" s="3389"/>
      <c r="T156" s="6324"/>
      <c r="U156" s="6324"/>
      <c r="V156" s="3485" t="s">
        <v>1644</v>
      </c>
      <c r="W156" s="3488">
        <v>5</v>
      </c>
      <c r="X156" s="3489" t="s">
        <v>180</v>
      </c>
      <c r="Y156" s="6704">
        <v>875</v>
      </c>
      <c r="Z156" s="4919">
        <f t="shared" si="16"/>
        <v>4375</v>
      </c>
      <c r="AA156" s="6709">
        <f t="shared" si="17"/>
        <v>4900.0000000000009</v>
      </c>
      <c r="AB156" s="4920"/>
      <c r="AC156" s="6750"/>
      <c r="AD156" s="3386"/>
      <c r="AE156" s="3177"/>
      <c r="AF156" s="3387"/>
      <c r="AG156" s="3388" t="s">
        <v>153</v>
      </c>
      <c r="AH156" s="9757"/>
      <c r="AI156" s="559"/>
    </row>
    <row r="157" spans="1:35" ht="18" customHeight="1">
      <c r="A157" s="9599"/>
      <c r="B157" s="9660"/>
      <c r="C157" s="9125"/>
      <c r="D157" s="8834"/>
      <c r="E157" s="8834"/>
      <c r="F157" s="8782"/>
      <c r="G157" s="8974"/>
      <c r="H157" s="8834"/>
      <c r="I157" s="8782"/>
      <c r="J157" s="9217"/>
      <c r="K157" s="8782"/>
      <c r="L157" s="9258"/>
      <c r="M157" s="8975"/>
      <c r="N157" s="9687"/>
      <c r="O157" s="9714"/>
      <c r="P157" s="8834"/>
      <c r="Q157" s="9217"/>
      <c r="R157" s="9702"/>
      <c r="S157" s="3389"/>
      <c r="T157" s="6324"/>
      <c r="U157" s="6324"/>
      <c r="V157" s="3485" t="s">
        <v>1645</v>
      </c>
      <c r="W157" s="3488">
        <v>5</v>
      </c>
      <c r="X157" s="3489" t="s">
        <v>180</v>
      </c>
      <c r="Y157" s="6704">
        <v>1000</v>
      </c>
      <c r="Z157" s="4919">
        <f t="shared" si="16"/>
        <v>5000</v>
      </c>
      <c r="AA157" s="6709">
        <f t="shared" si="17"/>
        <v>5600.0000000000009</v>
      </c>
      <c r="AB157" s="4920"/>
      <c r="AC157" s="6750"/>
      <c r="AD157" s="3386"/>
      <c r="AE157" s="3177"/>
      <c r="AF157" s="3387"/>
      <c r="AG157" s="3388" t="s">
        <v>153</v>
      </c>
      <c r="AH157" s="9757"/>
      <c r="AI157" s="559"/>
    </row>
    <row r="158" spans="1:35" ht="18" customHeight="1">
      <c r="A158" s="9599"/>
      <c r="B158" s="9660"/>
      <c r="C158" s="9125"/>
      <c r="D158" s="8834"/>
      <c r="E158" s="8834"/>
      <c r="F158" s="8782"/>
      <c r="G158" s="8974"/>
      <c r="H158" s="8834"/>
      <c r="I158" s="8782"/>
      <c r="J158" s="9217"/>
      <c r="K158" s="8782"/>
      <c r="L158" s="9258"/>
      <c r="M158" s="8975"/>
      <c r="N158" s="9687"/>
      <c r="O158" s="9714"/>
      <c r="P158" s="8834"/>
      <c r="Q158" s="9217"/>
      <c r="R158" s="9702"/>
      <c r="S158" s="3389"/>
      <c r="T158" s="6324"/>
      <c r="U158" s="6324"/>
      <c r="V158" s="3485" t="s">
        <v>1646</v>
      </c>
      <c r="W158" s="3488">
        <v>1</v>
      </c>
      <c r="X158" s="3489" t="s">
        <v>180</v>
      </c>
      <c r="Y158" s="6704">
        <v>2400</v>
      </c>
      <c r="Z158" s="4919">
        <f t="shared" si="16"/>
        <v>2400</v>
      </c>
      <c r="AA158" s="6709">
        <f t="shared" si="17"/>
        <v>2688.0000000000005</v>
      </c>
      <c r="AB158" s="4920"/>
      <c r="AC158" s="6750"/>
      <c r="AD158" s="3386"/>
      <c r="AE158" s="3177"/>
      <c r="AF158" s="3387"/>
      <c r="AG158" s="3388" t="s">
        <v>153</v>
      </c>
      <c r="AH158" s="9757"/>
      <c r="AI158" s="559"/>
    </row>
    <row r="159" spans="1:35" ht="18" customHeight="1">
      <c r="A159" s="9599"/>
      <c r="B159" s="9660"/>
      <c r="C159" s="9125"/>
      <c r="D159" s="8834"/>
      <c r="E159" s="8834"/>
      <c r="F159" s="8782"/>
      <c r="G159" s="8974"/>
      <c r="H159" s="8834"/>
      <c r="I159" s="8782"/>
      <c r="J159" s="9217"/>
      <c r="K159" s="8782"/>
      <c r="L159" s="9258"/>
      <c r="M159" s="8975"/>
      <c r="N159" s="9687"/>
      <c r="O159" s="9714"/>
      <c r="P159" s="8834"/>
      <c r="Q159" s="9217"/>
      <c r="R159" s="9702"/>
      <c r="S159" s="3389"/>
      <c r="T159" s="6324"/>
      <c r="U159" s="6324"/>
      <c r="V159" s="3485" t="s">
        <v>1647</v>
      </c>
      <c r="W159" s="3488">
        <v>2</v>
      </c>
      <c r="X159" s="3489" t="s">
        <v>180</v>
      </c>
      <c r="Y159" s="6704">
        <v>750</v>
      </c>
      <c r="Z159" s="4919">
        <f t="shared" si="16"/>
        <v>1500</v>
      </c>
      <c r="AA159" s="6709">
        <f t="shared" si="17"/>
        <v>1680.0000000000002</v>
      </c>
      <c r="AB159" s="4920"/>
      <c r="AC159" s="6750"/>
      <c r="AD159" s="3386"/>
      <c r="AE159" s="3177"/>
      <c r="AF159" s="3387"/>
      <c r="AG159" s="3388" t="s">
        <v>153</v>
      </c>
      <c r="AH159" s="9757"/>
      <c r="AI159" s="559"/>
    </row>
    <row r="160" spans="1:35" ht="18" customHeight="1">
      <c r="A160" s="9599"/>
      <c r="B160" s="9660"/>
      <c r="C160" s="9125"/>
      <c r="D160" s="8834"/>
      <c r="E160" s="8834"/>
      <c r="F160" s="8782"/>
      <c r="G160" s="8974"/>
      <c r="H160" s="8834"/>
      <c r="I160" s="8782"/>
      <c r="J160" s="9217"/>
      <c r="K160" s="8782"/>
      <c r="L160" s="9258"/>
      <c r="M160" s="8975"/>
      <c r="N160" s="9687"/>
      <c r="O160" s="9714"/>
      <c r="P160" s="8834"/>
      <c r="Q160" s="9217"/>
      <c r="R160" s="9702"/>
      <c r="S160" s="3389"/>
      <c r="T160" s="6324"/>
      <c r="U160" s="6324"/>
      <c r="V160" s="3485" t="s">
        <v>1648</v>
      </c>
      <c r="W160" s="3488">
        <v>1</v>
      </c>
      <c r="X160" s="3489" t="s">
        <v>180</v>
      </c>
      <c r="Y160" s="6704">
        <v>1850</v>
      </c>
      <c r="Z160" s="4919">
        <f t="shared" si="16"/>
        <v>1850</v>
      </c>
      <c r="AA160" s="6709">
        <f t="shared" si="17"/>
        <v>2072</v>
      </c>
      <c r="AB160" s="4920"/>
      <c r="AC160" s="6750"/>
      <c r="AD160" s="3386"/>
      <c r="AE160" s="3177"/>
      <c r="AF160" s="3387"/>
      <c r="AG160" s="3388" t="s">
        <v>153</v>
      </c>
      <c r="AH160" s="9757"/>
      <c r="AI160" s="559"/>
    </row>
    <row r="161" spans="1:35" ht="18" customHeight="1">
      <c r="A161" s="9599"/>
      <c r="B161" s="9660"/>
      <c r="C161" s="9125"/>
      <c r="D161" s="8834"/>
      <c r="E161" s="8834"/>
      <c r="F161" s="8782"/>
      <c r="G161" s="8974"/>
      <c r="H161" s="8834"/>
      <c r="I161" s="8782"/>
      <c r="J161" s="9217"/>
      <c r="K161" s="8782"/>
      <c r="L161" s="9258"/>
      <c r="M161" s="8975"/>
      <c r="N161" s="9687"/>
      <c r="O161" s="9714"/>
      <c r="P161" s="8834"/>
      <c r="Q161" s="9217"/>
      <c r="R161" s="9702"/>
      <c r="S161" s="3389"/>
      <c r="T161" s="6324"/>
      <c r="U161" s="6324"/>
      <c r="V161" s="3485" t="s">
        <v>1649</v>
      </c>
      <c r="W161" s="3488">
        <v>2</v>
      </c>
      <c r="X161" s="3489" t="s">
        <v>180</v>
      </c>
      <c r="Y161" s="6704">
        <v>590</v>
      </c>
      <c r="Z161" s="4919">
        <f t="shared" si="16"/>
        <v>1180</v>
      </c>
      <c r="AA161" s="6709">
        <f t="shared" si="17"/>
        <v>1321.6000000000001</v>
      </c>
      <c r="AB161" s="4920"/>
      <c r="AC161" s="6750"/>
      <c r="AD161" s="3386"/>
      <c r="AE161" s="3177"/>
      <c r="AF161" s="3387"/>
      <c r="AG161" s="3388" t="s">
        <v>153</v>
      </c>
      <c r="AH161" s="9757"/>
      <c r="AI161" s="559"/>
    </row>
    <row r="162" spans="1:35" ht="18" customHeight="1">
      <c r="A162" s="9599"/>
      <c r="B162" s="9660"/>
      <c r="C162" s="9125"/>
      <c r="D162" s="8834"/>
      <c r="E162" s="8834"/>
      <c r="F162" s="8782"/>
      <c r="G162" s="8974"/>
      <c r="H162" s="8834"/>
      <c r="I162" s="8782"/>
      <c r="J162" s="9217"/>
      <c r="K162" s="8782"/>
      <c r="L162" s="9258"/>
      <c r="M162" s="8975"/>
      <c r="N162" s="9687"/>
      <c r="O162" s="9714"/>
      <c r="P162" s="8834"/>
      <c r="Q162" s="9217"/>
      <c r="R162" s="9702"/>
      <c r="S162" s="3389"/>
      <c r="T162" s="6324"/>
      <c r="U162" s="6324"/>
      <c r="V162" s="3485" t="s">
        <v>1650</v>
      </c>
      <c r="W162" s="3488">
        <v>1</v>
      </c>
      <c r="X162" s="3489" t="s">
        <v>180</v>
      </c>
      <c r="Y162" s="6704">
        <v>4000</v>
      </c>
      <c r="Z162" s="4919">
        <f t="shared" si="16"/>
        <v>4000</v>
      </c>
      <c r="AA162" s="6709">
        <f t="shared" si="17"/>
        <v>4480</v>
      </c>
      <c r="AB162" s="4920"/>
      <c r="AC162" s="6750"/>
      <c r="AD162" s="3386"/>
      <c r="AE162" s="3177"/>
      <c r="AF162" s="3387"/>
      <c r="AG162" s="3388" t="s">
        <v>153</v>
      </c>
      <c r="AH162" s="9757"/>
      <c r="AI162" s="559"/>
    </row>
    <row r="163" spans="1:35" ht="18" customHeight="1">
      <c r="A163" s="9599"/>
      <c r="B163" s="9660"/>
      <c r="C163" s="9125"/>
      <c r="D163" s="8834"/>
      <c r="E163" s="8834"/>
      <c r="F163" s="8782"/>
      <c r="G163" s="8974"/>
      <c r="H163" s="8834"/>
      <c r="I163" s="8782"/>
      <c r="J163" s="9217"/>
      <c r="K163" s="8782"/>
      <c r="L163" s="9258"/>
      <c r="M163" s="8975"/>
      <c r="N163" s="9687"/>
      <c r="O163" s="9714"/>
      <c r="P163" s="8834"/>
      <c r="Q163" s="9217"/>
      <c r="R163" s="9702"/>
      <c r="S163" s="3389"/>
      <c r="T163" s="6324"/>
      <c r="U163" s="6324"/>
      <c r="V163" s="3493" t="s">
        <v>1651</v>
      </c>
      <c r="W163" s="3492">
        <v>1</v>
      </c>
      <c r="X163" s="3494" t="s">
        <v>180</v>
      </c>
      <c r="Y163" s="6710">
        <v>2300</v>
      </c>
      <c r="Z163" s="4919">
        <f t="shared" ref="Z163" si="18">W163*Y163</f>
        <v>2300</v>
      </c>
      <c r="AA163" s="6709">
        <f t="shared" ref="AA163" si="19">Z163*1.12</f>
        <v>2576.0000000000005</v>
      </c>
      <c r="AB163" s="4920"/>
      <c r="AC163" s="6750"/>
      <c r="AD163" s="3386"/>
      <c r="AE163" s="3177"/>
      <c r="AF163" s="3387"/>
      <c r="AG163" s="3388"/>
      <c r="AH163" s="9757"/>
      <c r="AI163" s="559"/>
    </row>
    <row r="164" spans="1:35" ht="27" customHeight="1">
      <c r="A164" s="9599"/>
      <c r="B164" s="9660"/>
      <c r="C164" s="9125"/>
      <c r="D164" s="8834"/>
      <c r="E164" s="8834"/>
      <c r="F164" s="8782"/>
      <c r="G164" s="8974"/>
      <c r="H164" s="8834"/>
      <c r="I164" s="8782"/>
      <c r="J164" s="9217"/>
      <c r="K164" s="8782"/>
      <c r="L164" s="9258"/>
      <c r="M164" s="8975"/>
      <c r="N164" s="9687"/>
      <c r="O164" s="9714"/>
      <c r="P164" s="8834"/>
      <c r="Q164" s="9217"/>
      <c r="R164" s="9702"/>
      <c r="S164" s="2866"/>
      <c r="T164" s="4682"/>
      <c r="U164" s="4682"/>
      <c r="V164" s="2871" t="s">
        <v>1632</v>
      </c>
      <c r="W164" s="3488"/>
      <c r="X164" s="2702"/>
      <c r="Y164" s="6707"/>
      <c r="Z164" s="6707"/>
      <c r="AA164" s="6711"/>
      <c r="AB164" s="6660"/>
      <c r="AC164" s="6749"/>
      <c r="AD164" s="2867"/>
      <c r="AE164" s="2868"/>
      <c r="AF164" s="2833"/>
      <c r="AG164" s="2870"/>
      <c r="AH164" s="9757"/>
      <c r="AI164" s="559"/>
    </row>
    <row r="165" spans="1:35" ht="27" customHeight="1">
      <c r="A165" s="9599"/>
      <c r="B165" s="9660"/>
      <c r="C165" s="9125"/>
      <c r="D165" s="8834"/>
      <c r="E165" s="8834"/>
      <c r="F165" s="8782"/>
      <c r="G165" s="8974"/>
      <c r="H165" s="8834"/>
      <c r="I165" s="8782"/>
      <c r="J165" s="9217"/>
      <c r="K165" s="8782"/>
      <c r="L165" s="9258"/>
      <c r="M165" s="8975"/>
      <c r="N165" s="9687"/>
      <c r="O165" s="9714"/>
      <c r="P165" s="8834"/>
      <c r="Q165" s="9217"/>
      <c r="R165" s="9702"/>
      <c r="S165" s="3384" t="s">
        <v>80</v>
      </c>
      <c r="T165" s="6324">
        <v>840107</v>
      </c>
      <c r="U165" s="6595"/>
      <c r="V165" s="8271" t="s">
        <v>1652</v>
      </c>
      <c r="W165" s="8272"/>
      <c r="X165" s="8273"/>
      <c r="Y165" s="8274"/>
      <c r="Z165" s="8274"/>
      <c r="AA165" s="8274"/>
      <c r="AB165" s="8032">
        <f>SUM(AA166:AA173)</f>
        <v>40409.599999999999</v>
      </c>
      <c r="AC165" s="8275" t="s">
        <v>18</v>
      </c>
      <c r="AD165" s="8276"/>
      <c r="AE165" s="8277"/>
      <c r="AF165" s="8278"/>
      <c r="AG165" s="8279"/>
      <c r="AH165" s="9757"/>
      <c r="AI165" s="559"/>
    </row>
    <row r="166" spans="1:35" ht="27" customHeight="1">
      <c r="A166" s="9599"/>
      <c r="B166" s="9660"/>
      <c r="C166" s="9125"/>
      <c r="D166" s="8834"/>
      <c r="E166" s="8834"/>
      <c r="F166" s="8782"/>
      <c r="G166" s="8974"/>
      <c r="H166" s="8834"/>
      <c r="I166" s="8782"/>
      <c r="J166" s="9217"/>
      <c r="K166" s="8782"/>
      <c r="L166" s="9258"/>
      <c r="M166" s="8975"/>
      <c r="N166" s="9687"/>
      <c r="O166" s="9714"/>
      <c r="P166" s="8834"/>
      <c r="Q166" s="9217"/>
      <c r="R166" s="9702"/>
      <c r="S166" s="3389"/>
      <c r="T166" s="6324"/>
      <c r="U166" s="6324"/>
      <c r="V166" s="8280" t="s">
        <v>1653</v>
      </c>
      <c r="W166" s="8272">
        <v>12</v>
      </c>
      <c r="X166" s="8281" t="s">
        <v>180</v>
      </c>
      <c r="Y166" s="8282">
        <v>1247</v>
      </c>
      <c r="Z166" s="8274">
        <f t="shared" ref="Z166:Z167" si="20">W166*Y166</f>
        <v>14964</v>
      </c>
      <c r="AA166" s="8283">
        <f t="shared" ref="AA166:AA167" si="21">Z166*1.12</f>
        <v>16759.68</v>
      </c>
      <c r="AB166" s="8032"/>
      <c r="AC166" s="8284"/>
      <c r="AD166" s="8276"/>
      <c r="AE166" s="8277"/>
      <c r="AF166" s="8278" t="s">
        <v>153</v>
      </c>
      <c r="AG166" s="8279"/>
      <c r="AH166" s="9757"/>
      <c r="AI166" s="559"/>
    </row>
    <row r="167" spans="1:35" ht="27" customHeight="1">
      <c r="A167" s="9599"/>
      <c r="B167" s="9660"/>
      <c r="C167" s="9125"/>
      <c r="D167" s="8834"/>
      <c r="E167" s="8834"/>
      <c r="F167" s="8782"/>
      <c r="G167" s="8974"/>
      <c r="H167" s="8834"/>
      <c r="I167" s="8782"/>
      <c r="J167" s="9217"/>
      <c r="K167" s="8782"/>
      <c r="L167" s="9258"/>
      <c r="M167" s="8975"/>
      <c r="N167" s="9687"/>
      <c r="O167" s="9714"/>
      <c r="P167" s="8834"/>
      <c r="Q167" s="9217"/>
      <c r="R167" s="9702"/>
      <c r="S167" s="3389"/>
      <c r="T167" s="6324"/>
      <c r="U167" s="6324"/>
      <c r="V167" s="8285" t="s">
        <v>1654</v>
      </c>
      <c r="W167" s="8272">
        <v>10</v>
      </c>
      <c r="X167" s="8281" t="s">
        <v>180</v>
      </c>
      <c r="Y167" s="8286">
        <v>426</v>
      </c>
      <c r="Z167" s="8274">
        <f t="shared" si="20"/>
        <v>4260</v>
      </c>
      <c r="AA167" s="8283">
        <f t="shared" si="21"/>
        <v>4771.2000000000007</v>
      </c>
      <c r="AB167" s="8032"/>
      <c r="AC167" s="8284"/>
      <c r="AD167" s="8276"/>
      <c r="AE167" s="8277"/>
      <c r="AF167" s="8278"/>
      <c r="AG167" s="8279" t="s">
        <v>153</v>
      </c>
      <c r="AH167" s="9757"/>
      <c r="AI167" s="559"/>
    </row>
    <row r="168" spans="1:35" ht="18" customHeight="1">
      <c r="A168" s="9392"/>
      <c r="B168" s="9661"/>
      <c r="C168" s="9333"/>
      <c r="D168" s="9311"/>
      <c r="E168" s="9311"/>
      <c r="F168" s="9311"/>
      <c r="G168" s="9311"/>
      <c r="H168" s="9311"/>
      <c r="I168" s="9311"/>
      <c r="J168" s="9433"/>
      <c r="K168" s="9311"/>
      <c r="L168" s="9311"/>
      <c r="M168" s="9313"/>
      <c r="N168" s="9688"/>
      <c r="O168" s="9688"/>
      <c r="P168" s="9311"/>
      <c r="Q168" s="9433"/>
      <c r="R168" s="9691"/>
      <c r="S168" s="3389"/>
      <c r="T168" s="6324"/>
      <c r="U168" s="6324"/>
      <c r="V168" s="8285" t="s">
        <v>1655</v>
      </c>
      <c r="W168" s="8272">
        <v>1</v>
      </c>
      <c r="X168" s="8281" t="s">
        <v>180</v>
      </c>
      <c r="Y168" s="8286">
        <v>0</v>
      </c>
      <c r="Z168" s="8274">
        <f t="shared" ref="Z168:Z173" si="22">W168*Y168</f>
        <v>0</v>
      </c>
      <c r="AA168" s="8283">
        <f t="shared" ref="AA168:AA173" si="23">Z168*1.12</f>
        <v>0</v>
      </c>
      <c r="AB168" s="8032"/>
      <c r="AC168" s="8284"/>
      <c r="AD168" s="8276"/>
      <c r="AE168" s="8277"/>
      <c r="AF168" s="8278"/>
      <c r="AG168" s="8279"/>
      <c r="AH168" s="9757"/>
      <c r="AI168" s="559"/>
    </row>
    <row r="169" spans="1:35" ht="18" customHeight="1">
      <c r="A169" s="9392"/>
      <c r="B169" s="9661"/>
      <c r="C169" s="9333"/>
      <c r="D169" s="9311"/>
      <c r="E169" s="9311"/>
      <c r="F169" s="9311"/>
      <c r="G169" s="9311"/>
      <c r="H169" s="9311"/>
      <c r="I169" s="9311"/>
      <c r="J169" s="9433"/>
      <c r="K169" s="9311"/>
      <c r="L169" s="9311"/>
      <c r="M169" s="9313"/>
      <c r="N169" s="9688"/>
      <c r="O169" s="9688"/>
      <c r="P169" s="9311"/>
      <c r="Q169" s="9433"/>
      <c r="R169" s="9691"/>
      <c r="S169" s="3389"/>
      <c r="T169" s="6324"/>
      <c r="U169" s="6324"/>
      <c r="V169" s="8285" t="s">
        <v>1656</v>
      </c>
      <c r="W169" s="8272">
        <v>1</v>
      </c>
      <c r="X169" s="8281" t="s">
        <v>180</v>
      </c>
      <c r="Y169" s="8286">
        <v>0</v>
      </c>
      <c r="Z169" s="8274">
        <f t="shared" si="22"/>
        <v>0</v>
      </c>
      <c r="AA169" s="8283">
        <f t="shared" si="23"/>
        <v>0</v>
      </c>
      <c r="AB169" s="8032"/>
      <c r="AC169" s="8284"/>
      <c r="AD169" s="8276"/>
      <c r="AE169" s="8277"/>
      <c r="AF169" s="8278"/>
      <c r="AG169" s="8279"/>
      <c r="AH169" s="9757"/>
      <c r="AI169" s="559"/>
    </row>
    <row r="170" spans="1:35" ht="18" customHeight="1">
      <c r="A170" s="9392"/>
      <c r="B170" s="9661"/>
      <c r="C170" s="9333"/>
      <c r="D170" s="9311"/>
      <c r="E170" s="9311"/>
      <c r="F170" s="9311"/>
      <c r="G170" s="9311"/>
      <c r="H170" s="9311"/>
      <c r="I170" s="9311"/>
      <c r="J170" s="9433"/>
      <c r="K170" s="9311"/>
      <c r="L170" s="9311"/>
      <c r="M170" s="9313"/>
      <c r="N170" s="9688"/>
      <c r="O170" s="9688"/>
      <c r="P170" s="9311"/>
      <c r="Q170" s="9433"/>
      <c r="R170" s="9691"/>
      <c r="S170" s="3389"/>
      <c r="T170" s="6324"/>
      <c r="U170" s="6324"/>
      <c r="V170" s="8285" t="s">
        <v>1657</v>
      </c>
      <c r="W170" s="8272">
        <v>2</v>
      </c>
      <c r="X170" s="8281" t="s">
        <v>180</v>
      </c>
      <c r="Y170" s="8286">
        <v>600</v>
      </c>
      <c r="Z170" s="8274">
        <f t="shared" si="22"/>
        <v>1200</v>
      </c>
      <c r="AA170" s="8283">
        <f t="shared" si="23"/>
        <v>1344.0000000000002</v>
      </c>
      <c r="AB170" s="8032"/>
      <c r="AC170" s="8284"/>
      <c r="AD170" s="8276"/>
      <c r="AE170" s="8277"/>
      <c r="AF170" s="8278"/>
      <c r="AG170" s="8279" t="s">
        <v>153</v>
      </c>
      <c r="AH170" s="9757"/>
      <c r="AI170" s="559"/>
    </row>
    <row r="171" spans="1:35" ht="18" customHeight="1">
      <c r="A171" s="9392"/>
      <c r="B171" s="9661"/>
      <c r="C171" s="9333"/>
      <c r="D171" s="9311"/>
      <c r="E171" s="9311"/>
      <c r="F171" s="9311"/>
      <c r="G171" s="9311"/>
      <c r="H171" s="9311"/>
      <c r="I171" s="9311"/>
      <c r="J171" s="9433"/>
      <c r="K171" s="9311"/>
      <c r="L171" s="9311"/>
      <c r="M171" s="9313"/>
      <c r="N171" s="9688"/>
      <c r="O171" s="9688"/>
      <c r="P171" s="9311"/>
      <c r="Q171" s="9433"/>
      <c r="R171" s="9691"/>
      <c r="S171" s="3389"/>
      <c r="T171" s="6324"/>
      <c r="U171" s="6324"/>
      <c r="V171" s="8285" t="s">
        <v>1658</v>
      </c>
      <c r="W171" s="8272">
        <v>2</v>
      </c>
      <c r="X171" s="8281" t="s">
        <v>180</v>
      </c>
      <c r="Y171" s="8286">
        <v>850</v>
      </c>
      <c r="Z171" s="8274">
        <f t="shared" si="22"/>
        <v>1700</v>
      </c>
      <c r="AA171" s="8283">
        <f t="shared" si="23"/>
        <v>1904.0000000000002</v>
      </c>
      <c r="AB171" s="8032"/>
      <c r="AC171" s="8284"/>
      <c r="AD171" s="8276"/>
      <c r="AE171" s="8277"/>
      <c r="AF171" s="8278"/>
      <c r="AG171" s="8279" t="s">
        <v>153</v>
      </c>
      <c r="AH171" s="9757"/>
      <c r="AI171" s="559"/>
    </row>
    <row r="172" spans="1:35" ht="18" customHeight="1">
      <c r="A172" s="9392"/>
      <c r="B172" s="9661"/>
      <c r="C172" s="9333"/>
      <c r="D172" s="9311"/>
      <c r="E172" s="9311"/>
      <c r="F172" s="9311"/>
      <c r="G172" s="9311"/>
      <c r="H172" s="9311"/>
      <c r="I172" s="9311"/>
      <c r="J172" s="9433"/>
      <c r="K172" s="9311"/>
      <c r="L172" s="9311"/>
      <c r="M172" s="9313"/>
      <c r="N172" s="9688"/>
      <c r="O172" s="9688"/>
      <c r="P172" s="9311"/>
      <c r="Q172" s="9433"/>
      <c r="R172" s="9691"/>
      <c r="S172" s="3389"/>
      <c r="T172" s="6324"/>
      <c r="U172" s="6324"/>
      <c r="V172" s="8285" t="s">
        <v>1659</v>
      </c>
      <c r="W172" s="8272">
        <v>6</v>
      </c>
      <c r="X172" s="8281" t="s">
        <v>180</v>
      </c>
      <c r="Y172" s="8286">
        <v>1570</v>
      </c>
      <c r="Z172" s="8274">
        <f t="shared" si="22"/>
        <v>9420</v>
      </c>
      <c r="AA172" s="8283">
        <f t="shared" si="23"/>
        <v>10550.400000000001</v>
      </c>
      <c r="AB172" s="8032"/>
      <c r="AC172" s="8284"/>
      <c r="AD172" s="8276"/>
      <c r="AE172" s="8277"/>
      <c r="AF172" s="8278" t="s">
        <v>153</v>
      </c>
      <c r="AG172" s="8279"/>
      <c r="AH172" s="9757"/>
      <c r="AI172" s="559"/>
    </row>
    <row r="173" spans="1:35" ht="18" customHeight="1">
      <c r="A173" s="9392"/>
      <c r="B173" s="9661"/>
      <c r="C173" s="9333"/>
      <c r="D173" s="9311"/>
      <c r="E173" s="9311"/>
      <c r="F173" s="9311"/>
      <c r="G173" s="9311"/>
      <c r="H173" s="9311"/>
      <c r="I173" s="9311"/>
      <c r="J173" s="9433"/>
      <c r="K173" s="9311"/>
      <c r="L173" s="9311"/>
      <c r="M173" s="9313"/>
      <c r="N173" s="9688"/>
      <c r="O173" s="9688"/>
      <c r="P173" s="9311"/>
      <c r="Q173" s="9433"/>
      <c r="R173" s="9691"/>
      <c r="S173" s="3389"/>
      <c r="T173" s="6324"/>
      <c r="U173" s="6324"/>
      <c r="V173" s="8285" t="s">
        <v>1660</v>
      </c>
      <c r="W173" s="8272">
        <v>8</v>
      </c>
      <c r="X173" s="8281" t="s">
        <v>180</v>
      </c>
      <c r="Y173" s="8286">
        <v>567</v>
      </c>
      <c r="Z173" s="8274">
        <f t="shared" si="22"/>
        <v>4536</v>
      </c>
      <c r="AA173" s="8283">
        <f t="shared" si="23"/>
        <v>5080.3200000000006</v>
      </c>
      <c r="AB173" s="8032"/>
      <c r="AC173" s="8284"/>
      <c r="AD173" s="8276"/>
      <c r="AE173" s="8277"/>
      <c r="AF173" s="8278" t="s">
        <v>153</v>
      </c>
      <c r="AG173" s="8279"/>
      <c r="AH173" s="9757"/>
      <c r="AI173" s="559"/>
    </row>
    <row r="174" spans="1:35" ht="27" customHeight="1">
      <c r="A174" s="9599"/>
      <c r="B174" s="9660"/>
      <c r="C174" s="9125"/>
      <c r="D174" s="8834"/>
      <c r="E174" s="8834"/>
      <c r="F174" s="8782"/>
      <c r="G174" s="8974"/>
      <c r="H174" s="8834"/>
      <c r="I174" s="8782"/>
      <c r="J174" s="9217"/>
      <c r="K174" s="8782"/>
      <c r="L174" s="9258"/>
      <c r="M174" s="8975"/>
      <c r="N174" s="9687"/>
      <c r="O174" s="9714"/>
      <c r="P174" s="8834"/>
      <c r="Q174" s="9217"/>
      <c r="R174" s="9702"/>
      <c r="S174" s="2866"/>
      <c r="T174" s="4682"/>
      <c r="U174" s="4682"/>
      <c r="V174" s="2871" t="s">
        <v>1632</v>
      </c>
      <c r="W174" s="3488"/>
      <c r="X174" s="2702"/>
      <c r="Y174" s="6707"/>
      <c r="Z174" s="6707"/>
      <c r="AA174" s="6707"/>
      <c r="AB174" s="6660"/>
      <c r="AC174" s="6749"/>
      <c r="AD174" s="2867"/>
      <c r="AE174" s="2868"/>
      <c r="AF174" s="2869"/>
      <c r="AG174" s="2870"/>
      <c r="AH174" s="9757"/>
      <c r="AI174" s="559"/>
    </row>
    <row r="175" spans="1:35" ht="57" customHeight="1">
      <c r="A175" s="9599"/>
      <c r="B175" s="9660"/>
      <c r="C175" s="9125"/>
      <c r="D175" s="8834"/>
      <c r="E175" s="8834"/>
      <c r="F175" s="8782"/>
      <c r="G175" s="8974"/>
      <c r="H175" s="8834"/>
      <c r="I175" s="8782"/>
      <c r="J175" s="9217"/>
      <c r="K175" s="8782"/>
      <c r="L175" s="9258"/>
      <c r="M175" s="8975"/>
      <c r="N175" s="9687"/>
      <c r="O175" s="9714"/>
      <c r="P175" s="8834"/>
      <c r="Q175" s="9217"/>
      <c r="R175" s="9702"/>
      <c r="S175" s="3384" t="s">
        <v>80</v>
      </c>
      <c r="T175" s="6324">
        <v>530204</v>
      </c>
      <c r="U175" s="6324"/>
      <c r="V175" s="3176" t="s">
        <v>16</v>
      </c>
      <c r="W175" s="3488"/>
      <c r="X175" s="3385"/>
      <c r="Y175" s="6708"/>
      <c r="Z175" s="6708"/>
      <c r="AA175" s="6708"/>
      <c r="AB175" s="4920">
        <f>SUM(AA176)</f>
        <v>5000</v>
      </c>
      <c r="AC175" s="4782" t="s">
        <v>26</v>
      </c>
      <c r="AD175" s="3386"/>
      <c r="AE175" s="3177"/>
      <c r="AF175" s="3387"/>
      <c r="AG175" s="3388"/>
      <c r="AH175" s="9757"/>
      <c r="AI175" s="559"/>
    </row>
    <row r="176" spans="1:35" ht="35.25" customHeight="1">
      <c r="A176" s="9599"/>
      <c r="B176" s="9660"/>
      <c r="C176" s="9125"/>
      <c r="D176" s="8834"/>
      <c r="E176" s="8834"/>
      <c r="F176" s="8782"/>
      <c r="G176" s="8974"/>
      <c r="H176" s="8834"/>
      <c r="I176" s="8782"/>
      <c r="J176" s="9217"/>
      <c r="K176" s="8782"/>
      <c r="L176" s="9258"/>
      <c r="M176" s="8975"/>
      <c r="N176" s="9687"/>
      <c r="O176" s="9714"/>
      <c r="P176" s="8834"/>
      <c r="Q176" s="9217"/>
      <c r="R176" s="9702"/>
      <c r="S176" s="3389"/>
      <c r="T176" s="6324"/>
      <c r="U176" s="6324"/>
      <c r="V176" s="3390" t="s">
        <v>1661</v>
      </c>
      <c r="W176" s="3488"/>
      <c r="X176" s="3385"/>
      <c r="Y176" s="6708">
        <f>5000/1.12</f>
        <v>4464.2857142857138</v>
      </c>
      <c r="Z176" s="6708">
        <f>Y176</f>
        <v>4464.2857142857138</v>
      </c>
      <c r="AA176" s="6712">
        <f>+Z176*1.12</f>
        <v>5000</v>
      </c>
      <c r="AB176" s="4920"/>
      <c r="AC176" s="6750"/>
      <c r="AD176" s="3386"/>
      <c r="AE176" s="3177"/>
      <c r="AF176" s="3387"/>
      <c r="AG176" s="3388" t="s">
        <v>153</v>
      </c>
      <c r="AH176" s="9757"/>
      <c r="AI176" s="559"/>
    </row>
    <row r="177" spans="1:35" ht="27" customHeight="1">
      <c r="A177" s="9599"/>
      <c r="B177" s="9660"/>
      <c r="C177" s="9125"/>
      <c r="D177" s="8834"/>
      <c r="E177" s="8834"/>
      <c r="F177" s="8782"/>
      <c r="G177" s="8974"/>
      <c r="H177" s="8834"/>
      <c r="I177" s="8782"/>
      <c r="J177" s="9217"/>
      <c r="K177" s="8782"/>
      <c r="L177" s="9258"/>
      <c r="M177" s="8975"/>
      <c r="N177" s="9687"/>
      <c r="O177" s="9714"/>
      <c r="P177" s="8834"/>
      <c r="Q177" s="9217"/>
      <c r="R177" s="9702"/>
      <c r="S177" s="3391"/>
      <c r="T177" s="6312"/>
      <c r="U177" s="6312"/>
      <c r="V177" s="2871" t="s">
        <v>1632</v>
      </c>
      <c r="W177" s="3488"/>
      <c r="X177" s="3280"/>
      <c r="Y177" s="6706"/>
      <c r="Z177" s="6706"/>
      <c r="AA177" s="6518"/>
      <c r="AB177" s="4918"/>
      <c r="AC177" s="6272"/>
      <c r="AD177" s="377"/>
      <c r="AE177" s="53"/>
      <c r="AF177" s="73"/>
      <c r="AG177" s="3392"/>
      <c r="AH177" s="9757"/>
      <c r="AI177" s="559"/>
    </row>
    <row r="178" spans="1:35" ht="31.5" customHeight="1">
      <c r="A178" s="9599"/>
      <c r="B178" s="9660"/>
      <c r="C178" s="9125"/>
      <c r="D178" s="8834"/>
      <c r="E178" s="8834"/>
      <c r="F178" s="8782"/>
      <c r="G178" s="8974"/>
      <c r="H178" s="8834"/>
      <c r="I178" s="8782"/>
      <c r="J178" s="9217"/>
      <c r="K178" s="8782"/>
      <c r="L178" s="9258"/>
      <c r="M178" s="8975"/>
      <c r="N178" s="9687"/>
      <c r="O178" s="9714"/>
      <c r="P178" s="8834"/>
      <c r="Q178" s="9217"/>
      <c r="R178" s="9702"/>
      <c r="S178" s="3384" t="s">
        <v>80</v>
      </c>
      <c r="T178" s="6324">
        <v>530304</v>
      </c>
      <c r="U178" s="6324"/>
      <c r="V178" s="3176" t="s">
        <v>30</v>
      </c>
      <c r="W178" s="3488"/>
      <c r="X178" s="3385"/>
      <c r="Y178" s="6708"/>
      <c r="Z178" s="6708"/>
      <c r="AA178" s="6708"/>
      <c r="AB178" s="4920">
        <f>SUM(AA179)</f>
        <v>2200</v>
      </c>
      <c r="AC178" s="4782" t="s">
        <v>25</v>
      </c>
      <c r="AD178" s="3386"/>
      <c r="AE178" s="3177"/>
      <c r="AF178" s="3387"/>
      <c r="AG178" s="3388"/>
      <c r="AH178" s="9757"/>
      <c r="AI178" s="559"/>
    </row>
    <row r="179" spans="1:35" ht="31.5" customHeight="1">
      <c r="A179" s="9599"/>
      <c r="B179" s="9660"/>
      <c r="C179" s="9125"/>
      <c r="D179" s="8834"/>
      <c r="E179" s="8834"/>
      <c r="F179" s="8782"/>
      <c r="G179" s="8974"/>
      <c r="H179" s="8834"/>
      <c r="I179" s="8782"/>
      <c r="J179" s="9217"/>
      <c r="K179" s="8782"/>
      <c r="L179" s="9258"/>
      <c r="M179" s="8975"/>
      <c r="N179" s="9687"/>
      <c r="O179" s="9714"/>
      <c r="P179" s="8834"/>
      <c r="Q179" s="9217"/>
      <c r="R179" s="9702"/>
      <c r="S179" s="3389"/>
      <c r="T179" s="6324"/>
      <c r="U179" s="6324"/>
      <c r="V179" s="3390" t="s">
        <v>1662</v>
      </c>
      <c r="W179" s="3488"/>
      <c r="X179" s="3385"/>
      <c r="Y179" s="6708">
        <f>2200/1.12</f>
        <v>1964.285714285714</v>
      </c>
      <c r="Z179" s="6708">
        <f>Y179</f>
        <v>1964.285714285714</v>
      </c>
      <c r="AA179" s="6712">
        <f>+Z179*1.12</f>
        <v>2200</v>
      </c>
      <c r="AB179" s="4920"/>
      <c r="AC179" s="6750"/>
      <c r="AD179" s="3386"/>
      <c r="AE179" s="3177"/>
      <c r="AF179" s="3387"/>
      <c r="AG179" s="3388" t="s">
        <v>153</v>
      </c>
      <c r="AH179" s="9757"/>
      <c r="AI179" s="559"/>
    </row>
    <row r="180" spans="1:35" ht="27" customHeight="1">
      <c r="A180" s="9599"/>
      <c r="B180" s="9660"/>
      <c r="C180" s="9125"/>
      <c r="D180" s="8834"/>
      <c r="E180" s="8834"/>
      <c r="F180" s="8782"/>
      <c r="G180" s="8974"/>
      <c r="H180" s="8834"/>
      <c r="I180" s="8782"/>
      <c r="J180" s="9217"/>
      <c r="K180" s="8782"/>
      <c r="L180" s="9258"/>
      <c r="M180" s="8975"/>
      <c r="N180" s="9687"/>
      <c r="O180" s="9714"/>
      <c r="P180" s="8834"/>
      <c r="Q180" s="9217"/>
      <c r="R180" s="9702"/>
      <c r="S180" s="3389"/>
      <c r="T180" s="6324"/>
      <c r="U180" s="6324"/>
      <c r="V180" s="2871" t="s">
        <v>1632</v>
      </c>
      <c r="W180" s="3488"/>
      <c r="X180" s="3385"/>
      <c r="Y180" s="6708"/>
      <c r="Z180" s="6708"/>
      <c r="AA180" s="6708"/>
      <c r="AB180" s="4920"/>
      <c r="AC180" s="6750"/>
      <c r="AD180" s="3386"/>
      <c r="AE180" s="3177"/>
      <c r="AF180" s="3387"/>
      <c r="AG180" s="3388"/>
      <c r="AH180" s="9757"/>
      <c r="AI180" s="559"/>
    </row>
    <row r="181" spans="1:35" ht="33.75" customHeight="1">
      <c r="A181" s="9599"/>
      <c r="B181" s="9660"/>
      <c r="C181" s="9125"/>
      <c r="D181" s="8834"/>
      <c r="E181" s="8834"/>
      <c r="F181" s="8782"/>
      <c r="G181" s="8974"/>
      <c r="H181" s="8834"/>
      <c r="I181" s="8782"/>
      <c r="J181" s="9217"/>
      <c r="K181" s="8782"/>
      <c r="L181" s="9258"/>
      <c r="M181" s="8975"/>
      <c r="N181" s="9687"/>
      <c r="O181" s="9714"/>
      <c r="P181" s="8834"/>
      <c r="Q181" s="9217"/>
      <c r="R181" s="9702"/>
      <c r="S181" s="3384" t="s">
        <v>80</v>
      </c>
      <c r="T181" s="6324">
        <v>530404</v>
      </c>
      <c r="U181" s="6324"/>
      <c r="V181" s="3176" t="s">
        <v>505</v>
      </c>
      <c r="W181" s="3488"/>
      <c r="X181" s="3385"/>
      <c r="Y181" s="8274"/>
      <c r="Z181" s="8274"/>
      <c r="AA181" s="8274"/>
      <c r="AB181" s="8032">
        <f>SUM(AA182)</f>
        <v>5060.96</v>
      </c>
      <c r="AC181" s="4782" t="s">
        <v>18</v>
      </c>
      <c r="AD181" s="3386"/>
      <c r="AE181" s="3177"/>
      <c r="AF181" s="3387"/>
      <c r="AG181" s="3388"/>
      <c r="AH181" s="9757"/>
      <c r="AI181" s="559"/>
    </row>
    <row r="182" spans="1:35" ht="48" customHeight="1">
      <c r="A182" s="9599"/>
      <c r="B182" s="9660"/>
      <c r="C182" s="9125"/>
      <c r="D182" s="8834"/>
      <c r="E182" s="8834"/>
      <c r="F182" s="8782"/>
      <c r="G182" s="8974"/>
      <c r="H182" s="8834"/>
      <c r="I182" s="8782"/>
      <c r="J182" s="9217"/>
      <c r="K182" s="8782"/>
      <c r="L182" s="9258"/>
      <c r="M182" s="8975"/>
      <c r="N182" s="9687"/>
      <c r="O182" s="9714"/>
      <c r="P182" s="8834"/>
      <c r="Q182" s="9217"/>
      <c r="R182" s="9702"/>
      <c r="S182" s="3389"/>
      <c r="T182" s="6324"/>
      <c r="U182" s="6324"/>
      <c r="V182" s="3390" t="s">
        <v>1663</v>
      </c>
      <c r="W182" s="3488"/>
      <c r="X182" s="3385"/>
      <c r="Y182" s="8274">
        <f>(5860.96-800)/1.12</f>
        <v>4518.7142857142853</v>
      </c>
      <c r="Z182" s="8274">
        <f>Y182</f>
        <v>4518.7142857142853</v>
      </c>
      <c r="AA182" s="8283">
        <f>+Z182*1.12</f>
        <v>5060.96</v>
      </c>
      <c r="AB182" s="8032"/>
      <c r="AC182" s="6750"/>
      <c r="AD182" s="3386"/>
      <c r="AE182" s="3177"/>
      <c r="AF182" s="3387"/>
      <c r="AG182" s="3388" t="s">
        <v>153</v>
      </c>
      <c r="AH182" s="9757"/>
      <c r="AI182" s="559"/>
    </row>
    <row r="183" spans="1:35" ht="27" customHeight="1">
      <c r="A183" s="9599"/>
      <c r="B183" s="9660"/>
      <c r="C183" s="9125"/>
      <c r="D183" s="8834"/>
      <c r="E183" s="8834"/>
      <c r="F183" s="8782"/>
      <c r="G183" s="8974"/>
      <c r="H183" s="8834"/>
      <c r="I183" s="8782"/>
      <c r="J183" s="9217"/>
      <c r="K183" s="8782"/>
      <c r="L183" s="9258"/>
      <c r="M183" s="8975"/>
      <c r="N183" s="9687"/>
      <c r="O183" s="9714"/>
      <c r="P183" s="8834"/>
      <c r="Q183" s="9217"/>
      <c r="R183" s="9702"/>
      <c r="S183" s="3389"/>
      <c r="T183" s="6324"/>
      <c r="U183" s="6324"/>
      <c r="V183" s="2871" t="s">
        <v>1632</v>
      </c>
      <c r="W183" s="3488"/>
      <c r="X183" s="3385"/>
      <c r="Y183" s="6708"/>
      <c r="Z183" s="6708"/>
      <c r="AA183" s="6708"/>
      <c r="AB183" s="4920"/>
      <c r="AC183" s="6750"/>
      <c r="AD183" s="3386"/>
      <c r="AE183" s="3177"/>
      <c r="AF183" s="3387"/>
      <c r="AG183" s="3388"/>
      <c r="AH183" s="9757"/>
      <c r="AI183" s="559"/>
    </row>
    <row r="184" spans="1:35" ht="31.5" customHeight="1">
      <c r="A184" s="9599"/>
      <c r="B184" s="9660"/>
      <c r="C184" s="9125"/>
      <c r="D184" s="8834"/>
      <c r="E184" s="8834"/>
      <c r="F184" s="8782"/>
      <c r="G184" s="8974"/>
      <c r="H184" s="8834"/>
      <c r="I184" s="8782"/>
      <c r="J184" s="9217"/>
      <c r="K184" s="8782"/>
      <c r="L184" s="9258"/>
      <c r="M184" s="8975"/>
      <c r="N184" s="9687"/>
      <c r="O184" s="9714"/>
      <c r="P184" s="8834"/>
      <c r="Q184" s="9217"/>
      <c r="R184" s="9702"/>
      <c r="S184" s="3384" t="s">
        <v>80</v>
      </c>
      <c r="T184" s="6324">
        <v>530609</v>
      </c>
      <c r="U184" s="6324"/>
      <c r="V184" s="3176" t="s">
        <v>32</v>
      </c>
      <c r="W184" s="3488"/>
      <c r="X184" s="3385"/>
      <c r="Y184" s="6708"/>
      <c r="Z184" s="6708"/>
      <c r="AA184" s="6708"/>
      <c r="AB184" s="4920">
        <f>SUM(AA185)</f>
        <v>2799.9999999999995</v>
      </c>
      <c r="AC184" s="4782" t="s">
        <v>25</v>
      </c>
      <c r="AD184" s="3386"/>
      <c r="AE184" s="3177"/>
      <c r="AF184" s="3387"/>
      <c r="AG184" s="3388"/>
      <c r="AH184" s="9757"/>
      <c r="AI184" s="559"/>
    </row>
    <row r="185" spans="1:35" ht="31.5" customHeight="1">
      <c r="A185" s="9599"/>
      <c r="B185" s="9660"/>
      <c r="C185" s="9125"/>
      <c r="D185" s="8834"/>
      <c r="E185" s="8834"/>
      <c r="F185" s="8782"/>
      <c r="G185" s="8974"/>
      <c r="H185" s="8834"/>
      <c r="I185" s="8782"/>
      <c r="J185" s="9217"/>
      <c r="K185" s="8782"/>
      <c r="L185" s="9258"/>
      <c r="M185" s="8975"/>
      <c r="N185" s="9687"/>
      <c r="O185" s="9714"/>
      <c r="P185" s="8834"/>
      <c r="Q185" s="9217"/>
      <c r="R185" s="9702"/>
      <c r="S185" s="3389"/>
      <c r="T185" s="6324"/>
      <c r="U185" s="6324"/>
      <c r="V185" s="3390" t="s">
        <v>1664</v>
      </c>
      <c r="W185" s="3488"/>
      <c r="X185" s="3385"/>
      <c r="Y185" s="6708">
        <f>2800/1.12</f>
        <v>2499.9999999999995</v>
      </c>
      <c r="Z185" s="6708">
        <f>Y185</f>
        <v>2499.9999999999995</v>
      </c>
      <c r="AA185" s="6712">
        <f>+Z185*1.12</f>
        <v>2799.9999999999995</v>
      </c>
      <c r="AB185" s="4920"/>
      <c r="AC185" s="6750"/>
      <c r="AD185" s="3386"/>
      <c r="AE185" s="3177"/>
      <c r="AF185" s="3387"/>
      <c r="AG185" s="3388" t="s">
        <v>153</v>
      </c>
      <c r="AH185" s="9757"/>
      <c r="AI185" s="559"/>
    </row>
    <row r="186" spans="1:35" ht="27" customHeight="1">
      <c r="A186" s="9599"/>
      <c r="B186" s="9660"/>
      <c r="C186" s="9125"/>
      <c r="D186" s="8834"/>
      <c r="E186" s="8834"/>
      <c r="F186" s="8782"/>
      <c r="G186" s="8974"/>
      <c r="H186" s="8834"/>
      <c r="I186" s="8782"/>
      <c r="J186" s="9217"/>
      <c r="K186" s="8782"/>
      <c r="L186" s="9258"/>
      <c r="M186" s="8975"/>
      <c r="N186" s="9687"/>
      <c r="O186" s="9714"/>
      <c r="P186" s="8834"/>
      <c r="Q186" s="9217"/>
      <c r="R186" s="9702"/>
      <c r="S186" s="3389"/>
      <c r="T186" s="6324"/>
      <c r="U186" s="6324"/>
      <c r="V186" s="2871" t="s">
        <v>1632</v>
      </c>
      <c r="W186" s="3488"/>
      <c r="X186" s="3385"/>
      <c r="Y186" s="6708"/>
      <c r="Z186" s="6708"/>
      <c r="AA186" s="6708"/>
      <c r="AB186" s="4920"/>
      <c r="AC186" s="6750"/>
      <c r="AD186" s="3386"/>
      <c r="AE186" s="3177"/>
      <c r="AF186" s="3387"/>
      <c r="AG186" s="3388"/>
      <c r="AH186" s="9757"/>
      <c r="AI186" s="559"/>
    </row>
    <row r="187" spans="1:35" ht="32.25" customHeight="1">
      <c r="A187" s="9599"/>
      <c r="B187" s="9660"/>
      <c r="C187" s="9125"/>
      <c r="D187" s="8834"/>
      <c r="E187" s="8834"/>
      <c r="F187" s="8782"/>
      <c r="G187" s="8974"/>
      <c r="H187" s="8834"/>
      <c r="I187" s="8782"/>
      <c r="J187" s="9217"/>
      <c r="K187" s="8782"/>
      <c r="L187" s="9258"/>
      <c r="M187" s="8975"/>
      <c r="N187" s="9687"/>
      <c r="O187" s="9714"/>
      <c r="P187" s="8834"/>
      <c r="Q187" s="9217"/>
      <c r="R187" s="9702"/>
      <c r="S187" s="3384" t="s">
        <v>80</v>
      </c>
      <c r="T187" s="6324">
        <v>530702</v>
      </c>
      <c r="U187" s="6324"/>
      <c r="V187" s="3176" t="s">
        <v>1665</v>
      </c>
      <c r="W187" s="3488"/>
      <c r="X187" s="3385"/>
      <c r="Y187" s="6708"/>
      <c r="Z187" s="6708"/>
      <c r="AA187" s="6708"/>
      <c r="AB187" s="4920">
        <f>SUM(AA188)</f>
        <v>5780</v>
      </c>
      <c r="AC187" s="4782" t="s">
        <v>26</v>
      </c>
      <c r="AD187" s="3386"/>
      <c r="AE187" s="3177"/>
      <c r="AF187" s="3387"/>
      <c r="AG187" s="3388"/>
      <c r="AH187" s="9757"/>
    </row>
    <row r="188" spans="1:35" ht="32.25" customHeight="1">
      <c r="A188" s="9599"/>
      <c r="B188" s="9660"/>
      <c r="C188" s="9125"/>
      <c r="D188" s="8834"/>
      <c r="E188" s="8834"/>
      <c r="F188" s="8782"/>
      <c r="G188" s="8974"/>
      <c r="H188" s="8834"/>
      <c r="I188" s="8782"/>
      <c r="J188" s="9217"/>
      <c r="K188" s="8782"/>
      <c r="L188" s="9258"/>
      <c r="M188" s="8975"/>
      <c r="N188" s="9687"/>
      <c r="O188" s="9714"/>
      <c r="P188" s="8834"/>
      <c r="Q188" s="9217"/>
      <c r="R188" s="9702"/>
      <c r="S188" s="3389"/>
      <c r="T188" s="6324"/>
      <c r="U188" s="6324"/>
      <c r="V188" s="3390" t="s">
        <v>1666</v>
      </c>
      <c r="W188" s="3488"/>
      <c r="X188" s="3385"/>
      <c r="Y188" s="6708">
        <f>5780/1.12</f>
        <v>5160.7142857142853</v>
      </c>
      <c r="Z188" s="6708">
        <f>Y188</f>
        <v>5160.7142857142853</v>
      </c>
      <c r="AA188" s="6712">
        <f>+Z188*1.12</f>
        <v>5780</v>
      </c>
      <c r="AB188" s="4920"/>
      <c r="AC188" s="6750"/>
      <c r="AD188" s="3386"/>
      <c r="AE188" s="3177"/>
      <c r="AF188" s="3387"/>
      <c r="AG188" s="3388" t="s">
        <v>153</v>
      </c>
      <c r="AH188" s="9757"/>
    </row>
    <row r="189" spans="1:35" ht="27" customHeight="1">
      <c r="A189" s="9599"/>
      <c r="B189" s="9660"/>
      <c r="C189" s="9125"/>
      <c r="D189" s="8834"/>
      <c r="E189" s="8834"/>
      <c r="F189" s="8782"/>
      <c r="G189" s="8974"/>
      <c r="H189" s="8834"/>
      <c r="I189" s="8782"/>
      <c r="J189" s="9217"/>
      <c r="K189" s="8782"/>
      <c r="L189" s="9258"/>
      <c r="M189" s="8975"/>
      <c r="N189" s="9687"/>
      <c r="O189" s="9714"/>
      <c r="P189" s="8834"/>
      <c r="Q189" s="9217"/>
      <c r="R189" s="9702"/>
      <c r="S189" s="3389"/>
      <c r="T189" s="6324"/>
      <c r="U189" s="6324"/>
      <c r="V189" s="2871" t="s">
        <v>1632</v>
      </c>
      <c r="W189" s="3488"/>
      <c r="X189" s="3385"/>
      <c r="Y189" s="6708"/>
      <c r="Z189" s="6708"/>
      <c r="AA189" s="6708"/>
      <c r="AB189" s="4920"/>
      <c r="AC189" s="6750"/>
      <c r="AD189" s="3386"/>
      <c r="AE189" s="3177"/>
      <c r="AF189" s="3387"/>
      <c r="AG189" s="3388"/>
      <c r="AH189" s="9757"/>
    </row>
    <row r="190" spans="1:35" ht="32.25" customHeight="1">
      <c r="A190" s="9599"/>
      <c r="B190" s="9660"/>
      <c r="C190" s="9125"/>
      <c r="D190" s="8834"/>
      <c r="E190" s="8834"/>
      <c r="F190" s="8782"/>
      <c r="G190" s="8974"/>
      <c r="H190" s="8834"/>
      <c r="I190" s="8782"/>
      <c r="J190" s="9217"/>
      <c r="K190" s="8782"/>
      <c r="L190" s="9258"/>
      <c r="M190" s="8975"/>
      <c r="N190" s="9687"/>
      <c r="O190" s="9714"/>
      <c r="P190" s="8834"/>
      <c r="Q190" s="9217"/>
      <c r="R190" s="9702"/>
      <c r="S190" s="3384" t="s">
        <v>80</v>
      </c>
      <c r="T190" s="6324">
        <v>530829</v>
      </c>
      <c r="U190" s="6324"/>
      <c r="V190" s="3176" t="s">
        <v>1667</v>
      </c>
      <c r="W190" s="3488"/>
      <c r="X190" s="3385"/>
      <c r="Y190" s="6708"/>
      <c r="Z190" s="6708"/>
      <c r="AA190" s="6708"/>
      <c r="AB190" s="4920">
        <f>SUM(AA191)</f>
        <v>5143.2</v>
      </c>
      <c r="AC190" s="4782" t="s">
        <v>26</v>
      </c>
      <c r="AD190" s="3386"/>
      <c r="AE190" s="3177"/>
      <c r="AF190" s="3387"/>
      <c r="AG190" s="3388"/>
      <c r="AH190" s="9757"/>
    </row>
    <row r="191" spans="1:35" ht="32.25" customHeight="1">
      <c r="A191" s="9599"/>
      <c r="B191" s="9660"/>
      <c r="C191" s="9126"/>
      <c r="D191" s="9127"/>
      <c r="E191" s="9127"/>
      <c r="F191" s="8867"/>
      <c r="G191" s="9165"/>
      <c r="H191" s="9127"/>
      <c r="I191" s="8782"/>
      <c r="J191" s="9217"/>
      <c r="K191" s="8782"/>
      <c r="L191" s="9258"/>
      <c r="M191" s="8975"/>
      <c r="N191" s="9715"/>
      <c r="O191" s="9714"/>
      <c r="P191" s="8834"/>
      <c r="Q191" s="9217"/>
      <c r="R191" s="9702"/>
      <c r="S191" s="3389"/>
      <c r="T191" s="6324"/>
      <c r="U191" s="6324"/>
      <c r="V191" s="3390" t="s">
        <v>1668</v>
      </c>
      <c r="W191" s="3488"/>
      <c r="X191" s="3385"/>
      <c r="Y191" s="6708">
        <f>(2500/1.12)+2360</f>
        <v>4592.1428571428569</v>
      </c>
      <c r="Z191" s="6708">
        <f>Y191</f>
        <v>4592.1428571428569</v>
      </c>
      <c r="AA191" s="6712">
        <f>+Z191*1.12</f>
        <v>5143.2</v>
      </c>
      <c r="AB191" s="4920"/>
      <c r="AC191" s="6750"/>
      <c r="AD191" s="3386"/>
      <c r="AE191" s="3177"/>
      <c r="AF191" s="3387"/>
      <c r="AG191" s="3388" t="s">
        <v>153</v>
      </c>
      <c r="AH191" s="9758"/>
    </row>
    <row r="192" spans="1:35" ht="29.25" customHeight="1">
      <c r="A192" s="9599"/>
      <c r="B192" s="9660"/>
      <c r="C192" s="9125" t="s">
        <v>1482</v>
      </c>
      <c r="D192" s="8834" t="s">
        <v>1291</v>
      </c>
      <c r="E192" s="8834" t="s">
        <v>1292</v>
      </c>
      <c r="F192" s="8834" t="s">
        <v>1533</v>
      </c>
      <c r="G192" s="8974" t="s">
        <v>1294</v>
      </c>
      <c r="H192" s="8834" t="s">
        <v>1304</v>
      </c>
      <c r="I192" s="8782" t="s">
        <v>159</v>
      </c>
      <c r="J192" s="9612" t="s">
        <v>1669</v>
      </c>
      <c r="K192" s="9258" t="s">
        <v>1670</v>
      </c>
      <c r="L192" s="9258" t="s">
        <v>1671</v>
      </c>
      <c r="M192" s="8975">
        <v>3</v>
      </c>
      <c r="N192" s="8979">
        <v>5</v>
      </c>
      <c r="O192" s="8975">
        <v>5</v>
      </c>
      <c r="P192" s="8782" t="s">
        <v>1537</v>
      </c>
      <c r="Q192" s="9217" t="s">
        <v>1672</v>
      </c>
      <c r="R192" s="9696" t="s">
        <v>1490</v>
      </c>
      <c r="S192" s="1280"/>
      <c r="T192" s="6579"/>
      <c r="U192" s="6579"/>
      <c r="V192" s="1953"/>
      <c r="W192" s="6615"/>
      <c r="X192" s="96"/>
      <c r="Y192" s="6653"/>
      <c r="Z192" s="6653"/>
      <c r="AA192" s="6653"/>
      <c r="AB192" s="6654"/>
      <c r="AC192" s="6736"/>
      <c r="AD192" s="1263"/>
      <c r="AE192" s="1063"/>
      <c r="AF192" s="1264"/>
      <c r="AG192" s="1264"/>
      <c r="AH192" s="9711"/>
    </row>
    <row r="193" spans="1:34" ht="29.25" customHeight="1">
      <c r="A193" s="9599"/>
      <c r="B193" s="9660"/>
      <c r="C193" s="9333"/>
      <c r="D193" s="9311"/>
      <c r="E193" s="9311"/>
      <c r="F193" s="9311"/>
      <c r="G193" s="9311"/>
      <c r="H193" s="9311"/>
      <c r="I193" s="9311"/>
      <c r="J193" s="9694"/>
      <c r="K193" s="9311"/>
      <c r="L193" s="9311"/>
      <c r="M193" s="9313"/>
      <c r="N193" s="9313"/>
      <c r="O193" s="9313"/>
      <c r="P193" s="9311"/>
      <c r="Q193" s="9433"/>
      <c r="R193" s="9691"/>
      <c r="S193" s="538"/>
      <c r="T193" s="6561"/>
      <c r="U193" s="6564"/>
      <c r="V193" s="546"/>
      <c r="W193" s="6602"/>
      <c r="X193" s="198"/>
      <c r="Y193" s="6639"/>
      <c r="Z193" s="6639"/>
      <c r="AA193" s="6639"/>
      <c r="AB193" s="6631"/>
      <c r="AC193" s="6723"/>
      <c r="AD193" s="423"/>
      <c r="AE193" s="198"/>
      <c r="AF193" s="200"/>
      <c r="AG193" s="197"/>
      <c r="AH193" s="9712"/>
    </row>
    <row r="194" spans="1:34" ht="29.25" customHeight="1">
      <c r="A194" s="9599"/>
      <c r="B194" s="9660"/>
      <c r="C194" s="9333"/>
      <c r="D194" s="9311"/>
      <c r="E194" s="9311"/>
      <c r="F194" s="9311"/>
      <c r="G194" s="9311"/>
      <c r="H194" s="9311"/>
      <c r="I194" s="9311"/>
      <c r="J194" s="9694"/>
      <c r="K194" s="9311"/>
      <c r="L194" s="9311"/>
      <c r="M194" s="9313"/>
      <c r="N194" s="9313"/>
      <c r="O194" s="9313"/>
      <c r="P194" s="9311"/>
      <c r="Q194" s="9433"/>
      <c r="R194" s="9691"/>
      <c r="S194" s="538"/>
      <c r="T194" s="6561"/>
      <c r="U194" s="6564"/>
      <c r="V194" s="546"/>
      <c r="W194" s="6602"/>
      <c r="X194" s="198"/>
      <c r="Y194" s="6639"/>
      <c r="Z194" s="6639"/>
      <c r="AA194" s="6639"/>
      <c r="AB194" s="6631"/>
      <c r="AC194" s="6723"/>
      <c r="AD194" s="423"/>
      <c r="AE194" s="198"/>
      <c r="AF194" s="200"/>
      <c r="AG194" s="197"/>
      <c r="AH194" s="9712"/>
    </row>
    <row r="195" spans="1:34" ht="29.25" customHeight="1">
      <c r="A195" s="9599"/>
      <c r="B195" s="9660"/>
      <c r="C195" s="9333"/>
      <c r="D195" s="9311"/>
      <c r="E195" s="9311"/>
      <c r="F195" s="9311"/>
      <c r="G195" s="9311"/>
      <c r="H195" s="9311"/>
      <c r="I195" s="9311"/>
      <c r="J195" s="9694"/>
      <c r="K195" s="9311"/>
      <c r="L195" s="9311"/>
      <c r="M195" s="9313"/>
      <c r="N195" s="9313"/>
      <c r="O195" s="9313"/>
      <c r="P195" s="9311"/>
      <c r="Q195" s="9433"/>
      <c r="R195" s="9691"/>
      <c r="S195" s="534"/>
      <c r="T195" s="6561"/>
      <c r="U195" s="6561"/>
      <c r="V195" s="541"/>
      <c r="W195" s="6602"/>
      <c r="X195" s="198"/>
      <c r="Y195" s="6639"/>
      <c r="Z195" s="6639"/>
      <c r="AA195" s="6639"/>
      <c r="AB195" s="6634"/>
      <c r="AC195" s="6724"/>
      <c r="AD195" s="424"/>
      <c r="AE195" s="198"/>
      <c r="AF195" s="200"/>
      <c r="AG195" s="200"/>
      <c r="AH195" s="9712"/>
    </row>
    <row r="196" spans="1:34" ht="29.25" customHeight="1">
      <c r="A196" s="9599"/>
      <c r="B196" s="9660"/>
      <c r="C196" s="9395"/>
      <c r="D196" s="9312"/>
      <c r="E196" s="9312"/>
      <c r="F196" s="9312"/>
      <c r="G196" s="9312"/>
      <c r="H196" s="9312"/>
      <c r="I196" s="9312"/>
      <c r="J196" s="9443"/>
      <c r="K196" s="9312"/>
      <c r="L196" s="9312"/>
      <c r="M196" s="9314"/>
      <c r="N196" s="9314"/>
      <c r="O196" s="9314"/>
      <c r="P196" s="9312"/>
      <c r="Q196" s="9434"/>
      <c r="R196" s="9692"/>
      <c r="S196" s="539"/>
      <c r="T196" s="6565"/>
      <c r="U196" s="6565"/>
      <c r="V196" s="545"/>
      <c r="W196" s="6600"/>
      <c r="X196" s="201"/>
      <c r="Y196" s="6635"/>
      <c r="Z196" s="6635"/>
      <c r="AA196" s="6635"/>
      <c r="AB196" s="6636"/>
      <c r="AC196" s="6725"/>
      <c r="AD196" s="425"/>
      <c r="AE196" s="201"/>
      <c r="AF196" s="202"/>
      <c r="AG196" s="202"/>
      <c r="AH196" s="9713"/>
    </row>
    <row r="197" spans="1:34" ht="31.5" customHeight="1">
      <c r="A197" s="9599"/>
      <c r="B197" s="9660"/>
      <c r="C197" s="9125" t="s">
        <v>1482</v>
      </c>
      <c r="D197" s="8834" t="s">
        <v>1291</v>
      </c>
      <c r="E197" s="8834" t="s">
        <v>1292</v>
      </c>
      <c r="F197" s="8782" t="s">
        <v>1310</v>
      </c>
      <c r="G197" s="8974" t="s">
        <v>1294</v>
      </c>
      <c r="H197" s="8834" t="s">
        <v>1304</v>
      </c>
      <c r="I197" s="8834" t="s">
        <v>133</v>
      </c>
      <c r="J197" s="8780" t="s">
        <v>1673</v>
      </c>
      <c r="K197" s="9258" t="s">
        <v>1674</v>
      </c>
      <c r="L197" s="9258" t="s">
        <v>1675</v>
      </c>
      <c r="M197" s="8975">
        <v>0</v>
      </c>
      <c r="N197" s="8975">
        <v>3</v>
      </c>
      <c r="O197" s="8975">
        <v>3</v>
      </c>
      <c r="P197" s="8782" t="s">
        <v>1676</v>
      </c>
      <c r="Q197" s="9217" t="s">
        <v>1677</v>
      </c>
      <c r="R197" s="9696" t="s">
        <v>1490</v>
      </c>
      <c r="S197" s="537"/>
      <c r="T197" s="6563"/>
      <c r="U197" s="6563"/>
      <c r="V197" s="548"/>
      <c r="W197" s="6601"/>
      <c r="X197" s="122"/>
      <c r="Y197" s="6637"/>
      <c r="Z197" s="6637"/>
      <c r="AA197" s="6637"/>
      <c r="AB197" s="6638"/>
      <c r="AC197" s="6726"/>
      <c r="AD197" s="421"/>
      <c r="AE197" s="122"/>
      <c r="AF197" s="190"/>
      <c r="AG197" s="190"/>
      <c r="AH197" s="9697"/>
    </row>
    <row r="198" spans="1:34" ht="31.5" customHeight="1">
      <c r="A198" s="9599"/>
      <c r="B198" s="9660"/>
      <c r="C198" s="9333"/>
      <c r="D198" s="9311"/>
      <c r="E198" s="9311"/>
      <c r="F198" s="9311"/>
      <c r="G198" s="9311"/>
      <c r="H198" s="9311"/>
      <c r="I198" s="9311"/>
      <c r="J198" s="9433"/>
      <c r="K198" s="9311"/>
      <c r="L198" s="9311"/>
      <c r="M198" s="9313"/>
      <c r="N198" s="9313"/>
      <c r="O198" s="9313"/>
      <c r="P198" s="9311"/>
      <c r="Q198" s="9433"/>
      <c r="R198" s="9691"/>
      <c r="S198" s="534"/>
      <c r="T198" s="6561"/>
      <c r="U198" s="6564"/>
      <c r="V198" s="546"/>
      <c r="W198" s="6602"/>
      <c r="X198" s="198"/>
      <c r="Y198" s="6639"/>
      <c r="Z198" s="6639"/>
      <c r="AA198" s="6639"/>
      <c r="AB198" s="6634"/>
      <c r="AC198" s="6724"/>
      <c r="AD198" s="424"/>
      <c r="AE198" s="198"/>
      <c r="AF198" s="200"/>
      <c r="AG198" s="200"/>
      <c r="AH198" s="9698"/>
    </row>
    <row r="199" spans="1:34" ht="31.5" customHeight="1">
      <c r="A199" s="9599"/>
      <c r="B199" s="9660"/>
      <c r="C199" s="9333"/>
      <c r="D199" s="9311"/>
      <c r="E199" s="9311"/>
      <c r="F199" s="9311"/>
      <c r="G199" s="9311"/>
      <c r="H199" s="9311"/>
      <c r="I199" s="9311"/>
      <c r="J199" s="9433"/>
      <c r="K199" s="9311"/>
      <c r="L199" s="9311"/>
      <c r="M199" s="9313"/>
      <c r="N199" s="9313"/>
      <c r="O199" s="9313"/>
      <c r="P199" s="9311"/>
      <c r="Q199" s="9433"/>
      <c r="R199" s="9691"/>
      <c r="S199" s="534"/>
      <c r="T199" s="6561"/>
      <c r="U199" s="6564"/>
      <c r="V199" s="546"/>
      <c r="W199" s="6602"/>
      <c r="X199" s="198"/>
      <c r="Y199" s="6639"/>
      <c r="Z199" s="6639"/>
      <c r="AA199" s="6639"/>
      <c r="AB199" s="6634"/>
      <c r="AC199" s="6724"/>
      <c r="AD199" s="424"/>
      <c r="AE199" s="198"/>
      <c r="AF199" s="200"/>
      <c r="AG199" s="200"/>
      <c r="AH199" s="9698"/>
    </row>
    <row r="200" spans="1:34" ht="31.5" customHeight="1">
      <c r="A200" s="9599"/>
      <c r="B200" s="9660"/>
      <c r="C200" s="9333"/>
      <c r="D200" s="9311"/>
      <c r="E200" s="9311"/>
      <c r="F200" s="9311"/>
      <c r="G200" s="9311"/>
      <c r="H200" s="9311"/>
      <c r="I200" s="9311"/>
      <c r="J200" s="9433"/>
      <c r="K200" s="9311"/>
      <c r="L200" s="9311"/>
      <c r="M200" s="9313"/>
      <c r="N200" s="9313"/>
      <c r="O200" s="9313"/>
      <c r="P200" s="9311"/>
      <c r="Q200" s="9433"/>
      <c r="R200" s="9691"/>
      <c r="S200" s="535"/>
      <c r="T200" s="6564"/>
      <c r="U200" s="6564"/>
      <c r="V200" s="541"/>
      <c r="W200" s="6602"/>
      <c r="X200" s="198"/>
      <c r="Y200" s="6639"/>
      <c r="Z200" s="6639"/>
      <c r="AA200" s="6639"/>
      <c r="AB200" s="6634"/>
      <c r="AC200" s="6724"/>
      <c r="AD200" s="424"/>
      <c r="AE200" s="198"/>
      <c r="AF200" s="200"/>
      <c r="AG200" s="200"/>
      <c r="AH200" s="9698"/>
    </row>
    <row r="201" spans="1:34" ht="31.5" customHeight="1">
      <c r="A201" s="9599"/>
      <c r="B201" s="9660"/>
      <c r="C201" s="9333"/>
      <c r="D201" s="9311"/>
      <c r="E201" s="9311"/>
      <c r="F201" s="9311"/>
      <c r="G201" s="9311"/>
      <c r="H201" s="9311"/>
      <c r="I201" s="9311"/>
      <c r="J201" s="9433"/>
      <c r="K201" s="9311"/>
      <c r="L201" s="9311"/>
      <c r="M201" s="9313"/>
      <c r="N201" s="9313"/>
      <c r="O201" s="9313"/>
      <c r="P201" s="9311"/>
      <c r="Q201" s="9433"/>
      <c r="R201" s="9691"/>
      <c r="S201" s="536"/>
      <c r="T201" s="6562"/>
      <c r="U201" s="6562"/>
      <c r="V201" s="545"/>
      <c r="W201" s="6600"/>
      <c r="X201" s="201"/>
      <c r="Y201" s="6635"/>
      <c r="Z201" s="6635"/>
      <c r="AA201" s="6635"/>
      <c r="AB201" s="6636"/>
      <c r="AC201" s="6725"/>
      <c r="AD201" s="425"/>
      <c r="AE201" s="201"/>
      <c r="AF201" s="202"/>
      <c r="AG201" s="202"/>
      <c r="AH201" s="9699"/>
    </row>
    <row r="202" spans="1:34" ht="33" customHeight="1">
      <c r="A202" s="9599"/>
      <c r="B202" s="9660"/>
      <c r="C202" s="9223" t="s">
        <v>1482</v>
      </c>
      <c r="D202" s="8782" t="s">
        <v>1678</v>
      </c>
      <c r="E202" s="8782" t="s">
        <v>1292</v>
      </c>
      <c r="F202" s="8782" t="s">
        <v>1310</v>
      </c>
      <c r="G202" s="8977" t="s">
        <v>1294</v>
      </c>
      <c r="H202" s="9703" t="s">
        <v>1304</v>
      </c>
      <c r="I202" s="8782" t="s">
        <v>133</v>
      </c>
      <c r="J202" s="8860" t="s">
        <v>1679</v>
      </c>
      <c r="K202" s="8782" t="s">
        <v>1680</v>
      </c>
      <c r="L202" s="8782" t="s">
        <v>1681</v>
      </c>
      <c r="M202" s="8975">
        <v>0</v>
      </c>
      <c r="N202" s="8975">
        <v>0</v>
      </c>
      <c r="O202" s="8975">
        <v>1</v>
      </c>
      <c r="P202" s="8782" t="s">
        <v>1682</v>
      </c>
      <c r="Q202" s="9217" t="s">
        <v>1548</v>
      </c>
      <c r="R202" s="9696" t="s">
        <v>1490</v>
      </c>
      <c r="S202" s="534"/>
      <c r="T202" s="6561"/>
      <c r="U202" s="6564"/>
      <c r="V202" s="546"/>
      <c r="W202" s="6602"/>
      <c r="X202" s="198"/>
      <c r="Y202" s="6639"/>
      <c r="Z202" s="6639"/>
      <c r="AA202" s="6639"/>
      <c r="AB202" s="6634"/>
      <c r="AC202" s="6724"/>
      <c r="AD202" s="424"/>
      <c r="AE202" s="198"/>
      <c r="AF202" s="200"/>
      <c r="AG202" s="200"/>
      <c r="AH202" s="478"/>
    </row>
    <row r="203" spans="1:34" ht="33" customHeight="1">
      <c r="A203" s="9599"/>
      <c r="B203" s="9660"/>
      <c r="C203" s="9333"/>
      <c r="D203" s="9311"/>
      <c r="E203" s="9311"/>
      <c r="F203" s="9311"/>
      <c r="G203" s="9311"/>
      <c r="H203" s="9311"/>
      <c r="I203" s="9311"/>
      <c r="J203" s="9311"/>
      <c r="K203" s="9311"/>
      <c r="L203" s="9311"/>
      <c r="M203" s="9313"/>
      <c r="N203" s="9313"/>
      <c r="O203" s="9313"/>
      <c r="P203" s="9311"/>
      <c r="Q203" s="9433"/>
      <c r="R203" s="9691"/>
      <c r="S203" s="534"/>
      <c r="T203" s="6561"/>
      <c r="U203" s="6564"/>
      <c r="V203" s="546"/>
      <c r="W203" s="6602"/>
      <c r="X203" s="198"/>
      <c r="Y203" s="6639"/>
      <c r="Z203" s="6639"/>
      <c r="AA203" s="6639"/>
      <c r="AB203" s="6634"/>
      <c r="AC203" s="6724"/>
      <c r="AD203" s="424"/>
      <c r="AE203" s="198"/>
      <c r="AF203" s="200"/>
      <c r="AG203" s="200"/>
      <c r="AH203" s="478"/>
    </row>
    <row r="204" spans="1:34" ht="33" customHeight="1">
      <c r="A204" s="9599"/>
      <c r="B204" s="9660"/>
      <c r="C204" s="9333"/>
      <c r="D204" s="9311"/>
      <c r="E204" s="9311"/>
      <c r="F204" s="9311"/>
      <c r="G204" s="9311"/>
      <c r="H204" s="9311"/>
      <c r="I204" s="9311"/>
      <c r="J204" s="9311"/>
      <c r="K204" s="9311"/>
      <c r="L204" s="9311"/>
      <c r="M204" s="9313"/>
      <c r="N204" s="9313"/>
      <c r="O204" s="9313"/>
      <c r="P204" s="9311"/>
      <c r="Q204" s="9433"/>
      <c r="R204" s="9691"/>
      <c r="S204" s="534"/>
      <c r="T204" s="6561"/>
      <c r="U204" s="6564"/>
      <c r="V204" s="546"/>
      <c r="W204" s="6602"/>
      <c r="X204" s="198"/>
      <c r="Y204" s="6639"/>
      <c r="Z204" s="6639"/>
      <c r="AA204" s="6639"/>
      <c r="AB204" s="6634"/>
      <c r="AC204" s="6724"/>
      <c r="AD204" s="424"/>
      <c r="AE204" s="198"/>
      <c r="AF204" s="200"/>
      <c r="AG204" s="200"/>
      <c r="AH204" s="478"/>
    </row>
    <row r="205" spans="1:34" ht="33" customHeight="1">
      <c r="A205" s="9599"/>
      <c r="B205" s="9660"/>
      <c r="C205" s="9333"/>
      <c r="D205" s="9311"/>
      <c r="E205" s="9311"/>
      <c r="F205" s="9311"/>
      <c r="G205" s="9311"/>
      <c r="H205" s="9311"/>
      <c r="I205" s="9311"/>
      <c r="J205" s="9311"/>
      <c r="K205" s="9311"/>
      <c r="L205" s="9311"/>
      <c r="M205" s="9313"/>
      <c r="N205" s="9313"/>
      <c r="O205" s="9313"/>
      <c r="P205" s="9311"/>
      <c r="Q205" s="9433"/>
      <c r="R205" s="9691"/>
      <c r="S205" s="534"/>
      <c r="T205" s="6561"/>
      <c r="U205" s="6564"/>
      <c r="V205" s="546"/>
      <c r="W205" s="6602"/>
      <c r="X205" s="198"/>
      <c r="Y205" s="6639"/>
      <c r="Z205" s="6639"/>
      <c r="AA205" s="6639"/>
      <c r="AB205" s="6634"/>
      <c r="AC205" s="6724"/>
      <c r="AD205" s="424"/>
      <c r="AE205" s="198"/>
      <c r="AF205" s="200"/>
      <c r="AG205" s="200"/>
      <c r="AH205" s="478"/>
    </row>
    <row r="206" spans="1:34" ht="33" customHeight="1">
      <c r="A206" s="9599"/>
      <c r="B206" s="9660"/>
      <c r="C206" s="9395"/>
      <c r="D206" s="9312"/>
      <c r="E206" s="9312"/>
      <c r="F206" s="9312"/>
      <c r="G206" s="9312"/>
      <c r="H206" s="9312"/>
      <c r="I206" s="9312"/>
      <c r="J206" s="9312"/>
      <c r="K206" s="9312"/>
      <c r="L206" s="9312"/>
      <c r="M206" s="9313"/>
      <c r="N206" s="9313"/>
      <c r="O206" s="9313"/>
      <c r="P206" s="9312"/>
      <c r="Q206" s="9434"/>
      <c r="R206" s="9692"/>
      <c r="S206" s="539"/>
      <c r="T206" s="6565"/>
      <c r="U206" s="6562"/>
      <c r="V206" s="543"/>
      <c r="W206" s="6600"/>
      <c r="X206" s="201"/>
      <c r="Y206" s="6635"/>
      <c r="Z206" s="6635"/>
      <c r="AA206" s="6635"/>
      <c r="AB206" s="6636"/>
      <c r="AC206" s="6725"/>
      <c r="AD206" s="425"/>
      <c r="AE206" s="201"/>
      <c r="AF206" s="202"/>
      <c r="AG206" s="202"/>
      <c r="AH206" s="208"/>
    </row>
    <row r="207" spans="1:34" ht="31.5" customHeight="1">
      <c r="A207" s="9599"/>
      <c r="B207" s="9660"/>
      <c r="C207" s="9125" t="s">
        <v>1482</v>
      </c>
      <c r="D207" s="8834" t="s">
        <v>1678</v>
      </c>
      <c r="E207" s="8782" t="s">
        <v>1292</v>
      </c>
      <c r="F207" s="8782" t="s">
        <v>1310</v>
      </c>
      <c r="G207" s="8977" t="s">
        <v>1294</v>
      </c>
      <c r="H207" s="9703" t="s">
        <v>1304</v>
      </c>
      <c r="I207" s="8782" t="s">
        <v>133</v>
      </c>
      <c r="J207" s="9257" t="s">
        <v>1683</v>
      </c>
      <c r="K207" s="8834" t="s">
        <v>1684</v>
      </c>
      <c r="L207" s="8782" t="s">
        <v>1685</v>
      </c>
      <c r="M207" s="9695">
        <v>3</v>
      </c>
      <c r="N207" s="9704">
        <v>1</v>
      </c>
      <c r="O207" s="9695">
        <v>3</v>
      </c>
      <c r="P207" s="8782" t="s">
        <v>1537</v>
      </c>
      <c r="Q207" s="9217" t="s">
        <v>1686</v>
      </c>
      <c r="R207" s="9705" t="s">
        <v>1490</v>
      </c>
      <c r="S207" s="540"/>
      <c r="T207" s="6580"/>
      <c r="U207" s="6596"/>
      <c r="V207" s="549"/>
      <c r="W207" s="6616"/>
      <c r="X207" s="196"/>
      <c r="Y207" s="6630"/>
      <c r="Z207" s="6630"/>
      <c r="AA207" s="6630"/>
      <c r="AB207" s="6631"/>
      <c r="AC207" s="6723"/>
      <c r="AD207" s="423"/>
      <c r="AE207" s="196"/>
      <c r="AF207" s="197"/>
      <c r="AG207" s="197"/>
      <c r="AH207" s="478"/>
    </row>
    <row r="208" spans="1:34" ht="31.5" customHeight="1">
      <c r="A208" s="9599"/>
      <c r="B208" s="9660"/>
      <c r="C208" s="9333"/>
      <c r="D208" s="9311"/>
      <c r="E208" s="9311"/>
      <c r="F208" s="9311"/>
      <c r="G208" s="9311"/>
      <c r="H208" s="9311"/>
      <c r="I208" s="9311"/>
      <c r="J208" s="9311"/>
      <c r="K208" s="9311"/>
      <c r="L208" s="9311"/>
      <c r="M208" s="9313"/>
      <c r="N208" s="9688"/>
      <c r="O208" s="9313"/>
      <c r="P208" s="9311"/>
      <c r="Q208" s="9433"/>
      <c r="R208" s="9691"/>
      <c r="S208" s="534"/>
      <c r="T208" s="6561"/>
      <c r="U208" s="6564"/>
      <c r="V208" s="546"/>
      <c r="W208" s="6602"/>
      <c r="X208" s="198"/>
      <c r="Y208" s="6639"/>
      <c r="Z208" s="6639"/>
      <c r="AA208" s="6639"/>
      <c r="AB208" s="6634"/>
      <c r="AC208" s="6724"/>
      <c r="AD208" s="424"/>
      <c r="AE208" s="198"/>
      <c r="AF208" s="200"/>
      <c r="AG208" s="200"/>
      <c r="AH208" s="478"/>
    </row>
    <row r="209" spans="1:34" ht="31.5" customHeight="1">
      <c r="A209" s="9599"/>
      <c r="B209" s="9660"/>
      <c r="C209" s="9333"/>
      <c r="D209" s="9311"/>
      <c r="E209" s="9311"/>
      <c r="F209" s="9311"/>
      <c r="G209" s="9311"/>
      <c r="H209" s="9311"/>
      <c r="I209" s="9311"/>
      <c r="J209" s="9311"/>
      <c r="K209" s="9311"/>
      <c r="L209" s="9311"/>
      <c r="M209" s="9313"/>
      <c r="N209" s="9688"/>
      <c r="O209" s="9313"/>
      <c r="P209" s="9311"/>
      <c r="Q209" s="9433"/>
      <c r="R209" s="9691"/>
      <c r="S209" s="534"/>
      <c r="T209" s="6561"/>
      <c r="U209" s="6564"/>
      <c r="V209" s="546"/>
      <c r="W209" s="6602"/>
      <c r="X209" s="198"/>
      <c r="Y209" s="6639"/>
      <c r="Z209" s="6639"/>
      <c r="AA209" s="6639"/>
      <c r="AB209" s="6634"/>
      <c r="AC209" s="6724"/>
      <c r="AD209" s="424"/>
      <c r="AE209" s="198"/>
      <c r="AF209" s="200"/>
      <c r="AG209" s="200"/>
      <c r="AH209" s="478"/>
    </row>
    <row r="210" spans="1:34" ht="31.5" customHeight="1">
      <c r="A210" s="9599"/>
      <c r="B210" s="9660"/>
      <c r="C210" s="9333"/>
      <c r="D210" s="9311"/>
      <c r="E210" s="9311"/>
      <c r="F210" s="9311"/>
      <c r="G210" s="9311"/>
      <c r="H210" s="9311"/>
      <c r="I210" s="9311"/>
      <c r="J210" s="9311"/>
      <c r="K210" s="9311"/>
      <c r="L210" s="9311"/>
      <c r="M210" s="9313"/>
      <c r="N210" s="9688"/>
      <c r="O210" s="9313"/>
      <c r="P210" s="9311"/>
      <c r="Q210" s="9433"/>
      <c r="R210" s="9691"/>
      <c r="S210" s="534"/>
      <c r="T210" s="6561"/>
      <c r="U210" s="6564"/>
      <c r="V210" s="546"/>
      <c r="W210" s="6602"/>
      <c r="X210" s="198"/>
      <c r="Y210" s="6639"/>
      <c r="Z210" s="6639"/>
      <c r="AA210" s="6639"/>
      <c r="AB210" s="6634"/>
      <c r="AC210" s="6724"/>
      <c r="AD210" s="424"/>
      <c r="AE210" s="198"/>
      <c r="AF210" s="200"/>
      <c r="AG210" s="200"/>
      <c r="AH210" s="478"/>
    </row>
    <row r="211" spans="1:34" ht="31.5" customHeight="1">
      <c r="A211" s="9599"/>
      <c r="B211" s="9660"/>
      <c r="C211" s="9395"/>
      <c r="D211" s="9312"/>
      <c r="E211" s="9312"/>
      <c r="F211" s="9312"/>
      <c r="G211" s="9312"/>
      <c r="H211" s="9312"/>
      <c r="I211" s="9312"/>
      <c r="J211" s="9312"/>
      <c r="K211" s="9312"/>
      <c r="L211" s="9312"/>
      <c r="M211" s="9314"/>
      <c r="N211" s="9689"/>
      <c r="O211" s="9314"/>
      <c r="P211" s="9312"/>
      <c r="Q211" s="9434"/>
      <c r="R211" s="9692"/>
      <c r="S211" s="539"/>
      <c r="T211" s="6565"/>
      <c r="U211" s="6562"/>
      <c r="V211" s="543"/>
      <c r="W211" s="6600"/>
      <c r="X211" s="201"/>
      <c r="Y211" s="6635"/>
      <c r="Z211" s="6635"/>
      <c r="AA211" s="6635"/>
      <c r="AB211" s="6636"/>
      <c r="AC211" s="6725"/>
      <c r="AD211" s="425"/>
      <c r="AE211" s="201"/>
      <c r="AF211" s="202"/>
      <c r="AG211" s="202"/>
      <c r="AH211" s="208"/>
    </row>
    <row r="212" spans="1:34" ht="36" customHeight="1">
      <c r="A212" s="9599"/>
      <c r="B212" s="9660"/>
      <c r="C212" s="9125" t="s">
        <v>1482</v>
      </c>
      <c r="D212" s="8834" t="s">
        <v>1678</v>
      </c>
      <c r="E212" s="8834" t="s">
        <v>1292</v>
      </c>
      <c r="F212" s="8834" t="s">
        <v>1310</v>
      </c>
      <c r="G212" s="8974" t="s">
        <v>1294</v>
      </c>
      <c r="H212" s="9707" t="s">
        <v>1304</v>
      </c>
      <c r="I212" s="8834" t="s">
        <v>133</v>
      </c>
      <c r="J212" s="9257" t="s">
        <v>1687</v>
      </c>
      <c r="K212" s="8834" t="s">
        <v>1688</v>
      </c>
      <c r="L212" s="8782" t="s">
        <v>1689</v>
      </c>
      <c r="M212" s="9695">
        <v>0</v>
      </c>
      <c r="N212" s="9695">
        <v>0</v>
      </c>
      <c r="O212" s="9695">
        <v>1</v>
      </c>
      <c r="P212" s="8782" t="s">
        <v>1690</v>
      </c>
      <c r="Q212" s="9217" t="s">
        <v>1548</v>
      </c>
      <c r="R212" s="9696" t="s">
        <v>1490</v>
      </c>
      <c r="S212" s="540"/>
      <c r="T212" s="6580"/>
      <c r="U212" s="6596"/>
      <c r="V212" s="549"/>
      <c r="W212" s="6616"/>
      <c r="X212" s="196"/>
      <c r="Y212" s="6630"/>
      <c r="Z212" s="6630"/>
      <c r="AA212" s="6630"/>
      <c r="AB212" s="6631"/>
      <c r="AC212" s="6723"/>
      <c r="AD212" s="423"/>
      <c r="AE212" s="196"/>
      <c r="AF212" s="197"/>
      <c r="AG212" s="197"/>
      <c r="AH212" s="478"/>
    </row>
    <row r="213" spans="1:34" ht="36" customHeight="1">
      <c r="A213" s="9599"/>
      <c r="B213" s="9660"/>
      <c r="C213" s="9333"/>
      <c r="D213" s="9311"/>
      <c r="E213" s="9311"/>
      <c r="F213" s="9311"/>
      <c r="G213" s="9311"/>
      <c r="H213" s="9311"/>
      <c r="I213" s="9311"/>
      <c r="J213" s="9311"/>
      <c r="K213" s="9311"/>
      <c r="L213" s="9311"/>
      <c r="M213" s="9313"/>
      <c r="N213" s="9313"/>
      <c r="O213" s="9313"/>
      <c r="P213" s="9311"/>
      <c r="Q213" s="9433"/>
      <c r="R213" s="9691"/>
      <c r="S213" s="534"/>
      <c r="T213" s="6561"/>
      <c r="U213" s="6564"/>
      <c r="V213" s="546"/>
      <c r="W213" s="6602"/>
      <c r="X213" s="198"/>
      <c r="Y213" s="6639"/>
      <c r="Z213" s="6639"/>
      <c r="AA213" s="6639"/>
      <c r="AB213" s="6634"/>
      <c r="AC213" s="6724"/>
      <c r="AD213" s="424"/>
      <c r="AE213" s="198"/>
      <c r="AF213" s="200"/>
      <c r="AG213" s="200"/>
      <c r="AH213" s="478"/>
    </row>
    <row r="214" spans="1:34" ht="36" customHeight="1">
      <c r="A214" s="9599"/>
      <c r="B214" s="9660"/>
      <c r="C214" s="9333"/>
      <c r="D214" s="9311"/>
      <c r="E214" s="9311"/>
      <c r="F214" s="9311"/>
      <c r="G214" s="9311"/>
      <c r="H214" s="9311"/>
      <c r="I214" s="9311"/>
      <c r="J214" s="9311"/>
      <c r="K214" s="9311"/>
      <c r="L214" s="9311"/>
      <c r="M214" s="9313"/>
      <c r="N214" s="9313"/>
      <c r="O214" s="9313"/>
      <c r="P214" s="9311"/>
      <c r="Q214" s="9433"/>
      <c r="R214" s="9691"/>
      <c r="S214" s="534"/>
      <c r="T214" s="6561"/>
      <c r="U214" s="6564"/>
      <c r="V214" s="546"/>
      <c r="W214" s="6602"/>
      <c r="X214" s="198"/>
      <c r="Y214" s="6639"/>
      <c r="Z214" s="6639"/>
      <c r="AA214" s="6639"/>
      <c r="AB214" s="6634"/>
      <c r="AC214" s="6724"/>
      <c r="AD214" s="424"/>
      <c r="AE214" s="198"/>
      <c r="AF214" s="200"/>
      <c r="AG214" s="200"/>
      <c r="AH214" s="478"/>
    </row>
    <row r="215" spans="1:34" ht="36" customHeight="1">
      <c r="A215" s="9599"/>
      <c r="B215" s="9660"/>
      <c r="C215" s="9333"/>
      <c r="D215" s="9311"/>
      <c r="E215" s="9311"/>
      <c r="F215" s="9311"/>
      <c r="G215" s="9311"/>
      <c r="H215" s="9311"/>
      <c r="I215" s="9311"/>
      <c r="J215" s="9311"/>
      <c r="K215" s="9311"/>
      <c r="L215" s="9311"/>
      <c r="M215" s="9313"/>
      <c r="N215" s="9313"/>
      <c r="O215" s="9313"/>
      <c r="P215" s="9311"/>
      <c r="Q215" s="9433"/>
      <c r="R215" s="9691"/>
      <c r="S215" s="534"/>
      <c r="T215" s="6561"/>
      <c r="U215" s="6564"/>
      <c r="V215" s="546"/>
      <c r="W215" s="6602"/>
      <c r="X215" s="198"/>
      <c r="Y215" s="6639"/>
      <c r="Z215" s="6639"/>
      <c r="AA215" s="6639"/>
      <c r="AB215" s="6634"/>
      <c r="AC215" s="6724"/>
      <c r="AD215" s="424"/>
      <c r="AE215" s="198"/>
      <c r="AF215" s="200"/>
      <c r="AG215" s="200"/>
      <c r="AH215" s="478"/>
    </row>
    <row r="216" spans="1:34" ht="36" customHeight="1">
      <c r="A216" s="9599"/>
      <c r="B216" s="9660"/>
      <c r="C216" s="9395"/>
      <c r="D216" s="9312"/>
      <c r="E216" s="9312"/>
      <c r="F216" s="9312"/>
      <c r="G216" s="9312"/>
      <c r="H216" s="9312"/>
      <c r="I216" s="9312"/>
      <c r="J216" s="9312"/>
      <c r="K216" s="9312"/>
      <c r="L216" s="9312"/>
      <c r="M216" s="9314"/>
      <c r="N216" s="9314"/>
      <c r="O216" s="9314"/>
      <c r="P216" s="9312"/>
      <c r="Q216" s="9434"/>
      <c r="R216" s="9692"/>
      <c r="S216" s="534"/>
      <c r="T216" s="6561"/>
      <c r="U216" s="6564"/>
      <c r="V216" s="546"/>
      <c r="W216" s="6602"/>
      <c r="X216" s="198"/>
      <c r="Y216" s="6639"/>
      <c r="Z216" s="6639"/>
      <c r="AA216" s="6639"/>
      <c r="AB216" s="6634"/>
      <c r="AC216" s="6724"/>
      <c r="AD216" s="424"/>
      <c r="AE216" s="198"/>
      <c r="AF216" s="200"/>
      <c r="AG216" s="200"/>
      <c r="AH216" s="478"/>
    </row>
    <row r="217" spans="1:34" ht="29.25" customHeight="1">
      <c r="A217" s="9599"/>
      <c r="B217" s="9660"/>
      <c r="C217" s="9125" t="s">
        <v>1571</v>
      </c>
      <c r="D217" s="8834" t="s">
        <v>1572</v>
      </c>
      <c r="E217" s="9258" t="s">
        <v>140</v>
      </c>
      <c r="F217" s="9258" t="s">
        <v>1691</v>
      </c>
      <c r="G217" s="8974" t="s">
        <v>131</v>
      </c>
      <c r="H217" s="8834" t="s">
        <v>132</v>
      </c>
      <c r="I217" s="8834" t="s">
        <v>189</v>
      </c>
      <c r="J217" s="9706" t="s">
        <v>1692</v>
      </c>
      <c r="K217" s="9167" t="s">
        <v>1693</v>
      </c>
      <c r="L217" s="9167" t="s">
        <v>1694</v>
      </c>
      <c r="M217" s="8979">
        <v>1</v>
      </c>
      <c r="N217" s="8979">
        <v>0</v>
      </c>
      <c r="O217" s="8979">
        <v>0</v>
      </c>
      <c r="P217" s="8834" t="s">
        <v>1695</v>
      </c>
      <c r="Q217" s="9205" t="s">
        <v>1696</v>
      </c>
      <c r="R217" s="9705" t="s">
        <v>1490</v>
      </c>
      <c r="S217" s="537"/>
      <c r="T217" s="6563"/>
      <c r="U217" s="6563"/>
      <c r="V217" s="548"/>
      <c r="W217" s="6601"/>
      <c r="X217" s="122"/>
      <c r="Y217" s="6637"/>
      <c r="Z217" s="6637"/>
      <c r="AA217" s="6637"/>
      <c r="AB217" s="6638"/>
      <c r="AC217" s="6726"/>
      <c r="AD217" s="421"/>
      <c r="AE217" s="122"/>
      <c r="AF217" s="190"/>
      <c r="AG217" s="190"/>
      <c r="AH217" s="9697"/>
    </row>
    <row r="218" spans="1:34" ht="29.25" customHeight="1">
      <c r="A218" s="9599"/>
      <c r="B218" s="9660"/>
      <c r="C218" s="9333"/>
      <c r="D218" s="9311"/>
      <c r="E218" s="9311"/>
      <c r="F218" s="9311"/>
      <c r="G218" s="9311"/>
      <c r="H218" s="9311"/>
      <c r="I218" s="9311"/>
      <c r="J218" s="9433"/>
      <c r="K218" s="9311"/>
      <c r="L218" s="9311"/>
      <c r="M218" s="9313"/>
      <c r="N218" s="9313"/>
      <c r="O218" s="9313"/>
      <c r="P218" s="9311"/>
      <c r="Q218" s="9433"/>
      <c r="R218" s="9691"/>
      <c r="S218" s="534"/>
      <c r="T218" s="6561"/>
      <c r="U218" s="6561"/>
      <c r="V218" s="541"/>
      <c r="W218" s="6602"/>
      <c r="X218" s="198"/>
      <c r="Y218" s="6639"/>
      <c r="Z218" s="6639"/>
      <c r="AA218" s="6639"/>
      <c r="AB218" s="6634"/>
      <c r="AC218" s="6724"/>
      <c r="AD218" s="424"/>
      <c r="AE218" s="198"/>
      <c r="AF218" s="200"/>
      <c r="AG218" s="200"/>
      <c r="AH218" s="9698"/>
    </row>
    <row r="219" spans="1:34" ht="29.25" customHeight="1">
      <c r="A219" s="9599"/>
      <c r="B219" s="9660"/>
      <c r="C219" s="9333"/>
      <c r="D219" s="9311"/>
      <c r="E219" s="9311"/>
      <c r="F219" s="9311"/>
      <c r="G219" s="9311"/>
      <c r="H219" s="9311"/>
      <c r="I219" s="9311"/>
      <c r="J219" s="9433"/>
      <c r="K219" s="9311"/>
      <c r="L219" s="9311"/>
      <c r="M219" s="9313"/>
      <c r="N219" s="9313"/>
      <c r="O219" s="9313"/>
      <c r="P219" s="9311"/>
      <c r="Q219" s="9433"/>
      <c r="R219" s="9691"/>
      <c r="S219" s="534"/>
      <c r="T219" s="6439"/>
      <c r="U219" s="6439"/>
      <c r="V219" s="1266"/>
      <c r="W219" s="6604"/>
      <c r="X219" s="1250"/>
      <c r="Y219" s="6642"/>
      <c r="Z219" s="6642"/>
      <c r="AA219" s="6642"/>
      <c r="AB219" s="6503"/>
      <c r="AC219" s="6554"/>
      <c r="AD219" s="1249"/>
      <c r="AE219" s="198"/>
      <c r="AF219" s="200"/>
      <c r="AG219" s="200"/>
      <c r="AH219" s="9698"/>
    </row>
    <row r="220" spans="1:34" ht="29.25" customHeight="1">
      <c r="A220" s="9599"/>
      <c r="B220" s="9660"/>
      <c r="C220" s="9333"/>
      <c r="D220" s="9311"/>
      <c r="E220" s="9311"/>
      <c r="F220" s="9311"/>
      <c r="G220" s="9311"/>
      <c r="H220" s="9311"/>
      <c r="I220" s="9311"/>
      <c r="J220" s="9433"/>
      <c r="K220" s="9311"/>
      <c r="L220" s="9311"/>
      <c r="M220" s="9313"/>
      <c r="N220" s="9313"/>
      <c r="O220" s="9313"/>
      <c r="P220" s="9311"/>
      <c r="Q220" s="9433"/>
      <c r="R220" s="9691"/>
      <c r="S220" s="535"/>
      <c r="T220" s="6445"/>
      <c r="U220" s="6445"/>
      <c r="V220" s="1266"/>
      <c r="W220" s="6604"/>
      <c r="X220" s="1250"/>
      <c r="Y220" s="6642"/>
      <c r="Z220" s="6642"/>
      <c r="AA220" s="6642"/>
      <c r="AB220" s="6503"/>
      <c r="AC220" s="6554"/>
      <c r="AD220" s="1249"/>
      <c r="AE220" s="198"/>
      <c r="AF220" s="200"/>
      <c r="AG220" s="200"/>
      <c r="AH220" s="9698"/>
    </row>
    <row r="221" spans="1:34" ht="29.25" customHeight="1">
      <c r="A221" s="9599"/>
      <c r="B221" s="9660"/>
      <c r="C221" s="9395"/>
      <c r="D221" s="9312"/>
      <c r="E221" s="9312"/>
      <c r="F221" s="9312"/>
      <c r="G221" s="9312"/>
      <c r="H221" s="9312"/>
      <c r="I221" s="9312"/>
      <c r="J221" s="9434"/>
      <c r="K221" s="9312"/>
      <c r="L221" s="9312"/>
      <c r="M221" s="9314"/>
      <c r="N221" s="9314"/>
      <c r="O221" s="9314"/>
      <c r="P221" s="9312"/>
      <c r="Q221" s="9434"/>
      <c r="R221" s="9692"/>
      <c r="S221" s="536"/>
      <c r="T221" s="6581"/>
      <c r="U221" s="6581"/>
      <c r="V221" s="1272"/>
      <c r="W221" s="6612"/>
      <c r="X221" s="1257"/>
      <c r="Y221" s="6651"/>
      <c r="Z221" s="6651"/>
      <c r="AA221" s="6651"/>
      <c r="AB221" s="6652"/>
      <c r="AC221" s="6734"/>
      <c r="AD221" s="1258"/>
      <c r="AE221" s="201"/>
      <c r="AF221" s="202"/>
      <c r="AG221" s="202"/>
      <c r="AH221" s="9699"/>
    </row>
    <row r="222" spans="1:34" ht="30.75" customHeight="1">
      <c r="A222" s="9599"/>
      <c r="B222" s="9660"/>
      <c r="C222" s="9223" t="s">
        <v>1571</v>
      </c>
      <c r="D222" s="8782" t="s">
        <v>1572</v>
      </c>
      <c r="E222" s="9258" t="s">
        <v>129</v>
      </c>
      <c r="F222" s="9258" t="s">
        <v>268</v>
      </c>
      <c r="G222" s="8977" t="s">
        <v>131</v>
      </c>
      <c r="H222" s="8782" t="s">
        <v>132</v>
      </c>
      <c r="I222" s="8782" t="s">
        <v>159</v>
      </c>
      <c r="J222" s="8860" t="s">
        <v>1697</v>
      </c>
      <c r="K222" s="8782" t="s">
        <v>1698</v>
      </c>
      <c r="L222" s="8782" t="s">
        <v>1699</v>
      </c>
      <c r="M222" s="9701">
        <v>0</v>
      </c>
      <c r="N222" s="9695">
        <v>1</v>
      </c>
      <c r="O222" s="9695">
        <v>0</v>
      </c>
      <c r="P222" s="8782" t="s">
        <v>1700</v>
      </c>
      <c r="Q222" s="9217" t="s">
        <v>1701</v>
      </c>
      <c r="R222" s="9696" t="s">
        <v>1490</v>
      </c>
      <c r="S222" s="534"/>
      <c r="T222" s="6439"/>
      <c r="U222" s="6439"/>
      <c r="V222" s="1266"/>
      <c r="W222" s="6604"/>
      <c r="X222" s="1250"/>
      <c r="Y222" s="6642"/>
      <c r="Z222" s="6642"/>
      <c r="AA222" s="6642"/>
      <c r="AB222" s="6642"/>
      <c r="AC222" s="6751"/>
      <c r="AD222" s="1275"/>
      <c r="AE222" s="199"/>
      <c r="AF222" s="198"/>
      <c r="AG222" s="200"/>
      <c r="AH222" s="478"/>
    </row>
    <row r="223" spans="1:34" ht="30.75" customHeight="1">
      <c r="A223" s="9599"/>
      <c r="B223" s="9660"/>
      <c r="C223" s="9333"/>
      <c r="D223" s="9311"/>
      <c r="E223" s="9311"/>
      <c r="F223" s="9311"/>
      <c r="G223" s="9311"/>
      <c r="H223" s="9311"/>
      <c r="I223" s="9311"/>
      <c r="J223" s="9311"/>
      <c r="K223" s="9311"/>
      <c r="L223" s="9311"/>
      <c r="M223" s="9313"/>
      <c r="N223" s="9313"/>
      <c r="O223" s="9313"/>
      <c r="P223" s="9311"/>
      <c r="Q223" s="9433"/>
      <c r="R223" s="9691"/>
      <c r="S223" s="534"/>
      <c r="T223" s="6439"/>
      <c r="U223" s="6439"/>
      <c r="V223" s="1266"/>
      <c r="W223" s="6604"/>
      <c r="X223" s="1250"/>
      <c r="Y223" s="6642"/>
      <c r="Z223" s="6642"/>
      <c r="AA223" s="6642"/>
      <c r="AB223" s="6642"/>
      <c r="AC223" s="6751"/>
      <c r="AD223" s="1275"/>
      <c r="AE223" s="199"/>
      <c r="AF223" s="198"/>
      <c r="AG223" s="200"/>
      <c r="AH223" s="478"/>
    </row>
    <row r="224" spans="1:34" ht="30.75" customHeight="1">
      <c r="A224" s="9599"/>
      <c r="B224" s="9660"/>
      <c r="C224" s="9333"/>
      <c r="D224" s="9311"/>
      <c r="E224" s="9311"/>
      <c r="F224" s="9311"/>
      <c r="G224" s="9311"/>
      <c r="H224" s="9311"/>
      <c r="I224" s="9311"/>
      <c r="J224" s="9311"/>
      <c r="K224" s="9311"/>
      <c r="L224" s="9311"/>
      <c r="M224" s="9313"/>
      <c r="N224" s="9313"/>
      <c r="O224" s="9313"/>
      <c r="P224" s="9311"/>
      <c r="Q224" s="9433"/>
      <c r="R224" s="9691"/>
      <c r="S224" s="534"/>
      <c r="T224" s="6439"/>
      <c r="U224" s="6439"/>
      <c r="V224" s="1266"/>
      <c r="W224" s="6604"/>
      <c r="X224" s="1250"/>
      <c r="Y224" s="6642"/>
      <c r="Z224" s="6642"/>
      <c r="AA224" s="6642"/>
      <c r="AB224" s="6642"/>
      <c r="AC224" s="6751"/>
      <c r="AD224" s="1275"/>
      <c r="AE224" s="199"/>
      <c r="AF224" s="198"/>
      <c r="AG224" s="200"/>
      <c r="AH224" s="478"/>
    </row>
    <row r="225" spans="1:35" ht="30.75" customHeight="1">
      <c r="A225" s="9599"/>
      <c r="B225" s="9660"/>
      <c r="C225" s="9333"/>
      <c r="D225" s="9311"/>
      <c r="E225" s="9311"/>
      <c r="F225" s="9311"/>
      <c r="G225" s="9311"/>
      <c r="H225" s="9311"/>
      <c r="I225" s="9311"/>
      <c r="J225" s="9311"/>
      <c r="K225" s="9311"/>
      <c r="L225" s="9311"/>
      <c r="M225" s="9313"/>
      <c r="N225" s="9313"/>
      <c r="O225" s="9313"/>
      <c r="P225" s="9311"/>
      <c r="Q225" s="9433"/>
      <c r="R225" s="9691"/>
      <c r="S225" s="534"/>
      <c r="T225" s="6439"/>
      <c r="U225" s="6439"/>
      <c r="V225" s="1266"/>
      <c r="W225" s="6604"/>
      <c r="X225" s="1250"/>
      <c r="Y225" s="6642"/>
      <c r="Z225" s="6642"/>
      <c r="AA225" s="6642"/>
      <c r="AB225" s="6642"/>
      <c r="AC225" s="6751"/>
      <c r="AD225" s="1275"/>
      <c r="AE225" s="199"/>
      <c r="AF225" s="198"/>
      <c r="AG225" s="200"/>
      <c r="AH225" s="478"/>
    </row>
    <row r="226" spans="1:35" ht="30.75" customHeight="1">
      <c r="A226" s="9599"/>
      <c r="B226" s="9660"/>
      <c r="C226" s="9395"/>
      <c r="D226" s="9312"/>
      <c r="E226" s="9312"/>
      <c r="F226" s="9312"/>
      <c r="G226" s="9312"/>
      <c r="H226" s="9311"/>
      <c r="I226" s="9311"/>
      <c r="J226" s="9312"/>
      <c r="K226" s="9311"/>
      <c r="L226" s="9311"/>
      <c r="M226" s="9314"/>
      <c r="N226" s="9314"/>
      <c r="O226" s="9314"/>
      <c r="P226" s="9312"/>
      <c r="Q226" s="9434"/>
      <c r="R226" s="9692"/>
      <c r="S226" s="534"/>
      <c r="T226" s="6439"/>
      <c r="U226" s="6439"/>
      <c r="V226" s="1266"/>
      <c r="W226" s="6604"/>
      <c r="X226" s="1250"/>
      <c r="Y226" s="6642"/>
      <c r="Z226" s="6642"/>
      <c r="AA226" s="6642"/>
      <c r="AB226" s="6642"/>
      <c r="AC226" s="6751"/>
      <c r="AD226" s="1275"/>
      <c r="AE226" s="199"/>
      <c r="AF226" s="198"/>
      <c r="AG226" s="200"/>
      <c r="AH226" s="478"/>
    </row>
    <row r="227" spans="1:35" ht="27.75" customHeight="1">
      <c r="A227" s="9599"/>
      <c r="B227" s="9660"/>
      <c r="C227" s="9332" t="s">
        <v>1571</v>
      </c>
      <c r="D227" s="9258" t="s">
        <v>1572</v>
      </c>
      <c r="E227" s="9258" t="s">
        <v>129</v>
      </c>
      <c r="F227" s="9258" t="s">
        <v>268</v>
      </c>
      <c r="G227" s="9335" t="s">
        <v>131</v>
      </c>
      <c r="H227" s="9258" t="s">
        <v>132</v>
      </c>
      <c r="I227" s="8782" t="s">
        <v>159</v>
      </c>
      <c r="J227" s="9450" t="s">
        <v>1702</v>
      </c>
      <c r="K227" s="9258" t="s">
        <v>1703</v>
      </c>
      <c r="L227" s="9258" t="s">
        <v>1704</v>
      </c>
      <c r="M227" s="8975">
        <v>0</v>
      </c>
      <c r="N227" s="8975">
        <v>1</v>
      </c>
      <c r="O227" s="8975">
        <v>1</v>
      </c>
      <c r="P227" s="9258" t="s">
        <v>1705</v>
      </c>
      <c r="Q227" s="9217" t="s">
        <v>1706</v>
      </c>
      <c r="R227" s="9702" t="s">
        <v>1490</v>
      </c>
      <c r="S227" s="3283" t="s">
        <v>80</v>
      </c>
      <c r="T227" s="8651">
        <v>840107</v>
      </c>
      <c r="U227" s="8651"/>
      <c r="V227" s="8652" t="s">
        <v>35</v>
      </c>
      <c r="W227" s="6613"/>
      <c r="X227" s="93"/>
      <c r="Y227" s="6543"/>
      <c r="Z227" s="6543"/>
      <c r="AA227" s="6543"/>
      <c r="AB227" s="8076">
        <f>+SUM(AA228:AA237)</f>
        <v>30811.200000000001</v>
      </c>
      <c r="AC227" s="5008" t="s">
        <v>18</v>
      </c>
      <c r="AD227" s="1246"/>
      <c r="AE227" s="113"/>
      <c r="AF227" s="114"/>
      <c r="AG227" s="190"/>
      <c r="AH227" s="791"/>
    </row>
    <row r="228" spans="1:35" ht="39" customHeight="1">
      <c r="A228" s="9599"/>
      <c r="B228" s="9660"/>
      <c r="C228" s="9333"/>
      <c r="D228" s="9311"/>
      <c r="E228" s="9311"/>
      <c r="F228" s="9311"/>
      <c r="G228" s="9311"/>
      <c r="H228" s="9311"/>
      <c r="I228" s="9311"/>
      <c r="J228" s="9442"/>
      <c r="K228" s="9311"/>
      <c r="L228" s="9311"/>
      <c r="M228" s="9313"/>
      <c r="N228" s="9313"/>
      <c r="O228" s="9313"/>
      <c r="P228" s="9311"/>
      <c r="Q228" s="9433"/>
      <c r="R228" s="9691"/>
      <c r="S228" s="3284"/>
      <c r="T228" s="6436"/>
      <c r="U228" s="4958"/>
      <c r="V228" s="585" t="s">
        <v>1707</v>
      </c>
      <c r="W228" s="6483">
        <v>2</v>
      </c>
      <c r="X228" s="90" t="s">
        <v>180</v>
      </c>
      <c r="Y228" s="6511">
        <v>1000</v>
      </c>
      <c r="Z228" s="6501">
        <f t="shared" ref="Z228:Z236" si="24">+W228*Y228</f>
        <v>2000</v>
      </c>
      <c r="AA228" s="6501">
        <f t="shared" ref="AA228:AA236" si="25">+Z228*1.12</f>
        <v>2240</v>
      </c>
      <c r="AB228" s="5977"/>
      <c r="AC228" s="6748"/>
      <c r="AD228" s="1183"/>
      <c r="AE228" s="116"/>
      <c r="AF228" s="117" t="s">
        <v>153</v>
      </c>
      <c r="AG228" s="200"/>
      <c r="AH228" s="7656" t="s">
        <v>1708</v>
      </c>
      <c r="AI228" s="559"/>
    </row>
    <row r="229" spans="1:35" ht="28.5" customHeight="1">
      <c r="A229" s="9599"/>
      <c r="B229" s="9660"/>
      <c r="C229" s="9333"/>
      <c r="D229" s="9311"/>
      <c r="E229" s="9311"/>
      <c r="F229" s="9311"/>
      <c r="G229" s="9311"/>
      <c r="H229" s="9311"/>
      <c r="I229" s="9311"/>
      <c r="J229" s="9442"/>
      <c r="K229" s="9311"/>
      <c r="L229" s="9311"/>
      <c r="M229" s="9313"/>
      <c r="N229" s="9313"/>
      <c r="O229" s="9313"/>
      <c r="P229" s="9311"/>
      <c r="Q229" s="9433"/>
      <c r="R229" s="9691"/>
      <c r="S229" s="3285"/>
      <c r="T229" s="4958"/>
      <c r="U229" s="4958"/>
      <c r="V229" s="585" t="s">
        <v>1709</v>
      </c>
      <c r="W229" s="6483">
        <v>2</v>
      </c>
      <c r="X229" s="90" t="s">
        <v>180</v>
      </c>
      <c r="Y229" s="6511">
        <v>3200</v>
      </c>
      <c r="Z229" s="6501">
        <f t="shared" si="24"/>
        <v>6400</v>
      </c>
      <c r="AA229" s="6501">
        <f t="shared" si="25"/>
        <v>7168.0000000000009</v>
      </c>
      <c r="AB229" s="5977"/>
      <c r="AC229" s="6748"/>
      <c r="AD229" s="1183"/>
      <c r="AE229" s="116"/>
      <c r="AF229" s="117" t="s">
        <v>153</v>
      </c>
      <c r="AG229" s="200"/>
      <c r="AH229" s="7657"/>
    </row>
    <row r="230" spans="1:35" ht="37.5" customHeight="1">
      <c r="A230" s="9599"/>
      <c r="B230" s="9660"/>
      <c r="C230" s="9333"/>
      <c r="D230" s="9311"/>
      <c r="E230" s="9311"/>
      <c r="F230" s="9311"/>
      <c r="G230" s="9311"/>
      <c r="H230" s="9311"/>
      <c r="I230" s="9311"/>
      <c r="J230" s="9442"/>
      <c r="K230" s="9311"/>
      <c r="L230" s="9311"/>
      <c r="M230" s="9313"/>
      <c r="N230" s="9313"/>
      <c r="O230" s="9313"/>
      <c r="P230" s="9311"/>
      <c r="Q230" s="9433"/>
      <c r="R230" s="9691"/>
      <c r="S230" s="3285"/>
      <c r="T230" s="4958"/>
      <c r="U230" s="4958"/>
      <c r="V230" s="585" t="s">
        <v>1710</v>
      </c>
      <c r="W230" s="6483">
        <v>2</v>
      </c>
      <c r="X230" s="90" t="s">
        <v>180</v>
      </c>
      <c r="Y230" s="6511">
        <v>150</v>
      </c>
      <c r="Z230" s="6501">
        <f t="shared" si="24"/>
        <v>300</v>
      </c>
      <c r="AA230" s="6501">
        <f t="shared" si="25"/>
        <v>336.00000000000006</v>
      </c>
      <c r="AB230" s="6713" t="s">
        <v>294</v>
      </c>
      <c r="AC230" s="6748"/>
      <c r="AD230" s="1183"/>
      <c r="AE230" s="116"/>
      <c r="AF230" s="117" t="s">
        <v>153</v>
      </c>
      <c r="AG230" s="200"/>
      <c r="AH230" s="7658" t="s">
        <v>1711</v>
      </c>
      <c r="AI230" s="559"/>
    </row>
    <row r="231" spans="1:35" ht="29.25" customHeight="1">
      <c r="A231" s="9599"/>
      <c r="B231" s="9660"/>
      <c r="C231" s="9333"/>
      <c r="D231" s="9311"/>
      <c r="E231" s="9311"/>
      <c r="F231" s="9311"/>
      <c r="G231" s="9311"/>
      <c r="H231" s="9311"/>
      <c r="I231" s="9311"/>
      <c r="J231" s="9442"/>
      <c r="K231" s="9311"/>
      <c r="L231" s="9311"/>
      <c r="M231" s="9313"/>
      <c r="N231" s="9313"/>
      <c r="O231" s="9313"/>
      <c r="P231" s="9311"/>
      <c r="Q231" s="9433"/>
      <c r="R231" s="9691"/>
      <c r="S231" s="3285"/>
      <c r="T231" s="4958"/>
      <c r="U231" s="4958"/>
      <c r="V231" s="3286" t="s">
        <v>1712</v>
      </c>
      <c r="W231" s="3287">
        <v>3</v>
      </c>
      <c r="X231" s="3288" t="s">
        <v>180</v>
      </c>
      <c r="Y231" s="6714">
        <v>1250</v>
      </c>
      <c r="Z231" s="6501">
        <f t="shared" si="24"/>
        <v>3750</v>
      </c>
      <c r="AA231" s="6501">
        <f t="shared" si="25"/>
        <v>4200</v>
      </c>
      <c r="AB231" s="6715"/>
      <c r="AC231" s="6748"/>
      <c r="AD231" s="1183"/>
      <c r="AE231" s="116"/>
      <c r="AF231" s="117" t="s">
        <v>153</v>
      </c>
      <c r="AG231" s="200"/>
      <c r="AH231" s="7659"/>
      <c r="AI231" s="559"/>
    </row>
    <row r="232" spans="1:35" ht="29.25" customHeight="1">
      <c r="A232" s="9599"/>
      <c r="B232" s="9660"/>
      <c r="C232" s="9333"/>
      <c r="D232" s="9311"/>
      <c r="E232" s="9311"/>
      <c r="F232" s="9311"/>
      <c r="G232" s="9311"/>
      <c r="H232" s="9311"/>
      <c r="I232" s="9311"/>
      <c r="J232" s="9442"/>
      <c r="K232" s="9311"/>
      <c r="L232" s="9311"/>
      <c r="M232" s="9313"/>
      <c r="N232" s="9313"/>
      <c r="O232" s="9313"/>
      <c r="P232" s="9311"/>
      <c r="Q232" s="9433"/>
      <c r="R232" s="9691"/>
      <c r="S232" s="3285"/>
      <c r="T232" s="4958"/>
      <c r="U232" s="4958"/>
      <c r="V232" s="3289" t="s">
        <v>1713</v>
      </c>
      <c r="W232" s="3290">
        <v>1</v>
      </c>
      <c r="X232" s="3291" t="s">
        <v>180</v>
      </c>
      <c r="Y232" s="6716">
        <v>1300</v>
      </c>
      <c r="Z232" s="6501">
        <f t="shared" si="24"/>
        <v>1300</v>
      </c>
      <c r="AA232" s="6501">
        <f t="shared" si="25"/>
        <v>1456.0000000000002</v>
      </c>
      <c r="AB232" s="6715"/>
      <c r="AC232" s="6748"/>
      <c r="AD232" s="1183"/>
      <c r="AE232" s="116"/>
      <c r="AF232" s="117" t="s">
        <v>153</v>
      </c>
      <c r="AG232" s="200"/>
      <c r="AH232" s="7659"/>
      <c r="AI232" s="559"/>
    </row>
    <row r="233" spans="1:35" ht="70.5" customHeight="1">
      <c r="A233" s="9599"/>
      <c r="B233" s="9660"/>
      <c r="C233" s="9333"/>
      <c r="D233" s="9311"/>
      <c r="E233" s="9311"/>
      <c r="F233" s="9311"/>
      <c r="G233" s="9311"/>
      <c r="H233" s="9311"/>
      <c r="I233" s="9311"/>
      <c r="J233" s="9442"/>
      <c r="K233" s="9311"/>
      <c r="L233" s="9311"/>
      <c r="M233" s="9313"/>
      <c r="N233" s="9313"/>
      <c r="O233" s="9313"/>
      <c r="P233" s="9311"/>
      <c r="Q233" s="9433"/>
      <c r="R233" s="9691"/>
      <c r="S233" s="3285"/>
      <c r="T233" s="4958"/>
      <c r="U233" s="4958"/>
      <c r="V233" s="3289" t="s">
        <v>1714</v>
      </c>
      <c r="W233" s="3290">
        <v>7</v>
      </c>
      <c r="X233" s="3291" t="s">
        <v>180</v>
      </c>
      <c r="Y233" s="6716">
        <v>1580</v>
      </c>
      <c r="Z233" s="6501">
        <f t="shared" si="24"/>
        <v>11060</v>
      </c>
      <c r="AA233" s="6501">
        <f t="shared" si="25"/>
        <v>12387.2</v>
      </c>
      <c r="AB233" s="6715" t="s">
        <v>294</v>
      </c>
      <c r="AC233" s="6748"/>
      <c r="AD233" s="1183"/>
      <c r="AE233" s="116"/>
      <c r="AF233" s="117" t="s">
        <v>153</v>
      </c>
      <c r="AG233" s="200"/>
      <c r="AH233" s="7659" t="s">
        <v>1715</v>
      </c>
      <c r="AI233" s="559"/>
    </row>
    <row r="234" spans="1:35" ht="87.75" customHeight="1">
      <c r="A234" s="9599"/>
      <c r="B234" s="9660"/>
      <c r="C234" s="9333"/>
      <c r="D234" s="9311"/>
      <c r="E234" s="9311"/>
      <c r="F234" s="9311"/>
      <c r="G234" s="9311"/>
      <c r="H234" s="9311"/>
      <c r="I234" s="9311"/>
      <c r="J234" s="9442"/>
      <c r="K234" s="9311"/>
      <c r="L234" s="9311"/>
      <c r="M234" s="9313"/>
      <c r="N234" s="9313"/>
      <c r="O234" s="9313"/>
      <c r="P234" s="9311"/>
      <c r="Q234" s="9433"/>
      <c r="R234" s="9691"/>
      <c r="S234" s="3285"/>
      <c r="T234" s="4958"/>
      <c r="U234" s="8124"/>
      <c r="V234" s="8125"/>
      <c r="W234" s="8126"/>
      <c r="X234" s="8127"/>
      <c r="Y234" s="8128"/>
      <c r="Z234" s="8129"/>
      <c r="AA234" s="8129"/>
      <c r="AB234" s="8130"/>
      <c r="AC234" s="8131"/>
      <c r="AD234" s="8132"/>
      <c r="AE234" s="116"/>
      <c r="AF234" s="117" t="s">
        <v>153</v>
      </c>
      <c r="AG234" s="200"/>
      <c r="AH234" s="7659" t="s">
        <v>1716</v>
      </c>
      <c r="AI234" s="559"/>
    </row>
    <row r="235" spans="1:35" ht="61.5" customHeight="1">
      <c r="A235" s="9599"/>
      <c r="B235" s="9660"/>
      <c r="C235" s="9333"/>
      <c r="D235" s="9311"/>
      <c r="E235" s="9311"/>
      <c r="F235" s="9311"/>
      <c r="G235" s="9311"/>
      <c r="H235" s="9311"/>
      <c r="I235" s="9311"/>
      <c r="J235" s="9442"/>
      <c r="K235" s="9311"/>
      <c r="L235" s="9311"/>
      <c r="M235" s="9313"/>
      <c r="N235" s="9313"/>
      <c r="O235" s="9313"/>
      <c r="P235" s="9311"/>
      <c r="Q235" s="9433"/>
      <c r="R235" s="9691"/>
      <c r="S235" s="3285"/>
      <c r="T235" s="4958"/>
      <c r="U235" s="4958"/>
      <c r="V235" s="1938" t="s">
        <v>1717</v>
      </c>
      <c r="W235" s="6614">
        <v>1</v>
      </c>
      <c r="X235" s="1939" t="s">
        <v>180</v>
      </c>
      <c r="Y235" s="6717">
        <v>1350</v>
      </c>
      <c r="Z235" s="6501">
        <f t="shared" si="24"/>
        <v>1350</v>
      </c>
      <c r="AA235" s="6501">
        <f t="shared" si="25"/>
        <v>1512.0000000000002</v>
      </c>
      <c r="AB235" s="6715" t="s">
        <v>294</v>
      </c>
      <c r="AC235" s="6748"/>
      <c r="AD235" s="1183"/>
      <c r="AE235" s="116"/>
      <c r="AF235" s="117" t="s">
        <v>153</v>
      </c>
      <c r="AG235" s="200"/>
      <c r="AH235" s="7659" t="s">
        <v>1718</v>
      </c>
      <c r="AI235" s="559"/>
    </row>
    <row r="236" spans="1:35" ht="60.75" customHeight="1">
      <c r="A236" s="9599"/>
      <c r="B236" s="9660"/>
      <c r="C236" s="9333"/>
      <c r="D236" s="9311"/>
      <c r="E236" s="9311"/>
      <c r="F236" s="9311"/>
      <c r="G236" s="9311"/>
      <c r="H236" s="9311"/>
      <c r="I236" s="9311"/>
      <c r="J236" s="9442"/>
      <c r="K236" s="9311"/>
      <c r="L236" s="9311"/>
      <c r="M236" s="9313"/>
      <c r="N236" s="9313"/>
      <c r="O236" s="9313"/>
      <c r="P236" s="9311"/>
      <c r="Q236" s="9433"/>
      <c r="R236" s="9691"/>
      <c r="S236" s="3285"/>
      <c r="T236" s="4958"/>
      <c r="U236" s="6459"/>
      <c r="V236" s="3495" t="s">
        <v>1719</v>
      </c>
      <c r="W236" s="5499">
        <v>1</v>
      </c>
      <c r="X236" s="3496" t="s">
        <v>180</v>
      </c>
      <c r="Y236" s="5523">
        <v>1350</v>
      </c>
      <c r="Z236" s="6718">
        <f t="shared" si="24"/>
        <v>1350</v>
      </c>
      <c r="AA236" s="6501">
        <f t="shared" si="25"/>
        <v>1512.0000000000002</v>
      </c>
      <c r="AB236" s="5977"/>
      <c r="AC236" s="6748"/>
      <c r="AD236" s="1183"/>
      <c r="AE236" s="116"/>
      <c r="AF236" s="117" t="s">
        <v>153</v>
      </c>
      <c r="AG236" s="200"/>
      <c r="AH236" s="7659" t="s">
        <v>1720</v>
      </c>
      <c r="AI236" s="559"/>
    </row>
    <row r="237" spans="1:35" ht="57" customHeight="1">
      <c r="A237" s="9599"/>
      <c r="B237" s="9660"/>
      <c r="C237" s="9395"/>
      <c r="D237" s="9312"/>
      <c r="E237" s="9312"/>
      <c r="F237" s="9312"/>
      <c r="G237" s="9312"/>
      <c r="H237" s="9312"/>
      <c r="I237" s="9312"/>
      <c r="J237" s="9443"/>
      <c r="K237" s="9312"/>
      <c r="L237" s="9312"/>
      <c r="M237" s="9314"/>
      <c r="N237" s="9314"/>
      <c r="O237" s="9314"/>
      <c r="P237" s="9312"/>
      <c r="Q237" s="9434"/>
      <c r="R237" s="9692"/>
      <c r="S237" s="3292"/>
      <c r="T237" s="4969"/>
      <c r="U237" s="4969"/>
      <c r="V237" s="3293"/>
      <c r="W237" s="6623"/>
      <c r="X237" s="3294"/>
      <c r="Y237" s="6719"/>
      <c r="Z237" s="6720"/>
      <c r="AA237" s="6501"/>
      <c r="AB237" s="5080"/>
      <c r="AC237" s="6752"/>
      <c r="AD237" s="1222"/>
      <c r="AE237" s="116"/>
      <c r="AF237" s="117"/>
      <c r="AG237" s="202"/>
      <c r="AH237" s="7659" t="s">
        <v>1720</v>
      </c>
      <c r="AI237" s="559"/>
    </row>
    <row r="238" spans="1:35" ht="27" customHeight="1">
      <c r="A238" s="9599"/>
      <c r="B238" s="9660"/>
      <c r="C238" s="9400" t="s">
        <v>1571</v>
      </c>
      <c r="D238" s="9167" t="s">
        <v>1572</v>
      </c>
      <c r="E238" s="9258" t="s">
        <v>129</v>
      </c>
      <c r="F238" s="9258" t="s">
        <v>268</v>
      </c>
      <c r="G238" s="9320" t="s">
        <v>131</v>
      </c>
      <c r="H238" s="9167" t="s">
        <v>132</v>
      </c>
      <c r="I238" s="8834" t="s">
        <v>159</v>
      </c>
      <c r="J238" s="9693" t="s">
        <v>1721</v>
      </c>
      <c r="K238" s="9167" t="s">
        <v>338</v>
      </c>
      <c r="L238" s="9167" t="s">
        <v>1379</v>
      </c>
      <c r="M238" s="8979">
        <v>0</v>
      </c>
      <c r="N238" s="8975">
        <v>0</v>
      </c>
      <c r="O238" s="9687">
        <v>1</v>
      </c>
      <c r="P238" s="8834" t="s">
        <v>1380</v>
      </c>
      <c r="Q238" s="9205" t="s">
        <v>1381</v>
      </c>
      <c r="R238" s="9690" t="s">
        <v>1490</v>
      </c>
      <c r="S238" s="537"/>
      <c r="T238" s="6579"/>
      <c r="U238" s="6579"/>
      <c r="V238" s="1953"/>
      <c r="W238" s="6615"/>
      <c r="X238" s="96"/>
      <c r="Y238" s="6653"/>
      <c r="Z238" s="6653"/>
      <c r="AA238" s="6653"/>
      <c r="AB238" s="6654"/>
      <c r="AC238" s="6736"/>
      <c r="AD238" s="1263"/>
      <c r="AE238" s="122"/>
      <c r="AF238" s="190"/>
      <c r="AG238" s="190"/>
      <c r="AH238" s="9697"/>
    </row>
    <row r="239" spans="1:35" ht="27" customHeight="1">
      <c r="A239" s="9599"/>
      <c r="B239" s="9660"/>
      <c r="C239" s="9333"/>
      <c r="D239" s="9311"/>
      <c r="E239" s="9311"/>
      <c r="F239" s="9311"/>
      <c r="G239" s="9311"/>
      <c r="H239" s="9311"/>
      <c r="I239" s="9311"/>
      <c r="J239" s="9694"/>
      <c r="K239" s="9311"/>
      <c r="L239" s="9311"/>
      <c r="M239" s="9313"/>
      <c r="N239" s="9313"/>
      <c r="O239" s="9688"/>
      <c r="P239" s="9311"/>
      <c r="Q239" s="9433"/>
      <c r="R239" s="9691"/>
      <c r="S239" s="534"/>
      <c r="T239" s="6561"/>
      <c r="U239" s="6561"/>
      <c r="V239" s="546"/>
      <c r="W239" s="6602"/>
      <c r="X239" s="198"/>
      <c r="Y239" s="6639"/>
      <c r="Z239" s="6639"/>
      <c r="AA239" s="6639"/>
      <c r="AB239" s="6634"/>
      <c r="AC239" s="6724"/>
      <c r="AD239" s="424"/>
      <c r="AE239" s="198"/>
      <c r="AF239" s="200"/>
      <c r="AG239" s="200"/>
      <c r="AH239" s="9698"/>
    </row>
    <row r="240" spans="1:35" ht="27" customHeight="1">
      <c r="A240" s="9599"/>
      <c r="B240" s="9660"/>
      <c r="C240" s="9333"/>
      <c r="D240" s="9311"/>
      <c r="E240" s="9311"/>
      <c r="F240" s="9311"/>
      <c r="G240" s="9311"/>
      <c r="H240" s="9311"/>
      <c r="I240" s="9311"/>
      <c r="J240" s="9694"/>
      <c r="K240" s="9311"/>
      <c r="L240" s="9311"/>
      <c r="M240" s="9313"/>
      <c r="N240" s="9313"/>
      <c r="O240" s="9688"/>
      <c r="P240" s="9311"/>
      <c r="Q240" s="9433"/>
      <c r="R240" s="9691"/>
      <c r="S240" s="534"/>
      <c r="T240" s="6561"/>
      <c r="U240" s="6561"/>
      <c r="V240" s="546"/>
      <c r="W240" s="6602"/>
      <c r="X240" s="198"/>
      <c r="Y240" s="6639"/>
      <c r="Z240" s="6639"/>
      <c r="AA240" s="6639"/>
      <c r="AB240" s="6634"/>
      <c r="AC240" s="6724"/>
      <c r="AD240" s="424"/>
      <c r="AE240" s="198"/>
      <c r="AF240" s="200"/>
      <c r="AG240" s="200"/>
      <c r="AH240" s="9698"/>
    </row>
    <row r="241" spans="1:34" ht="27" customHeight="1">
      <c r="A241" s="9599"/>
      <c r="B241" s="9660"/>
      <c r="C241" s="9333"/>
      <c r="D241" s="9311"/>
      <c r="E241" s="9311"/>
      <c r="F241" s="9311"/>
      <c r="G241" s="9311"/>
      <c r="H241" s="9311"/>
      <c r="I241" s="9311"/>
      <c r="J241" s="9694"/>
      <c r="K241" s="9311"/>
      <c r="L241" s="9311"/>
      <c r="M241" s="9313"/>
      <c r="N241" s="9313"/>
      <c r="O241" s="9688"/>
      <c r="P241" s="9311"/>
      <c r="Q241" s="9433"/>
      <c r="R241" s="9691"/>
      <c r="S241" s="534"/>
      <c r="T241" s="6561"/>
      <c r="U241" s="6561"/>
      <c r="V241" s="546"/>
      <c r="W241" s="6602"/>
      <c r="X241" s="198"/>
      <c r="Y241" s="6639"/>
      <c r="Z241" s="6639"/>
      <c r="AA241" s="6639"/>
      <c r="AB241" s="6634"/>
      <c r="AC241" s="6724"/>
      <c r="AD241" s="424"/>
      <c r="AE241" s="198"/>
      <c r="AF241" s="200"/>
      <c r="AG241" s="200"/>
      <c r="AH241" s="9698"/>
    </row>
    <row r="242" spans="1:34" ht="27" customHeight="1">
      <c r="A242" s="9599"/>
      <c r="B242" s="9660"/>
      <c r="C242" s="9395"/>
      <c r="D242" s="9312"/>
      <c r="E242" s="9312"/>
      <c r="F242" s="9312"/>
      <c r="G242" s="9312"/>
      <c r="H242" s="9312"/>
      <c r="I242" s="9312"/>
      <c r="J242" s="9443"/>
      <c r="K242" s="9312"/>
      <c r="L242" s="9312"/>
      <c r="M242" s="9314"/>
      <c r="N242" s="9314"/>
      <c r="O242" s="9689"/>
      <c r="P242" s="9312"/>
      <c r="Q242" s="9434"/>
      <c r="R242" s="9692"/>
      <c r="S242" s="536"/>
      <c r="T242" s="6562"/>
      <c r="U242" s="6562"/>
      <c r="V242" s="543"/>
      <c r="W242" s="6600"/>
      <c r="X242" s="201"/>
      <c r="Y242" s="6635"/>
      <c r="Z242" s="6635"/>
      <c r="AA242" s="6635"/>
      <c r="AB242" s="6636"/>
      <c r="AC242" s="6725"/>
      <c r="AD242" s="2877"/>
      <c r="AE242" s="201"/>
      <c r="AF242" s="202"/>
      <c r="AG242" s="202"/>
      <c r="AH242" s="9699"/>
    </row>
    <row r="243" spans="1:34" s="4835" customFormat="1" ht="34.5" customHeight="1">
      <c r="A243" s="9599"/>
      <c r="B243" s="9660"/>
      <c r="C243" s="5082"/>
      <c r="D243" s="5082"/>
      <c r="E243" s="5082"/>
      <c r="F243" s="5082"/>
      <c r="G243" s="5082"/>
      <c r="H243" s="5082"/>
      <c r="I243" s="5082"/>
      <c r="J243" s="5082"/>
      <c r="K243" s="5082"/>
      <c r="L243" s="5082"/>
      <c r="M243" s="5081"/>
      <c r="N243" s="5081"/>
      <c r="O243" s="5081"/>
      <c r="P243" s="5082"/>
      <c r="Q243" s="5082"/>
      <c r="R243" s="5082"/>
      <c r="S243" s="9700" t="s">
        <v>1722</v>
      </c>
      <c r="T243" s="9327"/>
      <c r="U243" s="9327"/>
      <c r="V243" s="9327"/>
      <c r="W243" s="9327"/>
      <c r="X243" s="9327"/>
      <c r="Y243" s="9327"/>
      <c r="Z243" s="9327"/>
      <c r="AA243" s="6042" t="s">
        <v>292</v>
      </c>
      <c r="AB243" s="6628">
        <f>SUM(AB100:AB242)</f>
        <v>383161.42968</v>
      </c>
      <c r="AC243" s="6722"/>
      <c r="AD243" s="6043"/>
      <c r="AE243" s="9628"/>
      <c r="AF243" s="9629"/>
      <c r="AG243" s="9629"/>
      <c r="AH243" s="9630"/>
    </row>
    <row r="244" spans="1:34" ht="34.5" customHeight="1">
      <c r="A244" s="9599"/>
      <c r="B244" s="9660" t="s">
        <v>1723</v>
      </c>
      <c r="C244" s="9400" t="s">
        <v>1571</v>
      </c>
      <c r="D244" s="9167" t="s">
        <v>1572</v>
      </c>
      <c r="E244" s="9167" t="s">
        <v>140</v>
      </c>
      <c r="F244" s="9167" t="s">
        <v>1691</v>
      </c>
      <c r="G244" s="9320" t="s">
        <v>131</v>
      </c>
      <c r="H244" s="8834" t="s">
        <v>132</v>
      </c>
      <c r="I244" s="8834" t="s">
        <v>159</v>
      </c>
      <c r="J244" s="8951" t="s">
        <v>1724</v>
      </c>
      <c r="K244" s="8782" t="s">
        <v>1725</v>
      </c>
      <c r="L244" s="9167" t="s">
        <v>1726</v>
      </c>
      <c r="M244" s="8979">
        <v>0</v>
      </c>
      <c r="N244" s="8979">
        <v>4</v>
      </c>
      <c r="O244" s="8979">
        <v>4</v>
      </c>
      <c r="P244" s="8834" t="s">
        <v>1727</v>
      </c>
      <c r="Q244" s="8834" t="s">
        <v>1728</v>
      </c>
      <c r="R244" s="9472" t="s">
        <v>1729</v>
      </c>
      <c r="S244" s="1247"/>
      <c r="T244" s="6577"/>
      <c r="U244" s="6577"/>
      <c r="V244" s="1248"/>
      <c r="W244" s="6610"/>
      <c r="X244" s="1081"/>
      <c r="Y244" s="6645"/>
      <c r="Z244" s="6645"/>
      <c r="AA244" s="6642"/>
      <c r="AB244" s="6503"/>
      <c r="AC244" s="6554"/>
      <c r="AD244" s="1225"/>
      <c r="AE244" s="1250"/>
      <c r="AF244" s="1251"/>
      <c r="AG244" s="1251"/>
      <c r="AH244" s="1252"/>
    </row>
    <row r="245" spans="1:34" ht="34.5" customHeight="1">
      <c r="A245" s="9599"/>
      <c r="B245" s="9661"/>
      <c r="C245" s="9333"/>
      <c r="D245" s="9311"/>
      <c r="E245" s="9311"/>
      <c r="F245" s="9311"/>
      <c r="G245" s="9311"/>
      <c r="H245" s="9311"/>
      <c r="I245" s="9311"/>
      <c r="J245" s="9489"/>
      <c r="K245" s="9311"/>
      <c r="L245" s="9311"/>
      <c r="M245" s="9313"/>
      <c r="N245" s="9313"/>
      <c r="O245" s="9313"/>
      <c r="P245" s="9311"/>
      <c r="Q245" s="9311"/>
      <c r="R245" s="9433"/>
      <c r="S245" s="1253"/>
      <c r="T245" s="6439"/>
      <c r="U245" s="6439"/>
      <c r="V245" s="1254"/>
      <c r="W245" s="6604"/>
      <c r="X245" s="1250"/>
      <c r="Y245" s="6642"/>
      <c r="Z245" s="6505"/>
      <c r="AA245" s="6505"/>
      <c r="AB245" s="6503"/>
      <c r="AC245" s="6554"/>
      <c r="AD245" s="1249"/>
      <c r="AE245" s="1250"/>
      <c r="AF245" s="1251"/>
      <c r="AG245" s="1251"/>
      <c r="AH245" s="1252"/>
    </row>
    <row r="246" spans="1:34" ht="34.5" customHeight="1">
      <c r="A246" s="9599"/>
      <c r="B246" s="9661"/>
      <c r="C246" s="9333"/>
      <c r="D246" s="9311"/>
      <c r="E246" s="9311"/>
      <c r="F246" s="9311"/>
      <c r="G246" s="9311"/>
      <c r="H246" s="9311"/>
      <c r="I246" s="9311"/>
      <c r="J246" s="9489"/>
      <c r="K246" s="9311"/>
      <c r="L246" s="9311"/>
      <c r="M246" s="9313"/>
      <c r="N246" s="9313"/>
      <c r="O246" s="9313"/>
      <c r="P246" s="9311"/>
      <c r="Q246" s="9311"/>
      <c r="R246" s="9433"/>
      <c r="S246" s="1253"/>
      <c r="T246" s="6439"/>
      <c r="U246" s="6439"/>
      <c r="V246" s="1254"/>
      <c r="W246" s="6604"/>
      <c r="X246" s="1250"/>
      <c r="Y246" s="6642"/>
      <c r="Z246" s="6505"/>
      <c r="AA246" s="6505"/>
      <c r="AB246" s="6503"/>
      <c r="AC246" s="6554"/>
      <c r="AD246" s="1249"/>
      <c r="AE246" s="1250"/>
      <c r="AF246" s="1251"/>
      <c r="AG246" s="1251"/>
      <c r="AH246" s="1252"/>
    </row>
    <row r="247" spans="1:34" ht="34.5" customHeight="1">
      <c r="A247" s="9599"/>
      <c r="B247" s="9661"/>
      <c r="C247" s="9333"/>
      <c r="D247" s="9311"/>
      <c r="E247" s="9311"/>
      <c r="F247" s="9311"/>
      <c r="G247" s="9311"/>
      <c r="H247" s="9311"/>
      <c r="I247" s="9311"/>
      <c r="J247" s="9489"/>
      <c r="K247" s="9311"/>
      <c r="L247" s="9311"/>
      <c r="M247" s="9313"/>
      <c r="N247" s="9313"/>
      <c r="O247" s="9313"/>
      <c r="P247" s="9311"/>
      <c r="Q247" s="9311"/>
      <c r="R247" s="9433"/>
      <c r="S247" s="1253"/>
      <c r="T247" s="6439"/>
      <c r="U247" s="6439"/>
      <c r="V247" s="1254"/>
      <c r="W247" s="6604"/>
      <c r="X247" s="1250"/>
      <c r="Y247" s="6642"/>
      <c r="Z247" s="6505"/>
      <c r="AA247" s="6505"/>
      <c r="AB247" s="6503"/>
      <c r="AC247" s="6554"/>
      <c r="AD247" s="1249"/>
      <c r="AE247" s="1250"/>
      <c r="AF247" s="1251"/>
      <c r="AG247" s="1251"/>
      <c r="AH247" s="1252"/>
    </row>
    <row r="248" spans="1:34" ht="34.5" customHeight="1">
      <c r="A248" s="9599"/>
      <c r="B248" s="9661"/>
      <c r="C248" s="9395"/>
      <c r="D248" s="9312"/>
      <c r="E248" s="9312"/>
      <c r="F248" s="9312"/>
      <c r="G248" s="9312"/>
      <c r="H248" s="9312"/>
      <c r="I248" s="9312"/>
      <c r="J248" s="9443"/>
      <c r="K248" s="9312"/>
      <c r="L248" s="9312"/>
      <c r="M248" s="9314"/>
      <c r="N248" s="9314"/>
      <c r="O248" s="9314"/>
      <c r="P248" s="9312"/>
      <c r="Q248" s="9312"/>
      <c r="R248" s="9434"/>
      <c r="S248" s="1255"/>
      <c r="T248" s="6578"/>
      <c r="U248" s="6578"/>
      <c r="V248" s="1256"/>
      <c r="W248" s="6612"/>
      <c r="X248" s="1257"/>
      <c r="Y248" s="6651"/>
      <c r="Z248" s="6651"/>
      <c r="AA248" s="6651"/>
      <c r="AB248" s="6652"/>
      <c r="AC248" s="6734"/>
      <c r="AD248" s="1258"/>
      <c r="AE248" s="1257"/>
      <c r="AF248" s="1259"/>
      <c r="AG248" s="1259"/>
      <c r="AH248" s="1260"/>
    </row>
    <row r="249" spans="1:34" ht="41.25" customHeight="1">
      <c r="A249" s="9599"/>
      <c r="B249" s="9661"/>
      <c r="C249" s="9400" t="s">
        <v>1571</v>
      </c>
      <c r="D249" s="9167" t="s">
        <v>1572</v>
      </c>
      <c r="E249" s="9167" t="s">
        <v>140</v>
      </c>
      <c r="F249" s="9167" t="s">
        <v>1691</v>
      </c>
      <c r="G249" s="9320" t="s">
        <v>131</v>
      </c>
      <c r="H249" s="8834" t="s">
        <v>132</v>
      </c>
      <c r="I249" s="8834" t="s">
        <v>159</v>
      </c>
      <c r="J249" s="9261" t="s">
        <v>1730</v>
      </c>
      <c r="K249" s="8782" t="s">
        <v>1731</v>
      </c>
      <c r="L249" s="8834" t="s">
        <v>1732</v>
      </c>
      <c r="M249" s="8975">
        <v>0</v>
      </c>
      <c r="N249" s="9752">
        <v>3</v>
      </c>
      <c r="O249" s="9752">
        <v>6</v>
      </c>
      <c r="P249" s="8834" t="s">
        <v>1733</v>
      </c>
      <c r="Q249" s="8834" t="s">
        <v>1734</v>
      </c>
      <c r="R249" s="9217" t="s">
        <v>1735</v>
      </c>
      <c r="S249" s="1261"/>
      <c r="T249" s="6577"/>
      <c r="U249" s="6577"/>
      <c r="V249" s="1224"/>
      <c r="W249" s="6610"/>
      <c r="X249" s="1081"/>
      <c r="Y249" s="6645"/>
      <c r="Z249" s="6645"/>
      <c r="AA249" s="6645"/>
      <c r="AB249" s="6655"/>
      <c r="AC249" s="6744"/>
      <c r="AD249" s="1225"/>
      <c r="AE249" s="1081"/>
      <c r="AF249" s="1226"/>
      <c r="AG249" s="1226"/>
      <c r="AH249" s="1252"/>
    </row>
    <row r="250" spans="1:34" ht="41.25" customHeight="1">
      <c r="A250" s="9599"/>
      <c r="B250" s="9661"/>
      <c r="C250" s="9333"/>
      <c r="D250" s="9311"/>
      <c r="E250" s="9311"/>
      <c r="F250" s="9311"/>
      <c r="G250" s="9311"/>
      <c r="H250" s="9311"/>
      <c r="I250" s="9311"/>
      <c r="J250" s="9489"/>
      <c r="K250" s="9311"/>
      <c r="L250" s="9311"/>
      <c r="M250" s="8979"/>
      <c r="N250" s="9657"/>
      <c r="O250" s="9657"/>
      <c r="P250" s="9311"/>
      <c r="Q250" s="9311"/>
      <c r="R250" s="9433"/>
      <c r="S250" s="1253"/>
      <c r="T250" s="6439"/>
      <c r="U250" s="6439"/>
      <c r="V250" s="1254"/>
      <c r="W250" s="6604"/>
      <c r="X250" s="1250"/>
      <c r="Y250" s="6642"/>
      <c r="Z250" s="6642"/>
      <c r="AA250" s="6642"/>
      <c r="AB250" s="6503"/>
      <c r="AC250" s="6554"/>
      <c r="AD250" s="1249"/>
      <c r="AE250" s="1250"/>
      <c r="AF250" s="1251"/>
      <c r="AG250" s="1251"/>
      <c r="AH250" s="1252"/>
    </row>
    <row r="251" spans="1:34" ht="41.25" customHeight="1">
      <c r="A251" s="9599"/>
      <c r="B251" s="9661"/>
      <c r="C251" s="9333"/>
      <c r="D251" s="9311"/>
      <c r="E251" s="9311"/>
      <c r="F251" s="9311"/>
      <c r="G251" s="9311"/>
      <c r="H251" s="9311"/>
      <c r="I251" s="9311"/>
      <c r="J251" s="9489"/>
      <c r="K251" s="9311"/>
      <c r="L251" s="9311"/>
      <c r="M251" s="8979"/>
      <c r="N251" s="9657"/>
      <c r="O251" s="9657"/>
      <c r="P251" s="9311"/>
      <c r="Q251" s="9311"/>
      <c r="R251" s="9433"/>
      <c r="S251" s="1253"/>
      <c r="T251" s="6439"/>
      <c r="U251" s="6439"/>
      <c r="V251" s="1254"/>
      <c r="W251" s="6604"/>
      <c r="X251" s="1250"/>
      <c r="Y251" s="6642"/>
      <c r="Z251" s="6642"/>
      <c r="AA251" s="6642"/>
      <c r="AB251" s="6503"/>
      <c r="AC251" s="6554"/>
      <c r="AD251" s="1249"/>
      <c r="AE251" s="1250"/>
      <c r="AF251" s="1251"/>
      <c r="AG251" s="1251"/>
      <c r="AH251" s="1252"/>
    </row>
    <row r="252" spans="1:34" ht="41.25" customHeight="1">
      <c r="A252" s="9599"/>
      <c r="B252" s="9661"/>
      <c r="C252" s="9333"/>
      <c r="D252" s="9311"/>
      <c r="E252" s="9311"/>
      <c r="F252" s="9311"/>
      <c r="G252" s="9311"/>
      <c r="H252" s="9311"/>
      <c r="I252" s="9311"/>
      <c r="J252" s="9489"/>
      <c r="K252" s="9311"/>
      <c r="L252" s="9311"/>
      <c r="M252" s="8979"/>
      <c r="N252" s="9657"/>
      <c r="O252" s="9657"/>
      <c r="P252" s="9311"/>
      <c r="Q252" s="9311"/>
      <c r="R252" s="9433"/>
      <c r="S252" s="1253"/>
      <c r="T252" s="6439"/>
      <c r="U252" s="6439"/>
      <c r="V252" s="1254"/>
      <c r="W252" s="6604"/>
      <c r="X252" s="1250"/>
      <c r="Y252" s="6642"/>
      <c r="Z252" s="6642"/>
      <c r="AA252" s="6642"/>
      <c r="AB252" s="6503"/>
      <c r="AC252" s="6554"/>
      <c r="AD252" s="1249"/>
      <c r="AE252" s="1250"/>
      <c r="AF252" s="1251"/>
      <c r="AG252" s="1251"/>
      <c r="AH252" s="1252"/>
    </row>
    <row r="253" spans="1:34" ht="41.25" customHeight="1">
      <c r="A253" s="9599"/>
      <c r="B253" s="9661"/>
      <c r="C253" s="9395"/>
      <c r="D253" s="9312"/>
      <c r="E253" s="9312"/>
      <c r="F253" s="9312"/>
      <c r="G253" s="9312"/>
      <c r="H253" s="9312"/>
      <c r="I253" s="9312"/>
      <c r="J253" s="9443"/>
      <c r="K253" s="9312"/>
      <c r="L253" s="9312"/>
      <c r="M253" s="9337"/>
      <c r="N253" s="9658"/>
      <c r="O253" s="9658"/>
      <c r="P253" s="9312"/>
      <c r="Q253" s="9312"/>
      <c r="R253" s="9434"/>
      <c r="S253" s="1255"/>
      <c r="T253" s="6578"/>
      <c r="U253" s="6578"/>
      <c r="V253" s="1256"/>
      <c r="W253" s="6612"/>
      <c r="X253" s="1257"/>
      <c r="Y253" s="6651"/>
      <c r="Z253" s="6651"/>
      <c r="AA253" s="6651"/>
      <c r="AB253" s="6652"/>
      <c r="AC253" s="6734"/>
      <c r="AD253" s="1258"/>
      <c r="AE253" s="1257"/>
      <c r="AF253" s="1259"/>
      <c r="AG253" s="1259"/>
      <c r="AH253" s="1260"/>
    </row>
    <row r="254" spans="1:34" ht="25.5" customHeight="1">
      <c r="A254" s="9599"/>
      <c r="B254" s="9661"/>
      <c r="C254" s="9332" t="s">
        <v>1571</v>
      </c>
      <c r="D254" s="9258" t="s">
        <v>1572</v>
      </c>
      <c r="E254" s="9258" t="s">
        <v>129</v>
      </c>
      <c r="F254" s="9258" t="s">
        <v>1736</v>
      </c>
      <c r="G254" s="9335" t="s">
        <v>131</v>
      </c>
      <c r="H254" s="8782" t="s">
        <v>132</v>
      </c>
      <c r="I254" s="8782" t="s">
        <v>159</v>
      </c>
      <c r="J254" s="9261" t="s">
        <v>1737</v>
      </c>
      <c r="K254" s="8782" t="s">
        <v>1738</v>
      </c>
      <c r="L254" s="8782" t="s">
        <v>1739</v>
      </c>
      <c r="M254" s="8975">
        <v>0</v>
      </c>
      <c r="N254" s="8823">
        <v>1</v>
      </c>
      <c r="O254" s="9656">
        <v>1</v>
      </c>
      <c r="P254" s="8782" t="s">
        <v>1740</v>
      </c>
      <c r="Q254" s="8782" t="s">
        <v>1741</v>
      </c>
      <c r="R254" s="9217" t="s">
        <v>1742</v>
      </c>
      <c r="S254" s="1261"/>
      <c r="T254" s="6577"/>
      <c r="U254" s="6577"/>
      <c r="V254" s="1224"/>
      <c r="W254" s="6610"/>
      <c r="X254" s="1081"/>
      <c r="Y254" s="6645"/>
      <c r="Z254" s="6645"/>
      <c r="AA254" s="6645"/>
      <c r="AB254" s="6655"/>
      <c r="AC254" s="6744"/>
      <c r="AD254" s="1225"/>
      <c r="AE254" s="1081"/>
      <c r="AF254" s="1226"/>
      <c r="AG254" s="1226"/>
      <c r="AH254" s="1252"/>
    </row>
    <row r="255" spans="1:34" ht="25.5" customHeight="1">
      <c r="A255" s="9599"/>
      <c r="B255" s="9661"/>
      <c r="C255" s="9333"/>
      <c r="D255" s="9311"/>
      <c r="E255" s="9311"/>
      <c r="F255" s="9311"/>
      <c r="G255" s="9311"/>
      <c r="H255" s="9311"/>
      <c r="I255" s="9311"/>
      <c r="J255" s="9489"/>
      <c r="K255" s="9311"/>
      <c r="L255" s="9311"/>
      <c r="M255" s="9313"/>
      <c r="N255" s="9313"/>
      <c r="O255" s="9657"/>
      <c r="P255" s="9311"/>
      <c r="Q255" s="9311"/>
      <c r="R255" s="9433"/>
      <c r="S255" s="1253"/>
      <c r="T255" s="6439"/>
      <c r="U255" s="6439"/>
      <c r="V255" s="1254"/>
      <c r="W255" s="6604"/>
      <c r="X255" s="1250"/>
      <c r="Y255" s="6642"/>
      <c r="Z255" s="6642"/>
      <c r="AA255" s="6642"/>
      <c r="AB255" s="6503"/>
      <c r="AC255" s="6554"/>
      <c r="AD255" s="1249"/>
      <c r="AE255" s="1250"/>
      <c r="AF255" s="1251"/>
      <c r="AG255" s="1251"/>
      <c r="AH255" s="1252"/>
    </row>
    <row r="256" spans="1:34" ht="25.5" customHeight="1">
      <c r="A256" s="9599"/>
      <c r="B256" s="9661"/>
      <c r="C256" s="9333"/>
      <c r="D256" s="9311"/>
      <c r="E256" s="9311"/>
      <c r="F256" s="9311"/>
      <c r="G256" s="9311"/>
      <c r="H256" s="9311"/>
      <c r="I256" s="9311"/>
      <c r="J256" s="9489"/>
      <c r="K256" s="9311"/>
      <c r="L256" s="9311"/>
      <c r="M256" s="9313"/>
      <c r="N256" s="9313"/>
      <c r="O256" s="9657"/>
      <c r="P256" s="9311"/>
      <c r="Q256" s="9311"/>
      <c r="R256" s="9433"/>
      <c r="S256" s="1253"/>
      <c r="T256" s="6439"/>
      <c r="U256" s="6439"/>
      <c r="V256" s="1254"/>
      <c r="W256" s="6604"/>
      <c r="X256" s="1250"/>
      <c r="Y256" s="6642"/>
      <c r="Z256" s="6642"/>
      <c r="AA256" s="6642"/>
      <c r="AB256" s="6503"/>
      <c r="AC256" s="6554"/>
      <c r="AD256" s="1249"/>
      <c r="AE256" s="1250"/>
      <c r="AF256" s="1251"/>
      <c r="AG256" s="1251"/>
      <c r="AH256" s="1252"/>
    </row>
    <row r="257" spans="1:34" ht="25.5" customHeight="1">
      <c r="A257" s="9599"/>
      <c r="B257" s="9661"/>
      <c r="C257" s="9333"/>
      <c r="D257" s="9311"/>
      <c r="E257" s="9311"/>
      <c r="F257" s="9311"/>
      <c r="G257" s="9311"/>
      <c r="H257" s="9311"/>
      <c r="I257" s="9311"/>
      <c r="J257" s="9489"/>
      <c r="K257" s="9311"/>
      <c r="L257" s="9311"/>
      <c r="M257" s="9313"/>
      <c r="N257" s="9313"/>
      <c r="O257" s="9657"/>
      <c r="P257" s="9311"/>
      <c r="Q257" s="9311"/>
      <c r="R257" s="9433"/>
      <c r="S257" s="1253"/>
      <c r="T257" s="6439"/>
      <c r="U257" s="6439"/>
      <c r="V257" s="1254"/>
      <c r="W257" s="6604"/>
      <c r="X257" s="1250"/>
      <c r="Y257" s="6642"/>
      <c r="Z257" s="6642"/>
      <c r="AA257" s="6642"/>
      <c r="AB257" s="6503"/>
      <c r="AC257" s="6554"/>
      <c r="AD257" s="1249"/>
      <c r="AE257" s="1250"/>
      <c r="AF257" s="1251"/>
      <c r="AG257" s="1251"/>
      <c r="AH257" s="1252"/>
    </row>
    <row r="258" spans="1:34" ht="25.5" customHeight="1">
      <c r="A258" s="9599"/>
      <c r="B258" s="9661"/>
      <c r="C258" s="9395"/>
      <c r="D258" s="9312"/>
      <c r="E258" s="9312"/>
      <c r="F258" s="9312"/>
      <c r="G258" s="9312"/>
      <c r="H258" s="9312"/>
      <c r="I258" s="9312"/>
      <c r="J258" s="9443"/>
      <c r="K258" s="9312"/>
      <c r="L258" s="9312"/>
      <c r="M258" s="9314"/>
      <c r="N258" s="9314"/>
      <c r="O258" s="9658"/>
      <c r="P258" s="9312"/>
      <c r="Q258" s="9312"/>
      <c r="R258" s="9434"/>
      <c r="S258" s="1255"/>
      <c r="T258" s="6578"/>
      <c r="U258" s="6578"/>
      <c r="V258" s="1256"/>
      <c r="W258" s="6612"/>
      <c r="X258" s="1257"/>
      <c r="Y258" s="6651"/>
      <c r="Z258" s="6651"/>
      <c r="AA258" s="6651"/>
      <c r="AB258" s="6652"/>
      <c r="AC258" s="6734"/>
      <c r="AD258" s="1258"/>
      <c r="AE258" s="1257"/>
      <c r="AF258" s="1259"/>
      <c r="AG258" s="1259"/>
      <c r="AH258" s="1260"/>
    </row>
    <row r="259" spans="1:34" ht="42" customHeight="1">
      <c r="A259" s="9599"/>
      <c r="B259" s="9661"/>
      <c r="C259" s="9223" t="s">
        <v>1482</v>
      </c>
      <c r="D259" s="8782" t="s">
        <v>1483</v>
      </c>
      <c r="E259" s="8782" t="s">
        <v>1292</v>
      </c>
      <c r="F259" s="8782" t="s">
        <v>1743</v>
      </c>
      <c r="G259" s="8977" t="s">
        <v>230</v>
      </c>
      <c r="H259" s="8782" t="s">
        <v>132</v>
      </c>
      <c r="I259" s="8782" t="s">
        <v>159</v>
      </c>
      <c r="J259" s="9261" t="s">
        <v>1744</v>
      </c>
      <c r="K259" s="8782" t="s">
        <v>1745</v>
      </c>
      <c r="L259" s="9258" t="s">
        <v>1746</v>
      </c>
      <c r="M259" s="8823">
        <v>0</v>
      </c>
      <c r="N259" s="9656">
        <v>400</v>
      </c>
      <c r="O259" s="9656">
        <v>400</v>
      </c>
      <c r="P259" s="8782" t="s">
        <v>1747</v>
      </c>
      <c r="Q259" s="8782" t="s">
        <v>1748</v>
      </c>
      <c r="R259" s="9217" t="s">
        <v>1735</v>
      </c>
      <c r="S259" s="1261"/>
      <c r="T259" s="6577"/>
      <c r="U259" s="6577"/>
      <c r="V259" s="1224"/>
      <c r="W259" s="6610"/>
      <c r="X259" s="1081"/>
      <c r="Y259" s="6645"/>
      <c r="Z259" s="6645"/>
      <c r="AA259" s="6645"/>
      <c r="AB259" s="6655"/>
      <c r="AC259" s="6744"/>
      <c r="AD259" s="1225"/>
      <c r="AE259" s="1081"/>
      <c r="AF259" s="1226"/>
      <c r="AG259" s="1226"/>
      <c r="AH259" s="9753"/>
    </row>
    <row r="260" spans="1:34" ht="42" customHeight="1">
      <c r="A260" s="9599"/>
      <c r="B260" s="9661"/>
      <c r="C260" s="9125"/>
      <c r="D260" s="8834"/>
      <c r="E260" s="8834"/>
      <c r="F260" s="8834"/>
      <c r="G260" s="8974"/>
      <c r="H260" s="8834"/>
      <c r="I260" s="8834"/>
      <c r="J260" s="8951"/>
      <c r="K260" s="8834"/>
      <c r="L260" s="9167"/>
      <c r="M260" s="8856"/>
      <c r="N260" s="9752"/>
      <c r="O260" s="9752"/>
      <c r="P260" s="8834"/>
      <c r="Q260" s="8834"/>
      <c r="R260" s="9205"/>
      <c r="S260" s="1261"/>
      <c r="T260" s="6577"/>
      <c r="U260" s="6577"/>
      <c r="V260" s="1224"/>
      <c r="W260" s="6610"/>
      <c r="X260" s="1081"/>
      <c r="Y260" s="6645"/>
      <c r="Z260" s="6645"/>
      <c r="AA260" s="6645"/>
      <c r="AB260" s="6655"/>
      <c r="AC260" s="6744"/>
      <c r="AD260" s="1225"/>
      <c r="AE260" s="1081"/>
      <c r="AF260" s="1226"/>
      <c r="AG260" s="1226"/>
      <c r="AH260" s="9754"/>
    </row>
    <row r="261" spans="1:34" ht="42" customHeight="1">
      <c r="A261" s="9599"/>
      <c r="B261" s="9661"/>
      <c r="C261" s="9125"/>
      <c r="D261" s="8834"/>
      <c r="E261" s="8834"/>
      <c r="F261" s="8834"/>
      <c r="G261" s="8974"/>
      <c r="H261" s="8834"/>
      <c r="I261" s="8834"/>
      <c r="J261" s="8951"/>
      <c r="K261" s="8834"/>
      <c r="L261" s="9167"/>
      <c r="M261" s="8856"/>
      <c r="N261" s="9752"/>
      <c r="O261" s="9752"/>
      <c r="P261" s="8834"/>
      <c r="Q261" s="8834"/>
      <c r="R261" s="9205"/>
      <c r="S261" s="1261"/>
      <c r="T261" s="6577"/>
      <c r="U261" s="6577"/>
      <c r="V261" s="1224"/>
      <c r="W261" s="6610"/>
      <c r="X261" s="1081"/>
      <c r="Y261" s="6645"/>
      <c r="Z261" s="6645"/>
      <c r="AA261" s="6645"/>
      <c r="AB261" s="6655"/>
      <c r="AC261" s="6744"/>
      <c r="AD261" s="1225"/>
      <c r="AE261" s="1081"/>
      <c r="AF261" s="1226"/>
      <c r="AG261" s="1226"/>
      <c r="AH261" s="9754"/>
    </row>
    <row r="262" spans="1:34" ht="42" customHeight="1">
      <c r="A262" s="9599"/>
      <c r="B262" s="9661"/>
      <c r="C262" s="9333"/>
      <c r="D262" s="9311"/>
      <c r="E262" s="9311"/>
      <c r="F262" s="9311"/>
      <c r="G262" s="9311"/>
      <c r="H262" s="9311"/>
      <c r="I262" s="9311"/>
      <c r="J262" s="9489"/>
      <c r="K262" s="9311"/>
      <c r="L262" s="9311"/>
      <c r="M262" s="9313"/>
      <c r="N262" s="9657"/>
      <c r="O262" s="9657"/>
      <c r="P262" s="9311"/>
      <c r="Q262" s="9311"/>
      <c r="R262" s="9433"/>
      <c r="S262" s="1253"/>
      <c r="T262" s="6439"/>
      <c r="U262" s="6439"/>
      <c r="V262" s="1254"/>
      <c r="W262" s="6604"/>
      <c r="X262" s="1250"/>
      <c r="Y262" s="6642"/>
      <c r="Z262" s="6642"/>
      <c r="AA262" s="6642"/>
      <c r="AB262" s="6503"/>
      <c r="AC262" s="6554"/>
      <c r="AD262" s="1249"/>
      <c r="AE262" s="1250"/>
      <c r="AF262" s="1251"/>
      <c r="AG262" s="1251"/>
      <c r="AH262" s="9754"/>
    </row>
    <row r="263" spans="1:34" ht="42" customHeight="1">
      <c r="A263" s="9599"/>
      <c r="B263" s="9661"/>
      <c r="C263" s="9395"/>
      <c r="D263" s="9312"/>
      <c r="E263" s="9312"/>
      <c r="F263" s="9312"/>
      <c r="G263" s="9312"/>
      <c r="H263" s="9312"/>
      <c r="I263" s="9312"/>
      <c r="J263" s="9443"/>
      <c r="K263" s="9312"/>
      <c r="L263" s="9312"/>
      <c r="M263" s="9314"/>
      <c r="N263" s="9658"/>
      <c r="O263" s="9658"/>
      <c r="P263" s="9312"/>
      <c r="Q263" s="9312"/>
      <c r="R263" s="9434"/>
      <c r="S263" s="1255"/>
      <c r="T263" s="6578"/>
      <c r="U263" s="6578"/>
      <c r="V263" s="1256"/>
      <c r="W263" s="6612"/>
      <c r="X263" s="1257"/>
      <c r="Y263" s="6651"/>
      <c r="Z263" s="6651"/>
      <c r="AA263" s="6651"/>
      <c r="AB263" s="6652"/>
      <c r="AC263" s="6734"/>
      <c r="AD263" s="1258"/>
      <c r="AE263" s="1257"/>
      <c r="AF263" s="1259"/>
      <c r="AG263" s="1259"/>
      <c r="AH263" s="9755"/>
    </row>
    <row r="264" spans="1:34" ht="26.25" customHeight="1">
      <c r="A264" s="9599"/>
      <c r="B264" s="9661"/>
      <c r="C264" s="9400" t="s">
        <v>1571</v>
      </c>
      <c r="D264" s="9167" t="s">
        <v>1572</v>
      </c>
      <c r="E264" s="9167" t="s">
        <v>129</v>
      </c>
      <c r="F264" s="9167" t="s">
        <v>1736</v>
      </c>
      <c r="G264" s="9320" t="s">
        <v>131</v>
      </c>
      <c r="H264" s="8834" t="s">
        <v>132</v>
      </c>
      <c r="I264" s="8834" t="s">
        <v>159</v>
      </c>
      <c r="J264" s="9261" t="s">
        <v>1749</v>
      </c>
      <c r="K264" s="8782" t="s">
        <v>1750</v>
      </c>
      <c r="L264" s="9167" t="s">
        <v>1751</v>
      </c>
      <c r="M264" s="8979">
        <v>0</v>
      </c>
      <c r="N264" s="8979">
        <v>1</v>
      </c>
      <c r="O264" s="9752">
        <v>0</v>
      </c>
      <c r="P264" s="8834" t="s">
        <v>1752</v>
      </c>
      <c r="Q264" s="8834" t="s">
        <v>1753</v>
      </c>
      <c r="R264" s="9217" t="s">
        <v>1742</v>
      </c>
      <c r="S264" s="1261"/>
      <c r="T264" s="6577"/>
      <c r="U264" s="6577"/>
      <c r="V264" s="1224"/>
      <c r="W264" s="6610"/>
      <c r="X264" s="1081"/>
      <c r="Y264" s="6645"/>
      <c r="Z264" s="6645"/>
      <c r="AA264" s="6645"/>
      <c r="AB264" s="6655"/>
      <c r="AC264" s="6744"/>
      <c r="AD264" s="1225"/>
      <c r="AE264" s="1081"/>
      <c r="AF264" s="1226"/>
      <c r="AG264" s="1226"/>
      <c r="AH264" s="9753"/>
    </row>
    <row r="265" spans="1:34" ht="26.25" customHeight="1">
      <c r="A265" s="9599"/>
      <c r="B265" s="9661"/>
      <c r="C265" s="9333"/>
      <c r="D265" s="9311"/>
      <c r="E265" s="9311"/>
      <c r="F265" s="9311"/>
      <c r="G265" s="9311"/>
      <c r="H265" s="9311"/>
      <c r="I265" s="9311"/>
      <c r="J265" s="9489"/>
      <c r="K265" s="9311"/>
      <c r="L265" s="9311"/>
      <c r="M265" s="9313"/>
      <c r="N265" s="9313"/>
      <c r="O265" s="9657"/>
      <c r="P265" s="9311"/>
      <c r="Q265" s="9311"/>
      <c r="R265" s="9433"/>
      <c r="S265" s="1253"/>
      <c r="T265" s="6439"/>
      <c r="U265" s="6439"/>
      <c r="V265" s="1254"/>
      <c r="W265" s="6604"/>
      <c r="X265" s="1250"/>
      <c r="Y265" s="6642"/>
      <c r="Z265" s="6642"/>
      <c r="AA265" s="6642"/>
      <c r="AB265" s="6503"/>
      <c r="AC265" s="6554"/>
      <c r="AD265" s="1249"/>
      <c r="AE265" s="1250"/>
      <c r="AF265" s="1251"/>
      <c r="AG265" s="1251"/>
      <c r="AH265" s="9754"/>
    </row>
    <row r="266" spans="1:34" ht="26.25" customHeight="1">
      <c r="A266" s="9599"/>
      <c r="B266" s="9661"/>
      <c r="C266" s="9333"/>
      <c r="D266" s="9311"/>
      <c r="E266" s="9311"/>
      <c r="F266" s="9311"/>
      <c r="G266" s="9311"/>
      <c r="H266" s="9311"/>
      <c r="I266" s="9311"/>
      <c r="J266" s="9489"/>
      <c r="K266" s="9311"/>
      <c r="L266" s="9311"/>
      <c r="M266" s="9313"/>
      <c r="N266" s="9313"/>
      <c r="O266" s="9657"/>
      <c r="P266" s="9311"/>
      <c r="Q266" s="9311"/>
      <c r="R266" s="9433"/>
      <c r="S266" s="1253"/>
      <c r="T266" s="6439"/>
      <c r="U266" s="6439"/>
      <c r="V266" s="1254"/>
      <c r="W266" s="6604"/>
      <c r="X266" s="1250"/>
      <c r="Y266" s="6642"/>
      <c r="Z266" s="6642"/>
      <c r="AA266" s="6642"/>
      <c r="AB266" s="6503"/>
      <c r="AC266" s="6554"/>
      <c r="AD266" s="1249"/>
      <c r="AE266" s="1250"/>
      <c r="AF266" s="1251"/>
      <c r="AG266" s="1251"/>
      <c r="AH266" s="9754"/>
    </row>
    <row r="267" spans="1:34" ht="26.25" customHeight="1">
      <c r="A267" s="9599"/>
      <c r="B267" s="9661"/>
      <c r="C267" s="9333"/>
      <c r="D267" s="9311"/>
      <c r="E267" s="9311"/>
      <c r="F267" s="9311"/>
      <c r="G267" s="9311"/>
      <c r="H267" s="9311"/>
      <c r="I267" s="9311"/>
      <c r="J267" s="9489"/>
      <c r="K267" s="9311"/>
      <c r="L267" s="9311"/>
      <c r="M267" s="9313"/>
      <c r="N267" s="9313"/>
      <c r="O267" s="9657"/>
      <c r="P267" s="9311"/>
      <c r="Q267" s="9311"/>
      <c r="R267" s="9433"/>
      <c r="S267" s="1253"/>
      <c r="T267" s="6439"/>
      <c r="U267" s="6439"/>
      <c r="V267" s="1254"/>
      <c r="W267" s="6604"/>
      <c r="X267" s="1250"/>
      <c r="Y267" s="6642"/>
      <c r="Z267" s="6642"/>
      <c r="AA267" s="6642"/>
      <c r="AB267" s="6503"/>
      <c r="AC267" s="6554"/>
      <c r="AD267" s="1249"/>
      <c r="AE267" s="1250"/>
      <c r="AF267" s="1251"/>
      <c r="AG267" s="1251"/>
      <c r="AH267" s="9754"/>
    </row>
    <row r="268" spans="1:34" ht="26.25" customHeight="1">
      <c r="A268" s="9599"/>
      <c r="B268" s="9661"/>
      <c r="C268" s="9395"/>
      <c r="D268" s="9312"/>
      <c r="E268" s="9312"/>
      <c r="F268" s="9312"/>
      <c r="G268" s="9312"/>
      <c r="H268" s="9312"/>
      <c r="I268" s="9312"/>
      <c r="J268" s="9443"/>
      <c r="K268" s="9312"/>
      <c r="L268" s="9312"/>
      <c r="M268" s="9314"/>
      <c r="N268" s="9314"/>
      <c r="O268" s="9658"/>
      <c r="P268" s="9312"/>
      <c r="Q268" s="9312"/>
      <c r="R268" s="9434"/>
      <c r="S268" s="1255"/>
      <c r="T268" s="6578"/>
      <c r="U268" s="6578"/>
      <c r="V268" s="1256"/>
      <c r="W268" s="6612"/>
      <c r="X268" s="1257"/>
      <c r="Y268" s="6651"/>
      <c r="Z268" s="6651"/>
      <c r="AA268" s="6651"/>
      <c r="AB268" s="6652"/>
      <c r="AC268" s="6734"/>
      <c r="AD268" s="1258"/>
      <c r="AE268" s="1257"/>
      <c r="AF268" s="1259"/>
      <c r="AG268" s="1259"/>
      <c r="AH268" s="9755"/>
    </row>
    <row r="269" spans="1:34" ht="39.75" customHeight="1">
      <c r="A269" s="9599"/>
      <c r="B269" s="9661"/>
      <c r="C269" s="9400" t="s">
        <v>1571</v>
      </c>
      <c r="D269" s="9167" t="s">
        <v>1572</v>
      </c>
      <c r="E269" s="9167" t="s">
        <v>140</v>
      </c>
      <c r="F269" s="9167" t="s">
        <v>1691</v>
      </c>
      <c r="G269" s="9320" t="s">
        <v>131</v>
      </c>
      <c r="H269" s="8834" t="s">
        <v>132</v>
      </c>
      <c r="I269" s="8834" t="s">
        <v>159</v>
      </c>
      <c r="J269" s="9261" t="s">
        <v>1754</v>
      </c>
      <c r="K269" s="8782" t="s">
        <v>1755</v>
      </c>
      <c r="L269" s="8834" t="s">
        <v>1756</v>
      </c>
      <c r="M269" s="8856">
        <v>0</v>
      </c>
      <c r="N269" s="8823">
        <v>80</v>
      </c>
      <c r="O269" s="8823">
        <v>80</v>
      </c>
      <c r="P269" s="8834" t="s">
        <v>1757</v>
      </c>
      <c r="Q269" s="8834" t="s">
        <v>1758</v>
      </c>
      <c r="R269" s="9217" t="s">
        <v>1735</v>
      </c>
      <c r="S269" s="1261"/>
      <c r="T269" s="6577"/>
      <c r="U269" s="6577"/>
      <c r="V269" s="1224"/>
      <c r="W269" s="6610"/>
      <c r="X269" s="1081"/>
      <c r="Y269" s="6645"/>
      <c r="Z269" s="6645"/>
      <c r="AA269" s="6645"/>
      <c r="AB269" s="6655"/>
      <c r="AC269" s="6744"/>
      <c r="AD269" s="1225"/>
      <c r="AE269" s="1081"/>
      <c r="AF269" s="1226"/>
      <c r="AG269" s="1226"/>
      <c r="AH269" s="9753"/>
    </row>
    <row r="270" spans="1:34" ht="39.75" customHeight="1">
      <c r="A270" s="9599"/>
      <c r="B270" s="9661"/>
      <c r="C270" s="9333"/>
      <c r="D270" s="9311"/>
      <c r="E270" s="9311"/>
      <c r="F270" s="9311"/>
      <c r="G270" s="9311"/>
      <c r="H270" s="9311"/>
      <c r="I270" s="9311"/>
      <c r="J270" s="9489"/>
      <c r="K270" s="9311"/>
      <c r="L270" s="9311"/>
      <c r="M270" s="9313"/>
      <c r="N270" s="9313"/>
      <c r="O270" s="9313"/>
      <c r="P270" s="9311"/>
      <c r="Q270" s="9311"/>
      <c r="R270" s="9433"/>
      <c r="S270" s="1253"/>
      <c r="T270" s="6439"/>
      <c r="U270" s="6439"/>
      <c r="V270" s="1254"/>
      <c r="W270" s="6604"/>
      <c r="X270" s="1250"/>
      <c r="Y270" s="6642"/>
      <c r="Z270" s="6642"/>
      <c r="AA270" s="6642"/>
      <c r="AB270" s="6503"/>
      <c r="AC270" s="6554"/>
      <c r="AD270" s="1249"/>
      <c r="AE270" s="1250"/>
      <c r="AF270" s="1251"/>
      <c r="AG270" s="1251"/>
      <c r="AH270" s="9754"/>
    </row>
    <row r="271" spans="1:34" ht="39.75" customHeight="1">
      <c r="A271" s="9599"/>
      <c r="B271" s="9661"/>
      <c r="C271" s="9333"/>
      <c r="D271" s="9311"/>
      <c r="E271" s="9311"/>
      <c r="F271" s="9311"/>
      <c r="G271" s="9311"/>
      <c r="H271" s="9311"/>
      <c r="I271" s="9311"/>
      <c r="J271" s="9489"/>
      <c r="K271" s="9311"/>
      <c r="L271" s="9311"/>
      <c r="M271" s="9313"/>
      <c r="N271" s="9313"/>
      <c r="O271" s="9313"/>
      <c r="P271" s="9311"/>
      <c r="Q271" s="9311"/>
      <c r="R271" s="9433"/>
      <c r="S271" s="1253"/>
      <c r="T271" s="6439"/>
      <c r="U271" s="6439"/>
      <c r="V271" s="1254"/>
      <c r="W271" s="6604"/>
      <c r="X271" s="1250"/>
      <c r="Y271" s="6642"/>
      <c r="Z271" s="6642"/>
      <c r="AA271" s="6642"/>
      <c r="AB271" s="6503"/>
      <c r="AC271" s="6554"/>
      <c r="AD271" s="1249"/>
      <c r="AE271" s="1250"/>
      <c r="AF271" s="1251"/>
      <c r="AG271" s="1251"/>
      <c r="AH271" s="9754"/>
    </row>
    <row r="272" spans="1:34" ht="39.75" customHeight="1">
      <c r="A272" s="9599"/>
      <c r="B272" s="9661"/>
      <c r="C272" s="9333"/>
      <c r="D272" s="9311"/>
      <c r="E272" s="9311"/>
      <c r="F272" s="9311"/>
      <c r="G272" s="9311"/>
      <c r="H272" s="9311"/>
      <c r="I272" s="9311"/>
      <c r="J272" s="9489"/>
      <c r="K272" s="9311"/>
      <c r="L272" s="9311"/>
      <c r="M272" s="9313"/>
      <c r="N272" s="9313"/>
      <c r="O272" s="9313"/>
      <c r="P272" s="9311"/>
      <c r="Q272" s="9311"/>
      <c r="R272" s="9433"/>
      <c r="S272" s="1253"/>
      <c r="T272" s="6439"/>
      <c r="U272" s="6439"/>
      <c r="V272" s="1254"/>
      <c r="W272" s="6604"/>
      <c r="X272" s="1250"/>
      <c r="Y272" s="6642"/>
      <c r="Z272" s="6642"/>
      <c r="AA272" s="6642"/>
      <c r="AB272" s="6503"/>
      <c r="AC272" s="6554"/>
      <c r="AD272" s="1249"/>
      <c r="AE272" s="1250"/>
      <c r="AF272" s="1251"/>
      <c r="AG272" s="1251"/>
      <c r="AH272" s="9754"/>
    </row>
    <row r="273" spans="1:34" ht="39.75" customHeight="1">
      <c r="A273" s="9599"/>
      <c r="B273" s="9661"/>
      <c r="C273" s="9395"/>
      <c r="D273" s="9312"/>
      <c r="E273" s="9312"/>
      <c r="F273" s="9312"/>
      <c r="G273" s="9312"/>
      <c r="H273" s="9312"/>
      <c r="I273" s="9312"/>
      <c r="J273" s="9443"/>
      <c r="K273" s="9312"/>
      <c r="L273" s="9312"/>
      <c r="M273" s="9314"/>
      <c r="N273" s="9314"/>
      <c r="O273" s="9314"/>
      <c r="P273" s="9312"/>
      <c r="Q273" s="9312"/>
      <c r="R273" s="9434"/>
      <c r="S273" s="1255"/>
      <c r="T273" s="6578"/>
      <c r="U273" s="6578"/>
      <c r="V273" s="1256"/>
      <c r="W273" s="6612"/>
      <c r="X273" s="1257"/>
      <c r="Y273" s="6651"/>
      <c r="Z273" s="6651"/>
      <c r="AA273" s="6651"/>
      <c r="AB273" s="6652"/>
      <c r="AC273" s="6734"/>
      <c r="AD273" s="1258"/>
      <c r="AE273" s="1257"/>
      <c r="AF273" s="1259"/>
      <c r="AG273" s="1259"/>
      <c r="AH273" s="9755"/>
    </row>
    <row r="274" spans="1:34" ht="41.25" customHeight="1">
      <c r="A274" s="9599"/>
      <c r="B274" s="9661"/>
      <c r="C274" s="9332" t="s">
        <v>1571</v>
      </c>
      <c r="D274" s="9258" t="s">
        <v>1572</v>
      </c>
      <c r="E274" s="9258" t="s">
        <v>140</v>
      </c>
      <c r="F274" s="9258" t="s">
        <v>1691</v>
      </c>
      <c r="G274" s="9335" t="s">
        <v>131</v>
      </c>
      <c r="H274" s="8782" t="s">
        <v>132</v>
      </c>
      <c r="I274" s="8782" t="s">
        <v>159</v>
      </c>
      <c r="J274" s="8940" t="s">
        <v>1759</v>
      </c>
      <c r="K274" s="8782" t="s">
        <v>1760</v>
      </c>
      <c r="L274" s="8782" t="s">
        <v>1761</v>
      </c>
      <c r="M274" s="9656">
        <v>0</v>
      </c>
      <c r="N274" s="9656">
        <v>900</v>
      </c>
      <c r="O274" s="9656">
        <v>900</v>
      </c>
      <c r="P274" s="8782" t="s">
        <v>1762</v>
      </c>
      <c r="Q274" s="8782" t="s">
        <v>1763</v>
      </c>
      <c r="R274" s="9217" t="s">
        <v>1735</v>
      </c>
      <c r="S274" s="1261"/>
      <c r="T274" s="6577"/>
      <c r="U274" s="6577"/>
      <c r="V274" s="1224"/>
      <c r="W274" s="6610"/>
      <c r="X274" s="1081"/>
      <c r="Y274" s="6645"/>
      <c r="Z274" s="6645"/>
      <c r="AA274" s="6645"/>
      <c r="AB274" s="6655"/>
      <c r="AC274" s="6744"/>
      <c r="AD274" s="1225"/>
      <c r="AE274" s="1081"/>
      <c r="AF274" s="1226"/>
      <c r="AG274" s="1226"/>
      <c r="AH274" s="9753"/>
    </row>
    <row r="275" spans="1:34" ht="41.25" customHeight="1">
      <c r="A275" s="9599"/>
      <c r="B275" s="9661"/>
      <c r="C275" s="9333"/>
      <c r="D275" s="9311"/>
      <c r="E275" s="9311"/>
      <c r="F275" s="9311"/>
      <c r="G275" s="9311"/>
      <c r="H275" s="9311"/>
      <c r="I275" s="9311"/>
      <c r="J275" s="9402"/>
      <c r="K275" s="9311"/>
      <c r="L275" s="9311"/>
      <c r="M275" s="9657"/>
      <c r="N275" s="9657"/>
      <c r="O275" s="9657"/>
      <c r="P275" s="9311"/>
      <c r="Q275" s="9311"/>
      <c r="R275" s="9433"/>
      <c r="S275" s="1253"/>
      <c r="T275" s="6439"/>
      <c r="U275" s="6439"/>
      <c r="V275" s="1254"/>
      <c r="W275" s="6604"/>
      <c r="X275" s="1250"/>
      <c r="Y275" s="6642"/>
      <c r="Z275" s="6642"/>
      <c r="AA275" s="6642"/>
      <c r="AB275" s="6503"/>
      <c r="AC275" s="6554"/>
      <c r="AD275" s="1249"/>
      <c r="AE275" s="1250"/>
      <c r="AF275" s="1251"/>
      <c r="AG275" s="1251"/>
      <c r="AH275" s="9754"/>
    </row>
    <row r="276" spans="1:34" ht="41.25" customHeight="1">
      <c r="A276" s="9599"/>
      <c r="B276" s="9661"/>
      <c r="C276" s="9333"/>
      <c r="D276" s="9311"/>
      <c r="E276" s="9311"/>
      <c r="F276" s="9311"/>
      <c r="G276" s="9311"/>
      <c r="H276" s="9311"/>
      <c r="I276" s="9311"/>
      <c r="J276" s="9402"/>
      <c r="K276" s="9311"/>
      <c r="L276" s="9311"/>
      <c r="M276" s="9657"/>
      <c r="N276" s="9657"/>
      <c r="O276" s="9657"/>
      <c r="P276" s="9311"/>
      <c r="Q276" s="9311"/>
      <c r="R276" s="9433"/>
      <c r="S276" s="1253"/>
      <c r="T276" s="6439"/>
      <c r="U276" s="6439"/>
      <c r="V276" s="1254"/>
      <c r="W276" s="6604"/>
      <c r="X276" s="1250"/>
      <c r="Y276" s="6642"/>
      <c r="Z276" s="6642"/>
      <c r="AA276" s="6642"/>
      <c r="AB276" s="6503"/>
      <c r="AC276" s="6554"/>
      <c r="AD276" s="1249"/>
      <c r="AE276" s="1250"/>
      <c r="AF276" s="1251"/>
      <c r="AG276" s="1251"/>
      <c r="AH276" s="9754"/>
    </row>
    <row r="277" spans="1:34" ht="41.25" customHeight="1">
      <c r="A277" s="9599"/>
      <c r="B277" s="9661"/>
      <c r="C277" s="9333"/>
      <c r="D277" s="9311"/>
      <c r="E277" s="9311"/>
      <c r="F277" s="9311"/>
      <c r="G277" s="9311"/>
      <c r="H277" s="9311"/>
      <c r="I277" s="9311"/>
      <c r="J277" s="9402"/>
      <c r="K277" s="9311"/>
      <c r="L277" s="9311"/>
      <c r="M277" s="9657"/>
      <c r="N277" s="9657"/>
      <c r="O277" s="9657"/>
      <c r="P277" s="9311"/>
      <c r="Q277" s="9311"/>
      <c r="R277" s="9433"/>
      <c r="S277" s="1253"/>
      <c r="T277" s="6439"/>
      <c r="U277" s="6439"/>
      <c r="V277" s="1254"/>
      <c r="W277" s="6604"/>
      <c r="X277" s="1250"/>
      <c r="Y277" s="6642"/>
      <c r="Z277" s="6642"/>
      <c r="AA277" s="6642"/>
      <c r="AB277" s="6503"/>
      <c r="AC277" s="6554"/>
      <c r="AD277" s="1249"/>
      <c r="AE277" s="1250"/>
      <c r="AF277" s="1251"/>
      <c r="AG277" s="1251"/>
      <c r="AH277" s="9754"/>
    </row>
    <row r="278" spans="1:34" ht="41.25" customHeight="1">
      <c r="A278" s="9599"/>
      <c r="B278" s="9661"/>
      <c r="C278" s="9395"/>
      <c r="D278" s="9312"/>
      <c r="E278" s="9312"/>
      <c r="F278" s="9312"/>
      <c r="G278" s="9312"/>
      <c r="H278" s="9312"/>
      <c r="I278" s="9312"/>
      <c r="J278" s="9403"/>
      <c r="K278" s="9312"/>
      <c r="L278" s="9312"/>
      <c r="M278" s="9658"/>
      <c r="N278" s="9658"/>
      <c r="O278" s="9658"/>
      <c r="P278" s="9312"/>
      <c r="Q278" s="9312"/>
      <c r="R278" s="9434"/>
      <c r="S278" s="1255"/>
      <c r="T278" s="6578"/>
      <c r="U278" s="6578"/>
      <c r="V278" s="1256"/>
      <c r="W278" s="6612"/>
      <c r="X278" s="1257"/>
      <c r="Y278" s="6651"/>
      <c r="Z278" s="6651"/>
      <c r="AA278" s="6651"/>
      <c r="AB278" s="6652"/>
      <c r="AC278" s="6734"/>
      <c r="AD278" s="1258"/>
      <c r="AE278" s="1257"/>
      <c r="AF278" s="1259"/>
      <c r="AG278" s="1259"/>
      <c r="AH278" s="9755"/>
    </row>
    <row r="279" spans="1:34" ht="41.25" customHeight="1">
      <c r="A279" s="9599"/>
      <c r="B279" s="9661"/>
      <c r="C279" s="9332" t="s">
        <v>1482</v>
      </c>
      <c r="D279" s="9258" t="s">
        <v>1483</v>
      </c>
      <c r="E279" s="9258" t="s">
        <v>228</v>
      </c>
      <c r="F279" s="9258" t="s">
        <v>407</v>
      </c>
      <c r="G279" s="9335" t="s">
        <v>230</v>
      </c>
      <c r="H279" s="8782" t="s">
        <v>132</v>
      </c>
      <c r="I279" s="8782" t="s">
        <v>159</v>
      </c>
      <c r="J279" s="8940" t="s">
        <v>1764</v>
      </c>
      <c r="K279" s="8782" t="s">
        <v>1765</v>
      </c>
      <c r="L279" s="8782" t="s">
        <v>1766</v>
      </c>
      <c r="M279" s="8823">
        <v>0</v>
      </c>
      <c r="N279" s="8823">
        <v>15</v>
      </c>
      <c r="O279" s="8823">
        <v>15</v>
      </c>
      <c r="P279" s="8782" t="s">
        <v>1767</v>
      </c>
      <c r="Q279" s="8782" t="s">
        <v>1768</v>
      </c>
      <c r="R279" s="9217" t="s">
        <v>1735</v>
      </c>
      <c r="S279" s="3283" t="s">
        <v>80</v>
      </c>
      <c r="T279" s="4956">
        <v>530702</v>
      </c>
      <c r="U279" s="4956"/>
      <c r="V279" s="1915" t="s">
        <v>33</v>
      </c>
      <c r="W279" s="6613"/>
      <c r="X279" s="93"/>
      <c r="Y279" s="7838"/>
      <c r="Z279" s="7839"/>
      <c r="AA279" s="7839"/>
      <c r="AB279" s="7840">
        <f>AA280</f>
        <v>9900</v>
      </c>
      <c r="AC279" s="6735" t="s">
        <v>25</v>
      </c>
      <c r="AD279" s="1228"/>
      <c r="AE279" s="1048"/>
      <c r="AF279" s="1049"/>
      <c r="AG279" s="1049"/>
      <c r="AH279" s="9753"/>
    </row>
    <row r="280" spans="1:34" ht="41.25" customHeight="1">
      <c r="A280" s="9599"/>
      <c r="B280" s="9661"/>
      <c r="C280" s="9333"/>
      <c r="D280" s="9311"/>
      <c r="E280" s="9311"/>
      <c r="F280" s="9311"/>
      <c r="G280" s="9311"/>
      <c r="H280" s="9311"/>
      <c r="I280" s="9311"/>
      <c r="J280" s="9402"/>
      <c r="K280" s="9311"/>
      <c r="L280" s="9311"/>
      <c r="M280" s="9313"/>
      <c r="N280" s="9313"/>
      <c r="O280" s="9313"/>
      <c r="P280" s="9311"/>
      <c r="Q280" s="9311"/>
      <c r="R280" s="9433"/>
      <c r="S280" s="3277"/>
      <c r="T280" s="4968"/>
      <c r="U280" s="4968"/>
      <c r="V280" s="1051" t="s">
        <v>1769</v>
      </c>
      <c r="W280" s="6485">
        <v>1</v>
      </c>
      <c r="X280" s="3497" t="s">
        <v>152</v>
      </c>
      <c r="Y280" s="7832">
        <v>9900</v>
      </c>
      <c r="Z280" s="7832">
        <f t="shared" ref="Z280" si="26">Y280</f>
        <v>9900</v>
      </c>
      <c r="AA280" s="7832">
        <f>Z280</f>
        <v>9900</v>
      </c>
      <c r="AB280" s="7841"/>
      <c r="AC280" s="6553"/>
      <c r="AD280" s="1183"/>
      <c r="AE280" s="1052"/>
      <c r="AF280" s="1074"/>
      <c r="AG280" s="1074" t="s">
        <v>153</v>
      </c>
      <c r="AH280" s="9754"/>
    </row>
    <row r="281" spans="1:34" ht="41.25" customHeight="1">
      <c r="A281" s="9599"/>
      <c r="B281" s="9661"/>
      <c r="C281" s="9333"/>
      <c r="D281" s="9311"/>
      <c r="E281" s="9311"/>
      <c r="F281" s="9311"/>
      <c r="G281" s="9311"/>
      <c r="H281" s="9311"/>
      <c r="I281" s="9311"/>
      <c r="J281" s="9402"/>
      <c r="K281" s="9311"/>
      <c r="L281" s="9311"/>
      <c r="M281" s="9313"/>
      <c r="N281" s="9313"/>
      <c r="O281" s="9313"/>
      <c r="P281" s="9311"/>
      <c r="Q281" s="9311"/>
      <c r="R281" s="9433"/>
      <c r="S281" s="1253"/>
      <c r="T281" s="6439"/>
      <c r="U281" s="6439"/>
      <c r="V281" s="1254"/>
      <c r="W281" s="6604"/>
      <c r="X281" s="1250"/>
      <c r="Y281" s="6642"/>
      <c r="Z281" s="6642"/>
      <c r="AA281" s="6642"/>
      <c r="AB281" s="6503"/>
      <c r="AC281" s="6554"/>
      <c r="AD281" s="1249"/>
      <c r="AE281" s="1250"/>
      <c r="AF281" s="1251"/>
      <c r="AG281" s="1251"/>
      <c r="AH281" s="9754"/>
    </row>
    <row r="282" spans="1:34" ht="41.25" customHeight="1">
      <c r="A282" s="9599"/>
      <c r="B282" s="9661"/>
      <c r="C282" s="9333"/>
      <c r="D282" s="9311"/>
      <c r="E282" s="9311"/>
      <c r="F282" s="9311"/>
      <c r="G282" s="9311"/>
      <c r="H282" s="9311"/>
      <c r="I282" s="9311"/>
      <c r="J282" s="9402"/>
      <c r="K282" s="9311"/>
      <c r="L282" s="9311"/>
      <c r="M282" s="9313"/>
      <c r="N282" s="9313"/>
      <c r="O282" s="9313"/>
      <c r="P282" s="9311"/>
      <c r="Q282" s="9311"/>
      <c r="R282" s="9433"/>
      <c r="S282" s="1253"/>
      <c r="T282" s="6439"/>
      <c r="U282" s="6439"/>
      <c r="V282" s="1254"/>
      <c r="W282" s="6604"/>
      <c r="X282" s="1250"/>
      <c r="Y282" s="6642"/>
      <c r="Z282" s="6642"/>
      <c r="AA282" s="6642"/>
      <c r="AB282" s="6503"/>
      <c r="AC282" s="6554"/>
      <c r="AD282" s="1249"/>
      <c r="AE282" s="1250"/>
      <c r="AF282" s="1251"/>
      <c r="AG282" s="1251"/>
      <c r="AH282" s="9754"/>
    </row>
    <row r="283" spans="1:34" ht="41.25" customHeight="1">
      <c r="A283" s="9599"/>
      <c r="B283" s="9661"/>
      <c r="C283" s="9395"/>
      <c r="D283" s="9312"/>
      <c r="E283" s="9312"/>
      <c r="F283" s="9312"/>
      <c r="G283" s="9312"/>
      <c r="H283" s="9312"/>
      <c r="I283" s="9312"/>
      <c r="J283" s="9403"/>
      <c r="K283" s="9312"/>
      <c r="L283" s="9312"/>
      <c r="M283" s="9314"/>
      <c r="N283" s="9314"/>
      <c r="O283" s="9314"/>
      <c r="P283" s="9312"/>
      <c r="Q283" s="9312"/>
      <c r="R283" s="9434"/>
      <c r="S283" s="1255"/>
      <c r="T283" s="6578"/>
      <c r="U283" s="6578"/>
      <c r="V283" s="1256"/>
      <c r="W283" s="6612"/>
      <c r="X283" s="1257"/>
      <c r="Y283" s="6651"/>
      <c r="Z283" s="6651"/>
      <c r="AA283" s="6651"/>
      <c r="AB283" s="6652"/>
      <c r="AC283" s="6734"/>
      <c r="AD283" s="1258"/>
      <c r="AE283" s="1257"/>
      <c r="AF283" s="1259"/>
      <c r="AG283" s="1259"/>
      <c r="AH283" s="9755"/>
    </row>
    <row r="284" spans="1:34" ht="40.5" customHeight="1">
      <c r="A284" s="9599"/>
      <c r="B284" s="9661"/>
      <c r="C284" s="9332" t="s">
        <v>1571</v>
      </c>
      <c r="D284" s="9258" t="s">
        <v>1572</v>
      </c>
      <c r="E284" s="9258" t="s">
        <v>140</v>
      </c>
      <c r="F284" s="9258" t="s">
        <v>1691</v>
      </c>
      <c r="G284" s="9335" t="s">
        <v>131</v>
      </c>
      <c r="H284" s="8782" t="s">
        <v>132</v>
      </c>
      <c r="I284" s="8782" t="s">
        <v>159</v>
      </c>
      <c r="J284" s="8940" t="s">
        <v>1770</v>
      </c>
      <c r="K284" s="8782" t="s">
        <v>1771</v>
      </c>
      <c r="L284" s="8782" t="s">
        <v>1772</v>
      </c>
      <c r="M284" s="8823">
        <v>0</v>
      </c>
      <c r="N284" s="8823">
        <v>0</v>
      </c>
      <c r="O284" s="8823">
        <v>1</v>
      </c>
      <c r="P284" s="8782" t="s">
        <v>1773</v>
      </c>
      <c r="Q284" s="8782" t="s">
        <v>1774</v>
      </c>
      <c r="R284" s="9217" t="s">
        <v>1735</v>
      </c>
      <c r="S284" s="1261"/>
      <c r="T284" s="6577"/>
      <c r="U284" s="6577"/>
      <c r="V284" s="1224"/>
      <c r="W284" s="6610"/>
      <c r="X284" s="1081"/>
      <c r="Y284" s="6645"/>
      <c r="Z284" s="6645"/>
      <c r="AA284" s="6645"/>
      <c r="AB284" s="6655"/>
      <c r="AC284" s="6744"/>
      <c r="AD284" s="1225"/>
      <c r="AE284" s="1081"/>
      <c r="AF284" s="1226"/>
      <c r="AG284" s="1226"/>
      <c r="AH284" s="9753"/>
    </row>
    <row r="285" spans="1:34" ht="40.5" customHeight="1">
      <c r="A285" s="9599"/>
      <c r="B285" s="9661"/>
      <c r="C285" s="9333"/>
      <c r="D285" s="9311"/>
      <c r="E285" s="9311"/>
      <c r="F285" s="9311"/>
      <c r="G285" s="9311"/>
      <c r="H285" s="9311"/>
      <c r="I285" s="9311"/>
      <c r="J285" s="9402"/>
      <c r="K285" s="9311"/>
      <c r="L285" s="9311"/>
      <c r="M285" s="9313"/>
      <c r="N285" s="9313"/>
      <c r="O285" s="9313"/>
      <c r="P285" s="9311"/>
      <c r="Q285" s="9311"/>
      <c r="R285" s="9433"/>
      <c r="S285" s="1253"/>
      <c r="T285" s="6439"/>
      <c r="U285" s="6439"/>
      <c r="V285" s="1254"/>
      <c r="W285" s="6604"/>
      <c r="X285" s="1250"/>
      <c r="Y285" s="6642"/>
      <c r="Z285" s="6642"/>
      <c r="AA285" s="6642"/>
      <c r="AB285" s="6503"/>
      <c r="AC285" s="6554"/>
      <c r="AD285" s="1249"/>
      <c r="AE285" s="1250"/>
      <c r="AF285" s="1251"/>
      <c r="AG285" s="1251"/>
      <c r="AH285" s="9754"/>
    </row>
    <row r="286" spans="1:34" ht="40.5" customHeight="1">
      <c r="A286" s="9599"/>
      <c r="B286" s="9661"/>
      <c r="C286" s="9333"/>
      <c r="D286" s="9311"/>
      <c r="E286" s="9311"/>
      <c r="F286" s="9311"/>
      <c r="G286" s="9311"/>
      <c r="H286" s="9311"/>
      <c r="I286" s="9311"/>
      <c r="J286" s="9402"/>
      <c r="K286" s="9311"/>
      <c r="L286" s="9311"/>
      <c r="M286" s="9313"/>
      <c r="N286" s="9313"/>
      <c r="O286" s="9313"/>
      <c r="P286" s="9311"/>
      <c r="Q286" s="9311"/>
      <c r="R286" s="9433"/>
      <c r="S286" s="1253"/>
      <c r="T286" s="6439"/>
      <c r="U286" s="6439"/>
      <c r="V286" s="1254"/>
      <c r="W286" s="6604"/>
      <c r="X286" s="1250"/>
      <c r="Y286" s="6642"/>
      <c r="Z286" s="6642"/>
      <c r="AA286" s="6642"/>
      <c r="AB286" s="6503"/>
      <c r="AC286" s="6554"/>
      <c r="AD286" s="1249"/>
      <c r="AE286" s="1250"/>
      <c r="AF286" s="1251"/>
      <c r="AG286" s="1251"/>
      <c r="AH286" s="9754"/>
    </row>
    <row r="287" spans="1:34" ht="40.5" customHeight="1">
      <c r="A287" s="9599"/>
      <c r="B287" s="9661"/>
      <c r="C287" s="9333"/>
      <c r="D287" s="9311"/>
      <c r="E287" s="9311"/>
      <c r="F287" s="9311"/>
      <c r="G287" s="9311"/>
      <c r="H287" s="9311"/>
      <c r="I287" s="9311"/>
      <c r="J287" s="9402"/>
      <c r="K287" s="9311"/>
      <c r="L287" s="9311"/>
      <c r="M287" s="9313"/>
      <c r="N287" s="9313"/>
      <c r="O287" s="9313"/>
      <c r="P287" s="9311"/>
      <c r="Q287" s="9311"/>
      <c r="R287" s="9433"/>
      <c r="S287" s="1253"/>
      <c r="T287" s="6439"/>
      <c r="U287" s="6439"/>
      <c r="V287" s="1254"/>
      <c r="W287" s="6604"/>
      <c r="X287" s="1250"/>
      <c r="Y287" s="6642"/>
      <c r="Z287" s="6642"/>
      <c r="AA287" s="6642"/>
      <c r="AB287" s="6503"/>
      <c r="AC287" s="6554"/>
      <c r="AD287" s="1249"/>
      <c r="AE287" s="1250"/>
      <c r="AF287" s="1251"/>
      <c r="AG287" s="1251"/>
      <c r="AH287" s="9754"/>
    </row>
    <row r="288" spans="1:34" ht="40.5" customHeight="1">
      <c r="A288" s="9599"/>
      <c r="B288" s="9661"/>
      <c r="C288" s="9395"/>
      <c r="D288" s="9312"/>
      <c r="E288" s="9312"/>
      <c r="F288" s="9312"/>
      <c r="G288" s="9312"/>
      <c r="H288" s="9312"/>
      <c r="I288" s="9312"/>
      <c r="J288" s="9403"/>
      <c r="K288" s="9312"/>
      <c r="L288" s="9312"/>
      <c r="M288" s="9314"/>
      <c r="N288" s="9314"/>
      <c r="O288" s="9314"/>
      <c r="P288" s="9312"/>
      <c r="Q288" s="9312"/>
      <c r="R288" s="9434"/>
      <c r="S288" s="1253"/>
      <c r="T288" s="6439"/>
      <c r="U288" s="6439"/>
      <c r="V288" s="1254"/>
      <c r="W288" s="6604"/>
      <c r="X288" s="1250"/>
      <c r="Y288" s="6642"/>
      <c r="Z288" s="6642"/>
      <c r="AA288" s="6642"/>
      <c r="AB288" s="6503"/>
      <c r="AC288" s="6554"/>
      <c r="AD288" s="1249"/>
      <c r="AE288" s="1250"/>
      <c r="AF288" s="1251"/>
      <c r="AG288" s="1259"/>
      <c r="AH288" s="9755"/>
    </row>
    <row r="289" spans="1:34" ht="55.5" customHeight="1">
      <c r="A289" s="9599"/>
      <c r="B289" s="9661"/>
      <c r="C289" s="9332" t="s">
        <v>1571</v>
      </c>
      <c r="D289" s="9258" t="s">
        <v>1572</v>
      </c>
      <c r="E289" s="9258" t="s">
        <v>140</v>
      </c>
      <c r="F289" s="9258" t="s">
        <v>1691</v>
      </c>
      <c r="G289" s="9335" t="s">
        <v>131</v>
      </c>
      <c r="H289" s="8782" t="s">
        <v>132</v>
      </c>
      <c r="I289" s="8782" t="s">
        <v>159</v>
      </c>
      <c r="J289" s="8940" t="s">
        <v>1775</v>
      </c>
      <c r="K289" s="8782" t="s">
        <v>1776</v>
      </c>
      <c r="L289" s="8782" t="s">
        <v>1777</v>
      </c>
      <c r="M289" s="9656">
        <v>0</v>
      </c>
      <c r="N289" s="9656">
        <v>0</v>
      </c>
      <c r="O289" s="9656">
        <v>600</v>
      </c>
      <c r="P289" s="8782" t="s">
        <v>1778</v>
      </c>
      <c r="Q289" s="8782" t="s">
        <v>1779</v>
      </c>
      <c r="R289" s="9217" t="s">
        <v>1735</v>
      </c>
      <c r="S289" s="1086" t="s">
        <v>80</v>
      </c>
      <c r="T289" s="4956">
        <v>530204</v>
      </c>
      <c r="U289" s="4956"/>
      <c r="V289" s="1915" t="s">
        <v>24</v>
      </c>
      <c r="W289" s="6613"/>
      <c r="X289" s="93"/>
      <c r="Y289" s="6543"/>
      <c r="Z289" s="6543"/>
      <c r="AA289" s="6543"/>
      <c r="AB289" s="6661">
        <f>+SUM(AA290:AA299)</f>
        <v>151739.19999999998</v>
      </c>
      <c r="AC289" s="5008" t="s">
        <v>25</v>
      </c>
      <c r="AD289" s="1246"/>
      <c r="AE289" s="1061"/>
      <c r="AF289" s="1076"/>
      <c r="AG289" s="1049"/>
      <c r="AH289" s="9753"/>
    </row>
    <row r="290" spans="1:34" ht="24" customHeight="1">
      <c r="A290" s="9599"/>
      <c r="B290" s="9661"/>
      <c r="C290" s="9333"/>
      <c r="D290" s="9311"/>
      <c r="E290" s="9311"/>
      <c r="F290" s="9311"/>
      <c r="G290" s="9311"/>
      <c r="H290" s="9311"/>
      <c r="I290" s="9311"/>
      <c r="J290" s="9402"/>
      <c r="K290" s="9311"/>
      <c r="L290" s="9311"/>
      <c r="M290" s="9657"/>
      <c r="N290" s="9657"/>
      <c r="O290" s="9657"/>
      <c r="P290" s="9311"/>
      <c r="Q290" s="9311"/>
      <c r="R290" s="9433"/>
      <c r="S290" s="3267"/>
      <c r="T290" s="4958"/>
      <c r="U290" s="4961">
        <v>843000011</v>
      </c>
      <c r="V290" s="3190" t="s">
        <v>1780</v>
      </c>
      <c r="W290" s="6624">
        <v>1</v>
      </c>
      <c r="X290" s="3499" t="s">
        <v>152</v>
      </c>
      <c r="Y290" s="5062">
        <v>20308.2</v>
      </c>
      <c r="Z290" s="5062">
        <f t="shared" ref="Z290:Z297" si="27">Y290</f>
        <v>20308.2</v>
      </c>
      <c r="AA290" s="5062">
        <f>Z290</f>
        <v>20308.2</v>
      </c>
      <c r="AB290" s="5977"/>
      <c r="AC290" s="6748"/>
      <c r="AD290" s="938"/>
      <c r="AE290" s="3268" t="s">
        <v>153</v>
      </c>
      <c r="AF290" s="3269"/>
      <c r="AG290" s="3269"/>
      <c r="AH290" s="9754"/>
    </row>
    <row r="291" spans="1:34" ht="24" customHeight="1">
      <c r="A291" s="9599"/>
      <c r="B291" s="9661"/>
      <c r="C291" s="9333"/>
      <c r="D291" s="9311"/>
      <c r="E291" s="9311"/>
      <c r="F291" s="9311"/>
      <c r="G291" s="9311"/>
      <c r="H291" s="9311"/>
      <c r="I291" s="9311"/>
      <c r="J291" s="9402"/>
      <c r="K291" s="9311"/>
      <c r="L291" s="9311"/>
      <c r="M291" s="9657"/>
      <c r="N291" s="9657"/>
      <c r="O291" s="9657"/>
      <c r="P291" s="9311"/>
      <c r="Q291" s="9311"/>
      <c r="R291" s="9433"/>
      <c r="S291" s="3267"/>
      <c r="T291" s="6597"/>
      <c r="U291" s="6597">
        <v>843000011</v>
      </c>
      <c r="V291" s="3270" t="s">
        <v>1781</v>
      </c>
      <c r="W291" s="6485">
        <v>1</v>
      </c>
      <c r="X291" s="3498" t="s">
        <v>152</v>
      </c>
      <c r="Y291" s="8079">
        <v>18482</v>
      </c>
      <c r="Z291" s="8079">
        <f t="shared" si="27"/>
        <v>18482</v>
      </c>
      <c r="AA291" s="8079">
        <f>Z291</f>
        <v>18482</v>
      </c>
      <c r="AB291" s="5977"/>
      <c r="AC291" s="6753"/>
      <c r="AD291" s="938"/>
      <c r="AE291" s="3268"/>
      <c r="AF291" s="3269"/>
      <c r="AG291" s="3269" t="s">
        <v>153</v>
      </c>
      <c r="AH291" s="9754"/>
    </row>
    <row r="292" spans="1:34" ht="24" customHeight="1">
      <c r="A292" s="9599"/>
      <c r="B292" s="9661"/>
      <c r="C292" s="9333"/>
      <c r="D292" s="9311"/>
      <c r="E292" s="9311"/>
      <c r="F292" s="9311"/>
      <c r="G292" s="9311"/>
      <c r="H292" s="9311"/>
      <c r="I292" s="9311"/>
      <c r="J292" s="9402"/>
      <c r="K292" s="9311"/>
      <c r="L292" s="9311"/>
      <c r="M292" s="9657"/>
      <c r="N292" s="9657"/>
      <c r="O292" s="9657"/>
      <c r="P292" s="9311"/>
      <c r="Q292" s="9311"/>
      <c r="R292" s="9433"/>
      <c r="S292" s="3267"/>
      <c r="T292" s="6597"/>
      <c r="U292" s="6597">
        <v>843000011</v>
      </c>
      <c r="V292" s="3270" t="s">
        <v>1782</v>
      </c>
      <c r="W292" s="6485">
        <v>1</v>
      </c>
      <c r="X292" s="3498" t="s">
        <v>152</v>
      </c>
      <c r="Y292" s="6499">
        <v>18060</v>
      </c>
      <c r="Z292" s="6499">
        <f t="shared" si="27"/>
        <v>18060</v>
      </c>
      <c r="AA292" s="6499">
        <f t="shared" ref="AA292" si="28">Z292*12/100+Z292</f>
        <v>20227.2</v>
      </c>
      <c r="AB292" s="5977"/>
      <c r="AC292" s="6753"/>
      <c r="AD292" s="938"/>
      <c r="AE292" s="3268"/>
      <c r="AF292" s="3269"/>
      <c r="AG292" s="3269" t="s">
        <v>153</v>
      </c>
      <c r="AH292" s="9754"/>
    </row>
    <row r="293" spans="1:34" ht="24" customHeight="1">
      <c r="A293" s="9599"/>
      <c r="B293" s="9661"/>
      <c r="C293" s="9333"/>
      <c r="D293" s="9311"/>
      <c r="E293" s="9311"/>
      <c r="F293" s="9311"/>
      <c r="G293" s="9311"/>
      <c r="H293" s="9311"/>
      <c r="I293" s="9311"/>
      <c r="J293" s="9402"/>
      <c r="K293" s="9311"/>
      <c r="L293" s="9311"/>
      <c r="M293" s="9657"/>
      <c r="N293" s="9657"/>
      <c r="O293" s="9657"/>
      <c r="P293" s="9311"/>
      <c r="Q293" s="9311"/>
      <c r="R293" s="9433"/>
      <c r="S293" s="3267"/>
      <c r="T293" s="6597"/>
      <c r="U293" s="4961">
        <v>843000011</v>
      </c>
      <c r="V293" s="3271" t="s">
        <v>1783</v>
      </c>
      <c r="W293" s="6624">
        <v>1</v>
      </c>
      <c r="X293" s="3499" t="s">
        <v>152</v>
      </c>
      <c r="Y293" s="5062">
        <v>29014</v>
      </c>
      <c r="Z293" s="5062">
        <f t="shared" si="27"/>
        <v>29014</v>
      </c>
      <c r="AA293" s="5062">
        <f t="shared" ref="AA293:AA299" si="29">Z293</f>
        <v>29014</v>
      </c>
      <c r="AB293" s="5977"/>
      <c r="AC293" s="6753"/>
      <c r="AD293" s="938"/>
      <c r="AE293" s="3268"/>
      <c r="AF293" s="3269" t="s">
        <v>153</v>
      </c>
      <c r="AG293" s="3269"/>
      <c r="AH293" s="9754"/>
    </row>
    <row r="294" spans="1:34" ht="24" customHeight="1">
      <c r="A294" s="9599"/>
      <c r="B294" s="9661"/>
      <c r="C294" s="9333"/>
      <c r="D294" s="9311"/>
      <c r="E294" s="9311"/>
      <c r="F294" s="9311"/>
      <c r="G294" s="9311"/>
      <c r="H294" s="9311"/>
      <c r="I294" s="9311"/>
      <c r="J294" s="9402"/>
      <c r="K294" s="9311"/>
      <c r="L294" s="9311"/>
      <c r="M294" s="9657"/>
      <c r="N294" s="9657"/>
      <c r="O294" s="9657"/>
      <c r="P294" s="9311"/>
      <c r="Q294" s="9311"/>
      <c r="R294" s="9433"/>
      <c r="S294" s="3267"/>
      <c r="T294" s="6597"/>
      <c r="U294" s="6597">
        <v>843000011</v>
      </c>
      <c r="V294" s="3270" t="s">
        <v>1784</v>
      </c>
      <c r="W294" s="6485">
        <v>1</v>
      </c>
      <c r="X294" s="3498" t="s">
        <v>152</v>
      </c>
      <c r="Y294" s="8079">
        <v>16621.5</v>
      </c>
      <c r="Z294" s="8079">
        <f t="shared" si="27"/>
        <v>16621.5</v>
      </c>
      <c r="AA294" s="8079">
        <f t="shared" si="29"/>
        <v>16621.5</v>
      </c>
      <c r="AB294" s="5977"/>
      <c r="AC294" s="6753"/>
      <c r="AD294" s="938"/>
      <c r="AE294" s="3268"/>
      <c r="AF294" s="3269"/>
      <c r="AG294" s="3269" t="s">
        <v>153</v>
      </c>
      <c r="AH294" s="9754"/>
    </row>
    <row r="295" spans="1:34" ht="24" customHeight="1">
      <c r="A295" s="9599"/>
      <c r="B295" s="9661"/>
      <c r="C295" s="9333"/>
      <c r="D295" s="9311"/>
      <c r="E295" s="9311"/>
      <c r="F295" s="9311"/>
      <c r="G295" s="9311"/>
      <c r="H295" s="9311"/>
      <c r="I295" s="9311"/>
      <c r="J295" s="9402"/>
      <c r="K295" s="9311"/>
      <c r="L295" s="9311"/>
      <c r="M295" s="9657"/>
      <c r="N295" s="9657"/>
      <c r="O295" s="9657"/>
      <c r="P295" s="9311"/>
      <c r="Q295" s="9311"/>
      <c r="R295" s="9433"/>
      <c r="S295" s="3267"/>
      <c r="T295" s="6597"/>
      <c r="U295" s="6597">
        <v>843000011</v>
      </c>
      <c r="V295" s="3270" t="s">
        <v>1785</v>
      </c>
      <c r="W295" s="6485">
        <v>1</v>
      </c>
      <c r="X295" s="3498" t="s">
        <v>152</v>
      </c>
      <c r="Y295" s="7832">
        <v>9400</v>
      </c>
      <c r="Z295" s="7832">
        <f t="shared" si="27"/>
        <v>9400</v>
      </c>
      <c r="AA295" s="7832">
        <f t="shared" si="29"/>
        <v>9400</v>
      </c>
      <c r="AB295" s="5977"/>
      <c r="AC295" s="6753"/>
      <c r="AD295" s="938"/>
      <c r="AE295" s="3268"/>
      <c r="AF295" s="3269"/>
      <c r="AG295" s="3269" t="s">
        <v>153</v>
      </c>
      <c r="AH295" s="9754"/>
    </row>
    <row r="296" spans="1:34" ht="24" customHeight="1">
      <c r="A296" s="9599"/>
      <c r="B296" s="9661"/>
      <c r="C296" s="9333"/>
      <c r="D296" s="9311"/>
      <c r="E296" s="9311"/>
      <c r="F296" s="9311"/>
      <c r="G296" s="9311"/>
      <c r="H296" s="9311"/>
      <c r="I296" s="9311"/>
      <c r="J296" s="9402"/>
      <c r="K296" s="9311"/>
      <c r="L296" s="9311"/>
      <c r="M296" s="9657"/>
      <c r="N296" s="9657"/>
      <c r="O296" s="9657"/>
      <c r="P296" s="9311"/>
      <c r="Q296" s="9311"/>
      <c r="R296" s="9433"/>
      <c r="S296" s="3267"/>
      <c r="T296" s="6597"/>
      <c r="U296" s="4961">
        <v>843000011</v>
      </c>
      <c r="V296" s="3271" t="s">
        <v>1786</v>
      </c>
      <c r="W296" s="6624">
        <v>1</v>
      </c>
      <c r="X296" s="3499" t="s">
        <v>152</v>
      </c>
      <c r="Y296" s="5062">
        <v>7000</v>
      </c>
      <c r="Z296" s="5062">
        <f t="shared" si="27"/>
        <v>7000</v>
      </c>
      <c r="AA296" s="5062">
        <f t="shared" si="29"/>
        <v>7000</v>
      </c>
      <c r="AB296" s="5977"/>
      <c r="AC296" s="6753"/>
      <c r="AD296" s="938"/>
      <c r="AE296" s="3268"/>
      <c r="AF296" s="3269" t="s">
        <v>153</v>
      </c>
      <c r="AG296" s="3269"/>
      <c r="AH296" s="9754"/>
    </row>
    <row r="297" spans="1:34" ht="24" customHeight="1">
      <c r="A297" s="9599"/>
      <c r="B297" s="9661"/>
      <c r="C297" s="9333"/>
      <c r="D297" s="9311"/>
      <c r="E297" s="9311"/>
      <c r="F297" s="9311"/>
      <c r="G297" s="9311"/>
      <c r="H297" s="9311"/>
      <c r="I297" s="9311"/>
      <c r="J297" s="9402"/>
      <c r="K297" s="9311"/>
      <c r="L297" s="9311"/>
      <c r="M297" s="9657"/>
      <c r="N297" s="9657"/>
      <c r="O297" s="9657"/>
      <c r="P297" s="9311"/>
      <c r="Q297" s="9311"/>
      <c r="R297" s="9433"/>
      <c r="S297" s="3267"/>
      <c r="T297" s="4958"/>
      <c r="U297" s="4953">
        <v>843000011</v>
      </c>
      <c r="V297" s="3262" t="s">
        <v>1787</v>
      </c>
      <c r="W297" s="6496">
        <v>1</v>
      </c>
      <c r="X297" s="6040" t="s">
        <v>152</v>
      </c>
      <c r="Y297" s="5056">
        <v>2500</v>
      </c>
      <c r="Z297" s="5056">
        <f t="shared" si="27"/>
        <v>2500</v>
      </c>
      <c r="AA297" s="5056">
        <f t="shared" si="29"/>
        <v>2500</v>
      </c>
      <c r="AB297" s="5977"/>
      <c r="AC297" s="6748"/>
      <c r="AD297" s="938"/>
      <c r="AE297" s="3268"/>
      <c r="AF297" s="3269" t="s">
        <v>153</v>
      </c>
      <c r="AG297" s="3269"/>
      <c r="AH297" s="9754"/>
    </row>
    <row r="298" spans="1:34" ht="24" customHeight="1">
      <c r="A298" s="9599"/>
      <c r="B298" s="9661"/>
      <c r="C298" s="9333"/>
      <c r="D298" s="9311"/>
      <c r="E298" s="9311"/>
      <c r="F298" s="9311"/>
      <c r="G298" s="9311"/>
      <c r="H298" s="9311"/>
      <c r="I298" s="9311"/>
      <c r="J298" s="9402"/>
      <c r="K298" s="9311"/>
      <c r="L298" s="9311"/>
      <c r="M298" s="9657"/>
      <c r="N298" s="9657"/>
      <c r="O298" s="9657"/>
      <c r="P298" s="9311"/>
      <c r="Q298" s="9311"/>
      <c r="R298" s="9433"/>
      <c r="S298" s="3267"/>
      <c r="T298" s="4958"/>
      <c r="U298" s="4953">
        <v>843000011</v>
      </c>
      <c r="V298" s="3262" t="s">
        <v>1788</v>
      </c>
      <c r="W298" s="6496">
        <v>1</v>
      </c>
      <c r="X298" s="6040" t="s">
        <v>152</v>
      </c>
      <c r="Y298" s="5056">
        <v>20183</v>
      </c>
      <c r="Z298" s="6509">
        <f t="shared" ref="Z298" si="30">+W298*Y298</f>
        <v>20183</v>
      </c>
      <c r="AA298" s="5056">
        <f t="shared" si="29"/>
        <v>20183</v>
      </c>
      <c r="AB298" s="5977"/>
      <c r="AC298" s="6748"/>
      <c r="AD298" s="366"/>
      <c r="AE298" s="3272"/>
      <c r="AF298" s="3272" t="s">
        <v>153</v>
      </c>
      <c r="AG298" s="3273"/>
      <c r="AH298" s="9754"/>
    </row>
    <row r="299" spans="1:34" ht="24" customHeight="1">
      <c r="A299" s="9599"/>
      <c r="B299" s="9661"/>
      <c r="C299" s="9333"/>
      <c r="D299" s="9311"/>
      <c r="E299" s="9311"/>
      <c r="F299" s="9311"/>
      <c r="G299" s="9311"/>
      <c r="H299" s="9311"/>
      <c r="I299" s="9311"/>
      <c r="J299" s="9402"/>
      <c r="K299" s="9311"/>
      <c r="L299" s="9311"/>
      <c r="M299" s="9657"/>
      <c r="N299" s="9657"/>
      <c r="O299" s="9657"/>
      <c r="P299" s="9311"/>
      <c r="Q299" s="9311"/>
      <c r="R299" s="9433"/>
      <c r="S299" s="3267"/>
      <c r="T299" s="4958"/>
      <c r="U299" s="4958">
        <v>843000011</v>
      </c>
      <c r="V299" s="1918" t="s">
        <v>1789</v>
      </c>
      <c r="W299" s="6483">
        <v>1</v>
      </c>
      <c r="X299" s="6041" t="s">
        <v>152</v>
      </c>
      <c r="Y299" s="7830">
        <v>8003.3</v>
      </c>
      <c r="Z299" s="7831">
        <f>+W299*Y299</f>
        <v>8003.3</v>
      </c>
      <c r="AA299" s="7830">
        <f t="shared" si="29"/>
        <v>8003.3</v>
      </c>
      <c r="AB299" s="5977"/>
      <c r="AC299" s="6748"/>
      <c r="AD299" s="3274"/>
      <c r="AE299" s="3275"/>
      <c r="AF299" s="3275" t="s">
        <v>153</v>
      </c>
      <c r="AG299" s="3276"/>
      <c r="AH299" s="9754"/>
    </row>
    <row r="300" spans="1:34" ht="22.5" customHeight="1">
      <c r="A300" s="9599"/>
      <c r="B300" s="9661"/>
      <c r="C300" s="9333"/>
      <c r="D300" s="9311"/>
      <c r="E300" s="9311"/>
      <c r="F300" s="9311"/>
      <c r="G300" s="9311"/>
      <c r="H300" s="9311"/>
      <c r="I300" s="9311"/>
      <c r="J300" s="9402"/>
      <c r="K300" s="9311"/>
      <c r="L300" s="9311"/>
      <c r="M300" s="9657"/>
      <c r="N300" s="9657"/>
      <c r="O300" s="9657"/>
      <c r="P300" s="9311"/>
      <c r="Q300" s="9311"/>
      <c r="R300" s="9433"/>
      <c r="S300" s="1046" t="s">
        <v>80</v>
      </c>
      <c r="T300" s="6436">
        <v>531409</v>
      </c>
      <c r="U300" s="6436"/>
      <c r="V300" s="2246" t="s">
        <v>36</v>
      </c>
      <c r="W300" s="6483"/>
      <c r="X300" s="90"/>
      <c r="Y300" s="6501"/>
      <c r="Z300" s="6501"/>
      <c r="AA300" s="6501"/>
      <c r="AB300" s="5977">
        <f>SUM(AA301:AA305)</f>
        <v>36867</v>
      </c>
      <c r="AC300" s="5011" t="s">
        <v>26</v>
      </c>
      <c r="AD300" s="1245"/>
      <c r="AE300" s="1057"/>
      <c r="AF300" s="1057"/>
      <c r="AG300" s="1075"/>
      <c r="AH300" s="9754"/>
    </row>
    <row r="301" spans="1:34" ht="22.5" customHeight="1">
      <c r="A301" s="9599"/>
      <c r="B301" s="9661"/>
      <c r="C301" s="9333"/>
      <c r="D301" s="9311"/>
      <c r="E301" s="9311"/>
      <c r="F301" s="9311"/>
      <c r="G301" s="9311"/>
      <c r="H301" s="9311"/>
      <c r="I301" s="9311"/>
      <c r="J301" s="9402"/>
      <c r="K301" s="9311"/>
      <c r="L301" s="9311"/>
      <c r="M301" s="9657"/>
      <c r="N301" s="9657"/>
      <c r="O301" s="9657"/>
      <c r="P301" s="9311"/>
      <c r="Q301" s="9311"/>
      <c r="R301" s="9433"/>
      <c r="S301" s="3277"/>
      <c r="T301" s="6436"/>
      <c r="U301" s="4958">
        <v>622510012</v>
      </c>
      <c r="V301" s="585" t="s">
        <v>1790</v>
      </c>
      <c r="W301" s="6483">
        <v>1</v>
      </c>
      <c r="X301" s="6041" t="s">
        <v>180</v>
      </c>
      <c r="Y301" s="6501">
        <v>3389</v>
      </c>
      <c r="Z301" s="6511">
        <f t="shared" ref="Z301" si="31">+W301*Y301</f>
        <v>3389</v>
      </c>
      <c r="AA301" s="7907">
        <f>Z301</f>
        <v>3389</v>
      </c>
      <c r="AB301" s="5977"/>
      <c r="AC301" s="6748"/>
      <c r="AD301" s="3274"/>
      <c r="AE301" s="3275"/>
      <c r="AF301" s="3275"/>
      <c r="AG301" s="3278" t="s">
        <v>153</v>
      </c>
      <c r="AH301" s="9754"/>
    </row>
    <row r="302" spans="1:34" ht="22.5" customHeight="1">
      <c r="A302" s="9599"/>
      <c r="B302" s="9661"/>
      <c r="C302" s="9333"/>
      <c r="D302" s="9311"/>
      <c r="E302" s="9311"/>
      <c r="F302" s="9311"/>
      <c r="G302" s="9311"/>
      <c r="H302" s="9311"/>
      <c r="I302" s="9311"/>
      <c r="J302" s="9402"/>
      <c r="K302" s="9311"/>
      <c r="L302" s="9311"/>
      <c r="M302" s="9657"/>
      <c r="N302" s="9657"/>
      <c r="O302" s="9657"/>
      <c r="P302" s="9311"/>
      <c r="Q302" s="9311"/>
      <c r="R302" s="9433"/>
      <c r="S302" s="3277"/>
      <c r="T302" s="6436"/>
      <c r="U302" s="4958">
        <v>622510012</v>
      </c>
      <c r="V302" s="585" t="s">
        <v>1791</v>
      </c>
      <c r="W302" s="6483">
        <v>1</v>
      </c>
      <c r="X302" s="6041" t="s">
        <v>180</v>
      </c>
      <c r="Y302" s="6501">
        <v>8000</v>
      </c>
      <c r="Z302" s="6511">
        <f>Y302</f>
        <v>8000</v>
      </c>
      <c r="AA302" s="7907">
        <f t="shared" ref="AA302:AA304" si="32">Z302</f>
        <v>8000</v>
      </c>
      <c r="AB302" s="5977"/>
      <c r="AC302" s="6748"/>
      <c r="AD302" s="3274"/>
      <c r="AE302" s="1939"/>
      <c r="AF302" s="1939"/>
      <c r="AG302" s="3278" t="s">
        <v>153</v>
      </c>
      <c r="AH302" s="9754"/>
    </row>
    <row r="303" spans="1:34" ht="22.5" customHeight="1">
      <c r="A303" s="9599"/>
      <c r="B303" s="9661"/>
      <c r="C303" s="9333"/>
      <c r="D303" s="9311"/>
      <c r="E303" s="9311"/>
      <c r="F303" s="9311"/>
      <c r="G303" s="9311"/>
      <c r="H303" s="9311"/>
      <c r="I303" s="9311"/>
      <c r="J303" s="9402"/>
      <c r="K303" s="9311"/>
      <c r="L303" s="9311"/>
      <c r="M303" s="9657"/>
      <c r="N303" s="9657"/>
      <c r="O303" s="9657"/>
      <c r="P303" s="9311"/>
      <c r="Q303" s="9311"/>
      <c r="R303" s="9433"/>
      <c r="S303" s="3277"/>
      <c r="T303" s="6436"/>
      <c r="U303" s="4958">
        <v>622510012</v>
      </c>
      <c r="V303" s="585" t="s">
        <v>1792</v>
      </c>
      <c r="W303" s="6483">
        <v>1</v>
      </c>
      <c r="X303" s="3498" t="s">
        <v>180</v>
      </c>
      <c r="Y303" s="6501">
        <v>10000</v>
      </c>
      <c r="Z303" s="6511">
        <f>Y303</f>
        <v>10000</v>
      </c>
      <c r="AA303" s="7907">
        <f t="shared" si="32"/>
        <v>10000</v>
      </c>
      <c r="AB303" s="5977"/>
      <c r="AC303" s="6753"/>
      <c r="AD303" s="3274"/>
      <c r="AE303" s="1939"/>
      <c r="AF303" s="1939"/>
      <c r="AG303" s="3278" t="s">
        <v>153</v>
      </c>
      <c r="AH303" s="9754"/>
    </row>
    <row r="304" spans="1:34" ht="22.5" customHeight="1">
      <c r="A304" s="9599"/>
      <c r="B304" s="9661"/>
      <c r="C304" s="9333"/>
      <c r="D304" s="9311"/>
      <c r="E304" s="9311"/>
      <c r="F304" s="9311"/>
      <c r="G304" s="9311"/>
      <c r="H304" s="9311"/>
      <c r="I304" s="9311"/>
      <c r="J304" s="9402"/>
      <c r="K304" s="9311"/>
      <c r="L304" s="9311"/>
      <c r="M304" s="9657"/>
      <c r="N304" s="9657"/>
      <c r="O304" s="9657"/>
      <c r="P304" s="9311"/>
      <c r="Q304" s="9311"/>
      <c r="R304" s="9433"/>
      <c r="S304" s="3277"/>
      <c r="T304" s="6436"/>
      <c r="U304" s="4958">
        <v>622510012</v>
      </c>
      <c r="V304" s="585" t="s">
        <v>1793</v>
      </c>
      <c r="W304" s="6483">
        <v>1</v>
      </c>
      <c r="X304" s="3498" t="s">
        <v>180</v>
      </c>
      <c r="Y304" s="6501">
        <v>9000</v>
      </c>
      <c r="Z304" s="6511">
        <f>Y304</f>
        <v>9000</v>
      </c>
      <c r="AA304" s="7907">
        <f t="shared" si="32"/>
        <v>9000</v>
      </c>
      <c r="AB304" s="5977"/>
      <c r="AC304" s="6753"/>
      <c r="AD304" s="3274"/>
      <c r="AE304" s="1939"/>
      <c r="AF304" s="1939"/>
      <c r="AG304" s="3278" t="s">
        <v>153</v>
      </c>
      <c r="AH304" s="9754"/>
    </row>
    <row r="305" spans="1:34" ht="22.5" customHeight="1">
      <c r="A305" s="9599"/>
      <c r="B305" s="9661"/>
      <c r="C305" s="9333"/>
      <c r="D305" s="9311"/>
      <c r="E305" s="9311"/>
      <c r="F305" s="9311"/>
      <c r="G305" s="9311"/>
      <c r="H305" s="9311"/>
      <c r="I305" s="9311"/>
      <c r="J305" s="9402"/>
      <c r="K305" s="9311"/>
      <c r="L305" s="9311"/>
      <c r="M305" s="9657"/>
      <c r="N305" s="9657"/>
      <c r="O305" s="9657"/>
      <c r="P305" s="9311"/>
      <c r="Q305" s="9311"/>
      <c r="R305" s="9433"/>
      <c r="S305" s="3277"/>
      <c r="T305" s="6436"/>
      <c r="U305" s="4958">
        <v>622510012</v>
      </c>
      <c r="V305" s="585" t="s">
        <v>1794</v>
      </c>
      <c r="W305" s="6483">
        <v>1</v>
      </c>
      <c r="X305" s="3498" t="s">
        <v>180</v>
      </c>
      <c r="Y305" s="6501">
        <v>6478</v>
      </c>
      <c r="Z305" s="6511">
        <f t="shared" ref="Z305" si="33">+W305*Y305</f>
        <v>6478</v>
      </c>
      <c r="AA305" s="7907">
        <f t="shared" ref="AA305" si="34">Z305</f>
        <v>6478</v>
      </c>
      <c r="AB305" s="5977"/>
      <c r="AC305" s="6753"/>
      <c r="AD305" s="3274"/>
      <c r="AE305" s="1939"/>
      <c r="AF305" s="1939"/>
      <c r="AG305" s="3278"/>
      <c r="AH305" s="9754"/>
    </row>
    <row r="306" spans="1:34" ht="22.5" customHeight="1">
      <c r="A306" s="9599"/>
      <c r="B306" s="9661"/>
      <c r="C306" s="9333"/>
      <c r="D306" s="9311"/>
      <c r="E306" s="9311"/>
      <c r="F306" s="9311"/>
      <c r="G306" s="9311"/>
      <c r="H306" s="9311"/>
      <c r="I306" s="9311"/>
      <c r="J306" s="9402"/>
      <c r="K306" s="9311"/>
      <c r="L306" s="9311"/>
      <c r="M306" s="9657"/>
      <c r="N306" s="9657"/>
      <c r="O306" s="9657"/>
      <c r="P306" s="9311"/>
      <c r="Q306" s="9311"/>
      <c r="R306" s="9433"/>
      <c r="S306" s="1046" t="s">
        <v>80</v>
      </c>
      <c r="T306" s="6436">
        <v>840109</v>
      </c>
      <c r="U306" s="4958"/>
      <c r="V306" s="587" t="s">
        <v>36</v>
      </c>
      <c r="W306" s="6485"/>
      <c r="X306" s="461"/>
      <c r="Y306" s="6499"/>
      <c r="Z306" s="6501"/>
      <c r="AA306" s="6501"/>
      <c r="AB306" s="5977">
        <f>SUM(AA307:AA308)</f>
        <v>13133</v>
      </c>
      <c r="AC306" s="6754" t="s">
        <v>26</v>
      </c>
      <c r="AD306" s="3274"/>
      <c r="AE306" s="1939"/>
      <c r="AF306" s="1939"/>
      <c r="AG306" s="3278"/>
      <c r="AH306" s="9754"/>
    </row>
    <row r="307" spans="1:34" ht="22.5" customHeight="1">
      <c r="A307" s="9599"/>
      <c r="B307" s="9661"/>
      <c r="C307" s="9333"/>
      <c r="D307" s="9311"/>
      <c r="E307" s="9311"/>
      <c r="F307" s="9311"/>
      <c r="G307" s="9311"/>
      <c r="H307" s="9311"/>
      <c r="I307" s="9311"/>
      <c r="J307" s="9402"/>
      <c r="K307" s="9311"/>
      <c r="L307" s="9311"/>
      <c r="M307" s="9657"/>
      <c r="N307" s="9657"/>
      <c r="O307" s="9657"/>
      <c r="P307" s="9311"/>
      <c r="Q307" s="9311"/>
      <c r="R307" s="9433"/>
      <c r="S307" s="3277"/>
      <c r="T307" s="6436"/>
      <c r="U307" s="4958">
        <v>622510012</v>
      </c>
      <c r="V307" s="585" t="s">
        <v>1790</v>
      </c>
      <c r="W307" s="6483">
        <v>1</v>
      </c>
      <c r="X307" s="3498" t="s">
        <v>180</v>
      </c>
      <c r="Y307" s="6501">
        <f>9611</f>
        <v>9611</v>
      </c>
      <c r="Z307" s="6511">
        <f t="shared" ref="Z307:Z308" si="35">+W307*Y307</f>
        <v>9611</v>
      </c>
      <c r="AA307" s="6511">
        <f>Z307</f>
        <v>9611</v>
      </c>
      <c r="AB307" s="5977"/>
      <c r="AC307" s="6753"/>
      <c r="AD307" s="3274"/>
      <c r="AE307" s="1939"/>
      <c r="AF307" s="1939"/>
      <c r="AG307" s="3278"/>
      <c r="AH307" s="9754"/>
    </row>
    <row r="308" spans="1:34" ht="22.5" customHeight="1">
      <c r="A308" s="9599"/>
      <c r="B308" s="9661"/>
      <c r="C308" s="9395"/>
      <c r="D308" s="9312"/>
      <c r="E308" s="9312"/>
      <c r="F308" s="9312"/>
      <c r="G308" s="9312"/>
      <c r="H308" s="9312"/>
      <c r="I308" s="9312"/>
      <c r="J308" s="9403"/>
      <c r="K308" s="9312"/>
      <c r="L308" s="9312"/>
      <c r="M308" s="9658"/>
      <c r="N308" s="9658"/>
      <c r="O308" s="9658"/>
      <c r="P308" s="9312"/>
      <c r="Q308" s="9312"/>
      <c r="R308" s="9434"/>
      <c r="S308" s="3277"/>
      <c r="T308" s="6436"/>
      <c r="U308" s="4958">
        <v>622510012</v>
      </c>
      <c r="V308" s="585" t="s">
        <v>1794</v>
      </c>
      <c r="W308" s="6483">
        <v>1</v>
      </c>
      <c r="X308" s="3498" t="s">
        <v>180</v>
      </c>
      <c r="Y308" s="6501">
        <v>3522</v>
      </c>
      <c r="Z308" s="6511">
        <f t="shared" si="35"/>
        <v>3522</v>
      </c>
      <c r="AA308" s="6511">
        <f t="shared" ref="AA308" si="36">Z308</f>
        <v>3522</v>
      </c>
      <c r="AB308" s="5977"/>
      <c r="AC308" s="6753"/>
      <c r="AD308" s="3274"/>
      <c r="AE308" s="1939"/>
      <c r="AF308" s="95"/>
      <c r="AG308" s="3279" t="s">
        <v>153</v>
      </c>
      <c r="AH308" s="9755"/>
    </row>
    <row r="309" spans="1:34" ht="25.5" customHeight="1">
      <c r="A309" s="9599"/>
      <c r="B309" s="9661"/>
      <c r="C309" s="9400" t="s">
        <v>1571</v>
      </c>
      <c r="D309" s="9167" t="s">
        <v>1572</v>
      </c>
      <c r="E309" s="9167" t="s">
        <v>129</v>
      </c>
      <c r="F309" s="9167" t="s">
        <v>1736</v>
      </c>
      <c r="G309" s="9320" t="s">
        <v>131</v>
      </c>
      <c r="H309" s="8834" t="s">
        <v>132</v>
      </c>
      <c r="I309" s="8834" t="s">
        <v>159</v>
      </c>
      <c r="J309" s="9609" t="s">
        <v>1795</v>
      </c>
      <c r="K309" s="8834" t="s">
        <v>1796</v>
      </c>
      <c r="L309" s="8834" t="s">
        <v>1797</v>
      </c>
      <c r="M309" s="8856">
        <v>0</v>
      </c>
      <c r="N309" s="8856">
        <v>1</v>
      </c>
      <c r="O309" s="8856">
        <v>0</v>
      </c>
      <c r="P309" s="8834" t="s">
        <v>1798</v>
      </c>
      <c r="Q309" s="8834" t="s">
        <v>1799</v>
      </c>
      <c r="R309" s="9205" t="s">
        <v>1742</v>
      </c>
      <c r="S309" s="1270"/>
      <c r="T309" s="6598"/>
      <c r="U309" s="6598"/>
      <c r="V309" s="1957"/>
      <c r="W309" s="6615"/>
      <c r="X309" s="96"/>
      <c r="Y309" s="6653"/>
      <c r="Z309" s="6653"/>
      <c r="AA309" s="6653"/>
      <c r="AB309" s="6654"/>
      <c r="AC309" s="6736"/>
      <c r="AD309" s="1263"/>
      <c r="AE309" s="1063"/>
      <c r="AF309" s="1081"/>
      <c r="AG309" s="1226"/>
      <c r="AH309" s="9753"/>
    </row>
    <row r="310" spans="1:34" ht="25.5" customHeight="1">
      <c r="A310" s="9599"/>
      <c r="B310" s="9661"/>
      <c r="C310" s="9333"/>
      <c r="D310" s="9311"/>
      <c r="E310" s="9311"/>
      <c r="F310" s="9311"/>
      <c r="G310" s="9311"/>
      <c r="H310" s="9311"/>
      <c r="I310" s="9311"/>
      <c r="J310" s="9402"/>
      <c r="K310" s="9311"/>
      <c r="L310" s="9311"/>
      <c r="M310" s="9313"/>
      <c r="N310" s="9313"/>
      <c r="O310" s="9313"/>
      <c r="P310" s="9311"/>
      <c r="Q310" s="9311"/>
      <c r="R310" s="9433"/>
      <c r="S310" s="1265"/>
      <c r="T310" s="6589"/>
      <c r="U310" s="6589"/>
      <c r="V310" s="1958"/>
      <c r="W310" s="6620"/>
      <c r="X310" s="1951"/>
      <c r="Y310" s="6662"/>
      <c r="Z310" s="6662"/>
      <c r="AA310" s="6662"/>
      <c r="AB310" s="6650"/>
      <c r="AC310" s="6755"/>
      <c r="AD310" s="1249"/>
      <c r="AE310" s="1250"/>
      <c r="AF310" s="1250"/>
      <c r="AG310" s="1251"/>
      <c r="AH310" s="9754"/>
    </row>
    <row r="311" spans="1:34" ht="25.5" customHeight="1">
      <c r="A311" s="9599"/>
      <c r="B311" s="9661"/>
      <c r="C311" s="9333"/>
      <c r="D311" s="9311"/>
      <c r="E311" s="9311"/>
      <c r="F311" s="9311"/>
      <c r="G311" s="9311"/>
      <c r="H311" s="9311"/>
      <c r="I311" s="9311"/>
      <c r="J311" s="9402"/>
      <c r="K311" s="9311"/>
      <c r="L311" s="9311"/>
      <c r="M311" s="9313"/>
      <c r="N311" s="9313"/>
      <c r="O311" s="9313"/>
      <c r="P311" s="9311"/>
      <c r="Q311" s="9311"/>
      <c r="R311" s="9433"/>
      <c r="S311" s="1265"/>
      <c r="T311" s="6445"/>
      <c r="U311" s="6445"/>
      <c r="V311" s="1266"/>
      <c r="W311" s="6604"/>
      <c r="X311" s="1250"/>
      <c r="Y311" s="6642"/>
      <c r="Z311" s="6642"/>
      <c r="AA311" s="6642"/>
      <c r="AB311" s="6503"/>
      <c r="AC311" s="6554"/>
      <c r="AD311" s="1249"/>
      <c r="AE311" s="1250"/>
      <c r="AF311" s="1250"/>
      <c r="AG311" s="1251"/>
      <c r="AH311" s="9754"/>
    </row>
    <row r="312" spans="1:34" ht="25.5" customHeight="1">
      <c r="A312" s="9599"/>
      <c r="B312" s="9661"/>
      <c r="C312" s="9333"/>
      <c r="D312" s="9311"/>
      <c r="E312" s="9311"/>
      <c r="F312" s="9311"/>
      <c r="G312" s="9311"/>
      <c r="H312" s="9311"/>
      <c r="I312" s="9311"/>
      <c r="J312" s="9402"/>
      <c r="K312" s="9311"/>
      <c r="L312" s="9311"/>
      <c r="M312" s="9313"/>
      <c r="N312" s="9313"/>
      <c r="O312" s="9313"/>
      <c r="P312" s="9311"/>
      <c r="Q312" s="9311"/>
      <c r="R312" s="9433"/>
      <c r="S312" s="1265"/>
      <c r="T312" s="6445"/>
      <c r="U312" s="6445"/>
      <c r="V312" s="1266"/>
      <c r="W312" s="6604"/>
      <c r="X312" s="1250"/>
      <c r="Y312" s="6642"/>
      <c r="Z312" s="6642"/>
      <c r="AA312" s="6642"/>
      <c r="AB312" s="6503"/>
      <c r="AC312" s="6554"/>
      <c r="AD312" s="1249"/>
      <c r="AE312" s="1250"/>
      <c r="AF312" s="1250"/>
      <c r="AG312" s="1251"/>
      <c r="AH312" s="9754"/>
    </row>
    <row r="313" spans="1:34" ht="25.5" customHeight="1">
      <c r="A313" s="9599"/>
      <c r="B313" s="9661"/>
      <c r="C313" s="9395"/>
      <c r="D313" s="9312"/>
      <c r="E313" s="9312"/>
      <c r="F313" s="9312"/>
      <c r="G313" s="9312"/>
      <c r="H313" s="9312"/>
      <c r="I313" s="9312"/>
      <c r="J313" s="9403"/>
      <c r="K313" s="9312"/>
      <c r="L313" s="9312"/>
      <c r="M313" s="9314"/>
      <c r="N313" s="9314"/>
      <c r="O313" s="9314"/>
      <c r="P313" s="9312"/>
      <c r="Q313" s="9312"/>
      <c r="R313" s="9434"/>
      <c r="S313" s="1271"/>
      <c r="T313" s="6581"/>
      <c r="U313" s="6581"/>
      <c r="V313" s="1272"/>
      <c r="W313" s="6612"/>
      <c r="X313" s="1257"/>
      <c r="Y313" s="6651"/>
      <c r="Z313" s="6651"/>
      <c r="AA313" s="6651"/>
      <c r="AB313" s="6652"/>
      <c r="AC313" s="6734"/>
      <c r="AD313" s="1258"/>
      <c r="AE313" s="1257"/>
      <c r="AF313" s="1257"/>
      <c r="AG313" s="1259"/>
      <c r="AH313" s="9755"/>
    </row>
    <row r="314" spans="1:34" ht="42.75" customHeight="1">
      <c r="A314" s="9599"/>
      <c r="B314" s="9661"/>
      <c r="C314" s="9332" t="s">
        <v>1571</v>
      </c>
      <c r="D314" s="9258" t="s">
        <v>1572</v>
      </c>
      <c r="E314" s="9258" t="s">
        <v>140</v>
      </c>
      <c r="F314" s="9258" t="s">
        <v>1691</v>
      </c>
      <c r="G314" s="9335" t="s">
        <v>131</v>
      </c>
      <c r="H314" s="8782" t="s">
        <v>132</v>
      </c>
      <c r="I314" s="8782" t="s">
        <v>159</v>
      </c>
      <c r="J314" s="9679" t="s">
        <v>1800</v>
      </c>
      <c r="K314" s="8782" t="s">
        <v>1801</v>
      </c>
      <c r="L314" s="9258" t="s">
        <v>1802</v>
      </c>
      <c r="M314" s="8975">
        <v>0</v>
      </c>
      <c r="N314" s="8975">
        <v>1</v>
      </c>
      <c r="O314" s="8975">
        <v>1</v>
      </c>
      <c r="P314" s="8782" t="s">
        <v>1803</v>
      </c>
      <c r="Q314" s="9258" t="s">
        <v>1577</v>
      </c>
      <c r="R314" s="9217" t="s">
        <v>1735</v>
      </c>
      <c r="S314" s="1273"/>
      <c r="T314" s="6590"/>
      <c r="U314" s="6590"/>
      <c r="V314" s="1274"/>
      <c r="W314" s="6610"/>
      <c r="X314" s="1081"/>
      <c r="Y314" s="6645"/>
      <c r="Z314" s="6645"/>
      <c r="AA314" s="6645"/>
      <c r="AB314" s="6655"/>
      <c r="AC314" s="6744"/>
      <c r="AD314" s="1225"/>
      <c r="AE314" s="1081"/>
      <c r="AF314" s="1081"/>
      <c r="AG314" s="1226"/>
      <c r="AH314" s="9753"/>
    </row>
    <row r="315" spans="1:34" ht="42.75" customHeight="1">
      <c r="A315" s="9599"/>
      <c r="B315" s="9661"/>
      <c r="C315" s="9333"/>
      <c r="D315" s="9311"/>
      <c r="E315" s="9311"/>
      <c r="F315" s="9311"/>
      <c r="G315" s="9311"/>
      <c r="H315" s="9311"/>
      <c r="I315" s="9311"/>
      <c r="J315" s="9402"/>
      <c r="K315" s="9311"/>
      <c r="L315" s="9311"/>
      <c r="M315" s="9313"/>
      <c r="N315" s="9313"/>
      <c r="O315" s="9313"/>
      <c r="P315" s="9311"/>
      <c r="Q315" s="9311"/>
      <c r="R315" s="9433"/>
      <c r="S315" s="1265"/>
      <c r="T315" s="6445"/>
      <c r="U315" s="6445"/>
      <c r="V315" s="1266"/>
      <c r="W315" s="6604"/>
      <c r="X315" s="1250"/>
      <c r="Y315" s="6642"/>
      <c r="Z315" s="6642"/>
      <c r="AA315" s="6642"/>
      <c r="AB315" s="6503"/>
      <c r="AC315" s="6554"/>
      <c r="AD315" s="1249"/>
      <c r="AE315" s="1250"/>
      <c r="AF315" s="1250"/>
      <c r="AG315" s="1251"/>
      <c r="AH315" s="9754"/>
    </row>
    <row r="316" spans="1:34" ht="42.75" customHeight="1">
      <c r="A316" s="9599"/>
      <c r="B316" s="9661"/>
      <c r="C316" s="9333"/>
      <c r="D316" s="9311"/>
      <c r="E316" s="9311"/>
      <c r="F316" s="9311"/>
      <c r="G316" s="9311"/>
      <c r="H316" s="9311"/>
      <c r="I316" s="9311"/>
      <c r="J316" s="9402"/>
      <c r="K316" s="9311"/>
      <c r="L316" s="9311"/>
      <c r="M316" s="9313"/>
      <c r="N316" s="9313"/>
      <c r="O316" s="9313"/>
      <c r="P316" s="9311"/>
      <c r="Q316" s="9311"/>
      <c r="R316" s="9433"/>
      <c r="S316" s="1265"/>
      <c r="T316" s="6445"/>
      <c r="U316" s="6445"/>
      <c r="V316" s="1266"/>
      <c r="W316" s="6604"/>
      <c r="X316" s="1250"/>
      <c r="Y316" s="6642"/>
      <c r="Z316" s="6642"/>
      <c r="AA316" s="6642"/>
      <c r="AB316" s="6503"/>
      <c r="AC316" s="6554"/>
      <c r="AD316" s="1249"/>
      <c r="AE316" s="1250"/>
      <c r="AF316" s="1250"/>
      <c r="AG316" s="1251"/>
      <c r="AH316" s="9754"/>
    </row>
    <row r="317" spans="1:34" ht="42.75" customHeight="1">
      <c r="A317" s="9599"/>
      <c r="B317" s="9661"/>
      <c r="C317" s="9333"/>
      <c r="D317" s="9311"/>
      <c r="E317" s="9311"/>
      <c r="F317" s="9311"/>
      <c r="G317" s="9311"/>
      <c r="H317" s="9311"/>
      <c r="I317" s="9311"/>
      <c r="J317" s="9402"/>
      <c r="K317" s="9311"/>
      <c r="L317" s="9311"/>
      <c r="M317" s="9313"/>
      <c r="N317" s="9313"/>
      <c r="O317" s="9313"/>
      <c r="P317" s="9311"/>
      <c r="Q317" s="9311"/>
      <c r="R317" s="9433"/>
      <c r="S317" s="1265"/>
      <c r="T317" s="6445"/>
      <c r="U317" s="6445"/>
      <c r="V317" s="1266"/>
      <c r="W317" s="6604"/>
      <c r="X317" s="1250"/>
      <c r="Y317" s="6642"/>
      <c r="Z317" s="6642"/>
      <c r="AA317" s="6642"/>
      <c r="AB317" s="6503"/>
      <c r="AC317" s="6554"/>
      <c r="AD317" s="1249"/>
      <c r="AE317" s="1250"/>
      <c r="AF317" s="1250"/>
      <c r="AG317" s="1251"/>
      <c r="AH317" s="9754"/>
    </row>
    <row r="318" spans="1:34" ht="42.75" customHeight="1">
      <c r="A318" s="9599"/>
      <c r="B318" s="9661"/>
      <c r="C318" s="9395"/>
      <c r="D318" s="9312"/>
      <c r="E318" s="9312"/>
      <c r="F318" s="9312"/>
      <c r="G318" s="9312"/>
      <c r="H318" s="9312"/>
      <c r="I318" s="9312"/>
      <c r="J318" s="9403"/>
      <c r="K318" s="9312"/>
      <c r="L318" s="9312"/>
      <c r="M318" s="9314"/>
      <c r="N318" s="9314"/>
      <c r="O318" s="9314"/>
      <c r="P318" s="9312"/>
      <c r="Q318" s="9312"/>
      <c r="R318" s="9434"/>
      <c r="S318" s="1271"/>
      <c r="T318" s="6581"/>
      <c r="U318" s="6581"/>
      <c r="V318" s="1272"/>
      <c r="W318" s="6612"/>
      <c r="X318" s="1257"/>
      <c r="Y318" s="6651"/>
      <c r="Z318" s="6651"/>
      <c r="AA318" s="6651"/>
      <c r="AB318" s="6652"/>
      <c r="AC318" s="6734"/>
      <c r="AD318" s="1258"/>
      <c r="AE318" s="1257"/>
      <c r="AF318" s="1257"/>
      <c r="AG318" s="1259"/>
      <c r="AH318" s="9755"/>
    </row>
    <row r="319" spans="1:34" ht="26.25" customHeight="1">
      <c r="A319" s="9599"/>
      <c r="B319" s="9661"/>
      <c r="C319" s="9332" t="s">
        <v>1571</v>
      </c>
      <c r="D319" s="9258" t="s">
        <v>1572</v>
      </c>
      <c r="E319" s="9258" t="s">
        <v>129</v>
      </c>
      <c r="F319" s="9258" t="s">
        <v>268</v>
      </c>
      <c r="G319" s="9335" t="s">
        <v>131</v>
      </c>
      <c r="H319" s="8782" t="s">
        <v>132</v>
      </c>
      <c r="I319" s="8782" t="s">
        <v>159</v>
      </c>
      <c r="J319" s="8940" t="s">
        <v>1721</v>
      </c>
      <c r="K319" s="8782" t="s">
        <v>338</v>
      </c>
      <c r="L319" s="8782" t="s">
        <v>1470</v>
      </c>
      <c r="M319" s="9656">
        <v>0</v>
      </c>
      <c r="N319" s="9656">
        <v>0</v>
      </c>
      <c r="O319" s="9656">
        <v>1</v>
      </c>
      <c r="P319" s="9682" t="s">
        <v>1804</v>
      </c>
      <c r="Q319" s="9258" t="s">
        <v>1805</v>
      </c>
      <c r="R319" s="9217" t="s">
        <v>1806</v>
      </c>
      <c r="S319" s="1273"/>
      <c r="T319" s="6590"/>
      <c r="U319" s="6590"/>
      <c r="V319" s="1274"/>
      <c r="W319" s="6610"/>
      <c r="X319" s="1081"/>
      <c r="Y319" s="6645"/>
      <c r="Z319" s="6645"/>
      <c r="AA319" s="6645"/>
      <c r="AB319" s="6655"/>
      <c r="AC319" s="6744"/>
      <c r="AD319" s="1225"/>
      <c r="AE319" s="1081"/>
      <c r="AF319" s="1081"/>
      <c r="AG319" s="1226"/>
      <c r="AH319" s="9753"/>
    </row>
    <row r="320" spans="1:34" ht="26.25" customHeight="1">
      <c r="A320" s="9599"/>
      <c r="B320" s="9661"/>
      <c r="C320" s="9333"/>
      <c r="D320" s="9311"/>
      <c r="E320" s="9311"/>
      <c r="F320" s="9311"/>
      <c r="G320" s="9311"/>
      <c r="H320" s="9311"/>
      <c r="I320" s="9311"/>
      <c r="J320" s="9402"/>
      <c r="K320" s="9311"/>
      <c r="L320" s="9311"/>
      <c r="M320" s="9657"/>
      <c r="N320" s="9657"/>
      <c r="O320" s="9657"/>
      <c r="P320" s="9683"/>
      <c r="Q320" s="9311"/>
      <c r="R320" s="9433"/>
      <c r="S320" s="1265"/>
      <c r="T320" s="6445"/>
      <c r="U320" s="6445"/>
      <c r="V320" s="1266"/>
      <c r="W320" s="6604"/>
      <c r="X320" s="1250"/>
      <c r="Y320" s="6642"/>
      <c r="Z320" s="6642"/>
      <c r="AA320" s="6642"/>
      <c r="AB320" s="6503"/>
      <c r="AC320" s="6554"/>
      <c r="AD320" s="1249"/>
      <c r="AE320" s="1250"/>
      <c r="AF320" s="1250"/>
      <c r="AG320" s="1251"/>
      <c r="AH320" s="9754"/>
    </row>
    <row r="321" spans="1:34" ht="26.25" customHeight="1">
      <c r="A321" s="9599"/>
      <c r="B321" s="9661"/>
      <c r="C321" s="9333"/>
      <c r="D321" s="9311"/>
      <c r="E321" s="9311"/>
      <c r="F321" s="9311"/>
      <c r="G321" s="9311"/>
      <c r="H321" s="9311"/>
      <c r="I321" s="9311"/>
      <c r="J321" s="9402"/>
      <c r="K321" s="9311"/>
      <c r="L321" s="9311"/>
      <c r="M321" s="9657"/>
      <c r="N321" s="9657"/>
      <c r="O321" s="9657"/>
      <c r="P321" s="9683"/>
      <c r="Q321" s="9311"/>
      <c r="R321" s="9433"/>
      <c r="S321" s="1265"/>
      <c r="T321" s="6445"/>
      <c r="U321" s="6445"/>
      <c r="V321" s="1266"/>
      <c r="W321" s="6604"/>
      <c r="X321" s="1250"/>
      <c r="Y321" s="6642"/>
      <c r="Z321" s="6642"/>
      <c r="AA321" s="6642"/>
      <c r="AB321" s="6503"/>
      <c r="AC321" s="6554"/>
      <c r="AD321" s="1249"/>
      <c r="AE321" s="1250"/>
      <c r="AF321" s="1250"/>
      <c r="AG321" s="1251"/>
      <c r="AH321" s="9754"/>
    </row>
    <row r="322" spans="1:34" ht="26.25" customHeight="1">
      <c r="A322" s="9599"/>
      <c r="B322" s="9661"/>
      <c r="C322" s="9333"/>
      <c r="D322" s="9311"/>
      <c r="E322" s="9311"/>
      <c r="F322" s="9311"/>
      <c r="G322" s="9311"/>
      <c r="H322" s="9311"/>
      <c r="I322" s="9311"/>
      <c r="J322" s="9402"/>
      <c r="K322" s="9311"/>
      <c r="L322" s="9311"/>
      <c r="M322" s="9657"/>
      <c r="N322" s="9657"/>
      <c r="O322" s="9657"/>
      <c r="P322" s="9683"/>
      <c r="Q322" s="9311"/>
      <c r="R322" s="9433"/>
      <c r="S322" s="1265"/>
      <c r="T322" s="6445"/>
      <c r="U322" s="6445"/>
      <c r="V322" s="1266"/>
      <c r="W322" s="6604"/>
      <c r="X322" s="1250"/>
      <c r="Y322" s="6642"/>
      <c r="Z322" s="6642"/>
      <c r="AA322" s="6642"/>
      <c r="AB322" s="6503"/>
      <c r="AC322" s="6554"/>
      <c r="AD322" s="1249"/>
      <c r="AE322" s="1250"/>
      <c r="AF322" s="1250"/>
      <c r="AG322" s="1251"/>
      <c r="AH322" s="9754"/>
    </row>
    <row r="323" spans="1:34" ht="26.25" customHeight="1">
      <c r="A323" s="9599"/>
      <c r="B323" s="9661"/>
      <c r="C323" s="9395"/>
      <c r="D323" s="9312"/>
      <c r="E323" s="9312"/>
      <c r="F323" s="9312"/>
      <c r="G323" s="9312"/>
      <c r="H323" s="9312"/>
      <c r="I323" s="9312"/>
      <c r="J323" s="9403"/>
      <c r="K323" s="9312"/>
      <c r="L323" s="9312"/>
      <c r="M323" s="9658"/>
      <c r="N323" s="9658"/>
      <c r="O323" s="9658"/>
      <c r="P323" s="9684"/>
      <c r="Q323" s="9312"/>
      <c r="R323" s="9434"/>
      <c r="S323" s="1271"/>
      <c r="T323" s="6581"/>
      <c r="U323" s="6581"/>
      <c r="V323" s="1272"/>
      <c r="W323" s="6612"/>
      <c r="X323" s="1257"/>
      <c r="Y323" s="6651"/>
      <c r="Z323" s="6651"/>
      <c r="AA323" s="6643"/>
      <c r="AB323" s="6652"/>
      <c r="AC323" s="6734"/>
      <c r="AD323" s="1267"/>
      <c r="AE323" s="1257"/>
      <c r="AF323" s="1257"/>
      <c r="AG323" s="1259"/>
      <c r="AH323" s="9755"/>
    </row>
    <row r="324" spans="1:34" ht="27" customHeight="1">
      <c r="A324" s="9599"/>
      <c r="B324" s="9662"/>
      <c r="C324" s="9677"/>
      <c r="D324" s="9678"/>
      <c r="E324" s="9678"/>
      <c r="F324" s="9678"/>
      <c r="G324" s="9678"/>
      <c r="H324" s="9678"/>
      <c r="I324" s="9678"/>
      <c r="J324" s="9678"/>
      <c r="K324" s="9678"/>
      <c r="L324" s="9678"/>
      <c r="M324" s="9678"/>
      <c r="N324" s="9678"/>
      <c r="O324" s="9678"/>
      <c r="P324" s="9678"/>
      <c r="Q324" s="9678"/>
      <c r="R324" s="9678"/>
      <c r="S324" s="9685" t="s">
        <v>1807</v>
      </c>
      <c r="T324" s="9685"/>
      <c r="U324" s="9685"/>
      <c r="V324" s="9685"/>
      <c r="W324" s="9685"/>
      <c r="X324" s="9685"/>
      <c r="Y324" s="9685"/>
      <c r="Z324" s="9685"/>
      <c r="AA324" s="4892" t="s">
        <v>292</v>
      </c>
      <c r="AB324" s="6629">
        <f>SUM(AB244:AB323)</f>
        <v>211639.19999999998</v>
      </c>
      <c r="AC324" s="401"/>
      <c r="AD324" s="2875"/>
      <c r="AE324" s="9680"/>
      <c r="AF324" s="9678"/>
      <c r="AG324" s="9678"/>
      <c r="AH324" s="479"/>
    </row>
    <row r="325" spans="1:34" ht="29.25" customHeight="1">
      <c r="A325" s="9599"/>
      <c r="B325" s="9686"/>
      <c r="C325" s="9675"/>
      <c r="D325" s="9675"/>
      <c r="E325" s="9675"/>
      <c r="F325" s="9675"/>
      <c r="G325" s="9675"/>
      <c r="H325" s="9675"/>
      <c r="I325" s="9675"/>
      <c r="J325" s="9675"/>
      <c r="K325" s="9675"/>
      <c r="L325" s="9675"/>
      <c r="M325" s="9675"/>
      <c r="N325" s="9675"/>
      <c r="O325" s="9675"/>
      <c r="P325" s="9675"/>
      <c r="Q325" s="9675"/>
      <c r="R325" s="9675"/>
      <c r="S325" s="9672" t="s">
        <v>1808</v>
      </c>
      <c r="T325" s="9673"/>
      <c r="U325" s="9673"/>
      <c r="V325" s="9673"/>
      <c r="W325" s="9673"/>
      <c r="X325" s="9673"/>
      <c r="Y325" s="9673"/>
      <c r="Z325" s="9673"/>
      <c r="AA325" s="5859" t="s">
        <v>292</v>
      </c>
      <c r="AB325" s="503">
        <f>+AB99+AB243+AB324</f>
        <v>634483.81967967993</v>
      </c>
      <c r="AC325" s="404"/>
      <c r="AD325" s="2876"/>
      <c r="AE325" s="9674"/>
      <c r="AF325" s="9675"/>
      <c r="AG325" s="9675"/>
      <c r="AH325" s="9676"/>
    </row>
    <row r="326" spans="1:34" ht="16.5" customHeight="1">
      <c r="A326" s="4"/>
      <c r="B326" s="495"/>
      <c r="C326" s="550" t="s">
        <v>1809</v>
      </c>
      <c r="D326" s="551"/>
      <c r="E326" s="551"/>
      <c r="F326" s="551"/>
      <c r="G326" s="551"/>
      <c r="H326" s="551"/>
      <c r="I326" s="551"/>
      <c r="J326" s="551"/>
      <c r="K326" s="551"/>
      <c r="L326" s="551"/>
      <c r="M326" s="551"/>
      <c r="N326" s="551"/>
      <c r="O326" s="551"/>
      <c r="P326" s="551"/>
      <c r="Q326" s="551"/>
      <c r="R326" s="551"/>
      <c r="S326" s="9377" t="s">
        <v>1810</v>
      </c>
      <c r="T326" s="8825"/>
      <c r="U326" s="8825"/>
      <c r="V326" s="8825"/>
      <c r="W326" s="8825"/>
      <c r="X326" s="8825"/>
      <c r="Y326" s="8825"/>
      <c r="Z326" s="8825"/>
      <c r="AA326" s="8825"/>
      <c r="AB326" s="8825"/>
      <c r="AC326" s="8825"/>
      <c r="AD326" s="9378"/>
      <c r="AE326" s="8825"/>
      <c r="AF326" s="8825"/>
      <c r="AG326" s="8825"/>
      <c r="AH326" s="8825"/>
    </row>
    <row r="327" spans="1:34" ht="16.5">
      <c r="A327" s="4"/>
      <c r="B327" s="1"/>
      <c r="C327" s="81" t="s">
        <v>1811</v>
      </c>
      <c r="D327" s="80"/>
      <c r="E327" s="80"/>
      <c r="F327" s="80"/>
      <c r="G327" s="80"/>
      <c r="H327" s="80"/>
      <c r="I327" s="80"/>
      <c r="J327" s="80"/>
      <c r="K327" s="80"/>
      <c r="L327" s="80"/>
      <c r="M327" s="80"/>
      <c r="N327" s="80"/>
      <c r="O327" s="80"/>
      <c r="P327" s="80"/>
      <c r="Q327" s="80"/>
      <c r="R327" s="80"/>
      <c r="S327" s="143"/>
      <c r="T327" s="143"/>
      <c r="U327" s="143"/>
      <c r="V327" s="143"/>
      <c r="W327" s="143"/>
      <c r="X327" s="143"/>
      <c r="Y327" s="143"/>
      <c r="Z327" s="143"/>
      <c r="AA327" s="143"/>
      <c r="AB327" s="145"/>
      <c r="AC327" s="2087"/>
      <c r="AD327" s="2087"/>
      <c r="AE327" s="143"/>
      <c r="AF327" s="143"/>
      <c r="AG327" s="143"/>
      <c r="AH327" s="143"/>
    </row>
    <row r="328" spans="1:34" ht="16.5">
      <c r="A328" s="4"/>
      <c r="B328" s="1"/>
      <c r="C328" s="209"/>
      <c r="D328" s="80"/>
      <c r="E328" s="80"/>
      <c r="F328" s="80"/>
      <c r="G328" s="80"/>
      <c r="H328" s="80"/>
      <c r="I328" s="80"/>
      <c r="J328" s="80"/>
      <c r="K328" s="80"/>
      <c r="L328" s="80"/>
      <c r="M328" s="80"/>
      <c r="N328" s="80"/>
      <c r="O328" s="80"/>
      <c r="P328" s="80"/>
      <c r="Q328" s="80"/>
      <c r="R328" s="80"/>
      <c r="S328" s="143"/>
      <c r="U328" s="8775" t="s">
        <v>351</v>
      </c>
      <c r="V328" s="9379"/>
      <c r="W328" s="9379"/>
      <c r="X328" s="9379"/>
      <c r="Y328" s="9379"/>
      <c r="Z328" s="9379"/>
      <c r="AA328" s="231"/>
      <c r="AE328" s="143"/>
      <c r="AF328" s="143"/>
      <c r="AG328" s="143"/>
      <c r="AH328" s="143"/>
    </row>
    <row r="329" spans="1:34" ht="16.5" customHeight="1">
      <c r="A329" s="4"/>
      <c r="B329" s="1"/>
      <c r="C329" s="80"/>
      <c r="D329" s="80"/>
      <c r="E329" s="80"/>
      <c r="F329" s="80"/>
      <c r="G329" s="80"/>
      <c r="H329" s="80"/>
      <c r="I329" s="80"/>
      <c r="J329" s="80"/>
      <c r="K329" s="80"/>
      <c r="L329" s="80"/>
      <c r="M329" s="80"/>
      <c r="N329" s="80"/>
      <c r="O329" s="80"/>
      <c r="P329" s="80"/>
      <c r="Q329" s="80"/>
      <c r="R329" s="80"/>
      <c r="S329" s="125"/>
      <c r="T329" s="28"/>
      <c r="U329" s="28"/>
      <c r="V329" s="28"/>
      <c r="W329" s="28"/>
      <c r="X329" s="28"/>
      <c r="Y329" s="28"/>
      <c r="Z329" s="28"/>
      <c r="AA329" s="100"/>
      <c r="AB329" s="100"/>
      <c r="AC329" s="363"/>
      <c r="AD329" s="363"/>
      <c r="AE329" s="143"/>
      <c r="AF329" s="143"/>
      <c r="AG329" s="143"/>
      <c r="AH329" s="143"/>
    </row>
    <row r="330" spans="1:34" ht="18" customHeight="1">
      <c r="A330" s="4"/>
      <c r="B330" s="1"/>
      <c r="C330" s="80"/>
      <c r="D330" s="80"/>
      <c r="E330" s="80"/>
      <c r="F330" s="80"/>
      <c r="G330" s="80"/>
      <c r="H330" s="80"/>
      <c r="I330" s="80"/>
      <c r="J330" s="80"/>
      <c r="K330" s="80"/>
      <c r="L330" s="80"/>
      <c r="M330" s="80"/>
      <c r="N330" s="80"/>
      <c r="O330" s="80"/>
      <c r="P330" s="80"/>
      <c r="Q330" s="80"/>
      <c r="R330" s="80"/>
      <c r="U330" s="5882" t="s">
        <v>5</v>
      </c>
      <c r="V330" s="5883" t="s">
        <v>6</v>
      </c>
      <c r="W330" s="5884" t="s">
        <v>7</v>
      </c>
      <c r="X330" s="5885" t="s">
        <v>352</v>
      </c>
      <c r="Y330" s="5885" t="s">
        <v>9</v>
      </c>
      <c r="Z330" s="5886" t="s">
        <v>353</v>
      </c>
      <c r="AA330" s="334"/>
      <c r="AB330" s="334"/>
      <c r="AC330" s="9"/>
      <c r="AD330" s="9"/>
      <c r="AE330" s="143"/>
      <c r="AF330" s="143"/>
      <c r="AG330" s="143"/>
      <c r="AH330" s="143"/>
    </row>
    <row r="331" spans="1:34" ht="82.5">
      <c r="A331" s="4"/>
      <c r="B331" s="1"/>
      <c r="C331" s="80"/>
      <c r="D331" s="80"/>
      <c r="E331" s="80"/>
      <c r="F331" s="80"/>
      <c r="G331" s="80"/>
      <c r="H331" s="80"/>
      <c r="I331" s="80"/>
      <c r="J331" s="80"/>
      <c r="K331" s="80"/>
      <c r="L331" s="80"/>
      <c r="M331" s="80"/>
      <c r="N331" s="80"/>
      <c r="O331" s="80"/>
      <c r="P331" s="80"/>
      <c r="U331" s="948" t="s">
        <v>80</v>
      </c>
      <c r="V331" s="958" t="s">
        <v>24</v>
      </c>
      <c r="W331" s="926">
        <v>530204</v>
      </c>
      <c r="X331" s="690" t="s">
        <v>17</v>
      </c>
      <c r="Y331" s="1678" t="s">
        <v>25</v>
      </c>
      <c r="Z331" s="883">
        <f>+AB289</f>
        <v>151739.19999999998</v>
      </c>
      <c r="AA331" s="101"/>
      <c r="AB331" s="335"/>
      <c r="AC331" s="10"/>
      <c r="AD331" s="10"/>
      <c r="AE331" s="143"/>
      <c r="AF331" s="143"/>
      <c r="AG331" s="143"/>
      <c r="AH331" s="143"/>
    </row>
    <row r="332" spans="1:34" ht="82.5">
      <c r="A332" s="4"/>
      <c r="B332" s="1"/>
      <c r="C332" s="80"/>
      <c r="D332" s="80"/>
      <c r="E332" s="80"/>
      <c r="F332" s="80"/>
      <c r="G332" s="80"/>
      <c r="H332" s="80"/>
      <c r="I332" s="80"/>
      <c r="J332" s="80"/>
      <c r="K332" s="80"/>
      <c r="L332" s="80"/>
      <c r="M332" s="80"/>
      <c r="N332" s="80"/>
      <c r="O332" s="80"/>
      <c r="P332" s="80"/>
      <c r="U332" s="948" t="s">
        <v>80</v>
      </c>
      <c r="V332" s="958" t="s">
        <v>24</v>
      </c>
      <c r="W332" s="926">
        <v>530204</v>
      </c>
      <c r="X332" s="690" t="s">
        <v>17</v>
      </c>
      <c r="Y332" s="1678" t="s">
        <v>26</v>
      </c>
      <c r="Z332" s="883">
        <f>+AB175</f>
        <v>5000</v>
      </c>
      <c r="AA332" s="101"/>
      <c r="AB332" s="335"/>
      <c r="AC332" s="10"/>
      <c r="AD332" s="10"/>
      <c r="AE332" s="143"/>
      <c r="AF332" s="143"/>
      <c r="AG332" s="143"/>
      <c r="AH332" s="143"/>
    </row>
    <row r="333" spans="1:34" ht="33">
      <c r="A333" s="4"/>
      <c r="B333" s="1"/>
      <c r="C333" s="80"/>
      <c r="D333" s="80"/>
      <c r="E333" s="80"/>
      <c r="F333" s="80"/>
      <c r="G333" s="80"/>
      <c r="H333" s="80"/>
      <c r="I333" s="80"/>
      <c r="J333" s="80"/>
      <c r="K333" s="80"/>
      <c r="L333" s="80"/>
      <c r="M333" s="80"/>
      <c r="N333" s="80"/>
      <c r="O333" s="80"/>
      <c r="P333" s="80"/>
      <c r="U333" s="948" t="s">
        <v>80</v>
      </c>
      <c r="V333" s="958" t="s">
        <v>27</v>
      </c>
      <c r="W333" s="926">
        <v>530301</v>
      </c>
      <c r="X333" s="690" t="s">
        <v>17</v>
      </c>
      <c r="Y333" s="1678" t="s">
        <v>18</v>
      </c>
      <c r="Z333" s="883">
        <f>AB24</f>
        <v>500</v>
      </c>
      <c r="AA333" s="101"/>
      <c r="AB333" s="335"/>
      <c r="AC333" s="10"/>
      <c r="AD333" s="10"/>
      <c r="AE333" s="143"/>
      <c r="AF333" s="143"/>
      <c r="AG333" s="143"/>
      <c r="AH333" s="143"/>
    </row>
    <row r="334" spans="1:34" ht="33">
      <c r="A334" s="4"/>
      <c r="B334" s="1"/>
      <c r="C334" s="80"/>
      <c r="D334" s="80"/>
      <c r="E334" s="80"/>
      <c r="F334" s="80"/>
      <c r="G334" s="80"/>
      <c r="H334" s="80"/>
      <c r="I334" s="80"/>
      <c r="J334" s="80"/>
      <c r="K334" s="80"/>
      <c r="L334" s="80"/>
      <c r="M334" s="80"/>
      <c r="N334" s="80"/>
      <c r="O334" s="80"/>
      <c r="P334" s="80"/>
      <c r="U334" s="948" t="s">
        <v>80</v>
      </c>
      <c r="V334" s="958" t="s">
        <v>1812</v>
      </c>
      <c r="W334" s="926">
        <v>530302</v>
      </c>
      <c r="X334" s="690" t="s">
        <v>17</v>
      </c>
      <c r="Y334" s="1678" t="s">
        <v>18</v>
      </c>
      <c r="Z334" s="883">
        <f>AB26</f>
        <v>9951.8700000000008</v>
      </c>
      <c r="AA334" s="101"/>
      <c r="AB334" s="335"/>
      <c r="AC334" s="10"/>
      <c r="AD334" s="10"/>
      <c r="AE334" s="143"/>
      <c r="AF334" s="143"/>
      <c r="AG334" s="143"/>
      <c r="AH334" s="143"/>
    </row>
    <row r="335" spans="1:34" ht="33">
      <c r="A335" s="4"/>
      <c r="B335" s="1"/>
      <c r="C335" s="80"/>
      <c r="D335" s="80"/>
      <c r="E335" s="80"/>
      <c r="F335" s="80"/>
      <c r="G335" s="80"/>
      <c r="H335" s="80"/>
      <c r="I335" s="80"/>
      <c r="J335" s="80"/>
      <c r="K335" s="80"/>
      <c r="L335" s="80"/>
      <c r="M335" s="80"/>
      <c r="N335" s="80"/>
      <c r="O335" s="80"/>
      <c r="U335" s="948" t="s">
        <v>80</v>
      </c>
      <c r="V335" s="958" t="s">
        <v>29</v>
      </c>
      <c r="W335" s="926">
        <v>530303</v>
      </c>
      <c r="X335" s="690" t="s">
        <v>17</v>
      </c>
      <c r="Y335" s="1678" t="s">
        <v>25</v>
      </c>
      <c r="Z335" s="883">
        <f>+AB28</f>
        <v>1920</v>
      </c>
      <c r="AA335" s="101"/>
      <c r="AB335" s="335"/>
      <c r="AC335" s="10"/>
      <c r="AD335" s="10"/>
      <c r="AE335" s="143"/>
      <c r="AF335" s="143"/>
      <c r="AG335" s="143"/>
      <c r="AH335" s="143"/>
    </row>
    <row r="336" spans="1:34" ht="33">
      <c r="A336" s="4"/>
      <c r="B336" s="1"/>
      <c r="C336" s="80"/>
      <c r="D336" s="80"/>
      <c r="E336" s="80"/>
      <c r="F336" s="80"/>
      <c r="G336" s="80"/>
      <c r="H336" s="80"/>
      <c r="I336" s="80"/>
      <c r="J336" s="80"/>
      <c r="K336" s="80"/>
      <c r="L336" s="80"/>
      <c r="M336" s="80"/>
      <c r="N336" s="80"/>
      <c r="O336" s="80"/>
      <c r="U336" s="948" t="s">
        <v>80</v>
      </c>
      <c r="V336" s="958" t="s">
        <v>30</v>
      </c>
      <c r="W336" s="926">
        <v>530304</v>
      </c>
      <c r="X336" s="690" t="s">
        <v>17</v>
      </c>
      <c r="Y336" s="1678" t="s">
        <v>25</v>
      </c>
      <c r="Z336" s="883">
        <f>+AB30+AB178</f>
        <v>4880</v>
      </c>
      <c r="AA336" s="101"/>
      <c r="AB336" s="335"/>
      <c r="AC336" s="10"/>
      <c r="AD336" s="10"/>
      <c r="AE336" s="143"/>
      <c r="AF336" s="143"/>
      <c r="AG336" s="143"/>
      <c r="AH336" s="143"/>
    </row>
    <row r="337" spans="1:34" ht="33">
      <c r="A337" s="4"/>
      <c r="B337" s="1"/>
      <c r="C337" s="80"/>
      <c r="D337" s="80"/>
      <c r="E337" s="80"/>
      <c r="F337" s="80"/>
      <c r="G337" s="80"/>
      <c r="H337" s="80"/>
      <c r="I337" s="80"/>
      <c r="J337" s="80"/>
      <c r="K337" s="80"/>
      <c r="L337" s="80"/>
      <c r="M337" s="80"/>
      <c r="N337" s="80"/>
      <c r="O337" s="80"/>
      <c r="U337" s="948" t="s">
        <v>80</v>
      </c>
      <c r="V337" s="958" t="s">
        <v>30</v>
      </c>
      <c r="W337" s="926">
        <v>530304</v>
      </c>
      <c r="X337" s="690" t="s">
        <v>17</v>
      </c>
      <c r="Y337" s="1678" t="s">
        <v>18</v>
      </c>
      <c r="Z337" s="883">
        <f>AB32</f>
        <v>5000</v>
      </c>
      <c r="AA337" s="101"/>
      <c r="AB337" s="335"/>
      <c r="AC337" s="10"/>
      <c r="AD337" s="10"/>
      <c r="AE337" s="143"/>
      <c r="AF337" s="143"/>
      <c r="AG337" s="143"/>
      <c r="AH337" s="143"/>
    </row>
    <row r="338" spans="1:34" ht="33">
      <c r="A338" s="4"/>
      <c r="B338" s="1"/>
      <c r="C338" s="80"/>
      <c r="D338" s="80"/>
      <c r="E338" s="80"/>
      <c r="F338" s="80"/>
      <c r="G338" s="80"/>
      <c r="H338" s="80"/>
      <c r="I338" s="80"/>
      <c r="J338" s="80"/>
      <c r="K338" s="80"/>
      <c r="L338" s="80"/>
      <c r="M338" s="80"/>
      <c r="N338" s="80"/>
      <c r="O338" s="80"/>
      <c r="U338" s="948" t="s">
        <v>80</v>
      </c>
      <c r="V338" s="958" t="s">
        <v>31</v>
      </c>
      <c r="W338" s="926">
        <v>530404</v>
      </c>
      <c r="X338" s="690" t="s">
        <v>17</v>
      </c>
      <c r="Y338" s="1678" t="s">
        <v>18</v>
      </c>
      <c r="Z338" s="883">
        <f>+AB181</f>
        <v>5060.96</v>
      </c>
      <c r="AA338" s="101"/>
      <c r="AB338" s="335"/>
      <c r="AC338" s="10"/>
      <c r="AD338" s="10"/>
      <c r="AE338" s="143"/>
      <c r="AF338" s="143"/>
      <c r="AG338" s="143"/>
      <c r="AH338" s="143"/>
    </row>
    <row r="339" spans="1:34" ht="33">
      <c r="A339" s="4"/>
      <c r="B339" s="1"/>
      <c r="C339" s="80"/>
      <c r="D339" s="80"/>
      <c r="E339" s="80"/>
      <c r="F339" s="80"/>
      <c r="G339" s="80"/>
      <c r="H339" s="80"/>
      <c r="I339" s="80"/>
      <c r="J339" s="80"/>
      <c r="K339" s="80"/>
      <c r="L339" s="80"/>
      <c r="M339" s="80"/>
      <c r="N339" s="80"/>
      <c r="O339" s="80"/>
      <c r="U339" s="948" t="s">
        <v>80</v>
      </c>
      <c r="V339" s="946" t="s">
        <v>32</v>
      </c>
      <c r="W339" s="926">
        <v>530609</v>
      </c>
      <c r="X339" s="690" t="s">
        <v>17</v>
      </c>
      <c r="Y339" s="1678" t="s">
        <v>25</v>
      </c>
      <c r="Z339" s="883">
        <f>+AB34+AB184</f>
        <v>4480</v>
      </c>
      <c r="AA339" s="101"/>
      <c r="AB339" s="335"/>
      <c r="AC339" s="10"/>
      <c r="AD339" s="10"/>
      <c r="AE339" s="143"/>
      <c r="AF339" s="143"/>
      <c r="AG339" s="143"/>
      <c r="AH339" s="143"/>
    </row>
    <row r="340" spans="1:34" ht="33">
      <c r="A340" s="4"/>
      <c r="B340" s="1"/>
      <c r="C340" s="80"/>
      <c r="D340" s="80"/>
      <c r="E340" s="80"/>
      <c r="F340" s="80"/>
      <c r="G340" s="80"/>
      <c r="H340" s="80"/>
      <c r="I340" s="80"/>
      <c r="J340" s="80"/>
      <c r="K340" s="80"/>
      <c r="L340" s="80"/>
      <c r="M340" s="80"/>
      <c r="N340" s="80"/>
      <c r="O340" s="80"/>
      <c r="U340" s="948" t="s">
        <v>80</v>
      </c>
      <c r="V340" s="958" t="s">
        <v>33</v>
      </c>
      <c r="W340" s="926">
        <v>530702</v>
      </c>
      <c r="X340" s="690" t="s">
        <v>17</v>
      </c>
      <c r="Y340" s="1678" t="s">
        <v>25</v>
      </c>
      <c r="Z340" s="136">
        <f>AB279</f>
        <v>9900</v>
      </c>
      <c r="AA340" s="101"/>
      <c r="AB340" s="335"/>
      <c r="AC340" s="10"/>
      <c r="AD340" s="10"/>
      <c r="AE340" s="143"/>
      <c r="AF340" s="143"/>
      <c r="AG340" s="143"/>
      <c r="AH340" s="143"/>
    </row>
    <row r="341" spans="1:34" ht="33">
      <c r="A341" s="4"/>
      <c r="B341" s="1"/>
      <c r="C341" s="80"/>
      <c r="D341" s="80"/>
      <c r="E341" s="80"/>
      <c r="F341" s="80"/>
      <c r="G341" s="80"/>
      <c r="H341" s="80"/>
      <c r="I341" s="80"/>
      <c r="J341" s="80"/>
      <c r="K341" s="80"/>
      <c r="L341" s="80"/>
      <c r="M341" s="80"/>
      <c r="N341" s="80"/>
      <c r="O341" s="80"/>
      <c r="U341" s="948" t="s">
        <v>80</v>
      </c>
      <c r="V341" s="958" t="s">
        <v>33</v>
      </c>
      <c r="W341" s="926">
        <v>530702</v>
      </c>
      <c r="X341" s="690" t="s">
        <v>17</v>
      </c>
      <c r="Y341" s="1678" t="s">
        <v>26</v>
      </c>
      <c r="Z341" s="883">
        <f>+AB44+AB187</f>
        <v>17780</v>
      </c>
      <c r="AA341" s="101"/>
      <c r="AB341" s="335"/>
      <c r="AC341" s="10"/>
      <c r="AD341" s="10"/>
      <c r="AE341" s="143"/>
      <c r="AF341" s="143"/>
      <c r="AG341" s="143"/>
      <c r="AH341" s="143"/>
    </row>
    <row r="342" spans="1:34" ht="33">
      <c r="A342" s="4"/>
      <c r="B342" s="1"/>
      <c r="C342" s="80"/>
      <c r="D342" s="80"/>
      <c r="E342" s="80"/>
      <c r="F342" s="80"/>
      <c r="G342" s="80"/>
      <c r="H342" s="80"/>
      <c r="I342" s="80"/>
      <c r="J342" s="80"/>
      <c r="K342" s="80"/>
      <c r="L342" s="80"/>
      <c r="M342" s="80"/>
      <c r="N342" s="80"/>
      <c r="O342" s="80"/>
      <c r="U342" s="948" t="s">
        <v>80</v>
      </c>
      <c r="V342" s="946" t="s">
        <v>34</v>
      </c>
      <c r="W342" s="926">
        <v>530829</v>
      </c>
      <c r="X342" s="690" t="s">
        <v>17</v>
      </c>
      <c r="Y342" s="1678" t="s">
        <v>26</v>
      </c>
      <c r="Z342" s="883">
        <f>+AB190</f>
        <v>5143.2</v>
      </c>
      <c r="AA342" s="101"/>
      <c r="AB342" s="335"/>
      <c r="AC342" s="10"/>
      <c r="AD342" s="10"/>
      <c r="AE342" s="143"/>
      <c r="AF342" s="143"/>
      <c r="AG342" s="143"/>
      <c r="AH342" s="143"/>
    </row>
    <row r="343" spans="1:34" ht="33">
      <c r="A343" s="4"/>
      <c r="B343" s="1"/>
      <c r="C343" s="80"/>
      <c r="D343" s="80"/>
      <c r="E343" s="80"/>
      <c r="F343" s="80"/>
      <c r="G343" s="80"/>
      <c r="H343" s="80"/>
      <c r="I343" s="80"/>
      <c r="J343" s="80"/>
      <c r="K343" s="80"/>
      <c r="L343" s="80"/>
      <c r="M343" s="80"/>
      <c r="N343" s="80"/>
      <c r="O343" s="80"/>
      <c r="U343" s="948" t="s">
        <v>80</v>
      </c>
      <c r="V343" s="946" t="s">
        <v>35</v>
      </c>
      <c r="W343" s="926">
        <v>531407</v>
      </c>
      <c r="X343" s="690" t="s">
        <v>17</v>
      </c>
      <c r="Y343" s="1678" t="s">
        <v>26</v>
      </c>
      <c r="Z343" s="883">
        <f>+AB94</f>
        <v>2456.3200000000002</v>
      </c>
      <c r="AA343" s="101"/>
      <c r="AB343" s="335"/>
      <c r="AC343" s="10"/>
      <c r="AD343" s="10"/>
      <c r="AE343" s="143"/>
      <c r="AF343" s="143"/>
      <c r="AG343" s="143"/>
      <c r="AH343" s="143"/>
    </row>
    <row r="344" spans="1:34" ht="33">
      <c r="A344" s="4"/>
      <c r="B344" s="1"/>
      <c r="C344" s="80"/>
      <c r="D344" s="80"/>
      <c r="E344" s="80"/>
      <c r="F344" s="80"/>
      <c r="G344" s="80"/>
      <c r="H344" s="80"/>
      <c r="I344" s="80"/>
      <c r="J344" s="80"/>
      <c r="K344" s="80"/>
      <c r="L344" s="80"/>
      <c r="M344" s="80"/>
      <c r="N344" s="80"/>
      <c r="O344" s="80"/>
      <c r="U344" s="948" t="s">
        <v>80</v>
      </c>
      <c r="V344" s="946" t="s">
        <v>36</v>
      </c>
      <c r="W344" s="926">
        <v>531409</v>
      </c>
      <c r="X344" s="690" t="s">
        <v>17</v>
      </c>
      <c r="Y344" s="1678" t="s">
        <v>26</v>
      </c>
      <c r="Z344" s="883">
        <f>+AB300</f>
        <v>36867</v>
      </c>
      <c r="AA344" s="101"/>
      <c r="AB344" s="335"/>
      <c r="AC344" s="10"/>
      <c r="AD344" s="10"/>
      <c r="AE344" s="143"/>
      <c r="AF344" s="143"/>
      <c r="AG344" s="143"/>
      <c r="AH344" s="143"/>
    </row>
    <row r="345" spans="1:34" ht="33">
      <c r="A345" s="4"/>
      <c r="B345" s="1"/>
      <c r="C345" s="80"/>
      <c r="D345" s="80"/>
      <c r="E345" s="80"/>
      <c r="F345" s="80"/>
      <c r="G345" s="80"/>
      <c r="H345" s="80"/>
      <c r="I345" s="80"/>
      <c r="J345" s="80"/>
      <c r="K345" s="80"/>
      <c r="L345" s="80"/>
      <c r="M345" s="80"/>
      <c r="N345" s="80"/>
      <c r="O345" s="80"/>
      <c r="U345" s="948" t="s">
        <v>80</v>
      </c>
      <c r="V345" s="946" t="s">
        <v>37</v>
      </c>
      <c r="W345" s="926">
        <v>531411</v>
      </c>
      <c r="X345" s="690" t="s">
        <v>17</v>
      </c>
      <c r="Y345" s="1678" t="s">
        <v>26</v>
      </c>
      <c r="Z345" s="883">
        <f>AB77</f>
        <v>0</v>
      </c>
      <c r="AA345" s="101"/>
      <c r="AB345" s="335"/>
      <c r="AC345" s="10"/>
      <c r="AD345" s="10"/>
      <c r="AE345" s="143"/>
      <c r="AF345" s="143"/>
      <c r="AG345" s="143"/>
      <c r="AH345" s="143"/>
    </row>
    <row r="346" spans="1:34" ht="33">
      <c r="A346" s="4"/>
      <c r="B346" s="1"/>
      <c r="C346" s="80"/>
      <c r="D346" s="80"/>
      <c r="E346" s="80"/>
      <c r="F346" s="80"/>
      <c r="G346" s="80"/>
      <c r="H346" s="80"/>
      <c r="I346" s="80"/>
      <c r="J346" s="80"/>
      <c r="K346" s="80"/>
      <c r="L346" s="80"/>
      <c r="M346" s="80"/>
      <c r="N346" s="80"/>
      <c r="O346" s="80"/>
      <c r="U346" s="948" t="s">
        <v>80</v>
      </c>
      <c r="V346" s="958" t="s">
        <v>38</v>
      </c>
      <c r="W346" s="926">
        <v>580208</v>
      </c>
      <c r="X346" s="690" t="s">
        <v>17</v>
      </c>
      <c r="Y346" s="1678" t="s">
        <v>25</v>
      </c>
      <c r="Z346" s="883">
        <f>+AB110</f>
        <v>97298.069680000001</v>
      </c>
      <c r="AA346" s="101"/>
      <c r="AB346" s="335"/>
      <c r="AC346" s="10"/>
      <c r="AD346" s="10"/>
      <c r="AE346" s="143"/>
      <c r="AF346" s="143"/>
      <c r="AG346" s="143"/>
      <c r="AH346" s="143"/>
    </row>
    <row r="347" spans="1:34" ht="33">
      <c r="A347" s="4"/>
      <c r="B347" s="1"/>
      <c r="C347" s="80"/>
      <c r="D347" s="80"/>
      <c r="E347" s="80"/>
      <c r="F347" s="80"/>
      <c r="G347" s="80"/>
      <c r="H347" s="80"/>
      <c r="I347" s="80"/>
      <c r="J347" s="80"/>
      <c r="K347" s="80"/>
      <c r="L347" s="80"/>
      <c r="M347" s="80"/>
      <c r="N347" s="80"/>
      <c r="O347" s="80"/>
      <c r="U347" s="948" t="s">
        <v>80</v>
      </c>
      <c r="V347" s="946" t="s">
        <v>39</v>
      </c>
      <c r="W347" s="926">
        <v>840104</v>
      </c>
      <c r="X347" s="690" t="s">
        <v>17</v>
      </c>
      <c r="Y347" s="1678" t="s">
        <v>25</v>
      </c>
      <c r="Z347" s="883">
        <f>+AB36</f>
        <v>3494.9999996800007</v>
      </c>
      <c r="AA347" s="101"/>
      <c r="AB347" s="335"/>
      <c r="AC347" s="10"/>
      <c r="AD347" s="10"/>
      <c r="AE347" s="143"/>
      <c r="AF347" s="143"/>
      <c r="AG347" s="143"/>
      <c r="AH347" s="143"/>
    </row>
    <row r="348" spans="1:34" ht="33">
      <c r="A348" s="4"/>
      <c r="B348" s="1"/>
      <c r="C348" s="80"/>
      <c r="D348" s="80"/>
      <c r="E348" s="80"/>
      <c r="F348" s="80"/>
      <c r="G348" s="80"/>
      <c r="H348" s="80"/>
      <c r="I348" s="80"/>
      <c r="J348" s="80"/>
      <c r="K348" s="80"/>
      <c r="L348" s="80"/>
      <c r="M348" s="80"/>
      <c r="N348" s="80"/>
      <c r="O348" s="80"/>
      <c r="U348" s="948" t="s">
        <v>80</v>
      </c>
      <c r="V348" s="946" t="s">
        <v>39</v>
      </c>
      <c r="W348" s="926">
        <v>840104</v>
      </c>
      <c r="X348" s="690" t="s">
        <v>17</v>
      </c>
      <c r="Y348" s="1678" t="s">
        <v>18</v>
      </c>
      <c r="Z348" s="883">
        <f>+AB115+AB144</f>
        <v>188658.40000000002</v>
      </c>
      <c r="AA348" s="101"/>
      <c r="AB348" s="335"/>
      <c r="AC348" s="10"/>
      <c r="AD348" s="10"/>
      <c r="AE348" s="143"/>
      <c r="AF348" s="143"/>
      <c r="AG348" s="143"/>
      <c r="AH348" s="143"/>
    </row>
    <row r="349" spans="1:34" ht="33">
      <c r="A349" s="4"/>
      <c r="B349" s="1"/>
      <c r="C349" s="80"/>
      <c r="D349" s="80"/>
      <c r="E349" s="80"/>
      <c r="F349" s="80"/>
      <c r="G349" s="80"/>
      <c r="H349" s="80"/>
      <c r="I349" s="80"/>
      <c r="J349" s="80"/>
      <c r="K349" s="80"/>
      <c r="L349" s="80"/>
      <c r="M349" s="80"/>
      <c r="N349" s="80"/>
      <c r="O349" s="80"/>
      <c r="U349" s="948" t="s">
        <v>80</v>
      </c>
      <c r="V349" s="946" t="s">
        <v>40</v>
      </c>
      <c r="W349" s="926">
        <v>840107</v>
      </c>
      <c r="X349" s="690" t="s">
        <v>17</v>
      </c>
      <c r="Y349" s="1678" t="s">
        <v>18</v>
      </c>
      <c r="Z349" s="883">
        <f>+AB165+AB227</f>
        <v>71220.800000000003</v>
      </c>
      <c r="AA349" s="101"/>
      <c r="AB349" s="335"/>
      <c r="AC349" s="10"/>
      <c r="AD349" s="10"/>
      <c r="AE349" s="143"/>
      <c r="AF349" s="143"/>
      <c r="AG349" s="143"/>
      <c r="AH349" s="143"/>
    </row>
    <row r="350" spans="1:34" ht="33">
      <c r="A350" s="4"/>
      <c r="B350" s="1"/>
      <c r="C350" s="80"/>
      <c r="D350" s="80"/>
      <c r="E350" s="80"/>
      <c r="F350" s="80"/>
      <c r="G350" s="80"/>
      <c r="H350" s="80"/>
      <c r="I350" s="80"/>
      <c r="J350" s="80"/>
      <c r="K350" s="80"/>
      <c r="L350" s="80"/>
      <c r="M350" s="80"/>
      <c r="N350" s="80"/>
      <c r="O350" s="80"/>
      <c r="U350" s="948" t="s">
        <v>80</v>
      </c>
      <c r="V350" s="946" t="s">
        <v>36</v>
      </c>
      <c r="W350" s="926">
        <v>840109</v>
      </c>
      <c r="X350" s="690" t="s">
        <v>17</v>
      </c>
      <c r="Y350" s="1678" t="s">
        <v>26</v>
      </c>
      <c r="Z350" s="2970">
        <f>+AB306</f>
        <v>13133</v>
      </c>
      <c r="AA350" s="101"/>
      <c r="AB350" s="335"/>
      <c r="AC350" s="10"/>
      <c r="AD350" s="10"/>
      <c r="AE350" s="143"/>
      <c r="AF350" s="143"/>
      <c r="AG350" s="143"/>
      <c r="AH350" s="143"/>
    </row>
    <row r="351" spans="1:34" ht="18" customHeight="1">
      <c r="A351" s="4"/>
      <c r="B351" s="1"/>
      <c r="C351" s="80"/>
      <c r="D351" s="80"/>
      <c r="E351" s="80"/>
      <c r="F351" s="80"/>
      <c r="G351" s="80"/>
      <c r="H351" s="80"/>
      <c r="I351" s="80"/>
      <c r="J351" s="80"/>
      <c r="K351" s="80"/>
      <c r="L351" s="80"/>
      <c r="M351" s="80"/>
      <c r="N351" s="80"/>
      <c r="O351" s="80"/>
      <c r="P351" s="80"/>
      <c r="Q351" s="80"/>
      <c r="R351" s="80"/>
      <c r="U351" s="5930"/>
      <c r="V351" s="5931" t="s">
        <v>67</v>
      </c>
      <c r="W351" s="5932"/>
      <c r="X351" s="5932"/>
      <c r="Y351" s="5926" t="s">
        <v>292</v>
      </c>
      <c r="Z351" s="5939">
        <f>SUM(Z331:Z350)</f>
        <v>634483.81967968005</v>
      </c>
      <c r="AA351" s="143"/>
      <c r="AB351" s="143"/>
      <c r="AC351" s="364"/>
      <c r="AD351" s="364"/>
      <c r="AE351" s="143"/>
      <c r="AF351" s="143"/>
      <c r="AG351" s="143"/>
      <c r="AH351" s="143"/>
    </row>
    <row r="352" spans="1:34" ht="16.5" customHeight="1">
      <c r="A352" s="4"/>
      <c r="B352" s="1"/>
      <c r="C352" s="80"/>
      <c r="D352" s="80"/>
      <c r="E352" s="80"/>
      <c r="F352" s="80"/>
      <c r="G352" s="80"/>
      <c r="H352" s="80"/>
      <c r="I352" s="80"/>
      <c r="J352" s="80"/>
      <c r="K352" s="80"/>
      <c r="L352" s="80"/>
      <c r="M352" s="80"/>
      <c r="N352" s="80"/>
      <c r="O352" s="80"/>
      <c r="P352" s="80"/>
      <c r="Q352" s="80"/>
      <c r="R352" s="80"/>
      <c r="T352" s="28"/>
      <c r="U352" s="28"/>
      <c r="V352" s="34"/>
      <c r="W352" s="35"/>
      <c r="X352" s="28"/>
      <c r="Y352" s="28"/>
      <c r="Z352" s="28"/>
      <c r="AA352" s="143"/>
      <c r="AB352" s="145"/>
      <c r="AC352" s="2087"/>
      <c r="AD352" s="2087"/>
      <c r="AE352" s="143"/>
      <c r="AF352" s="143"/>
      <c r="AG352" s="143"/>
      <c r="AH352" s="143"/>
    </row>
    <row r="353" spans="1:34" ht="16.5" customHeight="1">
      <c r="A353" s="4"/>
      <c r="B353" s="1"/>
      <c r="C353" s="80"/>
      <c r="D353" s="80"/>
      <c r="E353" s="80"/>
      <c r="F353" s="80"/>
      <c r="G353" s="80"/>
      <c r="H353" s="80"/>
      <c r="I353" s="80"/>
      <c r="J353" s="80"/>
      <c r="K353" s="80"/>
      <c r="L353" s="80"/>
      <c r="M353" s="80"/>
      <c r="N353" s="80"/>
      <c r="O353" s="80"/>
      <c r="P353" s="80"/>
      <c r="Q353" s="80"/>
      <c r="R353" s="80"/>
      <c r="U353" s="28"/>
      <c r="V353" s="28"/>
      <c r="W353" s="28"/>
      <c r="X353" s="28"/>
      <c r="Y353" s="28"/>
      <c r="Z353" s="28"/>
      <c r="AA353" s="28"/>
      <c r="AB353" s="143"/>
      <c r="AC353" s="364"/>
      <c r="AD353" s="364"/>
      <c r="AE353" s="145"/>
      <c r="AF353" s="143"/>
      <c r="AG353" s="143"/>
      <c r="AH353" s="143"/>
    </row>
    <row r="354" spans="1:34" ht="16.5" customHeight="1">
      <c r="A354" s="4"/>
      <c r="B354" s="1"/>
      <c r="C354" s="80"/>
      <c r="D354" s="80"/>
      <c r="E354" s="80"/>
      <c r="F354" s="80"/>
      <c r="G354" s="80"/>
      <c r="H354" s="80"/>
      <c r="I354" s="80"/>
      <c r="J354" s="80"/>
      <c r="K354" s="80"/>
      <c r="L354" s="80"/>
      <c r="M354" s="80"/>
      <c r="N354" s="80"/>
      <c r="O354" s="80"/>
      <c r="P354" s="80"/>
      <c r="Q354" s="80"/>
      <c r="R354" s="80"/>
      <c r="U354" s="8764" t="s">
        <v>356</v>
      </c>
      <c r="V354" s="9366"/>
      <c r="W354" s="9367"/>
      <c r="X354" s="28"/>
      <c r="Y354" s="36" t="s">
        <v>357</v>
      </c>
      <c r="Z354" s="37" t="str">
        <f>IF(Z351=AB325,"OK","NO")</f>
        <v>OK</v>
      </c>
      <c r="AA354" s="28"/>
      <c r="AB354" s="146"/>
      <c r="AC354" s="427"/>
      <c r="AD354" s="427"/>
      <c r="AE354" s="143"/>
      <c r="AF354" s="143"/>
      <c r="AG354" s="143"/>
      <c r="AH354" s="143"/>
    </row>
    <row r="355" spans="1:34" ht="16.5" customHeight="1">
      <c r="A355" s="4"/>
      <c r="B355" s="1"/>
      <c r="C355" s="80"/>
      <c r="D355" s="80"/>
      <c r="E355" s="80"/>
      <c r="F355" s="80"/>
      <c r="G355" s="80"/>
      <c r="H355" s="80"/>
      <c r="I355" s="80"/>
      <c r="J355" s="80"/>
      <c r="K355" s="80"/>
      <c r="L355" s="80"/>
      <c r="M355" s="80"/>
      <c r="N355" s="80"/>
      <c r="O355" s="80"/>
      <c r="P355" s="80"/>
      <c r="Q355" s="80"/>
      <c r="R355" s="80"/>
      <c r="S355" s="143"/>
      <c r="T355" s="143"/>
      <c r="U355" s="8767" t="s">
        <v>1813</v>
      </c>
      <c r="V355" s="9368"/>
      <c r="W355" s="750">
        <f>+Z331+Z335+Z336+Z339+Z340+Z346+Z347</f>
        <v>273712.26967967994</v>
      </c>
      <c r="X355" s="35"/>
      <c r="Y355" s="28"/>
      <c r="Z355" s="37" t="str">
        <f>IF(W359=AB325,"OK","NO")</f>
        <v>OK</v>
      </c>
      <c r="AA355" s="28"/>
      <c r="AB355" s="146"/>
      <c r="AC355" s="427"/>
      <c r="AD355" s="427"/>
      <c r="AE355" s="143"/>
      <c r="AF355" s="143"/>
      <c r="AG355" s="143"/>
      <c r="AH355" s="143"/>
    </row>
    <row r="356" spans="1:34" ht="16.5" customHeight="1">
      <c r="A356" s="4"/>
      <c r="B356" s="1"/>
      <c r="C356" s="80"/>
      <c r="D356" s="80"/>
      <c r="E356" s="80"/>
      <c r="F356" s="80"/>
      <c r="G356" s="80"/>
      <c r="H356" s="80"/>
      <c r="I356" s="80"/>
      <c r="J356" s="80"/>
      <c r="K356" s="80"/>
      <c r="L356" s="80"/>
      <c r="M356" s="80"/>
      <c r="N356" s="80"/>
      <c r="O356" s="80"/>
      <c r="P356" s="80"/>
      <c r="Q356" s="80"/>
      <c r="R356" s="80"/>
      <c r="S356" s="143"/>
      <c r="T356" s="143"/>
      <c r="U356" s="8755" t="s">
        <v>359</v>
      </c>
      <c r="V356" s="9369"/>
      <c r="W356" s="751">
        <f>+Z332+Z341+Z342+Z343+Z344+Z345+Z350</f>
        <v>80379.520000000004</v>
      </c>
      <c r="X356" s="35"/>
      <c r="Y356" s="28"/>
      <c r="Z356" s="37" t="str">
        <f>IF(W369=AB325,"OK","NO")</f>
        <v>OK</v>
      </c>
      <c r="AA356" s="28"/>
      <c r="AB356" s="146"/>
      <c r="AC356" s="427"/>
      <c r="AD356" s="427"/>
      <c r="AE356" s="143"/>
      <c r="AF356" s="143"/>
      <c r="AG356" s="143"/>
      <c r="AH356" s="143"/>
    </row>
    <row r="357" spans="1:34" ht="16.5" customHeight="1">
      <c r="A357" s="4"/>
      <c r="B357" s="1"/>
      <c r="C357" s="80"/>
      <c r="D357" s="80"/>
      <c r="E357" s="80"/>
      <c r="F357" s="80"/>
      <c r="G357" s="80"/>
      <c r="H357" s="80"/>
      <c r="I357" s="80"/>
      <c r="J357" s="80"/>
      <c r="K357" s="80"/>
      <c r="L357" s="80"/>
      <c r="M357" s="80"/>
      <c r="N357" s="80"/>
      <c r="O357" s="80"/>
      <c r="P357" s="80"/>
      <c r="Q357" s="80"/>
      <c r="R357" s="80"/>
      <c r="S357" s="143"/>
      <c r="T357" s="143"/>
      <c r="U357" s="8755" t="s">
        <v>360</v>
      </c>
      <c r="V357" s="9369"/>
      <c r="W357" s="751">
        <f>+Z333+Z334+Z337+Z338+Z348+Z349</f>
        <v>280392.03000000003</v>
      </c>
      <c r="X357" s="35"/>
      <c r="Y357" s="35"/>
      <c r="Z357" s="37" t="str">
        <f>IF(Resumen!C409=AB325,"OK","NO")</f>
        <v>OK</v>
      </c>
      <c r="AA357" s="28"/>
      <c r="AB357" s="146"/>
      <c r="AC357" s="427"/>
      <c r="AD357" s="427"/>
      <c r="AE357" s="143"/>
      <c r="AF357" s="143"/>
      <c r="AG357" s="143"/>
      <c r="AH357" s="143"/>
    </row>
    <row r="358" spans="1:34" ht="16.5" customHeight="1">
      <c r="A358" s="4"/>
      <c r="B358" s="1"/>
      <c r="C358" s="80"/>
      <c r="D358" s="80"/>
      <c r="E358" s="80"/>
      <c r="F358" s="80"/>
      <c r="G358" s="80"/>
      <c r="H358" s="80"/>
      <c r="I358" s="80"/>
      <c r="J358" s="80"/>
      <c r="K358" s="80"/>
      <c r="L358" s="80"/>
      <c r="M358" s="80"/>
      <c r="N358" s="80"/>
      <c r="O358" s="80"/>
      <c r="P358" s="80"/>
      <c r="Q358" s="80"/>
      <c r="R358" s="80"/>
      <c r="S358" s="143"/>
      <c r="T358" s="143"/>
      <c r="U358" s="8755" t="s">
        <v>361</v>
      </c>
      <c r="V358" s="9369"/>
      <c r="W358" s="752">
        <v>0</v>
      </c>
      <c r="X358" s="35"/>
      <c r="Y358" s="35"/>
      <c r="Z358" s="28"/>
      <c r="AA358" s="28"/>
      <c r="AB358" s="146"/>
      <c r="AC358" s="427"/>
      <c r="AD358" s="427"/>
      <c r="AE358" s="143"/>
      <c r="AF358" s="143"/>
      <c r="AG358" s="143"/>
      <c r="AH358" s="143"/>
    </row>
    <row r="359" spans="1:34" ht="16.5" customHeight="1">
      <c r="A359" s="4"/>
      <c r="B359" s="1"/>
      <c r="C359" s="80"/>
      <c r="D359" s="80"/>
      <c r="E359" s="80"/>
      <c r="F359" s="80"/>
      <c r="G359" s="80"/>
      <c r="H359" s="80"/>
      <c r="I359" s="80"/>
      <c r="J359" s="80"/>
      <c r="K359" s="80"/>
      <c r="L359" s="80"/>
      <c r="M359" s="80"/>
      <c r="N359" s="80"/>
      <c r="O359" s="80"/>
      <c r="P359" s="80"/>
      <c r="Q359" s="80"/>
      <c r="R359" s="80"/>
      <c r="S359" s="143"/>
      <c r="T359" s="143"/>
      <c r="U359" s="9371" t="s">
        <v>67</v>
      </c>
      <c r="V359" s="9372"/>
      <c r="W359" s="753">
        <f>SUM(W355:W358)</f>
        <v>634483.81967968005</v>
      </c>
      <c r="X359" s="35"/>
      <c r="Y359" s="35"/>
      <c r="Z359" s="28"/>
      <c r="AA359" s="28"/>
      <c r="AB359" s="146"/>
      <c r="AC359" s="427"/>
      <c r="AD359" s="427"/>
      <c r="AE359" s="143"/>
      <c r="AF359" s="143"/>
      <c r="AG359" s="143"/>
      <c r="AH359" s="143"/>
    </row>
    <row r="360" spans="1:34" ht="16.5" customHeight="1">
      <c r="A360" s="4"/>
      <c r="B360" s="1"/>
      <c r="C360" s="80"/>
      <c r="D360" s="80"/>
      <c r="E360" s="80"/>
      <c r="F360" s="80"/>
      <c r="G360" s="80"/>
      <c r="H360" s="80"/>
      <c r="I360" s="80"/>
      <c r="J360" s="80"/>
      <c r="K360" s="80"/>
      <c r="L360" s="80"/>
      <c r="M360" s="80"/>
      <c r="N360" s="80"/>
      <c r="O360" s="80"/>
      <c r="P360" s="80"/>
      <c r="Q360" s="80"/>
      <c r="R360" s="80"/>
      <c r="S360" s="143"/>
      <c r="T360" s="143"/>
      <c r="U360" s="8758" t="s">
        <v>362</v>
      </c>
      <c r="V360" s="9373"/>
      <c r="W360" s="9374"/>
      <c r="X360" s="38"/>
      <c r="Y360" s="38"/>
      <c r="Z360" s="28"/>
      <c r="AA360" s="28"/>
      <c r="AB360" s="146"/>
      <c r="AC360" s="427"/>
      <c r="AD360" s="427"/>
      <c r="AE360" s="143"/>
      <c r="AF360" s="143"/>
      <c r="AG360" s="143"/>
      <c r="AH360" s="143"/>
    </row>
    <row r="361" spans="1:34" ht="16.5" customHeight="1">
      <c r="A361" s="4"/>
      <c r="B361" s="1"/>
      <c r="C361" s="80"/>
      <c r="D361" s="80"/>
      <c r="E361" s="80"/>
      <c r="F361" s="80"/>
      <c r="G361" s="80"/>
      <c r="H361" s="80"/>
      <c r="I361" s="80"/>
      <c r="J361" s="80"/>
      <c r="K361" s="80"/>
      <c r="L361" s="80"/>
      <c r="M361" s="80"/>
      <c r="N361" s="80"/>
      <c r="O361" s="80"/>
      <c r="P361" s="80"/>
      <c r="Q361" s="80"/>
      <c r="R361" s="80"/>
      <c r="S361" s="143"/>
      <c r="T361" s="143"/>
      <c r="U361" s="8760" t="s">
        <v>363</v>
      </c>
      <c r="V361" s="9368"/>
      <c r="W361" s="750">
        <v>0</v>
      </c>
      <c r="X361" s="38"/>
      <c r="Y361" s="38"/>
      <c r="Z361" s="28"/>
      <c r="AA361" s="28"/>
      <c r="AB361" s="146"/>
      <c r="AC361" s="427"/>
      <c r="AD361" s="427"/>
      <c r="AE361" s="143"/>
      <c r="AF361" s="143"/>
      <c r="AG361" s="143"/>
      <c r="AH361" s="143"/>
    </row>
    <row r="362" spans="1:34" ht="16.5" customHeight="1">
      <c r="A362" s="4"/>
      <c r="B362" s="1"/>
      <c r="C362" s="80"/>
      <c r="D362" s="80"/>
      <c r="E362" s="80"/>
      <c r="F362" s="80"/>
      <c r="G362" s="80"/>
      <c r="H362" s="80"/>
      <c r="I362" s="80"/>
      <c r="J362" s="80"/>
      <c r="K362" s="80"/>
      <c r="L362" s="80"/>
      <c r="M362" s="80"/>
      <c r="N362" s="80"/>
      <c r="O362" s="80"/>
      <c r="P362" s="80"/>
      <c r="Q362" s="80"/>
      <c r="R362" s="80"/>
      <c r="S362" s="143"/>
      <c r="T362" s="143"/>
      <c r="U362" s="8762" t="s">
        <v>364</v>
      </c>
      <c r="V362" s="9369"/>
      <c r="W362" s="751">
        <f>SUM(Z331:Z345)</f>
        <v>260678.55</v>
      </c>
      <c r="X362" s="38"/>
      <c r="Y362" s="38"/>
      <c r="Z362" s="28"/>
      <c r="AA362" s="28"/>
      <c r="AB362" s="146"/>
      <c r="AC362" s="427"/>
      <c r="AD362" s="427"/>
      <c r="AE362" s="143"/>
      <c r="AF362" s="143"/>
      <c r="AG362" s="143"/>
      <c r="AH362" s="143"/>
    </row>
    <row r="363" spans="1:34" ht="16.5" customHeight="1">
      <c r="A363" s="4"/>
      <c r="B363" s="1"/>
      <c r="C363" s="80"/>
      <c r="D363" s="80"/>
      <c r="E363" s="80"/>
      <c r="F363" s="80"/>
      <c r="G363" s="80"/>
      <c r="H363" s="80"/>
      <c r="I363" s="80"/>
      <c r="J363" s="80"/>
      <c r="K363" s="80"/>
      <c r="L363" s="80"/>
      <c r="M363" s="80"/>
      <c r="N363" s="80"/>
      <c r="O363" s="80"/>
      <c r="P363" s="80"/>
      <c r="Q363" s="80"/>
      <c r="R363" s="80"/>
      <c r="S363" s="143"/>
      <c r="T363" s="143"/>
      <c r="U363" s="8762" t="s">
        <v>365</v>
      </c>
      <c r="V363" s="9369"/>
      <c r="W363" s="751">
        <v>0</v>
      </c>
      <c r="X363" s="39"/>
      <c r="Y363" s="39"/>
      <c r="Z363" s="28"/>
      <c r="AA363" s="28"/>
      <c r="AB363" s="146"/>
      <c r="AC363" s="427"/>
      <c r="AD363" s="427"/>
      <c r="AE363" s="143"/>
      <c r="AF363" s="143"/>
      <c r="AG363" s="143"/>
      <c r="AH363" s="143"/>
    </row>
    <row r="364" spans="1:34" ht="16.5" customHeight="1">
      <c r="A364" s="4"/>
      <c r="B364" s="1"/>
      <c r="C364" s="80"/>
      <c r="D364" s="80"/>
      <c r="E364" s="80"/>
      <c r="F364" s="80"/>
      <c r="G364" s="80"/>
      <c r="H364" s="80"/>
      <c r="I364" s="80"/>
      <c r="J364" s="80"/>
      <c r="K364" s="80"/>
      <c r="L364" s="80"/>
      <c r="M364" s="80"/>
      <c r="N364" s="80"/>
      <c r="O364" s="80"/>
      <c r="P364" s="80"/>
      <c r="Q364" s="80"/>
      <c r="R364" s="80"/>
      <c r="S364" s="143"/>
      <c r="T364" s="143"/>
      <c r="U364" s="8762" t="s">
        <v>366</v>
      </c>
      <c r="V364" s="9369"/>
      <c r="W364" s="751">
        <f>SUM(Z346)</f>
        <v>97298.069680000001</v>
      </c>
      <c r="X364" s="35"/>
      <c r="Y364" s="35"/>
      <c r="Z364" s="28"/>
      <c r="AA364" s="28"/>
      <c r="AB364" s="146"/>
      <c r="AC364" s="427"/>
      <c r="AD364" s="427"/>
      <c r="AE364" s="143"/>
      <c r="AF364" s="143"/>
      <c r="AG364" s="143"/>
      <c r="AH364" s="143"/>
    </row>
    <row r="365" spans="1:34" ht="16.5" customHeight="1">
      <c r="A365" s="4"/>
      <c r="B365" s="1"/>
      <c r="C365" s="80"/>
      <c r="D365" s="80"/>
      <c r="E365" s="80"/>
      <c r="F365" s="80"/>
      <c r="G365" s="80"/>
      <c r="H365" s="80"/>
      <c r="I365" s="80"/>
      <c r="J365" s="80"/>
      <c r="K365" s="80"/>
      <c r="L365" s="80"/>
      <c r="M365" s="80"/>
      <c r="N365" s="80"/>
      <c r="O365" s="80"/>
      <c r="P365" s="80"/>
      <c r="Q365" s="80"/>
      <c r="R365" s="80"/>
      <c r="S365" s="143"/>
      <c r="T365" s="143"/>
      <c r="U365" s="8762" t="s">
        <v>367</v>
      </c>
      <c r="V365" s="9369"/>
      <c r="W365" s="751">
        <v>0</v>
      </c>
      <c r="X365" s="40"/>
      <c r="Y365" s="40"/>
      <c r="Z365" s="1745"/>
      <c r="AE365" s="143"/>
      <c r="AF365" s="143"/>
      <c r="AG365" s="143"/>
      <c r="AH365" s="143"/>
    </row>
    <row r="366" spans="1:34" ht="16.5" customHeight="1">
      <c r="A366" s="4"/>
      <c r="B366" s="1"/>
      <c r="C366" s="80"/>
      <c r="D366" s="80"/>
      <c r="E366" s="80"/>
      <c r="F366" s="80"/>
      <c r="G366" s="80"/>
      <c r="H366" s="80"/>
      <c r="I366" s="80"/>
      <c r="J366" s="80"/>
      <c r="K366" s="80"/>
      <c r="L366" s="80"/>
      <c r="M366" s="80"/>
      <c r="N366" s="80"/>
      <c r="O366" s="80"/>
      <c r="P366" s="80"/>
      <c r="Q366" s="80"/>
      <c r="R366" s="80"/>
      <c r="S366" s="143"/>
      <c r="T366" s="143"/>
      <c r="U366" s="8762" t="s">
        <v>368</v>
      </c>
      <c r="V366" s="9369"/>
      <c r="W366" s="751">
        <v>0</v>
      </c>
      <c r="X366" s="40"/>
      <c r="Y366" s="40"/>
      <c r="Z366" s="2088"/>
      <c r="AA366" s="2067"/>
      <c r="AB366" s="2067"/>
      <c r="AC366" s="2066"/>
      <c r="AD366" s="2066"/>
      <c r="AE366" s="143"/>
      <c r="AF366" s="143"/>
      <c r="AG366" s="143"/>
      <c r="AH366" s="143"/>
    </row>
    <row r="367" spans="1:34" ht="16.5" customHeight="1">
      <c r="A367" s="4"/>
      <c r="B367" s="1"/>
      <c r="C367" s="80"/>
      <c r="D367" s="80"/>
      <c r="E367" s="80"/>
      <c r="F367" s="80"/>
      <c r="G367" s="80"/>
      <c r="H367" s="80"/>
      <c r="I367" s="80"/>
      <c r="J367" s="80"/>
      <c r="K367" s="80"/>
      <c r="L367" s="80"/>
      <c r="M367" s="80"/>
      <c r="N367" s="80"/>
      <c r="O367" s="80"/>
      <c r="P367" s="80"/>
      <c r="Q367" s="80"/>
      <c r="R367" s="80"/>
      <c r="S367" s="143"/>
      <c r="T367" s="143"/>
      <c r="U367" s="8762" t="s">
        <v>369</v>
      </c>
      <c r="V367" s="9369"/>
      <c r="W367" s="751">
        <f>SUM(Z347:Z350)</f>
        <v>276507.19999968004</v>
      </c>
      <c r="X367" s="40"/>
      <c r="Y367" s="40"/>
      <c r="Z367" s="2073"/>
      <c r="AA367" s="85"/>
      <c r="AB367" s="2069"/>
      <c r="AC367" s="2089"/>
      <c r="AD367" s="2089"/>
      <c r="AE367" s="143"/>
      <c r="AF367" s="143"/>
      <c r="AG367" s="143"/>
      <c r="AH367" s="143"/>
    </row>
    <row r="368" spans="1:34" ht="16.5" customHeight="1">
      <c r="A368" s="4"/>
      <c r="B368" s="1"/>
      <c r="C368" s="80"/>
      <c r="D368" s="80"/>
      <c r="E368" s="80"/>
      <c r="F368" s="80"/>
      <c r="G368" s="80"/>
      <c r="H368" s="80"/>
      <c r="I368" s="80"/>
      <c r="J368" s="80"/>
      <c r="K368" s="80"/>
      <c r="L368" s="80"/>
      <c r="M368" s="80"/>
      <c r="N368" s="80"/>
      <c r="O368" s="80"/>
      <c r="P368" s="80"/>
      <c r="Q368" s="80"/>
      <c r="R368" s="80"/>
      <c r="S368" s="143"/>
      <c r="T368" s="143"/>
      <c r="U368" s="8762" t="s">
        <v>370</v>
      </c>
      <c r="V368" s="9369"/>
      <c r="W368" s="752">
        <v>0</v>
      </c>
      <c r="X368" s="41"/>
      <c r="Y368" s="41"/>
      <c r="Z368" s="2075"/>
      <c r="AA368" s="2075"/>
      <c r="AB368" s="146"/>
      <c r="AC368" s="427"/>
      <c r="AD368" s="427"/>
      <c r="AE368" s="143"/>
      <c r="AF368" s="143"/>
      <c r="AG368" s="143"/>
      <c r="AH368" s="143"/>
    </row>
    <row r="369" spans="1:34" ht="16.5" customHeight="1">
      <c r="A369" s="4"/>
      <c r="B369" s="1"/>
      <c r="C369" s="80"/>
      <c r="D369" s="80"/>
      <c r="E369" s="80"/>
      <c r="F369" s="80"/>
      <c r="G369" s="80"/>
      <c r="H369" s="80"/>
      <c r="I369" s="80"/>
      <c r="J369" s="80"/>
      <c r="K369" s="80"/>
      <c r="L369" s="80"/>
      <c r="M369" s="80"/>
      <c r="N369" s="80"/>
      <c r="O369" s="80"/>
      <c r="P369" s="80"/>
      <c r="Q369" s="80"/>
      <c r="R369" s="80"/>
      <c r="S369" s="143"/>
      <c r="T369" s="143"/>
      <c r="U369" s="8927" t="s">
        <v>67</v>
      </c>
      <c r="V369" s="9370"/>
      <c r="W369" s="754">
        <f>SUM(W361:W368)</f>
        <v>634483.81967968005</v>
      </c>
      <c r="X369" s="39"/>
      <c r="Y369" s="39"/>
      <c r="Z369" s="28"/>
      <c r="AA369" s="28"/>
      <c r="AB369" s="146"/>
      <c r="AC369" s="427"/>
      <c r="AD369" s="427"/>
      <c r="AE369" s="143"/>
      <c r="AF369" s="143"/>
      <c r="AG369" s="143"/>
      <c r="AH369" s="143"/>
    </row>
    <row r="370" spans="1:34" ht="16.5" customHeight="1">
      <c r="A370" s="4"/>
      <c r="B370" s="1"/>
      <c r="C370" s="80"/>
      <c r="D370" s="80"/>
      <c r="E370" s="80"/>
      <c r="F370" s="80"/>
      <c r="G370" s="80"/>
      <c r="H370" s="80"/>
      <c r="I370" s="80"/>
      <c r="J370" s="80"/>
      <c r="K370" s="80"/>
      <c r="L370" s="80"/>
      <c r="M370" s="80"/>
      <c r="N370" s="80"/>
      <c r="O370" s="80"/>
      <c r="P370" s="80"/>
      <c r="Q370" s="80"/>
      <c r="R370" s="80"/>
      <c r="S370" s="143"/>
      <c r="T370" s="143"/>
      <c r="U370" s="28"/>
      <c r="V370" s="28"/>
      <c r="W370" s="39"/>
      <c r="X370" s="39"/>
      <c r="Y370" s="28"/>
      <c r="Z370" s="28"/>
      <c r="AA370" s="28"/>
      <c r="AB370" s="146"/>
      <c r="AC370" s="427"/>
      <c r="AD370" s="427"/>
      <c r="AE370" s="143"/>
      <c r="AF370" s="143"/>
      <c r="AG370" s="143"/>
      <c r="AH370" s="143"/>
    </row>
  </sheetData>
  <mergeCells count="781">
    <mergeCell ref="AH115:AH191"/>
    <mergeCell ref="AH259:AH263"/>
    <mergeCell ref="C24:C33"/>
    <mergeCell ref="D24:D33"/>
    <mergeCell ref="E24:E33"/>
    <mergeCell ref="F24:F33"/>
    <mergeCell ref="G24:G33"/>
    <mergeCell ref="H24:H33"/>
    <mergeCell ref="I24:I33"/>
    <mergeCell ref="J24:J33"/>
    <mergeCell ref="K24:K33"/>
    <mergeCell ref="L24:L33"/>
    <mergeCell ref="M24:M33"/>
    <mergeCell ref="N24:N33"/>
    <mergeCell ref="O24:O33"/>
    <mergeCell ref="P24:P33"/>
    <mergeCell ref="Q24:Q33"/>
    <mergeCell ref="R24:R33"/>
    <mergeCell ref="O202:O206"/>
    <mergeCell ref="P202:P206"/>
    <mergeCell ref="Q202:Q206"/>
    <mergeCell ref="R202:R206"/>
    <mergeCell ref="H202:H206"/>
    <mergeCell ref="I202:I206"/>
    <mergeCell ref="J202:J206"/>
    <mergeCell ref="AH289:AH308"/>
    <mergeCell ref="AH309:AH313"/>
    <mergeCell ref="AH314:AH318"/>
    <mergeCell ref="AH319:AH323"/>
    <mergeCell ref="AH284:AH288"/>
    <mergeCell ref="AH279:AH283"/>
    <mergeCell ref="AH274:AH278"/>
    <mergeCell ref="AH269:AH273"/>
    <mergeCell ref="AH264:AH268"/>
    <mergeCell ref="K202:K206"/>
    <mergeCell ref="L202:L206"/>
    <mergeCell ref="M202:M206"/>
    <mergeCell ref="N202:N206"/>
    <mergeCell ref="R207:R211"/>
    <mergeCell ref="O284:O288"/>
    <mergeCell ref="P284:P288"/>
    <mergeCell ref="Q284:Q288"/>
    <mergeCell ref="R284:R288"/>
    <mergeCell ref="O207:O211"/>
    <mergeCell ref="P207:P211"/>
    <mergeCell ref="Q207:Q211"/>
    <mergeCell ref="O249:O253"/>
    <mergeCell ref="P249:P253"/>
    <mergeCell ref="H284:H288"/>
    <mergeCell ref="I284:I288"/>
    <mergeCell ref="J284:J288"/>
    <mergeCell ref="K284:K288"/>
    <mergeCell ref="L284:L288"/>
    <mergeCell ref="M284:M288"/>
    <mergeCell ref="N284:N288"/>
    <mergeCell ref="I212:I216"/>
    <mergeCell ref="J212:J216"/>
    <mergeCell ref="K212:K216"/>
    <mergeCell ref="L212:L216"/>
    <mergeCell ref="M212:M216"/>
    <mergeCell ref="N212:N216"/>
    <mergeCell ref="H249:H253"/>
    <mergeCell ref="I249:I253"/>
    <mergeCell ref="J249:J253"/>
    <mergeCell ref="N227:N237"/>
    <mergeCell ref="H254:H258"/>
    <mergeCell ref="I254:I258"/>
    <mergeCell ref="J254:J258"/>
    <mergeCell ref="Q249:Q253"/>
    <mergeCell ref="R249:R253"/>
    <mergeCell ref="K249:K253"/>
    <mergeCell ref="L249:L253"/>
    <mergeCell ref="M249:M253"/>
    <mergeCell ref="N249:N253"/>
    <mergeCell ref="O254:O258"/>
    <mergeCell ref="P254:P258"/>
    <mergeCell ref="Q254:Q258"/>
    <mergeCell ref="R254:R258"/>
    <mergeCell ref="K254:K258"/>
    <mergeCell ref="L254:L258"/>
    <mergeCell ref="M254:M258"/>
    <mergeCell ref="N254:N258"/>
    <mergeCell ref="O259:O263"/>
    <mergeCell ref="P259:P263"/>
    <mergeCell ref="Q259:Q263"/>
    <mergeCell ref="R259:R263"/>
    <mergeCell ref="H259:H263"/>
    <mergeCell ref="I259:I263"/>
    <mergeCell ref="J259:J263"/>
    <mergeCell ref="K259:K263"/>
    <mergeCell ref="L259:L263"/>
    <mergeCell ref="M259:M263"/>
    <mergeCell ref="N259:N263"/>
    <mergeCell ref="O264:O268"/>
    <mergeCell ref="P264:P268"/>
    <mergeCell ref="Q264:Q268"/>
    <mergeCell ref="R264:R268"/>
    <mergeCell ref="H264:H268"/>
    <mergeCell ref="I264:I268"/>
    <mergeCell ref="J264:J268"/>
    <mergeCell ref="K264:K268"/>
    <mergeCell ref="L264:L268"/>
    <mergeCell ref="M264:M268"/>
    <mergeCell ref="N264:N268"/>
    <mergeCell ref="O269:O273"/>
    <mergeCell ref="P269:P273"/>
    <mergeCell ref="Q269:Q273"/>
    <mergeCell ref="R269:R273"/>
    <mergeCell ref="H269:H273"/>
    <mergeCell ref="I269:I273"/>
    <mergeCell ref="J269:J273"/>
    <mergeCell ref="K269:K273"/>
    <mergeCell ref="L269:L273"/>
    <mergeCell ref="M269:M273"/>
    <mergeCell ref="N269:N273"/>
    <mergeCell ref="O274:O278"/>
    <mergeCell ref="P274:P278"/>
    <mergeCell ref="Q274:Q278"/>
    <mergeCell ref="R274:R278"/>
    <mergeCell ref="H274:H278"/>
    <mergeCell ref="I274:I278"/>
    <mergeCell ref="J274:J278"/>
    <mergeCell ref="K274:K278"/>
    <mergeCell ref="L274:L278"/>
    <mergeCell ref="M274:M278"/>
    <mergeCell ref="N274:N278"/>
    <mergeCell ref="O279:O283"/>
    <mergeCell ref="P279:P283"/>
    <mergeCell ref="Q279:Q283"/>
    <mergeCell ref="R279:R283"/>
    <mergeCell ref="H279:H283"/>
    <mergeCell ref="I279:I283"/>
    <mergeCell ref="J279:J283"/>
    <mergeCell ref="K279:K283"/>
    <mergeCell ref="L279:L283"/>
    <mergeCell ref="M279:M283"/>
    <mergeCell ref="N279:N283"/>
    <mergeCell ref="E14:E18"/>
    <mergeCell ref="F14:F18"/>
    <mergeCell ref="G14:G18"/>
    <mergeCell ref="H14:H18"/>
    <mergeCell ref="I14:I18"/>
    <mergeCell ref="J14:J18"/>
    <mergeCell ref="K14:K18"/>
    <mergeCell ref="AH44:AH48"/>
    <mergeCell ref="AH49:AH53"/>
    <mergeCell ref="E34:E38"/>
    <mergeCell ref="F34:F38"/>
    <mergeCell ref="G34:G38"/>
    <mergeCell ref="H34:H38"/>
    <mergeCell ref="I34:I38"/>
    <mergeCell ref="Q14:Q18"/>
    <mergeCell ref="R14:R18"/>
    <mergeCell ref="Q19:Q23"/>
    <mergeCell ref="R19:R23"/>
    <mergeCell ref="N19:N23"/>
    <mergeCell ref="O19:O23"/>
    <mergeCell ref="P19:P23"/>
    <mergeCell ref="E39:E43"/>
    <mergeCell ref="F39:F43"/>
    <mergeCell ref="G39:G43"/>
    <mergeCell ref="AH54:AH58"/>
    <mergeCell ref="L14:L18"/>
    <mergeCell ref="M14:M18"/>
    <mergeCell ref="AH14:AH18"/>
    <mergeCell ref="AH19:AH23"/>
    <mergeCell ref="AH34:AH38"/>
    <mergeCell ref="AH39:AH43"/>
    <mergeCell ref="J19:J23"/>
    <mergeCell ref="K19:K23"/>
    <mergeCell ref="L34:L38"/>
    <mergeCell ref="M34:M38"/>
    <mergeCell ref="N34:N38"/>
    <mergeCell ref="O34:O38"/>
    <mergeCell ref="P34:P38"/>
    <mergeCell ref="Q34:Q38"/>
    <mergeCell ref="R34:R38"/>
    <mergeCell ref="J34:J38"/>
    <mergeCell ref="K34:K38"/>
    <mergeCell ref="N54:N58"/>
    <mergeCell ref="O54:O58"/>
    <mergeCell ref="P54:P58"/>
    <mergeCell ref="Q54:Q58"/>
    <mergeCell ref="R54:R58"/>
    <mergeCell ref="N44:N48"/>
    <mergeCell ref="E19:E23"/>
    <mergeCell ref="F19:F23"/>
    <mergeCell ref="G19:G23"/>
    <mergeCell ref="H19:H23"/>
    <mergeCell ref="I19:I23"/>
    <mergeCell ref="L19:L23"/>
    <mergeCell ref="M19:M23"/>
    <mergeCell ref="L54:L58"/>
    <mergeCell ref="M54:M58"/>
    <mergeCell ref="E54:E58"/>
    <mergeCell ref="F54:F58"/>
    <mergeCell ref="G54:G58"/>
    <mergeCell ref="H54:H58"/>
    <mergeCell ref="I54:I58"/>
    <mergeCell ref="J54:J58"/>
    <mergeCell ref="K54:K58"/>
    <mergeCell ref="H39:H43"/>
    <mergeCell ref="I39:I43"/>
    <mergeCell ref="L44:L48"/>
    <mergeCell ref="M44:M48"/>
    <mergeCell ref="L49:L53"/>
    <mergeCell ref="M49:M53"/>
    <mergeCell ref="E9:E13"/>
    <mergeCell ref="F9:F13"/>
    <mergeCell ref="G9:G13"/>
    <mergeCell ref="H9:H13"/>
    <mergeCell ref="I9:I13"/>
    <mergeCell ref="K7:K8"/>
    <mergeCell ref="L7:L8"/>
    <mergeCell ref="Q9:Q13"/>
    <mergeCell ref="R9:R13"/>
    <mergeCell ref="G7:G8"/>
    <mergeCell ref="H7:H8"/>
    <mergeCell ref="I7:I8"/>
    <mergeCell ref="J7:J8"/>
    <mergeCell ref="M7:O7"/>
    <mergeCell ref="P7:P8"/>
    <mergeCell ref="C9:C13"/>
    <mergeCell ref="C39:C43"/>
    <mergeCell ref="D39:D43"/>
    <mergeCell ref="C44:C48"/>
    <mergeCell ref="D44:D48"/>
    <mergeCell ref="C49:C53"/>
    <mergeCell ref="D49:D53"/>
    <mergeCell ref="C54:C58"/>
    <mergeCell ref="D54:D58"/>
    <mergeCell ref="C34:C38"/>
    <mergeCell ref="D34:D38"/>
    <mergeCell ref="C14:C18"/>
    <mergeCell ref="C19:C23"/>
    <mergeCell ref="C59:C63"/>
    <mergeCell ref="D59:D63"/>
    <mergeCell ref="C64:C68"/>
    <mergeCell ref="D64:D68"/>
    <mergeCell ref="E64:E68"/>
    <mergeCell ref="F64:F68"/>
    <mergeCell ref="G64:G68"/>
    <mergeCell ref="H64:H68"/>
    <mergeCell ref="I64:I68"/>
    <mergeCell ref="O79:O83"/>
    <mergeCell ref="P79:P83"/>
    <mergeCell ref="Q79:Q83"/>
    <mergeCell ref="R79:R83"/>
    <mergeCell ref="AH79:AH83"/>
    <mergeCell ref="H79:H83"/>
    <mergeCell ref="I79:I83"/>
    <mergeCell ref="J79:J83"/>
    <mergeCell ref="K79:K83"/>
    <mergeCell ref="L79:L83"/>
    <mergeCell ref="M79:M83"/>
    <mergeCell ref="N79:N83"/>
    <mergeCell ref="Q64:Q68"/>
    <mergeCell ref="R64:R68"/>
    <mergeCell ref="AH64:AH68"/>
    <mergeCell ref="J64:J68"/>
    <mergeCell ref="K64:K68"/>
    <mergeCell ref="L64:L68"/>
    <mergeCell ref="M64:M68"/>
    <mergeCell ref="N64:N68"/>
    <mergeCell ref="O64:O68"/>
    <mergeCell ref="P64:P68"/>
    <mergeCell ref="O69:O73"/>
    <mergeCell ref="P69:P73"/>
    <mergeCell ref="Q69:Q73"/>
    <mergeCell ref="R69:R73"/>
    <mergeCell ref="AH69:AH73"/>
    <mergeCell ref="H69:H73"/>
    <mergeCell ref="I69:I73"/>
    <mergeCell ref="J69:J73"/>
    <mergeCell ref="K69:K73"/>
    <mergeCell ref="L69:L73"/>
    <mergeCell ref="M69:M73"/>
    <mergeCell ref="N69:N73"/>
    <mergeCell ref="O74:O78"/>
    <mergeCell ref="P74:P78"/>
    <mergeCell ref="Q74:Q78"/>
    <mergeCell ref="R74:R78"/>
    <mergeCell ref="AH74:AH78"/>
    <mergeCell ref="H74:H78"/>
    <mergeCell ref="I74:I78"/>
    <mergeCell ref="J74:J78"/>
    <mergeCell ref="K74:K78"/>
    <mergeCell ref="L74:L78"/>
    <mergeCell ref="M74:M78"/>
    <mergeCell ref="N74:N78"/>
    <mergeCell ref="O89:O93"/>
    <mergeCell ref="P89:P93"/>
    <mergeCell ref="Q89:Q93"/>
    <mergeCell ref="R89:R93"/>
    <mergeCell ref="AH89:AH93"/>
    <mergeCell ref="H89:H93"/>
    <mergeCell ref="I89:I93"/>
    <mergeCell ref="J89:J93"/>
    <mergeCell ref="K89:K93"/>
    <mergeCell ref="L89:L93"/>
    <mergeCell ref="M89:M93"/>
    <mergeCell ref="N89:N93"/>
    <mergeCell ref="J6:R6"/>
    <mergeCell ref="S6:AH6"/>
    <mergeCell ref="S7:Y7"/>
    <mergeCell ref="AE7:AG7"/>
    <mergeCell ref="AH7:AH8"/>
    <mergeCell ref="A1:AH1"/>
    <mergeCell ref="A2:AH2"/>
    <mergeCell ref="A3:AH3"/>
    <mergeCell ref="A4:AH4"/>
    <mergeCell ref="A6:B8"/>
    <mergeCell ref="C6:D6"/>
    <mergeCell ref="E6:I6"/>
    <mergeCell ref="Q7:Q8"/>
    <mergeCell ref="R7:R8"/>
    <mergeCell ref="E7:E8"/>
    <mergeCell ref="F7:F8"/>
    <mergeCell ref="Z7:AD7"/>
    <mergeCell ref="AH9:AH13"/>
    <mergeCell ref="J9:J13"/>
    <mergeCell ref="K9:K13"/>
    <mergeCell ref="L9:L13"/>
    <mergeCell ref="M9:M13"/>
    <mergeCell ref="N9:N13"/>
    <mergeCell ref="O9:O13"/>
    <mergeCell ref="P9:P13"/>
    <mergeCell ref="L39:L43"/>
    <mergeCell ref="M39:M43"/>
    <mergeCell ref="N39:N43"/>
    <mergeCell ref="O39:O43"/>
    <mergeCell ref="P39:P43"/>
    <mergeCell ref="Q39:Q43"/>
    <mergeCell ref="R39:R43"/>
    <mergeCell ref="N14:N18"/>
    <mergeCell ref="O14:O18"/>
    <mergeCell ref="P14:P18"/>
    <mergeCell ref="AH24:AH33"/>
    <mergeCell ref="J39:J43"/>
    <mergeCell ref="K39:K43"/>
    <mergeCell ref="O44:O48"/>
    <mergeCell ref="P44:P48"/>
    <mergeCell ref="Q44:Q48"/>
    <mergeCell ref="R44:R48"/>
    <mergeCell ref="E44:E48"/>
    <mergeCell ref="F44:F48"/>
    <mergeCell ref="G44:G48"/>
    <mergeCell ref="H44:H48"/>
    <mergeCell ref="I44:I48"/>
    <mergeCell ref="J44:J48"/>
    <mergeCell ref="K44:K48"/>
    <mergeCell ref="N49:N53"/>
    <mergeCell ref="O49:O53"/>
    <mergeCell ref="P49:P53"/>
    <mergeCell ref="Q49:Q53"/>
    <mergeCell ref="R49:R53"/>
    <mergeCell ref="E49:E53"/>
    <mergeCell ref="F49:F53"/>
    <mergeCell ref="G49:G53"/>
    <mergeCell ref="H49:H53"/>
    <mergeCell ref="I49:I53"/>
    <mergeCell ref="J49:J53"/>
    <mergeCell ref="K49:K53"/>
    <mergeCell ref="L59:L63"/>
    <mergeCell ref="M59:M63"/>
    <mergeCell ref="N59:N63"/>
    <mergeCell ref="O59:O63"/>
    <mergeCell ref="P59:P63"/>
    <mergeCell ref="Q59:Q63"/>
    <mergeCell ref="R59:R63"/>
    <mergeCell ref="AH59:AH63"/>
    <mergeCell ref="E59:E63"/>
    <mergeCell ref="F59:F63"/>
    <mergeCell ref="G59:G63"/>
    <mergeCell ref="H59:H63"/>
    <mergeCell ref="I59:I63"/>
    <mergeCell ref="J59:J63"/>
    <mergeCell ref="K59:K63"/>
    <mergeCell ref="O84:O88"/>
    <mergeCell ref="P84:P88"/>
    <mergeCell ref="Q84:Q88"/>
    <mergeCell ref="R84:R88"/>
    <mergeCell ref="H84:H88"/>
    <mergeCell ref="I84:I88"/>
    <mergeCell ref="J84:J88"/>
    <mergeCell ref="K84:K88"/>
    <mergeCell ref="L84:L88"/>
    <mergeCell ref="M84:M88"/>
    <mergeCell ref="N84:N88"/>
    <mergeCell ref="O94:O98"/>
    <mergeCell ref="P94:P98"/>
    <mergeCell ref="Q94:Q98"/>
    <mergeCell ref="R94:R98"/>
    <mergeCell ref="AH94:AH98"/>
    <mergeCell ref="S99:Z99"/>
    <mergeCell ref="AE99:AH99"/>
    <mergeCell ref="H94:H98"/>
    <mergeCell ref="I94:I98"/>
    <mergeCell ref="J94:J98"/>
    <mergeCell ref="K94:K98"/>
    <mergeCell ref="L94:L98"/>
    <mergeCell ref="M94:M98"/>
    <mergeCell ref="N94:N98"/>
    <mergeCell ref="O115:O191"/>
    <mergeCell ref="P115:P191"/>
    <mergeCell ref="Q115:Q191"/>
    <mergeCell ref="R115:R191"/>
    <mergeCell ref="H115:H191"/>
    <mergeCell ref="I115:I191"/>
    <mergeCell ref="J115:J191"/>
    <mergeCell ref="K115:K191"/>
    <mergeCell ref="L115:L191"/>
    <mergeCell ref="M115:M191"/>
    <mergeCell ref="N115:N191"/>
    <mergeCell ref="O192:O196"/>
    <mergeCell ref="P192:P196"/>
    <mergeCell ref="Q192:Q196"/>
    <mergeCell ref="R192:R196"/>
    <mergeCell ref="AH192:AH196"/>
    <mergeCell ref="H192:H196"/>
    <mergeCell ref="I192:I196"/>
    <mergeCell ref="J192:J196"/>
    <mergeCell ref="K192:K196"/>
    <mergeCell ref="L192:L196"/>
    <mergeCell ref="M192:M196"/>
    <mergeCell ref="N192:N196"/>
    <mergeCell ref="O197:O201"/>
    <mergeCell ref="P197:P201"/>
    <mergeCell ref="Q197:Q201"/>
    <mergeCell ref="R197:R201"/>
    <mergeCell ref="AH197:AH201"/>
    <mergeCell ref="H197:H201"/>
    <mergeCell ref="I197:I201"/>
    <mergeCell ref="J197:J201"/>
    <mergeCell ref="K197:K201"/>
    <mergeCell ref="L197:L201"/>
    <mergeCell ref="M197:M201"/>
    <mergeCell ref="N197:N201"/>
    <mergeCell ref="N100:N104"/>
    <mergeCell ref="O100:O104"/>
    <mergeCell ref="P100:P104"/>
    <mergeCell ref="Q100:Q104"/>
    <mergeCell ref="R100:R104"/>
    <mergeCell ref="AH100:AH104"/>
    <mergeCell ref="G100:G104"/>
    <mergeCell ref="H100:H104"/>
    <mergeCell ref="I100:I104"/>
    <mergeCell ref="J100:J104"/>
    <mergeCell ref="K100:K104"/>
    <mergeCell ref="L100:L104"/>
    <mergeCell ref="M100:M104"/>
    <mergeCell ref="O105:O109"/>
    <mergeCell ref="P105:P109"/>
    <mergeCell ref="Q105:Q109"/>
    <mergeCell ref="R105:R109"/>
    <mergeCell ref="AH105:AH109"/>
    <mergeCell ref="H105:H109"/>
    <mergeCell ref="I105:I109"/>
    <mergeCell ref="J105:J109"/>
    <mergeCell ref="K105:K109"/>
    <mergeCell ref="L105:L109"/>
    <mergeCell ref="M105:M109"/>
    <mergeCell ref="N105:N109"/>
    <mergeCell ref="O110:O114"/>
    <mergeCell ref="P110:P114"/>
    <mergeCell ref="Q110:Q114"/>
    <mergeCell ref="R110:R114"/>
    <mergeCell ref="AH110:AH114"/>
    <mergeCell ref="H110:H114"/>
    <mergeCell ref="I110:I114"/>
    <mergeCell ref="J110:J114"/>
    <mergeCell ref="K110:K114"/>
    <mergeCell ref="L110:L114"/>
    <mergeCell ref="M110:M114"/>
    <mergeCell ref="N110:N114"/>
    <mergeCell ref="AH217:AH221"/>
    <mergeCell ref="H207:H211"/>
    <mergeCell ref="I207:I211"/>
    <mergeCell ref="J207:J211"/>
    <mergeCell ref="K207:K211"/>
    <mergeCell ref="L207:L211"/>
    <mergeCell ref="M207:M211"/>
    <mergeCell ref="N207:N211"/>
    <mergeCell ref="O217:O221"/>
    <mergeCell ref="P217:P221"/>
    <mergeCell ref="Q217:Q221"/>
    <mergeCell ref="R217:R221"/>
    <mergeCell ref="H217:H221"/>
    <mergeCell ref="I217:I221"/>
    <mergeCell ref="J217:J221"/>
    <mergeCell ref="K217:K221"/>
    <mergeCell ref="L217:L221"/>
    <mergeCell ref="M217:M221"/>
    <mergeCell ref="N217:N221"/>
    <mergeCell ref="O212:O216"/>
    <mergeCell ref="P212:P216"/>
    <mergeCell ref="Q212:Q216"/>
    <mergeCell ref="R212:R216"/>
    <mergeCell ref="H212:H216"/>
    <mergeCell ref="O222:O226"/>
    <mergeCell ref="P222:P226"/>
    <mergeCell ref="Q222:Q226"/>
    <mergeCell ref="R222:R226"/>
    <mergeCell ref="AH238:AH242"/>
    <mergeCell ref="S243:Z243"/>
    <mergeCell ref="AE243:AH243"/>
    <mergeCell ref="H222:H226"/>
    <mergeCell ref="I222:I226"/>
    <mergeCell ref="J222:J226"/>
    <mergeCell ref="K222:K226"/>
    <mergeCell ref="L222:L226"/>
    <mergeCell ref="M222:M226"/>
    <mergeCell ref="N222:N226"/>
    <mergeCell ref="O227:O237"/>
    <mergeCell ref="P227:P237"/>
    <mergeCell ref="Q227:Q237"/>
    <mergeCell ref="R227:R237"/>
    <mergeCell ref="H227:H237"/>
    <mergeCell ref="I227:I237"/>
    <mergeCell ref="J227:J237"/>
    <mergeCell ref="K227:K237"/>
    <mergeCell ref="L227:L237"/>
    <mergeCell ref="M227:M237"/>
    <mergeCell ref="O238:O242"/>
    <mergeCell ref="P238:P242"/>
    <mergeCell ref="Q238:Q242"/>
    <mergeCell ref="R238:R242"/>
    <mergeCell ref="H238:H242"/>
    <mergeCell ref="I238:I242"/>
    <mergeCell ref="J238:J242"/>
    <mergeCell ref="K238:K242"/>
    <mergeCell ref="L238:L242"/>
    <mergeCell ref="M238:M242"/>
    <mergeCell ref="N238:N242"/>
    <mergeCell ref="O244:O248"/>
    <mergeCell ref="P244:P248"/>
    <mergeCell ref="Q244:Q248"/>
    <mergeCell ref="R244:R248"/>
    <mergeCell ref="H244:H248"/>
    <mergeCell ref="I244:I248"/>
    <mergeCell ref="J244:J248"/>
    <mergeCell ref="K244:K248"/>
    <mergeCell ref="L244:L248"/>
    <mergeCell ref="M244:M248"/>
    <mergeCell ref="N244:N248"/>
    <mergeCell ref="E249:E253"/>
    <mergeCell ref="F249:F253"/>
    <mergeCell ref="G249:G253"/>
    <mergeCell ref="E254:E258"/>
    <mergeCell ref="G202:G206"/>
    <mergeCell ref="E202:E206"/>
    <mergeCell ref="G217:G221"/>
    <mergeCell ref="E207:E211"/>
    <mergeCell ref="F207:F211"/>
    <mergeCell ref="G207:G211"/>
    <mergeCell ref="E212:E216"/>
    <mergeCell ref="F212:F216"/>
    <mergeCell ref="G212:G216"/>
    <mergeCell ref="E217:E221"/>
    <mergeCell ref="G238:G242"/>
    <mergeCell ref="G222:G226"/>
    <mergeCell ref="G227:G237"/>
    <mergeCell ref="F202:F206"/>
    <mergeCell ref="F238:F242"/>
    <mergeCell ref="O319:O323"/>
    <mergeCell ref="P319:P323"/>
    <mergeCell ref="Q319:Q323"/>
    <mergeCell ref="R319:R323"/>
    <mergeCell ref="U355:V355"/>
    <mergeCell ref="S324:Z324"/>
    <mergeCell ref="U367:V367"/>
    <mergeCell ref="U368:V368"/>
    <mergeCell ref="U369:V369"/>
    <mergeCell ref="U358:V358"/>
    <mergeCell ref="U359:V359"/>
    <mergeCell ref="U360:W360"/>
    <mergeCell ref="U361:V361"/>
    <mergeCell ref="U362:V362"/>
    <mergeCell ref="U363:V363"/>
    <mergeCell ref="U364:V364"/>
    <mergeCell ref="U365:V365"/>
    <mergeCell ref="U366:V366"/>
    <mergeCell ref="U356:V356"/>
    <mergeCell ref="U357:V357"/>
    <mergeCell ref="S326:AH326"/>
    <mergeCell ref="U328:Z328"/>
    <mergeCell ref="U354:W354"/>
    <mergeCell ref="B325:R325"/>
    <mergeCell ref="C69:C73"/>
    <mergeCell ref="D69:D73"/>
    <mergeCell ref="E69:E73"/>
    <mergeCell ref="F69:F73"/>
    <mergeCell ref="G69:G73"/>
    <mergeCell ref="C74:C78"/>
    <mergeCell ref="D74:D78"/>
    <mergeCell ref="E74:E78"/>
    <mergeCell ref="F74:F78"/>
    <mergeCell ref="G74:G78"/>
    <mergeCell ref="C79:C83"/>
    <mergeCell ref="D79:D83"/>
    <mergeCell ref="E79:E83"/>
    <mergeCell ref="F79:F83"/>
    <mergeCell ref="G79:G83"/>
    <mergeCell ref="C84:C88"/>
    <mergeCell ref="H319:H323"/>
    <mergeCell ref="I319:I323"/>
    <mergeCell ref="J319:J323"/>
    <mergeCell ref="D84:D88"/>
    <mergeCell ref="E84:E88"/>
    <mergeCell ref="F84:F88"/>
    <mergeCell ref="G84:G88"/>
    <mergeCell ref="C94:C98"/>
    <mergeCell ref="C244:C248"/>
    <mergeCell ref="C249:C253"/>
    <mergeCell ref="C254:C258"/>
    <mergeCell ref="C259:C263"/>
    <mergeCell ref="G269:G273"/>
    <mergeCell ref="E259:E263"/>
    <mergeCell ref="F259:F263"/>
    <mergeCell ref="G259:G263"/>
    <mergeCell ref="E264:E268"/>
    <mergeCell ref="F264:F268"/>
    <mergeCell ref="D249:D253"/>
    <mergeCell ref="D254:D258"/>
    <mergeCell ref="D259:D263"/>
    <mergeCell ref="F269:F273"/>
    <mergeCell ref="F254:F258"/>
    <mergeCell ref="D94:D98"/>
    <mergeCell ref="E94:E98"/>
    <mergeCell ref="F94:F98"/>
    <mergeCell ref="AE324:AG324"/>
    <mergeCell ref="E197:E201"/>
    <mergeCell ref="F197:F201"/>
    <mergeCell ref="G197:G201"/>
    <mergeCell ref="G254:G258"/>
    <mergeCell ref="E222:E226"/>
    <mergeCell ref="F222:F226"/>
    <mergeCell ref="E227:E237"/>
    <mergeCell ref="F227:F237"/>
    <mergeCell ref="E238:E242"/>
    <mergeCell ref="D244:D248"/>
    <mergeCell ref="E244:E248"/>
    <mergeCell ref="F244:F248"/>
    <mergeCell ref="F217:F221"/>
    <mergeCell ref="G244:G248"/>
    <mergeCell ref="G264:G268"/>
    <mergeCell ref="S325:Z325"/>
    <mergeCell ref="AE325:AH325"/>
    <mergeCell ref="L319:L323"/>
    <mergeCell ref="M319:M323"/>
    <mergeCell ref="N319:N323"/>
    <mergeCell ref="C324:R324"/>
    <mergeCell ref="H309:H313"/>
    <mergeCell ref="I309:I313"/>
    <mergeCell ref="J309:J313"/>
    <mergeCell ref="K309:K313"/>
    <mergeCell ref="O314:O318"/>
    <mergeCell ref="P314:P318"/>
    <mergeCell ref="H314:H318"/>
    <mergeCell ref="I314:I318"/>
    <mergeCell ref="J314:J318"/>
    <mergeCell ref="L314:L318"/>
    <mergeCell ref="M314:M318"/>
    <mergeCell ref="N314:N318"/>
    <mergeCell ref="L309:L313"/>
    <mergeCell ref="M309:M313"/>
    <mergeCell ref="N309:N313"/>
    <mergeCell ref="O309:O313"/>
    <mergeCell ref="K319:K323"/>
    <mergeCell ref="E319:E323"/>
    <mergeCell ref="C89:C93"/>
    <mergeCell ref="D89:D93"/>
    <mergeCell ref="E89:E93"/>
    <mergeCell ref="F89:F93"/>
    <mergeCell ref="G89:G93"/>
    <mergeCell ref="G110:G114"/>
    <mergeCell ref="E115:E191"/>
    <mergeCell ref="E192:E196"/>
    <mergeCell ref="F192:F196"/>
    <mergeCell ref="G192:G196"/>
    <mergeCell ref="F115:F191"/>
    <mergeCell ref="G115:G191"/>
    <mergeCell ref="E110:E114"/>
    <mergeCell ref="F110:F114"/>
    <mergeCell ref="G94:G98"/>
    <mergeCell ref="E100:E104"/>
    <mergeCell ref="F100:F104"/>
    <mergeCell ref="D100:D104"/>
    <mergeCell ref="D105:D109"/>
    <mergeCell ref="G105:G109"/>
    <mergeCell ref="E105:E109"/>
    <mergeCell ref="F105:F109"/>
    <mergeCell ref="B100:B243"/>
    <mergeCell ref="C100:C104"/>
    <mergeCell ref="C105:C109"/>
    <mergeCell ref="C110:C114"/>
    <mergeCell ref="C115:C191"/>
    <mergeCell ref="C192:C196"/>
    <mergeCell ref="C197:C201"/>
    <mergeCell ref="C238:C242"/>
    <mergeCell ref="D222:D226"/>
    <mergeCell ref="D227:D237"/>
    <mergeCell ref="C207:C211"/>
    <mergeCell ref="D202:D206"/>
    <mergeCell ref="D207:D211"/>
    <mergeCell ref="C212:C216"/>
    <mergeCell ref="C217:C221"/>
    <mergeCell ref="D212:D216"/>
    <mergeCell ref="D110:D114"/>
    <mergeCell ref="D115:D191"/>
    <mergeCell ref="D192:D196"/>
    <mergeCell ref="D197:D201"/>
    <mergeCell ref="C202:C206"/>
    <mergeCell ref="D217:D221"/>
    <mergeCell ref="C222:C226"/>
    <mergeCell ref="C227:C237"/>
    <mergeCell ref="E269:E273"/>
    <mergeCell ref="F284:F288"/>
    <mergeCell ref="G284:G288"/>
    <mergeCell ref="E274:E278"/>
    <mergeCell ref="F274:F278"/>
    <mergeCell ref="G274:G278"/>
    <mergeCell ref="E279:E283"/>
    <mergeCell ref="F279:F283"/>
    <mergeCell ref="G279:G283"/>
    <mergeCell ref="E284:E288"/>
    <mergeCell ref="B9:B99"/>
    <mergeCell ref="B244:B324"/>
    <mergeCell ref="C314:C318"/>
    <mergeCell ref="D314:D318"/>
    <mergeCell ref="C319:C323"/>
    <mergeCell ref="D319:D323"/>
    <mergeCell ref="C7:C8"/>
    <mergeCell ref="D7:D8"/>
    <mergeCell ref="A9:A325"/>
    <mergeCell ref="D9:D13"/>
    <mergeCell ref="D14:D18"/>
    <mergeCell ref="D19:D23"/>
    <mergeCell ref="D238:D242"/>
    <mergeCell ref="C264:C268"/>
    <mergeCell ref="D264:D268"/>
    <mergeCell ref="C269:C273"/>
    <mergeCell ref="D269:D273"/>
    <mergeCell ref="C274:C278"/>
    <mergeCell ref="D274:D278"/>
    <mergeCell ref="C279:C283"/>
    <mergeCell ref="D279:D283"/>
    <mergeCell ref="C284:C288"/>
    <mergeCell ref="D284:D288"/>
    <mergeCell ref="C289:C308"/>
    <mergeCell ref="F319:F323"/>
    <mergeCell ref="G319:G323"/>
    <mergeCell ref="C309:C313"/>
    <mergeCell ref="D309:D313"/>
    <mergeCell ref="E309:E313"/>
    <mergeCell ref="F309:F313"/>
    <mergeCell ref="G309:G313"/>
    <mergeCell ref="F314:F318"/>
    <mergeCell ref="G314:G318"/>
    <mergeCell ref="K314:K318"/>
    <mergeCell ref="P309:P313"/>
    <mergeCell ref="O289:O308"/>
    <mergeCell ref="P289:P308"/>
    <mergeCell ref="Q289:Q308"/>
    <mergeCell ref="R289:R308"/>
    <mergeCell ref="H289:H308"/>
    <mergeCell ref="I289:I308"/>
    <mergeCell ref="D289:D308"/>
    <mergeCell ref="E314:E318"/>
    <mergeCell ref="E289:E308"/>
    <mergeCell ref="F289:F308"/>
    <mergeCell ref="G289:G308"/>
    <mergeCell ref="Q309:Q313"/>
    <mergeCell ref="R309:R313"/>
    <mergeCell ref="Q314:Q318"/>
    <mergeCell ref="R314:R318"/>
    <mergeCell ref="J289:J308"/>
    <mergeCell ref="K289:K308"/>
    <mergeCell ref="L289:L308"/>
    <mergeCell ref="M289:M308"/>
    <mergeCell ref="N289:N308"/>
  </mergeCells>
  <dataValidations count="4">
    <dataValidation type="list" allowBlank="1" showInputMessage="1" showErrorMessage="1" prompt="Orientación: - Escoja un Lineamiento Estratégico de la lista despegable." sqref="F100" xr:uid="{00000000-0002-0000-0900-000000000000}">
      <formula1>INDIRECT($E100)</formula1>
    </dataValidation>
    <dataValidation type="list" allowBlank="1" showErrorMessage="1" sqref="F14 F19 F227 F34 F39 F44 F49 F54 F59 F64 F69 F74 F79 F84 F89 F319 F105 F110 F115 F192 F197 F202 F207 F212 F238 F222 F94 F244 F249 F254 F259:F261 F264 F269 F274 F279 F284 F289 F309 F314 F217 F24" xr:uid="{00000000-0002-0000-0900-000001000000}">
      <formula1>INDIRECT($E14)</formula1>
    </dataValidation>
    <dataValidation type="list" allowBlank="1" showErrorMessage="1" sqref="E14 E19 E227 E34 E39 E44 E49 E54 E59 E64 E69 E74 E79 E84 E89 E319 E100 E105 E110 E115 E192 E197 E202 E207 E212 E238 E222 E94 E244 E249 E254 E259:E261 E264 E269 E274 E279 E284 E289 E309 E314 E217 E24" xr:uid="{00000000-0002-0000-0900-000002000000}">
      <formula1>INDIRECT($G14)</formula1>
    </dataValidation>
    <dataValidation type="decimal" allowBlank="1" showInputMessage="1" showErrorMessage="1" prompt="DPLAN - Sólo debe ingresar valores, NO porcentajes." sqref="M9:O9 M14:O14 M39:O39 M44:O44 M49:O49 M54:O54 M59:O59 M64:O64 M69:O69 M74:O74 M79:O79 M84:O84 M89:O89 M94:O94 M100:O100 M105:O105 M110:O110 M115:O115 M192:O192 M197:O197 M217:O217 M227:O227 M238:O238 M319:N319 M249:O249 M254:O254 M269:O269 M259:O261 M279:N279 M284:N284 M289:N289 M309:N309 M314:N314 M274:O274" xr:uid="{00000000-0002-0000-0900-000003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Investigación, Desarrollo e Innovación&amp;C&amp;P</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36C09"/>
  </sheetPr>
  <dimension ref="A1:AH122"/>
  <sheetViews>
    <sheetView showGridLines="0" topLeftCell="R11" zoomScaleNormal="100" workbookViewId="0">
      <selection activeCell="Y16" sqref="Y16"/>
    </sheetView>
  </sheetViews>
  <sheetFormatPr baseColWidth="10" defaultColWidth="12.7109375" defaultRowHeight="15.75" customHeight="1"/>
  <cols>
    <col min="1" max="2" width="7.710937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19"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4"/>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8826"/>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1814</v>
      </c>
      <c r="B3" s="8828"/>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9"/>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ht="16.5" customHeight="1" thickBo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
    </row>
    <row r="6" spans="1:34" ht="24.75" customHeight="1" thickTop="1">
      <c r="A6" s="9002" t="s">
        <v>89</v>
      </c>
      <c r="B6" s="9819"/>
      <c r="C6" s="9735" t="s">
        <v>90</v>
      </c>
      <c r="D6" s="9814"/>
      <c r="E6" s="9010" t="s">
        <v>91</v>
      </c>
      <c r="F6" s="9357"/>
      <c r="G6" s="9357"/>
      <c r="H6" s="9357"/>
      <c r="I6" s="9357"/>
      <c r="J6" s="8988" t="s">
        <v>92</v>
      </c>
      <c r="K6" s="9343"/>
      <c r="L6" s="9343"/>
      <c r="M6" s="9343"/>
      <c r="N6" s="9343"/>
      <c r="O6" s="9343"/>
      <c r="P6" s="9343"/>
      <c r="Q6" s="9343"/>
      <c r="R6" s="9811"/>
      <c r="S6" s="9150" t="s">
        <v>93</v>
      </c>
      <c r="T6" s="9345"/>
      <c r="U6" s="9345"/>
      <c r="V6" s="9345"/>
      <c r="W6" s="9345"/>
      <c r="X6" s="9345"/>
      <c r="Y6" s="9345"/>
      <c r="Z6" s="9345"/>
      <c r="AA6" s="9345"/>
      <c r="AB6" s="9345"/>
      <c r="AC6" s="9345"/>
      <c r="AD6" s="9345"/>
      <c r="AE6" s="9345"/>
      <c r="AF6" s="9345"/>
      <c r="AG6" s="9345"/>
      <c r="AH6" s="9346"/>
    </row>
    <row r="7" spans="1:34" ht="39.75" customHeight="1">
      <c r="A7" s="9820"/>
      <c r="B7" s="9821"/>
      <c r="C7" s="9663" t="s">
        <v>94</v>
      </c>
      <c r="D7" s="9665"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815" t="s">
        <v>107</v>
      </c>
      <c r="S7" s="9153" t="s">
        <v>108</v>
      </c>
      <c r="T7" s="9347"/>
      <c r="U7" s="9347"/>
      <c r="V7" s="9347"/>
      <c r="W7" s="9347"/>
      <c r="X7" s="9347"/>
      <c r="Y7" s="9348"/>
      <c r="Z7" s="9156" t="s">
        <v>109</v>
      </c>
      <c r="AA7" s="9812"/>
      <c r="AB7" s="9812"/>
      <c r="AC7" s="9812"/>
      <c r="AD7" s="9813"/>
      <c r="AE7" s="9156" t="s">
        <v>110</v>
      </c>
      <c r="AF7" s="9347"/>
      <c r="AG7" s="9348"/>
      <c r="AH7" s="9157" t="s">
        <v>111</v>
      </c>
    </row>
    <row r="8" spans="1:34" ht="51.75" customHeight="1" thickBot="1">
      <c r="A8" s="9822"/>
      <c r="B8" s="9823"/>
      <c r="C8" s="9817"/>
      <c r="D8" s="9818"/>
      <c r="E8" s="9358"/>
      <c r="F8" s="9358"/>
      <c r="G8" s="9358"/>
      <c r="H8" s="9358"/>
      <c r="I8" s="9358"/>
      <c r="J8" s="9359"/>
      <c r="K8" s="9360"/>
      <c r="L8" s="9360"/>
      <c r="M8" s="5086" t="s">
        <v>112</v>
      </c>
      <c r="N8" s="5086" t="s">
        <v>113</v>
      </c>
      <c r="O8" s="5086" t="s">
        <v>114</v>
      </c>
      <c r="P8" s="9360"/>
      <c r="Q8" s="9360"/>
      <c r="R8" s="9816"/>
      <c r="S8" s="5087" t="s">
        <v>115</v>
      </c>
      <c r="T8" s="5088" t="s">
        <v>116</v>
      </c>
      <c r="U8" s="5089" t="s">
        <v>117</v>
      </c>
      <c r="V8" s="5088" t="s">
        <v>118</v>
      </c>
      <c r="W8" s="5088" t="s">
        <v>119</v>
      </c>
      <c r="X8" s="5088" t="s">
        <v>372</v>
      </c>
      <c r="Y8" s="5090" t="s">
        <v>121</v>
      </c>
      <c r="Z8" s="5088" t="s">
        <v>122</v>
      </c>
      <c r="AA8" s="5088" t="s">
        <v>123</v>
      </c>
      <c r="AB8" s="5088" t="s">
        <v>124</v>
      </c>
      <c r="AC8" s="5090" t="s">
        <v>125</v>
      </c>
      <c r="AD8" s="5090" t="s">
        <v>1100</v>
      </c>
      <c r="AE8" s="5088" t="s">
        <v>112</v>
      </c>
      <c r="AF8" s="5088" t="s">
        <v>113</v>
      </c>
      <c r="AG8" s="5088" t="s">
        <v>114</v>
      </c>
      <c r="AH8" s="9349"/>
    </row>
    <row r="9" spans="1:34" ht="70.5" customHeight="1">
      <c r="A9" s="9763" t="s">
        <v>1814</v>
      </c>
      <c r="B9" s="9767" t="s">
        <v>1814</v>
      </c>
      <c r="C9" s="9124" t="s">
        <v>183</v>
      </c>
      <c r="D9" s="8835" t="s">
        <v>227</v>
      </c>
      <c r="E9" s="8835" t="s">
        <v>490</v>
      </c>
      <c r="F9" s="8835" t="s">
        <v>1484</v>
      </c>
      <c r="G9" s="9164" t="s">
        <v>230</v>
      </c>
      <c r="H9" s="8835" t="s">
        <v>231</v>
      </c>
      <c r="I9" s="8835" t="s">
        <v>133</v>
      </c>
      <c r="J9" s="9217" t="s">
        <v>1815</v>
      </c>
      <c r="K9" s="8835" t="s">
        <v>1816</v>
      </c>
      <c r="L9" s="8835" t="s">
        <v>1817</v>
      </c>
      <c r="M9" s="9169">
        <v>0</v>
      </c>
      <c r="N9" s="9169">
        <v>1</v>
      </c>
      <c r="O9" s="9810">
        <v>1</v>
      </c>
      <c r="P9" s="8834" t="s">
        <v>1818</v>
      </c>
      <c r="Q9" s="9451" t="s">
        <v>1819</v>
      </c>
      <c r="R9" s="8951" t="s">
        <v>1820</v>
      </c>
      <c r="S9" s="5852" t="s">
        <v>15</v>
      </c>
      <c r="T9" s="1959">
        <v>840103</v>
      </c>
      <c r="U9" s="1959" t="s">
        <v>294</v>
      </c>
      <c r="V9" s="3511" t="s">
        <v>591</v>
      </c>
      <c r="W9" s="1960" t="s">
        <v>294</v>
      </c>
      <c r="X9" s="1961" t="s">
        <v>294</v>
      </c>
      <c r="Y9" s="6760" t="s">
        <v>294</v>
      </c>
      <c r="Z9" s="6760" t="s">
        <v>294</v>
      </c>
      <c r="AA9" s="6760" t="s">
        <v>294</v>
      </c>
      <c r="AB9" s="6761">
        <f>+SUM(AA10:AA12)</f>
        <v>524.04</v>
      </c>
      <c r="AC9" s="4990" t="s">
        <v>18</v>
      </c>
      <c r="AD9" s="1717" t="s">
        <v>294</v>
      </c>
      <c r="AE9" s="1048"/>
      <c r="AF9" s="1049"/>
      <c r="AG9" s="8337"/>
      <c r="AH9" s="9783"/>
    </row>
    <row r="10" spans="1:34" ht="70.5" customHeight="1">
      <c r="A10" s="9764"/>
      <c r="B10" s="9768"/>
      <c r="C10" s="9333"/>
      <c r="D10" s="9311"/>
      <c r="E10" s="9311"/>
      <c r="F10" s="9311"/>
      <c r="G10" s="9311"/>
      <c r="H10" s="9311"/>
      <c r="I10" s="9311"/>
      <c r="J10" s="9433"/>
      <c r="K10" s="9311"/>
      <c r="L10" s="9311"/>
      <c r="M10" s="9313"/>
      <c r="N10" s="9313"/>
      <c r="O10" s="9805"/>
      <c r="P10" s="9311"/>
      <c r="Q10" s="9311"/>
      <c r="R10" s="9489"/>
      <c r="S10" s="1718" t="s">
        <v>294</v>
      </c>
      <c r="T10" s="1962" t="s">
        <v>294</v>
      </c>
      <c r="U10" s="3296">
        <v>3812200621</v>
      </c>
      <c r="V10" s="3512" t="s">
        <v>1821</v>
      </c>
      <c r="W10" s="3297">
        <v>2</v>
      </c>
      <c r="X10" s="3298" t="s">
        <v>180</v>
      </c>
      <c r="Y10" s="6762">
        <f>114/2</f>
        <v>57</v>
      </c>
      <c r="Z10" s="6762">
        <f>+W10*Y10</f>
        <v>114</v>
      </c>
      <c r="AA10" s="6762">
        <f>Z10</f>
        <v>114</v>
      </c>
      <c r="AB10" s="6763"/>
      <c r="AC10" s="6771" t="s">
        <v>294</v>
      </c>
      <c r="AD10" s="1719"/>
      <c r="AE10" s="1719" t="s">
        <v>153</v>
      </c>
      <c r="AF10" s="1074"/>
      <c r="AG10" s="8338"/>
      <c r="AH10" s="9784"/>
    </row>
    <row r="11" spans="1:34" ht="70.5" customHeight="1">
      <c r="A11" s="9764"/>
      <c r="B11" s="9768"/>
      <c r="C11" s="9333"/>
      <c r="D11" s="9311"/>
      <c r="E11" s="9311"/>
      <c r="F11" s="9311"/>
      <c r="G11" s="9311"/>
      <c r="H11" s="9311"/>
      <c r="I11" s="9311"/>
      <c r="J11" s="9433"/>
      <c r="K11" s="9311"/>
      <c r="L11" s="9311"/>
      <c r="M11" s="9313"/>
      <c r="N11" s="9313"/>
      <c r="O11" s="9805"/>
      <c r="P11" s="9311"/>
      <c r="Q11" s="9311"/>
      <c r="R11" s="9489"/>
      <c r="S11" s="1718" t="s">
        <v>294</v>
      </c>
      <c r="T11" s="1962" t="s">
        <v>294</v>
      </c>
      <c r="U11" s="3296">
        <v>3811100001</v>
      </c>
      <c r="V11" s="3512" t="s">
        <v>1822</v>
      </c>
      <c r="W11" s="3297">
        <v>1</v>
      </c>
      <c r="X11" s="3298" t="s">
        <v>180</v>
      </c>
      <c r="Y11" s="6762">
        <v>92</v>
      </c>
      <c r="Z11" s="6762">
        <f>+W11*Y11</f>
        <v>92</v>
      </c>
      <c r="AA11" s="6762">
        <f>+Z11*1.12</f>
        <v>103.04</v>
      </c>
      <c r="AB11" s="6763"/>
      <c r="AC11" s="6771" t="s">
        <v>294</v>
      </c>
      <c r="AD11" s="1719"/>
      <c r="AE11" s="1719" t="s">
        <v>153</v>
      </c>
      <c r="AF11" s="1074"/>
      <c r="AG11" s="8338"/>
      <c r="AH11" s="9784"/>
    </row>
    <row r="12" spans="1:34" ht="70.5" customHeight="1">
      <c r="A12" s="9764"/>
      <c r="B12" s="9768"/>
      <c r="C12" s="9333"/>
      <c r="D12" s="9311"/>
      <c r="E12" s="9311"/>
      <c r="F12" s="9311"/>
      <c r="G12" s="9311"/>
      <c r="H12" s="9311"/>
      <c r="I12" s="9311"/>
      <c r="J12" s="9433"/>
      <c r="K12" s="9311"/>
      <c r="L12" s="9311"/>
      <c r="M12" s="9313"/>
      <c r="N12" s="9313"/>
      <c r="O12" s="9805"/>
      <c r="P12" s="9311"/>
      <c r="Q12" s="9311"/>
      <c r="R12" s="9489"/>
      <c r="S12" s="1720" t="s">
        <v>294</v>
      </c>
      <c r="T12" s="1962" t="s">
        <v>294</v>
      </c>
      <c r="U12" s="3296">
        <v>3813000011</v>
      </c>
      <c r="V12" s="3512" t="s">
        <v>1823</v>
      </c>
      <c r="W12" s="3297">
        <v>1</v>
      </c>
      <c r="X12" s="3298" t="s">
        <v>180</v>
      </c>
      <c r="Y12" s="6762">
        <v>307</v>
      </c>
      <c r="Z12" s="6762">
        <f>+W12*Y12</f>
        <v>307</v>
      </c>
      <c r="AA12" s="6762">
        <f>Z12</f>
        <v>307</v>
      </c>
      <c r="AB12" s="6763" t="s">
        <v>294</v>
      </c>
      <c r="AC12" s="6771" t="s">
        <v>294</v>
      </c>
      <c r="AD12" s="1719"/>
      <c r="AE12" s="1719" t="s">
        <v>153</v>
      </c>
      <c r="AF12" s="1074"/>
      <c r="AG12" s="8338"/>
      <c r="AH12" s="9784"/>
    </row>
    <row r="13" spans="1:34" ht="70.5" customHeight="1">
      <c r="A13" s="9764"/>
      <c r="B13" s="9768"/>
      <c r="C13" s="9395"/>
      <c r="D13" s="9312"/>
      <c r="E13" s="9312"/>
      <c r="F13" s="9312"/>
      <c r="G13" s="9312"/>
      <c r="H13" s="9312"/>
      <c r="I13" s="9312"/>
      <c r="J13" s="9434"/>
      <c r="K13" s="9312"/>
      <c r="L13" s="9312"/>
      <c r="M13" s="9314"/>
      <c r="N13" s="9314"/>
      <c r="O13" s="9806"/>
      <c r="P13" s="9312"/>
      <c r="Q13" s="9312"/>
      <c r="R13" s="9443"/>
      <c r="S13" s="1067"/>
      <c r="T13" s="4967"/>
      <c r="U13" s="4967"/>
      <c r="V13" s="3513"/>
      <c r="W13" s="6474"/>
      <c r="X13" s="1069"/>
      <c r="Y13" s="5046"/>
      <c r="Z13" s="5046"/>
      <c r="AA13" s="5046"/>
      <c r="AB13" s="5047"/>
      <c r="AC13" s="6772"/>
      <c r="AD13" s="1222"/>
      <c r="AE13" s="1069"/>
      <c r="AF13" s="1079"/>
      <c r="AG13" s="8339"/>
      <c r="AH13" s="9785"/>
    </row>
    <row r="14" spans="1:34" ht="33.75" customHeight="1">
      <c r="A14" s="9764"/>
      <c r="B14" s="9768"/>
      <c r="C14" s="9223" t="s">
        <v>183</v>
      </c>
      <c r="D14" s="8782" t="s">
        <v>227</v>
      </c>
      <c r="E14" s="8834" t="s">
        <v>490</v>
      </c>
      <c r="F14" s="8834" t="s">
        <v>1484</v>
      </c>
      <c r="G14" s="8974" t="s">
        <v>230</v>
      </c>
      <c r="H14" s="8834" t="s">
        <v>231</v>
      </c>
      <c r="I14" s="8834" t="s">
        <v>133</v>
      </c>
      <c r="J14" s="8834" t="s">
        <v>1824</v>
      </c>
      <c r="K14" s="8834" t="s">
        <v>1825</v>
      </c>
      <c r="L14" s="8782" t="s">
        <v>1826</v>
      </c>
      <c r="M14" s="9761">
        <v>0</v>
      </c>
      <c r="N14" s="9807">
        <v>25</v>
      </c>
      <c r="O14" s="9804">
        <v>25</v>
      </c>
      <c r="P14" s="8834" t="s">
        <v>1827</v>
      </c>
      <c r="Q14" s="8834" t="s">
        <v>1828</v>
      </c>
      <c r="R14" s="9205" t="s">
        <v>1829</v>
      </c>
      <c r="S14" s="1086" t="s">
        <v>79</v>
      </c>
      <c r="T14" s="4956">
        <v>840107</v>
      </c>
      <c r="U14" s="4956"/>
      <c r="V14" s="815" t="s">
        <v>40</v>
      </c>
      <c r="W14" s="6613"/>
      <c r="X14" s="93"/>
      <c r="Y14" s="8075"/>
      <c r="Z14" s="8075"/>
      <c r="AA14" s="8075"/>
      <c r="AB14" s="8076">
        <f>SUM($AA$15:$AA$15)</f>
        <v>1126.08</v>
      </c>
      <c r="AC14" s="4990" t="s">
        <v>18</v>
      </c>
      <c r="AD14" s="1246"/>
      <c r="AE14" s="1061"/>
      <c r="AF14" s="1076"/>
      <c r="AG14" s="8340"/>
      <c r="AH14" s="9801" t="s">
        <v>1830</v>
      </c>
    </row>
    <row r="15" spans="1:34" ht="33.75" customHeight="1">
      <c r="A15" s="9764"/>
      <c r="B15" s="9768"/>
      <c r="C15" s="9333"/>
      <c r="D15" s="9311"/>
      <c r="E15" s="9311"/>
      <c r="F15" s="9311"/>
      <c r="G15" s="9311"/>
      <c r="H15" s="9311"/>
      <c r="I15" s="9311"/>
      <c r="J15" s="9311"/>
      <c r="K15" s="9311"/>
      <c r="L15" s="9311"/>
      <c r="M15" s="9313"/>
      <c r="N15" s="9808"/>
      <c r="O15" s="9805"/>
      <c r="P15" s="9311"/>
      <c r="Q15" s="9311"/>
      <c r="R15" s="9433"/>
      <c r="S15" s="1305"/>
      <c r="T15" s="4958"/>
      <c r="U15" s="4958"/>
      <c r="V15" s="585" t="s">
        <v>1831</v>
      </c>
      <c r="W15" s="6483">
        <v>1</v>
      </c>
      <c r="X15" s="90" t="s">
        <v>479</v>
      </c>
      <c r="Y15" s="8077">
        <f>980+146.08</f>
        <v>1126.08</v>
      </c>
      <c r="Z15" s="8077">
        <f t="shared" ref="Z15" si="0">+W15*Y15</f>
        <v>1126.08</v>
      </c>
      <c r="AA15" s="8077">
        <f>Z15</f>
        <v>1126.08</v>
      </c>
      <c r="AB15" s="8078"/>
      <c r="AC15" s="6553"/>
      <c r="AD15" s="1183"/>
      <c r="AE15" s="1052"/>
      <c r="AF15" s="1074" t="s">
        <v>153</v>
      </c>
      <c r="AG15" s="8338"/>
      <c r="AH15" s="9802"/>
    </row>
    <row r="16" spans="1:34" ht="33.75" customHeight="1">
      <c r="A16" s="9764"/>
      <c r="B16" s="9769"/>
      <c r="C16" s="9333"/>
      <c r="D16" s="9311"/>
      <c r="E16" s="9311"/>
      <c r="F16" s="9311"/>
      <c r="G16" s="9311"/>
      <c r="H16" s="9311"/>
      <c r="I16" s="9311"/>
      <c r="J16" s="9311"/>
      <c r="K16" s="9311"/>
      <c r="L16" s="9311"/>
      <c r="M16" s="9313"/>
      <c r="N16" s="9808"/>
      <c r="O16" s="9805"/>
      <c r="P16" s="9311"/>
      <c r="Q16" s="9311"/>
      <c r="R16" s="9433"/>
      <c r="S16" s="8355" t="s">
        <v>79</v>
      </c>
      <c r="T16" s="6756">
        <v>840104</v>
      </c>
      <c r="U16" s="6756"/>
      <c r="V16" s="3369" t="s">
        <v>39</v>
      </c>
      <c r="W16" s="6758"/>
      <c r="X16" s="3194"/>
      <c r="Y16" s="8072"/>
      <c r="Z16" s="8072"/>
      <c r="AA16" s="8072"/>
      <c r="AB16" s="8073">
        <f>AA17</f>
        <v>980</v>
      </c>
      <c r="AC16" s="4984" t="s">
        <v>18</v>
      </c>
      <c r="AD16" s="3370"/>
      <c r="AE16" s="3194"/>
      <c r="AF16" s="3371"/>
      <c r="AG16" s="8342"/>
      <c r="AH16" s="9802"/>
    </row>
    <row r="17" spans="1:34" ht="33.75" customHeight="1">
      <c r="A17" s="9764"/>
      <c r="B17" s="9769"/>
      <c r="C17" s="9333"/>
      <c r="D17" s="9311"/>
      <c r="E17" s="9311"/>
      <c r="F17" s="9311"/>
      <c r="G17" s="9311"/>
      <c r="H17" s="9311"/>
      <c r="I17" s="9311"/>
      <c r="J17" s="9311"/>
      <c r="K17" s="9311"/>
      <c r="L17" s="9311"/>
      <c r="M17" s="9313"/>
      <c r="N17" s="9808"/>
      <c r="O17" s="9805"/>
      <c r="P17" s="9311"/>
      <c r="Q17" s="9311"/>
      <c r="R17" s="9433"/>
      <c r="S17" s="3368"/>
      <c r="T17" s="4954"/>
      <c r="U17" s="4953" t="s">
        <v>1832</v>
      </c>
      <c r="V17" s="3193" t="s">
        <v>1833</v>
      </c>
      <c r="W17" s="6758">
        <v>1</v>
      </c>
      <c r="X17" s="3194" t="s">
        <v>180</v>
      </c>
      <c r="Y17" s="8072">
        <v>980</v>
      </c>
      <c r="Z17" s="7985">
        <f t="shared" ref="Z17" si="1">+W17*Y17</f>
        <v>980</v>
      </c>
      <c r="AA17" s="7985">
        <f>Z17</f>
        <v>980</v>
      </c>
      <c r="AB17" s="8073"/>
      <c r="AC17" s="6774"/>
      <c r="AD17" s="3370"/>
      <c r="AE17" s="3194"/>
      <c r="AF17" s="3371"/>
      <c r="AG17" s="8342" t="s">
        <v>153</v>
      </c>
      <c r="AH17" s="9802"/>
    </row>
    <row r="18" spans="1:34" ht="33.75" customHeight="1">
      <c r="A18" s="9764"/>
      <c r="B18" s="9769"/>
      <c r="C18" s="9395"/>
      <c r="D18" s="9312"/>
      <c r="E18" s="9312"/>
      <c r="F18" s="9312"/>
      <c r="G18" s="9312"/>
      <c r="H18" s="9312"/>
      <c r="I18" s="9312"/>
      <c r="J18" s="9312"/>
      <c r="K18" s="9311"/>
      <c r="L18" s="9312"/>
      <c r="M18" s="9314"/>
      <c r="N18" s="9809"/>
      <c r="O18" s="9806"/>
      <c r="P18" s="9312"/>
      <c r="Q18" s="9312"/>
      <c r="R18" s="9434"/>
      <c r="S18" s="5385"/>
      <c r="T18" s="4969"/>
      <c r="U18" s="4969"/>
      <c r="V18" s="746"/>
      <c r="W18" s="6469"/>
      <c r="X18" s="95"/>
      <c r="Y18" s="5079"/>
      <c r="Z18" s="5079"/>
      <c r="AA18" s="5079"/>
      <c r="AB18" s="5080"/>
      <c r="AC18" s="6772"/>
      <c r="AD18" s="1222"/>
      <c r="AE18" s="1069"/>
      <c r="AF18" s="1079"/>
      <c r="AG18" s="8339"/>
      <c r="AH18" s="9803"/>
    </row>
    <row r="19" spans="1:34" ht="45" customHeight="1">
      <c r="A19" s="9764"/>
      <c r="B19" s="9769"/>
      <c r="C19" s="9125" t="s">
        <v>183</v>
      </c>
      <c r="D19" s="9167" t="s">
        <v>1291</v>
      </c>
      <c r="E19" s="8834" t="s">
        <v>490</v>
      </c>
      <c r="F19" s="8834" t="s">
        <v>1484</v>
      </c>
      <c r="G19" s="9320" t="s">
        <v>1294</v>
      </c>
      <c r="H19" s="8834" t="s">
        <v>231</v>
      </c>
      <c r="I19" s="8834" t="s">
        <v>159</v>
      </c>
      <c r="J19" s="8834" t="s">
        <v>1834</v>
      </c>
      <c r="K19" s="8782" t="s">
        <v>1835</v>
      </c>
      <c r="L19" s="8834" t="s">
        <v>1836</v>
      </c>
      <c r="M19" s="9761">
        <v>0</v>
      </c>
      <c r="N19" s="9762">
        <v>5</v>
      </c>
      <c r="O19" s="9761">
        <v>5</v>
      </c>
      <c r="P19" s="8834" t="s">
        <v>1837</v>
      </c>
      <c r="Q19" s="8834" t="s">
        <v>1838</v>
      </c>
      <c r="R19" s="9205" t="s">
        <v>1839</v>
      </c>
      <c r="S19" s="8354" t="s">
        <v>15</v>
      </c>
      <c r="T19" s="8353">
        <v>840103</v>
      </c>
      <c r="U19" s="1959" t="s">
        <v>294</v>
      </c>
      <c r="V19" s="3511" t="s">
        <v>591</v>
      </c>
      <c r="W19" s="1960" t="s">
        <v>294</v>
      </c>
      <c r="X19" s="1961" t="s">
        <v>294</v>
      </c>
      <c r="Y19" s="6760" t="s">
        <v>294</v>
      </c>
      <c r="Z19" s="6760" t="s">
        <v>294</v>
      </c>
      <c r="AA19" s="6760" t="s">
        <v>294</v>
      </c>
      <c r="AB19" s="6764">
        <f>+SUM(AA20:AA20)</f>
        <v>142</v>
      </c>
      <c r="AC19" s="4990" t="s">
        <v>18</v>
      </c>
      <c r="AD19" s="1721" t="s">
        <v>294</v>
      </c>
      <c r="AE19" s="1061"/>
      <c r="AF19" s="1076"/>
      <c r="AG19" s="8340"/>
      <c r="AH19" s="9783"/>
    </row>
    <row r="20" spans="1:34" ht="45" customHeight="1">
      <c r="A20" s="9764"/>
      <c r="B20" s="9769"/>
      <c r="C20" s="9333"/>
      <c r="D20" s="9311"/>
      <c r="E20" s="9311"/>
      <c r="F20" s="9311"/>
      <c r="G20" s="9311"/>
      <c r="H20" s="9311"/>
      <c r="I20" s="9311"/>
      <c r="J20" s="9311"/>
      <c r="K20" s="9311"/>
      <c r="L20" s="9311"/>
      <c r="M20" s="9313"/>
      <c r="N20" s="9313"/>
      <c r="O20" s="9313"/>
      <c r="P20" s="9311"/>
      <c r="Q20" s="9311"/>
      <c r="R20" s="9433"/>
      <c r="S20" s="8352" t="s">
        <v>294</v>
      </c>
      <c r="T20" s="1962"/>
      <c r="U20" s="3299">
        <v>3811100091</v>
      </c>
      <c r="V20" s="3514" t="s">
        <v>1840</v>
      </c>
      <c r="W20" s="3300">
        <v>1</v>
      </c>
      <c r="X20" s="3301" t="s">
        <v>180</v>
      </c>
      <c r="Y20" s="6765">
        <v>142</v>
      </c>
      <c r="Z20" s="6765">
        <f>+W20*Y20</f>
        <v>142</v>
      </c>
      <c r="AA20" s="6765">
        <f>Y20</f>
        <v>142</v>
      </c>
      <c r="AB20" s="6766"/>
      <c r="AC20" s="6775"/>
      <c r="AD20" s="2707"/>
      <c r="AE20" s="2707"/>
      <c r="AF20" s="2703" t="s">
        <v>153</v>
      </c>
      <c r="AG20" s="8338"/>
      <c r="AH20" s="9784"/>
    </row>
    <row r="21" spans="1:34" ht="45" customHeight="1">
      <c r="A21" s="9764"/>
      <c r="B21" s="9769"/>
      <c r="C21" s="9333"/>
      <c r="D21" s="9311"/>
      <c r="E21" s="9311"/>
      <c r="F21" s="9311"/>
      <c r="G21" s="9311"/>
      <c r="H21" s="9311"/>
      <c r="I21" s="9311"/>
      <c r="J21" s="9311"/>
      <c r="K21" s="9311"/>
      <c r="L21" s="9311"/>
      <c r="M21" s="9313"/>
      <c r="N21" s="9313"/>
      <c r="O21" s="9313"/>
      <c r="P21" s="9311"/>
      <c r="Q21" s="9311"/>
      <c r="R21" s="9433"/>
      <c r="S21" s="1066"/>
      <c r="T21" s="4968"/>
      <c r="U21" s="4968"/>
      <c r="V21" s="3515"/>
      <c r="W21" s="6473"/>
      <c r="X21" s="1052"/>
      <c r="Y21" s="5043"/>
      <c r="Z21" s="5043"/>
      <c r="AA21" s="5043"/>
      <c r="AB21" s="5044"/>
      <c r="AC21" s="6553"/>
      <c r="AD21" s="1183"/>
      <c r="AE21" s="1052"/>
      <c r="AF21" s="1074"/>
      <c r="AG21" s="8338"/>
      <c r="AH21" s="9784"/>
    </row>
    <row r="22" spans="1:34" ht="45" customHeight="1">
      <c r="A22" s="9764"/>
      <c r="B22" s="9769"/>
      <c r="C22" s="9333"/>
      <c r="D22" s="9311"/>
      <c r="E22" s="9311"/>
      <c r="F22" s="9311"/>
      <c r="G22" s="9311"/>
      <c r="H22" s="9311"/>
      <c r="I22" s="9311"/>
      <c r="J22" s="9311"/>
      <c r="K22" s="9311"/>
      <c r="L22" s="9311"/>
      <c r="M22" s="9313"/>
      <c r="N22" s="9313"/>
      <c r="O22" s="9313"/>
      <c r="P22" s="9311"/>
      <c r="Q22" s="9311"/>
      <c r="R22" s="9433"/>
      <c r="S22" s="3367"/>
      <c r="T22" s="8350"/>
      <c r="U22" s="8350"/>
      <c r="V22" s="8351"/>
      <c r="W22" s="6481"/>
      <c r="X22" s="1057"/>
      <c r="Y22" s="6529"/>
      <c r="Z22" s="6529"/>
      <c r="AA22" s="6529"/>
      <c r="AB22" s="6530"/>
      <c r="AC22" s="6773"/>
      <c r="AD22" s="1245"/>
      <c r="AE22" s="1057"/>
      <c r="AF22" s="1075"/>
      <c r="AG22" s="8341"/>
      <c r="AH22" s="9784"/>
    </row>
    <row r="23" spans="1:34" ht="45" customHeight="1">
      <c r="A23" s="9764"/>
      <c r="B23" s="9769"/>
      <c r="C23" s="9395"/>
      <c r="D23" s="9312"/>
      <c r="E23" s="9312"/>
      <c r="F23" s="9312"/>
      <c r="G23" s="9312"/>
      <c r="H23" s="9312"/>
      <c r="I23" s="9312"/>
      <c r="J23" s="9312"/>
      <c r="K23" s="9312"/>
      <c r="L23" s="9312"/>
      <c r="M23" s="9314"/>
      <c r="N23" s="9314"/>
      <c r="O23" s="9314"/>
      <c r="P23" s="9312"/>
      <c r="Q23" s="9312"/>
      <c r="R23" s="9434"/>
      <c r="S23" s="1067"/>
      <c r="T23" s="4967"/>
      <c r="U23" s="4967"/>
      <c r="V23" s="3513"/>
      <c r="W23" s="6474"/>
      <c r="X23" s="1069"/>
      <c r="Y23" s="5046"/>
      <c r="Z23" s="5046"/>
      <c r="AA23" s="5046"/>
      <c r="AB23" s="5047"/>
      <c r="AC23" s="6772"/>
      <c r="AD23" s="1222"/>
      <c r="AE23" s="1069"/>
      <c r="AF23" s="1079"/>
      <c r="AG23" s="8339"/>
      <c r="AH23" s="9785"/>
    </row>
    <row r="24" spans="1:34" ht="54" customHeight="1">
      <c r="A24" s="9764"/>
      <c r="B24" s="9769"/>
      <c r="C24" s="9223" t="s">
        <v>183</v>
      </c>
      <c r="D24" s="8782" t="s">
        <v>227</v>
      </c>
      <c r="E24" s="8834" t="s">
        <v>185</v>
      </c>
      <c r="F24" s="8834" t="s">
        <v>186</v>
      </c>
      <c r="G24" s="8974" t="s">
        <v>230</v>
      </c>
      <c r="H24" s="8834" t="s">
        <v>132</v>
      </c>
      <c r="I24" s="8834" t="s">
        <v>214</v>
      </c>
      <c r="J24" s="8834" t="s">
        <v>1841</v>
      </c>
      <c r="K24" s="8834" t="s">
        <v>1842</v>
      </c>
      <c r="L24" s="8834" t="s">
        <v>1843</v>
      </c>
      <c r="M24" s="9761">
        <v>7</v>
      </c>
      <c r="N24" s="9762">
        <v>0</v>
      </c>
      <c r="O24" s="9761">
        <v>7</v>
      </c>
      <c r="P24" s="8834" t="s">
        <v>1844</v>
      </c>
      <c r="Q24" s="8834" t="s">
        <v>1845</v>
      </c>
      <c r="R24" s="9205" t="s">
        <v>1846</v>
      </c>
      <c r="S24" s="1086" t="s">
        <v>79</v>
      </c>
      <c r="T24" s="4956">
        <v>530204</v>
      </c>
      <c r="U24" s="4956"/>
      <c r="V24" s="815" t="s">
        <v>16</v>
      </c>
      <c r="W24" s="6613"/>
      <c r="X24" s="93"/>
      <c r="Y24" s="6543"/>
      <c r="Z24" s="6543"/>
      <c r="AA24" s="6543"/>
      <c r="AB24" s="5054">
        <f>AA25</f>
        <v>300</v>
      </c>
      <c r="AC24" s="4990" t="s">
        <v>25</v>
      </c>
      <c r="AD24" s="1246"/>
      <c r="AE24" s="1061"/>
      <c r="AF24" s="1076"/>
      <c r="AG24" s="8340"/>
      <c r="AH24" s="9783"/>
    </row>
    <row r="25" spans="1:34" ht="33.75" customHeight="1">
      <c r="A25" s="9764"/>
      <c r="B25" s="9769"/>
      <c r="C25" s="9333"/>
      <c r="D25" s="9311"/>
      <c r="E25" s="9311"/>
      <c r="F25" s="9311"/>
      <c r="G25" s="9311"/>
      <c r="H25" s="9311"/>
      <c r="I25" s="9311"/>
      <c r="J25" s="9311"/>
      <c r="K25" s="9311"/>
      <c r="L25" s="9311"/>
      <c r="M25" s="9313"/>
      <c r="N25" s="9313"/>
      <c r="O25" s="9313"/>
      <c r="P25" s="9311"/>
      <c r="Q25" s="9311"/>
      <c r="R25" s="9433"/>
      <c r="S25" s="1305"/>
      <c r="T25" s="4958"/>
      <c r="U25" s="4953">
        <v>838190014</v>
      </c>
      <c r="V25" s="3190" t="s">
        <v>1847</v>
      </c>
      <c r="W25" s="6496">
        <v>1</v>
      </c>
      <c r="X25" s="3192" t="s">
        <v>152</v>
      </c>
      <c r="Y25" s="5056">
        <f>300/1.12</f>
        <v>267.85714285714283</v>
      </c>
      <c r="Z25" s="5056">
        <f t="shared" ref="Z25" si="2">+W25*Y25</f>
        <v>267.85714285714283</v>
      </c>
      <c r="AA25" s="5056">
        <f t="shared" ref="AA25" si="3">+Z25*1.12</f>
        <v>300</v>
      </c>
      <c r="AB25" s="5977"/>
      <c r="AC25" s="6553"/>
      <c r="AD25" s="1183"/>
      <c r="AE25" s="1052"/>
      <c r="AF25" s="1074" t="s">
        <v>153</v>
      </c>
      <c r="AG25" s="8338"/>
      <c r="AH25" s="9784"/>
    </row>
    <row r="26" spans="1:34" ht="33.75" customHeight="1">
      <c r="A26" s="9764"/>
      <c r="B26" s="9769"/>
      <c r="C26" s="9333"/>
      <c r="D26" s="9311"/>
      <c r="E26" s="9311"/>
      <c r="F26" s="9311"/>
      <c r="G26" s="9311"/>
      <c r="H26" s="9311"/>
      <c r="I26" s="9311"/>
      <c r="J26" s="9311"/>
      <c r="K26" s="9311"/>
      <c r="L26" s="9311"/>
      <c r="M26" s="9313"/>
      <c r="N26" s="9313"/>
      <c r="O26" s="9313"/>
      <c r="P26" s="9311"/>
      <c r="Q26" s="9311"/>
      <c r="R26" s="9433"/>
      <c r="S26" s="1042"/>
      <c r="T26" s="4959"/>
      <c r="U26" s="4959"/>
      <c r="V26" s="1051"/>
      <c r="W26" s="6473"/>
      <c r="X26" s="1052"/>
      <c r="Y26" s="5043"/>
      <c r="Z26" s="5043"/>
      <c r="AA26" s="5043"/>
      <c r="AB26" s="5044"/>
      <c r="AC26" s="6553"/>
      <c r="AD26" s="1183"/>
      <c r="AE26" s="1052"/>
      <c r="AF26" s="1074"/>
      <c r="AG26" s="8338"/>
      <c r="AH26" s="9784"/>
    </row>
    <row r="27" spans="1:34" ht="33.75" customHeight="1">
      <c r="A27" s="9764"/>
      <c r="B27" s="9769"/>
      <c r="C27" s="9333"/>
      <c r="D27" s="9311"/>
      <c r="E27" s="9311"/>
      <c r="F27" s="9311"/>
      <c r="G27" s="9311"/>
      <c r="H27" s="9311"/>
      <c r="I27" s="9311"/>
      <c r="J27" s="9311"/>
      <c r="K27" s="9311"/>
      <c r="L27" s="9311"/>
      <c r="M27" s="9313"/>
      <c r="N27" s="9313"/>
      <c r="O27" s="9313"/>
      <c r="P27" s="9311"/>
      <c r="Q27" s="9311"/>
      <c r="R27" s="9433"/>
      <c r="S27" s="1066"/>
      <c r="T27" s="4968"/>
      <c r="U27" s="4968"/>
      <c r="V27" s="1051"/>
      <c r="W27" s="6473"/>
      <c r="X27" s="1052"/>
      <c r="Y27" s="5043"/>
      <c r="Z27" s="5043"/>
      <c r="AA27" s="5043"/>
      <c r="AB27" s="5044"/>
      <c r="AC27" s="6553"/>
      <c r="AD27" s="1183"/>
      <c r="AE27" s="1052"/>
      <c r="AF27" s="1074"/>
      <c r="AG27" s="8338"/>
      <c r="AH27" s="9784"/>
    </row>
    <row r="28" spans="1:34" ht="33.75" customHeight="1">
      <c r="A28" s="9764"/>
      <c r="B28" s="9769"/>
      <c r="C28" s="9395"/>
      <c r="D28" s="9312"/>
      <c r="E28" s="9312"/>
      <c r="F28" s="9312"/>
      <c r="G28" s="9312"/>
      <c r="H28" s="9312"/>
      <c r="I28" s="9312"/>
      <c r="J28" s="9312"/>
      <c r="K28" s="9312"/>
      <c r="L28" s="9312"/>
      <c r="M28" s="9314"/>
      <c r="N28" s="9314"/>
      <c r="O28" s="9314"/>
      <c r="P28" s="9312"/>
      <c r="Q28" s="9312"/>
      <c r="R28" s="9434"/>
      <c r="S28" s="1067"/>
      <c r="T28" s="4967"/>
      <c r="U28" s="4967"/>
      <c r="V28" s="1068"/>
      <c r="W28" s="6474"/>
      <c r="X28" s="1069"/>
      <c r="Y28" s="5046"/>
      <c r="Z28" s="5046"/>
      <c r="AA28" s="5046"/>
      <c r="AB28" s="5047"/>
      <c r="AC28" s="6772"/>
      <c r="AD28" s="1222"/>
      <c r="AE28" s="1069"/>
      <c r="AF28" s="1079"/>
      <c r="AG28" s="8339"/>
      <c r="AH28" s="9785"/>
    </row>
    <row r="29" spans="1:34" ht="30" customHeight="1">
      <c r="A29" s="9764"/>
      <c r="B29" s="9770"/>
      <c r="C29" s="9223" t="s">
        <v>127</v>
      </c>
      <c r="D29" s="8782" t="s">
        <v>128</v>
      </c>
      <c r="E29" s="8834" t="s">
        <v>129</v>
      </c>
      <c r="F29" s="8834" t="s">
        <v>130</v>
      </c>
      <c r="G29" s="8974" t="s">
        <v>131</v>
      </c>
      <c r="H29" s="8834" t="s">
        <v>132</v>
      </c>
      <c r="I29" s="8834" t="s">
        <v>159</v>
      </c>
      <c r="J29" s="9217" t="s">
        <v>1848</v>
      </c>
      <c r="K29" s="8834" t="s">
        <v>1849</v>
      </c>
      <c r="L29" s="8834" t="s">
        <v>1850</v>
      </c>
      <c r="M29" s="9761">
        <v>0</v>
      </c>
      <c r="N29" s="9762">
        <v>30</v>
      </c>
      <c r="O29" s="9761">
        <v>30</v>
      </c>
      <c r="P29" s="8834" t="s">
        <v>1851</v>
      </c>
      <c r="Q29" s="8834" t="s">
        <v>1852</v>
      </c>
      <c r="R29" s="9205" t="s">
        <v>1853</v>
      </c>
      <c r="S29" s="1086" t="s">
        <v>79</v>
      </c>
      <c r="T29" s="4956">
        <v>530207</v>
      </c>
      <c r="U29" s="4956"/>
      <c r="V29" s="815" t="s">
        <v>471</v>
      </c>
      <c r="W29" s="6613"/>
      <c r="X29" s="93"/>
      <c r="Y29" s="6543"/>
      <c r="Z29" s="6543"/>
      <c r="AA29" s="6543"/>
      <c r="AB29" s="8054">
        <f>+AA30</f>
        <v>0</v>
      </c>
      <c r="AC29" s="4990" t="s">
        <v>25</v>
      </c>
      <c r="AD29" s="1246"/>
      <c r="AE29" s="1061"/>
      <c r="AF29" s="1063"/>
      <c r="AG29" s="8343"/>
      <c r="AH29" s="9800"/>
    </row>
    <row r="30" spans="1:34" ht="30" customHeight="1">
      <c r="A30" s="9764"/>
      <c r="B30" s="9770"/>
      <c r="C30" s="9333"/>
      <c r="D30" s="9311"/>
      <c r="E30" s="9311"/>
      <c r="F30" s="9311"/>
      <c r="G30" s="9311"/>
      <c r="H30" s="9311"/>
      <c r="I30" s="9311"/>
      <c r="J30" s="9433"/>
      <c r="K30" s="9311"/>
      <c r="L30" s="9311"/>
      <c r="M30" s="9313"/>
      <c r="N30" s="9313"/>
      <c r="O30" s="9313"/>
      <c r="P30" s="9311"/>
      <c r="Q30" s="9311"/>
      <c r="R30" s="9433"/>
      <c r="S30" s="1305"/>
      <c r="T30" s="4958"/>
      <c r="U30" s="4953">
        <v>838190014</v>
      </c>
      <c r="V30" s="3190" t="s">
        <v>1854</v>
      </c>
      <c r="W30" s="6496">
        <v>1</v>
      </c>
      <c r="X30" s="3192" t="s">
        <v>152</v>
      </c>
      <c r="Y30" s="5056">
        <f>300/1.12</f>
        <v>267.85714285714283</v>
      </c>
      <c r="Z30" s="5056">
        <f>+W30*Y30</f>
        <v>267.85714285714283</v>
      </c>
      <c r="AA30" s="7985">
        <v>0</v>
      </c>
      <c r="AB30" s="5977"/>
      <c r="AC30" s="6553"/>
      <c r="AD30" s="1183"/>
      <c r="AE30" s="1052" t="s">
        <v>153</v>
      </c>
      <c r="AF30" s="1052" t="s">
        <v>153</v>
      </c>
      <c r="AG30" s="8344"/>
      <c r="AH30" s="9784"/>
    </row>
    <row r="31" spans="1:34" ht="30" customHeight="1">
      <c r="A31" s="9765"/>
      <c r="B31" s="9771"/>
      <c r="C31" s="9333"/>
      <c r="D31" s="9311"/>
      <c r="E31" s="9311"/>
      <c r="F31" s="9311"/>
      <c r="G31" s="9311"/>
      <c r="H31" s="9311"/>
      <c r="I31" s="9311"/>
      <c r="J31" s="9433"/>
      <c r="K31" s="9311"/>
      <c r="L31" s="9311"/>
      <c r="M31" s="9313"/>
      <c r="N31" s="9313"/>
      <c r="O31" s="9313"/>
      <c r="P31" s="9311"/>
      <c r="Q31" s="9311"/>
      <c r="R31" s="9433"/>
      <c r="S31" s="1042"/>
      <c r="T31" s="4958"/>
      <c r="U31" s="4958"/>
      <c r="V31" s="585"/>
      <c r="W31" s="6483"/>
      <c r="X31" s="90"/>
      <c r="Y31" s="6501"/>
      <c r="Z31" s="6501"/>
      <c r="AA31" s="6501"/>
      <c r="AB31" s="5977"/>
      <c r="AC31" s="6553"/>
      <c r="AD31" s="1183"/>
      <c r="AE31" s="1052"/>
      <c r="AF31" s="1052"/>
      <c r="AG31" s="8338"/>
      <c r="AH31" s="9784"/>
    </row>
    <row r="32" spans="1:34" ht="30" customHeight="1">
      <c r="A32" s="9764"/>
      <c r="B32" s="9769"/>
      <c r="C32" s="9402"/>
      <c r="D32" s="9311"/>
      <c r="E32" s="9311"/>
      <c r="F32" s="9311"/>
      <c r="G32" s="9311"/>
      <c r="H32" s="9311"/>
      <c r="I32" s="9311"/>
      <c r="J32" s="9433"/>
      <c r="K32" s="9311"/>
      <c r="L32" s="9311"/>
      <c r="M32" s="9313"/>
      <c r="N32" s="9313"/>
      <c r="O32" s="9313"/>
      <c r="P32" s="9311"/>
      <c r="Q32" s="9311"/>
      <c r="R32" s="9433"/>
      <c r="S32" s="1042"/>
      <c r="T32" s="4958"/>
      <c r="U32" s="4958"/>
      <c r="V32" s="585"/>
      <c r="W32" s="6483"/>
      <c r="X32" s="90"/>
      <c r="Y32" s="6501"/>
      <c r="Z32" s="6501"/>
      <c r="AA32" s="6501"/>
      <c r="AB32" s="5977"/>
      <c r="AC32" s="6553"/>
      <c r="AD32" s="1183"/>
      <c r="AE32" s="1052"/>
      <c r="AF32" s="1052"/>
      <c r="AG32" s="8338"/>
      <c r="AH32" s="9784"/>
    </row>
    <row r="33" spans="1:34" ht="30" customHeight="1">
      <c r="A33" s="9764"/>
      <c r="B33" s="9769"/>
      <c r="C33" s="9403"/>
      <c r="D33" s="9312"/>
      <c r="E33" s="9312"/>
      <c r="F33" s="9312"/>
      <c r="G33" s="9312"/>
      <c r="H33" s="9312"/>
      <c r="I33" s="9312"/>
      <c r="J33" s="9434"/>
      <c r="K33" s="9312"/>
      <c r="L33" s="9312"/>
      <c r="M33" s="9314"/>
      <c r="N33" s="9314"/>
      <c r="O33" s="9314"/>
      <c r="P33" s="9312"/>
      <c r="Q33" s="9312"/>
      <c r="R33" s="9434"/>
      <c r="S33" s="1067"/>
      <c r="T33" s="4969"/>
      <c r="U33" s="4969"/>
      <c r="V33" s="746"/>
      <c r="W33" s="6469"/>
      <c r="X33" s="95"/>
      <c r="Y33" s="5079"/>
      <c r="Z33" s="5079"/>
      <c r="AA33" s="5079"/>
      <c r="AB33" s="5080"/>
      <c r="AC33" s="6772"/>
      <c r="AD33" s="1222"/>
      <c r="AE33" s="1069"/>
      <c r="AF33" s="1069"/>
      <c r="AG33" s="8339"/>
      <c r="AH33" s="9785"/>
    </row>
    <row r="34" spans="1:34" ht="21" customHeight="1">
      <c r="A34" s="9764"/>
      <c r="B34" s="9769"/>
      <c r="C34" s="8976" t="s">
        <v>127</v>
      </c>
      <c r="D34" s="8782" t="s">
        <v>128</v>
      </c>
      <c r="E34" s="8782" t="s">
        <v>140</v>
      </c>
      <c r="F34" s="8782" t="s">
        <v>597</v>
      </c>
      <c r="G34" s="8977" t="s">
        <v>131</v>
      </c>
      <c r="H34" s="8782" t="s">
        <v>213</v>
      </c>
      <c r="I34" s="8782" t="s">
        <v>159</v>
      </c>
      <c r="J34" s="9217" t="s">
        <v>1855</v>
      </c>
      <c r="K34" s="8782" t="s">
        <v>286</v>
      </c>
      <c r="L34" s="8782" t="s">
        <v>1856</v>
      </c>
      <c r="M34" s="8975">
        <v>0</v>
      </c>
      <c r="N34" s="8975">
        <v>1</v>
      </c>
      <c r="O34" s="8975">
        <v>1</v>
      </c>
      <c r="P34" s="8782" t="s">
        <v>1857</v>
      </c>
      <c r="Q34" s="9258" t="s">
        <v>1577</v>
      </c>
      <c r="R34" s="9217" t="s">
        <v>1858</v>
      </c>
      <c r="S34" s="1059"/>
      <c r="T34" s="4956"/>
      <c r="U34" s="4956"/>
      <c r="V34" s="815"/>
      <c r="W34" s="6613"/>
      <c r="X34" s="93"/>
      <c r="Y34" s="6543"/>
      <c r="Z34" s="6543"/>
      <c r="AA34" s="6543"/>
      <c r="AB34" s="6661"/>
      <c r="AC34" s="4990"/>
      <c r="AD34" s="1246"/>
      <c r="AE34" s="1061"/>
      <c r="AF34" s="1076"/>
      <c r="AG34" s="8340"/>
      <c r="AH34" s="9783"/>
    </row>
    <row r="35" spans="1:34" ht="29.25" customHeight="1">
      <c r="A35" s="9764"/>
      <c r="B35" s="9769"/>
      <c r="C35" s="9402"/>
      <c r="D35" s="9311"/>
      <c r="E35" s="9311"/>
      <c r="F35" s="9311"/>
      <c r="G35" s="9311"/>
      <c r="H35" s="9311"/>
      <c r="I35" s="9311"/>
      <c r="J35" s="9433"/>
      <c r="K35" s="9311"/>
      <c r="L35" s="9311"/>
      <c r="M35" s="9313"/>
      <c r="N35" s="9313"/>
      <c r="O35" s="9313"/>
      <c r="P35" s="9311"/>
      <c r="Q35" s="9311"/>
      <c r="R35" s="9433"/>
      <c r="S35" s="1305"/>
      <c r="T35" s="4958"/>
      <c r="U35" s="4958"/>
      <c r="V35" s="585"/>
      <c r="W35" s="6483"/>
      <c r="X35" s="90"/>
      <c r="Y35" s="6501"/>
      <c r="Z35" s="6501"/>
      <c r="AA35" s="6501"/>
      <c r="AB35" s="5977"/>
      <c r="AC35" s="6553"/>
      <c r="AD35" s="1183"/>
      <c r="AE35" s="1052"/>
      <c r="AF35" s="1074"/>
      <c r="AG35" s="8338"/>
      <c r="AH35" s="9784"/>
    </row>
    <row r="36" spans="1:34" ht="21" customHeight="1">
      <c r="A36" s="9764"/>
      <c r="B36" s="9769"/>
      <c r="C36" s="9402"/>
      <c r="D36" s="9311"/>
      <c r="E36" s="9311"/>
      <c r="F36" s="9311"/>
      <c r="G36" s="9311"/>
      <c r="H36" s="9311"/>
      <c r="I36" s="9311"/>
      <c r="J36" s="9433"/>
      <c r="K36" s="9311"/>
      <c r="L36" s="9311"/>
      <c r="M36" s="9313"/>
      <c r="N36" s="9313"/>
      <c r="O36" s="9313"/>
      <c r="P36" s="9311"/>
      <c r="Q36" s="9311"/>
      <c r="R36" s="9433"/>
      <c r="S36" s="1042"/>
      <c r="T36" s="4958"/>
      <c r="U36" s="4958"/>
      <c r="V36" s="585"/>
      <c r="W36" s="6483"/>
      <c r="X36" s="90"/>
      <c r="Y36" s="6501"/>
      <c r="Z36" s="6501"/>
      <c r="AA36" s="6501"/>
      <c r="AB36" s="5977"/>
      <c r="AC36" s="6553"/>
      <c r="AD36" s="1183"/>
      <c r="AE36" s="1052"/>
      <c r="AF36" s="1074"/>
      <c r="AG36" s="8338"/>
      <c r="AH36" s="9784"/>
    </row>
    <row r="37" spans="1:34" ht="21" customHeight="1">
      <c r="A37" s="9764"/>
      <c r="B37" s="9769"/>
      <c r="C37" s="9402"/>
      <c r="D37" s="9311"/>
      <c r="E37" s="9311"/>
      <c r="F37" s="9311"/>
      <c r="G37" s="9311"/>
      <c r="H37" s="9311"/>
      <c r="I37" s="9311"/>
      <c r="J37" s="9433"/>
      <c r="K37" s="9311"/>
      <c r="L37" s="9311"/>
      <c r="M37" s="9313"/>
      <c r="N37" s="9313"/>
      <c r="O37" s="9313"/>
      <c r="P37" s="9311"/>
      <c r="Q37" s="9311"/>
      <c r="R37" s="9433"/>
      <c r="S37" s="1042"/>
      <c r="T37" s="4958"/>
      <c r="U37" s="4958"/>
      <c r="V37" s="585"/>
      <c r="W37" s="6483"/>
      <c r="X37" s="90"/>
      <c r="Y37" s="6501"/>
      <c r="Z37" s="6501"/>
      <c r="AA37" s="6501"/>
      <c r="AB37" s="5977"/>
      <c r="AC37" s="6553"/>
      <c r="AD37" s="1183"/>
      <c r="AE37" s="1052"/>
      <c r="AF37" s="1074"/>
      <c r="AG37" s="8338"/>
      <c r="AH37" s="9784"/>
    </row>
    <row r="38" spans="1:34" ht="45.75" customHeight="1">
      <c r="A38" s="9764"/>
      <c r="B38" s="9769"/>
      <c r="C38" s="9403"/>
      <c r="D38" s="9312"/>
      <c r="E38" s="9312"/>
      <c r="F38" s="9312"/>
      <c r="G38" s="9312"/>
      <c r="H38" s="9312"/>
      <c r="I38" s="9312"/>
      <c r="J38" s="9434"/>
      <c r="K38" s="9312"/>
      <c r="L38" s="9312"/>
      <c r="M38" s="9314"/>
      <c r="N38" s="9314"/>
      <c r="O38" s="9314"/>
      <c r="P38" s="9312"/>
      <c r="Q38" s="9312"/>
      <c r="R38" s="9434"/>
      <c r="S38" s="1067"/>
      <c r="T38" s="4969"/>
      <c r="U38" s="4969"/>
      <c r="V38" s="746"/>
      <c r="W38" s="6469"/>
      <c r="X38" s="95"/>
      <c r="Y38" s="5079"/>
      <c r="Z38" s="5079"/>
      <c r="AA38" s="5079"/>
      <c r="AB38" s="5080"/>
      <c r="AC38" s="6772"/>
      <c r="AD38" s="1222"/>
      <c r="AE38" s="1069"/>
      <c r="AF38" s="1079"/>
      <c r="AG38" s="8339"/>
      <c r="AH38" s="9785"/>
    </row>
    <row r="39" spans="1:34" ht="69.75" customHeight="1">
      <c r="A39" s="9764"/>
      <c r="B39" s="9769"/>
      <c r="C39" s="8976" t="s">
        <v>127</v>
      </c>
      <c r="D39" s="8782" t="s">
        <v>128</v>
      </c>
      <c r="E39" s="8782" t="s">
        <v>129</v>
      </c>
      <c r="F39" s="8782" t="s">
        <v>268</v>
      </c>
      <c r="G39" s="8977" t="s">
        <v>131</v>
      </c>
      <c r="H39" s="8782" t="s">
        <v>213</v>
      </c>
      <c r="I39" s="8782" t="s">
        <v>159</v>
      </c>
      <c r="J39" s="9217" t="s">
        <v>1859</v>
      </c>
      <c r="K39" s="9258" t="s">
        <v>1378</v>
      </c>
      <c r="L39" s="8782" t="s">
        <v>1860</v>
      </c>
      <c r="M39" s="8823">
        <v>50</v>
      </c>
      <c r="N39" s="8823">
        <v>50</v>
      </c>
      <c r="O39" s="8823">
        <v>50</v>
      </c>
      <c r="P39" s="8782" t="s">
        <v>1861</v>
      </c>
      <c r="Q39" s="9258" t="s">
        <v>1862</v>
      </c>
      <c r="R39" s="9217" t="s">
        <v>1863</v>
      </c>
      <c r="S39" s="6049" t="s">
        <v>15</v>
      </c>
      <c r="T39" s="1959">
        <v>840103</v>
      </c>
      <c r="U39" s="1959" t="s">
        <v>294</v>
      </c>
      <c r="V39" s="3511" t="s">
        <v>591</v>
      </c>
      <c r="W39" s="1960" t="s">
        <v>294</v>
      </c>
      <c r="X39" s="1961" t="s">
        <v>294</v>
      </c>
      <c r="Y39" s="6760" t="s">
        <v>294</v>
      </c>
      <c r="Z39" s="6760" t="s">
        <v>294</v>
      </c>
      <c r="AA39" s="6760" t="s">
        <v>294</v>
      </c>
      <c r="AB39" s="6767">
        <f>+AA40</f>
        <v>603.19000000000005</v>
      </c>
      <c r="AC39" s="4990" t="s">
        <v>18</v>
      </c>
      <c r="AD39" s="1722" t="s">
        <v>294</v>
      </c>
      <c r="AE39" s="1061"/>
      <c r="AF39" s="1076"/>
      <c r="AG39" s="8340"/>
      <c r="AH39" s="9783"/>
    </row>
    <row r="40" spans="1:34" ht="69.75" customHeight="1">
      <c r="A40" s="9764"/>
      <c r="B40" s="9769"/>
      <c r="C40" s="9402"/>
      <c r="D40" s="9311"/>
      <c r="E40" s="9311"/>
      <c r="F40" s="9311"/>
      <c r="G40" s="9311"/>
      <c r="H40" s="9311"/>
      <c r="I40" s="9311"/>
      <c r="J40" s="9433"/>
      <c r="K40" s="9311"/>
      <c r="L40" s="9311"/>
      <c r="M40" s="9313"/>
      <c r="N40" s="9313"/>
      <c r="O40" s="9313"/>
      <c r="P40" s="9311"/>
      <c r="Q40" s="9311"/>
      <c r="R40" s="9433"/>
      <c r="S40" s="1723" t="s">
        <v>294</v>
      </c>
      <c r="T40" s="1962" t="s">
        <v>294</v>
      </c>
      <c r="U40" s="1962">
        <v>446400111</v>
      </c>
      <c r="V40" s="3512" t="s">
        <v>1864</v>
      </c>
      <c r="W40" s="3297">
        <v>1</v>
      </c>
      <c r="X40" s="3298" t="s">
        <v>180</v>
      </c>
      <c r="Y40" s="6762">
        <f>603.19/1.12</f>
        <v>538.5625</v>
      </c>
      <c r="Z40" s="6762">
        <f>+W40*Y40</f>
        <v>538.5625</v>
      </c>
      <c r="AA40" s="6762">
        <f>+Z40*1.12</f>
        <v>603.19000000000005</v>
      </c>
      <c r="AB40" s="6763" t="s">
        <v>294</v>
      </c>
      <c r="AC40" s="6776" t="s">
        <v>294</v>
      </c>
      <c r="AD40" s="1719"/>
      <c r="AE40" s="1719"/>
      <c r="AF40" s="1074"/>
      <c r="AG40" s="8338" t="s">
        <v>153</v>
      </c>
      <c r="AH40" s="9784"/>
    </row>
    <row r="41" spans="1:34" ht="69.75" customHeight="1">
      <c r="A41" s="9764"/>
      <c r="B41" s="9769"/>
      <c r="C41" s="9402"/>
      <c r="D41" s="9311"/>
      <c r="E41" s="9311"/>
      <c r="F41" s="9311"/>
      <c r="G41" s="9311"/>
      <c r="H41" s="9311"/>
      <c r="I41" s="9311"/>
      <c r="J41" s="9433"/>
      <c r="K41" s="9311"/>
      <c r="L41" s="9311"/>
      <c r="M41" s="9313"/>
      <c r="N41" s="9313"/>
      <c r="O41" s="9313"/>
      <c r="P41" s="9311"/>
      <c r="Q41" s="9311"/>
      <c r="R41" s="9433"/>
      <c r="S41" s="1305"/>
      <c r="T41" s="4959"/>
      <c r="U41" s="4959"/>
      <c r="V41" s="3515"/>
      <c r="W41" s="6473"/>
      <c r="X41" s="1052"/>
      <c r="Y41" s="5043"/>
      <c r="Z41" s="5043"/>
      <c r="AA41" s="5043"/>
      <c r="AB41" s="5044"/>
      <c r="AC41" s="6553"/>
      <c r="AD41" s="1183"/>
      <c r="AE41" s="1052"/>
      <c r="AF41" s="1074"/>
      <c r="AG41" s="8338"/>
      <c r="AH41" s="9784"/>
    </row>
    <row r="42" spans="1:34" ht="69.75" customHeight="1">
      <c r="A42" s="9764"/>
      <c r="B42" s="9769"/>
      <c r="C42" s="9402"/>
      <c r="D42" s="9311"/>
      <c r="E42" s="9311"/>
      <c r="F42" s="9311"/>
      <c r="G42" s="9311"/>
      <c r="H42" s="9311"/>
      <c r="I42" s="9311"/>
      <c r="J42" s="9433"/>
      <c r="K42" s="9311"/>
      <c r="L42" s="9311"/>
      <c r="M42" s="9313"/>
      <c r="N42" s="9313"/>
      <c r="O42" s="9313"/>
      <c r="P42" s="9311"/>
      <c r="Q42" s="9311"/>
      <c r="R42" s="9433"/>
      <c r="S42" s="1042"/>
      <c r="T42" s="4959"/>
      <c r="U42" s="4959"/>
      <c r="V42" s="3515"/>
      <c r="W42" s="6473"/>
      <c r="X42" s="1052"/>
      <c r="Y42" s="5043"/>
      <c r="Z42" s="5043"/>
      <c r="AA42" s="5043"/>
      <c r="AB42" s="5044"/>
      <c r="AC42" s="6553"/>
      <c r="AD42" s="1183"/>
      <c r="AE42" s="1052"/>
      <c r="AF42" s="1074"/>
      <c r="AG42" s="8338"/>
      <c r="AH42" s="9784"/>
    </row>
    <row r="43" spans="1:34" ht="69.75" customHeight="1">
      <c r="A43" s="9764"/>
      <c r="B43" s="9769"/>
      <c r="C43" s="9452"/>
      <c r="D43" s="9322"/>
      <c r="E43" s="9322"/>
      <c r="F43" s="9322"/>
      <c r="G43" s="9322"/>
      <c r="H43" s="9322"/>
      <c r="I43" s="9322"/>
      <c r="J43" s="9435"/>
      <c r="K43" s="9322"/>
      <c r="L43" s="9322"/>
      <c r="M43" s="9330"/>
      <c r="N43" s="9330"/>
      <c r="O43" s="9330"/>
      <c r="P43" s="9322"/>
      <c r="Q43" s="9322"/>
      <c r="R43" s="9435"/>
      <c r="S43" s="5385"/>
      <c r="T43" s="6757"/>
      <c r="U43" s="6757"/>
      <c r="V43" s="5386"/>
      <c r="W43" s="6759"/>
      <c r="X43" s="5387"/>
      <c r="Y43" s="6768"/>
      <c r="Z43" s="6768"/>
      <c r="AA43" s="6768"/>
      <c r="AB43" s="6769"/>
      <c r="AC43" s="6777"/>
      <c r="AD43" s="5388"/>
      <c r="AE43" s="5387"/>
      <c r="AF43" s="5389"/>
      <c r="AG43" s="8345"/>
      <c r="AH43" s="9786"/>
    </row>
    <row r="44" spans="1:34" s="6048" customFormat="1" ht="30" customHeight="1" thickBot="1">
      <c r="A44" s="9766"/>
      <c r="B44" s="9772"/>
      <c r="C44" s="6054"/>
      <c r="D44" s="6054"/>
      <c r="E44" s="6054"/>
      <c r="F44" s="6054"/>
      <c r="G44" s="6054"/>
      <c r="H44" s="6054"/>
      <c r="I44" s="6054"/>
      <c r="J44" s="6054"/>
      <c r="K44" s="6054"/>
      <c r="L44" s="6054"/>
      <c r="M44" s="6054"/>
      <c r="N44" s="6054"/>
      <c r="O44" s="6054"/>
      <c r="P44" s="6054"/>
      <c r="Q44" s="6054"/>
      <c r="R44" s="6054"/>
      <c r="S44" s="9787" t="s">
        <v>1865</v>
      </c>
      <c r="T44" s="9788"/>
      <c r="U44" s="9788"/>
      <c r="V44" s="9788"/>
      <c r="W44" s="9788"/>
      <c r="X44" s="9788"/>
      <c r="Y44" s="9788"/>
      <c r="Z44" s="9788"/>
      <c r="AA44" s="6055" t="s">
        <v>292</v>
      </c>
      <c r="AB44" s="6052">
        <f>SUM(AB9:AB43)</f>
        <v>3675.31</v>
      </c>
      <c r="AC44" s="6770"/>
      <c r="AD44" s="6056"/>
      <c r="AE44" s="9789"/>
      <c r="AF44" s="9790"/>
      <c r="AG44" s="9790"/>
      <c r="AH44" s="9791"/>
    </row>
    <row r="45" spans="1:34" ht="32.25" customHeight="1">
      <c r="A45" s="9829" t="s">
        <v>1866</v>
      </c>
      <c r="B45" s="9833" t="s">
        <v>1866</v>
      </c>
      <c r="C45" s="8901" t="s">
        <v>127</v>
      </c>
      <c r="D45" s="8790" t="s">
        <v>128</v>
      </c>
      <c r="E45" s="8790" t="s">
        <v>129</v>
      </c>
      <c r="F45" s="8790" t="s">
        <v>268</v>
      </c>
      <c r="G45" s="8869" t="s">
        <v>131</v>
      </c>
      <c r="H45" s="8790" t="s">
        <v>132</v>
      </c>
      <c r="I45" s="8790" t="s">
        <v>133</v>
      </c>
      <c r="J45" s="8870" t="s">
        <v>1867</v>
      </c>
      <c r="K45" s="8790" t="s">
        <v>1868</v>
      </c>
      <c r="L45" s="8790" t="s">
        <v>1869</v>
      </c>
      <c r="M45" s="8798">
        <v>4</v>
      </c>
      <c r="N45" s="931" t="s">
        <v>294</v>
      </c>
      <c r="O45" s="8798">
        <v>4</v>
      </c>
      <c r="P45" s="8790" t="s">
        <v>1870</v>
      </c>
      <c r="Q45" s="8790" t="s">
        <v>1871</v>
      </c>
      <c r="R45" s="8792" t="s">
        <v>1872</v>
      </c>
      <c r="S45" s="814"/>
      <c r="T45" s="4963"/>
      <c r="U45" s="4963"/>
      <c r="V45" s="587"/>
      <c r="W45" s="6485"/>
      <c r="X45" s="461"/>
      <c r="Y45" s="6499"/>
      <c r="Z45" s="6499"/>
      <c r="AA45" s="6499"/>
      <c r="AB45" s="6500"/>
      <c r="AC45" s="6560"/>
      <c r="AD45" s="938"/>
      <c r="AE45" s="461"/>
      <c r="AF45" s="462"/>
      <c r="AG45" s="8346"/>
      <c r="AH45" s="9825"/>
    </row>
    <row r="46" spans="1:34" ht="32.25" customHeight="1">
      <c r="A46" s="9830"/>
      <c r="B46" s="9834"/>
      <c r="C46" s="8901"/>
      <c r="D46" s="8790"/>
      <c r="E46" s="8790"/>
      <c r="F46" s="8790"/>
      <c r="G46" s="8869"/>
      <c r="H46" s="8790"/>
      <c r="I46" s="8790"/>
      <c r="J46" s="8870"/>
      <c r="K46" s="8790"/>
      <c r="L46" s="8790"/>
      <c r="M46" s="8798"/>
      <c r="N46" s="931" t="s">
        <v>294</v>
      </c>
      <c r="O46" s="8798"/>
      <c r="P46" s="8790"/>
      <c r="Q46" s="8790"/>
      <c r="R46" s="8792"/>
      <c r="S46" s="935"/>
      <c r="T46" s="4958"/>
      <c r="U46" s="4958"/>
      <c r="V46" s="585"/>
      <c r="W46" s="6483"/>
      <c r="X46" s="90"/>
      <c r="Y46" s="6501"/>
      <c r="Z46" s="6501"/>
      <c r="AA46" s="6501"/>
      <c r="AB46" s="5977"/>
      <c r="AC46" s="6748"/>
      <c r="AD46" s="366"/>
      <c r="AE46" s="90"/>
      <c r="AF46" s="92"/>
      <c r="AG46" s="8347"/>
      <c r="AH46" s="9712"/>
    </row>
    <row r="47" spans="1:34" ht="32.25" customHeight="1">
      <c r="A47" s="9830"/>
      <c r="B47" s="9834"/>
      <c r="C47" s="8901"/>
      <c r="D47" s="8790"/>
      <c r="E47" s="8790"/>
      <c r="F47" s="8790"/>
      <c r="G47" s="8869"/>
      <c r="H47" s="8790"/>
      <c r="I47" s="8790"/>
      <c r="J47" s="8870"/>
      <c r="K47" s="8790"/>
      <c r="L47" s="8790"/>
      <c r="M47" s="8798"/>
      <c r="N47" s="931">
        <v>4</v>
      </c>
      <c r="O47" s="8798"/>
      <c r="P47" s="8790"/>
      <c r="Q47" s="8790"/>
      <c r="R47" s="8792"/>
      <c r="S47" s="811"/>
      <c r="T47" s="4958"/>
      <c r="U47" s="4958"/>
      <c r="V47" s="585"/>
      <c r="W47" s="6483"/>
      <c r="X47" s="90"/>
      <c r="Y47" s="6501"/>
      <c r="Z47" s="6501"/>
      <c r="AA47" s="6501"/>
      <c r="AB47" s="5977"/>
      <c r="AC47" s="6748"/>
      <c r="AD47" s="366"/>
      <c r="AE47" s="90"/>
      <c r="AF47" s="92"/>
      <c r="AG47" s="8347"/>
      <c r="AH47" s="9712"/>
    </row>
    <row r="48" spans="1:34" ht="32.25" customHeight="1">
      <c r="A48" s="9830"/>
      <c r="B48" s="9834"/>
      <c r="C48" s="8901"/>
      <c r="D48" s="8790"/>
      <c r="E48" s="8790"/>
      <c r="F48" s="8790"/>
      <c r="G48" s="8869"/>
      <c r="H48" s="8790"/>
      <c r="I48" s="8790"/>
      <c r="J48" s="8870"/>
      <c r="K48" s="8790"/>
      <c r="L48" s="8790"/>
      <c r="M48" s="8798"/>
      <c r="N48" s="931" t="s">
        <v>294</v>
      </c>
      <c r="O48" s="8798"/>
      <c r="P48" s="8790"/>
      <c r="Q48" s="8790"/>
      <c r="R48" s="8792"/>
      <c r="S48" s="811"/>
      <c r="T48" s="4958"/>
      <c r="U48" s="4958"/>
      <c r="V48" s="585"/>
      <c r="W48" s="6483"/>
      <c r="X48" s="90"/>
      <c r="Y48" s="6501"/>
      <c r="Z48" s="6501"/>
      <c r="AA48" s="6501"/>
      <c r="AB48" s="5977"/>
      <c r="AC48" s="6748"/>
      <c r="AD48" s="366"/>
      <c r="AE48" s="90"/>
      <c r="AF48" s="92"/>
      <c r="AG48" s="8347"/>
      <c r="AH48" s="9712"/>
    </row>
    <row r="49" spans="1:34" ht="32.25" customHeight="1">
      <c r="A49" s="9830"/>
      <c r="B49" s="9834"/>
      <c r="C49" s="8902"/>
      <c r="D49" s="8790"/>
      <c r="E49" s="8886"/>
      <c r="F49" s="8886"/>
      <c r="G49" s="8903"/>
      <c r="H49" s="8886"/>
      <c r="I49" s="8886"/>
      <c r="J49" s="9826"/>
      <c r="K49" s="8886"/>
      <c r="L49" s="8886"/>
      <c r="M49" s="9824"/>
      <c r="N49" s="932" t="s">
        <v>294</v>
      </c>
      <c r="O49" s="9824"/>
      <c r="P49" s="8886"/>
      <c r="Q49" s="8886"/>
      <c r="R49" s="9041"/>
      <c r="S49" s="812"/>
      <c r="T49" s="4969"/>
      <c r="U49" s="4969"/>
      <c r="V49" s="746"/>
      <c r="W49" s="6469"/>
      <c r="X49" s="95"/>
      <c r="Y49" s="5079"/>
      <c r="Z49" s="5079"/>
      <c r="AA49" s="5079"/>
      <c r="AB49" s="5080"/>
      <c r="AC49" s="6778"/>
      <c r="AD49" s="936"/>
      <c r="AE49" s="95"/>
      <c r="AF49" s="97"/>
      <c r="AG49" s="8348"/>
      <c r="AH49" s="9713"/>
    </row>
    <row r="50" spans="1:34" ht="32.25" customHeight="1">
      <c r="A50" s="9830"/>
      <c r="B50" s="9834"/>
      <c r="C50" s="8901" t="s">
        <v>127</v>
      </c>
      <c r="D50" s="8795" t="s">
        <v>128</v>
      </c>
      <c r="E50" s="8790" t="s">
        <v>129</v>
      </c>
      <c r="F50" s="8790" t="s">
        <v>268</v>
      </c>
      <c r="G50" s="8869" t="s">
        <v>131</v>
      </c>
      <c r="H50" s="8790" t="s">
        <v>132</v>
      </c>
      <c r="I50" s="8790" t="s">
        <v>159</v>
      </c>
      <c r="J50" s="8790" t="s">
        <v>1873</v>
      </c>
      <c r="K50" s="8790" t="s">
        <v>1874</v>
      </c>
      <c r="L50" s="8790" t="s">
        <v>1875</v>
      </c>
      <c r="M50" s="8798">
        <v>6</v>
      </c>
      <c r="N50" s="8798">
        <v>4</v>
      </c>
      <c r="O50" s="8798">
        <v>4</v>
      </c>
      <c r="P50" s="8790" t="s">
        <v>1876</v>
      </c>
      <c r="Q50" s="8790" t="s">
        <v>1877</v>
      </c>
      <c r="R50" s="8792" t="s">
        <v>1878</v>
      </c>
      <c r="S50" s="813"/>
      <c r="T50" s="4956"/>
      <c r="U50" s="4956"/>
      <c r="V50" s="815"/>
      <c r="W50" s="6613"/>
      <c r="X50" s="93"/>
      <c r="Y50" s="6543"/>
      <c r="Z50" s="6543"/>
      <c r="AA50" s="6543"/>
      <c r="AB50" s="6661"/>
      <c r="AC50" s="5008"/>
      <c r="AD50" s="937"/>
      <c r="AE50" s="93"/>
      <c r="AF50" s="94"/>
      <c r="AG50" s="8349"/>
      <c r="AH50" s="9792"/>
    </row>
    <row r="51" spans="1:34" ht="32.25" customHeight="1">
      <c r="A51" s="9830"/>
      <c r="B51" s="9834"/>
      <c r="C51" s="8901"/>
      <c r="D51" s="8790"/>
      <c r="E51" s="8790"/>
      <c r="F51" s="8790"/>
      <c r="G51" s="8869"/>
      <c r="H51" s="8790"/>
      <c r="I51" s="8790"/>
      <c r="J51" s="8790"/>
      <c r="K51" s="8790"/>
      <c r="L51" s="8790"/>
      <c r="M51" s="8798"/>
      <c r="N51" s="8798"/>
      <c r="O51" s="8798"/>
      <c r="P51" s="8790"/>
      <c r="Q51" s="8790"/>
      <c r="R51" s="8792"/>
      <c r="S51" s="935"/>
      <c r="T51" s="4958"/>
      <c r="U51" s="4958"/>
      <c r="V51" s="585"/>
      <c r="W51" s="6483"/>
      <c r="X51" s="90"/>
      <c r="Y51" s="6501"/>
      <c r="Z51" s="6501"/>
      <c r="AA51" s="6501"/>
      <c r="AB51" s="5977"/>
      <c r="AC51" s="6748"/>
      <c r="AD51" s="366"/>
      <c r="AE51" s="90"/>
      <c r="AF51" s="92"/>
      <c r="AG51" s="8347"/>
      <c r="AH51" s="9712"/>
    </row>
    <row r="52" spans="1:34" ht="32.25" customHeight="1">
      <c r="A52" s="9830"/>
      <c r="B52" s="9834"/>
      <c r="C52" s="8901"/>
      <c r="D52" s="8790"/>
      <c r="E52" s="8790"/>
      <c r="F52" s="8790"/>
      <c r="G52" s="8869"/>
      <c r="H52" s="8790"/>
      <c r="I52" s="8790"/>
      <c r="J52" s="8790"/>
      <c r="K52" s="8790"/>
      <c r="L52" s="8790"/>
      <c r="M52" s="8798"/>
      <c r="N52" s="8798"/>
      <c r="O52" s="8798"/>
      <c r="P52" s="8790"/>
      <c r="Q52" s="8790"/>
      <c r="R52" s="8792"/>
      <c r="S52" s="811"/>
      <c r="T52" s="4958"/>
      <c r="U52" s="4958"/>
      <c r="V52" s="585"/>
      <c r="W52" s="6483"/>
      <c r="X52" s="90"/>
      <c r="Y52" s="6501"/>
      <c r="Z52" s="6501"/>
      <c r="AA52" s="6501"/>
      <c r="AB52" s="5977"/>
      <c r="AC52" s="6748"/>
      <c r="AD52" s="366"/>
      <c r="AE52" s="90"/>
      <c r="AF52" s="92"/>
      <c r="AG52" s="8347"/>
      <c r="AH52" s="9712"/>
    </row>
    <row r="53" spans="1:34" ht="32.25" customHeight="1">
      <c r="A53" s="9830"/>
      <c r="B53" s="9834"/>
      <c r="C53" s="8901"/>
      <c r="D53" s="8790"/>
      <c r="E53" s="8790"/>
      <c r="F53" s="8790"/>
      <c r="G53" s="8869"/>
      <c r="H53" s="8790"/>
      <c r="I53" s="8790"/>
      <c r="J53" s="8790"/>
      <c r="K53" s="8790"/>
      <c r="L53" s="8790"/>
      <c r="M53" s="8798"/>
      <c r="N53" s="8798"/>
      <c r="O53" s="8798"/>
      <c r="P53" s="8790"/>
      <c r="Q53" s="8790"/>
      <c r="R53" s="8792"/>
      <c r="S53" s="811"/>
      <c r="T53" s="4958"/>
      <c r="U53" s="4958"/>
      <c r="V53" s="585"/>
      <c r="W53" s="6483"/>
      <c r="X53" s="90"/>
      <c r="Y53" s="6501"/>
      <c r="Z53" s="6501"/>
      <c r="AA53" s="6501"/>
      <c r="AB53" s="5977"/>
      <c r="AC53" s="6748"/>
      <c r="AD53" s="366"/>
      <c r="AE53" s="90"/>
      <c r="AF53" s="92"/>
      <c r="AG53" s="8347"/>
      <c r="AH53" s="9712"/>
    </row>
    <row r="54" spans="1:34" ht="32.25" customHeight="1">
      <c r="A54" s="9830"/>
      <c r="B54" s="9834"/>
      <c r="C54" s="8902"/>
      <c r="D54" s="8796"/>
      <c r="E54" s="8886"/>
      <c r="F54" s="8886"/>
      <c r="G54" s="8903"/>
      <c r="H54" s="8886"/>
      <c r="I54" s="8886"/>
      <c r="J54" s="8886"/>
      <c r="K54" s="8886"/>
      <c r="L54" s="8886"/>
      <c r="M54" s="9824"/>
      <c r="N54" s="9824"/>
      <c r="O54" s="9824"/>
      <c r="P54" s="8886"/>
      <c r="Q54" s="8886"/>
      <c r="R54" s="9041"/>
      <c r="S54" s="812"/>
      <c r="T54" s="4969"/>
      <c r="U54" s="4969"/>
      <c r="V54" s="746"/>
      <c r="W54" s="6469"/>
      <c r="X54" s="95"/>
      <c r="Y54" s="5079"/>
      <c r="Z54" s="5079"/>
      <c r="AA54" s="5079"/>
      <c r="AB54" s="5080"/>
      <c r="AC54" s="6778"/>
      <c r="AD54" s="936"/>
      <c r="AE54" s="95"/>
      <c r="AF54" s="97"/>
      <c r="AG54" s="8348"/>
      <c r="AH54" s="9713"/>
    </row>
    <row r="55" spans="1:34" ht="32.25" customHeight="1">
      <c r="A55" s="9830"/>
      <c r="B55" s="9834"/>
      <c r="C55" s="8901" t="s">
        <v>127</v>
      </c>
      <c r="D55" s="8790" t="s">
        <v>128</v>
      </c>
      <c r="E55" s="8790" t="s">
        <v>129</v>
      </c>
      <c r="F55" s="8790" t="s">
        <v>268</v>
      </c>
      <c r="G55" s="8869" t="s">
        <v>131</v>
      </c>
      <c r="H55" s="8790" t="s">
        <v>132</v>
      </c>
      <c r="I55" s="8790" t="s">
        <v>159</v>
      </c>
      <c r="J55" s="8879" t="s">
        <v>1879</v>
      </c>
      <c r="K55" s="8790" t="s">
        <v>1880</v>
      </c>
      <c r="L55" s="8790" t="s">
        <v>1881</v>
      </c>
      <c r="M55" s="8883">
        <v>8</v>
      </c>
      <c r="N55" s="933" t="s">
        <v>294</v>
      </c>
      <c r="O55" s="8883">
        <v>8</v>
      </c>
      <c r="P55" s="8790" t="s">
        <v>1882</v>
      </c>
      <c r="Q55" s="8790" t="s">
        <v>1883</v>
      </c>
      <c r="R55" s="8792" t="s">
        <v>1884</v>
      </c>
      <c r="S55" s="813"/>
      <c r="T55" s="4956"/>
      <c r="U55" s="4956"/>
      <c r="V55" s="815"/>
      <c r="W55" s="6613"/>
      <c r="X55" s="93"/>
      <c r="Y55" s="6543"/>
      <c r="Z55" s="6543"/>
      <c r="AA55" s="6543"/>
      <c r="AB55" s="6661"/>
      <c r="AC55" s="5008"/>
      <c r="AD55" s="937"/>
      <c r="AE55" s="93"/>
      <c r="AF55" s="94"/>
      <c r="AG55" s="8349"/>
      <c r="AH55" s="9792"/>
    </row>
    <row r="56" spans="1:34" ht="32.25" customHeight="1">
      <c r="A56" s="9830"/>
      <c r="B56" s="9834"/>
      <c r="C56" s="8901"/>
      <c r="D56" s="8790"/>
      <c r="E56" s="8790"/>
      <c r="F56" s="8790"/>
      <c r="G56" s="8869"/>
      <c r="H56" s="8790"/>
      <c r="I56" s="8790"/>
      <c r="J56" s="8879"/>
      <c r="K56" s="8790"/>
      <c r="L56" s="8790"/>
      <c r="M56" s="8883"/>
      <c r="N56" s="933" t="s">
        <v>294</v>
      </c>
      <c r="O56" s="8883"/>
      <c r="P56" s="8790"/>
      <c r="Q56" s="8790"/>
      <c r="R56" s="8792"/>
      <c r="S56" s="935"/>
      <c r="T56" s="4958"/>
      <c r="U56" s="4958"/>
      <c r="V56" s="585"/>
      <c r="W56" s="6483"/>
      <c r="X56" s="90"/>
      <c r="Y56" s="6501"/>
      <c r="Z56" s="6501"/>
      <c r="AA56" s="6501"/>
      <c r="AB56" s="5977"/>
      <c r="AC56" s="6748"/>
      <c r="AD56" s="366"/>
      <c r="AE56" s="90"/>
      <c r="AF56" s="92"/>
      <c r="AG56" s="8347"/>
      <c r="AH56" s="9712"/>
    </row>
    <row r="57" spans="1:34" ht="32.25" customHeight="1">
      <c r="A57" s="9830"/>
      <c r="B57" s="9834"/>
      <c r="C57" s="8901"/>
      <c r="D57" s="8790"/>
      <c r="E57" s="8790"/>
      <c r="F57" s="8790"/>
      <c r="G57" s="8869"/>
      <c r="H57" s="8790"/>
      <c r="I57" s="8790"/>
      <c r="J57" s="8879"/>
      <c r="K57" s="8790"/>
      <c r="L57" s="8790"/>
      <c r="M57" s="8883"/>
      <c r="N57" s="933">
        <v>8</v>
      </c>
      <c r="O57" s="8883"/>
      <c r="P57" s="8790"/>
      <c r="Q57" s="8790"/>
      <c r="R57" s="8792"/>
      <c r="S57" s="811"/>
      <c r="T57" s="4958"/>
      <c r="U57" s="4958"/>
      <c r="V57" s="585"/>
      <c r="W57" s="6483"/>
      <c r="X57" s="90"/>
      <c r="Y57" s="6501"/>
      <c r="Z57" s="6501"/>
      <c r="AA57" s="6501"/>
      <c r="AB57" s="5977"/>
      <c r="AC57" s="6748"/>
      <c r="AD57" s="366"/>
      <c r="AE57" s="90"/>
      <c r="AF57" s="92"/>
      <c r="AG57" s="8347"/>
      <c r="AH57" s="9712"/>
    </row>
    <row r="58" spans="1:34" ht="32.25" customHeight="1">
      <c r="A58" s="9830"/>
      <c r="B58" s="9834"/>
      <c r="C58" s="8901"/>
      <c r="D58" s="8790"/>
      <c r="E58" s="8790"/>
      <c r="F58" s="8790"/>
      <c r="G58" s="8869"/>
      <c r="H58" s="8790"/>
      <c r="I58" s="8790"/>
      <c r="J58" s="8879"/>
      <c r="K58" s="8790"/>
      <c r="L58" s="8790"/>
      <c r="M58" s="8883"/>
      <c r="N58" s="933" t="s">
        <v>294</v>
      </c>
      <c r="O58" s="8883"/>
      <c r="P58" s="8790"/>
      <c r="Q58" s="8790"/>
      <c r="R58" s="8792"/>
      <c r="S58" s="811"/>
      <c r="T58" s="4958"/>
      <c r="U58" s="4958"/>
      <c r="V58" s="585"/>
      <c r="W58" s="6483"/>
      <c r="X58" s="90"/>
      <c r="Y58" s="6501"/>
      <c r="Z58" s="6501"/>
      <c r="AA58" s="6501"/>
      <c r="AB58" s="5977"/>
      <c r="AC58" s="6748"/>
      <c r="AD58" s="366"/>
      <c r="AE58" s="90"/>
      <c r="AF58" s="92"/>
      <c r="AG58" s="8347"/>
      <c r="AH58" s="9712"/>
    </row>
    <row r="59" spans="1:34" ht="32.25" customHeight="1">
      <c r="A59" s="9830"/>
      <c r="B59" s="9834"/>
      <c r="C59" s="8902"/>
      <c r="D59" s="8796"/>
      <c r="E59" s="8886"/>
      <c r="F59" s="8886"/>
      <c r="G59" s="8903"/>
      <c r="H59" s="8886"/>
      <c r="I59" s="8886"/>
      <c r="J59" s="8904"/>
      <c r="K59" s="8886"/>
      <c r="L59" s="8886"/>
      <c r="M59" s="8885"/>
      <c r="N59" s="934" t="s">
        <v>294</v>
      </c>
      <c r="O59" s="8885"/>
      <c r="P59" s="8886"/>
      <c r="Q59" s="8886"/>
      <c r="R59" s="9041"/>
      <c r="S59" s="812"/>
      <c r="T59" s="4969"/>
      <c r="U59" s="4969"/>
      <c r="V59" s="746"/>
      <c r="W59" s="6469"/>
      <c r="X59" s="95"/>
      <c r="Y59" s="5079"/>
      <c r="Z59" s="5079"/>
      <c r="AA59" s="5079"/>
      <c r="AB59" s="5080"/>
      <c r="AC59" s="6778"/>
      <c r="AD59" s="936"/>
      <c r="AE59" s="95"/>
      <c r="AF59" s="97"/>
      <c r="AG59" s="8348"/>
      <c r="AH59" s="9713"/>
    </row>
    <row r="60" spans="1:34" ht="32.25" customHeight="1">
      <c r="A60" s="9830"/>
      <c r="B60" s="9834"/>
      <c r="C60" s="8901" t="s">
        <v>127</v>
      </c>
      <c r="D60" s="8790" t="s">
        <v>128</v>
      </c>
      <c r="E60" s="8790" t="s">
        <v>129</v>
      </c>
      <c r="F60" s="8790" t="s">
        <v>268</v>
      </c>
      <c r="G60" s="8869" t="s">
        <v>131</v>
      </c>
      <c r="H60" s="8790" t="s">
        <v>132</v>
      </c>
      <c r="I60" s="8790" t="s">
        <v>159</v>
      </c>
      <c r="J60" s="8879" t="s">
        <v>1885</v>
      </c>
      <c r="K60" s="8790" t="s">
        <v>1886</v>
      </c>
      <c r="L60" s="8790" t="s">
        <v>1887</v>
      </c>
      <c r="M60" s="8883">
        <v>10</v>
      </c>
      <c r="N60" s="9827">
        <v>15</v>
      </c>
      <c r="O60" s="8883">
        <v>15</v>
      </c>
      <c r="P60" s="8790" t="s">
        <v>1888</v>
      </c>
      <c r="Q60" s="8790" t="s">
        <v>1889</v>
      </c>
      <c r="R60" s="8792" t="s">
        <v>1890</v>
      </c>
      <c r="S60" s="813"/>
      <c r="T60" s="4956"/>
      <c r="U60" s="4956"/>
      <c r="V60" s="815"/>
      <c r="W60" s="6613"/>
      <c r="X60" s="93"/>
      <c r="Y60" s="6543"/>
      <c r="Z60" s="6543"/>
      <c r="AA60" s="6543"/>
      <c r="AB60" s="6661"/>
      <c r="AC60" s="5008"/>
      <c r="AD60" s="937"/>
      <c r="AE60" s="93"/>
      <c r="AF60" s="94"/>
      <c r="AG60" s="8349"/>
      <c r="AH60" s="9792"/>
    </row>
    <row r="61" spans="1:34" ht="32.25" customHeight="1">
      <c r="A61" s="9830"/>
      <c r="B61" s="9834"/>
      <c r="C61" s="8901"/>
      <c r="D61" s="8790"/>
      <c r="E61" s="8790"/>
      <c r="F61" s="8790"/>
      <c r="G61" s="8869"/>
      <c r="H61" s="8790"/>
      <c r="I61" s="8790"/>
      <c r="J61" s="8879"/>
      <c r="K61" s="8790"/>
      <c r="L61" s="8790"/>
      <c r="M61" s="8883"/>
      <c r="N61" s="9827"/>
      <c r="O61" s="8883"/>
      <c r="P61" s="8790"/>
      <c r="Q61" s="8790"/>
      <c r="R61" s="8792"/>
      <c r="S61" s="935"/>
      <c r="T61" s="4958"/>
      <c r="U61" s="4958"/>
      <c r="V61" s="585"/>
      <c r="W61" s="6483"/>
      <c r="X61" s="90"/>
      <c r="Y61" s="6501"/>
      <c r="Z61" s="6501"/>
      <c r="AA61" s="6501"/>
      <c r="AB61" s="5977"/>
      <c r="AC61" s="6748"/>
      <c r="AD61" s="366"/>
      <c r="AE61" s="90"/>
      <c r="AF61" s="92"/>
      <c r="AG61" s="8347"/>
      <c r="AH61" s="9712"/>
    </row>
    <row r="62" spans="1:34" ht="32.25" customHeight="1">
      <c r="A62" s="9830"/>
      <c r="B62" s="9834"/>
      <c r="C62" s="8901"/>
      <c r="D62" s="8790"/>
      <c r="E62" s="8790"/>
      <c r="F62" s="8790"/>
      <c r="G62" s="8869"/>
      <c r="H62" s="8790"/>
      <c r="I62" s="8790"/>
      <c r="J62" s="8879"/>
      <c r="K62" s="8790"/>
      <c r="L62" s="8790"/>
      <c r="M62" s="8883"/>
      <c r="N62" s="9827"/>
      <c r="O62" s="8883"/>
      <c r="P62" s="8790"/>
      <c r="Q62" s="8790"/>
      <c r="R62" s="8792"/>
      <c r="S62" s="811"/>
      <c r="T62" s="4958"/>
      <c r="U62" s="4958"/>
      <c r="V62" s="585"/>
      <c r="W62" s="6483"/>
      <c r="X62" s="90"/>
      <c r="Y62" s="6501"/>
      <c r="Z62" s="6501"/>
      <c r="AA62" s="6501"/>
      <c r="AB62" s="5977"/>
      <c r="AC62" s="6748"/>
      <c r="AD62" s="366"/>
      <c r="AE62" s="90"/>
      <c r="AF62" s="92"/>
      <c r="AG62" s="8347"/>
      <c r="AH62" s="9712"/>
    </row>
    <row r="63" spans="1:34" ht="32.25" customHeight="1">
      <c r="A63" s="9830"/>
      <c r="B63" s="9834"/>
      <c r="C63" s="8901"/>
      <c r="D63" s="8790"/>
      <c r="E63" s="8790"/>
      <c r="F63" s="8790"/>
      <c r="G63" s="8869"/>
      <c r="H63" s="8790"/>
      <c r="I63" s="8790"/>
      <c r="J63" s="8879"/>
      <c r="K63" s="8790"/>
      <c r="L63" s="8790"/>
      <c r="M63" s="8883"/>
      <c r="N63" s="9827"/>
      <c r="O63" s="8883"/>
      <c r="P63" s="8790"/>
      <c r="Q63" s="8790"/>
      <c r="R63" s="8792"/>
      <c r="S63" s="811"/>
      <c r="T63" s="4958"/>
      <c r="U63" s="4958"/>
      <c r="V63" s="585"/>
      <c r="W63" s="6483"/>
      <c r="X63" s="90"/>
      <c r="Y63" s="6501"/>
      <c r="Z63" s="6501"/>
      <c r="AA63" s="6501"/>
      <c r="AB63" s="5977"/>
      <c r="AC63" s="6748"/>
      <c r="AD63" s="366"/>
      <c r="AE63" s="90"/>
      <c r="AF63" s="92"/>
      <c r="AG63" s="8347"/>
      <c r="AH63" s="9712"/>
    </row>
    <row r="64" spans="1:34" ht="32.25" customHeight="1">
      <c r="A64" s="9831"/>
      <c r="B64" s="9835"/>
      <c r="C64" s="8902"/>
      <c r="D64" s="8796"/>
      <c r="E64" s="8886"/>
      <c r="F64" s="8886"/>
      <c r="G64" s="8903"/>
      <c r="H64" s="8886"/>
      <c r="I64" s="8886"/>
      <c r="J64" s="8904"/>
      <c r="K64" s="8886"/>
      <c r="L64" s="8886"/>
      <c r="M64" s="8885"/>
      <c r="N64" s="9828"/>
      <c r="O64" s="8885"/>
      <c r="P64" s="8886"/>
      <c r="Q64" s="8886"/>
      <c r="R64" s="9041"/>
      <c r="S64" s="812"/>
      <c r="T64" s="4969"/>
      <c r="U64" s="4969"/>
      <c r="V64" s="746"/>
      <c r="W64" s="6469"/>
      <c r="X64" s="95"/>
      <c r="Y64" s="5079"/>
      <c r="Z64" s="5079"/>
      <c r="AA64" s="5079"/>
      <c r="AB64" s="5080"/>
      <c r="AC64" s="6778"/>
      <c r="AD64" s="936"/>
      <c r="AE64" s="95"/>
      <c r="AF64" s="97"/>
      <c r="AG64" s="8348"/>
      <c r="AH64" s="9713"/>
    </row>
    <row r="65" spans="1:34" ht="32.25" customHeight="1">
      <c r="A65" s="9832" t="s">
        <v>1866</v>
      </c>
      <c r="B65" s="9768" t="s">
        <v>1866</v>
      </c>
      <c r="C65" s="8901" t="s">
        <v>127</v>
      </c>
      <c r="D65" s="8790" t="s">
        <v>128</v>
      </c>
      <c r="E65" s="8790" t="s">
        <v>129</v>
      </c>
      <c r="F65" s="8790" t="s">
        <v>268</v>
      </c>
      <c r="G65" s="8869" t="s">
        <v>131</v>
      </c>
      <c r="H65" s="8790" t="s">
        <v>132</v>
      </c>
      <c r="I65" s="8790" t="s">
        <v>159</v>
      </c>
      <c r="J65" s="8879" t="s">
        <v>1891</v>
      </c>
      <c r="K65" s="8790" t="s">
        <v>1892</v>
      </c>
      <c r="L65" s="8790" t="s">
        <v>1893</v>
      </c>
      <c r="M65" s="8883">
        <v>6</v>
      </c>
      <c r="N65" s="8883">
        <v>6</v>
      </c>
      <c r="O65" s="8883">
        <v>6</v>
      </c>
      <c r="P65" s="8790" t="s">
        <v>1894</v>
      </c>
      <c r="Q65" s="8790" t="s">
        <v>1895</v>
      </c>
      <c r="R65" s="8792" t="s">
        <v>1890</v>
      </c>
      <c r="S65" s="813"/>
      <c r="T65" s="4956"/>
      <c r="U65" s="4956"/>
      <c r="V65" s="815"/>
      <c r="W65" s="6613"/>
      <c r="X65" s="93"/>
      <c r="Y65" s="6543"/>
      <c r="Z65" s="6543"/>
      <c r="AA65" s="6543"/>
      <c r="AB65" s="6661"/>
      <c r="AC65" s="5008"/>
      <c r="AD65" s="937"/>
      <c r="AE65" s="93"/>
      <c r="AF65" s="94"/>
      <c r="AG65" s="8349"/>
      <c r="AH65" s="9792"/>
    </row>
    <row r="66" spans="1:34" ht="32.25" customHeight="1">
      <c r="A66" s="9832"/>
      <c r="B66" s="9768"/>
      <c r="C66" s="8901"/>
      <c r="D66" s="8790"/>
      <c r="E66" s="8790"/>
      <c r="F66" s="8790"/>
      <c r="G66" s="8869"/>
      <c r="H66" s="8790"/>
      <c r="I66" s="8790"/>
      <c r="J66" s="8879"/>
      <c r="K66" s="8790"/>
      <c r="L66" s="8790"/>
      <c r="M66" s="8883"/>
      <c r="N66" s="8883"/>
      <c r="O66" s="8883"/>
      <c r="P66" s="8790"/>
      <c r="Q66" s="8790"/>
      <c r="R66" s="8792"/>
      <c r="S66" s="935"/>
      <c r="T66" s="4958"/>
      <c r="U66" s="4958"/>
      <c r="V66" s="585"/>
      <c r="W66" s="6483"/>
      <c r="X66" s="90"/>
      <c r="Y66" s="6501"/>
      <c r="Z66" s="6501"/>
      <c r="AA66" s="6501"/>
      <c r="AB66" s="5977"/>
      <c r="AC66" s="6748"/>
      <c r="AD66" s="366"/>
      <c r="AE66" s="90"/>
      <c r="AF66" s="92"/>
      <c r="AG66" s="8347"/>
      <c r="AH66" s="9712"/>
    </row>
    <row r="67" spans="1:34" ht="32.25" customHeight="1">
      <c r="A67" s="9832"/>
      <c r="B67" s="9768"/>
      <c r="C67" s="8901"/>
      <c r="D67" s="8790"/>
      <c r="E67" s="8790"/>
      <c r="F67" s="8790"/>
      <c r="G67" s="8869"/>
      <c r="H67" s="8790"/>
      <c r="I67" s="8790"/>
      <c r="J67" s="8879"/>
      <c r="K67" s="8790"/>
      <c r="L67" s="8790"/>
      <c r="M67" s="8883"/>
      <c r="N67" s="8883"/>
      <c r="O67" s="8883"/>
      <c r="P67" s="8790"/>
      <c r="Q67" s="8790"/>
      <c r="R67" s="8792"/>
      <c r="S67" s="811"/>
      <c r="T67" s="4958"/>
      <c r="U67" s="4958"/>
      <c r="V67" s="585"/>
      <c r="W67" s="6483"/>
      <c r="X67" s="90"/>
      <c r="Y67" s="6501"/>
      <c r="Z67" s="6501"/>
      <c r="AA67" s="6501"/>
      <c r="AB67" s="5977"/>
      <c r="AC67" s="6748"/>
      <c r="AD67" s="366"/>
      <c r="AE67" s="90"/>
      <c r="AF67" s="92"/>
      <c r="AG67" s="8347"/>
      <c r="AH67" s="9712"/>
    </row>
    <row r="68" spans="1:34" ht="32.25" customHeight="1">
      <c r="A68" s="9832"/>
      <c r="B68" s="9768"/>
      <c r="C68" s="8901"/>
      <c r="D68" s="8790"/>
      <c r="E68" s="8790"/>
      <c r="F68" s="8790"/>
      <c r="G68" s="8869"/>
      <c r="H68" s="8790"/>
      <c r="I68" s="8790"/>
      <c r="J68" s="8879"/>
      <c r="K68" s="8790"/>
      <c r="L68" s="8790"/>
      <c r="M68" s="8883"/>
      <c r="N68" s="8883"/>
      <c r="O68" s="8883"/>
      <c r="P68" s="8790"/>
      <c r="Q68" s="8790"/>
      <c r="R68" s="8792"/>
      <c r="S68" s="811"/>
      <c r="T68" s="4958"/>
      <c r="U68" s="4958"/>
      <c r="V68" s="585"/>
      <c r="W68" s="6483"/>
      <c r="X68" s="90"/>
      <c r="Y68" s="6501"/>
      <c r="Z68" s="6501"/>
      <c r="AA68" s="6501"/>
      <c r="AB68" s="5977"/>
      <c r="AC68" s="6748"/>
      <c r="AD68" s="366"/>
      <c r="AE68" s="90"/>
      <c r="AF68" s="92"/>
      <c r="AG68" s="8347"/>
      <c r="AH68" s="9712"/>
    </row>
    <row r="69" spans="1:34" ht="32.25" customHeight="1">
      <c r="A69" s="9832"/>
      <c r="B69" s="9768"/>
      <c r="C69" s="8902"/>
      <c r="D69" s="8796"/>
      <c r="E69" s="8886"/>
      <c r="F69" s="8886"/>
      <c r="G69" s="8903"/>
      <c r="H69" s="8886"/>
      <c r="I69" s="8886"/>
      <c r="J69" s="8904"/>
      <c r="K69" s="8886"/>
      <c r="L69" s="8886"/>
      <c r="M69" s="8885"/>
      <c r="N69" s="8885"/>
      <c r="O69" s="8885"/>
      <c r="P69" s="8886"/>
      <c r="Q69" s="8886"/>
      <c r="R69" s="9041"/>
      <c r="S69" s="812"/>
      <c r="T69" s="4969"/>
      <c r="U69" s="4969"/>
      <c r="V69" s="746"/>
      <c r="W69" s="6469"/>
      <c r="X69" s="95"/>
      <c r="Y69" s="5079"/>
      <c r="Z69" s="5079"/>
      <c r="AA69" s="5079"/>
      <c r="AB69" s="5080"/>
      <c r="AC69" s="6778"/>
      <c r="AD69" s="936"/>
      <c r="AE69" s="95"/>
      <c r="AF69" s="97"/>
      <c r="AG69" s="8348"/>
      <c r="AH69" s="9713"/>
    </row>
    <row r="70" spans="1:34" ht="32.25" customHeight="1">
      <c r="A70" s="9832"/>
      <c r="B70" s="9768"/>
      <c r="C70" s="8901" t="s">
        <v>127</v>
      </c>
      <c r="D70" s="8790" t="s">
        <v>128</v>
      </c>
      <c r="E70" s="8790" t="s">
        <v>129</v>
      </c>
      <c r="F70" s="8790" t="s">
        <v>268</v>
      </c>
      <c r="G70" s="8869" t="s">
        <v>131</v>
      </c>
      <c r="H70" s="8790" t="s">
        <v>132</v>
      </c>
      <c r="I70" s="8790" t="s">
        <v>159</v>
      </c>
      <c r="J70" s="8879" t="s">
        <v>1896</v>
      </c>
      <c r="K70" s="8790" t="s">
        <v>1897</v>
      </c>
      <c r="L70" s="8790" t="s">
        <v>1898</v>
      </c>
      <c r="M70" s="8883">
        <v>0</v>
      </c>
      <c r="N70" s="933" t="s">
        <v>294</v>
      </c>
      <c r="O70" s="8883">
        <v>0</v>
      </c>
      <c r="P70" s="8790" t="s">
        <v>1899</v>
      </c>
      <c r="Q70" s="8790" t="s">
        <v>1900</v>
      </c>
      <c r="R70" s="8792" t="s">
        <v>1890</v>
      </c>
      <c r="S70" s="813"/>
      <c r="T70" s="4956"/>
      <c r="U70" s="4956"/>
      <c r="V70" s="815"/>
      <c r="W70" s="6613"/>
      <c r="X70" s="93"/>
      <c r="Y70" s="6543"/>
      <c r="Z70" s="6543"/>
      <c r="AA70" s="6543"/>
      <c r="AB70" s="6661"/>
      <c r="AC70" s="5008"/>
      <c r="AD70" s="937"/>
      <c r="AE70" s="93"/>
      <c r="AF70" s="94"/>
      <c r="AG70" s="8349"/>
      <c r="AH70" s="9792"/>
    </row>
    <row r="71" spans="1:34" ht="32.25" customHeight="1">
      <c r="A71" s="9832"/>
      <c r="B71" s="9768"/>
      <c r="C71" s="8901"/>
      <c r="D71" s="8790"/>
      <c r="E71" s="8790"/>
      <c r="F71" s="8790"/>
      <c r="G71" s="8869"/>
      <c r="H71" s="8790"/>
      <c r="I71" s="8790"/>
      <c r="J71" s="8879"/>
      <c r="K71" s="8790"/>
      <c r="L71" s="8790"/>
      <c r="M71" s="8883"/>
      <c r="N71" s="933" t="s">
        <v>294</v>
      </c>
      <c r="O71" s="8883"/>
      <c r="P71" s="8790"/>
      <c r="Q71" s="8790"/>
      <c r="R71" s="8792"/>
      <c r="S71" s="935"/>
      <c r="T71" s="4958"/>
      <c r="U71" s="4958"/>
      <c r="V71" s="585"/>
      <c r="W71" s="6483"/>
      <c r="X71" s="90"/>
      <c r="Y71" s="6501"/>
      <c r="Z71" s="6501"/>
      <c r="AA71" s="6501"/>
      <c r="AB71" s="5977"/>
      <c r="AC71" s="6748"/>
      <c r="AD71" s="366"/>
      <c r="AE71" s="90"/>
      <c r="AF71" s="92"/>
      <c r="AG71" s="8347"/>
      <c r="AH71" s="9712"/>
    </row>
    <row r="72" spans="1:34" ht="32.25" customHeight="1">
      <c r="A72" s="9832"/>
      <c r="B72" s="9768"/>
      <c r="C72" s="8901"/>
      <c r="D72" s="8790"/>
      <c r="E72" s="8790"/>
      <c r="F72" s="8790"/>
      <c r="G72" s="8869"/>
      <c r="H72" s="8790"/>
      <c r="I72" s="8790"/>
      <c r="J72" s="8879"/>
      <c r="K72" s="8790"/>
      <c r="L72" s="8790"/>
      <c r="M72" s="8883"/>
      <c r="N72" s="933">
        <v>1</v>
      </c>
      <c r="O72" s="8883"/>
      <c r="P72" s="8790"/>
      <c r="Q72" s="8790"/>
      <c r="R72" s="8792"/>
      <c r="S72" s="811"/>
      <c r="T72" s="4958"/>
      <c r="U72" s="4958"/>
      <c r="V72" s="585"/>
      <c r="W72" s="6483"/>
      <c r="X72" s="90"/>
      <c r="Y72" s="6501"/>
      <c r="Z72" s="6501"/>
      <c r="AA72" s="6501"/>
      <c r="AB72" s="5977"/>
      <c r="AC72" s="6748"/>
      <c r="AD72" s="366"/>
      <c r="AE72" s="90"/>
      <c r="AF72" s="92"/>
      <c r="AG72" s="8347"/>
      <c r="AH72" s="9712"/>
    </row>
    <row r="73" spans="1:34" ht="32.25" customHeight="1">
      <c r="A73" s="9832"/>
      <c r="B73" s="9768"/>
      <c r="C73" s="8901"/>
      <c r="D73" s="8790"/>
      <c r="E73" s="8790"/>
      <c r="F73" s="8790"/>
      <c r="G73" s="8869"/>
      <c r="H73" s="8790"/>
      <c r="I73" s="8790"/>
      <c r="J73" s="8879"/>
      <c r="K73" s="8790"/>
      <c r="L73" s="8790"/>
      <c r="M73" s="8883"/>
      <c r="N73" s="933" t="s">
        <v>294</v>
      </c>
      <c r="O73" s="8883"/>
      <c r="P73" s="8790"/>
      <c r="Q73" s="8790"/>
      <c r="R73" s="8792"/>
      <c r="S73" s="811"/>
      <c r="T73" s="4958"/>
      <c r="U73" s="4958"/>
      <c r="V73" s="585"/>
      <c r="W73" s="6483"/>
      <c r="X73" s="90"/>
      <c r="Y73" s="6501"/>
      <c r="Z73" s="6501"/>
      <c r="AA73" s="6501"/>
      <c r="AB73" s="5977"/>
      <c r="AC73" s="6748"/>
      <c r="AD73" s="366"/>
      <c r="AE73" s="90"/>
      <c r="AF73" s="92"/>
      <c r="AG73" s="8347"/>
      <c r="AH73" s="9712"/>
    </row>
    <row r="74" spans="1:34" ht="32.25" customHeight="1" thickBot="1">
      <c r="A74" s="9832"/>
      <c r="B74" s="9768"/>
      <c r="C74" s="8902"/>
      <c r="D74" s="8796"/>
      <c r="E74" s="8886"/>
      <c r="F74" s="8886"/>
      <c r="G74" s="8903"/>
      <c r="H74" s="8886"/>
      <c r="I74" s="8886"/>
      <c r="J74" s="8904"/>
      <c r="K74" s="8886"/>
      <c r="L74" s="8886"/>
      <c r="M74" s="8885"/>
      <c r="N74" s="934" t="s">
        <v>294</v>
      </c>
      <c r="O74" s="8885"/>
      <c r="P74" s="8886"/>
      <c r="Q74" s="8886"/>
      <c r="R74" s="9041"/>
      <c r="S74" s="812"/>
      <c r="T74" s="4969"/>
      <c r="U74" s="4969"/>
      <c r="V74" s="746"/>
      <c r="W74" s="6469"/>
      <c r="X74" s="95"/>
      <c r="Y74" s="5079"/>
      <c r="Z74" s="5079"/>
      <c r="AA74" s="5079"/>
      <c r="AB74" s="5080"/>
      <c r="AC74" s="6778"/>
      <c r="AD74" s="936"/>
      <c r="AE74" s="95"/>
      <c r="AF74" s="97"/>
      <c r="AG74" s="8348"/>
      <c r="AH74" s="9713"/>
    </row>
    <row r="75" spans="1:34" ht="32.25" customHeight="1">
      <c r="A75" s="9832"/>
      <c r="B75" s="9768"/>
      <c r="C75" s="8901" t="s">
        <v>127</v>
      </c>
      <c r="D75" s="8790" t="s">
        <v>128</v>
      </c>
      <c r="E75" s="8790" t="s">
        <v>129</v>
      </c>
      <c r="F75" s="8790" t="s">
        <v>268</v>
      </c>
      <c r="G75" s="8869" t="s">
        <v>131</v>
      </c>
      <c r="H75" s="8790" t="s">
        <v>132</v>
      </c>
      <c r="I75" s="8790" t="s">
        <v>159</v>
      </c>
      <c r="J75" s="8879" t="s">
        <v>1901</v>
      </c>
      <c r="K75" s="8790" t="s">
        <v>1902</v>
      </c>
      <c r="L75" s="8790" t="s">
        <v>1903</v>
      </c>
      <c r="M75" s="8883">
        <v>7</v>
      </c>
      <c r="N75" s="933" t="s">
        <v>294</v>
      </c>
      <c r="O75" s="8883">
        <v>7</v>
      </c>
      <c r="P75" s="8790" t="s">
        <v>1904</v>
      </c>
      <c r="Q75" s="9420" t="s">
        <v>1905</v>
      </c>
      <c r="R75" s="8792" t="s">
        <v>1906</v>
      </c>
      <c r="S75" s="813"/>
      <c r="T75" s="4956"/>
      <c r="U75" s="4956"/>
      <c r="V75" s="815"/>
      <c r="W75" s="6613"/>
      <c r="X75" s="93"/>
      <c r="Y75" s="6543"/>
      <c r="Z75" s="6543"/>
      <c r="AA75" s="6543"/>
      <c r="AB75" s="6661"/>
      <c r="AC75" s="5008"/>
      <c r="AD75" s="937"/>
      <c r="AE75" s="93"/>
      <c r="AF75" s="94"/>
      <c r="AG75" s="8349"/>
      <c r="AH75" s="9792"/>
    </row>
    <row r="76" spans="1:34" ht="32.25" customHeight="1">
      <c r="A76" s="9832"/>
      <c r="B76" s="9768"/>
      <c r="C76" s="8901"/>
      <c r="D76" s="8790"/>
      <c r="E76" s="8790"/>
      <c r="F76" s="8790"/>
      <c r="G76" s="8869"/>
      <c r="H76" s="8790"/>
      <c r="I76" s="8790"/>
      <c r="J76" s="8879"/>
      <c r="K76" s="8790"/>
      <c r="L76" s="8790"/>
      <c r="M76" s="8883"/>
      <c r="N76" s="933" t="s">
        <v>294</v>
      </c>
      <c r="O76" s="8883"/>
      <c r="P76" s="8790"/>
      <c r="Q76" s="8790"/>
      <c r="R76" s="8792"/>
      <c r="S76" s="935"/>
      <c r="T76" s="4958"/>
      <c r="U76" s="4958"/>
      <c r="V76" s="585"/>
      <c r="W76" s="6483"/>
      <c r="X76" s="90"/>
      <c r="Y76" s="6501"/>
      <c r="Z76" s="6501"/>
      <c r="AA76" s="6501"/>
      <c r="AB76" s="5977"/>
      <c r="AC76" s="6748"/>
      <c r="AD76" s="366"/>
      <c r="AE76" s="90"/>
      <c r="AF76" s="92"/>
      <c r="AG76" s="8347"/>
      <c r="AH76" s="9712"/>
    </row>
    <row r="77" spans="1:34" ht="32.25" customHeight="1">
      <c r="A77" s="9832"/>
      <c r="B77" s="9768"/>
      <c r="C77" s="8901"/>
      <c r="D77" s="8790"/>
      <c r="E77" s="8790"/>
      <c r="F77" s="8790"/>
      <c r="G77" s="8869"/>
      <c r="H77" s="8790"/>
      <c r="I77" s="8790"/>
      <c r="J77" s="8879"/>
      <c r="K77" s="8790"/>
      <c r="L77" s="8790"/>
      <c r="M77" s="8883"/>
      <c r="N77" s="933">
        <v>7</v>
      </c>
      <c r="O77" s="8883"/>
      <c r="P77" s="8790"/>
      <c r="Q77" s="8790"/>
      <c r="R77" s="8792"/>
      <c r="S77" s="811"/>
      <c r="T77" s="4958"/>
      <c r="U77" s="4958"/>
      <c r="V77" s="585"/>
      <c r="W77" s="6483"/>
      <c r="X77" s="90"/>
      <c r="Y77" s="6501"/>
      <c r="Z77" s="6501"/>
      <c r="AA77" s="6501"/>
      <c r="AB77" s="5977"/>
      <c r="AC77" s="6748"/>
      <c r="AD77" s="366"/>
      <c r="AE77" s="90"/>
      <c r="AF77" s="92"/>
      <c r="AG77" s="8347"/>
      <c r="AH77" s="9712"/>
    </row>
    <row r="78" spans="1:34" ht="32.25" customHeight="1">
      <c r="A78" s="9832"/>
      <c r="B78" s="9768"/>
      <c r="C78" s="8901"/>
      <c r="D78" s="8790"/>
      <c r="E78" s="8790"/>
      <c r="F78" s="8790"/>
      <c r="G78" s="8869"/>
      <c r="H78" s="8790"/>
      <c r="I78" s="8790"/>
      <c r="J78" s="8879"/>
      <c r="K78" s="8790"/>
      <c r="L78" s="8790"/>
      <c r="M78" s="8883"/>
      <c r="N78" s="933" t="s">
        <v>294</v>
      </c>
      <c r="O78" s="8883"/>
      <c r="P78" s="8790"/>
      <c r="Q78" s="8790"/>
      <c r="R78" s="8792"/>
      <c r="S78" s="811"/>
      <c r="T78" s="4958"/>
      <c r="U78" s="4958"/>
      <c r="V78" s="585"/>
      <c r="W78" s="6483"/>
      <c r="X78" s="90"/>
      <c r="Y78" s="6501"/>
      <c r="Z78" s="6501"/>
      <c r="AA78" s="6501"/>
      <c r="AB78" s="5977"/>
      <c r="AC78" s="6748"/>
      <c r="AD78" s="366"/>
      <c r="AE78" s="90"/>
      <c r="AF78" s="92"/>
      <c r="AG78" s="8347"/>
      <c r="AH78" s="9712"/>
    </row>
    <row r="79" spans="1:34" ht="32.25" customHeight="1">
      <c r="A79" s="9832"/>
      <c r="B79" s="9768"/>
      <c r="C79" s="8902"/>
      <c r="D79" s="8796"/>
      <c r="E79" s="8886"/>
      <c r="F79" s="8886"/>
      <c r="G79" s="8903"/>
      <c r="H79" s="8886"/>
      <c r="I79" s="8886"/>
      <c r="J79" s="8904"/>
      <c r="K79" s="8886"/>
      <c r="L79" s="8886"/>
      <c r="M79" s="8885"/>
      <c r="N79" s="934" t="s">
        <v>294</v>
      </c>
      <c r="O79" s="8885"/>
      <c r="P79" s="8886"/>
      <c r="Q79" s="8886"/>
      <c r="R79" s="9041"/>
      <c r="S79" s="812"/>
      <c r="T79" s="4969"/>
      <c r="U79" s="4969"/>
      <c r="V79" s="746"/>
      <c r="W79" s="6469"/>
      <c r="X79" s="95"/>
      <c r="Y79" s="5079"/>
      <c r="Z79" s="5079"/>
      <c r="AA79" s="5079"/>
      <c r="AB79" s="5080"/>
      <c r="AC79" s="6778"/>
      <c r="AD79" s="936"/>
      <c r="AE79" s="95"/>
      <c r="AF79" s="97"/>
      <c r="AG79" s="8348"/>
      <c r="AH79" s="9713"/>
    </row>
    <row r="80" spans="1:34" ht="32.25" customHeight="1">
      <c r="A80" s="9832"/>
      <c r="B80" s="9768"/>
      <c r="C80" s="8901" t="s">
        <v>127</v>
      </c>
      <c r="D80" s="8790" t="s">
        <v>128</v>
      </c>
      <c r="E80" s="8790" t="s">
        <v>129</v>
      </c>
      <c r="F80" s="8790" t="s">
        <v>268</v>
      </c>
      <c r="G80" s="8869" t="s">
        <v>131</v>
      </c>
      <c r="H80" s="8790" t="s">
        <v>132</v>
      </c>
      <c r="I80" s="8790" t="s">
        <v>159</v>
      </c>
      <c r="J80" s="8879" t="s">
        <v>1907</v>
      </c>
      <c r="K80" s="8790" t="s">
        <v>286</v>
      </c>
      <c r="L80" s="8790" t="s">
        <v>1908</v>
      </c>
      <c r="M80" s="8883">
        <v>0</v>
      </c>
      <c r="N80" s="8883">
        <v>1</v>
      </c>
      <c r="O80" s="8883">
        <v>1</v>
      </c>
      <c r="P80" s="8790" t="s">
        <v>1909</v>
      </c>
      <c r="Q80" s="8790" t="s">
        <v>1910</v>
      </c>
      <c r="R80" s="8792" t="s">
        <v>1890</v>
      </c>
      <c r="S80" s="813"/>
      <c r="T80" s="4956"/>
      <c r="U80" s="4956"/>
      <c r="V80" s="815"/>
      <c r="W80" s="6613"/>
      <c r="X80" s="93"/>
      <c r="Y80" s="6543"/>
      <c r="Z80" s="6543"/>
      <c r="AA80" s="6543"/>
      <c r="AB80" s="6661"/>
      <c r="AC80" s="5008"/>
      <c r="AD80" s="937"/>
      <c r="AE80" s="93"/>
      <c r="AF80" s="94"/>
      <c r="AG80" s="8349"/>
      <c r="AH80" s="9792"/>
    </row>
    <row r="81" spans="1:34" ht="32.25" customHeight="1">
      <c r="A81" s="9832"/>
      <c r="B81" s="9768"/>
      <c r="C81" s="8901"/>
      <c r="D81" s="8790"/>
      <c r="E81" s="8790"/>
      <c r="F81" s="8790"/>
      <c r="G81" s="8869"/>
      <c r="H81" s="8790"/>
      <c r="I81" s="8790"/>
      <c r="J81" s="8879"/>
      <c r="K81" s="8790"/>
      <c r="L81" s="8790"/>
      <c r="M81" s="8883"/>
      <c r="N81" s="8883"/>
      <c r="O81" s="8883"/>
      <c r="P81" s="8790"/>
      <c r="Q81" s="8790"/>
      <c r="R81" s="8792"/>
      <c r="S81" s="935"/>
      <c r="T81" s="4958"/>
      <c r="U81" s="4958"/>
      <c r="V81" s="585"/>
      <c r="W81" s="6483"/>
      <c r="X81" s="90"/>
      <c r="Y81" s="6501"/>
      <c r="Z81" s="6501"/>
      <c r="AA81" s="6501"/>
      <c r="AB81" s="5977"/>
      <c r="AC81" s="6748"/>
      <c r="AD81" s="366"/>
      <c r="AE81" s="90"/>
      <c r="AF81" s="92"/>
      <c r="AG81" s="8347"/>
      <c r="AH81" s="9712"/>
    </row>
    <row r="82" spans="1:34" ht="32.25" customHeight="1">
      <c r="A82" s="9832"/>
      <c r="B82" s="9768"/>
      <c r="C82" s="8901"/>
      <c r="D82" s="8790"/>
      <c r="E82" s="8790"/>
      <c r="F82" s="8790"/>
      <c r="G82" s="8869"/>
      <c r="H82" s="8790"/>
      <c r="I82" s="8790"/>
      <c r="J82" s="8879"/>
      <c r="K82" s="8790"/>
      <c r="L82" s="8790"/>
      <c r="M82" s="8883"/>
      <c r="N82" s="8883"/>
      <c r="O82" s="8883"/>
      <c r="P82" s="8790"/>
      <c r="Q82" s="8790"/>
      <c r="R82" s="8792"/>
      <c r="S82" s="811"/>
      <c r="T82" s="4958"/>
      <c r="U82" s="4958"/>
      <c r="V82" s="585"/>
      <c r="W82" s="6483"/>
      <c r="X82" s="90"/>
      <c r="Y82" s="6501"/>
      <c r="Z82" s="6501"/>
      <c r="AA82" s="6501"/>
      <c r="AB82" s="5977"/>
      <c r="AC82" s="6748"/>
      <c r="AD82" s="366"/>
      <c r="AE82" s="90"/>
      <c r="AF82" s="92"/>
      <c r="AG82" s="8347"/>
      <c r="AH82" s="9712"/>
    </row>
    <row r="83" spans="1:34" ht="32.25" customHeight="1">
      <c r="A83" s="9832"/>
      <c r="B83" s="9768"/>
      <c r="C83" s="8901"/>
      <c r="D83" s="8790"/>
      <c r="E83" s="8790"/>
      <c r="F83" s="8790"/>
      <c r="G83" s="8869"/>
      <c r="H83" s="8790"/>
      <c r="I83" s="8790"/>
      <c r="J83" s="8879"/>
      <c r="K83" s="8790"/>
      <c r="L83" s="8790"/>
      <c r="M83" s="8883"/>
      <c r="N83" s="8883"/>
      <c r="O83" s="8883"/>
      <c r="P83" s="8790"/>
      <c r="Q83" s="8790"/>
      <c r="R83" s="8792"/>
      <c r="S83" s="811"/>
      <c r="T83" s="4958"/>
      <c r="U83" s="4958"/>
      <c r="V83" s="585"/>
      <c r="W83" s="6483"/>
      <c r="X83" s="90"/>
      <c r="Y83" s="6501"/>
      <c r="Z83" s="6501"/>
      <c r="AA83" s="6501"/>
      <c r="AB83" s="5977"/>
      <c r="AC83" s="6748"/>
      <c r="AD83" s="366"/>
      <c r="AE83" s="90"/>
      <c r="AF83" s="92"/>
      <c r="AG83" s="8347"/>
      <c r="AH83" s="9712"/>
    </row>
    <row r="84" spans="1:34" ht="32.25" customHeight="1">
      <c r="A84" s="9832"/>
      <c r="B84" s="9768"/>
      <c r="C84" s="8902"/>
      <c r="D84" s="8796"/>
      <c r="E84" s="8886"/>
      <c r="F84" s="8886"/>
      <c r="G84" s="8903"/>
      <c r="H84" s="8886"/>
      <c r="I84" s="8886"/>
      <c r="J84" s="8904"/>
      <c r="K84" s="8886"/>
      <c r="L84" s="8886"/>
      <c r="M84" s="8885"/>
      <c r="N84" s="8885"/>
      <c r="O84" s="8885"/>
      <c r="P84" s="8886"/>
      <c r="Q84" s="8886"/>
      <c r="R84" s="9041"/>
      <c r="S84" s="812"/>
      <c r="T84" s="4969"/>
      <c r="U84" s="4969"/>
      <c r="V84" s="746"/>
      <c r="W84" s="6469"/>
      <c r="X84" s="95"/>
      <c r="Y84" s="5079"/>
      <c r="Z84" s="5079"/>
      <c r="AA84" s="5079"/>
      <c r="AB84" s="5080"/>
      <c r="AC84" s="6778"/>
      <c r="AD84" s="936"/>
      <c r="AE84" s="95"/>
      <c r="AF84" s="97"/>
      <c r="AG84" s="8348"/>
      <c r="AH84" s="9713"/>
    </row>
    <row r="85" spans="1:34" ht="32.25" customHeight="1">
      <c r="A85" s="9832"/>
      <c r="B85" s="9768"/>
      <c r="C85" s="8901" t="s">
        <v>127</v>
      </c>
      <c r="D85" s="8790" t="s">
        <v>128</v>
      </c>
      <c r="E85" s="8790" t="s">
        <v>129</v>
      </c>
      <c r="F85" s="8790" t="s">
        <v>268</v>
      </c>
      <c r="G85" s="8869" t="s">
        <v>131</v>
      </c>
      <c r="H85" s="8790" t="s">
        <v>132</v>
      </c>
      <c r="I85" s="8790" t="s">
        <v>159</v>
      </c>
      <c r="J85" s="8879" t="s">
        <v>1911</v>
      </c>
      <c r="K85" s="8790" t="s">
        <v>338</v>
      </c>
      <c r="L85" s="8790" t="s">
        <v>1912</v>
      </c>
      <c r="M85" s="8883">
        <v>1</v>
      </c>
      <c r="N85" s="8883">
        <v>1</v>
      </c>
      <c r="O85" s="8883">
        <v>2</v>
      </c>
      <c r="P85" s="8790" t="s">
        <v>1913</v>
      </c>
      <c r="Q85" s="8790" t="s">
        <v>1914</v>
      </c>
      <c r="R85" s="8792" t="s">
        <v>1884</v>
      </c>
      <c r="S85" s="813"/>
      <c r="T85" s="4956"/>
      <c r="U85" s="4956"/>
      <c r="V85" s="815"/>
      <c r="W85" s="6613"/>
      <c r="X85" s="93"/>
      <c r="Y85" s="6543"/>
      <c r="Z85" s="6543"/>
      <c r="AA85" s="6543"/>
      <c r="AB85" s="6661"/>
      <c r="AC85" s="5008"/>
      <c r="AD85" s="937"/>
      <c r="AE85" s="93"/>
      <c r="AF85" s="94"/>
      <c r="AG85" s="8349"/>
      <c r="AH85" s="9792"/>
    </row>
    <row r="86" spans="1:34" ht="32.25" customHeight="1">
      <c r="A86" s="9832"/>
      <c r="B86" s="9768"/>
      <c r="C86" s="8901"/>
      <c r="D86" s="8790"/>
      <c r="E86" s="8790"/>
      <c r="F86" s="8790"/>
      <c r="G86" s="8869"/>
      <c r="H86" s="8790"/>
      <c r="I86" s="8790"/>
      <c r="J86" s="8879"/>
      <c r="K86" s="8790"/>
      <c r="L86" s="8790"/>
      <c r="M86" s="8883"/>
      <c r="N86" s="8883"/>
      <c r="O86" s="8883"/>
      <c r="P86" s="8790"/>
      <c r="Q86" s="8790"/>
      <c r="R86" s="8792"/>
      <c r="S86" s="935"/>
      <c r="T86" s="4958"/>
      <c r="U86" s="4958"/>
      <c r="V86" s="585"/>
      <c r="W86" s="6483"/>
      <c r="X86" s="90"/>
      <c r="Y86" s="6501"/>
      <c r="Z86" s="6501"/>
      <c r="AA86" s="6501"/>
      <c r="AB86" s="5977"/>
      <c r="AC86" s="6748"/>
      <c r="AD86" s="366"/>
      <c r="AE86" s="90"/>
      <c r="AF86" s="92"/>
      <c r="AG86" s="8347"/>
      <c r="AH86" s="9712"/>
    </row>
    <row r="87" spans="1:34" ht="32.25" customHeight="1">
      <c r="A87" s="9832"/>
      <c r="B87" s="9768"/>
      <c r="C87" s="8901"/>
      <c r="D87" s="8790"/>
      <c r="E87" s="8790"/>
      <c r="F87" s="8790"/>
      <c r="G87" s="8869"/>
      <c r="H87" s="8790"/>
      <c r="I87" s="8790"/>
      <c r="J87" s="8879"/>
      <c r="K87" s="8790"/>
      <c r="L87" s="8790"/>
      <c r="M87" s="8883"/>
      <c r="N87" s="8883"/>
      <c r="O87" s="8883"/>
      <c r="P87" s="8790"/>
      <c r="Q87" s="8790"/>
      <c r="R87" s="8792"/>
      <c r="S87" s="811"/>
      <c r="T87" s="4958"/>
      <c r="U87" s="4958"/>
      <c r="V87" s="585"/>
      <c r="W87" s="6483"/>
      <c r="X87" s="90"/>
      <c r="Y87" s="6501"/>
      <c r="Z87" s="6501"/>
      <c r="AA87" s="6501"/>
      <c r="AB87" s="5977"/>
      <c r="AC87" s="6748"/>
      <c r="AD87" s="366"/>
      <c r="AE87" s="90"/>
      <c r="AF87" s="92"/>
      <c r="AG87" s="8347"/>
      <c r="AH87" s="9712"/>
    </row>
    <row r="88" spans="1:34" ht="32.25" customHeight="1">
      <c r="A88" s="9832"/>
      <c r="B88" s="9768"/>
      <c r="C88" s="8901"/>
      <c r="D88" s="8790"/>
      <c r="E88" s="8790"/>
      <c r="F88" s="8790"/>
      <c r="G88" s="8869"/>
      <c r="H88" s="8790"/>
      <c r="I88" s="8790"/>
      <c r="J88" s="8879"/>
      <c r="K88" s="8790"/>
      <c r="L88" s="8790"/>
      <c r="M88" s="8883"/>
      <c r="N88" s="8883"/>
      <c r="O88" s="8883"/>
      <c r="P88" s="8790"/>
      <c r="Q88" s="8790"/>
      <c r="R88" s="8792"/>
      <c r="S88" s="811"/>
      <c r="T88" s="4958"/>
      <c r="U88" s="4958"/>
      <c r="V88" s="585"/>
      <c r="W88" s="6483"/>
      <c r="X88" s="90"/>
      <c r="Y88" s="6501"/>
      <c r="Z88" s="6501"/>
      <c r="AA88" s="6501"/>
      <c r="AB88" s="5977"/>
      <c r="AC88" s="6748"/>
      <c r="AD88" s="366"/>
      <c r="AE88" s="90"/>
      <c r="AF88" s="92"/>
      <c r="AG88" s="8347"/>
      <c r="AH88" s="9712"/>
    </row>
    <row r="89" spans="1:34" ht="32.25" customHeight="1">
      <c r="A89" s="9832"/>
      <c r="B89" s="9768"/>
      <c r="C89" s="8902"/>
      <c r="D89" s="8796"/>
      <c r="E89" s="8886"/>
      <c r="F89" s="8886"/>
      <c r="G89" s="8903"/>
      <c r="H89" s="8886"/>
      <c r="I89" s="8886"/>
      <c r="J89" s="8904"/>
      <c r="K89" s="8886"/>
      <c r="L89" s="8886"/>
      <c r="M89" s="8885"/>
      <c r="N89" s="8885"/>
      <c r="O89" s="8885"/>
      <c r="P89" s="8886"/>
      <c r="Q89" s="8886"/>
      <c r="R89" s="9041"/>
      <c r="S89" s="812"/>
      <c r="T89" s="4969"/>
      <c r="U89" s="4969"/>
      <c r="V89" s="746"/>
      <c r="W89" s="6469"/>
      <c r="X89" s="95"/>
      <c r="Y89" s="5079"/>
      <c r="Z89" s="5079"/>
      <c r="AA89" s="5079"/>
      <c r="AB89" s="5080"/>
      <c r="AC89" s="6778"/>
      <c r="AD89" s="936"/>
      <c r="AE89" s="95"/>
      <c r="AF89" s="97"/>
      <c r="AG89" s="8348"/>
      <c r="AH89" s="9713"/>
    </row>
    <row r="90" spans="1:34" ht="32.25" customHeight="1" thickBot="1">
      <c r="A90" s="9832"/>
      <c r="B90" s="6213"/>
      <c r="C90" s="6050"/>
      <c r="D90" s="6050"/>
      <c r="E90" s="6050"/>
      <c r="F90" s="6050"/>
      <c r="G90" s="6050"/>
      <c r="H90" s="6050"/>
      <c r="I90" s="6050"/>
      <c r="J90" s="6050"/>
      <c r="K90" s="6050"/>
      <c r="L90" s="6050"/>
      <c r="M90" s="6050"/>
      <c r="N90" s="6050"/>
      <c r="O90" s="6050"/>
      <c r="P90" s="6050"/>
      <c r="Q90" s="6050"/>
      <c r="R90" s="6050"/>
      <c r="S90" s="9787" t="s">
        <v>1915</v>
      </c>
      <c r="T90" s="9788"/>
      <c r="U90" s="9788"/>
      <c r="V90" s="9788"/>
      <c r="W90" s="9788"/>
      <c r="X90" s="9788"/>
      <c r="Y90" s="9788"/>
      <c r="Z90" s="9788"/>
      <c r="AA90" s="6051" t="s">
        <v>292</v>
      </c>
      <c r="AB90" s="6052">
        <f>SUM(AB51:AB89)</f>
        <v>0</v>
      </c>
      <c r="AC90" s="6053"/>
      <c r="AD90" s="6053"/>
      <c r="AE90" s="9793"/>
      <c r="AF90" s="9794"/>
      <c r="AG90" s="9794"/>
      <c r="AH90" s="9795"/>
    </row>
    <row r="91" spans="1:34" s="434" customFormat="1" ht="32.25" customHeight="1" thickBot="1">
      <c r="A91" s="802"/>
      <c r="B91" s="802"/>
      <c r="C91" s="445"/>
      <c r="D91" s="445"/>
      <c r="E91" s="445"/>
      <c r="F91" s="445"/>
      <c r="G91" s="445"/>
      <c r="H91" s="445"/>
      <c r="I91" s="445"/>
      <c r="J91" s="445"/>
      <c r="K91" s="445"/>
      <c r="L91" s="445"/>
      <c r="M91" s="445"/>
      <c r="N91" s="445"/>
      <c r="O91" s="445"/>
      <c r="P91" s="445"/>
      <c r="Q91" s="445"/>
      <c r="R91" s="470"/>
      <c r="S91" s="8897" t="s">
        <v>1916</v>
      </c>
      <c r="T91" s="9796"/>
      <c r="U91" s="9796"/>
      <c r="V91" s="9796"/>
      <c r="W91" s="9796"/>
      <c r="X91" s="9796"/>
      <c r="Y91" s="9796"/>
      <c r="Z91" s="4829"/>
      <c r="AA91" s="5860" t="s">
        <v>292</v>
      </c>
      <c r="AB91" s="4894">
        <f>SUM(AB44,AB90)</f>
        <v>3675.31</v>
      </c>
      <c r="AC91" s="402"/>
      <c r="AD91" s="402"/>
      <c r="AE91" s="9797"/>
      <c r="AF91" s="9798"/>
      <c r="AG91" s="9798"/>
      <c r="AH91" s="9799"/>
    </row>
    <row r="92" spans="1:34" ht="16.5">
      <c r="A92" s="8"/>
      <c r="B92" s="8"/>
      <c r="C92" s="1725" t="s">
        <v>1917</v>
      </c>
      <c r="D92" s="143"/>
      <c r="E92" s="143"/>
      <c r="F92" s="143"/>
      <c r="G92" s="143"/>
      <c r="H92" s="143"/>
      <c r="I92" s="143"/>
      <c r="J92" s="143"/>
      <c r="K92" s="143"/>
      <c r="L92" s="143"/>
      <c r="M92" s="143"/>
      <c r="N92" s="143"/>
      <c r="O92" s="143"/>
      <c r="P92" s="143"/>
      <c r="Q92" s="143"/>
      <c r="R92" s="143"/>
      <c r="S92" s="9377" t="s">
        <v>533</v>
      </c>
      <c r="T92" s="8825"/>
      <c r="U92" s="8825"/>
      <c r="V92" s="8825"/>
      <c r="W92" s="8825"/>
      <c r="X92" s="8825"/>
      <c r="Y92" s="8825"/>
      <c r="Z92" s="8825"/>
      <c r="AA92" s="9378"/>
      <c r="AB92" s="9378"/>
      <c r="AC92" s="9378"/>
      <c r="AD92" s="9378"/>
      <c r="AE92" s="9378"/>
      <c r="AF92" s="9378"/>
      <c r="AG92" s="9378"/>
      <c r="AH92" s="9378"/>
    </row>
    <row r="93" spans="1:34" ht="16.5" customHeight="1">
      <c r="A93" s="8"/>
      <c r="B93" s="8"/>
      <c r="C93" s="689" t="s">
        <v>1918</v>
      </c>
      <c r="D93" s="143"/>
      <c r="E93" s="143"/>
      <c r="F93" s="143"/>
      <c r="G93" s="143"/>
      <c r="H93" s="143"/>
      <c r="I93" s="143"/>
      <c r="J93" s="143"/>
      <c r="K93" s="143"/>
      <c r="L93" s="143"/>
      <c r="M93" s="143"/>
      <c r="N93" s="143"/>
      <c r="O93" s="143"/>
      <c r="P93" s="143"/>
      <c r="Q93" s="143"/>
      <c r="R93" s="143"/>
      <c r="S93" s="210"/>
      <c r="T93" s="210"/>
      <c r="V93" s="210"/>
      <c r="W93" s="8"/>
      <c r="X93" s="8"/>
      <c r="Y93" s="8"/>
      <c r="Z93" s="8"/>
      <c r="AA93" s="8"/>
      <c r="AB93" s="8"/>
      <c r="AC93" s="405"/>
      <c r="AD93" s="405"/>
      <c r="AE93" s="480"/>
      <c r="AF93" s="8"/>
      <c r="AG93" s="8"/>
      <c r="AH93" s="8"/>
    </row>
    <row r="94" spans="1:34" ht="16.5">
      <c r="A94" s="8"/>
      <c r="B94" s="8"/>
      <c r="C94" s="143"/>
      <c r="D94" s="143"/>
      <c r="E94" s="143"/>
      <c r="F94" s="143"/>
      <c r="G94" s="143"/>
      <c r="H94" s="143"/>
      <c r="I94" s="143"/>
      <c r="J94" s="143"/>
      <c r="K94" s="143"/>
      <c r="L94" s="143"/>
      <c r="M94" s="143"/>
      <c r="N94" s="143"/>
      <c r="O94" s="143"/>
      <c r="P94" s="143"/>
      <c r="Q94" s="143"/>
      <c r="R94" s="143"/>
      <c r="S94" s="210"/>
      <c r="U94" s="8775" t="s">
        <v>351</v>
      </c>
      <c r="V94" s="9379"/>
      <c r="W94" s="9379"/>
      <c r="X94" s="9379"/>
      <c r="Y94" s="9379"/>
      <c r="Z94" s="9379"/>
      <c r="AA94" s="231"/>
      <c r="AB94" s="231"/>
      <c r="AC94" s="231"/>
      <c r="AD94"/>
      <c r="AE94" s="8"/>
      <c r="AF94" s="8"/>
      <c r="AG94" s="211"/>
    </row>
    <row r="95" spans="1:34" ht="16.5" customHeight="1">
      <c r="A95" s="8"/>
      <c r="B95" s="8"/>
      <c r="C95" s="143"/>
      <c r="D95" s="143"/>
      <c r="E95" s="143"/>
      <c r="F95" s="143"/>
      <c r="G95" s="143"/>
      <c r="H95" s="143"/>
      <c r="I95" s="143"/>
      <c r="J95" s="143"/>
      <c r="K95" s="143"/>
      <c r="L95" s="143"/>
      <c r="M95" s="143"/>
      <c r="N95" s="143"/>
      <c r="O95" s="143"/>
      <c r="P95" s="143"/>
      <c r="Q95" s="143"/>
      <c r="R95" s="143"/>
      <c r="S95" s="7"/>
      <c r="T95" s="28"/>
      <c r="U95" s="28"/>
      <c r="V95" s="28"/>
      <c r="W95" s="28"/>
      <c r="X95" s="28"/>
      <c r="Y95" s="28"/>
      <c r="Z95" s="28"/>
      <c r="AA95" s="100"/>
      <c r="AB95" s="363"/>
      <c r="AC95" s="363"/>
      <c r="AD95" s="100"/>
      <c r="AE95" s="8"/>
      <c r="AF95" s="8"/>
      <c r="AG95" s="8"/>
    </row>
    <row r="96" spans="1:34" ht="18" customHeight="1">
      <c r="A96" s="8"/>
      <c r="B96" s="8"/>
      <c r="C96" s="143"/>
      <c r="D96" s="143"/>
      <c r="E96" s="143"/>
      <c r="F96" s="143"/>
      <c r="G96" s="143"/>
      <c r="H96" s="143"/>
      <c r="I96" s="143"/>
      <c r="J96" s="143"/>
      <c r="K96" s="143"/>
      <c r="L96" s="143"/>
      <c r="M96" s="143"/>
      <c r="N96" s="143"/>
      <c r="O96" s="143"/>
      <c r="U96" s="5882" t="s">
        <v>5</v>
      </c>
      <c r="V96" s="5883" t="s">
        <v>6</v>
      </c>
      <c r="W96" s="5884" t="s">
        <v>7</v>
      </c>
      <c r="X96" s="5885" t="s">
        <v>352</v>
      </c>
      <c r="Y96" s="5885" t="s">
        <v>9</v>
      </c>
      <c r="Z96" s="5886" t="s">
        <v>353</v>
      </c>
      <c r="AA96" s="334"/>
      <c r="AB96" s="9"/>
      <c r="AC96" s="9"/>
      <c r="AD96" s="334"/>
      <c r="AE96" s="8"/>
      <c r="AF96" s="8"/>
      <c r="AG96" s="8"/>
    </row>
    <row r="97" spans="1:33" ht="33">
      <c r="A97" s="8"/>
      <c r="B97" s="8"/>
      <c r="C97" s="143"/>
      <c r="D97" s="143"/>
      <c r="E97" s="143"/>
      <c r="F97" s="143"/>
      <c r="G97" s="143"/>
      <c r="H97" s="143"/>
      <c r="I97" s="143"/>
      <c r="J97" s="143"/>
      <c r="K97" s="143"/>
      <c r="L97" s="143"/>
      <c r="M97" s="143"/>
      <c r="N97" s="143"/>
      <c r="O97" s="143"/>
      <c r="U97" s="5861" t="s">
        <v>15</v>
      </c>
      <c r="V97" s="442" t="s">
        <v>591</v>
      </c>
      <c r="W97" s="32">
        <v>840103</v>
      </c>
      <c r="X97" s="31" t="s">
        <v>17</v>
      </c>
      <c r="Y97" s="1726" t="s">
        <v>18</v>
      </c>
      <c r="Z97" s="883">
        <f>AB9+AB19+AB39</f>
        <v>1269.23</v>
      </c>
      <c r="AA97" s="101"/>
      <c r="AB97" s="10"/>
      <c r="AC97" s="10"/>
      <c r="AD97" s="335"/>
      <c r="AE97" s="8"/>
      <c r="AF97" s="8"/>
      <c r="AG97" s="8"/>
    </row>
    <row r="98" spans="1:33" ht="82.5">
      <c r="A98" s="8"/>
      <c r="B98" s="8"/>
      <c r="C98" s="143"/>
      <c r="D98" s="143"/>
      <c r="E98" s="143"/>
      <c r="F98" s="143"/>
      <c r="G98" s="143"/>
      <c r="H98" s="143"/>
      <c r="I98" s="143"/>
      <c r="J98" s="143"/>
      <c r="K98" s="143"/>
      <c r="L98" s="143"/>
      <c r="M98" s="143"/>
      <c r="N98" s="143"/>
      <c r="O98" s="143"/>
      <c r="U98" s="601" t="s">
        <v>79</v>
      </c>
      <c r="V98" s="442" t="s">
        <v>16</v>
      </c>
      <c r="W98" s="926">
        <v>530204</v>
      </c>
      <c r="X98" s="690" t="s">
        <v>17</v>
      </c>
      <c r="Y98" s="1678" t="s">
        <v>25</v>
      </c>
      <c r="Z98" s="883">
        <f>AB24</f>
        <v>300</v>
      </c>
      <c r="AA98" s="101"/>
      <c r="AB98" s="10"/>
      <c r="AC98" s="10"/>
      <c r="AD98" s="335"/>
      <c r="AE98" s="8"/>
      <c r="AF98" s="8"/>
      <c r="AG98" s="8"/>
    </row>
    <row r="99" spans="1:33" ht="33">
      <c r="A99" s="8"/>
      <c r="B99" s="8"/>
      <c r="C99" s="143"/>
      <c r="D99" s="143"/>
      <c r="E99" s="143"/>
      <c r="F99" s="143"/>
      <c r="G99" s="143"/>
      <c r="H99" s="143"/>
      <c r="I99" s="143"/>
      <c r="J99" s="143"/>
      <c r="K99" s="143"/>
      <c r="L99" s="143"/>
      <c r="M99" s="143"/>
      <c r="N99" s="143"/>
      <c r="O99" s="143"/>
      <c r="U99" s="601" t="s">
        <v>79</v>
      </c>
      <c r="V99" s="442" t="s">
        <v>471</v>
      </c>
      <c r="W99" s="926">
        <v>530207</v>
      </c>
      <c r="X99" s="690" t="s">
        <v>17</v>
      </c>
      <c r="Y99" s="1678" t="s">
        <v>25</v>
      </c>
      <c r="Z99" s="883">
        <f>AB29</f>
        <v>0</v>
      </c>
      <c r="AA99" s="101"/>
      <c r="AB99" s="10"/>
      <c r="AC99" s="10"/>
      <c r="AD99" s="335"/>
      <c r="AE99" s="8"/>
      <c r="AF99" s="8"/>
      <c r="AG99" s="8"/>
    </row>
    <row r="100" spans="1:33" ht="33">
      <c r="A100" s="8"/>
      <c r="B100" s="8"/>
      <c r="C100" s="143"/>
      <c r="D100" s="143"/>
      <c r="E100" s="143"/>
      <c r="F100" s="143"/>
      <c r="G100" s="143"/>
      <c r="H100" s="143"/>
      <c r="I100" s="143"/>
      <c r="J100" s="143"/>
      <c r="K100" s="143"/>
      <c r="L100" s="143"/>
      <c r="M100" s="143"/>
      <c r="N100" s="143"/>
      <c r="O100" s="143"/>
      <c r="U100" s="601" t="s">
        <v>79</v>
      </c>
      <c r="V100" s="442" t="s">
        <v>39</v>
      </c>
      <c r="W100" s="926">
        <v>840104</v>
      </c>
      <c r="X100" s="690" t="s">
        <v>17</v>
      </c>
      <c r="Y100" s="1678" t="s">
        <v>18</v>
      </c>
      <c r="Z100" s="883">
        <f>+AB16</f>
        <v>980</v>
      </c>
      <c r="AA100" s="101"/>
      <c r="AB100" s="10"/>
      <c r="AC100" s="10"/>
      <c r="AD100" s="335"/>
      <c r="AE100" s="8"/>
      <c r="AF100" s="8"/>
      <c r="AG100" s="8"/>
    </row>
    <row r="101" spans="1:33" ht="33">
      <c r="A101" s="8"/>
      <c r="B101" s="8"/>
      <c r="C101" s="143"/>
      <c r="D101" s="143"/>
      <c r="E101" s="143"/>
      <c r="F101" s="143"/>
      <c r="G101" s="143"/>
      <c r="H101" s="143"/>
      <c r="I101" s="143"/>
      <c r="J101" s="143"/>
      <c r="K101" s="143"/>
      <c r="L101" s="143"/>
      <c r="M101" s="143"/>
      <c r="N101" s="143"/>
      <c r="O101" s="143"/>
      <c r="U101" s="601" t="s">
        <v>79</v>
      </c>
      <c r="V101" s="442" t="s">
        <v>40</v>
      </c>
      <c r="W101" s="926">
        <v>840107</v>
      </c>
      <c r="X101" s="690" t="s">
        <v>17</v>
      </c>
      <c r="Y101" s="1678" t="s">
        <v>18</v>
      </c>
      <c r="Z101" s="883">
        <f>AB14</f>
        <v>1126.08</v>
      </c>
      <c r="AA101" s="2086"/>
      <c r="AB101" s="10"/>
      <c r="AC101" s="10"/>
      <c r="AD101" s="335"/>
      <c r="AE101" s="8"/>
      <c r="AF101" s="8"/>
      <c r="AG101" s="8"/>
    </row>
    <row r="102" spans="1:33" ht="18" customHeight="1">
      <c r="A102" s="8"/>
      <c r="B102" s="8"/>
      <c r="C102" s="143"/>
      <c r="D102" s="143"/>
      <c r="E102" s="143"/>
      <c r="F102" s="143"/>
      <c r="G102" s="143"/>
      <c r="H102" s="143"/>
      <c r="I102" s="143"/>
      <c r="J102" s="143"/>
      <c r="K102" s="143"/>
      <c r="L102" s="143"/>
      <c r="M102" s="143"/>
      <c r="N102" s="143"/>
      <c r="O102" s="143"/>
      <c r="P102" s="143"/>
      <c r="Q102" s="143"/>
      <c r="R102" s="143"/>
      <c r="S102" s="210"/>
      <c r="U102" s="5930"/>
      <c r="V102" s="5931" t="s">
        <v>67</v>
      </c>
      <c r="W102" s="5932"/>
      <c r="X102" s="5932"/>
      <c r="Y102" s="5926" t="s">
        <v>292</v>
      </c>
      <c r="Z102" s="5939">
        <f>SUM(Z97:Z101)</f>
        <v>3675.31</v>
      </c>
      <c r="AA102" s="143"/>
      <c r="AB102" s="364"/>
      <c r="AC102" s="364"/>
      <c r="AD102" s="143"/>
      <c r="AE102" s="8"/>
      <c r="AF102" s="8"/>
      <c r="AG102" s="8"/>
    </row>
    <row r="103" spans="1:33" ht="16.5" customHeight="1">
      <c r="A103" s="8"/>
      <c r="B103" s="8"/>
      <c r="C103" s="143"/>
      <c r="D103" s="143"/>
      <c r="E103" s="143"/>
      <c r="F103" s="143"/>
      <c r="G103" s="143"/>
      <c r="H103" s="143"/>
      <c r="I103" s="143"/>
      <c r="J103" s="143"/>
      <c r="K103" s="143"/>
      <c r="L103" s="143"/>
      <c r="M103" s="143"/>
      <c r="N103" s="143"/>
      <c r="O103" s="143"/>
      <c r="P103" s="143"/>
      <c r="Q103" s="143"/>
      <c r="R103" s="143"/>
      <c r="S103" s="210"/>
      <c r="T103" s="28"/>
      <c r="U103" s="28"/>
      <c r="V103" s="34"/>
      <c r="W103" s="35"/>
      <c r="X103" s="28"/>
      <c r="Y103" s="28"/>
      <c r="Z103" s="28"/>
      <c r="AA103" s="143"/>
      <c r="AB103" s="364"/>
      <c r="AC103" s="364"/>
      <c r="AD103" s="145"/>
      <c r="AE103" s="8"/>
      <c r="AF103" s="8"/>
      <c r="AG103" s="8"/>
    </row>
    <row r="104" spans="1:33" ht="16.5" customHeight="1">
      <c r="A104" s="8"/>
      <c r="B104" s="8"/>
      <c r="C104" s="143"/>
      <c r="D104" s="143"/>
      <c r="E104" s="143"/>
      <c r="F104" s="143"/>
      <c r="G104" s="143"/>
      <c r="H104" s="143"/>
      <c r="I104" s="143"/>
      <c r="J104" s="143"/>
      <c r="K104" s="143"/>
      <c r="L104" s="143"/>
      <c r="M104" s="143"/>
      <c r="N104" s="143"/>
      <c r="O104" s="143"/>
      <c r="P104" s="143"/>
      <c r="Q104" s="143"/>
      <c r="R104" s="143"/>
      <c r="S104" s="210"/>
      <c r="T104" s="210"/>
      <c r="U104" s="28"/>
      <c r="V104" s="28"/>
      <c r="W104" s="28"/>
      <c r="X104" s="28"/>
      <c r="Y104" s="28"/>
      <c r="Z104" s="28"/>
      <c r="AA104" s="28"/>
      <c r="AB104" s="368"/>
      <c r="AC104" s="368"/>
      <c r="AD104" s="143"/>
      <c r="AF104" s="8"/>
      <c r="AG104" s="8"/>
    </row>
    <row r="105" spans="1:33" ht="16.5" customHeight="1">
      <c r="A105" s="8"/>
      <c r="B105" s="8"/>
      <c r="C105" s="143"/>
      <c r="D105" s="143"/>
      <c r="E105" s="143"/>
      <c r="F105" s="143"/>
      <c r="G105" s="143"/>
      <c r="H105" s="143"/>
      <c r="I105" s="143"/>
      <c r="J105" s="143"/>
      <c r="K105" s="143"/>
      <c r="L105" s="143"/>
      <c r="M105" s="143"/>
      <c r="N105" s="143"/>
      <c r="O105" s="143"/>
      <c r="P105" s="143"/>
      <c r="Q105" s="143"/>
      <c r="R105" s="143"/>
      <c r="S105" s="210"/>
      <c r="T105" s="210"/>
      <c r="U105" s="8764" t="s">
        <v>356</v>
      </c>
      <c r="V105" s="9366"/>
      <c r="W105" s="9367"/>
      <c r="X105" s="28"/>
      <c r="Y105" s="36" t="s">
        <v>357</v>
      </c>
      <c r="Z105" s="37" t="str">
        <f>IF(Z102=AB91,"OK","NO")</f>
        <v>OK</v>
      </c>
      <c r="AA105" s="28"/>
      <c r="AB105" s="368"/>
      <c r="AC105" s="368"/>
      <c r="AD105" s="146"/>
      <c r="AF105" s="8"/>
      <c r="AG105" s="8"/>
    </row>
    <row r="106" spans="1:33" ht="16.5" customHeight="1">
      <c r="A106" s="8"/>
      <c r="B106" s="8"/>
      <c r="C106" s="143"/>
      <c r="D106" s="143"/>
      <c r="E106" s="143"/>
      <c r="F106" s="143"/>
      <c r="G106" s="143"/>
      <c r="H106" s="143"/>
      <c r="I106" s="143"/>
      <c r="J106" s="143"/>
      <c r="K106" s="143"/>
      <c r="L106" s="143"/>
      <c r="M106" s="143"/>
      <c r="N106" s="143"/>
      <c r="O106" s="143"/>
      <c r="P106" s="143"/>
      <c r="Q106" s="143"/>
      <c r="R106" s="143"/>
      <c r="S106" s="210"/>
      <c r="T106" s="210"/>
      <c r="U106" s="9773" t="s">
        <v>358</v>
      </c>
      <c r="V106" s="9774"/>
      <c r="W106" s="755">
        <f>+Z98+Z99</f>
        <v>300</v>
      </c>
      <c r="X106" s="35"/>
      <c r="Y106" s="28"/>
      <c r="Z106" s="37" t="str">
        <f>IF(W110=AB91,"OK","NO")</f>
        <v>OK</v>
      </c>
      <c r="AA106" s="28"/>
      <c r="AB106" s="368"/>
      <c r="AC106" s="368"/>
      <c r="AD106" s="146"/>
      <c r="AF106" s="8"/>
      <c r="AG106" s="8"/>
    </row>
    <row r="107" spans="1:33" ht="16.5" customHeight="1">
      <c r="A107" s="8"/>
      <c r="B107" s="8"/>
      <c r="C107" s="143"/>
      <c r="D107" s="143"/>
      <c r="E107" s="143"/>
      <c r="F107" s="143"/>
      <c r="G107" s="143"/>
      <c r="H107" s="143"/>
      <c r="I107" s="143"/>
      <c r="J107" s="143"/>
      <c r="K107" s="143"/>
      <c r="L107" s="143"/>
      <c r="M107" s="143"/>
      <c r="N107" s="143"/>
      <c r="O107" s="143"/>
      <c r="P107" s="143"/>
      <c r="Q107" s="143"/>
      <c r="R107" s="143"/>
      <c r="S107" s="210"/>
      <c r="T107" s="210"/>
      <c r="U107" s="9775" t="s">
        <v>359</v>
      </c>
      <c r="V107" s="9776"/>
      <c r="W107" s="756">
        <v>0</v>
      </c>
      <c r="X107" s="35"/>
      <c r="Y107" s="28"/>
      <c r="Z107" s="37" t="str">
        <f>IF(W120=AB91,"OK","NO")</f>
        <v>OK</v>
      </c>
      <c r="AA107" s="28"/>
      <c r="AB107" s="368"/>
      <c r="AC107" s="368"/>
      <c r="AD107" s="146"/>
      <c r="AF107" s="8"/>
      <c r="AG107" s="8"/>
    </row>
    <row r="108" spans="1:33" ht="16.5" customHeight="1">
      <c r="A108" s="8"/>
      <c r="B108" s="8"/>
      <c r="C108" s="143"/>
      <c r="D108" s="143"/>
      <c r="E108" s="143"/>
      <c r="F108" s="143"/>
      <c r="G108" s="143"/>
      <c r="H108" s="143"/>
      <c r="I108" s="143"/>
      <c r="J108" s="143"/>
      <c r="K108" s="143"/>
      <c r="L108" s="143"/>
      <c r="M108" s="143"/>
      <c r="N108" s="143"/>
      <c r="O108" s="143"/>
      <c r="P108" s="143"/>
      <c r="Q108" s="143"/>
      <c r="R108" s="143"/>
      <c r="S108" s="210"/>
      <c r="T108" s="210"/>
      <c r="U108" s="9775" t="s">
        <v>360</v>
      </c>
      <c r="V108" s="9776"/>
      <c r="W108" s="756">
        <f>+Z97+Z100+Z101</f>
        <v>3375.31</v>
      </c>
      <c r="X108" s="35"/>
      <c r="Y108" s="35"/>
      <c r="Z108" s="37" t="str">
        <f>IF(Resumen!C410=AB44,"OK","NO")</f>
        <v>OK</v>
      </c>
      <c r="AA108" s="28"/>
      <c r="AB108" s="368"/>
      <c r="AC108" s="368"/>
      <c r="AD108" s="146"/>
      <c r="AF108" s="8"/>
      <c r="AG108" s="8"/>
    </row>
    <row r="109" spans="1:33" ht="16.5" customHeight="1">
      <c r="A109" s="8"/>
      <c r="B109" s="8"/>
      <c r="C109" s="143"/>
      <c r="D109" s="143"/>
      <c r="E109" s="143"/>
      <c r="F109" s="143"/>
      <c r="G109" s="143"/>
      <c r="H109" s="143"/>
      <c r="I109" s="143"/>
      <c r="J109" s="143"/>
      <c r="K109" s="143"/>
      <c r="L109" s="143"/>
      <c r="M109" s="143"/>
      <c r="N109" s="143"/>
      <c r="O109" s="143"/>
      <c r="P109" s="143"/>
      <c r="Q109" s="143"/>
      <c r="R109" s="143"/>
      <c r="S109" s="210"/>
      <c r="T109" s="210"/>
      <c r="U109" s="9775" t="s">
        <v>361</v>
      </c>
      <c r="V109" s="9776"/>
      <c r="W109" s="757">
        <v>0</v>
      </c>
      <c r="X109" s="35"/>
      <c r="Y109" s="35"/>
      <c r="Z109" s="28"/>
      <c r="AA109" s="28"/>
      <c r="AB109" s="368"/>
      <c r="AC109" s="368"/>
      <c r="AD109" s="146"/>
      <c r="AF109" s="8"/>
      <c r="AG109" s="8"/>
    </row>
    <row r="110" spans="1:33" ht="16.5" customHeight="1">
      <c r="A110" s="8"/>
      <c r="B110" s="8"/>
      <c r="C110" s="143"/>
      <c r="D110" s="143"/>
      <c r="E110" s="143"/>
      <c r="F110" s="143"/>
      <c r="G110" s="143"/>
      <c r="H110" s="143"/>
      <c r="I110" s="143"/>
      <c r="J110" s="143"/>
      <c r="K110" s="143"/>
      <c r="L110" s="143"/>
      <c r="M110" s="143"/>
      <c r="N110" s="143"/>
      <c r="O110" s="143"/>
      <c r="P110" s="143"/>
      <c r="Q110" s="143"/>
      <c r="R110" s="143"/>
      <c r="S110" s="210"/>
      <c r="T110" s="210"/>
      <c r="U110" s="9780" t="s">
        <v>67</v>
      </c>
      <c r="V110" s="9781"/>
      <c r="W110" s="753">
        <f>SUM(W106:W109)</f>
        <v>3675.31</v>
      </c>
      <c r="X110" s="35"/>
      <c r="Y110" s="35"/>
      <c r="Z110" s="28"/>
      <c r="AA110" s="28"/>
      <c r="AB110" s="368"/>
      <c r="AC110" s="368"/>
      <c r="AD110" s="146"/>
      <c r="AF110" s="8"/>
      <c r="AG110" s="8"/>
    </row>
    <row r="111" spans="1:33" ht="16.5" customHeight="1">
      <c r="A111" s="8"/>
      <c r="B111" s="8"/>
      <c r="C111" s="143"/>
      <c r="D111" s="143"/>
      <c r="E111" s="143"/>
      <c r="F111" s="143"/>
      <c r="G111" s="143"/>
      <c r="H111" s="143"/>
      <c r="I111" s="143"/>
      <c r="J111" s="143"/>
      <c r="K111" s="143"/>
      <c r="L111" s="143"/>
      <c r="M111" s="143"/>
      <c r="N111" s="143"/>
      <c r="O111" s="143"/>
      <c r="P111" s="143"/>
      <c r="Q111" s="143"/>
      <c r="R111" s="143"/>
      <c r="S111" s="210"/>
      <c r="T111" s="210"/>
      <c r="U111" s="8758" t="s">
        <v>362</v>
      </c>
      <c r="V111" s="9373"/>
      <c r="W111" s="9374"/>
      <c r="X111" s="38"/>
      <c r="Y111" s="38"/>
      <c r="Z111" s="28"/>
      <c r="AA111" s="28"/>
      <c r="AB111" s="368"/>
      <c r="AC111" s="368"/>
      <c r="AD111" s="146"/>
      <c r="AF111" s="8"/>
      <c r="AG111" s="8"/>
    </row>
    <row r="112" spans="1:33" ht="16.5" customHeight="1">
      <c r="A112" s="8"/>
      <c r="B112" s="8"/>
      <c r="C112" s="143"/>
      <c r="D112" s="143"/>
      <c r="E112" s="143"/>
      <c r="F112" s="143"/>
      <c r="G112" s="143"/>
      <c r="H112" s="143"/>
      <c r="I112" s="143"/>
      <c r="J112" s="143"/>
      <c r="K112" s="143"/>
      <c r="L112" s="143"/>
      <c r="M112" s="143"/>
      <c r="N112" s="143"/>
      <c r="O112" s="143"/>
      <c r="P112" s="143"/>
      <c r="Q112" s="143"/>
      <c r="R112" s="143"/>
      <c r="S112" s="210"/>
      <c r="T112" s="210"/>
      <c r="U112" s="9782" t="s">
        <v>363</v>
      </c>
      <c r="V112" s="9774"/>
      <c r="W112" s="755">
        <v>0</v>
      </c>
      <c r="X112" s="38"/>
      <c r="Y112" s="38"/>
      <c r="Z112" s="28"/>
      <c r="AA112" s="28"/>
      <c r="AB112" s="368"/>
      <c r="AC112" s="368"/>
      <c r="AD112" s="146"/>
      <c r="AF112" s="8"/>
      <c r="AG112" s="8"/>
    </row>
    <row r="113" spans="1:33" ht="16.5" customHeight="1">
      <c r="A113" s="8"/>
      <c r="B113" s="8"/>
      <c r="C113" s="143"/>
      <c r="D113" s="143"/>
      <c r="E113" s="143"/>
      <c r="F113" s="143"/>
      <c r="G113" s="143"/>
      <c r="H113" s="143"/>
      <c r="I113" s="143"/>
      <c r="J113" s="143"/>
      <c r="K113" s="143"/>
      <c r="L113" s="143"/>
      <c r="M113" s="143"/>
      <c r="N113" s="143"/>
      <c r="O113" s="143"/>
      <c r="P113" s="143"/>
      <c r="Q113" s="143"/>
      <c r="R113" s="143"/>
      <c r="S113" s="210"/>
      <c r="T113" s="210"/>
      <c r="U113" s="9777" t="s">
        <v>364</v>
      </c>
      <c r="V113" s="9776"/>
      <c r="W113" s="756">
        <f>Z98+Z99</f>
        <v>300</v>
      </c>
      <c r="X113" s="38"/>
      <c r="Y113" s="38"/>
      <c r="Z113" s="28"/>
      <c r="AA113" s="28"/>
      <c r="AB113" s="368"/>
      <c r="AC113" s="368"/>
      <c r="AD113" s="146"/>
      <c r="AF113" s="8"/>
      <c r="AG113" s="8"/>
    </row>
    <row r="114" spans="1:33" ht="16.5" customHeight="1">
      <c r="A114" s="8"/>
      <c r="B114" s="8"/>
      <c r="C114" s="143"/>
      <c r="D114" s="143"/>
      <c r="E114" s="143"/>
      <c r="F114" s="143"/>
      <c r="G114" s="143"/>
      <c r="H114" s="143"/>
      <c r="I114" s="143"/>
      <c r="J114" s="143"/>
      <c r="K114" s="143"/>
      <c r="L114" s="143"/>
      <c r="M114" s="143"/>
      <c r="N114" s="143"/>
      <c r="O114" s="143"/>
      <c r="P114" s="143"/>
      <c r="Q114" s="143"/>
      <c r="R114" s="143"/>
      <c r="S114" s="210"/>
      <c r="T114" s="210"/>
      <c r="U114" s="9777" t="s">
        <v>365</v>
      </c>
      <c r="V114" s="9776"/>
      <c r="W114" s="756">
        <v>0</v>
      </c>
      <c r="X114" s="39"/>
      <c r="Y114" s="39"/>
      <c r="Z114" s="28"/>
      <c r="AA114" s="28"/>
      <c r="AB114" s="368"/>
      <c r="AC114" s="368"/>
      <c r="AD114" s="146"/>
      <c r="AF114" s="8"/>
      <c r="AG114" s="8"/>
    </row>
    <row r="115" spans="1:33" ht="16.5" customHeight="1">
      <c r="A115" s="8"/>
      <c r="B115" s="8"/>
      <c r="C115" s="143"/>
      <c r="D115" s="143"/>
      <c r="E115" s="143"/>
      <c r="F115" s="143"/>
      <c r="G115" s="143"/>
      <c r="H115" s="143"/>
      <c r="I115" s="143"/>
      <c r="J115" s="143"/>
      <c r="K115" s="143"/>
      <c r="L115" s="143"/>
      <c r="M115" s="143"/>
      <c r="N115" s="143"/>
      <c r="O115" s="143"/>
      <c r="P115" s="143"/>
      <c r="Q115" s="143"/>
      <c r="R115" s="143"/>
      <c r="S115" s="210"/>
      <c r="T115" s="210"/>
      <c r="U115" s="9777" t="s">
        <v>366</v>
      </c>
      <c r="V115" s="9776"/>
      <c r="W115" s="756">
        <v>0</v>
      </c>
      <c r="X115" s="35"/>
      <c r="Y115" s="35"/>
      <c r="Z115" s="28"/>
      <c r="AA115" s="28"/>
      <c r="AB115" s="368"/>
      <c r="AC115" s="368"/>
      <c r="AD115" s="146"/>
      <c r="AE115" s="2075"/>
      <c r="AF115" s="8"/>
      <c r="AG115" s="8"/>
    </row>
    <row r="116" spans="1:33" ht="16.5" customHeight="1">
      <c r="A116" s="8"/>
      <c r="B116" s="8"/>
      <c r="C116" s="143"/>
      <c r="D116" s="143"/>
      <c r="E116" s="143"/>
      <c r="F116" s="143"/>
      <c r="G116" s="143"/>
      <c r="H116" s="143"/>
      <c r="I116" s="143"/>
      <c r="J116" s="143"/>
      <c r="K116" s="143"/>
      <c r="L116" s="143"/>
      <c r="M116" s="143"/>
      <c r="N116" s="143"/>
      <c r="O116" s="143"/>
      <c r="P116" s="143"/>
      <c r="Q116" s="143"/>
      <c r="R116" s="143"/>
      <c r="S116" s="210"/>
      <c r="T116" s="210"/>
      <c r="U116" s="9777" t="s">
        <v>367</v>
      </c>
      <c r="V116" s="9776"/>
      <c r="W116" s="756">
        <v>0</v>
      </c>
      <c r="X116" s="40"/>
      <c r="Y116" s="40"/>
      <c r="Z116" s="1745"/>
      <c r="AC116"/>
      <c r="AD116"/>
      <c r="AE116" s="2075"/>
      <c r="AF116" s="8"/>
      <c r="AG116" s="8"/>
    </row>
    <row r="117" spans="1:33" ht="16.5" customHeight="1">
      <c r="A117" s="8"/>
      <c r="B117" s="8"/>
      <c r="C117" s="143"/>
      <c r="D117" s="143"/>
      <c r="E117" s="143"/>
      <c r="F117" s="143"/>
      <c r="G117" s="143"/>
      <c r="H117" s="143"/>
      <c r="I117" s="143"/>
      <c r="J117" s="143"/>
      <c r="K117" s="143"/>
      <c r="L117" s="143"/>
      <c r="M117" s="143"/>
      <c r="N117" s="143"/>
      <c r="O117" s="143"/>
      <c r="P117" s="143"/>
      <c r="Q117" s="143"/>
      <c r="R117" s="143"/>
      <c r="S117" s="210"/>
      <c r="T117" s="210"/>
      <c r="U117" s="9777" t="s">
        <v>368</v>
      </c>
      <c r="V117" s="9776"/>
      <c r="W117" s="756">
        <v>0</v>
      </c>
      <c r="X117" s="40"/>
      <c r="Y117" s="40"/>
      <c r="Z117" s="2067"/>
      <c r="AA117" s="2067"/>
      <c r="AB117" s="2066"/>
      <c r="AC117" s="2066"/>
      <c r="AD117" s="2067"/>
      <c r="AE117" s="2075"/>
      <c r="AF117" s="8"/>
      <c r="AG117" s="8"/>
    </row>
    <row r="118" spans="1:33" ht="16.5" customHeight="1">
      <c r="A118" s="8"/>
      <c r="B118" s="8"/>
      <c r="C118" s="143"/>
      <c r="D118" s="143"/>
      <c r="E118" s="143"/>
      <c r="F118" s="143"/>
      <c r="G118" s="143"/>
      <c r="H118" s="143"/>
      <c r="I118" s="143"/>
      <c r="J118" s="143"/>
      <c r="K118" s="143"/>
      <c r="L118" s="143"/>
      <c r="M118" s="143"/>
      <c r="N118" s="143"/>
      <c r="O118" s="143"/>
      <c r="P118" s="143"/>
      <c r="Q118" s="143"/>
      <c r="R118" s="143"/>
      <c r="S118" s="210"/>
      <c r="T118" s="210"/>
      <c r="U118" s="9777" t="s">
        <v>369</v>
      </c>
      <c r="V118" s="9776"/>
      <c r="W118" s="756">
        <f>+Z97+Z100+Z101</f>
        <v>3375.31</v>
      </c>
      <c r="X118" s="40"/>
      <c r="Y118" s="40"/>
      <c r="Z118" s="2073"/>
      <c r="AA118" s="85"/>
      <c r="AB118" s="2068"/>
      <c r="AC118" s="2068"/>
      <c r="AD118" s="2069"/>
      <c r="AE118" s="2075"/>
      <c r="AF118" s="8"/>
      <c r="AG118" s="8"/>
    </row>
    <row r="119" spans="1:33" ht="16.5" customHeight="1">
      <c r="A119" s="8"/>
      <c r="B119" s="8"/>
      <c r="C119" s="143"/>
      <c r="D119" s="143"/>
      <c r="E119" s="143"/>
      <c r="F119" s="143"/>
      <c r="G119" s="143"/>
      <c r="H119" s="143"/>
      <c r="I119" s="143"/>
      <c r="J119" s="143"/>
      <c r="K119" s="143"/>
      <c r="L119" s="143"/>
      <c r="M119" s="143"/>
      <c r="N119" s="143"/>
      <c r="O119" s="143"/>
      <c r="P119" s="143"/>
      <c r="Q119" s="143"/>
      <c r="R119" s="143"/>
      <c r="S119" s="210"/>
      <c r="T119" s="210"/>
      <c r="U119" s="9777" t="s">
        <v>370</v>
      </c>
      <c r="V119" s="9776"/>
      <c r="W119" s="757">
        <v>0</v>
      </c>
      <c r="X119" s="41"/>
      <c r="Y119" s="41"/>
      <c r="Z119" s="2075"/>
      <c r="AA119" s="2075"/>
      <c r="AB119" s="2070"/>
      <c r="AC119" s="2070"/>
      <c r="AD119" s="146"/>
      <c r="AE119" s="2075"/>
      <c r="AF119" s="8"/>
      <c r="AG119" s="8"/>
    </row>
    <row r="120" spans="1:33" ht="16.5" customHeight="1">
      <c r="A120" s="8"/>
      <c r="B120" s="8"/>
      <c r="C120" s="143"/>
      <c r="D120" s="143"/>
      <c r="E120" s="143"/>
      <c r="F120" s="143"/>
      <c r="G120" s="143"/>
      <c r="H120" s="143"/>
      <c r="I120" s="143"/>
      <c r="J120" s="143"/>
      <c r="K120" s="143"/>
      <c r="L120" s="143"/>
      <c r="M120" s="143"/>
      <c r="N120" s="143"/>
      <c r="O120" s="143"/>
      <c r="P120" s="143"/>
      <c r="Q120" s="143"/>
      <c r="R120" s="143"/>
      <c r="S120" s="210"/>
      <c r="T120" s="210"/>
      <c r="U120" s="9778" t="s">
        <v>67</v>
      </c>
      <c r="V120" s="9779"/>
      <c r="W120" s="754">
        <f>SUM(W112:W119)</f>
        <v>3675.31</v>
      </c>
      <c r="X120" s="39"/>
      <c r="Y120" s="39"/>
      <c r="Z120" s="28"/>
      <c r="AA120" s="28"/>
      <c r="AB120" s="368"/>
      <c r="AC120" s="368"/>
      <c r="AD120" s="146"/>
      <c r="AE120" s="2075"/>
      <c r="AF120" s="8"/>
      <c r="AG120" s="8"/>
    </row>
    <row r="121" spans="1:33" ht="15.75" customHeight="1">
      <c r="AB121" s="365"/>
      <c r="AD121"/>
    </row>
    <row r="122" spans="1:33" ht="15.75" customHeight="1">
      <c r="AB122" s="365"/>
      <c r="AD122"/>
    </row>
  </sheetData>
  <mergeCells count="329">
    <mergeCell ref="A45:A64"/>
    <mergeCell ref="A65:A90"/>
    <mergeCell ref="B45:B64"/>
    <mergeCell ref="B65:B89"/>
    <mergeCell ref="L85:L89"/>
    <mergeCell ref="M85:M89"/>
    <mergeCell ref="N85:N89"/>
    <mergeCell ref="O85:O89"/>
    <mergeCell ref="P85:P89"/>
    <mergeCell ref="L75:L79"/>
    <mergeCell ref="M75:M79"/>
    <mergeCell ref="O75:O79"/>
    <mergeCell ref="P75:P79"/>
    <mergeCell ref="C75:C79"/>
    <mergeCell ref="D75:D79"/>
    <mergeCell ref="E75:E79"/>
    <mergeCell ref="F75:F79"/>
    <mergeCell ref="G75:G79"/>
    <mergeCell ref="H75:H79"/>
    <mergeCell ref="I75:I79"/>
    <mergeCell ref="C80:C84"/>
    <mergeCell ref="D80:D84"/>
    <mergeCell ref="E80:E84"/>
    <mergeCell ref="F80:F84"/>
    <mergeCell ref="Q85:Q89"/>
    <mergeCell ref="R85:R89"/>
    <mergeCell ref="AH85:AH89"/>
    <mergeCell ref="C85:C89"/>
    <mergeCell ref="D85:D89"/>
    <mergeCell ref="E85:E89"/>
    <mergeCell ref="F85:F89"/>
    <mergeCell ref="G85:G89"/>
    <mergeCell ref="H85:H89"/>
    <mergeCell ref="I85:I89"/>
    <mergeCell ref="J85:J89"/>
    <mergeCell ref="K85:K89"/>
    <mergeCell ref="Q75:Q79"/>
    <mergeCell ref="R75:R79"/>
    <mergeCell ref="L80:L84"/>
    <mergeCell ref="M80:M84"/>
    <mergeCell ref="N80:N84"/>
    <mergeCell ref="O80:O84"/>
    <mergeCell ref="P80:P84"/>
    <mergeCell ref="Q80:Q84"/>
    <mergeCell ref="R80:R84"/>
    <mergeCell ref="G80:G84"/>
    <mergeCell ref="H80:H84"/>
    <mergeCell ref="I80:I84"/>
    <mergeCell ref="J80:J84"/>
    <mergeCell ref="K80:K84"/>
    <mergeCell ref="J75:J79"/>
    <mergeCell ref="K75:K79"/>
    <mergeCell ref="L65:L69"/>
    <mergeCell ref="M65:M69"/>
    <mergeCell ref="N65:N69"/>
    <mergeCell ref="O65:O69"/>
    <mergeCell ref="P65:P69"/>
    <mergeCell ref="Q65:Q69"/>
    <mergeCell ref="R65:R69"/>
    <mergeCell ref="K65:K69"/>
    <mergeCell ref="L70:L74"/>
    <mergeCell ref="M70:M74"/>
    <mergeCell ref="O70:O74"/>
    <mergeCell ref="P70:P74"/>
    <mergeCell ref="Q70:Q74"/>
    <mergeCell ref="R70:R74"/>
    <mergeCell ref="K70:K74"/>
    <mergeCell ref="C65:C69"/>
    <mergeCell ref="D65:D69"/>
    <mergeCell ref="E65:E69"/>
    <mergeCell ref="F65:F69"/>
    <mergeCell ref="G65:G69"/>
    <mergeCell ref="H65:H69"/>
    <mergeCell ref="I65:I69"/>
    <mergeCell ref="J65:J69"/>
    <mergeCell ref="C70:C74"/>
    <mergeCell ref="D70:D74"/>
    <mergeCell ref="E70:E74"/>
    <mergeCell ref="F70:F74"/>
    <mergeCell ref="G70:G74"/>
    <mergeCell ref="H70:H74"/>
    <mergeCell ref="I70:I74"/>
    <mergeCell ref="J70:J74"/>
    <mergeCell ref="M55:M59"/>
    <mergeCell ref="O55:O59"/>
    <mergeCell ref="P55:P59"/>
    <mergeCell ref="Q55:Q59"/>
    <mergeCell ref="R55:R59"/>
    <mergeCell ref="AH55:AH59"/>
    <mergeCell ref="C60:C64"/>
    <mergeCell ref="D60:D64"/>
    <mergeCell ref="E60:E64"/>
    <mergeCell ref="F60:F64"/>
    <mergeCell ref="G60:G64"/>
    <mergeCell ref="H60:H64"/>
    <mergeCell ref="I60:I64"/>
    <mergeCell ref="J60:J64"/>
    <mergeCell ref="K60:K64"/>
    <mergeCell ref="L60:L64"/>
    <mergeCell ref="M60:M64"/>
    <mergeCell ref="N60:N64"/>
    <mergeCell ref="O60:O64"/>
    <mergeCell ref="P60:P64"/>
    <mergeCell ref="Q60:Q64"/>
    <mergeCell ref="R60:R64"/>
    <mergeCell ref="C55:C59"/>
    <mergeCell ref="D55:D59"/>
    <mergeCell ref="E55:E59"/>
    <mergeCell ref="F55:F59"/>
    <mergeCell ref="G55:G59"/>
    <mergeCell ref="H55:H59"/>
    <mergeCell ref="I55:I59"/>
    <mergeCell ref="J55:J59"/>
    <mergeCell ref="K55:K59"/>
    <mergeCell ref="L45:L49"/>
    <mergeCell ref="E45:E49"/>
    <mergeCell ref="F45:F49"/>
    <mergeCell ref="G45:G49"/>
    <mergeCell ref="H45:H49"/>
    <mergeCell ref="I45:I49"/>
    <mergeCell ref="J45:J49"/>
    <mergeCell ref="K45:K49"/>
    <mergeCell ref="L55:L59"/>
    <mergeCell ref="M45:M49"/>
    <mergeCell ref="O45:O49"/>
    <mergeCell ref="P45:P49"/>
    <mergeCell ref="Q45:Q49"/>
    <mergeCell ref="R45:R49"/>
    <mergeCell ref="AH45:AH49"/>
    <mergeCell ref="C50:C54"/>
    <mergeCell ref="D50:D54"/>
    <mergeCell ref="E50:E54"/>
    <mergeCell ref="F50:F54"/>
    <mergeCell ref="G50:G54"/>
    <mergeCell ref="H50:H54"/>
    <mergeCell ref="I50:I54"/>
    <mergeCell ref="J50:J54"/>
    <mergeCell ref="K50:K54"/>
    <mergeCell ref="L50:L54"/>
    <mergeCell ref="M50:M54"/>
    <mergeCell ref="N50:N54"/>
    <mergeCell ref="O50:O54"/>
    <mergeCell ref="P50:P54"/>
    <mergeCell ref="Q50:Q54"/>
    <mergeCell ref="R50:R54"/>
    <mergeCell ref="C45:C49"/>
    <mergeCell ref="D45:D49"/>
    <mergeCell ref="A1:AH1"/>
    <mergeCell ref="A2:AH2"/>
    <mergeCell ref="A3:AH3"/>
    <mergeCell ref="A4:AH4"/>
    <mergeCell ref="C6:D6"/>
    <mergeCell ref="E6:I6"/>
    <mergeCell ref="G7:G8"/>
    <mergeCell ref="H7:H8"/>
    <mergeCell ref="I7:I8"/>
    <mergeCell ref="J7:J8"/>
    <mergeCell ref="M7:O7"/>
    <mergeCell ref="P7:P8"/>
    <mergeCell ref="Q7:Q8"/>
    <mergeCell ref="R7:R8"/>
    <mergeCell ref="E7:E8"/>
    <mergeCell ref="F7:F8"/>
    <mergeCell ref="C7:C8"/>
    <mergeCell ref="D7:D8"/>
    <mergeCell ref="A6:B8"/>
    <mergeCell ref="AH9:AH13"/>
    <mergeCell ref="J9:J13"/>
    <mergeCell ref="K9:K13"/>
    <mergeCell ref="L9:L13"/>
    <mergeCell ref="M9:M13"/>
    <mergeCell ref="N9:N13"/>
    <mergeCell ref="O9:O13"/>
    <mergeCell ref="P9:P13"/>
    <mergeCell ref="J6:R6"/>
    <mergeCell ref="S6:AH6"/>
    <mergeCell ref="S7:Y7"/>
    <mergeCell ref="AE7:AG7"/>
    <mergeCell ref="AH7:AH8"/>
    <mergeCell ref="K7:K8"/>
    <mergeCell ref="L7:L8"/>
    <mergeCell ref="R9:R13"/>
    <mergeCell ref="Z7:AD7"/>
    <mergeCell ref="AH14:AH18"/>
    <mergeCell ref="E14:E18"/>
    <mergeCell ref="F14:F18"/>
    <mergeCell ref="G14:G18"/>
    <mergeCell ref="H14:H18"/>
    <mergeCell ref="I14:I18"/>
    <mergeCell ref="J14:J18"/>
    <mergeCell ref="K14:K18"/>
    <mergeCell ref="O14:O18"/>
    <mergeCell ref="P14:P18"/>
    <mergeCell ref="Q14:Q18"/>
    <mergeCell ref="R14:R18"/>
    <mergeCell ref="N14:N18"/>
    <mergeCell ref="AH19:AH23"/>
    <mergeCell ref="AH24:AH28"/>
    <mergeCell ref="AH29:AH33"/>
    <mergeCell ref="C19:C23"/>
    <mergeCell ref="D19:D23"/>
    <mergeCell ref="E19:E23"/>
    <mergeCell ref="F19:F23"/>
    <mergeCell ref="G19:G23"/>
    <mergeCell ref="H19:H23"/>
    <mergeCell ref="I19:I23"/>
    <mergeCell ref="F24:F28"/>
    <mergeCell ref="G24:G28"/>
    <mergeCell ref="H24:H28"/>
    <mergeCell ref="I24:I28"/>
    <mergeCell ref="Q24:Q28"/>
    <mergeCell ref="R24:R28"/>
    <mergeCell ref="J24:J28"/>
    <mergeCell ref="K24:K28"/>
    <mergeCell ref="L24:L28"/>
    <mergeCell ref="M24:M28"/>
    <mergeCell ref="N24:N28"/>
    <mergeCell ref="O24:O28"/>
    <mergeCell ref="Q19:Q23"/>
    <mergeCell ref="R19:R23"/>
    <mergeCell ref="L19:L23"/>
    <mergeCell ref="M19:M23"/>
    <mergeCell ref="N19:N23"/>
    <mergeCell ref="O19:O23"/>
    <mergeCell ref="P19:P23"/>
    <mergeCell ref="K19:K23"/>
    <mergeCell ref="L14:L18"/>
    <mergeCell ref="M14:M18"/>
    <mergeCell ref="Q9:Q13"/>
    <mergeCell ref="H34:H38"/>
    <mergeCell ref="I34:I38"/>
    <mergeCell ref="J34:J38"/>
    <mergeCell ref="K34:K38"/>
    <mergeCell ref="E9:E13"/>
    <mergeCell ref="F9:F13"/>
    <mergeCell ref="G9:G13"/>
    <mergeCell ref="H9:H13"/>
    <mergeCell ref="I9:I13"/>
    <mergeCell ref="J19:J23"/>
    <mergeCell ref="AH34:AH38"/>
    <mergeCell ref="AH39:AH43"/>
    <mergeCell ref="S44:Z44"/>
    <mergeCell ref="AE44:AH44"/>
    <mergeCell ref="S92:AH92"/>
    <mergeCell ref="U94:Z94"/>
    <mergeCell ref="U105:W105"/>
    <mergeCell ref="AH50:AH54"/>
    <mergeCell ref="AH60:AH64"/>
    <mergeCell ref="AH70:AH74"/>
    <mergeCell ref="AH80:AH84"/>
    <mergeCell ref="S90:Z90"/>
    <mergeCell ref="AE90:AH90"/>
    <mergeCell ref="S91:Y91"/>
    <mergeCell ref="AE91:AH91"/>
    <mergeCell ref="AH65:AH69"/>
    <mergeCell ref="AH75:AH79"/>
    <mergeCell ref="U106:V106"/>
    <mergeCell ref="U107:V107"/>
    <mergeCell ref="U108:V108"/>
    <mergeCell ref="U116:V116"/>
    <mergeCell ref="U117:V117"/>
    <mergeCell ref="U118:V118"/>
    <mergeCell ref="U119:V119"/>
    <mergeCell ref="U120:V120"/>
    <mergeCell ref="U109:V109"/>
    <mergeCell ref="U110:V110"/>
    <mergeCell ref="U111:W111"/>
    <mergeCell ref="U112:V112"/>
    <mergeCell ref="U113:V113"/>
    <mergeCell ref="U114:V114"/>
    <mergeCell ref="U115:V115"/>
    <mergeCell ref="A9:A15"/>
    <mergeCell ref="A16:A31"/>
    <mergeCell ref="A32:A44"/>
    <mergeCell ref="B9:B15"/>
    <mergeCell ref="B16:B31"/>
    <mergeCell ref="B32:B44"/>
    <mergeCell ref="F39:F43"/>
    <mergeCell ref="G39:G43"/>
    <mergeCell ref="H39:H43"/>
    <mergeCell ref="C9:C13"/>
    <mergeCell ref="D9:D13"/>
    <mergeCell ref="C14:C18"/>
    <mergeCell ref="D14:D18"/>
    <mergeCell ref="C39:C43"/>
    <mergeCell ref="D39:D43"/>
    <mergeCell ref="E39:E43"/>
    <mergeCell ref="C24:C28"/>
    <mergeCell ref="D24:D28"/>
    <mergeCell ref="E24:E28"/>
    <mergeCell ref="C34:C38"/>
    <mergeCell ref="D34:D38"/>
    <mergeCell ref="E34:E38"/>
    <mergeCell ref="F34:F38"/>
    <mergeCell ref="G34:G38"/>
    <mergeCell ref="I39:I43"/>
    <mergeCell ref="Q39:Q43"/>
    <mergeCell ref="R39:R43"/>
    <mergeCell ref="J39:J43"/>
    <mergeCell ref="K39:K43"/>
    <mergeCell ref="L39:L43"/>
    <mergeCell ref="M39:M43"/>
    <mergeCell ref="N39:N43"/>
    <mergeCell ref="O39:O43"/>
    <mergeCell ref="P39:P43"/>
    <mergeCell ref="P24:P28"/>
    <mergeCell ref="C29:C33"/>
    <mergeCell ref="D29:D33"/>
    <mergeCell ref="E29:E33"/>
    <mergeCell ref="F29:F33"/>
    <mergeCell ref="G29:G33"/>
    <mergeCell ref="H29:H33"/>
    <mergeCell ref="I29:I33"/>
    <mergeCell ref="Q29:Q33"/>
    <mergeCell ref="R29:R33"/>
    <mergeCell ref="L34:L38"/>
    <mergeCell ref="M34:M38"/>
    <mergeCell ref="N34:N38"/>
    <mergeCell ref="O34:O38"/>
    <mergeCell ref="P34:P38"/>
    <mergeCell ref="Q34:Q38"/>
    <mergeCell ref="R34:R38"/>
    <mergeCell ref="J29:J33"/>
    <mergeCell ref="K29:K33"/>
    <mergeCell ref="L29:L33"/>
    <mergeCell ref="M29:M33"/>
    <mergeCell ref="N29:N33"/>
    <mergeCell ref="O29:O33"/>
    <mergeCell ref="P29:P33"/>
  </mergeCells>
  <dataValidations count="5">
    <dataValidation type="list" allowBlank="1" showErrorMessage="1" sqref="F14 F39 F34 F29 F24 F19" xr:uid="{00000000-0002-0000-0A00-000000000000}">
      <formula1>INDIRECT($E14)</formula1>
    </dataValidation>
    <dataValidation type="list" allowBlank="1" showInputMessage="1" showErrorMessage="1" prompt="Orientación: - Escoja un Lineamiento Estratégico de la lista despegable." sqref="F9" xr:uid="{00000000-0002-0000-0A00-000001000000}">
      <formula1>INDIRECT($E9)</formula1>
    </dataValidation>
    <dataValidation type="list" allowBlank="1" showInputMessage="1" showErrorMessage="1" prompt="Orientación: - Escoja un Eje Estratégico de la lista despegable." sqref="E9" xr:uid="{00000000-0002-0000-0A00-000002000000}">
      <formula1>INDIRECT($G9)</formula1>
    </dataValidation>
    <dataValidation type="list" allowBlank="1" showErrorMessage="1" sqref="E14 E39 E34 E29 E24 E19" xr:uid="{00000000-0002-0000-0A00-000003000000}">
      <formula1>INDIRECT($G14)</formula1>
    </dataValidation>
    <dataValidation type="decimal" allowBlank="1" showInputMessage="1" showErrorMessage="1" prompt="DPLAN - Sólo debe ingresar valores, NO porcentajes." sqref="M9:O9 M29:O29 M34:O34 M39:O39" xr:uid="{00000000-0002-0000-0A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Posgrado&amp;C&amp;P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r:uid="{00000000-0002-0000-0A00-000005000000}">
          <x14:formula1>
            <xm:f>'https://utmachalaeduec-my.sharepoint.com/personal/planificacion_utmachala_edu_ec/Documents/Gestión 2023/G.06 EMISION DE INSUMOS PARA ELAB. DE LA PROF, PRESUPUESTARIA Y SUS REFORMAS/REFORMA N° 002-2023/[PEDI]PEDI'!#REF!</xm:f>
          </x14:formula1>
          <xm:sqref>G9</xm:sqref>
        </x14:dataValidation>
        <x14:dataValidation type="list" allowBlank="1" showInputMessage="1" showErrorMessage="1" prompt="Orientación: - Escoja una Estrategia DAFO de la lista despegable." xr:uid="{00000000-0002-0000-0A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xm:sqref>
        </x14:dataValidation>
        <x14:dataValidation type="list" allowBlank="1" showInputMessage="1" showErrorMessage="1" prompt="Orientación: - Escoja una Política Pública/Meta Nacional de la lista despegable." xr:uid="{00000000-0002-0000-0A00-000007000000}">
          <x14:formula1>
            <xm:f>'https://utmachalaeduec-my.sharepoint.com/personal/planificacion_utmachala_edu_ec/Documents/Gestión 2023/G.06 EMISION DE INSUMOS PARA ELAB. DE LA PROF, PRESUPUESTARIA Y SUS REFORMAS/REFORMA N° 002-2023/[PND]PND'!#REF!</xm:f>
          </x14:formula1>
          <xm:sqref>D9</xm:sqref>
        </x14:dataValidation>
        <x14:dataValidation type="list" allowBlank="1" showErrorMessage="1" xr:uid="{00000000-0002-0000-0A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I14 I19 I24 I29 I34 I39</xm:sqref>
        </x14:dataValidation>
        <x14:dataValidation type="list" allowBlank="1" showInputMessage="1" showErrorMessage="1" prompt="Orientación: - Escoja un Objetivo Nacional de la lista despegable." xr:uid="{00000000-0002-0000-0A00-000009000000}">
          <x14:formula1>
            <xm:f>'https://utmachalaeduec-my.sharepoint.com/personal/planificacion_utmachala_edu_ec/Documents/Gestión 2023/G.06 EMISION DE INSUMOS PARA ELAB. DE LA PROF, PRESUPUESTARIA Y SUS REFORMAS/REFORMA N° 002-2023/[PND]PND'!#REF!</xm:f>
          </x14:formula1>
          <xm:sqref>C9</xm:sqref>
        </x14:dataValidation>
        <x14:dataValidation type="list" allowBlank="1" showErrorMessage="1" xr:uid="{00000000-0002-0000-0A00-00000A000000}">
          <x14:formula1>
            <xm:f>('https://utmachalaeduec-my.sharepoint.com/personal/planificacion_utmachala_edu_ec/Documents/Gestión 2023/G.06 EMISION DE INSUMOS PARA ELAB. DE LA PROF, PRESUPUESTARIA Y SUS REFORMAS/REFORMA N° 002-2023/[PEDI]PEDI'!#REF!)</xm:f>
          </x14:formula1>
          <xm:sqref>H14 H19 H24 H29 H34 H39</xm:sqref>
        </x14:dataValidation>
        <x14:dataValidation type="list" allowBlank="1" showErrorMessage="1" xr:uid="{00000000-0002-0000-0A00-00000B000000}">
          <x14:formula1>
            <xm:f>'https://utmachalaeduec-my.sharepoint.com/personal/planificacion_utmachala_edu_ec/Documents/Gestión 2023/G.06 EMISION DE INSUMOS PARA ELAB. DE LA PROF, PRESUPUESTARIA Y SUS REFORMAS/REFORMA N° 002-2023/[PEDI]PEDI'!#REF!</xm:f>
          </x14:formula1>
          <xm:sqref>G14 G24 G29 G34 G39</xm:sqref>
        </x14:dataValidation>
        <x14:dataValidation type="list" allowBlank="1" showErrorMessage="1" xr:uid="{00000000-0002-0000-0A00-00000C000000}">
          <x14:formula1>
            <xm:f>'https://utmachalaeduec-my.sharepoint.com/personal/planificacion_utmachala_edu_ec/Documents/Gestión 2023/G.06 EMISION DE INSUMOS PARA ELAB. DE LA PROF, PRESUPUESTARIA Y SUS REFORMAS/REFORMA N° 002-2023/[PND]PND'!#REF!</xm:f>
          </x14:formula1>
          <xm:sqref>C19 C14:D14 C24:D24 C29:D29 C34:D34 C39:D39</xm:sqref>
        </x14:dataValidation>
        <x14:dataValidation type="list" allowBlank="1" showInputMessage="1" showErrorMessage="1" prompt="Orientación: - Escoja un Producto Institucional de la lista despegable." xr:uid="{00000000-0002-0000-0A00-00000D000000}">
          <x14:formula1>
            <xm:f>('https://utmachalaeduec-my.sharepoint.com/personal/planificacion_utmachala_edu_ec/Documents/Gestión 2023/G.06 EMISION DE INSUMOS PARA ELAB. DE LA PROF, PRESUPUESTARIA Y SUS REFORMAS/REFORMA N° 002-2023/[PEDI]PEDI'!#REF!)</xm:f>
          </x14:formula1>
          <xm:sqref>H9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36C09"/>
  </sheetPr>
  <dimension ref="A1:AH302"/>
  <sheetViews>
    <sheetView showGridLines="0" topLeftCell="P4" zoomScaleNormal="100" workbookViewId="0">
      <selection activeCell="A77" sqref="A77"/>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1.42578125" customWidth="1"/>
    <col min="24" max="28" width="12.7109375" customWidth="1"/>
    <col min="29" max="29" width="12.140625" customWidth="1"/>
    <col min="30" max="30" width="10.28515625" customWidth="1"/>
    <col min="31" max="33" width="8.7109375" customWidth="1"/>
    <col min="34" max="34" width="19.7109375" customWidth="1"/>
  </cols>
  <sheetData>
    <row r="1" spans="1:34" ht="39"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4"/>
      <c r="AE1" s="8824"/>
      <c r="AF1" s="8824"/>
      <c r="AG1" s="8824"/>
      <c r="AH1" s="8824"/>
    </row>
    <row r="2" spans="1:34" ht="30">
      <c r="A2" s="8826" t="s">
        <v>1</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6"/>
      <c r="AE2" s="8826"/>
      <c r="AF2" s="8826"/>
      <c r="AG2" s="8826"/>
      <c r="AH2" s="8826"/>
    </row>
    <row r="3" spans="1:34" ht="30.75">
      <c r="A3" s="8828" t="s">
        <v>1919</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8"/>
      <c r="AE3" s="8828"/>
      <c r="AF3" s="8828"/>
      <c r="AG3" s="8828"/>
      <c r="AH3" s="8828"/>
    </row>
    <row r="4" spans="1:34"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9"/>
      <c r="AE4" s="8829"/>
      <c r="AF4" s="8829"/>
      <c r="AG4" s="8829"/>
      <c r="AH4" s="8829"/>
    </row>
    <row r="5" spans="1:34" ht="14.25" customHeight="1">
      <c r="A5" s="11"/>
      <c r="B5" s="11"/>
      <c r="C5" s="11"/>
      <c r="D5" s="11"/>
      <c r="E5" s="11"/>
      <c r="F5" s="11"/>
      <c r="G5" s="11"/>
      <c r="H5" s="11"/>
      <c r="I5" s="11"/>
      <c r="J5" s="9898"/>
      <c r="K5" s="9675"/>
      <c r="L5" s="9675"/>
      <c r="M5" s="9675"/>
      <c r="N5" s="9675"/>
      <c r="O5" s="9675"/>
      <c r="P5" s="9675"/>
      <c r="Q5" s="9675"/>
      <c r="R5" s="9675"/>
      <c r="S5" s="212"/>
      <c r="T5" s="212"/>
      <c r="U5" s="213"/>
      <c r="V5" s="212"/>
      <c r="W5" s="214"/>
      <c r="X5" s="215"/>
      <c r="Y5" s="212"/>
      <c r="Z5" s="212"/>
      <c r="AA5" s="212"/>
      <c r="AB5" s="212"/>
      <c r="AC5" s="212"/>
      <c r="AD5" s="212"/>
      <c r="AE5" s="212"/>
      <c r="AF5" s="212"/>
      <c r="AG5" s="212"/>
      <c r="AH5" s="216"/>
    </row>
    <row r="6" spans="1:34" ht="24.75" customHeight="1">
      <c r="A6" s="9002" t="s">
        <v>89</v>
      </c>
      <c r="B6" s="9351"/>
      <c r="C6" s="8832" t="s">
        <v>90</v>
      </c>
      <c r="D6" s="9356"/>
      <c r="E6" s="9010" t="s">
        <v>91</v>
      </c>
      <c r="F6" s="9357"/>
      <c r="G6" s="9357"/>
      <c r="H6" s="9357"/>
      <c r="I6" s="9357"/>
      <c r="J6" s="8988" t="s">
        <v>92</v>
      </c>
      <c r="K6" s="9343"/>
      <c r="L6" s="9343"/>
      <c r="M6" s="9343"/>
      <c r="N6" s="9343"/>
      <c r="O6" s="9343"/>
      <c r="P6" s="9343"/>
      <c r="Q6" s="9343"/>
      <c r="R6" s="9344"/>
      <c r="S6" s="9150" t="s">
        <v>93</v>
      </c>
      <c r="T6" s="9345"/>
      <c r="U6" s="9345"/>
      <c r="V6" s="9345"/>
      <c r="W6" s="9345"/>
      <c r="X6" s="9345"/>
      <c r="Y6" s="9345"/>
      <c r="Z6" s="9345"/>
      <c r="AA6" s="9345"/>
      <c r="AB6" s="9345"/>
      <c r="AC6" s="9345"/>
      <c r="AD6" s="9345"/>
      <c r="AE6" s="9345"/>
      <c r="AF6" s="9345"/>
      <c r="AG6" s="9345"/>
      <c r="AH6" s="9346"/>
    </row>
    <row r="7" spans="1:34" ht="39.75" customHeight="1">
      <c r="A7" s="9352"/>
      <c r="B7" s="9353"/>
      <c r="C7" s="9146" t="s">
        <v>94</v>
      </c>
      <c r="D7" s="9147"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019" t="s">
        <v>107</v>
      </c>
      <c r="S7" s="9153" t="s">
        <v>108</v>
      </c>
      <c r="T7" s="9347"/>
      <c r="U7" s="9347"/>
      <c r="V7" s="9347"/>
      <c r="W7" s="9347"/>
      <c r="X7" s="9347"/>
      <c r="Y7" s="9348"/>
      <c r="Z7" s="9156" t="s">
        <v>109</v>
      </c>
      <c r="AA7" s="9812"/>
      <c r="AB7" s="9812"/>
      <c r="AC7" s="9812"/>
      <c r="AD7" s="9813"/>
      <c r="AE7" s="9156" t="s">
        <v>110</v>
      </c>
      <c r="AF7" s="9347"/>
      <c r="AG7" s="9348"/>
      <c r="AH7" s="9157" t="s">
        <v>111</v>
      </c>
    </row>
    <row r="8" spans="1:34" ht="51.75" customHeight="1" thickBot="1">
      <c r="A8" s="9643"/>
      <c r="B8" s="9877"/>
      <c r="C8" s="9414"/>
      <c r="D8" s="9415"/>
      <c r="E8" s="9358"/>
      <c r="F8" s="9358"/>
      <c r="G8" s="9358"/>
      <c r="H8" s="9358"/>
      <c r="I8" s="9358"/>
      <c r="J8" s="9359"/>
      <c r="K8" s="9360"/>
      <c r="L8" s="9360"/>
      <c r="M8" s="5086" t="s">
        <v>112</v>
      </c>
      <c r="N8" s="5086" t="s">
        <v>113</v>
      </c>
      <c r="O8" s="5086" t="s">
        <v>114</v>
      </c>
      <c r="P8" s="9360"/>
      <c r="Q8" s="9360"/>
      <c r="R8" s="9362"/>
      <c r="S8" s="5087" t="s">
        <v>115</v>
      </c>
      <c r="T8" s="5088" t="s">
        <v>116</v>
      </c>
      <c r="U8" s="5100" t="s">
        <v>117</v>
      </c>
      <c r="V8" s="5088" t="s">
        <v>118</v>
      </c>
      <c r="W8" s="5101" t="s">
        <v>119</v>
      </c>
      <c r="X8" s="5088" t="s">
        <v>372</v>
      </c>
      <c r="Y8" s="5090" t="s">
        <v>121</v>
      </c>
      <c r="Z8" s="5088" t="s">
        <v>122</v>
      </c>
      <c r="AA8" s="5088" t="s">
        <v>123</v>
      </c>
      <c r="AB8" s="5088" t="s">
        <v>124</v>
      </c>
      <c r="AC8" s="5090" t="s">
        <v>125</v>
      </c>
      <c r="AD8" s="5090" t="s">
        <v>1100</v>
      </c>
      <c r="AE8" s="5088" t="s">
        <v>112</v>
      </c>
      <c r="AF8" s="5088" t="s">
        <v>113</v>
      </c>
      <c r="AG8" s="5088" t="s">
        <v>114</v>
      </c>
      <c r="AH8" s="9349"/>
    </row>
    <row r="9" spans="1:34" ht="22.5" customHeight="1">
      <c r="A9" s="9599" t="s">
        <v>1919</v>
      </c>
      <c r="B9" s="9848" t="s">
        <v>1919</v>
      </c>
      <c r="C9" s="9874" t="s">
        <v>183</v>
      </c>
      <c r="D9" s="8835" t="s">
        <v>184</v>
      </c>
      <c r="E9" s="8835" t="s">
        <v>185</v>
      </c>
      <c r="F9" s="8835" t="s">
        <v>186</v>
      </c>
      <c r="G9" s="9164" t="s">
        <v>187</v>
      </c>
      <c r="H9" s="8835" t="s">
        <v>247</v>
      </c>
      <c r="I9" s="8835" t="s">
        <v>133</v>
      </c>
      <c r="J9" s="9164" t="s">
        <v>1920</v>
      </c>
      <c r="K9" s="8835" t="s">
        <v>1921</v>
      </c>
      <c r="L9" s="8835" t="s">
        <v>1922</v>
      </c>
      <c r="M9" s="9169">
        <v>0</v>
      </c>
      <c r="N9" s="9895">
        <v>0</v>
      </c>
      <c r="O9" s="9169">
        <v>1</v>
      </c>
      <c r="P9" s="8835" t="s">
        <v>1923</v>
      </c>
      <c r="Q9" s="9896" t="s">
        <v>1924</v>
      </c>
      <c r="R9" s="9897" t="s">
        <v>1925</v>
      </c>
      <c r="S9" s="562"/>
      <c r="T9" s="4843"/>
      <c r="U9" s="6779"/>
      <c r="V9" s="574"/>
      <c r="W9" s="6836"/>
      <c r="X9" s="43"/>
      <c r="Y9" s="4896"/>
      <c r="Z9" s="4896"/>
      <c r="AA9" s="4896"/>
      <c r="AB9" s="4897"/>
      <c r="AC9" s="5336"/>
      <c r="AD9" s="44"/>
      <c r="AE9" s="43"/>
      <c r="AF9" s="45"/>
      <c r="AG9" s="217"/>
      <c r="AH9" s="9889" t="s">
        <v>1926</v>
      </c>
    </row>
    <row r="10" spans="1:34" ht="22.5" customHeight="1">
      <c r="A10" s="9392"/>
      <c r="B10" s="9849"/>
      <c r="C10" s="9841"/>
      <c r="D10" s="9311"/>
      <c r="E10" s="9311"/>
      <c r="F10" s="9311"/>
      <c r="G10" s="9311"/>
      <c r="H10" s="9311"/>
      <c r="I10" s="9311"/>
      <c r="J10" s="9311"/>
      <c r="K10" s="9311"/>
      <c r="L10" s="9311"/>
      <c r="M10" s="9313"/>
      <c r="N10" s="9865"/>
      <c r="O10" s="9313"/>
      <c r="P10" s="9311"/>
      <c r="Q10" s="9616"/>
      <c r="R10" s="9315"/>
      <c r="S10" s="567"/>
      <c r="T10" s="6780"/>
      <c r="U10" s="6781"/>
      <c r="V10" s="575"/>
      <c r="W10" s="6837"/>
      <c r="X10" s="48"/>
      <c r="Y10" s="4910"/>
      <c r="Z10" s="4910"/>
      <c r="AA10" s="4910"/>
      <c r="AB10" s="4911"/>
      <c r="AC10" s="4880"/>
      <c r="AD10" s="50"/>
      <c r="AE10" s="48"/>
      <c r="AF10" s="51"/>
      <c r="AG10" s="218"/>
      <c r="AH10" s="9879"/>
    </row>
    <row r="11" spans="1:34" ht="22.5" customHeight="1">
      <c r="A11" s="9392"/>
      <c r="B11" s="9849"/>
      <c r="C11" s="9841"/>
      <c r="D11" s="9311"/>
      <c r="E11" s="9311"/>
      <c r="F11" s="9311"/>
      <c r="G11" s="9311"/>
      <c r="H11" s="9311"/>
      <c r="I11" s="9311"/>
      <c r="J11" s="9311"/>
      <c r="K11" s="9311"/>
      <c r="L11" s="9311"/>
      <c r="M11" s="9313"/>
      <c r="N11" s="9865"/>
      <c r="O11" s="9313"/>
      <c r="P11" s="9311"/>
      <c r="Q11" s="9616"/>
      <c r="R11" s="9315"/>
      <c r="S11" s="563"/>
      <c r="T11" s="4849"/>
      <c r="U11" s="6782"/>
      <c r="V11" s="576"/>
      <c r="W11" s="6838"/>
      <c r="X11" s="53"/>
      <c r="Y11" s="4917"/>
      <c r="Z11" s="4910"/>
      <c r="AA11" s="4910"/>
      <c r="AB11" s="4911"/>
      <c r="AC11" s="4880"/>
      <c r="AD11" s="50"/>
      <c r="AE11" s="48"/>
      <c r="AF11" s="51"/>
      <c r="AG11" s="218"/>
      <c r="AH11" s="9879"/>
    </row>
    <row r="12" spans="1:34" ht="22.5" customHeight="1">
      <c r="A12" s="9392"/>
      <c r="B12" s="9849"/>
      <c r="C12" s="9841"/>
      <c r="D12" s="9311"/>
      <c r="E12" s="9311"/>
      <c r="F12" s="9311"/>
      <c r="G12" s="9311"/>
      <c r="H12" s="9311"/>
      <c r="I12" s="9311"/>
      <c r="J12" s="9311"/>
      <c r="K12" s="9311"/>
      <c r="L12" s="9311"/>
      <c r="M12" s="9313"/>
      <c r="N12" s="9865"/>
      <c r="O12" s="9313"/>
      <c r="P12" s="9311"/>
      <c r="Q12" s="9616"/>
      <c r="R12" s="9315"/>
      <c r="S12" s="563"/>
      <c r="T12" s="4849"/>
      <c r="U12" s="6783"/>
      <c r="V12" s="576"/>
      <c r="W12" s="6838"/>
      <c r="X12" s="53"/>
      <c r="Y12" s="4917"/>
      <c r="Z12" s="4910"/>
      <c r="AA12" s="4910"/>
      <c r="AB12" s="4911"/>
      <c r="AC12" s="4880"/>
      <c r="AD12" s="50"/>
      <c r="AE12" s="48"/>
      <c r="AF12" s="51"/>
      <c r="AG12" s="218"/>
      <c r="AH12" s="9879"/>
    </row>
    <row r="13" spans="1:34" ht="22.5" customHeight="1">
      <c r="A13" s="9392"/>
      <c r="B13" s="9849"/>
      <c r="C13" s="9842"/>
      <c r="D13" s="9312"/>
      <c r="E13" s="9312"/>
      <c r="F13" s="9312"/>
      <c r="G13" s="9312"/>
      <c r="H13" s="9312"/>
      <c r="I13" s="9312"/>
      <c r="J13" s="9312"/>
      <c r="K13" s="9312"/>
      <c r="L13" s="9312"/>
      <c r="M13" s="9313"/>
      <c r="N13" s="9865"/>
      <c r="O13" s="9313"/>
      <c r="P13" s="9312"/>
      <c r="Q13" s="9617"/>
      <c r="R13" s="9316"/>
      <c r="S13" s="568"/>
      <c r="T13" s="6784"/>
      <c r="U13" s="6785"/>
      <c r="V13" s="577"/>
      <c r="W13" s="6839"/>
      <c r="X13" s="64"/>
      <c r="Y13" s="4914"/>
      <c r="Z13" s="4914"/>
      <c r="AA13" s="4914"/>
      <c r="AB13" s="4916"/>
      <c r="AC13" s="4882"/>
      <c r="AD13" s="63"/>
      <c r="AE13" s="64"/>
      <c r="AF13" s="65"/>
      <c r="AG13" s="219"/>
      <c r="AH13" s="9880"/>
    </row>
    <row r="14" spans="1:34" ht="22.5" customHeight="1">
      <c r="A14" s="9392"/>
      <c r="B14" s="9849"/>
      <c r="C14" s="9283" t="s">
        <v>183</v>
      </c>
      <c r="D14" s="8834" t="s">
        <v>184</v>
      </c>
      <c r="E14" s="8834" t="s">
        <v>185</v>
      </c>
      <c r="F14" s="8834" t="s">
        <v>186</v>
      </c>
      <c r="G14" s="8974" t="s">
        <v>187</v>
      </c>
      <c r="H14" s="8834" t="s">
        <v>247</v>
      </c>
      <c r="I14" s="8834" t="s">
        <v>133</v>
      </c>
      <c r="J14" s="8834" t="s">
        <v>1927</v>
      </c>
      <c r="K14" s="8834" t="s">
        <v>1928</v>
      </c>
      <c r="L14" s="8834" t="s">
        <v>1929</v>
      </c>
      <c r="M14" s="8823">
        <v>0</v>
      </c>
      <c r="N14" s="9613">
        <v>0</v>
      </c>
      <c r="O14" s="9613">
        <v>0</v>
      </c>
      <c r="P14" s="9894" t="s">
        <v>1930</v>
      </c>
      <c r="Q14" s="9894" t="s">
        <v>1930</v>
      </c>
      <c r="R14" s="9891" t="s">
        <v>1931</v>
      </c>
      <c r="S14" s="563"/>
      <c r="T14" s="4849"/>
      <c r="U14" s="6783"/>
      <c r="V14" s="578"/>
      <c r="W14" s="6838"/>
      <c r="X14" s="53"/>
      <c r="Y14" s="4917"/>
      <c r="Z14" s="4917"/>
      <c r="AA14" s="4917"/>
      <c r="AB14" s="4918"/>
      <c r="AC14" s="4875"/>
      <c r="AD14" s="67"/>
      <c r="AE14" s="53"/>
      <c r="AF14" s="73"/>
      <c r="AG14" s="435"/>
      <c r="AH14" s="9878" t="s">
        <v>1932</v>
      </c>
    </row>
    <row r="15" spans="1:34" ht="22.5" customHeight="1">
      <c r="A15" s="9392"/>
      <c r="B15" s="9849"/>
      <c r="C15" s="9841"/>
      <c r="D15" s="9311"/>
      <c r="E15" s="9311"/>
      <c r="F15" s="9311"/>
      <c r="G15" s="9311"/>
      <c r="H15" s="9311"/>
      <c r="I15" s="9311"/>
      <c r="J15" s="9311"/>
      <c r="K15" s="9311"/>
      <c r="L15" s="9311"/>
      <c r="M15" s="9313"/>
      <c r="N15" s="9865"/>
      <c r="O15" s="9865"/>
      <c r="P15" s="9616"/>
      <c r="Q15" s="9616"/>
      <c r="R15" s="9892"/>
      <c r="S15" s="567"/>
      <c r="T15" s="6780"/>
      <c r="U15" s="6781"/>
      <c r="V15" s="575"/>
      <c r="W15" s="6837"/>
      <c r="X15" s="48"/>
      <c r="Y15" s="4910"/>
      <c r="Z15" s="4910"/>
      <c r="AA15" s="4910"/>
      <c r="AB15" s="4911"/>
      <c r="AC15" s="4880"/>
      <c r="AD15" s="50"/>
      <c r="AE15" s="48"/>
      <c r="AF15" s="51"/>
      <c r="AG15" s="218"/>
      <c r="AH15" s="9879"/>
    </row>
    <row r="16" spans="1:34" ht="22.5" customHeight="1">
      <c r="A16" s="9392"/>
      <c r="B16" s="9849"/>
      <c r="C16" s="9841"/>
      <c r="D16" s="9311"/>
      <c r="E16" s="9311"/>
      <c r="F16" s="9311"/>
      <c r="G16" s="9311"/>
      <c r="H16" s="9311"/>
      <c r="I16" s="9311"/>
      <c r="J16" s="9311"/>
      <c r="K16" s="9311"/>
      <c r="L16" s="9311"/>
      <c r="M16" s="9313"/>
      <c r="N16" s="9865"/>
      <c r="O16" s="9865"/>
      <c r="P16" s="9616"/>
      <c r="Q16" s="9616"/>
      <c r="R16" s="9892"/>
      <c r="S16" s="563"/>
      <c r="T16" s="4849"/>
      <c r="U16" s="6782"/>
      <c r="V16" s="576"/>
      <c r="W16" s="6838"/>
      <c r="X16" s="53"/>
      <c r="Y16" s="4917"/>
      <c r="Z16" s="4910"/>
      <c r="AA16" s="4910"/>
      <c r="AB16" s="4911"/>
      <c r="AC16" s="4880"/>
      <c r="AD16" s="50"/>
      <c r="AE16" s="48"/>
      <c r="AF16" s="51"/>
      <c r="AG16" s="218"/>
      <c r="AH16" s="9879"/>
    </row>
    <row r="17" spans="1:34" ht="22.5" customHeight="1">
      <c r="A17" s="9392"/>
      <c r="B17" s="9849"/>
      <c r="C17" s="9841"/>
      <c r="D17" s="9311"/>
      <c r="E17" s="9311"/>
      <c r="F17" s="9311"/>
      <c r="G17" s="9311"/>
      <c r="H17" s="9311"/>
      <c r="I17" s="9311"/>
      <c r="J17" s="9311"/>
      <c r="K17" s="9311"/>
      <c r="L17" s="9311"/>
      <c r="M17" s="9313"/>
      <c r="N17" s="9865"/>
      <c r="O17" s="9865"/>
      <c r="P17" s="9616"/>
      <c r="Q17" s="9616"/>
      <c r="R17" s="9892"/>
      <c r="S17" s="563"/>
      <c r="T17" s="4849"/>
      <c r="U17" s="6783"/>
      <c r="V17" s="576"/>
      <c r="W17" s="6838"/>
      <c r="X17" s="53"/>
      <c r="Y17" s="4917"/>
      <c r="Z17" s="4910"/>
      <c r="AA17" s="4910"/>
      <c r="AB17" s="4911"/>
      <c r="AC17" s="4880"/>
      <c r="AD17" s="50"/>
      <c r="AE17" s="48"/>
      <c r="AF17" s="51"/>
      <c r="AG17" s="218"/>
      <c r="AH17" s="9879"/>
    </row>
    <row r="18" spans="1:34" ht="22.5" customHeight="1">
      <c r="A18" s="9392"/>
      <c r="B18" s="9849"/>
      <c r="C18" s="9842"/>
      <c r="D18" s="9312"/>
      <c r="E18" s="9312"/>
      <c r="F18" s="9312"/>
      <c r="G18" s="9312"/>
      <c r="H18" s="9312"/>
      <c r="I18" s="9312"/>
      <c r="J18" s="9312"/>
      <c r="K18" s="9311"/>
      <c r="L18" s="9312"/>
      <c r="M18" s="9314"/>
      <c r="N18" s="9866"/>
      <c r="O18" s="9866"/>
      <c r="P18" s="9617"/>
      <c r="Q18" s="9617"/>
      <c r="R18" s="9893"/>
      <c r="S18" s="568"/>
      <c r="T18" s="6784"/>
      <c r="U18" s="6785"/>
      <c r="V18" s="577"/>
      <c r="W18" s="6839"/>
      <c r="X18" s="64"/>
      <c r="Y18" s="4914"/>
      <c r="Z18" s="4914"/>
      <c r="AA18" s="4914"/>
      <c r="AB18" s="4916"/>
      <c r="AC18" s="4882"/>
      <c r="AD18" s="63"/>
      <c r="AE18" s="64"/>
      <c r="AF18" s="65"/>
      <c r="AG18" s="219"/>
      <c r="AH18" s="9880"/>
    </row>
    <row r="19" spans="1:34" ht="26.25" customHeight="1">
      <c r="A19" s="9392"/>
      <c r="B19" s="9849"/>
      <c r="C19" s="9283" t="s">
        <v>183</v>
      </c>
      <c r="D19" s="8834" t="s">
        <v>184</v>
      </c>
      <c r="E19" s="8834" t="s">
        <v>1278</v>
      </c>
      <c r="F19" s="8834" t="s">
        <v>1279</v>
      </c>
      <c r="G19" s="8974" t="s">
        <v>187</v>
      </c>
      <c r="H19" s="8834" t="s">
        <v>247</v>
      </c>
      <c r="I19" s="8834" t="s">
        <v>159</v>
      </c>
      <c r="J19" s="8834" t="s">
        <v>1933</v>
      </c>
      <c r="K19" s="8782" t="s">
        <v>1934</v>
      </c>
      <c r="L19" s="8834" t="s">
        <v>1512</v>
      </c>
      <c r="M19" s="8823">
        <v>0</v>
      </c>
      <c r="N19" s="8823">
        <v>0</v>
      </c>
      <c r="O19" s="8823">
        <v>0</v>
      </c>
      <c r="P19" s="8834" t="s">
        <v>1935</v>
      </c>
      <c r="Q19" s="8834" t="s">
        <v>1935</v>
      </c>
      <c r="R19" s="9873" t="s">
        <v>1936</v>
      </c>
      <c r="S19" s="563"/>
      <c r="T19" s="4849"/>
      <c r="U19" s="6783"/>
      <c r="V19" s="578"/>
      <c r="W19" s="6838"/>
      <c r="X19" s="53"/>
      <c r="Y19" s="4917"/>
      <c r="Z19" s="4917"/>
      <c r="AA19" s="4917"/>
      <c r="AB19" s="4918"/>
      <c r="AC19" s="4875"/>
      <c r="AD19" s="67"/>
      <c r="AE19" s="53"/>
      <c r="AF19" s="73"/>
      <c r="AG19" s="435"/>
      <c r="AH19" s="9878" t="s">
        <v>1937</v>
      </c>
    </row>
    <row r="20" spans="1:34" ht="26.25" customHeight="1">
      <c r="A20" s="9392"/>
      <c r="B20" s="9849"/>
      <c r="C20" s="9841"/>
      <c r="D20" s="9311"/>
      <c r="E20" s="9311"/>
      <c r="F20" s="9311"/>
      <c r="G20" s="9311"/>
      <c r="H20" s="9311"/>
      <c r="I20" s="9311"/>
      <c r="J20" s="9311"/>
      <c r="K20" s="9311"/>
      <c r="L20" s="9311"/>
      <c r="M20" s="9313"/>
      <c r="N20" s="9313"/>
      <c r="O20" s="9313"/>
      <c r="P20" s="9311"/>
      <c r="Q20" s="9311"/>
      <c r="R20" s="9315"/>
      <c r="S20" s="567"/>
      <c r="T20" s="6780"/>
      <c r="U20" s="6781"/>
      <c r="V20" s="575"/>
      <c r="W20" s="6837"/>
      <c r="X20" s="48"/>
      <c r="Y20" s="4910"/>
      <c r="Z20" s="4910"/>
      <c r="AA20" s="4910"/>
      <c r="AB20" s="4911"/>
      <c r="AC20" s="4880"/>
      <c r="AD20" s="50"/>
      <c r="AE20" s="48"/>
      <c r="AF20" s="51"/>
      <c r="AG20" s="218"/>
      <c r="AH20" s="9879"/>
    </row>
    <row r="21" spans="1:34" ht="26.25" customHeight="1">
      <c r="A21" s="9392"/>
      <c r="B21" s="9849"/>
      <c r="C21" s="9841"/>
      <c r="D21" s="9311"/>
      <c r="E21" s="9311"/>
      <c r="F21" s="9311"/>
      <c r="G21" s="9311"/>
      <c r="H21" s="9311"/>
      <c r="I21" s="9311"/>
      <c r="J21" s="9311"/>
      <c r="K21" s="9311"/>
      <c r="L21" s="9311"/>
      <c r="M21" s="9313"/>
      <c r="N21" s="9313"/>
      <c r="O21" s="9313"/>
      <c r="P21" s="9311"/>
      <c r="Q21" s="9311"/>
      <c r="R21" s="9315"/>
      <c r="S21" s="563"/>
      <c r="T21" s="4849"/>
      <c r="U21" s="6782"/>
      <c r="V21" s="576"/>
      <c r="W21" s="6838"/>
      <c r="X21" s="53"/>
      <c r="Y21" s="4917"/>
      <c r="Z21" s="4910"/>
      <c r="AA21" s="4910"/>
      <c r="AB21" s="4911"/>
      <c r="AC21" s="4880"/>
      <c r="AD21" s="50"/>
      <c r="AE21" s="48"/>
      <c r="AF21" s="51"/>
      <c r="AG21" s="218"/>
      <c r="AH21" s="9879"/>
    </row>
    <row r="22" spans="1:34" ht="26.25" customHeight="1">
      <c r="A22" s="9392"/>
      <c r="B22" s="9849"/>
      <c r="C22" s="9841"/>
      <c r="D22" s="9311"/>
      <c r="E22" s="9311"/>
      <c r="F22" s="9311"/>
      <c r="G22" s="9311"/>
      <c r="H22" s="9311"/>
      <c r="I22" s="9311"/>
      <c r="J22" s="9311"/>
      <c r="K22" s="9311"/>
      <c r="L22" s="9311"/>
      <c r="M22" s="9313"/>
      <c r="N22" s="9313"/>
      <c r="O22" s="9313"/>
      <c r="P22" s="9311"/>
      <c r="Q22" s="9311"/>
      <c r="R22" s="9315"/>
      <c r="S22" s="563"/>
      <c r="T22" s="4849"/>
      <c r="U22" s="6783"/>
      <c r="V22" s="576"/>
      <c r="W22" s="6838"/>
      <c r="X22" s="53"/>
      <c r="Y22" s="4917"/>
      <c r="Z22" s="4910"/>
      <c r="AA22" s="4910"/>
      <c r="AB22" s="4911"/>
      <c r="AC22" s="4880"/>
      <c r="AD22" s="50"/>
      <c r="AE22" s="48"/>
      <c r="AF22" s="51"/>
      <c r="AG22" s="218"/>
      <c r="AH22" s="9879"/>
    </row>
    <row r="23" spans="1:34" ht="26.25" customHeight="1">
      <c r="A23" s="9392"/>
      <c r="B23" s="9849"/>
      <c r="C23" s="9842"/>
      <c r="D23" s="9312"/>
      <c r="E23" s="9312"/>
      <c r="F23" s="9312"/>
      <c r="G23" s="9312"/>
      <c r="H23" s="9312"/>
      <c r="I23" s="9312"/>
      <c r="J23" s="9312"/>
      <c r="K23" s="9312"/>
      <c r="L23" s="9312"/>
      <c r="M23" s="9314"/>
      <c r="N23" s="9314"/>
      <c r="O23" s="9314"/>
      <c r="P23" s="9312"/>
      <c r="Q23" s="9312"/>
      <c r="R23" s="9316"/>
      <c r="S23" s="568"/>
      <c r="T23" s="6784"/>
      <c r="U23" s="6785"/>
      <c r="V23" s="577"/>
      <c r="W23" s="6839"/>
      <c r="X23" s="64"/>
      <c r="Y23" s="4914"/>
      <c r="Z23" s="4914"/>
      <c r="AA23" s="4914"/>
      <c r="AB23" s="4916"/>
      <c r="AC23" s="4882"/>
      <c r="AD23" s="63"/>
      <c r="AE23" s="64"/>
      <c r="AF23" s="65"/>
      <c r="AG23" s="219"/>
      <c r="AH23" s="9880"/>
    </row>
    <row r="24" spans="1:34" ht="33" customHeight="1">
      <c r="A24" s="9392"/>
      <c r="B24" s="9849"/>
      <c r="C24" s="9283" t="s">
        <v>183</v>
      </c>
      <c r="D24" s="8834" t="s">
        <v>184</v>
      </c>
      <c r="E24" s="8782" t="s">
        <v>185</v>
      </c>
      <c r="F24" s="8834" t="s">
        <v>1938</v>
      </c>
      <c r="G24" s="8974" t="s">
        <v>187</v>
      </c>
      <c r="H24" s="8834" t="s">
        <v>247</v>
      </c>
      <c r="I24" s="8834" t="s">
        <v>189</v>
      </c>
      <c r="J24" s="8834" t="s">
        <v>1939</v>
      </c>
      <c r="K24" s="8834" t="s">
        <v>1940</v>
      </c>
      <c r="L24" s="8834" t="s">
        <v>1941</v>
      </c>
      <c r="M24" s="8838">
        <v>0</v>
      </c>
      <c r="N24" s="9459">
        <v>0.5</v>
      </c>
      <c r="O24" s="8838">
        <v>0.5</v>
      </c>
      <c r="P24" s="8834" t="s">
        <v>1942</v>
      </c>
      <c r="Q24" s="8834" t="s">
        <v>1943</v>
      </c>
      <c r="R24" s="9891" t="s">
        <v>1944</v>
      </c>
      <c r="S24" s="563"/>
      <c r="T24" s="4849"/>
      <c r="U24" s="6783"/>
      <c r="V24" s="578"/>
      <c r="W24" s="6838"/>
      <c r="X24" s="53"/>
      <c r="Y24" s="4917"/>
      <c r="Z24" s="4917"/>
      <c r="AA24" s="4917"/>
      <c r="AB24" s="4918"/>
      <c r="AC24" s="4875"/>
      <c r="AD24" s="67"/>
      <c r="AE24" s="53"/>
      <c r="AF24" s="73"/>
      <c r="AG24" s="435"/>
      <c r="AH24" s="9881"/>
    </row>
    <row r="25" spans="1:34" ht="33" customHeight="1">
      <c r="A25" s="9392"/>
      <c r="B25" s="9849"/>
      <c r="C25" s="9841"/>
      <c r="D25" s="9311"/>
      <c r="E25" s="9311"/>
      <c r="F25" s="9311"/>
      <c r="G25" s="9311"/>
      <c r="H25" s="9311"/>
      <c r="I25" s="9311"/>
      <c r="J25" s="9311"/>
      <c r="K25" s="9311"/>
      <c r="L25" s="9311"/>
      <c r="M25" s="9313"/>
      <c r="N25" s="9313"/>
      <c r="O25" s="9313"/>
      <c r="P25" s="9311"/>
      <c r="Q25" s="9311"/>
      <c r="R25" s="9892"/>
      <c r="S25" s="567"/>
      <c r="T25" s="6780"/>
      <c r="U25" s="6781"/>
      <c r="V25" s="575"/>
      <c r="W25" s="6837"/>
      <c r="X25" s="48"/>
      <c r="Y25" s="4910"/>
      <c r="Z25" s="4910"/>
      <c r="AA25" s="4910"/>
      <c r="AB25" s="4911"/>
      <c r="AC25" s="4880"/>
      <c r="AD25" s="50"/>
      <c r="AE25" s="48"/>
      <c r="AF25" s="51"/>
      <c r="AG25" s="218"/>
      <c r="AH25" s="9857"/>
    </row>
    <row r="26" spans="1:34" ht="33" customHeight="1">
      <c r="A26" s="9392"/>
      <c r="B26" s="9849"/>
      <c r="C26" s="9841"/>
      <c r="D26" s="9311"/>
      <c r="E26" s="9311"/>
      <c r="F26" s="9311"/>
      <c r="G26" s="9311"/>
      <c r="H26" s="9311"/>
      <c r="I26" s="9311"/>
      <c r="J26" s="9311"/>
      <c r="K26" s="9311"/>
      <c r="L26" s="9311"/>
      <c r="M26" s="9313"/>
      <c r="N26" s="9313"/>
      <c r="O26" s="9313"/>
      <c r="P26" s="9311"/>
      <c r="Q26" s="9311"/>
      <c r="R26" s="9892"/>
      <c r="S26" s="563"/>
      <c r="T26" s="4849"/>
      <c r="U26" s="6782"/>
      <c r="V26" s="576"/>
      <c r="W26" s="6838"/>
      <c r="X26" s="53"/>
      <c r="Y26" s="4917"/>
      <c r="Z26" s="4910"/>
      <c r="AA26" s="4910"/>
      <c r="AB26" s="4911"/>
      <c r="AC26" s="4880"/>
      <c r="AD26" s="50"/>
      <c r="AE26" s="48"/>
      <c r="AF26" s="51"/>
      <c r="AG26" s="218"/>
      <c r="AH26" s="9857"/>
    </row>
    <row r="27" spans="1:34" ht="33" customHeight="1">
      <c r="A27" s="9392"/>
      <c r="B27" s="9849"/>
      <c r="C27" s="9841"/>
      <c r="D27" s="9311"/>
      <c r="E27" s="9311"/>
      <c r="F27" s="9311"/>
      <c r="G27" s="9311"/>
      <c r="H27" s="9311"/>
      <c r="I27" s="9311"/>
      <c r="J27" s="9311"/>
      <c r="K27" s="9311"/>
      <c r="L27" s="9311"/>
      <c r="M27" s="9313"/>
      <c r="N27" s="9313"/>
      <c r="O27" s="9313"/>
      <c r="P27" s="9311"/>
      <c r="Q27" s="9311"/>
      <c r="R27" s="9892"/>
      <c r="S27" s="563"/>
      <c r="T27" s="4849"/>
      <c r="U27" s="6783"/>
      <c r="V27" s="576"/>
      <c r="W27" s="6838"/>
      <c r="X27" s="53"/>
      <c r="Y27" s="4917"/>
      <c r="Z27" s="4910"/>
      <c r="AA27" s="4910"/>
      <c r="AB27" s="4911"/>
      <c r="AC27" s="4880"/>
      <c r="AD27" s="50"/>
      <c r="AE27" s="48"/>
      <c r="AF27" s="51"/>
      <c r="AG27" s="218"/>
      <c r="AH27" s="9857"/>
    </row>
    <row r="28" spans="1:34" ht="33" customHeight="1">
      <c r="A28" s="9392"/>
      <c r="B28" s="9849"/>
      <c r="C28" s="9842"/>
      <c r="D28" s="9312"/>
      <c r="E28" s="9312"/>
      <c r="F28" s="9312"/>
      <c r="G28" s="9312"/>
      <c r="H28" s="9312"/>
      <c r="I28" s="9312"/>
      <c r="J28" s="9312"/>
      <c r="K28" s="9312"/>
      <c r="L28" s="9312"/>
      <c r="M28" s="9314"/>
      <c r="N28" s="9314"/>
      <c r="O28" s="9314"/>
      <c r="P28" s="9312"/>
      <c r="Q28" s="9312"/>
      <c r="R28" s="9893"/>
      <c r="S28" s="568"/>
      <c r="T28" s="6784"/>
      <c r="U28" s="6785"/>
      <c r="V28" s="577"/>
      <c r="W28" s="6839"/>
      <c r="X28" s="64"/>
      <c r="Y28" s="4914"/>
      <c r="Z28" s="4914"/>
      <c r="AA28" s="4914"/>
      <c r="AB28" s="4916"/>
      <c r="AC28" s="4882"/>
      <c r="AD28" s="63"/>
      <c r="AE28" s="64"/>
      <c r="AF28" s="65"/>
      <c r="AG28" s="219"/>
      <c r="AH28" s="9858"/>
    </row>
    <row r="29" spans="1:34" ht="22.35" customHeight="1">
      <c r="A29" s="9392"/>
      <c r="B29" s="9849"/>
      <c r="C29" s="9283" t="s">
        <v>183</v>
      </c>
      <c r="D29" s="8834" t="s">
        <v>184</v>
      </c>
      <c r="E29" s="8782" t="s">
        <v>185</v>
      </c>
      <c r="F29" s="8834" t="s">
        <v>1938</v>
      </c>
      <c r="G29" s="8974" t="s">
        <v>187</v>
      </c>
      <c r="H29" s="8834" t="s">
        <v>132</v>
      </c>
      <c r="I29" s="8834" t="s">
        <v>133</v>
      </c>
      <c r="J29" s="9276" t="s">
        <v>1945</v>
      </c>
      <c r="K29" s="9167" t="s">
        <v>1946</v>
      </c>
      <c r="L29" s="9258" t="s">
        <v>1947</v>
      </c>
      <c r="M29" s="8856">
        <v>0</v>
      </c>
      <c r="N29" s="8823">
        <v>1</v>
      </c>
      <c r="O29" s="8856">
        <v>0</v>
      </c>
      <c r="P29" s="8834" t="s">
        <v>1948</v>
      </c>
      <c r="Q29" s="8834" t="s">
        <v>1949</v>
      </c>
      <c r="R29" s="9873" t="s">
        <v>1936</v>
      </c>
      <c r="S29" s="563"/>
      <c r="T29" s="4849"/>
      <c r="U29" s="6783"/>
      <c r="V29" s="578"/>
      <c r="W29" s="6838"/>
      <c r="X29" s="53"/>
      <c r="Y29" s="4917"/>
      <c r="Z29" s="4917"/>
      <c r="AA29" s="4917"/>
      <c r="AB29" s="4918"/>
      <c r="AC29" s="4875"/>
      <c r="AD29" s="67"/>
      <c r="AE29" s="53"/>
      <c r="AF29" s="53"/>
      <c r="AG29" s="481"/>
      <c r="AH29" s="9881"/>
    </row>
    <row r="30" spans="1:34" ht="22.35" customHeight="1">
      <c r="A30" s="9392"/>
      <c r="B30" s="9849"/>
      <c r="C30" s="9841"/>
      <c r="D30" s="9311"/>
      <c r="E30" s="9311"/>
      <c r="F30" s="9311"/>
      <c r="G30" s="9311"/>
      <c r="H30" s="9311"/>
      <c r="I30" s="9311"/>
      <c r="J30" s="9433"/>
      <c r="K30" s="9311"/>
      <c r="L30" s="9311"/>
      <c r="M30" s="9313"/>
      <c r="N30" s="9313"/>
      <c r="O30" s="9313"/>
      <c r="P30" s="9311"/>
      <c r="Q30" s="9311"/>
      <c r="R30" s="9315"/>
      <c r="S30" s="567"/>
      <c r="T30" s="6780"/>
      <c r="U30" s="6781"/>
      <c r="V30" s="575"/>
      <c r="W30" s="6837"/>
      <c r="X30" s="48"/>
      <c r="Y30" s="4910"/>
      <c r="Z30" s="4910"/>
      <c r="AA30" s="4910"/>
      <c r="AB30" s="4911"/>
      <c r="AC30" s="4880"/>
      <c r="AD30" s="50"/>
      <c r="AE30" s="48"/>
      <c r="AF30" s="48"/>
      <c r="AG30" s="220"/>
      <c r="AH30" s="9857"/>
    </row>
    <row r="31" spans="1:34" ht="22.35" customHeight="1">
      <c r="A31" s="9392"/>
      <c r="B31" s="9849"/>
      <c r="C31" s="9841"/>
      <c r="D31" s="9311"/>
      <c r="E31" s="9311"/>
      <c r="F31" s="9311"/>
      <c r="G31" s="9311"/>
      <c r="H31" s="9311"/>
      <c r="I31" s="9311"/>
      <c r="J31" s="9433"/>
      <c r="K31" s="9311"/>
      <c r="L31" s="9311"/>
      <c r="M31" s="9313"/>
      <c r="N31" s="9313"/>
      <c r="O31" s="9313"/>
      <c r="P31" s="9311"/>
      <c r="Q31" s="9311"/>
      <c r="R31" s="9315"/>
      <c r="S31" s="567"/>
      <c r="T31" s="6780"/>
      <c r="U31" s="6781"/>
      <c r="V31" s="575"/>
      <c r="W31" s="6837"/>
      <c r="X31" s="48"/>
      <c r="Y31" s="4910"/>
      <c r="Z31" s="4910"/>
      <c r="AA31" s="4910"/>
      <c r="AB31" s="4911"/>
      <c r="AC31" s="4880"/>
      <c r="AD31" s="50"/>
      <c r="AE31" s="48"/>
      <c r="AF31" s="48"/>
      <c r="AG31" s="218"/>
      <c r="AH31" s="9857"/>
    </row>
    <row r="32" spans="1:34" ht="22.35" customHeight="1">
      <c r="A32" s="9392"/>
      <c r="B32" s="9849"/>
      <c r="C32" s="9841"/>
      <c r="D32" s="9311"/>
      <c r="E32" s="9311"/>
      <c r="F32" s="9311"/>
      <c r="G32" s="9311"/>
      <c r="H32" s="9311"/>
      <c r="I32" s="9311"/>
      <c r="J32" s="9433"/>
      <c r="K32" s="9311"/>
      <c r="L32" s="9311"/>
      <c r="M32" s="9313"/>
      <c r="N32" s="9313"/>
      <c r="O32" s="9313"/>
      <c r="P32" s="9311"/>
      <c r="Q32" s="9311"/>
      <c r="R32" s="9315"/>
      <c r="S32" s="567"/>
      <c r="T32" s="6780"/>
      <c r="U32" s="6781"/>
      <c r="V32" s="575"/>
      <c r="W32" s="6837"/>
      <c r="X32" s="48"/>
      <c r="Y32" s="4910"/>
      <c r="Z32" s="4910"/>
      <c r="AA32" s="4910"/>
      <c r="AB32" s="4911"/>
      <c r="AC32" s="4880"/>
      <c r="AD32" s="50"/>
      <c r="AE32" s="48"/>
      <c r="AF32" s="48"/>
      <c r="AG32" s="218"/>
      <c r="AH32" s="9857"/>
    </row>
    <row r="33" spans="1:34" ht="22.35" customHeight="1">
      <c r="A33" s="9392"/>
      <c r="B33" s="9849"/>
      <c r="C33" s="9842"/>
      <c r="D33" s="9312"/>
      <c r="E33" s="9312"/>
      <c r="F33" s="9312"/>
      <c r="G33" s="9312"/>
      <c r="H33" s="9312"/>
      <c r="I33" s="9312"/>
      <c r="J33" s="9434"/>
      <c r="K33" s="9312"/>
      <c r="L33" s="9312"/>
      <c r="M33" s="9314"/>
      <c r="N33" s="9314"/>
      <c r="O33" s="9314"/>
      <c r="P33" s="9312"/>
      <c r="Q33" s="9312"/>
      <c r="R33" s="9316"/>
      <c r="S33" s="568"/>
      <c r="T33" s="6784"/>
      <c r="U33" s="6785"/>
      <c r="V33" s="577"/>
      <c r="W33" s="6839"/>
      <c r="X33" s="64"/>
      <c r="Y33" s="4914"/>
      <c r="Z33" s="4914"/>
      <c r="AA33" s="4914"/>
      <c r="AB33" s="4916"/>
      <c r="AC33" s="4882"/>
      <c r="AD33" s="63"/>
      <c r="AE33" s="64"/>
      <c r="AF33" s="64"/>
      <c r="AG33" s="219"/>
      <c r="AH33" s="9858"/>
    </row>
    <row r="34" spans="1:34" ht="21" customHeight="1">
      <c r="A34" s="9392"/>
      <c r="B34" s="9849"/>
      <c r="C34" s="9280" t="s">
        <v>183</v>
      </c>
      <c r="D34" s="8782" t="s">
        <v>184</v>
      </c>
      <c r="E34" s="8782" t="s">
        <v>185</v>
      </c>
      <c r="F34" s="8782" t="s">
        <v>1938</v>
      </c>
      <c r="G34" s="8977" t="s">
        <v>187</v>
      </c>
      <c r="H34" s="8782" t="s">
        <v>132</v>
      </c>
      <c r="I34" s="8782" t="s">
        <v>133</v>
      </c>
      <c r="J34" s="9838" t="s">
        <v>1950</v>
      </c>
      <c r="K34" s="9258" t="s">
        <v>1951</v>
      </c>
      <c r="L34" s="9258" t="s">
        <v>1952</v>
      </c>
      <c r="M34" s="8823">
        <v>3</v>
      </c>
      <c r="N34" s="8823">
        <v>3</v>
      </c>
      <c r="O34" s="8823">
        <v>3</v>
      </c>
      <c r="P34" s="8834" t="s">
        <v>1953</v>
      </c>
      <c r="Q34" s="8834" t="s">
        <v>1954</v>
      </c>
      <c r="R34" s="9839" t="s">
        <v>1955</v>
      </c>
      <c r="S34" s="563"/>
      <c r="T34" s="4849"/>
      <c r="U34" s="6783"/>
      <c r="V34" s="579"/>
      <c r="W34" s="6840"/>
      <c r="X34" s="76"/>
      <c r="Y34" s="4922"/>
      <c r="Z34" s="4917"/>
      <c r="AA34" s="4917"/>
      <c r="AB34" s="4923"/>
      <c r="AC34" s="4883"/>
      <c r="AD34" s="78"/>
      <c r="AE34" s="76"/>
      <c r="AF34" s="79"/>
      <c r="AG34" s="436"/>
      <c r="AH34" s="9875"/>
    </row>
    <row r="35" spans="1:34" ht="21" customHeight="1">
      <c r="A35" s="9392"/>
      <c r="B35" s="9849"/>
      <c r="C35" s="9841"/>
      <c r="D35" s="9311"/>
      <c r="E35" s="9311"/>
      <c r="F35" s="9311"/>
      <c r="G35" s="9311"/>
      <c r="H35" s="9311"/>
      <c r="I35" s="9311"/>
      <c r="J35" s="9433"/>
      <c r="K35" s="9311"/>
      <c r="L35" s="9311"/>
      <c r="M35" s="9313"/>
      <c r="N35" s="9313"/>
      <c r="O35" s="9313"/>
      <c r="P35" s="9311"/>
      <c r="Q35" s="9311"/>
      <c r="R35" s="9315"/>
      <c r="S35" s="567"/>
      <c r="T35" s="6780"/>
      <c r="U35" s="6781"/>
      <c r="V35" s="575"/>
      <c r="W35" s="6837"/>
      <c r="X35" s="48"/>
      <c r="Y35" s="4910"/>
      <c r="Z35" s="4910"/>
      <c r="AA35" s="4910"/>
      <c r="AB35" s="4911"/>
      <c r="AC35" s="4880"/>
      <c r="AD35" s="50"/>
      <c r="AE35" s="48"/>
      <c r="AF35" s="51"/>
      <c r="AG35" s="218"/>
      <c r="AH35" s="9857"/>
    </row>
    <row r="36" spans="1:34" ht="21" customHeight="1">
      <c r="A36" s="9392"/>
      <c r="B36" s="9849"/>
      <c r="C36" s="9841"/>
      <c r="D36" s="9311"/>
      <c r="E36" s="9311"/>
      <c r="F36" s="9311"/>
      <c r="G36" s="9311"/>
      <c r="H36" s="9311"/>
      <c r="I36" s="9311"/>
      <c r="J36" s="9433"/>
      <c r="K36" s="9311"/>
      <c r="L36" s="9311"/>
      <c r="M36" s="9313"/>
      <c r="N36" s="9313"/>
      <c r="O36" s="9313"/>
      <c r="P36" s="9311"/>
      <c r="Q36" s="9311"/>
      <c r="R36" s="9315"/>
      <c r="S36" s="1306"/>
      <c r="T36" s="6786"/>
      <c r="U36" s="6787"/>
      <c r="V36" s="798"/>
      <c r="W36" s="6841"/>
      <c r="X36" s="799"/>
      <c r="Y36" s="4898"/>
      <c r="Z36" s="4898"/>
      <c r="AA36" s="4898"/>
      <c r="AB36" s="4899"/>
      <c r="AC36" s="4876"/>
      <c r="AD36" s="1105"/>
      <c r="AE36" s="799"/>
      <c r="AF36" s="1013"/>
      <c r="AG36" s="218"/>
      <c r="AH36" s="9857"/>
    </row>
    <row r="37" spans="1:34" ht="21" customHeight="1">
      <c r="A37" s="9392"/>
      <c r="B37" s="9849"/>
      <c r="C37" s="9841"/>
      <c r="D37" s="9311"/>
      <c r="E37" s="9311"/>
      <c r="F37" s="9311"/>
      <c r="G37" s="9311"/>
      <c r="H37" s="9311"/>
      <c r="I37" s="9311"/>
      <c r="J37" s="9433"/>
      <c r="K37" s="9311"/>
      <c r="L37" s="9311"/>
      <c r="M37" s="9313"/>
      <c r="N37" s="9313"/>
      <c r="O37" s="9313"/>
      <c r="P37" s="9311"/>
      <c r="Q37" s="9311"/>
      <c r="R37" s="9315"/>
      <c r="S37" s="1306"/>
      <c r="T37" s="6786"/>
      <c r="U37" s="6787"/>
      <c r="V37" s="798"/>
      <c r="W37" s="6841"/>
      <c r="X37" s="799"/>
      <c r="Y37" s="4898"/>
      <c r="Z37" s="4898"/>
      <c r="AA37" s="4898"/>
      <c r="AB37" s="4899"/>
      <c r="AC37" s="4876"/>
      <c r="AD37" s="1105"/>
      <c r="AE37" s="799"/>
      <c r="AF37" s="1013"/>
      <c r="AG37" s="218"/>
      <c r="AH37" s="9857"/>
    </row>
    <row r="38" spans="1:34" ht="21" customHeight="1">
      <c r="A38" s="9392"/>
      <c r="B38" s="9849"/>
      <c r="C38" s="9842"/>
      <c r="D38" s="9312"/>
      <c r="E38" s="9312"/>
      <c r="F38" s="9312"/>
      <c r="G38" s="9312"/>
      <c r="H38" s="9312"/>
      <c r="I38" s="9312"/>
      <c r="J38" s="9434"/>
      <c r="K38" s="9312"/>
      <c r="L38" s="9312"/>
      <c r="M38" s="9314"/>
      <c r="N38" s="9314"/>
      <c r="O38" s="9314"/>
      <c r="P38" s="9312"/>
      <c r="Q38" s="9312"/>
      <c r="R38" s="9316"/>
      <c r="S38" s="1307"/>
      <c r="T38" s="6788"/>
      <c r="U38" s="6789"/>
      <c r="V38" s="1031"/>
      <c r="W38" s="6842"/>
      <c r="X38" s="1023"/>
      <c r="Y38" s="4909"/>
      <c r="Z38" s="4909"/>
      <c r="AA38" s="4909"/>
      <c r="AB38" s="4905"/>
      <c r="AC38" s="4877"/>
      <c r="AD38" s="1114"/>
      <c r="AE38" s="1023"/>
      <c r="AF38" s="1024"/>
      <c r="AG38" s="219"/>
      <c r="AH38" s="9858"/>
    </row>
    <row r="39" spans="1:34" ht="31.5" customHeight="1">
      <c r="A39" s="9392"/>
      <c r="B39" s="9849"/>
      <c r="C39" s="9280" t="s">
        <v>183</v>
      </c>
      <c r="D39" s="8782" t="s">
        <v>184</v>
      </c>
      <c r="E39" s="8782" t="s">
        <v>185</v>
      </c>
      <c r="F39" s="8782" t="s">
        <v>1938</v>
      </c>
      <c r="G39" s="8977" t="s">
        <v>187</v>
      </c>
      <c r="H39" s="8782" t="s">
        <v>132</v>
      </c>
      <c r="I39" s="8782" t="s">
        <v>133</v>
      </c>
      <c r="J39" s="9838" t="s">
        <v>1956</v>
      </c>
      <c r="K39" s="9167" t="s">
        <v>1957</v>
      </c>
      <c r="L39" s="9167" t="s">
        <v>1958</v>
      </c>
      <c r="M39" s="8823">
        <v>0</v>
      </c>
      <c r="N39" s="8823">
        <v>0</v>
      </c>
      <c r="O39" s="8823">
        <v>1</v>
      </c>
      <c r="P39" s="8782" t="s">
        <v>1959</v>
      </c>
      <c r="Q39" s="9455" t="s">
        <v>1960</v>
      </c>
      <c r="R39" s="9839" t="s">
        <v>1961</v>
      </c>
      <c r="S39" s="747" t="s">
        <v>81</v>
      </c>
      <c r="T39" s="4849">
        <v>531407</v>
      </c>
      <c r="U39" s="6783"/>
      <c r="V39" s="580" t="s">
        <v>40</v>
      </c>
      <c r="W39" s="6843"/>
      <c r="X39" s="131"/>
      <c r="Y39" s="4918"/>
      <c r="Z39" s="4918"/>
      <c r="AA39" s="4918"/>
      <c r="AB39" s="4918">
        <f>SUM($AA$40:$AA$40)+0.95</f>
        <v>56.95000000000001</v>
      </c>
      <c r="AC39" s="4875" t="s">
        <v>25</v>
      </c>
      <c r="AD39" s="1101"/>
      <c r="AE39" s="794"/>
      <c r="AF39" s="1033"/>
      <c r="AG39" s="435"/>
      <c r="AH39" s="9885" t="s">
        <v>1962</v>
      </c>
    </row>
    <row r="40" spans="1:34" ht="31.5" customHeight="1">
      <c r="A40" s="9392"/>
      <c r="B40" s="9849"/>
      <c r="C40" s="9841"/>
      <c r="D40" s="9311"/>
      <c r="E40" s="9311"/>
      <c r="F40" s="9311"/>
      <c r="G40" s="9311"/>
      <c r="H40" s="9311"/>
      <c r="I40" s="9311"/>
      <c r="J40" s="9433"/>
      <c r="K40" s="9311"/>
      <c r="L40" s="9311"/>
      <c r="M40" s="9313"/>
      <c r="N40" s="9313"/>
      <c r="O40" s="9313"/>
      <c r="P40" s="9311"/>
      <c r="Q40" s="9616"/>
      <c r="R40" s="8958"/>
      <c r="S40" s="621"/>
      <c r="T40" s="6780"/>
      <c r="U40" s="6781" t="s">
        <v>1963</v>
      </c>
      <c r="V40" s="575" t="s">
        <v>1964</v>
      </c>
      <c r="W40" s="6837">
        <v>2</v>
      </c>
      <c r="X40" s="48" t="s">
        <v>180</v>
      </c>
      <c r="Y40" s="4910">
        <v>25</v>
      </c>
      <c r="Z40" s="4910">
        <f t="shared" ref="Z40" si="0">+W40*Y40</f>
        <v>50</v>
      </c>
      <c r="AA40" s="4910">
        <f t="shared" ref="AA40" si="1">+Z40*1.12</f>
        <v>56.000000000000007</v>
      </c>
      <c r="AB40" s="4911"/>
      <c r="AC40" s="4880"/>
      <c r="AD40" s="1105"/>
      <c r="AE40" s="799"/>
      <c r="AF40" s="1013" t="s">
        <v>153</v>
      </c>
      <c r="AG40" s="218"/>
      <c r="AH40" s="9879"/>
    </row>
    <row r="41" spans="1:34" ht="31.5" customHeight="1">
      <c r="A41" s="9392"/>
      <c r="B41" s="9849"/>
      <c r="C41" s="9841"/>
      <c r="D41" s="9311"/>
      <c r="E41" s="9311"/>
      <c r="F41" s="9311"/>
      <c r="G41" s="9311"/>
      <c r="H41" s="9311"/>
      <c r="I41" s="9311"/>
      <c r="J41" s="9433"/>
      <c r="K41" s="9311"/>
      <c r="L41" s="9311"/>
      <c r="M41" s="9313"/>
      <c r="N41" s="9313"/>
      <c r="O41" s="9313"/>
      <c r="P41" s="9311"/>
      <c r="Q41" s="9616"/>
      <c r="R41" s="8958"/>
      <c r="S41" s="621" t="s">
        <v>81</v>
      </c>
      <c r="T41" s="4849">
        <v>531407</v>
      </c>
      <c r="U41" s="6783"/>
      <c r="V41" s="580" t="s">
        <v>40</v>
      </c>
      <c r="W41" s="6843"/>
      <c r="X41" s="131"/>
      <c r="Y41" s="4918"/>
      <c r="Z41" s="4918"/>
      <c r="AA41" s="4918"/>
      <c r="AB41" s="4918">
        <f>SUM(AA42:AA43)+9.11</f>
        <v>171.51</v>
      </c>
      <c r="AC41" s="4875" t="s">
        <v>18</v>
      </c>
      <c r="AD41" s="1112"/>
      <c r="AE41" s="1018"/>
      <c r="AF41" s="1029"/>
      <c r="AG41" s="221"/>
      <c r="AH41" s="9879"/>
    </row>
    <row r="42" spans="1:34" ht="31.5" customHeight="1">
      <c r="A42" s="9392"/>
      <c r="B42" s="9849"/>
      <c r="C42" s="9841"/>
      <c r="D42" s="9311"/>
      <c r="E42" s="9311"/>
      <c r="F42" s="9311"/>
      <c r="G42" s="9311"/>
      <c r="H42" s="9311"/>
      <c r="I42" s="9311"/>
      <c r="J42" s="9433"/>
      <c r="K42" s="9311"/>
      <c r="L42" s="9311"/>
      <c r="M42" s="9313"/>
      <c r="N42" s="9313"/>
      <c r="O42" s="9313"/>
      <c r="P42" s="9311"/>
      <c r="Q42" s="9616"/>
      <c r="R42" s="8958"/>
      <c r="S42" s="621"/>
      <c r="T42" s="4849"/>
      <c r="U42" s="6781" t="s">
        <v>1965</v>
      </c>
      <c r="V42" s="575" t="s">
        <v>574</v>
      </c>
      <c r="W42" s="6837">
        <v>1</v>
      </c>
      <c r="X42" s="48" t="s">
        <v>180</v>
      </c>
      <c r="Y42" s="4910">
        <v>95</v>
      </c>
      <c r="Z42" s="4910">
        <f>+W42*Y42</f>
        <v>95</v>
      </c>
      <c r="AA42" s="4910">
        <f>+Z42*1.12</f>
        <v>106.4</v>
      </c>
      <c r="AB42" s="6868"/>
      <c r="AC42" s="6893" t="s">
        <v>1966</v>
      </c>
      <c r="AD42" s="1112"/>
      <c r="AE42" s="1018"/>
      <c r="AF42" s="1029" t="s">
        <v>153</v>
      </c>
      <c r="AG42" s="221"/>
      <c r="AH42" s="9879"/>
    </row>
    <row r="43" spans="1:34" ht="31.5" customHeight="1">
      <c r="A43" s="9392"/>
      <c r="B43" s="9849"/>
      <c r="C43" s="9841"/>
      <c r="D43" s="9311"/>
      <c r="E43" s="9311"/>
      <c r="F43" s="9311"/>
      <c r="G43" s="9311"/>
      <c r="H43" s="9311"/>
      <c r="I43" s="9311"/>
      <c r="J43" s="9433"/>
      <c r="K43" s="9311"/>
      <c r="L43" s="9311"/>
      <c r="M43" s="9313"/>
      <c r="N43" s="9313"/>
      <c r="O43" s="9313"/>
      <c r="P43" s="9311"/>
      <c r="Q43" s="9616"/>
      <c r="R43" s="8958"/>
      <c r="S43" s="621"/>
      <c r="T43" s="4849"/>
      <c r="U43" s="6781" t="s">
        <v>1963</v>
      </c>
      <c r="V43" s="575" t="s">
        <v>1964</v>
      </c>
      <c r="W43" s="6837">
        <v>2</v>
      </c>
      <c r="X43" s="48" t="s">
        <v>180</v>
      </c>
      <c r="Y43" s="4910">
        <v>25</v>
      </c>
      <c r="Z43" s="4910">
        <f>+W43*Y43</f>
        <v>50</v>
      </c>
      <c r="AA43" s="4910">
        <f>+Z43*1.12</f>
        <v>56.000000000000007</v>
      </c>
      <c r="AB43" s="6868"/>
      <c r="AC43" s="6894" t="s">
        <v>1967</v>
      </c>
      <c r="AD43" s="1112"/>
      <c r="AE43" s="1018"/>
      <c r="AF43" s="1029" t="s">
        <v>153</v>
      </c>
      <c r="AG43" s="221"/>
      <c r="AH43" s="9879"/>
    </row>
    <row r="44" spans="1:34" ht="31.5" customHeight="1">
      <c r="A44" s="9392"/>
      <c r="B44" s="9849"/>
      <c r="C44" s="9841"/>
      <c r="D44" s="9311"/>
      <c r="E44" s="9311"/>
      <c r="F44" s="9311"/>
      <c r="G44" s="9311"/>
      <c r="H44" s="9311"/>
      <c r="I44" s="9311"/>
      <c r="J44" s="9433"/>
      <c r="K44" s="9311"/>
      <c r="L44" s="9311"/>
      <c r="M44" s="9313"/>
      <c r="N44" s="9313"/>
      <c r="O44" s="9313"/>
      <c r="P44" s="9311"/>
      <c r="Q44" s="9616"/>
      <c r="R44" s="8958"/>
      <c r="S44" s="621"/>
      <c r="T44" s="6790"/>
      <c r="U44" s="6791"/>
      <c r="V44" s="1963"/>
      <c r="W44" s="6844"/>
      <c r="X44" s="1964"/>
      <c r="Y44" s="4913"/>
      <c r="Z44" s="4913"/>
      <c r="AA44" s="4913"/>
      <c r="AB44" s="4913"/>
      <c r="AC44" s="4881"/>
      <c r="AD44" s="1112"/>
      <c r="AE44" s="1018"/>
      <c r="AF44" s="1029"/>
      <c r="AG44" s="221"/>
      <c r="AH44" s="9879"/>
    </row>
    <row r="45" spans="1:34" ht="31.5" customHeight="1">
      <c r="A45" s="9392"/>
      <c r="B45" s="9849"/>
      <c r="C45" s="9841"/>
      <c r="D45" s="9311"/>
      <c r="E45" s="9311"/>
      <c r="F45" s="9311"/>
      <c r="G45" s="9311"/>
      <c r="H45" s="9311"/>
      <c r="I45" s="9311"/>
      <c r="J45" s="9433"/>
      <c r="K45" s="9311"/>
      <c r="L45" s="9311"/>
      <c r="M45" s="9313"/>
      <c r="N45" s="9313"/>
      <c r="O45" s="9313"/>
      <c r="P45" s="9311"/>
      <c r="Q45" s="9616"/>
      <c r="R45" s="8958"/>
      <c r="S45" s="749"/>
      <c r="T45" s="6790"/>
      <c r="U45" s="6792"/>
      <c r="V45" s="581"/>
      <c r="W45" s="6845"/>
      <c r="X45" s="48"/>
      <c r="Y45" s="4912"/>
      <c r="Z45" s="4912"/>
      <c r="AA45" s="4912"/>
      <c r="AB45" s="4913"/>
      <c r="AC45" s="4881"/>
      <c r="AD45" s="1112"/>
      <c r="AE45" s="799"/>
      <c r="AF45" s="1029"/>
      <c r="AG45" s="221"/>
      <c r="AH45" s="9879"/>
    </row>
    <row r="46" spans="1:34" ht="31.5" customHeight="1">
      <c r="A46" s="9392"/>
      <c r="B46" s="9849"/>
      <c r="C46" s="9841"/>
      <c r="D46" s="9311"/>
      <c r="E46" s="9311"/>
      <c r="F46" s="9311"/>
      <c r="G46" s="9311"/>
      <c r="H46" s="9311"/>
      <c r="I46" s="9311"/>
      <c r="J46" s="9433"/>
      <c r="K46" s="9311"/>
      <c r="L46" s="9311"/>
      <c r="M46" s="9313"/>
      <c r="N46" s="9313"/>
      <c r="O46" s="9313"/>
      <c r="P46" s="9311"/>
      <c r="Q46" s="9616"/>
      <c r="R46" s="8958"/>
      <c r="S46" s="749"/>
      <c r="T46" s="6790"/>
      <c r="U46" s="6792"/>
      <c r="V46" s="581"/>
      <c r="W46" s="6845"/>
      <c r="X46" s="48"/>
      <c r="Y46" s="4912"/>
      <c r="Z46" s="4912"/>
      <c r="AA46" s="4912"/>
      <c r="AB46" s="4913"/>
      <c r="AC46" s="4881"/>
      <c r="AD46" s="1112"/>
      <c r="AE46" s="1018"/>
      <c r="AF46" s="1029"/>
      <c r="AG46" s="221"/>
      <c r="AH46" s="9879"/>
    </row>
    <row r="47" spans="1:34" ht="31.5" customHeight="1">
      <c r="A47" s="9392"/>
      <c r="B47" s="9849"/>
      <c r="C47" s="9841"/>
      <c r="D47" s="9311"/>
      <c r="E47" s="9311"/>
      <c r="F47" s="9311"/>
      <c r="G47" s="9311"/>
      <c r="H47" s="9311"/>
      <c r="I47" s="9311"/>
      <c r="J47" s="9433"/>
      <c r="K47" s="9311"/>
      <c r="L47" s="9311"/>
      <c r="M47" s="9313"/>
      <c r="N47" s="9313"/>
      <c r="O47" s="9313"/>
      <c r="P47" s="9311"/>
      <c r="Q47" s="9616"/>
      <c r="R47" s="8958"/>
      <c r="S47" s="749"/>
      <c r="T47" s="6790"/>
      <c r="U47" s="6793"/>
      <c r="V47" s="581"/>
      <c r="W47" s="6845"/>
      <c r="X47" s="48"/>
      <c r="Y47" s="6869"/>
      <c r="Z47" s="6869"/>
      <c r="AA47" s="6869"/>
      <c r="AB47" s="6274"/>
      <c r="AC47" s="4881"/>
      <c r="AD47" s="1112"/>
      <c r="AE47" s="1018"/>
      <c r="AF47" s="1029"/>
      <c r="AG47" s="221"/>
      <c r="AH47" s="9879"/>
    </row>
    <row r="48" spans="1:34" ht="33" customHeight="1">
      <c r="A48" s="9392"/>
      <c r="B48" s="9661"/>
      <c r="C48" s="9223" t="s">
        <v>183</v>
      </c>
      <c r="D48" s="9217" t="s">
        <v>184</v>
      </c>
      <c r="E48" s="9217" t="s">
        <v>185</v>
      </c>
      <c r="F48" s="8782" t="s">
        <v>1938</v>
      </c>
      <c r="G48" s="9843" t="s">
        <v>187</v>
      </c>
      <c r="H48" s="8782" t="s">
        <v>132</v>
      </c>
      <c r="I48" s="9217" t="s">
        <v>159</v>
      </c>
      <c r="J48" s="8780" t="s">
        <v>1968</v>
      </c>
      <c r="K48" s="9276" t="s">
        <v>1969</v>
      </c>
      <c r="L48" s="9258" t="s">
        <v>1970</v>
      </c>
      <c r="M48" s="8823">
        <v>0</v>
      </c>
      <c r="N48" s="8823">
        <v>0</v>
      </c>
      <c r="O48" s="8823">
        <v>1</v>
      </c>
      <c r="P48" s="8782" t="s">
        <v>1971</v>
      </c>
      <c r="Q48" s="8782" t="s">
        <v>1972</v>
      </c>
      <c r="R48" s="9839" t="s">
        <v>1955</v>
      </c>
      <c r="S48" s="747"/>
      <c r="T48" s="4859"/>
      <c r="U48" s="6794"/>
      <c r="V48" s="579"/>
      <c r="W48" s="6846"/>
      <c r="X48" s="222"/>
      <c r="Y48" s="4922"/>
      <c r="Z48" s="4923"/>
      <c r="AA48" s="4874"/>
      <c r="AB48" s="4923"/>
      <c r="AC48" s="4883"/>
      <c r="AD48" s="78"/>
      <c r="AE48" s="76"/>
      <c r="AF48" s="79"/>
      <c r="AG48" s="436"/>
      <c r="AH48" s="9875"/>
    </row>
    <row r="49" spans="1:34" ht="18" customHeight="1">
      <c r="A49" s="9392"/>
      <c r="B49" s="9661"/>
      <c r="C49" s="9333"/>
      <c r="D49" s="9433"/>
      <c r="E49" s="9433"/>
      <c r="F49" s="9311"/>
      <c r="G49" s="9433"/>
      <c r="H49" s="9311"/>
      <c r="I49" s="9433"/>
      <c r="J49" s="9433"/>
      <c r="K49" s="9433"/>
      <c r="L49" s="9311"/>
      <c r="M49" s="9313"/>
      <c r="N49" s="9313"/>
      <c r="O49" s="9313"/>
      <c r="P49" s="9311"/>
      <c r="Q49" s="9311"/>
      <c r="R49" s="9315"/>
      <c r="S49" s="1965"/>
      <c r="T49" s="6795"/>
      <c r="U49" s="6796"/>
      <c r="V49" s="575"/>
      <c r="W49" s="6847"/>
      <c r="X49" s="133"/>
      <c r="Y49" s="4910"/>
      <c r="Z49" s="4910"/>
      <c r="AA49" s="4910"/>
      <c r="AB49" s="4911"/>
      <c r="AC49" s="4880"/>
      <c r="AD49" s="50"/>
      <c r="AE49" s="48"/>
      <c r="AF49" s="51"/>
      <c r="AG49" s="218"/>
      <c r="AH49" s="9857"/>
    </row>
    <row r="50" spans="1:34" ht="18" customHeight="1">
      <c r="A50" s="9392"/>
      <c r="B50" s="9661"/>
      <c r="C50" s="9333"/>
      <c r="D50" s="9433"/>
      <c r="E50" s="9433"/>
      <c r="F50" s="9311"/>
      <c r="G50" s="9433"/>
      <c r="H50" s="9311"/>
      <c r="I50" s="9433"/>
      <c r="J50" s="9433"/>
      <c r="K50" s="9433"/>
      <c r="L50" s="9311"/>
      <c r="M50" s="9313"/>
      <c r="N50" s="9313"/>
      <c r="O50" s="9313"/>
      <c r="P50" s="9311"/>
      <c r="Q50" s="9311"/>
      <c r="R50" s="9315"/>
      <c r="S50" s="580"/>
      <c r="T50" s="6797"/>
      <c r="U50" s="6798"/>
      <c r="V50" s="581"/>
      <c r="W50" s="6848"/>
      <c r="X50" s="2125"/>
      <c r="Y50" s="4912"/>
      <c r="Z50" s="4912"/>
      <c r="AA50" s="4912"/>
      <c r="AB50" s="4913"/>
      <c r="AC50" s="4881"/>
      <c r="AD50" s="455"/>
      <c r="AE50" s="453"/>
      <c r="AF50" s="456"/>
      <c r="AG50" s="221"/>
      <c r="AH50" s="9857"/>
    </row>
    <row r="51" spans="1:34">
      <c r="A51" s="9392"/>
      <c r="B51" s="9661"/>
      <c r="C51" s="9333"/>
      <c r="D51" s="9433"/>
      <c r="E51" s="9433"/>
      <c r="F51" s="9311"/>
      <c r="G51" s="9433"/>
      <c r="H51" s="9311"/>
      <c r="I51" s="9433"/>
      <c r="J51" s="9433"/>
      <c r="K51" s="9433"/>
      <c r="L51" s="9311"/>
      <c r="M51" s="9313"/>
      <c r="N51" s="9313"/>
      <c r="O51" s="9313"/>
      <c r="P51" s="9311"/>
      <c r="Q51" s="9311"/>
      <c r="R51" s="9315"/>
      <c r="S51" s="621"/>
      <c r="T51" s="6790"/>
      <c r="U51" s="6792"/>
      <c r="V51" s="1963"/>
      <c r="W51" s="6845"/>
      <c r="X51" s="453"/>
      <c r="Y51" s="4912"/>
      <c r="Z51" s="4912"/>
      <c r="AA51" s="4912"/>
      <c r="AB51" s="4913"/>
      <c r="AC51" s="4881"/>
      <c r="AD51" s="455"/>
      <c r="AE51" s="453"/>
      <c r="AF51" s="456"/>
      <c r="AG51" s="221"/>
      <c r="AH51" s="9857"/>
    </row>
    <row r="52" spans="1:34">
      <c r="A52" s="9392"/>
      <c r="B52" s="9661"/>
      <c r="C52" s="9333"/>
      <c r="D52" s="9433"/>
      <c r="E52" s="9433"/>
      <c r="F52" s="9311"/>
      <c r="G52" s="9433"/>
      <c r="H52" s="9311"/>
      <c r="I52" s="9433"/>
      <c r="J52" s="9433"/>
      <c r="K52" s="9433"/>
      <c r="L52" s="9311"/>
      <c r="M52" s="9313"/>
      <c r="N52" s="9313"/>
      <c r="O52" s="9313"/>
      <c r="P52" s="9312"/>
      <c r="Q52" s="9312"/>
      <c r="R52" s="9316"/>
      <c r="S52" s="1966"/>
      <c r="T52" s="6784"/>
      <c r="U52" s="6785"/>
      <c r="V52" s="1967"/>
      <c r="W52" s="6849"/>
      <c r="X52" s="1968"/>
      <c r="Y52" s="6869"/>
      <c r="Z52" s="4914"/>
      <c r="AA52" s="4914"/>
      <c r="AB52" s="6274"/>
      <c r="AC52" s="6895"/>
      <c r="AD52" s="129"/>
      <c r="AE52" s="128"/>
      <c r="AF52" s="130"/>
      <c r="AG52" s="223"/>
      <c r="AH52" s="9857"/>
    </row>
    <row r="53" spans="1:34" ht="26.25" customHeight="1">
      <c r="A53" s="9392"/>
      <c r="B53" s="9849"/>
      <c r="C53" s="9280" t="s">
        <v>183</v>
      </c>
      <c r="D53" s="8782" t="s">
        <v>184</v>
      </c>
      <c r="E53" s="8782" t="s">
        <v>185</v>
      </c>
      <c r="F53" s="8782" t="s">
        <v>186</v>
      </c>
      <c r="G53" s="8977" t="s">
        <v>187</v>
      </c>
      <c r="H53" s="8782" t="s">
        <v>132</v>
      </c>
      <c r="I53" s="8782" t="s">
        <v>159</v>
      </c>
      <c r="J53" s="9838" t="s">
        <v>1973</v>
      </c>
      <c r="K53" s="9258" t="s">
        <v>1974</v>
      </c>
      <c r="L53" s="9258" t="s">
        <v>1975</v>
      </c>
      <c r="M53" s="9613">
        <v>1</v>
      </c>
      <c r="N53" s="9613">
        <v>0</v>
      </c>
      <c r="O53" s="9613">
        <v>0</v>
      </c>
      <c r="P53" s="8834" t="s">
        <v>1976</v>
      </c>
      <c r="Q53" s="8834" t="s">
        <v>1977</v>
      </c>
      <c r="R53" s="9873" t="s">
        <v>1936</v>
      </c>
      <c r="S53" s="563"/>
      <c r="T53" s="4849"/>
      <c r="U53" s="6783"/>
      <c r="V53" s="579"/>
      <c r="W53" s="6840"/>
      <c r="X53" s="76"/>
      <c r="Y53" s="4922"/>
      <c r="Z53" s="4917"/>
      <c r="AA53" s="4917"/>
      <c r="AB53" s="4923"/>
      <c r="AC53" s="4883"/>
      <c r="AD53" s="78"/>
      <c r="AE53" s="76"/>
      <c r="AF53" s="79"/>
      <c r="AG53" s="436"/>
      <c r="AH53" s="9875"/>
    </row>
    <row r="54" spans="1:34" ht="26.25" customHeight="1">
      <c r="A54" s="9392"/>
      <c r="B54" s="9849"/>
      <c r="C54" s="9841"/>
      <c r="D54" s="9311"/>
      <c r="E54" s="9311"/>
      <c r="F54" s="9311"/>
      <c r="G54" s="9311"/>
      <c r="H54" s="9311"/>
      <c r="I54" s="9311"/>
      <c r="J54" s="9433"/>
      <c r="K54" s="9311"/>
      <c r="L54" s="9311"/>
      <c r="M54" s="9865"/>
      <c r="N54" s="9865"/>
      <c r="O54" s="9865"/>
      <c r="P54" s="9311"/>
      <c r="Q54" s="9311"/>
      <c r="R54" s="9315"/>
      <c r="S54" s="567"/>
      <c r="T54" s="6780"/>
      <c r="U54" s="6781"/>
      <c r="V54" s="575"/>
      <c r="W54" s="6837"/>
      <c r="X54" s="48"/>
      <c r="Y54" s="4910"/>
      <c r="Z54" s="4910"/>
      <c r="AA54" s="4910"/>
      <c r="AB54" s="4911"/>
      <c r="AC54" s="4880"/>
      <c r="AD54" s="50"/>
      <c r="AE54" s="48"/>
      <c r="AF54" s="51"/>
      <c r="AG54" s="218"/>
      <c r="AH54" s="9857"/>
    </row>
    <row r="55" spans="1:34" ht="26.25" customHeight="1">
      <c r="A55" s="9392"/>
      <c r="B55" s="9849"/>
      <c r="C55" s="9841"/>
      <c r="D55" s="9311"/>
      <c r="E55" s="9311"/>
      <c r="F55" s="9311"/>
      <c r="G55" s="9311"/>
      <c r="H55" s="9311"/>
      <c r="I55" s="9311"/>
      <c r="J55" s="9433"/>
      <c r="K55" s="9311"/>
      <c r="L55" s="9311"/>
      <c r="M55" s="9865"/>
      <c r="N55" s="9865"/>
      <c r="O55" s="9865"/>
      <c r="P55" s="9311"/>
      <c r="Q55" s="9311"/>
      <c r="R55" s="9315"/>
      <c r="S55" s="567"/>
      <c r="T55" s="6780"/>
      <c r="U55" s="6781"/>
      <c r="V55" s="575"/>
      <c r="W55" s="6837"/>
      <c r="X55" s="48"/>
      <c r="Y55" s="4910"/>
      <c r="Z55" s="4910"/>
      <c r="AA55" s="4910"/>
      <c r="AB55" s="4911"/>
      <c r="AC55" s="4880"/>
      <c r="AD55" s="50"/>
      <c r="AE55" s="48"/>
      <c r="AF55" s="51"/>
      <c r="AG55" s="218"/>
      <c r="AH55" s="9857"/>
    </row>
    <row r="56" spans="1:34" ht="26.25" customHeight="1">
      <c r="A56" s="9392"/>
      <c r="B56" s="9849"/>
      <c r="C56" s="9841"/>
      <c r="D56" s="9311"/>
      <c r="E56" s="9311"/>
      <c r="F56" s="9311"/>
      <c r="G56" s="9311"/>
      <c r="H56" s="9311"/>
      <c r="I56" s="9311"/>
      <c r="J56" s="9433"/>
      <c r="K56" s="9311"/>
      <c r="L56" s="9311"/>
      <c r="M56" s="9865"/>
      <c r="N56" s="9865"/>
      <c r="O56" s="9865"/>
      <c r="P56" s="9311"/>
      <c r="Q56" s="9311"/>
      <c r="R56" s="9315"/>
      <c r="S56" s="567"/>
      <c r="T56" s="6780"/>
      <c r="U56" s="6781"/>
      <c r="V56" s="575"/>
      <c r="W56" s="6837"/>
      <c r="X56" s="48"/>
      <c r="Y56" s="4910"/>
      <c r="Z56" s="4910"/>
      <c r="AA56" s="4910"/>
      <c r="AB56" s="4911"/>
      <c r="AC56" s="4880"/>
      <c r="AD56" s="50"/>
      <c r="AE56" s="48"/>
      <c r="AF56" s="51"/>
      <c r="AG56" s="218"/>
      <c r="AH56" s="9857"/>
    </row>
    <row r="57" spans="1:34" ht="26.25" customHeight="1">
      <c r="A57" s="9392"/>
      <c r="B57" s="9849"/>
      <c r="C57" s="9842"/>
      <c r="D57" s="9312"/>
      <c r="E57" s="9312"/>
      <c r="F57" s="9312"/>
      <c r="G57" s="9312"/>
      <c r="H57" s="9312"/>
      <c r="I57" s="9312"/>
      <c r="J57" s="9434"/>
      <c r="K57" s="9312"/>
      <c r="L57" s="9312"/>
      <c r="M57" s="9866"/>
      <c r="N57" s="9866"/>
      <c r="O57" s="9866"/>
      <c r="P57" s="9312"/>
      <c r="Q57" s="9312"/>
      <c r="R57" s="9316"/>
      <c r="S57" s="568"/>
      <c r="T57" s="6784"/>
      <c r="U57" s="6785"/>
      <c r="V57" s="577"/>
      <c r="W57" s="6839"/>
      <c r="X57" s="64"/>
      <c r="Y57" s="4914"/>
      <c r="Z57" s="4914"/>
      <c r="AA57" s="4914"/>
      <c r="AB57" s="4916"/>
      <c r="AC57" s="4882"/>
      <c r="AD57" s="63"/>
      <c r="AE57" s="64"/>
      <c r="AF57" s="65"/>
      <c r="AG57" s="219"/>
      <c r="AH57" s="9858"/>
    </row>
    <row r="58" spans="1:34" ht="22.5" customHeight="1">
      <c r="A58" s="9392"/>
      <c r="B58" s="9849"/>
      <c r="C58" s="9280" t="s">
        <v>183</v>
      </c>
      <c r="D58" s="8782" t="s">
        <v>184</v>
      </c>
      <c r="E58" s="8782" t="s">
        <v>185</v>
      </c>
      <c r="F58" s="8782" t="s">
        <v>1938</v>
      </c>
      <c r="G58" s="8977" t="s">
        <v>187</v>
      </c>
      <c r="H58" s="8782" t="s">
        <v>132</v>
      </c>
      <c r="I58" s="8782" t="s">
        <v>159</v>
      </c>
      <c r="J58" s="9838" t="s">
        <v>1978</v>
      </c>
      <c r="K58" s="9258" t="s">
        <v>1979</v>
      </c>
      <c r="L58" s="9258" t="s">
        <v>1980</v>
      </c>
      <c r="M58" s="8823">
        <v>0</v>
      </c>
      <c r="N58" s="8823">
        <v>1</v>
      </c>
      <c r="O58" s="8823">
        <v>1</v>
      </c>
      <c r="P58" s="8782" t="s">
        <v>1981</v>
      </c>
      <c r="Q58" s="8782" t="s">
        <v>1982</v>
      </c>
      <c r="R58" s="9839" t="s">
        <v>1983</v>
      </c>
      <c r="S58" s="747"/>
      <c r="T58" s="6799"/>
      <c r="U58" s="6783"/>
      <c r="V58" s="2126"/>
      <c r="W58" s="6838"/>
      <c r="X58" s="53"/>
      <c r="Y58" s="6870"/>
      <c r="Z58" s="6870"/>
      <c r="AA58" s="6870"/>
      <c r="AB58" s="6871"/>
      <c r="AC58" s="6896"/>
      <c r="AD58" s="67"/>
      <c r="AE58" s="53"/>
      <c r="AF58" s="73"/>
      <c r="AG58" s="435"/>
      <c r="AH58" s="9875"/>
    </row>
    <row r="59" spans="1:34" ht="27" customHeight="1">
      <c r="A59" s="9392"/>
      <c r="B59" s="9849"/>
      <c r="C59" s="9841"/>
      <c r="D59" s="9311"/>
      <c r="E59" s="9311"/>
      <c r="F59" s="9311"/>
      <c r="G59" s="9311"/>
      <c r="H59" s="9311"/>
      <c r="I59" s="9311"/>
      <c r="J59" s="9433"/>
      <c r="K59" s="9311"/>
      <c r="L59" s="9311"/>
      <c r="M59" s="9313"/>
      <c r="N59" s="9313"/>
      <c r="O59" s="9313"/>
      <c r="P59" s="9311"/>
      <c r="Q59" s="9311"/>
      <c r="R59" s="9315"/>
      <c r="S59" s="563"/>
      <c r="T59" s="4849"/>
      <c r="U59" s="6782"/>
      <c r="V59" s="575"/>
      <c r="W59" s="6837"/>
      <c r="X59" s="133"/>
      <c r="Y59" s="6872"/>
      <c r="Z59" s="6872"/>
      <c r="AA59" s="6872"/>
      <c r="AB59" s="6873"/>
      <c r="AC59" s="6897"/>
      <c r="AD59" s="50"/>
      <c r="AE59" s="48"/>
      <c r="AF59" s="51"/>
      <c r="AG59" s="218"/>
      <c r="AH59" s="9857"/>
    </row>
    <row r="60" spans="1:34" ht="22.5" customHeight="1">
      <c r="A60" s="9392"/>
      <c r="B60" s="9849"/>
      <c r="C60" s="9841"/>
      <c r="D60" s="9311"/>
      <c r="E60" s="9311"/>
      <c r="F60" s="9311"/>
      <c r="G60" s="9311"/>
      <c r="H60" s="9311"/>
      <c r="I60" s="9311"/>
      <c r="J60" s="9433"/>
      <c r="K60" s="9311"/>
      <c r="L60" s="9311"/>
      <c r="M60" s="9313"/>
      <c r="N60" s="9313"/>
      <c r="O60" s="9313"/>
      <c r="P60" s="9311"/>
      <c r="Q60" s="9311"/>
      <c r="R60" s="9315"/>
      <c r="S60" s="567" t="s">
        <v>81</v>
      </c>
      <c r="T60" s="6780">
        <v>530612</v>
      </c>
      <c r="U60" s="6781"/>
      <c r="V60" s="583" t="s">
        <v>1360</v>
      </c>
      <c r="W60" s="6837"/>
      <c r="X60" s="48"/>
      <c r="Y60" s="7790"/>
      <c r="Z60" s="7790"/>
      <c r="AA60" s="7790"/>
      <c r="AB60" s="7864">
        <f>+AA61</f>
        <v>7409.82</v>
      </c>
      <c r="AC60" s="4880" t="s">
        <v>26</v>
      </c>
      <c r="AD60" s="50"/>
      <c r="AE60" s="48"/>
      <c r="AF60" s="51"/>
      <c r="AG60" s="218"/>
      <c r="AH60" s="9857"/>
    </row>
    <row r="61" spans="1:34" ht="22.5" customHeight="1">
      <c r="A61" s="9392"/>
      <c r="B61" s="9849"/>
      <c r="C61" s="9841"/>
      <c r="D61" s="9311"/>
      <c r="E61" s="9311"/>
      <c r="F61" s="9311"/>
      <c r="G61" s="9311"/>
      <c r="H61" s="9311"/>
      <c r="I61" s="9311"/>
      <c r="J61" s="9433"/>
      <c r="K61" s="9311"/>
      <c r="L61" s="9311"/>
      <c r="M61" s="9313"/>
      <c r="N61" s="9313"/>
      <c r="O61" s="9313"/>
      <c r="P61" s="9311"/>
      <c r="Q61" s="9311"/>
      <c r="R61" s="9315"/>
      <c r="S61" s="567"/>
      <c r="T61" s="6780"/>
      <c r="U61" s="6781" t="s">
        <v>1984</v>
      </c>
      <c r="V61" s="575" t="s">
        <v>1985</v>
      </c>
      <c r="W61" s="6837">
        <v>1</v>
      </c>
      <c r="X61" s="48" t="s">
        <v>152</v>
      </c>
      <c r="Y61" s="7790">
        <v>7409.82</v>
      </c>
      <c r="Z61" s="7790">
        <f>+W61*Y61</f>
        <v>7409.82</v>
      </c>
      <c r="AA61" s="7790">
        <f>Z61</f>
        <v>7409.82</v>
      </c>
      <c r="AB61" s="7864"/>
      <c r="AC61" s="4880"/>
      <c r="AD61" s="50"/>
      <c r="AE61" s="48"/>
      <c r="AF61" s="51" t="s">
        <v>153</v>
      </c>
      <c r="AG61" s="218"/>
      <c r="AH61" s="9857"/>
    </row>
    <row r="62" spans="1:34" ht="22.5" customHeight="1">
      <c r="A62" s="9392"/>
      <c r="B62" s="9849"/>
      <c r="C62" s="9842"/>
      <c r="D62" s="9312"/>
      <c r="E62" s="9312"/>
      <c r="F62" s="9312"/>
      <c r="G62" s="9312"/>
      <c r="H62" s="9312"/>
      <c r="I62" s="9312"/>
      <c r="J62" s="9434"/>
      <c r="K62" s="9312"/>
      <c r="L62" s="9312"/>
      <c r="M62" s="9314"/>
      <c r="N62" s="9314"/>
      <c r="O62" s="9314"/>
      <c r="P62" s="9312"/>
      <c r="Q62" s="9312"/>
      <c r="R62" s="9316"/>
      <c r="S62" s="568"/>
      <c r="T62" s="6784"/>
      <c r="U62" s="6800"/>
      <c r="V62" s="581"/>
      <c r="W62" s="6845"/>
      <c r="X62" s="453"/>
      <c r="Y62" s="4912"/>
      <c r="Z62" s="4914"/>
      <c r="AA62" s="4914"/>
      <c r="AB62" s="4913"/>
      <c r="AC62" s="4881"/>
      <c r="AD62" s="455"/>
      <c r="AE62" s="453"/>
      <c r="AF62" s="456"/>
      <c r="AG62" s="221"/>
      <c r="AH62" s="9858"/>
    </row>
    <row r="63" spans="1:34" ht="43.5" customHeight="1">
      <c r="A63" s="9392"/>
      <c r="B63" s="9849"/>
      <c r="C63" s="9280" t="s">
        <v>183</v>
      </c>
      <c r="D63" s="8782" t="s">
        <v>184</v>
      </c>
      <c r="E63" s="8782" t="s">
        <v>185</v>
      </c>
      <c r="F63" s="8782" t="s">
        <v>1938</v>
      </c>
      <c r="G63" s="8977" t="s">
        <v>187</v>
      </c>
      <c r="H63" s="8782" t="s">
        <v>132</v>
      </c>
      <c r="I63" s="8782" t="s">
        <v>159</v>
      </c>
      <c r="J63" s="9838" t="s">
        <v>1986</v>
      </c>
      <c r="K63" s="9258" t="s">
        <v>1987</v>
      </c>
      <c r="L63" s="9258" t="s">
        <v>1988</v>
      </c>
      <c r="M63" s="8823">
        <v>0</v>
      </c>
      <c r="N63" s="8823">
        <v>0</v>
      </c>
      <c r="O63" s="8823">
        <v>2</v>
      </c>
      <c r="P63" s="8782" t="s">
        <v>1989</v>
      </c>
      <c r="Q63" s="8782" t="s">
        <v>1990</v>
      </c>
      <c r="R63" s="9839" t="s">
        <v>1991</v>
      </c>
      <c r="S63" s="5102" t="s">
        <v>81</v>
      </c>
      <c r="T63" s="6801">
        <v>840107</v>
      </c>
      <c r="U63" s="6802" t="s">
        <v>1992</v>
      </c>
      <c r="V63" s="5103" t="s">
        <v>1993</v>
      </c>
      <c r="W63" s="6850"/>
      <c r="X63" s="5104"/>
      <c r="Y63" s="6535"/>
      <c r="Z63" s="6874"/>
      <c r="AA63" s="6874"/>
      <c r="AB63" s="6875">
        <f>+SUM(AA64:AA66)</f>
        <v>24192.000000000004</v>
      </c>
      <c r="AC63" s="6898" t="s">
        <v>18</v>
      </c>
      <c r="AD63" s="5105"/>
      <c r="AE63" s="5104"/>
      <c r="AF63" s="5106"/>
      <c r="AG63" s="5124"/>
      <c r="AH63" s="9886"/>
    </row>
    <row r="64" spans="1:34" ht="22.5" customHeight="1">
      <c r="A64" s="9392"/>
      <c r="B64" s="9849"/>
      <c r="C64" s="9283"/>
      <c r="D64" s="8834"/>
      <c r="E64" s="8834"/>
      <c r="F64" s="8834"/>
      <c r="G64" s="8974"/>
      <c r="H64" s="8834"/>
      <c r="I64" s="8834"/>
      <c r="J64" s="9739"/>
      <c r="K64" s="9167"/>
      <c r="L64" s="9167"/>
      <c r="M64" s="8856"/>
      <c r="N64" s="8856"/>
      <c r="O64" s="8856"/>
      <c r="P64" s="8834"/>
      <c r="Q64" s="8834"/>
      <c r="R64" s="9873"/>
      <c r="S64" s="5107"/>
      <c r="T64" s="6452"/>
      <c r="U64" s="6803"/>
      <c r="V64" s="5108" t="s">
        <v>1994</v>
      </c>
      <c r="W64" s="6851">
        <v>12</v>
      </c>
      <c r="X64" s="5109" t="s">
        <v>180</v>
      </c>
      <c r="Y64" s="6537">
        <v>1600</v>
      </c>
      <c r="Z64" s="6537">
        <f>+W64*Y64</f>
        <v>19200</v>
      </c>
      <c r="AA64" s="6537">
        <f>+Z64*1.12</f>
        <v>21504.000000000004</v>
      </c>
      <c r="AB64" s="6539"/>
      <c r="AC64" s="6558"/>
      <c r="AD64" s="5110"/>
      <c r="AE64" s="5109"/>
      <c r="AF64" s="5111" t="s">
        <v>153</v>
      </c>
      <c r="AG64" s="5125"/>
      <c r="AH64" s="9887"/>
    </row>
    <row r="65" spans="1:34" ht="22.5" customHeight="1">
      <c r="A65" s="9392"/>
      <c r="B65" s="9849"/>
      <c r="C65" s="9283"/>
      <c r="D65" s="8834"/>
      <c r="E65" s="8834"/>
      <c r="F65" s="8834"/>
      <c r="G65" s="8974"/>
      <c r="H65" s="8834"/>
      <c r="I65" s="8834"/>
      <c r="J65" s="9739"/>
      <c r="K65" s="9167"/>
      <c r="L65" s="9167"/>
      <c r="M65" s="8856"/>
      <c r="N65" s="8856"/>
      <c r="O65" s="8856"/>
      <c r="P65" s="8834"/>
      <c r="Q65" s="8834"/>
      <c r="R65" s="9873"/>
      <c r="S65" s="5107"/>
      <c r="T65" s="6452"/>
      <c r="U65" s="6803"/>
      <c r="V65" s="5112" t="s">
        <v>1995</v>
      </c>
      <c r="W65" s="6852">
        <v>2</v>
      </c>
      <c r="X65" s="5113" t="s">
        <v>180</v>
      </c>
      <c r="Y65" s="6876">
        <v>600</v>
      </c>
      <c r="Z65" s="6876">
        <f t="shared" ref="Z65:Z69" si="2">+W65*Y65</f>
        <v>1200</v>
      </c>
      <c r="AA65" s="6876">
        <f t="shared" ref="AA65:AA69" si="3">+Z65*1.12</f>
        <v>1344.0000000000002</v>
      </c>
      <c r="AB65" s="6539"/>
      <c r="AC65" s="6558"/>
      <c r="AD65" s="5110"/>
      <c r="AE65" s="5109"/>
      <c r="AF65" s="5111"/>
      <c r="AG65" s="5126" t="s">
        <v>153</v>
      </c>
      <c r="AH65" s="9887"/>
    </row>
    <row r="66" spans="1:34" ht="22.5" customHeight="1">
      <c r="A66" s="9392"/>
      <c r="B66" s="9849"/>
      <c r="C66" s="9283"/>
      <c r="D66" s="8834"/>
      <c r="E66" s="8834"/>
      <c r="F66" s="8834"/>
      <c r="G66" s="8974"/>
      <c r="H66" s="8834"/>
      <c r="I66" s="8834"/>
      <c r="J66" s="9739"/>
      <c r="K66" s="9167"/>
      <c r="L66" s="9167"/>
      <c r="M66" s="8856"/>
      <c r="N66" s="8856"/>
      <c r="O66" s="8856"/>
      <c r="P66" s="8834"/>
      <c r="Q66" s="8834"/>
      <c r="R66" s="9873"/>
      <c r="S66" s="5107"/>
      <c r="T66" s="6452"/>
      <c r="U66" s="6803"/>
      <c r="V66" s="5108" t="s">
        <v>1996</v>
      </c>
      <c r="W66" s="6851">
        <v>1</v>
      </c>
      <c r="X66" s="5109" t="s">
        <v>180</v>
      </c>
      <c r="Y66" s="6537">
        <v>1200</v>
      </c>
      <c r="Z66" s="6537">
        <f t="shared" si="2"/>
        <v>1200</v>
      </c>
      <c r="AA66" s="6537">
        <f t="shared" si="3"/>
        <v>1344.0000000000002</v>
      </c>
      <c r="AB66" s="6539"/>
      <c r="AC66" s="6558"/>
      <c r="AD66" s="5110"/>
      <c r="AE66" s="5109"/>
      <c r="AF66" s="5111" t="s">
        <v>153</v>
      </c>
      <c r="AG66" s="5125"/>
      <c r="AH66" s="9887"/>
    </row>
    <row r="67" spans="1:34" ht="39" customHeight="1">
      <c r="A67" s="9392"/>
      <c r="B67" s="9849"/>
      <c r="C67" s="9283"/>
      <c r="D67" s="8834"/>
      <c r="E67" s="8834"/>
      <c r="F67" s="8834"/>
      <c r="G67" s="8974"/>
      <c r="H67" s="8834"/>
      <c r="I67" s="8834"/>
      <c r="J67" s="9739"/>
      <c r="K67" s="9167"/>
      <c r="L67" s="9167"/>
      <c r="M67" s="8856"/>
      <c r="N67" s="8856"/>
      <c r="O67" s="8856"/>
      <c r="P67" s="8834"/>
      <c r="Q67" s="8834"/>
      <c r="R67" s="9873"/>
      <c r="S67" s="5107" t="s">
        <v>81</v>
      </c>
      <c r="T67" s="6452">
        <v>840104</v>
      </c>
      <c r="U67" s="6804" t="s">
        <v>1992</v>
      </c>
      <c r="V67" s="5114" t="s">
        <v>39</v>
      </c>
      <c r="W67" s="6851"/>
      <c r="X67" s="5109"/>
      <c r="Y67" s="6537"/>
      <c r="Z67" s="6537"/>
      <c r="AA67" s="6537"/>
      <c r="AB67" s="6877">
        <f>SUM(AA68:AA69)</f>
        <v>4256.0000000000009</v>
      </c>
      <c r="AC67" s="6558" t="s">
        <v>18</v>
      </c>
      <c r="AD67" s="5110"/>
      <c r="AE67" s="5109"/>
      <c r="AF67" s="5111"/>
      <c r="AG67" s="5125"/>
      <c r="AH67" s="9887"/>
    </row>
    <row r="68" spans="1:34" ht="22.5" customHeight="1">
      <c r="A68" s="9392"/>
      <c r="B68" s="9849"/>
      <c r="C68" s="9283"/>
      <c r="D68" s="8834"/>
      <c r="E68" s="8834"/>
      <c r="F68" s="8834"/>
      <c r="G68" s="8974"/>
      <c r="H68" s="8834"/>
      <c r="I68" s="8834"/>
      <c r="J68" s="9739"/>
      <c r="K68" s="9167"/>
      <c r="L68" s="9167"/>
      <c r="M68" s="8856"/>
      <c r="N68" s="8856"/>
      <c r="O68" s="8856"/>
      <c r="P68" s="8834"/>
      <c r="Q68" s="8834"/>
      <c r="R68" s="9873"/>
      <c r="S68" s="5107"/>
      <c r="T68" s="6452"/>
      <c r="U68" s="6803"/>
      <c r="V68" s="5112" t="s">
        <v>1833</v>
      </c>
      <c r="W68" s="6852">
        <v>6</v>
      </c>
      <c r="X68" s="5113" t="s">
        <v>180</v>
      </c>
      <c r="Y68" s="6876">
        <v>600</v>
      </c>
      <c r="Z68" s="6876">
        <f t="shared" si="2"/>
        <v>3600</v>
      </c>
      <c r="AA68" s="6876">
        <f t="shared" si="3"/>
        <v>4032.0000000000005</v>
      </c>
      <c r="AB68" s="6539"/>
      <c r="AC68" s="6558"/>
      <c r="AD68" s="5110"/>
      <c r="AE68" s="5109"/>
      <c r="AF68" s="5111"/>
      <c r="AG68" s="5126" t="s">
        <v>153</v>
      </c>
      <c r="AH68" s="9887"/>
    </row>
    <row r="69" spans="1:34" ht="22.5" customHeight="1">
      <c r="A69" s="9392"/>
      <c r="B69" s="9849"/>
      <c r="C69" s="9283"/>
      <c r="D69" s="8834"/>
      <c r="E69" s="8834"/>
      <c r="F69" s="8834"/>
      <c r="G69" s="8974"/>
      <c r="H69" s="8834"/>
      <c r="I69" s="8834"/>
      <c r="J69" s="9739"/>
      <c r="K69" s="9167"/>
      <c r="L69" s="9167"/>
      <c r="M69" s="8856"/>
      <c r="N69" s="8856"/>
      <c r="O69" s="8856"/>
      <c r="P69" s="8834"/>
      <c r="Q69" s="8834"/>
      <c r="R69" s="9873"/>
      <c r="S69" s="5107"/>
      <c r="T69" s="6452"/>
      <c r="U69" s="6803"/>
      <c r="V69" s="5108" t="s">
        <v>1997</v>
      </c>
      <c r="W69" s="6851">
        <v>1</v>
      </c>
      <c r="X69" s="5109" t="s">
        <v>180</v>
      </c>
      <c r="Y69" s="6537">
        <v>200</v>
      </c>
      <c r="Z69" s="6537">
        <f t="shared" si="2"/>
        <v>200</v>
      </c>
      <c r="AA69" s="6537">
        <f t="shared" si="3"/>
        <v>224.00000000000003</v>
      </c>
      <c r="AB69" s="6539"/>
      <c r="AC69" s="6558"/>
      <c r="AD69" s="5110"/>
      <c r="AE69" s="5109"/>
      <c r="AF69" s="5111" t="s">
        <v>153</v>
      </c>
      <c r="AG69" s="5125"/>
      <c r="AH69" s="9887"/>
    </row>
    <row r="70" spans="1:34" ht="41.25" customHeight="1">
      <c r="A70" s="9392"/>
      <c r="B70" s="9849"/>
      <c r="C70" s="9283"/>
      <c r="D70" s="8834"/>
      <c r="E70" s="8834"/>
      <c r="F70" s="8834"/>
      <c r="G70" s="8974"/>
      <c r="H70" s="8834"/>
      <c r="I70" s="8834"/>
      <c r="J70" s="9739"/>
      <c r="K70" s="9167"/>
      <c r="L70" s="9167"/>
      <c r="M70" s="8856"/>
      <c r="N70" s="8856"/>
      <c r="O70" s="8856"/>
      <c r="P70" s="8834"/>
      <c r="Q70" s="8834"/>
      <c r="R70" s="9873"/>
      <c r="S70" s="5107" t="s">
        <v>81</v>
      </c>
      <c r="T70" s="6452">
        <v>530702</v>
      </c>
      <c r="U70" s="6804" t="s">
        <v>1992</v>
      </c>
      <c r="V70" s="5114" t="s">
        <v>33</v>
      </c>
      <c r="W70" s="6851"/>
      <c r="X70" s="5109"/>
      <c r="Y70" s="6537"/>
      <c r="Z70" s="6537"/>
      <c r="AA70" s="6537"/>
      <c r="AB70" s="6877">
        <f>SUM(AA71:AA74)</f>
        <v>15800</v>
      </c>
      <c r="AC70" s="6899" t="s">
        <v>25</v>
      </c>
      <c r="AD70" s="5110"/>
      <c r="AE70" s="5109"/>
      <c r="AF70" s="5111"/>
      <c r="AG70" s="5125"/>
      <c r="AH70" s="9887"/>
    </row>
    <row r="71" spans="1:34" ht="27.75" customHeight="1">
      <c r="A71" s="9392"/>
      <c r="B71" s="9849"/>
      <c r="C71" s="9283"/>
      <c r="D71" s="8834"/>
      <c r="E71" s="8834"/>
      <c r="F71" s="8834"/>
      <c r="G71" s="8974"/>
      <c r="H71" s="8834"/>
      <c r="I71" s="8834"/>
      <c r="J71" s="9739"/>
      <c r="K71" s="9167"/>
      <c r="L71" s="9167"/>
      <c r="M71" s="8856"/>
      <c r="N71" s="8856"/>
      <c r="O71" s="8856"/>
      <c r="P71" s="8834"/>
      <c r="Q71" s="8834"/>
      <c r="R71" s="9873"/>
      <c r="S71" s="5107"/>
      <c r="T71" s="6452"/>
      <c r="U71" s="6803"/>
      <c r="V71" s="5112" t="s">
        <v>1998</v>
      </c>
      <c r="W71" s="6852">
        <v>1</v>
      </c>
      <c r="X71" s="5113" t="s">
        <v>180</v>
      </c>
      <c r="Y71" s="6876">
        <f>4000/1.12</f>
        <v>3571.4285714285711</v>
      </c>
      <c r="Z71" s="6876">
        <f t="shared" ref="Z71" si="4">+W71*Y71</f>
        <v>3571.4285714285711</v>
      </c>
      <c r="AA71" s="6876">
        <f t="shared" ref="AA71" si="5">+Z71*1.12</f>
        <v>4000</v>
      </c>
      <c r="AB71" s="6539"/>
      <c r="AC71" s="6558"/>
      <c r="AD71" s="5110"/>
      <c r="AE71" s="5109"/>
      <c r="AF71" s="5111"/>
      <c r="AG71" s="5125" t="s">
        <v>153</v>
      </c>
      <c r="AH71" s="9887"/>
    </row>
    <row r="72" spans="1:34" ht="22.5" customHeight="1">
      <c r="A72" s="9392"/>
      <c r="B72" s="9849"/>
      <c r="C72" s="9283"/>
      <c r="D72" s="8834"/>
      <c r="E72" s="8834"/>
      <c r="F72" s="8834"/>
      <c r="G72" s="8974"/>
      <c r="H72" s="8834"/>
      <c r="I72" s="8834"/>
      <c r="J72" s="9739"/>
      <c r="K72" s="9167"/>
      <c r="L72" s="9167"/>
      <c r="M72" s="8856"/>
      <c r="N72" s="8856"/>
      <c r="O72" s="8856"/>
      <c r="P72" s="8834"/>
      <c r="Q72" s="8834"/>
      <c r="R72" s="9873"/>
      <c r="S72" s="5107"/>
      <c r="T72" s="6452"/>
      <c r="U72" s="6803"/>
      <c r="V72" s="5112" t="s">
        <v>1999</v>
      </c>
      <c r="W72" s="6852">
        <v>1</v>
      </c>
      <c r="X72" s="5113" t="s">
        <v>180</v>
      </c>
      <c r="Y72" s="6876">
        <f>5400/1.12</f>
        <v>4821.4285714285706</v>
      </c>
      <c r="Z72" s="6876">
        <f t="shared" ref="Z72" si="6">+W72*Y72</f>
        <v>4821.4285714285706</v>
      </c>
      <c r="AA72" s="6876">
        <f t="shared" ref="AA72" si="7">+Z72*1.12</f>
        <v>5400</v>
      </c>
      <c r="AB72" s="6539"/>
      <c r="AC72" s="6558"/>
      <c r="AD72" s="5110"/>
      <c r="AE72" s="5109"/>
      <c r="AF72" s="5111"/>
      <c r="AG72" s="5125" t="s">
        <v>153</v>
      </c>
      <c r="AH72" s="9887"/>
    </row>
    <row r="73" spans="1:34" ht="22.5" customHeight="1">
      <c r="A73" s="9392"/>
      <c r="B73" s="9849"/>
      <c r="C73" s="9283"/>
      <c r="D73" s="8834"/>
      <c r="E73" s="8834"/>
      <c r="F73" s="8834"/>
      <c r="G73" s="8974"/>
      <c r="H73" s="8834"/>
      <c r="I73" s="8834"/>
      <c r="J73" s="9739"/>
      <c r="K73" s="9167"/>
      <c r="L73" s="9167"/>
      <c r="M73" s="8856"/>
      <c r="N73" s="8856"/>
      <c r="O73" s="8856"/>
      <c r="P73" s="8834"/>
      <c r="Q73" s="8834"/>
      <c r="R73" s="9873"/>
      <c r="S73" s="5107"/>
      <c r="T73" s="6452"/>
      <c r="U73" s="6803"/>
      <c r="V73" s="5112" t="s">
        <v>2000</v>
      </c>
      <c r="W73" s="6852">
        <v>10</v>
      </c>
      <c r="X73" s="5113" t="s">
        <v>180</v>
      </c>
      <c r="Y73" s="6876">
        <f>540/1.12</f>
        <v>482.14285714285711</v>
      </c>
      <c r="Z73" s="6876">
        <f t="shared" ref="Z73" si="8">+W73*Y73</f>
        <v>4821.4285714285706</v>
      </c>
      <c r="AA73" s="6876">
        <f t="shared" ref="AA73" si="9">+Z73*1.12</f>
        <v>5400</v>
      </c>
      <c r="AB73" s="6539"/>
      <c r="AC73" s="6558"/>
      <c r="AD73" s="5110"/>
      <c r="AE73" s="5109"/>
      <c r="AF73" s="5111"/>
      <c r="AG73" s="5125" t="s">
        <v>153</v>
      </c>
      <c r="AH73" s="9887"/>
    </row>
    <row r="74" spans="1:34" ht="22.5" customHeight="1">
      <c r="A74" s="9392"/>
      <c r="B74" s="9849"/>
      <c r="C74" s="9283"/>
      <c r="D74" s="8834"/>
      <c r="E74" s="8834"/>
      <c r="F74" s="8834"/>
      <c r="G74" s="8974"/>
      <c r="H74" s="8834"/>
      <c r="I74" s="8834"/>
      <c r="J74" s="9739"/>
      <c r="K74" s="9167"/>
      <c r="L74" s="9167"/>
      <c r="M74" s="8856"/>
      <c r="N74" s="8856"/>
      <c r="O74" s="8856"/>
      <c r="P74" s="8834"/>
      <c r="Q74" s="8834"/>
      <c r="R74" s="9873"/>
      <c r="S74" s="5107"/>
      <c r="T74" s="6452"/>
      <c r="U74" s="6803"/>
      <c r="V74" s="5112" t="s">
        <v>2001</v>
      </c>
      <c r="W74" s="6852">
        <v>1</v>
      </c>
      <c r="X74" s="5113" t="s">
        <v>180</v>
      </c>
      <c r="Y74" s="6876">
        <f>1000/1.12</f>
        <v>892.85714285714278</v>
      </c>
      <c r="Z74" s="6876">
        <f t="shared" ref="Z74" si="10">+W74*Y74</f>
        <v>892.85714285714278</v>
      </c>
      <c r="AA74" s="6876">
        <f t="shared" ref="AA74" si="11">+Z74*1.12</f>
        <v>1000</v>
      </c>
      <c r="AB74" s="6539"/>
      <c r="AC74" s="6558"/>
      <c r="AD74" s="5110"/>
      <c r="AE74" s="5109"/>
      <c r="AF74" s="5111"/>
      <c r="AG74" s="5125" t="s">
        <v>153</v>
      </c>
      <c r="AH74" s="9887"/>
    </row>
    <row r="75" spans="1:34" ht="39" customHeight="1">
      <c r="A75" s="9392"/>
      <c r="B75" s="9849"/>
      <c r="C75" s="9283"/>
      <c r="D75" s="8834"/>
      <c r="E75" s="8834"/>
      <c r="F75" s="8834"/>
      <c r="G75" s="8974"/>
      <c r="H75" s="8834"/>
      <c r="I75" s="8834"/>
      <c r="J75" s="9739"/>
      <c r="K75" s="9167"/>
      <c r="L75" s="9167"/>
      <c r="M75" s="8856"/>
      <c r="N75" s="8856"/>
      <c r="O75" s="8856"/>
      <c r="P75" s="8834"/>
      <c r="Q75" s="8834"/>
      <c r="R75" s="9873"/>
      <c r="S75" s="5107" t="s">
        <v>81</v>
      </c>
      <c r="T75" s="6452">
        <v>530702</v>
      </c>
      <c r="U75" s="6804" t="s">
        <v>1992</v>
      </c>
      <c r="V75" s="5114" t="s">
        <v>33</v>
      </c>
      <c r="W75" s="6851"/>
      <c r="X75" s="5109"/>
      <c r="Y75" s="6537"/>
      <c r="Z75" s="6537"/>
      <c r="AA75" s="6537"/>
      <c r="AB75" s="6877">
        <f>SUM(AA76)</f>
        <v>3300</v>
      </c>
      <c r="AC75" s="6899" t="s">
        <v>26</v>
      </c>
      <c r="AD75" s="5110"/>
      <c r="AE75" s="5109"/>
      <c r="AF75" s="5111"/>
      <c r="AG75" s="5125"/>
      <c r="AH75" s="9887"/>
    </row>
    <row r="76" spans="1:34" ht="22.5" customHeight="1">
      <c r="A76" s="9392"/>
      <c r="B76" s="9849"/>
      <c r="C76" s="9283"/>
      <c r="D76" s="8834"/>
      <c r="E76" s="8834"/>
      <c r="F76" s="8834"/>
      <c r="G76" s="8974"/>
      <c r="H76" s="8834"/>
      <c r="I76" s="8834"/>
      <c r="J76" s="9739"/>
      <c r="K76" s="9167"/>
      <c r="L76" s="9167"/>
      <c r="M76" s="8856"/>
      <c r="N76" s="8856"/>
      <c r="O76" s="8856"/>
      <c r="P76" s="8834"/>
      <c r="Q76" s="8834"/>
      <c r="R76" s="9873"/>
      <c r="S76" s="5107"/>
      <c r="T76" s="6452"/>
      <c r="U76" s="6803"/>
      <c r="V76" s="5112" t="s">
        <v>2002</v>
      </c>
      <c r="W76" s="6852">
        <v>1</v>
      </c>
      <c r="X76" s="5113" t="s">
        <v>180</v>
      </c>
      <c r="Y76" s="6876">
        <f>3300/1.12</f>
        <v>2946.4285714285711</v>
      </c>
      <c r="Z76" s="6876">
        <f t="shared" ref="Z76" si="12">+W76*Y76</f>
        <v>2946.4285714285711</v>
      </c>
      <c r="AA76" s="6876">
        <f t="shared" ref="AA76" si="13">+Z76*1.12</f>
        <v>3300</v>
      </c>
      <c r="AB76" s="6539"/>
      <c r="AC76" s="6558"/>
      <c r="AD76" s="5110"/>
      <c r="AE76" s="5109"/>
      <c r="AF76" s="5111"/>
      <c r="AG76" s="5125" t="s">
        <v>153</v>
      </c>
      <c r="AH76" s="9887"/>
    </row>
    <row r="77" spans="1:34" ht="39.75" customHeight="1">
      <c r="A77" s="9392"/>
      <c r="B77" s="9849"/>
      <c r="C77" s="9283"/>
      <c r="D77" s="8834"/>
      <c r="E77" s="8834"/>
      <c r="F77" s="8834"/>
      <c r="G77" s="8974"/>
      <c r="H77" s="8834"/>
      <c r="I77" s="8834"/>
      <c r="J77" s="9739"/>
      <c r="K77" s="9167"/>
      <c r="L77" s="9167"/>
      <c r="M77" s="8856"/>
      <c r="N77" s="8856"/>
      <c r="O77" s="8856"/>
      <c r="P77" s="8834"/>
      <c r="Q77" s="8834"/>
      <c r="R77" s="9873"/>
      <c r="S77" s="5107" t="s">
        <v>81</v>
      </c>
      <c r="T77" s="6452">
        <v>530804</v>
      </c>
      <c r="U77" s="6804" t="s">
        <v>1992</v>
      </c>
      <c r="V77" s="5114" t="s">
        <v>2003</v>
      </c>
      <c r="W77" s="6851"/>
      <c r="X77" s="5109"/>
      <c r="Y77" s="6537"/>
      <c r="Z77" s="6537"/>
      <c r="AA77" s="6537"/>
      <c r="AB77" s="6877">
        <f>SUM(AA78:AA82)</f>
        <v>925.12000000000012</v>
      </c>
      <c r="AC77" s="6899" t="s">
        <v>26</v>
      </c>
      <c r="AD77" s="5110"/>
      <c r="AE77" s="5109"/>
      <c r="AF77" s="5111"/>
      <c r="AG77" s="5125"/>
      <c r="AH77" s="9887"/>
    </row>
    <row r="78" spans="1:34" ht="22.5" customHeight="1">
      <c r="A78" s="9392"/>
      <c r="B78" s="9849"/>
      <c r="C78" s="9283"/>
      <c r="D78" s="8834"/>
      <c r="E78" s="8834"/>
      <c r="F78" s="8834"/>
      <c r="G78" s="8974"/>
      <c r="H78" s="8834"/>
      <c r="I78" s="8834"/>
      <c r="J78" s="9739"/>
      <c r="K78" s="9167"/>
      <c r="L78" s="9167"/>
      <c r="M78" s="8856"/>
      <c r="N78" s="8856"/>
      <c r="O78" s="8856"/>
      <c r="P78" s="8834"/>
      <c r="Q78" s="8834"/>
      <c r="R78" s="9873"/>
      <c r="S78" s="5107"/>
      <c r="T78" s="6805"/>
      <c r="U78" s="6806"/>
      <c r="V78" s="5112" t="s">
        <v>2004</v>
      </c>
      <c r="W78" s="6852">
        <v>200</v>
      </c>
      <c r="X78" s="5113" t="s">
        <v>180</v>
      </c>
      <c r="Y78" s="6876">
        <v>2.95</v>
      </c>
      <c r="Z78" s="6876">
        <f>+W78*Y78</f>
        <v>590</v>
      </c>
      <c r="AA78" s="6876">
        <f t="shared" ref="AA78" si="14">+Z78*1.12</f>
        <v>660.80000000000007</v>
      </c>
      <c r="AB78" s="6539"/>
      <c r="AC78" s="6558"/>
      <c r="AD78" s="5110"/>
      <c r="AE78" s="5109"/>
      <c r="AF78" s="5111"/>
      <c r="AG78" s="5125" t="s">
        <v>153</v>
      </c>
      <c r="AH78" s="9887"/>
    </row>
    <row r="79" spans="1:34" ht="22.5" customHeight="1">
      <c r="A79" s="9392"/>
      <c r="B79" s="9849"/>
      <c r="C79" s="9283"/>
      <c r="D79" s="8834"/>
      <c r="E79" s="8834"/>
      <c r="F79" s="8834"/>
      <c r="G79" s="8974"/>
      <c r="H79" s="8834"/>
      <c r="I79" s="8834"/>
      <c r="J79" s="9739"/>
      <c r="K79" s="9167"/>
      <c r="L79" s="9167"/>
      <c r="M79" s="8856"/>
      <c r="N79" s="8856"/>
      <c r="O79" s="8856"/>
      <c r="P79" s="8834"/>
      <c r="Q79" s="8834"/>
      <c r="R79" s="9873"/>
      <c r="S79" s="5107"/>
      <c r="T79" s="6805"/>
      <c r="U79" s="6806"/>
      <c r="V79" s="5112" t="s">
        <v>2005</v>
      </c>
      <c r="W79" s="6852">
        <v>200</v>
      </c>
      <c r="X79" s="5113" t="s">
        <v>180</v>
      </c>
      <c r="Y79" s="6876">
        <v>0.49</v>
      </c>
      <c r="Z79" s="6876">
        <f t="shared" ref="Z79:Z82" si="15">+W79*Y79</f>
        <v>98</v>
      </c>
      <c r="AA79" s="6876">
        <f t="shared" ref="AA79:AA82" si="16">+Z79*1.12</f>
        <v>109.76</v>
      </c>
      <c r="AB79" s="6539"/>
      <c r="AC79" s="6558"/>
      <c r="AD79" s="5110"/>
      <c r="AE79" s="5109"/>
      <c r="AF79" s="5111"/>
      <c r="AG79" s="5125" t="s">
        <v>153</v>
      </c>
      <c r="AH79" s="9887"/>
    </row>
    <row r="80" spans="1:34" ht="22.5" customHeight="1">
      <c r="A80" s="9392"/>
      <c r="B80" s="9849"/>
      <c r="C80" s="9283"/>
      <c r="D80" s="8834"/>
      <c r="E80" s="8834"/>
      <c r="F80" s="8834"/>
      <c r="G80" s="8974"/>
      <c r="H80" s="8834"/>
      <c r="I80" s="8834"/>
      <c r="J80" s="9739"/>
      <c r="K80" s="9167"/>
      <c r="L80" s="9167"/>
      <c r="M80" s="8856"/>
      <c r="N80" s="8856"/>
      <c r="O80" s="8856"/>
      <c r="P80" s="8834"/>
      <c r="Q80" s="8834"/>
      <c r="R80" s="9873"/>
      <c r="S80" s="5107"/>
      <c r="T80" s="6805"/>
      <c r="U80" s="6806"/>
      <c r="V80" s="5112" t="s">
        <v>2006</v>
      </c>
      <c r="W80" s="6852">
        <v>200</v>
      </c>
      <c r="X80" s="5113" t="s">
        <v>180</v>
      </c>
      <c r="Y80" s="6876">
        <v>0.18</v>
      </c>
      <c r="Z80" s="6876">
        <f t="shared" si="15"/>
        <v>36</v>
      </c>
      <c r="AA80" s="6876">
        <f t="shared" si="16"/>
        <v>40.320000000000007</v>
      </c>
      <c r="AB80" s="6539"/>
      <c r="AC80" s="6558"/>
      <c r="AD80" s="5110"/>
      <c r="AE80" s="5109"/>
      <c r="AF80" s="5111"/>
      <c r="AG80" s="5125" t="s">
        <v>153</v>
      </c>
      <c r="AH80" s="9887"/>
    </row>
    <row r="81" spans="1:34" ht="22.5" customHeight="1">
      <c r="A81" s="9392"/>
      <c r="B81" s="9849"/>
      <c r="C81" s="9283"/>
      <c r="D81" s="8834"/>
      <c r="E81" s="8834"/>
      <c r="F81" s="8834"/>
      <c r="G81" s="8974"/>
      <c r="H81" s="8834"/>
      <c r="I81" s="8834"/>
      <c r="J81" s="9739"/>
      <c r="K81" s="9167"/>
      <c r="L81" s="9167"/>
      <c r="M81" s="8856"/>
      <c r="N81" s="8856"/>
      <c r="O81" s="8856"/>
      <c r="P81" s="8834"/>
      <c r="Q81" s="8834"/>
      <c r="R81" s="9873"/>
      <c r="S81" s="5107"/>
      <c r="T81" s="6805"/>
      <c r="U81" s="6806"/>
      <c r="V81" s="5112" t="s">
        <v>2007</v>
      </c>
      <c r="W81" s="6852">
        <v>50</v>
      </c>
      <c r="X81" s="5113" t="s">
        <v>180</v>
      </c>
      <c r="Y81" s="6876">
        <v>1.5</v>
      </c>
      <c r="Z81" s="6876">
        <f>+W81*Y81</f>
        <v>75</v>
      </c>
      <c r="AA81" s="6876">
        <f>+Z81*1.12</f>
        <v>84.000000000000014</v>
      </c>
      <c r="AB81" s="6539"/>
      <c r="AC81" s="6558"/>
      <c r="AD81" s="5110"/>
      <c r="AE81" s="5109"/>
      <c r="AF81" s="5111"/>
      <c r="AG81" s="5125" t="s">
        <v>153</v>
      </c>
      <c r="AH81" s="9887"/>
    </row>
    <row r="82" spans="1:34" ht="22.5" customHeight="1">
      <c r="A82" s="9392"/>
      <c r="B82" s="9849"/>
      <c r="C82" s="9283"/>
      <c r="D82" s="8834"/>
      <c r="E82" s="8834"/>
      <c r="F82" s="8834"/>
      <c r="G82" s="8974"/>
      <c r="H82" s="8834"/>
      <c r="I82" s="8834"/>
      <c r="J82" s="9739"/>
      <c r="K82" s="9167"/>
      <c r="L82" s="9167"/>
      <c r="M82" s="8856"/>
      <c r="N82" s="8856"/>
      <c r="O82" s="8856"/>
      <c r="P82" s="8834"/>
      <c r="Q82" s="8834"/>
      <c r="R82" s="9873"/>
      <c r="S82" s="5107"/>
      <c r="T82" s="6805"/>
      <c r="U82" s="6806"/>
      <c r="V82" s="5112" t="s">
        <v>2008</v>
      </c>
      <c r="W82" s="6852">
        <v>5</v>
      </c>
      <c r="X82" s="5113" t="s">
        <v>180</v>
      </c>
      <c r="Y82" s="6876">
        <v>5.4</v>
      </c>
      <c r="Z82" s="6876">
        <f t="shared" si="15"/>
        <v>27</v>
      </c>
      <c r="AA82" s="6876">
        <f t="shared" si="16"/>
        <v>30.240000000000002</v>
      </c>
      <c r="AB82" s="6539"/>
      <c r="AC82" s="6558"/>
      <c r="AD82" s="5110"/>
      <c r="AE82" s="5109"/>
      <c r="AF82" s="5111"/>
      <c r="AG82" s="5125" t="s">
        <v>153</v>
      </c>
      <c r="AH82" s="9887"/>
    </row>
    <row r="83" spans="1:34" ht="22.5" customHeight="1">
      <c r="A83" s="9392"/>
      <c r="B83" s="9849"/>
      <c r="C83" s="9283"/>
      <c r="D83" s="8834"/>
      <c r="E83" s="8834"/>
      <c r="F83" s="8834"/>
      <c r="G83" s="8974"/>
      <c r="H83" s="8834"/>
      <c r="I83" s="8834"/>
      <c r="J83" s="9739"/>
      <c r="K83" s="9167"/>
      <c r="L83" s="9167"/>
      <c r="M83" s="8856"/>
      <c r="N83" s="8856"/>
      <c r="O83" s="8856"/>
      <c r="P83" s="8834"/>
      <c r="Q83" s="8834"/>
      <c r="R83" s="9873"/>
      <c r="S83" s="5115"/>
      <c r="T83" s="6807"/>
      <c r="U83" s="6808"/>
      <c r="V83" s="5116"/>
      <c r="W83" s="6853"/>
      <c r="X83" s="5117"/>
      <c r="Y83" s="6541"/>
      <c r="Z83" s="6878"/>
      <c r="AA83" s="6878"/>
      <c r="AB83" s="6879"/>
      <c r="AC83" s="6900"/>
      <c r="AD83" s="5118"/>
      <c r="AE83" s="5119"/>
      <c r="AF83" s="5120"/>
      <c r="AG83" s="5127"/>
      <c r="AH83" s="9888"/>
    </row>
    <row r="84" spans="1:34" ht="22.5" customHeight="1">
      <c r="A84" s="9392"/>
      <c r="B84" s="9849"/>
      <c r="C84" s="9280" t="s">
        <v>183</v>
      </c>
      <c r="D84" s="8782" t="s">
        <v>184</v>
      </c>
      <c r="E84" s="8782" t="s">
        <v>185</v>
      </c>
      <c r="F84" s="8782" t="s">
        <v>1938</v>
      </c>
      <c r="G84" s="8977" t="s">
        <v>187</v>
      </c>
      <c r="H84" s="8782" t="s">
        <v>132</v>
      </c>
      <c r="I84" s="8782" t="s">
        <v>159</v>
      </c>
      <c r="J84" s="9838" t="s">
        <v>2009</v>
      </c>
      <c r="K84" s="9258" t="s">
        <v>2010</v>
      </c>
      <c r="L84" s="9258" t="s">
        <v>2011</v>
      </c>
      <c r="M84" s="8823">
        <v>1</v>
      </c>
      <c r="N84" s="8823">
        <v>0</v>
      </c>
      <c r="O84" s="8823">
        <v>0</v>
      </c>
      <c r="P84" s="8782" t="s">
        <v>2012</v>
      </c>
      <c r="Q84" s="8782" t="s">
        <v>2013</v>
      </c>
      <c r="R84" s="9839" t="s">
        <v>1936</v>
      </c>
      <c r="S84" s="564"/>
      <c r="T84" s="4849"/>
      <c r="U84" s="6783"/>
      <c r="V84" s="580"/>
      <c r="W84" s="6838"/>
      <c r="X84" s="53"/>
      <c r="Y84" s="4917"/>
      <c r="Z84" s="4917"/>
      <c r="AA84" s="4917"/>
      <c r="AB84" s="4918"/>
      <c r="AC84" s="4875"/>
      <c r="AD84" s="67"/>
      <c r="AE84" s="53"/>
      <c r="AF84" s="73"/>
      <c r="AG84" s="435"/>
      <c r="AH84" s="9875"/>
    </row>
    <row r="85" spans="1:34" ht="22.5" customHeight="1">
      <c r="A85" s="9392"/>
      <c r="B85" s="9849"/>
      <c r="C85" s="9841"/>
      <c r="D85" s="9311"/>
      <c r="E85" s="9311"/>
      <c r="F85" s="9311"/>
      <c r="G85" s="9311"/>
      <c r="H85" s="9311"/>
      <c r="I85" s="9311"/>
      <c r="J85" s="9433"/>
      <c r="K85" s="9311"/>
      <c r="L85" s="9311"/>
      <c r="M85" s="9313"/>
      <c r="N85" s="9313"/>
      <c r="O85" s="9313"/>
      <c r="P85" s="9311"/>
      <c r="Q85" s="9311"/>
      <c r="R85" s="9315"/>
      <c r="S85" s="563"/>
      <c r="T85" s="4849"/>
      <c r="U85" s="6782"/>
      <c r="V85" s="575"/>
      <c r="W85" s="6837"/>
      <c r="X85" s="48"/>
      <c r="Y85" s="4910"/>
      <c r="Z85" s="4910"/>
      <c r="AA85" s="4910"/>
      <c r="AB85" s="4911"/>
      <c r="AC85" s="4880"/>
      <c r="AD85" s="50"/>
      <c r="AE85" s="48"/>
      <c r="AF85" s="51"/>
      <c r="AG85" s="218"/>
      <c r="AH85" s="9857"/>
    </row>
    <row r="86" spans="1:34" ht="22.5" customHeight="1">
      <c r="A86" s="9392"/>
      <c r="B86" s="9849"/>
      <c r="C86" s="9841"/>
      <c r="D86" s="9311"/>
      <c r="E86" s="9311"/>
      <c r="F86" s="9311"/>
      <c r="G86" s="9311"/>
      <c r="H86" s="9311"/>
      <c r="I86" s="9311"/>
      <c r="J86" s="9433"/>
      <c r="K86" s="9311"/>
      <c r="L86" s="9311"/>
      <c r="M86" s="9313"/>
      <c r="N86" s="9313"/>
      <c r="O86" s="9313"/>
      <c r="P86" s="9311"/>
      <c r="Q86" s="9311"/>
      <c r="R86" s="9315"/>
      <c r="S86" s="567"/>
      <c r="T86" s="6780"/>
      <c r="U86" s="6781"/>
      <c r="V86" s="575"/>
      <c r="W86" s="6837"/>
      <c r="X86" s="48"/>
      <c r="Y86" s="4910"/>
      <c r="Z86" s="4910"/>
      <c r="AA86" s="4910"/>
      <c r="AB86" s="4911"/>
      <c r="AC86" s="4880"/>
      <c r="AD86" s="50"/>
      <c r="AE86" s="48"/>
      <c r="AF86" s="51"/>
      <c r="AG86" s="218"/>
      <c r="AH86" s="9857"/>
    </row>
    <row r="87" spans="1:34" ht="22.5" customHeight="1">
      <c r="A87" s="9392"/>
      <c r="B87" s="9849"/>
      <c r="C87" s="9841"/>
      <c r="D87" s="9311"/>
      <c r="E87" s="9311"/>
      <c r="F87" s="9311"/>
      <c r="G87" s="9311"/>
      <c r="H87" s="9311"/>
      <c r="I87" s="9311"/>
      <c r="J87" s="9433"/>
      <c r="K87" s="9311"/>
      <c r="L87" s="9311"/>
      <c r="M87" s="9313"/>
      <c r="N87" s="9313"/>
      <c r="O87" s="9313"/>
      <c r="P87" s="9311"/>
      <c r="Q87" s="9311"/>
      <c r="R87" s="9315"/>
      <c r="S87" s="567"/>
      <c r="T87" s="6780"/>
      <c r="U87" s="6781"/>
      <c r="V87" s="575"/>
      <c r="W87" s="6837"/>
      <c r="X87" s="48"/>
      <c r="Y87" s="4910"/>
      <c r="Z87" s="4910"/>
      <c r="AA87" s="4910"/>
      <c r="AB87" s="4911"/>
      <c r="AC87" s="4880"/>
      <c r="AD87" s="50"/>
      <c r="AE87" s="48"/>
      <c r="AF87" s="51"/>
      <c r="AG87" s="218"/>
      <c r="AH87" s="9857"/>
    </row>
    <row r="88" spans="1:34" ht="22.5" customHeight="1">
      <c r="A88" s="9392"/>
      <c r="B88" s="9849"/>
      <c r="C88" s="9842"/>
      <c r="D88" s="9312"/>
      <c r="E88" s="9312"/>
      <c r="F88" s="9312"/>
      <c r="G88" s="9312"/>
      <c r="H88" s="9312"/>
      <c r="I88" s="9312"/>
      <c r="J88" s="9434"/>
      <c r="K88" s="9312"/>
      <c r="L88" s="9312"/>
      <c r="M88" s="9314"/>
      <c r="N88" s="9314"/>
      <c r="O88" s="9314"/>
      <c r="P88" s="9312"/>
      <c r="Q88" s="9312"/>
      <c r="R88" s="9316"/>
      <c r="S88" s="565"/>
      <c r="T88" s="6809"/>
      <c r="U88" s="6800"/>
      <c r="V88" s="577"/>
      <c r="W88" s="6839"/>
      <c r="X88" s="64"/>
      <c r="Y88" s="4914"/>
      <c r="Z88" s="4914"/>
      <c r="AA88" s="4914"/>
      <c r="AB88" s="4916"/>
      <c r="AC88" s="4882"/>
      <c r="AD88" s="63"/>
      <c r="AE88" s="64"/>
      <c r="AF88" s="65"/>
      <c r="AG88" s="219"/>
      <c r="AH88" s="9858"/>
    </row>
    <row r="89" spans="1:34" ht="22.5" customHeight="1">
      <c r="A89" s="9392"/>
      <c r="B89" s="9661"/>
      <c r="C89" s="9223" t="s">
        <v>183</v>
      </c>
      <c r="D89" s="9217" t="s">
        <v>184</v>
      </c>
      <c r="E89" s="8782" t="s">
        <v>185</v>
      </c>
      <c r="F89" s="9217" t="s">
        <v>1938</v>
      </c>
      <c r="G89" s="8977" t="s">
        <v>187</v>
      </c>
      <c r="H89" s="9217" t="s">
        <v>132</v>
      </c>
      <c r="I89" s="8782" t="s">
        <v>159</v>
      </c>
      <c r="J89" s="9838" t="s">
        <v>2014</v>
      </c>
      <c r="K89" s="9258" t="s">
        <v>2015</v>
      </c>
      <c r="L89" s="9276" t="s">
        <v>2016</v>
      </c>
      <c r="M89" s="8823">
        <v>0</v>
      </c>
      <c r="N89" s="9610">
        <v>1</v>
      </c>
      <c r="O89" s="8823">
        <v>1</v>
      </c>
      <c r="P89" s="9217" t="s">
        <v>2017</v>
      </c>
      <c r="Q89" s="8782" t="s">
        <v>2018</v>
      </c>
      <c r="R89" s="9839" t="s">
        <v>1955</v>
      </c>
      <c r="S89" s="564"/>
      <c r="T89" s="4849"/>
      <c r="U89" s="6783"/>
      <c r="V89" s="579"/>
      <c r="W89" s="6840"/>
      <c r="X89" s="76"/>
      <c r="Y89" s="4922"/>
      <c r="Z89" s="4917"/>
      <c r="AA89" s="4917"/>
      <c r="AB89" s="4923"/>
      <c r="AC89" s="4883"/>
      <c r="AD89" s="78"/>
      <c r="AE89" s="76"/>
      <c r="AF89" s="79"/>
      <c r="AG89" s="436"/>
      <c r="AH89" s="9875"/>
    </row>
    <row r="90" spans="1:34" ht="22.5" customHeight="1">
      <c r="A90" s="9392"/>
      <c r="B90" s="9661"/>
      <c r="C90" s="9333"/>
      <c r="D90" s="9433"/>
      <c r="E90" s="9311"/>
      <c r="F90" s="9433"/>
      <c r="G90" s="9311"/>
      <c r="H90" s="9433"/>
      <c r="I90" s="9311"/>
      <c r="J90" s="9433"/>
      <c r="K90" s="9311"/>
      <c r="L90" s="9433"/>
      <c r="M90" s="9313"/>
      <c r="N90" s="9805"/>
      <c r="O90" s="9313"/>
      <c r="P90" s="9433"/>
      <c r="Q90" s="9311"/>
      <c r="R90" s="9315"/>
      <c r="S90" s="567"/>
      <c r="T90" s="6780"/>
      <c r="U90" s="6781"/>
      <c r="V90" s="575"/>
      <c r="W90" s="6837"/>
      <c r="X90" s="48"/>
      <c r="Y90" s="4910"/>
      <c r="Z90" s="4910"/>
      <c r="AA90" s="4910"/>
      <c r="AB90" s="4911"/>
      <c r="AC90" s="4880"/>
      <c r="AD90" s="50"/>
      <c r="AE90" s="48"/>
      <c r="AF90" s="51"/>
      <c r="AG90" s="218"/>
      <c r="AH90" s="9857"/>
    </row>
    <row r="91" spans="1:34" ht="22.5" customHeight="1">
      <c r="A91" s="9392"/>
      <c r="B91" s="9661"/>
      <c r="C91" s="9333"/>
      <c r="D91" s="9433"/>
      <c r="E91" s="9311"/>
      <c r="F91" s="9433"/>
      <c r="G91" s="9311"/>
      <c r="H91" s="9433"/>
      <c r="I91" s="9311"/>
      <c r="J91" s="9433"/>
      <c r="K91" s="9311"/>
      <c r="L91" s="9433"/>
      <c r="M91" s="9313"/>
      <c r="N91" s="9805"/>
      <c r="O91" s="9313"/>
      <c r="P91" s="9433"/>
      <c r="Q91" s="9311"/>
      <c r="R91" s="9315"/>
      <c r="S91" s="567"/>
      <c r="T91" s="6780"/>
      <c r="U91" s="6781"/>
      <c r="V91" s="575"/>
      <c r="W91" s="6837"/>
      <c r="X91" s="48"/>
      <c r="Y91" s="4910"/>
      <c r="Z91" s="4910"/>
      <c r="AA91" s="4910"/>
      <c r="AB91" s="4911"/>
      <c r="AC91" s="4880"/>
      <c r="AD91" s="50"/>
      <c r="AE91" s="48"/>
      <c r="AF91" s="51"/>
      <c r="AG91" s="218"/>
      <c r="AH91" s="9857"/>
    </row>
    <row r="92" spans="1:34" ht="22.5" customHeight="1">
      <c r="A92" s="9392"/>
      <c r="B92" s="9661"/>
      <c r="C92" s="9333"/>
      <c r="D92" s="9433"/>
      <c r="E92" s="9311"/>
      <c r="F92" s="9433"/>
      <c r="G92" s="9311"/>
      <c r="H92" s="9433"/>
      <c r="I92" s="9311"/>
      <c r="J92" s="9433"/>
      <c r="K92" s="9311"/>
      <c r="L92" s="9433"/>
      <c r="M92" s="9313"/>
      <c r="N92" s="9805"/>
      <c r="O92" s="9313"/>
      <c r="P92" s="9433"/>
      <c r="Q92" s="9311"/>
      <c r="R92" s="9315"/>
      <c r="S92" s="567"/>
      <c r="T92" s="6780"/>
      <c r="U92" s="6781"/>
      <c r="V92" s="575"/>
      <c r="W92" s="6837"/>
      <c r="X92" s="48"/>
      <c r="Y92" s="4910"/>
      <c r="Z92" s="4910"/>
      <c r="AA92" s="4910"/>
      <c r="AB92" s="4911"/>
      <c r="AC92" s="4880"/>
      <c r="AD92" s="50"/>
      <c r="AE92" s="48"/>
      <c r="AF92" s="51"/>
      <c r="AG92" s="218"/>
      <c r="AH92" s="9857"/>
    </row>
    <row r="93" spans="1:34" ht="22.5" customHeight="1">
      <c r="A93" s="9392"/>
      <c r="B93" s="9661"/>
      <c r="C93" s="9395"/>
      <c r="D93" s="9434"/>
      <c r="E93" s="9312"/>
      <c r="F93" s="9434"/>
      <c r="G93" s="9312"/>
      <c r="H93" s="9434"/>
      <c r="I93" s="9312"/>
      <c r="J93" s="9434"/>
      <c r="K93" s="9312"/>
      <c r="L93" s="9434"/>
      <c r="M93" s="9314"/>
      <c r="N93" s="9806"/>
      <c r="O93" s="9314"/>
      <c r="P93" s="9434"/>
      <c r="Q93" s="9312"/>
      <c r="R93" s="9316"/>
      <c r="S93" s="568"/>
      <c r="T93" s="6784"/>
      <c r="U93" s="6785"/>
      <c r="V93" s="577"/>
      <c r="W93" s="6839"/>
      <c r="X93" s="64"/>
      <c r="Y93" s="4914"/>
      <c r="Z93" s="4914"/>
      <c r="AA93" s="4914"/>
      <c r="AB93" s="4916"/>
      <c r="AC93" s="4882"/>
      <c r="AD93" s="63"/>
      <c r="AE93" s="64"/>
      <c r="AF93" s="65"/>
      <c r="AG93" s="219"/>
      <c r="AH93" s="9858"/>
    </row>
    <row r="94" spans="1:34" ht="22.5" customHeight="1">
      <c r="A94" s="9392"/>
      <c r="B94" s="9849"/>
      <c r="C94" s="8976" t="s">
        <v>183</v>
      </c>
      <c r="D94" s="8782" t="s">
        <v>184</v>
      </c>
      <c r="E94" s="8782" t="s">
        <v>185</v>
      </c>
      <c r="F94" s="8782" t="s">
        <v>1938</v>
      </c>
      <c r="G94" s="8977" t="s">
        <v>187</v>
      </c>
      <c r="H94" s="8782" t="s">
        <v>132</v>
      </c>
      <c r="I94" s="8782" t="s">
        <v>159</v>
      </c>
      <c r="J94" s="9838" t="s">
        <v>2019</v>
      </c>
      <c r="K94" s="9258" t="s">
        <v>2020</v>
      </c>
      <c r="L94" s="9258" t="s">
        <v>2021</v>
      </c>
      <c r="M94" s="8823">
        <v>0</v>
      </c>
      <c r="N94" s="8823">
        <v>1</v>
      </c>
      <c r="O94" s="8823">
        <v>0</v>
      </c>
      <c r="P94" s="8782" t="s">
        <v>2022</v>
      </c>
      <c r="Q94" s="8782" t="s">
        <v>2023</v>
      </c>
      <c r="R94" s="9839" t="s">
        <v>1955</v>
      </c>
      <c r="S94" s="564"/>
      <c r="T94" s="4849"/>
      <c r="U94" s="6783"/>
      <c r="V94" s="580"/>
      <c r="W94" s="6838"/>
      <c r="X94" s="53"/>
      <c r="Y94" s="4917"/>
      <c r="Z94" s="4917"/>
      <c r="AA94" s="4917"/>
      <c r="AB94" s="4918"/>
      <c r="AC94" s="4875"/>
      <c r="AD94" s="67"/>
      <c r="AE94" s="53"/>
      <c r="AF94" s="73"/>
      <c r="AG94" s="435"/>
      <c r="AH94" s="9875"/>
    </row>
    <row r="95" spans="1:34" ht="22.5" customHeight="1">
      <c r="A95" s="9392"/>
      <c r="B95" s="9849"/>
      <c r="C95" s="9402"/>
      <c r="D95" s="9311"/>
      <c r="E95" s="9311"/>
      <c r="F95" s="9311"/>
      <c r="G95" s="9311"/>
      <c r="H95" s="9311"/>
      <c r="I95" s="9311"/>
      <c r="J95" s="9433"/>
      <c r="K95" s="9311"/>
      <c r="L95" s="9311"/>
      <c r="M95" s="9313"/>
      <c r="N95" s="9313"/>
      <c r="O95" s="9313"/>
      <c r="P95" s="9311"/>
      <c r="Q95" s="9311"/>
      <c r="R95" s="9315"/>
      <c r="S95" s="563"/>
      <c r="T95" s="4849"/>
      <c r="U95" s="6782"/>
      <c r="V95" s="575"/>
      <c r="W95" s="6837"/>
      <c r="X95" s="48"/>
      <c r="Y95" s="4910"/>
      <c r="Z95" s="4910"/>
      <c r="AA95" s="4910"/>
      <c r="AB95" s="4911"/>
      <c r="AC95" s="4880"/>
      <c r="AD95" s="50"/>
      <c r="AE95" s="48"/>
      <c r="AF95" s="51"/>
      <c r="AG95" s="218"/>
      <c r="AH95" s="9857"/>
    </row>
    <row r="96" spans="1:34" ht="22.5" customHeight="1">
      <c r="A96" s="9392"/>
      <c r="B96" s="9849"/>
      <c r="C96" s="9402"/>
      <c r="D96" s="9311"/>
      <c r="E96" s="9311"/>
      <c r="F96" s="9311"/>
      <c r="G96" s="9311"/>
      <c r="H96" s="9311"/>
      <c r="I96" s="9311"/>
      <c r="J96" s="9433"/>
      <c r="K96" s="9311"/>
      <c r="L96" s="9311"/>
      <c r="M96" s="9313"/>
      <c r="N96" s="9313"/>
      <c r="O96" s="9313"/>
      <c r="P96" s="9311"/>
      <c r="Q96" s="9311"/>
      <c r="R96" s="9315"/>
      <c r="S96" s="567"/>
      <c r="T96" s="6780"/>
      <c r="U96" s="6781"/>
      <c r="V96" s="575"/>
      <c r="W96" s="6837"/>
      <c r="X96" s="48"/>
      <c r="Y96" s="4910"/>
      <c r="Z96" s="4910"/>
      <c r="AA96" s="4910"/>
      <c r="AB96" s="4911"/>
      <c r="AC96" s="4880"/>
      <c r="AD96" s="50"/>
      <c r="AE96" s="48"/>
      <c r="AF96" s="51"/>
      <c r="AG96" s="218"/>
      <c r="AH96" s="9857"/>
    </row>
    <row r="97" spans="1:34" ht="22.5" customHeight="1">
      <c r="A97" s="9392"/>
      <c r="B97" s="9849"/>
      <c r="C97" s="9402"/>
      <c r="D97" s="9311"/>
      <c r="E97" s="9311"/>
      <c r="F97" s="9311"/>
      <c r="G97" s="9311"/>
      <c r="H97" s="9311"/>
      <c r="I97" s="9311"/>
      <c r="J97" s="9433"/>
      <c r="K97" s="9311"/>
      <c r="L97" s="9311"/>
      <c r="M97" s="9313"/>
      <c r="N97" s="9313"/>
      <c r="O97" s="9313"/>
      <c r="P97" s="9311"/>
      <c r="Q97" s="9311"/>
      <c r="R97" s="9315"/>
      <c r="S97" s="567"/>
      <c r="T97" s="6780"/>
      <c r="U97" s="6781"/>
      <c r="V97" s="575"/>
      <c r="W97" s="6837"/>
      <c r="X97" s="48"/>
      <c r="Y97" s="4910"/>
      <c r="Z97" s="4910"/>
      <c r="AA97" s="4910"/>
      <c r="AB97" s="4911"/>
      <c r="AC97" s="4880"/>
      <c r="AD97" s="50"/>
      <c r="AE97" s="48"/>
      <c r="AF97" s="51"/>
      <c r="AG97" s="218"/>
      <c r="AH97" s="9857"/>
    </row>
    <row r="98" spans="1:34" ht="22.5" customHeight="1">
      <c r="A98" s="9392"/>
      <c r="B98" s="9849"/>
      <c r="C98" s="9403"/>
      <c r="D98" s="9312"/>
      <c r="E98" s="9312"/>
      <c r="F98" s="9312"/>
      <c r="G98" s="9312"/>
      <c r="H98" s="9312"/>
      <c r="I98" s="9312"/>
      <c r="J98" s="9434"/>
      <c r="K98" s="9312"/>
      <c r="L98" s="9312"/>
      <c r="M98" s="9314"/>
      <c r="N98" s="9314"/>
      <c r="O98" s="9314"/>
      <c r="P98" s="9312"/>
      <c r="Q98" s="9312"/>
      <c r="R98" s="9316"/>
      <c r="S98" s="565"/>
      <c r="T98" s="6809"/>
      <c r="U98" s="6800"/>
      <c r="V98" s="577"/>
      <c r="W98" s="6839"/>
      <c r="X98" s="64"/>
      <c r="Y98" s="4914"/>
      <c r="Z98" s="4914"/>
      <c r="AA98" s="4914"/>
      <c r="AB98" s="4916"/>
      <c r="AC98" s="4882"/>
      <c r="AD98" s="63"/>
      <c r="AE98" s="64"/>
      <c r="AF98" s="65"/>
      <c r="AG98" s="219"/>
      <c r="AH98" s="9858"/>
    </row>
    <row r="99" spans="1:34" ht="25.5" customHeight="1">
      <c r="A99" s="9392"/>
      <c r="B99" s="9849"/>
      <c r="C99" s="8976" t="s">
        <v>127</v>
      </c>
      <c r="D99" s="8782" t="s">
        <v>128</v>
      </c>
      <c r="E99" s="8782" t="s">
        <v>140</v>
      </c>
      <c r="F99" s="8782" t="s">
        <v>212</v>
      </c>
      <c r="G99" s="8977" t="s">
        <v>131</v>
      </c>
      <c r="H99" s="8782" t="s">
        <v>132</v>
      </c>
      <c r="I99" s="8782" t="s">
        <v>159</v>
      </c>
      <c r="J99" s="9276" t="s">
        <v>2024</v>
      </c>
      <c r="K99" s="9258" t="s">
        <v>286</v>
      </c>
      <c r="L99" s="9258" t="s">
        <v>2025</v>
      </c>
      <c r="M99" s="8823">
        <v>0</v>
      </c>
      <c r="N99" s="8823">
        <v>1</v>
      </c>
      <c r="O99" s="8823">
        <v>1</v>
      </c>
      <c r="P99" s="8782" t="s">
        <v>2026</v>
      </c>
      <c r="Q99" s="8782" t="s">
        <v>1577</v>
      </c>
      <c r="R99" s="9839" t="s">
        <v>1936</v>
      </c>
      <c r="S99" s="564"/>
      <c r="T99" s="4849"/>
      <c r="U99" s="6783"/>
      <c r="V99" s="580"/>
      <c r="W99" s="6838"/>
      <c r="X99" s="53"/>
      <c r="Y99" s="4917"/>
      <c r="Z99" s="4917"/>
      <c r="AA99" s="4917"/>
      <c r="AB99" s="4918"/>
      <c r="AC99" s="4875"/>
      <c r="AD99" s="67"/>
      <c r="AE99" s="53"/>
      <c r="AF99" s="73"/>
      <c r="AG99" s="435"/>
      <c r="AH99" s="9875"/>
    </row>
    <row r="100" spans="1:34" ht="25.5" customHeight="1">
      <c r="A100" s="9392"/>
      <c r="B100" s="9849"/>
      <c r="C100" s="9402"/>
      <c r="D100" s="9311"/>
      <c r="E100" s="9311"/>
      <c r="F100" s="9311"/>
      <c r="G100" s="9311"/>
      <c r="H100" s="9311"/>
      <c r="I100" s="9311"/>
      <c r="J100" s="9433"/>
      <c r="K100" s="9311"/>
      <c r="L100" s="9311"/>
      <c r="M100" s="9313"/>
      <c r="N100" s="9313"/>
      <c r="O100" s="9313"/>
      <c r="P100" s="9311"/>
      <c r="Q100" s="9311"/>
      <c r="R100" s="9315"/>
      <c r="S100" s="563"/>
      <c r="T100" s="4849"/>
      <c r="U100" s="6782"/>
      <c r="V100" s="575"/>
      <c r="W100" s="6837"/>
      <c r="X100" s="48"/>
      <c r="Y100" s="4910"/>
      <c r="Z100" s="4910"/>
      <c r="AA100" s="4910"/>
      <c r="AB100" s="4911"/>
      <c r="AC100" s="4880"/>
      <c r="AD100" s="50"/>
      <c r="AE100" s="48"/>
      <c r="AF100" s="51"/>
      <c r="AG100" s="218"/>
      <c r="AH100" s="9857"/>
    </row>
    <row r="101" spans="1:34" ht="25.5" customHeight="1">
      <c r="A101" s="9392"/>
      <c r="B101" s="9849"/>
      <c r="C101" s="9402"/>
      <c r="D101" s="9311"/>
      <c r="E101" s="9311"/>
      <c r="F101" s="9311"/>
      <c r="G101" s="9311"/>
      <c r="H101" s="9311"/>
      <c r="I101" s="9311"/>
      <c r="J101" s="9433"/>
      <c r="K101" s="9311"/>
      <c r="L101" s="9311"/>
      <c r="M101" s="9313"/>
      <c r="N101" s="9313"/>
      <c r="O101" s="9313"/>
      <c r="P101" s="9311"/>
      <c r="Q101" s="9311"/>
      <c r="R101" s="9315"/>
      <c r="S101" s="567"/>
      <c r="T101" s="6780"/>
      <c r="U101" s="6781"/>
      <c r="V101" s="575"/>
      <c r="W101" s="6837"/>
      <c r="X101" s="48"/>
      <c r="Y101" s="4910"/>
      <c r="Z101" s="4910"/>
      <c r="AA101" s="4910"/>
      <c r="AB101" s="4911"/>
      <c r="AC101" s="4880"/>
      <c r="AD101" s="50"/>
      <c r="AE101" s="48"/>
      <c r="AF101" s="51"/>
      <c r="AG101" s="218"/>
      <c r="AH101" s="9857"/>
    </row>
    <row r="102" spans="1:34" ht="25.5" customHeight="1">
      <c r="A102" s="9392"/>
      <c r="B102" s="9849"/>
      <c r="C102" s="9402"/>
      <c r="D102" s="9311"/>
      <c r="E102" s="9311"/>
      <c r="F102" s="9311"/>
      <c r="G102" s="9311"/>
      <c r="H102" s="9311"/>
      <c r="I102" s="9311"/>
      <c r="J102" s="9433"/>
      <c r="K102" s="9311"/>
      <c r="L102" s="9311"/>
      <c r="M102" s="9313"/>
      <c r="N102" s="9313"/>
      <c r="O102" s="9313"/>
      <c r="P102" s="9311"/>
      <c r="Q102" s="9311"/>
      <c r="R102" s="9315"/>
      <c r="S102" s="567"/>
      <c r="T102" s="6780"/>
      <c r="U102" s="6781"/>
      <c r="V102" s="575"/>
      <c r="W102" s="6837"/>
      <c r="X102" s="48"/>
      <c r="Y102" s="4910"/>
      <c r="Z102" s="4910"/>
      <c r="AA102" s="4910"/>
      <c r="AB102" s="4911"/>
      <c r="AC102" s="4880"/>
      <c r="AD102" s="50"/>
      <c r="AE102" s="48"/>
      <c r="AF102" s="51"/>
      <c r="AG102" s="218"/>
      <c r="AH102" s="9857"/>
    </row>
    <row r="103" spans="1:34" ht="25.5" customHeight="1">
      <c r="A103" s="9392"/>
      <c r="B103" s="9849"/>
      <c r="C103" s="9403"/>
      <c r="D103" s="9312"/>
      <c r="E103" s="9312"/>
      <c r="F103" s="9312"/>
      <c r="G103" s="9312"/>
      <c r="H103" s="9312"/>
      <c r="I103" s="9312"/>
      <c r="J103" s="9434"/>
      <c r="K103" s="9312"/>
      <c r="L103" s="9312"/>
      <c r="M103" s="9314"/>
      <c r="N103" s="9314"/>
      <c r="O103" s="9314"/>
      <c r="P103" s="9312"/>
      <c r="Q103" s="9312"/>
      <c r="R103" s="9316"/>
      <c r="S103" s="2133"/>
      <c r="T103" s="6810"/>
      <c r="U103" s="6811"/>
      <c r="V103" s="2134"/>
      <c r="W103" s="6854"/>
      <c r="X103" s="2128"/>
      <c r="Y103" s="6880"/>
      <c r="Z103" s="6880"/>
      <c r="AA103" s="6880"/>
      <c r="AB103" s="6881"/>
      <c r="AC103" s="6901"/>
      <c r="AD103" s="2127"/>
      <c r="AE103" s="2128"/>
      <c r="AF103" s="2129"/>
      <c r="AG103" s="221"/>
      <c r="AH103" s="9858"/>
    </row>
    <row r="104" spans="1:34" ht="33.75" customHeight="1">
      <c r="A104" s="9392"/>
      <c r="B104" s="9849"/>
      <c r="C104" s="8976" t="s">
        <v>127</v>
      </c>
      <c r="D104" s="8782" t="s">
        <v>128</v>
      </c>
      <c r="E104" s="8782" t="s">
        <v>129</v>
      </c>
      <c r="F104" s="8782" t="s">
        <v>268</v>
      </c>
      <c r="G104" s="8977" t="s">
        <v>131</v>
      </c>
      <c r="H104" s="8782" t="s">
        <v>132</v>
      </c>
      <c r="I104" s="8782" t="s">
        <v>159</v>
      </c>
      <c r="J104" s="9276" t="s">
        <v>2027</v>
      </c>
      <c r="K104" s="9258" t="s">
        <v>338</v>
      </c>
      <c r="L104" s="9258" t="s">
        <v>1265</v>
      </c>
      <c r="M104" s="8823">
        <v>4</v>
      </c>
      <c r="N104" s="8823">
        <v>4</v>
      </c>
      <c r="O104" s="8823">
        <v>4</v>
      </c>
      <c r="P104" s="8782" t="s">
        <v>2028</v>
      </c>
      <c r="Q104" s="8782" t="s">
        <v>1805</v>
      </c>
      <c r="R104" s="9839" t="s">
        <v>2029</v>
      </c>
      <c r="S104" s="621"/>
      <c r="T104" s="6258"/>
      <c r="U104" s="6812"/>
      <c r="V104" s="2103"/>
      <c r="W104" s="6182"/>
      <c r="X104" s="2104"/>
      <c r="Y104" s="6882"/>
      <c r="Z104" s="6882"/>
      <c r="AA104" s="6882"/>
      <c r="AB104" s="6883"/>
      <c r="AC104" s="6902"/>
      <c r="AD104" s="2131"/>
      <c r="AE104" s="2104"/>
      <c r="AF104" s="2132"/>
      <c r="AG104" s="436"/>
      <c r="AH104" s="9875"/>
    </row>
    <row r="105" spans="1:34" ht="18.75" customHeight="1">
      <c r="A105" s="9392"/>
      <c r="B105" s="9849"/>
      <c r="C105" s="9402"/>
      <c r="D105" s="9311"/>
      <c r="E105" s="9311"/>
      <c r="F105" s="9311"/>
      <c r="G105" s="9311"/>
      <c r="H105" s="9311"/>
      <c r="I105" s="9311"/>
      <c r="J105" s="9433"/>
      <c r="K105" s="9311"/>
      <c r="L105" s="9311"/>
      <c r="M105" s="9313"/>
      <c r="N105" s="9313"/>
      <c r="O105" s="9313"/>
      <c r="P105" s="9311"/>
      <c r="Q105" s="9311"/>
      <c r="R105" s="9315"/>
      <c r="S105" s="2135"/>
      <c r="T105" s="6813"/>
      <c r="U105" s="6814"/>
      <c r="V105" s="2136"/>
      <c r="W105" s="6855"/>
      <c r="X105" s="2137"/>
      <c r="Y105" s="6884"/>
      <c r="Z105" s="6884"/>
      <c r="AA105" s="6884"/>
      <c r="AB105" s="6885"/>
      <c r="AC105" s="6903"/>
      <c r="AD105" s="2138"/>
      <c r="AE105" s="2137"/>
      <c r="AF105" s="2139"/>
      <c r="AG105" s="5128"/>
      <c r="AH105" s="9857"/>
    </row>
    <row r="106" spans="1:34" ht="18.75" customHeight="1">
      <c r="A106" s="9392"/>
      <c r="B106" s="9849"/>
      <c r="C106" s="9402"/>
      <c r="D106" s="9311"/>
      <c r="E106" s="9311"/>
      <c r="F106" s="9311"/>
      <c r="G106" s="9311"/>
      <c r="H106" s="9311"/>
      <c r="I106" s="9311"/>
      <c r="J106" s="9433"/>
      <c r="K106" s="9311"/>
      <c r="L106" s="9311"/>
      <c r="M106" s="9313"/>
      <c r="N106" s="9313"/>
      <c r="O106" s="9313"/>
      <c r="P106" s="9311"/>
      <c r="Q106" s="9311"/>
      <c r="R106" s="9315"/>
      <c r="S106" s="621"/>
      <c r="T106" s="6815"/>
      <c r="U106" s="6816"/>
      <c r="V106" s="576"/>
      <c r="W106" s="6856"/>
      <c r="X106" s="132"/>
      <c r="Y106" s="4917"/>
      <c r="Z106" s="4917"/>
      <c r="AA106" s="4917"/>
      <c r="AB106" s="4918"/>
      <c r="AC106" s="4875"/>
      <c r="AD106" s="67"/>
      <c r="AE106" s="53"/>
      <c r="AF106" s="73"/>
      <c r="AG106" s="435"/>
      <c r="AH106" s="9857"/>
    </row>
    <row r="107" spans="1:34" ht="18.75" customHeight="1">
      <c r="A107" s="9392"/>
      <c r="B107" s="9849"/>
      <c r="C107" s="9402"/>
      <c r="D107" s="9311"/>
      <c r="E107" s="9311"/>
      <c r="F107" s="9311"/>
      <c r="G107" s="9311"/>
      <c r="H107" s="9311"/>
      <c r="I107" s="9311"/>
      <c r="J107" s="9433"/>
      <c r="K107" s="9311"/>
      <c r="L107" s="9311"/>
      <c r="M107" s="9313"/>
      <c r="N107" s="9313"/>
      <c r="O107" s="9313"/>
      <c r="P107" s="9311"/>
      <c r="Q107" s="9311"/>
      <c r="R107" s="9315"/>
      <c r="S107" s="748"/>
      <c r="T107" s="6780"/>
      <c r="U107" s="6781"/>
      <c r="V107" s="575"/>
      <c r="W107" s="6837"/>
      <c r="X107" s="48"/>
      <c r="Y107" s="4910"/>
      <c r="Z107" s="4910"/>
      <c r="AA107" s="4910"/>
      <c r="AB107" s="4911"/>
      <c r="AC107" s="4880"/>
      <c r="AD107" s="50"/>
      <c r="AE107" s="48"/>
      <c r="AF107" s="51"/>
      <c r="AG107" s="218"/>
      <c r="AH107" s="9857"/>
    </row>
    <row r="108" spans="1:34" ht="18.75" customHeight="1">
      <c r="A108" s="9392"/>
      <c r="B108" s="9849"/>
      <c r="C108" s="9402"/>
      <c r="D108" s="9312"/>
      <c r="E108" s="9312"/>
      <c r="F108" s="9312"/>
      <c r="G108" s="9312"/>
      <c r="H108" s="9312"/>
      <c r="I108" s="9312"/>
      <c r="J108" s="9434"/>
      <c r="K108" s="9312"/>
      <c r="L108" s="9312"/>
      <c r="M108" s="9314"/>
      <c r="N108" s="9314"/>
      <c r="O108" s="9314"/>
      <c r="P108" s="9312"/>
      <c r="Q108" s="9312"/>
      <c r="R108" s="9316"/>
      <c r="S108" s="1966"/>
      <c r="T108" s="6784"/>
      <c r="U108" s="6785"/>
      <c r="V108" s="577"/>
      <c r="W108" s="6839"/>
      <c r="X108" s="64"/>
      <c r="Y108" s="4914"/>
      <c r="Z108" s="4914"/>
      <c r="AA108" s="4914"/>
      <c r="AB108" s="4916"/>
      <c r="AC108" s="4882"/>
      <c r="AD108" s="63"/>
      <c r="AE108" s="64"/>
      <c r="AF108" s="65"/>
      <c r="AG108" s="219"/>
      <c r="AH108" s="9858"/>
    </row>
    <row r="109" spans="1:34" s="4835" customFormat="1" ht="22.5" customHeight="1" thickBot="1">
      <c r="A109" s="9392"/>
      <c r="B109" s="9850"/>
      <c r="C109" s="6044"/>
      <c r="D109" s="5082"/>
      <c r="E109" s="5082"/>
      <c r="F109" s="5082"/>
      <c r="G109" s="5082"/>
      <c r="H109" s="5082"/>
      <c r="I109" s="5082"/>
      <c r="J109" s="5082"/>
      <c r="K109" s="5082"/>
      <c r="L109" s="5082"/>
      <c r="M109" s="5081"/>
      <c r="N109" s="5081"/>
      <c r="O109" s="5081"/>
      <c r="P109" s="5082"/>
      <c r="Q109" s="5082"/>
      <c r="R109" s="5082"/>
      <c r="S109" s="9197" t="s">
        <v>2030</v>
      </c>
      <c r="T109" s="9327"/>
      <c r="U109" s="9327"/>
      <c r="V109" s="9327"/>
      <c r="W109" s="9327"/>
      <c r="X109" s="9327"/>
      <c r="Y109" s="9327"/>
      <c r="Z109" s="9327"/>
      <c r="AA109" s="465" t="s">
        <v>292</v>
      </c>
      <c r="AB109" s="5018">
        <f>SUM(AB9:AB108)</f>
        <v>56111.400000000009</v>
      </c>
      <c r="AC109" s="6075"/>
      <c r="AD109" s="6076"/>
      <c r="AE109" s="9876"/>
      <c r="AF109" s="8773"/>
      <c r="AG109" s="8773"/>
      <c r="AH109" s="8774"/>
    </row>
    <row r="110" spans="1:34" ht="23.25" customHeight="1">
      <c r="A110" s="9392"/>
      <c r="B110" s="9659" t="s">
        <v>2031</v>
      </c>
      <c r="C110" s="9125" t="s">
        <v>183</v>
      </c>
      <c r="D110" s="8834" t="s">
        <v>184</v>
      </c>
      <c r="E110" s="8782" t="s">
        <v>185</v>
      </c>
      <c r="F110" s="8834" t="s">
        <v>1938</v>
      </c>
      <c r="G110" s="8977" t="s">
        <v>187</v>
      </c>
      <c r="H110" s="8834" t="s">
        <v>132</v>
      </c>
      <c r="I110" s="8834" t="s">
        <v>159</v>
      </c>
      <c r="J110" s="9217" t="s">
        <v>2032</v>
      </c>
      <c r="K110" s="8782" t="s">
        <v>2033</v>
      </c>
      <c r="L110" s="8834" t="s">
        <v>2034</v>
      </c>
      <c r="M110" s="8856">
        <v>1</v>
      </c>
      <c r="N110" s="8856">
        <v>0</v>
      </c>
      <c r="O110" s="8856">
        <v>0</v>
      </c>
      <c r="P110" s="8834" t="s">
        <v>2035</v>
      </c>
      <c r="Q110" s="8834" t="s">
        <v>2036</v>
      </c>
      <c r="R110" s="8957" t="s">
        <v>2037</v>
      </c>
      <c r="S110" s="621"/>
      <c r="T110" s="6790"/>
      <c r="U110" s="6792"/>
      <c r="V110" s="1963"/>
      <c r="W110" s="6845"/>
      <c r="X110" s="453"/>
      <c r="Y110" s="4912"/>
      <c r="Z110" s="4910"/>
      <c r="AA110" s="4910"/>
      <c r="AB110" s="4911"/>
      <c r="AC110" s="4880"/>
      <c r="AD110" s="50"/>
      <c r="AE110" s="48"/>
      <c r="AF110" s="48"/>
      <c r="AG110" s="481"/>
      <c r="AH110" s="9889" t="s">
        <v>2038</v>
      </c>
    </row>
    <row r="111" spans="1:34" ht="23.25" customHeight="1">
      <c r="A111" s="9392"/>
      <c r="B111" s="9661"/>
      <c r="C111" s="9333"/>
      <c r="D111" s="9311"/>
      <c r="E111" s="9311"/>
      <c r="F111" s="9311"/>
      <c r="G111" s="9311"/>
      <c r="H111" s="9311"/>
      <c r="I111" s="9311"/>
      <c r="J111" s="9433"/>
      <c r="K111" s="9311"/>
      <c r="L111" s="9311"/>
      <c r="M111" s="9313"/>
      <c r="N111" s="9313"/>
      <c r="O111" s="9313"/>
      <c r="P111" s="9311"/>
      <c r="Q111" s="9311"/>
      <c r="R111" s="9315"/>
      <c r="S111" s="1969"/>
      <c r="T111" s="6790"/>
      <c r="U111" s="6792"/>
      <c r="V111" s="581"/>
      <c r="W111" s="6845"/>
      <c r="X111" s="453"/>
      <c r="Y111" s="4912"/>
      <c r="Z111" s="4912"/>
      <c r="AA111" s="4912"/>
      <c r="AB111" s="4913"/>
      <c r="AC111" s="4881"/>
      <c r="AD111" s="455"/>
      <c r="AE111" s="48"/>
      <c r="AF111" s="48"/>
      <c r="AG111" s="220"/>
      <c r="AH111" s="9879"/>
    </row>
    <row r="112" spans="1:34" ht="23.25" customHeight="1">
      <c r="A112" s="9392"/>
      <c r="B112" s="9661"/>
      <c r="C112" s="9333"/>
      <c r="D112" s="9311"/>
      <c r="E112" s="9311"/>
      <c r="F112" s="9311"/>
      <c r="G112" s="9311"/>
      <c r="H112" s="9311"/>
      <c r="I112" s="9311"/>
      <c r="J112" s="9433"/>
      <c r="K112" s="9311"/>
      <c r="L112" s="9311"/>
      <c r="M112" s="9313"/>
      <c r="N112" s="9313"/>
      <c r="O112" s="9313"/>
      <c r="P112" s="9311"/>
      <c r="Q112" s="9311"/>
      <c r="R112" s="9315"/>
      <c r="S112" s="621"/>
      <c r="T112" s="6790"/>
      <c r="U112" s="6792"/>
      <c r="V112" s="1963"/>
      <c r="W112" s="6845"/>
      <c r="X112" s="453"/>
      <c r="Y112" s="4912"/>
      <c r="Z112" s="4910"/>
      <c r="AA112" s="4910"/>
      <c r="AB112" s="4911"/>
      <c r="AC112" s="4880"/>
      <c r="AD112" s="50"/>
      <c r="AE112" s="48"/>
      <c r="AF112" s="48"/>
      <c r="AG112" s="218"/>
      <c r="AH112" s="9879"/>
    </row>
    <row r="113" spans="1:34" ht="23.25" customHeight="1">
      <c r="A113" s="9392"/>
      <c r="B113" s="9661"/>
      <c r="C113" s="9333"/>
      <c r="D113" s="9311"/>
      <c r="E113" s="9311"/>
      <c r="F113" s="9311"/>
      <c r="G113" s="9311"/>
      <c r="H113" s="9311"/>
      <c r="I113" s="9311"/>
      <c r="J113" s="9433"/>
      <c r="K113" s="9311"/>
      <c r="L113" s="9311"/>
      <c r="M113" s="9313"/>
      <c r="N113" s="9313"/>
      <c r="O113" s="9313"/>
      <c r="P113" s="9311"/>
      <c r="Q113" s="9311"/>
      <c r="R113" s="9315"/>
      <c r="S113" s="1969"/>
      <c r="T113" s="6790"/>
      <c r="U113" s="6792"/>
      <c r="V113" s="581"/>
      <c r="W113" s="6845"/>
      <c r="X113" s="453"/>
      <c r="Y113" s="4912"/>
      <c r="Z113" s="4912"/>
      <c r="AA113" s="4912"/>
      <c r="AB113" s="4913"/>
      <c r="AC113" s="4881"/>
      <c r="AD113" s="455"/>
      <c r="AE113" s="48"/>
      <c r="AF113" s="48"/>
      <c r="AG113" s="218"/>
      <c r="AH113" s="9879"/>
    </row>
    <row r="114" spans="1:34" ht="23.25" customHeight="1">
      <c r="A114" s="9392"/>
      <c r="B114" s="9661"/>
      <c r="C114" s="9395"/>
      <c r="D114" s="9312"/>
      <c r="E114" s="9312"/>
      <c r="F114" s="9312"/>
      <c r="G114" s="9312"/>
      <c r="H114" s="9312"/>
      <c r="I114" s="9312"/>
      <c r="J114" s="9434"/>
      <c r="K114" s="9312"/>
      <c r="L114" s="9312"/>
      <c r="M114" s="9314"/>
      <c r="N114" s="9314"/>
      <c r="O114" s="9314"/>
      <c r="P114" s="9312"/>
      <c r="Q114" s="9312"/>
      <c r="R114" s="9316"/>
      <c r="S114" s="1970"/>
      <c r="T114" s="6817"/>
      <c r="U114" s="6818"/>
      <c r="V114" s="1971"/>
      <c r="W114" s="6857"/>
      <c r="X114" s="592"/>
      <c r="Y114" s="6857"/>
      <c r="Z114" s="6857"/>
      <c r="AA114" s="6857"/>
      <c r="AB114" s="6857"/>
      <c r="AC114" s="6904"/>
      <c r="AD114" s="592"/>
      <c r="AE114" s="469"/>
      <c r="AF114" s="64"/>
      <c r="AG114" s="219"/>
      <c r="AH114" s="9880"/>
    </row>
    <row r="115" spans="1:34" ht="30.75" customHeight="1">
      <c r="A115" s="9392"/>
      <c r="B115" s="9661"/>
      <c r="C115" s="9280" t="s">
        <v>183</v>
      </c>
      <c r="D115" s="8782" t="s">
        <v>184</v>
      </c>
      <c r="E115" s="8782" t="s">
        <v>185</v>
      </c>
      <c r="F115" s="8782" t="s">
        <v>1938</v>
      </c>
      <c r="G115" s="8977" t="s">
        <v>187</v>
      </c>
      <c r="H115" s="8782" t="s">
        <v>247</v>
      </c>
      <c r="I115" s="8782" t="s">
        <v>159</v>
      </c>
      <c r="J115" s="8780" t="s">
        <v>2039</v>
      </c>
      <c r="K115" s="8782" t="s">
        <v>2040</v>
      </c>
      <c r="L115" s="8782" t="s">
        <v>2041</v>
      </c>
      <c r="M115" s="8823">
        <v>0</v>
      </c>
      <c r="N115" s="8823">
        <v>1</v>
      </c>
      <c r="O115" s="8823">
        <v>1</v>
      </c>
      <c r="P115" s="8834" t="s">
        <v>2042</v>
      </c>
      <c r="Q115" s="8834" t="s">
        <v>2043</v>
      </c>
      <c r="R115" s="8982" t="s">
        <v>2037</v>
      </c>
      <c r="S115" s="5121" t="s">
        <v>81</v>
      </c>
      <c r="T115" s="6448">
        <v>840107</v>
      </c>
      <c r="U115" s="6819"/>
      <c r="V115" s="3295" t="s">
        <v>40</v>
      </c>
      <c r="W115" s="6181"/>
      <c r="X115" s="2831"/>
      <c r="Y115" s="6886"/>
      <c r="Z115" s="6886"/>
      <c r="AA115" s="6886"/>
      <c r="AB115" s="6887">
        <f>SUM($AA$116)</f>
        <v>5817.7392</v>
      </c>
      <c r="AC115" s="4883" t="s">
        <v>18</v>
      </c>
      <c r="AD115" s="78"/>
      <c r="AE115" s="76"/>
      <c r="AF115" s="79"/>
      <c r="AG115" s="436"/>
      <c r="AH115" s="9890" t="s">
        <v>2044</v>
      </c>
    </row>
    <row r="116" spans="1:34" ht="30.75" customHeight="1">
      <c r="A116" s="9392"/>
      <c r="B116" s="9661"/>
      <c r="C116" s="9841"/>
      <c r="D116" s="9311"/>
      <c r="E116" s="9311"/>
      <c r="F116" s="9311"/>
      <c r="G116" s="9311"/>
      <c r="H116" s="9311"/>
      <c r="I116" s="9311"/>
      <c r="J116" s="9433"/>
      <c r="K116" s="9311"/>
      <c r="L116" s="9311"/>
      <c r="M116" s="9313"/>
      <c r="N116" s="9313"/>
      <c r="O116" s="9313"/>
      <c r="P116" s="9311"/>
      <c r="Q116" s="9311"/>
      <c r="R116" s="9315"/>
      <c r="S116" s="5107"/>
      <c r="T116" s="6803"/>
      <c r="U116" s="6820" t="s">
        <v>2045</v>
      </c>
      <c r="V116" s="1972" t="s">
        <v>2046</v>
      </c>
      <c r="W116" s="6858">
        <v>3</v>
      </c>
      <c r="X116" s="48" t="s">
        <v>180</v>
      </c>
      <c r="Y116" s="4910">
        <v>1731.47</v>
      </c>
      <c r="Z116" s="4910">
        <f>+Y116*W116</f>
        <v>5194.41</v>
      </c>
      <c r="AA116" s="4910">
        <f>+Z116*1.12</f>
        <v>5817.7392</v>
      </c>
      <c r="AB116" s="4911"/>
      <c r="AC116" s="6905"/>
      <c r="AD116" s="482"/>
      <c r="AE116" s="48"/>
      <c r="AF116" s="73" t="s">
        <v>153</v>
      </c>
      <c r="AG116" s="435"/>
      <c r="AH116" s="9879"/>
    </row>
    <row r="117" spans="1:34" ht="30.75" customHeight="1">
      <c r="A117" s="9392"/>
      <c r="B117" s="9661"/>
      <c r="C117" s="9841"/>
      <c r="D117" s="9311"/>
      <c r="E117" s="9311"/>
      <c r="F117" s="9311"/>
      <c r="G117" s="9311"/>
      <c r="H117" s="9311"/>
      <c r="I117" s="9311"/>
      <c r="J117" s="9433"/>
      <c r="K117" s="9311"/>
      <c r="L117" s="9311"/>
      <c r="M117" s="9313"/>
      <c r="N117" s="9313"/>
      <c r="O117" s="9313"/>
      <c r="P117" s="9311"/>
      <c r="Q117" s="9311"/>
      <c r="R117" s="9315"/>
      <c r="S117" s="5122" t="s">
        <v>81</v>
      </c>
      <c r="T117" s="6803">
        <v>840104</v>
      </c>
      <c r="U117" s="6820"/>
      <c r="V117" s="3307" t="s">
        <v>39</v>
      </c>
      <c r="W117" s="6858"/>
      <c r="X117" s="53"/>
      <c r="Y117" s="8139"/>
      <c r="Z117" s="8139"/>
      <c r="AA117" s="8139"/>
      <c r="AB117" s="8140">
        <f>+SUM(AA118:AA120)</f>
        <v>4393</v>
      </c>
      <c r="AC117" s="6905" t="s">
        <v>18</v>
      </c>
      <c r="AD117" s="482"/>
      <c r="AE117" s="48"/>
      <c r="AF117" s="73"/>
      <c r="AG117" s="435"/>
      <c r="AH117" s="9879"/>
    </row>
    <row r="118" spans="1:34" ht="30.75" customHeight="1">
      <c r="A118" s="9392"/>
      <c r="B118" s="9661"/>
      <c r="C118" s="9841"/>
      <c r="D118" s="9311"/>
      <c r="E118" s="9311"/>
      <c r="F118" s="9311"/>
      <c r="G118" s="9311"/>
      <c r="H118" s="9311"/>
      <c r="I118" s="9311"/>
      <c r="J118" s="9433"/>
      <c r="K118" s="9311"/>
      <c r="L118" s="9311"/>
      <c r="M118" s="9313"/>
      <c r="N118" s="9313"/>
      <c r="O118" s="9313"/>
      <c r="P118" s="9311"/>
      <c r="Q118" s="9311"/>
      <c r="R118" s="9315"/>
      <c r="S118" s="5107"/>
      <c r="T118" s="6803"/>
      <c r="U118" s="6820"/>
      <c r="V118" s="8141" t="s">
        <v>2047</v>
      </c>
      <c r="W118" s="6858">
        <v>1</v>
      </c>
      <c r="X118" s="53" t="s">
        <v>479</v>
      </c>
      <c r="Y118" s="8139">
        <v>4393</v>
      </c>
      <c r="Z118" s="7981">
        <f>+Y118*W118</f>
        <v>4393</v>
      </c>
      <c r="AA118" s="7981">
        <f>Z118</f>
        <v>4393</v>
      </c>
      <c r="AB118" s="8140"/>
      <c r="AC118" s="6905"/>
      <c r="AD118" s="482"/>
      <c r="AE118" s="48"/>
      <c r="AF118" s="73" t="s">
        <v>153</v>
      </c>
      <c r="AG118" s="435"/>
      <c r="AH118" s="9879"/>
    </row>
    <row r="119" spans="1:34" ht="30.75" customHeight="1">
      <c r="A119" s="9392"/>
      <c r="B119" s="9661"/>
      <c r="C119" s="9841"/>
      <c r="D119" s="9311"/>
      <c r="E119" s="9311"/>
      <c r="F119" s="9311"/>
      <c r="G119" s="9311"/>
      <c r="H119" s="9311"/>
      <c r="I119" s="9311"/>
      <c r="J119" s="9433"/>
      <c r="K119" s="9311"/>
      <c r="L119" s="9311"/>
      <c r="M119" s="9313"/>
      <c r="N119" s="9313"/>
      <c r="O119" s="9313"/>
      <c r="P119" s="9311"/>
      <c r="Q119" s="9311"/>
      <c r="R119" s="9315"/>
      <c r="S119" s="5107"/>
      <c r="T119" s="6803"/>
      <c r="U119" s="6820"/>
      <c r="V119" s="1972"/>
      <c r="W119" s="6858"/>
      <c r="X119" s="53"/>
      <c r="Y119" s="4917"/>
      <c r="Z119" s="4910"/>
      <c r="AA119" s="4910"/>
      <c r="AB119" s="4918"/>
      <c r="AC119" s="6905"/>
      <c r="AD119" s="482"/>
      <c r="AE119" s="48"/>
      <c r="AF119" s="73" t="s">
        <v>153</v>
      </c>
      <c r="AG119" s="435"/>
      <c r="AH119" s="9879"/>
    </row>
    <row r="120" spans="1:34" ht="30.75" customHeight="1">
      <c r="A120" s="9392"/>
      <c r="B120" s="9661"/>
      <c r="C120" s="9841"/>
      <c r="D120" s="9311"/>
      <c r="E120" s="9311"/>
      <c r="F120" s="9311"/>
      <c r="G120" s="9311"/>
      <c r="H120" s="9311"/>
      <c r="I120" s="9311"/>
      <c r="J120" s="9433"/>
      <c r="K120" s="9311"/>
      <c r="L120" s="9311"/>
      <c r="M120" s="9313"/>
      <c r="N120" s="9313"/>
      <c r="O120" s="9313"/>
      <c r="P120" s="9311"/>
      <c r="Q120" s="9311"/>
      <c r="R120" s="9315"/>
      <c r="S120" s="5107"/>
      <c r="T120" s="6803"/>
      <c r="U120" s="6820"/>
      <c r="V120" s="1972"/>
      <c r="W120" s="6858"/>
      <c r="X120" s="53"/>
      <c r="Y120" s="4917"/>
      <c r="Z120" s="4910"/>
      <c r="AA120" s="4910"/>
      <c r="AB120" s="4918"/>
      <c r="AC120" s="6905"/>
      <c r="AD120" s="482"/>
      <c r="AE120" s="48"/>
      <c r="AF120" s="73" t="s">
        <v>153</v>
      </c>
      <c r="AG120" s="435"/>
      <c r="AH120" s="9879"/>
    </row>
    <row r="121" spans="1:34" ht="30.75" customHeight="1">
      <c r="A121" s="9392"/>
      <c r="B121" s="9661"/>
      <c r="C121" s="9841"/>
      <c r="D121" s="9311"/>
      <c r="E121" s="9311"/>
      <c r="F121" s="9311"/>
      <c r="G121" s="9311"/>
      <c r="H121" s="9311"/>
      <c r="I121" s="9311"/>
      <c r="J121" s="9433"/>
      <c r="K121" s="9311"/>
      <c r="L121" s="9311"/>
      <c r="M121" s="9313"/>
      <c r="N121" s="9313"/>
      <c r="O121" s="9313"/>
      <c r="P121" s="9311"/>
      <c r="Q121" s="9311"/>
      <c r="R121" s="9315"/>
      <c r="S121" s="5123" t="s">
        <v>81</v>
      </c>
      <c r="T121" s="6803">
        <v>530812</v>
      </c>
      <c r="U121" s="6820"/>
      <c r="V121" s="3307" t="s">
        <v>1089</v>
      </c>
      <c r="W121" s="6858"/>
      <c r="X121" s="53"/>
      <c r="Y121" s="4917"/>
      <c r="Z121" s="4917"/>
      <c r="AA121" s="4917"/>
      <c r="AB121" s="4918">
        <f>SUM(AA122:AA126)</f>
        <v>3382.4</v>
      </c>
      <c r="AC121" s="6905" t="s">
        <v>26</v>
      </c>
      <c r="AD121" s="482"/>
      <c r="AE121" s="48"/>
      <c r="AF121" s="73"/>
      <c r="AG121" s="435"/>
      <c r="AH121" s="9879"/>
    </row>
    <row r="122" spans="1:34" ht="30.75" customHeight="1">
      <c r="A122" s="9392"/>
      <c r="B122" s="9661"/>
      <c r="C122" s="9841"/>
      <c r="D122" s="9311"/>
      <c r="E122" s="9311"/>
      <c r="F122" s="9311"/>
      <c r="G122" s="9311"/>
      <c r="H122" s="9311"/>
      <c r="I122" s="9311"/>
      <c r="J122" s="9433"/>
      <c r="K122" s="9311"/>
      <c r="L122" s="9311"/>
      <c r="M122" s="9313"/>
      <c r="N122" s="9313"/>
      <c r="O122" s="9313"/>
      <c r="P122" s="9311"/>
      <c r="Q122" s="9311"/>
      <c r="R122" s="9315"/>
      <c r="S122" s="5107"/>
      <c r="T122" s="6803"/>
      <c r="U122" s="6820"/>
      <c r="V122" s="1972" t="s">
        <v>2048</v>
      </c>
      <c r="W122" s="6858">
        <v>24</v>
      </c>
      <c r="X122" s="53" t="s">
        <v>180</v>
      </c>
      <c r="Y122" s="4917">
        <f>45/1.12</f>
        <v>40.178571428571423</v>
      </c>
      <c r="Z122" s="4917">
        <f>+W122*Y122</f>
        <v>964.28571428571422</v>
      </c>
      <c r="AA122" s="4917">
        <f>+Z122*1.12</f>
        <v>1080</v>
      </c>
      <c r="AB122" s="4918"/>
      <c r="AC122" s="6905"/>
      <c r="AD122" s="482"/>
      <c r="AE122" s="48"/>
      <c r="AF122" s="73"/>
      <c r="AG122" s="435" t="s">
        <v>153</v>
      </c>
      <c r="AH122" s="9879"/>
    </row>
    <row r="123" spans="1:34" ht="30.75" customHeight="1">
      <c r="A123" s="9392"/>
      <c r="B123" s="9661"/>
      <c r="C123" s="9841"/>
      <c r="D123" s="9311"/>
      <c r="E123" s="9311"/>
      <c r="F123" s="9311"/>
      <c r="G123" s="9311"/>
      <c r="H123" s="9311"/>
      <c r="I123" s="9311"/>
      <c r="J123" s="9433"/>
      <c r="K123" s="9311"/>
      <c r="L123" s="9311"/>
      <c r="M123" s="9313"/>
      <c r="N123" s="9313"/>
      <c r="O123" s="9313"/>
      <c r="P123" s="9311"/>
      <c r="Q123" s="9311"/>
      <c r="R123" s="9315"/>
      <c r="S123" s="5107"/>
      <c r="T123" s="6803"/>
      <c r="U123" s="6820"/>
      <c r="V123" s="1972" t="s">
        <v>2049</v>
      </c>
      <c r="W123" s="6858">
        <v>24</v>
      </c>
      <c r="X123" s="53" t="s">
        <v>180</v>
      </c>
      <c r="Y123" s="4917">
        <f>50/1.12</f>
        <v>44.642857142857139</v>
      </c>
      <c r="Z123" s="4917">
        <f t="shared" ref="Z123:Z126" si="17">+W123*Y123</f>
        <v>1071.4285714285713</v>
      </c>
      <c r="AA123" s="4917">
        <f t="shared" ref="AA123:AA126" si="18">+Z123*1.12</f>
        <v>1200</v>
      </c>
      <c r="AB123" s="4918"/>
      <c r="AC123" s="6905"/>
      <c r="AD123" s="482"/>
      <c r="AE123" s="48"/>
      <c r="AF123" s="73"/>
      <c r="AG123" s="435" t="s">
        <v>153</v>
      </c>
      <c r="AH123" s="9879"/>
    </row>
    <row r="124" spans="1:34" ht="30.75" customHeight="1">
      <c r="A124" s="9392"/>
      <c r="B124" s="9661"/>
      <c r="C124" s="9841"/>
      <c r="D124" s="9311"/>
      <c r="E124" s="9311"/>
      <c r="F124" s="9311"/>
      <c r="G124" s="9311"/>
      <c r="H124" s="9311"/>
      <c r="I124" s="9311"/>
      <c r="J124" s="9433"/>
      <c r="K124" s="9311"/>
      <c r="L124" s="9311"/>
      <c r="M124" s="9313"/>
      <c r="N124" s="9313"/>
      <c r="O124" s="9313"/>
      <c r="P124" s="9311"/>
      <c r="Q124" s="9311"/>
      <c r="R124" s="9315"/>
      <c r="S124" s="5107"/>
      <c r="T124" s="6803"/>
      <c r="U124" s="6820"/>
      <c r="V124" s="1972" t="s">
        <v>2050</v>
      </c>
      <c r="W124" s="6858">
        <v>1</v>
      </c>
      <c r="X124" s="53" t="s">
        <v>180</v>
      </c>
      <c r="Y124" s="4917">
        <f>16.4/1.12</f>
        <v>14.642857142857141</v>
      </c>
      <c r="Z124" s="4917">
        <f t="shared" si="17"/>
        <v>14.642857142857141</v>
      </c>
      <c r="AA124" s="4917">
        <f t="shared" si="18"/>
        <v>16.399999999999999</v>
      </c>
      <c r="AB124" s="4918"/>
      <c r="AC124" s="6905"/>
      <c r="AD124" s="482"/>
      <c r="AE124" s="48"/>
      <c r="AF124" s="73"/>
      <c r="AG124" s="435" t="s">
        <v>153</v>
      </c>
      <c r="AH124" s="9879"/>
    </row>
    <row r="125" spans="1:34" ht="30.75" customHeight="1">
      <c r="A125" s="9392"/>
      <c r="B125" s="9661"/>
      <c r="C125" s="9841"/>
      <c r="D125" s="9311"/>
      <c r="E125" s="9311"/>
      <c r="F125" s="9311"/>
      <c r="G125" s="9311"/>
      <c r="H125" s="9311"/>
      <c r="I125" s="9311"/>
      <c r="J125" s="9433"/>
      <c r="K125" s="9311"/>
      <c r="L125" s="9311"/>
      <c r="M125" s="9313"/>
      <c r="N125" s="9313"/>
      <c r="O125" s="9313"/>
      <c r="P125" s="9311"/>
      <c r="Q125" s="9311"/>
      <c r="R125" s="9315"/>
      <c r="S125" s="5107"/>
      <c r="T125" s="6803"/>
      <c r="U125" s="6820"/>
      <c r="V125" s="1972" t="s">
        <v>2051</v>
      </c>
      <c r="W125" s="6858">
        <v>12</v>
      </c>
      <c r="X125" s="53" t="s">
        <v>180</v>
      </c>
      <c r="Y125" s="4917">
        <f>5.5/1.12</f>
        <v>4.9107142857142856</v>
      </c>
      <c r="Z125" s="4917">
        <f t="shared" si="17"/>
        <v>58.928571428571431</v>
      </c>
      <c r="AA125" s="4917">
        <f t="shared" si="18"/>
        <v>66.000000000000014</v>
      </c>
      <c r="AB125" s="4918"/>
      <c r="AC125" s="6905"/>
      <c r="AD125" s="482"/>
      <c r="AE125" s="48"/>
      <c r="AF125" s="73"/>
      <c r="AG125" s="435" t="s">
        <v>153</v>
      </c>
      <c r="AH125" s="9879"/>
    </row>
    <row r="126" spans="1:34" ht="30.75" customHeight="1">
      <c r="A126" s="9392"/>
      <c r="B126" s="9661"/>
      <c r="C126" s="9841"/>
      <c r="D126" s="9311"/>
      <c r="E126" s="9311"/>
      <c r="F126" s="9311"/>
      <c r="G126" s="9311"/>
      <c r="H126" s="9311"/>
      <c r="I126" s="9311"/>
      <c r="J126" s="9433"/>
      <c r="K126" s="9311"/>
      <c r="L126" s="9311"/>
      <c r="M126" s="9313"/>
      <c r="N126" s="9313"/>
      <c r="O126" s="9313"/>
      <c r="P126" s="9311"/>
      <c r="Q126" s="9311"/>
      <c r="R126" s="9315"/>
      <c r="S126" s="5107"/>
      <c r="T126" s="6803"/>
      <c r="U126" s="6820"/>
      <c r="V126" s="1972" t="s">
        <v>2052</v>
      </c>
      <c r="W126" s="6858">
        <v>12</v>
      </c>
      <c r="X126" s="53" t="s">
        <v>180</v>
      </c>
      <c r="Y126" s="4917">
        <f>85/1.12</f>
        <v>75.892857142857139</v>
      </c>
      <c r="Z126" s="4917">
        <f t="shared" si="17"/>
        <v>910.71428571428567</v>
      </c>
      <c r="AA126" s="4917">
        <f t="shared" si="18"/>
        <v>1020</v>
      </c>
      <c r="AB126" s="4918"/>
      <c r="AC126" s="6905"/>
      <c r="AD126" s="482"/>
      <c r="AE126" s="48"/>
      <c r="AF126" s="73"/>
      <c r="AG126" s="435" t="s">
        <v>153</v>
      </c>
      <c r="AH126" s="9879"/>
    </row>
    <row r="127" spans="1:34" ht="58.5" customHeight="1">
      <c r="A127" s="9392"/>
      <c r="B127" s="9661"/>
      <c r="C127" s="9283" t="s">
        <v>183</v>
      </c>
      <c r="D127" s="8834" t="s">
        <v>184</v>
      </c>
      <c r="E127" s="8834" t="s">
        <v>185</v>
      </c>
      <c r="F127" s="8834" t="s">
        <v>1938</v>
      </c>
      <c r="G127" s="8974" t="s">
        <v>187</v>
      </c>
      <c r="H127" s="8834" t="s">
        <v>247</v>
      </c>
      <c r="I127" s="8834" t="s">
        <v>159</v>
      </c>
      <c r="J127" s="9870" t="s">
        <v>2053</v>
      </c>
      <c r="K127" s="8834" t="s">
        <v>2054</v>
      </c>
      <c r="L127" s="8834" t="s">
        <v>2055</v>
      </c>
      <c r="M127" s="8856">
        <v>0</v>
      </c>
      <c r="N127" s="8856">
        <v>0</v>
      </c>
      <c r="O127" s="8856">
        <v>1</v>
      </c>
      <c r="P127" s="8834" t="s">
        <v>2056</v>
      </c>
      <c r="Q127" s="8834" t="s">
        <v>2057</v>
      </c>
      <c r="R127" s="8982" t="s">
        <v>2058</v>
      </c>
      <c r="S127" s="5107"/>
      <c r="T127" s="6452"/>
      <c r="U127" s="6821"/>
      <c r="V127" s="580"/>
      <c r="W127" s="6838"/>
      <c r="X127" s="53"/>
      <c r="Y127" s="4917"/>
      <c r="Z127" s="4917"/>
      <c r="AA127" s="4917"/>
      <c r="AB127" s="4918"/>
      <c r="AC127" s="4875"/>
      <c r="AD127" s="67"/>
      <c r="AE127" s="53"/>
      <c r="AF127" s="73"/>
      <c r="AG127" s="435"/>
      <c r="AH127" s="9884"/>
    </row>
    <row r="128" spans="1:34" ht="58.5" customHeight="1">
      <c r="A128" s="9392"/>
      <c r="B128" s="9661"/>
      <c r="C128" s="9841"/>
      <c r="D128" s="9311"/>
      <c r="E128" s="9311"/>
      <c r="F128" s="9311"/>
      <c r="G128" s="9311"/>
      <c r="H128" s="9311"/>
      <c r="I128" s="9311"/>
      <c r="J128" s="9433"/>
      <c r="K128" s="9311"/>
      <c r="L128" s="9311"/>
      <c r="M128" s="9313"/>
      <c r="N128" s="9313"/>
      <c r="O128" s="9313"/>
      <c r="P128" s="9311"/>
      <c r="Q128" s="9311"/>
      <c r="R128" s="9871"/>
      <c r="S128" s="5115"/>
      <c r="T128" s="6822"/>
      <c r="U128" s="6823"/>
      <c r="V128" s="575"/>
      <c r="W128" s="6837"/>
      <c r="X128" s="48"/>
      <c r="Y128" s="4910"/>
      <c r="Z128" s="4910"/>
      <c r="AA128" s="4910"/>
      <c r="AB128" s="4911"/>
      <c r="AC128" s="4880"/>
      <c r="AD128" s="50"/>
      <c r="AE128" s="48"/>
      <c r="AF128" s="51"/>
      <c r="AG128" s="218"/>
      <c r="AH128" s="9857"/>
    </row>
    <row r="129" spans="1:34" ht="58.5" customHeight="1">
      <c r="A129" s="9392"/>
      <c r="B129" s="9661"/>
      <c r="C129" s="9841"/>
      <c r="D129" s="9311"/>
      <c r="E129" s="9311"/>
      <c r="F129" s="9311"/>
      <c r="G129" s="9311"/>
      <c r="H129" s="9311"/>
      <c r="I129" s="9311"/>
      <c r="J129" s="9433"/>
      <c r="K129" s="9311"/>
      <c r="L129" s="9311"/>
      <c r="M129" s="9313"/>
      <c r="N129" s="9313"/>
      <c r="O129" s="9313"/>
      <c r="P129" s="9311"/>
      <c r="Q129" s="9311"/>
      <c r="R129" s="9871"/>
      <c r="S129" s="567"/>
      <c r="T129" s="6780"/>
      <c r="U129" s="6781"/>
      <c r="V129" s="575"/>
      <c r="W129" s="6837"/>
      <c r="X129" s="48"/>
      <c r="Y129" s="4910"/>
      <c r="Z129" s="4910"/>
      <c r="AA129" s="4910"/>
      <c r="AB129" s="4911"/>
      <c r="AC129" s="4880"/>
      <c r="AD129" s="50"/>
      <c r="AE129" s="48"/>
      <c r="AF129" s="51"/>
      <c r="AG129" s="218"/>
      <c r="AH129" s="9857"/>
    </row>
    <row r="130" spans="1:34" ht="58.5" customHeight="1">
      <c r="A130" s="9392"/>
      <c r="B130" s="9661"/>
      <c r="C130" s="9841"/>
      <c r="D130" s="9311"/>
      <c r="E130" s="9311"/>
      <c r="F130" s="9311"/>
      <c r="G130" s="9311"/>
      <c r="H130" s="9311"/>
      <c r="I130" s="9311"/>
      <c r="J130" s="9433"/>
      <c r="K130" s="9311"/>
      <c r="L130" s="9311"/>
      <c r="M130" s="9313"/>
      <c r="N130" s="9313"/>
      <c r="O130" s="9313"/>
      <c r="P130" s="9311"/>
      <c r="Q130" s="9311"/>
      <c r="R130" s="9871"/>
      <c r="S130" s="567"/>
      <c r="T130" s="6780"/>
      <c r="U130" s="6781"/>
      <c r="V130" s="575"/>
      <c r="W130" s="6837"/>
      <c r="X130" s="48"/>
      <c r="Y130" s="4910"/>
      <c r="Z130" s="4910"/>
      <c r="AA130" s="4910"/>
      <c r="AB130" s="4911"/>
      <c r="AC130" s="4880"/>
      <c r="AD130" s="50"/>
      <c r="AE130" s="48"/>
      <c r="AF130" s="51"/>
      <c r="AG130" s="218"/>
      <c r="AH130" s="9857"/>
    </row>
    <row r="131" spans="1:34" ht="58.5" customHeight="1">
      <c r="A131" s="9392"/>
      <c r="B131" s="9661"/>
      <c r="C131" s="9842"/>
      <c r="D131" s="9312"/>
      <c r="E131" s="9312"/>
      <c r="F131" s="9312"/>
      <c r="G131" s="9312"/>
      <c r="H131" s="9312"/>
      <c r="I131" s="9312"/>
      <c r="J131" s="9434"/>
      <c r="K131" s="9312"/>
      <c r="L131" s="9312"/>
      <c r="M131" s="9314"/>
      <c r="N131" s="9314"/>
      <c r="O131" s="9314"/>
      <c r="P131" s="9312"/>
      <c r="Q131" s="9312"/>
      <c r="R131" s="9872"/>
      <c r="S131" s="568"/>
      <c r="T131" s="6784"/>
      <c r="U131" s="6800"/>
      <c r="V131" s="581"/>
      <c r="W131" s="6845"/>
      <c r="X131" s="453"/>
      <c r="Y131" s="4912"/>
      <c r="Z131" s="4914"/>
      <c r="AA131" s="4914"/>
      <c r="AB131" s="4913"/>
      <c r="AC131" s="4881"/>
      <c r="AD131" s="455"/>
      <c r="AE131" s="453"/>
      <c r="AF131" s="456"/>
      <c r="AG131" s="221"/>
      <c r="AH131" s="9858"/>
    </row>
    <row r="132" spans="1:34" ht="22.5" customHeight="1">
      <c r="A132" s="9392"/>
      <c r="B132" s="9661"/>
      <c r="C132" s="9280" t="s">
        <v>183</v>
      </c>
      <c r="D132" s="8782" t="s">
        <v>184</v>
      </c>
      <c r="E132" s="8782" t="s">
        <v>185</v>
      </c>
      <c r="F132" s="8782" t="s">
        <v>1938</v>
      </c>
      <c r="G132" s="8977" t="s">
        <v>187</v>
      </c>
      <c r="H132" s="8834" t="s">
        <v>247</v>
      </c>
      <c r="I132" s="8782" t="s">
        <v>159</v>
      </c>
      <c r="J132" s="8780" t="s">
        <v>2059</v>
      </c>
      <c r="K132" s="8782" t="s">
        <v>2060</v>
      </c>
      <c r="L132" s="8782" t="s">
        <v>2061</v>
      </c>
      <c r="M132" s="8823">
        <v>0</v>
      </c>
      <c r="N132" s="8823">
        <v>1</v>
      </c>
      <c r="O132" s="8823">
        <v>0</v>
      </c>
      <c r="P132" s="8782" t="s">
        <v>2062</v>
      </c>
      <c r="Q132" s="8782" t="s">
        <v>2063</v>
      </c>
      <c r="R132" s="8957" t="s">
        <v>2037</v>
      </c>
      <c r="S132" s="563"/>
      <c r="T132" s="4849"/>
      <c r="U132" s="6783"/>
      <c r="V132" s="579"/>
      <c r="W132" s="6840"/>
      <c r="X132" s="76"/>
      <c r="Y132" s="4922"/>
      <c r="Z132" s="4917"/>
      <c r="AA132" s="4917"/>
      <c r="AB132" s="4923"/>
      <c r="AC132" s="4883"/>
      <c r="AD132" s="78"/>
      <c r="AE132" s="76"/>
      <c r="AF132" s="79"/>
      <c r="AG132" s="436"/>
      <c r="AH132" s="9856"/>
    </row>
    <row r="133" spans="1:34" ht="22.5" customHeight="1">
      <c r="A133" s="9392"/>
      <c r="B133" s="9661"/>
      <c r="C133" s="9841"/>
      <c r="D133" s="9311"/>
      <c r="E133" s="9311"/>
      <c r="F133" s="9311"/>
      <c r="G133" s="9311"/>
      <c r="H133" s="9311"/>
      <c r="I133" s="9311"/>
      <c r="J133" s="9433"/>
      <c r="K133" s="9311"/>
      <c r="L133" s="9311"/>
      <c r="M133" s="9313"/>
      <c r="N133" s="9313"/>
      <c r="O133" s="9313"/>
      <c r="P133" s="9311"/>
      <c r="Q133" s="9311"/>
      <c r="R133" s="9315"/>
      <c r="S133" s="567"/>
      <c r="T133" s="6780"/>
      <c r="U133" s="6781"/>
      <c r="V133" s="575"/>
      <c r="W133" s="6837"/>
      <c r="X133" s="48"/>
      <c r="Y133" s="4910"/>
      <c r="Z133" s="4910"/>
      <c r="AA133" s="4910"/>
      <c r="AB133" s="4911"/>
      <c r="AC133" s="4880"/>
      <c r="AD133" s="50"/>
      <c r="AE133" s="48"/>
      <c r="AF133" s="51"/>
      <c r="AG133" s="218"/>
      <c r="AH133" s="9857"/>
    </row>
    <row r="134" spans="1:34" ht="22.5" customHeight="1">
      <c r="A134" s="9392"/>
      <c r="B134" s="9661"/>
      <c r="C134" s="9841"/>
      <c r="D134" s="9311"/>
      <c r="E134" s="9311"/>
      <c r="F134" s="9311"/>
      <c r="G134" s="9311"/>
      <c r="H134" s="9311"/>
      <c r="I134" s="9311"/>
      <c r="J134" s="9433"/>
      <c r="K134" s="9311"/>
      <c r="L134" s="9311"/>
      <c r="M134" s="9313"/>
      <c r="N134" s="9313"/>
      <c r="O134" s="9313"/>
      <c r="P134" s="9311"/>
      <c r="Q134" s="9311"/>
      <c r="R134" s="9315"/>
      <c r="S134" s="567"/>
      <c r="T134" s="6780"/>
      <c r="U134" s="6781"/>
      <c r="V134" s="575"/>
      <c r="W134" s="6837"/>
      <c r="X134" s="48"/>
      <c r="Y134" s="4910"/>
      <c r="Z134" s="4910"/>
      <c r="AA134" s="4910"/>
      <c r="AB134" s="4911"/>
      <c r="AC134" s="4880"/>
      <c r="AD134" s="50"/>
      <c r="AE134" s="48"/>
      <c r="AF134" s="51"/>
      <c r="AG134" s="218"/>
      <c r="AH134" s="9857"/>
    </row>
    <row r="135" spans="1:34" ht="22.5" customHeight="1">
      <c r="A135" s="9392"/>
      <c r="B135" s="9661"/>
      <c r="C135" s="9841"/>
      <c r="D135" s="9311"/>
      <c r="E135" s="9311"/>
      <c r="F135" s="9311"/>
      <c r="G135" s="9311"/>
      <c r="H135" s="9311"/>
      <c r="I135" s="9311"/>
      <c r="J135" s="9433"/>
      <c r="K135" s="9311"/>
      <c r="L135" s="9311"/>
      <c r="M135" s="9313"/>
      <c r="N135" s="9313"/>
      <c r="O135" s="9313"/>
      <c r="P135" s="9311"/>
      <c r="Q135" s="9311"/>
      <c r="R135" s="9315"/>
      <c r="S135" s="567"/>
      <c r="T135" s="6780"/>
      <c r="U135" s="6781"/>
      <c r="V135" s="575"/>
      <c r="W135" s="6837"/>
      <c r="X135" s="48"/>
      <c r="Y135" s="4910"/>
      <c r="Z135" s="4910"/>
      <c r="AA135" s="4910"/>
      <c r="AB135" s="4911"/>
      <c r="AC135" s="4880"/>
      <c r="AD135" s="50"/>
      <c r="AE135" s="48"/>
      <c r="AF135" s="51"/>
      <c r="AG135" s="218"/>
      <c r="AH135" s="9857"/>
    </row>
    <row r="136" spans="1:34" ht="22.5" customHeight="1">
      <c r="A136" s="9392"/>
      <c r="B136" s="9661"/>
      <c r="C136" s="9842"/>
      <c r="D136" s="9312"/>
      <c r="E136" s="9312"/>
      <c r="F136" s="9312"/>
      <c r="G136" s="9312"/>
      <c r="H136" s="9312"/>
      <c r="I136" s="9312"/>
      <c r="J136" s="9434"/>
      <c r="K136" s="9312"/>
      <c r="L136" s="9312"/>
      <c r="M136" s="9314"/>
      <c r="N136" s="9314"/>
      <c r="O136" s="9314"/>
      <c r="P136" s="9312"/>
      <c r="Q136" s="9312"/>
      <c r="R136" s="9316"/>
      <c r="S136" s="568"/>
      <c r="T136" s="6784"/>
      <c r="U136" s="6785"/>
      <c r="V136" s="577"/>
      <c r="W136" s="6839"/>
      <c r="X136" s="64"/>
      <c r="Y136" s="4914"/>
      <c r="Z136" s="4914"/>
      <c r="AA136" s="4914"/>
      <c r="AB136" s="4916"/>
      <c r="AC136" s="4882"/>
      <c r="AD136" s="63"/>
      <c r="AE136" s="64"/>
      <c r="AF136" s="65"/>
      <c r="AG136" s="219"/>
      <c r="AH136" s="9858"/>
    </row>
    <row r="137" spans="1:34" ht="30" customHeight="1">
      <c r="A137" s="9392"/>
      <c r="B137" s="9661"/>
      <c r="C137" s="9280" t="s">
        <v>183</v>
      </c>
      <c r="D137" s="8782" t="s">
        <v>184</v>
      </c>
      <c r="E137" s="8782" t="s">
        <v>185</v>
      </c>
      <c r="F137" s="8782" t="s">
        <v>1938</v>
      </c>
      <c r="G137" s="8977" t="s">
        <v>187</v>
      </c>
      <c r="H137" s="8834" t="s">
        <v>247</v>
      </c>
      <c r="I137" s="8834" t="s">
        <v>159</v>
      </c>
      <c r="J137" s="9864" t="s">
        <v>2064</v>
      </c>
      <c r="K137" s="8834" t="s">
        <v>2065</v>
      </c>
      <c r="L137" s="8834" t="s">
        <v>2066</v>
      </c>
      <c r="M137" s="9613">
        <v>1</v>
      </c>
      <c r="N137" s="9613">
        <v>0</v>
      </c>
      <c r="O137" s="8823">
        <v>0</v>
      </c>
      <c r="P137" s="8782" t="s">
        <v>2067</v>
      </c>
      <c r="Q137" s="8782" t="s">
        <v>2068</v>
      </c>
      <c r="R137" s="8957" t="s">
        <v>2037</v>
      </c>
      <c r="S137" s="564"/>
      <c r="T137" s="4849"/>
      <c r="U137" s="6783"/>
      <c r="V137" s="580"/>
      <c r="W137" s="6838"/>
      <c r="X137" s="53"/>
      <c r="Y137" s="4917"/>
      <c r="Z137" s="4917"/>
      <c r="AA137" s="4917"/>
      <c r="AB137" s="4918"/>
      <c r="AC137" s="4875"/>
      <c r="AD137" s="67"/>
      <c r="AE137" s="53"/>
      <c r="AF137" s="73"/>
      <c r="AG137" s="435"/>
      <c r="AH137" s="9856"/>
    </row>
    <row r="138" spans="1:34" ht="30" customHeight="1">
      <c r="A138" s="9392"/>
      <c r="B138" s="9661"/>
      <c r="C138" s="9841"/>
      <c r="D138" s="9311"/>
      <c r="E138" s="9311"/>
      <c r="F138" s="9311"/>
      <c r="G138" s="9311"/>
      <c r="H138" s="9311"/>
      <c r="I138" s="9311"/>
      <c r="J138" s="9694"/>
      <c r="K138" s="9311"/>
      <c r="L138" s="9311"/>
      <c r="M138" s="9865"/>
      <c r="N138" s="9865"/>
      <c r="O138" s="9313"/>
      <c r="P138" s="9311"/>
      <c r="Q138" s="9311"/>
      <c r="R138" s="9315"/>
      <c r="S138" s="563"/>
      <c r="T138" s="4849"/>
      <c r="U138" s="6782"/>
      <c r="V138" s="575"/>
      <c r="W138" s="6837"/>
      <c r="X138" s="48"/>
      <c r="Y138" s="4910"/>
      <c r="Z138" s="4910"/>
      <c r="AA138" s="4910"/>
      <c r="AB138" s="4911"/>
      <c r="AC138" s="4880"/>
      <c r="AD138" s="50"/>
      <c r="AE138" s="48"/>
      <c r="AF138" s="51"/>
      <c r="AG138" s="218"/>
      <c r="AH138" s="9857"/>
    </row>
    <row r="139" spans="1:34" ht="30" customHeight="1">
      <c r="A139" s="9392"/>
      <c r="B139" s="9661"/>
      <c r="C139" s="9841"/>
      <c r="D139" s="9311"/>
      <c r="E139" s="9311"/>
      <c r="F139" s="9311"/>
      <c r="G139" s="9311"/>
      <c r="H139" s="9311"/>
      <c r="I139" s="9311"/>
      <c r="J139" s="9694"/>
      <c r="K139" s="9311"/>
      <c r="L139" s="9311"/>
      <c r="M139" s="9865"/>
      <c r="N139" s="9865"/>
      <c r="O139" s="9313"/>
      <c r="P139" s="9311"/>
      <c r="Q139" s="9311"/>
      <c r="R139" s="9315"/>
      <c r="S139" s="567"/>
      <c r="T139" s="6780"/>
      <c r="U139" s="6781"/>
      <c r="V139" s="575"/>
      <c r="W139" s="6837"/>
      <c r="X139" s="48"/>
      <c r="Y139" s="4910"/>
      <c r="Z139" s="4910"/>
      <c r="AA139" s="4910"/>
      <c r="AB139" s="4911"/>
      <c r="AC139" s="4880"/>
      <c r="AD139" s="50"/>
      <c r="AE139" s="48"/>
      <c r="AF139" s="51"/>
      <c r="AG139" s="218"/>
      <c r="AH139" s="9857"/>
    </row>
    <row r="140" spans="1:34" ht="30" customHeight="1">
      <c r="A140" s="9392"/>
      <c r="B140" s="9661"/>
      <c r="C140" s="9841"/>
      <c r="D140" s="9311"/>
      <c r="E140" s="9311"/>
      <c r="F140" s="9311"/>
      <c r="G140" s="9311"/>
      <c r="H140" s="9311"/>
      <c r="I140" s="9311"/>
      <c r="J140" s="9694"/>
      <c r="K140" s="9311"/>
      <c r="L140" s="9311"/>
      <c r="M140" s="9865"/>
      <c r="N140" s="9865"/>
      <c r="O140" s="9313"/>
      <c r="P140" s="9311"/>
      <c r="Q140" s="9311"/>
      <c r="R140" s="9315"/>
      <c r="S140" s="567"/>
      <c r="T140" s="6780"/>
      <c r="U140" s="6781"/>
      <c r="V140" s="575"/>
      <c r="W140" s="6837"/>
      <c r="X140" s="48"/>
      <c r="Y140" s="4910"/>
      <c r="Z140" s="4910"/>
      <c r="AA140" s="4910"/>
      <c r="AB140" s="4911"/>
      <c r="AC140" s="4880"/>
      <c r="AD140" s="50"/>
      <c r="AE140" s="48"/>
      <c r="AF140" s="51"/>
      <c r="AG140" s="218"/>
      <c r="AH140" s="9857"/>
    </row>
    <row r="141" spans="1:34" ht="18" customHeight="1">
      <c r="A141" s="9392"/>
      <c r="B141" s="9661"/>
      <c r="C141" s="9842"/>
      <c r="D141" s="9312"/>
      <c r="E141" s="9312"/>
      <c r="F141" s="9312"/>
      <c r="G141" s="9312"/>
      <c r="H141" s="9312"/>
      <c r="I141" s="9312"/>
      <c r="J141" s="9443"/>
      <c r="K141" s="9312"/>
      <c r="L141" s="9312"/>
      <c r="M141" s="9866"/>
      <c r="N141" s="9866"/>
      <c r="O141" s="9314"/>
      <c r="P141" s="9312"/>
      <c r="Q141" s="9312"/>
      <c r="R141" s="9316"/>
      <c r="S141" s="568"/>
      <c r="T141" s="6784"/>
      <c r="U141" s="6800"/>
      <c r="V141" s="581"/>
      <c r="W141" s="6845"/>
      <c r="X141" s="453"/>
      <c r="Y141" s="4912"/>
      <c r="Z141" s="4914"/>
      <c r="AA141" s="4914"/>
      <c r="AB141" s="4913"/>
      <c r="AC141" s="4881"/>
      <c r="AD141" s="455"/>
      <c r="AE141" s="453"/>
      <c r="AF141" s="456"/>
      <c r="AG141" s="221"/>
      <c r="AH141" s="9858"/>
    </row>
    <row r="142" spans="1:34" ht="22.5" customHeight="1">
      <c r="A142" s="9392"/>
      <c r="B142" s="9661"/>
      <c r="C142" s="9845" t="s">
        <v>183</v>
      </c>
      <c r="D142" s="9217" t="s">
        <v>184</v>
      </c>
      <c r="E142" s="9217" t="s">
        <v>185</v>
      </c>
      <c r="F142" s="9217" t="s">
        <v>1938</v>
      </c>
      <c r="G142" s="9843" t="s">
        <v>187</v>
      </c>
      <c r="H142" s="9205" t="s">
        <v>247</v>
      </c>
      <c r="I142" s="9217" t="s">
        <v>159</v>
      </c>
      <c r="J142" s="8860" t="s">
        <v>2069</v>
      </c>
      <c r="K142" s="9261" t="s">
        <v>2070</v>
      </c>
      <c r="L142" s="8782" t="s">
        <v>2071</v>
      </c>
      <c r="M142" s="9867">
        <v>1</v>
      </c>
      <c r="N142" s="8823">
        <v>1</v>
      </c>
      <c r="O142" s="9867">
        <v>1</v>
      </c>
      <c r="P142" s="8782" t="s">
        <v>2072</v>
      </c>
      <c r="Q142" s="9261" t="s">
        <v>2073</v>
      </c>
      <c r="R142" s="8957" t="s">
        <v>2037</v>
      </c>
      <c r="S142" s="563"/>
      <c r="T142" s="4849"/>
      <c r="U142" s="6783"/>
      <c r="V142" s="579"/>
      <c r="W142" s="6840"/>
      <c r="X142" s="76"/>
      <c r="Y142" s="4922"/>
      <c r="Z142" s="4917"/>
      <c r="AA142" s="4917"/>
      <c r="AB142" s="4923"/>
      <c r="AC142" s="4883"/>
      <c r="AD142" s="78"/>
      <c r="AE142" s="76"/>
      <c r="AF142" s="79"/>
      <c r="AG142" s="436"/>
      <c r="AH142" s="9885" t="s">
        <v>2074</v>
      </c>
    </row>
    <row r="143" spans="1:34" ht="22.5" customHeight="1">
      <c r="A143" s="9392"/>
      <c r="B143" s="9661"/>
      <c r="C143" s="9846"/>
      <c r="D143" s="9433"/>
      <c r="E143" s="9433"/>
      <c r="F143" s="9433"/>
      <c r="G143" s="9433"/>
      <c r="H143" s="9433"/>
      <c r="I143" s="9433"/>
      <c r="J143" s="9311"/>
      <c r="K143" s="9442"/>
      <c r="L143" s="9311"/>
      <c r="M143" s="9868"/>
      <c r="N143" s="9313"/>
      <c r="O143" s="9868"/>
      <c r="P143" s="9311"/>
      <c r="Q143" s="9442"/>
      <c r="R143" s="9315"/>
      <c r="S143" s="567"/>
      <c r="T143" s="6780"/>
      <c r="U143" s="6781"/>
      <c r="V143" s="575"/>
      <c r="W143" s="6837"/>
      <c r="X143" s="48"/>
      <c r="Y143" s="4910"/>
      <c r="Z143" s="4910"/>
      <c r="AA143" s="4910"/>
      <c r="AB143" s="4911"/>
      <c r="AC143" s="4880"/>
      <c r="AD143" s="50"/>
      <c r="AE143" s="48"/>
      <c r="AF143" s="51"/>
      <c r="AG143" s="218"/>
      <c r="AH143" s="9879"/>
    </row>
    <row r="144" spans="1:34" ht="22.5" customHeight="1">
      <c r="A144" s="9392"/>
      <c r="B144" s="9661"/>
      <c r="C144" s="9846"/>
      <c r="D144" s="9433"/>
      <c r="E144" s="9433"/>
      <c r="F144" s="9433"/>
      <c r="G144" s="9433"/>
      <c r="H144" s="9433"/>
      <c r="I144" s="9433"/>
      <c r="J144" s="9311"/>
      <c r="K144" s="9442"/>
      <c r="L144" s="9311"/>
      <c r="M144" s="9868"/>
      <c r="N144" s="9313"/>
      <c r="O144" s="9868"/>
      <c r="P144" s="9311"/>
      <c r="Q144" s="9442"/>
      <c r="R144" s="9315"/>
      <c r="S144" s="567"/>
      <c r="T144" s="6780"/>
      <c r="U144" s="6781"/>
      <c r="V144" s="575"/>
      <c r="W144" s="6837"/>
      <c r="X144" s="48"/>
      <c r="Y144" s="4910"/>
      <c r="Z144" s="4910"/>
      <c r="AA144" s="4910"/>
      <c r="AB144" s="4911"/>
      <c r="AC144" s="4880"/>
      <c r="AD144" s="50"/>
      <c r="AE144" s="48"/>
      <c r="AF144" s="51"/>
      <c r="AG144" s="218"/>
      <c r="AH144" s="9879"/>
    </row>
    <row r="145" spans="1:34" ht="22.5" customHeight="1">
      <c r="A145" s="9392"/>
      <c r="B145" s="9661"/>
      <c r="C145" s="9846"/>
      <c r="D145" s="9433"/>
      <c r="E145" s="9433"/>
      <c r="F145" s="9433"/>
      <c r="G145" s="9433"/>
      <c r="H145" s="9433"/>
      <c r="I145" s="9433"/>
      <c r="J145" s="9311"/>
      <c r="K145" s="9442"/>
      <c r="L145" s="9311"/>
      <c r="M145" s="9868"/>
      <c r="N145" s="9313"/>
      <c r="O145" s="9868"/>
      <c r="P145" s="9311"/>
      <c r="Q145" s="9442"/>
      <c r="R145" s="9315"/>
      <c r="S145" s="567"/>
      <c r="T145" s="6780"/>
      <c r="U145" s="6781"/>
      <c r="V145" s="575"/>
      <c r="W145" s="6837"/>
      <c r="X145" s="48"/>
      <c r="Y145" s="4910"/>
      <c r="Z145" s="4910"/>
      <c r="AA145" s="4910"/>
      <c r="AB145" s="4911"/>
      <c r="AC145" s="4880"/>
      <c r="AD145" s="50"/>
      <c r="AE145" s="48"/>
      <c r="AF145" s="51"/>
      <c r="AG145" s="218"/>
      <c r="AH145" s="9879"/>
    </row>
    <row r="146" spans="1:34" ht="22.5" customHeight="1">
      <c r="A146" s="9392"/>
      <c r="B146" s="9661"/>
      <c r="C146" s="9847"/>
      <c r="D146" s="9434"/>
      <c r="E146" s="9434"/>
      <c r="F146" s="9434"/>
      <c r="G146" s="9434"/>
      <c r="H146" s="9434"/>
      <c r="I146" s="9434"/>
      <c r="J146" s="9312"/>
      <c r="K146" s="9443"/>
      <c r="L146" s="9312"/>
      <c r="M146" s="9869"/>
      <c r="N146" s="9314"/>
      <c r="O146" s="9869"/>
      <c r="P146" s="9312"/>
      <c r="Q146" s="9443"/>
      <c r="R146" s="9316"/>
      <c r="S146" s="568"/>
      <c r="T146" s="6784"/>
      <c r="U146" s="6785"/>
      <c r="V146" s="577"/>
      <c r="W146" s="6839"/>
      <c r="X146" s="64"/>
      <c r="Y146" s="4914"/>
      <c r="Z146" s="4914"/>
      <c r="AA146" s="4914"/>
      <c r="AB146" s="4916"/>
      <c r="AC146" s="4882"/>
      <c r="AD146" s="63"/>
      <c r="AE146" s="64"/>
      <c r="AF146" s="65"/>
      <c r="AG146" s="219"/>
      <c r="AH146" s="9880"/>
    </row>
    <row r="147" spans="1:34" ht="30" customHeight="1">
      <c r="A147" s="9392"/>
      <c r="B147" s="9661"/>
      <c r="C147" s="9280" t="s">
        <v>127</v>
      </c>
      <c r="D147" s="8782" t="s">
        <v>128</v>
      </c>
      <c r="E147" s="8782" t="s">
        <v>140</v>
      </c>
      <c r="F147" s="8782" t="s">
        <v>212</v>
      </c>
      <c r="G147" s="8977" t="s">
        <v>131</v>
      </c>
      <c r="H147" s="8782" t="s">
        <v>213</v>
      </c>
      <c r="I147" s="8782" t="s">
        <v>159</v>
      </c>
      <c r="J147" s="9863" t="s">
        <v>2075</v>
      </c>
      <c r="K147" s="8782" t="s">
        <v>286</v>
      </c>
      <c r="L147" s="8782" t="s">
        <v>2076</v>
      </c>
      <c r="M147" s="8823">
        <v>0</v>
      </c>
      <c r="N147" s="8823">
        <v>1</v>
      </c>
      <c r="O147" s="8823">
        <v>1</v>
      </c>
      <c r="P147" s="8782" t="s">
        <v>2077</v>
      </c>
      <c r="Q147" s="8782" t="s">
        <v>1577</v>
      </c>
      <c r="R147" s="8957" t="s">
        <v>2037</v>
      </c>
      <c r="S147" s="563"/>
      <c r="T147" s="4849"/>
      <c r="U147" s="6783"/>
      <c r="V147" s="579"/>
      <c r="W147" s="6840"/>
      <c r="X147" s="76"/>
      <c r="Y147" s="4922"/>
      <c r="Z147" s="4917"/>
      <c r="AA147" s="4917"/>
      <c r="AB147" s="4923"/>
      <c r="AC147" s="4883"/>
      <c r="AD147" s="78"/>
      <c r="AE147" s="76"/>
      <c r="AF147" s="79"/>
      <c r="AG147" s="436"/>
      <c r="AH147" s="9885"/>
    </row>
    <row r="148" spans="1:34" ht="30" customHeight="1">
      <c r="A148" s="9392"/>
      <c r="B148" s="9661"/>
      <c r="C148" s="9841"/>
      <c r="D148" s="9311"/>
      <c r="E148" s="9311"/>
      <c r="F148" s="9311"/>
      <c r="G148" s="9311"/>
      <c r="H148" s="9311"/>
      <c r="I148" s="9311"/>
      <c r="J148" s="9694"/>
      <c r="K148" s="9311"/>
      <c r="L148" s="9311"/>
      <c r="M148" s="9313"/>
      <c r="N148" s="9313"/>
      <c r="O148" s="9313"/>
      <c r="P148" s="9311"/>
      <c r="Q148" s="9311"/>
      <c r="R148" s="9315"/>
      <c r="S148" s="567"/>
      <c r="T148" s="6780"/>
      <c r="U148" s="6781"/>
      <c r="V148" s="575"/>
      <c r="W148" s="6837"/>
      <c r="X148" s="48"/>
      <c r="Y148" s="4910"/>
      <c r="Z148" s="4910"/>
      <c r="AA148" s="4910"/>
      <c r="AB148" s="4911"/>
      <c r="AC148" s="4880"/>
      <c r="AD148" s="50"/>
      <c r="AE148" s="48"/>
      <c r="AF148" s="51"/>
      <c r="AG148" s="218"/>
      <c r="AH148" s="9879"/>
    </row>
    <row r="149" spans="1:34" ht="30" customHeight="1">
      <c r="A149" s="9392"/>
      <c r="B149" s="9661"/>
      <c r="C149" s="9841"/>
      <c r="D149" s="9311"/>
      <c r="E149" s="9311"/>
      <c r="F149" s="9311"/>
      <c r="G149" s="9311"/>
      <c r="H149" s="9311"/>
      <c r="I149" s="9311"/>
      <c r="J149" s="9694"/>
      <c r="K149" s="9311"/>
      <c r="L149" s="9311"/>
      <c r="M149" s="9313"/>
      <c r="N149" s="9313"/>
      <c r="O149" s="9313"/>
      <c r="P149" s="9311"/>
      <c r="Q149" s="9311"/>
      <c r="R149" s="9315"/>
      <c r="S149" s="567"/>
      <c r="T149" s="6780"/>
      <c r="U149" s="6781"/>
      <c r="V149" s="575"/>
      <c r="W149" s="6837"/>
      <c r="X149" s="48"/>
      <c r="Y149" s="4910"/>
      <c r="Z149" s="4910"/>
      <c r="AA149" s="4910"/>
      <c r="AB149" s="4911"/>
      <c r="AC149" s="4880"/>
      <c r="AD149" s="50"/>
      <c r="AE149" s="48"/>
      <c r="AF149" s="51"/>
      <c r="AG149" s="218"/>
      <c r="AH149" s="9879"/>
    </row>
    <row r="150" spans="1:34" ht="30" customHeight="1">
      <c r="A150" s="9392"/>
      <c r="B150" s="9661"/>
      <c r="C150" s="9841"/>
      <c r="D150" s="9311"/>
      <c r="E150" s="9311"/>
      <c r="F150" s="9311"/>
      <c r="G150" s="9311"/>
      <c r="H150" s="9311"/>
      <c r="I150" s="9311"/>
      <c r="J150" s="9694"/>
      <c r="K150" s="9311"/>
      <c r="L150" s="9311"/>
      <c r="M150" s="9313"/>
      <c r="N150" s="9313"/>
      <c r="O150" s="9313"/>
      <c r="P150" s="9311"/>
      <c r="Q150" s="9311"/>
      <c r="R150" s="9315"/>
      <c r="S150" s="567"/>
      <c r="T150" s="6780"/>
      <c r="U150" s="6781"/>
      <c r="V150" s="575"/>
      <c r="W150" s="6837"/>
      <c r="X150" s="48"/>
      <c r="Y150" s="4910"/>
      <c r="Z150" s="4910"/>
      <c r="AA150" s="4910"/>
      <c r="AB150" s="4911"/>
      <c r="AC150" s="4880"/>
      <c r="AD150" s="50"/>
      <c r="AE150" s="48"/>
      <c r="AF150" s="51"/>
      <c r="AG150" s="218"/>
      <c r="AH150" s="9879"/>
    </row>
    <row r="151" spans="1:34" ht="30" customHeight="1">
      <c r="A151" s="9392"/>
      <c r="B151" s="9661"/>
      <c r="C151" s="9842"/>
      <c r="D151" s="9312"/>
      <c r="E151" s="9312"/>
      <c r="F151" s="9312"/>
      <c r="G151" s="9312"/>
      <c r="H151" s="9312"/>
      <c r="I151" s="9312"/>
      <c r="J151" s="9443"/>
      <c r="K151" s="9312"/>
      <c r="L151" s="9312"/>
      <c r="M151" s="9314"/>
      <c r="N151" s="9314"/>
      <c r="O151" s="9314"/>
      <c r="P151" s="9312"/>
      <c r="Q151" s="9312"/>
      <c r="R151" s="9316"/>
      <c r="S151" s="568"/>
      <c r="T151" s="6784"/>
      <c r="U151" s="6785"/>
      <c r="V151" s="577"/>
      <c r="W151" s="6839"/>
      <c r="X151" s="64"/>
      <c r="Y151" s="4914"/>
      <c r="Z151" s="4914"/>
      <c r="AA151" s="4914"/>
      <c r="AB151" s="4916"/>
      <c r="AC151" s="4882"/>
      <c r="AD151" s="63"/>
      <c r="AE151" s="64"/>
      <c r="AF151" s="65"/>
      <c r="AG151" s="219"/>
      <c r="AH151" s="9880"/>
    </row>
    <row r="152" spans="1:34" ht="28.5" customHeight="1">
      <c r="A152" s="9392"/>
      <c r="B152" s="9661"/>
      <c r="C152" s="9280" t="s">
        <v>183</v>
      </c>
      <c r="D152" s="8782" t="s">
        <v>128</v>
      </c>
      <c r="E152" s="8782" t="s">
        <v>129</v>
      </c>
      <c r="F152" s="8782" t="s">
        <v>268</v>
      </c>
      <c r="G152" s="8977" t="s">
        <v>131</v>
      </c>
      <c r="H152" s="8782" t="s">
        <v>213</v>
      </c>
      <c r="I152" s="8782" t="s">
        <v>214</v>
      </c>
      <c r="J152" s="8780" t="s">
        <v>2078</v>
      </c>
      <c r="K152" s="8782" t="s">
        <v>338</v>
      </c>
      <c r="L152" s="8782" t="s">
        <v>2079</v>
      </c>
      <c r="M152" s="8823">
        <v>1</v>
      </c>
      <c r="N152" s="8823">
        <v>1</v>
      </c>
      <c r="O152" s="8823">
        <v>1</v>
      </c>
      <c r="P152" s="8782" t="s">
        <v>2080</v>
      </c>
      <c r="Q152" s="8782" t="s">
        <v>2081</v>
      </c>
      <c r="R152" s="8957" t="s">
        <v>2037</v>
      </c>
      <c r="S152" s="564"/>
      <c r="T152" s="4849"/>
      <c r="U152" s="6783"/>
      <c r="V152" s="580"/>
      <c r="W152" s="6838"/>
      <c r="X152" s="53"/>
      <c r="Y152" s="4917"/>
      <c r="Z152" s="4917"/>
      <c r="AA152" s="4917"/>
      <c r="AB152" s="4918"/>
      <c r="AC152" s="4875"/>
      <c r="AD152" s="67"/>
      <c r="AE152" s="53"/>
      <c r="AF152" s="73"/>
      <c r="AG152" s="435"/>
      <c r="AH152" s="9885" t="s">
        <v>2082</v>
      </c>
    </row>
    <row r="153" spans="1:34" ht="28.5" customHeight="1">
      <c r="A153" s="9392"/>
      <c r="B153" s="9661"/>
      <c r="C153" s="9841"/>
      <c r="D153" s="9311"/>
      <c r="E153" s="9311"/>
      <c r="F153" s="9311"/>
      <c r="G153" s="9311"/>
      <c r="H153" s="9311"/>
      <c r="I153" s="9311"/>
      <c r="J153" s="9433"/>
      <c r="K153" s="9311"/>
      <c r="L153" s="9311"/>
      <c r="M153" s="9313"/>
      <c r="N153" s="9313"/>
      <c r="O153" s="9313"/>
      <c r="P153" s="9311"/>
      <c r="Q153" s="9311"/>
      <c r="R153" s="9315"/>
      <c r="S153" s="563"/>
      <c r="T153" s="4849"/>
      <c r="U153" s="6782"/>
      <c r="V153" s="575"/>
      <c r="W153" s="6837"/>
      <c r="X153" s="48"/>
      <c r="Y153" s="4910"/>
      <c r="Z153" s="4910"/>
      <c r="AA153" s="4910"/>
      <c r="AB153" s="4911"/>
      <c r="AC153" s="4880"/>
      <c r="AD153" s="50"/>
      <c r="AE153" s="48"/>
      <c r="AF153" s="51"/>
      <c r="AG153" s="218"/>
      <c r="AH153" s="9879"/>
    </row>
    <row r="154" spans="1:34" ht="28.5" customHeight="1">
      <c r="A154" s="9392"/>
      <c r="B154" s="9661"/>
      <c r="C154" s="9841"/>
      <c r="D154" s="9311"/>
      <c r="E154" s="9311"/>
      <c r="F154" s="9311"/>
      <c r="G154" s="9311"/>
      <c r="H154" s="9311"/>
      <c r="I154" s="9311"/>
      <c r="J154" s="9433"/>
      <c r="K154" s="9311"/>
      <c r="L154" s="9311"/>
      <c r="M154" s="9313"/>
      <c r="N154" s="9313"/>
      <c r="O154" s="9313"/>
      <c r="P154" s="9311"/>
      <c r="Q154" s="9311"/>
      <c r="R154" s="9315"/>
      <c r="S154" s="567"/>
      <c r="T154" s="6780"/>
      <c r="U154" s="6781"/>
      <c r="V154" s="575"/>
      <c r="W154" s="6837"/>
      <c r="X154" s="48"/>
      <c r="Y154" s="4910"/>
      <c r="Z154" s="4910"/>
      <c r="AA154" s="4910"/>
      <c r="AB154" s="4911"/>
      <c r="AC154" s="4880"/>
      <c r="AD154" s="50"/>
      <c r="AE154" s="48"/>
      <c r="AF154" s="51"/>
      <c r="AG154" s="218"/>
      <c r="AH154" s="9879"/>
    </row>
    <row r="155" spans="1:34" ht="28.5" customHeight="1">
      <c r="A155" s="9392"/>
      <c r="B155" s="9661"/>
      <c r="C155" s="9841"/>
      <c r="D155" s="9311"/>
      <c r="E155" s="9311"/>
      <c r="F155" s="9311"/>
      <c r="G155" s="9311"/>
      <c r="H155" s="9311"/>
      <c r="I155" s="9311"/>
      <c r="J155" s="9433"/>
      <c r="K155" s="9311"/>
      <c r="L155" s="9311"/>
      <c r="M155" s="9313"/>
      <c r="N155" s="9313"/>
      <c r="O155" s="9313"/>
      <c r="P155" s="9311"/>
      <c r="Q155" s="9311"/>
      <c r="R155" s="9315"/>
      <c r="S155" s="567"/>
      <c r="T155" s="6780"/>
      <c r="U155" s="6781"/>
      <c r="V155" s="575"/>
      <c r="W155" s="6837"/>
      <c r="X155" s="48"/>
      <c r="Y155" s="4910"/>
      <c r="Z155" s="4910"/>
      <c r="AA155" s="4910"/>
      <c r="AB155" s="4911"/>
      <c r="AC155" s="4880"/>
      <c r="AD155" s="50"/>
      <c r="AE155" s="48"/>
      <c r="AF155" s="51"/>
      <c r="AG155" s="218"/>
      <c r="AH155" s="9879"/>
    </row>
    <row r="156" spans="1:34" ht="28.5" customHeight="1">
      <c r="A156" s="9392"/>
      <c r="B156" s="9661"/>
      <c r="C156" s="9842"/>
      <c r="D156" s="9312"/>
      <c r="E156" s="9312"/>
      <c r="F156" s="9312"/>
      <c r="G156" s="9312"/>
      <c r="H156" s="9312"/>
      <c r="I156" s="9312"/>
      <c r="J156" s="9434"/>
      <c r="K156" s="9312"/>
      <c r="L156" s="9312"/>
      <c r="M156" s="9314"/>
      <c r="N156" s="9314"/>
      <c r="O156" s="9314"/>
      <c r="P156" s="9312"/>
      <c r="Q156" s="9312"/>
      <c r="R156" s="9316"/>
      <c r="S156" s="568"/>
      <c r="T156" s="6784"/>
      <c r="U156" s="6800"/>
      <c r="V156" s="577"/>
      <c r="W156" s="6839"/>
      <c r="X156" s="64"/>
      <c r="Y156" s="4914"/>
      <c r="Z156" s="4914"/>
      <c r="AA156" s="4914"/>
      <c r="AB156" s="4916"/>
      <c r="AC156" s="4882"/>
      <c r="AD156" s="63"/>
      <c r="AE156" s="64"/>
      <c r="AF156" s="65"/>
      <c r="AG156" s="219"/>
      <c r="AH156" s="9880"/>
    </row>
    <row r="157" spans="1:34" s="4835" customFormat="1" ht="34.5" customHeight="1" thickBot="1">
      <c r="A157" s="9392"/>
      <c r="B157" s="9662"/>
      <c r="C157" s="5082"/>
      <c r="D157" s="5082"/>
      <c r="E157" s="5082"/>
      <c r="F157" s="5082"/>
      <c r="G157" s="5082"/>
      <c r="H157" s="5082"/>
      <c r="I157" s="5082"/>
      <c r="J157" s="5082"/>
      <c r="K157" s="5082"/>
      <c r="L157" s="5082"/>
      <c r="M157" s="5081"/>
      <c r="N157" s="5081"/>
      <c r="O157" s="5081"/>
      <c r="P157" s="5082"/>
      <c r="Q157" s="5082"/>
      <c r="R157" s="5082"/>
      <c r="S157" s="9700" t="s">
        <v>2083</v>
      </c>
      <c r="T157" s="9327"/>
      <c r="U157" s="9327"/>
      <c r="V157" s="9327"/>
      <c r="W157" s="9327"/>
      <c r="X157" s="9327"/>
      <c r="Y157" s="9327"/>
      <c r="Z157" s="9327"/>
      <c r="AA157" s="465" t="s">
        <v>292</v>
      </c>
      <c r="AB157" s="5018">
        <f>SUM(AB110:AB156)</f>
        <v>13593.1392</v>
      </c>
      <c r="AC157" s="6075"/>
      <c r="AD157" s="6076"/>
      <c r="AE157" s="9876"/>
      <c r="AF157" s="8773"/>
      <c r="AG157" s="8773"/>
      <c r="AH157" s="8774"/>
    </row>
    <row r="158" spans="1:34" ht="28.7" customHeight="1">
      <c r="A158" s="9392"/>
      <c r="B158" s="9660" t="s">
        <v>2084</v>
      </c>
      <c r="C158" s="9280" t="s">
        <v>127</v>
      </c>
      <c r="D158" s="8782" t="s">
        <v>128</v>
      </c>
      <c r="E158" s="8782" t="s">
        <v>140</v>
      </c>
      <c r="F158" s="8782" t="s">
        <v>597</v>
      </c>
      <c r="G158" s="8977" t="s">
        <v>131</v>
      </c>
      <c r="H158" s="8782" t="s">
        <v>132</v>
      </c>
      <c r="I158" s="8834" t="s">
        <v>133</v>
      </c>
      <c r="J158" s="9706" t="s">
        <v>2085</v>
      </c>
      <c r="K158" s="8834" t="s">
        <v>2086</v>
      </c>
      <c r="L158" s="8834" t="s">
        <v>2087</v>
      </c>
      <c r="M158" s="8856">
        <v>0</v>
      </c>
      <c r="N158" s="8823">
        <v>2</v>
      </c>
      <c r="O158" s="8856">
        <v>0</v>
      </c>
      <c r="P158" s="8834" t="s">
        <v>2088</v>
      </c>
      <c r="Q158" s="8834" t="s">
        <v>2089</v>
      </c>
      <c r="R158" s="8982" t="s">
        <v>2090</v>
      </c>
      <c r="S158" s="621"/>
      <c r="T158" s="6790"/>
      <c r="U158" s="6792"/>
      <c r="V158" s="1963"/>
      <c r="W158" s="6845"/>
      <c r="X158" s="453"/>
      <c r="Y158" s="4912"/>
      <c r="Z158" s="4912"/>
      <c r="AA158" s="4912"/>
      <c r="AB158" s="4913"/>
      <c r="AC158" s="4881"/>
      <c r="AD158" s="455"/>
      <c r="AE158" s="453"/>
      <c r="AF158" s="456"/>
      <c r="AG158" s="435"/>
      <c r="AH158" s="9883"/>
    </row>
    <row r="159" spans="1:34" ht="28.7" customHeight="1">
      <c r="A159" s="9392"/>
      <c r="B159" s="9661"/>
      <c r="C159" s="9841"/>
      <c r="D159" s="9311"/>
      <c r="E159" s="9311"/>
      <c r="F159" s="9311"/>
      <c r="G159" s="9311"/>
      <c r="H159" s="9311"/>
      <c r="I159" s="9311"/>
      <c r="J159" s="9433"/>
      <c r="K159" s="9311"/>
      <c r="L159" s="9311"/>
      <c r="M159" s="9313"/>
      <c r="N159" s="9313"/>
      <c r="O159" s="9313"/>
      <c r="P159" s="9311"/>
      <c r="Q159" s="9311"/>
      <c r="R159" s="9315"/>
      <c r="S159" s="1973"/>
      <c r="T159" s="6436"/>
      <c r="U159" s="6824"/>
      <c r="V159" s="585"/>
      <c r="W159" s="6859"/>
      <c r="X159" s="90"/>
      <c r="Y159" s="6501"/>
      <c r="Z159" s="6501"/>
      <c r="AA159" s="6501"/>
      <c r="AB159" s="5977"/>
      <c r="AC159" s="5011"/>
      <c r="AD159" s="91"/>
      <c r="AE159" s="90"/>
      <c r="AF159" s="92"/>
      <c r="AG159" s="218"/>
      <c r="AH159" s="9857"/>
    </row>
    <row r="160" spans="1:34" ht="28.7" customHeight="1">
      <c r="A160" s="9392"/>
      <c r="B160" s="9661"/>
      <c r="C160" s="9841"/>
      <c r="D160" s="9311"/>
      <c r="E160" s="9311"/>
      <c r="F160" s="9311"/>
      <c r="G160" s="9311"/>
      <c r="H160" s="9311"/>
      <c r="I160" s="9311"/>
      <c r="J160" s="9433"/>
      <c r="K160" s="9311"/>
      <c r="L160" s="9311"/>
      <c r="M160" s="9313"/>
      <c r="N160" s="9313"/>
      <c r="O160" s="9313"/>
      <c r="P160" s="9311"/>
      <c r="Q160" s="9311"/>
      <c r="R160" s="9315"/>
      <c r="S160" s="621"/>
      <c r="T160" s="6790"/>
      <c r="U160" s="6792"/>
      <c r="V160" s="1963"/>
      <c r="W160" s="6845"/>
      <c r="X160" s="453"/>
      <c r="Y160" s="4912"/>
      <c r="Z160" s="4912"/>
      <c r="AA160" s="4912"/>
      <c r="AB160" s="4913"/>
      <c r="AC160" s="4881"/>
      <c r="AD160" s="455"/>
      <c r="AE160" s="453"/>
      <c r="AF160" s="456"/>
      <c r="AG160" s="218"/>
      <c r="AH160" s="9857"/>
    </row>
    <row r="161" spans="1:34" ht="28.7" customHeight="1">
      <c r="A161" s="9392"/>
      <c r="B161" s="9661"/>
      <c r="C161" s="9841"/>
      <c r="D161" s="9311"/>
      <c r="E161" s="9311"/>
      <c r="F161" s="9311"/>
      <c r="G161" s="9311"/>
      <c r="H161" s="9311"/>
      <c r="I161" s="9311"/>
      <c r="J161" s="9433"/>
      <c r="K161" s="9311"/>
      <c r="L161" s="9311"/>
      <c r="M161" s="9313"/>
      <c r="N161" s="9313"/>
      <c r="O161" s="9313"/>
      <c r="P161" s="9311"/>
      <c r="Q161" s="9311"/>
      <c r="R161" s="9315"/>
      <c r="S161" s="1973"/>
      <c r="T161" s="6436"/>
      <c r="U161" s="6824"/>
      <c r="V161" s="585"/>
      <c r="W161" s="6859"/>
      <c r="X161" s="90"/>
      <c r="Y161" s="6501"/>
      <c r="Z161" s="6501"/>
      <c r="AA161" s="6501"/>
      <c r="AB161" s="5977"/>
      <c r="AC161" s="5011"/>
      <c r="AD161" s="91"/>
      <c r="AE161" s="90"/>
      <c r="AF161" s="92"/>
      <c r="AG161" s="224"/>
      <c r="AH161" s="9857"/>
    </row>
    <row r="162" spans="1:34" ht="28.7" customHeight="1">
      <c r="A162" s="9392"/>
      <c r="B162" s="9661"/>
      <c r="C162" s="9842"/>
      <c r="D162" s="9312"/>
      <c r="E162" s="9312"/>
      <c r="F162" s="9312"/>
      <c r="G162" s="9312"/>
      <c r="H162" s="9312"/>
      <c r="I162" s="9312"/>
      <c r="J162" s="9434"/>
      <c r="K162" s="9312"/>
      <c r="L162" s="9312"/>
      <c r="M162" s="9314"/>
      <c r="N162" s="9314"/>
      <c r="O162" s="9314"/>
      <c r="P162" s="9312"/>
      <c r="Q162" s="9312"/>
      <c r="R162" s="9316"/>
      <c r="S162" s="1974"/>
      <c r="T162" s="6825"/>
      <c r="U162" s="6826"/>
      <c r="V162" s="586"/>
      <c r="W162" s="6860"/>
      <c r="X162" s="225"/>
      <c r="Y162" s="6860"/>
      <c r="Z162" s="6860"/>
      <c r="AA162" s="6860"/>
      <c r="AB162" s="6860"/>
      <c r="AC162" s="6906"/>
      <c r="AD162" s="225"/>
      <c r="AE162" s="225"/>
      <c r="AF162" s="225"/>
      <c r="AG162" s="226"/>
      <c r="AH162" s="9858"/>
    </row>
    <row r="163" spans="1:34" ht="37.700000000000003" customHeight="1">
      <c r="A163" s="9392"/>
      <c r="B163" s="9661"/>
      <c r="C163" s="9280" t="s">
        <v>183</v>
      </c>
      <c r="D163" s="8782" t="s">
        <v>227</v>
      </c>
      <c r="E163" s="8782" t="s">
        <v>228</v>
      </c>
      <c r="F163" s="8782" t="s">
        <v>255</v>
      </c>
      <c r="G163" s="8977" t="s">
        <v>230</v>
      </c>
      <c r="H163" s="8782" t="s">
        <v>213</v>
      </c>
      <c r="I163" s="8782" t="s">
        <v>189</v>
      </c>
      <c r="J163" s="9261" t="s">
        <v>2091</v>
      </c>
      <c r="K163" s="8782" t="s">
        <v>2092</v>
      </c>
      <c r="L163" s="8782" t="s">
        <v>2093</v>
      </c>
      <c r="M163" s="8823">
        <v>1</v>
      </c>
      <c r="N163" s="8823">
        <v>0</v>
      </c>
      <c r="O163" s="8823">
        <v>2</v>
      </c>
      <c r="P163" s="8860" t="s">
        <v>2094</v>
      </c>
      <c r="Q163" s="9455" t="s">
        <v>2095</v>
      </c>
      <c r="R163" s="8957" t="s">
        <v>2090</v>
      </c>
      <c r="S163" s="1975"/>
      <c r="T163" s="4963"/>
      <c r="U163" s="6827"/>
      <c r="V163" s="587"/>
      <c r="W163" s="6861"/>
      <c r="X163" s="461"/>
      <c r="Y163" s="6499"/>
      <c r="Z163" s="6499"/>
      <c r="AA163" s="6499"/>
      <c r="AB163" s="6500"/>
      <c r="AC163" s="6560"/>
      <c r="AD163" s="483"/>
      <c r="AE163" s="461"/>
      <c r="AF163" s="461"/>
      <c r="AG163" s="484"/>
      <c r="AH163" s="9856"/>
    </row>
    <row r="164" spans="1:34" ht="37.700000000000003" customHeight="1">
      <c r="A164" s="9392"/>
      <c r="B164" s="9661"/>
      <c r="C164" s="9841"/>
      <c r="D164" s="9311"/>
      <c r="E164" s="9311"/>
      <c r="F164" s="9311"/>
      <c r="G164" s="9311"/>
      <c r="H164" s="9311"/>
      <c r="I164" s="9311"/>
      <c r="J164" s="9694"/>
      <c r="K164" s="9311"/>
      <c r="L164" s="9311"/>
      <c r="M164" s="9313"/>
      <c r="N164" s="9313"/>
      <c r="O164" s="9313"/>
      <c r="P164" s="9487"/>
      <c r="Q164" s="9616"/>
      <c r="R164" s="9315"/>
      <c r="S164" s="567"/>
      <c r="T164" s="4849"/>
      <c r="U164" s="6782"/>
      <c r="V164" s="576"/>
      <c r="W164" s="6838"/>
      <c r="X164" s="53"/>
      <c r="Y164" s="4917"/>
      <c r="Z164" s="4917"/>
      <c r="AA164" s="4917"/>
      <c r="AB164" s="4918"/>
      <c r="AC164" s="4875"/>
      <c r="AD164" s="67"/>
      <c r="AE164" s="53"/>
      <c r="AF164" s="53"/>
      <c r="AG164" s="220"/>
      <c r="AH164" s="9857"/>
    </row>
    <row r="165" spans="1:34" ht="37.700000000000003" customHeight="1">
      <c r="A165" s="9392"/>
      <c r="B165" s="9661"/>
      <c r="C165" s="9841"/>
      <c r="D165" s="9311"/>
      <c r="E165" s="9311"/>
      <c r="F165" s="9311"/>
      <c r="G165" s="9311"/>
      <c r="H165" s="9311"/>
      <c r="I165" s="9311"/>
      <c r="J165" s="9694"/>
      <c r="K165" s="9311"/>
      <c r="L165" s="9311"/>
      <c r="M165" s="9313"/>
      <c r="N165" s="9313"/>
      <c r="O165" s="9313"/>
      <c r="P165" s="9487"/>
      <c r="Q165" s="9616"/>
      <c r="R165" s="9315"/>
      <c r="S165" s="567"/>
      <c r="T165" s="6780"/>
      <c r="U165" s="6781"/>
      <c r="V165" s="575"/>
      <c r="W165" s="6837"/>
      <c r="X165" s="48"/>
      <c r="Y165" s="4910"/>
      <c r="Z165" s="4910"/>
      <c r="AA165" s="4910"/>
      <c r="AB165" s="4911"/>
      <c r="AC165" s="4880"/>
      <c r="AD165" s="50"/>
      <c r="AE165" s="48"/>
      <c r="AF165" s="48"/>
      <c r="AG165" s="218"/>
      <c r="AH165" s="9857"/>
    </row>
    <row r="166" spans="1:34" ht="37.700000000000003" customHeight="1">
      <c r="A166" s="9392"/>
      <c r="B166" s="9661"/>
      <c r="C166" s="9841"/>
      <c r="D166" s="9311"/>
      <c r="E166" s="9311"/>
      <c r="F166" s="9311"/>
      <c r="G166" s="9311"/>
      <c r="H166" s="9311"/>
      <c r="I166" s="9311"/>
      <c r="J166" s="9694"/>
      <c r="K166" s="9311"/>
      <c r="L166" s="9311"/>
      <c r="M166" s="9313"/>
      <c r="N166" s="9313"/>
      <c r="O166" s="9313"/>
      <c r="P166" s="9487"/>
      <c r="Q166" s="9616"/>
      <c r="R166" s="9315"/>
      <c r="S166" s="567"/>
      <c r="T166" s="6780"/>
      <c r="U166" s="6781"/>
      <c r="V166" s="575"/>
      <c r="W166" s="6837"/>
      <c r="X166" s="48"/>
      <c r="Y166" s="4910"/>
      <c r="Z166" s="4910"/>
      <c r="AA166" s="4910"/>
      <c r="AB166" s="4911"/>
      <c r="AC166" s="4880"/>
      <c r="AD166" s="50"/>
      <c r="AE166" s="48"/>
      <c r="AF166" s="48"/>
      <c r="AG166" s="218"/>
      <c r="AH166" s="9857"/>
    </row>
    <row r="167" spans="1:34" ht="37.700000000000003" customHeight="1">
      <c r="A167" s="9392"/>
      <c r="B167" s="9661"/>
      <c r="C167" s="9842"/>
      <c r="D167" s="9312"/>
      <c r="E167" s="9312"/>
      <c r="F167" s="9312"/>
      <c r="G167" s="9312"/>
      <c r="H167" s="9312"/>
      <c r="I167" s="9312"/>
      <c r="J167" s="9443"/>
      <c r="K167" s="9312"/>
      <c r="L167" s="9312"/>
      <c r="M167" s="9314"/>
      <c r="N167" s="9314"/>
      <c r="O167" s="9314"/>
      <c r="P167" s="9488"/>
      <c r="Q167" s="9617"/>
      <c r="R167" s="9316"/>
      <c r="S167" s="568"/>
      <c r="T167" s="6784"/>
      <c r="U167" s="6785"/>
      <c r="V167" s="577"/>
      <c r="W167" s="6839"/>
      <c r="X167" s="64"/>
      <c r="Y167" s="4914"/>
      <c r="Z167" s="4914"/>
      <c r="AA167" s="4914"/>
      <c r="AB167" s="4916"/>
      <c r="AC167" s="4882"/>
      <c r="AD167" s="63"/>
      <c r="AE167" s="64"/>
      <c r="AF167" s="64"/>
      <c r="AG167" s="219"/>
      <c r="AH167" s="9858"/>
    </row>
    <row r="168" spans="1:34" ht="33.75" customHeight="1">
      <c r="A168" s="9392"/>
      <c r="B168" s="9661"/>
      <c r="C168" s="9845" t="s">
        <v>183</v>
      </c>
      <c r="D168" s="9217" t="s">
        <v>227</v>
      </c>
      <c r="E168" s="9217" t="s">
        <v>228</v>
      </c>
      <c r="F168" s="9217" t="s">
        <v>407</v>
      </c>
      <c r="G168" s="9843" t="s">
        <v>230</v>
      </c>
      <c r="H168" s="8782" t="s">
        <v>132</v>
      </c>
      <c r="I168" s="9261" t="s">
        <v>133</v>
      </c>
      <c r="J168" s="9843" t="s">
        <v>2096</v>
      </c>
      <c r="K168" s="9217" t="s">
        <v>2097</v>
      </c>
      <c r="L168" s="9217" t="s">
        <v>2098</v>
      </c>
      <c r="M168" s="9610">
        <v>1</v>
      </c>
      <c r="N168" s="9610">
        <v>0</v>
      </c>
      <c r="O168" s="9610">
        <v>1</v>
      </c>
      <c r="P168" s="9217" t="s">
        <v>2099</v>
      </c>
      <c r="Q168" s="9217" t="s">
        <v>2100</v>
      </c>
      <c r="R168" s="8957" t="s">
        <v>2090</v>
      </c>
      <c r="S168" s="747"/>
      <c r="T168" s="4849"/>
      <c r="U168" s="6783"/>
      <c r="V168" s="580"/>
      <c r="W168" s="6838"/>
      <c r="X168" s="53"/>
      <c r="Y168" s="4917"/>
      <c r="Z168" s="4917"/>
      <c r="AA168" s="4917"/>
      <c r="AB168" s="4918"/>
      <c r="AC168" s="4875"/>
      <c r="AD168" s="67"/>
      <c r="AE168" s="53"/>
      <c r="AF168" s="73"/>
      <c r="AG168" s="435"/>
      <c r="AH168" s="9885" t="s">
        <v>2101</v>
      </c>
    </row>
    <row r="169" spans="1:34" ht="33.75" customHeight="1">
      <c r="A169" s="9392"/>
      <c r="B169" s="9661"/>
      <c r="C169" s="9846"/>
      <c r="D169" s="9433"/>
      <c r="E169" s="9433"/>
      <c r="F169" s="9433"/>
      <c r="G169" s="9433"/>
      <c r="H169" s="9311"/>
      <c r="I169" s="9442"/>
      <c r="J169" s="9844"/>
      <c r="K169" s="9433"/>
      <c r="L169" s="9433"/>
      <c r="M169" s="9805"/>
      <c r="N169" s="9805"/>
      <c r="O169" s="9805"/>
      <c r="P169" s="9433"/>
      <c r="Q169" s="9433"/>
      <c r="R169" s="9315"/>
      <c r="S169" s="563"/>
      <c r="T169" s="4849"/>
      <c r="U169" s="6782"/>
      <c r="V169" s="575"/>
      <c r="W169" s="6837"/>
      <c r="X169" s="48"/>
      <c r="Y169" s="4910"/>
      <c r="Z169" s="4910"/>
      <c r="AA169" s="4910"/>
      <c r="AB169" s="4911"/>
      <c r="AC169" s="4880"/>
      <c r="AD169" s="50"/>
      <c r="AE169" s="48"/>
      <c r="AF169" s="51"/>
      <c r="AG169" s="218"/>
      <c r="AH169" s="9879"/>
    </row>
    <row r="170" spans="1:34" ht="18.75" customHeight="1">
      <c r="A170" s="9392"/>
      <c r="B170" s="9661"/>
      <c r="C170" s="9846"/>
      <c r="D170" s="9433"/>
      <c r="E170" s="9433"/>
      <c r="F170" s="9433"/>
      <c r="G170" s="9433"/>
      <c r="H170" s="9311"/>
      <c r="I170" s="9442"/>
      <c r="J170" s="9844"/>
      <c r="K170" s="9433"/>
      <c r="L170" s="9433"/>
      <c r="M170" s="9805"/>
      <c r="N170" s="9805"/>
      <c r="O170" s="9805"/>
      <c r="P170" s="9433"/>
      <c r="Q170" s="9433"/>
      <c r="R170" s="9315"/>
      <c r="S170" s="563"/>
      <c r="T170" s="4849"/>
      <c r="U170" s="6782"/>
      <c r="V170" s="583"/>
      <c r="W170" s="6837"/>
      <c r="X170" s="48"/>
      <c r="Y170" s="4910"/>
      <c r="Z170" s="4910"/>
      <c r="AA170" s="4910"/>
      <c r="AB170" s="4911"/>
      <c r="AC170" s="4880"/>
      <c r="AD170" s="50"/>
      <c r="AE170" s="48"/>
      <c r="AF170" s="51"/>
      <c r="AG170" s="218"/>
      <c r="AH170" s="9879"/>
    </row>
    <row r="171" spans="1:34" ht="33.75" customHeight="1">
      <c r="A171" s="9392"/>
      <c r="B171" s="9661"/>
      <c r="C171" s="9846"/>
      <c r="D171" s="9433"/>
      <c r="E171" s="9433"/>
      <c r="F171" s="9433"/>
      <c r="G171" s="9433"/>
      <c r="H171" s="9311"/>
      <c r="I171" s="9442"/>
      <c r="J171" s="9844"/>
      <c r="K171" s="9433"/>
      <c r="L171" s="9433"/>
      <c r="M171" s="9805"/>
      <c r="N171" s="9805"/>
      <c r="O171" s="9805"/>
      <c r="P171" s="9433"/>
      <c r="Q171" s="9433"/>
      <c r="R171" s="9315"/>
      <c r="S171" s="1976"/>
      <c r="T171" s="6780"/>
      <c r="U171" s="6781"/>
      <c r="V171" s="583"/>
      <c r="W171" s="6837"/>
      <c r="X171" s="48"/>
      <c r="Y171" s="4910"/>
      <c r="Z171" s="4910"/>
      <c r="AA171" s="4910"/>
      <c r="AB171" s="4911"/>
      <c r="AC171" s="4880"/>
      <c r="AD171" s="50"/>
      <c r="AE171" s="48"/>
      <c r="AF171" s="51"/>
      <c r="AG171" s="218"/>
      <c r="AH171" s="9879"/>
    </row>
    <row r="172" spans="1:34" ht="18.75" customHeight="1">
      <c r="A172" s="9392"/>
      <c r="B172" s="9661"/>
      <c r="C172" s="9846"/>
      <c r="D172" s="9433"/>
      <c r="E172" s="9433"/>
      <c r="F172" s="9433"/>
      <c r="G172" s="9433"/>
      <c r="H172" s="9311"/>
      <c r="I172" s="9442"/>
      <c r="J172" s="9844"/>
      <c r="K172" s="9433"/>
      <c r="L172" s="9433"/>
      <c r="M172" s="9805"/>
      <c r="N172" s="9805"/>
      <c r="O172" s="9805"/>
      <c r="P172" s="9433"/>
      <c r="Q172" s="9433"/>
      <c r="R172" s="9315"/>
      <c r="S172" s="567"/>
      <c r="T172" s="6780"/>
      <c r="U172" s="6828"/>
      <c r="V172" s="588"/>
      <c r="W172" s="6862"/>
      <c r="X172" s="227"/>
      <c r="Y172" s="6888"/>
      <c r="Z172" s="4910"/>
      <c r="AA172" s="4910"/>
      <c r="AB172" s="4911"/>
      <c r="AC172" s="4880"/>
      <c r="AD172" s="50"/>
      <c r="AE172" s="48"/>
      <c r="AF172" s="51"/>
      <c r="AG172" s="218"/>
      <c r="AH172" s="9879"/>
    </row>
    <row r="173" spans="1:34" ht="18.75" customHeight="1">
      <c r="A173" s="9392"/>
      <c r="B173" s="9661"/>
      <c r="C173" s="9846"/>
      <c r="D173" s="9433"/>
      <c r="E173" s="9433"/>
      <c r="F173" s="9433"/>
      <c r="G173" s="9433"/>
      <c r="H173" s="9311"/>
      <c r="I173" s="9442"/>
      <c r="J173" s="9844"/>
      <c r="K173" s="9433"/>
      <c r="L173" s="9433"/>
      <c r="M173" s="9805"/>
      <c r="N173" s="9805"/>
      <c r="O173" s="9805"/>
      <c r="P173" s="9433"/>
      <c r="Q173" s="9433"/>
      <c r="R173" s="9315"/>
      <c r="S173" s="565"/>
      <c r="T173" s="6790"/>
      <c r="U173" s="6792"/>
      <c r="V173" s="581"/>
      <c r="W173" s="6845"/>
      <c r="X173" s="453"/>
      <c r="Y173" s="4912"/>
      <c r="Z173" s="4910"/>
      <c r="AA173" s="4910"/>
      <c r="AB173" s="4913"/>
      <c r="AC173" s="4881"/>
      <c r="AD173" s="455"/>
      <c r="AE173" s="453"/>
      <c r="AF173" s="456"/>
      <c r="AG173" s="221"/>
      <c r="AH173" s="9879"/>
    </row>
    <row r="174" spans="1:34" ht="18.75" customHeight="1">
      <c r="A174" s="9392"/>
      <c r="B174" s="9661"/>
      <c r="C174" s="9847"/>
      <c r="D174" s="9434"/>
      <c r="E174" s="9434"/>
      <c r="F174" s="9434"/>
      <c r="G174" s="9434"/>
      <c r="H174" s="9312"/>
      <c r="I174" s="9443"/>
      <c r="J174" s="9434"/>
      <c r="K174" s="9434"/>
      <c r="L174" s="9434"/>
      <c r="M174" s="9806"/>
      <c r="N174" s="9806"/>
      <c r="O174" s="9806"/>
      <c r="P174" s="9434"/>
      <c r="Q174" s="9434"/>
      <c r="R174" s="9316"/>
      <c r="S174" s="568"/>
      <c r="T174" s="6784"/>
      <c r="U174" s="6800"/>
      <c r="V174" s="581"/>
      <c r="W174" s="6845"/>
      <c r="X174" s="453"/>
      <c r="Y174" s="4912"/>
      <c r="Z174" s="4914"/>
      <c r="AA174" s="4914"/>
      <c r="AB174" s="4913"/>
      <c r="AC174" s="4881"/>
      <c r="AD174" s="455"/>
      <c r="AE174" s="453"/>
      <c r="AF174" s="456"/>
      <c r="AG174" s="221"/>
      <c r="AH174" s="9880"/>
    </row>
    <row r="175" spans="1:34" ht="24.75" customHeight="1">
      <c r="A175" s="9392"/>
      <c r="B175" s="9661"/>
      <c r="C175" s="9283" t="s">
        <v>183</v>
      </c>
      <c r="D175" s="8834" t="s">
        <v>227</v>
      </c>
      <c r="E175" s="8834" t="s">
        <v>185</v>
      </c>
      <c r="F175" s="8782" t="s">
        <v>186</v>
      </c>
      <c r="G175" s="8977" t="s">
        <v>230</v>
      </c>
      <c r="H175" s="8782" t="s">
        <v>213</v>
      </c>
      <c r="I175" s="8782" t="s">
        <v>189</v>
      </c>
      <c r="J175" s="9028" t="s">
        <v>2102</v>
      </c>
      <c r="K175" s="8782" t="s">
        <v>2103</v>
      </c>
      <c r="L175" s="8782" t="s">
        <v>2104</v>
      </c>
      <c r="M175" s="8823">
        <v>0</v>
      </c>
      <c r="N175" s="8823">
        <v>0</v>
      </c>
      <c r="O175" s="8823">
        <v>2</v>
      </c>
      <c r="P175" s="8782" t="s">
        <v>2105</v>
      </c>
      <c r="Q175" s="8782" t="s">
        <v>2106</v>
      </c>
      <c r="R175" s="8957" t="s">
        <v>2090</v>
      </c>
      <c r="S175" s="563"/>
      <c r="T175" s="4849"/>
      <c r="U175" s="6783"/>
      <c r="V175" s="579"/>
      <c r="W175" s="6840"/>
      <c r="X175" s="76"/>
      <c r="Y175" s="4922"/>
      <c r="Z175" s="4917"/>
      <c r="AA175" s="4917"/>
      <c r="AB175" s="4923"/>
      <c r="AC175" s="4883"/>
      <c r="AD175" s="78"/>
      <c r="AE175" s="76"/>
      <c r="AF175" s="79"/>
      <c r="AG175" s="436"/>
      <c r="AH175" s="9856"/>
    </row>
    <row r="176" spans="1:34" ht="24.75" customHeight="1">
      <c r="A176" s="9392"/>
      <c r="B176" s="9661"/>
      <c r="C176" s="9841"/>
      <c r="D176" s="9311"/>
      <c r="E176" s="9311"/>
      <c r="F176" s="9311"/>
      <c r="G176" s="9311"/>
      <c r="H176" s="9311"/>
      <c r="I176" s="9311"/>
      <c r="J176" s="9694"/>
      <c r="K176" s="9311"/>
      <c r="L176" s="9311"/>
      <c r="M176" s="9313"/>
      <c r="N176" s="9313"/>
      <c r="O176" s="9313"/>
      <c r="P176" s="9311"/>
      <c r="Q176" s="9311"/>
      <c r="R176" s="9315"/>
      <c r="S176" s="567"/>
      <c r="T176" s="6780"/>
      <c r="U176" s="6781"/>
      <c r="V176" s="575"/>
      <c r="W176" s="6837"/>
      <c r="X176" s="48"/>
      <c r="Y176" s="4910"/>
      <c r="Z176" s="4910"/>
      <c r="AA176" s="4910"/>
      <c r="AB176" s="4911"/>
      <c r="AC176" s="4880"/>
      <c r="AD176" s="50"/>
      <c r="AE176" s="48"/>
      <c r="AF176" s="51"/>
      <c r="AG176" s="218"/>
      <c r="AH176" s="9857"/>
    </row>
    <row r="177" spans="1:34" ht="24.75" customHeight="1">
      <c r="A177" s="9392"/>
      <c r="B177" s="9661"/>
      <c r="C177" s="9841"/>
      <c r="D177" s="9311"/>
      <c r="E177" s="9311"/>
      <c r="F177" s="9311"/>
      <c r="G177" s="9311"/>
      <c r="H177" s="9311"/>
      <c r="I177" s="9311"/>
      <c r="J177" s="9694"/>
      <c r="K177" s="9311"/>
      <c r="L177" s="9311"/>
      <c r="M177" s="9313"/>
      <c r="N177" s="9313"/>
      <c r="O177" s="9313"/>
      <c r="P177" s="9311"/>
      <c r="Q177" s="9311"/>
      <c r="R177" s="9315"/>
      <c r="S177" s="567"/>
      <c r="T177" s="6780"/>
      <c r="U177" s="6781"/>
      <c r="V177" s="575"/>
      <c r="W177" s="6837"/>
      <c r="X177" s="48"/>
      <c r="Y177" s="4910"/>
      <c r="Z177" s="4910"/>
      <c r="AA177" s="4910"/>
      <c r="AB177" s="4911"/>
      <c r="AC177" s="4880"/>
      <c r="AD177" s="50"/>
      <c r="AE177" s="48"/>
      <c r="AF177" s="51"/>
      <c r="AG177" s="218"/>
      <c r="AH177" s="9857"/>
    </row>
    <row r="178" spans="1:34" ht="24.75" customHeight="1">
      <c r="A178" s="9392"/>
      <c r="B178" s="9661"/>
      <c r="C178" s="9841"/>
      <c r="D178" s="9311"/>
      <c r="E178" s="9311"/>
      <c r="F178" s="9311"/>
      <c r="G178" s="9311"/>
      <c r="H178" s="9311"/>
      <c r="I178" s="9311"/>
      <c r="J178" s="9694"/>
      <c r="K178" s="9311"/>
      <c r="L178" s="9311"/>
      <c r="M178" s="9313"/>
      <c r="N178" s="9313"/>
      <c r="O178" s="9313"/>
      <c r="P178" s="9311"/>
      <c r="Q178" s="9311"/>
      <c r="R178" s="9315"/>
      <c r="S178" s="567"/>
      <c r="T178" s="6780"/>
      <c r="U178" s="6781"/>
      <c r="V178" s="575"/>
      <c r="W178" s="6837"/>
      <c r="X178" s="48"/>
      <c r="Y178" s="4910"/>
      <c r="Z178" s="4910"/>
      <c r="AA178" s="4910"/>
      <c r="AB178" s="4911"/>
      <c r="AC178" s="4880"/>
      <c r="AD178" s="50"/>
      <c r="AE178" s="48"/>
      <c r="AF178" s="51"/>
      <c r="AG178" s="218"/>
      <c r="AH178" s="9857"/>
    </row>
    <row r="179" spans="1:34" ht="24.75" customHeight="1">
      <c r="A179" s="9392"/>
      <c r="B179" s="9661"/>
      <c r="C179" s="9842"/>
      <c r="D179" s="9312"/>
      <c r="E179" s="9312"/>
      <c r="F179" s="9312"/>
      <c r="G179" s="9312"/>
      <c r="H179" s="9312"/>
      <c r="I179" s="9312"/>
      <c r="J179" s="9443"/>
      <c r="K179" s="9312"/>
      <c r="L179" s="9312"/>
      <c r="M179" s="9314"/>
      <c r="N179" s="9314"/>
      <c r="O179" s="9314"/>
      <c r="P179" s="9312"/>
      <c r="Q179" s="9312"/>
      <c r="R179" s="9316"/>
      <c r="S179" s="568"/>
      <c r="T179" s="6784"/>
      <c r="U179" s="6785"/>
      <c r="V179" s="577"/>
      <c r="W179" s="6839"/>
      <c r="X179" s="64"/>
      <c r="Y179" s="4914"/>
      <c r="Z179" s="4914"/>
      <c r="AA179" s="4914"/>
      <c r="AB179" s="4916"/>
      <c r="AC179" s="4882"/>
      <c r="AD179" s="63"/>
      <c r="AE179" s="64"/>
      <c r="AF179" s="65"/>
      <c r="AG179" s="219"/>
      <c r="AH179" s="9858"/>
    </row>
    <row r="180" spans="1:34" ht="32.450000000000003" customHeight="1">
      <c r="A180" s="9392"/>
      <c r="B180" s="9661"/>
      <c r="C180" s="9280" t="s">
        <v>183</v>
      </c>
      <c r="D180" s="8782" t="s">
        <v>184</v>
      </c>
      <c r="E180" s="8782" t="s">
        <v>185</v>
      </c>
      <c r="F180" s="8782" t="s">
        <v>186</v>
      </c>
      <c r="G180" s="8977" t="s">
        <v>187</v>
      </c>
      <c r="H180" s="8782" t="s">
        <v>132</v>
      </c>
      <c r="I180" s="8782" t="s">
        <v>189</v>
      </c>
      <c r="J180" s="9028" t="s">
        <v>2107</v>
      </c>
      <c r="K180" s="8782" t="s">
        <v>2108</v>
      </c>
      <c r="L180" s="8782" t="s">
        <v>2109</v>
      </c>
      <c r="M180" s="8823">
        <v>0</v>
      </c>
      <c r="N180" s="8823">
        <v>0</v>
      </c>
      <c r="O180" s="8823">
        <v>1</v>
      </c>
      <c r="P180" s="8782" t="s">
        <v>2110</v>
      </c>
      <c r="Q180" s="8782" t="s">
        <v>2111</v>
      </c>
      <c r="R180" s="8957" t="s">
        <v>2112</v>
      </c>
      <c r="S180" s="563"/>
      <c r="T180" s="4849"/>
      <c r="U180" s="6783"/>
      <c r="V180" s="579"/>
      <c r="W180" s="6840"/>
      <c r="X180" s="76"/>
      <c r="Y180" s="4922"/>
      <c r="Z180" s="4917"/>
      <c r="AA180" s="4917"/>
      <c r="AB180" s="4923"/>
      <c r="AC180" s="4883"/>
      <c r="AD180" s="78"/>
      <c r="AE180" s="76"/>
      <c r="AF180" s="79"/>
      <c r="AG180" s="436"/>
      <c r="AH180" s="9856"/>
    </row>
    <row r="181" spans="1:34" ht="32.450000000000003" customHeight="1">
      <c r="A181" s="9392"/>
      <c r="B181" s="9661"/>
      <c r="C181" s="9841"/>
      <c r="D181" s="9311"/>
      <c r="E181" s="9311"/>
      <c r="F181" s="9311"/>
      <c r="G181" s="9311"/>
      <c r="H181" s="9311"/>
      <c r="I181" s="9311"/>
      <c r="J181" s="9694"/>
      <c r="K181" s="9311"/>
      <c r="L181" s="9311"/>
      <c r="M181" s="9313"/>
      <c r="N181" s="9313"/>
      <c r="O181" s="9313"/>
      <c r="P181" s="9311"/>
      <c r="Q181" s="9311"/>
      <c r="R181" s="9315"/>
      <c r="S181" s="567"/>
      <c r="T181" s="6780"/>
      <c r="U181" s="6781"/>
      <c r="V181" s="575"/>
      <c r="W181" s="6837"/>
      <c r="X181" s="48"/>
      <c r="Y181" s="4910"/>
      <c r="Z181" s="4910"/>
      <c r="AA181" s="4910"/>
      <c r="AB181" s="4911"/>
      <c r="AC181" s="4880"/>
      <c r="AD181" s="50"/>
      <c r="AE181" s="48"/>
      <c r="AF181" s="51"/>
      <c r="AG181" s="218"/>
      <c r="AH181" s="9857"/>
    </row>
    <row r="182" spans="1:34" ht="32.450000000000003" customHeight="1">
      <c r="A182" s="9392"/>
      <c r="B182" s="9661"/>
      <c r="C182" s="9841"/>
      <c r="D182" s="9311"/>
      <c r="E182" s="9311"/>
      <c r="F182" s="9311"/>
      <c r="G182" s="9311"/>
      <c r="H182" s="9311"/>
      <c r="I182" s="9311"/>
      <c r="J182" s="9694"/>
      <c r="K182" s="9311"/>
      <c r="L182" s="9311"/>
      <c r="M182" s="9313"/>
      <c r="N182" s="9313"/>
      <c r="O182" s="9313"/>
      <c r="P182" s="9311"/>
      <c r="Q182" s="9311"/>
      <c r="R182" s="9315"/>
      <c r="S182" s="567"/>
      <c r="T182" s="6780"/>
      <c r="U182" s="6781"/>
      <c r="V182" s="575"/>
      <c r="W182" s="6837"/>
      <c r="X182" s="48"/>
      <c r="Y182" s="4910"/>
      <c r="Z182" s="4910"/>
      <c r="AA182" s="4910"/>
      <c r="AB182" s="4911"/>
      <c r="AC182" s="4880"/>
      <c r="AD182" s="50"/>
      <c r="AE182" s="48"/>
      <c r="AF182" s="51"/>
      <c r="AG182" s="218"/>
      <c r="AH182" s="9857"/>
    </row>
    <row r="183" spans="1:34" ht="32.450000000000003" customHeight="1">
      <c r="A183" s="9392"/>
      <c r="B183" s="9661"/>
      <c r="C183" s="9841"/>
      <c r="D183" s="9311"/>
      <c r="E183" s="9311"/>
      <c r="F183" s="9311"/>
      <c r="G183" s="9311"/>
      <c r="H183" s="9311"/>
      <c r="I183" s="9311"/>
      <c r="J183" s="9694"/>
      <c r="K183" s="9311"/>
      <c r="L183" s="9311"/>
      <c r="M183" s="9313"/>
      <c r="N183" s="9313"/>
      <c r="O183" s="9313"/>
      <c r="P183" s="9311"/>
      <c r="Q183" s="9311"/>
      <c r="R183" s="9315"/>
      <c r="S183" s="567"/>
      <c r="T183" s="6780"/>
      <c r="U183" s="6781"/>
      <c r="V183" s="575"/>
      <c r="W183" s="6837"/>
      <c r="X183" s="48"/>
      <c r="Y183" s="4910"/>
      <c r="Z183" s="4910"/>
      <c r="AA183" s="4910"/>
      <c r="AB183" s="4911"/>
      <c r="AC183" s="4880"/>
      <c r="AD183" s="50"/>
      <c r="AE183" s="48"/>
      <c r="AF183" s="51"/>
      <c r="AG183" s="218"/>
      <c r="AH183" s="9857"/>
    </row>
    <row r="184" spans="1:34" ht="32.450000000000003" customHeight="1">
      <c r="A184" s="9392"/>
      <c r="B184" s="9661"/>
      <c r="C184" s="9842"/>
      <c r="D184" s="9312"/>
      <c r="E184" s="9312"/>
      <c r="F184" s="9312"/>
      <c r="G184" s="9312"/>
      <c r="H184" s="9312"/>
      <c r="I184" s="9312"/>
      <c r="J184" s="9443"/>
      <c r="K184" s="9312"/>
      <c r="L184" s="9312"/>
      <c r="M184" s="9314"/>
      <c r="N184" s="9314"/>
      <c r="O184" s="9314"/>
      <c r="P184" s="9312"/>
      <c r="Q184" s="9312"/>
      <c r="R184" s="9316"/>
      <c r="S184" s="568"/>
      <c r="T184" s="6784"/>
      <c r="U184" s="6785"/>
      <c r="V184" s="577"/>
      <c r="W184" s="6839"/>
      <c r="X184" s="64"/>
      <c r="Y184" s="4914"/>
      <c r="Z184" s="4914"/>
      <c r="AA184" s="4914"/>
      <c r="AB184" s="4916"/>
      <c r="AC184" s="4882"/>
      <c r="AD184" s="63"/>
      <c r="AE184" s="64"/>
      <c r="AF184" s="65"/>
      <c r="AG184" s="219"/>
      <c r="AH184" s="9858"/>
    </row>
    <row r="185" spans="1:34" ht="42" customHeight="1">
      <c r="A185" s="9392"/>
      <c r="B185" s="9661"/>
      <c r="C185" s="9280" t="s">
        <v>183</v>
      </c>
      <c r="D185" s="8782" t="s">
        <v>184</v>
      </c>
      <c r="E185" s="8782" t="s">
        <v>185</v>
      </c>
      <c r="F185" s="8782" t="s">
        <v>2113</v>
      </c>
      <c r="G185" s="8977" t="s">
        <v>187</v>
      </c>
      <c r="H185" s="8782" t="s">
        <v>132</v>
      </c>
      <c r="I185" s="8782" t="s">
        <v>189</v>
      </c>
      <c r="J185" s="8976" t="s">
        <v>2114</v>
      </c>
      <c r="K185" s="8782" t="s">
        <v>2115</v>
      </c>
      <c r="L185" s="8782" t="s">
        <v>2116</v>
      </c>
      <c r="M185" s="8823">
        <v>0</v>
      </c>
      <c r="N185" s="8823">
        <v>1</v>
      </c>
      <c r="O185" s="8823">
        <v>1</v>
      </c>
      <c r="P185" s="8782" t="s">
        <v>2117</v>
      </c>
      <c r="Q185" s="8782" t="s">
        <v>2118</v>
      </c>
      <c r="R185" s="8957" t="s">
        <v>2112</v>
      </c>
      <c r="S185" s="563"/>
      <c r="T185" s="4849"/>
      <c r="U185" s="6783"/>
      <c r="V185" s="578"/>
      <c r="W185" s="6838"/>
      <c r="X185" s="53"/>
      <c r="Y185" s="4917"/>
      <c r="Z185" s="4917"/>
      <c r="AA185" s="4917"/>
      <c r="AB185" s="4918"/>
      <c r="AC185" s="4875"/>
      <c r="AD185" s="67"/>
      <c r="AE185" s="53"/>
      <c r="AF185" s="73"/>
      <c r="AG185" s="435"/>
      <c r="AH185" s="9856"/>
    </row>
    <row r="186" spans="1:34" ht="42" customHeight="1">
      <c r="A186" s="9392"/>
      <c r="B186" s="9661"/>
      <c r="C186" s="9841"/>
      <c r="D186" s="9311"/>
      <c r="E186" s="9311"/>
      <c r="F186" s="9311"/>
      <c r="G186" s="9311"/>
      <c r="H186" s="9311"/>
      <c r="I186" s="9311"/>
      <c r="J186" s="9402"/>
      <c r="K186" s="9311"/>
      <c r="L186" s="9311"/>
      <c r="M186" s="9313"/>
      <c r="N186" s="9313"/>
      <c r="O186" s="9313"/>
      <c r="P186" s="9311"/>
      <c r="Q186" s="9311"/>
      <c r="R186" s="9315"/>
      <c r="S186" s="567"/>
      <c r="T186" s="6780"/>
      <c r="U186" s="6781"/>
      <c r="V186" s="575"/>
      <c r="W186" s="6837"/>
      <c r="X186" s="48"/>
      <c r="Y186" s="4910"/>
      <c r="Z186" s="4910"/>
      <c r="AA186" s="4910"/>
      <c r="AB186" s="4911"/>
      <c r="AC186" s="4880"/>
      <c r="AD186" s="50"/>
      <c r="AE186" s="48"/>
      <c r="AF186" s="51"/>
      <c r="AG186" s="218"/>
      <c r="AH186" s="9857"/>
    </row>
    <row r="187" spans="1:34" ht="42" customHeight="1">
      <c r="A187" s="9392"/>
      <c r="B187" s="9661"/>
      <c r="C187" s="9841"/>
      <c r="D187" s="9311"/>
      <c r="E187" s="9311"/>
      <c r="F187" s="9311"/>
      <c r="G187" s="9311"/>
      <c r="H187" s="9311"/>
      <c r="I187" s="9311"/>
      <c r="J187" s="9402"/>
      <c r="K187" s="9311"/>
      <c r="L187" s="9311"/>
      <c r="M187" s="9313"/>
      <c r="N187" s="9313"/>
      <c r="O187" s="9313"/>
      <c r="P187" s="9311"/>
      <c r="Q187" s="9311"/>
      <c r="R187" s="9315"/>
      <c r="S187" s="563"/>
      <c r="T187" s="4849"/>
      <c r="U187" s="6782"/>
      <c r="V187" s="576"/>
      <c r="W187" s="6838"/>
      <c r="X187" s="53"/>
      <c r="Y187" s="4917"/>
      <c r="Z187" s="4910"/>
      <c r="AA187" s="4910"/>
      <c r="AB187" s="4911"/>
      <c r="AC187" s="4880"/>
      <c r="AD187" s="50"/>
      <c r="AE187" s="48"/>
      <c r="AF187" s="51"/>
      <c r="AG187" s="218"/>
      <c r="AH187" s="9857"/>
    </row>
    <row r="188" spans="1:34" ht="42" customHeight="1">
      <c r="A188" s="9392"/>
      <c r="B188" s="9661"/>
      <c r="C188" s="9841"/>
      <c r="D188" s="9311"/>
      <c r="E188" s="9311"/>
      <c r="F188" s="9311"/>
      <c r="G188" s="9311"/>
      <c r="H188" s="9311"/>
      <c r="I188" s="9311"/>
      <c r="J188" s="9402"/>
      <c r="K188" s="9311"/>
      <c r="L188" s="9311"/>
      <c r="M188" s="9313"/>
      <c r="N188" s="9313"/>
      <c r="O188" s="9313"/>
      <c r="P188" s="9311"/>
      <c r="Q188" s="9311"/>
      <c r="R188" s="9315"/>
      <c r="S188" s="563"/>
      <c r="T188" s="4849"/>
      <c r="U188" s="6783"/>
      <c r="V188" s="576"/>
      <c r="W188" s="6838"/>
      <c r="X188" s="53"/>
      <c r="Y188" s="4917"/>
      <c r="Z188" s="4910"/>
      <c r="AA188" s="4910"/>
      <c r="AB188" s="4911"/>
      <c r="AC188" s="4880"/>
      <c r="AD188" s="50"/>
      <c r="AE188" s="48"/>
      <c r="AF188" s="51"/>
      <c r="AG188" s="218"/>
      <c r="AH188" s="9857"/>
    </row>
    <row r="189" spans="1:34" ht="42" customHeight="1">
      <c r="A189" s="9392"/>
      <c r="B189" s="9661"/>
      <c r="C189" s="9842"/>
      <c r="D189" s="9312"/>
      <c r="E189" s="9312"/>
      <c r="F189" s="9312"/>
      <c r="G189" s="9312"/>
      <c r="H189" s="9312"/>
      <c r="I189" s="9312"/>
      <c r="J189" s="9403"/>
      <c r="K189" s="9312"/>
      <c r="L189" s="9312"/>
      <c r="M189" s="9314"/>
      <c r="N189" s="9314"/>
      <c r="O189" s="9314"/>
      <c r="P189" s="9312"/>
      <c r="Q189" s="9312"/>
      <c r="R189" s="9316"/>
      <c r="S189" s="568"/>
      <c r="T189" s="6784"/>
      <c r="U189" s="6785"/>
      <c r="V189" s="577"/>
      <c r="W189" s="6839"/>
      <c r="X189" s="64"/>
      <c r="Y189" s="4914"/>
      <c r="Z189" s="4914"/>
      <c r="AA189" s="4914"/>
      <c r="AB189" s="4916"/>
      <c r="AC189" s="4882"/>
      <c r="AD189" s="63"/>
      <c r="AE189" s="64"/>
      <c r="AF189" s="65"/>
      <c r="AG189" s="219"/>
      <c r="AH189" s="9858"/>
    </row>
    <row r="190" spans="1:34" ht="26.25" customHeight="1">
      <c r="A190" s="9392"/>
      <c r="B190" s="9661"/>
      <c r="C190" s="9280" t="s">
        <v>127</v>
      </c>
      <c r="D190" s="8782" t="s">
        <v>128</v>
      </c>
      <c r="E190" s="8782" t="s">
        <v>140</v>
      </c>
      <c r="F190" s="8782" t="s">
        <v>212</v>
      </c>
      <c r="G190" s="8977" t="s">
        <v>131</v>
      </c>
      <c r="H190" s="8782" t="s">
        <v>213</v>
      </c>
      <c r="I190" s="8782" t="s">
        <v>159</v>
      </c>
      <c r="J190" s="8940" t="s">
        <v>2119</v>
      </c>
      <c r="K190" s="8782" t="s">
        <v>286</v>
      </c>
      <c r="L190" s="8782" t="s">
        <v>2076</v>
      </c>
      <c r="M190" s="8823">
        <v>0</v>
      </c>
      <c r="N190" s="8823">
        <v>1</v>
      </c>
      <c r="O190" s="8823">
        <v>1</v>
      </c>
      <c r="P190" s="8782" t="s">
        <v>2120</v>
      </c>
      <c r="Q190" s="8782" t="s">
        <v>2121</v>
      </c>
      <c r="R190" s="8957" t="s">
        <v>2090</v>
      </c>
      <c r="S190" s="563"/>
      <c r="T190" s="4849"/>
      <c r="U190" s="6783"/>
      <c r="V190" s="578"/>
      <c r="W190" s="6838"/>
      <c r="X190" s="53"/>
      <c r="Y190" s="4917"/>
      <c r="Z190" s="4917"/>
      <c r="AA190" s="4917"/>
      <c r="AB190" s="4918"/>
      <c r="AC190" s="4875"/>
      <c r="AD190" s="67"/>
      <c r="AE190" s="53"/>
      <c r="AF190" s="53"/>
      <c r="AG190" s="481"/>
      <c r="AH190" s="9856"/>
    </row>
    <row r="191" spans="1:34" ht="26.25" customHeight="1">
      <c r="A191" s="9392"/>
      <c r="B191" s="9661"/>
      <c r="C191" s="9841"/>
      <c r="D191" s="9311"/>
      <c r="E191" s="9311"/>
      <c r="F191" s="9311"/>
      <c r="G191" s="9311"/>
      <c r="H191" s="9311"/>
      <c r="I191" s="9311"/>
      <c r="J191" s="9402"/>
      <c r="K191" s="9311"/>
      <c r="L191" s="9311"/>
      <c r="M191" s="9313"/>
      <c r="N191" s="9313"/>
      <c r="O191" s="9313"/>
      <c r="P191" s="9311"/>
      <c r="Q191" s="9311"/>
      <c r="R191" s="9315"/>
      <c r="S191" s="567"/>
      <c r="T191" s="6780"/>
      <c r="U191" s="6781"/>
      <c r="V191" s="575"/>
      <c r="W191" s="6837"/>
      <c r="X191" s="48"/>
      <c r="Y191" s="4910"/>
      <c r="Z191" s="4910"/>
      <c r="AA191" s="4910"/>
      <c r="AB191" s="4911"/>
      <c r="AC191" s="4880"/>
      <c r="AD191" s="50"/>
      <c r="AE191" s="48"/>
      <c r="AF191" s="48"/>
      <c r="AG191" s="220"/>
      <c r="AH191" s="9857"/>
    </row>
    <row r="192" spans="1:34" ht="26.25" customHeight="1">
      <c r="A192" s="9392"/>
      <c r="B192" s="9661"/>
      <c r="C192" s="9841"/>
      <c r="D192" s="9311"/>
      <c r="E192" s="9311"/>
      <c r="F192" s="9311"/>
      <c r="G192" s="9311"/>
      <c r="H192" s="9311"/>
      <c r="I192" s="9311"/>
      <c r="J192" s="9402"/>
      <c r="K192" s="9311"/>
      <c r="L192" s="9311"/>
      <c r="M192" s="9313"/>
      <c r="N192" s="9313"/>
      <c r="O192" s="9313"/>
      <c r="P192" s="9311"/>
      <c r="Q192" s="9311"/>
      <c r="R192" s="9315"/>
      <c r="S192" s="567"/>
      <c r="T192" s="6780"/>
      <c r="U192" s="6781"/>
      <c r="V192" s="575"/>
      <c r="W192" s="6837"/>
      <c r="X192" s="48"/>
      <c r="Y192" s="4910"/>
      <c r="Z192" s="4910"/>
      <c r="AA192" s="4910"/>
      <c r="AB192" s="4911"/>
      <c r="AC192" s="4880"/>
      <c r="AD192" s="50"/>
      <c r="AE192" s="48"/>
      <c r="AF192" s="48"/>
      <c r="AG192" s="218"/>
      <c r="AH192" s="9857"/>
    </row>
    <row r="193" spans="1:34" ht="26.25" customHeight="1">
      <c r="A193" s="9392"/>
      <c r="B193" s="9661"/>
      <c r="C193" s="9841"/>
      <c r="D193" s="9311"/>
      <c r="E193" s="9311"/>
      <c r="F193" s="9311"/>
      <c r="G193" s="9311"/>
      <c r="H193" s="9311"/>
      <c r="I193" s="9311"/>
      <c r="J193" s="9402"/>
      <c r="K193" s="9311"/>
      <c r="L193" s="9311"/>
      <c r="M193" s="9313"/>
      <c r="N193" s="9313"/>
      <c r="O193" s="9313"/>
      <c r="P193" s="9311"/>
      <c r="Q193" s="9311"/>
      <c r="R193" s="9315"/>
      <c r="S193" s="567"/>
      <c r="T193" s="6780"/>
      <c r="U193" s="6781"/>
      <c r="V193" s="575"/>
      <c r="W193" s="6837"/>
      <c r="X193" s="48"/>
      <c r="Y193" s="4910"/>
      <c r="Z193" s="4910"/>
      <c r="AA193" s="4910"/>
      <c r="AB193" s="4911"/>
      <c r="AC193" s="4880"/>
      <c r="AD193" s="50"/>
      <c r="AE193" s="48"/>
      <c r="AF193" s="48"/>
      <c r="AG193" s="218"/>
      <c r="AH193" s="9857"/>
    </row>
    <row r="194" spans="1:34" ht="26.25" customHeight="1">
      <c r="A194" s="9392"/>
      <c r="B194" s="9661"/>
      <c r="C194" s="9842"/>
      <c r="D194" s="9312"/>
      <c r="E194" s="9312"/>
      <c r="F194" s="9312"/>
      <c r="G194" s="9312"/>
      <c r="H194" s="9312"/>
      <c r="I194" s="9312"/>
      <c r="J194" s="9403"/>
      <c r="K194" s="9312"/>
      <c r="L194" s="9312"/>
      <c r="M194" s="9314"/>
      <c r="N194" s="9314"/>
      <c r="O194" s="9314"/>
      <c r="P194" s="9312"/>
      <c r="Q194" s="9312"/>
      <c r="R194" s="9316"/>
      <c r="S194" s="568"/>
      <c r="T194" s="6784"/>
      <c r="U194" s="6785"/>
      <c r="V194" s="577"/>
      <c r="W194" s="6839"/>
      <c r="X194" s="64"/>
      <c r="Y194" s="4914"/>
      <c r="Z194" s="4914"/>
      <c r="AA194" s="4914"/>
      <c r="AB194" s="4916"/>
      <c r="AC194" s="4882"/>
      <c r="AD194" s="63"/>
      <c r="AE194" s="64"/>
      <c r="AF194" s="64"/>
      <c r="AG194" s="219"/>
      <c r="AH194" s="9858"/>
    </row>
    <row r="195" spans="1:34" ht="26.25" customHeight="1">
      <c r="A195" s="9392"/>
      <c r="B195" s="9661"/>
      <c r="C195" s="9223" t="s">
        <v>127</v>
      </c>
      <c r="D195" s="8782" t="s">
        <v>128</v>
      </c>
      <c r="E195" s="9217" t="s">
        <v>140</v>
      </c>
      <c r="F195" s="8782" t="s">
        <v>212</v>
      </c>
      <c r="G195" s="8977" t="s">
        <v>131</v>
      </c>
      <c r="H195" s="8782" t="s">
        <v>213</v>
      </c>
      <c r="I195" s="8782" t="s">
        <v>214</v>
      </c>
      <c r="J195" s="8782" t="s">
        <v>2122</v>
      </c>
      <c r="K195" s="8782" t="s">
        <v>338</v>
      </c>
      <c r="L195" s="8782" t="s">
        <v>2079</v>
      </c>
      <c r="M195" s="8823">
        <v>1</v>
      </c>
      <c r="N195" s="8823">
        <v>1</v>
      </c>
      <c r="O195" s="8823">
        <v>1</v>
      </c>
      <c r="P195" s="8782" t="s">
        <v>2123</v>
      </c>
      <c r="Q195" s="8782" t="s">
        <v>1381</v>
      </c>
      <c r="R195" s="8957" t="s">
        <v>2090</v>
      </c>
      <c r="S195" s="564"/>
      <c r="T195" s="4859"/>
      <c r="U195" s="6829"/>
      <c r="V195" s="589"/>
      <c r="W195" s="6840"/>
      <c r="X195" s="76"/>
      <c r="Y195" s="4922"/>
      <c r="Z195" s="4922"/>
      <c r="AA195" s="4922"/>
      <c r="AB195" s="4923"/>
      <c r="AC195" s="4883"/>
      <c r="AD195" s="78"/>
      <c r="AE195" s="76"/>
      <c r="AF195" s="79"/>
      <c r="AG195" s="436"/>
      <c r="AH195" s="9856"/>
    </row>
    <row r="196" spans="1:34" ht="26.25" customHeight="1">
      <c r="A196" s="9392"/>
      <c r="B196" s="9661"/>
      <c r="C196" s="9333"/>
      <c r="D196" s="9311"/>
      <c r="E196" s="9433"/>
      <c r="F196" s="9311"/>
      <c r="G196" s="9311"/>
      <c r="H196" s="9311"/>
      <c r="I196" s="9311"/>
      <c r="J196" s="9311"/>
      <c r="K196" s="9311"/>
      <c r="L196" s="9311"/>
      <c r="M196" s="9313"/>
      <c r="N196" s="9313"/>
      <c r="O196" s="9313"/>
      <c r="P196" s="9311"/>
      <c r="Q196" s="9311"/>
      <c r="R196" s="9315"/>
      <c r="S196" s="563"/>
      <c r="T196" s="4849"/>
      <c r="U196" s="6782"/>
      <c r="V196" s="575"/>
      <c r="W196" s="6837"/>
      <c r="X196" s="48"/>
      <c r="Y196" s="4910"/>
      <c r="Z196" s="4910"/>
      <c r="AA196" s="4910"/>
      <c r="AB196" s="4911"/>
      <c r="AC196" s="4880"/>
      <c r="AD196" s="50"/>
      <c r="AE196" s="48"/>
      <c r="AF196" s="51"/>
      <c r="AG196" s="218"/>
      <c r="AH196" s="9857"/>
    </row>
    <row r="197" spans="1:34" ht="26.25" customHeight="1">
      <c r="A197" s="9392"/>
      <c r="B197" s="9661"/>
      <c r="C197" s="9333"/>
      <c r="D197" s="9311"/>
      <c r="E197" s="9433"/>
      <c r="F197" s="9311"/>
      <c r="G197" s="9311"/>
      <c r="H197" s="9311"/>
      <c r="I197" s="9311"/>
      <c r="J197" s="9311"/>
      <c r="K197" s="9311"/>
      <c r="L197" s="9311"/>
      <c r="M197" s="9313"/>
      <c r="N197" s="9313"/>
      <c r="O197" s="9313"/>
      <c r="P197" s="9311"/>
      <c r="Q197" s="9311"/>
      <c r="R197" s="9315"/>
      <c r="S197" s="567"/>
      <c r="T197" s="6780"/>
      <c r="U197" s="6781"/>
      <c r="V197" s="575"/>
      <c r="W197" s="6837"/>
      <c r="X197" s="48"/>
      <c r="Y197" s="4910"/>
      <c r="Z197" s="4910"/>
      <c r="AA197" s="4910"/>
      <c r="AB197" s="4911"/>
      <c r="AC197" s="4880"/>
      <c r="AD197" s="50"/>
      <c r="AE197" s="48"/>
      <c r="AF197" s="51"/>
      <c r="AG197" s="218"/>
      <c r="AH197" s="9857"/>
    </row>
    <row r="198" spans="1:34" ht="26.25" customHeight="1">
      <c r="A198" s="9392"/>
      <c r="B198" s="9661"/>
      <c r="C198" s="9333"/>
      <c r="D198" s="9311"/>
      <c r="E198" s="9433"/>
      <c r="F198" s="9311"/>
      <c r="G198" s="9311"/>
      <c r="H198" s="9311"/>
      <c r="I198" s="9311"/>
      <c r="J198" s="9311"/>
      <c r="K198" s="9311"/>
      <c r="L198" s="9311"/>
      <c r="M198" s="9313"/>
      <c r="N198" s="9313"/>
      <c r="O198" s="9313"/>
      <c r="P198" s="9311"/>
      <c r="Q198" s="9311"/>
      <c r="R198" s="9315"/>
      <c r="S198" s="567"/>
      <c r="T198" s="6780"/>
      <c r="U198" s="6781"/>
      <c r="V198" s="575"/>
      <c r="W198" s="6837"/>
      <c r="X198" s="48"/>
      <c r="Y198" s="4910"/>
      <c r="Z198" s="4910"/>
      <c r="AA198" s="4910"/>
      <c r="AB198" s="4911"/>
      <c r="AC198" s="4880"/>
      <c r="AD198" s="50"/>
      <c r="AE198" s="48"/>
      <c r="AF198" s="51"/>
      <c r="AG198" s="218"/>
      <c r="AH198" s="9857"/>
    </row>
    <row r="199" spans="1:34" ht="26.25" customHeight="1">
      <c r="A199" s="9392"/>
      <c r="B199" s="9661"/>
      <c r="C199" s="9395"/>
      <c r="D199" s="9312"/>
      <c r="E199" s="9434"/>
      <c r="F199" s="9312"/>
      <c r="G199" s="9312"/>
      <c r="H199" s="9312"/>
      <c r="I199" s="9312"/>
      <c r="J199" s="9312"/>
      <c r="K199" s="9312"/>
      <c r="L199" s="9312"/>
      <c r="M199" s="9314"/>
      <c r="N199" s="9314"/>
      <c r="O199" s="9314"/>
      <c r="P199" s="9312"/>
      <c r="Q199" s="9312"/>
      <c r="R199" s="9316"/>
      <c r="S199" s="568"/>
      <c r="T199" s="6784"/>
      <c r="U199" s="6785"/>
      <c r="V199" s="577"/>
      <c r="W199" s="6839"/>
      <c r="X199" s="64"/>
      <c r="Y199" s="4914"/>
      <c r="Z199" s="4914"/>
      <c r="AA199" s="4914"/>
      <c r="AB199" s="4916"/>
      <c r="AC199" s="4882"/>
      <c r="AD199" s="63"/>
      <c r="AE199" s="64"/>
      <c r="AF199" s="65"/>
      <c r="AG199" s="219"/>
      <c r="AH199" s="9858"/>
    </row>
    <row r="200" spans="1:34" s="4835" customFormat="1" ht="34.5" customHeight="1" thickBot="1">
      <c r="A200" s="9392"/>
      <c r="B200" s="9662"/>
      <c r="C200" s="5082"/>
      <c r="D200" s="5082"/>
      <c r="E200" s="5082"/>
      <c r="F200" s="5082"/>
      <c r="G200" s="5082"/>
      <c r="H200" s="5082"/>
      <c r="I200" s="5082"/>
      <c r="J200" s="5082"/>
      <c r="K200" s="5082"/>
      <c r="L200" s="5082"/>
      <c r="M200" s="5081"/>
      <c r="N200" s="5081"/>
      <c r="O200" s="5081"/>
      <c r="P200" s="5082"/>
      <c r="Q200" s="5082"/>
      <c r="R200" s="5082"/>
      <c r="S200" s="9859" t="s">
        <v>2124</v>
      </c>
      <c r="T200" s="9627"/>
      <c r="U200" s="9627"/>
      <c r="V200" s="9627"/>
      <c r="W200" s="9627"/>
      <c r="X200" s="9627"/>
      <c r="Y200" s="9627"/>
      <c r="Z200" s="9627"/>
      <c r="AA200" s="465" t="s">
        <v>292</v>
      </c>
      <c r="AB200" s="5018">
        <f>SUM(AB158:AB199)</f>
        <v>0</v>
      </c>
      <c r="AC200" s="6075"/>
      <c r="AD200" s="6076"/>
      <c r="AE200" s="9882"/>
      <c r="AF200" s="9629"/>
      <c r="AG200" s="9629"/>
      <c r="AH200" s="9630"/>
    </row>
    <row r="201" spans="1:34" ht="26.25" customHeight="1">
      <c r="A201" s="9392"/>
      <c r="B201" s="9660" t="s">
        <v>2125</v>
      </c>
      <c r="C201" s="9280" t="s">
        <v>127</v>
      </c>
      <c r="D201" s="8782" t="s">
        <v>128</v>
      </c>
      <c r="E201" s="8782" t="s">
        <v>129</v>
      </c>
      <c r="F201" s="8782" t="s">
        <v>336</v>
      </c>
      <c r="G201" s="8977" t="s">
        <v>131</v>
      </c>
      <c r="H201" s="8782" t="s">
        <v>132</v>
      </c>
      <c r="I201" s="8782" t="s">
        <v>159</v>
      </c>
      <c r="J201" s="9217" t="s">
        <v>2126</v>
      </c>
      <c r="K201" s="8782" t="s">
        <v>2127</v>
      </c>
      <c r="L201" s="8782" t="s">
        <v>2128</v>
      </c>
      <c r="M201" s="8823">
        <v>0</v>
      </c>
      <c r="N201" s="8823">
        <v>1</v>
      </c>
      <c r="O201" s="8823">
        <v>0</v>
      </c>
      <c r="P201" s="8782" t="s">
        <v>2129</v>
      </c>
      <c r="Q201" s="8782" t="s">
        <v>2130</v>
      </c>
      <c r="R201" s="9217" t="s">
        <v>2131</v>
      </c>
      <c r="S201" s="1977"/>
      <c r="T201" s="4963"/>
      <c r="U201" s="6830"/>
      <c r="V201" s="587"/>
      <c r="W201" s="6861"/>
      <c r="X201" s="461"/>
      <c r="Y201" s="6499"/>
      <c r="Z201" s="6499"/>
      <c r="AA201" s="6499"/>
      <c r="AB201" s="6647"/>
      <c r="AC201" s="6560"/>
      <c r="AD201" s="483"/>
      <c r="AE201" s="461"/>
      <c r="AF201" s="462"/>
      <c r="AG201" s="5129"/>
      <c r="AH201" s="9883"/>
    </row>
    <row r="202" spans="1:34" ht="26.25" customHeight="1">
      <c r="A202" s="9392"/>
      <c r="B202" s="9661"/>
      <c r="C202" s="9841"/>
      <c r="D202" s="9311"/>
      <c r="E202" s="9311"/>
      <c r="F202" s="9311"/>
      <c r="G202" s="9311"/>
      <c r="H202" s="9311"/>
      <c r="I202" s="9311"/>
      <c r="J202" s="9433"/>
      <c r="K202" s="9311"/>
      <c r="L202" s="9311"/>
      <c r="M202" s="9313"/>
      <c r="N202" s="9313"/>
      <c r="O202" s="9313"/>
      <c r="P202" s="9311"/>
      <c r="Q202" s="9311"/>
      <c r="R202" s="9433"/>
      <c r="S202" s="570"/>
      <c r="T202" s="6436"/>
      <c r="U202" s="6824"/>
      <c r="V202" s="585"/>
      <c r="W202" s="6859"/>
      <c r="X202" s="90"/>
      <c r="Y202" s="6501"/>
      <c r="Z202" s="6501"/>
      <c r="AA202" s="6501"/>
      <c r="AB202" s="5977"/>
      <c r="AC202" s="5011"/>
      <c r="AD202" s="91"/>
      <c r="AE202" s="90"/>
      <c r="AF202" s="92"/>
      <c r="AG202" s="5130"/>
      <c r="AH202" s="9857"/>
    </row>
    <row r="203" spans="1:34" ht="26.25" customHeight="1">
      <c r="A203" s="9392"/>
      <c r="B203" s="9661"/>
      <c r="C203" s="9841"/>
      <c r="D203" s="9311"/>
      <c r="E203" s="9311"/>
      <c r="F203" s="9311"/>
      <c r="G203" s="9311"/>
      <c r="H203" s="9311"/>
      <c r="I203" s="9311"/>
      <c r="J203" s="9433"/>
      <c r="K203" s="9311"/>
      <c r="L203" s="9311"/>
      <c r="M203" s="9313"/>
      <c r="N203" s="9313"/>
      <c r="O203" s="9313"/>
      <c r="P203" s="9311"/>
      <c r="Q203" s="9311"/>
      <c r="R203" s="9433"/>
      <c r="S203" s="570"/>
      <c r="T203" s="6436"/>
      <c r="U203" s="6824"/>
      <c r="V203" s="585"/>
      <c r="W203" s="6859"/>
      <c r="X203" s="90"/>
      <c r="Y203" s="6501"/>
      <c r="Z203" s="6501"/>
      <c r="AA203" s="6501"/>
      <c r="AB203" s="5977"/>
      <c r="AC203" s="5011"/>
      <c r="AD203" s="91"/>
      <c r="AE203" s="90"/>
      <c r="AF203" s="92"/>
      <c r="AG203" s="5130"/>
      <c r="AH203" s="9857"/>
    </row>
    <row r="204" spans="1:34" ht="26.25" customHeight="1">
      <c r="A204" s="9392"/>
      <c r="B204" s="9661"/>
      <c r="C204" s="9841"/>
      <c r="D204" s="9311"/>
      <c r="E204" s="9311"/>
      <c r="F204" s="9311"/>
      <c r="G204" s="9311"/>
      <c r="H204" s="9311"/>
      <c r="I204" s="9311"/>
      <c r="J204" s="9433"/>
      <c r="K204" s="9311"/>
      <c r="L204" s="9311"/>
      <c r="M204" s="9313"/>
      <c r="N204" s="9313"/>
      <c r="O204" s="9313"/>
      <c r="P204" s="9311"/>
      <c r="Q204" s="9311"/>
      <c r="R204" s="9433"/>
      <c r="S204" s="571"/>
      <c r="T204" s="6831"/>
      <c r="U204" s="6832"/>
      <c r="V204" s="590"/>
      <c r="W204" s="6863"/>
      <c r="X204" s="228"/>
      <c r="Y204" s="6863"/>
      <c r="Z204" s="6863"/>
      <c r="AA204" s="6863"/>
      <c r="AB204" s="6863"/>
      <c r="AC204" s="6907"/>
      <c r="AD204" s="228"/>
      <c r="AE204" s="90"/>
      <c r="AF204" s="92"/>
      <c r="AG204" s="5130"/>
      <c r="AH204" s="9857"/>
    </row>
    <row r="205" spans="1:34" ht="26.25" customHeight="1">
      <c r="A205" s="9392"/>
      <c r="B205" s="9661"/>
      <c r="C205" s="9842"/>
      <c r="D205" s="9312"/>
      <c r="E205" s="9312"/>
      <c r="F205" s="9312"/>
      <c r="G205" s="9312"/>
      <c r="H205" s="9312"/>
      <c r="I205" s="9312"/>
      <c r="J205" s="9434"/>
      <c r="K205" s="9312"/>
      <c r="L205" s="9312"/>
      <c r="M205" s="9314"/>
      <c r="N205" s="9314"/>
      <c r="O205" s="9314"/>
      <c r="P205" s="9312"/>
      <c r="Q205" s="9312"/>
      <c r="R205" s="9434"/>
      <c r="S205" s="572"/>
      <c r="T205" s="6825"/>
      <c r="U205" s="6826"/>
      <c r="V205" s="586"/>
      <c r="W205" s="6860"/>
      <c r="X205" s="225"/>
      <c r="Y205" s="6860"/>
      <c r="Z205" s="6860"/>
      <c r="AA205" s="6860"/>
      <c r="AB205" s="6860"/>
      <c r="AC205" s="6906"/>
      <c r="AD205" s="225"/>
      <c r="AE205" s="95"/>
      <c r="AF205" s="225"/>
      <c r="AG205" s="5131"/>
      <c r="AH205" s="9858"/>
    </row>
    <row r="206" spans="1:34" ht="40.5" customHeight="1">
      <c r="A206" s="9392"/>
      <c r="B206" s="9661"/>
      <c r="C206" s="9280" t="s">
        <v>127</v>
      </c>
      <c r="D206" s="8782" t="s">
        <v>128</v>
      </c>
      <c r="E206" s="8782" t="s">
        <v>129</v>
      </c>
      <c r="F206" s="8782" t="s">
        <v>336</v>
      </c>
      <c r="G206" s="8977" t="s">
        <v>131</v>
      </c>
      <c r="H206" s="8782" t="s">
        <v>132</v>
      </c>
      <c r="I206" s="8782" t="s">
        <v>133</v>
      </c>
      <c r="J206" s="9217" t="s">
        <v>2132</v>
      </c>
      <c r="K206" s="8782" t="s">
        <v>2133</v>
      </c>
      <c r="L206" s="8782" t="s">
        <v>2134</v>
      </c>
      <c r="M206" s="8823">
        <v>1</v>
      </c>
      <c r="N206" s="8823">
        <v>2</v>
      </c>
      <c r="O206" s="8823">
        <v>1</v>
      </c>
      <c r="P206" s="8782" t="s">
        <v>2135</v>
      </c>
      <c r="Q206" s="8782" t="s">
        <v>2136</v>
      </c>
      <c r="R206" s="8957" t="s">
        <v>2131</v>
      </c>
      <c r="S206" s="563"/>
      <c r="T206" s="4849"/>
      <c r="U206" s="6783"/>
      <c r="V206" s="578"/>
      <c r="W206" s="6838"/>
      <c r="X206" s="53"/>
      <c r="Y206" s="4917"/>
      <c r="Z206" s="4917"/>
      <c r="AA206" s="4917"/>
      <c r="AB206" s="4918"/>
      <c r="AC206" s="4875"/>
      <c r="AD206" s="67"/>
      <c r="AE206" s="53"/>
      <c r="AF206" s="53"/>
      <c r="AG206" s="481"/>
      <c r="AH206" s="9856"/>
    </row>
    <row r="207" spans="1:34" ht="40.5" customHeight="1">
      <c r="A207" s="9392"/>
      <c r="B207" s="9661"/>
      <c r="C207" s="9841"/>
      <c r="D207" s="9311"/>
      <c r="E207" s="9311"/>
      <c r="F207" s="9311"/>
      <c r="G207" s="9311"/>
      <c r="H207" s="9311"/>
      <c r="I207" s="9311"/>
      <c r="J207" s="9433"/>
      <c r="K207" s="9311"/>
      <c r="L207" s="9311"/>
      <c r="M207" s="9313"/>
      <c r="N207" s="9313"/>
      <c r="O207" s="9313"/>
      <c r="P207" s="9311"/>
      <c r="Q207" s="9311"/>
      <c r="R207" s="9315"/>
      <c r="S207" s="567"/>
      <c r="T207" s="6780"/>
      <c r="U207" s="6781"/>
      <c r="V207" s="575"/>
      <c r="W207" s="6837"/>
      <c r="X207" s="48"/>
      <c r="Y207" s="4910"/>
      <c r="Z207" s="4910"/>
      <c r="AA207" s="4910"/>
      <c r="AB207" s="4911"/>
      <c r="AC207" s="4880"/>
      <c r="AD207" s="50"/>
      <c r="AE207" s="48"/>
      <c r="AF207" s="48"/>
      <c r="AG207" s="220"/>
      <c r="AH207" s="9857"/>
    </row>
    <row r="208" spans="1:34" ht="40.5" customHeight="1">
      <c r="A208" s="9392"/>
      <c r="B208" s="9661"/>
      <c r="C208" s="9841"/>
      <c r="D208" s="9311"/>
      <c r="E208" s="9311"/>
      <c r="F208" s="9311"/>
      <c r="G208" s="9311"/>
      <c r="H208" s="9311"/>
      <c r="I208" s="9311"/>
      <c r="J208" s="9433"/>
      <c r="K208" s="9311"/>
      <c r="L208" s="9311"/>
      <c r="M208" s="9313"/>
      <c r="N208" s="9313"/>
      <c r="O208" s="9313"/>
      <c r="P208" s="9311"/>
      <c r="Q208" s="9311"/>
      <c r="R208" s="9315"/>
      <c r="S208" s="567"/>
      <c r="T208" s="6780"/>
      <c r="U208" s="6781"/>
      <c r="V208" s="575"/>
      <c r="W208" s="6837"/>
      <c r="X208" s="48"/>
      <c r="Y208" s="4910"/>
      <c r="Z208" s="4910"/>
      <c r="AA208" s="4910"/>
      <c r="AB208" s="4911"/>
      <c r="AC208" s="4880"/>
      <c r="AD208" s="50"/>
      <c r="AE208" s="48"/>
      <c r="AF208" s="48"/>
      <c r="AG208" s="218"/>
      <c r="AH208" s="9857"/>
    </row>
    <row r="209" spans="1:34" ht="40.5" customHeight="1">
      <c r="A209" s="9392"/>
      <c r="B209" s="9661"/>
      <c r="C209" s="9841"/>
      <c r="D209" s="9311"/>
      <c r="E209" s="9311"/>
      <c r="F209" s="9311"/>
      <c r="G209" s="9311"/>
      <c r="H209" s="9311"/>
      <c r="I209" s="9311"/>
      <c r="J209" s="9433"/>
      <c r="K209" s="9311"/>
      <c r="L209" s="9311"/>
      <c r="M209" s="9313"/>
      <c r="N209" s="9313"/>
      <c r="O209" s="9313"/>
      <c r="P209" s="9311"/>
      <c r="Q209" s="9311"/>
      <c r="R209" s="9315"/>
      <c r="S209" s="567"/>
      <c r="T209" s="6780"/>
      <c r="U209" s="6781"/>
      <c r="V209" s="575"/>
      <c r="W209" s="6837"/>
      <c r="X209" s="48"/>
      <c r="Y209" s="4910"/>
      <c r="Z209" s="4910"/>
      <c r="AA209" s="4910"/>
      <c r="AB209" s="4911"/>
      <c r="AC209" s="4880"/>
      <c r="AD209" s="50"/>
      <c r="AE209" s="48"/>
      <c r="AF209" s="48"/>
      <c r="AG209" s="218"/>
      <c r="AH209" s="9857"/>
    </row>
    <row r="210" spans="1:34" ht="40.5" customHeight="1">
      <c r="A210" s="9392"/>
      <c r="B210" s="9661"/>
      <c r="C210" s="9842"/>
      <c r="D210" s="9312"/>
      <c r="E210" s="9312"/>
      <c r="F210" s="9312"/>
      <c r="G210" s="9312"/>
      <c r="H210" s="9312"/>
      <c r="I210" s="9312"/>
      <c r="J210" s="9434"/>
      <c r="K210" s="9312"/>
      <c r="L210" s="9312"/>
      <c r="M210" s="9314"/>
      <c r="N210" s="9314"/>
      <c r="O210" s="9314"/>
      <c r="P210" s="9312"/>
      <c r="Q210" s="9312"/>
      <c r="R210" s="9316"/>
      <c r="S210" s="568"/>
      <c r="T210" s="6784"/>
      <c r="U210" s="6785"/>
      <c r="V210" s="577"/>
      <c r="W210" s="6839"/>
      <c r="X210" s="64"/>
      <c r="Y210" s="4914"/>
      <c r="Z210" s="4914"/>
      <c r="AA210" s="4914"/>
      <c r="AB210" s="4916"/>
      <c r="AC210" s="4882"/>
      <c r="AD210" s="63"/>
      <c r="AE210" s="64"/>
      <c r="AF210" s="64"/>
      <c r="AG210" s="219"/>
      <c r="AH210" s="9858"/>
    </row>
    <row r="211" spans="1:34" ht="33" customHeight="1">
      <c r="A211" s="9392"/>
      <c r="B211" s="9661"/>
      <c r="C211" s="9280" t="s">
        <v>127</v>
      </c>
      <c r="D211" s="8782" t="s">
        <v>128</v>
      </c>
      <c r="E211" s="8782" t="s">
        <v>129</v>
      </c>
      <c r="F211" s="8782" t="s">
        <v>268</v>
      </c>
      <c r="G211" s="8977" t="s">
        <v>131</v>
      </c>
      <c r="H211" s="8782" t="s">
        <v>132</v>
      </c>
      <c r="I211" s="8782" t="s">
        <v>159</v>
      </c>
      <c r="J211" s="8780" t="s">
        <v>2137</v>
      </c>
      <c r="K211" s="8834" t="s">
        <v>2138</v>
      </c>
      <c r="L211" s="8782" t="s">
        <v>2139</v>
      </c>
      <c r="M211" s="8823">
        <v>1</v>
      </c>
      <c r="N211" s="8823">
        <v>0</v>
      </c>
      <c r="O211" s="8823">
        <v>0</v>
      </c>
      <c r="P211" s="8782" t="s">
        <v>2140</v>
      </c>
      <c r="Q211" s="8782" t="s">
        <v>2141</v>
      </c>
      <c r="R211" s="8957" t="s">
        <v>2131</v>
      </c>
      <c r="S211" s="564"/>
      <c r="T211" s="4849"/>
      <c r="U211" s="6783"/>
      <c r="V211" s="580"/>
      <c r="W211" s="6838"/>
      <c r="X211" s="53"/>
      <c r="Y211" s="4917"/>
      <c r="Z211" s="4917"/>
      <c r="AA211" s="4917"/>
      <c r="AB211" s="4918"/>
      <c r="AC211" s="4875"/>
      <c r="AD211" s="67"/>
      <c r="AE211" s="53"/>
      <c r="AF211" s="73"/>
      <c r="AG211" s="435"/>
      <c r="AH211" s="9856"/>
    </row>
    <row r="212" spans="1:34" ht="33" customHeight="1">
      <c r="A212" s="9392"/>
      <c r="B212" s="9661"/>
      <c r="C212" s="9841"/>
      <c r="D212" s="9311"/>
      <c r="E212" s="9311"/>
      <c r="F212" s="9311"/>
      <c r="G212" s="9311"/>
      <c r="H212" s="9311"/>
      <c r="I212" s="9311"/>
      <c r="J212" s="9433"/>
      <c r="K212" s="9311"/>
      <c r="L212" s="9311"/>
      <c r="M212" s="9313"/>
      <c r="N212" s="9313"/>
      <c r="O212" s="9313"/>
      <c r="P212" s="9311"/>
      <c r="Q212" s="9311"/>
      <c r="R212" s="9315"/>
      <c r="S212" s="563"/>
      <c r="T212" s="4849"/>
      <c r="U212" s="6782"/>
      <c r="V212" s="575"/>
      <c r="W212" s="6837"/>
      <c r="X212" s="48"/>
      <c r="Y212" s="4910"/>
      <c r="Z212" s="4910"/>
      <c r="AA212" s="4910"/>
      <c r="AB212" s="4911"/>
      <c r="AC212" s="4880"/>
      <c r="AD212" s="50"/>
      <c r="AE212" s="48"/>
      <c r="AF212" s="51"/>
      <c r="AG212" s="218"/>
      <c r="AH212" s="9857"/>
    </row>
    <row r="213" spans="1:34" ht="33" customHeight="1">
      <c r="A213" s="9392"/>
      <c r="B213" s="9661"/>
      <c r="C213" s="9841"/>
      <c r="D213" s="9311"/>
      <c r="E213" s="9311"/>
      <c r="F213" s="9311"/>
      <c r="G213" s="9311"/>
      <c r="H213" s="9311"/>
      <c r="I213" s="9311"/>
      <c r="J213" s="9433"/>
      <c r="K213" s="9311"/>
      <c r="L213" s="9311"/>
      <c r="M213" s="9313"/>
      <c r="N213" s="9313"/>
      <c r="O213" s="9313"/>
      <c r="P213" s="9311"/>
      <c r="Q213" s="9311"/>
      <c r="R213" s="9315"/>
      <c r="S213" s="567"/>
      <c r="T213" s="6780"/>
      <c r="U213" s="6781"/>
      <c r="V213" s="575"/>
      <c r="W213" s="6837"/>
      <c r="X213" s="48"/>
      <c r="Y213" s="4910"/>
      <c r="Z213" s="4910"/>
      <c r="AA213" s="4910"/>
      <c r="AB213" s="4911"/>
      <c r="AC213" s="4880"/>
      <c r="AD213" s="50"/>
      <c r="AE213" s="48"/>
      <c r="AF213" s="51"/>
      <c r="AG213" s="218"/>
      <c r="AH213" s="9857"/>
    </row>
    <row r="214" spans="1:34" ht="33" customHeight="1">
      <c r="A214" s="9392"/>
      <c r="B214" s="9661"/>
      <c r="C214" s="9841"/>
      <c r="D214" s="9311"/>
      <c r="E214" s="9311"/>
      <c r="F214" s="9311"/>
      <c r="G214" s="9311"/>
      <c r="H214" s="9311"/>
      <c r="I214" s="9311"/>
      <c r="J214" s="9433"/>
      <c r="K214" s="9311"/>
      <c r="L214" s="9311"/>
      <c r="M214" s="9313"/>
      <c r="N214" s="9313"/>
      <c r="O214" s="9313"/>
      <c r="P214" s="9311"/>
      <c r="Q214" s="9311"/>
      <c r="R214" s="9315"/>
      <c r="S214" s="567"/>
      <c r="T214" s="6780"/>
      <c r="U214" s="6781"/>
      <c r="V214" s="575"/>
      <c r="W214" s="6837"/>
      <c r="X214" s="48"/>
      <c r="Y214" s="4910"/>
      <c r="Z214" s="4910"/>
      <c r="AA214" s="4910"/>
      <c r="AB214" s="4911"/>
      <c r="AC214" s="4880"/>
      <c r="AD214" s="50"/>
      <c r="AE214" s="48"/>
      <c r="AF214" s="51"/>
      <c r="AG214" s="218"/>
      <c r="AH214" s="9857"/>
    </row>
    <row r="215" spans="1:34" ht="33" customHeight="1">
      <c r="A215" s="9392"/>
      <c r="B215" s="9661"/>
      <c r="C215" s="9842"/>
      <c r="D215" s="9312"/>
      <c r="E215" s="9312"/>
      <c r="F215" s="9312"/>
      <c r="G215" s="9312"/>
      <c r="H215" s="9312"/>
      <c r="I215" s="9312"/>
      <c r="J215" s="9434"/>
      <c r="K215" s="9312"/>
      <c r="L215" s="9312"/>
      <c r="M215" s="9314"/>
      <c r="N215" s="9314"/>
      <c r="O215" s="9314"/>
      <c r="P215" s="9312"/>
      <c r="Q215" s="9312"/>
      <c r="R215" s="9316"/>
      <c r="S215" s="568"/>
      <c r="T215" s="6784"/>
      <c r="U215" s="6800"/>
      <c r="V215" s="581"/>
      <c r="W215" s="6845"/>
      <c r="X215" s="453"/>
      <c r="Y215" s="4912"/>
      <c r="Z215" s="4914"/>
      <c r="AA215" s="4914"/>
      <c r="AB215" s="4913"/>
      <c r="AC215" s="4881"/>
      <c r="AD215" s="455"/>
      <c r="AE215" s="453"/>
      <c r="AF215" s="456"/>
      <c r="AG215" s="221"/>
      <c r="AH215" s="9858"/>
    </row>
    <row r="216" spans="1:34" ht="27" customHeight="1">
      <c r="A216" s="9392"/>
      <c r="B216" s="9661"/>
      <c r="C216" s="9280" t="s">
        <v>127</v>
      </c>
      <c r="D216" s="8782" t="s">
        <v>128</v>
      </c>
      <c r="E216" s="8782" t="s">
        <v>129</v>
      </c>
      <c r="F216" s="8782" t="s">
        <v>268</v>
      </c>
      <c r="G216" s="8977" t="s">
        <v>131</v>
      </c>
      <c r="H216" s="8782" t="s">
        <v>132</v>
      </c>
      <c r="I216" s="8782" t="s">
        <v>159</v>
      </c>
      <c r="J216" s="9028" t="s">
        <v>2142</v>
      </c>
      <c r="K216" s="8782" t="s">
        <v>2143</v>
      </c>
      <c r="L216" s="8782" t="s">
        <v>2144</v>
      </c>
      <c r="M216" s="8823">
        <v>1</v>
      </c>
      <c r="N216" s="8823">
        <v>0</v>
      </c>
      <c r="O216" s="8823">
        <v>0</v>
      </c>
      <c r="P216" s="8782" t="s">
        <v>2145</v>
      </c>
      <c r="Q216" s="8782" t="s">
        <v>2146</v>
      </c>
      <c r="R216" s="8957" t="s">
        <v>2131</v>
      </c>
      <c r="S216" s="566"/>
      <c r="T216" s="4859"/>
      <c r="U216" s="6829"/>
      <c r="V216" s="579"/>
      <c r="W216" s="6840"/>
      <c r="X216" s="76"/>
      <c r="Y216" s="4922"/>
      <c r="Z216" s="4922"/>
      <c r="AA216" s="4922"/>
      <c r="AB216" s="4923"/>
      <c r="AC216" s="4883"/>
      <c r="AD216" s="78"/>
      <c r="AE216" s="76"/>
      <c r="AF216" s="79"/>
      <c r="AG216" s="436"/>
      <c r="AH216" s="9856"/>
    </row>
    <row r="217" spans="1:34" ht="27" customHeight="1">
      <c r="A217" s="9392"/>
      <c r="B217" s="9661"/>
      <c r="C217" s="9841"/>
      <c r="D217" s="9311"/>
      <c r="E217" s="9311"/>
      <c r="F217" s="9311"/>
      <c r="G217" s="9311"/>
      <c r="H217" s="9311"/>
      <c r="I217" s="9311"/>
      <c r="J217" s="9489"/>
      <c r="K217" s="9311"/>
      <c r="L217" s="9311"/>
      <c r="M217" s="9313"/>
      <c r="N217" s="9313"/>
      <c r="O217" s="9313"/>
      <c r="P217" s="9311"/>
      <c r="Q217" s="9311"/>
      <c r="R217" s="9315"/>
      <c r="S217" s="569"/>
      <c r="T217" s="6780"/>
      <c r="U217" s="6781"/>
      <c r="V217" s="575"/>
      <c r="W217" s="6837"/>
      <c r="X217" s="48"/>
      <c r="Y217" s="4910"/>
      <c r="Z217" s="4910"/>
      <c r="AA217" s="4910"/>
      <c r="AB217" s="4911"/>
      <c r="AC217" s="4880"/>
      <c r="AD217" s="50"/>
      <c r="AE217" s="48"/>
      <c r="AF217" s="51"/>
      <c r="AG217" s="218"/>
      <c r="AH217" s="9857"/>
    </row>
    <row r="218" spans="1:34" ht="27" customHeight="1">
      <c r="A218" s="9392"/>
      <c r="B218" s="9661"/>
      <c r="C218" s="9841"/>
      <c r="D218" s="9311"/>
      <c r="E218" s="9311"/>
      <c r="F218" s="9311"/>
      <c r="G218" s="9311"/>
      <c r="H218" s="9311"/>
      <c r="I218" s="9311"/>
      <c r="J218" s="9489"/>
      <c r="K218" s="9311"/>
      <c r="L218" s="9311"/>
      <c r="M218" s="9313"/>
      <c r="N218" s="9313"/>
      <c r="O218" s="9313"/>
      <c r="P218" s="9311"/>
      <c r="Q218" s="9311"/>
      <c r="R218" s="9315"/>
      <c r="S218" s="569"/>
      <c r="T218" s="6780"/>
      <c r="U218" s="6781"/>
      <c r="V218" s="575"/>
      <c r="W218" s="6837"/>
      <c r="X218" s="48"/>
      <c r="Y218" s="4910"/>
      <c r="Z218" s="4910"/>
      <c r="AA218" s="4910"/>
      <c r="AB218" s="4911"/>
      <c r="AC218" s="4880"/>
      <c r="AD218" s="50"/>
      <c r="AE218" s="48"/>
      <c r="AF218" s="51"/>
      <c r="AG218" s="218"/>
      <c r="AH218" s="9857"/>
    </row>
    <row r="219" spans="1:34" ht="27" customHeight="1">
      <c r="A219" s="9392"/>
      <c r="B219" s="9661"/>
      <c r="C219" s="9841"/>
      <c r="D219" s="9311"/>
      <c r="E219" s="9311"/>
      <c r="F219" s="9311"/>
      <c r="G219" s="9311"/>
      <c r="H219" s="9311"/>
      <c r="I219" s="9311"/>
      <c r="J219" s="9489"/>
      <c r="K219" s="9311"/>
      <c r="L219" s="9311"/>
      <c r="M219" s="9313"/>
      <c r="N219" s="9313"/>
      <c r="O219" s="9313"/>
      <c r="P219" s="9311"/>
      <c r="Q219" s="9311"/>
      <c r="R219" s="9315"/>
      <c r="S219" s="569"/>
      <c r="T219" s="6780"/>
      <c r="U219" s="6781"/>
      <c r="V219" s="575"/>
      <c r="W219" s="6837"/>
      <c r="X219" s="48"/>
      <c r="Y219" s="4910"/>
      <c r="Z219" s="4910"/>
      <c r="AA219" s="4910"/>
      <c r="AB219" s="4911"/>
      <c r="AC219" s="4880"/>
      <c r="AD219" s="50"/>
      <c r="AE219" s="48"/>
      <c r="AF219" s="51"/>
      <c r="AG219" s="218"/>
      <c r="AH219" s="9857"/>
    </row>
    <row r="220" spans="1:34" ht="27" customHeight="1">
      <c r="A220" s="9392"/>
      <c r="B220" s="9661"/>
      <c r="C220" s="9842"/>
      <c r="D220" s="9312"/>
      <c r="E220" s="9312"/>
      <c r="F220" s="9312"/>
      <c r="G220" s="9312"/>
      <c r="H220" s="9312"/>
      <c r="I220" s="9312"/>
      <c r="J220" s="9443"/>
      <c r="K220" s="9312"/>
      <c r="L220" s="9312"/>
      <c r="M220" s="9314"/>
      <c r="N220" s="9314"/>
      <c r="O220" s="9314"/>
      <c r="P220" s="9312"/>
      <c r="Q220" s="9312"/>
      <c r="R220" s="9316"/>
      <c r="S220" s="573"/>
      <c r="T220" s="6784"/>
      <c r="U220" s="6785"/>
      <c r="V220" s="577"/>
      <c r="W220" s="6839"/>
      <c r="X220" s="64"/>
      <c r="Y220" s="4914"/>
      <c r="Z220" s="4914"/>
      <c r="AA220" s="4914"/>
      <c r="AB220" s="4916"/>
      <c r="AC220" s="4882"/>
      <c r="AD220" s="63"/>
      <c r="AE220" s="64"/>
      <c r="AF220" s="65"/>
      <c r="AG220" s="219"/>
      <c r="AH220" s="9858"/>
    </row>
    <row r="221" spans="1:34" ht="31.5" customHeight="1">
      <c r="A221" s="9392"/>
      <c r="B221" s="9661"/>
      <c r="C221" s="9280" t="s">
        <v>127</v>
      </c>
      <c r="D221" s="8782" t="s">
        <v>128</v>
      </c>
      <c r="E221" s="8782" t="s">
        <v>140</v>
      </c>
      <c r="F221" s="8782" t="s">
        <v>212</v>
      </c>
      <c r="G221" s="8977" t="s">
        <v>131</v>
      </c>
      <c r="H221" s="8782" t="s">
        <v>1304</v>
      </c>
      <c r="I221" s="8834" t="s">
        <v>214</v>
      </c>
      <c r="J221" s="9870" t="s">
        <v>2147</v>
      </c>
      <c r="K221" s="8834" t="s">
        <v>2148</v>
      </c>
      <c r="L221" s="8834" t="s">
        <v>2149</v>
      </c>
      <c r="M221" s="8823">
        <v>0</v>
      </c>
      <c r="N221" s="8823">
        <v>0</v>
      </c>
      <c r="O221" s="8823">
        <v>1</v>
      </c>
      <c r="P221" s="8782" t="s">
        <v>2150</v>
      </c>
      <c r="Q221" s="8782" t="s">
        <v>2151</v>
      </c>
      <c r="R221" s="8957" t="s">
        <v>2131</v>
      </c>
      <c r="S221" s="747" t="s">
        <v>81</v>
      </c>
      <c r="T221" s="4859">
        <v>530302</v>
      </c>
      <c r="U221" s="6794"/>
      <c r="V221" s="579" t="s">
        <v>2152</v>
      </c>
      <c r="W221" s="6864"/>
      <c r="X221" s="222"/>
      <c r="Y221" s="4922"/>
      <c r="Z221" s="4923"/>
      <c r="AA221" s="4874"/>
      <c r="AB221" s="6889">
        <f>SUM($AA$222)</f>
        <v>1120</v>
      </c>
      <c r="AC221" s="4875" t="s">
        <v>26</v>
      </c>
      <c r="AD221" s="67"/>
      <c r="AE221" s="76"/>
      <c r="AF221" s="79"/>
      <c r="AG221" s="436"/>
      <c r="AH221" s="9856"/>
    </row>
    <row r="222" spans="1:34" ht="38.25">
      <c r="A222" s="9392"/>
      <c r="B222" s="9661"/>
      <c r="C222" s="9841"/>
      <c r="D222" s="9311"/>
      <c r="E222" s="9311"/>
      <c r="F222" s="9311"/>
      <c r="G222" s="9311"/>
      <c r="H222" s="9311"/>
      <c r="I222" s="9311"/>
      <c r="J222" s="9433"/>
      <c r="K222" s="9311"/>
      <c r="L222" s="9311"/>
      <c r="M222" s="9313"/>
      <c r="N222" s="9313"/>
      <c r="O222" s="9313"/>
      <c r="P222" s="9311"/>
      <c r="Q222" s="9311"/>
      <c r="R222" s="9315"/>
      <c r="S222" s="569"/>
      <c r="T222" s="6795"/>
      <c r="U222" s="6796" t="s">
        <v>2153</v>
      </c>
      <c r="V222" s="575" t="s">
        <v>2154</v>
      </c>
      <c r="W222" s="6847">
        <v>1</v>
      </c>
      <c r="X222" s="133" t="s">
        <v>152</v>
      </c>
      <c r="Y222" s="4910">
        <v>1000</v>
      </c>
      <c r="Z222" s="4910">
        <f>+W222*Y222</f>
        <v>1000</v>
      </c>
      <c r="AA222" s="4910">
        <f>+Z222*1.12</f>
        <v>1120</v>
      </c>
      <c r="AB222" s="4910"/>
      <c r="AC222" s="6425"/>
      <c r="AD222" s="49"/>
      <c r="AE222" s="48"/>
      <c r="AF222" s="51"/>
      <c r="AG222" s="218" t="s">
        <v>153</v>
      </c>
      <c r="AH222" s="9857"/>
    </row>
    <row r="223" spans="1:34" ht="31.5" customHeight="1">
      <c r="A223" s="9392"/>
      <c r="B223" s="9661"/>
      <c r="C223" s="9841"/>
      <c r="D223" s="9311"/>
      <c r="E223" s="9311"/>
      <c r="F223" s="9311"/>
      <c r="G223" s="9311"/>
      <c r="H223" s="9311"/>
      <c r="I223" s="9311"/>
      <c r="J223" s="9433"/>
      <c r="K223" s="9311"/>
      <c r="L223" s="9311"/>
      <c r="M223" s="9313"/>
      <c r="N223" s="9313"/>
      <c r="O223" s="9313"/>
      <c r="P223" s="9311"/>
      <c r="Q223" s="9311"/>
      <c r="R223" s="9315"/>
      <c r="S223" s="621" t="s">
        <v>81</v>
      </c>
      <c r="T223" s="4849">
        <v>530239</v>
      </c>
      <c r="U223" s="6796"/>
      <c r="V223" s="583" t="s">
        <v>1323</v>
      </c>
      <c r="W223" s="6847"/>
      <c r="X223" s="133"/>
      <c r="Y223" s="4910"/>
      <c r="Z223" s="4911"/>
      <c r="AA223" s="4869"/>
      <c r="AB223" s="7986">
        <f>SUM($AA$224:$AA$225)</f>
        <v>2240</v>
      </c>
      <c r="AC223" s="4880" t="s">
        <v>26</v>
      </c>
      <c r="AD223" s="50"/>
      <c r="AE223" s="48"/>
      <c r="AF223" s="51"/>
      <c r="AG223" s="218"/>
      <c r="AH223" s="9857"/>
    </row>
    <row r="224" spans="1:34" ht="31.5" customHeight="1">
      <c r="A224" s="9392"/>
      <c r="B224" s="9661"/>
      <c r="C224" s="9841"/>
      <c r="D224" s="9311"/>
      <c r="E224" s="9311"/>
      <c r="F224" s="9311"/>
      <c r="G224" s="9311"/>
      <c r="H224" s="9311"/>
      <c r="I224" s="9311"/>
      <c r="J224" s="9433"/>
      <c r="K224" s="9311"/>
      <c r="L224" s="9311"/>
      <c r="M224" s="9313"/>
      <c r="N224" s="9313"/>
      <c r="O224" s="9313"/>
      <c r="P224" s="9311"/>
      <c r="Q224" s="9311"/>
      <c r="R224" s="9315"/>
      <c r="S224" s="569"/>
      <c r="T224" s="6795"/>
      <c r="U224" s="6796"/>
      <c r="V224" s="3173" t="s">
        <v>2155</v>
      </c>
      <c r="W224" s="6865">
        <v>1</v>
      </c>
      <c r="X224" s="3306" t="s">
        <v>152</v>
      </c>
      <c r="Y224" s="4907">
        <v>975</v>
      </c>
      <c r="Z224" s="4907">
        <f t="shared" ref="Z224:Z225" si="19">+W224*Y224</f>
        <v>975</v>
      </c>
      <c r="AA224" s="4907">
        <f>Z224</f>
        <v>975</v>
      </c>
      <c r="AB224" s="4910"/>
      <c r="AC224" s="6425"/>
      <c r="AD224" s="49"/>
      <c r="AE224" s="48"/>
      <c r="AF224" s="51"/>
      <c r="AG224" s="218" t="s">
        <v>153</v>
      </c>
      <c r="AH224" s="9857"/>
    </row>
    <row r="225" spans="1:34" ht="31.5" customHeight="1">
      <c r="A225" s="9392"/>
      <c r="B225" s="9661"/>
      <c r="C225" s="9842"/>
      <c r="D225" s="9312"/>
      <c r="E225" s="9312"/>
      <c r="F225" s="9312"/>
      <c r="G225" s="9312"/>
      <c r="H225" s="9312"/>
      <c r="I225" s="9312"/>
      <c r="J225" s="9434"/>
      <c r="K225" s="9312"/>
      <c r="L225" s="9312"/>
      <c r="M225" s="9314"/>
      <c r="N225" s="9314"/>
      <c r="O225" s="9314"/>
      <c r="P225" s="9312"/>
      <c r="Q225" s="9312"/>
      <c r="R225" s="9316"/>
      <c r="S225" s="573"/>
      <c r="T225" s="6833"/>
      <c r="U225" s="6834"/>
      <c r="V225" s="577" t="s">
        <v>2156</v>
      </c>
      <c r="W225" s="6866">
        <v>1</v>
      </c>
      <c r="X225" s="134" t="s">
        <v>152</v>
      </c>
      <c r="Y225" s="8133">
        <v>1265</v>
      </c>
      <c r="Z225" s="8133">
        <f t="shared" si="19"/>
        <v>1265</v>
      </c>
      <c r="AA225" s="8133">
        <f>Z225</f>
        <v>1265</v>
      </c>
      <c r="AB225" s="4914"/>
      <c r="AC225" s="6908"/>
      <c r="AD225" s="72"/>
      <c r="AE225" s="64"/>
      <c r="AF225" s="65"/>
      <c r="AG225" s="219" t="s">
        <v>153</v>
      </c>
      <c r="AH225" s="9858"/>
    </row>
    <row r="226" spans="1:34" ht="46.5" customHeight="1">
      <c r="A226" s="9392"/>
      <c r="B226" s="9661"/>
      <c r="C226" s="9283" t="s">
        <v>183</v>
      </c>
      <c r="D226" s="8834" t="s">
        <v>184</v>
      </c>
      <c r="E226" s="8834" t="s">
        <v>245</v>
      </c>
      <c r="F226" s="8834" t="s">
        <v>246</v>
      </c>
      <c r="G226" s="8974" t="s">
        <v>230</v>
      </c>
      <c r="H226" s="8834" t="s">
        <v>1304</v>
      </c>
      <c r="I226" s="8834" t="s">
        <v>159</v>
      </c>
      <c r="J226" s="9870" t="s">
        <v>2157</v>
      </c>
      <c r="K226" s="8834" t="s">
        <v>2158</v>
      </c>
      <c r="L226" s="8834" t="s">
        <v>2159</v>
      </c>
      <c r="M226" s="8856">
        <v>0</v>
      </c>
      <c r="N226" s="8856">
        <v>0</v>
      </c>
      <c r="O226" s="8856">
        <v>1</v>
      </c>
      <c r="P226" s="8834" t="s">
        <v>2160</v>
      </c>
      <c r="Q226" s="8834" t="s">
        <v>2161</v>
      </c>
      <c r="R226" s="8982" t="s">
        <v>2131</v>
      </c>
      <c r="S226" s="563"/>
      <c r="T226" s="6815"/>
      <c r="U226" s="6816"/>
      <c r="V226" s="591"/>
      <c r="W226" s="6867"/>
      <c r="X226" s="132"/>
      <c r="Y226" s="4917"/>
      <c r="Z226" s="4918"/>
      <c r="AA226" s="4872"/>
      <c r="AB226" s="6890"/>
      <c r="AC226" s="6890"/>
      <c r="AD226" s="73"/>
      <c r="AE226" s="53"/>
      <c r="AF226" s="73"/>
      <c r="AG226" s="435"/>
      <c r="AH226" s="9884"/>
    </row>
    <row r="227" spans="1:34" ht="46.5" customHeight="1">
      <c r="A227" s="9392"/>
      <c r="B227" s="9661"/>
      <c r="C227" s="9841"/>
      <c r="D227" s="9311"/>
      <c r="E227" s="9311"/>
      <c r="F227" s="9311"/>
      <c r="G227" s="9311"/>
      <c r="H227" s="9311"/>
      <c r="I227" s="9311"/>
      <c r="J227" s="9433"/>
      <c r="K227" s="9311"/>
      <c r="L227" s="9311"/>
      <c r="M227" s="9313"/>
      <c r="N227" s="9313"/>
      <c r="O227" s="9313"/>
      <c r="P227" s="9311"/>
      <c r="Q227" s="9311"/>
      <c r="R227" s="9315"/>
      <c r="S227" s="567"/>
      <c r="T227" s="6780"/>
      <c r="U227" s="6781"/>
      <c r="V227" s="575"/>
      <c r="W227" s="6837"/>
      <c r="X227" s="48"/>
      <c r="Y227" s="4910"/>
      <c r="Z227" s="4910"/>
      <c r="AA227" s="4910"/>
      <c r="AB227" s="4911"/>
      <c r="AC227" s="4880"/>
      <c r="AD227" s="50"/>
      <c r="AE227" s="48"/>
      <c r="AF227" s="51"/>
      <c r="AG227" s="218"/>
      <c r="AH227" s="9857"/>
    </row>
    <row r="228" spans="1:34" ht="46.5" customHeight="1">
      <c r="A228" s="9392"/>
      <c r="B228" s="9661"/>
      <c r="C228" s="9841"/>
      <c r="D228" s="9311"/>
      <c r="E228" s="9311"/>
      <c r="F228" s="9311"/>
      <c r="G228" s="9311"/>
      <c r="H228" s="9311"/>
      <c r="I228" s="9311"/>
      <c r="J228" s="9433"/>
      <c r="K228" s="9311"/>
      <c r="L228" s="9311"/>
      <c r="M228" s="9313"/>
      <c r="N228" s="9313"/>
      <c r="O228" s="9313"/>
      <c r="P228" s="9311"/>
      <c r="Q228" s="9311"/>
      <c r="R228" s="9315"/>
      <c r="S228" s="563"/>
      <c r="T228" s="4849"/>
      <c r="U228" s="6782"/>
      <c r="V228" s="576"/>
      <c r="W228" s="6838"/>
      <c r="X228" s="53"/>
      <c r="Y228" s="4917"/>
      <c r="Z228" s="4910"/>
      <c r="AA228" s="4910"/>
      <c r="AB228" s="4911"/>
      <c r="AC228" s="4880"/>
      <c r="AD228" s="50"/>
      <c r="AE228" s="48"/>
      <c r="AF228" s="51"/>
      <c r="AG228" s="218"/>
      <c r="AH228" s="9857"/>
    </row>
    <row r="229" spans="1:34" ht="46.5" customHeight="1">
      <c r="A229" s="9392"/>
      <c r="B229" s="9661"/>
      <c r="C229" s="9841"/>
      <c r="D229" s="9311"/>
      <c r="E229" s="9311"/>
      <c r="F229" s="9311"/>
      <c r="G229" s="9311"/>
      <c r="H229" s="9311"/>
      <c r="I229" s="9311"/>
      <c r="J229" s="9433"/>
      <c r="K229" s="9311"/>
      <c r="L229" s="9311"/>
      <c r="M229" s="9313"/>
      <c r="N229" s="9313"/>
      <c r="O229" s="9313"/>
      <c r="P229" s="9311"/>
      <c r="Q229" s="9311"/>
      <c r="R229" s="9315"/>
      <c r="S229" s="563"/>
      <c r="T229" s="4849"/>
      <c r="U229" s="6783"/>
      <c r="V229" s="576"/>
      <c r="W229" s="6838"/>
      <c r="X229" s="53"/>
      <c r="Y229" s="4917"/>
      <c r="Z229" s="4910"/>
      <c r="AA229" s="4910"/>
      <c r="AB229" s="4911"/>
      <c r="AC229" s="4880"/>
      <c r="AD229" s="50"/>
      <c r="AE229" s="48"/>
      <c r="AF229" s="51"/>
      <c r="AG229" s="218"/>
      <c r="AH229" s="9857"/>
    </row>
    <row r="230" spans="1:34" ht="46.5" customHeight="1">
      <c r="A230" s="9392"/>
      <c r="B230" s="9661"/>
      <c r="C230" s="9842"/>
      <c r="D230" s="9312"/>
      <c r="E230" s="9312"/>
      <c r="F230" s="9312"/>
      <c r="G230" s="9312"/>
      <c r="H230" s="9312"/>
      <c r="I230" s="9312"/>
      <c r="J230" s="9434"/>
      <c r="K230" s="9312"/>
      <c r="L230" s="9312"/>
      <c r="M230" s="9314"/>
      <c r="N230" s="9314"/>
      <c r="O230" s="9314"/>
      <c r="P230" s="9312"/>
      <c r="Q230" s="9312"/>
      <c r="R230" s="9316"/>
      <c r="S230" s="568"/>
      <c r="T230" s="6784"/>
      <c r="U230" s="6785"/>
      <c r="V230" s="577"/>
      <c r="W230" s="6839"/>
      <c r="X230" s="64"/>
      <c r="Y230" s="4914"/>
      <c r="Z230" s="4914"/>
      <c r="AA230" s="4914"/>
      <c r="AB230" s="4916"/>
      <c r="AC230" s="4882"/>
      <c r="AD230" s="63"/>
      <c r="AE230" s="64"/>
      <c r="AF230" s="65"/>
      <c r="AG230" s="219"/>
      <c r="AH230" s="9858"/>
    </row>
    <row r="231" spans="1:34" ht="26.25" customHeight="1">
      <c r="A231" s="9392"/>
      <c r="B231" s="9661"/>
      <c r="C231" s="9280" t="s">
        <v>183</v>
      </c>
      <c r="D231" s="8782" t="s">
        <v>184</v>
      </c>
      <c r="E231" s="8782" t="s">
        <v>245</v>
      </c>
      <c r="F231" s="8782" t="s">
        <v>246</v>
      </c>
      <c r="G231" s="8977" t="s">
        <v>187</v>
      </c>
      <c r="H231" s="8782" t="s">
        <v>247</v>
      </c>
      <c r="I231" s="8782" t="s">
        <v>189</v>
      </c>
      <c r="J231" s="9217" t="s">
        <v>2162</v>
      </c>
      <c r="K231" s="8782" t="s">
        <v>2163</v>
      </c>
      <c r="L231" s="8782" t="s">
        <v>2164</v>
      </c>
      <c r="M231" s="8823">
        <v>0</v>
      </c>
      <c r="N231" s="8823">
        <v>0</v>
      </c>
      <c r="O231" s="8823">
        <v>1</v>
      </c>
      <c r="P231" s="8782" t="s">
        <v>2165</v>
      </c>
      <c r="Q231" s="8782" t="s">
        <v>2166</v>
      </c>
      <c r="R231" s="8957" t="s">
        <v>2131</v>
      </c>
      <c r="S231" s="563"/>
      <c r="T231" s="4849"/>
      <c r="U231" s="6783"/>
      <c r="V231" s="578"/>
      <c r="W231" s="6838"/>
      <c r="X231" s="53"/>
      <c r="Y231" s="4917"/>
      <c r="Z231" s="4917"/>
      <c r="AA231" s="4917"/>
      <c r="AB231" s="4918"/>
      <c r="AC231" s="4875"/>
      <c r="AD231" s="67"/>
      <c r="AE231" s="53"/>
      <c r="AF231" s="53"/>
      <c r="AG231" s="481"/>
      <c r="AH231" s="9856"/>
    </row>
    <row r="232" spans="1:34" ht="26.25" customHeight="1">
      <c r="A232" s="9392"/>
      <c r="B232" s="9661"/>
      <c r="C232" s="9841"/>
      <c r="D232" s="9311"/>
      <c r="E232" s="9311"/>
      <c r="F232" s="9311"/>
      <c r="G232" s="9311"/>
      <c r="H232" s="9311"/>
      <c r="I232" s="9311"/>
      <c r="J232" s="9433"/>
      <c r="K232" s="9311"/>
      <c r="L232" s="9311"/>
      <c r="M232" s="9313"/>
      <c r="N232" s="9313"/>
      <c r="O232" s="9313"/>
      <c r="P232" s="9311"/>
      <c r="Q232" s="9311"/>
      <c r="R232" s="9315"/>
      <c r="S232" s="567"/>
      <c r="T232" s="6780"/>
      <c r="U232" s="6781"/>
      <c r="V232" s="575"/>
      <c r="W232" s="6837"/>
      <c r="X232" s="48"/>
      <c r="Y232" s="4910"/>
      <c r="Z232" s="4910"/>
      <c r="AA232" s="4910"/>
      <c r="AB232" s="4911"/>
      <c r="AC232" s="4880"/>
      <c r="AD232" s="50"/>
      <c r="AE232" s="48"/>
      <c r="AF232" s="48"/>
      <c r="AG232" s="220"/>
      <c r="AH232" s="9857"/>
    </row>
    <row r="233" spans="1:34" ht="26.25" customHeight="1">
      <c r="A233" s="9392"/>
      <c r="B233" s="9661"/>
      <c r="C233" s="9841"/>
      <c r="D233" s="9311"/>
      <c r="E233" s="9311"/>
      <c r="F233" s="9311"/>
      <c r="G233" s="9311"/>
      <c r="H233" s="9311"/>
      <c r="I233" s="9311"/>
      <c r="J233" s="9433"/>
      <c r="K233" s="9311"/>
      <c r="L233" s="9311"/>
      <c r="M233" s="9313"/>
      <c r="N233" s="9313"/>
      <c r="O233" s="9313"/>
      <c r="P233" s="9311"/>
      <c r="Q233" s="9311"/>
      <c r="R233" s="9315"/>
      <c r="S233" s="567"/>
      <c r="T233" s="6780"/>
      <c r="U233" s="6781"/>
      <c r="V233" s="575"/>
      <c r="W233" s="6837"/>
      <c r="X233" s="48"/>
      <c r="Y233" s="4910"/>
      <c r="Z233" s="4910"/>
      <c r="AA233" s="4910"/>
      <c r="AB233" s="4911"/>
      <c r="AC233" s="4880"/>
      <c r="AD233" s="50"/>
      <c r="AE233" s="48"/>
      <c r="AF233" s="48"/>
      <c r="AG233" s="218"/>
      <c r="AH233" s="9857"/>
    </row>
    <row r="234" spans="1:34" ht="26.25" customHeight="1">
      <c r="A234" s="9392"/>
      <c r="B234" s="9661"/>
      <c r="C234" s="9841"/>
      <c r="D234" s="9311"/>
      <c r="E234" s="9311"/>
      <c r="F234" s="9311"/>
      <c r="G234" s="9311"/>
      <c r="H234" s="9311"/>
      <c r="I234" s="9311"/>
      <c r="J234" s="9433"/>
      <c r="K234" s="9311"/>
      <c r="L234" s="9311"/>
      <c r="M234" s="9313"/>
      <c r="N234" s="9313"/>
      <c r="O234" s="9313"/>
      <c r="P234" s="9311"/>
      <c r="Q234" s="9311"/>
      <c r="R234" s="9315"/>
      <c r="S234" s="567"/>
      <c r="T234" s="6780"/>
      <c r="U234" s="6781"/>
      <c r="V234" s="575"/>
      <c r="W234" s="6837"/>
      <c r="X234" s="48"/>
      <c r="Y234" s="4910"/>
      <c r="Z234" s="4910"/>
      <c r="AA234" s="4910"/>
      <c r="AB234" s="4911"/>
      <c r="AC234" s="4880"/>
      <c r="AD234" s="50"/>
      <c r="AE234" s="48"/>
      <c r="AF234" s="48"/>
      <c r="AG234" s="218"/>
      <c r="AH234" s="9857"/>
    </row>
    <row r="235" spans="1:34" ht="26.25" customHeight="1">
      <c r="A235" s="9392"/>
      <c r="B235" s="9661"/>
      <c r="C235" s="9842"/>
      <c r="D235" s="9312"/>
      <c r="E235" s="9312"/>
      <c r="F235" s="9312"/>
      <c r="G235" s="9312"/>
      <c r="H235" s="9312"/>
      <c r="I235" s="9312"/>
      <c r="J235" s="9434"/>
      <c r="K235" s="9312"/>
      <c r="L235" s="9312"/>
      <c r="M235" s="9314"/>
      <c r="N235" s="9314"/>
      <c r="O235" s="9314"/>
      <c r="P235" s="9312"/>
      <c r="Q235" s="9312"/>
      <c r="R235" s="9316"/>
      <c r="S235" s="568"/>
      <c r="T235" s="6784"/>
      <c r="U235" s="6785"/>
      <c r="V235" s="577"/>
      <c r="W235" s="6839"/>
      <c r="X235" s="64"/>
      <c r="Y235" s="4914"/>
      <c r="Z235" s="4914"/>
      <c r="AA235" s="4914"/>
      <c r="AB235" s="4916"/>
      <c r="AC235" s="4882"/>
      <c r="AD235" s="63"/>
      <c r="AE235" s="64"/>
      <c r="AF235" s="64"/>
      <c r="AG235" s="219"/>
      <c r="AH235" s="9858"/>
    </row>
    <row r="236" spans="1:34" ht="40.5" customHeight="1">
      <c r="A236" s="9392"/>
      <c r="B236" s="9661"/>
      <c r="C236" s="9280" t="s">
        <v>183</v>
      </c>
      <c r="D236" s="8782" t="s">
        <v>227</v>
      </c>
      <c r="E236" s="8782" t="s">
        <v>245</v>
      </c>
      <c r="F236" s="8782" t="s">
        <v>2167</v>
      </c>
      <c r="G236" s="8977" t="s">
        <v>230</v>
      </c>
      <c r="H236" s="8782" t="s">
        <v>231</v>
      </c>
      <c r="I236" s="8782" t="s">
        <v>133</v>
      </c>
      <c r="J236" s="8780" t="s">
        <v>2168</v>
      </c>
      <c r="K236" s="8782" t="s">
        <v>2169</v>
      </c>
      <c r="L236" s="8782" t="s">
        <v>2170</v>
      </c>
      <c r="M236" s="8823">
        <v>0</v>
      </c>
      <c r="N236" s="8823">
        <v>1</v>
      </c>
      <c r="O236" s="8823">
        <v>0</v>
      </c>
      <c r="P236" s="8782" t="s">
        <v>2171</v>
      </c>
      <c r="Q236" s="8782" t="s">
        <v>2172</v>
      </c>
      <c r="R236" s="8957" t="s">
        <v>2131</v>
      </c>
      <c r="S236" s="747" t="s">
        <v>81</v>
      </c>
      <c r="T236" s="6835">
        <v>530302</v>
      </c>
      <c r="U236" s="6816"/>
      <c r="V236" s="578" t="s">
        <v>2152</v>
      </c>
      <c r="W236" s="6867"/>
      <c r="X236" s="132"/>
      <c r="Y236" s="4917"/>
      <c r="Z236" s="6891"/>
      <c r="AA236" s="4872"/>
      <c r="AB236" s="6892">
        <f>SUM($AA$237:$AA$239)</f>
        <v>3360.0000000000005</v>
      </c>
      <c r="AC236" s="4875" t="s">
        <v>26</v>
      </c>
      <c r="AD236" s="67"/>
      <c r="AE236" s="53"/>
      <c r="AF236" s="73"/>
      <c r="AG236" s="435"/>
      <c r="AH236" s="9856"/>
    </row>
    <row r="237" spans="1:34" ht="40.5" customHeight="1">
      <c r="A237" s="9392"/>
      <c r="B237" s="9661"/>
      <c r="C237" s="9841"/>
      <c r="D237" s="9311"/>
      <c r="E237" s="9311"/>
      <c r="F237" s="9311"/>
      <c r="G237" s="9311"/>
      <c r="H237" s="9311"/>
      <c r="I237" s="9311"/>
      <c r="J237" s="9433"/>
      <c r="K237" s="9311"/>
      <c r="L237" s="9311"/>
      <c r="M237" s="9313"/>
      <c r="N237" s="9313"/>
      <c r="O237" s="9313"/>
      <c r="P237" s="9311"/>
      <c r="Q237" s="9311"/>
      <c r="R237" s="9315"/>
      <c r="S237" s="563"/>
      <c r="T237" s="6795"/>
      <c r="U237" s="6796" t="s">
        <v>2153</v>
      </c>
      <c r="V237" s="575" t="s">
        <v>2154</v>
      </c>
      <c r="W237" s="6847">
        <v>1</v>
      </c>
      <c r="X237" s="133" t="s">
        <v>152</v>
      </c>
      <c r="Y237" s="4910">
        <v>3000</v>
      </c>
      <c r="Z237" s="4910">
        <f t="shared" ref="Z237" si="20">+W237*Y237</f>
        <v>3000</v>
      </c>
      <c r="AA237" s="4910">
        <f t="shared" ref="AA237" si="21">+Z237*1.12</f>
        <v>3360.0000000000005</v>
      </c>
      <c r="AB237" s="6425"/>
      <c r="AC237" s="6425"/>
      <c r="AD237" s="51"/>
      <c r="AE237" s="48"/>
      <c r="AF237" s="51"/>
      <c r="AG237" s="218" t="s">
        <v>153</v>
      </c>
      <c r="AH237" s="9857"/>
    </row>
    <row r="238" spans="1:34" ht="40.5" customHeight="1">
      <c r="A238" s="9392"/>
      <c r="B238" s="9661"/>
      <c r="C238" s="9841"/>
      <c r="D238" s="9311"/>
      <c r="E238" s="9311"/>
      <c r="F238" s="9311"/>
      <c r="G238" s="9311"/>
      <c r="H238" s="9311"/>
      <c r="I238" s="9311"/>
      <c r="J238" s="9433"/>
      <c r="K238" s="9311"/>
      <c r="L238" s="9311"/>
      <c r="M238" s="9313"/>
      <c r="N238" s="9313"/>
      <c r="O238" s="9313"/>
      <c r="P238" s="9311"/>
      <c r="Q238" s="9311"/>
      <c r="R238" s="9315"/>
      <c r="S238" s="567"/>
      <c r="T238" s="6780"/>
      <c r="U238" s="6781"/>
      <c r="V238" s="575"/>
      <c r="W238" s="6837"/>
      <c r="X238" s="48"/>
      <c r="Y238" s="4910"/>
      <c r="Z238" s="4910"/>
      <c r="AA238" s="4910"/>
      <c r="AB238" s="4911"/>
      <c r="AC238" s="4880"/>
      <c r="AD238" s="50"/>
      <c r="AE238" s="48"/>
      <c r="AF238" s="51"/>
      <c r="AG238" s="218"/>
      <c r="AH238" s="9857"/>
    </row>
    <row r="239" spans="1:34" ht="40.5" customHeight="1">
      <c r="A239" s="9392"/>
      <c r="B239" s="9661"/>
      <c r="C239" s="9841"/>
      <c r="D239" s="9311"/>
      <c r="E239" s="9311"/>
      <c r="F239" s="9311"/>
      <c r="G239" s="9311"/>
      <c r="H239" s="9311"/>
      <c r="I239" s="9311"/>
      <c r="J239" s="9433"/>
      <c r="K239" s="9311"/>
      <c r="L239" s="9311"/>
      <c r="M239" s="9313"/>
      <c r="N239" s="9313"/>
      <c r="O239" s="9313"/>
      <c r="P239" s="9311"/>
      <c r="Q239" s="9311"/>
      <c r="R239" s="9315"/>
      <c r="S239" s="567"/>
      <c r="T239" s="6780"/>
      <c r="U239" s="6781"/>
      <c r="V239" s="575"/>
      <c r="W239" s="6837"/>
      <c r="X239" s="48"/>
      <c r="Y239" s="4910"/>
      <c r="Z239" s="4910"/>
      <c r="AA239" s="4910"/>
      <c r="AB239" s="4911"/>
      <c r="AC239" s="4880"/>
      <c r="AD239" s="50"/>
      <c r="AE239" s="48"/>
      <c r="AF239" s="51"/>
      <c r="AG239" s="218"/>
      <c r="AH239" s="9857"/>
    </row>
    <row r="240" spans="1:34" ht="40.5" customHeight="1">
      <c r="A240" s="9392"/>
      <c r="B240" s="9661"/>
      <c r="C240" s="9842"/>
      <c r="D240" s="9312"/>
      <c r="E240" s="9312"/>
      <c r="F240" s="9312"/>
      <c r="G240" s="9312"/>
      <c r="H240" s="9312"/>
      <c r="I240" s="9312"/>
      <c r="J240" s="9434"/>
      <c r="K240" s="9312"/>
      <c r="L240" s="9312"/>
      <c r="M240" s="9314"/>
      <c r="N240" s="9314"/>
      <c r="O240" s="9314"/>
      <c r="P240" s="9312"/>
      <c r="Q240" s="9312"/>
      <c r="R240" s="9316"/>
      <c r="S240" s="568"/>
      <c r="T240" s="6784"/>
      <c r="U240" s="6800"/>
      <c r="V240" s="581"/>
      <c r="W240" s="6845"/>
      <c r="X240" s="453"/>
      <c r="Y240" s="4912"/>
      <c r="Z240" s="4914"/>
      <c r="AA240" s="4914"/>
      <c r="AB240" s="4913"/>
      <c r="AC240" s="4881"/>
      <c r="AD240" s="455"/>
      <c r="AE240" s="453"/>
      <c r="AF240" s="456"/>
      <c r="AG240" s="221"/>
      <c r="AH240" s="9858"/>
    </row>
    <row r="241" spans="1:34" ht="26.25" customHeight="1">
      <c r="A241" s="9392"/>
      <c r="B241" s="9661"/>
      <c r="C241" s="9280" t="s">
        <v>127</v>
      </c>
      <c r="D241" s="8782" t="s">
        <v>128</v>
      </c>
      <c r="E241" s="8782" t="s">
        <v>140</v>
      </c>
      <c r="F241" s="8782" t="s">
        <v>141</v>
      </c>
      <c r="G241" s="8977" t="s">
        <v>131</v>
      </c>
      <c r="H241" s="8782" t="s">
        <v>132</v>
      </c>
      <c r="I241" s="8782" t="s">
        <v>159</v>
      </c>
      <c r="J241" s="9217" t="s">
        <v>2173</v>
      </c>
      <c r="K241" s="8782" t="s">
        <v>2174</v>
      </c>
      <c r="L241" s="8782" t="s">
        <v>2175</v>
      </c>
      <c r="M241" s="8823">
        <v>0</v>
      </c>
      <c r="N241" s="8823">
        <v>1</v>
      </c>
      <c r="O241" s="8823">
        <v>0</v>
      </c>
      <c r="P241" s="8782" t="s">
        <v>2176</v>
      </c>
      <c r="Q241" s="8782" t="s">
        <v>2177</v>
      </c>
      <c r="R241" s="8957" t="s">
        <v>2131</v>
      </c>
      <c r="S241" s="563"/>
      <c r="T241" s="4849"/>
      <c r="U241" s="6783"/>
      <c r="V241" s="579"/>
      <c r="W241" s="6840"/>
      <c r="X241" s="76"/>
      <c r="Y241" s="4922"/>
      <c r="Z241" s="4917"/>
      <c r="AA241" s="4917"/>
      <c r="AB241" s="4923"/>
      <c r="AC241" s="4883"/>
      <c r="AD241" s="78"/>
      <c r="AE241" s="76"/>
      <c r="AF241" s="79"/>
      <c r="AG241" s="436"/>
      <c r="AH241" s="9856"/>
    </row>
    <row r="242" spans="1:34" ht="26.25" customHeight="1">
      <c r="A242" s="9392"/>
      <c r="B242" s="9661"/>
      <c r="C242" s="9841"/>
      <c r="D242" s="9311"/>
      <c r="E242" s="9311"/>
      <c r="F242" s="9311"/>
      <c r="G242" s="9311"/>
      <c r="H242" s="9311"/>
      <c r="I242" s="9311"/>
      <c r="J242" s="9433"/>
      <c r="K242" s="9311"/>
      <c r="L242" s="9311"/>
      <c r="M242" s="9313"/>
      <c r="N242" s="9313"/>
      <c r="O242" s="9313"/>
      <c r="P242" s="9311"/>
      <c r="Q242" s="9311"/>
      <c r="R242" s="9315"/>
      <c r="S242" s="567"/>
      <c r="T242" s="6780"/>
      <c r="U242" s="6781"/>
      <c r="V242" s="575"/>
      <c r="W242" s="6837"/>
      <c r="X242" s="48"/>
      <c r="Y242" s="4910"/>
      <c r="Z242" s="4910"/>
      <c r="AA242" s="4910"/>
      <c r="AB242" s="4911"/>
      <c r="AC242" s="4880"/>
      <c r="AD242" s="50"/>
      <c r="AE242" s="48"/>
      <c r="AF242" s="51"/>
      <c r="AG242" s="218"/>
      <c r="AH242" s="9857"/>
    </row>
    <row r="243" spans="1:34" ht="26.25" customHeight="1">
      <c r="A243" s="9392"/>
      <c r="B243" s="9661"/>
      <c r="C243" s="9841"/>
      <c r="D243" s="9311"/>
      <c r="E243" s="9311"/>
      <c r="F243" s="9311"/>
      <c r="G243" s="9311"/>
      <c r="H243" s="9311"/>
      <c r="I243" s="9311"/>
      <c r="J243" s="9433"/>
      <c r="K243" s="9311"/>
      <c r="L243" s="9311"/>
      <c r="M243" s="9313"/>
      <c r="N243" s="9313"/>
      <c r="O243" s="9313"/>
      <c r="P243" s="9311"/>
      <c r="Q243" s="9311"/>
      <c r="R243" s="9315"/>
      <c r="S243" s="567"/>
      <c r="T243" s="6780"/>
      <c r="U243" s="6781"/>
      <c r="V243" s="575"/>
      <c r="W243" s="6837"/>
      <c r="X243" s="48"/>
      <c r="Y243" s="4910"/>
      <c r="Z243" s="4910"/>
      <c r="AA243" s="4910"/>
      <c r="AB243" s="4911"/>
      <c r="AC243" s="4880"/>
      <c r="AD243" s="50"/>
      <c r="AE243" s="48"/>
      <c r="AF243" s="51"/>
      <c r="AG243" s="218"/>
      <c r="AH243" s="9857"/>
    </row>
    <row r="244" spans="1:34" ht="26.25" customHeight="1">
      <c r="A244" s="9392"/>
      <c r="B244" s="9661"/>
      <c r="C244" s="9841"/>
      <c r="D244" s="9311"/>
      <c r="E244" s="9311"/>
      <c r="F244" s="9311"/>
      <c r="G244" s="9311"/>
      <c r="H244" s="9311"/>
      <c r="I244" s="9311"/>
      <c r="J244" s="9433"/>
      <c r="K244" s="9311"/>
      <c r="L244" s="9311"/>
      <c r="M244" s="9313"/>
      <c r="N244" s="9313"/>
      <c r="O244" s="9313"/>
      <c r="P244" s="9311"/>
      <c r="Q244" s="9311"/>
      <c r="R244" s="9315"/>
      <c r="S244" s="567"/>
      <c r="T244" s="6780"/>
      <c r="U244" s="6781"/>
      <c r="V244" s="575"/>
      <c r="W244" s="6837"/>
      <c r="X244" s="48"/>
      <c r="Y244" s="4910"/>
      <c r="Z244" s="4910"/>
      <c r="AA244" s="4910"/>
      <c r="AB244" s="4911"/>
      <c r="AC244" s="4880"/>
      <c r="AD244" s="50"/>
      <c r="AE244" s="48"/>
      <c r="AF244" s="51"/>
      <c r="AG244" s="218"/>
      <c r="AH244" s="9857"/>
    </row>
    <row r="245" spans="1:34" ht="26.25" customHeight="1">
      <c r="A245" s="9392"/>
      <c r="B245" s="9661"/>
      <c r="C245" s="9842"/>
      <c r="D245" s="9312"/>
      <c r="E245" s="9312"/>
      <c r="F245" s="9312"/>
      <c r="G245" s="9312"/>
      <c r="H245" s="9312"/>
      <c r="I245" s="9312"/>
      <c r="J245" s="9434"/>
      <c r="K245" s="9312"/>
      <c r="L245" s="9312"/>
      <c r="M245" s="9314"/>
      <c r="N245" s="9314"/>
      <c r="O245" s="9314"/>
      <c r="P245" s="9312"/>
      <c r="Q245" s="9312"/>
      <c r="R245" s="9316"/>
      <c r="S245" s="568"/>
      <c r="T245" s="6784"/>
      <c r="U245" s="6785"/>
      <c r="V245" s="577"/>
      <c r="W245" s="6839"/>
      <c r="X245" s="64"/>
      <c r="Y245" s="4914"/>
      <c r="Z245" s="4914"/>
      <c r="AA245" s="4914"/>
      <c r="AB245" s="4916"/>
      <c r="AC245" s="4882"/>
      <c r="AD245" s="63"/>
      <c r="AE245" s="64"/>
      <c r="AF245" s="65"/>
      <c r="AG245" s="219"/>
      <c r="AH245" s="9858"/>
    </row>
    <row r="246" spans="1:34" ht="25.5" customHeight="1">
      <c r="A246" s="9392"/>
      <c r="B246" s="9661"/>
      <c r="C246" s="9280" t="s">
        <v>127</v>
      </c>
      <c r="D246" s="8782" t="s">
        <v>128</v>
      </c>
      <c r="E246" s="8782" t="s">
        <v>129</v>
      </c>
      <c r="F246" s="8782" t="s">
        <v>327</v>
      </c>
      <c r="G246" s="8977" t="s">
        <v>131</v>
      </c>
      <c r="H246" s="8782" t="s">
        <v>132</v>
      </c>
      <c r="I246" s="8782" t="s">
        <v>133</v>
      </c>
      <c r="J246" s="9840" t="s">
        <v>2178</v>
      </c>
      <c r="K246" s="8782" t="s">
        <v>2179</v>
      </c>
      <c r="L246" s="8782" t="s">
        <v>2180</v>
      </c>
      <c r="M246" s="8823">
        <v>0</v>
      </c>
      <c r="N246" s="8823">
        <v>1</v>
      </c>
      <c r="O246" s="8823">
        <v>0</v>
      </c>
      <c r="P246" s="8782" t="s">
        <v>2181</v>
      </c>
      <c r="Q246" s="8782" t="s">
        <v>2182</v>
      </c>
      <c r="R246" s="8957" t="s">
        <v>2131</v>
      </c>
      <c r="S246" s="563"/>
      <c r="T246" s="4849"/>
      <c r="U246" s="6783"/>
      <c r="V246" s="579"/>
      <c r="W246" s="6840"/>
      <c r="X246" s="76"/>
      <c r="Y246" s="4922"/>
      <c r="Z246" s="4917"/>
      <c r="AA246" s="4917"/>
      <c r="AB246" s="4923"/>
      <c r="AC246" s="4883"/>
      <c r="AD246" s="78"/>
      <c r="AE246" s="76"/>
      <c r="AF246" s="79"/>
      <c r="AG246" s="436"/>
      <c r="AH246" s="9856"/>
    </row>
    <row r="247" spans="1:34" ht="25.5" customHeight="1">
      <c r="A247" s="9392"/>
      <c r="B247" s="9661"/>
      <c r="C247" s="9841"/>
      <c r="D247" s="9311"/>
      <c r="E247" s="9311"/>
      <c r="F247" s="9311"/>
      <c r="G247" s="9311"/>
      <c r="H247" s="9311"/>
      <c r="I247" s="9311"/>
      <c r="J247" s="9402"/>
      <c r="K247" s="9311"/>
      <c r="L247" s="9311"/>
      <c r="M247" s="9313"/>
      <c r="N247" s="9313"/>
      <c r="O247" s="9313"/>
      <c r="P247" s="9311"/>
      <c r="Q247" s="9311"/>
      <c r="R247" s="9315"/>
      <c r="S247" s="567"/>
      <c r="T247" s="6780"/>
      <c r="U247" s="6781"/>
      <c r="V247" s="575"/>
      <c r="W247" s="6837"/>
      <c r="X247" s="48"/>
      <c r="Y247" s="4910"/>
      <c r="Z247" s="4910"/>
      <c r="AA247" s="4910"/>
      <c r="AB247" s="4911"/>
      <c r="AC247" s="4880"/>
      <c r="AD247" s="50"/>
      <c r="AE247" s="48"/>
      <c r="AF247" s="51"/>
      <c r="AG247" s="218"/>
      <c r="AH247" s="9857"/>
    </row>
    <row r="248" spans="1:34" ht="25.5" customHeight="1">
      <c r="A248" s="9392"/>
      <c r="B248" s="9661"/>
      <c r="C248" s="9841"/>
      <c r="D248" s="9311"/>
      <c r="E248" s="9311"/>
      <c r="F248" s="9311"/>
      <c r="G248" s="9311"/>
      <c r="H248" s="9311"/>
      <c r="I248" s="9311"/>
      <c r="J248" s="9402"/>
      <c r="K248" s="9311"/>
      <c r="L248" s="9311"/>
      <c r="M248" s="9313"/>
      <c r="N248" s="9313"/>
      <c r="O248" s="9313"/>
      <c r="P248" s="9311"/>
      <c r="Q248" s="9311"/>
      <c r="R248" s="9315"/>
      <c r="S248" s="567"/>
      <c r="T248" s="6780"/>
      <c r="U248" s="6781"/>
      <c r="V248" s="575"/>
      <c r="W248" s="6837"/>
      <c r="X248" s="48"/>
      <c r="Y248" s="4910"/>
      <c r="Z248" s="4910"/>
      <c r="AA248" s="4910"/>
      <c r="AB248" s="4911"/>
      <c r="AC248" s="4880"/>
      <c r="AD248" s="50"/>
      <c r="AE248" s="48"/>
      <c r="AF248" s="51"/>
      <c r="AG248" s="218"/>
      <c r="AH248" s="9857"/>
    </row>
    <row r="249" spans="1:34" ht="25.5" customHeight="1">
      <c r="A249" s="9392"/>
      <c r="B249" s="9661"/>
      <c r="C249" s="9841"/>
      <c r="D249" s="9311"/>
      <c r="E249" s="9311"/>
      <c r="F249" s="9311"/>
      <c r="G249" s="9311"/>
      <c r="H249" s="9311"/>
      <c r="I249" s="9311"/>
      <c r="J249" s="9402"/>
      <c r="K249" s="9311"/>
      <c r="L249" s="9311"/>
      <c r="M249" s="9313"/>
      <c r="N249" s="9313"/>
      <c r="O249" s="9313"/>
      <c r="P249" s="9311"/>
      <c r="Q249" s="9311"/>
      <c r="R249" s="9315"/>
      <c r="S249" s="567"/>
      <c r="T249" s="6780"/>
      <c r="U249" s="6781"/>
      <c r="V249" s="575"/>
      <c r="W249" s="6837"/>
      <c r="X249" s="48"/>
      <c r="Y249" s="4910"/>
      <c r="Z249" s="4910"/>
      <c r="AA249" s="4910"/>
      <c r="AB249" s="4911"/>
      <c r="AC249" s="4880"/>
      <c r="AD249" s="50"/>
      <c r="AE249" s="48"/>
      <c r="AF249" s="51"/>
      <c r="AG249" s="218"/>
      <c r="AH249" s="9857"/>
    </row>
    <row r="250" spans="1:34" ht="25.5" customHeight="1">
      <c r="A250" s="9392"/>
      <c r="B250" s="9661"/>
      <c r="C250" s="9842"/>
      <c r="D250" s="9312"/>
      <c r="E250" s="9312"/>
      <c r="F250" s="9312"/>
      <c r="G250" s="9312"/>
      <c r="H250" s="9312"/>
      <c r="I250" s="9312"/>
      <c r="J250" s="9403"/>
      <c r="K250" s="9312"/>
      <c r="L250" s="9312"/>
      <c r="M250" s="9314"/>
      <c r="N250" s="9314"/>
      <c r="O250" s="9314"/>
      <c r="P250" s="9312"/>
      <c r="Q250" s="9312"/>
      <c r="R250" s="9316"/>
      <c r="S250" s="568"/>
      <c r="T250" s="6784"/>
      <c r="U250" s="6785"/>
      <c r="V250" s="577"/>
      <c r="W250" s="6839"/>
      <c r="X250" s="64"/>
      <c r="Y250" s="4914"/>
      <c r="Z250" s="4914"/>
      <c r="AA250" s="4914"/>
      <c r="AB250" s="4916"/>
      <c r="AC250" s="4882"/>
      <c r="AD250" s="63"/>
      <c r="AE250" s="64"/>
      <c r="AF250" s="65"/>
      <c r="AG250" s="219"/>
      <c r="AH250" s="9858"/>
    </row>
    <row r="251" spans="1:34" ht="26.25" customHeight="1">
      <c r="A251" s="9392"/>
      <c r="B251" s="9661"/>
      <c r="C251" s="9280" t="s">
        <v>127</v>
      </c>
      <c r="D251" s="8782" t="s">
        <v>128</v>
      </c>
      <c r="E251" s="8782" t="s">
        <v>140</v>
      </c>
      <c r="F251" s="8782" t="s">
        <v>724</v>
      </c>
      <c r="G251" s="8977" t="s">
        <v>131</v>
      </c>
      <c r="H251" s="8782" t="s">
        <v>132</v>
      </c>
      <c r="I251" s="8782" t="s">
        <v>159</v>
      </c>
      <c r="J251" s="8940" t="s">
        <v>2183</v>
      </c>
      <c r="K251" s="8782" t="s">
        <v>2184</v>
      </c>
      <c r="L251" s="8782" t="s">
        <v>2185</v>
      </c>
      <c r="M251" s="8823">
        <v>0</v>
      </c>
      <c r="N251" s="8823">
        <v>1</v>
      </c>
      <c r="O251" s="8823">
        <v>1</v>
      </c>
      <c r="P251" s="8782" t="s">
        <v>2186</v>
      </c>
      <c r="Q251" s="8782" t="s">
        <v>2187</v>
      </c>
      <c r="R251" s="8957" t="s">
        <v>2131</v>
      </c>
      <c r="S251" s="563"/>
      <c r="T251" s="4849"/>
      <c r="U251" s="6783"/>
      <c r="V251" s="579"/>
      <c r="W251" s="6840"/>
      <c r="X251" s="76"/>
      <c r="Y251" s="4922"/>
      <c r="Z251" s="4917"/>
      <c r="AA251" s="4917"/>
      <c r="AB251" s="4923"/>
      <c r="AC251" s="4883"/>
      <c r="AD251" s="78"/>
      <c r="AE251" s="76"/>
      <c r="AF251" s="79"/>
      <c r="AG251" s="436"/>
      <c r="AH251" s="9856"/>
    </row>
    <row r="252" spans="1:34" ht="26.25" customHeight="1">
      <c r="A252" s="9392"/>
      <c r="B252" s="9661"/>
      <c r="C252" s="9841"/>
      <c r="D252" s="9311"/>
      <c r="E252" s="9311"/>
      <c r="F252" s="9311"/>
      <c r="G252" s="9311"/>
      <c r="H252" s="9311"/>
      <c r="I252" s="9311"/>
      <c r="J252" s="9402"/>
      <c r="K252" s="9311"/>
      <c r="L252" s="9311"/>
      <c r="M252" s="9313"/>
      <c r="N252" s="9313"/>
      <c r="O252" s="9313"/>
      <c r="P252" s="9311"/>
      <c r="Q252" s="9311"/>
      <c r="R252" s="9315"/>
      <c r="S252" s="567"/>
      <c r="T252" s="6780"/>
      <c r="U252" s="6781"/>
      <c r="V252" s="575"/>
      <c r="W252" s="6837"/>
      <c r="X252" s="48"/>
      <c r="Y252" s="4910"/>
      <c r="Z252" s="4910"/>
      <c r="AA252" s="4910"/>
      <c r="AB252" s="4911"/>
      <c r="AC252" s="4880"/>
      <c r="AD252" s="50"/>
      <c r="AE252" s="48"/>
      <c r="AF252" s="51"/>
      <c r="AG252" s="218"/>
      <c r="AH252" s="9857"/>
    </row>
    <row r="253" spans="1:34" ht="26.25" customHeight="1">
      <c r="A253" s="9392"/>
      <c r="B253" s="9661"/>
      <c r="C253" s="9841"/>
      <c r="D253" s="9311"/>
      <c r="E253" s="9311"/>
      <c r="F253" s="9311"/>
      <c r="G253" s="9311"/>
      <c r="H253" s="9311"/>
      <c r="I253" s="9311"/>
      <c r="J253" s="9402"/>
      <c r="K253" s="9311"/>
      <c r="L253" s="9311"/>
      <c r="M253" s="9313"/>
      <c r="N253" s="9313"/>
      <c r="O253" s="9313"/>
      <c r="P253" s="9311"/>
      <c r="Q253" s="9311"/>
      <c r="R253" s="9315"/>
      <c r="S253" s="567"/>
      <c r="T253" s="6780"/>
      <c r="U253" s="6781"/>
      <c r="V253" s="575"/>
      <c r="W253" s="6837"/>
      <c r="X253" s="48"/>
      <c r="Y253" s="4910"/>
      <c r="Z253" s="4910"/>
      <c r="AA253" s="4910"/>
      <c r="AB253" s="4911"/>
      <c r="AC253" s="4880"/>
      <c r="AD253" s="50"/>
      <c r="AE253" s="48"/>
      <c r="AF253" s="51"/>
      <c r="AG253" s="218"/>
      <c r="AH253" s="9857"/>
    </row>
    <row r="254" spans="1:34" ht="26.25" customHeight="1">
      <c r="A254" s="9392"/>
      <c r="B254" s="9661"/>
      <c r="C254" s="9841"/>
      <c r="D254" s="9311"/>
      <c r="E254" s="9311"/>
      <c r="F254" s="9311"/>
      <c r="G254" s="9311"/>
      <c r="H254" s="9311"/>
      <c r="I254" s="9311"/>
      <c r="J254" s="9402"/>
      <c r="K254" s="9311"/>
      <c r="L254" s="9311"/>
      <c r="M254" s="9313"/>
      <c r="N254" s="9313"/>
      <c r="O254" s="9313"/>
      <c r="P254" s="9311"/>
      <c r="Q254" s="9311"/>
      <c r="R254" s="9315"/>
      <c r="S254" s="567"/>
      <c r="T254" s="6780"/>
      <c r="U254" s="6781"/>
      <c r="V254" s="575"/>
      <c r="W254" s="6837"/>
      <c r="X254" s="48"/>
      <c r="Y254" s="4910"/>
      <c r="Z254" s="4910"/>
      <c r="AA254" s="4910"/>
      <c r="AB254" s="4911"/>
      <c r="AC254" s="4880"/>
      <c r="AD254" s="50"/>
      <c r="AE254" s="48"/>
      <c r="AF254" s="51"/>
      <c r="AG254" s="218"/>
      <c r="AH254" s="9857"/>
    </row>
    <row r="255" spans="1:34" ht="26.25" customHeight="1">
      <c r="A255" s="9392"/>
      <c r="B255" s="9661"/>
      <c r="C255" s="9842"/>
      <c r="D255" s="9312"/>
      <c r="E255" s="9312"/>
      <c r="F255" s="9312"/>
      <c r="G255" s="9312"/>
      <c r="H255" s="9312"/>
      <c r="I255" s="9312"/>
      <c r="J255" s="9403"/>
      <c r="K255" s="9312"/>
      <c r="L255" s="9312"/>
      <c r="M255" s="9314"/>
      <c r="N255" s="9314"/>
      <c r="O255" s="9314"/>
      <c r="P255" s="9312"/>
      <c r="Q255" s="9312"/>
      <c r="R255" s="9316"/>
      <c r="S255" s="568"/>
      <c r="T255" s="6784"/>
      <c r="U255" s="6785"/>
      <c r="V255" s="577"/>
      <c r="W255" s="6839"/>
      <c r="X255" s="64"/>
      <c r="Y255" s="4914"/>
      <c r="Z255" s="4914"/>
      <c r="AA255" s="4914"/>
      <c r="AB255" s="4916"/>
      <c r="AC255" s="4882"/>
      <c r="AD255" s="63"/>
      <c r="AE255" s="64"/>
      <c r="AF255" s="65"/>
      <c r="AG255" s="219"/>
      <c r="AH255" s="9858"/>
    </row>
    <row r="256" spans="1:34" ht="26.25" customHeight="1">
      <c r="A256" s="9392"/>
      <c r="B256" s="9661"/>
      <c r="C256" s="9280" t="s">
        <v>127</v>
      </c>
      <c r="D256" s="8782" t="s">
        <v>128</v>
      </c>
      <c r="E256" s="8782" t="s">
        <v>129</v>
      </c>
      <c r="F256" s="8782" t="s">
        <v>205</v>
      </c>
      <c r="G256" s="8977" t="s">
        <v>131</v>
      </c>
      <c r="H256" s="8782" t="s">
        <v>132</v>
      </c>
      <c r="I256" s="8782" t="s">
        <v>159</v>
      </c>
      <c r="J256" s="8940" t="s">
        <v>2188</v>
      </c>
      <c r="K256" s="8782" t="s">
        <v>286</v>
      </c>
      <c r="L256" s="8782" t="s">
        <v>2189</v>
      </c>
      <c r="M256" s="8823">
        <v>0</v>
      </c>
      <c r="N256" s="8823">
        <v>1</v>
      </c>
      <c r="O256" s="8823">
        <v>1</v>
      </c>
      <c r="P256" s="9217" t="s">
        <v>2190</v>
      </c>
      <c r="Q256" s="8782" t="s">
        <v>1577</v>
      </c>
      <c r="R256" s="8957" t="s">
        <v>2131</v>
      </c>
      <c r="S256" s="563"/>
      <c r="T256" s="4849"/>
      <c r="U256" s="6783"/>
      <c r="V256" s="579"/>
      <c r="W256" s="6840"/>
      <c r="X256" s="76"/>
      <c r="Y256" s="4922"/>
      <c r="Z256" s="4917"/>
      <c r="AA256" s="4917"/>
      <c r="AB256" s="4923"/>
      <c r="AC256" s="4883"/>
      <c r="AD256" s="78"/>
      <c r="AE256" s="76"/>
      <c r="AF256" s="79"/>
      <c r="AG256" s="436"/>
      <c r="AH256" s="9856"/>
    </row>
    <row r="257" spans="1:34" ht="26.25" customHeight="1">
      <c r="A257" s="9392"/>
      <c r="B257" s="9661"/>
      <c r="C257" s="9841"/>
      <c r="D257" s="9311"/>
      <c r="E257" s="9311"/>
      <c r="F257" s="9311"/>
      <c r="G257" s="9311"/>
      <c r="H257" s="9311"/>
      <c r="I257" s="9311"/>
      <c r="J257" s="9402"/>
      <c r="K257" s="9311"/>
      <c r="L257" s="9311"/>
      <c r="M257" s="9313"/>
      <c r="N257" s="9313"/>
      <c r="O257" s="9313"/>
      <c r="P257" s="9433"/>
      <c r="Q257" s="9311"/>
      <c r="R257" s="9315"/>
      <c r="S257" s="567"/>
      <c r="T257" s="6780"/>
      <c r="U257" s="6781"/>
      <c r="V257" s="575"/>
      <c r="W257" s="6837"/>
      <c r="X257" s="48"/>
      <c r="Y257" s="4910"/>
      <c r="Z257" s="4910"/>
      <c r="AA257" s="4910"/>
      <c r="AB257" s="4911"/>
      <c r="AC257" s="4880"/>
      <c r="AD257" s="50"/>
      <c r="AE257" s="48"/>
      <c r="AF257" s="51"/>
      <c r="AG257" s="218"/>
      <c r="AH257" s="9857"/>
    </row>
    <row r="258" spans="1:34" ht="26.25" customHeight="1">
      <c r="A258" s="9392"/>
      <c r="B258" s="9661"/>
      <c r="C258" s="9841"/>
      <c r="D258" s="9311"/>
      <c r="E258" s="9311"/>
      <c r="F258" s="9311"/>
      <c r="G258" s="9311"/>
      <c r="H258" s="9311"/>
      <c r="I258" s="9311"/>
      <c r="J258" s="9402"/>
      <c r="K258" s="9311"/>
      <c r="L258" s="9311"/>
      <c r="M258" s="9313"/>
      <c r="N258" s="9313"/>
      <c r="O258" s="9313"/>
      <c r="P258" s="9433"/>
      <c r="Q258" s="9311"/>
      <c r="R258" s="9315"/>
      <c r="S258" s="567"/>
      <c r="T258" s="6780"/>
      <c r="U258" s="6781"/>
      <c r="V258" s="575"/>
      <c r="W258" s="6837"/>
      <c r="X258" s="48"/>
      <c r="Y258" s="4910"/>
      <c r="Z258" s="4910"/>
      <c r="AA258" s="4910"/>
      <c r="AB258" s="4911"/>
      <c r="AC258" s="4880"/>
      <c r="AD258" s="50"/>
      <c r="AE258" s="48"/>
      <c r="AF258" s="51"/>
      <c r="AG258" s="218"/>
      <c r="AH258" s="9857"/>
    </row>
    <row r="259" spans="1:34" ht="26.25" customHeight="1">
      <c r="A259" s="9392"/>
      <c r="B259" s="9661"/>
      <c r="C259" s="9841"/>
      <c r="D259" s="9311"/>
      <c r="E259" s="9311"/>
      <c r="F259" s="9311"/>
      <c r="G259" s="9311"/>
      <c r="H259" s="9311"/>
      <c r="I259" s="9311"/>
      <c r="J259" s="9402"/>
      <c r="K259" s="9311"/>
      <c r="L259" s="9311"/>
      <c r="M259" s="9313"/>
      <c r="N259" s="9313"/>
      <c r="O259" s="9313"/>
      <c r="P259" s="9433"/>
      <c r="Q259" s="9311"/>
      <c r="R259" s="9315"/>
      <c r="S259" s="567"/>
      <c r="T259" s="6780"/>
      <c r="U259" s="6781"/>
      <c r="V259" s="575"/>
      <c r="W259" s="6837"/>
      <c r="X259" s="48"/>
      <c r="Y259" s="4910"/>
      <c r="Z259" s="4910"/>
      <c r="AA259" s="4910"/>
      <c r="AB259" s="4911"/>
      <c r="AC259" s="4880"/>
      <c r="AD259" s="50"/>
      <c r="AE259" s="48"/>
      <c r="AF259" s="51"/>
      <c r="AG259" s="218"/>
      <c r="AH259" s="9857"/>
    </row>
    <row r="260" spans="1:34" ht="26.25" customHeight="1">
      <c r="A260" s="9392"/>
      <c r="B260" s="9661"/>
      <c r="C260" s="9842"/>
      <c r="D260" s="9312"/>
      <c r="E260" s="9312"/>
      <c r="F260" s="9312"/>
      <c r="G260" s="9312"/>
      <c r="H260" s="9312"/>
      <c r="I260" s="9312"/>
      <c r="J260" s="9403"/>
      <c r="K260" s="9312"/>
      <c r="L260" s="9312"/>
      <c r="M260" s="9314"/>
      <c r="N260" s="9314"/>
      <c r="O260" s="9314"/>
      <c r="P260" s="9434"/>
      <c r="Q260" s="9312"/>
      <c r="R260" s="9316"/>
      <c r="S260" s="568"/>
      <c r="T260" s="6784"/>
      <c r="U260" s="6785"/>
      <c r="V260" s="577"/>
      <c r="W260" s="6839"/>
      <c r="X260" s="64"/>
      <c r="Y260" s="4914"/>
      <c r="Z260" s="4914"/>
      <c r="AA260" s="4914"/>
      <c r="AB260" s="4916"/>
      <c r="AC260" s="4882"/>
      <c r="AD260" s="63"/>
      <c r="AE260" s="64"/>
      <c r="AF260" s="65"/>
      <c r="AG260" s="219"/>
      <c r="AH260" s="9858"/>
    </row>
    <row r="261" spans="1:34" ht="27.75" customHeight="1">
      <c r="A261" s="9392"/>
      <c r="B261" s="9661"/>
      <c r="C261" s="9280" t="s">
        <v>127</v>
      </c>
      <c r="D261" s="8782" t="s">
        <v>128</v>
      </c>
      <c r="E261" s="8782" t="s">
        <v>129</v>
      </c>
      <c r="F261" s="8782" t="s">
        <v>268</v>
      </c>
      <c r="G261" s="8977" t="s">
        <v>131</v>
      </c>
      <c r="H261" s="8782" t="s">
        <v>132</v>
      </c>
      <c r="I261" s="8782" t="s">
        <v>214</v>
      </c>
      <c r="J261" s="9217" t="s">
        <v>2191</v>
      </c>
      <c r="K261" s="8782" t="s">
        <v>338</v>
      </c>
      <c r="L261" s="8782" t="s">
        <v>1012</v>
      </c>
      <c r="M261" s="8823">
        <v>0</v>
      </c>
      <c r="N261" s="8823">
        <v>0</v>
      </c>
      <c r="O261" s="8823">
        <v>1</v>
      </c>
      <c r="P261" s="9217" t="s">
        <v>2192</v>
      </c>
      <c r="Q261" s="8782" t="s">
        <v>1381</v>
      </c>
      <c r="R261" s="8957" t="s">
        <v>2131</v>
      </c>
      <c r="S261" s="564"/>
      <c r="T261" s="4859"/>
      <c r="U261" s="6829"/>
      <c r="V261" s="579"/>
      <c r="W261" s="6840"/>
      <c r="X261" s="76"/>
      <c r="Y261" s="4922"/>
      <c r="Z261" s="4922"/>
      <c r="AA261" s="4922"/>
      <c r="AB261" s="4923"/>
      <c r="AC261" s="4883"/>
      <c r="AD261" s="78"/>
      <c r="AE261" s="76"/>
      <c r="AF261" s="79"/>
      <c r="AG261" s="436"/>
      <c r="AH261" s="9856"/>
    </row>
    <row r="262" spans="1:34" ht="27.75" customHeight="1">
      <c r="A262" s="9392"/>
      <c r="B262" s="9661"/>
      <c r="C262" s="9841"/>
      <c r="D262" s="9311"/>
      <c r="E262" s="9311"/>
      <c r="F262" s="9311"/>
      <c r="G262" s="9311"/>
      <c r="H262" s="9311"/>
      <c r="I262" s="9311"/>
      <c r="J262" s="9433"/>
      <c r="K262" s="9311"/>
      <c r="L262" s="9311"/>
      <c r="M262" s="9313"/>
      <c r="N262" s="9313"/>
      <c r="O262" s="9313"/>
      <c r="P262" s="9836"/>
      <c r="Q262" s="9436"/>
      <c r="R262" s="9861"/>
      <c r="S262" s="567"/>
      <c r="T262" s="6780"/>
      <c r="U262" s="6781"/>
      <c r="V262" s="575"/>
      <c r="W262" s="6837"/>
      <c r="X262" s="48"/>
      <c r="Y262" s="4910"/>
      <c r="Z262" s="4910"/>
      <c r="AA262" s="4910"/>
      <c r="AB262" s="4911"/>
      <c r="AC262" s="4880"/>
      <c r="AD262" s="50"/>
      <c r="AE262" s="48"/>
      <c r="AF262" s="51"/>
      <c r="AG262" s="218"/>
      <c r="AH262" s="9857"/>
    </row>
    <row r="263" spans="1:34" ht="27.75" customHeight="1">
      <c r="A263" s="9392"/>
      <c r="B263" s="9661"/>
      <c r="C263" s="9841"/>
      <c r="D263" s="9311"/>
      <c r="E263" s="9311"/>
      <c r="F263" s="9311"/>
      <c r="G263" s="9311"/>
      <c r="H263" s="9311"/>
      <c r="I263" s="9311"/>
      <c r="J263" s="9433"/>
      <c r="K263" s="9311"/>
      <c r="L263" s="9311"/>
      <c r="M263" s="9313"/>
      <c r="N263" s="9313"/>
      <c r="O263" s="9313"/>
      <c r="P263" s="9836"/>
      <c r="Q263" s="9436"/>
      <c r="R263" s="9861"/>
      <c r="S263" s="563"/>
      <c r="T263" s="4849"/>
      <c r="U263" s="6782"/>
      <c r="V263" s="576"/>
      <c r="W263" s="6838"/>
      <c r="X263" s="53"/>
      <c r="Y263" s="4917"/>
      <c r="Z263" s="4910"/>
      <c r="AA263" s="4910"/>
      <c r="AB263" s="4911"/>
      <c r="AC263" s="4880"/>
      <c r="AD263" s="50"/>
      <c r="AE263" s="48"/>
      <c r="AF263" s="51"/>
      <c r="AG263" s="218"/>
      <c r="AH263" s="9857"/>
    </row>
    <row r="264" spans="1:34" ht="27.75" customHeight="1">
      <c r="A264" s="9392"/>
      <c r="B264" s="9661"/>
      <c r="C264" s="9841"/>
      <c r="D264" s="9311"/>
      <c r="E264" s="9311"/>
      <c r="F264" s="9311"/>
      <c r="G264" s="9311"/>
      <c r="H264" s="9311"/>
      <c r="I264" s="9311"/>
      <c r="J264" s="9433"/>
      <c r="K264" s="9311"/>
      <c r="L264" s="9311"/>
      <c r="M264" s="9313"/>
      <c r="N264" s="9313"/>
      <c r="O264" s="9313"/>
      <c r="P264" s="9836"/>
      <c r="Q264" s="9436"/>
      <c r="R264" s="9861"/>
      <c r="S264" s="563"/>
      <c r="T264" s="4849"/>
      <c r="U264" s="6783"/>
      <c r="V264" s="576"/>
      <c r="W264" s="6838"/>
      <c r="X264" s="53"/>
      <c r="Y264" s="4917"/>
      <c r="Z264" s="4910"/>
      <c r="AA264" s="4910"/>
      <c r="AB264" s="4911"/>
      <c r="AC264" s="4880"/>
      <c r="AD264" s="50"/>
      <c r="AE264" s="48"/>
      <c r="AF264" s="51"/>
      <c r="AG264" s="218"/>
      <c r="AH264" s="9857"/>
    </row>
    <row r="265" spans="1:34" ht="27.75" customHeight="1">
      <c r="A265" s="9392"/>
      <c r="B265" s="9661"/>
      <c r="C265" s="9842"/>
      <c r="D265" s="9312"/>
      <c r="E265" s="9312"/>
      <c r="F265" s="9312"/>
      <c r="G265" s="9312"/>
      <c r="H265" s="9312"/>
      <c r="I265" s="9312"/>
      <c r="J265" s="9434"/>
      <c r="K265" s="9312"/>
      <c r="L265" s="9312"/>
      <c r="M265" s="9314"/>
      <c r="N265" s="9314"/>
      <c r="O265" s="9314"/>
      <c r="P265" s="9837"/>
      <c r="Q265" s="9606"/>
      <c r="R265" s="9862"/>
      <c r="S265" s="568"/>
      <c r="T265" s="6784"/>
      <c r="U265" s="6785"/>
      <c r="V265" s="577"/>
      <c r="W265" s="6839"/>
      <c r="X265" s="64"/>
      <c r="Y265" s="4914"/>
      <c r="Z265" s="4914"/>
      <c r="AA265" s="4914"/>
      <c r="AB265" s="4916"/>
      <c r="AC265" s="4882"/>
      <c r="AD265" s="63"/>
      <c r="AE265" s="64"/>
      <c r="AF265" s="65"/>
      <c r="AG265" s="219"/>
      <c r="AH265" s="9858"/>
    </row>
    <row r="266" spans="1:34" s="4835" customFormat="1" ht="34.5" customHeight="1" thickBot="1">
      <c r="A266" s="9392"/>
      <c r="B266" s="9662"/>
      <c r="C266" s="465"/>
      <c r="D266" s="465"/>
      <c r="E266" s="465"/>
      <c r="F266" s="465"/>
      <c r="G266" s="465"/>
      <c r="H266" s="465"/>
      <c r="I266" s="465"/>
      <c r="J266" s="465"/>
      <c r="K266" s="465"/>
      <c r="L266" s="465"/>
      <c r="M266" s="465"/>
      <c r="N266" s="465"/>
      <c r="O266" s="465"/>
      <c r="P266" s="465"/>
      <c r="Q266" s="465"/>
      <c r="R266" s="465"/>
      <c r="S266" s="9859" t="s">
        <v>2193</v>
      </c>
      <c r="T266" s="9627"/>
      <c r="U266" s="9627"/>
      <c r="V266" s="9627"/>
      <c r="W266" s="9627"/>
      <c r="X266" s="9627"/>
      <c r="Y266" s="9627"/>
      <c r="Z266" s="9627"/>
      <c r="AA266" s="465" t="s">
        <v>292</v>
      </c>
      <c r="AB266" s="5018">
        <f>SUM(AB201:AB265)</f>
        <v>6720</v>
      </c>
      <c r="AC266" s="6075"/>
      <c r="AD266" s="6077"/>
      <c r="AE266" s="9860"/>
      <c r="AF266" s="9629"/>
      <c r="AG266" s="9629"/>
      <c r="AH266" s="9630"/>
    </row>
    <row r="267" spans="1:34" ht="30" customHeight="1" thickBot="1">
      <c r="A267" s="9393"/>
      <c r="B267" s="6214"/>
      <c r="C267" s="229"/>
      <c r="D267" s="229"/>
      <c r="E267" s="229"/>
      <c r="F267" s="229"/>
      <c r="G267" s="229"/>
      <c r="H267" s="229"/>
      <c r="I267" s="229"/>
      <c r="J267" s="229"/>
      <c r="K267" s="229"/>
      <c r="L267" s="229"/>
      <c r="M267" s="229"/>
      <c r="N267" s="229"/>
      <c r="O267" s="229"/>
      <c r="P267" s="229"/>
      <c r="Q267" s="229"/>
      <c r="R267" s="230"/>
      <c r="S267" s="9631" t="s">
        <v>2194</v>
      </c>
      <c r="T267" s="9527"/>
      <c r="U267" s="9527"/>
      <c r="V267" s="9527"/>
      <c r="W267" s="9527"/>
      <c r="X267" s="9527"/>
      <c r="Y267" s="9527"/>
      <c r="Z267" s="9527"/>
      <c r="AA267" s="5862" t="s">
        <v>292</v>
      </c>
      <c r="AB267" s="867">
        <f>SUM(AB109,AB157,AB200,AB266)</f>
        <v>76424.539200000014</v>
      </c>
      <c r="AC267" s="554"/>
      <c r="AD267" s="553"/>
      <c r="AE267" s="9852"/>
      <c r="AF267" s="9853"/>
      <c r="AG267" s="9853"/>
      <c r="AH267" s="9854"/>
    </row>
    <row r="268" spans="1:34" ht="17.25" thickTop="1">
      <c r="A268" s="8"/>
      <c r="B268" s="194"/>
      <c r="C268" s="6" t="s">
        <v>2195</v>
      </c>
      <c r="D268" s="143"/>
      <c r="E268" s="143"/>
      <c r="F268" s="143"/>
      <c r="G268" s="143"/>
      <c r="H268" s="143"/>
      <c r="I268" s="143"/>
      <c r="J268" s="143"/>
      <c r="K268" s="143"/>
      <c r="L268" s="143"/>
      <c r="M268" s="143"/>
      <c r="N268" s="143"/>
      <c r="O268" s="143"/>
      <c r="P268" s="143"/>
      <c r="Q268" s="143"/>
      <c r="R268" s="143"/>
      <c r="S268" s="9088" t="s">
        <v>533</v>
      </c>
      <c r="T268" s="9855"/>
      <c r="U268" s="9855"/>
      <c r="V268" s="9855"/>
      <c r="W268" s="9855"/>
      <c r="X268" s="9855"/>
      <c r="Y268" s="9855"/>
      <c r="Z268" s="9855"/>
      <c r="AA268" s="9855"/>
      <c r="AB268" s="9855"/>
      <c r="AC268" s="9855"/>
      <c r="AD268" s="9855"/>
      <c r="AE268" s="9855"/>
      <c r="AF268" s="9855"/>
      <c r="AG268" s="9855"/>
      <c r="AH268" s="9855"/>
    </row>
    <row r="269" spans="1:34" ht="16.5">
      <c r="A269" s="8"/>
      <c r="B269" s="194"/>
      <c r="C269" s="6" t="s">
        <v>2196</v>
      </c>
      <c r="D269" s="143"/>
      <c r="E269" s="143"/>
      <c r="F269" s="143"/>
      <c r="G269" s="143"/>
      <c r="H269" s="143"/>
      <c r="I269" s="143"/>
      <c r="J269" s="143"/>
      <c r="K269" s="143"/>
      <c r="L269" s="143"/>
      <c r="M269" s="143"/>
      <c r="N269" s="143"/>
      <c r="O269" s="143"/>
      <c r="P269" s="143"/>
      <c r="Q269" s="143"/>
      <c r="R269" s="143"/>
      <c r="S269" s="523"/>
      <c r="AB269" s="919"/>
    </row>
    <row r="270" spans="1:34" ht="16.5">
      <c r="A270" s="8"/>
      <c r="B270" s="194"/>
      <c r="D270" s="143"/>
      <c r="E270" s="143"/>
      <c r="F270" s="143"/>
      <c r="G270" s="143"/>
      <c r="H270" s="143"/>
      <c r="I270" s="143"/>
      <c r="J270" s="143"/>
      <c r="K270" s="143"/>
      <c r="L270" s="143"/>
      <c r="M270" s="143"/>
      <c r="N270" s="143"/>
      <c r="O270" s="143"/>
      <c r="P270" s="143"/>
      <c r="Q270" s="143"/>
      <c r="R270" s="143"/>
      <c r="S270" s="232"/>
      <c r="T270" s="232"/>
      <c r="U270" s="8775" t="s">
        <v>351</v>
      </c>
      <c r="V270" s="9379"/>
      <c r="W270" s="9379"/>
      <c r="X270" s="9379"/>
      <c r="Y270" s="9379"/>
      <c r="Z270" s="9379"/>
      <c r="AA270" s="231"/>
      <c r="AB270" s="231"/>
      <c r="AC270" s="231"/>
      <c r="AE270" s="233"/>
      <c r="AF270" s="233"/>
      <c r="AG270" s="234"/>
    </row>
    <row r="271" spans="1:34" ht="16.5">
      <c r="A271" s="8"/>
      <c r="B271" s="8"/>
      <c r="C271" s="143"/>
      <c r="D271" s="143"/>
      <c r="E271" s="143"/>
      <c r="F271" s="143"/>
      <c r="G271" s="143"/>
      <c r="H271" s="143"/>
      <c r="I271" s="143"/>
      <c r="J271" s="143"/>
      <c r="K271" s="143"/>
      <c r="L271" s="143"/>
      <c r="M271" s="143"/>
      <c r="N271" s="143"/>
      <c r="O271" s="143"/>
      <c r="P271" s="143"/>
      <c r="Q271" s="143"/>
      <c r="R271" s="143"/>
      <c r="S271" s="232"/>
      <c r="U271" s="28"/>
      <c r="V271" s="28"/>
      <c r="W271" s="235"/>
      <c r="X271" s="85"/>
      <c r="Y271" s="28"/>
      <c r="Z271" s="28"/>
      <c r="AA271" s="100"/>
      <c r="AB271" s="100"/>
      <c r="AC271" s="100"/>
      <c r="AD271" s="100"/>
      <c r="AE271" s="233"/>
      <c r="AF271" s="233"/>
      <c r="AG271" s="234"/>
    </row>
    <row r="272" spans="1:34" ht="18" customHeight="1">
      <c r="A272" s="8"/>
      <c r="B272" s="8"/>
      <c r="C272" s="143"/>
      <c r="D272" s="143"/>
      <c r="E272" s="143"/>
      <c r="F272" s="143"/>
      <c r="G272" s="143"/>
      <c r="H272" s="143"/>
      <c r="I272" s="143"/>
      <c r="J272" s="143"/>
      <c r="K272" s="143"/>
      <c r="L272" s="143"/>
      <c r="M272" s="143"/>
      <c r="N272" s="143"/>
      <c r="O272" s="143"/>
      <c r="P272" s="143"/>
      <c r="Q272" s="143"/>
      <c r="R272" s="143"/>
      <c r="S272" s="232"/>
      <c r="T272" s="28"/>
      <c r="U272" s="5882" t="s">
        <v>5</v>
      </c>
      <c r="V272" s="5883" t="s">
        <v>6</v>
      </c>
      <c r="W272" s="5887" t="s">
        <v>7</v>
      </c>
      <c r="X272" s="5885" t="s">
        <v>352</v>
      </c>
      <c r="Y272" s="5885" t="s">
        <v>9</v>
      </c>
      <c r="Z272" s="5886" t="s">
        <v>353</v>
      </c>
      <c r="AA272" s="334"/>
      <c r="AB272" s="334"/>
      <c r="AC272" s="334"/>
      <c r="AD272" s="334"/>
      <c r="AE272" s="233"/>
      <c r="AF272" s="233"/>
      <c r="AG272" s="234"/>
    </row>
    <row r="273" spans="1:33" ht="49.5">
      <c r="A273" s="8"/>
      <c r="B273" s="8"/>
      <c r="C273" s="143"/>
      <c r="D273" s="143"/>
      <c r="E273" s="143"/>
      <c r="F273" s="143"/>
      <c r="G273" s="143"/>
      <c r="H273" s="143"/>
      <c r="I273" s="143"/>
      <c r="J273" s="143"/>
      <c r="K273" s="143"/>
      <c r="L273" s="143"/>
      <c r="M273" s="143"/>
      <c r="N273" s="143"/>
      <c r="O273" s="143"/>
      <c r="U273" s="639" t="s">
        <v>81</v>
      </c>
      <c r="V273" s="552" t="s">
        <v>1323</v>
      </c>
      <c r="W273" s="87">
        <v>530239</v>
      </c>
      <c r="X273" s="31" t="s">
        <v>17</v>
      </c>
      <c r="Y273" s="1726" t="s">
        <v>26</v>
      </c>
      <c r="Z273" s="883">
        <f>+AB223</f>
        <v>2240</v>
      </c>
      <c r="AA273" s="101"/>
      <c r="AB273" s="101"/>
      <c r="AC273" s="101"/>
      <c r="AD273" s="335"/>
      <c r="AE273" s="8"/>
      <c r="AF273" s="8"/>
      <c r="AG273" s="236"/>
    </row>
    <row r="274" spans="1:33" ht="49.5">
      <c r="A274" s="8"/>
      <c r="B274" s="8"/>
      <c r="C274" s="143"/>
      <c r="D274" s="143"/>
      <c r="E274" s="143"/>
      <c r="F274" s="143"/>
      <c r="G274" s="143"/>
      <c r="H274" s="143"/>
      <c r="I274" s="143"/>
      <c r="J274" s="143"/>
      <c r="K274" s="143"/>
      <c r="L274" s="143"/>
      <c r="M274" s="143"/>
      <c r="N274" s="143"/>
      <c r="O274" s="143"/>
      <c r="U274" s="639" t="s">
        <v>81</v>
      </c>
      <c r="V274" s="442" t="s">
        <v>2152</v>
      </c>
      <c r="W274" s="87">
        <v>530302</v>
      </c>
      <c r="X274" s="31" t="s">
        <v>17</v>
      </c>
      <c r="Y274" s="1726" t="s">
        <v>26</v>
      </c>
      <c r="Z274" s="883">
        <f>+AB221+AB236</f>
        <v>4480</v>
      </c>
      <c r="AA274" s="101"/>
      <c r="AB274" s="101"/>
      <c r="AC274" s="101"/>
      <c r="AD274" s="335"/>
      <c r="AE274" s="8"/>
      <c r="AF274" s="8"/>
      <c r="AG274" s="236"/>
    </row>
    <row r="275" spans="1:33" ht="49.5">
      <c r="A275" s="8"/>
      <c r="B275" s="8"/>
      <c r="C275" s="143"/>
      <c r="D275" s="143"/>
      <c r="E275" s="143"/>
      <c r="F275" s="143"/>
      <c r="G275" s="143"/>
      <c r="H275" s="143"/>
      <c r="I275" s="143"/>
      <c r="J275" s="143"/>
      <c r="K275" s="143"/>
      <c r="L275" s="143"/>
      <c r="M275" s="143"/>
      <c r="N275" s="143"/>
      <c r="O275" s="143"/>
      <c r="U275" s="639" t="s">
        <v>81</v>
      </c>
      <c r="V275" s="552" t="s">
        <v>1360</v>
      </c>
      <c r="W275" s="87">
        <v>530612</v>
      </c>
      <c r="X275" s="31" t="s">
        <v>17</v>
      </c>
      <c r="Y275" s="1726" t="s">
        <v>26</v>
      </c>
      <c r="Z275" s="883">
        <f>AB60</f>
        <v>7409.82</v>
      </c>
      <c r="AA275" s="101"/>
      <c r="AB275" s="101"/>
      <c r="AC275" s="101"/>
      <c r="AD275" s="335"/>
      <c r="AE275" s="8"/>
      <c r="AF275" s="8"/>
      <c r="AG275" s="236"/>
    </row>
    <row r="276" spans="1:33" ht="49.5">
      <c r="A276" s="8"/>
      <c r="B276" s="8"/>
      <c r="C276" s="143"/>
      <c r="D276" s="143"/>
      <c r="E276" s="143"/>
      <c r="F276" s="143"/>
      <c r="G276" s="143"/>
      <c r="H276" s="143"/>
      <c r="I276" s="143"/>
      <c r="J276" s="143"/>
      <c r="K276" s="143"/>
      <c r="L276" s="143"/>
      <c r="M276" s="143"/>
      <c r="N276" s="143"/>
      <c r="O276" s="143"/>
      <c r="U276" s="639" t="s">
        <v>81</v>
      </c>
      <c r="V276" s="552" t="s">
        <v>33</v>
      </c>
      <c r="W276" s="87">
        <v>530702</v>
      </c>
      <c r="X276" s="964" t="s">
        <v>17</v>
      </c>
      <c r="Y276" s="1003" t="s">
        <v>25</v>
      </c>
      <c r="Z276" s="883">
        <f>+AB70</f>
        <v>15800</v>
      </c>
      <c r="AA276" s="101"/>
      <c r="AB276" s="101"/>
      <c r="AC276" s="101"/>
      <c r="AD276" s="335"/>
      <c r="AE276" s="8"/>
      <c r="AF276" s="8"/>
      <c r="AG276" s="236"/>
    </row>
    <row r="277" spans="1:33" ht="49.5">
      <c r="A277" s="8"/>
      <c r="B277" s="8"/>
      <c r="C277" s="143"/>
      <c r="D277" s="143"/>
      <c r="E277" s="143"/>
      <c r="F277" s="143"/>
      <c r="G277" s="143"/>
      <c r="H277" s="143"/>
      <c r="I277" s="143"/>
      <c r="J277" s="143"/>
      <c r="K277" s="143"/>
      <c r="L277" s="143"/>
      <c r="M277" s="143"/>
      <c r="N277" s="143"/>
      <c r="O277" s="143"/>
      <c r="U277" s="639" t="s">
        <v>81</v>
      </c>
      <c r="V277" s="552" t="s">
        <v>33</v>
      </c>
      <c r="W277" s="87">
        <v>530702</v>
      </c>
      <c r="X277" s="964" t="s">
        <v>17</v>
      </c>
      <c r="Y277" s="1003" t="s">
        <v>26</v>
      </c>
      <c r="Z277" s="883">
        <f>+AB75</f>
        <v>3300</v>
      </c>
      <c r="AA277" s="101"/>
      <c r="AB277" s="101"/>
      <c r="AC277" s="101"/>
      <c r="AD277" s="335"/>
      <c r="AE277" s="8"/>
      <c r="AF277" s="8"/>
      <c r="AG277" s="236"/>
    </row>
    <row r="278" spans="1:33" ht="49.5">
      <c r="A278" s="8"/>
      <c r="B278" s="8"/>
      <c r="C278" s="143"/>
      <c r="D278" s="143"/>
      <c r="E278" s="143"/>
      <c r="F278" s="143"/>
      <c r="G278" s="143"/>
      <c r="H278" s="143"/>
      <c r="I278" s="143"/>
      <c r="J278" s="143"/>
      <c r="K278" s="143"/>
      <c r="L278" s="143"/>
      <c r="M278" s="143"/>
      <c r="N278" s="143"/>
      <c r="O278" s="143"/>
      <c r="U278" s="639" t="s">
        <v>81</v>
      </c>
      <c r="V278" s="3426" t="s">
        <v>2003</v>
      </c>
      <c r="W278" s="87">
        <v>530804</v>
      </c>
      <c r="X278" s="964" t="s">
        <v>17</v>
      </c>
      <c r="Y278" s="1003" t="s">
        <v>26</v>
      </c>
      <c r="Z278" s="883">
        <f>+AB77</f>
        <v>925.12000000000012</v>
      </c>
      <c r="AA278" s="101"/>
      <c r="AB278" s="101"/>
      <c r="AC278" s="101"/>
      <c r="AD278" s="335"/>
      <c r="AE278" s="8"/>
      <c r="AF278" s="8"/>
      <c r="AG278" s="236"/>
    </row>
    <row r="279" spans="1:33" ht="49.5">
      <c r="A279" s="8"/>
      <c r="B279" s="8"/>
      <c r="C279" s="143"/>
      <c r="D279" s="143"/>
      <c r="E279" s="143"/>
      <c r="F279" s="143"/>
      <c r="G279" s="143"/>
      <c r="H279" s="143"/>
      <c r="I279" s="143"/>
      <c r="J279" s="143"/>
      <c r="K279" s="143"/>
      <c r="L279" s="143"/>
      <c r="M279" s="143"/>
      <c r="N279" s="143"/>
      <c r="O279" s="143"/>
      <c r="U279" s="639" t="s">
        <v>81</v>
      </c>
      <c r="V279" s="552" t="s">
        <v>1089</v>
      </c>
      <c r="W279" s="87">
        <v>530812</v>
      </c>
      <c r="X279" s="31" t="s">
        <v>17</v>
      </c>
      <c r="Y279" s="1726" t="s">
        <v>26</v>
      </c>
      <c r="Z279" s="883">
        <f>+AB121</f>
        <v>3382.4</v>
      </c>
      <c r="AA279" s="101"/>
      <c r="AB279" s="101"/>
      <c r="AC279" s="101"/>
      <c r="AD279" s="335"/>
      <c r="AE279" s="8"/>
      <c r="AF279" s="8"/>
      <c r="AG279" s="236"/>
    </row>
    <row r="280" spans="1:33" ht="49.5">
      <c r="A280" s="8"/>
      <c r="B280" s="8"/>
      <c r="C280" s="143"/>
      <c r="D280" s="143"/>
      <c r="E280" s="143"/>
      <c r="F280" s="143"/>
      <c r="G280" s="143"/>
      <c r="H280" s="143"/>
      <c r="I280" s="143"/>
      <c r="J280" s="143"/>
      <c r="K280" s="143"/>
      <c r="L280" s="143"/>
      <c r="M280" s="143"/>
      <c r="N280" s="143"/>
      <c r="O280" s="143"/>
      <c r="U280" s="1004" t="s">
        <v>81</v>
      </c>
      <c r="V280" s="963" t="s">
        <v>40</v>
      </c>
      <c r="W280" s="1005">
        <v>531407</v>
      </c>
      <c r="X280" s="964" t="s">
        <v>17</v>
      </c>
      <c r="Y280" s="1003" t="s">
        <v>25</v>
      </c>
      <c r="Z280" s="2860">
        <f>+AB39</f>
        <v>56.95000000000001</v>
      </c>
      <c r="AA280" s="101"/>
      <c r="AB280" s="101"/>
      <c r="AC280" s="101"/>
      <c r="AD280" s="335"/>
      <c r="AE280" s="8"/>
      <c r="AF280" s="8"/>
      <c r="AG280" s="236"/>
    </row>
    <row r="281" spans="1:33" ht="49.5">
      <c r="A281" s="8"/>
      <c r="B281" s="8"/>
      <c r="C281" s="143"/>
      <c r="D281" s="143"/>
      <c r="E281" s="143"/>
      <c r="F281" s="143"/>
      <c r="G281" s="143"/>
      <c r="H281" s="143"/>
      <c r="I281" s="143"/>
      <c r="J281" s="143"/>
      <c r="K281" s="143"/>
      <c r="L281" s="143"/>
      <c r="M281" s="143"/>
      <c r="N281" s="143"/>
      <c r="O281" s="143"/>
      <c r="U281" s="1004" t="s">
        <v>81</v>
      </c>
      <c r="V281" s="963" t="s">
        <v>40</v>
      </c>
      <c r="W281" s="1005">
        <v>531407</v>
      </c>
      <c r="X281" s="964" t="s">
        <v>17</v>
      </c>
      <c r="Y281" s="1003" t="s">
        <v>18</v>
      </c>
      <c r="Z281" s="2860">
        <f>+AB41</f>
        <v>171.51</v>
      </c>
      <c r="AA281" s="101"/>
      <c r="AB281" s="101"/>
      <c r="AC281" s="101"/>
      <c r="AD281" s="335"/>
      <c r="AE281" s="8"/>
      <c r="AF281" s="8"/>
      <c r="AG281" s="236"/>
    </row>
    <row r="282" spans="1:33" ht="49.5">
      <c r="A282" s="8"/>
      <c r="B282" s="8"/>
      <c r="C282" s="143"/>
      <c r="D282" s="143"/>
      <c r="E282" s="143"/>
      <c r="F282" s="143"/>
      <c r="G282" s="143"/>
      <c r="H282" s="143"/>
      <c r="I282" s="143"/>
      <c r="J282" s="143"/>
      <c r="K282" s="143"/>
      <c r="L282" s="143"/>
      <c r="M282" s="143"/>
      <c r="N282" s="143"/>
      <c r="O282" s="143"/>
      <c r="U282" s="1004" t="s">
        <v>81</v>
      </c>
      <c r="V282" s="963" t="s">
        <v>39</v>
      </c>
      <c r="W282" s="1005">
        <v>840104</v>
      </c>
      <c r="X282" s="964" t="s">
        <v>17</v>
      </c>
      <c r="Y282" s="1003" t="s">
        <v>18</v>
      </c>
      <c r="Z282" s="2860">
        <f>AB67+AB117</f>
        <v>8649</v>
      </c>
      <c r="AA282" s="101"/>
      <c r="AB282" s="335"/>
      <c r="AC282" s="101"/>
      <c r="AD282" s="335"/>
      <c r="AE282" s="8"/>
      <c r="AF282" s="8"/>
      <c r="AG282" s="236"/>
    </row>
    <row r="283" spans="1:33" ht="49.5">
      <c r="A283" s="8"/>
      <c r="B283" s="8"/>
      <c r="C283" s="143"/>
      <c r="D283" s="143"/>
      <c r="E283" s="143"/>
      <c r="F283" s="143"/>
      <c r="G283" s="143"/>
      <c r="H283" s="143"/>
      <c r="I283" s="143"/>
      <c r="J283" s="143"/>
      <c r="K283" s="143"/>
      <c r="L283" s="143"/>
      <c r="M283" s="143"/>
      <c r="N283" s="143"/>
      <c r="O283" s="143"/>
      <c r="U283" s="639" t="s">
        <v>81</v>
      </c>
      <c r="V283" s="552" t="s">
        <v>40</v>
      </c>
      <c r="W283" s="87">
        <v>840107</v>
      </c>
      <c r="X283" s="31" t="s">
        <v>17</v>
      </c>
      <c r="Y283" s="1729" t="s">
        <v>18</v>
      </c>
      <c r="Z283" s="883">
        <f>AB63+AB115</f>
        <v>30009.739200000004</v>
      </c>
      <c r="AA283" s="2086"/>
      <c r="AB283" s="101"/>
      <c r="AC283" s="101"/>
      <c r="AD283" s="335"/>
      <c r="AE283" s="8"/>
      <c r="AF283" s="8"/>
      <c r="AG283" s="236"/>
    </row>
    <row r="284" spans="1:33" ht="18" customHeight="1" thickBot="1">
      <c r="A284" s="8"/>
      <c r="B284" s="8"/>
      <c r="C284" s="143"/>
      <c r="D284" s="143"/>
      <c r="E284" s="143"/>
      <c r="F284" s="143"/>
      <c r="G284" s="143"/>
      <c r="H284" s="143"/>
      <c r="I284" s="143"/>
      <c r="J284" s="143"/>
      <c r="K284" s="143"/>
      <c r="L284" s="143"/>
      <c r="M284" s="143"/>
      <c r="N284" s="143"/>
      <c r="O284" s="143"/>
      <c r="U284" s="5930"/>
      <c r="V284" s="5931" t="s">
        <v>67</v>
      </c>
      <c r="W284" s="5932"/>
      <c r="X284" s="5932"/>
      <c r="Y284" s="5926" t="s">
        <v>292</v>
      </c>
      <c r="Z284" s="5939">
        <f>SUM(Z273:Z283)</f>
        <v>76424.539199999999</v>
      </c>
      <c r="AA284" s="143"/>
      <c r="AB284" s="143"/>
      <c r="AC284" s="143"/>
      <c r="AD284" s="335"/>
      <c r="AE284" s="8"/>
      <c r="AF284" s="8"/>
      <c r="AG284" s="236"/>
    </row>
    <row r="285" spans="1:33" ht="16.5" customHeight="1" thickTop="1">
      <c r="A285" s="8"/>
      <c r="B285" s="8"/>
      <c r="C285" s="143"/>
      <c r="D285" s="143"/>
      <c r="E285" s="143"/>
      <c r="F285" s="143"/>
      <c r="G285" s="143"/>
      <c r="H285" s="143"/>
      <c r="I285" s="143"/>
      <c r="J285" s="143"/>
      <c r="K285" s="143"/>
      <c r="L285" s="143"/>
      <c r="M285" s="143"/>
      <c r="N285" s="143"/>
      <c r="O285" s="143"/>
      <c r="U285" s="28"/>
      <c r="V285" s="34"/>
      <c r="W285" s="235"/>
      <c r="X285" s="85"/>
      <c r="Y285" s="28"/>
      <c r="Z285" s="28"/>
      <c r="AA285" s="143"/>
      <c r="AB285" s="143"/>
      <c r="AC285" s="2130"/>
      <c r="AD285" s="143"/>
      <c r="AE285" s="8"/>
      <c r="AF285" s="8"/>
      <c r="AG285" s="236"/>
    </row>
    <row r="286" spans="1:33" ht="16.5" customHeight="1">
      <c r="A286" s="8"/>
      <c r="B286" s="8"/>
      <c r="C286" s="143"/>
      <c r="D286" s="143"/>
      <c r="E286" s="143"/>
      <c r="F286" s="143"/>
      <c r="G286" s="143"/>
      <c r="H286" s="143"/>
      <c r="I286" s="143"/>
      <c r="J286" s="143"/>
      <c r="K286" s="143"/>
      <c r="L286" s="143"/>
      <c r="M286" s="143"/>
      <c r="N286" s="143"/>
      <c r="O286" s="143"/>
      <c r="P286" s="143"/>
      <c r="Q286" s="143"/>
      <c r="R286" s="143"/>
      <c r="S286" s="210"/>
      <c r="T286" s="28"/>
      <c r="U286" s="596"/>
      <c r="V286" s="596"/>
      <c r="W286" s="596"/>
      <c r="X286" s="235"/>
      <c r="Y286" s="85"/>
      <c r="Z286" s="28"/>
      <c r="AA286" s="28"/>
      <c r="AB286" s="28"/>
      <c r="AC286" s="28"/>
      <c r="AD286" s="143"/>
      <c r="AE286" s="8"/>
      <c r="AF286" s="8"/>
      <c r="AG286" s="236"/>
    </row>
    <row r="287" spans="1:33" ht="16.5" customHeight="1">
      <c r="A287" s="8"/>
      <c r="B287" s="8"/>
      <c r="C287" s="143"/>
      <c r="D287" s="143"/>
      <c r="E287" s="143"/>
      <c r="F287" s="143"/>
      <c r="G287" s="143"/>
      <c r="H287" s="143"/>
      <c r="I287" s="143"/>
      <c r="J287" s="143"/>
      <c r="K287" s="143"/>
      <c r="L287" s="143"/>
      <c r="M287" s="143"/>
      <c r="N287" s="143"/>
      <c r="O287" s="143"/>
      <c r="P287" s="143"/>
      <c r="Q287" s="143"/>
      <c r="R287" s="143"/>
      <c r="S287" s="210"/>
      <c r="T287" s="594"/>
      <c r="U287" s="8764" t="s">
        <v>356</v>
      </c>
      <c r="V287" s="9366"/>
      <c r="W287" s="9367"/>
      <c r="X287" s="595"/>
      <c r="Y287" s="237" t="s">
        <v>357</v>
      </c>
      <c r="Z287" s="37" t="str">
        <f>IF(Z284=AB267,"OK","NO")</f>
        <v>OK</v>
      </c>
      <c r="AA287" s="28"/>
      <c r="AB287" s="28"/>
      <c r="AC287" s="28"/>
      <c r="AD287" s="146"/>
      <c r="AE287" s="8"/>
      <c r="AF287" s="8"/>
      <c r="AG287" s="236"/>
    </row>
    <row r="288" spans="1:33" ht="16.5" customHeight="1">
      <c r="A288" s="8"/>
      <c r="B288" s="8"/>
      <c r="C288" s="143"/>
      <c r="D288" s="143"/>
      <c r="E288" s="143"/>
      <c r="F288" s="143"/>
      <c r="G288" s="143"/>
      <c r="H288" s="143"/>
      <c r="I288" s="143"/>
      <c r="J288" s="143"/>
      <c r="K288" s="143"/>
      <c r="L288" s="143"/>
      <c r="M288" s="143"/>
      <c r="N288" s="143"/>
      <c r="O288" s="143"/>
      <c r="P288" s="143"/>
      <c r="Q288" s="143"/>
      <c r="R288" s="143"/>
      <c r="S288" s="210"/>
      <c r="T288" s="594"/>
      <c r="U288" s="8766" t="s">
        <v>358</v>
      </c>
      <c r="V288" s="9368"/>
      <c r="W288" s="750">
        <f>+Z276+Z280</f>
        <v>15856.95</v>
      </c>
      <c r="X288" s="595"/>
      <c r="Y288" s="85"/>
      <c r="Z288" s="37" t="str">
        <f>IF(W292=AB267,"OK","NO")</f>
        <v>OK</v>
      </c>
      <c r="AA288" s="28"/>
      <c r="AB288" s="28"/>
      <c r="AC288" s="28"/>
      <c r="AD288" s="146"/>
      <c r="AE288" s="8"/>
      <c r="AF288" s="8"/>
      <c r="AG288" s="236"/>
    </row>
    <row r="289" spans="1:33" ht="16.5" customHeight="1">
      <c r="A289" s="8"/>
      <c r="B289" s="8"/>
      <c r="C289" s="143"/>
      <c r="D289" s="143"/>
      <c r="E289" s="143"/>
      <c r="F289" s="143"/>
      <c r="G289" s="143"/>
      <c r="H289" s="143"/>
      <c r="I289" s="143"/>
      <c r="J289" s="143"/>
      <c r="K289" s="143"/>
      <c r="L289" s="143"/>
      <c r="M289" s="143"/>
      <c r="N289" s="143"/>
      <c r="O289" s="143"/>
      <c r="P289" s="143"/>
      <c r="Q289" s="143"/>
      <c r="R289" s="143"/>
      <c r="S289" s="210"/>
      <c r="T289" s="594"/>
      <c r="U289" s="8755" t="s">
        <v>359</v>
      </c>
      <c r="V289" s="9369"/>
      <c r="W289" s="751">
        <f>+Z273+Z274+Z275+Z277+Z278+Z279</f>
        <v>21737.34</v>
      </c>
      <c r="X289" s="595"/>
      <c r="Y289" s="85"/>
      <c r="Z289" s="37" t="str">
        <f>IF(W302=AB267,"OK","NO")</f>
        <v>OK</v>
      </c>
      <c r="AA289" s="28"/>
      <c r="AB289" s="28"/>
      <c r="AC289" s="28"/>
      <c r="AD289" s="146"/>
      <c r="AE289" s="8"/>
      <c r="AF289" s="8"/>
      <c r="AG289" s="236"/>
    </row>
    <row r="290" spans="1:33" ht="16.5" customHeight="1">
      <c r="A290" s="8"/>
      <c r="B290" s="8"/>
      <c r="C290" s="143"/>
      <c r="D290" s="143"/>
      <c r="E290" s="143"/>
      <c r="F290" s="143"/>
      <c r="G290" s="143"/>
      <c r="H290" s="143"/>
      <c r="I290" s="143"/>
      <c r="J290" s="143"/>
      <c r="K290" s="143"/>
      <c r="L290" s="143"/>
      <c r="M290" s="143"/>
      <c r="N290" s="143"/>
      <c r="O290" s="143"/>
      <c r="P290" s="143"/>
      <c r="Q290" s="143"/>
      <c r="R290" s="143"/>
      <c r="S290" s="210"/>
      <c r="T290" s="594"/>
      <c r="U290" s="8755" t="s">
        <v>360</v>
      </c>
      <c r="V290" s="9369"/>
      <c r="W290" s="751">
        <f>+Z281+Z282+Z283</f>
        <v>38830.249200000006</v>
      </c>
      <c r="X290" s="595"/>
      <c r="Y290" s="238"/>
      <c r="Z290" s="37" t="str">
        <f>IF(Resumen!C411=AB267,"OK","NO")</f>
        <v>OK</v>
      </c>
      <c r="AA290" s="28"/>
      <c r="AB290" s="28"/>
      <c r="AC290" s="28"/>
      <c r="AD290" s="146"/>
      <c r="AE290" s="8"/>
      <c r="AF290" s="8"/>
      <c r="AG290" s="236"/>
    </row>
    <row r="291" spans="1:33" ht="16.5" customHeight="1">
      <c r="A291" s="8"/>
      <c r="B291" s="8"/>
      <c r="C291" s="143"/>
      <c r="D291" s="143"/>
      <c r="E291" s="143"/>
      <c r="F291" s="143"/>
      <c r="G291" s="143"/>
      <c r="H291" s="143"/>
      <c r="I291" s="143"/>
      <c r="J291" s="143"/>
      <c r="K291" s="143"/>
      <c r="L291" s="143"/>
      <c r="M291" s="143"/>
      <c r="N291" s="143"/>
      <c r="O291" s="143"/>
      <c r="P291" s="143"/>
      <c r="Q291" s="143"/>
      <c r="R291" s="143"/>
      <c r="S291" s="232"/>
      <c r="T291" s="597"/>
      <c r="U291" s="8755" t="s">
        <v>361</v>
      </c>
      <c r="V291" s="9369"/>
      <c r="W291" s="752">
        <v>0</v>
      </c>
      <c r="X291" s="595"/>
      <c r="Y291" s="238"/>
      <c r="Z291" s="28"/>
      <c r="AA291" s="28"/>
      <c r="AB291" s="28"/>
      <c r="AC291" s="28"/>
      <c r="AD291" s="146"/>
      <c r="AE291" s="233"/>
      <c r="AF291" s="233"/>
      <c r="AG291" s="234"/>
    </row>
    <row r="292" spans="1:33" ht="16.5" customHeight="1">
      <c r="A292" s="8"/>
      <c r="B292" s="8"/>
      <c r="C292" s="143"/>
      <c r="D292" s="143"/>
      <c r="E292" s="143"/>
      <c r="F292" s="143"/>
      <c r="G292" s="143"/>
      <c r="H292" s="143"/>
      <c r="I292" s="143"/>
      <c r="J292" s="143"/>
      <c r="K292" s="143"/>
      <c r="L292" s="143"/>
      <c r="M292" s="143"/>
      <c r="N292" s="143"/>
      <c r="O292" s="143"/>
      <c r="P292" s="143"/>
      <c r="Q292" s="143"/>
      <c r="R292" s="143"/>
      <c r="S292" s="232"/>
      <c r="T292" s="597"/>
      <c r="U292" s="9371" t="s">
        <v>67</v>
      </c>
      <c r="V292" s="9372"/>
      <c r="W292" s="753">
        <f>SUM(W288:W291)</f>
        <v>76424.539199999999</v>
      </c>
      <c r="X292" s="595"/>
      <c r="Y292" s="238"/>
      <c r="Z292" s="28"/>
      <c r="AA292" s="28"/>
      <c r="AB292" s="28"/>
      <c r="AC292" s="28"/>
      <c r="AD292" s="146"/>
      <c r="AE292" s="233"/>
      <c r="AF292" s="233"/>
      <c r="AG292" s="234"/>
    </row>
    <row r="293" spans="1:33" ht="16.5" customHeight="1">
      <c r="A293" s="8"/>
      <c r="B293" s="8"/>
      <c r="C293" s="143"/>
      <c r="D293" s="143"/>
      <c r="E293" s="143"/>
      <c r="F293" s="143"/>
      <c r="G293" s="143"/>
      <c r="H293" s="143"/>
      <c r="I293" s="143"/>
      <c r="J293" s="143"/>
      <c r="K293" s="143"/>
      <c r="L293" s="143"/>
      <c r="M293" s="143"/>
      <c r="N293" s="143"/>
      <c r="O293" s="143"/>
      <c r="P293" s="143"/>
      <c r="Q293" s="143"/>
      <c r="R293" s="143"/>
      <c r="S293" s="232"/>
      <c r="T293" s="597"/>
      <c r="U293" s="8758" t="s">
        <v>362</v>
      </c>
      <c r="V293" s="9851"/>
      <c r="W293" s="9374"/>
      <c r="X293" s="595"/>
      <c r="Y293" s="239"/>
      <c r="Z293" s="28"/>
      <c r="AA293" s="28"/>
      <c r="AB293" s="28"/>
      <c r="AC293" s="28"/>
      <c r="AD293" s="146"/>
      <c r="AE293" s="233"/>
      <c r="AF293" s="233"/>
      <c r="AG293" s="234"/>
    </row>
    <row r="294" spans="1:33" ht="16.5" customHeight="1">
      <c r="A294" s="8"/>
      <c r="B294" s="8"/>
      <c r="C294" s="143"/>
      <c r="D294" s="143"/>
      <c r="E294" s="143"/>
      <c r="F294" s="143"/>
      <c r="G294" s="143"/>
      <c r="H294" s="143"/>
      <c r="I294" s="143"/>
      <c r="J294" s="143"/>
      <c r="K294" s="143"/>
      <c r="L294" s="143"/>
      <c r="M294" s="143"/>
      <c r="N294" s="143"/>
      <c r="O294" s="143"/>
      <c r="P294" s="143"/>
      <c r="Q294" s="143"/>
      <c r="R294" s="143"/>
      <c r="S294" s="232"/>
      <c r="T294" s="597"/>
      <c r="U294" s="8760" t="s">
        <v>363</v>
      </c>
      <c r="V294" s="9368"/>
      <c r="W294" s="750">
        <v>0</v>
      </c>
      <c r="X294" s="595"/>
      <c r="Y294" s="239"/>
      <c r="Z294" s="28"/>
      <c r="AA294" s="28"/>
      <c r="AB294" s="28"/>
      <c r="AC294" s="28"/>
      <c r="AD294" s="146"/>
      <c r="AE294" s="233"/>
      <c r="AF294" s="233"/>
      <c r="AG294" s="234"/>
    </row>
    <row r="295" spans="1:33" ht="16.5" customHeight="1">
      <c r="A295" s="8"/>
      <c r="B295" s="8"/>
      <c r="C295" s="143"/>
      <c r="D295" s="143"/>
      <c r="E295" s="143"/>
      <c r="F295" s="143"/>
      <c r="G295" s="143"/>
      <c r="H295" s="143"/>
      <c r="I295" s="143"/>
      <c r="J295" s="143"/>
      <c r="K295" s="143"/>
      <c r="L295" s="143"/>
      <c r="M295" s="143"/>
      <c r="N295" s="143"/>
      <c r="O295" s="143"/>
      <c r="P295" s="143"/>
      <c r="Q295" s="143"/>
      <c r="R295" s="143"/>
      <c r="S295" s="232"/>
      <c r="T295" s="597"/>
      <c r="U295" s="8762" t="s">
        <v>364</v>
      </c>
      <c r="V295" s="9369"/>
      <c r="W295" s="751">
        <f>SUM(Z273:Z281)</f>
        <v>37765.800000000003</v>
      </c>
      <c r="X295" s="595"/>
      <c r="Y295" s="239"/>
      <c r="Z295" s="28"/>
      <c r="AA295" s="28"/>
      <c r="AB295" s="28"/>
      <c r="AC295" s="28"/>
      <c r="AD295" s="146"/>
      <c r="AE295" s="233"/>
      <c r="AF295" s="233"/>
      <c r="AG295" s="234"/>
    </row>
    <row r="296" spans="1:33" ht="16.5" customHeight="1">
      <c r="A296" s="8"/>
      <c r="B296" s="8"/>
      <c r="C296" s="143"/>
      <c r="D296" s="143"/>
      <c r="E296" s="143"/>
      <c r="F296" s="143"/>
      <c r="G296" s="143"/>
      <c r="H296" s="143"/>
      <c r="I296" s="143"/>
      <c r="J296" s="143"/>
      <c r="K296" s="143"/>
      <c r="L296" s="143"/>
      <c r="M296" s="143"/>
      <c r="N296" s="143"/>
      <c r="O296" s="143"/>
      <c r="P296" s="143"/>
      <c r="Q296" s="143"/>
      <c r="R296" s="143"/>
      <c r="S296" s="232"/>
      <c r="T296" s="597"/>
      <c r="U296" s="8762" t="s">
        <v>365</v>
      </c>
      <c r="V296" s="9369"/>
      <c r="W296" s="751">
        <v>0</v>
      </c>
      <c r="X296" s="595"/>
      <c r="Y296" s="2071"/>
      <c r="Z296" s="28"/>
      <c r="AA296" s="28"/>
      <c r="AB296" s="28"/>
      <c r="AC296" s="28"/>
      <c r="AD296" s="146"/>
      <c r="AE296" s="233"/>
      <c r="AF296" s="233"/>
      <c r="AG296" s="234"/>
    </row>
    <row r="297" spans="1:33" ht="16.5" customHeight="1">
      <c r="A297" s="8"/>
      <c r="B297" s="8"/>
      <c r="C297" s="143"/>
      <c r="D297" s="143"/>
      <c r="E297" s="143"/>
      <c r="F297" s="143"/>
      <c r="G297" s="143"/>
      <c r="H297" s="143"/>
      <c r="I297" s="143"/>
      <c r="J297" s="143"/>
      <c r="K297" s="143"/>
      <c r="L297" s="143"/>
      <c r="M297" s="143"/>
      <c r="N297" s="143"/>
      <c r="O297" s="143"/>
      <c r="P297" s="143"/>
      <c r="Q297" s="143"/>
      <c r="R297" s="143"/>
      <c r="S297" s="232"/>
      <c r="T297" s="597"/>
      <c r="U297" s="8762" t="s">
        <v>366</v>
      </c>
      <c r="V297" s="9369"/>
      <c r="W297" s="751">
        <v>0</v>
      </c>
      <c r="X297" s="595"/>
      <c r="Y297" s="238"/>
      <c r="Z297" s="28"/>
      <c r="AA297" s="28"/>
      <c r="AB297" s="28"/>
      <c r="AC297" s="28"/>
      <c r="AD297" s="146"/>
      <c r="AE297" s="233"/>
      <c r="AF297" s="233"/>
      <c r="AG297" s="234"/>
    </row>
    <row r="298" spans="1:33" ht="16.5" customHeight="1">
      <c r="A298" s="8"/>
      <c r="B298" s="8"/>
      <c r="C298" s="143"/>
      <c r="D298" s="143"/>
      <c r="E298" s="143"/>
      <c r="F298" s="143"/>
      <c r="G298" s="143"/>
      <c r="H298" s="143"/>
      <c r="I298" s="143"/>
      <c r="J298" s="143"/>
      <c r="K298" s="143"/>
      <c r="L298" s="143"/>
      <c r="M298" s="143"/>
      <c r="N298" s="143"/>
      <c r="O298" s="143"/>
      <c r="P298" s="143"/>
      <c r="Q298" s="143"/>
      <c r="R298" s="143"/>
      <c r="S298" s="232"/>
      <c r="T298" s="597"/>
      <c r="U298" s="8762" t="s">
        <v>367</v>
      </c>
      <c r="V298" s="9369"/>
      <c r="W298" s="751">
        <v>0</v>
      </c>
      <c r="X298" s="595"/>
      <c r="Y298" s="2072"/>
      <c r="Z298" s="1745"/>
      <c r="AE298" s="233"/>
      <c r="AF298" s="233"/>
      <c r="AG298" s="234"/>
    </row>
    <row r="299" spans="1:33" ht="16.5" customHeight="1">
      <c r="A299" s="8"/>
      <c r="B299" s="8"/>
      <c r="C299" s="143"/>
      <c r="D299" s="143"/>
      <c r="E299" s="143"/>
      <c r="F299" s="143"/>
      <c r="G299" s="143"/>
      <c r="H299" s="143"/>
      <c r="I299" s="143"/>
      <c r="J299" s="143"/>
      <c r="K299" s="143"/>
      <c r="L299" s="143"/>
      <c r="M299" s="143"/>
      <c r="N299" s="143"/>
      <c r="O299" s="143"/>
      <c r="P299" s="143"/>
      <c r="Q299" s="143"/>
      <c r="R299" s="143"/>
      <c r="S299" s="232"/>
      <c r="T299" s="597"/>
      <c r="U299" s="8762" t="s">
        <v>368</v>
      </c>
      <c r="V299" s="9369"/>
      <c r="W299" s="751">
        <v>0</v>
      </c>
      <c r="X299" s="595"/>
      <c r="Y299" s="2072"/>
      <c r="Z299" s="2067"/>
      <c r="AA299" s="2067"/>
      <c r="AB299" s="2067"/>
      <c r="AC299" s="2067"/>
      <c r="AD299" s="2067"/>
      <c r="AE299" s="233"/>
      <c r="AF299" s="233"/>
      <c r="AG299" s="234"/>
    </row>
    <row r="300" spans="1:33" ht="16.5" customHeight="1">
      <c r="A300" s="8"/>
      <c r="B300" s="8"/>
      <c r="C300" s="143"/>
      <c r="D300" s="143"/>
      <c r="E300" s="143"/>
      <c r="F300" s="143"/>
      <c r="G300" s="143"/>
      <c r="H300" s="143"/>
      <c r="I300" s="143"/>
      <c r="J300" s="143"/>
      <c r="K300" s="143"/>
      <c r="L300" s="143"/>
      <c r="M300" s="143"/>
      <c r="N300" s="143"/>
      <c r="O300" s="143"/>
      <c r="P300" s="143"/>
      <c r="Q300" s="143"/>
      <c r="R300" s="143"/>
      <c r="S300" s="232"/>
      <c r="T300" s="597"/>
      <c r="U300" s="8762" t="s">
        <v>369</v>
      </c>
      <c r="V300" s="9369"/>
      <c r="W300" s="751">
        <f>SUM(Z282:Z283)</f>
        <v>38658.739200000004</v>
      </c>
      <c r="X300" s="595"/>
      <c r="Y300" s="2072"/>
      <c r="Z300" s="2073"/>
      <c r="AA300" s="85"/>
      <c r="AB300" s="85"/>
      <c r="AC300" s="85"/>
      <c r="AD300" s="2069"/>
      <c r="AE300" s="233"/>
      <c r="AF300" s="233"/>
      <c r="AG300" s="234"/>
    </row>
    <row r="301" spans="1:33" ht="16.5" customHeight="1">
      <c r="A301" s="8"/>
      <c r="B301" s="8"/>
      <c r="C301" s="143"/>
      <c r="D301" s="143"/>
      <c r="E301" s="143"/>
      <c r="F301" s="143"/>
      <c r="G301" s="143"/>
      <c r="H301" s="143"/>
      <c r="I301" s="143"/>
      <c r="J301" s="143"/>
      <c r="K301" s="143"/>
      <c r="L301" s="143"/>
      <c r="M301" s="143"/>
      <c r="N301" s="143"/>
      <c r="O301" s="143"/>
      <c r="P301" s="143"/>
      <c r="Q301" s="143"/>
      <c r="R301" s="143"/>
      <c r="S301" s="232"/>
      <c r="T301" s="597"/>
      <c r="U301" s="8762" t="s">
        <v>370</v>
      </c>
      <c r="V301" s="9369"/>
      <c r="W301" s="752">
        <v>0</v>
      </c>
      <c r="X301" s="595"/>
      <c r="Y301" s="2074"/>
      <c r="Z301" s="2075"/>
      <c r="AA301" s="2075"/>
      <c r="AB301" s="2075"/>
      <c r="AC301" s="2075"/>
      <c r="AD301" s="146"/>
      <c r="AE301" s="233"/>
      <c r="AF301" s="233"/>
      <c r="AG301" s="234"/>
    </row>
    <row r="302" spans="1:33" ht="16.5" customHeight="1">
      <c r="A302" s="8"/>
      <c r="B302" s="8"/>
      <c r="C302" s="143"/>
      <c r="D302" s="143"/>
      <c r="E302" s="143"/>
      <c r="F302" s="143"/>
      <c r="G302" s="143"/>
      <c r="H302" s="143"/>
      <c r="I302" s="143"/>
      <c r="J302" s="143"/>
      <c r="K302" s="143"/>
      <c r="L302" s="143"/>
      <c r="M302" s="143"/>
      <c r="N302" s="143"/>
      <c r="O302" s="143"/>
      <c r="P302" s="143"/>
      <c r="Q302" s="143"/>
      <c r="R302" s="143"/>
      <c r="S302" s="232"/>
      <c r="T302" s="597"/>
      <c r="U302" s="8927" t="s">
        <v>67</v>
      </c>
      <c r="V302" s="9370"/>
      <c r="W302" s="754">
        <f>SUM(W294:W301)</f>
        <v>76424.539199999999</v>
      </c>
      <c r="X302" s="595"/>
      <c r="Y302" s="2071"/>
      <c r="Z302" s="28"/>
      <c r="AA302" s="28"/>
      <c r="AB302" s="28"/>
      <c r="AC302" s="28"/>
      <c r="AD302" s="146"/>
      <c r="AE302" s="233"/>
      <c r="AF302" s="233"/>
      <c r="AG302" s="234"/>
    </row>
  </sheetData>
  <mergeCells count="826">
    <mergeCell ref="A1:AH1"/>
    <mergeCell ref="A2:AH2"/>
    <mergeCell ref="A3:AH3"/>
    <mergeCell ref="A4:AH4"/>
    <mergeCell ref="N9:N13"/>
    <mergeCell ref="O9:O13"/>
    <mergeCell ref="P9:P13"/>
    <mergeCell ref="Q9:Q13"/>
    <mergeCell ref="R9:R13"/>
    <mergeCell ref="AH9:AH13"/>
    <mergeCell ref="G9:G13"/>
    <mergeCell ref="H9:H13"/>
    <mergeCell ref="I9:I13"/>
    <mergeCell ref="J9:J13"/>
    <mergeCell ref="K9:K13"/>
    <mergeCell ref="L9:L13"/>
    <mergeCell ref="M9:M13"/>
    <mergeCell ref="J5:R5"/>
    <mergeCell ref="C6:D6"/>
    <mergeCell ref="S6:AH6"/>
    <mergeCell ref="M7:O7"/>
    <mergeCell ref="S7:Y7"/>
    <mergeCell ref="AE7:AG7"/>
    <mergeCell ref="AH7:AH8"/>
    <mergeCell ref="P14:P18"/>
    <mergeCell ref="Q14:Q18"/>
    <mergeCell ref="R14:R18"/>
    <mergeCell ref="AH14:AH18"/>
    <mergeCell ref="I14:I18"/>
    <mergeCell ref="J14:J18"/>
    <mergeCell ref="K14:K18"/>
    <mergeCell ref="L14:L18"/>
    <mergeCell ref="M14:M18"/>
    <mergeCell ref="N14:N18"/>
    <mergeCell ref="O14:O18"/>
    <mergeCell ref="C14:C18"/>
    <mergeCell ref="D14:D18"/>
    <mergeCell ref="E14:E18"/>
    <mergeCell ref="F14:F18"/>
    <mergeCell ref="G14:G18"/>
    <mergeCell ref="H14:H18"/>
    <mergeCell ref="C19:C23"/>
    <mergeCell ref="D19:D23"/>
    <mergeCell ref="C24:C28"/>
    <mergeCell ref="D24:D28"/>
    <mergeCell ref="E19:E23"/>
    <mergeCell ref="F19:F23"/>
    <mergeCell ref="G19:G23"/>
    <mergeCell ref="H19:H23"/>
    <mergeCell ref="P24:P28"/>
    <mergeCell ref="Q24:Q28"/>
    <mergeCell ref="R24:R28"/>
    <mergeCell ref="P29:P33"/>
    <mergeCell ref="Q29:Q33"/>
    <mergeCell ref="R29:R33"/>
    <mergeCell ref="I29:I33"/>
    <mergeCell ref="J29:J33"/>
    <mergeCell ref="K29:K33"/>
    <mergeCell ref="L29:L33"/>
    <mergeCell ref="M29:M33"/>
    <mergeCell ref="N29:N33"/>
    <mergeCell ref="O29:O33"/>
    <mergeCell ref="I24:I28"/>
    <mergeCell ref="J24:J28"/>
    <mergeCell ref="K24:K28"/>
    <mergeCell ref="L24:L28"/>
    <mergeCell ref="M24:M28"/>
    <mergeCell ref="AH39:AH47"/>
    <mergeCell ref="AH48:AH52"/>
    <mergeCell ref="C29:C33"/>
    <mergeCell ref="D29:D33"/>
    <mergeCell ref="E29:E33"/>
    <mergeCell ref="F29:F33"/>
    <mergeCell ref="C34:C38"/>
    <mergeCell ref="D34:D38"/>
    <mergeCell ref="N34:N38"/>
    <mergeCell ref="O34:O38"/>
    <mergeCell ref="P34:P38"/>
    <mergeCell ref="I39:I47"/>
    <mergeCell ref="J39:J47"/>
    <mergeCell ref="K39:K47"/>
    <mergeCell ref="L39:L47"/>
    <mergeCell ref="M39:M47"/>
    <mergeCell ref="E34:E38"/>
    <mergeCell ref="F34:F38"/>
    <mergeCell ref="I34:I38"/>
    <mergeCell ref="H29:H33"/>
    <mergeCell ref="C39:C47"/>
    <mergeCell ref="AH53:AH57"/>
    <mergeCell ref="AH58:AH62"/>
    <mergeCell ref="AH63:AH83"/>
    <mergeCell ref="AH84:AH88"/>
    <mergeCell ref="AH89:AH93"/>
    <mergeCell ref="AH152:AH156"/>
    <mergeCell ref="S157:Z157"/>
    <mergeCell ref="AE157:AH157"/>
    <mergeCell ref="AH110:AH114"/>
    <mergeCell ref="AH115:AH126"/>
    <mergeCell ref="AH127:AH131"/>
    <mergeCell ref="AH132:AH136"/>
    <mergeCell ref="AH137:AH141"/>
    <mergeCell ref="AH142:AH146"/>
    <mergeCell ref="AH147:AH151"/>
    <mergeCell ref="P231:P235"/>
    <mergeCell ref="Q231:Q235"/>
    <mergeCell ref="R231:R235"/>
    <mergeCell ref="P158:P162"/>
    <mergeCell ref="AH195:AH199"/>
    <mergeCell ref="S200:Z200"/>
    <mergeCell ref="AE200:AH200"/>
    <mergeCell ref="AH201:AH205"/>
    <mergeCell ref="AH206:AH210"/>
    <mergeCell ref="AH211:AH215"/>
    <mergeCell ref="AH216:AH220"/>
    <mergeCell ref="AH221:AH225"/>
    <mergeCell ref="AH226:AH230"/>
    <mergeCell ref="AH158:AH162"/>
    <mergeCell ref="AH163:AH167"/>
    <mergeCell ref="AH168:AH174"/>
    <mergeCell ref="AH175:AH179"/>
    <mergeCell ref="AH180:AH184"/>
    <mergeCell ref="AH185:AH189"/>
    <mergeCell ref="AH190:AH194"/>
    <mergeCell ref="P201:P205"/>
    <mergeCell ref="Q201:Q205"/>
    <mergeCell ref="R201:R205"/>
    <mergeCell ref="Q158:Q162"/>
    <mergeCell ref="I201:I205"/>
    <mergeCell ref="J201:J205"/>
    <mergeCell ref="K201:K205"/>
    <mergeCell ref="L201:L205"/>
    <mergeCell ref="M201:M205"/>
    <mergeCell ref="N201:N205"/>
    <mergeCell ref="O201:O205"/>
    <mergeCell ref="P206:P210"/>
    <mergeCell ref="Q206:Q210"/>
    <mergeCell ref="I206:I210"/>
    <mergeCell ref="J206:J210"/>
    <mergeCell ref="K206:K210"/>
    <mergeCell ref="L206:L210"/>
    <mergeCell ref="M206:M210"/>
    <mergeCell ref="N206:N210"/>
    <mergeCell ref="O206:O210"/>
    <mergeCell ref="I216:I220"/>
    <mergeCell ref="J216:J220"/>
    <mergeCell ref="K216:K220"/>
    <mergeCell ref="L216:L220"/>
    <mergeCell ref="M216:M220"/>
    <mergeCell ref="N216:N220"/>
    <mergeCell ref="O216:O220"/>
    <mergeCell ref="P211:P215"/>
    <mergeCell ref="Q211:Q215"/>
    <mergeCell ref="I127:I131"/>
    <mergeCell ref="I221:I225"/>
    <mergeCell ref="J221:J225"/>
    <mergeCell ref="K221:K225"/>
    <mergeCell ref="L221:L225"/>
    <mergeCell ref="M221:M225"/>
    <mergeCell ref="N221:N225"/>
    <mergeCell ref="O221:O225"/>
    <mergeCell ref="P226:P230"/>
    <mergeCell ref="I226:I230"/>
    <mergeCell ref="J226:J230"/>
    <mergeCell ref="K226:K230"/>
    <mergeCell ref="L226:L230"/>
    <mergeCell ref="M226:M230"/>
    <mergeCell ref="N226:N230"/>
    <mergeCell ref="O226:O230"/>
    <mergeCell ref="P221:P225"/>
    <mergeCell ref="I211:I215"/>
    <mergeCell ref="J211:J215"/>
    <mergeCell ref="K211:K215"/>
    <mergeCell ref="L211:L215"/>
    <mergeCell ref="M211:M215"/>
    <mergeCell ref="N211:N215"/>
    <mergeCell ref="O211:O215"/>
    <mergeCell ref="I19:I23"/>
    <mergeCell ref="J19:J23"/>
    <mergeCell ref="K19:K23"/>
    <mergeCell ref="L19:L23"/>
    <mergeCell ref="M19:M23"/>
    <mergeCell ref="N19:N23"/>
    <mergeCell ref="O19:O23"/>
    <mergeCell ref="I53:I57"/>
    <mergeCell ref="J53:J57"/>
    <mergeCell ref="K53:K57"/>
    <mergeCell ref="L53:L57"/>
    <mergeCell ref="M53:M57"/>
    <mergeCell ref="N53:N57"/>
    <mergeCell ref="O53:O57"/>
    <mergeCell ref="N39:N47"/>
    <mergeCell ref="O39:O47"/>
    <mergeCell ref="N24:N28"/>
    <mergeCell ref="O24:O28"/>
    <mergeCell ref="P19:P23"/>
    <mergeCell ref="Q19:Q23"/>
    <mergeCell ref="R19:R23"/>
    <mergeCell ref="AH19:AH23"/>
    <mergeCell ref="AH24:AH28"/>
    <mergeCell ref="AH29:AH33"/>
    <mergeCell ref="AH34:AH38"/>
    <mergeCell ref="E6:I6"/>
    <mergeCell ref="J6:R6"/>
    <mergeCell ref="G34:G38"/>
    <mergeCell ref="H34:H38"/>
    <mergeCell ref="G7:G8"/>
    <mergeCell ref="H7:H8"/>
    <mergeCell ref="Q34:Q38"/>
    <mergeCell ref="R34:R38"/>
    <mergeCell ref="E24:E28"/>
    <mergeCell ref="F24:F28"/>
    <mergeCell ref="G24:G28"/>
    <mergeCell ref="H24:H28"/>
    <mergeCell ref="J34:J38"/>
    <mergeCell ref="K34:K38"/>
    <mergeCell ref="L34:L38"/>
    <mergeCell ref="M34:M38"/>
    <mergeCell ref="G29:G33"/>
    <mergeCell ref="I7:I8"/>
    <mergeCell ref="J7:J8"/>
    <mergeCell ref="K7:K8"/>
    <mergeCell ref="L7:L8"/>
    <mergeCell ref="P7:P8"/>
    <mergeCell ref="Q7:Q8"/>
    <mergeCell ref="R7:R8"/>
    <mergeCell ref="A6:B8"/>
    <mergeCell ref="C7:C8"/>
    <mergeCell ref="D7:D8"/>
    <mergeCell ref="E7:E8"/>
    <mergeCell ref="F7:F8"/>
    <mergeCell ref="Z7:AD7"/>
    <mergeCell ref="C9:C13"/>
    <mergeCell ref="D9:D13"/>
    <mergeCell ref="E9:E13"/>
    <mergeCell ref="F9:F13"/>
    <mergeCell ref="AH94:AH98"/>
    <mergeCell ref="AH99:AH103"/>
    <mergeCell ref="AH104:AH108"/>
    <mergeCell ref="S109:Z109"/>
    <mergeCell ref="AE109:AH109"/>
    <mergeCell ref="N48:N52"/>
    <mergeCell ref="O48:O52"/>
    <mergeCell ref="P48:P52"/>
    <mergeCell ref="Q48:Q52"/>
    <mergeCell ref="R48:R52"/>
    <mergeCell ref="G48:G52"/>
    <mergeCell ref="H48:H52"/>
    <mergeCell ref="I48:I52"/>
    <mergeCell ref="J48:J52"/>
    <mergeCell ref="K48:K52"/>
    <mergeCell ref="L48:L52"/>
    <mergeCell ref="M48:M52"/>
    <mergeCell ref="P53:P57"/>
    <mergeCell ref="Q53:Q57"/>
    <mergeCell ref="R53:R57"/>
    <mergeCell ref="D39:D47"/>
    <mergeCell ref="E39:E47"/>
    <mergeCell ref="F39:F47"/>
    <mergeCell ref="G39:G47"/>
    <mergeCell ref="H39:H47"/>
    <mergeCell ref="C48:C52"/>
    <mergeCell ref="D48:D52"/>
    <mergeCell ref="E48:E52"/>
    <mergeCell ref="F48:F52"/>
    <mergeCell ref="C53:C57"/>
    <mergeCell ref="D53:D57"/>
    <mergeCell ref="E53:E57"/>
    <mergeCell ref="F53:F57"/>
    <mergeCell ref="G53:G57"/>
    <mergeCell ref="H53:H57"/>
    <mergeCell ref="P39:P47"/>
    <mergeCell ref="Q39:Q47"/>
    <mergeCell ref="R39:R47"/>
    <mergeCell ref="P58:P62"/>
    <mergeCell ref="Q58:Q62"/>
    <mergeCell ref="R58:R62"/>
    <mergeCell ref="I58:I62"/>
    <mergeCell ref="J58:J62"/>
    <mergeCell ref="K58:K62"/>
    <mergeCell ref="L58:L62"/>
    <mergeCell ref="M58:M62"/>
    <mergeCell ref="N58:N62"/>
    <mergeCell ref="O58:O62"/>
    <mergeCell ref="C58:C62"/>
    <mergeCell ref="D58:D62"/>
    <mergeCell ref="C63:C83"/>
    <mergeCell ref="D63:D83"/>
    <mergeCell ref="E63:E83"/>
    <mergeCell ref="F63:F83"/>
    <mergeCell ref="G63:G83"/>
    <mergeCell ref="H63:H83"/>
    <mergeCell ref="E58:E62"/>
    <mergeCell ref="F58:F62"/>
    <mergeCell ref="G58:G62"/>
    <mergeCell ref="H58:H62"/>
    <mergeCell ref="P63:P83"/>
    <mergeCell ref="Q63:Q83"/>
    <mergeCell ref="R63:R83"/>
    <mergeCell ref="P84:P88"/>
    <mergeCell ref="Q84:Q88"/>
    <mergeCell ref="R84:R88"/>
    <mergeCell ref="I84:I88"/>
    <mergeCell ref="J84:J88"/>
    <mergeCell ref="K84:K88"/>
    <mergeCell ref="L84:L88"/>
    <mergeCell ref="M84:M88"/>
    <mergeCell ref="N84:N88"/>
    <mergeCell ref="O84:O88"/>
    <mergeCell ref="I63:I83"/>
    <mergeCell ref="J63:J83"/>
    <mergeCell ref="K63:K83"/>
    <mergeCell ref="L63:L83"/>
    <mergeCell ref="M63:M83"/>
    <mergeCell ref="N63:N83"/>
    <mergeCell ref="O63:O83"/>
    <mergeCell ref="I115:I126"/>
    <mergeCell ref="J115:J126"/>
    <mergeCell ref="K115:K126"/>
    <mergeCell ref="L115:L126"/>
    <mergeCell ref="M115:M126"/>
    <mergeCell ref="N115:N126"/>
    <mergeCell ref="O115:O126"/>
    <mergeCell ref="P110:P114"/>
    <mergeCell ref="Q110:Q114"/>
    <mergeCell ref="I110:I114"/>
    <mergeCell ref="J110:J114"/>
    <mergeCell ref="K110:K114"/>
    <mergeCell ref="L110:L114"/>
    <mergeCell ref="M110:M114"/>
    <mergeCell ref="N110:N114"/>
    <mergeCell ref="O110:O114"/>
    <mergeCell ref="C84:C88"/>
    <mergeCell ref="D84:D88"/>
    <mergeCell ref="E84:E88"/>
    <mergeCell ref="F84:F88"/>
    <mergeCell ref="C89:C93"/>
    <mergeCell ref="D89:D93"/>
    <mergeCell ref="N89:N93"/>
    <mergeCell ref="O89:O93"/>
    <mergeCell ref="P89:P93"/>
    <mergeCell ref="H89:H93"/>
    <mergeCell ref="E89:E93"/>
    <mergeCell ref="F89:F93"/>
    <mergeCell ref="I89:I93"/>
    <mergeCell ref="J89:J93"/>
    <mergeCell ref="K89:K93"/>
    <mergeCell ref="L89:L93"/>
    <mergeCell ref="M89:M93"/>
    <mergeCell ref="G84:G88"/>
    <mergeCell ref="H84:H88"/>
    <mergeCell ref="Q89:Q93"/>
    <mergeCell ref="R89:R93"/>
    <mergeCell ref="N94:N98"/>
    <mergeCell ref="O94:O98"/>
    <mergeCell ref="P94:P98"/>
    <mergeCell ref="Q94:Q98"/>
    <mergeCell ref="R94:R98"/>
    <mergeCell ref="P127:P131"/>
    <mergeCell ref="Q127:Q131"/>
    <mergeCell ref="R127:R131"/>
    <mergeCell ref="P104:P108"/>
    <mergeCell ref="Q104:Q108"/>
    <mergeCell ref="R104:R108"/>
    <mergeCell ref="P115:P126"/>
    <mergeCell ref="Q115:Q126"/>
    <mergeCell ref="R115:R126"/>
    <mergeCell ref="R110:R114"/>
    <mergeCell ref="J127:J131"/>
    <mergeCell ref="K127:K131"/>
    <mergeCell ref="L127:L131"/>
    <mergeCell ref="M127:M131"/>
    <mergeCell ref="N127:N131"/>
    <mergeCell ref="O127:O131"/>
    <mergeCell ref="P132:P136"/>
    <mergeCell ref="Q132:Q136"/>
    <mergeCell ref="R132:R136"/>
    <mergeCell ref="I132:I136"/>
    <mergeCell ref="J132:J136"/>
    <mergeCell ref="K132:K136"/>
    <mergeCell ref="L132:L136"/>
    <mergeCell ref="M132:M136"/>
    <mergeCell ref="N132:N136"/>
    <mergeCell ref="O132:O136"/>
    <mergeCell ref="P137:P141"/>
    <mergeCell ref="Q137:Q141"/>
    <mergeCell ref="R137:R141"/>
    <mergeCell ref="I137:I141"/>
    <mergeCell ref="J137:J141"/>
    <mergeCell ref="K137:K141"/>
    <mergeCell ref="L137:L141"/>
    <mergeCell ref="M137:M141"/>
    <mergeCell ref="N137:N141"/>
    <mergeCell ref="O137:O141"/>
    <mergeCell ref="P142:P146"/>
    <mergeCell ref="Q142:Q146"/>
    <mergeCell ref="R142:R146"/>
    <mergeCell ref="I142:I146"/>
    <mergeCell ref="J142:J146"/>
    <mergeCell ref="K142:K146"/>
    <mergeCell ref="L142:L146"/>
    <mergeCell ref="M142:M146"/>
    <mergeCell ref="N142:N146"/>
    <mergeCell ref="O142:O146"/>
    <mergeCell ref="P147:P151"/>
    <mergeCell ref="Q147:Q151"/>
    <mergeCell ref="R147:R151"/>
    <mergeCell ref="I147:I151"/>
    <mergeCell ref="J147:J151"/>
    <mergeCell ref="K147:K151"/>
    <mergeCell ref="L147:L151"/>
    <mergeCell ref="M147:M151"/>
    <mergeCell ref="N147:N151"/>
    <mergeCell ref="O147:O151"/>
    <mergeCell ref="P152:P156"/>
    <mergeCell ref="Q152:Q156"/>
    <mergeCell ref="R152:R156"/>
    <mergeCell ref="I152:I156"/>
    <mergeCell ref="J152:J156"/>
    <mergeCell ref="K152:K156"/>
    <mergeCell ref="L152:L156"/>
    <mergeCell ref="M152:M156"/>
    <mergeCell ref="N152:N156"/>
    <mergeCell ref="O152:O156"/>
    <mergeCell ref="P163:P167"/>
    <mergeCell ref="Q163:Q167"/>
    <mergeCell ref="R163:R167"/>
    <mergeCell ref="I163:I167"/>
    <mergeCell ref="J163:J167"/>
    <mergeCell ref="K163:K167"/>
    <mergeCell ref="L163:L167"/>
    <mergeCell ref="M163:M167"/>
    <mergeCell ref="N163:N167"/>
    <mergeCell ref="O163:O167"/>
    <mergeCell ref="P175:P179"/>
    <mergeCell ref="Q175:Q179"/>
    <mergeCell ref="R175:R179"/>
    <mergeCell ref="I175:I179"/>
    <mergeCell ref="J175:J179"/>
    <mergeCell ref="K175:K179"/>
    <mergeCell ref="L175:L179"/>
    <mergeCell ref="M175:M179"/>
    <mergeCell ref="N175:N179"/>
    <mergeCell ref="O175:O179"/>
    <mergeCell ref="P180:P184"/>
    <mergeCell ref="Q180:Q184"/>
    <mergeCell ref="R180:R184"/>
    <mergeCell ref="I180:I184"/>
    <mergeCell ref="J180:J184"/>
    <mergeCell ref="K180:K184"/>
    <mergeCell ref="L180:L184"/>
    <mergeCell ref="M180:M184"/>
    <mergeCell ref="N180:N184"/>
    <mergeCell ref="O180:O184"/>
    <mergeCell ref="P185:P189"/>
    <mergeCell ref="Q185:Q189"/>
    <mergeCell ref="R185:R189"/>
    <mergeCell ref="I185:I189"/>
    <mergeCell ref="J185:J189"/>
    <mergeCell ref="K185:K189"/>
    <mergeCell ref="L185:L189"/>
    <mergeCell ref="M185:M189"/>
    <mergeCell ref="N185:N189"/>
    <mergeCell ref="O185:O189"/>
    <mergeCell ref="P190:P194"/>
    <mergeCell ref="Q190:Q194"/>
    <mergeCell ref="R190:R194"/>
    <mergeCell ref="I190:I194"/>
    <mergeCell ref="J190:J194"/>
    <mergeCell ref="K190:K194"/>
    <mergeCell ref="L190:L194"/>
    <mergeCell ref="M190:M194"/>
    <mergeCell ref="N190:N194"/>
    <mergeCell ref="O190:O194"/>
    <mergeCell ref="R246:R250"/>
    <mergeCell ref="R241:R245"/>
    <mergeCell ref="R256:R260"/>
    <mergeCell ref="R251:R255"/>
    <mergeCell ref="I195:I199"/>
    <mergeCell ref="J195:J199"/>
    <mergeCell ref="K195:K199"/>
    <mergeCell ref="L195:L199"/>
    <mergeCell ref="M195:M199"/>
    <mergeCell ref="N195:N199"/>
    <mergeCell ref="O195:O199"/>
    <mergeCell ref="P195:P199"/>
    <mergeCell ref="Q195:Q199"/>
    <mergeCell ref="I231:I235"/>
    <mergeCell ref="J231:J235"/>
    <mergeCell ref="K231:K235"/>
    <mergeCell ref="L231:L235"/>
    <mergeCell ref="M231:M235"/>
    <mergeCell ref="N231:N235"/>
    <mergeCell ref="O231:O235"/>
    <mergeCell ref="Q226:Q230"/>
    <mergeCell ref="Q221:Q225"/>
    <mergeCell ref="P216:P220"/>
    <mergeCell ref="Q216:Q220"/>
    <mergeCell ref="S267:Z267"/>
    <mergeCell ref="AE267:AH267"/>
    <mergeCell ref="S268:AH268"/>
    <mergeCell ref="U270:Z270"/>
    <mergeCell ref="U287:W287"/>
    <mergeCell ref="U288:V288"/>
    <mergeCell ref="U289:V289"/>
    <mergeCell ref="R195:R199"/>
    <mergeCell ref="AH236:AH240"/>
    <mergeCell ref="AH241:AH245"/>
    <mergeCell ref="AH246:AH250"/>
    <mergeCell ref="AH251:AH255"/>
    <mergeCell ref="AH256:AH260"/>
    <mergeCell ref="AH261:AH265"/>
    <mergeCell ref="S266:Z266"/>
    <mergeCell ref="AE266:AH266"/>
    <mergeCell ref="R261:R265"/>
    <mergeCell ref="AH231:AH235"/>
    <mergeCell ref="R206:R210"/>
    <mergeCell ref="R211:R215"/>
    <mergeCell ref="R216:R220"/>
    <mergeCell ref="R221:R225"/>
    <mergeCell ref="R226:R230"/>
    <mergeCell ref="R236:R240"/>
    <mergeCell ref="U290:V290"/>
    <mergeCell ref="U298:V298"/>
    <mergeCell ref="U299:V299"/>
    <mergeCell ref="U300:V300"/>
    <mergeCell ref="U301:V301"/>
    <mergeCell ref="U302:V302"/>
    <mergeCell ref="U291:V291"/>
    <mergeCell ref="U292:V292"/>
    <mergeCell ref="U293:W293"/>
    <mergeCell ref="U294:V294"/>
    <mergeCell ref="U295:V295"/>
    <mergeCell ref="U296:V296"/>
    <mergeCell ref="U297:V297"/>
    <mergeCell ref="E206:E210"/>
    <mergeCell ref="F206:F210"/>
    <mergeCell ref="G206:G210"/>
    <mergeCell ref="H206:H210"/>
    <mergeCell ref="C211:C215"/>
    <mergeCell ref="D211:D215"/>
    <mergeCell ref="E211:E215"/>
    <mergeCell ref="F211:F215"/>
    <mergeCell ref="G211:G215"/>
    <mergeCell ref="H211:H215"/>
    <mergeCell ref="B9:B109"/>
    <mergeCell ref="G256:G260"/>
    <mergeCell ref="H256:H260"/>
    <mergeCell ref="C261:C265"/>
    <mergeCell ref="D261:D265"/>
    <mergeCell ref="E261:E265"/>
    <mergeCell ref="F261:F265"/>
    <mergeCell ref="G261:G265"/>
    <mergeCell ref="H261:H265"/>
    <mergeCell ref="D190:D194"/>
    <mergeCell ref="E190:E194"/>
    <mergeCell ref="F190:F194"/>
    <mergeCell ref="G190:G194"/>
    <mergeCell ref="H190:H194"/>
    <mergeCell ref="C195:C199"/>
    <mergeCell ref="D195:D199"/>
    <mergeCell ref="E195:E199"/>
    <mergeCell ref="F195:F199"/>
    <mergeCell ref="G195:G199"/>
    <mergeCell ref="H195:H199"/>
    <mergeCell ref="H201:H205"/>
    <mergeCell ref="D206:D210"/>
    <mergeCell ref="F226:F230"/>
    <mergeCell ref="G226:G230"/>
    <mergeCell ref="A9:A267"/>
    <mergeCell ref="E236:E240"/>
    <mergeCell ref="F236:F240"/>
    <mergeCell ref="G236:G240"/>
    <mergeCell ref="H236:H240"/>
    <mergeCell ref="C241:C245"/>
    <mergeCell ref="D241:D245"/>
    <mergeCell ref="E241:E245"/>
    <mergeCell ref="F241:F245"/>
    <mergeCell ref="G241:G245"/>
    <mergeCell ref="H241:H245"/>
    <mergeCell ref="C246:C250"/>
    <mergeCell ref="D246:D250"/>
    <mergeCell ref="E246:E250"/>
    <mergeCell ref="F246:F250"/>
    <mergeCell ref="E256:E260"/>
    <mergeCell ref="F256:F260"/>
    <mergeCell ref="C251:C255"/>
    <mergeCell ref="D251:D255"/>
    <mergeCell ref="E251:E255"/>
    <mergeCell ref="F251:F255"/>
    <mergeCell ref="G251:G255"/>
    <mergeCell ref="H251:H255"/>
    <mergeCell ref="D256:D260"/>
    <mergeCell ref="G246:G250"/>
    <mergeCell ref="H246:H250"/>
    <mergeCell ref="F201:F205"/>
    <mergeCell ref="G201:G205"/>
    <mergeCell ref="G216:G220"/>
    <mergeCell ref="H216:H220"/>
    <mergeCell ref="F221:F225"/>
    <mergeCell ref="G221:G225"/>
    <mergeCell ref="H221:H225"/>
    <mergeCell ref="F216:F220"/>
    <mergeCell ref="B201:B266"/>
    <mergeCell ref="C201:C205"/>
    <mergeCell ref="C206:C210"/>
    <mergeCell ref="C221:C225"/>
    <mergeCell ref="C226:C230"/>
    <mergeCell ref="C231:C235"/>
    <mergeCell ref="C236:C240"/>
    <mergeCell ref="C256:C260"/>
    <mergeCell ref="G89:G93"/>
    <mergeCell ref="C94:C98"/>
    <mergeCell ref="D94:D98"/>
    <mergeCell ref="E94:E98"/>
    <mergeCell ref="F94:F98"/>
    <mergeCell ref="G94:G98"/>
    <mergeCell ref="C127:C131"/>
    <mergeCell ref="D127:D131"/>
    <mergeCell ref="E127:E131"/>
    <mergeCell ref="F127:F131"/>
    <mergeCell ref="G127:G131"/>
    <mergeCell ref="G132:G136"/>
    <mergeCell ref="C168:C174"/>
    <mergeCell ref="D168:D174"/>
    <mergeCell ref="E168:E174"/>
    <mergeCell ref="F168:F174"/>
    <mergeCell ref="F99:F103"/>
    <mergeCell ref="G99:G103"/>
    <mergeCell ref="H99:H103"/>
    <mergeCell ref="E115:E126"/>
    <mergeCell ref="F115:F126"/>
    <mergeCell ref="G115:G126"/>
    <mergeCell ref="H115:H126"/>
    <mergeCell ref="C104:C108"/>
    <mergeCell ref="D104:D108"/>
    <mergeCell ref="E104:E108"/>
    <mergeCell ref="F104:F108"/>
    <mergeCell ref="G104:G108"/>
    <mergeCell ref="H104:H108"/>
    <mergeCell ref="G110:G114"/>
    <mergeCell ref="H110:H114"/>
    <mergeCell ref="D115:D126"/>
    <mergeCell ref="E142:E146"/>
    <mergeCell ref="F142:F146"/>
    <mergeCell ref="G142:G146"/>
    <mergeCell ref="H142:H146"/>
    <mergeCell ref="F110:F114"/>
    <mergeCell ref="H94:H98"/>
    <mergeCell ref="B110:B157"/>
    <mergeCell ref="C110:C114"/>
    <mergeCell ref="C115:C126"/>
    <mergeCell ref="C137:C141"/>
    <mergeCell ref="D137:D141"/>
    <mergeCell ref="C142:C146"/>
    <mergeCell ref="D142:D146"/>
    <mergeCell ref="D110:D114"/>
    <mergeCell ref="E110:E114"/>
    <mergeCell ref="C152:C156"/>
    <mergeCell ref="D152:D156"/>
    <mergeCell ref="E152:E156"/>
    <mergeCell ref="F152:F156"/>
    <mergeCell ref="G152:G156"/>
    <mergeCell ref="H152:H156"/>
    <mergeCell ref="C99:C103"/>
    <mergeCell ref="D99:D103"/>
    <mergeCell ref="E99:E103"/>
    <mergeCell ref="H127:H131"/>
    <mergeCell ref="C132:C136"/>
    <mergeCell ref="D132:D136"/>
    <mergeCell ref="E132:E136"/>
    <mergeCell ref="F132:F136"/>
    <mergeCell ref="C147:C151"/>
    <mergeCell ref="D147:D151"/>
    <mergeCell ref="G185:G189"/>
    <mergeCell ref="H185:H189"/>
    <mergeCell ref="C185:C189"/>
    <mergeCell ref="C175:C179"/>
    <mergeCell ref="D175:D179"/>
    <mergeCell ref="E175:E179"/>
    <mergeCell ref="F175:F179"/>
    <mergeCell ref="H132:H136"/>
    <mergeCell ref="F137:F141"/>
    <mergeCell ref="G137:G141"/>
    <mergeCell ref="H137:H141"/>
    <mergeCell ref="F158:F162"/>
    <mergeCell ref="G158:G162"/>
    <mergeCell ref="H158:H162"/>
    <mergeCell ref="C163:C167"/>
    <mergeCell ref="D163:D167"/>
    <mergeCell ref="E137:E141"/>
    <mergeCell ref="F163:F167"/>
    <mergeCell ref="G163:G167"/>
    <mergeCell ref="H163:H167"/>
    <mergeCell ref="E147:E151"/>
    <mergeCell ref="F147:F151"/>
    <mergeCell ref="G147:G151"/>
    <mergeCell ref="H147:H151"/>
    <mergeCell ref="E158:E162"/>
    <mergeCell ref="D158:D162"/>
    <mergeCell ref="B158:B200"/>
    <mergeCell ref="C158:C162"/>
    <mergeCell ref="C180:C184"/>
    <mergeCell ref="D180:D184"/>
    <mergeCell ref="E180:E184"/>
    <mergeCell ref="F180:F184"/>
    <mergeCell ref="F185:F189"/>
    <mergeCell ref="R168:R174"/>
    <mergeCell ref="I168:I174"/>
    <mergeCell ref="J168:J174"/>
    <mergeCell ref="K168:K174"/>
    <mergeCell ref="L168:L174"/>
    <mergeCell ref="M168:M174"/>
    <mergeCell ref="N168:N174"/>
    <mergeCell ref="O168:O174"/>
    <mergeCell ref="G168:G174"/>
    <mergeCell ref="H168:H174"/>
    <mergeCell ref="G175:G179"/>
    <mergeCell ref="H175:H179"/>
    <mergeCell ref="G180:G184"/>
    <mergeCell ref="H180:H184"/>
    <mergeCell ref="D185:D189"/>
    <mergeCell ref="E185:E189"/>
    <mergeCell ref="E163:E167"/>
    <mergeCell ref="I236:I240"/>
    <mergeCell ref="J236:J240"/>
    <mergeCell ref="K236:K240"/>
    <mergeCell ref="L236:L240"/>
    <mergeCell ref="M236:M240"/>
    <mergeCell ref="N236:N240"/>
    <mergeCell ref="O236:O240"/>
    <mergeCell ref="C190:C194"/>
    <mergeCell ref="H226:H230"/>
    <mergeCell ref="F231:F235"/>
    <mergeCell ref="G231:G235"/>
    <mergeCell ref="H231:H235"/>
    <mergeCell ref="C216:C220"/>
    <mergeCell ref="D216:D220"/>
    <mergeCell ref="E216:E220"/>
    <mergeCell ref="D231:D235"/>
    <mergeCell ref="D236:D240"/>
    <mergeCell ref="D201:D205"/>
    <mergeCell ref="E201:E205"/>
    <mergeCell ref="D221:D225"/>
    <mergeCell ref="E221:E225"/>
    <mergeCell ref="D226:D230"/>
    <mergeCell ref="E226:E230"/>
    <mergeCell ref="E231:E235"/>
    <mergeCell ref="I246:I250"/>
    <mergeCell ref="J246:J250"/>
    <mergeCell ref="K246:K250"/>
    <mergeCell ref="L246:L250"/>
    <mergeCell ref="M246:M250"/>
    <mergeCell ref="N246:N250"/>
    <mergeCell ref="O246:O250"/>
    <mergeCell ref="P241:P245"/>
    <mergeCell ref="Q241:Q245"/>
    <mergeCell ref="I241:I245"/>
    <mergeCell ref="J241:J245"/>
    <mergeCell ref="K241:K245"/>
    <mergeCell ref="L241:L245"/>
    <mergeCell ref="M241:M245"/>
    <mergeCell ref="N241:N245"/>
    <mergeCell ref="O241:O245"/>
    <mergeCell ref="R158:R162"/>
    <mergeCell ref="I158:I162"/>
    <mergeCell ref="J158:J162"/>
    <mergeCell ref="K158:K162"/>
    <mergeCell ref="L158:L162"/>
    <mergeCell ref="M158:M162"/>
    <mergeCell ref="N158:N162"/>
    <mergeCell ref="O158:O162"/>
    <mergeCell ref="I256:I260"/>
    <mergeCell ref="J256:J260"/>
    <mergeCell ref="K256:K260"/>
    <mergeCell ref="L256:L260"/>
    <mergeCell ref="M256:M260"/>
    <mergeCell ref="N256:N260"/>
    <mergeCell ref="O256:O260"/>
    <mergeCell ref="P251:P255"/>
    <mergeCell ref="Q251:Q255"/>
    <mergeCell ref="I251:I255"/>
    <mergeCell ref="J251:J255"/>
    <mergeCell ref="K251:K255"/>
    <mergeCell ref="L251:L255"/>
    <mergeCell ref="M251:M255"/>
    <mergeCell ref="N251:N255"/>
    <mergeCell ref="O251:O255"/>
    <mergeCell ref="I94:I98"/>
    <mergeCell ref="J94:J98"/>
    <mergeCell ref="K94:K98"/>
    <mergeCell ref="L94:L98"/>
    <mergeCell ref="M94:M98"/>
    <mergeCell ref="P99:P103"/>
    <mergeCell ref="Q99:Q103"/>
    <mergeCell ref="R99:R103"/>
    <mergeCell ref="I99:I103"/>
    <mergeCell ref="J99:J103"/>
    <mergeCell ref="K99:K103"/>
    <mergeCell ref="L99:L103"/>
    <mergeCell ref="M99:M103"/>
    <mergeCell ref="N99:N103"/>
    <mergeCell ref="O99:O103"/>
    <mergeCell ref="I104:I108"/>
    <mergeCell ref="J104:J108"/>
    <mergeCell ref="K104:K108"/>
    <mergeCell ref="L104:L108"/>
    <mergeCell ref="M104:M108"/>
    <mergeCell ref="N104:N108"/>
    <mergeCell ref="O104:O108"/>
    <mergeCell ref="P261:P265"/>
    <mergeCell ref="Q261:Q265"/>
    <mergeCell ref="I261:I265"/>
    <mergeCell ref="J261:J265"/>
    <mergeCell ref="K261:K265"/>
    <mergeCell ref="L261:L265"/>
    <mergeCell ref="M261:M265"/>
    <mergeCell ref="N261:N265"/>
    <mergeCell ref="O261:O265"/>
    <mergeCell ref="P256:P260"/>
    <mergeCell ref="Q256:Q260"/>
    <mergeCell ref="P246:P250"/>
    <mergeCell ref="Q246:Q250"/>
    <mergeCell ref="P236:P240"/>
    <mergeCell ref="Q236:Q240"/>
    <mergeCell ref="P168:P174"/>
    <mergeCell ref="Q168:Q174"/>
  </mergeCells>
  <dataValidations disablePrompts="1" count="5">
    <dataValidation type="list" allowBlank="1" showInputMessage="1" showErrorMessage="1" prompt="Orientación: - Escoja un Lineamiento Estratégico de la lista despegable." sqref="F9 F110 F158 F201" xr:uid="{00000000-0002-0000-0B00-000000000000}">
      <formula1>INDIRECT($E9)</formula1>
    </dataValidation>
    <dataValidation type="list" allowBlank="1" showInputMessage="1" showErrorMessage="1" prompt="Orientación: - Escoja un Eje Estratégico de la lista despegable." sqref="E9 E201 E206" xr:uid="{00000000-0002-0000-0B00-000001000000}">
      <formula1>INDIRECT($G9)</formula1>
    </dataValidation>
    <dataValidation type="list" allowBlank="1" showErrorMessage="1" sqref="F14 F19 F24 F29 F34 F39 F48 F53 F58 F89 F94 F99 F104 F115 F127 F132 F137 F142 F147 F152 F163 F168 F175 F180 F185 F190 F195 F206 F211 F216 F221 F226 F231 F236 F241 F246 F251 F256 F261 F63:F84" xr:uid="{00000000-0002-0000-0B00-000002000000}">
      <formula1>INDIRECT($E14)</formula1>
    </dataValidation>
    <dataValidation type="list" allowBlank="1" showErrorMessage="1" sqref="E14 E19 E24 E29 E34 E39 E48 E53 E58 E89 E94 E99 E104 E110 E115 E127 E132 E137 E142 E147 E152 E158 E163 E168 E175 E180 E185 E190 E195 E211 E216 E221 E226 E231 E236 E241 E246 E251 E256 E261 E63:E84" xr:uid="{00000000-0002-0000-0B00-000003000000}">
      <formula1>INDIRECT($G14)</formula1>
    </dataValidation>
    <dataValidation type="decimal" allowBlank="1" showInputMessage="1" showErrorMessage="1" prompt="DPLAN - Sólo debe ingresar valores, NO porcentajes." sqref="M9:O9 M29:O29 M34:O34 M39:O39 M48:O48 M53:O53 M58:O58 M89:O89 M94:O94 M99:O99 M104:O104 M110:O110 M115:O115 M127:O127 M132:O132 M137:O137 M142:O142 M147:O147 M152:O152 M163:O163 M168:O168 M175:O175 M180:O180 M190:O190 M195:O195 M206:O206 M211:O211 M216:O216 M221:O221 M231:O231 M236:O236 M241:O241 M246:O246 M251:O251 M256:O256 M63:O84" xr:uid="{00000000-0002-0000-0B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Vinculación&amp;C&amp;P</oddHead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prompt="Orientación: - Escoja un OEI de la lista despegable." xr:uid="{00000000-0002-0000-0B00-000005000000}">
          <x14:formula1>
            <xm:f>'https://utmachalaeduec-my.sharepoint.com/personal/planificacion_utmachala_edu_ec/Documents/Gestión 2023/G.06 EMISION DE INSUMOS PARA ELAB. DE LA PROF, PRESUPUESTARIA Y SUS REFORMAS/REFORMA N° 002-2023/[PEDI]PEDI'!#REF!</xm:f>
          </x14:formula1>
          <xm:sqref>G9 G158 G201</xm:sqref>
        </x14:dataValidation>
        <x14:dataValidation type="list" allowBlank="1" showInputMessage="1" showErrorMessage="1" prompt="Orientación: - Escoja una Estrategia DAFO de la lista despegable." xr:uid="{00000000-0002-0000-0B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I110 I158 I201</xm:sqref>
        </x14:dataValidation>
        <x14:dataValidation type="list" allowBlank="1" showInputMessage="1" showErrorMessage="1" prompt="Orientación: - Escoja una Política Pública/Meta Nacional de la lista despegable." xr:uid="{00000000-0002-0000-0B00-000007000000}">
          <x14:formula1>
            <xm:f>'https://utmachalaeduec-my.sharepoint.com/personal/planificacion_utmachala_edu_ec/Documents/Gestión 2023/G.06 EMISION DE INSUMOS PARA ELAB. DE LA PROF, PRESUPUESTARIA Y SUS REFORMAS/REFORMA N° 002-2023/[PND]PND'!#REF!</xm:f>
          </x14:formula1>
          <xm:sqref>D9 D110 D158 D201</xm:sqref>
        </x14:dataValidation>
        <x14:dataValidation type="list" allowBlank="1" showErrorMessage="1" xr:uid="{00000000-0002-0000-0B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I14 I19 I24 I29 I34 I39 I48 I53 I58 I89 I94 I99 I104 I115 I127 I132 I137 I142 I147 I152 I163 I168 I175 I180 I185 I190 I195 I206 I211 I216 I221 I226 I231 I236 I241 I246 I251 I256 I261 I63:I84</xm:sqref>
        </x14:dataValidation>
        <x14:dataValidation type="list" allowBlank="1" showErrorMessage="1" xr:uid="{00000000-0002-0000-0B00-000009000000}">
          <x14:formula1>
            <xm:f>'https://utmachalaeduec-my.sharepoint.com/personal/planificacion_utmachala_edu_ec/Documents/Gestión 2023/G.06 EMISION DE INSUMOS PARA ELAB. DE LA PROF, PRESUPUESTARIA Y SUS REFORMAS/REFORMA N° 002-2023/[PND]PND'!#REF!</xm:f>
          </x14:formula1>
          <xm:sqref>C14:D14 C19:D19 C24:D24 C29:D29 C34:D34 C39:D39 C48:D48 C53:D53 C58:D58 C89:D89 C94:D94 C99:D99 C104:D104 C115:D115 C127:D127 C132:D132 C137:D137 C142:D142 C147:D147 C152:D152 C163:D163 C168:D168 C175:D175 C180:D180 C185:D185 C190:D190 C195:D195 C206:D206 C211:D211 C216:D216 C221:D221 C226:D226 C231:D231 C236:D236 C241:D241 C246:D246 C251:D251 C256:D256 C261:D261 C63:D84</xm:sqref>
        </x14:dataValidation>
        <x14:dataValidation type="list" allowBlank="1" showErrorMessage="1" xr:uid="{00000000-0002-0000-0B00-00000A000000}">
          <x14:formula1>
            <xm:f>('https://utmachalaeduec-my.sharepoint.com/personal/planificacion_utmachala_edu_ec/Documents/Gestión 2023/G.06 EMISION DE INSUMOS PARA ELAB. DE LA PROF, PRESUPUESTARIA Y SUS REFORMAS/REFORMA N° 002-2023/[PEDI]PEDI'!#REF!)</xm:f>
          </x14:formula1>
          <xm:sqref>H14 H19 H24 H29 H34 H39 H48 H53 H58 H89 H94 H99 H104 H115 H127 H132 H137 H142 H147 H152 H163 H168 H175 H180 H185 H190 H195 H206 H211 H216 H221 H226 H231 H236 H241 H246 H251 H256 H261 H63:H84</xm:sqref>
        </x14:dataValidation>
        <x14:dataValidation type="list" allowBlank="1" showInputMessage="1" showErrorMessage="1" prompt="Orientación: - Escoja un Objetivo Nacional de la lista despegable." xr:uid="{00000000-0002-0000-0B00-00000B000000}">
          <x14:formula1>
            <xm:f>'https://utmachalaeduec-my.sharepoint.com/personal/planificacion_utmachala_edu_ec/Documents/Gestión 2023/G.06 EMISION DE INSUMOS PARA ELAB. DE LA PROF, PRESUPUESTARIA Y SUS REFORMAS/REFORMA N° 002-2023/[PND]PND'!#REF!</xm:f>
          </x14:formula1>
          <xm:sqref>C9 C110 C158 C201</xm:sqref>
        </x14:dataValidation>
        <x14:dataValidation type="list" allowBlank="1" showInputMessage="1" showErrorMessage="1" prompt="Orientación: - Escoja uns Estrategia DAFO de la lista despegable." xr:uid="{00000000-0002-0000-0B00-00000C000000}">
          <x14:formula1>
            <xm:f>INDIRECT('https://utmachalaeduec-my.sharepoint.com/personal/planificacion_utmachala_edu_ec/Documents/Gestión 2023/G.06 EMISION DE INSUMOS PARA ELAB. DE LA PROF, PRESUPUESTARIA Y SUS REFORMAS/REFORMA N° 002-2023/[Estrategias DAFO]Estrategias DAFO'!#REF!)</xm:f>
          </x14:formula1>
          <xm:sqref>I9</xm:sqref>
        </x14:dataValidation>
        <x14:dataValidation type="list" allowBlank="1" showErrorMessage="1" xr:uid="{00000000-0002-0000-0B00-00000D000000}">
          <x14:formula1>
            <xm:f>'https://utmachalaeduec-my.sharepoint.com/personal/planificacion_utmachala_edu_ec/Documents/Gestión 2023/G.06 EMISION DE INSUMOS PARA ELAB. DE LA PROF, PRESUPUESTARIA Y SUS REFORMAS/REFORMA N° 002-2023/[PEDI]PEDI'!#REF!</xm:f>
          </x14:formula1>
          <xm:sqref>G14 G19 G24 G29 G34 G39 G48 G53 G58 G89 G94 G99 G104 G110 G115 G127 G132 G137 G142 G147 G152 G163 G168 G175 G180 G185 G190 G195 G206 G211 G216 G221 G226 G231 G236 G241 G246 G251 G256 G261 G63:G84</xm:sqref>
        </x14:dataValidation>
        <x14:dataValidation type="list" allowBlank="1" showInputMessage="1" showErrorMessage="1" prompt="Orientación: - Escoja un Producto Institucional de la lista despegable." xr:uid="{00000000-0002-0000-0B00-00000E000000}">
          <x14:formula1>
            <xm:f>('https://utmachalaeduec-my.sharepoint.com/personal/planificacion_utmachala_edu_ec/Documents/Gestión 2023/G.06 EMISION DE INSUMOS PARA ELAB. DE LA PROF, PRESUPUESTARIA Y SUS REFORMAS/REFORMA N° 002-2023/[PEDI]PEDI'!#REF!)</xm:f>
          </x14:formula1>
          <xm:sqref>H9 H110 H158 H201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36C09"/>
  </sheetPr>
  <dimension ref="A1:AH74"/>
  <sheetViews>
    <sheetView showGridLines="0" topLeftCell="D7" zoomScaleNormal="100" zoomScaleSheetLayoutView="70" workbookViewId="0">
      <selection activeCell="K10" sqref="K10:K14"/>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0.28515625" bestFit="1"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2197</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ht="16.5" customHeight="1">
      <c r="A5" s="11"/>
      <c r="B5" s="11"/>
      <c r="C5" s="11"/>
      <c r="D5" s="11"/>
      <c r="E5" s="11"/>
      <c r="F5" s="11"/>
      <c r="G5" s="11"/>
      <c r="H5" s="11"/>
      <c r="I5" s="11"/>
      <c r="J5" s="11"/>
      <c r="K5" s="11"/>
      <c r="L5" s="147"/>
      <c r="M5" s="42"/>
      <c r="N5" s="42"/>
      <c r="O5" s="42"/>
      <c r="P5" s="11"/>
      <c r="Q5" s="11"/>
      <c r="R5" s="11"/>
      <c r="S5" s="11"/>
      <c r="T5" s="11"/>
      <c r="U5" s="11"/>
      <c r="V5" s="11"/>
      <c r="W5" s="11"/>
      <c r="X5" s="11"/>
      <c r="Y5" s="11"/>
      <c r="Z5" s="11"/>
      <c r="AA5" s="11"/>
      <c r="AB5" s="11"/>
      <c r="AC5" s="355"/>
      <c r="AD5" s="355"/>
      <c r="AE5" s="11"/>
      <c r="AF5" s="11"/>
      <c r="AG5" s="11"/>
      <c r="AH5" s="11"/>
    </row>
    <row r="6" spans="1:34" ht="16.5" customHeight="1">
      <c r="A6" s="11"/>
      <c r="B6" s="11"/>
      <c r="C6" s="11"/>
      <c r="D6" s="11"/>
      <c r="E6" s="11"/>
      <c r="F6" s="11"/>
      <c r="G6" s="11"/>
      <c r="H6" s="11"/>
      <c r="I6" s="11"/>
      <c r="J6" s="11"/>
      <c r="K6" s="11"/>
      <c r="L6" s="147"/>
      <c r="M6" s="42"/>
      <c r="N6" s="42"/>
      <c r="O6" s="42"/>
      <c r="P6" s="11"/>
      <c r="Q6" s="11"/>
      <c r="R6" s="11"/>
      <c r="S6" s="11"/>
      <c r="T6" s="11"/>
      <c r="U6" s="11"/>
      <c r="V6" s="11"/>
      <c r="W6" s="11"/>
      <c r="X6" s="11"/>
      <c r="Y6" s="11"/>
      <c r="Z6" s="11"/>
      <c r="AA6" s="11"/>
      <c r="AB6" s="11"/>
      <c r="AC6" s="355"/>
      <c r="AD6" s="355"/>
      <c r="AE6" s="11"/>
      <c r="AF6" s="11"/>
      <c r="AG6" s="11"/>
      <c r="AH6" s="11"/>
    </row>
    <row r="7" spans="1:34" ht="24.75" customHeight="1">
      <c r="A7" s="9002" t="s">
        <v>89</v>
      </c>
      <c r="B7" s="9641"/>
      <c r="C7" s="9735" t="s">
        <v>90</v>
      </c>
      <c r="D7" s="9814"/>
      <c r="E7" s="9010" t="s">
        <v>91</v>
      </c>
      <c r="F7" s="9357"/>
      <c r="G7" s="9357"/>
      <c r="H7" s="9357"/>
      <c r="I7" s="9357"/>
      <c r="J7" s="8988" t="s">
        <v>92</v>
      </c>
      <c r="K7" s="9343"/>
      <c r="L7" s="9343"/>
      <c r="M7" s="9343"/>
      <c r="N7" s="9343"/>
      <c r="O7" s="9343"/>
      <c r="P7" s="9343"/>
      <c r="Q7" s="9343"/>
      <c r="R7" s="9344"/>
      <c r="S7" s="9150" t="s">
        <v>93</v>
      </c>
      <c r="T7" s="9345"/>
      <c r="U7" s="9345"/>
      <c r="V7" s="9345"/>
      <c r="W7" s="9345"/>
      <c r="X7" s="9345"/>
      <c r="Y7" s="9345"/>
      <c r="Z7" s="9345"/>
      <c r="AA7" s="9345"/>
      <c r="AB7" s="9345"/>
      <c r="AC7" s="9345"/>
      <c r="AD7" s="9345"/>
      <c r="AE7" s="9345"/>
      <c r="AF7" s="9345"/>
      <c r="AG7" s="9345"/>
      <c r="AH7" s="9346"/>
    </row>
    <row r="8" spans="1:34" ht="39.75" customHeight="1">
      <c r="A8" s="9352"/>
      <c r="B8" s="9642"/>
      <c r="C8" s="9663" t="s">
        <v>94</v>
      </c>
      <c r="D8" s="9665" t="s">
        <v>95</v>
      </c>
      <c r="E8" s="9012" t="s">
        <v>96</v>
      </c>
      <c r="F8" s="9012" t="s">
        <v>97</v>
      </c>
      <c r="G8" s="9012" t="s">
        <v>98</v>
      </c>
      <c r="H8" s="9012" t="s">
        <v>99</v>
      </c>
      <c r="I8" s="9012" t="s">
        <v>100</v>
      </c>
      <c r="J8" s="9014" t="s">
        <v>101</v>
      </c>
      <c r="K8" s="9016" t="s">
        <v>102</v>
      </c>
      <c r="L8" s="9016" t="s">
        <v>103</v>
      </c>
      <c r="M8" s="9016" t="s">
        <v>104</v>
      </c>
      <c r="N8" s="9361"/>
      <c r="O8" s="9361"/>
      <c r="P8" s="9016" t="s">
        <v>105</v>
      </c>
      <c r="Q8" s="9016" t="s">
        <v>106</v>
      </c>
      <c r="R8" s="9019" t="s">
        <v>107</v>
      </c>
      <c r="S8" s="9153" t="s">
        <v>108</v>
      </c>
      <c r="T8" s="9347"/>
      <c r="U8" s="9347"/>
      <c r="V8" s="9347"/>
      <c r="W8" s="9347"/>
      <c r="X8" s="9347"/>
      <c r="Y8" s="9348"/>
      <c r="Z8" s="9156" t="s">
        <v>109</v>
      </c>
      <c r="AA8" s="9812"/>
      <c r="AB8" s="9812"/>
      <c r="AC8" s="9812"/>
      <c r="AD8" s="9813"/>
      <c r="AE8" s="9156" t="s">
        <v>110</v>
      </c>
      <c r="AF8" s="9347"/>
      <c r="AG8" s="9348"/>
      <c r="AH8" s="9157" t="s">
        <v>111</v>
      </c>
    </row>
    <row r="9" spans="1:34" ht="51.75" customHeight="1">
      <c r="A9" s="9643"/>
      <c r="B9" s="9644"/>
      <c r="C9" s="9817"/>
      <c r="D9" s="9818"/>
      <c r="E9" s="9358"/>
      <c r="F9" s="9358"/>
      <c r="G9" s="9358"/>
      <c r="H9" s="9358"/>
      <c r="I9" s="9358"/>
      <c r="J9" s="9359"/>
      <c r="K9" s="9360"/>
      <c r="L9" s="9360"/>
      <c r="M9" s="5086" t="s">
        <v>112</v>
      </c>
      <c r="N9" s="5086" t="s">
        <v>113</v>
      </c>
      <c r="O9" s="5086" t="s">
        <v>114</v>
      </c>
      <c r="P9" s="9360"/>
      <c r="Q9" s="9360"/>
      <c r="R9" s="9362"/>
      <c r="S9" s="5087" t="s">
        <v>115</v>
      </c>
      <c r="T9" s="5088" t="s">
        <v>116</v>
      </c>
      <c r="U9" s="5089" t="s">
        <v>117</v>
      </c>
      <c r="V9" s="5088" t="s">
        <v>118</v>
      </c>
      <c r="W9" s="5088" t="s">
        <v>119</v>
      </c>
      <c r="X9" s="5088" t="s">
        <v>372</v>
      </c>
      <c r="Y9" s="5090" t="s">
        <v>121</v>
      </c>
      <c r="Z9" s="5088" t="s">
        <v>122</v>
      </c>
      <c r="AA9" s="5088" t="s">
        <v>123</v>
      </c>
      <c r="AB9" s="5088" t="s">
        <v>124</v>
      </c>
      <c r="AC9" s="5090" t="s">
        <v>125</v>
      </c>
      <c r="AD9" s="5090" t="s">
        <v>1100</v>
      </c>
      <c r="AE9" s="5088" t="s">
        <v>112</v>
      </c>
      <c r="AF9" s="5088" t="s">
        <v>113</v>
      </c>
      <c r="AG9" s="5088" t="s">
        <v>114</v>
      </c>
      <c r="AH9" s="9349"/>
    </row>
    <row r="10" spans="1:34" ht="26.25" customHeight="1">
      <c r="A10" s="9911" t="s">
        <v>2197</v>
      </c>
      <c r="B10" s="9603"/>
      <c r="C10" s="9912" t="s">
        <v>127</v>
      </c>
      <c r="D10" s="9902" t="s">
        <v>128</v>
      </c>
      <c r="E10" s="9902" t="s">
        <v>140</v>
      </c>
      <c r="F10" s="9902" t="s">
        <v>238</v>
      </c>
      <c r="G10" s="9899" t="s">
        <v>131</v>
      </c>
      <c r="H10" s="9902" t="s">
        <v>132</v>
      </c>
      <c r="I10" s="9903" t="s">
        <v>159</v>
      </c>
      <c r="J10" s="9921" t="s">
        <v>2198</v>
      </c>
      <c r="K10" s="9910" t="s">
        <v>2199</v>
      </c>
      <c r="L10" s="9902" t="s">
        <v>2200</v>
      </c>
      <c r="M10" s="9931">
        <v>2</v>
      </c>
      <c r="N10" s="9931">
        <v>1</v>
      </c>
      <c r="O10" s="9931">
        <v>1</v>
      </c>
      <c r="P10" s="9902" t="s">
        <v>2201</v>
      </c>
      <c r="Q10" s="9902" t="s">
        <v>2202</v>
      </c>
      <c r="R10" s="9903" t="s">
        <v>2203</v>
      </c>
      <c r="S10" s="1308"/>
      <c r="T10" s="6909"/>
      <c r="U10" s="6909"/>
      <c r="V10" s="1007"/>
      <c r="W10" s="6385"/>
      <c r="X10" s="1008"/>
      <c r="Y10" s="6924"/>
      <c r="Z10" s="6924"/>
      <c r="AA10" s="6924"/>
      <c r="AB10" s="6925"/>
      <c r="AC10" s="6938"/>
      <c r="AD10" s="1309"/>
      <c r="AE10" s="1008"/>
      <c r="AF10" s="1008"/>
      <c r="AG10" s="1008"/>
      <c r="AH10" s="9945"/>
    </row>
    <row r="11" spans="1:34" ht="33" customHeight="1">
      <c r="A11" s="9392"/>
      <c r="B11" s="9603"/>
      <c r="C11" s="9913"/>
      <c r="D11" s="9900"/>
      <c r="E11" s="9900"/>
      <c r="F11" s="9900"/>
      <c r="G11" s="9900"/>
      <c r="H11" s="9900"/>
      <c r="I11" s="9904"/>
      <c r="J11" s="9900"/>
      <c r="K11" s="9900"/>
      <c r="L11" s="9900"/>
      <c r="M11" s="9907"/>
      <c r="N11" s="9907"/>
      <c r="O11" s="9907"/>
      <c r="P11" s="9900"/>
      <c r="Q11" s="9900"/>
      <c r="R11" s="9904"/>
      <c r="S11" s="797"/>
      <c r="T11" s="6910"/>
      <c r="U11" s="4862"/>
      <c r="V11" s="798"/>
      <c r="W11" s="4862"/>
      <c r="X11" s="799"/>
      <c r="Y11" s="4779"/>
      <c r="Z11" s="4779"/>
      <c r="AA11" s="4779"/>
      <c r="AB11" s="6926"/>
      <c r="AC11" s="6939"/>
      <c r="AD11" s="1310"/>
      <c r="AE11" s="799"/>
      <c r="AF11" s="799"/>
      <c r="AG11" s="799"/>
      <c r="AH11" s="9712"/>
    </row>
    <row r="12" spans="1:34" ht="26.25" customHeight="1">
      <c r="A12" s="9392"/>
      <c r="B12" s="9603"/>
      <c r="C12" s="9913"/>
      <c r="D12" s="9900"/>
      <c r="E12" s="9900"/>
      <c r="F12" s="9900"/>
      <c r="G12" s="9900"/>
      <c r="H12" s="9900"/>
      <c r="I12" s="9904"/>
      <c r="J12" s="9900"/>
      <c r="K12" s="9900"/>
      <c r="L12" s="9900"/>
      <c r="M12" s="9907"/>
      <c r="N12" s="9907"/>
      <c r="O12" s="9907"/>
      <c r="P12" s="9900"/>
      <c r="Q12" s="9900"/>
      <c r="R12" s="9904"/>
      <c r="S12" s="797"/>
      <c r="T12" s="6911"/>
      <c r="U12" s="6911"/>
      <c r="V12" s="1140"/>
      <c r="W12" s="4862"/>
      <c r="X12" s="799"/>
      <c r="Y12" s="4779"/>
      <c r="Z12" s="4779"/>
      <c r="AA12" s="4779"/>
      <c r="AB12" s="6926"/>
      <c r="AC12" s="4876"/>
      <c r="AD12" s="796"/>
      <c r="AE12" s="799"/>
      <c r="AF12" s="799"/>
      <c r="AG12" s="799"/>
      <c r="AH12" s="9712"/>
    </row>
    <row r="13" spans="1:34" ht="26.25" customHeight="1">
      <c r="A13" s="9392"/>
      <c r="B13" s="9603"/>
      <c r="C13" s="9913"/>
      <c r="D13" s="9900"/>
      <c r="E13" s="9900"/>
      <c r="F13" s="9900"/>
      <c r="G13" s="9900"/>
      <c r="H13" s="9900"/>
      <c r="I13" s="9904"/>
      <c r="J13" s="9900"/>
      <c r="K13" s="9900"/>
      <c r="L13" s="9900"/>
      <c r="M13" s="9907"/>
      <c r="N13" s="9907"/>
      <c r="O13" s="9907"/>
      <c r="P13" s="9900"/>
      <c r="Q13" s="9900"/>
      <c r="R13" s="9904"/>
      <c r="S13" s="797"/>
      <c r="T13" s="6911"/>
      <c r="U13" s="6911"/>
      <c r="V13" s="1140"/>
      <c r="W13" s="4862"/>
      <c r="X13" s="799"/>
      <c r="Y13" s="4779"/>
      <c r="Z13" s="4779"/>
      <c r="AA13" s="4779"/>
      <c r="AB13" s="6926"/>
      <c r="AC13" s="4876"/>
      <c r="AD13" s="796"/>
      <c r="AE13" s="799"/>
      <c r="AF13" s="799"/>
      <c r="AG13" s="799"/>
      <c r="AH13" s="9712"/>
    </row>
    <row r="14" spans="1:34" ht="26.25" customHeight="1">
      <c r="A14" s="9392"/>
      <c r="B14" s="9603"/>
      <c r="C14" s="9914"/>
      <c r="D14" s="9915"/>
      <c r="E14" s="9915"/>
      <c r="F14" s="9915"/>
      <c r="G14" s="9915"/>
      <c r="H14" s="9915"/>
      <c r="I14" s="9919"/>
      <c r="J14" s="9915"/>
      <c r="K14" s="9915"/>
      <c r="L14" s="9915"/>
      <c r="M14" s="9930"/>
      <c r="N14" s="9930"/>
      <c r="O14" s="9930"/>
      <c r="P14" s="9915"/>
      <c r="Q14" s="9915"/>
      <c r="R14" s="9919"/>
      <c r="S14" s="1311"/>
      <c r="T14" s="6912"/>
      <c r="U14" s="4867"/>
      <c r="V14" s="1135"/>
      <c r="W14" s="6923"/>
      <c r="X14" s="1312"/>
      <c r="Y14" s="6927"/>
      <c r="Z14" s="6927"/>
      <c r="AA14" s="6927"/>
      <c r="AB14" s="6928"/>
      <c r="AC14" s="4879"/>
      <c r="AD14" s="800"/>
      <c r="AE14" s="1018"/>
      <c r="AF14" s="1029"/>
      <c r="AG14" s="1029"/>
      <c r="AH14" s="9713"/>
    </row>
    <row r="15" spans="1:34" ht="24" customHeight="1">
      <c r="A15" s="9392"/>
      <c r="B15" s="9603"/>
      <c r="C15" s="9916" t="s">
        <v>183</v>
      </c>
      <c r="D15" s="9918" t="s">
        <v>227</v>
      </c>
      <c r="E15" s="9918" t="s">
        <v>228</v>
      </c>
      <c r="F15" s="9918" t="s">
        <v>255</v>
      </c>
      <c r="G15" s="9925" t="s">
        <v>230</v>
      </c>
      <c r="H15" s="9918" t="s">
        <v>231</v>
      </c>
      <c r="I15" s="9918" t="s">
        <v>133</v>
      </c>
      <c r="J15" s="9918" t="s">
        <v>2204</v>
      </c>
      <c r="K15" s="9926" t="s">
        <v>2205</v>
      </c>
      <c r="L15" s="9926" t="s">
        <v>2206</v>
      </c>
      <c r="M15" s="9927">
        <v>2</v>
      </c>
      <c r="N15" s="9927">
        <v>1</v>
      </c>
      <c r="O15" s="9927">
        <v>1</v>
      </c>
      <c r="P15" s="9918" t="s">
        <v>2207</v>
      </c>
      <c r="Q15" s="9918" t="s">
        <v>2208</v>
      </c>
      <c r="R15" s="9939" t="s">
        <v>2203</v>
      </c>
      <c r="S15" s="1313"/>
      <c r="T15" s="6913"/>
      <c r="U15" s="6914"/>
      <c r="V15" s="1314"/>
      <c r="W15" s="6383"/>
      <c r="X15" s="1036"/>
      <c r="Y15" s="6929"/>
      <c r="Z15" s="6929"/>
      <c r="AA15" s="6929"/>
      <c r="AB15" s="6930"/>
      <c r="AC15" s="6291"/>
      <c r="AD15" s="1239"/>
      <c r="AE15" s="1036"/>
      <c r="AF15" s="1038"/>
      <c r="AG15" s="1038"/>
      <c r="AH15" s="9936" t="s">
        <v>2209</v>
      </c>
    </row>
    <row r="16" spans="1:34" ht="37.5" customHeight="1">
      <c r="A16" s="9392"/>
      <c r="B16" s="9603"/>
      <c r="C16" s="9913"/>
      <c r="D16" s="9900"/>
      <c r="E16" s="9900"/>
      <c r="F16" s="9900"/>
      <c r="G16" s="9900"/>
      <c r="H16" s="9900"/>
      <c r="I16" s="9900"/>
      <c r="J16" s="9900"/>
      <c r="K16" s="9900"/>
      <c r="L16" s="9900"/>
      <c r="M16" s="9907"/>
      <c r="N16" s="9907"/>
      <c r="O16" s="9907"/>
      <c r="P16" s="9900"/>
      <c r="Q16" s="9900"/>
      <c r="R16" s="9904"/>
      <c r="S16" s="797"/>
      <c r="T16" s="6915"/>
      <c r="U16" s="4862"/>
      <c r="V16" s="798"/>
      <c r="W16" s="4862"/>
      <c r="X16" s="799"/>
      <c r="Y16" s="4779"/>
      <c r="Z16" s="4779"/>
      <c r="AA16" s="4779"/>
      <c r="AB16" s="6926"/>
      <c r="AC16" s="4876"/>
      <c r="AD16" s="796"/>
      <c r="AE16" s="799"/>
      <c r="AF16" s="1013"/>
      <c r="AG16" s="1013"/>
      <c r="AH16" s="9937"/>
    </row>
    <row r="17" spans="1:34" ht="24" customHeight="1">
      <c r="A17" s="9392"/>
      <c r="B17" s="9603"/>
      <c r="C17" s="9913"/>
      <c r="D17" s="9900"/>
      <c r="E17" s="9900"/>
      <c r="F17" s="9900"/>
      <c r="G17" s="9900"/>
      <c r="H17" s="9900"/>
      <c r="I17" s="9900"/>
      <c r="J17" s="9900"/>
      <c r="K17" s="9900"/>
      <c r="L17" s="9900"/>
      <c r="M17" s="9907"/>
      <c r="N17" s="9907"/>
      <c r="O17" s="9907"/>
      <c r="P17" s="9900"/>
      <c r="Q17" s="9900"/>
      <c r="R17" s="9904"/>
      <c r="S17" s="797"/>
      <c r="T17" s="6916"/>
      <c r="U17" s="6911"/>
      <c r="V17" s="1315"/>
      <c r="W17" s="4862"/>
      <c r="X17" s="799"/>
      <c r="Y17" s="4779"/>
      <c r="Z17" s="4779"/>
      <c r="AA17" s="4779"/>
      <c r="AB17" s="6926"/>
      <c r="AC17" s="4876"/>
      <c r="AD17" s="796"/>
      <c r="AE17" s="799"/>
      <c r="AF17" s="1013"/>
      <c r="AG17" s="1013"/>
      <c r="AH17" s="9937"/>
    </row>
    <row r="18" spans="1:34" ht="24" customHeight="1">
      <c r="A18" s="9392"/>
      <c r="B18" s="9603"/>
      <c r="C18" s="9913"/>
      <c r="D18" s="9900"/>
      <c r="E18" s="9900"/>
      <c r="F18" s="9900"/>
      <c r="G18" s="9900"/>
      <c r="H18" s="9900"/>
      <c r="I18" s="9900"/>
      <c r="J18" s="9900"/>
      <c r="K18" s="9900"/>
      <c r="L18" s="9900"/>
      <c r="M18" s="9907"/>
      <c r="N18" s="9907"/>
      <c r="O18" s="9907"/>
      <c r="P18" s="9900"/>
      <c r="Q18" s="9900"/>
      <c r="R18" s="9904"/>
      <c r="S18" s="797"/>
      <c r="T18" s="6915"/>
      <c r="U18" s="4862"/>
      <c r="V18" s="798"/>
      <c r="W18" s="4862"/>
      <c r="X18" s="799"/>
      <c r="Y18" s="4779"/>
      <c r="Z18" s="4779"/>
      <c r="AA18" s="4779"/>
      <c r="AB18" s="6926"/>
      <c r="AC18" s="4876"/>
      <c r="AD18" s="796"/>
      <c r="AE18" s="799"/>
      <c r="AF18" s="1013"/>
      <c r="AG18" s="1013"/>
      <c r="AH18" s="9937"/>
    </row>
    <row r="19" spans="1:34" ht="24" customHeight="1">
      <c r="A19" s="9392"/>
      <c r="B19" s="9603"/>
      <c r="C19" s="9917"/>
      <c r="D19" s="9901"/>
      <c r="E19" s="9901"/>
      <c r="F19" s="9901"/>
      <c r="G19" s="9901"/>
      <c r="H19" s="9901"/>
      <c r="I19" s="9901"/>
      <c r="J19" s="9901"/>
      <c r="K19" s="9901"/>
      <c r="L19" s="9901"/>
      <c r="M19" s="9908"/>
      <c r="N19" s="9908"/>
      <c r="O19" s="9908"/>
      <c r="P19" s="9901"/>
      <c r="Q19" s="9901"/>
      <c r="R19" s="9905"/>
      <c r="S19" s="1316"/>
      <c r="T19" s="6364"/>
      <c r="U19" s="6917"/>
      <c r="V19" s="1031"/>
      <c r="W19" s="4868"/>
      <c r="X19" s="1023"/>
      <c r="Y19" s="6931"/>
      <c r="Z19" s="6931"/>
      <c r="AA19" s="6931"/>
      <c r="AB19" s="6932"/>
      <c r="AC19" s="4877"/>
      <c r="AD19" s="1237"/>
      <c r="AE19" s="1023"/>
      <c r="AF19" s="1024"/>
      <c r="AG19" s="1024"/>
      <c r="AH19" s="9938"/>
    </row>
    <row r="20" spans="1:34" ht="27.75" customHeight="1">
      <c r="A20" s="9392"/>
      <c r="B20" s="9603"/>
      <c r="C20" s="9912" t="s">
        <v>127</v>
      </c>
      <c r="D20" s="9902" t="s">
        <v>128</v>
      </c>
      <c r="E20" s="9902" t="s">
        <v>490</v>
      </c>
      <c r="F20" s="9902" t="s">
        <v>2210</v>
      </c>
      <c r="G20" s="9899" t="s">
        <v>230</v>
      </c>
      <c r="H20" s="9902" t="s">
        <v>231</v>
      </c>
      <c r="I20" s="9902" t="s">
        <v>133</v>
      </c>
      <c r="J20" s="9920" t="s">
        <v>2211</v>
      </c>
      <c r="K20" s="9924" t="s">
        <v>2212</v>
      </c>
      <c r="L20" s="9924" t="s">
        <v>2213</v>
      </c>
      <c r="M20" s="9909">
        <v>0</v>
      </c>
      <c r="N20" s="9906">
        <v>1</v>
      </c>
      <c r="O20" s="9909">
        <v>0</v>
      </c>
      <c r="P20" s="9935" t="s">
        <v>2207</v>
      </c>
      <c r="Q20" s="9902" t="s">
        <v>2214</v>
      </c>
      <c r="R20" s="9903" t="s">
        <v>2203</v>
      </c>
      <c r="S20" s="792" t="s">
        <v>79</v>
      </c>
      <c r="T20" s="6918">
        <v>530612</v>
      </c>
      <c r="U20" s="6918"/>
      <c r="V20" s="1978" t="s">
        <v>1360</v>
      </c>
      <c r="W20" s="4872"/>
      <c r="X20" s="53"/>
      <c r="Y20" s="6706"/>
      <c r="Z20" s="6706"/>
      <c r="AA20" s="6706"/>
      <c r="AB20" s="7865">
        <f>SUM($AA$21)</f>
        <v>31385.72</v>
      </c>
      <c r="AC20" s="4875" t="s">
        <v>25</v>
      </c>
      <c r="AD20" s="1198"/>
      <c r="AE20" s="794"/>
      <c r="AF20" s="1033"/>
      <c r="AG20" s="1033"/>
      <c r="AH20" s="9933"/>
    </row>
    <row r="21" spans="1:34" ht="27.75" customHeight="1">
      <c r="A21" s="9392"/>
      <c r="B21" s="9603"/>
      <c r="C21" s="9913"/>
      <c r="D21" s="9900"/>
      <c r="E21" s="9900"/>
      <c r="F21" s="9900"/>
      <c r="G21" s="9900"/>
      <c r="H21" s="9900"/>
      <c r="I21" s="9900"/>
      <c r="J21" s="9900"/>
      <c r="K21" s="9900"/>
      <c r="L21" s="9900"/>
      <c r="M21" s="9907"/>
      <c r="N21" s="9907"/>
      <c r="O21" s="9907"/>
      <c r="P21" s="9900"/>
      <c r="Q21" s="9900"/>
      <c r="R21" s="9904"/>
      <c r="S21" s="797"/>
      <c r="T21" s="6368"/>
      <c r="U21" s="6369"/>
      <c r="V21" s="3173" t="s">
        <v>2215</v>
      </c>
      <c r="W21" s="4866">
        <v>1</v>
      </c>
      <c r="X21" s="3172" t="s">
        <v>180</v>
      </c>
      <c r="Y21" s="7866">
        <v>31385.72</v>
      </c>
      <c r="Z21" s="7866">
        <f>+W21*Y21</f>
        <v>31385.72</v>
      </c>
      <c r="AA21" s="7866">
        <f>Z21</f>
        <v>31385.72</v>
      </c>
      <c r="AB21" s="6521"/>
      <c r="AC21" s="4880"/>
      <c r="AD21" s="796"/>
      <c r="AE21" s="799"/>
      <c r="AF21" s="799" t="s">
        <v>153</v>
      </c>
      <c r="AG21" s="1013"/>
      <c r="AH21" s="9712"/>
    </row>
    <row r="22" spans="1:34" ht="27.75" customHeight="1">
      <c r="A22" s="9392"/>
      <c r="B22" s="9603"/>
      <c r="C22" s="9913"/>
      <c r="D22" s="9900"/>
      <c r="E22" s="9900"/>
      <c r="F22" s="9900"/>
      <c r="G22" s="9900"/>
      <c r="H22" s="9900"/>
      <c r="I22" s="9900"/>
      <c r="J22" s="9900"/>
      <c r="K22" s="9900"/>
      <c r="L22" s="9900"/>
      <c r="M22" s="9907"/>
      <c r="N22" s="9907"/>
      <c r="O22" s="9907"/>
      <c r="P22" s="9900"/>
      <c r="Q22" s="9900"/>
      <c r="R22" s="9904"/>
      <c r="S22" s="797"/>
      <c r="T22" s="6363"/>
      <c r="U22" s="6365"/>
      <c r="V22" s="798"/>
      <c r="W22" s="4862"/>
      <c r="X22" s="799"/>
      <c r="Y22" s="7867"/>
      <c r="Z22" s="7867"/>
      <c r="AA22" s="7867"/>
      <c r="AB22" s="6926"/>
      <c r="AC22" s="4876"/>
      <c r="AD22" s="796"/>
      <c r="AE22" s="799"/>
      <c r="AF22" s="799"/>
      <c r="AG22" s="1013"/>
      <c r="AH22" s="9712"/>
    </row>
    <row r="23" spans="1:34" ht="27.75" customHeight="1">
      <c r="A23" s="9392"/>
      <c r="B23" s="9603"/>
      <c r="C23" s="9913"/>
      <c r="D23" s="9900"/>
      <c r="E23" s="9900"/>
      <c r="F23" s="9900"/>
      <c r="G23" s="9900"/>
      <c r="H23" s="9900"/>
      <c r="I23" s="9900"/>
      <c r="J23" s="9900"/>
      <c r="K23" s="9900"/>
      <c r="L23" s="9900"/>
      <c r="M23" s="9907"/>
      <c r="N23" s="9907"/>
      <c r="O23" s="9907"/>
      <c r="P23" s="9900"/>
      <c r="Q23" s="9900"/>
      <c r="R23" s="9904"/>
      <c r="S23" s="792"/>
      <c r="T23" s="6919"/>
      <c r="U23" s="6919"/>
      <c r="V23" s="793"/>
      <c r="W23" s="4863"/>
      <c r="X23" s="794"/>
      <c r="Y23" s="7868"/>
      <c r="Z23" s="7868"/>
      <c r="AA23" s="7868"/>
      <c r="AB23" s="6935"/>
      <c r="AC23" s="4878"/>
      <c r="AD23" s="796"/>
      <c r="AE23" s="799"/>
      <c r="AF23" s="1013"/>
      <c r="AG23" s="1013"/>
      <c r="AH23" s="9712"/>
    </row>
    <row r="24" spans="1:34" ht="27.75" customHeight="1">
      <c r="A24" s="9392"/>
      <c r="B24" s="9603"/>
      <c r="C24" s="9914"/>
      <c r="D24" s="9915"/>
      <c r="E24" s="9915"/>
      <c r="F24" s="9915"/>
      <c r="G24" s="9915"/>
      <c r="H24" s="9915"/>
      <c r="I24" s="9915"/>
      <c r="J24" s="9915"/>
      <c r="K24" s="9915"/>
      <c r="L24" s="9915"/>
      <c r="M24" s="9930"/>
      <c r="N24" s="9930"/>
      <c r="O24" s="9930"/>
      <c r="P24" s="9915"/>
      <c r="Q24" s="9915"/>
      <c r="R24" s="9919"/>
      <c r="S24" s="797"/>
      <c r="T24" s="6363"/>
      <c r="U24" s="6365"/>
      <c r="V24" s="798"/>
      <c r="W24" s="4862"/>
      <c r="X24" s="799"/>
      <c r="Y24" s="4779"/>
      <c r="Z24" s="4779"/>
      <c r="AA24" s="4779"/>
      <c r="AB24" s="6926"/>
      <c r="AC24" s="4876"/>
      <c r="AD24" s="800"/>
      <c r="AE24" s="1018"/>
      <c r="AF24" s="1029"/>
      <c r="AG24" s="1029"/>
      <c r="AH24" s="9713"/>
    </row>
    <row r="25" spans="1:34" ht="30" customHeight="1">
      <c r="A25" s="9392"/>
      <c r="B25" s="9603"/>
      <c r="C25" s="9916" t="s">
        <v>183</v>
      </c>
      <c r="D25" s="9918" t="s">
        <v>227</v>
      </c>
      <c r="E25" s="9918" t="s">
        <v>490</v>
      </c>
      <c r="F25" s="9918" t="s">
        <v>1484</v>
      </c>
      <c r="G25" s="9925" t="s">
        <v>230</v>
      </c>
      <c r="H25" s="9918" t="s">
        <v>132</v>
      </c>
      <c r="I25" s="9918" t="s">
        <v>133</v>
      </c>
      <c r="J25" s="9922" t="s">
        <v>2216</v>
      </c>
      <c r="K25" s="9923" t="s">
        <v>2217</v>
      </c>
      <c r="L25" s="9918" t="s">
        <v>2218</v>
      </c>
      <c r="M25" s="9928">
        <v>0</v>
      </c>
      <c r="N25" s="9929">
        <v>1</v>
      </c>
      <c r="O25" s="9928">
        <v>0</v>
      </c>
      <c r="P25" s="9918" t="s">
        <v>2219</v>
      </c>
      <c r="Q25" s="9940" t="s">
        <v>2220</v>
      </c>
      <c r="R25" s="9939" t="s">
        <v>2221</v>
      </c>
      <c r="S25" s="1313"/>
      <c r="T25" s="6914"/>
      <c r="U25" s="6914"/>
      <c r="V25" s="1113"/>
      <c r="W25" s="6383"/>
      <c r="X25" s="1036"/>
      <c r="Y25" s="6929"/>
      <c r="Z25" s="6929"/>
      <c r="AA25" s="6929"/>
      <c r="AB25" s="6930"/>
      <c r="AC25" s="6940"/>
      <c r="AD25" s="1317"/>
      <c r="AE25" s="1036"/>
      <c r="AF25" s="1036"/>
      <c r="AG25" s="1036"/>
      <c r="AH25" s="9932"/>
    </row>
    <row r="26" spans="1:34" ht="30" customHeight="1">
      <c r="A26" s="9392"/>
      <c r="B26" s="9603"/>
      <c r="C26" s="9913"/>
      <c r="D26" s="9900"/>
      <c r="E26" s="9900"/>
      <c r="F26" s="9900"/>
      <c r="G26" s="9900"/>
      <c r="H26" s="9900"/>
      <c r="I26" s="9900"/>
      <c r="J26" s="9900"/>
      <c r="K26" s="9900"/>
      <c r="L26" s="9900"/>
      <c r="M26" s="9907"/>
      <c r="N26" s="9907"/>
      <c r="O26" s="9907"/>
      <c r="P26" s="9900"/>
      <c r="Q26" s="9900"/>
      <c r="R26" s="9904"/>
      <c r="S26" s="797"/>
      <c r="T26" s="6910"/>
      <c r="U26" s="4862"/>
      <c r="V26" s="798"/>
      <c r="W26" s="4862"/>
      <c r="X26" s="799"/>
      <c r="Y26" s="4779"/>
      <c r="Z26" s="4779"/>
      <c r="AA26" s="4779"/>
      <c r="AB26" s="6926"/>
      <c r="AC26" s="6939"/>
      <c r="AD26" s="1310"/>
      <c r="AE26" s="799"/>
      <c r="AF26" s="799"/>
      <c r="AG26" s="799"/>
      <c r="AH26" s="9712"/>
    </row>
    <row r="27" spans="1:34" ht="30" customHeight="1">
      <c r="A27" s="9392"/>
      <c r="B27" s="9603"/>
      <c r="C27" s="9913"/>
      <c r="D27" s="9900"/>
      <c r="E27" s="9900"/>
      <c r="F27" s="9900"/>
      <c r="G27" s="9900"/>
      <c r="H27" s="9900"/>
      <c r="I27" s="9900"/>
      <c r="J27" s="9900"/>
      <c r="K27" s="9900"/>
      <c r="L27" s="9900"/>
      <c r="M27" s="9907"/>
      <c r="N27" s="9907"/>
      <c r="O27" s="9907"/>
      <c r="P27" s="9900"/>
      <c r="Q27" s="9900"/>
      <c r="R27" s="9904"/>
      <c r="S27" s="797"/>
      <c r="T27" s="6911"/>
      <c r="U27" s="6911"/>
      <c r="V27" s="1140"/>
      <c r="W27" s="4862"/>
      <c r="X27" s="799"/>
      <c r="Y27" s="4779"/>
      <c r="Z27" s="4779"/>
      <c r="AA27" s="4779"/>
      <c r="AB27" s="6926"/>
      <c r="AC27" s="4876"/>
      <c r="AD27" s="796"/>
      <c r="AE27" s="799"/>
      <c r="AF27" s="799"/>
      <c r="AG27" s="799"/>
      <c r="AH27" s="9712"/>
    </row>
    <row r="28" spans="1:34" ht="30" customHeight="1">
      <c r="A28" s="9392"/>
      <c r="B28" s="9603"/>
      <c r="C28" s="9913"/>
      <c r="D28" s="9900"/>
      <c r="E28" s="9900"/>
      <c r="F28" s="9900"/>
      <c r="G28" s="9900"/>
      <c r="H28" s="9900"/>
      <c r="I28" s="9900"/>
      <c r="J28" s="9900"/>
      <c r="K28" s="9900"/>
      <c r="L28" s="9900"/>
      <c r="M28" s="9907"/>
      <c r="N28" s="9907"/>
      <c r="O28" s="9907"/>
      <c r="P28" s="9900"/>
      <c r="Q28" s="9900"/>
      <c r="R28" s="9904"/>
      <c r="S28" s="797"/>
      <c r="T28" s="6363"/>
      <c r="U28" s="6365"/>
      <c r="V28" s="798"/>
      <c r="W28" s="4862"/>
      <c r="X28" s="799"/>
      <c r="Y28" s="4779"/>
      <c r="Z28" s="4779"/>
      <c r="AA28" s="4779"/>
      <c r="AB28" s="6926"/>
      <c r="AC28" s="4876"/>
      <c r="AD28" s="796"/>
      <c r="AE28" s="799"/>
      <c r="AF28" s="799"/>
      <c r="AG28" s="799"/>
      <c r="AH28" s="9712"/>
    </row>
    <row r="29" spans="1:34" ht="30" customHeight="1">
      <c r="A29" s="9392"/>
      <c r="B29" s="9603"/>
      <c r="C29" s="9917"/>
      <c r="D29" s="9901"/>
      <c r="E29" s="9901"/>
      <c r="F29" s="9901"/>
      <c r="G29" s="9901"/>
      <c r="H29" s="9901"/>
      <c r="I29" s="9901"/>
      <c r="J29" s="9901"/>
      <c r="K29" s="9901"/>
      <c r="L29" s="9901"/>
      <c r="M29" s="9908"/>
      <c r="N29" s="9908"/>
      <c r="O29" s="9908"/>
      <c r="P29" s="9901"/>
      <c r="Q29" s="9901"/>
      <c r="R29" s="9905"/>
      <c r="S29" s="1316"/>
      <c r="T29" s="6364"/>
      <c r="U29" s="6917"/>
      <c r="V29" s="1031"/>
      <c r="W29" s="4868"/>
      <c r="X29" s="1023"/>
      <c r="Y29" s="6931"/>
      <c r="Z29" s="6931"/>
      <c r="AA29" s="6931"/>
      <c r="AB29" s="6932"/>
      <c r="AC29" s="4877"/>
      <c r="AD29" s="1237"/>
      <c r="AE29" s="1023"/>
      <c r="AF29" s="1023"/>
      <c r="AG29" s="1023"/>
      <c r="AH29" s="9713"/>
    </row>
    <row r="30" spans="1:34" ht="26.25" customHeight="1">
      <c r="A30" s="9392"/>
      <c r="B30" s="9603"/>
      <c r="C30" s="9912" t="s">
        <v>183</v>
      </c>
      <c r="D30" s="9902" t="s">
        <v>227</v>
      </c>
      <c r="E30" s="9902" t="s">
        <v>129</v>
      </c>
      <c r="F30" s="9902" t="s">
        <v>205</v>
      </c>
      <c r="G30" s="9899" t="s">
        <v>131</v>
      </c>
      <c r="H30" s="9902" t="s">
        <v>213</v>
      </c>
      <c r="I30" s="9902" t="s">
        <v>189</v>
      </c>
      <c r="J30" s="9902" t="s">
        <v>2222</v>
      </c>
      <c r="K30" s="9910" t="s">
        <v>2223</v>
      </c>
      <c r="L30" s="9902" t="s">
        <v>2224</v>
      </c>
      <c r="M30" s="9909">
        <v>0</v>
      </c>
      <c r="N30" s="9906">
        <v>1</v>
      </c>
      <c r="O30" s="9909">
        <v>0</v>
      </c>
      <c r="P30" s="9902" t="s">
        <v>2225</v>
      </c>
      <c r="Q30" s="9902" t="s">
        <v>2226</v>
      </c>
      <c r="R30" s="9903" t="s">
        <v>2203</v>
      </c>
      <c r="S30" s="792"/>
      <c r="T30" s="6919"/>
      <c r="U30" s="6919"/>
      <c r="V30" s="940"/>
      <c r="W30" s="4863"/>
      <c r="X30" s="794"/>
      <c r="Y30" s="6934"/>
      <c r="Z30" s="6934"/>
      <c r="AA30" s="6934"/>
      <c r="AB30" s="6935"/>
      <c r="AC30" s="4878"/>
      <c r="AD30" s="1198"/>
      <c r="AE30" s="794"/>
      <c r="AF30" s="1033"/>
      <c r="AG30" s="1033"/>
      <c r="AH30" s="9933"/>
    </row>
    <row r="31" spans="1:34" ht="26.25" customHeight="1">
      <c r="A31" s="9392"/>
      <c r="B31" s="9603"/>
      <c r="C31" s="9913"/>
      <c r="D31" s="9900"/>
      <c r="E31" s="9900"/>
      <c r="F31" s="9900"/>
      <c r="G31" s="9900"/>
      <c r="H31" s="9900"/>
      <c r="I31" s="9900"/>
      <c r="J31" s="9900"/>
      <c r="K31" s="9900"/>
      <c r="L31" s="9900"/>
      <c r="M31" s="9907"/>
      <c r="N31" s="9907"/>
      <c r="O31" s="9907"/>
      <c r="P31" s="9900"/>
      <c r="Q31" s="9900"/>
      <c r="R31" s="9904"/>
      <c r="S31" s="797"/>
      <c r="T31" s="6365"/>
      <c r="U31" s="6365"/>
      <c r="V31" s="798"/>
      <c r="W31" s="4862"/>
      <c r="X31" s="799"/>
      <c r="Y31" s="4779"/>
      <c r="Z31" s="4779"/>
      <c r="AA31" s="4779"/>
      <c r="AB31" s="6926"/>
      <c r="AC31" s="4876"/>
      <c r="AD31" s="796"/>
      <c r="AE31" s="799"/>
      <c r="AF31" s="1013"/>
      <c r="AG31" s="1013"/>
      <c r="AH31" s="9712"/>
    </row>
    <row r="32" spans="1:34" ht="26.25" customHeight="1">
      <c r="A32" s="9392"/>
      <c r="B32" s="9603"/>
      <c r="C32" s="9913"/>
      <c r="D32" s="9900"/>
      <c r="E32" s="9900"/>
      <c r="F32" s="9900"/>
      <c r="G32" s="9900"/>
      <c r="H32" s="9900"/>
      <c r="I32" s="9900"/>
      <c r="J32" s="9900"/>
      <c r="K32" s="9900"/>
      <c r="L32" s="9900"/>
      <c r="M32" s="9907"/>
      <c r="N32" s="9907"/>
      <c r="O32" s="9907"/>
      <c r="P32" s="9900"/>
      <c r="Q32" s="9900"/>
      <c r="R32" s="9904"/>
      <c r="S32" s="797"/>
      <c r="T32" s="6365"/>
      <c r="U32" s="4862"/>
      <c r="V32" s="798"/>
      <c r="W32" s="4862"/>
      <c r="X32" s="799"/>
      <c r="Y32" s="4779"/>
      <c r="Z32" s="4779"/>
      <c r="AA32" s="4779"/>
      <c r="AB32" s="6926"/>
      <c r="AC32" s="4876"/>
      <c r="AD32" s="796"/>
      <c r="AE32" s="799"/>
      <c r="AF32" s="1013"/>
      <c r="AG32" s="1013"/>
      <c r="AH32" s="9712"/>
    </row>
    <row r="33" spans="1:34" ht="26.25" customHeight="1">
      <c r="A33" s="9392"/>
      <c r="B33" s="9603"/>
      <c r="C33" s="9913"/>
      <c r="D33" s="9900"/>
      <c r="E33" s="9900"/>
      <c r="F33" s="9900"/>
      <c r="G33" s="9900"/>
      <c r="H33" s="9900"/>
      <c r="I33" s="9900"/>
      <c r="J33" s="9900"/>
      <c r="K33" s="9900"/>
      <c r="L33" s="9900"/>
      <c r="M33" s="9907"/>
      <c r="N33" s="9907"/>
      <c r="O33" s="9907"/>
      <c r="P33" s="9900"/>
      <c r="Q33" s="9900"/>
      <c r="R33" s="9904"/>
      <c r="S33" s="797"/>
      <c r="T33" s="6365"/>
      <c r="U33" s="6365"/>
      <c r="V33" s="798"/>
      <c r="W33" s="4862"/>
      <c r="X33" s="799"/>
      <c r="Y33" s="4779"/>
      <c r="Z33" s="4779"/>
      <c r="AA33" s="4779"/>
      <c r="AB33" s="6926"/>
      <c r="AC33" s="4876"/>
      <c r="AD33" s="796"/>
      <c r="AE33" s="799"/>
      <c r="AF33" s="1013"/>
      <c r="AG33" s="1013"/>
      <c r="AH33" s="9712"/>
    </row>
    <row r="34" spans="1:34" ht="26.25" customHeight="1">
      <c r="A34" s="9392"/>
      <c r="B34" s="9603"/>
      <c r="C34" s="9917"/>
      <c r="D34" s="9901"/>
      <c r="E34" s="9901"/>
      <c r="F34" s="9901"/>
      <c r="G34" s="9901"/>
      <c r="H34" s="9901"/>
      <c r="I34" s="9901"/>
      <c r="J34" s="9901"/>
      <c r="K34" s="9901"/>
      <c r="L34" s="9901"/>
      <c r="M34" s="9908"/>
      <c r="N34" s="9908"/>
      <c r="O34" s="9908"/>
      <c r="P34" s="9901"/>
      <c r="Q34" s="9901"/>
      <c r="R34" s="9905"/>
      <c r="S34" s="1316"/>
      <c r="T34" s="6917"/>
      <c r="U34" s="6920"/>
      <c r="V34" s="1027"/>
      <c r="W34" s="4867"/>
      <c r="X34" s="1018"/>
      <c r="Y34" s="6936"/>
      <c r="Z34" s="6936"/>
      <c r="AA34" s="6936"/>
      <c r="AB34" s="6928"/>
      <c r="AC34" s="4879"/>
      <c r="AD34" s="800"/>
      <c r="AE34" s="1018"/>
      <c r="AF34" s="1029"/>
      <c r="AG34" s="1029"/>
      <c r="AH34" s="9713"/>
    </row>
    <row r="35" spans="1:34" ht="24.75" customHeight="1">
      <c r="A35" s="9392"/>
      <c r="B35" s="9603"/>
      <c r="C35" s="9912" t="s">
        <v>127</v>
      </c>
      <c r="D35" s="9902" t="s">
        <v>128</v>
      </c>
      <c r="E35" s="9902" t="s">
        <v>140</v>
      </c>
      <c r="F35" s="9902" t="s">
        <v>284</v>
      </c>
      <c r="G35" s="9899" t="s">
        <v>131</v>
      </c>
      <c r="H35" s="9902" t="s">
        <v>132</v>
      </c>
      <c r="I35" s="9902" t="s">
        <v>159</v>
      </c>
      <c r="J35" s="9899" t="s">
        <v>2227</v>
      </c>
      <c r="K35" s="9910" t="s">
        <v>286</v>
      </c>
      <c r="L35" s="9902" t="s">
        <v>2228</v>
      </c>
      <c r="M35" s="9906">
        <v>0</v>
      </c>
      <c r="N35" s="9909">
        <v>1</v>
      </c>
      <c r="O35" s="9906">
        <v>1</v>
      </c>
      <c r="P35" s="9902" t="s">
        <v>2229</v>
      </c>
      <c r="Q35" s="9902" t="s">
        <v>2230</v>
      </c>
      <c r="R35" s="9903" t="s">
        <v>2203</v>
      </c>
      <c r="S35" s="3376" t="s">
        <v>15</v>
      </c>
      <c r="T35" s="6921">
        <v>840104</v>
      </c>
      <c r="U35" s="6922"/>
      <c r="V35" s="3221" t="s">
        <v>39</v>
      </c>
      <c r="W35" s="6360"/>
      <c r="X35" s="3162"/>
      <c r="Y35" s="4780"/>
      <c r="Z35" s="4780"/>
      <c r="AA35" s="4780"/>
      <c r="AB35" s="6937">
        <f>AA36</f>
        <v>313.60000000000002</v>
      </c>
      <c r="AC35" s="4811" t="s">
        <v>26</v>
      </c>
      <c r="AD35" s="3377"/>
      <c r="AE35" s="3162"/>
      <c r="AF35" s="3378"/>
      <c r="AG35" s="3378"/>
      <c r="AH35" s="9932"/>
    </row>
    <row r="36" spans="1:34" ht="24.75" customHeight="1">
      <c r="A36" s="9392"/>
      <c r="B36" s="9603"/>
      <c r="C36" s="9913"/>
      <c r="D36" s="9900"/>
      <c r="E36" s="9900"/>
      <c r="F36" s="9900"/>
      <c r="G36" s="9900"/>
      <c r="H36" s="9900"/>
      <c r="I36" s="9900"/>
      <c r="J36" s="9900"/>
      <c r="K36" s="9900"/>
      <c r="L36" s="9900"/>
      <c r="M36" s="9907"/>
      <c r="N36" s="9907"/>
      <c r="O36" s="9907"/>
      <c r="P36" s="9900"/>
      <c r="Q36" s="9900"/>
      <c r="R36" s="9904"/>
      <c r="S36" s="3379"/>
      <c r="T36" s="6367"/>
      <c r="U36" s="6367"/>
      <c r="V36" s="3173" t="s">
        <v>2231</v>
      </c>
      <c r="W36" s="4866">
        <v>1</v>
      </c>
      <c r="X36" s="3172" t="s">
        <v>180</v>
      </c>
      <c r="Y36" s="4783">
        <f>313.6/1.12</f>
        <v>280</v>
      </c>
      <c r="Z36" s="4783">
        <f>+W36*Y36</f>
        <v>280</v>
      </c>
      <c r="AA36" s="4783">
        <f t="shared" ref="AA36" si="0">+Z36*1.12</f>
        <v>313.60000000000002</v>
      </c>
      <c r="AB36" s="4781"/>
      <c r="AC36" s="4784"/>
      <c r="AD36" s="3380"/>
      <c r="AE36" s="3172"/>
      <c r="AF36" s="3381"/>
      <c r="AG36" s="3381" t="s">
        <v>153</v>
      </c>
      <c r="AH36" s="9712"/>
    </row>
    <row r="37" spans="1:34" ht="24.75" customHeight="1">
      <c r="A37" s="9392"/>
      <c r="B37" s="9603"/>
      <c r="C37" s="9913"/>
      <c r="D37" s="9900"/>
      <c r="E37" s="9900"/>
      <c r="F37" s="9900"/>
      <c r="G37" s="9900"/>
      <c r="H37" s="9900"/>
      <c r="I37" s="9900"/>
      <c r="J37" s="9900"/>
      <c r="K37" s="9900"/>
      <c r="L37" s="9900"/>
      <c r="M37" s="9907"/>
      <c r="N37" s="9907"/>
      <c r="O37" s="9907"/>
      <c r="P37" s="9900"/>
      <c r="Q37" s="9900"/>
      <c r="R37" s="9904"/>
      <c r="S37" s="797"/>
      <c r="T37" s="6365"/>
      <c r="U37" s="6365"/>
      <c r="V37" s="798"/>
      <c r="W37" s="4862"/>
      <c r="X37" s="799"/>
      <c r="Y37" s="4779"/>
      <c r="Z37" s="4779"/>
      <c r="AA37" s="4779"/>
      <c r="AB37" s="6926"/>
      <c r="AC37" s="4876"/>
      <c r="AD37" s="796"/>
      <c r="AE37" s="799"/>
      <c r="AF37" s="1013"/>
      <c r="AG37" s="1013"/>
      <c r="AH37" s="9712"/>
    </row>
    <row r="38" spans="1:34" ht="24.75" customHeight="1">
      <c r="A38" s="9392"/>
      <c r="B38" s="9603"/>
      <c r="C38" s="9913"/>
      <c r="D38" s="9900"/>
      <c r="E38" s="9900"/>
      <c r="F38" s="9900"/>
      <c r="G38" s="9900"/>
      <c r="H38" s="9900"/>
      <c r="I38" s="9900"/>
      <c r="J38" s="9900"/>
      <c r="K38" s="9900"/>
      <c r="L38" s="9900"/>
      <c r="M38" s="9907"/>
      <c r="N38" s="9907"/>
      <c r="O38" s="9907"/>
      <c r="P38" s="9900"/>
      <c r="Q38" s="9900"/>
      <c r="R38" s="9904"/>
      <c r="S38" s="797"/>
      <c r="T38" s="6365"/>
      <c r="U38" s="6365"/>
      <c r="V38" s="798"/>
      <c r="W38" s="4862"/>
      <c r="X38" s="799"/>
      <c r="Y38" s="4779"/>
      <c r="Z38" s="4779"/>
      <c r="AA38" s="4779"/>
      <c r="AB38" s="6926"/>
      <c r="AC38" s="4876"/>
      <c r="AD38" s="796"/>
      <c r="AE38" s="799"/>
      <c r="AF38" s="1013"/>
      <c r="AG38" s="1013"/>
      <c r="AH38" s="9712"/>
    </row>
    <row r="39" spans="1:34" ht="24.75" customHeight="1">
      <c r="A39" s="9392"/>
      <c r="B39" s="9603"/>
      <c r="C39" s="9917"/>
      <c r="D39" s="9901"/>
      <c r="E39" s="9901"/>
      <c r="F39" s="9901"/>
      <c r="G39" s="9901"/>
      <c r="H39" s="9901"/>
      <c r="I39" s="9901"/>
      <c r="J39" s="9901"/>
      <c r="K39" s="9901"/>
      <c r="L39" s="9901"/>
      <c r="M39" s="9908"/>
      <c r="N39" s="9908"/>
      <c r="O39" s="9908"/>
      <c r="P39" s="9901"/>
      <c r="Q39" s="9901"/>
      <c r="R39" s="9905"/>
      <c r="S39" s="1316"/>
      <c r="T39" s="6917"/>
      <c r="U39" s="6917"/>
      <c r="V39" s="1031"/>
      <c r="W39" s="4868"/>
      <c r="X39" s="1023"/>
      <c r="Y39" s="6931"/>
      <c r="Z39" s="6931"/>
      <c r="AA39" s="6931"/>
      <c r="AB39" s="6932"/>
      <c r="AC39" s="4877"/>
      <c r="AD39" s="1237"/>
      <c r="AE39" s="1023"/>
      <c r="AF39" s="1024"/>
      <c r="AG39" s="1024"/>
      <c r="AH39" s="9713"/>
    </row>
    <row r="40" spans="1:34" ht="54" customHeight="1">
      <c r="A40" s="9392"/>
      <c r="B40" s="9603"/>
      <c r="C40" s="9912" t="s">
        <v>127</v>
      </c>
      <c r="D40" s="9902" t="s">
        <v>128</v>
      </c>
      <c r="E40" s="9902" t="s">
        <v>140</v>
      </c>
      <c r="F40" s="9902" t="s">
        <v>284</v>
      </c>
      <c r="G40" s="9899" t="s">
        <v>131</v>
      </c>
      <c r="H40" s="9902" t="s">
        <v>132</v>
      </c>
      <c r="I40" s="9902" t="s">
        <v>159</v>
      </c>
      <c r="J40" s="9902" t="s">
        <v>1859</v>
      </c>
      <c r="K40" s="9910" t="s">
        <v>1378</v>
      </c>
      <c r="L40" s="9902" t="s">
        <v>2232</v>
      </c>
      <c r="M40" s="9906">
        <v>3</v>
      </c>
      <c r="N40" s="9906">
        <v>0</v>
      </c>
      <c r="O40" s="9906">
        <v>3</v>
      </c>
      <c r="P40" s="9902" t="s">
        <v>2233</v>
      </c>
      <c r="Q40" s="9902" t="s">
        <v>1381</v>
      </c>
      <c r="R40" s="9903" t="s">
        <v>2203</v>
      </c>
      <c r="S40" s="792" t="s">
        <v>15</v>
      </c>
      <c r="T40" s="6919">
        <v>530811</v>
      </c>
      <c r="U40" s="6919"/>
      <c r="V40" s="1318" t="s">
        <v>2234</v>
      </c>
      <c r="W40" s="4863"/>
      <c r="X40" s="794"/>
      <c r="Y40" s="6934"/>
      <c r="Z40" s="6934"/>
      <c r="AA40" s="6934"/>
      <c r="AB40" s="6933">
        <v>0</v>
      </c>
      <c r="AC40" s="4878" t="s">
        <v>18</v>
      </c>
      <c r="AD40" s="1198"/>
      <c r="AE40" s="794"/>
      <c r="AF40" s="1033"/>
      <c r="AG40" s="1033"/>
      <c r="AH40" s="9933"/>
    </row>
    <row r="41" spans="1:34" ht="25.5" customHeight="1">
      <c r="A41" s="9392"/>
      <c r="B41" s="9603"/>
      <c r="C41" s="9913"/>
      <c r="D41" s="9900"/>
      <c r="E41" s="9900"/>
      <c r="F41" s="9900"/>
      <c r="G41" s="9900"/>
      <c r="H41" s="9900"/>
      <c r="I41" s="9900"/>
      <c r="J41" s="9900"/>
      <c r="K41" s="9900"/>
      <c r="L41" s="9900"/>
      <c r="M41" s="9907"/>
      <c r="N41" s="9907"/>
      <c r="O41" s="9907"/>
      <c r="P41" s="9900"/>
      <c r="Q41" s="9900"/>
      <c r="R41" s="9904"/>
      <c r="S41" s="797"/>
      <c r="T41" s="6365"/>
      <c r="U41" s="6365">
        <v>452900031</v>
      </c>
      <c r="V41" s="798" t="s">
        <v>2235</v>
      </c>
      <c r="W41" s="4862">
        <v>1</v>
      </c>
      <c r="X41" s="799" t="s">
        <v>180</v>
      </c>
      <c r="Y41" s="4779">
        <v>7.06</v>
      </c>
      <c r="Z41" s="4779">
        <f>+W41*Y41</f>
        <v>7.06</v>
      </c>
      <c r="AA41" s="4779"/>
      <c r="AB41" s="6926"/>
      <c r="AC41" s="4876"/>
      <c r="AD41" s="796"/>
      <c r="AE41" s="799"/>
      <c r="AF41" s="799" t="s">
        <v>153</v>
      </c>
      <c r="AG41" s="1013"/>
      <c r="AH41" s="9712"/>
    </row>
    <row r="42" spans="1:34" ht="25.5" customHeight="1">
      <c r="A42" s="9392"/>
      <c r="B42" s="9603"/>
      <c r="C42" s="9913"/>
      <c r="D42" s="9900"/>
      <c r="E42" s="9900"/>
      <c r="F42" s="9900"/>
      <c r="G42" s="9900"/>
      <c r="H42" s="9900"/>
      <c r="I42" s="9900"/>
      <c r="J42" s="9900"/>
      <c r="K42" s="9900"/>
      <c r="L42" s="9900"/>
      <c r="M42" s="9907"/>
      <c r="N42" s="9907"/>
      <c r="O42" s="9907"/>
      <c r="P42" s="9900"/>
      <c r="Q42" s="9900"/>
      <c r="R42" s="9904"/>
      <c r="S42" s="797"/>
      <c r="T42" s="6365"/>
      <c r="U42" s="6365">
        <v>4621206110</v>
      </c>
      <c r="V42" s="798" t="s">
        <v>2236</v>
      </c>
      <c r="W42" s="4862">
        <v>3</v>
      </c>
      <c r="X42" s="799" t="s">
        <v>180</v>
      </c>
      <c r="Y42" s="4779">
        <v>16</v>
      </c>
      <c r="Z42" s="4779">
        <f>+Y42*W42</f>
        <v>48</v>
      </c>
      <c r="AA42" s="4779"/>
      <c r="AB42" s="6926"/>
      <c r="AC42" s="4876"/>
      <c r="AD42" s="796"/>
      <c r="AE42" s="799"/>
      <c r="AF42" s="799" t="s">
        <v>153</v>
      </c>
      <c r="AG42" s="1013"/>
      <c r="AH42" s="9712"/>
    </row>
    <row r="43" spans="1:34" ht="25.5" customHeight="1">
      <c r="A43" s="9392"/>
      <c r="B43" s="9603"/>
      <c r="C43" s="9913"/>
      <c r="D43" s="9900"/>
      <c r="E43" s="9900"/>
      <c r="F43" s="9900"/>
      <c r="G43" s="9900"/>
      <c r="H43" s="9900"/>
      <c r="I43" s="9900"/>
      <c r="J43" s="9900"/>
      <c r="K43" s="9900"/>
      <c r="L43" s="9900"/>
      <c r="M43" s="9907"/>
      <c r="N43" s="9907"/>
      <c r="O43" s="9907"/>
      <c r="P43" s="9900"/>
      <c r="Q43" s="9900"/>
      <c r="R43" s="9904"/>
      <c r="S43" s="797"/>
      <c r="T43" s="6920"/>
      <c r="U43" s="6920"/>
      <c r="V43" s="1027"/>
      <c r="W43" s="4867"/>
      <c r="X43" s="1018"/>
      <c r="Y43" s="6936"/>
      <c r="Z43" s="6936"/>
      <c r="AA43" s="6936"/>
      <c r="AB43" s="6928"/>
      <c r="AC43" s="4879"/>
      <c r="AD43" s="800"/>
      <c r="AE43" s="1018"/>
      <c r="AF43" s="1018"/>
      <c r="AG43" s="1029"/>
      <c r="AH43" s="9712"/>
    </row>
    <row r="44" spans="1:34" ht="25.5" customHeight="1">
      <c r="A44" s="9392"/>
      <c r="B44" s="9603"/>
      <c r="C44" s="9917"/>
      <c r="D44" s="9901"/>
      <c r="E44" s="9901"/>
      <c r="F44" s="9901"/>
      <c r="G44" s="9901"/>
      <c r="H44" s="9901"/>
      <c r="I44" s="9901"/>
      <c r="J44" s="9901"/>
      <c r="K44" s="9901"/>
      <c r="L44" s="9901"/>
      <c r="M44" s="9908"/>
      <c r="N44" s="9908"/>
      <c r="O44" s="9908"/>
      <c r="P44" s="9901"/>
      <c r="Q44" s="9901"/>
      <c r="R44" s="9905"/>
      <c r="S44" s="1316"/>
      <c r="T44" s="6917"/>
      <c r="U44" s="6917"/>
      <c r="V44" s="1031"/>
      <c r="W44" s="4868"/>
      <c r="X44" s="1023"/>
      <c r="Y44" s="6931"/>
      <c r="Z44" s="6931"/>
      <c r="AA44" s="6931"/>
      <c r="AB44" s="6932"/>
      <c r="AC44" s="4877"/>
      <c r="AD44" s="1237"/>
      <c r="AE44" s="1023"/>
      <c r="AF44" s="1024"/>
      <c r="AG44" s="1024"/>
      <c r="AH44" s="9713"/>
    </row>
    <row r="45" spans="1:34" ht="22.5" customHeight="1">
      <c r="A45" s="485"/>
      <c r="B45" s="486"/>
      <c r="C45" s="464"/>
      <c r="D45" s="464"/>
      <c r="E45" s="464"/>
      <c r="F45" s="464"/>
      <c r="G45" s="464"/>
      <c r="H45" s="464"/>
      <c r="I45" s="464"/>
      <c r="J45" s="464"/>
      <c r="K45" s="464"/>
      <c r="L45" s="463"/>
      <c r="M45" s="477"/>
      <c r="N45" s="477"/>
      <c r="O45" s="477"/>
      <c r="P45" s="464"/>
      <c r="Q45" s="464"/>
      <c r="R45" s="240"/>
      <c r="S45" s="9083" t="s">
        <v>2237</v>
      </c>
      <c r="T45" s="9387"/>
      <c r="U45" s="9387"/>
      <c r="V45" s="9387"/>
      <c r="W45" s="9387"/>
      <c r="X45" s="9387"/>
      <c r="Y45" s="9387"/>
      <c r="Z45" s="9387"/>
      <c r="AA45" s="507" t="s">
        <v>292</v>
      </c>
      <c r="AB45" s="503">
        <f>SUM(AB10:AB44)</f>
        <v>31699.32</v>
      </c>
      <c r="AC45" s="389"/>
      <c r="AD45" s="389"/>
      <c r="AE45" s="9934"/>
      <c r="AF45" s="9675"/>
      <c r="AG45" s="9675"/>
      <c r="AH45" s="9676"/>
    </row>
    <row r="46" spans="1:34" ht="16.5">
      <c r="A46" s="8"/>
      <c r="B46" s="194"/>
      <c r="C46" s="689" t="s">
        <v>2238</v>
      </c>
      <c r="D46" s="143"/>
      <c r="E46" s="143"/>
      <c r="F46" s="143"/>
      <c r="G46" s="143"/>
      <c r="H46" s="143"/>
      <c r="I46" s="143"/>
      <c r="J46" s="143"/>
      <c r="K46" s="143"/>
      <c r="L46" s="241"/>
      <c r="M46" s="242"/>
      <c r="N46" s="101"/>
      <c r="O46" s="242"/>
      <c r="P46" s="143"/>
      <c r="Q46" s="143"/>
      <c r="R46" s="143"/>
      <c r="S46" s="9377" t="s">
        <v>533</v>
      </c>
      <c r="T46" s="8825"/>
      <c r="U46" s="8825"/>
      <c r="V46" s="8825"/>
      <c r="W46" s="8825"/>
      <c r="X46" s="8825"/>
      <c r="Y46" s="8825"/>
      <c r="Z46" s="8825"/>
      <c r="AA46" s="8825"/>
      <c r="AB46" s="8825"/>
      <c r="AC46" s="8825"/>
      <c r="AD46" s="8825"/>
      <c r="AE46" s="8825"/>
      <c r="AF46" s="8825"/>
      <c r="AG46" s="8825"/>
      <c r="AH46" s="8825"/>
    </row>
    <row r="47" spans="1:34" ht="16.5" customHeight="1">
      <c r="A47" s="8"/>
      <c r="B47" s="194"/>
      <c r="C47" s="6" t="s">
        <v>2239</v>
      </c>
      <c r="D47" s="143"/>
      <c r="E47" s="143"/>
      <c r="F47" s="143"/>
      <c r="G47" s="143"/>
      <c r="H47" s="143"/>
      <c r="I47" s="143"/>
      <c r="J47" s="143"/>
      <c r="K47" s="143"/>
      <c r="L47" s="241"/>
      <c r="M47" s="242"/>
      <c r="N47" s="101"/>
      <c r="O47" s="242"/>
      <c r="P47" s="143"/>
      <c r="Q47" s="143"/>
      <c r="R47" s="143"/>
      <c r="S47" s="210"/>
      <c r="T47" s="2"/>
      <c r="U47" s="2"/>
      <c r="AF47" s="8"/>
      <c r="AG47" s="8"/>
      <c r="AH47" s="8"/>
    </row>
    <row r="48" spans="1:34" ht="16.5">
      <c r="A48" s="8"/>
      <c r="B48" s="8"/>
      <c r="C48" s="143"/>
      <c r="D48" s="143"/>
      <c r="E48" s="143"/>
      <c r="F48" s="143"/>
      <c r="G48" s="143"/>
      <c r="H48" s="143"/>
      <c r="I48" s="143"/>
      <c r="J48" s="143"/>
      <c r="K48" s="143"/>
      <c r="L48" s="241"/>
      <c r="M48" s="242"/>
      <c r="N48" s="101"/>
      <c r="O48" s="242"/>
      <c r="P48" s="143"/>
      <c r="Q48" s="143"/>
      <c r="R48" s="143"/>
      <c r="S48" s="210"/>
      <c r="U48" s="8775" t="s">
        <v>351</v>
      </c>
      <c r="V48" s="9379"/>
      <c r="W48" s="9379"/>
      <c r="X48" s="9379"/>
      <c r="Y48" s="9379"/>
      <c r="Z48" s="9379"/>
      <c r="AA48" s="231"/>
      <c r="AB48" s="231"/>
      <c r="AC48" s="231"/>
      <c r="AD48"/>
      <c r="AE48" s="8"/>
      <c r="AF48" s="8"/>
      <c r="AG48" s="8"/>
    </row>
    <row r="49" spans="1:33" ht="16.5" customHeight="1">
      <c r="A49" s="8"/>
      <c r="B49" s="8"/>
      <c r="C49" s="143"/>
      <c r="D49" s="143"/>
      <c r="E49" s="143"/>
      <c r="F49" s="143"/>
      <c r="G49" s="143"/>
      <c r="H49" s="143"/>
      <c r="I49" s="143"/>
      <c r="J49" s="143"/>
      <c r="K49" s="143"/>
      <c r="L49" s="241"/>
      <c r="M49" s="242"/>
      <c r="N49" s="101"/>
      <c r="O49" s="242"/>
      <c r="P49" s="143"/>
      <c r="Q49" s="143"/>
      <c r="R49" s="143"/>
      <c r="S49" s="7"/>
      <c r="T49" s="28"/>
      <c r="U49" s="28"/>
      <c r="V49" s="28"/>
      <c r="W49" s="235"/>
      <c r="X49" s="85"/>
      <c r="Y49" s="28"/>
      <c r="Z49" s="28"/>
      <c r="AA49" s="100"/>
      <c r="AB49" s="363"/>
      <c r="AC49" s="363"/>
      <c r="AD49" s="100"/>
      <c r="AE49" s="8"/>
      <c r="AF49" s="8"/>
      <c r="AG49" s="8"/>
    </row>
    <row r="50" spans="1:33" ht="18" customHeight="1">
      <c r="A50" s="8"/>
      <c r="B50" s="8"/>
      <c r="C50" s="143"/>
      <c r="D50" s="143"/>
      <c r="E50" s="143"/>
      <c r="F50" s="143"/>
      <c r="G50" s="143"/>
      <c r="H50" s="143"/>
      <c r="I50" s="143"/>
      <c r="J50" s="143"/>
      <c r="K50" s="143"/>
      <c r="L50" s="241"/>
      <c r="M50" s="242"/>
      <c r="N50" s="101"/>
      <c r="O50" s="242"/>
      <c r="P50" s="99"/>
      <c r="U50" s="5882" t="s">
        <v>5</v>
      </c>
      <c r="V50" s="5883" t="s">
        <v>6</v>
      </c>
      <c r="W50" s="5887" t="s">
        <v>7</v>
      </c>
      <c r="X50" s="5885" t="s">
        <v>352</v>
      </c>
      <c r="Y50" s="5885" t="s">
        <v>9</v>
      </c>
      <c r="Z50" s="5886" t="s">
        <v>353</v>
      </c>
      <c r="AA50" s="334"/>
      <c r="AB50" s="9"/>
      <c r="AC50" s="9"/>
      <c r="AD50" s="334"/>
      <c r="AE50" s="8"/>
      <c r="AF50" s="8"/>
      <c r="AG50" s="8"/>
    </row>
    <row r="51" spans="1:33" ht="69.75" customHeight="1">
      <c r="A51" s="8"/>
      <c r="B51" s="8"/>
      <c r="C51" s="143"/>
      <c r="D51" s="143"/>
      <c r="E51" s="143"/>
      <c r="F51" s="143"/>
      <c r="G51" s="143"/>
      <c r="H51" s="143"/>
      <c r="I51" s="143"/>
      <c r="J51" s="143"/>
      <c r="K51" s="143"/>
      <c r="L51" s="241"/>
      <c r="M51" s="242"/>
      <c r="N51" s="101"/>
      <c r="O51" s="242"/>
      <c r="P51" s="99"/>
      <c r="U51" s="601" t="s">
        <v>15</v>
      </c>
      <c r="V51" s="603" t="s">
        <v>2234</v>
      </c>
      <c r="W51" s="32">
        <v>530811</v>
      </c>
      <c r="X51" s="31" t="s">
        <v>17</v>
      </c>
      <c r="Y51" s="1678" t="s">
        <v>18</v>
      </c>
      <c r="Z51" s="883">
        <f>AB40</f>
        <v>0</v>
      </c>
      <c r="AA51" s="101"/>
      <c r="AB51" s="10"/>
      <c r="AC51" s="10"/>
      <c r="AD51" s="335"/>
      <c r="AE51" s="8"/>
      <c r="AF51" s="8"/>
      <c r="AG51" s="8"/>
    </row>
    <row r="52" spans="1:33" ht="35.25" customHeight="1">
      <c r="A52" s="8"/>
      <c r="B52" s="8"/>
      <c r="C52" s="143"/>
      <c r="D52" s="143"/>
      <c r="E52" s="143"/>
      <c r="F52" s="143"/>
      <c r="G52" s="143"/>
      <c r="H52" s="143"/>
      <c r="I52" s="143"/>
      <c r="J52" s="143"/>
      <c r="K52" s="143"/>
      <c r="L52" s="241"/>
      <c r="M52" s="242"/>
      <c r="N52" s="101"/>
      <c r="O52" s="242"/>
      <c r="P52" s="99"/>
      <c r="U52" s="601" t="s">
        <v>15</v>
      </c>
      <c r="V52" s="603" t="s">
        <v>39</v>
      </c>
      <c r="W52" s="32">
        <v>840104</v>
      </c>
      <c r="X52" s="31" t="s">
        <v>17</v>
      </c>
      <c r="Y52" s="1678" t="s">
        <v>26</v>
      </c>
      <c r="Z52" s="883">
        <f>+AB35</f>
        <v>313.60000000000002</v>
      </c>
      <c r="AA52" s="101"/>
      <c r="AB52" s="10"/>
      <c r="AC52" s="10"/>
      <c r="AD52" s="335"/>
      <c r="AE52" s="8"/>
      <c r="AF52" s="8"/>
      <c r="AG52" s="8"/>
    </row>
    <row r="53" spans="1:33" ht="37.5" customHeight="1">
      <c r="A53" s="8"/>
      <c r="B53" s="8"/>
      <c r="C53" s="143"/>
      <c r="D53" s="143"/>
      <c r="E53" s="143"/>
      <c r="F53" s="143"/>
      <c r="G53" s="143"/>
      <c r="H53" s="143"/>
      <c r="I53" s="143"/>
      <c r="J53" s="143"/>
      <c r="K53" s="143"/>
      <c r="L53" s="241"/>
      <c r="M53" s="242"/>
      <c r="N53" s="101"/>
      <c r="O53" s="242"/>
      <c r="P53" s="99"/>
      <c r="U53" s="601" t="s">
        <v>79</v>
      </c>
      <c r="V53" s="602" t="s">
        <v>1360</v>
      </c>
      <c r="W53" s="32">
        <v>530612</v>
      </c>
      <c r="X53" s="31" t="s">
        <v>17</v>
      </c>
      <c r="Y53" s="1678" t="s">
        <v>25</v>
      </c>
      <c r="Z53" s="883">
        <f>AB20</f>
        <v>31385.72</v>
      </c>
      <c r="AA53" s="101"/>
      <c r="AB53" s="10"/>
      <c r="AC53" s="10"/>
      <c r="AD53" s="335"/>
      <c r="AE53" s="8"/>
      <c r="AF53" s="8"/>
      <c r="AG53" s="8"/>
    </row>
    <row r="54" spans="1:33" ht="18" customHeight="1">
      <c r="A54" s="8"/>
      <c r="B54" s="8"/>
      <c r="C54" s="143"/>
      <c r="D54" s="143"/>
      <c r="E54" s="143"/>
      <c r="F54" s="143"/>
      <c r="G54" s="143"/>
      <c r="H54" s="143"/>
      <c r="I54" s="143"/>
      <c r="J54" s="143"/>
      <c r="K54" s="143"/>
      <c r="L54" s="241"/>
      <c r="M54" s="242"/>
      <c r="N54" s="101"/>
      <c r="O54" s="242"/>
      <c r="P54" s="143"/>
      <c r="Q54" s="143"/>
      <c r="R54" s="143"/>
      <c r="S54" s="210"/>
      <c r="U54" s="5930"/>
      <c r="V54" s="5931" t="s">
        <v>67</v>
      </c>
      <c r="W54" s="5932"/>
      <c r="X54" s="5932"/>
      <c r="Y54" s="5926" t="s">
        <v>292</v>
      </c>
      <c r="Z54" s="5939">
        <f>SUM(Z51:Z53)</f>
        <v>31699.32</v>
      </c>
      <c r="AA54" s="143"/>
      <c r="AB54" s="364"/>
      <c r="AC54" s="364"/>
      <c r="AD54" s="143"/>
      <c r="AE54" s="8"/>
      <c r="AF54" s="8"/>
      <c r="AG54" s="8"/>
    </row>
    <row r="55" spans="1:33" ht="16.5" customHeight="1">
      <c r="A55" s="8"/>
      <c r="B55" s="8"/>
      <c r="C55" s="143"/>
      <c r="D55" s="143"/>
      <c r="E55" s="143"/>
      <c r="F55" s="143"/>
      <c r="G55" s="143"/>
      <c r="H55" s="143"/>
      <c r="I55" s="143"/>
      <c r="J55" s="143"/>
      <c r="K55" s="143"/>
      <c r="L55" s="241"/>
      <c r="M55" s="242"/>
      <c r="N55" s="101"/>
      <c r="O55" s="242"/>
      <c r="P55" s="143"/>
      <c r="Q55" s="143"/>
      <c r="R55" s="143"/>
      <c r="S55" s="210"/>
      <c r="T55" s="28"/>
      <c r="U55" s="28"/>
      <c r="V55" s="34"/>
      <c r="W55" s="235"/>
      <c r="X55" s="85"/>
      <c r="Y55" s="28"/>
      <c r="Z55" s="28"/>
      <c r="AA55" s="143"/>
      <c r="AB55" s="364"/>
      <c r="AC55" s="364"/>
      <c r="AD55" s="145"/>
      <c r="AE55" s="8"/>
      <c r="AF55" s="8"/>
      <c r="AG55" s="8"/>
    </row>
    <row r="56" spans="1:33" ht="16.5" customHeight="1">
      <c r="A56" s="8"/>
      <c r="B56" s="8"/>
      <c r="C56" s="143"/>
      <c r="D56" s="143"/>
      <c r="E56" s="143"/>
      <c r="F56" s="143"/>
      <c r="G56" s="143"/>
      <c r="H56" s="143"/>
      <c r="I56" s="143"/>
      <c r="J56" s="143"/>
      <c r="K56" s="143"/>
      <c r="L56" s="241"/>
      <c r="M56" s="242"/>
      <c r="N56" s="101"/>
      <c r="O56" s="242"/>
      <c r="P56" s="143"/>
      <c r="Q56" s="143"/>
      <c r="R56" s="143"/>
      <c r="S56" s="210"/>
      <c r="T56" s="210"/>
      <c r="U56" s="28"/>
      <c r="V56" s="28"/>
      <c r="W56" s="28"/>
      <c r="X56" s="235"/>
      <c r="Y56" s="85"/>
      <c r="Z56" s="28"/>
      <c r="AA56" s="28"/>
      <c r="AB56" s="368"/>
      <c r="AC56" s="368"/>
      <c r="AD56" s="143"/>
      <c r="AE56" s="8"/>
      <c r="AF56" s="8"/>
      <c r="AG56" s="8"/>
    </row>
    <row r="57" spans="1:33" ht="16.5" customHeight="1">
      <c r="A57" s="8"/>
      <c r="B57" s="8"/>
      <c r="C57" s="143"/>
      <c r="D57" s="143"/>
      <c r="E57" s="143"/>
      <c r="F57" s="143"/>
      <c r="G57" s="143"/>
      <c r="H57" s="143"/>
      <c r="I57" s="143"/>
      <c r="J57" s="143"/>
      <c r="K57" s="143"/>
      <c r="L57" s="241"/>
      <c r="M57" s="242"/>
      <c r="N57" s="101"/>
      <c r="O57" s="242"/>
      <c r="P57" s="143"/>
      <c r="Q57" s="143"/>
      <c r="R57" s="143"/>
      <c r="S57" s="210"/>
      <c r="T57" s="210"/>
      <c r="U57" s="8764" t="s">
        <v>356</v>
      </c>
      <c r="V57" s="9941"/>
      <c r="W57" s="9942"/>
      <c r="X57" s="235"/>
      <c r="Y57" s="237" t="s">
        <v>357</v>
      </c>
      <c r="Z57" s="37" t="str">
        <f>IF(Z54=AB45,"OK","NO")</f>
        <v>OK</v>
      </c>
      <c r="AA57" s="28"/>
      <c r="AB57" s="368"/>
      <c r="AC57" s="368"/>
      <c r="AD57" s="146"/>
      <c r="AE57" s="8"/>
      <c r="AF57" s="8"/>
      <c r="AG57" s="8"/>
    </row>
    <row r="58" spans="1:33" ht="16.5" customHeight="1">
      <c r="A58" s="8"/>
      <c r="B58" s="8"/>
      <c r="C58" s="143"/>
      <c r="D58" s="143"/>
      <c r="E58" s="143"/>
      <c r="F58" s="143"/>
      <c r="G58" s="143"/>
      <c r="H58" s="143"/>
      <c r="I58" s="143"/>
      <c r="J58" s="143"/>
      <c r="K58" s="143"/>
      <c r="L58" s="241"/>
      <c r="M58" s="242"/>
      <c r="N58" s="101"/>
      <c r="O58" s="242"/>
      <c r="P58" s="143"/>
      <c r="Q58" s="143"/>
      <c r="R58" s="143"/>
      <c r="S58" s="210"/>
      <c r="T58" s="210"/>
      <c r="U58" s="4656" t="s">
        <v>358</v>
      </c>
      <c r="V58" s="555"/>
      <c r="W58" s="750">
        <f>+Z53</f>
        <v>31385.72</v>
      </c>
      <c r="X58" s="235"/>
      <c r="Y58" s="85"/>
      <c r="Z58" s="37" t="str">
        <f>IF(W62=AB45,"OK","NO")</f>
        <v>OK</v>
      </c>
      <c r="AA58" s="28"/>
      <c r="AB58" s="368"/>
      <c r="AC58" s="368"/>
      <c r="AD58" s="146"/>
      <c r="AE58" s="8"/>
      <c r="AF58" s="8"/>
      <c r="AG58" s="8"/>
    </row>
    <row r="59" spans="1:33" ht="16.5" customHeight="1">
      <c r="A59" s="8"/>
      <c r="B59" s="8"/>
      <c r="C59" s="143"/>
      <c r="D59" s="143"/>
      <c r="E59" s="143"/>
      <c r="F59" s="143"/>
      <c r="G59" s="143"/>
      <c r="H59" s="143"/>
      <c r="I59" s="143"/>
      <c r="J59" s="143"/>
      <c r="K59" s="143"/>
      <c r="L59" s="241"/>
      <c r="M59" s="242"/>
      <c r="N59" s="101"/>
      <c r="O59" s="242"/>
      <c r="P59" s="143"/>
      <c r="Q59" s="143"/>
      <c r="R59" s="143"/>
      <c r="S59" s="210"/>
      <c r="T59" s="210"/>
      <c r="U59" s="4657" t="s">
        <v>359</v>
      </c>
      <c r="V59" s="556"/>
      <c r="W59" s="751">
        <f>+Z52</f>
        <v>313.60000000000002</v>
      </c>
      <c r="X59" s="235"/>
      <c r="Y59" s="85"/>
      <c r="Z59" s="37" t="str">
        <f>IF(W72=AB45,"OK","NO")</f>
        <v>OK</v>
      </c>
      <c r="AA59" s="28"/>
      <c r="AB59" s="368"/>
      <c r="AC59" s="368"/>
      <c r="AD59" s="146"/>
      <c r="AE59" s="8"/>
      <c r="AF59" s="8"/>
      <c r="AG59" s="8"/>
    </row>
    <row r="60" spans="1:33" ht="16.5" customHeight="1">
      <c r="A60" s="8"/>
      <c r="B60" s="8"/>
      <c r="C60" s="143"/>
      <c r="D60" s="143"/>
      <c r="E60" s="143"/>
      <c r="F60" s="143"/>
      <c r="G60" s="143"/>
      <c r="H60" s="143"/>
      <c r="I60" s="143"/>
      <c r="J60" s="143"/>
      <c r="K60" s="143"/>
      <c r="L60" s="241"/>
      <c r="M60" s="242"/>
      <c r="N60" s="101"/>
      <c r="O60" s="242"/>
      <c r="P60" s="143"/>
      <c r="Q60" s="143"/>
      <c r="R60" s="143"/>
      <c r="S60" s="210"/>
      <c r="T60" s="210"/>
      <c r="U60" s="4657" t="s">
        <v>360</v>
      </c>
      <c r="V60" s="556"/>
      <c r="W60" s="751">
        <f>+Z51</f>
        <v>0</v>
      </c>
      <c r="X60" s="235"/>
      <c r="Y60" s="238"/>
      <c r="Z60" s="37" t="str">
        <f>IF(Resumen!C412=AB45,"OK","NO")</f>
        <v>OK</v>
      </c>
      <c r="AA60" s="28"/>
      <c r="AB60" s="368"/>
      <c r="AC60" s="368"/>
      <c r="AD60" s="146"/>
      <c r="AE60" s="8"/>
      <c r="AF60" s="8"/>
      <c r="AG60" s="8"/>
    </row>
    <row r="61" spans="1:33" ht="16.5" customHeight="1">
      <c r="A61" s="8"/>
      <c r="B61" s="8"/>
      <c r="C61" s="143"/>
      <c r="D61" s="143"/>
      <c r="E61" s="143"/>
      <c r="F61" s="143"/>
      <c r="G61" s="143"/>
      <c r="H61" s="143"/>
      <c r="I61" s="143"/>
      <c r="J61" s="143"/>
      <c r="K61" s="143"/>
      <c r="L61" s="241"/>
      <c r="M61" s="242"/>
      <c r="N61" s="101"/>
      <c r="O61" s="242"/>
      <c r="P61" s="143"/>
      <c r="Q61" s="143"/>
      <c r="R61" s="143"/>
      <c r="S61" s="210"/>
      <c r="T61" s="210"/>
      <c r="U61" s="4657" t="s">
        <v>361</v>
      </c>
      <c r="V61" s="556"/>
      <c r="W61" s="752">
        <v>0</v>
      </c>
      <c r="X61" s="235"/>
      <c r="Y61" s="238"/>
      <c r="Z61" s="28"/>
      <c r="AA61" s="28"/>
      <c r="AB61" s="368"/>
      <c r="AC61" s="368"/>
      <c r="AD61" s="146"/>
      <c r="AE61" s="8"/>
      <c r="AF61" s="8"/>
      <c r="AG61" s="8"/>
    </row>
    <row r="62" spans="1:33" ht="16.5" customHeight="1">
      <c r="A62" s="8"/>
      <c r="B62" s="8"/>
      <c r="C62" s="143"/>
      <c r="D62" s="143"/>
      <c r="E62" s="143"/>
      <c r="F62" s="143"/>
      <c r="G62" s="143"/>
      <c r="H62" s="143"/>
      <c r="I62" s="143"/>
      <c r="J62" s="143"/>
      <c r="K62" s="143"/>
      <c r="L62" s="241"/>
      <c r="M62" s="242"/>
      <c r="N62" s="101"/>
      <c r="O62" s="242"/>
      <c r="P62" s="143"/>
      <c r="Q62" s="143"/>
      <c r="R62" s="143"/>
      <c r="S62" s="210"/>
      <c r="T62" s="210"/>
      <c r="U62" s="4658" t="s">
        <v>67</v>
      </c>
      <c r="V62" s="558"/>
      <c r="W62" s="753">
        <f>SUM(W58:W61)</f>
        <v>31699.32</v>
      </c>
      <c r="X62" s="235"/>
      <c r="Y62" s="238"/>
      <c r="Z62" s="28"/>
      <c r="AA62" s="28"/>
      <c r="AB62" s="368"/>
      <c r="AC62" s="368"/>
      <c r="AD62" s="146"/>
      <c r="AE62" s="8"/>
      <c r="AF62" s="8"/>
      <c r="AG62" s="8"/>
    </row>
    <row r="63" spans="1:33" ht="16.5" customHeight="1">
      <c r="A63" s="8"/>
      <c r="B63" s="8"/>
      <c r="C63" s="143"/>
      <c r="D63" s="143"/>
      <c r="E63" s="143"/>
      <c r="F63" s="143"/>
      <c r="G63" s="143"/>
      <c r="H63" s="143"/>
      <c r="I63" s="143"/>
      <c r="J63" s="143"/>
      <c r="K63" s="143"/>
      <c r="L63" s="241"/>
      <c r="M63" s="242"/>
      <c r="N63" s="101"/>
      <c r="O63" s="242"/>
      <c r="P63" s="143"/>
      <c r="Q63" s="143"/>
      <c r="R63" s="143"/>
      <c r="S63" s="210"/>
      <c r="T63" s="210"/>
      <c r="U63" s="8758" t="s">
        <v>362</v>
      </c>
      <c r="V63" s="9943"/>
      <c r="W63" s="9944"/>
      <c r="X63" s="235"/>
      <c r="Y63" s="239"/>
      <c r="Z63" s="28"/>
      <c r="AA63" s="28"/>
      <c r="AB63" s="368"/>
      <c r="AC63" s="368"/>
      <c r="AD63" s="146"/>
      <c r="AE63" s="8"/>
      <c r="AF63" s="8"/>
      <c r="AG63" s="8"/>
    </row>
    <row r="64" spans="1:33" ht="16.5" customHeight="1">
      <c r="A64" s="8"/>
      <c r="B64" s="8"/>
      <c r="C64" s="143"/>
      <c r="D64" s="143"/>
      <c r="E64" s="143"/>
      <c r="F64" s="143"/>
      <c r="G64" s="143"/>
      <c r="H64" s="143"/>
      <c r="I64" s="143"/>
      <c r="J64" s="143"/>
      <c r="K64" s="143"/>
      <c r="L64" s="241"/>
      <c r="M64" s="242"/>
      <c r="N64" s="101"/>
      <c r="O64" s="242"/>
      <c r="P64" s="143"/>
      <c r="Q64" s="143"/>
      <c r="R64" s="143"/>
      <c r="S64" s="210"/>
      <c r="T64" s="210"/>
      <c r="U64" s="4826" t="s">
        <v>363</v>
      </c>
      <c r="V64" s="555"/>
      <c r="W64" s="750">
        <v>0</v>
      </c>
      <c r="X64" s="235"/>
      <c r="Y64" s="239"/>
      <c r="Z64" s="28"/>
      <c r="AA64" s="28"/>
      <c r="AB64" s="368"/>
      <c r="AC64" s="368"/>
      <c r="AD64" s="146"/>
      <c r="AE64" s="8"/>
      <c r="AF64" s="8"/>
      <c r="AG64" s="8"/>
    </row>
    <row r="65" spans="1:33" ht="16.5" customHeight="1">
      <c r="A65" s="8"/>
      <c r="B65" s="8"/>
      <c r="C65" s="143"/>
      <c r="D65" s="143"/>
      <c r="E65" s="143"/>
      <c r="F65" s="143"/>
      <c r="G65" s="143"/>
      <c r="H65" s="143"/>
      <c r="I65" s="143"/>
      <c r="J65" s="143"/>
      <c r="K65" s="143"/>
      <c r="L65" s="241"/>
      <c r="M65" s="242"/>
      <c r="N65" s="101"/>
      <c r="O65" s="242"/>
      <c r="P65" s="143"/>
      <c r="Q65" s="143"/>
      <c r="R65" s="143"/>
      <c r="S65" s="210"/>
      <c r="T65" s="210"/>
      <c r="U65" s="4827" t="s">
        <v>364</v>
      </c>
      <c r="V65" s="556"/>
      <c r="W65" s="751">
        <f>+Z51+Z53</f>
        <v>31385.72</v>
      </c>
      <c r="X65" s="235"/>
      <c r="Y65" s="239"/>
      <c r="Z65" s="28"/>
      <c r="AA65" s="28"/>
      <c r="AB65" s="368"/>
      <c r="AC65" s="368"/>
      <c r="AD65" s="146"/>
      <c r="AE65" s="8"/>
      <c r="AF65" s="8"/>
      <c r="AG65" s="8"/>
    </row>
    <row r="66" spans="1:33" ht="16.5" customHeight="1">
      <c r="A66" s="8"/>
      <c r="B66" s="8"/>
      <c r="C66" s="143"/>
      <c r="D66" s="143"/>
      <c r="E66" s="143"/>
      <c r="F66" s="143"/>
      <c r="G66" s="143"/>
      <c r="H66" s="143"/>
      <c r="I66" s="143"/>
      <c r="J66" s="143"/>
      <c r="K66" s="143"/>
      <c r="L66" s="241"/>
      <c r="M66" s="242"/>
      <c r="N66" s="101"/>
      <c r="O66" s="242"/>
      <c r="P66" s="143"/>
      <c r="Q66" s="143"/>
      <c r="R66" s="143"/>
      <c r="S66" s="210"/>
      <c r="T66" s="210"/>
      <c r="U66" s="4827" t="s">
        <v>365</v>
      </c>
      <c r="V66" s="556"/>
      <c r="W66" s="751">
        <v>0</v>
      </c>
      <c r="X66" s="235"/>
      <c r="Y66" s="2071"/>
      <c r="Z66" s="28"/>
      <c r="AA66" s="28"/>
      <c r="AB66" s="368"/>
      <c r="AC66" s="368"/>
      <c r="AD66" s="146"/>
      <c r="AE66" s="8"/>
      <c r="AF66" s="8"/>
      <c r="AG66" s="8"/>
    </row>
    <row r="67" spans="1:33" ht="16.5" customHeight="1">
      <c r="A67" s="8"/>
      <c r="B67" s="8"/>
      <c r="C67" s="143"/>
      <c r="D67" s="143"/>
      <c r="E67" s="143"/>
      <c r="F67" s="143"/>
      <c r="G67" s="143"/>
      <c r="H67" s="143"/>
      <c r="I67" s="143"/>
      <c r="J67" s="143"/>
      <c r="K67" s="143"/>
      <c r="L67" s="241"/>
      <c r="M67" s="242"/>
      <c r="N67" s="101"/>
      <c r="O67" s="242"/>
      <c r="P67" s="143"/>
      <c r="Q67" s="143"/>
      <c r="R67" s="143"/>
      <c r="S67" s="210"/>
      <c r="T67" s="210"/>
      <c r="U67" s="4827" t="s">
        <v>366</v>
      </c>
      <c r="V67" s="556"/>
      <c r="W67" s="751">
        <v>0</v>
      </c>
      <c r="X67" s="235"/>
      <c r="Y67" s="238"/>
      <c r="Z67" s="28"/>
      <c r="AA67" s="28"/>
      <c r="AB67" s="368"/>
      <c r="AC67" s="368"/>
      <c r="AD67" s="146"/>
      <c r="AE67" s="8"/>
      <c r="AF67" s="8"/>
      <c r="AG67" s="8"/>
    </row>
    <row r="68" spans="1:33" ht="16.5" customHeight="1">
      <c r="A68" s="8"/>
      <c r="B68" s="8"/>
      <c r="C68" s="143"/>
      <c r="D68" s="143"/>
      <c r="E68" s="143"/>
      <c r="F68" s="143"/>
      <c r="G68" s="143"/>
      <c r="H68" s="143"/>
      <c r="I68" s="143"/>
      <c r="J68" s="143"/>
      <c r="K68" s="143"/>
      <c r="L68" s="241"/>
      <c r="M68" s="242"/>
      <c r="N68" s="101"/>
      <c r="O68" s="242"/>
      <c r="P68" s="143"/>
      <c r="Q68" s="143"/>
      <c r="R68" s="143"/>
      <c r="S68" s="210"/>
      <c r="T68" s="210"/>
      <c r="U68" s="4827" t="s">
        <v>367</v>
      </c>
      <c r="V68" s="556"/>
      <c r="W68" s="751">
        <v>0</v>
      </c>
      <c r="X68" s="235"/>
      <c r="Y68" s="2072"/>
      <c r="Z68" s="2067"/>
      <c r="AC68"/>
      <c r="AD68"/>
      <c r="AE68" s="8"/>
      <c r="AF68" s="8"/>
      <c r="AG68" s="8"/>
    </row>
    <row r="69" spans="1:33" ht="16.5" customHeight="1">
      <c r="A69" s="8"/>
      <c r="B69" s="8"/>
      <c r="C69" s="143"/>
      <c r="D69" s="143"/>
      <c r="E69" s="143"/>
      <c r="F69" s="143"/>
      <c r="G69" s="143"/>
      <c r="H69" s="143"/>
      <c r="I69" s="143"/>
      <c r="J69" s="143"/>
      <c r="K69" s="143"/>
      <c r="L69" s="241"/>
      <c r="M69" s="242"/>
      <c r="N69" s="101"/>
      <c r="O69" s="242"/>
      <c r="P69" s="143"/>
      <c r="Q69" s="143"/>
      <c r="R69" s="143"/>
      <c r="S69" s="210"/>
      <c r="T69" s="210"/>
      <c r="U69" s="4827" t="s">
        <v>368</v>
      </c>
      <c r="V69" s="556"/>
      <c r="W69" s="751">
        <v>0</v>
      </c>
      <c r="X69" s="235"/>
      <c r="Y69" s="2072"/>
      <c r="Z69" s="2067"/>
      <c r="AA69" s="2067"/>
      <c r="AB69" s="2066"/>
      <c r="AC69" s="2066"/>
      <c r="AD69" s="2067"/>
      <c r="AE69" s="8"/>
      <c r="AF69" s="8"/>
      <c r="AG69" s="8"/>
    </row>
    <row r="70" spans="1:33" ht="16.5" customHeight="1">
      <c r="A70" s="8"/>
      <c r="B70" s="8"/>
      <c r="C70" s="143"/>
      <c r="D70" s="143"/>
      <c r="E70" s="143"/>
      <c r="F70" s="143"/>
      <c r="G70" s="143"/>
      <c r="H70" s="143"/>
      <c r="I70" s="143"/>
      <c r="J70" s="143"/>
      <c r="K70" s="143"/>
      <c r="L70" s="241"/>
      <c r="M70" s="242"/>
      <c r="N70" s="101"/>
      <c r="O70" s="242"/>
      <c r="P70" s="143"/>
      <c r="Q70" s="143"/>
      <c r="R70" s="143"/>
      <c r="S70" s="210"/>
      <c r="T70" s="210"/>
      <c r="U70" s="4827" t="s">
        <v>369</v>
      </c>
      <c r="V70" s="556"/>
      <c r="W70" s="751">
        <f>+Z52</f>
        <v>313.60000000000002</v>
      </c>
      <c r="X70" s="235"/>
      <c r="Y70" s="2072"/>
      <c r="Z70" s="2073"/>
      <c r="AA70" s="85"/>
      <c r="AB70" s="2068"/>
      <c r="AC70" s="2068"/>
      <c r="AD70" s="2069"/>
      <c r="AE70" s="8"/>
      <c r="AF70" s="8"/>
      <c r="AG70" s="8"/>
    </row>
    <row r="71" spans="1:33" ht="16.5" customHeight="1">
      <c r="A71" s="8"/>
      <c r="B71" s="8"/>
      <c r="C71" s="143"/>
      <c r="D71" s="143"/>
      <c r="E71" s="143"/>
      <c r="F71" s="143"/>
      <c r="G71" s="143"/>
      <c r="H71" s="143"/>
      <c r="I71" s="143"/>
      <c r="J71" s="143"/>
      <c r="K71" s="143"/>
      <c r="L71" s="241"/>
      <c r="M71" s="242"/>
      <c r="N71" s="101"/>
      <c r="O71" s="242"/>
      <c r="P71" s="143"/>
      <c r="Q71" s="143"/>
      <c r="R71" s="143"/>
      <c r="S71" s="210"/>
      <c r="T71" s="210"/>
      <c r="U71" s="4827" t="s">
        <v>370</v>
      </c>
      <c r="V71" s="556"/>
      <c r="W71" s="752">
        <v>0</v>
      </c>
      <c r="X71" s="235"/>
      <c r="Y71" s="2074"/>
      <c r="Z71" s="2075"/>
      <c r="AA71" s="2075"/>
      <c r="AB71" s="2070"/>
      <c r="AC71" s="2070"/>
      <c r="AD71" s="146"/>
      <c r="AE71" s="8"/>
      <c r="AF71" s="8"/>
      <c r="AG71" s="8"/>
    </row>
    <row r="72" spans="1:33" ht="15.75" customHeight="1">
      <c r="U72" s="4652" t="s">
        <v>67</v>
      </c>
      <c r="V72" s="557"/>
      <c r="W72" s="754">
        <f>SUM(W64:W71)</f>
        <v>31699.32</v>
      </c>
      <c r="X72" s="235"/>
      <c r="Y72" s="2071"/>
      <c r="Z72" s="28"/>
      <c r="AA72" s="28"/>
      <c r="AB72" s="368"/>
      <c r="AC72" s="368"/>
      <c r="AD72" s="146"/>
    </row>
    <row r="73" spans="1:33" ht="15.75" customHeight="1">
      <c r="AB73" s="365"/>
      <c r="AD73"/>
    </row>
    <row r="74" spans="1:33" ht="15.75" customHeight="1">
      <c r="AB74" s="365"/>
      <c r="AD74"/>
    </row>
  </sheetData>
  <mergeCells count="153">
    <mergeCell ref="U57:W57"/>
    <mergeCell ref="U63:W63"/>
    <mergeCell ref="A1:AH1"/>
    <mergeCell ref="A2:AH2"/>
    <mergeCell ref="A3:AH3"/>
    <mergeCell ref="A4:AH4"/>
    <mergeCell ref="A7:B9"/>
    <mergeCell ref="C7:D7"/>
    <mergeCell ref="E7:I7"/>
    <mergeCell ref="G8:G9"/>
    <mergeCell ref="H8:H9"/>
    <mergeCell ref="I8:I9"/>
    <mergeCell ref="J8:J9"/>
    <mergeCell ref="M8:O8"/>
    <mergeCell ref="P8:P9"/>
    <mergeCell ref="Q8:Q9"/>
    <mergeCell ref="R8:R9"/>
    <mergeCell ref="E8:E9"/>
    <mergeCell ref="F8:F9"/>
    <mergeCell ref="C8:C9"/>
    <mergeCell ref="D8:D9"/>
    <mergeCell ref="Z8:AD8"/>
    <mergeCell ref="AH10:AH14"/>
    <mergeCell ref="J7:R7"/>
    <mergeCell ref="AH35:AH39"/>
    <mergeCell ref="AH40:AH44"/>
    <mergeCell ref="S45:Z45"/>
    <mergeCell ref="AE45:AH45"/>
    <mergeCell ref="S46:AH46"/>
    <mergeCell ref="U48:Z48"/>
    <mergeCell ref="O15:O19"/>
    <mergeCell ref="L15:L19"/>
    <mergeCell ref="M15:M19"/>
    <mergeCell ref="O25:O29"/>
    <mergeCell ref="Q20:Q24"/>
    <mergeCell ref="R20:R24"/>
    <mergeCell ref="O20:O24"/>
    <mergeCell ref="P20:P24"/>
    <mergeCell ref="P25:P29"/>
    <mergeCell ref="AH15:AH19"/>
    <mergeCell ref="P15:P19"/>
    <mergeCell ref="Q15:Q19"/>
    <mergeCell ref="R15:R19"/>
    <mergeCell ref="AH20:AH24"/>
    <mergeCell ref="AH25:AH29"/>
    <mergeCell ref="AH30:AH34"/>
    <mergeCell ref="Q25:Q29"/>
    <mergeCell ref="R25:R29"/>
    <mergeCell ref="S7:AH7"/>
    <mergeCell ref="S8:Y8"/>
    <mergeCell ref="AE8:AG8"/>
    <mergeCell ref="AH8:AH9"/>
    <mergeCell ref="K8:K9"/>
    <mergeCell ref="L8:L9"/>
    <mergeCell ref="R10:R14"/>
    <mergeCell ref="Q10:Q14"/>
    <mergeCell ref="K10:K14"/>
    <mergeCell ref="L10:L14"/>
    <mergeCell ref="M10:M14"/>
    <mergeCell ref="N10:N14"/>
    <mergeCell ref="O10:O14"/>
    <mergeCell ref="P10:P14"/>
    <mergeCell ref="F20:F24"/>
    <mergeCell ref="G20:G24"/>
    <mergeCell ref="H20:H24"/>
    <mergeCell ref="I20:I24"/>
    <mergeCell ref="F25:F29"/>
    <mergeCell ref="G25:G29"/>
    <mergeCell ref="H25:H29"/>
    <mergeCell ref="I25:I29"/>
    <mergeCell ref="N15:N19"/>
    <mergeCell ref="L25:L29"/>
    <mergeCell ref="M25:M29"/>
    <mergeCell ref="N25:N29"/>
    <mergeCell ref="L20:L24"/>
    <mergeCell ref="M20:M24"/>
    <mergeCell ref="N20:N24"/>
    <mergeCell ref="F35:F39"/>
    <mergeCell ref="G35:G39"/>
    <mergeCell ref="H35:H39"/>
    <mergeCell ref="I35:I39"/>
    <mergeCell ref="J35:J39"/>
    <mergeCell ref="K35:K39"/>
    <mergeCell ref="E10:E14"/>
    <mergeCell ref="F10:F14"/>
    <mergeCell ref="G10:G14"/>
    <mergeCell ref="H10:H14"/>
    <mergeCell ref="I10:I14"/>
    <mergeCell ref="J20:J24"/>
    <mergeCell ref="J10:J14"/>
    <mergeCell ref="J25:J29"/>
    <mergeCell ref="K25:K29"/>
    <mergeCell ref="K20:K24"/>
    <mergeCell ref="E15:E19"/>
    <mergeCell ref="F15:F19"/>
    <mergeCell ref="G15:G19"/>
    <mergeCell ref="H15:H19"/>
    <mergeCell ref="I15:I19"/>
    <mergeCell ref="J15:J19"/>
    <mergeCell ref="K15:K19"/>
    <mergeCell ref="F30:F34"/>
    <mergeCell ref="A10:B44"/>
    <mergeCell ref="C10:C14"/>
    <mergeCell ref="D10:D14"/>
    <mergeCell ref="C15:C19"/>
    <mergeCell ref="D15:D19"/>
    <mergeCell ref="C40:C44"/>
    <mergeCell ref="D40:D44"/>
    <mergeCell ref="E40:E44"/>
    <mergeCell ref="C25:C29"/>
    <mergeCell ref="D25:D29"/>
    <mergeCell ref="E25:E29"/>
    <mergeCell ref="C35:C39"/>
    <mergeCell ref="D35:D39"/>
    <mergeCell ref="E35:E39"/>
    <mergeCell ref="C30:C34"/>
    <mergeCell ref="D30:D34"/>
    <mergeCell ref="E30:E34"/>
    <mergeCell ref="C20:C24"/>
    <mergeCell ref="D20:D24"/>
    <mergeCell ref="E20:E24"/>
    <mergeCell ref="F40:F44"/>
    <mergeCell ref="G40:G44"/>
    <mergeCell ref="H40:H44"/>
    <mergeCell ref="I40:I44"/>
    <mergeCell ref="Q40:Q44"/>
    <mergeCell ref="R40:R44"/>
    <mergeCell ref="J40:J44"/>
    <mergeCell ref="K40:K44"/>
    <mergeCell ref="L40:L44"/>
    <mergeCell ref="M40:M44"/>
    <mergeCell ref="N40:N44"/>
    <mergeCell ref="O40:O44"/>
    <mergeCell ref="P40:P44"/>
    <mergeCell ref="G30:G34"/>
    <mergeCell ref="H30:H34"/>
    <mergeCell ref="I30:I34"/>
    <mergeCell ref="Q30:Q34"/>
    <mergeCell ref="R30:R34"/>
    <mergeCell ref="L35:L39"/>
    <mergeCell ref="M35:M39"/>
    <mergeCell ref="N35:N39"/>
    <mergeCell ref="O35:O39"/>
    <mergeCell ref="P35:P39"/>
    <mergeCell ref="Q35:Q39"/>
    <mergeCell ref="R35:R39"/>
    <mergeCell ref="J30:J34"/>
    <mergeCell ref="K30:K34"/>
    <mergeCell ref="L30:L34"/>
    <mergeCell ref="M30:M34"/>
    <mergeCell ref="N30:N34"/>
    <mergeCell ref="O30:O34"/>
    <mergeCell ref="P30:P34"/>
  </mergeCells>
  <dataValidations count="3">
    <dataValidation type="list" allowBlank="1" showErrorMessage="1" sqref="F10 F15 F20 F25 F30 F35 F40" xr:uid="{00000000-0002-0000-0C00-000000000000}">
      <formula1>INDIRECT($E10)</formula1>
    </dataValidation>
    <dataValidation type="list" allowBlank="1" showErrorMessage="1" sqref="E10 E15 E20 E25 E30 E35 E40" xr:uid="{00000000-0002-0000-0C00-000001000000}">
      <formula1>INDIRECT($G10)</formula1>
    </dataValidation>
    <dataValidation type="decimal" allowBlank="1" showInputMessage="1" showErrorMessage="1" prompt="DPLAN - Sólo debe ingresar valores, NO porcentajes." sqref="M10:O10 M15:O15 M20:O20 M25:O25 M30:O30 M35:O35 M40:O40" xr:uid="{00000000-0002-0000-0C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&amp;LVicerrectorado Académico&amp;C&amp;P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C00-000003000000}">
          <x14:formula1>
            <xm:f>'https://utmachalaeduec-my.sharepoint.com/personal/planificacion_utmachala_edu_ec/Documents/Gestión 2023/G.06 EMISION DE INSUMOS PARA ELAB. DE LA PROF, PRESUPUESTARIA Y SUS REFORMAS/REFORMA N° 002-2023/[PND]PND'!#REF!</xm:f>
          </x14:formula1>
          <xm:sqref>C10:D10 C15:D15 C20:D20 C25:D25 C30:D30 C35:D35 C40:D40</xm:sqref>
        </x14:dataValidation>
        <x14:dataValidation type="list" allowBlank="1" showErrorMessage="1" xr:uid="{00000000-0002-0000-0C00-000004000000}">
          <x14:formula1>
            <xm:f>('https://utmachalaeduec-my.sharepoint.com/personal/planificacion_utmachala_edu_ec/Documents/Gestión 2023/G.06 EMISION DE INSUMOS PARA ELAB. DE LA PROF, PRESUPUESTARIA Y SUS REFORMAS/REFORMA N° 002-2023/[PEDI]PEDI'!#REF!)</xm:f>
          </x14:formula1>
          <xm:sqref>H10 H15 H20 H25 H30 H35 H40</xm:sqref>
        </x14:dataValidation>
        <x14:dataValidation type="list" allowBlank="1" showErrorMessage="1" xr:uid="{00000000-0002-0000-0C00-000005000000}">
          <x14:formula1>
            <xm:f>'https://utmachalaeduec-my.sharepoint.com/personal/planificacion_utmachala_edu_ec/Documents/Gestión 2023/G.06 EMISION DE INSUMOS PARA ELAB. DE LA PROF, PRESUPUESTARIA Y SUS REFORMAS/REFORMA N° 002-2023/[PEDI]PEDI'!#REF!</xm:f>
          </x14:formula1>
          <xm:sqref>G10 G15 G20 G25 G30 G35 G40</xm:sqref>
        </x14:dataValidation>
        <x14:dataValidation type="list" allowBlank="1" showErrorMessage="1" xr:uid="{00000000-0002-0000-0C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I10 I15 I20 I25 I30 I35 I40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36C09"/>
  </sheetPr>
  <dimension ref="A1:AH151"/>
  <sheetViews>
    <sheetView showGridLines="0" topLeftCell="AC128" zoomScaleNormal="100" workbookViewId="0">
      <selection activeCell="AC128" sqref="AC128"/>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0.42578125"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2240</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ht="16.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2"/>
    </row>
    <row r="6" spans="1:34" ht="24.75" customHeight="1">
      <c r="A6" s="9002" t="s">
        <v>89</v>
      </c>
      <c r="B6" s="9641"/>
      <c r="C6" s="9735" t="s">
        <v>90</v>
      </c>
      <c r="D6" s="9814"/>
      <c r="E6" s="9010" t="s">
        <v>91</v>
      </c>
      <c r="F6" s="9357"/>
      <c r="G6" s="9357"/>
      <c r="H6" s="9357"/>
      <c r="I6" s="9357"/>
      <c r="J6" s="8988" t="s">
        <v>92</v>
      </c>
      <c r="K6" s="9343"/>
      <c r="L6" s="9343"/>
      <c r="M6" s="9343"/>
      <c r="N6" s="9343"/>
      <c r="O6" s="9343"/>
      <c r="P6" s="9343"/>
      <c r="Q6" s="9343"/>
      <c r="R6" s="9344"/>
      <c r="S6" s="9976" t="s">
        <v>93</v>
      </c>
      <c r="T6" s="9977"/>
      <c r="U6" s="9977"/>
      <c r="V6" s="9977"/>
      <c r="W6" s="9977"/>
      <c r="X6" s="9977"/>
      <c r="Y6" s="9977"/>
      <c r="Z6" s="9977"/>
      <c r="AA6" s="9977"/>
      <c r="AB6" s="9977"/>
      <c r="AC6" s="9977"/>
      <c r="AD6" s="9977"/>
      <c r="AE6" s="9977"/>
      <c r="AF6" s="9977"/>
      <c r="AG6" s="9977"/>
      <c r="AH6" s="9978"/>
    </row>
    <row r="7" spans="1:34" ht="39.75" customHeight="1">
      <c r="A7" s="9352"/>
      <c r="B7" s="9642"/>
      <c r="C7" s="9663" t="s">
        <v>94</v>
      </c>
      <c r="D7" s="9665"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019" t="s">
        <v>107</v>
      </c>
      <c r="S7" s="8994" t="s">
        <v>108</v>
      </c>
      <c r="T7" s="9979"/>
      <c r="U7" s="9979"/>
      <c r="V7" s="9979"/>
      <c r="W7" s="9979"/>
      <c r="X7" s="9979"/>
      <c r="Y7" s="9980"/>
      <c r="Z7" s="9981" t="s">
        <v>109</v>
      </c>
      <c r="AA7" s="8997"/>
      <c r="AB7" s="8997"/>
      <c r="AC7" s="8997"/>
      <c r="AD7" s="9983"/>
      <c r="AE7" s="9981" t="s">
        <v>110</v>
      </c>
      <c r="AF7" s="9979"/>
      <c r="AG7" s="9980"/>
      <c r="AH7" s="9982" t="s">
        <v>111</v>
      </c>
    </row>
    <row r="8" spans="1:34" ht="51.75" customHeight="1">
      <c r="A8" s="9643"/>
      <c r="B8" s="9644"/>
      <c r="C8" s="9817"/>
      <c r="D8" s="9818"/>
      <c r="E8" s="9358"/>
      <c r="F8" s="9358"/>
      <c r="G8" s="9358"/>
      <c r="H8" s="9358"/>
      <c r="I8" s="9358"/>
      <c r="J8" s="9359"/>
      <c r="K8" s="9360"/>
      <c r="L8" s="9360"/>
      <c r="M8" s="5086" t="s">
        <v>112</v>
      </c>
      <c r="N8" s="5086" t="s">
        <v>113</v>
      </c>
      <c r="O8" s="5086" t="s">
        <v>114</v>
      </c>
      <c r="P8" s="9360"/>
      <c r="Q8" s="9360"/>
      <c r="R8" s="9362"/>
      <c r="S8" s="5087" t="s">
        <v>115</v>
      </c>
      <c r="T8" s="5088" t="s">
        <v>116</v>
      </c>
      <c r="U8" s="5089" t="s">
        <v>117</v>
      </c>
      <c r="V8" s="5088" t="s">
        <v>118</v>
      </c>
      <c r="W8" s="5088" t="s">
        <v>119</v>
      </c>
      <c r="X8" s="5088" t="s">
        <v>372</v>
      </c>
      <c r="Y8" s="5090" t="s">
        <v>121</v>
      </c>
      <c r="Z8" s="5088" t="s">
        <v>122</v>
      </c>
      <c r="AA8" s="5088" t="s">
        <v>123</v>
      </c>
      <c r="AB8" s="5088" t="s">
        <v>124</v>
      </c>
      <c r="AC8" s="5090" t="s">
        <v>125</v>
      </c>
      <c r="AD8" s="5090" t="s">
        <v>1100</v>
      </c>
      <c r="AE8" s="5088" t="s">
        <v>112</v>
      </c>
      <c r="AF8" s="5088" t="s">
        <v>113</v>
      </c>
      <c r="AG8" s="5088" t="s">
        <v>114</v>
      </c>
      <c r="AH8" s="9349"/>
    </row>
    <row r="9" spans="1:34" ht="33.75" customHeight="1">
      <c r="A9" s="9599" t="s">
        <v>2240</v>
      </c>
      <c r="B9" s="9246" t="s">
        <v>2240</v>
      </c>
      <c r="C9" s="9125" t="s">
        <v>183</v>
      </c>
      <c r="D9" s="8834" t="s">
        <v>227</v>
      </c>
      <c r="E9" s="8834" t="s">
        <v>490</v>
      </c>
      <c r="F9" s="8834" t="s">
        <v>2210</v>
      </c>
      <c r="G9" s="8974" t="s">
        <v>230</v>
      </c>
      <c r="H9" s="8834" t="s">
        <v>231</v>
      </c>
      <c r="I9" s="8834" t="s">
        <v>189</v>
      </c>
      <c r="J9" s="9693" t="s">
        <v>2241</v>
      </c>
      <c r="K9" s="8834" t="s">
        <v>2242</v>
      </c>
      <c r="L9" s="8834" t="s">
        <v>2243</v>
      </c>
      <c r="M9" s="8856">
        <v>0</v>
      </c>
      <c r="N9" s="9169">
        <v>0</v>
      </c>
      <c r="O9" s="8856">
        <v>1</v>
      </c>
      <c r="P9" s="8834" t="s">
        <v>2244</v>
      </c>
      <c r="Q9" s="8834" t="s">
        <v>2245</v>
      </c>
      <c r="R9" s="8982" t="s">
        <v>2246</v>
      </c>
      <c r="S9" s="621"/>
      <c r="T9" s="6941"/>
      <c r="U9" s="6941"/>
      <c r="V9" s="940"/>
      <c r="W9" s="4863"/>
      <c r="X9" s="794"/>
      <c r="Y9" s="4900"/>
      <c r="Z9" s="4900"/>
      <c r="AA9" s="4900"/>
      <c r="AB9" s="4906"/>
      <c r="AC9" s="795"/>
      <c r="AD9" s="1009"/>
      <c r="AE9" s="794"/>
      <c r="AF9" s="73"/>
      <c r="AG9" s="73"/>
      <c r="AH9" s="8987" t="s">
        <v>2247</v>
      </c>
    </row>
    <row r="10" spans="1:34" ht="36.75" customHeight="1">
      <c r="A10" s="9392"/>
      <c r="B10" s="9398"/>
      <c r="C10" s="9954"/>
      <c r="D10" s="9946"/>
      <c r="E10" s="9946"/>
      <c r="F10" s="9946"/>
      <c r="G10" s="9946"/>
      <c r="H10" s="9946"/>
      <c r="I10" s="9946"/>
      <c r="J10" s="9975"/>
      <c r="K10" s="9946"/>
      <c r="L10" s="9946"/>
      <c r="M10" s="9313"/>
      <c r="N10" s="9313"/>
      <c r="O10" s="9313"/>
      <c r="P10" s="9311"/>
      <c r="Q10" s="9311"/>
      <c r="R10" s="9315"/>
      <c r="S10" s="622"/>
      <c r="T10" s="6942"/>
      <c r="U10" s="6943"/>
      <c r="V10" s="798"/>
      <c r="W10" s="4862"/>
      <c r="X10" s="799"/>
      <c r="Y10" s="4900"/>
      <c r="Z10" s="4898"/>
      <c r="AA10" s="4898"/>
      <c r="AB10" s="4899"/>
      <c r="AC10" s="1319"/>
      <c r="AD10" s="1320"/>
      <c r="AE10" s="799"/>
      <c r="AF10" s="51"/>
      <c r="AG10" s="51"/>
      <c r="AH10" s="8785"/>
    </row>
    <row r="11" spans="1:34" ht="18" customHeight="1">
      <c r="A11" s="9392"/>
      <c r="B11" s="9398"/>
      <c r="C11" s="9954"/>
      <c r="D11" s="9946"/>
      <c r="E11" s="9946"/>
      <c r="F11" s="9946"/>
      <c r="G11" s="9946"/>
      <c r="H11" s="9946"/>
      <c r="I11" s="9946"/>
      <c r="J11" s="9975"/>
      <c r="K11" s="9946"/>
      <c r="L11" s="9946"/>
      <c r="M11" s="9313"/>
      <c r="N11" s="9313"/>
      <c r="O11" s="9313"/>
      <c r="P11" s="9311"/>
      <c r="Q11" s="9311"/>
      <c r="R11" s="9315"/>
      <c r="S11" s="623"/>
      <c r="T11" s="6943"/>
      <c r="U11" s="6943"/>
      <c r="V11" s="1015"/>
      <c r="W11" s="4863"/>
      <c r="X11" s="794"/>
      <c r="Y11" s="4900"/>
      <c r="Z11" s="4898"/>
      <c r="AA11" s="4898"/>
      <c r="AB11" s="4899"/>
      <c r="AC11" s="1319"/>
      <c r="AD11" s="1012"/>
      <c r="AE11" s="799"/>
      <c r="AF11" s="51"/>
      <c r="AG11" s="51"/>
      <c r="AH11" s="8785"/>
    </row>
    <row r="12" spans="1:34" ht="18" customHeight="1">
      <c r="A12" s="9392"/>
      <c r="B12" s="9398"/>
      <c r="C12" s="9954"/>
      <c r="D12" s="9946"/>
      <c r="E12" s="9946"/>
      <c r="F12" s="9946"/>
      <c r="G12" s="9946"/>
      <c r="H12" s="9946"/>
      <c r="I12" s="9946"/>
      <c r="J12" s="9975"/>
      <c r="K12" s="9946"/>
      <c r="L12" s="9946"/>
      <c r="M12" s="9313"/>
      <c r="N12" s="9313"/>
      <c r="O12" s="9313"/>
      <c r="P12" s="9311"/>
      <c r="Q12" s="9311"/>
      <c r="R12" s="9315"/>
      <c r="S12" s="623"/>
      <c r="T12" s="6943"/>
      <c r="U12" s="6943"/>
      <c r="V12" s="1015"/>
      <c r="W12" s="4863"/>
      <c r="X12" s="794"/>
      <c r="Y12" s="4900"/>
      <c r="Z12" s="4898"/>
      <c r="AA12" s="4898"/>
      <c r="AB12" s="4899"/>
      <c r="AC12" s="1319"/>
      <c r="AD12" s="1012"/>
      <c r="AE12" s="799"/>
      <c r="AF12" s="51"/>
      <c r="AG12" s="51"/>
      <c r="AH12" s="8785"/>
    </row>
    <row r="13" spans="1:34" ht="18" customHeight="1">
      <c r="A13" s="9392"/>
      <c r="B13" s="9398"/>
      <c r="C13" s="9955"/>
      <c r="D13" s="9947"/>
      <c r="E13" s="9947"/>
      <c r="F13" s="9947"/>
      <c r="G13" s="9947"/>
      <c r="H13" s="9947"/>
      <c r="I13" s="9947"/>
      <c r="J13" s="9957"/>
      <c r="K13" s="9947"/>
      <c r="L13" s="9947"/>
      <c r="M13" s="9314"/>
      <c r="N13" s="9314"/>
      <c r="O13" s="9314"/>
      <c r="P13" s="9312"/>
      <c r="Q13" s="9312"/>
      <c r="R13" s="9316"/>
      <c r="S13" s="624"/>
      <c r="T13" s="6944"/>
      <c r="U13" s="6944"/>
      <c r="V13" s="1031"/>
      <c r="W13" s="4868"/>
      <c r="X13" s="1023"/>
      <c r="Y13" s="4909"/>
      <c r="Z13" s="4909"/>
      <c r="AA13" s="4909"/>
      <c r="AB13" s="4905"/>
      <c r="AC13" s="1321"/>
      <c r="AD13" s="1022"/>
      <c r="AE13" s="1023"/>
      <c r="AF13" s="65"/>
      <c r="AG13" s="65"/>
      <c r="AH13" s="8794"/>
    </row>
    <row r="14" spans="1:34" ht="33.75" customHeight="1">
      <c r="A14" s="9392"/>
      <c r="B14" s="9398"/>
      <c r="C14" s="9125" t="s">
        <v>183</v>
      </c>
      <c r="D14" s="8834" t="s">
        <v>227</v>
      </c>
      <c r="E14" s="8834" t="s">
        <v>490</v>
      </c>
      <c r="F14" s="8834" t="s">
        <v>2210</v>
      </c>
      <c r="G14" s="8974" t="s">
        <v>230</v>
      </c>
      <c r="H14" s="8834" t="s">
        <v>231</v>
      </c>
      <c r="I14" s="8834" t="s">
        <v>189</v>
      </c>
      <c r="J14" s="8782" t="s">
        <v>2248</v>
      </c>
      <c r="K14" s="8782" t="s">
        <v>2249</v>
      </c>
      <c r="L14" s="8834" t="s">
        <v>2250</v>
      </c>
      <c r="M14" s="8838">
        <v>0.05</v>
      </c>
      <c r="N14" s="9459">
        <v>0</v>
      </c>
      <c r="O14" s="8838">
        <v>0.05</v>
      </c>
      <c r="P14" s="8834" t="s">
        <v>2251</v>
      </c>
      <c r="Q14" s="8834" t="s">
        <v>2252</v>
      </c>
      <c r="R14" s="8957" t="s">
        <v>2253</v>
      </c>
      <c r="S14" s="625" t="s">
        <v>15</v>
      </c>
      <c r="T14" s="6945">
        <v>840107</v>
      </c>
      <c r="U14" s="6946"/>
      <c r="V14" s="940" t="s">
        <v>2254</v>
      </c>
      <c r="W14" s="4863"/>
      <c r="X14" s="794"/>
      <c r="Y14" s="4900"/>
      <c r="Z14" s="4900"/>
      <c r="AA14" s="4900"/>
      <c r="AB14" s="4906">
        <f>SUM($AA$15:$AA$17)</f>
        <v>0</v>
      </c>
      <c r="AC14" s="1322"/>
      <c r="AD14" s="1009"/>
      <c r="AE14" s="794"/>
      <c r="AF14" s="73"/>
      <c r="AG14" s="73"/>
      <c r="AH14" s="8987" t="s">
        <v>548</v>
      </c>
    </row>
    <row r="15" spans="1:34" ht="18" customHeight="1">
      <c r="A15" s="9392"/>
      <c r="B15" s="9398"/>
      <c r="C15" s="9954"/>
      <c r="D15" s="9946"/>
      <c r="E15" s="9946"/>
      <c r="F15" s="9946"/>
      <c r="G15" s="9946"/>
      <c r="H15" s="9946"/>
      <c r="I15" s="9946"/>
      <c r="J15" s="9946"/>
      <c r="K15" s="9946"/>
      <c r="L15" s="9946"/>
      <c r="M15" s="9313"/>
      <c r="N15" s="9313"/>
      <c r="O15" s="9313"/>
      <c r="P15" s="9311"/>
      <c r="Q15" s="9311"/>
      <c r="R15" s="9315"/>
      <c r="S15" s="622"/>
      <c r="T15" s="6942"/>
      <c r="U15" s="6942">
        <v>4523000381</v>
      </c>
      <c r="V15" s="798" t="s">
        <v>2255</v>
      </c>
      <c r="W15" s="4862">
        <v>2</v>
      </c>
      <c r="X15" s="794" t="s">
        <v>180</v>
      </c>
      <c r="Y15" s="4898">
        <v>0</v>
      </c>
      <c r="Z15" s="4898">
        <f t="shared" ref="Z15:Z16" si="0">+W15*Y15</f>
        <v>0</v>
      </c>
      <c r="AA15" s="4898">
        <f t="shared" ref="AA15:AA16" si="1">+Z15*1.12</f>
        <v>0</v>
      </c>
      <c r="AB15" s="4899"/>
      <c r="AC15" s="1319"/>
      <c r="AD15" s="1012"/>
      <c r="AE15" s="799" t="s">
        <v>153</v>
      </c>
      <c r="AF15" s="51"/>
      <c r="AG15" s="51"/>
      <c r="AH15" s="8785"/>
    </row>
    <row r="16" spans="1:34" ht="18" customHeight="1">
      <c r="A16" s="9392"/>
      <c r="B16" s="9398"/>
      <c r="C16" s="9954"/>
      <c r="D16" s="9946"/>
      <c r="E16" s="9946"/>
      <c r="F16" s="9946"/>
      <c r="G16" s="9946"/>
      <c r="H16" s="9946"/>
      <c r="I16" s="9946"/>
      <c r="J16" s="9946"/>
      <c r="K16" s="9946"/>
      <c r="L16" s="9946"/>
      <c r="M16" s="9313"/>
      <c r="N16" s="9313"/>
      <c r="O16" s="9313"/>
      <c r="P16" s="9311"/>
      <c r="Q16" s="9311"/>
      <c r="R16" s="9315"/>
      <c r="S16" s="623"/>
      <c r="T16" s="6943"/>
      <c r="U16" s="6943">
        <v>452200071</v>
      </c>
      <c r="V16" s="1015" t="s">
        <v>2256</v>
      </c>
      <c r="W16" s="4863">
        <v>2</v>
      </c>
      <c r="X16" s="794" t="s">
        <v>180</v>
      </c>
      <c r="Y16" s="4900">
        <v>0</v>
      </c>
      <c r="Z16" s="4898">
        <f t="shared" si="0"/>
        <v>0</v>
      </c>
      <c r="AA16" s="4898">
        <f t="shared" si="1"/>
        <v>0</v>
      </c>
      <c r="AB16" s="4899"/>
      <c r="AC16" s="1319"/>
      <c r="AD16" s="1012"/>
      <c r="AE16" s="799" t="s">
        <v>153</v>
      </c>
      <c r="AF16" s="51"/>
      <c r="AG16" s="51"/>
      <c r="AH16" s="8785"/>
    </row>
    <row r="17" spans="1:34" ht="18" customHeight="1">
      <c r="A17" s="9392"/>
      <c r="B17" s="9398"/>
      <c r="C17" s="9954"/>
      <c r="D17" s="9946"/>
      <c r="E17" s="9946"/>
      <c r="F17" s="9946"/>
      <c r="G17" s="9946"/>
      <c r="H17" s="9946"/>
      <c r="I17" s="9946"/>
      <c r="J17" s="9946"/>
      <c r="K17" s="9946"/>
      <c r="L17" s="9946"/>
      <c r="M17" s="9313"/>
      <c r="N17" s="9313"/>
      <c r="O17" s="9313"/>
      <c r="P17" s="9311"/>
      <c r="Q17" s="9311"/>
      <c r="R17" s="9315"/>
      <c r="S17" s="626"/>
      <c r="T17" s="6941"/>
      <c r="U17" s="6941"/>
      <c r="V17" s="1015"/>
      <c r="W17" s="4863"/>
      <c r="X17" s="794"/>
      <c r="Y17" s="4900"/>
      <c r="Z17" s="4898"/>
      <c r="AA17" s="4898"/>
      <c r="AB17" s="4899"/>
      <c r="AC17" s="1319"/>
      <c r="AD17" s="1012"/>
      <c r="AE17" s="799"/>
      <c r="AF17" s="51"/>
      <c r="AG17" s="51"/>
      <c r="AH17" s="8785"/>
    </row>
    <row r="18" spans="1:34" ht="28.5" customHeight="1">
      <c r="A18" s="9392"/>
      <c r="B18" s="9398"/>
      <c r="C18" s="9955"/>
      <c r="D18" s="9947"/>
      <c r="E18" s="9947"/>
      <c r="F18" s="9947"/>
      <c r="G18" s="9947"/>
      <c r="H18" s="9947"/>
      <c r="I18" s="9947"/>
      <c r="J18" s="9947"/>
      <c r="K18" s="9947"/>
      <c r="L18" s="9947"/>
      <c r="M18" s="9314"/>
      <c r="N18" s="9314"/>
      <c r="O18" s="9314"/>
      <c r="P18" s="9312"/>
      <c r="Q18" s="9312"/>
      <c r="R18" s="9316"/>
      <c r="S18" s="624"/>
      <c r="T18" s="4855"/>
      <c r="U18" s="4855"/>
      <c r="V18" s="1031"/>
      <c r="W18" s="4868"/>
      <c r="X18" s="1023"/>
      <c r="Y18" s="4909"/>
      <c r="Z18" s="4909"/>
      <c r="AA18" s="4909"/>
      <c r="AB18" s="4905"/>
      <c r="AC18" s="1321"/>
      <c r="AD18" s="1022"/>
      <c r="AE18" s="1023"/>
      <c r="AF18" s="65"/>
      <c r="AG18" s="65"/>
      <c r="AH18" s="8794"/>
    </row>
    <row r="19" spans="1:34" ht="25.5" customHeight="1">
      <c r="A19" s="9392"/>
      <c r="B19" s="9398"/>
      <c r="C19" s="9223" t="s">
        <v>183</v>
      </c>
      <c r="D19" s="8782" t="s">
        <v>227</v>
      </c>
      <c r="E19" s="8782" t="s">
        <v>490</v>
      </c>
      <c r="F19" s="8782" t="s">
        <v>2210</v>
      </c>
      <c r="G19" s="8977" t="s">
        <v>230</v>
      </c>
      <c r="H19" s="8782" t="s">
        <v>231</v>
      </c>
      <c r="I19" s="8782" t="s">
        <v>189</v>
      </c>
      <c r="J19" s="8860" t="s">
        <v>2257</v>
      </c>
      <c r="K19" s="8782" t="s">
        <v>2258</v>
      </c>
      <c r="L19" s="8782" t="s">
        <v>2259</v>
      </c>
      <c r="M19" s="8823">
        <v>0</v>
      </c>
      <c r="N19" s="8823">
        <v>0</v>
      </c>
      <c r="O19" s="8823">
        <v>2</v>
      </c>
      <c r="P19" s="8782" t="s">
        <v>2260</v>
      </c>
      <c r="Q19" s="8782" t="s">
        <v>2261</v>
      </c>
      <c r="R19" s="8957" t="s">
        <v>2246</v>
      </c>
      <c r="S19" s="627"/>
      <c r="T19" s="6947"/>
      <c r="U19" s="4849"/>
      <c r="V19" s="940"/>
      <c r="W19" s="4863"/>
      <c r="X19" s="794"/>
      <c r="Y19" s="4900"/>
      <c r="Z19" s="4900"/>
      <c r="AA19" s="4900"/>
      <c r="AB19" s="4906"/>
      <c r="AC19" s="1322"/>
      <c r="AD19" s="1009"/>
      <c r="AE19" s="794"/>
      <c r="AF19" s="73"/>
      <c r="AG19" s="73"/>
      <c r="AH19" s="9269" t="s">
        <v>2247</v>
      </c>
    </row>
    <row r="20" spans="1:34" ht="25.5" customHeight="1">
      <c r="A20" s="9392"/>
      <c r="B20" s="9398"/>
      <c r="C20" s="9954"/>
      <c r="D20" s="9946"/>
      <c r="E20" s="9946"/>
      <c r="F20" s="9946"/>
      <c r="G20" s="9946"/>
      <c r="H20" s="9946"/>
      <c r="I20" s="9946"/>
      <c r="J20" s="9946"/>
      <c r="K20" s="9946"/>
      <c r="L20" s="9946"/>
      <c r="M20" s="9313"/>
      <c r="N20" s="9313"/>
      <c r="O20" s="9313"/>
      <c r="P20" s="9311"/>
      <c r="Q20" s="9311"/>
      <c r="R20" s="9315"/>
      <c r="S20" s="622"/>
      <c r="T20" s="4853"/>
      <c r="U20" s="4853"/>
      <c r="V20" s="798"/>
      <c r="W20" s="4862"/>
      <c r="X20" s="799"/>
      <c r="Y20" s="4898"/>
      <c r="Z20" s="4898"/>
      <c r="AA20" s="4898"/>
      <c r="AB20" s="4899"/>
      <c r="AC20" s="1319"/>
      <c r="AD20" s="1012"/>
      <c r="AE20" s="799"/>
      <c r="AF20" s="51"/>
      <c r="AG20" s="51"/>
      <c r="AH20" s="8785"/>
    </row>
    <row r="21" spans="1:34" ht="25.5" customHeight="1">
      <c r="A21" s="9392"/>
      <c r="B21" s="9398"/>
      <c r="C21" s="9954"/>
      <c r="D21" s="9946"/>
      <c r="E21" s="9946"/>
      <c r="F21" s="9946"/>
      <c r="G21" s="9946"/>
      <c r="H21" s="9946"/>
      <c r="I21" s="9946"/>
      <c r="J21" s="9946"/>
      <c r="K21" s="9946"/>
      <c r="L21" s="9946"/>
      <c r="M21" s="9313"/>
      <c r="N21" s="9313"/>
      <c r="O21" s="9313"/>
      <c r="P21" s="9311"/>
      <c r="Q21" s="9311"/>
      <c r="R21" s="9315"/>
      <c r="S21" s="623"/>
      <c r="T21" s="4860"/>
      <c r="U21" s="4860"/>
      <c r="V21" s="576"/>
      <c r="W21" s="4872"/>
      <c r="X21" s="53"/>
      <c r="Y21" s="4917"/>
      <c r="Z21" s="4910"/>
      <c r="AA21" s="4910"/>
      <c r="AB21" s="4911"/>
      <c r="AC21" s="632"/>
      <c r="AD21" s="374"/>
      <c r="AE21" s="48"/>
      <c r="AF21" s="51"/>
      <c r="AG21" s="51"/>
      <c r="AH21" s="8785"/>
    </row>
    <row r="22" spans="1:34" ht="25.5" customHeight="1">
      <c r="A22" s="9392"/>
      <c r="B22" s="9398"/>
      <c r="C22" s="9954"/>
      <c r="D22" s="9946"/>
      <c r="E22" s="9946"/>
      <c r="F22" s="9946"/>
      <c r="G22" s="9946"/>
      <c r="H22" s="9946"/>
      <c r="I22" s="9946"/>
      <c r="J22" s="9946"/>
      <c r="K22" s="9946"/>
      <c r="L22" s="9946"/>
      <c r="M22" s="9313"/>
      <c r="N22" s="9313"/>
      <c r="O22" s="9313"/>
      <c r="P22" s="9311"/>
      <c r="Q22" s="9311"/>
      <c r="R22" s="9315"/>
      <c r="S22" s="626"/>
      <c r="T22" s="4849"/>
      <c r="U22" s="4849"/>
      <c r="V22" s="576"/>
      <c r="W22" s="4872"/>
      <c r="X22" s="53"/>
      <c r="Y22" s="4917"/>
      <c r="Z22" s="4910"/>
      <c r="AA22" s="4910"/>
      <c r="AB22" s="4911"/>
      <c r="AC22" s="632"/>
      <c r="AD22" s="374"/>
      <c r="AE22" s="48"/>
      <c r="AF22" s="51"/>
      <c r="AG22" s="51"/>
      <c r="AH22" s="8785"/>
    </row>
    <row r="23" spans="1:34" ht="25.5" customHeight="1">
      <c r="A23" s="9392"/>
      <c r="B23" s="9398"/>
      <c r="C23" s="9955"/>
      <c r="D23" s="9947"/>
      <c r="E23" s="9947"/>
      <c r="F23" s="9947"/>
      <c r="G23" s="9947"/>
      <c r="H23" s="9947"/>
      <c r="I23" s="9947"/>
      <c r="J23" s="9947"/>
      <c r="K23" s="9947"/>
      <c r="L23" s="9947"/>
      <c r="M23" s="9314"/>
      <c r="N23" s="9314"/>
      <c r="O23" s="9314"/>
      <c r="P23" s="9312"/>
      <c r="Q23" s="9312"/>
      <c r="R23" s="9316"/>
      <c r="S23" s="624"/>
      <c r="T23" s="4855"/>
      <c r="U23" s="4855"/>
      <c r="V23" s="577"/>
      <c r="W23" s="4871"/>
      <c r="X23" s="64"/>
      <c r="Y23" s="4914"/>
      <c r="Z23" s="4914"/>
      <c r="AA23" s="4914"/>
      <c r="AB23" s="4916"/>
      <c r="AC23" s="633"/>
      <c r="AD23" s="376"/>
      <c r="AE23" s="64"/>
      <c r="AF23" s="65"/>
      <c r="AG23" s="65"/>
      <c r="AH23" s="8794"/>
    </row>
    <row r="24" spans="1:34" ht="18" customHeight="1">
      <c r="A24" s="9392"/>
      <c r="B24" s="9398"/>
      <c r="C24" s="9125" t="s">
        <v>183</v>
      </c>
      <c r="D24" s="8834" t="s">
        <v>227</v>
      </c>
      <c r="E24" s="8834" t="s">
        <v>490</v>
      </c>
      <c r="F24" s="8834" t="s">
        <v>2210</v>
      </c>
      <c r="G24" s="8974" t="s">
        <v>230</v>
      </c>
      <c r="H24" s="8834" t="s">
        <v>231</v>
      </c>
      <c r="I24" s="8834" t="s">
        <v>189</v>
      </c>
      <c r="J24" s="9693" t="s">
        <v>2262</v>
      </c>
      <c r="K24" s="8782" t="s">
        <v>2263</v>
      </c>
      <c r="L24" s="8834" t="s">
        <v>2264</v>
      </c>
      <c r="M24" s="8856">
        <v>0</v>
      </c>
      <c r="N24" s="8823">
        <v>0</v>
      </c>
      <c r="O24" s="8856">
        <v>1</v>
      </c>
      <c r="P24" s="8782" t="s">
        <v>2265</v>
      </c>
      <c r="Q24" s="8834" t="s">
        <v>2266</v>
      </c>
      <c r="R24" s="8957" t="s">
        <v>2246</v>
      </c>
      <c r="S24" s="626"/>
      <c r="T24" s="4849"/>
      <c r="U24" s="4849"/>
      <c r="V24" s="578"/>
      <c r="W24" s="4872"/>
      <c r="X24" s="53"/>
      <c r="Y24" s="4917"/>
      <c r="Z24" s="4917"/>
      <c r="AA24" s="4917"/>
      <c r="AB24" s="4918"/>
      <c r="AC24" s="634"/>
      <c r="AD24" s="377"/>
      <c r="AE24" s="53"/>
      <c r="AF24" s="73"/>
      <c r="AG24" s="73"/>
      <c r="AH24" s="9968"/>
    </row>
    <row r="25" spans="1:34" ht="18" customHeight="1">
      <c r="A25" s="9392"/>
      <c r="B25" s="9398"/>
      <c r="C25" s="9954"/>
      <c r="D25" s="9946"/>
      <c r="E25" s="9946"/>
      <c r="F25" s="9946"/>
      <c r="G25" s="9946"/>
      <c r="H25" s="9946"/>
      <c r="I25" s="9946"/>
      <c r="J25" s="9975"/>
      <c r="K25" s="9946"/>
      <c r="L25" s="9946"/>
      <c r="M25" s="9313"/>
      <c r="N25" s="9313"/>
      <c r="O25" s="9313"/>
      <c r="P25" s="9311"/>
      <c r="Q25" s="9311"/>
      <c r="R25" s="9315"/>
      <c r="S25" s="622"/>
      <c r="T25" s="4853"/>
      <c r="U25" s="4853"/>
      <c r="V25" s="575"/>
      <c r="W25" s="4869"/>
      <c r="X25" s="48"/>
      <c r="Y25" s="4910"/>
      <c r="Z25" s="4910"/>
      <c r="AA25" s="4910"/>
      <c r="AB25" s="4911"/>
      <c r="AC25" s="632"/>
      <c r="AD25" s="374"/>
      <c r="AE25" s="48"/>
      <c r="AF25" s="51"/>
      <c r="AG25" s="51"/>
      <c r="AH25" s="9969"/>
    </row>
    <row r="26" spans="1:34" ht="18" customHeight="1">
      <c r="A26" s="9392"/>
      <c r="B26" s="9398"/>
      <c r="C26" s="9954"/>
      <c r="D26" s="9946"/>
      <c r="E26" s="9946"/>
      <c r="F26" s="9946"/>
      <c r="G26" s="9946"/>
      <c r="H26" s="9946"/>
      <c r="I26" s="9946"/>
      <c r="J26" s="9975"/>
      <c r="K26" s="9946"/>
      <c r="L26" s="9946"/>
      <c r="M26" s="9313"/>
      <c r="N26" s="9313"/>
      <c r="O26" s="9313"/>
      <c r="P26" s="9311"/>
      <c r="Q26" s="9311"/>
      <c r="R26" s="9315"/>
      <c r="S26" s="623"/>
      <c r="T26" s="4860"/>
      <c r="U26" s="4860"/>
      <c r="V26" s="576"/>
      <c r="W26" s="4872"/>
      <c r="X26" s="53"/>
      <c r="Y26" s="4917"/>
      <c r="Z26" s="4910"/>
      <c r="AA26" s="4910"/>
      <c r="AB26" s="4911"/>
      <c r="AC26" s="632"/>
      <c r="AD26" s="374"/>
      <c r="AE26" s="48"/>
      <c r="AF26" s="51"/>
      <c r="AG26" s="51"/>
      <c r="AH26" s="9969"/>
    </row>
    <row r="27" spans="1:34" ht="18" customHeight="1">
      <c r="A27" s="9392"/>
      <c r="B27" s="9398"/>
      <c r="C27" s="9954"/>
      <c r="D27" s="9946"/>
      <c r="E27" s="9946"/>
      <c r="F27" s="9946"/>
      <c r="G27" s="9946"/>
      <c r="H27" s="9946"/>
      <c r="I27" s="9946"/>
      <c r="J27" s="9975"/>
      <c r="K27" s="9946"/>
      <c r="L27" s="9946"/>
      <c r="M27" s="9313"/>
      <c r="N27" s="9313"/>
      <c r="O27" s="9313"/>
      <c r="P27" s="9311"/>
      <c r="Q27" s="9311"/>
      <c r="R27" s="9315"/>
      <c r="S27" s="626"/>
      <c r="T27" s="4849"/>
      <c r="U27" s="4849"/>
      <c r="V27" s="576"/>
      <c r="W27" s="4872"/>
      <c r="X27" s="53"/>
      <c r="Y27" s="4917"/>
      <c r="Z27" s="4910"/>
      <c r="AA27" s="4910"/>
      <c r="AB27" s="4911"/>
      <c r="AC27" s="632"/>
      <c r="AD27" s="374"/>
      <c r="AE27" s="48"/>
      <c r="AF27" s="51"/>
      <c r="AG27" s="51"/>
      <c r="AH27" s="9969"/>
    </row>
    <row r="28" spans="1:34" ht="18" customHeight="1">
      <c r="A28" s="9392"/>
      <c r="B28" s="9398"/>
      <c r="C28" s="9955"/>
      <c r="D28" s="9947"/>
      <c r="E28" s="9947"/>
      <c r="F28" s="9947"/>
      <c r="G28" s="9947"/>
      <c r="H28" s="9947"/>
      <c r="I28" s="9947"/>
      <c r="J28" s="9957"/>
      <c r="K28" s="9947"/>
      <c r="L28" s="9947"/>
      <c r="M28" s="9314"/>
      <c r="N28" s="9314"/>
      <c r="O28" s="9314"/>
      <c r="P28" s="9312"/>
      <c r="Q28" s="9312"/>
      <c r="R28" s="9316"/>
      <c r="S28" s="624"/>
      <c r="T28" s="4855"/>
      <c r="U28" s="4855"/>
      <c r="V28" s="577"/>
      <c r="W28" s="4871"/>
      <c r="X28" s="64"/>
      <c r="Y28" s="4914"/>
      <c r="Z28" s="4914"/>
      <c r="AA28" s="4914"/>
      <c r="AB28" s="4916"/>
      <c r="AC28" s="633"/>
      <c r="AD28" s="376"/>
      <c r="AE28" s="64"/>
      <c r="AF28" s="65"/>
      <c r="AG28" s="65"/>
      <c r="AH28" s="9970"/>
    </row>
    <row r="29" spans="1:34" ht="24.75" customHeight="1">
      <c r="A29" s="9392"/>
      <c r="B29" s="9398"/>
      <c r="C29" s="9125" t="s">
        <v>127</v>
      </c>
      <c r="D29" s="8834" t="s">
        <v>128</v>
      </c>
      <c r="E29" s="8834" t="s">
        <v>129</v>
      </c>
      <c r="F29" s="8834" t="s">
        <v>336</v>
      </c>
      <c r="G29" s="8974" t="s">
        <v>131</v>
      </c>
      <c r="H29" s="8834" t="s">
        <v>132</v>
      </c>
      <c r="I29" s="8834" t="s">
        <v>159</v>
      </c>
      <c r="J29" s="9261" t="s">
        <v>2267</v>
      </c>
      <c r="K29" s="8782" t="s">
        <v>2268</v>
      </c>
      <c r="L29" s="8834" t="s">
        <v>2269</v>
      </c>
      <c r="M29" s="8856">
        <v>1</v>
      </c>
      <c r="N29" s="1676"/>
      <c r="O29" s="8856">
        <v>1</v>
      </c>
      <c r="P29" s="8834" t="s">
        <v>2270</v>
      </c>
      <c r="Q29" s="8834" t="s">
        <v>2271</v>
      </c>
      <c r="R29" s="8957" t="s">
        <v>2253</v>
      </c>
      <c r="S29" s="626"/>
      <c r="T29" s="4849"/>
      <c r="U29" s="4849"/>
      <c r="V29" s="578"/>
      <c r="W29" s="4872"/>
      <c r="X29" s="53"/>
      <c r="Y29" s="4917"/>
      <c r="Z29" s="4917"/>
      <c r="AA29" s="4917"/>
      <c r="AB29" s="4918"/>
      <c r="AC29" s="634"/>
      <c r="AD29" s="377"/>
      <c r="AE29" s="53"/>
      <c r="AF29" s="68"/>
      <c r="AG29" s="68"/>
      <c r="AH29" s="9968"/>
    </row>
    <row r="30" spans="1:34" ht="24.75" customHeight="1">
      <c r="A30" s="9392"/>
      <c r="B30" s="9398"/>
      <c r="C30" s="9954"/>
      <c r="D30" s="9946"/>
      <c r="E30" s="9946"/>
      <c r="F30" s="9946"/>
      <c r="G30" s="9946"/>
      <c r="H30" s="9946"/>
      <c r="I30" s="9946"/>
      <c r="J30" s="9975"/>
      <c r="K30" s="9946"/>
      <c r="L30" s="9946"/>
      <c r="M30" s="9313"/>
      <c r="N30" s="1676"/>
      <c r="O30" s="9313"/>
      <c r="P30" s="9311"/>
      <c r="Q30" s="9311"/>
      <c r="R30" s="9315"/>
      <c r="S30" s="622"/>
      <c r="T30" s="4853"/>
      <c r="U30" s="4853"/>
      <c r="V30" s="575"/>
      <c r="W30" s="4869"/>
      <c r="X30" s="48"/>
      <c r="Y30" s="4910"/>
      <c r="Z30" s="4910"/>
      <c r="AA30" s="4910"/>
      <c r="AB30" s="4911"/>
      <c r="AC30" s="632"/>
      <c r="AD30" s="374"/>
      <c r="AE30" s="48"/>
      <c r="AF30" s="48"/>
      <c r="AG30" s="69"/>
      <c r="AH30" s="9969"/>
    </row>
    <row r="31" spans="1:34" ht="24.75" customHeight="1">
      <c r="A31" s="9392"/>
      <c r="B31" s="9398"/>
      <c r="C31" s="9954"/>
      <c r="D31" s="9946"/>
      <c r="E31" s="9946"/>
      <c r="F31" s="9946"/>
      <c r="G31" s="9946"/>
      <c r="H31" s="9946"/>
      <c r="I31" s="9946"/>
      <c r="J31" s="9975"/>
      <c r="K31" s="9946"/>
      <c r="L31" s="9946"/>
      <c r="M31" s="9313"/>
      <c r="N31" s="1676">
        <v>1</v>
      </c>
      <c r="O31" s="9313"/>
      <c r="P31" s="9311"/>
      <c r="Q31" s="9311"/>
      <c r="R31" s="9315"/>
      <c r="S31" s="622"/>
      <c r="T31" s="4853"/>
      <c r="U31" s="4853"/>
      <c r="V31" s="575"/>
      <c r="W31" s="4869"/>
      <c r="X31" s="48"/>
      <c r="Y31" s="4910"/>
      <c r="Z31" s="4910"/>
      <c r="AA31" s="4910"/>
      <c r="AB31" s="4911"/>
      <c r="AC31" s="632"/>
      <c r="AD31" s="374"/>
      <c r="AE31" s="48"/>
      <c r="AF31" s="48"/>
      <c r="AG31" s="51"/>
      <c r="AH31" s="9969"/>
    </row>
    <row r="32" spans="1:34" ht="24.75" customHeight="1">
      <c r="A32" s="9392"/>
      <c r="B32" s="9398"/>
      <c r="C32" s="9954"/>
      <c r="D32" s="9946"/>
      <c r="E32" s="9946"/>
      <c r="F32" s="9946"/>
      <c r="G32" s="9946"/>
      <c r="H32" s="9946"/>
      <c r="I32" s="9946"/>
      <c r="J32" s="9975"/>
      <c r="K32" s="9946"/>
      <c r="L32" s="9946"/>
      <c r="M32" s="9313"/>
      <c r="N32" s="1676"/>
      <c r="O32" s="9313"/>
      <c r="P32" s="9311"/>
      <c r="Q32" s="9311"/>
      <c r="R32" s="9315"/>
      <c r="S32" s="622"/>
      <c r="T32" s="4853"/>
      <c r="U32" s="4853"/>
      <c r="V32" s="575"/>
      <c r="W32" s="4869"/>
      <c r="X32" s="48"/>
      <c r="Y32" s="4910"/>
      <c r="Z32" s="4910"/>
      <c r="AA32" s="4910"/>
      <c r="AB32" s="4911"/>
      <c r="AC32" s="632"/>
      <c r="AD32" s="374"/>
      <c r="AE32" s="48"/>
      <c r="AF32" s="48"/>
      <c r="AG32" s="51"/>
      <c r="AH32" s="9969"/>
    </row>
    <row r="33" spans="1:34" ht="24.75" customHeight="1">
      <c r="A33" s="9392"/>
      <c r="B33" s="9398"/>
      <c r="C33" s="9955"/>
      <c r="D33" s="9947"/>
      <c r="E33" s="9947"/>
      <c r="F33" s="9947"/>
      <c r="G33" s="9947"/>
      <c r="H33" s="9947"/>
      <c r="I33" s="9947"/>
      <c r="J33" s="9957"/>
      <c r="K33" s="9947"/>
      <c r="L33" s="9947"/>
      <c r="M33" s="9314"/>
      <c r="N33" s="1697"/>
      <c r="O33" s="9314"/>
      <c r="P33" s="9312"/>
      <c r="Q33" s="9312"/>
      <c r="R33" s="9316"/>
      <c r="S33" s="624"/>
      <c r="T33" s="4855"/>
      <c r="U33" s="4855"/>
      <c r="V33" s="577"/>
      <c r="W33" s="4871"/>
      <c r="X33" s="64"/>
      <c r="Y33" s="4914"/>
      <c r="Z33" s="4914"/>
      <c r="AA33" s="4914"/>
      <c r="AB33" s="4916"/>
      <c r="AC33" s="633"/>
      <c r="AD33" s="376"/>
      <c r="AE33" s="64"/>
      <c r="AF33" s="64"/>
      <c r="AG33" s="65"/>
      <c r="AH33" s="9970"/>
    </row>
    <row r="34" spans="1:34" ht="23.25" customHeight="1">
      <c r="A34" s="9392"/>
      <c r="B34" s="9398"/>
      <c r="C34" s="9223" t="s">
        <v>183</v>
      </c>
      <c r="D34" s="8782" t="s">
        <v>227</v>
      </c>
      <c r="E34" s="8782" t="s">
        <v>228</v>
      </c>
      <c r="F34" s="8782" t="s">
        <v>2272</v>
      </c>
      <c r="G34" s="8977" t="s">
        <v>230</v>
      </c>
      <c r="H34" s="8782" t="s">
        <v>158</v>
      </c>
      <c r="I34" s="8782" t="s">
        <v>133</v>
      </c>
      <c r="J34" s="9863" t="s">
        <v>2273</v>
      </c>
      <c r="K34" s="8782" t="s">
        <v>2274</v>
      </c>
      <c r="L34" s="8782" t="s">
        <v>2275</v>
      </c>
      <c r="M34" s="8823">
        <v>4</v>
      </c>
      <c r="N34" s="8823">
        <v>0</v>
      </c>
      <c r="O34" s="8823">
        <v>4</v>
      </c>
      <c r="P34" s="8782" t="s">
        <v>2276</v>
      </c>
      <c r="Q34" s="8782" t="s">
        <v>2277</v>
      </c>
      <c r="R34" s="8957" t="s">
        <v>2253</v>
      </c>
      <c r="S34" s="628"/>
      <c r="T34" s="4849"/>
      <c r="U34" s="4849"/>
      <c r="V34" s="580"/>
      <c r="W34" s="4872"/>
      <c r="X34" s="53"/>
      <c r="Y34" s="4917"/>
      <c r="Z34" s="4917"/>
      <c r="AA34" s="4917"/>
      <c r="AB34" s="4918"/>
      <c r="AC34" s="634"/>
      <c r="AD34" s="377"/>
      <c r="AE34" s="53"/>
      <c r="AF34" s="73"/>
      <c r="AG34" s="73"/>
      <c r="AH34" s="9971"/>
    </row>
    <row r="35" spans="1:34" ht="23.25" customHeight="1">
      <c r="A35" s="9392"/>
      <c r="B35" s="9398"/>
      <c r="C35" s="9954"/>
      <c r="D35" s="9946"/>
      <c r="E35" s="9946"/>
      <c r="F35" s="9946"/>
      <c r="G35" s="9946"/>
      <c r="H35" s="9946"/>
      <c r="I35" s="9946"/>
      <c r="J35" s="9975"/>
      <c r="K35" s="9946"/>
      <c r="L35" s="9946"/>
      <c r="M35" s="9313"/>
      <c r="N35" s="9313"/>
      <c r="O35" s="9313"/>
      <c r="P35" s="9311"/>
      <c r="Q35" s="9311"/>
      <c r="R35" s="9315"/>
      <c r="S35" s="623"/>
      <c r="T35" s="4860"/>
      <c r="U35" s="4860"/>
      <c r="V35" s="575"/>
      <c r="W35" s="4869"/>
      <c r="X35" s="48"/>
      <c r="Y35" s="4910"/>
      <c r="Z35" s="4910"/>
      <c r="AA35" s="4910"/>
      <c r="AB35" s="4911"/>
      <c r="AC35" s="632"/>
      <c r="AD35" s="374"/>
      <c r="AE35" s="48"/>
      <c r="AF35" s="51"/>
      <c r="AG35" s="51"/>
      <c r="AH35" s="9969"/>
    </row>
    <row r="36" spans="1:34" ht="23.25" customHeight="1">
      <c r="A36" s="9392"/>
      <c r="B36" s="9398"/>
      <c r="C36" s="9954"/>
      <c r="D36" s="9946"/>
      <c r="E36" s="9946"/>
      <c r="F36" s="9946"/>
      <c r="G36" s="9946"/>
      <c r="H36" s="9946"/>
      <c r="I36" s="9946"/>
      <c r="J36" s="9975"/>
      <c r="K36" s="9946"/>
      <c r="L36" s="9946"/>
      <c r="M36" s="9313"/>
      <c r="N36" s="9313"/>
      <c r="O36" s="9313"/>
      <c r="P36" s="9311"/>
      <c r="Q36" s="9311"/>
      <c r="R36" s="9315"/>
      <c r="S36" s="622"/>
      <c r="T36" s="4853"/>
      <c r="U36" s="4853"/>
      <c r="V36" s="575"/>
      <c r="W36" s="4869"/>
      <c r="X36" s="48"/>
      <c r="Y36" s="4910"/>
      <c r="Z36" s="4910"/>
      <c r="AA36" s="4910"/>
      <c r="AB36" s="4911"/>
      <c r="AC36" s="632"/>
      <c r="AD36" s="374"/>
      <c r="AE36" s="48"/>
      <c r="AF36" s="51"/>
      <c r="AG36" s="51"/>
      <c r="AH36" s="9969"/>
    </row>
    <row r="37" spans="1:34" ht="23.25" customHeight="1">
      <c r="A37" s="9392"/>
      <c r="B37" s="9398"/>
      <c r="C37" s="9954"/>
      <c r="D37" s="9946"/>
      <c r="E37" s="9946"/>
      <c r="F37" s="9946"/>
      <c r="G37" s="9946"/>
      <c r="H37" s="9946"/>
      <c r="I37" s="9946"/>
      <c r="J37" s="9975"/>
      <c r="K37" s="9946"/>
      <c r="L37" s="9946"/>
      <c r="M37" s="9313"/>
      <c r="N37" s="9313"/>
      <c r="O37" s="9313"/>
      <c r="P37" s="9311"/>
      <c r="Q37" s="9311"/>
      <c r="R37" s="9315"/>
      <c r="S37" s="622"/>
      <c r="T37" s="4853"/>
      <c r="U37" s="4853"/>
      <c r="V37" s="575"/>
      <c r="W37" s="4869"/>
      <c r="X37" s="48"/>
      <c r="Y37" s="4910"/>
      <c r="Z37" s="4910"/>
      <c r="AA37" s="4910"/>
      <c r="AB37" s="4911"/>
      <c r="AC37" s="632"/>
      <c r="AD37" s="374"/>
      <c r="AE37" s="48"/>
      <c r="AF37" s="51"/>
      <c r="AG37" s="51"/>
      <c r="AH37" s="9969"/>
    </row>
    <row r="38" spans="1:34" ht="23.25" customHeight="1">
      <c r="A38" s="9392"/>
      <c r="B38" s="9398"/>
      <c r="C38" s="9955"/>
      <c r="D38" s="9947"/>
      <c r="E38" s="9947"/>
      <c r="F38" s="9947"/>
      <c r="G38" s="9947"/>
      <c r="H38" s="9947"/>
      <c r="I38" s="9947"/>
      <c r="J38" s="9957"/>
      <c r="K38" s="9947"/>
      <c r="L38" s="9947"/>
      <c r="M38" s="9314"/>
      <c r="N38" s="9314"/>
      <c r="O38" s="9314"/>
      <c r="P38" s="9312"/>
      <c r="Q38" s="9312"/>
      <c r="R38" s="9316"/>
      <c r="S38" s="624"/>
      <c r="T38" s="4855"/>
      <c r="U38" s="4856"/>
      <c r="V38" s="581"/>
      <c r="W38" s="4870"/>
      <c r="X38" s="453"/>
      <c r="Y38" s="4912"/>
      <c r="Z38" s="4914"/>
      <c r="AA38" s="4914"/>
      <c r="AB38" s="4913"/>
      <c r="AC38" s="635"/>
      <c r="AD38" s="375"/>
      <c r="AE38" s="453"/>
      <c r="AF38" s="456"/>
      <c r="AG38" s="456"/>
      <c r="AH38" s="9970"/>
    </row>
    <row r="39" spans="1:34" ht="24" customHeight="1">
      <c r="A39" s="9392"/>
      <c r="B39" s="9398"/>
      <c r="C39" s="9223" t="s">
        <v>127</v>
      </c>
      <c r="D39" s="8782" t="s">
        <v>128</v>
      </c>
      <c r="E39" s="8782" t="s">
        <v>129</v>
      </c>
      <c r="F39" s="8782" t="s">
        <v>327</v>
      </c>
      <c r="G39" s="8977" t="s">
        <v>131</v>
      </c>
      <c r="H39" s="8782" t="s">
        <v>132</v>
      </c>
      <c r="I39" s="8782" t="s">
        <v>159</v>
      </c>
      <c r="J39" s="9863" t="s">
        <v>2278</v>
      </c>
      <c r="K39" s="8782" t="s">
        <v>2279</v>
      </c>
      <c r="L39" s="8782" t="s">
        <v>2280</v>
      </c>
      <c r="M39" s="8823">
        <v>0</v>
      </c>
      <c r="N39" s="1677"/>
      <c r="O39" s="8823">
        <v>1</v>
      </c>
      <c r="P39" s="8782" t="s">
        <v>2281</v>
      </c>
      <c r="Q39" s="8782" t="s">
        <v>2282</v>
      </c>
      <c r="R39" s="8957" t="s">
        <v>2246</v>
      </c>
      <c r="S39" s="626"/>
      <c r="T39" s="4849"/>
      <c r="U39" s="4849"/>
      <c r="V39" s="579"/>
      <c r="W39" s="4874"/>
      <c r="X39" s="76"/>
      <c r="Y39" s="4922"/>
      <c r="Z39" s="4917"/>
      <c r="AA39" s="4917"/>
      <c r="AB39" s="4923"/>
      <c r="AC39" s="636"/>
      <c r="AD39" s="378"/>
      <c r="AE39" s="76"/>
      <c r="AF39" s="79"/>
      <c r="AG39" s="79"/>
      <c r="AH39" s="9971"/>
    </row>
    <row r="40" spans="1:34" ht="24" customHeight="1">
      <c r="A40" s="9392"/>
      <c r="B40" s="9398"/>
      <c r="C40" s="9954"/>
      <c r="D40" s="9946"/>
      <c r="E40" s="9946"/>
      <c r="F40" s="9946"/>
      <c r="G40" s="9946"/>
      <c r="H40" s="9946"/>
      <c r="I40" s="9946"/>
      <c r="J40" s="9975"/>
      <c r="K40" s="9946"/>
      <c r="L40" s="9946"/>
      <c r="M40" s="9313"/>
      <c r="N40" s="1676"/>
      <c r="O40" s="9313"/>
      <c r="P40" s="9311"/>
      <c r="Q40" s="9311"/>
      <c r="R40" s="9315"/>
      <c r="S40" s="622"/>
      <c r="T40" s="4853"/>
      <c r="U40" s="4853"/>
      <c r="V40" s="575"/>
      <c r="W40" s="4869"/>
      <c r="X40" s="48"/>
      <c r="Y40" s="4910"/>
      <c r="Z40" s="4910"/>
      <c r="AA40" s="4910"/>
      <c r="AB40" s="4911"/>
      <c r="AC40" s="632"/>
      <c r="AD40" s="374"/>
      <c r="AE40" s="48"/>
      <c r="AF40" s="51"/>
      <c r="AG40" s="51"/>
      <c r="AH40" s="9969"/>
    </row>
    <row r="41" spans="1:34" ht="24" customHeight="1">
      <c r="A41" s="9392"/>
      <c r="B41" s="9398"/>
      <c r="C41" s="9954"/>
      <c r="D41" s="9946"/>
      <c r="E41" s="9946"/>
      <c r="F41" s="9946"/>
      <c r="G41" s="9946"/>
      <c r="H41" s="9946"/>
      <c r="I41" s="9946"/>
      <c r="J41" s="9975"/>
      <c r="K41" s="9946"/>
      <c r="L41" s="9946"/>
      <c r="M41" s="9313"/>
      <c r="N41" s="1676">
        <v>0</v>
      </c>
      <c r="O41" s="9313"/>
      <c r="P41" s="9311"/>
      <c r="Q41" s="9311"/>
      <c r="R41" s="9315"/>
      <c r="S41" s="622"/>
      <c r="T41" s="4853"/>
      <c r="U41" s="4853"/>
      <c r="V41" s="575"/>
      <c r="W41" s="4869"/>
      <c r="X41" s="48"/>
      <c r="Y41" s="4910"/>
      <c r="Z41" s="4910"/>
      <c r="AA41" s="4910"/>
      <c r="AB41" s="4911"/>
      <c r="AC41" s="632"/>
      <c r="AD41" s="374"/>
      <c r="AE41" s="48"/>
      <c r="AF41" s="51"/>
      <c r="AG41" s="51"/>
      <c r="AH41" s="9969"/>
    </row>
    <row r="42" spans="1:34" ht="24" customHeight="1">
      <c r="A42" s="9392"/>
      <c r="B42" s="9398"/>
      <c r="C42" s="9954"/>
      <c r="D42" s="9946"/>
      <c r="E42" s="9946"/>
      <c r="F42" s="9946"/>
      <c r="G42" s="9946"/>
      <c r="H42" s="9946"/>
      <c r="I42" s="9946"/>
      <c r="J42" s="9975"/>
      <c r="K42" s="9946"/>
      <c r="L42" s="9946"/>
      <c r="M42" s="9313"/>
      <c r="N42" s="1676"/>
      <c r="O42" s="9313"/>
      <c r="P42" s="9311"/>
      <c r="Q42" s="9311"/>
      <c r="R42" s="9315"/>
      <c r="S42" s="622"/>
      <c r="T42" s="4853"/>
      <c r="U42" s="4853"/>
      <c r="V42" s="575"/>
      <c r="W42" s="4869"/>
      <c r="X42" s="48"/>
      <c r="Y42" s="4910"/>
      <c r="Z42" s="4910"/>
      <c r="AA42" s="4910"/>
      <c r="AB42" s="4911"/>
      <c r="AC42" s="632"/>
      <c r="AD42" s="374"/>
      <c r="AE42" s="48"/>
      <c r="AF42" s="51"/>
      <c r="AG42" s="51"/>
      <c r="AH42" s="9969"/>
    </row>
    <row r="43" spans="1:34" ht="24" customHeight="1">
      <c r="A43" s="9392"/>
      <c r="B43" s="9398"/>
      <c r="C43" s="9954"/>
      <c r="D43" s="9946"/>
      <c r="E43" s="9946"/>
      <c r="F43" s="9946"/>
      <c r="G43" s="9946"/>
      <c r="H43" s="9946"/>
      <c r="I43" s="9946"/>
      <c r="J43" s="9975"/>
      <c r="K43" s="9946"/>
      <c r="L43" s="9946"/>
      <c r="M43" s="9313"/>
      <c r="N43" s="1676"/>
      <c r="O43" s="9313"/>
      <c r="P43" s="9311"/>
      <c r="Q43" s="9311"/>
      <c r="R43" s="9316"/>
      <c r="S43" s="624"/>
      <c r="T43" s="4855"/>
      <c r="U43" s="4855"/>
      <c r="V43" s="581"/>
      <c r="W43" s="4870"/>
      <c r="X43" s="453"/>
      <c r="Y43" s="4912"/>
      <c r="Z43" s="4914"/>
      <c r="AA43" s="4914"/>
      <c r="AB43" s="4913"/>
      <c r="AC43" s="635"/>
      <c r="AD43" s="375"/>
      <c r="AE43" s="453"/>
      <c r="AF43" s="456"/>
      <c r="AG43" s="456"/>
      <c r="AH43" s="9969"/>
    </row>
    <row r="44" spans="1:34" ht="21.75" customHeight="1">
      <c r="A44" s="9392"/>
      <c r="B44" s="9398"/>
      <c r="C44" s="9223" t="s">
        <v>183</v>
      </c>
      <c r="D44" s="8782" t="s">
        <v>227</v>
      </c>
      <c r="E44" s="8782" t="s">
        <v>490</v>
      </c>
      <c r="F44" s="8782" t="s">
        <v>1484</v>
      </c>
      <c r="G44" s="8977" t="s">
        <v>230</v>
      </c>
      <c r="H44" s="8782" t="s">
        <v>231</v>
      </c>
      <c r="I44" s="8782" t="s">
        <v>159</v>
      </c>
      <c r="J44" s="9863" t="s">
        <v>2283</v>
      </c>
      <c r="K44" s="8782" t="s">
        <v>2284</v>
      </c>
      <c r="L44" s="8782" t="s">
        <v>2285</v>
      </c>
      <c r="M44" s="8823">
        <v>0</v>
      </c>
      <c r="N44" s="1677"/>
      <c r="O44" s="8823">
        <v>3</v>
      </c>
      <c r="P44" s="8782" t="s">
        <v>2286</v>
      </c>
      <c r="Q44" s="8782" t="s">
        <v>2287</v>
      </c>
      <c r="R44" s="8957" t="s">
        <v>2253</v>
      </c>
      <c r="S44" s="626"/>
      <c r="T44" s="4849"/>
      <c r="U44" s="4849"/>
      <c r="V44" s="579"/>
      <c r="W44" s="4874"/>
      <c r="X44" s="76"/>
      <c r="Y44" s="4922"/>
      <c r="Z44" s="4917"/>
      <c r="AA44" s="4917"/>
      <c r="AB44" s="4923"/>
      <c r="AC44" s="636"/>
      <c r="AD44" s="378"/>
      <c r="AE44" s="76"/>
      <c r="AF44" s="79"/>
      <c r="AG44" s="79"/>
      <c r="AH44" s="9971"/>
    </row>
    <row r="45" spans="1:34" ht="21.75" customHeight="1">
      <c r="A45" s="9392"/>
      <c r="B45" s="9398"/>
      <c r="C45" s="9954"/>
      <c r="D45" s="9946"/>
      <c r="E45" s="9946"/>
      <c r="F45" s="9946"/>
      <c r="G45" s="9946"/>
      <c r="H45" s="9946"/>
      <c r="I45" s="9946"/>
      <c r="J45" s="9956"/>
      <c r="K45" s="9946"/>
      <c r="L45" s="9946"/>
      <c r="M45" s="9313"/>
      <c r="N45" s="1676"/>
      <c r="O45" s="9313"/>
      <c r="P45" s="9311"/>
      <c r="Q45" s="9311"/>
      <c r="R45" s="9315"/>
      <c r="S45" s="622"/>
      <c r="T45" s="4853"/>
      <c r="U45" s="4853"/>
      <c r="V45" s="575"/>
      <c r="W45" s="4869"/>
      <c r="X45" s="48"/>
      <c r="Y45" s="4910"/>
      <c r="Z45" s="4910"/>
      <c r="AA45" s="4910"/>
      <c r="AB45" s="4911"/>
      <c r="AC45" s="632"/>
      <c r="AD45" s="374"/>
      <c r="AE45" s="48"/>
      <c r="AF45" s="51"/>
      <c r="AG45" s="51"/>
      <c r="AH45" s="9969"/>
    </row>
    <row r="46" spans="1:34" ht="21.75" customHeight="1">
      <c r="A46" s="9392"/>
      <c r="B46" s="9398"/>
      <c r="C46" s="9954"/>
      <c r="D46" s="9946"/>
      <c r="E46" s="9946"/>
      <c r="F46" s="9946"/>
      <c r="G46" s="9946"/>
      <c r="H46" s="9946"/>
      <c r="I46" s="9946"/>
      <c r="J46" s="9956"/>
      <c r="K46" s="9946"/>
      <c r="L46" s="9946"/>
      <c r="M46" s="9313"/>
      <c r="N46" s="1676">
        <v>3</v>
      </c>
      <c r="O46" s="9313"/>
      <c r="P46" s="9311"/>
      <c r="Q46" s="9311"/>
      <c r="R46" s="9315"/>
      <c r="S46" s="622"/>
      <c r="T46" s="4853"/>
      <c r="U46" s="4853"/>
      <c r="V46" s="575"/>
      <c r="W46" s="4869"/>
      <c r="X46" s="48"/>
      <c r="Y46" s="4910"/>
      <c r="Z46" s="4910"/>
      <c r="AA46" s="4910"/>
      <c r="AB46" s="4911"/>
      <c r="AC46" s="632"/>
      <c r="AD46" s="374"/>
      <c r="AE46" s="48"/>
      <c r="AF46" s="51"/>
      <c r="AG46" s="51"/>
      <c r="AH46" s="9969"/>
    </row>
    <row r="47" spans="1:34" ht="21.75" customHeight="1">
      <c r="A47" s="9392"/>
      <c r="B47" s="9398"/>
      <c r="C47" s="9954"/>
      <c r="D47" s="9946"/>
      <c r="E47" s="9946"/>
      <c r="F47" s="9946"/>
      <c r="G47" s="9946"/>
      <c r="H47" s="9946"/>
      <c r="I47" s="9946"/>
      <c r="J47" s="9956"/>
      <c r="K47" s="9946"/>
      <c r="L47" s="9946"/>
      <c r="M47" s="9313"/>
      <c r="N47" s="1676"/>
      <c r="O47" s="9313"/>
      <c r="P47" s="9311"/>
      <c r="Q47" s="9311"/>
      <c r="R47" s="9315"/>
      <c r="S47" s="622"/>
      <c r="T47" s="4853"/>
      <c r="U47" s="4853"/>
      <c r="V47" s="575"/>
      <c r="W47" s="4869"/>
      <c r="X47" s="48"/>
      <c r="Y47" s="4910"/>
      <c r="Z47" s="4910"/>
      <c r="AA47" s="4910"/>
      <c r="AB47" s="4911"/>
      <c r="AC47" s="632"/>
      <c r="AD47" s="374"/>
      <c r="AE47" s="48"/>
      <c r="AF47" s="51"/>
      <c r="AG47" s="51"/>
      <c r="AH47" s="9969"/>
    </row>
    <row r="48" spans="1:34" ht="21.75" customHeight="1">
      <c r="A48" s="9392"/>
      <c r="B48" s="9398"/>
      <c r="C48" s="9954"/>
      <c r="D48" s="9946"/>
      <c r="E48" s="9946"/>
      <c r="F48" s="9946"/>
      <c r="G48" s="9946"/>
      <c r="H48" s="9946"/>
      <c r="I48" s="9946"/>
      <c r="J48" s="9956"/>
      <c r="K48" s="9946"/>
      <c r="L48" s="9946"/>
      <c r="M48" s="9313"/>
      <c r="N48" s="1676"/>
      <c r="O48" s="9313"/>
      <c r="P48" s="9311"/>
      <c r="Q48" s="9311"/>
      <c r="R48" s="9316"/>
      <c r="S48" s="624"/>
      <c r="T48" s="4855"/>
      <c r="U48" s="4855"/>
      <c r="V48" s="581"/>
      <c r="W48" s="4870"/>
      <c r="X48" s="453"/>
      <c r="Y48" s="4912"/>
      <c r="Z48" s="4914"/>
      <c r="AA48" s="4914"/>
      <c r="AB48" s="4913"/>
      <c r="AC48" s="635"/>
      <c r="AD48" s="375"/>
      <c r="AE48" s="453"/>
      <c r="AF48" s="456"/>
      <c r="AG48" s="456"/>
      <c r="AH48" s="9969"/>
    </row>
    <row r="49" spans="1:34" ht="22.5" customHeight="1">
      <c r="A49" s="9392"/>
      <c r="B49" s="9398"/>
      <c r="C49" s="9223" t="s">
        <v>183</v>
      </c>
      <c r="D49" s="8782" t="s">
        <v>227</v>
      </c>
      <c r="E49" s="8782" t="s">
        <v>490</v>
      </c>
      <c r="F49" s="8782" t="s">
        <v>2210</v>
      </c>
      <c r="G49" s="8977" t="s">
        <v>230</v>
      </c>
      <c r="H49" s="8782" t="s">
        <v>231</v>
      </c>
      <c r="I49" s="8782" t="s">
        <v>159</v>
      </c>
      <c r="J49" s="9863" t="s">
        <v>2288</v>
      </c>
      <c r="K49" s="8782" t="s">
        <v>2289</v>
      </c>
      <c r="L49" s="8782" t="s">
        <v>2290</v>
      </c>
      <c r="M49" s="8823">
        <v>0</v>
      </c>
      <c r="N49" s="8823">
        <v>0</v>
      </c>
      <c r="O49" s="8823">
        <v>2</v>
      </c>
      <c r="P49" s="8782" t="s">
        <v>2291</v>
      </c>
      <c r="Q49" s="8782" t="s">
        <v>2292</v>
      </c>
      <c r="R49" s="8957" t="s">
        <v>2253</v>
      </c>
      <c r="S49" s="626"/>
      <c r="T49" s="4849"/>
      <c r="U49" s="4849"/>
      <c r="V49" s="579"/>
      <c r="W49" s="4874"/>
      <c r="X49" s="76"/>
      <c r="Y49" s="4922"/>
      <c r="Z49" s="4917"/>
      <c r="AA49" s="4917"/>
      <c r="AB49" s="4923"/>
      <c r="AC49" s="636"/>
      <c r="AD49" s="378"/>
      <c r="AE49" s="76"/>
      <c r="AF49" s="79"/>
      <c r="AG49" s="79"/>
      <c r="AH49" s="9971"/>
    </row>
    <row r="50" spans="1:34" ht="22.5" customHeight="1">
      <c r="A50" s="9392"/>
      <c r="B50" s="9398"/>
      <c r="C50" s="9954"/>
      <c r="D50" s="9946"/>
      <c r="E50" s="9946"/>
      <c r="F50" s="9946"/>
      <c r="G50" s="9946"/>
      <c r="H50" s="9946"/>
      <c r="I50" s="9946"/>
      <c r="J50" s="9956"/>
      <c r="K50" s="9946"/>
      <c r="L50" s="9946"/>
      <c r="M50" s="9313"/>
      <c r="N50" s="9313"/>
      <c r="O50" s="9313"/>
      <c r="P50" s="9311"/>
      <c r="Q50" s="9311"/>
      <c r="R50" s="9315"/>
      <c r="S50" s="622"/>
      <c r="T50" s="4853"/>
      <c r="U50" s="4853"/>
      <c r="V50" s="575"/>
      <c r="W50" s="4869"/>
      <c r="X50" s="48"/>
      <c r="Y50" s="4910"/>
      <c r="Z50" s="4910"/>
      <c r="AA50" s="4910"/>
      <c r="AB50" s="4911"/>
      <c r="AC50" s="632"/>
      <c r="AD50" s="374"/>
      <c r="AE50" s="48"/>
      <c r="AF50" s="51"/>
      <c r="AG50" s="51"/>
      <c r="AH50" s="9969"/>
    </row>
    <row r="51" spans="1:34" ht="22.5" customHeight="1">
      <c r="A51" s="9392"/>
      <c r="B51" s="9398"/>
      <c r="C51" s="9954"/>
      <c r="D51" s="9946"/>
      <c r="E51" s="9946"/>
      <c r="F51" s="9946"/>
      <c r="G51" s="9946"/>
      <c r="H51" s="9946"/>
      <c r="I51" s="9946"/>
      <c r="J51" s="9956"/>
      <c r="K51" s="9946"/>
      <c r="L51" s="9946"/>
      <c r="M51" s="9313"/>
      <c r="N51" s="9313"/>
      <c r="O51" s="9313"/>
      <c r="P51" s="9311"/>
      <c r="Q51" s="9311"/>
      <c r="R51" s="9315"/>
      <c r="S51" s="622"/>
      <c r="T51" s="4853"/>
      <c r="U51" s="4853"/>
      <c r="V51" s="575"/>
      <c r="W51" s="4869"/>
      <c r="X51" s="48"/>
      <c r="Y51" s="4910"/>
      <c r="Z51" s="4910"/>
      <c r="AA51" s="4910"/>
      <c r="AB51" s="4911"/>
      <c r="AC51" s="632"/>
      <c r="AD51" s="374"/>
      <c r="AE51" s="48"/>
      <c r="AF51" s="51"/>
      <c r="AG51" s="51"/>
      <c r="AH51" s="9969"/>
    </row>
    <row r="52" spans="1:34" ht="22.5" customHeight="1">
      <c r="A52" s="9392"/>
      <c r="B52" s="9398"/>
      <c r="C52" s="9954"/>
      <c r="D52" s="9946"/>
      <c r="E52" s="9946"/>
      <c r="F52" s="9946"/>
      <c r="G52" s="9946"/>
      <c r="H52" s="9946"/>
      <c r="I52" s="9946"/>
      <c r="J52" s="9956"/>
      <c r="K52" s="9946"/>
      <c r="L52" s="9946"/>
      <c r="M52" s="9313"/>
      <c r="N52" s="9313"/>
      <c r="O52" s="9313"/>
      <c r="P52" s="9311"/>
      <c r="Q52" s="9311"/>
      <c r="R52" s="9315"/>
      <c r="S52" s="622"/>
      <c r="T52" s="4853"/>
      <c r="U52" s="4853"/>
      <c r="V52" s="575"/>
      <c r="W52" s="4869"/>
      <c r="X52" s="48"/>
      <c r="Y52" s="4910"/>
      <c r="Z52" s="4910"/>
      <c r="AA52" s="4910"/>
      <c r="AB52" s="4911"/>
      <c r="AC52" s="632"/>
      <c r="AD52" s="374"/>
      <c r="AE52" s="48"/>
      <c r="AF52" s="51"/>
      <c r="AG52" s="51"/>
      <c r="AH52" s="9969"/>
    </row>
    <row r="53" spans="1:34" ht="22.5" customHeight="1">
      <c r="A53" s="9392"/>
      <c r="B53" s="9398"/>
      <c r="C53" s="9954"/>
      <c r="D53" s="9946"/>
      <c r="E53" s="9946"/>
      <c r="F53" s="9946"/>
      <c r="G53" s="9946"/>
      <c r="H53" s="9946"/>
      <c r="I53" s="9946"/>
      <c r="J53" s="9956"/>
      <c r="K53" s="9946"/>
      <c r="L53" s="9946"/>
      <c r="M53" s="9313"/>
      <c r="N53" s="9314"/>
      <c r="O53" s="9313"/>
      <c r="P53" s="9311"/>
      <c r="Q53" s="9311"/>
      <c r="R53" s="9316"/>
      <c r="S53" s="629"/>
      <c r="T53" s="4854"/>
      <c r="U53" s="4854"/>
      <c r="V53" s="581"/>
      <c r="W53" s="4870"/>
      <c r="X53" s="453"/>
      <c r="Y53" s="4912"/>
      <c r="Z53" s="4912"/>
      <c r="AA53" s="4912"/>
      <c r="AB53" s="4913"/>
      <c r="AC53" s="635"/>
      <c r="AD53" s="375"/>
      <c r="AE53" s="453"/>
      <c r="AF53" s="456"/>
      <c r="AG53" s="456"/>
      <c r="AH53" s="9969"/>
    </row>
    <row r="54" spans="1:34" ht="22.5" customHeight="1">
      <c r="A54" s="9392"/>
      <c r="B54" s="9398"/>
      <c r="C54" s="9223" t="s">
        <v>183</v>
      </c>
      <c r="D54" s="8782" t="s">
        <v>227</v>
      </c>
      <c r="E54" s="8782" t="s">
        <v>490</v>
      </c>
      <c r="F54" s="8782" t="s">
        <v>2210</v>
      </c>
      <c r="G54" s="8977" t="s">
        <v>230</v>
      </c>
      <c r="H54" s="8782" t="s">
        <v>213</v>
      </c>
      <c r="I54" s="8782" t="s">
        <v>189</v>
      </c>
      <c r="J54" s="9863" t="s">
        <v>2293</v>
      </c>
      <c r="K54" s="8782" t="s">
        <v>2294</v>
      </c>
      <c r="L54" s="8782" t="s">
        <v>2295</v>
      </c>
      <c r="M54" s="8823">
        <v>0</v>
      </c>
      <c r="N54" s="8823">
        <v>0</v>
      </c>
      <c r="O54" s="8823">
        <v>4</v>
      </c>
      <c r="P54" s="8782" t="s">
        <v>2296</v>
      </c>
      <c r="Q54" s="8782" t="s">
        <v>2297</v>
      </c>
      <c r="R54" s="8957" t="s">
        <v>2253</v>
      </c>
      <c r="S54" s="628"/>
      <c r="T54" s="4859"/>
      <c r="U54" s="4859"/>
      <c r="V54" s="579"/>
      <c r="W54" s="4874"/>
      <c r="X54" s="76"/>
      <c r="Y54" s="4922"/>
      <c r="Z54" s="4922"/>
      <c r="AA54" s="4922"/>
      <c r="AB54" s="4923"/>
      <c r="AC54" s="636"/>
      <c r="AD54" s="378"/>
      <c r="AE54" s="76"/>
      <c r="AF54" s="79"/>
      <c r="AG54" s="79"/>
      <c r="AH54" s="9971"/>
    </row>
    <row r="55" spans="1:34" ht="22.5" customHeight="1">
      <c r="A55" s="9392"/>
      <c r="B55" s="9398"/>
      <c r="C55" s="9954"/>
      <c r="D55" s="9946"/>
      <c r="E55" s="9946"/>
      <c r="F55" s="9946"/>
      <c r="G55" s="9946"/>
      <c r="H55" s="9946"/>
      <c r="I55" s="9946"/>
      <c r="J55" s="9956"/>
      <c r="K55" s="9946"/>
      <c r="L55" s="9946"/>
      <c r="M55" s="9313"/>
      <c r="N55" s="9313"/>
      <c r="O55" s="9313"/>
      <c r="P55" s="9311"/>
      <c r="Q55" s="9311"/>
      <c r="R55" s="9315"/>
      <c r="S55" s="622"/>
      <c r="T55" s="4853"/>
      <c r="U55" s="4853"/>
      <c r="V55" s="575"/>
      <c r="W55" s="4869"/>
      <c r="X55" s="48"/>
      <c r="Y55" s="4910"/>
      <c r="Z55" s="4910"/>
      <c r="AA55" s="4910"/>
      <c r="AB55" s="4911"/>
      <c r="AC55" s="632"/>
      <c r="AD55" s="374"/>
      <c r="AE55" s="48"/>
      <c r="AF55" s="51"/>
      <c r="AG55" s="51"/>
      <c r="AH55" s="9969"/>
    </row>
    <row r="56" spans="1:34" ht="22.5" customHeight="1">
      <c r="A56" s="9392"/>
      <c r="B56" s="9398"/>
      <c r="C56" s="9954"/>
      <c r="D56" s="9946"/>
      <c r="E56" s="9946"/>
      <c r="F56" s="9946"/>
      <c r="G56" s="9946"/>
      <c r="H56" s="9946"/>
      <c r="I56" s="9946"/>
      <c r="J56" s="9956"/>
      <c r="K56" s="9946"/>
      <c r="L56" s="9946"/>
      <c r="M56" s="9313"/>
      <c r="N56" s="9313"/>
      <c r="O56" s="9313"/>
      <c r="P56" s="9311"/>
      <c r="Q56" s="9311"/>
      <c r="R56" s="9315"/>
      <c r="S56" s="622"/>
      <c r="T56" s="4853"/>
      <c r="U56" s="4853"/>
      <c r="V56" s="575"/>
      <c r="W56" s="4869"/>
      <c r="X56" s="48"/>
      <c r="Y56" s="4910"/>
      <c r="Z56" s="4910"/>
      <c r="AA56" s="4910"/>
      <c r="AB56" s="4911"/>
      <c r="AC56" s="632"/>
      <c r="AD56" s="374"/>
      <c r="AE56" s="48"/>
      <c r="AF56" s="51"/>
      <c r="AG56" s="51"/>
      <c r="AH56" s="9969"/>
    </row>
    <row r="57" spans="1:34" ht="22.5" customHeight="1">
      <c r="A57" s="9392"/>
      <c r="B57" s="9398"/>
      <c r="C57" s="9954"/>
      <c r="D57" s="9946"/>
      <c r="E57" s="9946"/>
      <c r="F57" s="9946"/>
      <c r="G57" s="9946"/>
      <c r="H57" s="9946"/>
      <c r="I57" s="9946"/>
      <c r="J57" s="9956"/>
      <c r="K57" s="9946"/>
      <c r="L57" s="9946"/>
      <c r="M57" s="9313"/>
      <c r="N57" s="9313"/>
      <c r="O57" s="9313"/>
      <c r="P57" s="9311"/>
      <c r="Q57" s="9311"/>
      <c r="R57" s="9315"/>
      <c r="S57" s="622"/>
      <c r="T57" s="4853"/>
      <c r="U57" s="4853"/>
      <c r="V57" s="575"/>
      <c r="W57" s="4869"/>
      <c r="X57" s="48"/>
      <c r="Y57" s="4910"/>
      <c r="Z57" s="4910"/>
      <c r="AA57" s="4910"/>
      <c r="AB57" s="4911"/>
      <c r="AC57" s="632"/>
      <c r="AD57" s="374"/>
      <c r="AE57" s="48"/>
      <c r="AF57" s="51"/>
      <c r="AG57" s="51"/>
      <c r="AH57" s="9969"/>
    </row>
    <row r="58" spans="1:34" ht="22.5" customHeight="1">
      <c r="A58" s="9392"/>
      <c r="B58" s="9398"/>
      <c r="C58" s="9955"/>
      <c r="D58" s="9947"/>
      <c r="E58" s="9947"/>
      <c r="F58" s="9947"/>
      <c r="G58" s="9947"/>
      <c r="H58" s="9947"/>
      <c r="I58" s="9947"/>
      <c r="J58" s="9957"/>
      <c r="K58" s="9947"/>
      <c r="L58" s="9947"/>
      <c r="M58" s="9314"/>
      <c r="N58" s="9314"/>
      <c r="O58" s="9314"/>
      <c r="P58" s="9312"/>
      <c r="Q58" s="9312"/>
      <c r="R58" s="9316"/>
      <c r="S58" s="624"/>
      <c r="T58" s="4855"/>
      <c r="U58" s="4855"/>
      <c r="V58" s="577"/>
      <c r="W58" s="4871"/>
      <c r="X58" s="64"/>
      <c r="Y58" s="4914"/>
      <c r="Z58" s="4914"/>
      <c r="AA58" s="4914"/>
      <c r="AB58" s="4916"/>
      <c r="AC58" s="633"/>
      <c r="AD58" s="376"/>
      <c r="AE58" s="64"/>
      <c r="AF58" s="65"/>
      <c r="AG58" s="65"/>
      <c r="AH58" s="9970"/>
    </row>
    <row r="59" spans="1:34" ht="21" customHeight="1">
      <c r="A59" s="9392"/>
      <c r="B59" s="9398"/>
      <c r="C59" s="9223" t="s">
        <v>183</v>
      </c>
      <c r="D59" s="8782" t="s">
        <v>227</v>
      </c>
      <c r="E59" s="8782" t="s">
        <v>490</v>
      </c>
      <c r="F59" s="8782" t="s">
        <v>2210</v>
      </c>
      <c r="G59" s="8977" t="s">
        <v>230</v>
      </c>
      <c r="H59" s="8782" t="s">
        <v>132</v>
      </c>
      <c r="I59" s="9959" t="s">
        <v>133</v>
      </c>
      <c r="J59" s="9958" t="s">
        <v>2298</v>
      </c>
      <c r="K59" s="8782" t="s">
        <v>2299</v>
      </c>
      <c r="L59" s="8834" t="s">
        <v>2300</v>
      </c>
      <c r="M59" s="8856">
        <v>0</v>
      </c>
      <c r="N59" s="8823">
        <v>0</v>
      </c>
      <c r="O59" s="8856">
        <v>5</v>
      </c>
      <c r="P59" s="8834" t="s">
        <v>2301</v>
      </c>
      <c r="Q59" s="8834" t="s">
        <v>2302</v>
      </c>
      <c r="R59" s="8957" t="s">
        <v>2253</v>
      </c>
      <c r="S59" s="626"/>
      <c r="T59" s="4849"/>
      <c r="U59" s="4849"/>
      <c r="V59" s="578"/>
      <c r="W59" s="4872"/>
      <c r="X59" s="53"/>
      <c r="Y59" s="4917"/>
      <c r="Z59" s="4917"/>
      <c r="AA59" s="4917"/>
      <c r="AB59" s="4918"/>
      <c r="AC59" s="634"/>
      <c r="AD59" s="377"/>
      <c r="AE59" s="53"/>
      <c r="AF59" s="73"/>
      <c r="AG59" s="73"/>
      <c r="AH59" s="9968"/>
    </row>
    <row r="60" spans="1:34" ht="21" customHeight="1">
      <c r="A60" s="9392"/>
      <c r="B60" s="9398"/>
      <c r="C60" s="9954"/>
      <c r="D60" s="9946"/>
      <c r="E60" s="9946"/>
      <c r="F60" s="9946"/>
      <c r="G60" s="9946"/>
      <c r="H60" s="9946"/>
      <c r="I60" s="9960"/>
      <c r="J60" s="9951"/>
      <c r="K60" s="9946"/>
      <c r="L60" s="9946"/>
      <c r="M60" s="9313"/>
      <c r="N60" s="9313"/>
      <c r="O60" s="9313"/>
      <c r="P60" s="9311"/>
      <c r="Q60" s="9311"/>
      <c r="R60" s="9315"/>
      <c r="S60" s="622"/>
      <c r="T60" s="4853"/>
      <c r="U60" s="4853"/>
      <c r="V60" s="575"/>
      <c r="W60" s="4869"/>
      <c r="X60" s="48"/>
      <c r="Y60" s="4910"/>
      <c r="Z60" s="4910"/>
      <c r="AA60" s="4910"/>
      <c r="AB60" s="4911"/>
      <c r="AC60" s="632"/>
      <c r="AD60" s="374"/>
      <c r="AE60" s="48"/>
      <c r="AF60" s="51"/>
      <c r="AG60" s="51"/>
      <c r="AH60" s="9969"/>
    </row>
    <row r="61" spans="1:34" ht="21" customHeight="1">
      <c r="A61" s="9392"/>
      <c r="B61" s="9398"/>
      <c r="C61" s="9954"/>
      <c r="D61" s="9946"/>
      <c r="E61" s="9946"/>
      <c r="F61" s="9946"/>
      <c r="G61" s="9946"/>
      <c r="H61" s="9946"/>
      <c r="I61" s="9960"/>
      <c r="J61" s="9951"/>
      <c r="K61" s="9946"/>
      <c r="L61" s="9946"/>
      <c r="M61" s="9313"/>
      <c r="N61" s="9313"/>
      <c r="O61" s="9313"/>
      <c r="P61" s="9311"/>
      <c r="Q61" s="9311"/>
      <c r="R61" s="9315"/>
      <c r="S61" s="623"/>
      <c r="T61" s="4860"/>
      <c r="U61" s="4860"/>
      <c r="V61" s="576"/>
      <c r="W61" s="4872"/>
      <c r="X61" s="53"/>
      <c r="Y61" s="4917"/>
      <c r="Z61" s="4910"/>
      <c r="AA61" s="4910"/>
      <c r="AB61" s="4911"/>
      <c r="AC61" s="632"/>
      <c r="AD61" s="374"/>
      <c r="AE61" s="48"/>
      <c r="AF61" s="51"/>
      <c r="AG61" s="51"/>
      <c r="AH61" s="9969"/>
    </row>
    <row r="62" spans="1:34" ht="21" customHeight="1">
      <c r="A62" s="9392"/>
      <c r="B62" s="9398"/>
      <c r="C62" s="9954"/>
      <c r="D62" s="9946"/>
      <c r="E62" s="9946"/>
      <c r="F62" s="9946"/>
      <c r="G62" s="9946"/>
      <c r="H62" s="9946"/>
      <c r="I62" s="9960"/>
      <c r="J62" s="9951"/>
      <c r="K62" s="9946"/>
      <c r="L62" s="9946"/>
      <c r="M62" s="9313"/>
      <c r="N62" s="9313"/>
      <c r="O62" s="9313"/>
      <c r="P62" s="9311"/>
      <c r="Q62" s="9311"/>
      <c r="R62" s="9315"/>
      <c r="S62" s="626"/>
      <c r="T62" s="4849"/>
      <c r="U62" s="4849"/>
      <c r="V62" s="576"/>
      <c r="W62" s="4872"/>
      <c r="X62" s="53"/>
      <c r="Y62" s="4917"/>
      <c r="Z62" s="4910"/>
      <c r="AA62" s="4910"/>
      <c r="AB62" s="4911"/>
      <c r="AC62" s="632"/>
      <c r="AD62" s="374"/>
      <c r="AE62" s="48"/>
      <c r="AF62" s="51"/>
      <c r="AG62" s="51"/>
      <c r="AH62" s="9969"/>
    </row>
    <row r="63" spans="1:34" ht="21" customHeight="1">
      <c r="A63" s="9392"/>
      <c r="B63" s="9398"/>
      <c r="C63" s="9955"/>
      <c r="D63" s="9947"/>
      <c r="E63" s="9947"/>
      <c r="F63" s="9947"/>
      <c r="G63" s="9947"/>
      <c r="H63" s="9947"/>
      <c r="I63" s="9961"/>
      <c r="J63" s="9952"/>
      <c r="K63" s="9947"/>
      <c r="L63" s="9947"/>
      <c r="M63" s="9314"/>
      <c r="N63" s="9314"/>
      <c r="O63" s="9314"/>
      <c r="P63" s="9312"/>
      <c r="Q63" s="9312"/>
      <c r="R63" s="9316"/>
      <c r="S63" s="624"/>
      <c r="T63" s="4855"/>
      <c r="U63" s="4855"/>
      <c r="V63" s="577"/>
      <c r="W63" s="4871"/>
      <c r="X63" s="64"/>
      <c r="Y63" s="4914"/>
      <c r="Z63" s="4914"/>
      <c r="AA63" s="4914"/>
      <c r="AB63" s="4916"/>
      <c r="AC63" s="633"/>
      <c r="AD63" s="376"/>
      <c r="AE63" s="64"/>
      <c r="AF63" s="65"/>
      <c r="AG63" s="65"/>
      <c r="AH63" s="9970"/>
    </row>
    <row r="64" spans="1:34" ht="16.5" customHeight="1">
      <c r="A64" s="9392"/>
      <c r="B64" s="9398"/>
      <c r="C64" s="9125" t="s">
        <v>127</v>
      </c>
      <c r="D64" s="8834" t="s">
        <v>128</v>
      </c>
      <c r="E64" s="8834" t="s">
        <v>140</v>
      </c>
      <c r="F64" s="8834" t="s">
        <v>284</v>
      </c>
      <c r="G64" s="8974" t="s">
        <v>131</v>
      </c>
      <c r="H64" s="8834" t="s">
        <v>213</v>
      </c>
      <c r="I64" s="8834" t="s">
        <v>159</v>
      </c>
      <c r="J64" s="9863" t="s">
        <v>2303</v>
      </c>
      <c r="K64" s="8782" t="s">
        <v>286</v>
      </c>
      <c r="L64" s="8834" t="s">
        <v>2304</v>
      </c>
      <c r="M64" s="8856">
        <v>0</v>
      </c>
      <c r="N64" s="8823">
        <v>1</v>
      </c>
      <c r="O64" s="8856">
        <v>1</v>
      </c>
      <c r="P64" s="8834" t="s">
        <v>2305</v>
      </c>
      <c r="Q64" s="8834" t="s">
        <v>2306</v>
      </c>
      <c r="R64" s="8957" t="s">
        <v>2253</v>
      </c>
      <c r="S64" s="626"/>
      <c r="T64" s="4849"/>
      <c r="U64" s="4849"/>
      <c r="V64" s="578"/>
      <c r="W64" s="4872"/>
      <c r="X64" s="53"/>
      <c r="Y64" s="4917"/>
      <c r="Z64" s="4917"/>
      <c r="AA64" s="4917"/>
      <c r="AB64" s="4918"/>
      <c r="AC64" s="634"/>
      <c r="AD64" s="377"/>
      <c r="AE64" s="53"/>
      <c r="AF64" s="68"/>
      <c r="AG64" s="68"/>
      <c r="AH64" s="9968"/>
    </row>
    <row r="65" spans="1:34" ht="16.5" customHeight="1">
      <c r="A65" s="9392"/>
      <c r="B65" s="9398"/>
      <c r="C65" s="9954"/>
      <c r="D65" s="9946"/>
      <c r="E65" s="9946"/>
      <c r="F65" s="9946"/>
      <c r="G65" s="9946"/>
      <c r="H65" s="9946"/>
      <c r="I65" s="9946"/>
      <c r="J65" s="9956"/>
      <c r="K65" s="9946"/>
      <c r="L65" s="9946"/>
      <c r="M65" s="9313"/>
      <c r="N65" s="9313"/>
      <c r="O65" s="9313"/>
      <c r="P65" s="9311"/>
      <c r="Q65" s="9311"/>
      <c r="R65" s="9315"/>
      <c r="S65" s="622"/>
      <c r="T65" s="4853"/>
      <c r="U65" s="4853"/>
      <c r="V65" s="575"/>
      <c r="W65" s="4869"/>
      <c r="X65" s="48"/>
      <c r="Y65" s="4910"/>
      <c r="Z65" s="4910"/>
      <c r="AA65" s="4910"/>
      <c r="AB65" s="4911"/>
      <c r="AC65" s="632"/>
      <c r="AD65" s="374"/>
      <c r="AE65" s="48"/>
      <c r="AF65" s="48"/>
      <c r="AG65" s="69"/>
      <c r="AH65" s="9969"/>
    </row>
    <row r="66" spans="1:34" ht="16.5" customHeight="1">
      <c r="A66" s="9392"/>
      <c r="B66" s="9398"/>
      <c r="C66" s="9954"/>
      <c r="D66" s="9946"/>
      <c r="E66" s="9946"/>
      <c r="F66" s="9946"/>
      <c r="G66" s="9946"/>
      <c r="H66" s="9946"/>
      <c r="I66" s="9946"/>
      <c r="J66" s="9956"/>
      <c r="K66" s="9946"/>
      <c r="L66" s="9946"/>
      <c r="M66" s="9313"/>
      <c r="N66" s="9313"/>
      <c r="O66" s="9313"/>
      <c r="P66" s="9311"/>
      <c r="Q66" s="9311"/>
      <c r="R66" s="9315"/>
      <c r="S66" s="622"/>
      <c r="T66" s="4853"/>
      <c r="U66" s="4853"/>
      <c r="V66" s="575"/>
      <c r="W66" s="4869"/>
      <c r="X66" s="48"/>
      <c r="Y66" s="4910"/>
      <c r="Z66" s="4910"/>
      <c r="AA66" s="4910"/>
      <c r="AB66" s="4911"/>
      <c r="AC66" s="632"/>
      <c r="AD66" s="374"/>
      <c r="AE66" s="48"/>
      <c r="AF66" s="48"/>
      <c r="AG66" s="51"/>
      <c r="AH66" s="9969"/>
    </row>
    <row r="67" spans="1:34" ht="16.5" customHeight="1">
      <c r="A67" s="9392"/>
      <c r="B67" s="9398"/>
      <c r="C67" s="9954"/>
      <c r="D67" s="9946"/>
      <c r="E67" s="9946"/>
      <c r="F67" s="9946"/>
      <c r="G67" s="9946"/>
      <c r="H67" s="9946"/>
      <c r="I67" s="9946"/>
      <c r="J67" s="9956"/>
      <c r="K67" s="9946"/>
      <c r="L67" s="9946"/>
      <c r="M67" s="9313"/>
      <c r="N67" s="9313"/>
      <c r="O67" s="9313"/>
      <c r="P67" s="9311"/>
      <c r="Q67" s="9311"/>
      <c r="R67" s="9315"/>
      <c r="S67" s="622"/>
      <c r="T67" s="4853"/>
      <c r="U67" s="4853"/>
      <c r="V67" s="575"/>
      <c r="W67" s="4869"/>
      <c r="X67" s="48"/>
      <c r="Y67" s="4910"/>
      <c r="Z67" s="4910"/>
      <c r="AA67" s="4910"/>
      <c r="AB67" s="4911"/>
      <c r="AC67" s="632"/>
      <c r="AD67" s="374"/>
      <c r="AE67" s="48"/>
      <c r="AF67" s="48"/>
      <c r="AG67" s="51"/>
      <c r="AH67" s="9969"/>
    </row>
    <row r="68" spans="1:34" ht="48" customHeight="1">
      <c r="A68" s="9392"/>
      <c r="B68" s="9398"/>
      <c r="C68" s="9955"/>
      <c r="D68" s="9947"/>
      <c r="E68" s="9947"/>
      <c r="F68" s="9947"/>
      <c r="G68" s="9947"/>
      <c r="H68" s="9947"/>
      <c r="I68" s="9947"/>
      <c r="J68" s="9957"/>
      <c r="K68" s="9947"/>
      <c r="L68" s="9947"/>
      <c r="M68" s="9314"/>
      <c r="N68" s="9314"/>
      <c r="O68" s="9314"/>
      <c r="P68" s="9312"/>
      <c r="Q68" s="9312"/>
      <c r="R68" s="9316"/>
      <c r="S68" s="624"/>
      <c r="T68" s="4855"/>
      <c r="U68" s="4855"/>
      <c r="V68" s="577"/>
      <c r="W68" s="4871"/>
      <c r="X68" s="64"/>
      <c r="Y68" s="4914"/>
      <c r="Z68" s="4914"/>
      <c r="AA68" s="4914"/>
      <c r="AB68" s="4916"/>
      <c r="AC68" s="633"/>
      <c r="AD68" s="376"/>
      <c r="AE68" s="64"/>
      <c r="AF68" s="64"/>
      <c r="AG68" s="65"/>
      <c r="AH68" s="9970"/>
    </row>
    <row r="69" spans="1:34" ht="16.5" customHeight="1">
      <c r="A69" s="9392"/>
      <c r="B69" s="9398"/>
      <c r="C69" s="9223" t="s">
        <v>127</v>
      </c>
      <c r="D69" s="8782" t="s">
        <v>128</v>
      </c>
      <c r="E69" s="8782" t="s">
        <v>129</v>
      </c>
      <c r="F69" s="8782" t="s">
        <v>508</v>
      </c>
      <c r="G69" s="8977" t="s">
        <v>131</v>
      </c>
      <c r="H69" s="8782" t="s">
        <v>213</v>
      </c>
      <c r="I69" s="8782" t="s">
        <v>159</v>
      </c>
      <c r="J69" s="9261" t="s">
        <v>2307</v>
      </c>
      <c r="K69" s="8782" t="s">
        <v>338</v>
      </c>
      <c r="L69" s="8782" t="s">
        <v>1379</v>
      </c>
      <c r="M69" s="8823">
        <v>80</v>
      </c>
      <c r="N69" s="1677"/>
      <c r="O69" s="8823">
        <v>100</v>
      </c>
      <c r="P69" s="8782" t="s">
        <v>2308</v>
      </c>
      <c r="Q69" s="8782" t="s">
        <v>1805</v>
      </c>
      <c r="R69" s="8957" t="s">
        <v>2309</v>
      </c>
      <c r="S69" s="628"/>
      <c r="T69" s="4859"/>
      <c r="U69" s="4859"/>
      <c r="V69" s="589"/>
      <c r="W69" s="4874"/>
      <c r="X69" s="76"/>
      <c r="Y69" s="4922"/>
      <c r="Z69" s="4922"/>
      <c r="AA69" s="4922"/>
      <c r="AB69" s="4923"/>
      <c r="AC69" s="636"/>
      <c r="AD69" s="378"/>
      <c r="AE69" s="76"/>
      <c r="AF69" s="79"/>
      <c r="AG69" s="79"/>
      <c r="AH69" s="9971"/>
    </row>
    <row r="70" spans="1:34" ht="16.5" customHeight="1">
      <c r="A70" s="9392"/>
      <c r="B70" s="9398"/>
      <c r="C70" s="9954"/>
      <c r="D70" s="9946"/>
      <c r="E70" s="9946"/>
      <c r="F70" s="9946"/>
      <c r="G70" s="9946"/>
      <c r="H70" s="9946"/>
      <c r="I70" s="9946"/>
      <c r="J70" s="9956"/>
      <c r="K70" s="9946"/>
      <c r="L70" s="9946"/>
      <c r="M70" s="9313"/>
      <c r="N70" s="1676"/>
      <c r="O70" s="9313"/>
      <c r="P70" s="9311"/>
      <c r="Q70" s="9311"/>
      <c r="R70" s="9315"/>
      <c r="S70" s="623"/>
      <c r="T70" s="4860"/>
      <c r="U70" s="4860"/>
      <c r="V70" s="575"/>
      <c r="W70" s="4869"/>
      <c r="X70" s="48"/>
      <c r="Y70" s="4910"/>
      <c r="Z70" s="4910"/>
      <c r="AA70" s="4910"/>
      <c r="AB70" s="4911"/>
      <c r="AC70" s="632"/>
      <c r="AD70" s="374"/>
      <c r="AE70" s="48"/>
      <c r="AF70" s="51"/>
      <c r="AG70" s="51"/>
      <c r="AH70" s="9969"/>
    </row>
    <row r="71" spans="1:34" ht="16.5" customHeight="1">
      <c r="A71" s="9392"/>
      <c r="B71" s="9398"/>
      <c r="C71" s="9954"/>
      <c r="D71" s="9946"/>
      <c r="E71" s="9946"/>
      <c r="F71" s="9946"/>
      <c r="G71" s="9946"/>
      <c r="H71" s="9946"/>
      <c r="I71" s="9946"/>
      <c r="J71" s="9956"/>
      <c r="K71" s="9946"/>
      <c r="L71" s="9946"/>
      <c r="M71" s="9313"/>
      <c r="N71" s="1676"/>
      <c r="O71" s="9313"/>
      <c r="P71" s="9311"/>
      <c r="Q71" s="9311"/>
      <c r="R71" s="9315"/>
      <c r="S71" s="622"/>
      <c r="T71" s="4853"/>
      <c r="U71" s="4853"/>
      <c r="V71" s="575"/>
      <c r="W71" s="4869"/>
      <c r="X71" s="48"/>
      <c r="Y71" s="4910"/>
      <c r="Z71" s="4910"/>
      <c r="AA71" s="4910"/>
      <c r="AB71" s="4911"/>
      <c r="AC71" s="632"/>
      <c r="AD71" s="374"/>
      <c r="AE71" s="48"/>
      <c r="AF71" s="51"/>
      <c r="AG71" s="51"/>
      <c r="AH71" s="9969"/>
    </row>
    <row r="72" spans="1:34" ht="16.5" customHeight="1">
      <c r="A72" s="9392"/>
      <c r="B72" s="9398"/>
      <c r="C72" s="9954"/>
      <c r="D72" s="9946"/>
      <c r="E72" s="9946"/>
      <c r="F72" s="9946"/>
      <c r="G72" s="9946"/>
      <c r="H72" s="9946"/>
      <c r="I72" s="9946"/>
      <c r="J72" s="9956"/>
      <c r="K72" s="9946"/>
      <c r="L72" s="9946"/>
      <c r="M72" s="9313"/>
      <c r="N72" s="1676">
        <v>90</v>
      </c>
      <c r="O72" s="9313"/>
      <c r="P72" s="9311"/>
      <c r="Q72" s="9311"/>
      <c r="R72" s="9315"/>
      <c r="S72" s="622"/>
      <c r="T72" s="4853"/>
      <c r="U72" s="4853"/>
      <c r="V72" s="575"/>
      <c r="W72" s="4869"/>
      <c r="X72" s="48"/>
      <c r="Y72" s="4910"/>
      <c r="Z72" s="4910"/>
      <c r="AA72" s="4910"/>
      <c r="AB72" s="4911"/>
      <c r="AC72" s="632"/>
      <c r="AD72" s="374"/>
      <c r="AE72" s="48"/>
      <c r="AF72" s="51"/>
      <c r="AG72" s="51"/>
      <c r="AH72" s="9969"/>
    </row>
    <row r="73" spans="1:34" ht="51" customHeight="1">
      <c r="A73" s="9392"/>
      <c r="B73" s="9398"/>
      <c r="C73" s="9955"/>
      <c r="D73" s="9947"/>
      <c r="E73" s="9947"/>
      <c r="F73" s="9947"/>
      <c r="G73" s="9947"/>
      <c r="H73" s="9947"/>
      <c r="I73" s="9947"/>
      <c r="J73" s="9957"/>
      <c r="K73" s="9947"/>
      <c r="L73" s="9947"/>
      <c r="M73" s="9314"/>
      <c r="N73" s="1697"/>
      <c r="O73" s="9314"/>
      <c r="P73" s="9312"/>
      <c r="Q73" s="9312"/>
      <c r="R73" s="9316"/>
      <c r="S73" s="624"/>
      <c r="T73" s="4855"/>
      <c r="U73" s="4855"/>
      <c r="V73" s="577"/>
      <c r="W73" s="4871"/>
      <c r="X73" s="64"/>
      <c r="Y73" s="4914"/>
      <c r="Z73" s="4914"/>
      <c r="AA73" s="4914"/>
      <c r="AB73" s="4916"/>
      <c r="AC73" s="633"/>
      <c r="AD73" s="376"/>
      <c r="AE73" s="64"/>
      <c r="AF73" s="65"/>
      <c r="AG73" s="65"/>
      <c r="AH73" s="9970"/>
    </row>
    <row r="74" spans="1:34" s="4835" customFormat="1" ht="36" customHeight="1">
      <c r="A74" s="9392"/>
      <c r="B74" s="9953"/>
      <c r="C74" s="5022"/>
      <c r="D74" s="5022"/>
      <c r="E74" s="5022"/>
      <c r="F74" s="5022"/>
      <c r="G74" s="5022"/>
      <c r="H74" s="5022"/>
      <c r="I74" s="5022"/>
      <c r="J74" s="5022"/>
      <c r="K74" s="5022"/>
      <c r="L74" s="5022"/>
      <c r="M74" s="5081"/>
      <c r="N74" s="5081"/>
      <c r="O74" s="5081"/>
      <c r="P74" s="5082"/>
      <c r="Q74" s="5082"/>
      <c r="R74" s="5082"/>
      <c r="S74" s="9044" t="s">
        <v>2310</v>
      </c>
      <c r="T74" s="9327"/>
      <c r="U74" s="9327"/>
      <c r="V74" s="9327"/>
      <c r="W74" s="9327"/>
      <c r="X74" s="9327"/>
      <c r="Y74" s="9327"/>
      <c r="Z74" s="9327"/>
      <c r="AA74" s="465" t="s">
        <v>292</v>
      </c>
      <c r="AB74" s="6956">
        <f>SUM(AB9:AB73)</f>
        <v>0</v>
      </c>
      <c r="AC74" s="5019"/>
      <c r="AD74" s="5019"/>
      <c r="AE74" s="9273"/>
      <c r="AF74" s="8773"/>
      <c r="AG74" s="8773"/>
      <c r="AH74" s="8774"/>
    </row>
    <row r="75" spans="1:34" ht="33.75" customHeight="1">
      <c r="A75" s="9392"/>
      <c r="B75" s="9246" t="s">
        <v>2311</v>
      </c>
      <c r="C75" s="9124" t="s">
        <v>183</v>
      </c>
      <c r="D75" s="8835" t="s">
        <v>227</v>
      </c>
      <c r="E75" s="8835" t="s">
        <v>490</v>
      </c>
      <c r="F75" s="8835" t="s">
        <v>2210</v>
      </c>
      <c r="G75" s="9164" t="s">
        <v>230</v>
      </c>
      <c r="H75" s="8835" t="s">
        <v>231</v>
      </c>
      <c r="I75" s="8835" t="s">
        <v>133</v>
      </c>
      <c r="J75" s="9964" t="s">
        <v>2312</v>
      </c>
      <c r="K75" s="9965" t="s">
        <v>2313</v>
      </c>
      <c r="L75" s="8835" t="s">
        <v>2314</v>
      </c>
      <c r="M75" s="9169">
        <v>1</v>
      </c>
      <c r="N75" s="9169">
        <v>0</v>
      </c>
      <c r="O75" s="9169">
        <v>1</v>
      </c>
      <c r="P75" s="8835" t="s">
        <v>2315</v>
      </c>
      <c r="Q75" s="8835" t="s">
        <v>2316</v>
      </c>
      <c r="R75" s="9175" t="s">
        <v>2317</v>
      </c>
      <c r="S75" s="621" t="s">
        <v>15</v>
      </c>
      <c r="T75" s="6780">
        <v>840107</v>
      </c>
      <c r="U75" s="4853"/>
      <c r="V75" s="600" t="s">
        <v>2254</v>
      </c>
      <c r="W75" s="4861"/>
      <c r="X75" s="43"/>
      <c r="Y75" s="4896"/>
      <c r="Z75" s="4910"/>
      <c r="AA75" s="4910"/>
      <c r="AB75" s="4897">
        <f>SUM($AA$76:$AA$78)</f>
        <v>0</v>
      </c>
      <c r="AC75" s="637"/>
      <c r="AD75" s="373"/>
      <c r="AE75" s="43"/>
      <c r="AF75" s="45"/>
      <c r="AG75" s="45"/>
      <c r="AH75" s="8983" t="s">
        <v>548</v>
      </c>
    </row>
    <row r="76" spans="1:34" ht="21" customHeight="1">
      <c r="A76" s="9392"/>
      <c r="B76" s="9398"/>
      <c r="C76" s="9954"/>
      <c r="D76" s="9946"/>
      <c r="E76" s="9946"/>
      <c r="F76" s="9946"/>
      <c r="G76" s="9946"/>
      <c r="H76" s="9946"/>
      <c r="I76" s="9946"/>
      <c r="J76" s="9949"/>
      <c r="K76" s="9966"/>
      <c r="L76" s="9946"/>
      <c r="M76" s="9313"/>
      <c r="N76" s="9313"/>
      <c r="O76" s="9313"/>
      <c r="P76" s="9311"/>
      <c r="Q76" s="9311"/>
      <c r="R76" s="9315"/>
      <c r="S76" s="622"/>
      <c r="T76" s="4853"/>
      <c r="U76" s="4853">
        <v>4522000114</v>
      </c>
      <c r="V76" s="631" t="s">
        <v>2318</v>
      </c>
      <c r="W76" s="4869">
        <v>2</v>
      </c>
      <c r="X76" s="48" t="s">
        <v>180</v>
      </c>
      <c r="Y76" s="4910">
        <v>0</v>
      </c>
      <c r="Z76" s="4910">
        <f t="shared" ref="Z76:Z77" si="2">+W76*Y76</f>
        <v>0</v>
      </c>
      <c r="AA76" s="4910">
        <f t="shared" ref="AA76:AA77" si="3">+Z76*1.12</f>
        <v>0</v>
      </c>
      <c r="AB76" s="4911"/>
      <c r="AC76" s="632"/>
      <c r="AD76" s="374"/>
      <c r="AE76" s="48" t="s">
        <v>153</v>
      </c>
      <c r="AF76" s="51"/>
      <c r="AG76" s="51"/>
      <c r="AH76" s="8785"/>
    </row>
    <row r="77" spans="1:34" ht="21" customHeight="1">
      <c r="A77" s="9392"/>
      <c r="B77" s="9398"/>
      <c r="C77" s="9954"/>
      <c r="D77" s="9946"/>
      <c r="E77" s="9946"/>
      <c r="F77" s="9946"/>
      <c r="G77" s="9946"/>
      <c r="H77" s="9946"/>
      <c r="I77" s="9946"/>
      <c r="J77" s="9949"/>
      <c r="K77" s="9966"/>
      <c r="L77" s="9946"/>
      <c r="M77" s="9313"/>
      <c r="N77" s="9313"/>
      <c r="O77" s="9313"/>
      <c r="P77" s="9311"/>
      <c r="Q77" s="9311"/>
      <c r="R77" s="9315"/>
      <c r="S77" s="623"/>
      <c r="T77" s="4860"/>
      <c r="U77" s="6948">
        <v>473130013</v>
      </c>
      <c r="V77" s="581" t="s">
        <v>2319</v>
      </c>
      <c r="W77" s="4872">
        <v>1</v>
      </c>
      <c r="X77" s="53" t="s">
        <v>180</v>
      </c>
      <c r="Y77" s="4910">
        <v>0</v>
      </c>
      <c r="Z77" s="4910">
        <f t="shared" si="2"/>
        <v>0</v>
      </c>
      <c r="AA77" s="4910">
        <f t="shared" si="3"/>
        <v>0</v>
      </c>
      <c r="AB77" s="4911"/>
      <c r="AC77" s="632"/>
      <c r="AD77" s="374"/>
      <c r="AE77" s="48" t="s">
        <v>153</v>
      </c>
      <c r="AF77" s="51"/>
      <c r="AG77" s="51"/>
      <c r="AH77" s="8785"/>
    </row>
    <row r="78" spans="1:34" ht="21" customHeight="1">
      <c r="A78" s="9392"/>
      <c r="B78" s="9398"/>
      <c r="C78" s="9954"/>
      <c r="D78" s="9946"/>
      <c r="E78" s="9946"/>
      <c r="F78" s="9946"/>
      <c r="G78" s="9946"/>
      <c r="H78" s="9946"/>
      <c r="I78" s="9946"/>
      <c r="J78" s="9949"/>
      <c r="K78" s="9966"/>
      <c r="L78" s="9946"/>
      <c r="M78" s="9313"/>
      <c r="N78" s="9313"/>
      <c r="O78" s="9313"/>
      <c r="P78" s="9311"/>
      <c r="Q78" s="9311"/>
      <c r="R78" s="9315"/>
      <c r="S78" s="626"/>
      <c r="T78" s="4853"/>
      <c r="U78" s="4853"/>
      <c r="V78" s="575"/>
      <c r="W78" s="6952"/>
      <c r="X78" s="53"/>
      <c r="Y78" s="4917"/>
      <c r="Z78" s="4910"/>
      <c r="AA78" s="4910"/>
      <c r="AB78" s="4911"/>
      <c r="AC78" s="632"/>
      <c r="AD78" s="374"/>
      <c r="AE78" s="48"/>
      <c r="AF78" s="51"/>
      <c r="AG78" s="51"/>
      <c r="AH78" s="8785"/>
    </row>
    <row r="79" spans="1:34" ht="21" customHeight="1">
      <c r="A79" s="9392"/>
      <c r="B79" s="9398"/>
      <c r="C79" s="9955"/>
      <c r="D79" s="9947"/>
      <c r="E79" s="9947"/>
      <c r="F79" s="9947"/>
      <c r="G79" s="9947"/>
      <c r="H79" s="9947"/>
      <c r="I79" s="9947"/>
      <c r="J79" s="9950"/>
      <c r="K79" s="9967"/>
      <c r="L79" s="9947"/>
      <c r="M79" s="9314"/>
      <c r="N79" s="9314"/>
      <c r="O79" s="9314"/>
      <c r="P79" s="9312"/>
      <c r="Q79" s="9312"/>
      <c r="R79" s="9316"/>
      <c r="S79" s="624"/>
      <c r="T79" s="4856"/>
      <c r="U79" s="4855"/>
      <c r="V79" s="577"/>
      <c r="W79" s="6953"/>
      <c r="X79" s="64"/>
      <c r="Y79" s="4914"/>
      <c r="Z79" s="4914"/>
      <c r="AA79" s="4914"/>
      <c r="AB79" s="4916"/>
      <c r="AC79" s="633"/>
      <c r="AD79" s="376"/>
      <c r="AE79" s="64"/>
      <c r="AF79" s="65"/>
      <c r="AG79" s="65"/>
      <c r="AH79" s="8794"/>
    </row>
    <row r="80" spans="1:34" ht="18" customHeight="1">
      <c r="A80" s="9392"/>
      <c r="B80" s="9398"/>
      <c r="C80" s="9125" t="s">
        <v>183</v>
      </c>
      <c r="D80" s="8834" t="s">
        <v>227</v>
      </c>
      <c r="E80" s="8834" t="s">
        <v>228</v>
      </c>
      <c r="F80" s="8834" t="s">
        <v>255</v>
      </c>
      <c r="G80" s="8974" t="s">
        <v>230</v>
      </c>
      <c r="H80" s="8834" t="s">
        <v>132</v>
      </c>
      <c r="I80" s="8834" t="s">
        <v>159</v>
      </c>
      <c r="J80" s="9963" t="s">
        <v>2320</v>
      </c>
      <c r="K80" s="9696" t="s">
        <v>2321</v>
      </c>
      <c r="L80" s="8834" t="s">
        <v>2322</v>
      </c>
      <c r="M80" s="8856">
        <v>1</v>
      </c>
      <c r="N80" s="8823">
        <v>0</v>
      </c>
      <c r="O80" s="8856">
        <v>1</v>
      </c>
      <c r="P80" s="8834" t="s">
        <v>2323</v>
      </c>
      <c r="Q80" s="8834" t="s">
        <v>2324</v>
      </c>
      <c r="R80" s="8957" t="s">
        <v>2317</v>
      </c>
      <c r="S80" s="626"/>
      <c r="T80" s="4860"/>
      <c r="U80" s="4860"/>
      <c r="V80" s="576"/>
      <c r="W80" s="6952"/>
      <c r="X80" s="53"/>
      <c r="Y80" s="4917"/>
      <c r="Z80" s="4917"/>
      <c r="AA80" s="4917"/>
      <c r="AB80" s="4918"/>
      <c r="AC80" s="634"/>
      <c r="AD80" s="377"/>
      <c r="AE80" s="53"/>
      <c r="AF80" s="68"/>
      <c r="AG80" s="68"/>
      <c r="AH80" s="9968"/>
    </row>
    <row r="81" spans="1:34" ht="18" customHeight="1">
      <c r="A81" s="9392"/>
      <c r="B81" s="9398"/>
      <c r="C81" s="9954"/>
      <c r="D81" s="9946"/>
      <c r="E81" s="9946"/>
      <c r="F81" s="9946"/>
      <c r="G81" s="9946"/>
      <c r="H81" s="9946"/>
      <c r="I81" s="9946"/>
      <c r="J81" s="9960"/>
      <c r="K81" s="9951"/>
      <c r="L81" s="9946"/>
      <c r="M81" s="9313"/>
      <c r="N81" s="9313"/>
      <c r="O81" s="9313"/>
      <c r="P81" s="9311"/>
      <c r="Q81" s="9311"/>
      <c r="R81" s="9315"/>
      <c r="S81" s="622"/>
      <c r="T81" s="4853"/>
      <c r="U81" s="4853"/>
      <c r="V81" s="631"/>
      <c r="W81" s="4869"/>
      <c r="X81" s="48"/>
      <c r="Y81" s="4910"/>
      <c r="Z81" s="4910"/>
      <c r="AA81" s="4910"/>
      <c r="AB81" s="4911"/>
      <c r="AC81" s="632"/>
      <c r="AD81" s="374"/>
      <c r="AE81" s="48"/>
      <c r="AF81" s="48"/>
      <c r="AG81" s="69"/>
      <c r="AH81" s="9969"/>
    </row>
    <row r="82" spans="1:34" ht="18" customHeight="1">
      <c r="A82" s="9392"/>
      <c r="B82" s="9398"/>
      <c r="C82" s="9954"/>
      <c r="D82" s="9946"/>
      <c r="E82" s="9946"/>
      <c r="F82" s="9946"/>
      <c r="G82" s="9946"/>
      <c r="H82" s="9946"/>
      <c r="I82" s="9946"/>
      <c r="J82" s="9960"/>
      <c r="K82" s="9951"/>
      <c r="L82" s="9946"/>
      <c r="M82" s="9313"/>
      <c r="N82" s="9313"/>
      <c r="O82" s="9313"/>
      <c r="P82" s="9311"/>
      <c r="Q82" s="9311"/>
      <c r="R82" s="9315"/>
      <c r="S82" s="622"/>
      <c r="T82" s="4853"/>
      <c r="U82" s="4853"/>
      <c r="V82" s="575"/>
      <c r="W82" s="4869"/>
      <c r="X82" s="48"/>
      <c r="Y82" s="4910"/>
      <c r="Z82" s="4910"/>
      <c r="AA82" s="4910"/>
      <c r="AB82" s="4911"/>
      <c r="AC82" s="632"/>
      <c r="AD82" s="374"/>
      <c r="AE82" s="48"/>
      <c r="AF82" s="48"/>
      <c r="AG82" s="51"/>
      <c r="AH82" s="9969"/>
    </row>
    <row r="83" spans="1:34" ht="18" customHeight="1">
      <c r="A83" s="9392"/>
      <c r="B83" s="9398"/>
      <c r="C83" s="9954"/>
      <c r="D83" s="9946"/>
      <c r="E83" s="9946"/>
      <c r="F83" s="9946"/>
      <c r="G83" s="9946"/>
      <c r="H83" s="9946"/>
      <c r="I83" s="9946"/>
      <c r="J83" s="9960"/>
      <c r="K83" s="9951"/>
      <c r="L83" s="9946"/>
      <c r="M83" s="9313"/>
      <c r="N83" s="9313"/>
      <c r="O83" s="9313"/>
      <c r="P83" s="9311"/>
      <c r="Q83" s="9311"/>
      <c r="R83" s="9315"/>
      <c r="S83" s="622"/>
      <c r="T83" s="4853"/>
      <c r="U83" s="4853"/>
      <c r="V83" s="575"/>
      <c r="W83" s="4869"/>
      <c r="X83" s="48"/>
      <c r="Y83" s="4910"/>
      <c r="Z83" s="4910"/>
      <c r="AA83" s="4910"/>
      <c r="AB83" s="4911"/>
      <c r="AC83" s="632"/>
      <c r="AD83" s="374"/>
      <c r="AE83" s="48"/>
      <c r="AF83" s="48"/>
      <c r="AG83" s="51"/>
      <c r="AH83" s="9969"/>
    </row>
    <row r="84" spans="1:34" ht="38.25" customHeight="1">
      <c r="A84" s="9392"/>
      <c r="B84" s="9398"/>
      <c r="C84" s="9955"/>
      <c r="D84" s="9947"/>
      <c r="E84" s="9947"/>
      <c r="F84" s="9947"/>
      <c r="G84" s="9947"/>
      <c r="H84" s="9947"/>
      <c r="I84" s="9947"/>
      <c r="J84" s="9961"/>
      <c r="K84" s="9952"/>
      <c r="L84" s="9947"/>
      <c r="M84" s="9314"/>
      <c r="N84" s="9314"/>
      <c r="O84" s="9314"/>
      <c r="P84" s="9312"/>
      <c r="Q84" s="9312"/>
      <c r="R84" s="9316"/>
      <c r="S84" s="624"/>
      <c r="T84" s="4855"/>
      <c r="U84" s="4855"/>
      <c r="V84" s="577"/>
      <c r="W84" s="4871"/>
      <c r="X84" s="64"/>
      <c r="Y84" s="4914"/>
      <c r="Z84" s="4914"/>
      <c r="AA84" s="4914"/>
      <c r="AB84" s="4916"/>
      <c r="AC84" s="633"/>
      <c r="AD84" s="376"/>
      <c r="AE84" s="64"/>
      <c r="AF84" s="64"/>
      <c r="AG84" s="65"/>
      <c r="AH84" s="9970"/>
    </row>
    <row r="85" spans="1:34" ht="24" customHeight="1">
      <c r="A85" s="9392"/>
      <c r="B85" s="9398"/>
      <c r="C85" s="9223" t="s">
        <v>183</v>
      </c>
      <c r="D85" s="8782" t="s">
        <v>227</v>
      </c>
      <c r="E85" s="8782" t="s">
        <v>490</v>
      </c>
      <c r="F85" s="8782" t="s">
        <v>1484</v>
      </c>
      <c r="G85" s="8977" t="s">
        <v>230</v>
      </c>
      <c r="H85" s="8782" t="s">
        <v>132</v>
      </c>
      <c r="I85" s="8782" t="s">
        <v>133</v>
      </c>
      <c r="J85" s="9948" t="s">
        <v>2325</v>
      </c>
      <c r="K85" s="9696" t="s">
        <v>2326</v>
      </c>
      <c r="L85" s="8782" t="s">
        <v>2327</v>
      </c>
      <c r="M85" s="8823">
        <v>0</v>
      </c>
      <c r="N85" s="1677"/>
      <c r="O85" s="8823">
        <v>3</v>
      </c>
      <c r="P85" s="8782" t="s">
        <v>2328</v>
      </c>
      <c r="Q85" s="8782" t="s">
        <v>2329</v>
      </c>
      <c r="R85" s="8982" t="s">
        <v>2317</v>
      </c>
      <c r="S85" s="628"/>
      <c r="T85" s="4849"/>
      <c r="U85" s="4849"/>
      <c r="V85" s="580"/>
      <c r="W85" s="4872"/>
      <c r="X85" s="53"/>
      <c r="Y85" s="4917"/>
      <c r="Z85" s="4917"/>
      <c r="AA85" s="4917"/>
      <c r="AB85" s="4918"/>
      <c r="AC85" s="634"/>
      <c r="AD85" s="377"/>
      <c r="AE85" s="53"/>
      <c r="AF85" s="73"/>
      <c r="AG85" s="73"/>
      <c r="AH85" s="9971"/>
    </row>
    <row r="86" spans="1:34" ht="24" customHeight="1">
      <c r="A86" s="9392"/>
      <c r="B86" s="9398"/>
      <c r="C86" s="9954"/>
      <c r="D86" s="9946"/>
      <c r="E86" s="9946"/>
      <c r="F86" s="9946"/>
      <c r="G86" s="9946"/>
      <c r="H86" s="9946"/>
      <c r="I86" s="9946"/>
      <c r="J86" s="9949"/>
      <c r="K86" s="9951"/>
      <c r="L86" s="9946"/>
      <c r="M86" s="9313"/>
      <c r="N86" s="1676"/>
      <c r="O86" s="9313"/>
      <c r="P86" s="9311"/>
      <c r="Q86" s="9311"/>
      <c r="R86" s="9315"/>
      <c r="S86" s="623"/>
      <c r="T86" s="4860"/>
      <c r="U86" s="4860"/>
      <c r="V86" s="575"/>
      <c r="W86" s="4869"/>
      <c r="X86" s="48"/>
      <c r="Y86" s="4910"/>
      <c r="Z86" s="4910"/>
      <c r="AA86" s="4910"/>
      <c r="AB86" s="4911"/>
      <c r="AC86" s="632"/>
      <c r="AD86" s="374"/>
      <c r="AE86" s="48"/>
      <c r="AF86" s="51"/>
      <c r="AG86" s="51"/>
      <c r="AH86" s="9969"/>
    </row>
    <row r="87" spans="1:34" ht="24" customHeight="1">
      <c r="A87" s="9392"/>
      <c r="B87" s="9398"/>
      <c r="C87" s="9954"/>
      <c r="D87" s="9946"/>
      <c r="E87" s="9946"/>
      <c r="F87" s="9946"/>
      <c r="G87" s="9946"/>
      <c r="H87" s="9946"/>
      <c r="I87" s="9946"/>
      <c r="J87" s="9949"/>
      <c r="K87" s="9951"/>
      <c r="L87" s="9946"/>
      <c r="M87" s="9313"/>
      <c r="N87" s="1676">
        <v>3</v>
      </c>
      <c r="O87" s="9313"/>
      <c r="P87" s="9311"/>
      <c r="Q87" s="9311"/>
      <c r="R87" s="9315"/>
      <c r="S87" s="622"/>
      <c r="T87" s="4853"/>
      <c r="U87" s="4853"/>
      <c r="V87" s="575"/>
      <c r="W87" s="4869"/>
      <c r="X87" s="48"/>
      <c r="Y87" s="4910"/>
      <c r="Z87" s="4910"/>
      <c r="AA87" s="4910"/>
      <c r="AB87" s="4911"/>
      <c r="AC87" s="632"/>
      <c r="AD87" s="374"/>
      <c r="AE87" s="48"/>
      <c r="AF87" s="51"/>
      <c r="AG87" s="51"/>
      <c r="AH87" s="9969"/>
    </row>
    <row r="88" spans="1:34" ht="24" customHeight="1">
      <c r="A88" s="9392"/>
      <c r="B88" s="9398"/>
      <c r="C88" s="9954"/>
      <c r="D88" s="9946"/>
      <c r="E88" s="9946"/>
      <c r="F88" s="9946"/>
      <c r="G88" s="9946"/>
      <c r="H88" s="9946"/>
      <c r="I88" s="9946"/>
      <c r="J88" s="9949"/>
      <c r="K88" s="9951"/>
      <c r="L88" s="9946"/>
      <c r="M88" s="9313"/>
      <c r="N88" s="1676"/>
      <c r="O88" s="9313"/>
      <c r="P88" s="9311"/>
      <c r="Q88" s="9311"/>
      <c r="R88" s="9315"/>
      <c r="S88" s="622"/>
      <c r="T88" s="4853"/>
      <c r="U88" s="4853"/>
      <c r="V88" s="575"/>
      <c r="W88" s="4869"/>
      <c r="X88" s="48"/>
      <c r="Y88" s="4910"/>
      <c r="Z88" s="4910"/>
      <c r="AA88" s="4910"/>
      <c r="AB88" s="4911"/>
      <c r="AC88" s="632"/>
      <c r="AD88" s="374"/>
      <c r="AE88" s="48"/>
      <c r="AF88" s="51"/>
      <c r="AG88" s="51"/>
      <c r="AH88" s="9969"/>
    </row>
    <row r="89" spans="1:34" ht="24" customHeight="1">
      <c r="A89" s="9392"/>
      <c r="B89" s="9398"/>
      <c r="C89" s="9955"/>
      <c r="D89" s="9947"/>
      <c r="E89" s="9947"/>
      <c r="F89" s="9947"/>
      <c r="G89" s="9947"/>
      <c r="H89" s="9947"/>
      <c r="I89" s="9947"/>
      <c r="J89" s="9950"/>
      <c r="K89" s="9952"/>
      <c r="L89" s="9947"/>
      <c r="M89" s="9314"/>
      <c r="N89" s="1697"/>
      <c r="O89" s="9314"/>
      <c r="P89" s="9312"/>
      <c r="Q89" s="9312"/>
      <c r="R89" s="9316"/>
      <c r="S89" s="624"/>
      <c r="T89" s="4855"/>
      <c r="U89" s="4856"/>
      <c r="V89" s="581"/>
      <c r="W89" s="4870"/>
      <c r="X89" s="453"/>
      <c r="Y89" s="4912"/>
      <c r="Z89" s="4914"/>
      <c r="AA89" s="4914"/>
      <c r="AB89" s="4913"/>
      <c r="AC89" s="635"/>
      <c r="AD89" s="375"/>
      <c r="AE89" s="453"/>
      <c r="AF89" s="456"/>
      <c r="AG89" s="456"/>
      <c r="AH89" s="9970"/>
    </row>
    <row r="90" spans="1:34" ht="29.25" customHeight="1">
      <c r="A90" s="9392"/>
      <c r="B90" s="9398"/>
      <c r="C90" s="9223" t="s">
        <v>183</v>
      </c>
      <c r="D90" s="8782" t="s">
        <v>227</v>
      </c>
      <c r="E90" s="8782" t="s">
        <v>490</v>
      </c>
      <c r="F90" s="8834" t="s">
        <v>2210</v>
      </c>
      <c r="G90" s="8977" t="s">
        <v>230</v>
      </c>
      <c r="H90" s="8782" t="s">
        <v>132</v>
      </c>
      <c r="I90" s="8782" t="s">
        <v>133</v>
      </c>
      <c r="J90" s="9948" t="s">
        <v>2330</v>
      </c>
      <c r="K90" s="9696" t="s">
        <v>2331</v>
      </c>
      <c r="L90" s="8782" t="s">
        <v>2332</v>
      </c>
      <c r="M90" s="8823">
        <v>0</v>
      </c>
      <c r="N90" s="8823">
        <v>0</v>
      </c>
      <c r="O90" s="8823">
        <v>2</v>
      </c>
      <c r="P90" s="8782" t="s">
        <v>2333</v>
      </c>
      <c r="Q90" s="8782" t="s">
        <v>2334</v>
      </c>
      <c r="R90" s="8957" t="s">
        <v>2317</v>
      </c>
      <c r="S90" s="626"/>
      <c r="T90" s="4849"/>
      <c r="U90" s="4849"/>
      <c r="V90" s="579"/>
      <c r="W90" s="4874"/>
      <c r="X90" s="76"/>
      <c r="Y90" s="4922"/>
      <c r="Z90" s="4917"/>
      <c r="AA90" s="4917"/>
      <c r="AB90" s="4923"/>
      <c r="AC90" s="636"/>
      <c r="AD90" s="378"/>
      <c r="AE90" s="76"/>
      <c r="AF90" s="79"/>
      <c r="AG90" s="79"/>
      <c r="AH90" s="9971"/>
    </row>
    <row r="91" spans="1:34" ht="29.25" customHeight="1">
      <c r="A91" s="9392"/>
      <c r="B91" s="9398"/>
      <c r="C91" s="9954"/>
      <c r="D91" s="9946"/>
      <c r="E91" s="9946"/>
      <c r="F91" s="9946"/>
      <c r="G91" s="9946"/>
      <c r="H91" s="9946"/>
      <c r="I91" s="9946"/>
      <c r="J91" s="9949"/>
      <c r="K91" s="9951"/>
      <c r="L91" s="9946"/>
      <c r="M91" s="9313"/>
      <c r="N91" s="9313"/>
      <c r="O91" s="9313"/>
      <c r="P91" s="9311"/>
      <c r="Q91" s="9311"/>
      <c r="R91" s="9315"/>
      <c r="S91" s="622"/>
      <c r="T91" s="4853"/>
      <c r="U91" s="4853"/>
      <c r="V91" s="575"/>
      <c r="W91" s="4869"/>
      <c r="X91" s="48"/>
      <c r="Y91" s="4910"/>
      <c r="Z91" s="4910"/>
      <c r="AA91" s="4910"/>
      <c r="AB91" s="4911"/>
      <c r="AC91" s="632"/>
      <c r="AD91" s="374"/>
      <c r="AE91" s="48"/>
      <c r="AF91" s="51"/>
      <c r="AG91" s="51"/>
      <c r="AH91" s="9969"/>
    </row>
    <row r="92" spans="1:34" ht="29.25" customHeight="1">
      <c r="A92" s="9392"/>
      <c r="B92" s="9398"/>
      <c r="C92" s="9954"/>
      <c r="D92" s="9946"/>
      <c r="E92" s="9946"/>
      <c r="F92" s="9946"/>
      <c r="G92" s="9946"/>
      <c r="H92" s="9946"/>
      <c r="I92" s="9946"/>
      <c r="J92" s="9949"/>
      <c r="K92" s="9951"/>
      <c r="L92" s="9946"/>
      <c r="M92" s="9313"/>
      <c r="N92" s="9313"/>
      <c r="O92" s="9313"/>
      <c r="P92" s="9311"/>
      <c r="Q92" s="9311"/>
      <c r="R92" s="9315"/>
      <c r="S92" s="622"/>
      <c r="T92" s="4853"/>
      <c r="U92" s="4853"/>
      <c r="V92" s="575"/>
      <c r="W92" s="4869"/>
      <c r="X92" s="48"/>
      <c r="Y92" s="4910"/>
      <c r="Z92" s="4910"/>
      <c r="AA92" s="4910"/>
      <c r="AB92" s="4911"/>
      <c r="AC92" s="632"/>
      <c r="AD92" s="374"/>
      <c r="AE92" s="48"/>
      <c r="AF92" s="51"/>
      <c r="AG92" s="51"/>
      <c r="AH92" s="9969"/>
    </row>
    <row r="93" spans="1:34" ht="29.25" customHeight="1">
      <c r="A93" s="9392"/>
      <c r="B93" s="9398"/>
      <c r="C93" s="9954"/>
      <c r="D93" s="9946"/>
      <c r="E93" s="9946"/>
      <c r="F93" s="9946"/>
      <c r="G93" s="9946"/>
      <c r="H93" s="9946"/>
      <c r="I93" s="9946"/>
      <c r="J93" s="9949"/>
      <c r="K93" s="9951"/>
      <c r="L93" s="9946"/>
      <c r="M93" s="9313"/>
      <c r="N93" s="9313"/>
      <c r="O93" s="9313"/>
      <c r="P93" s="9311"/>
      <c r="Q93" s="9311"/>
      <c r="R93" s="9315"/>
      <c r="S93" s="622"/>
      <c r="T93" s="4853"/>
      <c r="U93" s="4853"/>
      <c r="V93" s="575"/>
      <c r="W93" s="4869"/>
      <c r="X93" s="48"/>
      <c r="Y93" s="4910"/>
      <c r="Z93" s="4910"/>
      <c r="AA93" s="4910"/>
      <c r="AB93" s="4911"/>
      <c r="AC93" s="632"/>
      <c r="AD93" s="374"/>
      <c r="AE93" s="48"/>
      <c r="AF93" s="51"/>
      <c r="AG93" s="51"/>
      <c r="AH93" s="9969"/>
    </row>
    <row r="94" spans="1:34" ht="29.25" customHeight="1">
      <c r="A94" s="9392"/>
      <c r="B94" s="9398"/>
      <c r="C94" s="9955"/>
      <c r="D94" s="9947"/>
      <c r="E94" s="9947"/>
      <c r="F94" s="9947"/>
      <c r="G94" s="9947"/>
      <c r="H94" s="9947"/>
      <c r="I94" s="9947"/>
      <c r="J94" s="9950"/>
      <c r="K94" s="9952"/>
      <c r="L94" s="9947"/>
      <c r="M94" s="9314"/>
      <c r="N94" s="9314"/>
      <c r="O94" s="9314"/>
      <c r="P94" s="9312"/>
      <c r="Q94" s="9312"/>
      <c r="R94" s="9316"/>
      <c r="S94" s="624"/>
      <c r="T94" s="4855"/>
      <c r="U94" s="4855"/>
      <c r="V94" s="577"/>
      <c r="W94" s="4871"/>
      <c r="X94" s="64"/>
      <c r="Y94" s="4914"/>
      <c r="Z94" s="4914"/>
      <c r="AA94" s="4914"/>
      <c r="AB94" s="4916"/>
      <c r="AC94" s="633"/>
      <c r="AD94" s="376"/>
      <c r="AE94" s="64"/>
      <c r="AF94" s="65"/>
      <c r="AG94" s="65"/>
      <c r="AH94" s="9970"/>
    </row>
    <row r="95" spans="1:34" ht="50.25" customHeight="1">
      <c r="A95" s="9392"/>
      <c r="B95" s="9398"/>
      <c r="C95" s="9223" t="s">
        <v>127</v>
      </c>
      <c r="D95" s="8782" t="s">
        <v>128</v>
      </c>
      <c r="E95" s="8782" t="s">
        <v>129</v>
      </c>
      <c r="F95" s="8782" t="s">
        <v>336</v>
      </c>
      <c r="G95" s="8977" t="s">
        <v>131</v>
      </c>
      <c r="H95" s="8782" t="s">
        <v>132</v>
      </c>
      <c r="I95" s="8782" t="s">
        <v>189</v>
      </c>
      <c r="J95" s="9948" t="s">
        <v>2335</v>
      </c>
      <c r="K95" s="9696" t="s">
        <v>2336</v>
      </c>
      <c r="L95" s="8782" t="s">
        <v>2337</v>
      </c>
      <c r="M95" s="8823">
        <v>4</v>
      </c>
      <c r="N95" s="8823">
        <v>0</v>
      </c>
      <c r="O95" s="8823">
        <v>4</v>
      </c>
      <c r="P95" s="8782" t="s">
        <v>2338</v>
      </c>
      <c r="Q95" s="8782" t="s">
        <v>2339</v>
      </c>
      <c r="R95" s="8982" t="s">
        <v>2317</v>
      </c>
      <c r="S95" s="626"/>
      <c r="T95" s="6319"/>
      <c r="U95" s="6949"/>
      <c r="V95" s="6080"/>
      <c r="W95" s="4874"/>
      <c r="X95" s="76"/>
      <c r="Y95" s="4922"/>
      <c r="Z95" s="4917"/>
      <c r="AA95" s="4917"/>
      <c r="AB95" s="4923"/>
      <c r="AC95" s="636"/>
      <c r="AD95" s="378"/>
      <c r="AE95" s="76"/>
      <c r="AF95" s="79"/>
      <c r="AG95" s="79"/>
      <c r="AH95" s="9971"/>
    </row>
    <row r="96" spans="1:34" ht="50.25" customHeight="1">
      <c r="A96" s="9392"/>
      <c r="B96" s="9398"/>
      <c r="C96" s="9954"/>
      <c r="D96" s="9946"/>
      <c r="E96" s="9946"/>
      <c r="F96" s="9946"/>
      <c r="G96" s="9946"/>
      <c r="H96" s="9946"/>
      <c r="I96" s="9946"/>
      <c r="J96" s="9949"/>
      <c r="K96" s="9951"/>
      <c r="L96" s="9946"/>
      <c r="M96" s="9313"/>
      <c r="N96" s="9313"/>
      <c r="O96" s="9313"/>
      <c r="P96" s="9311"/>
      <c r="Q96" s="9311"/>
      <c r="R96" s="9315"/>
      <c r="S96" s="622"/>
      <c r="T96" s="6305"/>
      <c r="U96" s="6305"/>
      <c r="V96" s="575"/>
      <c r="W96" s="4869"/>
      <c r="X96" s="48"/>
      <c r="Y96" s="4910"/>
      <c r="Z96" s="4910"/>
      <c r="AA96" s="4910"/>
      <c r="AB96" s="4911"/>
      <c r="AC96" s="632"/>
      <c r="AD96" s="374"/>
      <c r="AE96" s="48"/>
      <c r="AF96" s="51"/>
      <c r="AG96" s="51"/>
      <c r="AH96" s="9969"/>
    </row>
    <row r="97" spans="1:34" ht="50.25" customHeight="1">
      <c r="A97" s="9392"/>
      <c r="B97" s="9398"/>
      <c r="C97" s="9954"/>
      <c r="D97" s="9946"/>
      <c r="E97" s="9946"/>
      <c r="F97" s="9946"/>
      <c r="G97" s="9946"/>
      <c r="H97" s="9946"/>
      <c r="I97" s="9946"/>
      <c r="J97" s="9949"/>
      <c r="K97" s="9951"/>
      <c r="L97" s="9946"/>
      <c r="M97" s="9313"/>
      <c r="N97" s="9313"/>
      <c r="O97" s="9313"/>
      <c r="P97" s="9311"/>
      <c r="Q97" s="9311"/>
      <c r="R97" s="9315"/>
      <c r="S97" s="622"/>
      <c r="T97" s="6305"/>
      <c r="U97" s="6305"/>
      <c r="V97" s="575"/>
      <c r="W97" s="4869"/>
      <c r="X97" s="48"/>
      <c r="Y97" s="4910"/>
      <c r="Z97" s="4910"/>
      <c r="AA97" s="4910"/>
      <c r="AB97" s="4911"/>
      <c r="AC97" s="632"/>
      <c r="AD97" s="374"/>
      <c r="AE97" s="48"/>
      <c r="AF97" s="51"/>
      <c r="AG97" s="51"/>
      <c r="AH97" s="9969"/>
    </row>
    <row r="98" spans="1:34" ht="50.25" customHeight="1">
      <c r="A98" s="9392"/>
      <c r="B98" s="9398"/>
      <c r="C98" s="9954"/>
      <c r="D98" s="9946"/>
      <c r="E98" s="9946"/>
      <c r="F98" s="9946"/>
      <c r="G98" s="9946"/>
      <c r="H98" s="9946"/>
      <c r="I98" s="9946"/>
      <c r="J98" s="9949"/>
      <c r="K98" s="9951"/>
      <c r="L98" s="9946"/>
      <c r="M98" s="9313"/>
      <c r="N98" s="9313"/>
      <c r="O98" s="9313"/>
      <c r="P98" s="9311"/>
      <c r="Q98" s="9311"/>
      <c r="R98" s="9315"/>
      <c r="S98" s="622"/>
      <c r="T98" s="6305"/>
      <c r="U98" s="6950"/>
      <c r="V98" s="6081"/>
      <c r="W98" s="4869"/>
      <c r="X98" s="48"/>
      <c r="Y98" s="4910"/>
      <c r="Z98" s="4910"/>
      <c r="AA98" s="4910"/>
      <c r="AB98" s="4911"/>
      <c r="AC98" s="632"/>
      <c r="AD98" s="374"/>
      <c r="AE98" s="48"/>
      <c r="AF98" s="51"/>
      <c r="AG98" s="51"/>
      <c r="AH98" s="9969"/>
    </row>
    <row r="99" spans="1:34" ht="50.25" customHeight="1">
      <c r="A99" s="9392"/>
      <c r="B99" s="9398"/>
      <c r="C99" s="9955"/>
      <c r="D99" s="9947"/>
      <c r="E99" s="9947"/>
      <c r="F99" s="9947"/>
      <c r="G99" s="9947"/>
      <c r="H99" s="9947"/>
      <c r="I99" s="9947"/>
      <c r="J99" s="9950"/>
      <c r="K99" s="9952"/>
      <c r="L99" s="9947"/>
      <c r="M99" s="9314"/>
      <c r="N99" s="9314"/>
      <c r="O99" s="9314"/>
      <c r="P99" s="9312"/>
      <c r="Q99" s="9312"/>
      <c r="R99" s="9316"/>
      <c r="S99" s="624"/>
      <c r="T99" s="4856"/>
      <c r="U99" s="4856"/>
      <c r="V99" s="577"/>
      <c r="W99" s="4871"/>
      <c r="X99" s="64"/>
      <c r="Y99" s="4914"/>
      <c r="Z99" s="4914"/>
      <c r="AA99" s="4914"/>
      <c r="AB99" s="4916"/>
      <c r="AC99" s="633"/>
      <c r="AD99" s="376"/>
      <c r="AE99" s="64"/>
      <c r="AF99" s="65"/>
      <c r="AG99" s="65"/>
      <c r="AH99" s="9970"/>
    </row>
    <row r="100" spans="1:34" ht="38.25" customHeight="1">
      <c r="A100" s="9392"/>
      <c r="B100" s="9398"/>
      <c r="C100" s="9125" t="s">
        <v>183</v>
      </c>
      <c r="D100" s="8834" t="s">
        <v>227</v>
      </c>
      <c r="E100" s="8834" t="s">
        <v>490</v>
      </c>
      <c r="F100" s="8834" t="s">
        <v>1484</v>
      </c>
      <c r="G100" s="8974" t="s">
        <v>230</v>
      </c>
      <c r="H100" s="8834" t="s">
        <v>132</v>
      </c>
      <c r="I100" s="8834" t="s">
        <v>159</v>
      </c>
      <c r="J100" s="9948" t="s">
        <v>2340</v>
      </c>
      <c r="K100" s="9696" t="s">
        <v>2341</v>
      </c>
      <c r="L100" s="8834" t="s">
        <v>2342</v>
      </c>
      <c r="M100" s="8856">
        <v>1</v>
      </c>
      <c r="N100" s="8823">
        <v>0</v>
      </c>
      <c r="O100" s="8856">
        <v>1</v>
      </c>
      <c r="P100" s="8834" t="s">
        <v>2343</v>
      </c>
      <c r="Q100" s="8834" t="s">
        <v>2344</v>
      </c>
      <c r="R100" s="8957" t="s">
        <v>2317</v>
      </c>
      <c r="S100" s="626"/>
      <c r="T100" s="4849"/>
      <c r="U100" s="4849"/>
      <c r="V100" s="578"/>
      <c r="W100" s="4872"/>
      <c r="X100" s="53"/>
      <c r="Y100" s="4917"/>
      <c r="Z100" s="4917"/>
      <c r="AA100" s="4917"/>
      <c r="AB100" s="4918"/>
      <c r="AC100" s="634"/>
      <c r="AD100" s="377"/>
      <c r="AE100" s="53"/>
      <c r="AF100" s="73"/>
      <c r="AG100" s="73"/>
      <c r="AH100" s="9968"/>
    </row>
    <row r="101" spans="1:34" ht="38.25" customHeight="1">
      <c r="A101" s="9392"/>
      <c r="B101" s="9398"/>
      <c r="C101" s="9954"/>
      <c r="D101" s="9946"/>
      <c r="E101" s="9946"/>
      <c r="F101" s="9946"/>
      <c r="G101" s="9946"/>
      <c r="H101" s="9946"/>
      <c r="I101" s="9946"/>
      <c r="J101" s="9949"/>
      <c r="K101" s="9951"/>
      <c r="L101" s="9946"/>
      <c r="M101" s="9313"/>
      <c r="N101" s="9313"/>
      <c r="O101" s="9313"/>
      <c r="P101" s="9311"/>
      <c r="Q101" s="9311"/>
      <c r="R101" s="9315"/>
      <c r="S101" s="622"/>
      <c r="T101" s="4853"/>
      <c r="U101" s="4853"/>
      <c r="V101" s="575"/>
      <c r="W101" s="4869"/>
      <c r="X101" s="48"/>
      <c r="Y101" s="4910"/>
      <c r="Z101" s="4910"/>
      <c r="AA101" s="4910"/>
      <c r="AB101" s="4911"/>
      <c r="AC101" s="632"/>
      <c r="AD101" s="374"/>
      <c r="AE101" s="48"/>
      <c r="AF101" s="51"/>
      <c r="AG101" s="51"/>
      <c r="AH101" s="9969"/>
    </row>
    <row r="102" spans="1:34" ht="38.25" customHeight="1">
      <c r="A102" s="9392"/>
      <c r="B102" s="9398"/>
      <c r="C102" s="9954"/>
      <c r="D102" s="9946"/>
      <c r="E102" s="9946"/>
      <c r="F102" s="9946"/>
      <c r="G102" s="9946"/>
      <c r="H102" s="9946"/>
      <c r="I102" s="9946"/>
      <c r="J102" s="9949"/>
      <c r="K102" s="9951"/>
      <c r="L102" s="9946"/>
      <c r="M102" s="9313"/>
      <c r="N102" s="9313"/>
      <c r="O102" s="9313"/>
      <c r="P102" s="9311"/>
      <c r="Q102" s="9311"/>
      <c r="R102" s="9315"/>
      <c r="S102" s="623"/>
      <c r="T102" s="4860"/>
      <c r="U102" s="4860"/>
      <c r="V102" s="576"/>
      <c r="W102" s="4872"/>
      <c r="X102" s="53"/>
      <c r="Y102" s="4917"/>
      <c r="Z102" s="4910"/>
      <c r="AA102" s="4910"/>
      <c r="AB102" s="4911"/>
      <c r="AC102" s="632"/>
      <c r="AD102" s="374"/>
      <c r="AE102" s="48"/>
      <c r="AF102" s="51"/>
      <c r="AG102" s="51"/>
      <c r="AH102" s="9969"/>
    </row>
    <row r="103" spans="1:34" ht="38.25" customHeight="1">
      <c r="A103" s="9392"/>
      <c r="B103" s="9398"/>
      <c r="C103" s="9954"/>
      <c r="D103" s="9946"/>
      <c r="E103" s="9946"/>
      <c r="F103" s="9946"/>
      <c r="G103" s="9946"/>
      <c r="H103" s="9946"/>
      <c r="I103" s="9946"/>
      <c r="J103" s="9949"/>
      <c r="K103" s="9951"/>
      <c r="L103" s="9946"/>
      <c r="M103" s="9313"/>
      <c r="N103" s="9313"/>
      <c r="O103" s="9313"/>
      <c r="P103" s="9311"/>
      <c r="Q103" s="9311"/>
      <c r="R103" s="9315"/>
      <c r="S103" s="626"/>
      <c r="T103" s="4849"/>
      <c r="U103" s="4849"/>
      <c r="V103" s="576"/>
      <c r="W103" s="4872"/>
      <c r="X103" s="53"/>
      <c r="Y103" s="4917"/>
      <c r="Z103" s="4910"/>
      <c r="AA103" s="4910"/>
      <c r="AB103" s="4911"/>
      <c r="AC103" s="632"/>
      <c r="AD103" s="374"/>
      <c r="AE103" s="48"/>
      <c r="AF103" s="51"/>
      <c r="AG103" s="51"/>
      <c r="AH103" s="9969"/>
    </row>
    <row r="104" spans="1:34" ht="38.25" customHeight="1">
      <c r="A104" s="9392"/>
      <c r="B104" s="9398"/>
      <c r="C104" s="9955"/>
      <c r="D104" s="9947"/>
      <c r="E104" s="9947"/>
      <c r="F104" s="9947"/>
      <c r="G104" s="9947"/>
      <c r="H104" s="9947"/>
      <c r="I104" s="9947"/>
      <c r="J104" s="9950"/>
      <c r="K104" s="9952"/>
      <c r="L104" s="9947"/>
      <c r="M104" s="9314"/>
      <c r="N104" s="9314"/>
      <c r="O104" s="9314"/>
      <c r="P104" s="9312"/>
      <c r="Q104" s="9312"/>
      <c r="R104" s="9316"/>
      <c r="S104" s="624"/>
      <c r="T104" s="4855"/>
      <c r="U104" s="4855"/>
      <c r="V104" s="577"/>
      <c r="W104" s="4871"/>
      <c r="X104" s="64"/>
      <c r="Y104" s="4914"/>
      <c r="Z104" s="4914"/>
      <c r="AA104" s="4914"/>
      <c r="AB104" s="4916"/>
      <c r="AC104" s="633"/>
      <c r="AD104" s="376"/>
      <c r="AE104" s="64"/>
      <c r="AF104" s="65"/>
      <c r="AG104" s="65"/>
      <c r="AH104" s="9970"/>
    </row>
    <row r="105" spans="1:34" ht="24" customHeight="1">
      <c r="A105" s="9392"/>
      <c r="B105" s="9398"/>
      <c r="C105" s="9125" t="s">
        <v>183</v>
      </c>
      <c r="D105" s="8834" t="s">
        <v>227</v>
      </c>
      <c r="E105" s="8834" t="s">
        <v>490</v>
      </c>
      <c r="F105" s="8834" t="s">
        <v>2210</v>
      </c>
      <c r="G105" s="8974" t="s">
        <v>230</v>
      </c>
      <c r="H105" s="8834" t="s">
        <v>231</v>
      </c>
      <c r="I105" s="8834" t="s">
        <v>159</v>
      </c>
      <c r="J105" s="9948" t="s">
        <v>2345</v>
      </c>
      <c r="K105" s="9696" t="s">
        <v>2346</v>
      </c>
      <c r="L105" s="8834" t="s">
        <v>2347</v>
      </c>
      <c r="M105" s="8856">
        <v>1</v>
      </c>
      <c r="N105" s="8823">
        <v>0</v>
      </c>
      <c r="O105" s="8856">
        <v>0</v>
      </c>
      <c r="P105" s="8834" t="s">
        <v>2348</v>
      </c>
      <c r="Q105" s="8834" t="s">
        <v>2349</v>
      </c>
      <c r="R105" s="8982" t="s">
        <v>2317</v>
      </c>
      <c r="S105" s="626"/>
      <c r="T105" s="4849"/>
      <c r="U105" s="4849"/>
      <c r="V105" s="578"/>
      <c r="W105" s="4872"/>
      <c r="X105" s="53"/>
      <c r="Y105" s="4917"/>
      <c r="Z105" s="4917"/>
      <c r="AA105" s="4917"/>
      <c r="AB105" s="4918"/>
      <c r="AC105" s="634"/>
      <c r="AD105" s="377"/>
      <c r="AE105" s="53"/>
      <c r="AF105" s="68"/>
      <c r="AG105" s="68"/>
      <c r="AH105" s="9968"/>
    </row>
    <row r="106" spans="1:34" ht="24" customHeight="1">
      <c r="A106" s="9392"/>
      <c r="B106" s="9398"/>
      <c r="C106" s="9954"/>
      <c r="D106" s="9946"/>
      <c r="E106" s="9946"/>
      <c r="F106" s="9946"/>
      <c r="G106" s="9946"/>
      <c r="H106" s="9946"/>
      <c r="I106" s="9946"/>
      <c r="J106" s="9949"/>
      <c r="K106" s="9951"/>
      <c r="L106" s="9946"/>
      <c r="M106" s="9313"/>
      <c r="N106" s="9313"/>
      <c r="O106" s="9313"/>
      <c r="P106" s="9311"/>
      <c r="Q106" s="9311"/>
      <c r="R106" s="9315"/>
      <c r="S106" s="622"/>
      <c r="T106" s="4853"/>
      <c r="U106" s="4853"/>
      <c r="V106" s="575"/>
      <c r="W106" s="4869"/>
      <c r="X106" s="48"/>
      <c r="Y106" s="4910"/>
      <c r="Z106" s="4910"/>
      <c r="AA106" s="4910"/>
      <c r="AB106" s="4911"/>
      <c r="AC106" s="632"/>
      <c r="AD106" s="374"/>
      <c r="AE106" s="48"/>
      <c r="AF106" s="48"/>
      <c r="AG106" s="69"/>
      <c r="AH106" s="9969"/>
    </row>
    <row r="107" spans="1:34" ht="24" customHeight="1">
      <c r="A107" s="9392"/>
      <c r="B107" s="9398"/>
      <c r="C107" s="9954"/>
      <c r="D107" s="9946"/>
      <c r="E107" s="9946"/>
      <c r="F107" s="9946"/>
      <c r="G107" s="9946"/>
      <c r="H107" s="9946"/>
      <c r="I107" s="9946"/>
      <c r="J107" s="9949"/>
      <c r="K107" s="9951"/>
      <c r="L107" s="9946"/>
      <c r="M107" s="9313"/>
      <c r="N107" s="9313"/>
      <c r="O107" s="9313"/>
      <c r="P107" s="9311"/>
      <c r="Q107" s="9311"/>
      <c r="R107" s="9315"/>
      <c r="S107" s="622"/>
      <c r="T107" s="4853"/>
      <c r="U107" s="4853"/>
      <c r="V107" s="575"/>
      <c r="W107" s="4869"/>
      <c r="X107" s="48"/>
      <c r="Y107" s="4910"/>
      <c r="Z107" s="4910"/>
      <c r="AA107" s="4910"/>
      <c r="AB107" s="4911"/>
      <c r="AC107" s="632"/>
      <c r="AD107" s="374"/>
      <c r="AE107" s="48"/>
      <c r="AF107" s="48"/>
      <c r="AG107" s="51"/>
      <c r="AH107" s="9969"/>
    </row>
    <row r="108" spans="1:34" ht="24" customHeight="1">
      <c r="A108" s="9392"/>
      <c r="B108" s="9398"/>
      <c r="C108" s="9954"/>
      <c r="D108" s="9946"/>
      <c r="E108" s="9946"/>
      <c r="F108" s="9946"/>
      <c r="G108" s="9946"/>
      <c r="H108" s="9946"/>
      <c r="I108" s="9946"/>
      <c r="J108" s="9949"/>
      <c r="K108" s="9951"/>
      <c r="L108" s="9946"/>
      <c r="M108" s="9313"/>
      <c r="N108" s="9313"/>
      <c r="O108" s="9313"/>
      <c r="P108" s="9311"/>
      <c r="Q108" s="9311"/>
      <c r="R108" s="9315"/>
      <c r="S108" s="622"/>
      <c r="T108" s="4853"/>
      <c r="U108" s="4853"/>
      <c r="V108" s="575"/>
      <c r="W108" s="4869"/>
      <c r="X108" s="48"/>
      <c r="Y108" s="4910"/>
      <c r="Z108" s="4910"/>
      <c r="AA108" s="4910"/>
      <c r="AB108" s="4911"/>
      <c r="AC108" s="632"/>
      <c r="AD108" s="374"/>
      <c r="AE108" s="48"/>
      <c r="AF108" s="48"/>
      <c r="AG108" s="51"/>
      <c r="AH108" s="9969"/>
    </row>
    <row r="109" spans="1:34" ht="24" customHeight="1">
      <c r="A109" s="9392"/>
      <c r="B109" s="9398"/>
      <c r="C109" s="9955"/>
      <c r="D109" s="9947"/>
      <c r="E109" s="9947"/>
      <c r="F109" s="9947"/>
      <c r="G109" s="9947"/>
      <c r="H109" s="9947"/>
      <c r="I109" s="9947"/>
      <c r="J109" s="9950"/>
      <c r="K109" s="9952"/>
      <c r="L109" s="9947"/>
      <c r="M109" s="9314"/>
      <c r="N109" s="9314"/>
      <c r="O109" s="9314"/>
      <c r="P109" s="9312"/>
      <c r="Q109" s="9312"/>
      <c r="R109" s="9316"/>
      <c r="S109" s="624"/>
      <c r="T109" s="4855"/>
      <c r="U109" s="4855"/>
      <c r="V109" s="577"/>
      <c r="W109" s="4871"/>
      <c r="X109" s="64"/>
      <c r="Y109" s="4914"/>
      <c r="Z109" s="4914"/>
      <c r="AA109" s="4914"/>
      <c r="AB109" s="4916"/>
      <c r="AC109" s="633"/>
      <c r="AD109" s="376"/>
      <c r="AE109" s="64"/>
      <c r="AF109" s="64"/>
      <c r="AG109" s="65"/>
      <c r="AH109" s="9970"/>
    </row>
    <row r="110" spans="1:34" ht="32.25" customHeight="1">
      <c r="A110" s="9392"/>
      <c r="B110" s="9398"/>
      <c r="C110" s="9223" t="s">
        <v>183</v>
      </c>
      <c r="D110" s="8782" t="s">
        <v>227</v>
      </c>
      <c r="E110" s="8782" t="s">
        <v>490</v>
      </c>
      <c r="F110" s="8782" t="s">
        <v>2210</v>
      </c>
      <c r="G110" s="8977" t="s">
        <v>230</v>
      </c>
      <c r="H110" s="8782" t="s">
        <v>132</v>
      </c>
      <c r="I110" s="8782" t="s">
        <v>189</v>
      </c>
      <c r="J110" s="9948" t="s">
        <v>2350</v>
      </c>
      <c r="K110" s="9696" t="s">
        <v>2351</v>
      </c>
      <c r="L110" s="8782" t="s">
        <v>2352</v>
      </c>
      <c r="M110" s="8823">
        <v>1</v>
      </c>
      <c r="N110" s="8823">
        <v>0</v>
      </c>
      <c r="O110" s="8823">
        <v>1</v>
      </c>
      <c r="P110" s="8782" t="s">
        <v>2353</v>
      </c>
      <c r="Q110" s="8782" t="s">
        <v>2354</v>
      </c>
      <c r="R110" s="8957" t="s">
        <v>2317</v>
      </c>
      <c r="S110" s="628"/>
      <c r="T110" s="4849"/>
      <c r="U110" s="4849"/>
      <c r="V110" s="580"/>
      <c r="W110" s="4872"/>
      <c r="X110" s="53"/>
      <c r="Y110" s="4917"/>
      <c r="Z110" s="4917"/>
      <c r="AA110" s="4917"/>
      <c r="AB110" s="4918"/>
      <c r="AC110" s="634"/>
      <c r="AD110" s="377"/>
      <c r="AE110" s="53"/>
      <c r="AF110" s="73"/>
      <c r="AG110" s="73"/>
      <c r="AH110" s="9971"/>
    </row>
    <row r="111" spans="1:34" ht="32.25" customHeight="1">
      <c r="A111" s="9392"/>
      <c r="B111" s="9398"/>
      <c r="C111" s="9954"/>
      <c r="D111" s="9946"/>
      <c r="E111" s="9946"/>
      <c r="F111" s="9946"/>
      <c r="G111" s="9946"/>
      <c r="H111" s="9946"/>
      <c r="I111" s="9946"/>
      <c r="J111" s="9949"/>
      <c r="K111" s="9951"/>
      <c r="L111" s="9946"/>
      <c r="M111" s="9313"/>
      <c r="N111" s="9313"/>
      <c r="O111" s="9313"/>
      <c r="P111" s="9311"/>
      <c r="Q111" s="9311"/>
      <c r="R111" s="9315"/>
      <c r="S111" s="623"/>
      <c r="T111" s="4860"/>
      <c r="U111" s="4860"/>
      <c r="V111" s="575"/>
      <c r="W111" s="4869"/>
      <c r="X111" s="48"/>
      <c r="Y111" s="4910"/>
      <c r="Z111" s="4910"/>
      <c r="AA111" s="4910"/>
      <c r="AB111" s="4911"/>
      <c r="AC111" s="632"/>
      <c r="AD111" s="374"/>
      <c r="AE111" s="48"/>
      <c r="AF111" s="51"/>
      <c r="AG111" s="51"/>
      <c r="AH111" s="9969"/>
    </row>
    <row r="112" spans="1:34" ht="32.25" customHeight="1">
      <c r="A112" s="9392"/>
      <c r="B112" s="9398"/>
      <c r="C112" s="9954"/>
      <c r="D112" s="9946"/>
      <c r="E112" s="9946"/>
      <c r="F112" s="9946"/>
      <c r="G112" s="9946"/>
      <c r="H112" s="9946"/>
      <c r="I112" s="9946"/>
      <c r="J112" s="9949"/>
      <c r="K112" s="9951"/>
      <c r="L112" s="9946"/>
      <c r="M112" s="9313"/>
      <c r="N112" s="9313"/>
      <c r="O112" s="9313"/>
      <c r="P112" s="9311"/>
      <c r="Q112" s="9311"/>
      <c r="R112" s="9315"/>
      <c r="S112" s="622"/>
      <c r="T112" s="4853"/>
      <c r="U112" s="4853"/>
      <c r="V112" s="575"/>
      <c r="W112" s="4869"/>
      <c r="X112" s="48"/>
      <c r="Y112" s="4910"/>
      <c r="Z112" s="4910"/>
      <c r="AA112" s="4910"/>
      <c r="AB112" s="4911"/>
      <c r="AC112" s="632"/>
      <c r="AD112" s="374"/>
      <c r="AE112" s="48"/>
      <c r="AF112" s="51"/>
      <c r="AG112" s="51"/>
      <c r="AH112" s="9969"/>
    </row>
    <row r="113" spans="1:34" ht="32.25" customHeight="1">
      <c r="A113" s="9392"/>
      <c r="B113" s="9398"/>
      <c r="C113" s="9954"/>
      <c r="D113" s="9946"/>
      <c r="E113" s="9946"/>
      <c r="F113" s="9946"/>
      <c r="G113" s="9946"/>
      <c r="H113" s="9946"/>
      <c r="I113" s="9946"/>
      <c r="J113" s="9949"/>
      <c r="K113" s="9951"/>
      <c r="L113" s="9946"/>
      <c r="M113" s="9313"/>
      <c r="N113" s="9313"/>
      <c r="O113" s="9313"/>
      <c r="P113" s="9311"/>
      <c r="Q113" s="9311"/>
      <c r="R113" s="9315"/>
      <c r="S113" s="622"/>
      <c r="T113" s="4853"/>
      <c r="U113" s="4853"/>
      <c r="V113" s="575"/>
      <c r="W113" s="4869"/>
      <c r="X113" s="48"/>
      <c r="Y113" s="4910"/>
      <c r="Z113" s="4910"/>
      <c r="AA113" s="4910"/>
      <c r="AB113" s="4911"/>
      <c r="AC113" s="632"/>
      <c r="AD113" s="374"/>
      <c r="AE113" s="48"/>
      <c r="AF113" s="51"/>
      <c r="AG113" s="51"/>
      <c r="AH113" s="9969"/>
    </row>
    <row r="114" spans="1:34" ht="32.25" customHeight="1">
      <c r="A114" s="9392"/>
      <c r="B114" s="9398"/>
      <c r="C114" s="9955"/>
      <c r="D114" s="9947"/>
      <c r="E114" s="9947"/>
      <c r="F114" s="9947"/>
      <c r="G114" s="9947"/>
      <c r="H114" s="9947"/>
      <c r="I114" s="9947"/>
      <c r="J114" s="9950"/>
      <c r="K114" s="9952"/>
      <c r="L114" s="9947"/>
      <c r="M114" s="9314"/>
      <c r="N114" s="9314"/>
      <c r="O114" s="9314"/>
      <c r="P114" s="9312"/>
      <c r="Q114" s="9312"/>
      <c r="R114" s="9316"/>
      <c r="S114" s="624"/>
      <c r="T114" s="4854"/>
      <c r="U114" s="4854"/>
      <c r="V114" s="581"/>
      <c r="W114" s="4870"/>
      <c r="X114" s="453"/>
      <c r="Y114" s="4912"/>
      <c r="Z114" s="4914"/>
      <c r="AA114" s="4914"/>
      <c r="AB114" s="4913"/>
      <c r="AC114" s="635"/>
      <c r="AD114" s="375"/>
      <c r="AE114" s="453"/>
      <c r="AF114" s="456"/>
      <c r="AG114" s="456"/>
      <c r="AH114" s="9970"/>
    </row>
    <row r="115" spans="1:34" ht="18" customHeight="1">
      <c r="A115" s="9392"/>
      <c r="B115" s="9398"/>
      <c r="C115" s="9223" t="s">
        <v>127</v>
      </c>
      <c r="D115" s="8782" t="s">
        <v>128</v>
      </c>
      <c r="E115" s="8782" t="s">
        <v>140</v>
      </c>
      <c r="F115" s="8782" t="s">
        <v>284</v>
      </c>
      <c r="G115" s="8977" t="s">
        <v>131</v>
      </c>
      <c r="H115" s="8782" t="s">
        <v>213</v>
      </c>
      <c r="I115" s="8782" t="s">
        <v>159</v>
      </c>
      <c r="J115" s="9962" t="s">
        <v>2355</v>
      </c>
      <c r="K115" s="9705" t="s">
        <v>2356</v>
      </c>
      <c r="L115" s="8834" t="s">
        <v>2304</v>
      </c>
      <c r="M115" s="8823">
        <v>0</v>
      </c>
      <c r="N115" s="8823">
        <v>1</v>
      </c>
      <c r="O115" s="8823">
        <v>1</v>
      </c>
      <c r="P115" s="8834" t="s">
        <v>2305</v>
      </c>
      <c r="Q115" s="8834" t="s">
        <v>2306</v>
      </c>
      <c r="R115" s="8982" t="s">
        <v>2317</v>
      </c>
      <c r="S115" s="628"/>
      <c r="T115" s="4859"/>
      <c r="U115" s="4859"/>
      <c r="V115" s="579"/>
      <c r="W115" s="4874"/>
      <c r="X115" s="76"/>
      <c r="Y115" s="4922"/>
      <c r="Z115" s="4922"/>
      <c r="AA115" s="4922"/>
      <c r="AB115" s="4923"/>
      <c r="AC115" s="636"/>
      <c r="AD115" s="378"/>
      <c r="AE115" s="76"/>
      <c r="AF115" s="79"/>
      <c r="AG115" s="79"/>
      <c r="AH115" s="9971"/>
    </row>
    <row r="116" spans="1:34" ht="18" customHeight="1">
      <c r="A116" s="9392"/>
      <c r="B116" s="9398"/>
      <c r="C116" s="9954"/>
      <c r="D116" s="9946"/>
      <c r="E116" s="9946"/>
      <c r="F116" s="9946"/>
      <c r="G116" s="9946"/>
      <c r="H116" s="9946"/>
      <c r="I116" s="9946"/>
      <c r="J116" s="9949"/>
      <c r="K116" s="9951"/>
      <c r="L116" s="9946"/>
      <c r="M116" s="9313"/>
      <c r="N116" s="9313"/>
      <c r="O116" s="9313"/>
      <c r="P116" s="9311"/>
      <c r="Q116" s="9311"/>
      <c r="R116" s="9315"/>
      <c r="S116" s="622"/>
      <c r="T116" s="4853"/>
      <c r="U116" s="4853"/>
      <c r="V116" s="575"/>
      <c r="W116" s="4869"/>
      <c r="X116" s="48"/>
      <c r="Y116" s="4910"/>
      <c r="Z116" s="4910"/>
      <c r="AA116" s="4910"/>
      <c r="AB116" s="4911"/>
      <c r="AC116" s="632"/>
      <c r="AD116" s="374"/>
      <c r="AE116" s="48"/>
      <c r="AF116" s="51"/>
      <c r="AG116" s="51"/>
      <c r="AH116" s="9969"/>
    </row>
    <row r="117" spans="1:34" ht="18" customHeight="1">
      <c r="A117" s="9392"/>
      <c r="B117" s="9398"/>
      <c r="C117" s="9954"/>
      <c r="D117" s="9946"/>
      <c r="E117" s="9946"/>
      <c r="F117" s="9946"/>
      <c r="G117" s="9946"/>
      <c r="H117" s="9946"/>
      <c r="I117" s="9946"/>
      <c r="J117" s="9949"/>
      <c r="K117" s="9951"/>
      <c r="L117" s="9946"/>
      <c r="M117" s="9313"/>
      <c r="N117" s="9313"/>
      <c r="O117" s="9313"/>
      <c r="P117" s="9311"/>
      <c r="Q117" s="9311"/>
      <c r="R117" s="9315"/>
      <c r="S117" s="622"/>
      <c r="T117" s="4853"/>
      <c r="U117" s="4853"/>
      <c r="V117" s="575"/>
      <c r="W117" s="4869"/>
      <c r="X117" s="48"/>
      <c r="Y117" s="4910"/>
      <c r="Z117" s="4910"/>
      <c r="AA117" s="4910"/>
      <c r="AB117" s="4911"/>
      <c r="AC117" s="632"/>
      <c r="AD117" s="374"/>
      <c r="AE117" s="48"/>
      <c r="AF117" s="51"/>
      <c r="AG117" s="51"/>
      <c r="AH117" s="9969"/>
    </row>
    <row r="118" spans="1:34" ht="18" customHeight="1">
      <c r="A118" s="9392"/>
      <c r="B118" s="9398"/>
      <c r="C118" s="9954"/>
      <c r="D118" s="9946"/>
      <c r="E118" s="9946"/>
      <c r="F118" s="9946"/>
      <c r="G118" s="9946"/>
      <c r="H118" s="9946"/>
      <c r="I118" s="9946"/>
      <c r="J118" s="9949"/>
      <c r="K118" s="9951"/>
      <c r="L118" s="9946"/>
      <c r="M118" s="9313"/>
      <c r="N118" s="9313"/>
      <c r="O118" s="9313"/>
      <c r="P118" s="9311"/>
      <c r="Q118" s="9311"/>
      <c r="R118" s="9315"/>
      <c r="S118" s="622"/>
      <c r="T118" s="4853"/>
      <c r="U118" s="4853"/>
      <c r="V118" s="575"/>
      <c r="W118" s="4869"/>
      <c r="X118" s="48"/>
      <c r="Y118" s="4910"/>
      <c r="Z118" s="4910"/>
      <c r="AA118" s="4910"/>
      <c r="AB118" s="4911"/>
      <c r="AC118" s="632"/>
      <c r="AD118" s="374"/>
      <c r="AE118" s="48"/>
      <c r="AF118" s="51"/>
      <c r="AG118" s="51"/>
      <c r="AH118" s="9969"/>
    </row>
    <row r="119" spans="1:34" ht="45.75" customHeight="1">
      <c r="A119" s="9392"/>
      <c r="B119" s="9398"/>
      <c r="C119" s="9955"/>
      <c r="D119" s="9947"/>
      <c r="E119" s="9947"/>
      <c r="F119" s="9947"/>
      <c r="G119" s="9947"/>
      <c r="H119" s="9947"/>
      <c r="I119" s="9947"/>
      <c r="J119" s="9950"/>
      <c r="K119" s="9952"/>
      <c r="L119" s="9947"/>
      <c r="M119" s="9314"/>
      <c r="N119" s="9314"/>
      <c r="O119" s="9314"/>
      <c r="P119" s="9312"/>
      <c r="Q119" s="9312"/>
      <c r="R119" s="9316"/>
      <c r="S119" s="624"/>
      <c r="T119" s="4855"/>
      <c r="U119" s="4855"/>
      <c r="V119" s="577"/>
      <c r="W119" s="4871"/>
      <c r="X119" s="64"/>
      <c r="Y119" s="4914"/>
      <c r="Z119" s="4914"/>
      <c r="AA119" s="4914"/>
      <c r="AB119" s="4916"/>
      <c r="AC119" s="633"/>
      <c r="AD119" s="376"/>
      <c r="AE119" s="64"/>
      <c r="AF119" s="65"/>
      <c r="AG119" s="65"/>
      <c r="AH119" s="9970"/>
    </row>
    <row r="120" spans="1:34" ht="117" customHeight="1">
      <c r="A120" s="9392"/>
      <c r="B120" s="9398"/>
      <c r="C120" s="617" t="s">
        <v>127</v>
      </c>
      <c r="D120" s="618" t="s">
        <v>128</v>
      </c>
      <c r="E120" s="618" t="s">
        <v>129</v>
      </c>
      <c r="F120" s="618" t="s">
        <v>336</v>
      </c>
      <c r="G120" s="619" t="s">
        <v>131</v>
      </c>
      <c r="H120" s="618" t="s">
        <v>213</v>
      </c>
      <c r="I120" s="618" t="s">
        <v>159</v>
      </c>
      <c r="J120" s="688" t="s">
        <v>2357</v>
      </c>
      <c r="K120" s="618" t="s">
        <v>2358</v>
      </c>
      <c r="L120" s="618" t="s">
        <v>2359</v>
      </c>
      <c r="M120" s="1730">
        <v>8</v>
      </c>
      <c r="N120" s="1730">
        <v>10</v>
      </c>
      <c r="O120" s="1730">
        <v>5</v>
      </c>
      <c r="P120" s="618" t="s">
        <v>2308</v>
      </c>
      <c r="Q120" s="618" t="s">
        <v>1381</v>
      </c>
      <c r="R120" s="620" t="s">
        <v>2317</v>
      </c>
      <c r="S120" s="630"/>
      <c r="T120" s="6951"/>
      <c r="U120" s="6951"/>
      <c r="V120" s="618"/>
      <c r="W120" s="6954"/>
      <c r="X120" s="302"/>
      <c r="Y120" s="6957"/>
      <c r="Z120" s="6957"/>
      <c r="AA120" s="6957"/>
      <c r="AB120" s="6958"/>
      <c r="AC120" s="638"/>
      <c r="AD120" s="403"/>
      <c r="AE120" s="302"/>
      <c r="AF120" s="303"/>
      <c r="AG120" s="303"/>
      <c r="AH120" s="5854"/>
    </row>
    <row r="121" spans="1:34" s="4835" customFormat="1" ht="33.75" customHeight="1">
      <c r="A121" s="9392"/>
      <c r="B121" s="9399"/>
      <c r="C121" s="465"/>
      <c r="D121" s="465"/>
      <c r="E121" s="465"/>
      <c r="F121" s="465"/>
      <c r="G121" s="465"/>
      <c r="H121" s="465"/>
      <c r="I121" s="465"/>
      <c r="J121" s="465"/>
      <c r="K121" s="465"/>
      <c r="L121" s="465"/>
      <c r="M121" s="465"/>
      <c r="N121" s="465"/>
      <c r="O121" s="465"/>
      <c r="P121" s="465"/>
      <c r="Q121" s="465"/>
      <c r="R121" s="6078"/>
      <c r="S121" s="9197" t="s">
        <v>2360</v>
      </c>
      <c r="T121" s="9327"/>
      <c r="U121" s="9327"/>
      <c r="V121" s="9327"/>
      <c r="W121" s="9327"/>
      <c r="X121" s="9327"/>
      <c r="Y121" s="9327"/>
      <c r="Z121" s="9327"/>
      <c r="AA121" s="465" t="s">
        <v>292</v>
      </c>
      <c r="AB121" s="6956">
        <f>SUM(AB75:AB120)</f>
        <v>0</v>
      </c>
      <c r="AC121" s="5019"/>
      <c r="AD121" s="5019"/>
      <c r="AE121" s="9273"/>
      <c r="AF121" s="8773"/>
      <c r="AG121" s="8773"/>
      <c r="AH121" s="8774"/>
    </row>
    <row r="122" spans="1:34" s="4835" customFormat="1" ht="30" customHeight="1">
      <c r="A122" s="9393"/>
      <c r="B122" s="6215"/>
      <c r="C122" s="865"/>
      <c r="D122" s="865"/>
      <c r="E122" s="865"/>
      <c r="F122" s="865"/>
      <c r="G122" s="865"/>
      <c r="H122" s="865"/>
      <c r="I122" s="865"/>
      <c r="J122" s="865"/>
      <c r="K122" s="865"/>
      <c r="L122" s="865"/>
      <c r="M122" s="865"/>
      <c r="N122" s="865"/>
      <c r="O122" s="865"/>
      <c r="P122" s="865"/>
      <c r="Q122" s="865"/>
      <c r="R122" s="6079"/>
      <c r="S122" s="9386" t="s">
        <v>2310</v>
      </c>
      <c r="T122" s="9387"/>
      <c r="U122" s="9387"/>
      <c r="V122" s="9387"/>
      <c r="W122" s="9387"/>
      <c r="X122" s="9387"/>
      <c r="Y122" s="9387"/>
      <c r="Z122" s="9387"/>
      <c r="AA122" s="5021" t="s">
        <v>292</v>
      </c>
      <c r="AB122" s="6955">
        <f>+AB74+AB121</f>
        <v>0</v>
      </c>
      <c r="AC122" s="422"/>
      <c r="AD122" s="422"/>
      <c r="AE122" s="9972"/>
      <c r="AF122" s="9973"/>
      <c r="AG122" s="9973"/>
      <c r="AH122" s="9974"/>
    </row>
    <row r="123" spans="1:34" ht="16.5" customHeight="1">
      <c r="A123" s="4"/>
      <c r="B123" s="1"/>
      <c r="C123" s="495" t="s">
        <v>2361</v>
      </c>
      <c r="D123" s="466"/>
      <c r="E123" s="100"/>
      <c r="F123" s="100"/>
      <c r="G123" s="100"/>
      <c r="H123" s="100"/>
      <c r="I123" s="100"/>
      <c r="J123" s="100"/>
      <c r="K123" s="100"/>
      <c r="L123" s="100"/>
      <c r="M123" s="100"/>
      <c r="N123" s="100"/>
      <c r="O123" s="100"/>
      <c r="P123" s="100"/>
      <c r="Q123" s="100"/>
      <c r="R123" s="100"/>
      <c r="S123" s="9377" t="s">
        <v>533</v>
      </c>
      <c r="T123" s="8825"/>
      <c r="U123" s="8825"/>
      <c r="V123" s="8825"/>
      <c r="W123" s="8825"/>
      <c r="X123" s="8825"/>
      <c r="Y123" s="8825"/>
      <c r="Z123" s="8825"/>
      <c r="AA123" s="8825"/>
      <c r="AB123" s="8825"/>
      <c r="AC123" s="8825"/>
      <c r="AD123" s="8825"/>
      <c r="AE123" s="8825"/>
      <c r="AF123" s="8825"/>
      <c r="AG123" s="8825"/>
      <c r="AH123" s="8825"/>
    </row>
    <row r="124" spans="1:34" ht="16.5" customHeight="1">
      <c r="A124" s="4"/>
      <c r="B124" s="1"/>
      <c r="C124" s="6" t="s">
        <v>2362</v>
      </c>
      <c r="D124" s="100"/>
      <c r="E124" s="100"/>
      <c r="F124" s="100"/>
      <c r="G124" s="100"/>
      <c r="H124" s="100"/>
      <c r="I124" s="100"/>
      <c r="J124" s="100"/>
      <c r="K124" s="100"/>
      <c r="L124" s="100"/>
      <c r="M124" s="100"/>
      <c r="N124" s="100"/>
      <c r="O124" s="100"/>
      <c r="P124" s="100"/>
      <c r="Q124" s="100"/>
      <c r="R124" s="100"/>
      <c r="S124" s="2"/>
      <c r="T124" s="2"/>
      <c r="AB124" s="365"/>
      <c r="AD124"/>
      <c r="AF124" s="1"/>
      <c r="AG124" s="304"/>
    </row>
    <row r="125" spans="1:34" ht="18">
      <c r="A125" s="4"/>
      <c r="B125" s="1"/>
      <c r="C125" s="100"/>
      <c r="D125" s="100"/>
      <c r="E125" s="100"/>
      <c r="F125" s="100"/>
      <c r="G125" s="100"/>
      <c r="H125" s="100"/>
      <c r="I125" s="100"/>
      <c r="J125" s="100"/>
      <c r="K125" s="100"/>
      <c r="L125" s="100"/>
      <c r="M125" s="100"/>
      <c r="N125" s="100"/>
      <c r="O125" s="100"/>
      <c r="P125" s="100"/>
      <c r="Q125" s="100"/>
      <c r="R125" s="100"/>
      <c r="S125" s="2"/>
      <c r="T125" s="305"/>
      <c r="U125" s="8775" t="s">
        <v>351</v>
      </c>
      <c r="V125" s="9379"/>
      <c r="W125" s="9379"/>
      <c r="X125" s="9379"/>
      <c r="Y125" s="9379"/>
      <c r="Z125" s="9379"/>
      <c r="AA125" s="29"/>
      <c r="AB125" s="372"/>
      <c r="AC125" s="372"/>
      <c r="AD125" s="231"/>
      <c r="AF125" s="1"/>
      <c r="AG125" s="304"/>
    </row>
    <row r="126" spans="1:34" ht="16.5" customHeight="1">
      <c r="A126" s="4"/>
      <c r="B126" s="1"/>
      <c r="C126" s="100"/>
      <c r="D126" s="100"/>
      <c r="E126" s="100"/>
      <c r="F126" s="100"/>
      <c r="G126" s="100"/>
      <c r="H126" s="100"/>
      <c r="I126" s="100"/>
      <c r="J126" s="100"/>
      <c r="K126" s="100"/>
      <c r="L126" s="100"/>
      <c r="M126" s="100"/>
      <c r="N126" s="100"/>
      <c r="O126" s="100"/>
      <c r="P126" s="100"/>
      <c r="Q126" s="100"/>
      <c r="R126" s="100"/>
      <c r="S126" s="7"/>
      <c r="T126" s="7"/>
      <c r="U126" s="28"/>
      <c r="V126" s="28"/>
      <c r="W126" s="235"/>
      <c r="X126" s="85"/>
      <c r="Y126" s="28"/>
      <c r="Z126" s="28"/>
      <c r="AA126" s="29"/>
      <c r="AB126" s="372"/>
      <c r="AC126" s="372"/>
      <c r="AD126" s="100"/>
      <c r="AE126" s="100"/>
      <c r="AF126" s="1"/>
      <c r="AG126" s="304"/>
    </row>
    <row r="127" spans="1:34" ht="18" customHeight="1">
      <c r="A127" s="4"/>
      <c r="B127" s="1"/>
      <c r="C127" s="100"/>
      <c r="D127" s="100"/>
      <c r="E127" s="100"/>
      <c r="F127" s="100"/>
      <c r="G127" s="100"/>
      <c r="H127" s="100"/>
      <c r="I127" s="100"/>
      <c r="J127" s="100"/>
      <c r="K127" s="100"/>
      <c r="L127" s="100"/>
      <c r="M127" s="100"/>
      <c r="N127" s="100"/>
      <c r="O127" s="100"/>
      <c r="P127" s="100"/>
      <c r="Q127" s="100"/>
      <c r="R127" s="100"/>
      <c r="S127" s="2"/>
      <c r="T127" s="2"/>
      <c r="U127" s="5882" t="s">
        <v>5</v>
      </c>
      <c r="V127" s="5883" t="s">
        <v>6</v>
      </c>
      <c r="W127" s="5887" t="s">
        <v>7</v>
      </c>
      <c r="X127" s="5885" t="s">
        <v>352</v>
      </c>
      <c r="Y127" s="5885" t="s">
        <v>9</v>
      </c>
      <c r="Z127" s="5886" t="s">
        <v>353</v>
      </c>
      <c r="AA127" s="29"/>
      <c r="AB127" s="372"/>
      <c r="AC127" s="372"/>
      <c r="AD127" s="334"/>
      <c r="AE127" s="334"/>
      <c r="AF127" s="1"/>
      <c r="AG127" s="304"/>
    </row>
    <row r="128" spans="1:34" ht="33.75" customHeight="1">
      <c r="A128" s="4"/>
      <c r="B128" s="1"/>
      <c r="C128" s="100"/>
      <c r="D128" s="100"/>
      <c r="E128" s="100"/>
      <c r="F128" s="100"/>
      <c r="G128" s="100"/>
      <c r="H128" s="100"/>
      <c r="I128" s="100"/>
      <c r="J128" s="100"/>
      <c r="K128" s="100"/>
      <c r="L128" s="100"/>
      <c r="M128" s="100"/>
      <c r="N128" s="100"/>
      <c r="O128" s="100"/>
      <c r="P128" s="100"/>
      <c r="Q128" s="101"/>
      <c r="R128" s="125"/>
      <c r="S128" s="126"/>
      <c r="T128" s="2"/>
      <c r="U128" s="639"/>
      <c r="V128" s="442"/>
      <c r="W128" s="926"/>
      <c r="X128" s="690"/>
      <c r="Y128" s="690"/>
      <c r="Z128" s="883"/>
      <c r="AA128" s="329"/>
      <c r="AB128" s="372"/>
      <c r="AC128" s="372"/>
      <c r="AD128" s="101"/>
      <c r="AE128" s="335"/>
      <c r="AF128" s="1"/>
      <c r="AG128" s="304"/>
    </row>
    <row r="129" spans="1:33" ht="18" customHeight="1">
      <c r="A129" s="4"/>
      <c r="B129" s="1"/>
      <c r="C129" s="100"/>
      <c r="D129" s="100"/>
      <c r="E129" s="100"/>
      <c r="F129" s="100"/>
      <c r="G129" s="100"/>
      <c r="H129" s="100"/>
      <c r="I129" s="100"/>
      <c r="J129" s="100"/>
      <c r="K129" s="100"/>
      <c r="L129" s="100"/>
      <c r="M129" s="100"/>
      <c r="N129" s="100"/>
      <c r="O129" s="100"/>
      <c r="P129" s="100"/>
      <c r="Q129" s="100"/>
      <c r="R129" s="100"/>
      <c r="S129" s="2"/>
      <c r="T129" s="2"/>
      <c r="U129" s="5930"/>
      <c r="V129" s="5931" t="s">
        <v>67</v>
      </c>
      <c r="W129" s="5932"/>
      <c r="X129" s="5932"/>
      <c r="Y129" s="5926" t="s">
        <v>292</v>
      </c>
      <c r="Z129" s="5939">
        <f>SUM(Z128)</f>
        <v>0</v>
      </c>
      <c r="AA129" s="29"/>
      <c r="AB129" s="372"/>
      <c r="AC129" s="372"/>
      <c r="AD129" s="100"/>
      <c r="AE129" s="100"/>
      <c r="AF129" s="1"/>
      <c r="AG129" s="304"/>
    </row>
    <row r="130" spans="1:33" ht="16.5" customHeight="1">
      <c r="A130" s="4"/>
      <c r="B130" s="1"/>
      <c r="C130" s="100"/>
      <c r="D130" s="100"/>
      <c r="E130" s="100"/>
      <c r="F130" s="100"/>
      <c r="G130" s="100"/>
      <c r="H130" s="100"/>
      <c r="I130" s="100"/>
      <c r="J130" s="100"/>
      <c r="K130" s="100"/>
      <c r="L130" s="100"/>
      <c r="M130" s="100"/>
      <c r="N130" s="100"/>
      <c r="O130" s="100"/>
      <c r="P130" s="100"/>
      <c r="Q130" s="100"/>
      <c r="R130" s="100"/>
      <c r="S130" s="2"/>
      <c r="T130" s="2"/>
      <c r="U130" s="28"/>
      <c r="V130" s="28"/>
      <c r="W130" s="34"/>
      <c r="X130" s="235"/>
      <c r="Y130" s="85"/>
      <c r="Z130" s="28"/>
      <c r="AA130" s="28"/>
      <c r="AB130" s="368"/>
      <c r="AC130" s="368"/>
      <c r="AD130" s="100"/>
      <c r="AE130" s="106"/>
      <c r="AF130" s="1"/>
      <c r="AG130" s="304"/>
    </row>
    <row r="131" spans="1:33" ht="16.5" customHeight="1">
      <c r="A131" s="4"/>
      <c r="B131" s="1"/>
      <c r="C131" s="100"/>
      <c r="D131" s="100"/>
      <c r="E131" s="100"/>
      <c r="F131" s="100"/>
      <c r="G131" s="100"/>
      <c r="H131" s="100"/>
      <c r="I131" s="100"/>
      <c r="J131" s="100"/>
      <c r="K131" s="100"/>
      <c r="L131" s="100"/>
      <c r="M131" s="100"/>
      <c r="N131" s="100"/>
      <c r="O131" s="100"/>
      <c r="P131" s="100"/>
      <c r="Q131" s="100"/>
      <c r="R131" s="100"/>
      <c r="S131" s="2"/>
      <c r="T131" s="2"/>
      <c r="U131" s="28"/>
      <c r="V131" s="28"/>
      <c r="W131" s="28"/>
      <c r="X131" s="235"/>
      <c r="Y131" s="85"/>
      <c r="Z131" s="28"/>
      <c r="AA131" s="28"/>
      <c r="AB131" s="368"/>
      <c r="AC131" s="368"/>
      <c r="AD131" s="100"/>
      <c r="AE131" s="106"/>
      <c r="AF131" s="1"/>
      <c r="AG131" s="304"/>
    </row>
    <row r="132" spans="1:33" ht="16.5" customHeight="1">
      <c r="A132" s="4"/>
      <c r="B132" s="1"/>
      <c r="C132" s="100"/>
      <c r="D132" s="100"/>
      <c r="E132" s="100"/>
      <c r="F132" s="100"/>
      <c r="G132" s="100"/>
      <c r="H132" s="100"/>
      <c r="I132" s="100"/>
      <c r="J132" s="100"/>
      <c r="K132" s="100"/>
      <c r="L132" s="100"/>
      <c r="M132" s="100"/>
      <c r="N132" s="100"/>
      <c r="O132" s="100"/>
      <c r="P132" s="100"/>
      <c r="Q132" s="100"/>
      <c r="R132" s="100"/>
      <c r="S132" s="2"/>
      <c r="T132" s="2"/>
      <c r="U132" s="8764" t="s">
        <v>356</v>
      </c>
      <c r="V132" s="9941"/>
      <c r="W132" s="9942"/>
      <c r="X132" s="235"/>
      <c r="Y132" s="237" t="s">
        <v>357</v>
      </c>
      <c r="Z132" s="37" t="str">
        <f>IF(Z129=AB122,"OK","NO")</f>
        <v>OK</v>
      </c>
      <c r="AA132" s="28"/>
      <c r="AB132" s="368"/>
      <c r="AC132" s="368"/>
      <c r="AD132" s="127"/>
      <c r="AE132" s="100"/>
      <c r="AF132" s="1"/>
      <c r="AG132" s="304"/>
    </row>
    <row r="133" spans="1:33" ht="16.5" customHeight="1">
      <c r="A133" s="4"/>
      <c r="B133" s="1"/>
      <c r="C133" s="100"/>
      <c r="D133" s="100"/>
      <c r="E133" s="100"/>
      <c r="F133" s="100"/>
      <c r="G133" s="100"/>
      <c r="H133" s="100"/>
      <c r="I133" s="100"/>
      <c r="J133" s="100"/>
      <c r="K133" s="100"/>
      <c r="L133" s="100"/>
      <c r="M133" s="100"/>
      <c r="N133" s="100"/>
      <c r="O133" s="100"/>
      <c r="P133" s="100"/>
      <c r="Q133" s="100"/>
      <c r="R133" s="100"/>
      <c r="S133" s="2"/>
      <c r="T133" s="2"/>
      <c r="U133" s="4656" t="s">
        <v>358</v>
      </c>
      <c r="V133" s="555"/>
      <c r="W133" s="750">
        <v>0</v>
      </c>
      <c r="X133" s="235"/>
      <c r="Y133" s="85"/>
      <c r="Z133" s="37" t="str">
        <f>IF(W137=AB122,"OK","NO")</f>
        <v>OK</v>
      </c>
      <c r="AA133" s="28"/>
      <c r="AB133" s="368"/>
      <c r="AC133" s="368"/>
      <c r="AD133" s="127"/>
      <c r="AE133" s="100"/>
      <c r="AF133" s="1"/>
      <c r="AG133" s="304"/>
    </row>
    <row r="134" spans="1:33" ht="16.5" customHeight="1">
      <c r="A134" s="4"/>
      <c r="B134" s="1"/>
      <c r="C134" s="100"/>
      <c r="D134" s="100"/>
      <c r="E134" s="100"/>
      <c r="F134" s="100"/>
      <c r="G134" s="100"/>
      <c r="H134" s="100"/>
      <c r="I134" s="100"/>
      <c r="J134" s="100"/>
      <c r="K134" s="100"/>
      <c r="L134" s="100"/>
      <c r="M134" s="100"/>
      <c r="N134" s="100"/>
      <c r="O134" s="100"/>
      <c r="P134" s="100"/>
      <c r="Q134" s="100"/>
      <c r="R134" s="100"/>
      <c r="S134" s="2"/>
      <c r="T134" s="2"/>
      <c r="U134" s="4657" t="s">
        <v>359</v>
      </c>
      <c r="V134" s="556"/>
      <c r="W134" s="751">
        <v>0</v>
      </c>
      <c r="X134" s="235"/>
      <c r="Y134" s="85"/>
      <c r="Z134" s="37" t="str">
        <f>IF(W147=AB122,"OK","NO")</f>
        <v>OK</v>
      </c>
      <c r="AA134" s="28"/>
      <c r="AB134" s="368"/>
      <c r="AC134" s="368"/>
      <c r="AD134" s="127"/>
      <c r="AE134" s="100"/>
      <c r="AF134" s="1"/>
      <c r="AG134" s="304"/>
    </row>
    <row r="135" spans="1:33" ht="16.5" customHeight="1">
      <c r="A135" s="4"/>
      <c r="B135" s="1"/>
      <c r="C135" s="100"/>
      <c r="D135" s="100"/>
      <c r="E135" s="100"/>
      <c r="F135" s="100"/>
      <c r="G135" s="100"/>
      <c r="H135" s="100"/>
      <c r="I135" s="100"/>
      <c r="J135" s="100"/>
      <c r="K135" s="100"/>
      <c r="L135" s="100"/>
      <c r="M135" s="100"/>
      <c r="N135" s="100"/>
      <c r="O135" s="100"/>
      <c r="P135" s="100"/>
      <c r="Q135" s="100"/>
      <c r="R135" s="100"/>
      <c r="S135" s="2"/>
      <c r="T135" s="2"/>
      <c r="U135" s="4657" t="s">
        <v>360</v>
      </c>
      <c r="V135" s="556"/>
      <c r="W135" s="751">
        <f>SUM(Z128)</f>
        <v>0</v>
      </c>
      <c r="X135" s="235"/>
      <c r="Y135" s="238"/>
      <c r="Z135" s="37" t="str">
        <f>IF(Resumen!C413=AB122,"OK","NO")</f>
        <v>OK</v>
      </c>
      <c r="AA135" s="28"/>
      <c r="AB135" s="368"/>
      <c r="AC135" s="368"/>
      <c r="AD135" s="127"/>
      <c r="AE135" s="100"/>
      <c r="AF135" s="1"/>
      <c r="AG135" s="304"/>
    </row>
    <row r="136" spans="1:33" ht="16.5" customHeight="1">
      <c r="A136" s="4"/>
      <c r="B136" s="1"/>
      <c r="C136" s="100"/>
      <c r="D136" s="100"/>
      <c r="E136" s="100"/>
      <c r="F136" s="100"/>
      <c r="G136" s="100"/>
      <c r="H136" s="100"/>
      <c r="I136" s="100"/>
      <c r="J136" s="100"/>
      <c r="K136" s="100"/>
      <c r="L136" s="100"/>
      <c r="M136" s="100"/>
      <c r="N136" s="100"/>
      <c r="O136" s="100"/>
      <c r="P136" s="100"/>
      <c r="Q136" s="100"/>
      <c r="R136" s="100"/>
      <c r="S136" s="2"/>
      <c r="T136" s="2"/>
      <c r="U136" s="4657" t="s">
        <v>361</v>
      </c>
      <c r="V136" s="556"/>
      <c r="W136" s="752">
        <v>0</v>
      </c>
      <c r="X136" s="235"/>
      <c r="Y136" s="238"/>
      <c r="Z136" s="28"/>
      <c r="AA136" s="28"/>
      <c r="AB136" s="368"/>
      <c r="AC136" s="368"/>
      <c r="AD136" s="127"/>
      <c r="AE136" s="100"/>
      <c r="AF136" s="1"/>
      <c r="AG136" s="304"/>
    </row>
    <row r="137" spans="1:33" ht="16.5" customHeight="1">
      <c r="A137" s="4"/>
      <c r="B137" s="1"/>
      <c r="C137" s="100"/>
      <c r="D137" s="100"/>
      <c r="E137" s="100"/>
      <c r="F137" s="100"/>
      <c r="G137" s="100"/>
      <c r="H137" s="100"/>
      <c r="I137" s="100"/>
      <c r="J137" s="100"/>
      <c r="K137" s="100"/>
      <c r="L137" s="100"/>
      <c r="M137" s="100"/>
      <c r="N137" s="100"/>
      <c r="O137" s="100"/>
      <c r="P137" s="100"/>
      <c r="Q137" s="100"/>
      <c r="R137" s="100"/>
      <c r="S137" s="2"/>
      <c r="T137" s="2"/>
      <c r="U137" s="4658" t="s">
        <v>67</v>
      </c>
      <c r="V137" s="558"/>
      <c r="W137" s="753">
        <f>SUM(W133:W136)</f>
        <v>0</v>
      </c>
      <c r="X137" s="235"/>
      <c r="Y137" s="238"/>
      <c r="Z137" s="28"/>
      <c r="AA137" s="28"/>
      <c r="AB137" s="368"/>
      <c r="AC137" s="368"/>
      <c r="AD137" s="127"/>
      <c r="AE137" s="100"/>
      <c r="AF137" s="1"/>
      <c r="AG137" s="304"/>
    </row>
    <row r="138" spans="1:33" ht="16.5" customHeight="1">
      <c r="A138" s="4"/>
      <c r="B138" s="1"/>
      <c r="C138" s="100"/>
      <c r="D138" s="100"/>
      <c r="E138" s="100"/>
      <c r="F138" s="100"/>
      <c r="G138" s="100"/>
      <c r="H138" s="100"/>
      <c r="I138" s="100"/>
      <c r="J138" s="100"/>
      <c r="K138" s="100"/>
      <c r="L138" s="100"/>
      <c r="M138" s="100"/>
      <c r="N138" s="100"/>
      <c r="O138" s="100"/>
      <c r="P138" s="100"/>
      <c r="Q138" s="100"/>
      <c r="R138" s="100"/>
      <c r="S138" s="2"/>
      <c r="T138" s="2"/>
      <c r="U138" s="8758" t="s">
        <v>362</v>
      </c>
      <c r="V138" s="9943"/>
      <c r="W138" s="9944"/>
      <c r="X138" s="235"/>
      <c r="Y138" s="239"/>
      <c r="Z138" s="28"/>
      <c r="AA138" s="28"/>
      <c r="AB138" s="368"/>
      <c r="AC138" s="368"/>
      <c r="AD138" s="127"/>
      <c r="AE138" s="100"/>
      <c r="AF138" s="1"/>
      <c r="AG138" s="304"/>
    </row>
    <row r="139" spans="1:33" ht="16.5" customHeight="1">
      <c r="A139" s="4"/>
      <c r="B139" s="1"/>
      <c r="C139" s="100"/>
      <c r="D139" s="100"/>
      <c r="E139" s="100"/>
      <c r="F139" s="100"/>
      <c r="G139" s="100"/>
      <c r="H139" s="100"/>
      <c r="I139" s="100"/>
      <c r="J139" s="100"/>
      <c r="K139" s="100"/>
      <c r="L139" s="100"/>
      <c r="M139" s="100"/>
      <c r="N139" s="100"/>
      <c r="O139" s="100"/>
      <c r="P139" s="100"/>
      <c r="Q139" s="100"/>
      <c r="R139" s="100"/>
      <c r="S139" s="2"/>
      <c r="T139" s="2"/>
      <c r="U139" s="4826" t="s">
        <v>363</v>
      </c>
      <c r="V139" s="555"/>
      <c r="W139" s="750">
        <v>0</v>
      </c>
      <c r="X139" s="235"/>
      <c r="Y139" s="239"/>
      <c r="Z139" s="28"/>
      <c r="AA139" s="28"/>
      <c r="AB139" s="368"/>
      <c r="AC139" s="368"/>
      <c r="AD139" s="127"/>
      <c r="AE139" s="100"/>
      <c r="AF139" s="1"/>
      <c r="AG139" s="304"/>
    </row>
    <row r="140" spans="1:33" ht="16.5" customHeight="1">
      <c r="A140" s="4"/>
      <c r="B140" s="1"/>
      <c r="C140" s="100"/>
      <c r="D140" s="100"/>
      <c r="E140" s="100"/>
      <c r="F140" s="100"/>
      <c r="G140" s="100"/>
      <c r="H140" s="100"/>
      <c r="I140" s="100"/>
      <c r="J140" s="100"/>
      <c r="K140" s="100"/>
      <c r="L140" s="100"/>
      <c r="M140" s="100"/>
      <c r="N140" s="100"/>
      <c r="O140" s="100"/>
      <c r="P140" s="100"/>
      <c r="Q140" s="100"/>
      <c r="R140" s="100"/>
      <c r="S140" s="2"/>
      <c r="T140" s="2"/>
      <c r="U140" s="4827" t="s">
        <v>364</v>
      </c>
      <c r="V140" s="556"/>
      <c r="W140" s="751">
        <f>SUM(Z128)</f>
        <v>0</v>
      </c>
      <c r="X140" s="235"/>
      <c r="Y140" s="239"/>
      <c r="Z140" s="28"/>
      <c r="AA140" s="28"/>
      <c r="AB140" s="368"/>
      <c r="AC140" s="368"/>
      <c r="AD140" s="127"/>
      <c r="AE140" s="100"/>
      <c r="AF140" s="1"/>
      <c r="AG140" s="304"/>
    </row>
    <row r="141" spans="1:33" ht="16.5" customHeight="1">
      <c r="A141" s="4"/>
      <c r="B141" s="1"/>
      <c r="C141" s="100"/>
      <c r="D141" s="100"/>
      <c r="E141" s="100"/>
      <c r="F141" s="100"/>
      <c r="G141" s="100"/>
      <c r="H141" s="100"/>
      <c r="I141" s="100"/>
      <c r="J141" s="100"/>
      <c r="K141" s="100"/>
      <c r="L141" s="100"/>
      <c r="M141" s="100"/>
      <c r="N141" s="100"/>
      <c r="O141" s="100"/>
      <c r="P141" s="100"/>
      <c r="Q141" s="100"/>
      <c r="R141" s="100"/>
      <c r="S141" s="2"/>
      <c r="T141" s="2"/>
      <c r="U141" s="4827" t="s">
        <v>365</v>
      </c>
      <c r="V141" s="556"/>
      <c r="W141" s="751">
        <v>0</v>
      </c>
      <c r="X141" s="235"/>
      <c r="Y141" s="2071"/>
      <c r="Z141" s="28"/>
      <c r="AA141" s="28"/>
      <c r="AB141" s="368"/>
      <c r="AC141" s="368"/>
      <c r="AD141" s="127"/>
      <c r="AE141" s="100"/>
      <c r="AF141" s="1"/>
      <c r="AG141" s="304"/>
    </row>
    <row r="142" spans="1:33" ht="16.5" customHeight="1">
      <c r="A142" s="4"/>
      <c r="B142" s="1"/>
      <c r="C142" s="100"/>
      <c r="D142" s="100"/>
      <c r="E142" s="100"/>
      <c r="F142" s="100"/>
      <c r="G142" s="100"/>
      <c r="H142" s="100"/>
      <c r="I142" s="100"/>
      <c r="J142" s="100"/>
      <c r="K142" s="100"/>
      <c r="L142" s="100"/>
      <c r="M142" s="100"/>
      <c r="N142" s="100"/>
      <c r="O142" s="100"/>
      <c r="P142" s="100"/>
      <c r="Q142" s="100"/>
      <c r="R142" s="100"/>
      <c r="S142" s="2"/>
      <c r="T142" s="2"/>
      <c r="U142" s="4827" t="s">
        <v>366</v>
      </c>
      <c r="V142" s="556"/>
      <c r="W142" s="751">
        <v>0</v>
      </c>
      <c r="X142" s="235"/>
      <c r="Y142" s="238"/>
      <c r="Z142" s="28"/>
      <c r="AA142" s="28"/>
      <c r="AB142" s="368"/>
      <c r="AC142" s="368"/>
      <c r="AD142" s="127"/>
      <c r="AE142" s="100"/>
      <c r="AF142" s="1"/>
      <c r="AG142" s="304"/>
    </row>
    <row r="143" spans="1:33" ht="16.5" customHeight="1">
      <c r="A143" s="4"/>
      <c r="B143" s="1"/>
      <c r="C143" s="100"/>
      <c r="D143" s="100"/>
      <c r="E143" s="100"/>
      <c r="F143" s="100"/>
      <c r="G143" s="100"/>
      <c r="H143" s="100"/>
      <c r="I143" s="100"/>
      <c r="J143" s="100"/>
      <c r="K143" s="100"/>
      <c r="L143" s="100"/>
      <c r="M143" s="100"/>
      <c r="N143" s="100"/>
      <c r="O143" s="100"/>
      <c r="P143" s="100"/>
      <c r="Q143" s="100"/>
      <c r="R143" s="100"/>
      <c r="S143" s="2"/>
      <c r="T143" s="2"/>
      <c r="U143" s="4827" t="s">
        <v>367</v>
      </c>
      <c r="V143" s="556"/>
      <c r="W143" s="751">
        <v>0</v>
      </c>
      <c r="X143" s="235"/>
      <c r="Y143" s="2072"/>
      <c r="Z143" s="2067"/>
      <c r="AC143"/>
      <c r="AD143"/>
      <c r="AE143" s="100"/>
      <c r="AF143" s="1"/>
      <c r="AG143" s="304"/>
    </row>
    <row r="144" spans="1:33" ht="16.5" customHeight="1">
      <c r="A144" s="4"/>
      <c r="B144" s="1"/>
      <c r="C144" s="100"/>
      <c r="D144" s="100"/>
      <c r="E144" s="100"/>
      <c r="F144" s="100"/>
      <c r="G144" s="100"/>
      <c r="H144" s="100"/>
      <c r="I144" s="100"/>
      <c r="J144" s="100"/>
      <c r="K144" s="100"/>
      <c r="L144" s="100"/>
      <c r="M144" s="100"/>
      <c r="N144" s="100"/>
      <c r="O144" s="100"/>
      <c r="P144" s="100"/>
      <c r="Q144" s="100"/>
      <c r="R144" s="100"/>
      <c r="S144" s="2"/>
      <c r="T144" s="2"/>
      <c r="U144" s="4827" t="s">
        <v>368</v>
      </c>
      <c r="V144" s="556"/>
      <c r="W144" s="751">
        <v>0</v>
      </c>
      <c r="X144" s="235"/>
      <c r="Y144" s="2072"/>
      <c r="Z144" s="2067"/>
      <c r="AA144" s="2067"/>
      <c r="AB144" s="2066"/>
      <c r="AC144" s="2066"/>
      <c r="AD144" s="2067"/>
      <c r="AE144" s="100"/>
      <c r="AF144" s="1"/>
      <c r="AG144" s="304"/>
    </row>
    <row r="145" spans="1:33" ht="16.5" customHeight="1">
      <c r="A145" s="4"/>
      <c r="B145" s="1"/>
      <c r="C145" s="100"/>
      <c r="D145" s="100"/>
      <c r="E145" s="100"/>
      <c r="F145" s="100"/>
      <c r="G145" s="100"/>
      <c r="H145" s="100"/>
      <c r="I145" s="100"/>
      <c r="J145" s="100"/>
      <c r="K145" s="100"/>
      <c r="L145" s="100"/>
      <c r="M145" s="100"/>
      <c r="N145" s="100"/>
      <c r="O145" s="100"/>
      <c r="P145" s="100"/>
      <c r="Q145" s="100"/>
      <c r="R145" s="100"/>
      <c r="S145" s="2"/>
      <c r="T145" s="2"/>
      <c r="U145" s="4827" t="s">
        <v>369</v>
      </c>
      <c r="V145" s="556"/>
      <c r="W145" s="751">
        <v>0</v>
      </c>
      <c r="X145" s="235"/>
      <c r="Y145" s="2072"/>
      <c r="Z145" s="2073"/>
      <c r="AA145" s="85"/>
      <c r="AB145" s="2068"/>
      <c r="AC145" s="2068"/>
      <c r="AD145" s="2100"/>
      <c r="AE145" s="100"/>
      <c r="AF145" s="1"/>
      <c r="AG145" s="304"/>
    </row>
    <row r="146" spans="1:33" ht="16.5" customHeight="1">
      <c r="A146" s="4"/>
      <c r="B146" s="1"/>
      <c r="C146" s="100"/>
      <c r="D146" s="100"/>
      <c r="E146" s="100"/>
      <c r="F146" s="100"/>
      <c r="G146" s="100"/>
      <c r="H146" s="100"/>
      <c r="I146" s="100"/>
      <c r="J146" s="100"/>
      <c r="K146" s="100"/>
      <c r="L146" s="100"/>
      <c r="M146" s="100"/>
      <c r="N146" s="100"/>
      <c r="O146" s="100"/>
      <c r="P146" s="100"/>
      <c r="Q146" s="100"/>
      <c r="R146" s="100"/>
      <c r="S146" s="2"/>
      <c r="T146" s="2"/>
      <c r="U146" s="4827" t="s">
        <v>370</v>
      </c>
      <c r="V146" s="556"/>
      <c r="W146" s="752">
        <v>0</v>
      </c>
      <c r="X146" s="235"/>
      <c r="Y146" s="2074"/>
      <c r="Z146" s="29"/>
      <c r="AA146" s="29"/>
      <c r="AB146" s="372"/>
      <c r="AC146" s="372"/>
      <c r="AD146" s="127"/>
      <c r="AE146" s="100"/>
      <c r="AF146" s="1"/>
      <c r="AG146" s="304"/>
    </row>
    <row r="147" spans="1:33" ht="15.75" customHeight="1">
      <c r="U147" s="4652" t="s">
        <v>67</v>
      </c>
      <c r="V147" s="557"/>
      <c r="W147" s="754">
        <f>SUM(W139:W146)</f>
        <v>0</v>
      </c>
      <c r="X147" s="235"/>
      <c r="Y147" s="2071"/>
      <c r="Z147" s="28"/>
      <c r="AA147" s="28"/>
      <c r="AB147" s="368"/>
      <c r="AC147" s="368"/>
      <c r="AD147" s="127"/>
      <c r="AE147" s="100"/>
    </row>
    <row r="148" spans="1:33" ht="15.75" customHeight="1">
      <c r="AB148" s="365"/>
      <c r="AD148"/>
    </row>
    <row r="149" spans="1:33" ht="15.75" customHeight="1">
      <c r="AB149" s="365"/>
      <c r="AD149"/>
    </row>
    <row r="150" spans="1:33" ht="15.75" customHeight="1">
      <c r="AB150" s="365"/>
      <c r="AD150"/>
    </row>
    <row r="151" spans="1:33" ht="15.75" customHeight="1">
      <c r="AB151" s="365"/>
      <c r="AD151"/>
    </row>
  </sheetData>
  <mergeCells count="409">
    <mergeCell ref="U132:W132"/>
    <mergeCell ref="U138:W138"/>
    <mergeCell ref="AH39:AH43"/>
    <mergeCell ref="AH44:AH48"/>
    <mergeCell ref="E29:E33"/>
    <mergeCell ref="F29:F33"/>
    <mergeCell ref="G29:G33"/>
    <mergeCell ref="H29:H33"/>
    <mergeCell ref="I29:I33"/>
    <mergeCell ref="E34:E38"/>
    <mergeCell ref="F34:F38"/>
    <mergeCell ref="G34:G38"/>
    <mergeCell ref="H34:H38"/>
    <mergeCell ref="I34:I38"/>
    <mergeCell ref="AH49:AH53"/>
    <mergeCell ref="L49:L53"/>
    <mergeCell ref="M49:M53"/>
    <mergeCell ref="N49:N53"/>
    <mergeCell ref="O49:O53"/>
    <mergeCell ref="P49:P53"/>
    <mergeCell ref="Q49:Q53"/>
    <mergeCell ref="R49:R53"/>
    <mergeCell ref="E49:E53"/>
    <mergeCell ref="F49:F53"/>
    <mergeCell ref="R14:R18"/>
    <mergeCell ref="L34:L38"/>
    <mergeCell ref="M34:M38"/>
    <mergeCell ref="N34:N38"/>
    <mergeCell ref="O34:O38"/>
    <mergeCell ref="P34:P38"/>
    <mergeCell ref="Q34:Q38"/>
    <mergeCell ref="R34:R38"/>
    <mergeCell ref="L14:L18"/>
    <mergeCell ref="M14:M18"/>
    <mergeCell ref="N19:N23"/>
    <mergeCell ref="O19:O23"/>
    <mergeCell ref="P19:P23"/>
    <mergeCell ref="AH14:AH18"/>
    <mergeCell ref="AH19:AH23"/>
    <mergeCell ref="AH24:AH28"/>
    <mergeCell ref="AH29:AH33"/>
    <mergeCell ref="AH34:AH38"/>
    <mergeCell ref="J19:J23"/>
    <mergeCell ref="K19:K23"/>
    <mergeCell ref="N24:N28"/>
    <mergeCell ref="O24:O28"/>
    <mergeCell ref="P24:P28"/>
    <mergeCell ref="Q24:Q28"/>
    <mergeCell ref="R24:R28"/>
    <mergeCell ref="L29:L33"/>
    <mergeCell ref="M29:M33"/>
    <mergeCell ref="O29:O33"/>
    <mergeCell ref="P29:P33"/>
    <mergeCell ref="Q29:Q33"/>
    <mergeCell ref="R29:R33"/>
    <mergeCell ref="J29:J33"/>
    <mergeCell ref="K29:K33"/>
    <mergeCell ref="Q19:Q23"/>
    <mergeCell ref="R19:R23"/>
    <mergeCell ref="L19:L23"/>
    <mergeCell ref="M19:M23"/>
    <mergeCell ref="C14:C18"/>
    <mergeCell ref="C19:C23"/>
    <mergeCell ref="E19:E23"/>
    <mergeCell ref="F19:F23"/>
    <mergeCell ref="G19:G23"/>
    <mergeCell ref="H19:H23"/>
    <mergeCell ref="I19:I23"/>
    <mergeCell ref="L24:L28"/>
    <mergeCell ref="M24:M28"/>
    <mergeCell ref="E24:E28"/>
    <mergeCell ref="F24:F28"/>
    <mergeCell ref="G24:G28"/>
    <mergeCell ref="H24:H28"/>
    <mergeCell ref="I24:I28"/>
    <mergeCell ref="J24:J28"/>
    <mergeCell ref="K24:K28"/>
    <mergeCell ref="D19:D23"/>
    <mergeCell ref="C24:C28"/>
    <mergeCell ref="D24:D28"/>
    <mergeCell ref="E14:E18"/>
    <mergeCell ref="F14:F18"/>
    <mergeCell ref="G14:G18"/>
    <mergeCell ref="H14:H18"/>
    <mergeCell ref="I14:I18"/>
    <mergeCell ref="G49:G53"/>
    <mergeCell ref="H49:H53"/>
    <mergeCell ref="I49:I53"/>
    <mergeCell ref="J49:J53"/>
    <mergeCell ref="K49:K53"/>
    <mergeCell ref="A1:AH1"/>
    <mergeCell ref="A2:AH2"/>
    <mergeCell ref="A3:AH3"/>
    <mergeCell ref="A4:AH4"/>
    <mergeCell ref="A6:B8"/>
    <mergeCell ref="C6:D6"/>
    <mergeCell ref="E6:I6"/>
    <mergeCell ref="G7:G8"/>
    <mergeCell ref="H7:H8"/>
    <mergeCell ref="I7:I8"/>
    <mergeCell ref="J7:J8"/>
    <mergeCell ref="M7:O7"/>
    <mergeCell ref="P7:P8"/>
    <mergeCell ref="Q7:Q8"/>
    <mergeCell ref="R7:R8"/>
    <mergeCell ref="E7:E8"/>
    <mergeCell ref="F7:F8"/>
    <mergeCell ref="C7:C8"/>
    <mergeCell ref="D7:D8"/>
    <mergeCell ref="J6:R6"/>
    <mergeCell ref="S6:AH6"/>
    <mergeCell ref="S7:Y7"/>
    <mergeCell ref="AE7:AG7"/>
    <mergeCell ref="AH7:AH8"/>
    <mergeCell ref="E9:E13"/>
    <mergeCell ref="F9:F13"/>
    <mergeCell ref="G9:G13"/>
    <mergeCell ref="H9:H13"/>
    <mergeCell ref="I9:I13"/>
    <mergeCell ref="K7:K8"/>
    <mergeCell ref="L7:L8"/>
    <mergeCell ref="Q9:Q13"/>
    <mergeCell ref="R9:R13"/>
    <mergeCell ref="Z7:AD7"/>
    <mergeCell ref="AH9:AH13"/>
    <mergeCell ref="J9:J13"/>
    <mergeCell ref="K9:K13"/>
    <mergeCell ref="L9:L13"/>
    <mergeCell ref="M9:M13"/>
    <mergeCell ref="N9:N13"/>
    <mergeCell ref="O9:O13"/>
    <mergeCell ref="P9:P13"/>
    <mergeCell ref="J14:J18"/>
    <mergeCell ref="K14:K18"/>
    <mergeCell ref="J34:J38"/>
    <mergeCell ref="K34:K38"/>
    <mergeCell ref="L39:L43"/>
    <mergeCell ref="M39:M43"/>
    <mergeCell ref="O39:O43"/>
    <mergeCell ref="P39:P43"/>
    <mergeCell ref="Q39:Q43"/>
    <mergeCell ref="N14:N18"/>
    <mergeCell ref="O14:O18"/>
    <mergeCell ref="P14:P18"/>
    <mergeCell ref="Q14:Q18"/>
    <mergeCell ref="R39:R43"/>
    <mergeCell ref="E39:E43"/>
    <mergeCell ref="F39:F43"/>
    <mergeCell ref="G39:G43"/>
    <mergeCell ref="H39:H43"/>
    <mergeCell ref="I39:I43"/>
    <mergeCell ref="J39:J43"/>
    <mergeCell ref="K39:K43"/>
    <mergeCell ref="L44:L48"/>
    <mergeCell ref="M44:M48"/>
    <mergeCell ref="O44:O48"/>
    <mergeCell ref="P44:P48"/>
    <mergeCell ref="Q44:Q48"/>
    <mergeCell ref="R44:R48"/>
    <mergeCell ref="E44:E48"/>
    <mergeCell ref="F44:F48"/>
    <mergeCell ref="G44:G48"/>
    <mergeCell ref="H44:H48"/>
    <mergeCell ref="I44:I48"/>
    <mergeCell ref="J44:J48"/>
    <mergeCell ref="K44:K48"/>
    <mergeCell ref="C54:C58"/>
    <mergeCell ref="D54:D58"/>
    <mergeCell ref="E54:E58"/>
    <mergeCell ref="F54:F58"/>
    <mergeCell ref="G54:G58"/>
    <mergeCell ref="H54:H58"/>
    <mergeCell ref="I54:I58"/>
    <mergeCell ref="J54:J58"/>
    <mergeCell ref="K54:K58"/>
    <mergeCell ref="L54:L58"/>
    <mergeCell ref="M54:M58"/>
    <mergeCell ref="N54:N58"/>
    <mergeCell ref="O54:O58"/>
    <mergeCell ref="P54:P58"/>
    <mergeCell ref="Q54:Q58"/>
    <mergeCell ref="R54:R58"/>
    <mergeCell ref="AH54:AH58"/>
    <mergeCell ref="AH59:AH63"/>
    <mergeCell ref="Q59:Q63"/>
    <mergeCell ref="R59:R63"/>
    <mergeCell ref="AH64:AH68"/>
    <mergeCell ref="S74:Z74"/>
    <mergeCell ref="AE74:AH74"/>
    <mergeCell ref="AH69:AH73"/>
    <mergeCell ref="AH75:AH79"/>
    <mergeCell ref="AH80:AH84"/>
    <mergeCell ref="AH85:AH89"/>
    <mergeCell ref="AH90:AH94"/>
    <mergeCell ref="AH95:AH99"/>
    <mergeCell ref="AH100:AH104"/>
    <mergeCell ref="AH105:AH109"/>
    <mergeCell ref="AH110:AH114"/>
    <mergeCell ref="AH115:AH119"/>
    <mergeCell ref="S121:Z121"/>
    <mergeCell ref="AE121:AH121"/>
    <mergeCell ref="S122:Z122"/>
    <mergeCell ref="AE122:AH122"/>
    <mergeCell ref="S123:AH123"/>
    <mergeCell ref="U125:Z125"/>
    <mergeCell ref="C29:C33"/>
    <mergeCell ref="D29:D33"/>
    <mergeCell ref="C34:C38"/>
    <mergeCell ref="D34:D38"/>
    <mergeCell ref="C39:C43"/>
    <mergeCell ref="D39:D43"/>
    <mergeCell ref="C44:C48"/>
    <mergeCell ref="D44:D48"/>
    <mergeCell ref="C49:C53"/>
    <mergeCell ref="D49:D53"/>
    <mergeCell ref="Q75:Q79"/>
    <mergeCell ref="R75:R79"/>
    <mergeCell ref="J75:J79"/>
    <mergeCell ref="K75:K79"/>
    <mergeCell ref="L75:L79"/>
    <mergeCell ref="M75:M79"/>
    <mergeCell ref="N75:N79"/>
    <mergeCell ref="O75:O79"/>
    <mergeCell ref="P75:P79"/>
    <mergeCell ref="C69:C73"/>
    <mergeCell ref="D69:D73"/>
    <mergeCell ref="E69:E73"/>
    <mergeCell ref="F69:F73"/>
    <mergeCell ref="G69:G73"/>
    <mergeCell ref="H69:H73"/>
    <mergeCell ref="I69:I73"/>
    <mergeCell ref="C64:C68"/>
    <mergeCell ref="D64:D68"/>
    <mergeCell ref="E64:E68"/>
    <mergeCell ref="F64:F68"/>
    <mergeCell ref="G64:G68"/>
    <mergeCell ref="H64:H68"/>
    <mergeCell ref="I64:I68"/>
    <mergeCell ref="E75:E79"/>
    <mergeCell ref="F75:F79"/>
    <mergeCell ref="G75:G79"/>
    <mergeCell ref="H75:H79"/>
    <mergeCell ref="I75:I79"/>
    <mergeCell ref="L80:L84"/>
    <mergeCell ref="M80:M84"/>
    <mergeCell ref="N80:N84"/>
    <mergeCell ref="O80:O84"/>
    <mergeCell ref="P80:P84"/>
    <mergeCell ref="Q80:Q84"/>
    <mergeCell ref="R80:R84"/>
    <mergeCell ref="E80:E84"/>
    <mergeCell ref="F80:F84"/>
    <mergeCell ref="G80:G84"/>
    <mergeCell ref="H80:H84"/>
    <mergeCell ref="I80:I84"/>
    <mergeCell ref="J80:J84"/>
    <mergeCell ref="K80:K84"/>
    <mergeCell ref="L115:L119"/>
    <mergeCell ref="M115:M119"/>
    <mergeCell ref="N115:N119"/>
    <mergeCell ref="O115:O119"/>
    <mergeCell ref="P115:P119"/>
    <mergeCell ref="Q115:Q119"/>
    <mergeCell ref="R115:R119"/>
    <mergeCell ref="E115:E119"/>
    <mergeCell ref="F115:F119"/>
    <mergeCell ref="G115:G119"/>
    <mergeCell ref="H115:H119"/>
    <mergeCell ref="I115:I119"/>
    <mergeCell ref="J115:J119"/>
    <mergeCell ref="K115:K119"/>
    <mergeCell ref="J59:J63"/>
    <mergeCell ref="K59:K63"/>
    <mergeCell ref="L59:L63"/>
    <mergeCell ref="M59:M63"/>
    <mergeCell ref="N59:N63"/>
    <mergeCell ref="O59:O63"/>
    <mergeCell ref="P59:P63"/>
    <mergeCell ref="C59:C63"/>
    <mergeCell ref="D59:D63"/>
    <mergeCell ref="E59:E63"/>
    <mergeCell ref="F59:F63"/>
    <mergeCell ref="G59:G63"/>
    <mergeCell ref="H59:H63"/>
    <mergeCell ref="I59:I63"/>
    <mergeCell ref="L85:L89"/>
    <mergeCell ref="M85:M89"/>
    <mergeCell ref="O85:O89"/>
    <mergeCell ref="P85:P89"/>
    <mergeCell ref="Q85:Q89"/>
    <mergeCell ref="R85:R89"/>
    <mergeCell ref="E85:E89"/>
    <mergeCell ref="F85:F89"/>
    <mergeCell ref="G85:G89"/>
    <mergeCell ref="H85:H89"/>
    <mergeCell ref="I85:I89"/>
    <mergeCell ref="J85:J89"/>
    <mergeCell ref="K85:K89"/>
    <mergeCell ref="J64:J68"/>
    <mergeCell ref="K64:K68"/>
    <mergeCell ref="O69:O73"/>
    <mergeCell ref="P69:P73"/>
    <mergeCell ref="Q69:Q73"/>
    <mergeCell ref="R69:R73"/>
    <mergeCell ref="L64:L68"/>
    <mergeCell ref="M64:M68"/>
    <mergeCell ref="N64:N68"/>
    <mergeCell ref="O64:O68"/>
    <mergeCell ref="P64:P68"/>
    <mergeCell ref="Q64:Q68"/>
    <mergeCell ref="R64:R68"/>
    <mergeCell ref="J69:J73"/>
    <mergeCell ref="K69:K73"/>
    <mergeCell ref="L69:L73"/>
    <mergeCell ref="M69:M73"/>
    <mergeCell ref="B75:B121"/>
    <mergeCell ref="C75:C79"/>
    <mergeCell ref="C80:C84"/>
    <mergeCell ref="C85:C89"/>
    <mergeCell ref="C90:C94"/>
    <mergeCell ref="C95:C99"/>
    <mergeCell ref="C100:C104"/>
    <mergeCell ref="C115:C119"/>
    <mergeCell ref="D105:D109"/>
    <mergeCell ref="D110:D114"/>
    <mergeCell ref="A9:A122"/>
    <mergeCell ref="B9:B74"/>
    <mergeCell ref="C9:C13"/>
    <mergeCell ref="D9:D13"/>
    <mergeCell ref="D14:D18"/>
    <mergeCell ref="D115:D119"/>
    <mergeCell ref="L90:L94"/>
    <mergeCell ref="M90:M94"/>
    <mergeCell ref="L95:L99"/>
    <mergeCell ref="M95:M99"/>
    <mergeCell ref="L100:L104"/>
    <mergeCell ref="M100:M104"/>
    <mergeCell ref="L105:L109"/>
    <mergeCell ref="M105:M109"/>
    <mergeCell ref="L110:L114"/>
    <mergeCell ref="M110:M114"/>
    <mergeCell ref="D75:D79"/>
    <mergeCell ref="D80:D84"/>
    <mergeCell ref="D85:D89"/>
    <mergeCell ref="D90:D94"/>
    <mergeCell ref="D95:D99"/>
    <mergeCell ref="D100:D104"/>
    <mergeCell ref="C105:C109"/>
    <mergeCell ref="C110:C114"/>
    <mergeCell ref="N90:N94"/>
    <mergeCell ref="O90:O94"/>
    <mergeCell ref="P90:P94"/>
    <mergeCell ref="Q90:Q94"/>
    <mergeCell ref="R90:R94"/>
    <mergeCell ref="E90:E94"/>
    <mergeCell ref="F90:F94"/>
    <mergeCell ref="G90:G94"/>
    <mergeCell ref="H90:H94"/>
    <mergeCell ref="I90:I94"/>
    <mergeCell ref="J90:J94"/>
    <mergeCell ref="K90:K94"/>
    <mergeCell ref="N95:N99"/>
    <mergeCell ref="O95:O99"/>
    <mergeCell ref="P95:P99"/>
    <mergeCell ref="Q95:Q99"/>
    <mergeCell ref="R95:R99"/>
    <mergeCell ref="E95:E99"/>
    <mergeCell ref="F95:F99"/>
    <mergeCell ref="G95:G99"/>
    <mergeCell ref="H95:H99"/>
    <mergeCell ref="I95:I99"/>
    <mergeCell ref="J95:J99"/>
    <mergeCell ref="K95:K99"/>
    <mergeCell ref="N100:N104"/>
    <mergeCell ref="O100:O104"/>
    <mergeCell ref="P100:P104"/>
    <mergeCell ref="Q100:Q104"/>
    <mergeCell ref="R100:R104"/>
    <mergeCell ref="E100:E104"/>
    <mergeCell ref="F100:F104"/>
    <mergeCell ref="G100:G104"/>
    <mergeCell ref="H100:H104"/>
    <mergeCell ref="I100:I104"/>
    <mergeCell ref="J100:J104"/>
    <mergeCell ref="K100:K104"/>
    <mergeCell ref="N105:N109"/>
    <mergeCell ref="O105:O109"/>
    <mergeCell ref="P105:P109"/>
    <mergeCell ref="Q105:Q109"/>
    <mergeCell ref="R105:R109"/>
    <mergeCell ref="E105:E109"/>
    <mergeCell ref="F105:F109"/>
    <mergeCell ref="G105:G109"/>
    <mergeCell ref="H105:H109"/>
    <mergeCell ref="I105:I109"/>
    <mergeCell ref="J105:J109"/>
    <mergeCell ref="K105:K109"/>
    <mergeCell ref="N110:N114"/>
    <mergeCell ref="O110:O114"/>
    <mergeCell ref="P110:P114"/>
    <mergeCell ref="Q110:Q114"/>
    <mergeCell ref="R110:R114"/>
    <mergeCell ref="E110:E114"/>
    <mergeCell ref="F110:F114"/>
    <mergeCell ref="G110:G114"/>
    <mergeCell ref="H110:H114"/>
    <mergeCell ref="I110:I114"/>
    <mergeCell ref="J110:J114"/>
    <mergeCell ref="K110:K114"/>
  </mergeCells>
  <conditionalFormatting sqref="K85:K89">
    <cfRule type="notContainsBlanks" dxfId="1" priority="1">
      <formula>LEN(TRIM(K85))&gt;0</formula>
    </cfRule>
  </conditionalFormatting>
  <dataValidations count="3">
    <dataValidation type="list" allowBlank="1" showErrorMessage="1" sqref="F9 F14 F19 F24 F29 F34 F39 F44 F49 F54 F59 F64 F69 F75 F80 F85 F90 F95 F100 F105 F110 F115 F120" xr:uid="{00000000-0002-0000-0D00-000000000000}">
      <formula1>INDIRECT($E9)</formula1>
    </dataValidation>
    <dataValidation type="list" allowBlank="1" showErrorMessage="1" sqref="E9 E14 E19 E24 E29 E34 E39 E44 E49 E54 E59 E64 E69 E75 E80 E85 E90 E95 E100 E105 E110 E115 E120" xr:uid="{00000000-0002-0000-0D00-000001000000}">
      <formula1>INDIRECT($G9)</formula1>
    </dataValidation>
    <dataValidation type="decimal" allowBlank="1" showInputMessage="1" showErrorMessage="1" prompt="DPLAN - Sólo debe ingresar valores, NO porcentajes." sqref="M29:O29 N30:N33 M34:O34 M39:O39 N40:N43 M44:O44 N45:N48 M49:O49 M54:O54 M64:O64 M69:O69 N70:N73 M80:O80 M85:O85 N86:N89 M90:O90 M95:O95 M105:O105 M110:O110 M115:O115 M120:O120" xr:uid="{00000000-0002-0000-0D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Académica&amp;C&amp;P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D00-000003000000}">
          <x14:formula1>
            <xm:f>'https://utmachalaeduec-my.sharepoint.com/personal/planificacion_utmachala_edu_ec/Documents/Gestión 2023/G.06 EMISION DE INSUMOS PARA ELAB. DE LA PROF, PRESUPUESTARIA Y SUS REFORMAS/REFORMA N° 002-2023/[PND]PND'!#REF!</xm:f>
          </x14:formula1>
          <xm:sqref>C9:D9 C14:D14 C19:D19 C24:D24 C29:D29 C34:D34 C39:D39 C44:D44 C49:D49 C54:D54 C59:D59 C64:D64 C69:D69</xm:sqref>
        </x14:dataValidation>
        <x14:dataValidation type="list" allowBlank="1" showErrorMessage="1" xr:uid="{00000000-0002-0000-0D00-000004000000}">
          <x14:formula1>
            <xm:f>('https://utmachalaeduec-my.sharepoint.com/personal/planificacion_utmachala_edu_ec/Documents/Gestión 2023/G.06 EMISION DE INSUMOS PARA ELAB. DE LA PROF, PRESUPUESTARIA Y SUS REFORMAS/REFORMA N° 002-2023/[PEDI]PEDI'!#REF!)</xm:f>
          </x14:formula1>
          <xm:sqref>H9 H14 H19 H24 H29 H34 H39 H44 H49 H54 H59 H64 H69</xm:sqref>
        </x14:dataValidation>
        <x14:dataValidation type="list" allowBlank="1" showErrorMessage="1" xr:uid="{00000000-0002-0000-0D00-000005000000}">
          <x14:formula1>
            <xm:f>'https://utmachalaeduec-my.sharepoint.com/personal/planificacion_utmachala_edu_ec/Documents/Gestión 2023/G.06 EMISION DE INSUMOS PARA ELAB. DE LA PROF, PRESUPUESTARIA Y SUS REFORMAS/REFORMA N° 002-2023/[PEDI]PEDI'!#REF!</xm:f>
          </x14:formula1>
          <xm:sqref>G9 G14 G19 G24 G29 G34 G39 G44 G49 G54 G59 G64 G69</xm:sqref>
        </x14:dataValidation>
        <x14:dataValidation type="list" allowBlank="1" showErrorMessage="1" xr:uid="{00000000-0002-0000-0D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I34 I39 I44 I49 I54 I59 I64 I69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36C09"/>
  </sheetPr>
  <dimension ref="A1:AH162"/>
  <sheetViews>
    <sheetView showGridLines="0" topLeftCell="N29" zoomScaleNormal="100" workbookViewId="0">
      <selection activeCell="V35" sqref="V35"/>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2"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2363</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5"/>
      <c r="C4" s="8825"/>
      <c r="D4" s="8825"/>
      <c r="E4" s="9378"/>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ht="27.75" customHeight="1">
      <c r="A5" s="11"/>
      <c r="B5" s="11"/>
      <c r="C5" s="11"/>
      <c r="D5" s="604"/>
      <c r="E5" s="605"/>
      <c r="F5" s="605"/>
      <c r="G5" s="11"/>
      <c r="H5" s="11"/>
      <c r="I5" s="11"/>
      <c r="J5" s="11"/>
      <c r="K5" s="11"/>
      <c r="L5" s="11"/>
      <c r="M5" s="11"/>
      <c r="N5" s="11"/>
      <c r="O5" s="11"/>
      <c r="P5" s="11"/>
      <c r="Q5" s="11"/>
      <c r="R5" s="11"/>
      <c r="S5" s="11"/>
      <c r="T5" s="11"/>
      <c r="U5" s="11"/>
      <c r="V5" s="11"/>
      <c r="W5" s="11"/>
      <c r="X5" s="11"/>
      <c r="Y5" s="11"/>
      <c r="Z5" s="11"/>
      <c r="AA5" s="11"/>
      <c r="AB5" s="243"/>
      <c r="AC5" s="355"/>
      <c r="AD5" s="355"/>
      <c r="AE5" s="11"/>
      <c r="AF5" s="11"/>
      <c r="AG5" s="11"/>
      <c r="AH5" s="112"/>
    </row>
    <row r="6" spans="1:34" ht="24.75" customHeight="1">
      <c r="A6" s="9002" t="s">
        <v>89</v>
      </c>
      <c r="B6" s="9641"/>
      <c r="C6" s="9735" t="s">
        <v>90</v>
      </c>
      <c r="D6" s="9814"/>
      <c r="E6" s="10128" t="s">
        <v>91</v>
      </c>
      <c r="F6" s="10129"/>
      <c r="G6" s="9357"/>
      <c r="H6" s="9357"/>
      <c r="I6" s="9357"/>
      <c r="J6" s="8988" t="s">
        <v>92</v>
      </c>
      <c r="K6" s="9343"/>
      <c r="L6" s="9343"/>
      <c r="M6" s="9343"/>
      <c r="N6" s="9343"/>
      <c r="O6" s="9343"/>
      <c r="P6" s="9343"/>
      <c r="Q6" s="9343"/>
      <c r="R6" s="9811"/>
      <c r="S6" s="10126" t="s">
        <v>93</v>
      </c>
      <c r="T6" s="9345"/>
      <c r="U6" s="9345"/>
      <c r="V6" s="9345"/>
      <c r="W6" s="9345"/>
      <c r="X6" s="9345"/>
      <c r="Y6" s="9345"/>
      <c r="Z6" s="9345"/>
      <c r="AA6" s="9345"/>
      <c r="AB6" s="9345"/>
      <c r="AC6" s="9345"/>
      <c r="AD6" s="9345"/>
      <c r="AE6" s="9345"/>
      <c r="AF6" s="9345"/>
      <c r="AG6" s="9345"/>
      <c r="AH6" s="9346"/>
    </row>
    <row r="7" spans="1:34" ht="39.75" customHeight="1">
      <c r="A7" s="9352"/>
      <c r="B7" s="9642"/>
      <c r="C7" s="9663" t="s">
        <v>94</v>
      </c>
      <c r="D7" s="9665"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815" t="s">
        <v>107</v>
      </c>
      <c r="S7" s="10127" t="s">
        <v>108</v>
      </c>
      <c r="T7" s="9347"/>
      <c r="U7" s="9347"/>
      <c r="V7" s="9347"/>
      <c r="W7" s="9347"/>
      <c r="X7" s="9347"/>
      <c r="Y7" s="9348"/>
      <c r="Z7" s="9156" t="s">
        <v>109</v>
      </c>
      <c r="AA7" s="9812"/>
      <c r="AB7" s="9812"/>
      <c r="AC7" s="9812"/>
      <c r="AD7" s="9813"/>
      <c r="AE7" s="9156" t="s">
        <v>110</v>
      </c>
      <c r="AF7" s="9347"/>
      <c r="AG7" s="9348"/>
      <c r="AH7" s="9157" t="s">
        <v>111</v>
      </c>
    </row>
    <row r="8" spans="1:34" ht="51.75" customHeight="1" thickBot="1">
      <c r="A8" s="9643"/>
      <c r="B8" s="9644"/>
      <c r="C8" s="9817"/>
      <c r="D8" s="9818"/>
      <c r="E8" s="9358"/>
      <c r="F8" s="9358"/>
      <c r="G8" s="9358"/>
      <c r="H8" s="9358"/>
      <c r="I8" s="9358"/>
      <c r="J8" s="9359"/>
      <c r="K8" s="9360"/>
      <c r="L8" s="9360"/>
      <c r="M8" s="5086" t="s">
        <v>112</v>
      </c>
      <c r="N8" s="5086" t="s">
        <v>113</v>
      </c>
      <c r="O8" s="5086" t="s">
        <v>114</v>
      </c>
      <c r="P8" s="9360"/>
      <c r="Q8" s="9360"/>
      <c r="R8" s="9816"/>
      <c r="S8" s="5133" t="s">
        <v>115</v>
      </c>
      <c r="T8" s="5088" t="s">
        <v>116</v>
      </c>
      <c r="U8" s="5089" t="s">
        <v>117</v>
      </c>
      <c r="V8" s="5088" t="s">
        <v>118</v>
      </c>
      <c r="W8" s="5088" t="s">
        <v>119</v>
      </c>
      <c r="X8" s="5088" t="s">
        <v>372</v>
      </c>
      <c r="Y8" s="5090" t="s">
        <v>121</v>
      </c>
      <c r="Z8" s="5088" t="s">
        <v>122</v>
      </c>
      <c r="AA8" s="5088" t="s">
        <v>123</v>
      </c>
      <c r="AB8" s="5132" t="s">
        <v>124</v>
      </c>
      <c r="AC8" s="5090" t="s">
        <v>125</v>
      </c>
      <c r="AD8" s="5090" t="s">
        <v>1100</v>
      </c>
      <c r="AE8" s="5088" t="s">
        <v>112</v>
      </c>
      <c r="AF8" s="5088" t="s">
        <v>113</v>
      </c>
      <c r="AG8" s="5088" t="s">
        <v>114</v>
      </c>
      <c r="AH8" s="9349"/>
    </row>
    <row r="9" spans="1:34" ht="54" customHeight="1">
      <c r="A9" s="10053" t="s">
        <v>2363</v>
      </c>
      <c r="B9" s="10054" t="s">
        <v>2363</v>
      </c>
      <c r="C9" s="10057" t="s">
        <v>183</v>
      </c>
      <c r="D9" s="10002" t="s">
        <v>227</v>
      </c>
      <c r="E9" s="10113" t="s">
        <v>490</v>
      </c>
      <c r="F9" s="10114" t="s">
        <v>2364</v>
      </c>
      <c r="G9" s="10117" t="s">
        <v>230</v>
      </c>
      <c r="H9" s="9996" t="s">
        <v>132</v>
      </c>
      <c r="I9" s="10008" t="s">
        <v>159</v>
      </c>
      <c r="J9" s="10113" t="s">
        <v>2365</v>
      </c>
      <c r="K9" s="10052" t="s">
        <v>2366</v>
      </c>
      <c r="L9" s="10052" t="s">
        <v>2367</v>
      </c>
      <c r="M9" s="9999">
        <v>1</v>
      </c>
      <c r="N9" s="9999">
        <v>0</v>
      </c>
      <c r="O9" s="9999">
        <v>1</v>
      </c>
      <c r="P9" s="10052" t="s">
        <v>2368</v>
      </c>
      <c r="Q9" s="9996" t="s">
        <v>2369</v>
      </c>
      <c r="R9" s="10122" t="s">
        <v>2370</v>
      </c>
      <c r="S9" s="244"/>
      <c r="T9" s="516"/>
      <c r="U9" s="516"/>
      <c r="V9" s="245"/>
      <c r="W9" s="6988"/>
      <c r="X9" s="488"/>
      <c r="Y9" s="7056"/>
      <c r="Z9" s="7020"/>
      <c r="AA9" s="7020"/>
      <c r="AB9" s="6991"/>
      <c r="AC9" s="7069"/>
      <c r="AD9" s="258"/>
      <c r="AE9" s="488"/>
      <c r="AF9" s="487"/>
      <c r="AG9" s="487"/>
      <c r="AH9" s="10123"/>
    </row>
    <row r="10" spans="1:34" ht="54" customHeight="1">
      <c r="A10" s="9392"/>
      <c r="B10" s="10055"/>
      <c r="C10" s="10058"/>
      <c r="D10" s="10009"/>
      <c r="E10" s="9994"/>
      <c r="F10" s="10115"/>
      <c r="G10" s="9997"/>
      <c r="H10" s="9997"/>
      <c r="I10" s="10009"/>
      <c r="J10" s="9994"/>
      <c r="K10" s="9997"/>
      <c r="L10" s="9997"/>
      <c r="M10" s="10000"/>
      <c r="N10" s="10000"/>
      <c r="O10" s="10000"/>
      <c r="P10" s="9997"/>
      <c r="Q10" s="9997"/>
      <c r="R10" s="10119"/>
      <c r="S10" s="489"/>
      <c r="T10" s="6959"/>
      <c r="U10" s="513"/>
      <c r="V10" s="247"/>
      <c r="W10" s="6989"/>
      <c r="X10" s="249"/>
      <c r="Y10" s="7056"/>
      <c r="Z10" s="7020"/>
      <c r="AA10" s="7020"/>
      <c r="AB10" s="6991"/>
      <c r="AC10" s="7069"/>
      <c r="AD10" s="258"/>
      <c r="AE10" s="249"/>
      <c r="AF10" s="247"/>
      <c r="AG10" s="247"/>
      <c r="AH10" s="10124"/>
    </row>
    <row r="11" spans="1:34" ht="54" customHeight="1">
      <c r="A11" s="9392"/>
      <c r="B11" s="10055"/>
      <c r="C11" s="10058"/>
      <c r="D11" s="10009"/>
      <c r="E11" s="9994"/>
      <c r="F11" s="10115"/>
      <c r="G11" s="9997"/>
      <c r="H11" s="9997"/>
      <c r="I11" s="10009"/>
      <c r="J11" s="9994"/>
      <c r="K11" s="9997"/>
      <c r="L11" s="9997"/>
      <c r="M11" s="10000"/>
      <c r="N11" s="10000"/>
      <c r="O11" s="10000"/>
      <c r="P11" s="9997"/>
      <c r="Q11" s="9997"/>
      <c r="R11" s="10119"/>
      <c r="S11" s="489"/>
      <c r="T11" s="6959"/>
      <c r="U11" s="513"/>
      <c r="V11" s="247"/>
      <c r="W11" s="6990"/>
      <c r="X11" s="249"/>
      <c r="Y11" s="7056"/>
      <c r="Z11" s="7020"/>
      <c r="AA11" s="7020"/>
      <c r="AB11" s="6991"/>
      <c r="AC11" s="7069"/>
      <c r="AD11" s="258"/>
      <c r="AE11" s="249"/>
      <c r="AF11" s="247"/>
      <c r="AG11" s="247"/>
      <c r="AH11" s="10124"/>
    </row>
    <row r="12" spans="1:34" ht="54" customHeight="1">
      <c r="A12" s="9392"/>
      <c r="B12" s="10055"/>
      <c r="C12" s="10058"/>
      <c r="D12" s="10009"/>
      <c r="E12" s="9994"/>
      <c r="F12" s="10115"/>
      <c r="G12" s="9997"/>
      <c r="H12" s="9997"/>
      <c r="I12" s="10009"/>
      <c r="J12" s="9994"/>
      <c r="K12" s="9997"/>
      <c r="L12" s="9997"/>
      <c r="M12" s="10000"/>
      <c r="N12" s="10000"/>
      <c r="O12" s="10000"/>
      <c r="P12" s="9997"/>
      <c r="Q12" s="9997"/>
      <c r="R12" s="10119"/>
      <c r="S12" s="250"/>
      <c r="T12" s="6959"/>
      <c r="U12" s="513"/>
      <c r="V12" s="247"/>
      <c r="W12" s="6991"/>
      <c r="X12" s="249"/>
      <c r="Y12" s="7056"/>
      <c r="Z12" s="7020"/>
      <c r="AA12" s="7020"/>
      <c r="AB12" s="6991"/>
      <c r="AC12" s="7069"/>
      <c r="AD12" s="258"/>
      <c r="AE12" s="249"/>
      <c r="AF12" s="247"/>
      <c r="AG12" s="247"/>
      <c r="AH12" s="10124"/>
    </row>
    <row r="13" spans="1:34" ht="54" customHeight="1">
      <c r="A13" s="9392"/>
      <c r="B13" s="10055"/>
      <c r="C13" s="10059"/>
      <c r="D13" s="10010"/>
      <c r="E13" s="9995"/>
      <c r="F13" s="10116"/>
      <c r="G13" s="9998"/>
      <c r="H13" s="9998"/>
      <c r="I13" s="10010"/>
      <c r="J13" s="9995"/>
      <c r="K13" s="9998"/>
      <c r="L13" s="9998"/>
      <c r="M13" s="10001"/>
      <c r="N13" s="10001"/>
      <c r="O13" s="10001"/>
      <c r="P13" s="9998"/>
      <c r="Q13" s="9998"/>
      <c r="R13" s="10120"/>
      <c r="S13" s="251"/>
      <c r="T13" s="6960"/>
      <c r="U13" s="514"/>
      <c r="V13" s="252"/>
      <c r="W13" s="6992"/>
      <c r="X13" s="253"/>
      <c r="Y13" s="7057"/>
      <c r="Z13" s="7021"/>
      <c r="AA13" s="7021"/>
      <c r="AB13" s="6992"/>
      <c r="AC13" s="7070"/>
      <c r="AD13" s="261"/>
      <c r="AE13" s="253"/>
      <c r="AF13" s="252"/>
      <c r="AG13" s="252"/>
      <c r="AH13" s="10125"/>
    </row>
    <row r="14" spans="1:34" ht="41.25" customHeight="1">
      <c r="A14" s="9392"/>
      <c r="B14" s="10055"/>
      <c r="C14" s="10130" t="s">
        <v>127</v>
      </c>
      <c r="D14" s="9903" t="s">
        <v>227</v>
      </c>
      <c r="E14" s="10134" t="s">
        <v>2371</v>
      </c>
      <c r="F14" s="10135" t="s">
        <v>2372</v>
      </c>
      <c r="G14" s="10130" t="s">
        <v>230</v>
      </c>
      <c r="H14" s="10133" t="s">
        <v>132</v>
      </c>
      <c r="I14" s="10064" t="s">
        <v>159</v>
      </c>
      <c r="J14" s="10137" t="s">
        <v>2373</v>
      </c>
      <c r="K14" s="10011" t="s">
        <v>2374</v>
      </c>
      <c r="L14" s="10011" t="s">
        <v>2375</v>
      </c>
      <c r="M14" s="10138">
        <v>0</v>
      </c>
      <c r="N14" s="10138">
        <v>0</v>
      </c>
      <c r="O14" s="10138">
        <v>1</v>
      </c>
      <c r="P14" s="10011" t="s">
        <v>2376</v>
      </c>
      <c r="Q14" s="10011" t="s">
        <v>2377</v>
      </c>
      <c r="R14" s="10118" t="s">
        <v>2378</v>
      </c>
      <c r="S14" s="254"/>
      <c r="T14" s="6961"/>
      <c r="U14" s="6961"/>
      <c r="V14" s="255"/>
      <c r="W14" s="6993"/>
      <c r="X14" s="255"/>
      <c r="Y14" s="7058"/>
      <c r="Z14" s="7022"/>
      <c r="AA14" s="7022"/>
      <c r="AB14" s="7058"/>
      <c r="AC14" s="7071"/>
      <c r="AD14" s="406"/>
      <c r="AE14" s="255"/>
      <c r="AF14" s="255"/>
      <c r="AG14" s="255"/>
      <c r="AH14" s="10139"/>
    </row>
    <row r="15" spans="1:34" ht="41.25" customHeight="1">
      <c r="A15" s="9392"/>
      <c r="B15" s="10055"/>
      <c r="C15" s="10058"/>
      <c r="D15" s="9904"/>
      <c r="E15" s="9994"/>
      <c r="F15" s="10058"/>
      <c r="G15" s="10058"/>
      <c r="H15" s="9997"/>
      <c r="I15" s="10009"/>
      <c r="J15" s="9994"/>
      <c r="K15" s="9997"/>
      <c r="L15" s="9997"/>
      <c r="M15" s="10000"/>
      <c r="N15" s="10000"/>
      <c r="O15" s="10000"/>
      <c r="P15" s="9997"/>
      <c r="Q15" s="9997"/>
      <c r="R15" s="10119"/>
      <c r="S15" s="256"/>
      <c r="T15" s="6962"/>
      <c r="U15" s="6962"/>
      <c r="V15" s="205"/>
      <c r="W15" s="6994"/>
      <c r="X15" s="205"/>
      <c r="Y15" s="7023"/>
      <c r="Z15" s="7020"/>
      <c r="AA15" s="7020"/>
      <c r="AB15" s="7023"/>
      <c r="AC15" s="7072"/>
      <c r="AD15" s="407"/>
      <c r="AE15" s="205"/>
      <c r="AF15" s="205"/>
      <c r="AG15" s="205"/>
      <c r="AH15" s="10124"/>
    </row>
    <row r="16" spans="1:34" ht="41.25" customHeight="1">
      <c r="A16" s="9392"/>
      <c r="B16" s="10055"/>
      <c r="C16" s="10058"/>
      <c r="D16" s="9904"/>
      <c r="E16" s="9994"/>
      <c r="F16" s="10058"/>
      <c r="G16" s="10058"/>
      <c r="H16" s="9997"/>
      <c r="I16" s="10009"/>
      <c r="J16" s="9994"/>
      <c r="K16" s="9997"/>
      <c r="L16" s="9997"/>
      <c r="M16" s="10000"/>
      <c r="N16" s="10000"/>
      <c r="O16" s="10000"/>
      <c r="P16" s="9997"/>
      <c r="Q16" s="9997"/>
      <c r="R16" s="10119"/>
      <c r="S16" s="256"/>
      <c r="T16" s="6963"/>
      <c r="U16" s="6963"/>
      <c r="V16" s="205"/>
      <c r="W16" s="6995"/>
      <c r="X16" s="257"/>
      <c r="Y16" s="7059"/>
      <c r="Z16" s="7020"/>
      <c r="AA16" s="7020"/>
      <c r="AB16" s="7024"/>
      <c r="AC16" s="7073"/>
      <c r="AD16" s="408"/>
      <c r="AE16" s="247"/>
      <c r="AF16" s="258"/>
      <c r="AG16" s="258"/>
      <c r="AH16" s="10124"/>
    </row>
    <row r="17" spans="1:34" ht="41.25" customHeight="1">
      <c r="A17" s="9392"/>
      <c r="B17" s="10055"/>
      <c r="C17" s="10058"/>
      <c r="D17" s="9904"/>
      <c r="E17" s="9994"/>
      <c r="F17" s="10058"/>
      <c r="G17" s="10058"/>
      <c r="H17" s="9997"/>
      <c r="I17" s="10009"/>
      <c r="J17" s="9994"/>
      <c r="K17" s="9997"/>
      <c r="L17" s="9997"/>
      <c r="M17" s="10000"/>
      <c r="N17" s="10000"/>
      <c r="O17" s="10000"/>
      <c r="P17" s="9997"/>
      <c r="Q17" s="9997"/>
      <c r="R17" s="10119"/>
      <c r="S17" s="256"/>
      <c r="T17" s="6963"/>
      <c r="U17" s="6963"/>
      <c r="V17" s="205"/>
      <c r="W17" s="6995"/>
      <c r="X17" s="257"/>
      <c r="Y17" s="7059"/>
      <c r="Z17" s="7020"/>
      <c r="AA17" s="7020"/>
      <c r="AB17" s="7024"/>
      <c r="AC17" s="7073"/>
      <c r="AD17" s="408"/>
      <c r="AE17" s="247"/>
      <c r="AF17" s="258"/>
      <c r="AG17" s="258"/>
      <c r="AH17" s="10124"/>
    </row>
    <row r="18" spans="1:34" ht="41.25" customHeight="1">
      <c r="A18" s="9392"/>
      <c r="B18" s="10055"/>
      <c r="C18" s="10059"/>
      <c r="D18" s="9905"/>
      <c r="E18" s="9995"/>
      <c r="F18" s="10059"/>
      <c r="G18" s="10059"/>
      <c r="H18" s="9998"/>
      <c r="I18" s="10010"/>
      <c r="J18" s="9995"/>
      <c r="K18" s="9998"/>
      <c r="L18" s="9998"/>
      <c r="M18" s="10001"/>
      <c r="N18" s="10001"/>
      <c r="O18" s="10001"/>
      <c r="P18" s="9998"/>
      <c r="Q18" s="9998"/>
      <c r="R18" s="10120"/>
      <c r="S18" s="259"/>
      <c r="T18" s="6964"/>
      <c r="U18" s="6964"/>
      <c r="V18" s="260"/>
      <c r="W18" s="4386"/>
      <c r="X18" s="252"/>
      <c r="Y18" s="6992"/>
      <c r="Z18" s="7021"/>
      <c r="AA18" s="7021"/>
      <c r="AB18" s="7025"/>
      <c r="AC18" s="7074"/>
      <c r="AD18" s="409"/>
      <c r="AE18" s="252"/>
      <c r="AF18" s="261"/>
      <c r="AG18" s="261"/>
      <c r="AH18" s="10125"/>
    </row>
    <row r="19" spans="1:34" ht="39.75" customHeight="1">
      <c r="A19" s="9392"/>
      <c r="B19" s="10055"/>
      <c r="C19" s="9028" t="s">
        <v>127</v>
      </c>
      <c r="D19" s="10060" t="s">
        <v>128</v>
      </c>
      <c r="E19" s="10131" t="s">
        <v>129</v>
      </c>
      <c r="F19" s="10011" t="s">
        <v>327</v>
      </c>
      <c r="G19" s="10132" t="s">
        <v>131</v>
      </c>
      <c r="H19" s="10133" t="s">
        <v>231</v>
      </c>
      <c r="I19" s="10064" t="s">
        <v>159</v>
      </c>
      <c r="J19" s="10137" t="s">
        <v>2379</v>
      </c>
      <c r="K19" s="10011" t="s">
        <v>2380</v>
      </c>
      <c r="L19" s="10011" t="s">
        <v>2381</v>
      </c>
      <c r="M19" s="10121">
        <v>1</v>
      </c>
      <c r="N19" s="10121">
        <v>0</v>
      </c>
      <c r="O19" s="10121">
        <v>1</v>
      </c>
      <c r="P19" s="10011" t="s">
        <v>2382</v>
      </c>
      <c r="Q19" s="10011" t="s">
        <v>2383</v>
      </c>
      <c r="R19" s="10118" t="s">
        <v>2378</v>
      </c>
      <c r="S19" s="254"/>
      <c r="T19" s="6965"/>
      <c r="U19" s="6965"/>
      <c r="V19" s="262"/>
      <c r="W19" s="6996"/>
      <c r="X19" s="263"/>
      <c r="Y19" s="7026"/>
      <c r="Z19" s="7022"/>
      <c r="AA19" s="7022"/>
      <c r="AB19" s="7027"/>
      <c r="AC19" s="7075"/>
      <c r="AD19" s="410"/>
      <c r="AE19" s="263"/>
      <c r="AF19" s="264"/>
      <c r="AG19" s="264"/>
      <c r="AH19" s="10139"/>
    </row>
    <row r="20" spans="1:34" ht="39.75" customHeight="1">
      <c r="A20" s="9392"/>
      <c r="B20" s="10055"/>
      <c r="C20" s="9694"/>
      <c r="D20" s="10061"/>
      <c r="E20" s="9994"/>
      <c r="F20" s="9997"/>
      <c r="G20" s="9997"/>
      <c r="H20" s="9997"/>
      <c r="I20" s="10009"/>
      <c r="J20" s="9994"/>
      <c r="K20" s="9997"/>
      <c r="L20" s="9997"/>
      <c r="M20" s="10000"/>
      <c r="N20" s="10000"/>
      <c r="O20" s="10000"/>
      <c r="P20" s="9997"/>
      <c r="Q20" s="9997"/>
      <c r="R20" s="10119"/>
      <c r="S20" s="256"/>
      <c r="T20" s="6966"/>
      <c r="U20" s="6966"/>
      <c r="V20" s="265"/>
      <c r="W20" s="4385"/>
      <c r="X20" s="247"/>
      <c r="Y20" s="6991"/>
      <c r="Z20" s="7020"/>
      <c r="AA20" s="7020"/>
      <c r="AB20" s="7024"/>
      <c r="AC20" s="7073"/>
      <c r="AD20" s="408"/>
      <c r="AE20" s="247"/>
      <c r="AF20" s="258"/>
      <c r="AG20" s="258"/>
      <c r="AH20" s="10124"/>
    </row>
    <row r="21" spans="1:34" ht="39.75" customHeight="1">
      <c r="A21" s="9392"/>
      <c r="B21" s="10055"/>
      <c r="C21" s="9694"/>
      <c r="D21" s="10061"/>
      <c r="E21" s="9994"/>
      <c r="F21" s="9997"/>
      <c r="G21" s="9997"/>
      <c r="H21" s="9997"/>
      <c r="I21" s="10009"/>
      <c r="J21" s="9994"/>
      <c r="K21" s="9997"/>
      <c r="L21" s="9997"/>
      <c r="M21" s="10000"/>
      <c r="N21" s="10000"/>
      <c r="O21" s="10000"/>
      <c r="P21" s="9997"/>
      <c r="Q21" s="9997"/>
      <c r="R21" s="10119"/>
      <c r="S21" s="256"/>
      <c r="T21" s="6966"/>
      <c r="U21" s="6966"/>
      <c r="V21" s="246"/>
      <c r="W21" s="4385"/>
      <c r="X21" s="247"/>
      <c r="Y21" s="6991"/>
      <c r="Z21" s="7020"/>
      <c r="AA21" s="7020"/>
      <c r="AB21" s="7024"/>
      <c r="AC21" s="7073"/>
      <c r="AD21" s="408"/>
      <c r="AE21" s="247"/>
      <c r="AF21" s="258"/>
      <c r="AG21" s="258"/>
      <c r="AH21" s="10124"/>
    </row>
    <row r="22" spans="1:34" ht="39.75" customHeight="1">
      <c r="A22" s="9392"/>
      <c r="B22" s="10055"/>
      <c r="C22" s="9694"/>
      <c r="D22" s="10061"/>
      <c r="E22" s="9994"/>
      <c r="F22" s="9997"/>
      <c r="G22" s="9997"/>
      <c r="H22" s="9997"/>
      <c r="I22" s="10009"/>
      <c r="J22" s="9994"/>
      <c r="K22" s="9997"/>
      <c r="L22" s="9997"/>
      <c r="M22" s="10000"/>
      <c r="N22" s="10000"/>
      <c r="O22" s="10000"/>
      <c r="P22" s="9997"/>
      <c r="Q22" s="9997"/>
      <c r="R22" s="10119"/>
      <c r="S22" s="256"/>
      <c r="T22" s="6966"/>
      <c r="U22" s="6966"/>
      <c r="V22" s="246"/>
      <c r="W22" s="4385"/>
      <c r="X22" s="247"/>
      <c r="Y22" s="6991"/>
      <c r="Z22" s="7020"/>
      <c r="AA22" s="7020"/>
      <c r="AB22" s="7024"/>
      <c r="AC22" s="7073"/>
      <c r="AD22" s="408"/>
      <c r="AE22" s="247"/>
      <c r="AF22" s="258"/>
      <c r="AG22" s="258"/>
      <c r="AH22" s="10124"/>
    </row>
    <row r="23" spans="1:34" ht="39.75" customHeight="1">
      <c r="A23" s="9392"/>
      <c r="B23" s="10055"/>
      <c r="C23" s="9443"/>
      <c r="D23" s="10062"/>
      <c r="E23" s="9995"/>
      <c r="F23" s="9998"/>
      <c r="G23" s="9998"/>
      <c r="H23" s="9998"/>
      <c r="I23" s="10010"/>
      <c r="J23" s="9995"/>
      <c r="K23" s="9998"/>
      <c r="L23" s="9998"/>
      <c r="M23" s="10001"/>
      <c r="N23" s="10001"/>
      <c r="O23" s="10001"/>
      <c r="P23" s="9998"/>
      <c r="Q23" s="9998"/>
      <c r="R23" s="10120"/>
      <c r="S23" s="259"/>
      <c r="T23" s="6967"/>
      <c r="U23" s="6967"/>
      <c r="V23" s="260"/>
      <c r="W23" s="4386"/>
      <c r="X23" s="252"/>
      <c r="Y23" s="6992"/>
      <c r="Z23" s="7021"/>
      <c r="AA23" s="7021"/>
      <c r="AB23" s="7025"/>
      <c r="AC23" s="7074"/>
      <c r="AD23" s="409"/>
      <c r="AE23" s="252"/>
      <c r="AF23" s="261"/>
      <c r="AG23" s="261"/>
      <c r="AH23" s="10125"/>
    </row>
    <row r="24" spans="1:34" ht="45" customHeight="1">
      <c r="A24" s="9392"/>
      <c r="B24" s="10055"/>
      <c r="C24" s="10063" t="s">
        <v>183</v>
      </c>
      <c r="D24" s="10002" t="s">
        <v>1291</v>
      </c>
      <c r="E24" s="10134" t="s">
        <v>2384</v>
      </c>
      <c r="F24" s="10135" t="s">
        <v>2385</v>
      </c>
      <c r="G24" s="10136" t="s">
        <v>1294</v>
      </c>
      <c r="H24" s="10135" t="s">
        <v>188</v>
      </c>
      <c r="I24" s="10064" t="s">
        <v>159</v>
      </c>
      <c r="J24" s="10137" t="s">
        <v>2386</v>
      </c>
      <c r="K24" s="10011" t="s">
        <v>2387</v>
      </c>
      <c r="L24" s="10011" t="s">
        <v>2388</v>
      </c>
      <c r="M24" s="10121">
        <v>1</v>
      </c>
      <c r="N24" s="10121">
        <v>1</v>
      </c>
      <c r="O24" s="10121">
        <v>1</v>
      </c>
      <c r="P24" s="10145" t="s">
        <v>2389</v>
      </c>
      <c r="Q24" s="10011" t="s">
        <v>2390</v>
      </c>
      <c r="R24" s="10118" t="s">
        <v>2378</v>
      </c>
      <c r="S24" s="254"/>
      <c r="T24" s="6965"/>
      <c r="U24" s="6965"/>
      <c r="V24" s="262"/>
      <c r="W24" s="6996"/>
      <c r="X24" s="263"/>
      <c r="Y24" s="7026"/>
      <c r="Z24" s="7022"/>
      <c r="AA24" s="7022"/>
      <c r="AB24" s="7027"/>
      <c r="AC24" s="7075"/>
      <c r="AD24" s="410"/>
      <c r="AE24" s="263"/>
      <c r="AF24" s="264"/>
      <c r="AG24" s="264"/>
      <c r="AH24" s="10139"/>
    </row>
    <row r="25" spans="1:34" ht="45" customHeight="1">
      <c r="A25" s="9392"/>
      <c r="B25" s="10055"/>
      <c r="C25" s="10058"/>
      <c r="D25" s="10009"/>
      <c r="E25" s="9994"/>
      <c r="F25" s="10058"/>
      <c r="G25" s="9997"/>
      <c r="H25" s="10058"/>
      <c r="I25" s="10009"/>
      <c r="J25" s="9994"/>
      <c r="K25" s="9997"/>
      <c r="L25" s="9997"/>
      <c r="M25" s="10000"/>
      <c r="N25" s="10000"/>
      <c r="O25" s="10000"/>
      <c r="P25" s="9997"/>
      <c r="Q25" s="9997"/>
      <c r="R25" s="10119"/>
      <c r="S25" s="256"/>
      <c r="T25" s="6966"/>
      <c r="U25" s="6966"/>
      <c r="V25" s="246"/>
      <c r="W25" s="4385"/>
      <c r="X25" s="247"/>
      <c r="Y25" s="6991"/>
      <c r="Z25" s="7020"/>
      <c r="AA25" s="7020"/>
      <c r="AB25" s="7024"/>
      <c r="AC25" s="7073"/>
      <c r="AD25" s="408"/>
      <c r="AE25" s="247"/>
      <c r="AF25" s="258"/>
      <c r="AG25" s="258"/>
      <c r="AH25" s="10124"/>
    </row>
    <row r="26" spans="1:34" ht="45" customHeight="1">
      <c r="A26" s="9392"/>
      <c r="B26" s="10055"/>
      <c r="C26" s="10058"/>
      <c r="D26" s="10009"/>
      <c r="E26" s="9994"/>
      <c r="F26" s="10058"/>
      <c r="G26" s="9997"/>
      <c r="H26" s="10058"/>
      <c r="I26" s="10009"/>
      <c r="J26" s="9994"/>
      <c r="K26" s="9997"/>
      <c r="L26" s="9997"/>
      <c r="M26" s="10000"/>
      <c r="N26" s="10000"/>
      <c r="O26" s="10000"/>
      <c r="P26" s="9997"/>
      <c r="Q26" s="9997"/>
      <c r="R26" s="10119"/>
      <c r="S26" s="256"/>
      <c r="T26" s="6966"/>
      <c r="U26" s="6966"/>
      <c r="V26" s="246"/>
      <c r="W26" s="4385"/>
      <c r="X26" s="247"/>
      <c r="Y26" s="6991"/>
      <c r="Z26" s="7020"/>
      <c r="AA26" s="7020"/>
      <c r="AB26" s="7024"/>
      <c r="AC26" s="7073"/>
      <c r="AD26" s="408"/>
      <c r="AE26" s="247"/>
      <c r="AF26" s="258"/>
      <c r="AG26" s="258"/>
      <c r="AH26" s="10124"/>
    </row>
    <row r="27" spans="1:34" ht="45" customHeight="1">
      <c r="A27" s="9392"/>
      <c r="B27" s="10055"/>
      <c r="C27" s="10058"/>
      <c r="D27" s="10009"/>
      <c r="E27" s="9994"/>
      <c r="F27" s="10058"/>
      <c r="G27" s="9997"/>
      <c r="H27" s="10058"/>
      <c r="I27" s="10009"/>
      <c r="J27" s="9994"/>
      <c r="K27" s="9997"/>
      <c r="L27" s="9997"/>
      <c r="M27" s="10000"/>
      <c r="N27" s="10000"/>
      <c r="O27" s="10000"/>
      <c r="P27" s="9997"/>
      <c r="Q27" s="9997"/>
      <c r="R27" s="10119"/>
      <c r="S27" s="256"/>
      <c r="T27" s="6966"/>
      <c r="U27" s="6966"/>
      <c r="V27" s="246"/>
      <c r="W27" s="4385"/>
      <c r="X27" s="247"/>
      <c r="Y27" s="6991"/>
      <c r="Z27" s="7020"/>
      <c r="AA27" s="7020"/>
      <c r="AB27" s="7024"/>
      <c r="AC27" s="7073"/>
      <c r="AD27" s="408"/>
      <c r="AE27" s="247"/>
      <c r="AF27" s="258"/>
      <c r="AG27" s="258"/>
      <c r="AH27" s="10124"/>
    </row>
    <row r="28" spans="1:34" ht="45" customHeight="1">
      <c r="A28" s="9392"/>
      <c r="B28" s="10055"/>
      <c r="C28" s="10059"/>
      <c r="D28" s="10010"/>
      <c r="E28" s="9995"/>
      <c r="F28" s="10059"/>
      <c r="G28" s="9998"/>
      <c r="H28" s="10059"/>
      <c r="I28" s="10010"/>
      <c r="J28" s="9995"/>
      <c r="K28" s="9998"/>
      <c r="L28" s="9998"/>
      <c r="M28" s="10001"/>
      <c r="N28" s="10001"/>
      <c r="O28" s="10001"/>
      <c r="P28" s="9998"/>
      <c r="Q28" s="9998"/>
      <c r="R28" s="10120"/>
      <c r="S28" s="266"/>
      <c r="T28" s="6968"/>
      <c r="U28" s="6968"/>
      <c r="V28" s="267"/>
      <c r="W28" s="4387"/>
      <c r="X28" s="268"/>
      <c r="Y28" s="7028"/>
      <c r="Z28" s="7029"/>
      <c r="AA28" s="7029"/>
      <c r="AB28" s="7030"/>
      <c r="AC28" s="7076"/>
      <c r="AD28" s="411"/>
      <c r="AE28" s="268"/>
      <c r="AF28" s="269"/>
      <c r="AG28" s="269"/>
      <c r="AH28" s="10125"/>
    </row>
    <row r="29" spans="1:34" ht="46.5" customHeight="1">
      <c r="A29" s="9392"/>
      <c r="B29" s="10055"/>
      <c r="C29" s="10095" t="s">
        <v>183</v>
      </c>
      <c r="D29" s="10014" t="s">
        <v>227</v>
      </c>
      <c r="E29" s="10131" t="s">
        <v>228</v>
      </c>
      <c r="F29" s="10011" t="s">
        <v>2272</v>
      </c>
      <c r="G29" s="10136" t="s">
        <v>230</v>
      </c>
      <c r="H29" s="10011" t="s">
        <v>158</v>
      </c>
      <c r="I29" s="10014" t="s">
        <v>133</v>
      </c>
      <c r="J29" s="10146" t="s">
        <v>2391</v>
      </c>
      <c r="K29" s="10145" t="s">
        <v>2392</v>
      </c>
      <c r="L29" s="10011" t="s">
        <v>2393</v>
      </c>
      <c r="M29" s="10138">
        <v>1</v>
      </c>
      <c r="N29" s="10121">
        <v>1</v>
      </c>
      <c r="O29" s="10138">
        <v>1</v>
      </c>
      <c r="P29" s="10145" t="s">
        <v>2394</v>
      </c>
      <c r="Q29" s="10011" t="s">
        <v>2395</v>
      </c>
      <c r="R29" s="10118" t="s">
        <v>2396</v>
      </c>
      <c r="S29" s="3302" t="s">
        <v>79</v>
      </c>
      <c r="T29" s="6969">
        <v>530207</v>
      </c>
      <c r="U29" s="6969"/>
      <c r="V29" s="3303" t="s">
        <v>471</v>
      </c>
      <c r="W29" s="6997"/>
      <c r="X29" s="3304"/>
      <c r="Y29" s="7060"/>
      <c r="Z29" s="7060"/>
      <c r="AA29" s="7060"/>
      <c r="AB29" s="7061">
        <v>0</v>
      </c>
      <c r="AC29" s="7077" t="s">
        <v>25</v>
      </c>
      <c r="AD29" s="2078"/>
      <c r="AE29" s="2079"/>
      <c r="AF29" s="2080"/>
      <c r="AG29" s="2077"/>
      <c r="AH29" s="10140" t="s">
        <v>2397</v>
      </c>
    </row>
    <row r="30" spans="1:34" ht="46.5" customHeight="1">
      <c r="A30" s="9392"/>
      <c r="B30" s="10055"/>
      <c r="C30" s="10058"/>
      <c r="D30" s="10009"/>
      <c r="E30" s="9994"/>
      <c r="F30" s="9997"/>
      <c r="G30" s="9997"/>
      <c r="H30" s="9997"/>
      <c r="I30" s="10009"/>
      <c r="J30" s="9994"/>
      <c r="K30" s="9997"/>
      <c r="L30" s="9997"/>
      <c r="M30" s="10000"/>
      <c r="N30" s="10000"/>
      <c r="O30" s="10000"/>
      <c r="P30" s="9997"/>
      <c r="Q30" s="9997"/>
      <c r="R30" s="10119"/>
      <c r="S30" s="3305"/>
      <c r="T30" s="6970"/>
      <c r="U30" s="4711">
        <v>836100011</v>
      </c>
      <c r="V30" s="3173" t="s">
        <v>472</v>
      </c>
      <c r="W30" s="6361">
        <v>1</v>
      </c>
      <c r="X30" s="3172" t="s">
        <v>180</v>
      </c>
      <c r="Y30" s="4783">
        <v>893</v>
      </c>
      <c r="Z30" s="4783">
        <f>+W30*Y30</f>
        <v>893</v>
      </c>
      <c r="AA30" s="4783">
        <f>+Z30*1.12</f>
        <v>1000.1600000000001</v>
      </c>
      <c r="AB30" s="7062"/>
      <c r="AC30" s="7078"/>
      <c r="AD30" s="2082"/>
      <c r="AE30" s="2081"/>
      <c r="AF30" s="51" t="s">
        <v>153</v>
      </c>
      <c r="AG30" s="51" t="s">
        <v>153</v>
      </c>
      <c r="AH30" s="10141"/>
    </row>
    <row r="31" spans="1:34" ht="46.5" customHeight="1">
      <c r="A31" s="9392"/>
      <c r="B31" s="10055"/>
      <c r="C31" s="10058"/>
      <c r="D31" s="10009"/>
      <c r="E31" s="9994"/>
      <c r="F31" s="9997"/>
      <c r="G31" s="9997"/>
      <c r="H31" s="9997"/>
      <c r="I31" s="10009"/>
      <c r="J31" s="9994"/>
      <c r="K31" s="9997"/>
      <c r="L31" s="9997"/>
      <c r="M31" s="10000"/>
      <c r="N31" s="10000"/>
      <c r="O31" s="10000"/>
      <c r="P31" s="9997"/>
      <c r="Q31" s="9997"/>
      <c r="R31" s="10119"/>
      <c r="S31" s="4221" t="s">
        <v>79</v>
      </c>
      <c r="T31" s="6313">
        <v>530613</v>
      </c>
      <c r="U31" s="6313"/>
      <c r="V31" s="7869" t="s">
        <v>2398</v>
      </c>
      <c r="W31" s="7870"/>
      <c r="X31" s="7871"/>
      <c r="Y31" s="7872"/>
      <c r="Z31" s="7872"/>
      <c r="AA31" s="7872"/>
      <c r="AB31" s="7873">
        <f>+AA32</f>
        <v>0</v>
      </c>
      <c r="AC31" s="4876" t="s">
        <v>25</v>
      </c>
      <c r="AD31" s="1012"/>
      <c r="AE31" s="1142"/>
      <c r="AF31" s="610"/>
      <c r="AG31" s="610"/>
      <c r="AH31" s="10141"/>
    </row>
    <row r="32" spans="1:34" ht="46.5" customHeight="1">
      <c r="A32" s="9392"/>
      <c r="B32" s="10055"/>
      <c r="C32" s="10058"/>
      <c r="D32" s="10009"/>
      <c r="E32" s="9994"/>
      <c r="F32" s="9997"/>
      <c r="G32" s="9997"/>
      <c r="H32" s="9997"/>
      <c r="I32" s="10009"/>
      <c r="J32" s="9994"/>
      <c r="K32" s="9997"/>
      <c r="L32" s="9997"/>
      <c r="M32" s="10000"/>
      <c r="N32" s="10000"/>
      <c r="O32" s="10000"/>
      <c r="P32" s="9997"/>
      <c r="Q32" s="9997"/>
      <c r="R32" s="10119"/>
      <c r="S32" s="2084"/>
      <c r="T32" s="6971"/>
      <c r="U32" s="6971"/>
      <c r="V32" s="7874" t="s">
        <v>2399</v>
      </c>
      <c r="W32" s="7875">
        <v>0</v>
      </c>
      <c r="X32" s="7876" t="s">
        <v>180</v>
      </c>
      <c r="Y32" s="7866">
        <v>0</v>
      </c>
      <c r="Z32" s="7866">
        <f>W32*Y32</f>
        <v>0</v>
      </c>
      <c r="AA32" s="7866">
        <f>Z32*1.12</f>
        <v>0</v>
      </c>
      <c r="AB32" s="7867"/>
      <c r="AC32" s="7079"/>
      <c r="AD32" s="1199"/>
      <c r="AE32" s="944"/>
      <c r="AF32" s="51"/>
      <c r="AG32" s="51" t="s">
        <v>153</v>
      </c>
      <c r="AH32" s="10141"/>
    </row>
    <row r="33" spans="1:34" ht="46.5" customHeight="1">
      <c r="A33" s="9392"/>
      <c r="B33" s="10055"/>
      <c r="C33" s="10058"/>
      <c r="D33" s="10009"/>
      <c r="E33" s="9994"/>
      <c r="F33" s="9997"/>
      <c r="G33" s="9997"/>
      <c r="H33" s="9997"/>
      <c r="I33" s="10009"/>
      <c r="J33" s="9994"/>
      <c r="K33" s="9997"/>
      <c r="L33" s="9997"/>
      <c r="M33" s="10000"/>
      <c r="N33" s="10000"/>
      <c r="O33" s="10000"/>
      <c r="P33" s="9997"/>
      <c r="Q33" s="9997"/>
      <c r="R33" s="10119"/>
      <c r="S33" s="4357"/>
      <c r="T33" s="6972"/>
      <c r="U33" s="6972"/>
      <c r="V33" s="4358"/>
      <c r="W33" s="5774"/>
      <c r="X33" s="3714"/>
      <c r="Y33" s="5544"/>
      <c r="Z33" s="6520"/>
      <c r="AA33" s="6520"/>
      <c r="AB33" s="5544"/>
      <c r="AC33" s="5823"/>
      <c r="AD33" s="4359"/>
      <c r="AE33" s="4360"/>
      <c r="AF33" s="3718"/>
      <c r="AG33" s="51"/>
      <c r="AH33" s="10141"/>
    </row>
    <row r="34" spans="1:34" ht="38.25" customHeight="1">
      <c r="A34" s="9392"/>
      <c r="B34" s="10055"/>
      <c r="C34" s="10096" t="s">
        <v>183</v>
      </c>
      <c r="D34" s="10099" t="s">
        <v>227</v>
      </c>
      <c r="E34" s="10044" t="s">
        <v>228</v>
      </c>
      <c r="F34" s="10110" t="s">
        <v>2272</v>
      </c>
      <c r="G34" s="10154" t="s">
        <v>230</v>
      </c>
      <c r="H34" s="10110" t="s">
        <v>132</v>
      </c>
      <c r="I34" s="10099" t="s">
        <v>189</v>
      </c>
      <c r="J34" s="10109" t="s">
        <v>2400</v>
      </c>
      <c r="K34" s="10110" t="s">
        <v>2401</v>
      </c>
      <c r="L34" s="10110" t="s">
        <v>2402</v>
      </c>
      <c r="M34" s="10148">
        <v>0</v>
      </c>
      <c r="N34" s="10148">
        <v>1</v>
      </c>
      <c r="O34" s="10148">
        <v>1</v>
      </c>
      <c r="P34" s="10110" t="s">
        <v>2403</v>
      </c>
      <c r="Q34" s="10110" t="s">
        <v>2404</v>
      </c>
      <c r="R34" s="10151" t="s">
        <v>2378</v>
      </c>
      <c r="S34" s="270"/>
      <c r="T34" s="6973"/>
      <c r="U34" s="6973"/>
      <c r="V34" s="271"/>
      <c r="W34" s="6998"/>
      <c r="X34" s="272"/>
      <c r="Y34" s="7031"/>
      <c r="Z34" s="7032"/>
      <c r="AA34" s="7032"/>
      <c r="AB34" s="7033"/>
      <c r="AC34" s="7080"/>
      <c r="AD34" s="415"/>
      <c r="AE34" s="272"/>
      <c r="AF34" s="273"/>
      <c r="AG34" s="273"/>
      <c r="AH34" s="10142"/>
    </row>
    <row r="35" spans="1:34" ht="38.25" customHeight="1">
      <c r="A35" s="9392"/>
      <c r="B35" s="10055"/>
      <c r="C35" s="10097"/>
      <c r="D35" s="10100"/>
      <c r="E35" s="10045"/>
      <c r="F35" s="10111"/>
      <c r="G35" s="10111"/>
      <c r="H35" s="10111"/>
      <c r="I35" s="10100"/>
      <c r="J35" s="10045"/>
      <c r="K35" s="10111"/>
      <c r="L35" s="10111"/>
      <c r="M35" s="10149"/>
      <c r="N35" s="10149"/>
      <c r="O35" s="10149"/>
      <c r="P35" s="10111"/>
      <c r="Q35" s="10111"/>
      <c r="R35" s="10152"/>
      <c r="S35" s="274"/>
      <c r="T35" s="6974"/>
      <c r="U35" s="6974"/>
      <c r="V35" s="275"/>
      <c r="W35" s="6999"/>
      <c r="X35" s="276"/>
      <c r="Y35" s="7034"/>
      <c r="Z35" s="7035"/>
      <c r="AA35" s="7035"/>
      <c r="AB35" s="7036"/>
      <c r="AC35" s="7081"/>
      <c r="AD35" s="416"/>
      <c r="AE35" s="276"/>
      <c r="AF35" s="277"/>
      <c r="AG35" s="277"/>
      <c r="AH35" s="10143"/>
    </row>
    <row r="36" spans="1:34" ht="38.25" customHeight="1">
      <c r="A36" s="9392"/>
      <c r="B36" s="10055"/>
      <c r="C36" s="10097"/>
      <c r="D36" s="10100"/>
      <c r="E36" s="10045"/>
      <c r="F36" s="10111"/>
      <c r="G36" s="10111"/>
      <c r="H36" s="10111"/>
      <c r="I36" s="10100"/>
      <c r="J36" s="10045"/>
      <c r="K36" s="10111"/>
      <c r="L36" s="10111"/>
      <c r="M36" s="10149"/>
      <c r="N36" s="10149"/>
      <c r="O36" s="10149"/>
      <c r="P36" s="10111"/>
      <c r="Q36" s="10111"/>
      <c r="R36" s="10152"/>
      <c r="S36" s="274"/>
      <c r="T36" s="6974"/>
      <c r="U36" s="6974"/>
      <c r="V36" s="275"/>
      <c r="W36" s="6999"/>
      <c r="X36" s="276"/>
      <c r="Y36" s="7034"/>
      <c r="Z36" s="7035"/>
      <c r="AA36" s="7035"/>
      <c r="AB36" s="7036"/>
      <c r="AC36" s="7081"/>
      <c r="AD36" s="416"/>
      <c r="AE36" s="276"/>
      <c r="AF36" s="277"/>
      <c r="AG36" s="277"/>
      <c r="AH36" s="10143"/>
    </row>
    <row r="37" spans="1:34" ht="38.25" customHeight="1">
      <c r="A37" s="9392"/>
      <c r="B37" s="10055"/>
      <c r="C37" s="10097"/>
      <c r="D37" s="10100"/>
      <c r="E37" s="10045"/>
      <c r="F37" s="10111"/>
      <c r="G37" s="10111"/>
      <c r="H37" s="10111"/>
      <c r="I37" s="10100"/>
      <c r="J37" s="10045"/>
      <c r="K37" s="10111"/>
      <c r="L37" s="10111"/>
      <c r="M37" s="10149"/>
      <c r="N37" s="10149"/>
      <c r="O37" s="10149"/>
      <c r="P37" s="10111"/>
      <c r="Q37" s="10111"/>
      <c r="R37" s="10152"/>
      <c r="S37" s="274"/>
      <c r="T37" s="6974"/>
      <c r="U37" s="6974"/>
      <c r="V37" s="275"/>
      <c r="W37" s="6999"/>
      <c r="X37" s="276"/>
      <c r="Y37" s="7034"/>
      <c r="Z37" s="7035"/>
      <c r="AA37" s="7035"/>
      <c r="AB37" s="7036"/>
      <c r="AC37" s="7081"/>
      <c r="AD37" s="416"/>
      <c r="AE37" s="276"/>
      <c r="AF37" s="277"/>
      <c r="AG37" s="277"/>
      <c r="AH37" s="10143"/>
    </row>
    <row r="38" spans="1:34" ht="38.25" customHeight="1">
      <c r="A38" s="9392"/>
      <c r="B38" s="10055"/>
      <c r="C38" s="10098"/>
      <c r="D38" s="10101"/>
      <c r="E38" s="10046"/>
      <c r="F38" s="10112"/>
      <c r="G38" s="10112"/>
      <c r="H38" s="10112"/>
      <c r="I38" s="10101"/>
      <c r="J38" s="10046"/>
      <c r="K38" s="10112"/>
      <c r="L38" s="10112"/>
      <c r="M38" s="10150"/>
      <c r="N38" s="10150"/>
      <c r="O38" s="10150"/>
      <c r="P38" s="10112"/>
      <c r="Q38" s="10112"/>
      <c r="R38" s="10153"/>
      <c r="S38" s="278"/>
      <c r="T38" s="6975"/>
      <c r="U38" s="6975"/>
      <c r="V38" s="279"/>
      <c r="W38" s="7000"/>
      <c r="X38" s="280"/>
      <c r="Y38" s="7037"/>
      <c r="Z38" s="7038"/>
      <c r="AA38" s="7038"/>
      <c r="AB38" s="7039"/>
      <c r="AC38" s="7082"/>
      <c r="AD38" s="417"/>
      <c r="AE38" s="280"/>
      <c r="AF38" s="281"/>
      <c r="AG38" s="281"/>
      <c r="AH38" s="10144"/>
    </row>
    <row r="39" spans="1:34" ht="44.25" customHeight="1">
      <c r="A39" s="9392"/>
      <c r="B39" s="10055"/>
      <c r="C39" s="8976" t="s">
        <v>183</v>
      </c>
      <c r="D39" s="9217" t="s">
        <v>227</v>
      </c>
      <c r="E39" s="8782" t="s">
        <v>228</v>
      </c>
      <c r="F39" s="8782" t="s">
        <v>2272</v>
      </c>
      <c r="G39" s="8977" t="s">
        <v>230</v>
      </c>
      <c r="H39" s="8782" t="s">
        <v>132</v>
      </c>
      <c r="I39" s="9217" t="s">
        <v>133</v>
      </c>
      <c r="J39" s="8860" t="s">
        <v>2405</v>
      </c>
      <c r="K39" s="8782" t="s">
        <v>2406</v>
      </c>
      <c r="L39" s="8782" t="s">
        <v>2407</v>
      </c>
      <c r="M39" s="8823">
        <v>1</v>
      </c>
      <c r="N39" s="8823">
        <v>1</v>
      </c>
      <c r="O39" s="8823">
        <v>0</v>
      </c>
      <c r="P39" s="8782" t="s">
        <v>2408</v>
      </c>
      <c r="Q39" s="10044" t="s">
        <v>2409</v>
      </c>
      <c r="R39" s="10047" t="s">
        <v>2378</v>
      </c>
      <c r="S39" s="282"/>
      <c r="T39" s="6795"/>
      <c r="U39" s="6976"/>
      <c r="V39" s="135"/>
      <c r="W39" s="7001"/>
      <c r="X39" s="283"/>
      <c r="Y39" s="6526"/>
      <c r="Z39" s="6526"/>
      <c r="AA39" s="6526"/>
      <c r="AB39" s="6275"/>
      <c r="AC39" s="4880"/>
      <c r="AD39" s="399"/>
      <c r="AE39" s="76"/>
      <c r="AF39" s="79"/>
      <c r="AG39" s="79"/>
      <c r="AH39" s="10147" t="s">
        <v>2410</v>
      </c>
    </row>
    <row r="40" spans="1:34" ht="44.25" customHeight="1">
      <c r="A40" s="9392"/>
      <c r="B40" s="10055"/>
      <c r="C40" s="9402"/>
      <c r="D40" s="9433"/>
      <c r="E40" s="9311"/>
      <c r="F40" s="9311"/>
      <c r="G40" s="9311"/>
      <c r="H40" s="9311"/>
      <c r="I40" s="9433"/>
      <c r="J40" s="9311"/>
      <c r="K40" s="9311"/>
      <c r="L40" s="9311"/>
      <c r="M40" s="9313"/>
      <c r="N40" s="9313"/>
      <c r="O40" s="9313"/>
      <c r="P40" s="9311"/>
      <c r="Q40" s="10045"/>
      <c r="R40" s="10048"/>
      <c r="S40" s="284"/>
      <c r="T40" s="6977"/>
      <c r="U40" s="6978"/>
      <c r="V40" s="47"/>
      <c r="W40" s="7002"/>
      <c r="X40" s="48"/>
      <c r="Y40" s="6526"/>
      <c r="Z40" s="6526"/>
      <c r="AA40" s="6526"/>
      <c r="AB40" s="6275"/>
      <c r="AC40" s="4880"/>
      <c r="AD40" s="399"/>
      <c r="AE40" s="48"/>
      <c r="AF40" s="51"/>
      <c r="AG40" s="51"/>
      <c r="AH40" s="8785"/>
    </row>
    <row r="41" spans="1:34" ht="44.25" customHeight="1">
      <c r="A41" s="9392"/>
      <c r="B41" s="10055"/>
      <c r="C41" s="9402"/>
      <c r="D41" s="9433"/>
      <c r="E41" s="9311"/>
      <c r="F41" s="9311"/>
      <c r="G41" s="9311"/>
      <c r="H41" s="9311"/>
      <c r="I41" s="9433"/>
      <c r="J41" s="9311"/>
      <c r="K41" s="9311"/>
      <c r="L41" s="9311"/>
      <c r="M41" s="9313"/>
      <c r="N41" s="9313"/>
      <c r="O41" s="9313"/>
      <c r="P41" s="9311"/>
      <c r="Q41" s="10045"/>
      <c r="R41" s="10048"/>
      <c r="S41" s="284"/>
      <c r="T41" s="6305"/>
      <c r="U41" s="6305"/>
      <c r="V41" s="47"/>
      <c r="W41" s="4869"/>
      <c r="X41" s="48"/>
      <c r="Y41" s="6526"/>
      <c r="Z41" s="6526"/>
      <c r="AA41" s="6526"/>
      <c r="AB41" s="6275"/>
      <c r="AC41" s="4880"/>
      <c r="AD41" s="399"/>
      <c r="AE41" s="48"/>
      <c r="AF41" s="51"/>
      <c r="AG41" s="51"/>
      <c r="AH41" s="8785"/>
    </row>
    <row r="42" spans="1:34" ht="44.25" customHeight="1">
      <c r="A42" s="9392"/>
      <c r="B42" s="10055"/>
      <c r="C42" s="9402"/>
      <c r="D42" s="9433"/>
      <c r="E42" s="9311"/>
      <c r="F42" s="9311"/>
      <c r="G42" s="9311"/>
      <c r="H42" s="9311"/>
      <c r="I42" s="9433"/>
      <c r="J42" s="9311"/>
      <c r="K42" s="9311"/>
      <c r="L42" s="9311"/>
      <c r="M42" s="9313"/>
      <c r="N42" s="9313"/>
      <c r="O42" s="9313"/>
      <c r="P42" s="9311"/>
      <c r="Q42" s="10045"/>
      <c r="R42" s="10048"/>
      <c r="S42" s="284"/>
      <c r="T42" s="6305"/>
      <c r="U42" s="6305"/>
      <c r="V42" s="47"/>
      <c r="W42" s="7003">
        <v>40000</v>
      </c>
      <c r="X42" s="48"/>
      <c r="Y42" s="6526"/>
      <c r="Z42" s="6526"/>
      <c r="AA42" s="6526"/>
      <c r="AB42" s="6275"/>
      <c r="AC42" s="4880"/>
      <c r="AD42" s="399"/>
      <c r="AE42" s="48"/>
      <c r="AF42" s="51"/>
      <c r="AG42" s="51"/>
      <c r="AH42" s="8785"/>
    </row>
    <row r="43" spans="1:34" ht="44.25" customHeight="1">
      <c r="A43" s="9392"/>
      <c r="B43" s="10055"/>
      <c r="C43" s="9403"/>
      <c r="D43" s="9434"/>
      <c r="E43" s="9312"/>
      <c r="F43" s="9312"/>
      <c r="G43" s="9312"/>
      <c r="H43" s="9312"/>
      <c r="I43" s="9434"/>
      <c r="J43" s="9312"/>
      <c r="K43" s="9312"/>
      <c r="L43" s="9312"/>
      <c r="M43" s="9314"/>
      <c r="N43" s="9314"/>
      <c r="O43" s="9314"/>
      <c r="P43" s="9312"/>
      <c r="Q43" s="10046"/>
      <c r="R43" s="10049"/>
      <c r="S43" s="286"/>
      <c r="T43" s="4856"/>
      <c r="U43" s="4856"/>
      <c r="V43" s="71"/>
      <c r="W43" s="4871"/>
      <c r="X43" s="64"/>
      <c r="Y43" s="7040"/>
      <c r="Z43" s="7040"/>
      <c r="AA43" s="7040"/>
      <c r="AB43" s="6276"/>
      <c r="AC43" s="4882"/>
      <c r="AD43" s="400"/>
      <c r="AE43" s="64"/>
      <c r="AF43" s="65"/>
      <c r="AG43" s="65"/>
      <c r="AH43" s="8794"/>
    </row>
    <row r="44" spans="1:34" ht="18.75" customHeight="1">
      <c r="A44" s="9392"/>
      <c r="B44" s="10055"/>
      <c r="C44" s="8976" t="s">
        <v>183</v>
      </c>
      <c r="D44" s="9217" t="s">
        <v>227</v>
      </c>
      <c r="E44" s="8782" t="s">
        <v>490</v>
      </c>
      <c r="F44" s="8782" t="s">
        <v>2210</v>
      </c>
      <c r="G44" s="8977" t="s">
        <v>230</v>
      </c>
      <c r="H44" s="8782" t="s">
        <v>231</v>
      </c>
      <c r="I44" s="9217" t="s">
        <v>189</v>
      </c>
      <c r="J44" s="8860" t="s">
        <v>2411</v>
      </c>
      <c r="K44" s="8782" t="s">
        <v>2412</v>
      </c>
      <c r="L44" s="8860" t="s">
        <v>2413</v>
      </c>
      <c r="M44" s="8823">
        <v>1</v>
      </c>
      <c r="N44" s="8823">
        <v>0</v>
      </c>
      <c r="O44" s="8823">
        <v>1</v>
      </c>
      <c r="P44" s="8782" t="s">
        <v>2414</v>
      </c>
      <c r="Q44" s="8782" t="s">
        <v>2415</v>
      </c>
      <c r="R44" s="10047" t="s">
        <v>2378</v>
      </c>
      <c r="S44" s="490"/>
      <c r="T44" s="6330"/>
      <c r="U44" s="6319"/>
      <c r="V44" s="135"/>
      <c r="W44" s="7004"/>
      <c r="X44" s="76"/>
      <c r="Y44" s="7041"/>
      <c r="Z44" s="7041"/>
      <c r="AA44" s="7041"/>
      <c r="AB44" s="7042"/>
      <c r="AC44" s="4883"/>
      <c r="AD44" s="418"/>
      <c r="AE44" s="76"/>
      <c r="AF44" s="79"/>
      <c r="AG44" s="79"/>
      <c r="AH44" s="10102"/>
    </row>
    <row r="45" spans="1:34" ht="18.75" customHeight="1">
      <c r="A45" s="9392"/>
      <c r="B45" s="10055"/>
      <c r="C45" s="9402"/>
      <c r="D45" s="9433"/>
      <c r="E45" s="9311"/>
      <c r="F45" s="9311"/>
      <c r="G45" s="9311"/>
      <c r="H45" s="9311"/>
      <c r="I45" s="9433"/>
      <c r="J45" s="9311"/>
      <c r="K45" s="9311"/>
      <c r="L45" s="9487"/>
      <c r="M45" s="9313"/>
      <c r="N45" s="9313"/>
      <c r="O45" s="9313"/>
      <c r="P45" s="9311"/>
      <c r="Q45" s="9311"/>
      <c r="R45" s="10048"/>
      <c r="S45" s="491"/>
      <c r="T45" s="6305"/>
      <c r="U45" s="6305"/>
      <c r="V45" s="47"/>
      <c r="W45" s="4869"/>
      <c r="X45" s="48"/>
      <c r="Y45" s="6526"/>
      <c r="Z45" s="6526"/>
      <c r="AA45" s="6526"/>
      <c r="AB45" s="6275"/>
      <c r="AC45" s="4880"/>
      <c r="AD45" s="399"/>
      <c r="AE45" s="48"/>
      <c r="AF45" s="51"/>
      <c r="AG45" s="51"/>
      <c r="AH45" s="9969"/>
    </row>
    <row r="46" spans="1:34" ht="18.75" customHeight="1">
      <c r="A46" s="9392"/>
      <c r="B46" s="10055"/>
      <c r="C46" s="9402"/>
      <c r="D46" s="9433"/>
      <c r="E46" s="9311"/>
      <c r="F46" s="9311"/>
      <c r="G46" s="9311"/>
      <c r="H46" s="9311"/>
      <c r="I46" s="9433"/>
      <c r="J46" s="9311"/>
      <c r="K46" s="9311"/>
      <c r="L46" s="9487"/>
      <c r="M46" s="9313"/>
      <c r="N46" s="9313"/>
      <c r="O46" s="9313"/>
      <c r="P46" s="9311"/>
      <c r="Q46" s="9311"/>
      <c r="R46" s="10048"/>
      <c r="S46" s="491"/>
      <c r="T46" s="6305"/>
      <c r="U46" s="6305"/>
      <c r="V46" s="287"/>
      <c r="W46" s="4869"/>
      <c r="X46" s="48"/>
      <c r="Y46" s="6526"/>
      <c r="Z46" s="6526"/>
      <c r="AA46" s="6526"/>
      <c r="AB46" s="6275"/>
      <c r="AC46" s="4880"/>
      <c r="AD46" s="399"/>
      <c r="AE46" s="48"/>
      <c r="AF46" s="51"/>
      <c r="AG46" s="51"/>
      <c r="AH46" s="9969"/>
    </row>
    <row r="47" spans="1:34" ht="18.75" customHeight="1">
      <c r="A47" s="9392"/>
      <c r="B47" s="10055"/>
      <c r="C47" s="9402"/>
      <c r="D47" s="9433"/>
      <c r="E47" s="9311"/>
      <c r="F47" s="9311"/>
      <c r="G47" s="9311"/>
      <c r="H47" s="9311"/>
      <c r="I47" s="9433"/>
      <c r="J47" s="9311"/>
      <c r="K47" s="9311"/>
      <c r="L47" s="9487"/>
      <c r="M47" s="9313"/>
      <c r="N47" s="9313"/>
      <c r="O47" s="9313"/>
      <c r="P47" s="9311"/>
      <c r="Q47" s="9311"/>
      <c r="R47" s="10048"/>
      <c r="S47" s="491"/>
      <c r="T47" s="6305"/>
      <c r="U47" s="6305"/>
      <c r="V47" s="47"/>
      <c r="W47" s="4869"/>
      <c r="X47" s="48"/>
      <c r="Y47" s="6526"/>
      <c r="Z47" s="6526"/>
      <c r="AA47" s="6526"/>
      <c r="AB47" s="6275"/>
      <c r="AC47" s="4880"/>
      <c r="AD47" s="399"/>
      <c r="AE47" s="48"/>
      <c r="AF47" s="51"/>
      <c r="AG47" s="51"/>
      <c r="AH47" s="9969"/>
    </row>
    <row r="48" spans="1:34" ht="18.75" customHeight="1">
      <c r="A48" s="9392"/>
      <c r="B48" s="10055"/>
      <c r="C48" s="9402"/>
      <c r="D48" s="9433"/>
      <c r="E48" s="9311"/>
      <c r="F48" s="9311"/>
      <c r="G48" s="9311"/>
      <c r="H48" s="9311"/>
      <c r="I48" s="9433"/>
      <c r="J48" s="9311"/>
      <c r="K48" s="9311"/>
      <c r="L48" s="9487"/>
      <c r="M48" s="9313"/>
      <c r="N48" s="9313"/>
      <c r="O48" s="9313"/>
      <c r="P48" s="9311"/>
      <c r="Q48" s="9311"/>
      <c r="R48" s="10048"/>
      <c r="S48" s="491"/>
      <c r="T48" s="6305"/>
      <c r="U48" s="6305"/>
      <c r="V48" s="47"/>
      <c r="W48" s="4869"/>
      <c r="X48" s="48"/>
      <c r="Y48" s="6526"/>
      <c r="Z48" s="6526"/>
      <c r="AA48" s="6526"/>
      <c r="AB48" s="6275"/>
      <c r="AC48" s="4880"/>
      <c r="AD48" s="399"/>
      <c r="AE48" s="48"/>
      <c r="AF48" s="51"/>
      <c r="AG48" s="51"/>
      <c r="AH48" s="9969"/>
    </row>
    <row r="49" spans="1:34" ht="18.75" customHeight="1">
      <c r="A49" s="9392"/>
      <c r="B49" s="10055"/>
      <c r="C49" s="9403"/>
      <c r="D49" s="9434"/>
      <c r="E49" s="9312"/>
      <c r="F49" s="9312"/>
      <c r="G49" s="9312"/>
      <c r="H49" s="9312"/>
      <c r="I49" s="9434"/>
      <c r="J49" s="9312"/>
      <c r="K49" s="9312"/>
      <c r="L49" s="9488"/>
      <c r="M49" s="9314"/>
      <c r="N49" s="9314"/>
      <c r="O49" s="9314"/>
      <c r="P49" s="9312"/>
      <c r="Q49" s="9312"/>
      <c r="R49" s="10049"/>
      <c r="S49" s="492"/>
      <c r="T49" s="4856"/>
      <c r="U49" s="4856"/>
      <c r="V49" s="71"/>
      <c r="W49" s="4871"/>
      <c r="X49" s="64"/>
      <c r="Y49" s="7040"/>
      <c r="Z49" s="7040"/>
      <c r="AA49" s="7040"/>
      <c r="AB49" s="6276"/>
      <c r="AC49" s="4882"/>
      <c r="AD49" s="400"/>
      <c r="AE49" s="64"/>
      <c r="AF49" s="65"/>
      <c r="AG49" s="65"/>
      <c r="AH49" s="9970"/>
    </row>
    <row r="50" spans="1:34" ht="34.5" customHeight="1">
      <c r="A50" s="9392"/>
      <c r="B50" s="10055"/>
      <c r="C50" s="8976" t="s">
        <v>183</v>
      </c>
      <c r="D50" s="9217" t="s">
        <v>227</v>
      </c>
      <c r="E50" s="8782" t="s">
        <v>228</v>
      </c>
      <c r="F50" s="8782" t="s">
        <v>2272</v>
      </c>
      <c r="G50" s="8977" t="s">
        <v>230</v>
      </c>
      <c r="H50" s="8782" t="s">
        <v>132</v>
      </c>
      <c r="I50" s="9217" t="s">
        <v>133</v>
      </c>
      <c r="J50" s="8860" t="s">
        <v>2416</v>
      </c>
      <c r="K50" s="8782" t="s">
        <v>2417</v>
      </c>
      <c r="L50" s="8782" t="s">
        <v>2418</v>
      </c>
      <c r="M50" s="8823">
        <v>1</v>
      </c>
      <c r="N50" s="8823">
        <v>1</v>
      </c>
      <c r="O50" s="8823">
        <v>1</v>
      </c>
      <c r="P50" s="8782" t="s">
        <v>2419</v>
      </c>
      <c r="Q50" s="10044" t="s">
        <v>2420</v>
      </c>
      <c r="R50" s="10047" t="s">
        <v>2378</v>
      </c>
      <c r="S50" s="490"/>
      <c r="T50" s="6330"/>
      <c r="U50" s="6319"/>
      <c r="V50" s="135"/>
      <c r="W50" s="4874"/>
      <c r="X50" s="76"/>
      <c r="Y50" s="7041"/>
      <c r="Z50" s="7041"/>
      <c r="AA50" s="7041"/>
      <c r="AB50" s="7042"/>
      <c r="AC50" s="4883"/>
      <c r="AD50" s="418"/>
      <c r="AE50" s="76"/>
      <c r="AF50" s="79"/>
      <c r="AG50" s="79"/>
      <c r="AH50" s="10102"/>
    </row>
    <row r="51" spans="1:34" ht="34.5" customHeight="1">
      <c r="A51" s="9392"/>
      <c r="B51" s="10055"/>
      <c r="C51" s="9402"/>
      <c r="D51" s="9433"/>
      <c r="E51" s="9311"/>
      <c r="F51" s="9311"/>
      <c r="G51" s="9311"/>
      <c r="H51" s="9311"/>
      <c r="I51" s="9433"/>
      <c r="J51" s="9311"/>
      <c r="K51" s="9311"/>
      <c r="L51" s="9311"/>
      <c r="M51" s="9313"/>
      <c r="N51" s="9313"/>
      <c r="O51" s="9313"/>
      <c r="P51" s="9311"/>
      <c r="Q51" s="10045"/>
      <c r="R51" s="10048"/>
      <c r="S51" s="491"/>
      <c r="T51" s="6305"/>
      <c r="U51" s="6305"/>
      <c r="V51" s="47"/>
      <c r="W51" s="4869"/>
      <c r="X51" s="48"/>
      <c r="Y51" s="6526"/>
      <c r="Z51" s="6526"/>
      <c r="AA51" s="6526"/>
      <c r="AB51" s="6275"/>
      <c r="AC51" s="4880"/>
      <c r="AD51" s="399"/>
      <c r="AE51" s="48"/>
      <c r="AF51" s="51"/>
      <c r="AG51" s="51"/>
      <c r="AH51" s="9969"/>
    </row>
    <row r="52" spans="1:34" ht="34.5" customHeight="1">
      <c r="A52" s="9392"/>
      <c r="B52" s="10055"/>
      <c r="C52" s="9402"/>
      <c r="D52" s="9433"/>
      <c r="E52" s="9311"/>
      <c r="F52" s="9311"/>
      <c r="G52" s="9311"/>
      <c r="H52" s="9311"/>
      <c r="I52" s="9433"/>
      <c r="J52" s="9311"/>
      <c r="K52" s="9311"/>
      <c r="L52" s="9311"/>
      <c r="M52" s="9313"/>
      <c r="N52" s="9313"/>
      <c r="O52" s="9313"/>
      <c r="P52" s="9311"/>
      <c r="Q52" s="10045"/>
      <c r="R52" s="10048"/>
      <c r="S52" s="491"/>
      <c r="T52" s="6305"/>
      <c r="U52" s="6305"/>
      <c r="V52" s="287"/>
      <c r="W52" s="4869"/>
      <c r="X52" s="48"/>
      <c r="Y52" s="6526"/>
      <c r="Z52" s="6526"/>
      <c r="AA52" s="6526"/>
      <c r="AB52" s="6275"/>
      <c r="AC52" s="4880"/>
      <c r="AD52" s="399"/>
      <c r="AE52" s="48"/>
      <c r="AF52" s="51"/>
      <c r="AG52" s="51"/>
      <c r="AH52" s="9969"/>
    </row>
    <row r="53" spans="1:34" ht="34.5" customHeight="1">
      <c r="A53" s="9392"/>
      <c r="B53" s="10055"/>
      <c r="C53" s="9402"/>
      <c r="D53" s="9433"/>
      <c r="E53" s="9311"/>
      <c r="F53" s="9311"/>
      <c r="G53" s="9311"/>
      <c r="H53" s="9311"/>
      <c r="I53" s="9433"/>
      <c r="J53" s="9311"/>
      <c r="K53" s="9311"/>
      <c r="L53" s="9311"/>
      <c r="M53" s="9313"/>
      <c r="N53" s="9313"/>
      <c r="O53" s="9313"/>
      <c r="P53" s="9311"/>
      <c r="Q53" s="10045"/>
      <c r="R53" s="10048"/>
      <c r="S53" s="491"/>
      <c r="T53" s="6305"/>
      <c r="U53" s="6305"/>
      <c r="V53" s="47"/>
      <c r="W53" s="4869"/>
      <c r="X53" s="48"/>
      <c r="Y53" s="6526"/>
      <c r="Z53" s="6526"/>
      <c r="AA53" s="6526"/>
      <c r="AB53" s="6275"/>
      <c r="AC53" s="4880"/>
      <c r="AD53" s="399"/>
      <c r="AE53" s="48"/>
      <c r="AF53" s="51"/>
      <c r="AG53" s="51"/>
      <c r="AH53" s="9969"/>
    </row>
    <row r="54" spans="1:34" ht="34.5" customHeight="1">
      <c r="A54" s="9392"/>
      <c r="B54" s="10055"/>
      <c r="C54" s="9402"/>
      <c r="D54" s="9433"/>
      <c r="E54" s="9311"/>
      <c r="F54" s="9311"/>
      <c r="G54" s="9311"/>
      <c r="H54" s="9311"/>
      <c r="I54" s="9433"/>
      <c r="J54" s="9311"/>
      <c r="K54" s="9311"/>
      <c r="L54" s="9311"/>
      <c r="M54" s="9313"/>
      <c r="N54" s="9313"/>
      <c r="O54" s="9313"/>
      <c r="P54" s="9311"/>
      <c r="Q54" s="10045"/>
      <c r="R54" s="10048"/>
      <c r="S54" s="491"/>
      <c r="T54" s="6305"/>
      <c r="U54" s="6305"/>
      <c r="V54" s="47"/>
      <c r="W54" s="4869"/>
      <c r="X54" s="48"/>
      <c r="Y54" s="6526"/>
      <c r="Z54" s="6526"/>
      <c r="AA54" s="6526"/>
      <c r="AB54" s="6275"/>
      <c r="AC54" s="4880"/>
      <c r="AD54" s="399"/>
      <c r="AE54" s="48"/>
      <c r="AF54" s="51"/>
      <c r="AG54" s="51"/>
      <c r="AH54" s="9969"/>
    </row>
    <row r="55" spans="1:34" ht="34.5" customHeight="1">
      <c r="A55" s="9392"/>
      <c r="B55" s="10055"/>
      <c r="C55" s="9403"/>
      <c r="D55" s="9434"/>
      <c r="E55" s="9312"/>
      <c r="F55" s="9312"/>
      <c r="G55" s="9312"/>
      <c r="H55" s="9312"/>
      <c r="I55" s="9434"/>
      <c r="J55" s="9312"/>
      <c r="K55" s="9312"/>
      <c r="L55" s="9312"/>
      <c r="M55" s="9314"/>
      <c r="N55" s="9314"/>
      <c r="O55" s="9314"/>
      <c r="P55" s="9312"/>
      <c r="Q55" s="10046"/>
      <c r="R55" s="10049"/>
      <c r="S55" s="492"/>
      <c r="T55" s="4856"/>
      <c r="U55" s="4856"/>
      <c r="V55" s="71"/>
      <c r="W55" s="4871"/>
      <c r="X55" s="64"/>
      <c r="Y55" s="7040"/>
      <c r="Z55" s="7040"/>
      <c r="AA55" s="7040"/>
      <c r="AB55" s="6276"/>
      <c r="AC55" s="4882"/>
      <c r="AD55" s="400"/>
      <c r="AE55" s="64"/>
      <c r="AF55" s="65"/>
      <c r="AG55" s="65"/>
      <c r="AH55" s="9970"/>
    </row>
    <row r="56" spans="1:34" ht="51.75" customHeight="1">
      <c r="A56" s="9392"/>
      <c r="B56" s="10055"/>
      <c r="C56" s="8976" t="s">
        <v>183</v>
      </c>
      <c r="D56" s="9217" t="s">
        <v>227</v>
      </c>
      <c r="E56" s="8782" t="s">
        <v>228</v>
      </c>
      <c r="F56" s="9217" t="s">
        <v>2272</v>
      </c>
      <c r="G56" s="8977" t="s">
        <v>230</v>
      </c>
      <c r="H56" s="9217" t="s">
        <v>158</v>
      </c>
      <c r="I56" s="9217" t="s">
        <v>133</v>
      </c>
      <c r="J56" s="8780" t="s">
        <v>2421</v>
      </c>
      <c r="K56" s="9217" t="s">
        <v>2422</v>
      </c>
      <c r="L56" s="8782" t="s">
        <v>2423</v>
      </c>
      <c r="M56" s="9610">
        <v>0</v>
      </c>
      <c r="N56" s="8823">
        <v>1</v>
      </c>
      <c r="O56" s="9610">
        <v>0</v>
      </c>
      <c r="P56" s="8782" t="s">
        <v>2424</v>
      </c>
      <c r="Q56" s="9217" t="s">
        <v>2425</v>
      </c>
      <c r="R56" s="8957" t="s">
        <v>2378</v>
      </c>
      <c r="S56" s="490"/>
      <c r="T56" s="6330"/>
      <c r="U56" s="6319"/>
      <c r="V56" s="135"/>
      <c r="W56" s="4874"/>
      <c r="X56" s="76"/>
      <c r="Y56" s="7041"/>
      <c r="Z56" s="7041"/>
      <c r="AA56" s="7041"/>
      <c r="AB56" s="7042"/>
      <c r="AC56" s="4883"/>
      <c r="AD56" s="418"/>
      <c r="AE56" s="76"/>
      <c r="AF56" s="79"/>
      <c r="AG56" s="79"/>
      <c r="AH56" s="10102"/>
    </row>
    <row r="57" spans="1:34" ht="51.75" customHeight="1">
      <c r="A57" s="9392"/>
      <c r="B57" s="10055"/>
      <c r="C57" s="9402"/>
      <c r="D57" s="9433"/>
      <c r="E57" s="9311"/>
      <c r="F57" s="9433"/>
      <c r="G57" s="9311"/>
      <c r="H57" s="9433"/>
      <c r="I57" s="9433"/>
      <c r="J57" s="9433"/>
      <c r="K57" s="9433"/>
      <c r="L57" s="9311"/>
      <c r="M57" s="9805"/>
      <c r="N57" s="9313"/>
      <c r="O57" s="9805"/>
      <c r="P57" s="9311"/>
      <c r="Q57" s="9433"/>
      <c r="R57" s="10107"/>
      <c r="S57" s="491"/>
      <c r="T57" s="6305"/>
      <c r="U57" s="6305"/>
      <c r="V57" s="47"/>
      <c r="W57" s="4869"/>
      <c r="X57" s="48"/>
      <c r="Y57" s="6526"/>
      <c r="Z57" s="6526"/>
      <c r="AA57" s="6526"/>
      <c r="AB57" s="6275"/>
      <c r="AC57" s="4880"/>
      <c r="AD57" s="399"/>
      <c r="AE57" s="48"/>
      <c r="AF57" s="51"/>
      <c r="AG57" s="51"/>
      <c r="AH57" s="9969"/>
    </row>
    <row r="58" spans="1:34" ht="51.75" customHeight="1">
      <c r="A58" s="9392"/>
      <c r="B58" s="10055"/>
      <c r="C58" s="9402"/>
      <c r="D58" s="9433"/>
      <c r="E58" s="9311"/>
      <c r="F58" s="9433"/>
      <c r="G58" s="9311"/>
      <c r="H58" s="9433"/>
      <c r="I58" s="9433"/>
      <c r="J58" s="9433"/>
      <c r="K58" s="9433"/>
      <c r="L58" s="9311"/>
      <c r="M58" s="9805"/>
      <c r="N58" s="9313"/>
      <c r="O58" s="9805"/>
      <c r="P58" s="9311"/>
      <c r="Q58" s="9433"/>
      <c r="R58" s="10107"/>
      <c r="S58" s="491"/>
      <c r="T58" s="6305"/>
      <c r="U58" s="6305"/>
      <c r="V58" s="287"/>
      <c r="W58" s="4869"/>
      <c r="X58" s="48"/>
      <c r="Y58" s="6526"/>
      <c r="Z58" s="6526"/>
      <c r="AA58" s="6526"/>
      <c r="AB58" s="6275"/>
      <c r="AC58" s="4880"/>
      <c r="AD58" s="399"/>
      <c r="AE58" s="48"/>
      <c r="AF58" s="51"/>
      <c r="AG58" s="51"/>
      <c r="AH58" s="9969"/>
    </row>
    <row r="59" spans="1:34" ht="51.75" customHeight="1">
      <c r="A59" s="9392"/>
      <c r="B59" s="10055"/>
      <c r="C59" s="9402"/>
      <c r="D59" s="9433"/>
      <c r="E59" s="9311"/>
      <c r="F59" s="9433"/>
      <c r="G59" s="9311"/>
      <c r="H59" s="9433"/>
      <c r="I59" s="9433"/>
      <c r="J59" s="9433"/>
      <c r="K59" s="9433"/>
      <c r="L59" s="9311"/>
      <c r="M59" s="9805"/>
      <c r="N59" s="9313"/>
      <c r="O59" s="9805"/>
      <c r="P59" s="9311"/>
      <c r="Q59" s="9433"/>
      <c r="R59" s="10107"/>
      <c r="S59" s="491"/>
      <c r="T59" s="6305"/>
      <c r="U59" s="6305"/>
      <c r="V59" s="47"/>
      <c r="W59" s="4869"/>
      <c r="X59" s="48"/>
      <c r="Y59" s="6526"/>
      <c r="Z59" s="6526"/>
      <c r="AA59" s="6526"/>
      <c r="AB59" s="6275"/>
      <c r="AC59" s="4880"/>
      <c r="AD59" s="399"/>
      <c r="AE59" s="48"/>
      <c r="AF59" s="51"/>
      <c r="AG59" s="51"/>
      <c r="AH59" s="9969"/>
    </row>
    <row r="60" spans="1:34" ht="51.75" customHeight="1">
      <c r="A60" s="9392"/>
      <c r="B60" s="10055"/>
      <c r="C60" s="9402"/>
      <c r="D60" s="9433"/>
      <c r="E60" s="9311"/>
      <c r="F60" s="9433"/>
      <c r="G60" s="9311"/>
      <c r="H60" s="9433"/>
      <c r="I60" s="9433"/>
      <c r="J60" s="9433"/>
      <c r="K60" s="9433"/>
      <c r="L60" s="9311"/>
      <c r="M60" s="9805"/>
      <c r="N60" s="9313"/>
      <c r="O60" s="9805"/>
      <c r="P60" s="9311"/>
      <c r="Q60" s="9433"/>
      <c r="R60" s="10107"/>
      <c r="S60" s="491"/>
      <c r="T60" s="6305"/>
      <c r="U60" s="6305"/>
      <c r="V60" s="47"/>
      <c r="W60" s="4869"/>
      <c r="X60" s="48"/>
      <c r="Y60" s="6526"/>
      <c r="Z60" s="6526"/>
      <c r="AA60" s="6526"/>
      <c r="AB60" s="6275"/>
      <c r="AC60" s="4880"/>
      <c r="AD60" s="399"/>
      <c r="AE60" s="48"/>
      <c r="AF60" s="51"/>
      <c r="AG60" s="51"/>
      <c r="AH60" s="9969"/>
    </row>
    <row r="61" spans="1:34" ht="51.75" customHeight="1">
      <c r="A61" s="9392"/>
      <c r="B61" s="10055"/>
      <c r="C61" s="9403"/>
      <c r="D61" s="9434"/>
      <c r="E61" s="9312"/>
      <c r="F61" s="9434"/>
      <c r="G61" s="9312"/>
      <c r="H61" s="9434"/>
      <c r="I61" s="9434"/>
      <c r="J61" s="9434"/>
      <c r="K61" s="9434"/>
      <c r="L61" s="9312"/>
      <c r="M61" s="9806"/>
      <c r="N61" s="9314"/>
      <c r="O61" s="9806"/>
      <c r="P61" s="9312"/>
      <c r="Q61" s="9434"/>
      <c r="R61" s="10108"/>
      <c r="S61" s="492"/>
      <c r="T61" s="4856"/>
      <c r="U61" s="4856"/>
      <c r="V61" s="71"/>
      <c r="W61" s="4871"/>
      <c r="X61" s="64"/>
      <c r="Y61" s="7040"/>
      <c r="Z61" s="7040"/>
      <c r="AA61" s="7040"/>
      <c r="AB61" s="6276"/>
      <c r="AC61" s="4882"/>
      <c r="AD61" s="400"/>
      <c r="AE61" s="64"/>
      <c r="AF61" s="65"/>
      <c r="AG61" s="65"/>
      <c r="AH61" s="9970"/>
    </row>
    <row r="62" spans="1:34" ht="19.5" customHeight="1">
      <c r="A62" s="9392"/>
      <c r="B62" s="10055"/>
      <c r="C62" s="8976" t="s">
        <v>183</v>
      </c>
      <c r="D62" s="9939" t="s">
        <v>227</v>
      </c>
      <c r="E62" s="10050" t="s">
        <v>185</v>
      </c>
      <c r="F62" s="8940" t="s">
        <v>2426</v>
      </c>
      <c r="G62" s="8977" t="s">
        <v>230</v>
      </c>
      <c r="H62" s="8940" t="s">
        <v>132</v>
      </c>
      <c r="I62" s="9217" t="s">
        <v>214</v>
      </c>
      <c r="J62" s="8860" t="s">
        <v>2427</v>
      </c>
      <c r="K62" s="8782" t="s">
        <v>1567</v>
      </c>
      <c r="L62" s="8782"/>
      <c r="M62" s="8823"/>
      <c r="N62" s="8823"/>
      <c r="O62" s="8856"/>
      <c r="P62" s="8834"/>
      <c r="Q62" s="10105"/>
      <c r="R62" s="10106"/>
      <c r="S62" s="490"/>
      <c r="T62" s="6330"/>
      <c r="U62" s="6319"/>
      <c r="V62" s="135"/>
      <c r="W62" s="4874"/>
      <c r="X62" s="76"/>
      <c r="Y62" s="7041"/>
      <c r="Z62" s="7041"/>
      <c r="AA62" s="7041"/>
      <c r="AB62" s="7042"/>
      <c r="AC62" s="4883"/>
      <c r="AD62" s="418"/>
      <c r="AE62" s="76"/>
      <c r="AF62" s="79"/>
      <c r="AG62" s="79"/>
      <c r="AH62" s="9269" t="s">
        <v>2428</v>
      </c>
    </row>
    <row r="63" spans="1:34" ht="19.5" customHeight="1">
      <c r="A63" s="9392"/>
      <c r="B63" s="10055"/>
      <c r="C63" s="9402"/>
      <c r="D63" s="9904"/>
      <c r="E63" s="9311"/>
      <c r="F63" s="9402"/>
      <c r="G63" s="9311"/>
      <c r="H63" s="9402"/>
      <c r="I63" s="9433"/>
      <c r="J63" s="9311"/>
      <c r="K63" s="9311"/>
      <c r="L63" s="9311"/>
      <c r="M63" s="9313"/>
      <c r="N63" s="9313"/>
      <c r="O63" s="9313"/>
      <c r="P63" s="9311"/>
      <c r="Q63" s="10045"/>
      <c r="R63" s="10048"/>
      <c r="S63" s="491"/>
      <c r="T63" s="6305"/>
      <c r="U63" s="6305"/>
      <c r="V63" s="47"/>
      <c r="W63" s="4869"/>
      <c r="X63" s="48"/>
      <c r="Y63" s="6526"/>
      <c r="Z63" s="6526"/>
      <c r="AA63" s="6526"/>
      <c r="AB63" s="6275"/>
      <c r="AC63" s="4880"/>
      <c r="AD63" s="399"/>
      <c r="AE63" s="48"/>
      <c r="AF63" s="51"/>
      <c r="AG63" s="51"/>
      <c r="AH63" s="8785"/>
    </row>
    <row r="64" spans="1:34" ht="19.5" customHeight="1">
      <c r="A64" s="9392"/>
      <c r="B64" s="10055"/>
      <c r="C64" s="9402"/>
      <c r="D64" s="9904"/>
      <c r="E64" s="9311"/>
      <c r="F64" s="9402"/>
      <c r="G64" s="9311"/>
      <c r="H64" s="9402"/>
      <c r="I64" s="9433"/>
      <c r="J64" s="9311"/>
      <c r="K64" s="9311"/>
      <c r="L64" s="9311"/>
      <c r="M64" s="9313"/>
      <c r="N64" s="9313"/>
      <c r="O64" s="9313"/>
      <c r="P64" s="9311"/>
      <c r="Q64" s="10045"/>
      <c r="R64" s="10048"/>
      <c r="S64" s="491"/>
      <c r="T64" s="6305"/>
      <c r="U64" s="6305"/>
      <c r="V64" s="287"/>
      <c r="W64" s="4869"/>
      <c r="X64" s="48"/>
      <c r="Y64" s="6526"/>
      <c r="Z64" s="6526"/>
      <c r="AA64" s="6526"/>
      <c r="AB64" s="6275"/>
      <c r="AC64" s="4880"/>
      <c r="AD64" s="399"/>
      <c r="AE64" s="48"/>
      <c r="AF64" s="51"/>
      <c r="AG64" s="51"/>
      <c r="AH64" s="8785"/>
    </row>
    <row r="65" spans="1:34" ht="19.5" customHeight="1">
      <c r="A65" s="9392"/>
      <c r="B65" s="10055"/>
      <c r="C65" s="9402"/>
      <c r="D65" s="9904"/>
      <c r="E65" s="9311"/>
      <c r="F65" s="9402"/>
      <c r="G65" s="9311"/>
      <c r="H65" s="9402"/>
      <c r="I65" s="9433"/>
      <c r="J65" s="9311"/>
      <c r="K65" s="9311"/>
      <c r="L65" s="9311"/>
      <c r="M65" s="9313"/>
      <c r="N65" s="9313"/>
      <c r="O65" s="9313"/>
      <c r="P65" s="9311"/>
      <c r="Q65" s="10045"/>
      <c r="R65" s="10048"/>
      <c r="S65" s="491"/>
      <c r="T65" s="6305"/>
      <c r="U65" s="6305"/>
      <c r="V65" s="47"/>
      <c r="W65" s="4869"/>
      <c r="X65" s="48"/>
      <c r="Y65" s="6526"/>
      <c r="Z65" s="6526"/>
      <c r="AA65" s="6526"/>
      <c r="AB65" s="6275"/>
      <c r="AC65" s="4880"/>
      <c r="AD65" s="399"/>
      <c r="AE65" s="48"/>
      <c r="AF65" s="51"/>
      <c r="AG65" s="51"/>
      <c r="AH65" s="8785"/>
    </row>
    <row r="66" spans="1:34" ht="19.5" customHeight="1">
      <c r="A66" s="9392"/>
      <c r="B66" s="10055"/>
      <c r="C66" s="9402"/>
      <c r="D66" s="9904"/>
      <c r="E66" s="9311"/>
      <c r="F66" s="9402"/>
      <c r="G66" s="9311"/>
      <c r="H66" s="9402"/>
      <c r="I66" s="9433"/>
      <c r="J66" s="9311"/>
      <c r="K66" s="9311"/>
      <c r="L66" s="9311"/>
      <c r="M66" s="9313"/>
      <c r="N66" s="9313"/>
      <c r="O66" s="9313"/>
      <c r="P66" s="9311"/>
      <c r="Q66" s="10045"/>
      <c r="R66" s="10048"/>
      <c r="S66" s="491"/>
      <c r="T66" s="6305"/>
      <c r="U66" s="6305"/>
      <c r="V66" s="47"/>
      <c r="W66" s="4869"/>
      <c r="X66" s="48"/>
      <c r="Y66" s="6526"/>
      <c r="Z66" s="6526"/>
      <c r="AA66" s="6526"/>
      <c r="AB66" s="6275"/>
      <c r="AC66" s="4880"/>
      <c r="AD66" s="399"/>
      <c r="AE66" s="48"/>
      <c r="AF66" s="51"/>
      <c r="AG66" s="51"/>
      <c r="AH66" s="8785"/>
    </row>
    <row r="67" spans="1:34" ht="19.5" customHeight="1">
      <c r="A67" s="9392"/>
      <c r="B67" s="10055"/>
      <c r="C67" s="9403"/>
      <c r="D67" s="9905"/>
      <c r="E67" s="9312"/>
      <c r="F67" s="9403"/>
      <c r="G67" s="9312"/>
      <c r="H67" s="9403"/>
      <c r="I67" s="9434"/>
      <c r="J67" s="9312"/>
      <c r="K67" s="9312"/>
      <c r="L67" s="9312"/>
      <c r="M67" s="9314"/>
      <c r="N67" s="9314"/>
      <c r="O67" s="9314"/>
      <c r="P67" s="9312"/>
      <c r="Q67" s="10046"/>
      <c r="R67" s="10049"/>
      <c r="S67" s="492"/>
      <c r="T67" s="4856"/>
      <c r="U67" s="4856"/>
      <c r="V67" s="71"/>
      <c r="W67" s="4871"/>
      <c r="X67" s="64"/>
      <c r="Y67" s="7040"/>
      <c r="Z67" s="7040"/>
      <c r="AA67" s="7040"/>
      <c r="AB67" s="6276"/>
      <c r="AC67" s="4882"/>
      <c r="AD67" s="400"/>
      <c r="AE67" s="64"/>
      <c r="AF67" s="65"/>
      <c r="AG67" s="65"/>
      <c r="AH67" s="8794"/>
    </row>
    <row r="68" spans="1:34" ht="22.5" customHeight="1">
      <c r="A68" s="9392"/>
      <c r="B68" s="10055"/>
      <c r="C68" s="8976" t="s">
        <v>127</v>
      </c>
      <c r="D68" s="9217" t="s">
        <v>128</v>
      </c>
      <c r="E68" s="8782" t="s">
        <v>140</v>
      </c>
      <c r="F68" s="8782" t="s">
        <v>284</v>
      </c>
      <c r="G68" s="8977" t="s">
        <v>131</v>
      </c>
      <c r="H68" s="8782" t="s">
        <v>132</v>
      </c>
      <c r="I68" s="10051" t="s">
        <v>159</v>
      </c>
      <c r="J68" s="8860" t="s">
        <v>2429</v>
      </c>
      <c r="K68" s="8782" t="s">
        <v>286</v>
      </c>
      <c r="L68" s="8782" t="s">
        <v>2430</v>
      </c>
      <c r="M68" s="8823">
        <v>0</v>
      </c>
      <c r="N68" s="8823">
        <v>1</v>
      </c>
      <c r="O68" s="8823">
        <v>1</v>
      </c>
      <c r="P68" s="8782" t="s">
        <v>2431</v>
      </c>
      <c r="Q68" s="10044" t="s">
        <v>2432</v>
      </c>
      <c r="R68" s="10047" t="s">
        <v>2378</v>
      </c>
      <c r="S68" s="490"/>
      <c r="T68" s="6330"/>
      <c r="U68" s="6319"/>
      <c r="V68" s="135"/>
      <c r="W68" s="4874"/>
      <c r="X68" s="76"/>
      <c r="Y68" s="7041"/>
      <c r="Z68" s="7041"/>
      <c r="AA68" s="7041"/>
      <c r="AB68" s="7042"/>
      <c r="AC68" s="4883"/>
      <c r="AD68" s="418"/>
      <c r="AE68" s="76"/>
      <c r="AF68" s="79"/>
      <c r="AG68" s="79"/>
      <c r="AH68" s="10102"/>
    </row>
    <row r="69" spans="1:34" ht="22.5" customHeight="1">
      <c r="A69" s="9392"/>
      <c r="B69" s="10055"/>
      <c r="C69" s="9402"/>
      <c r="D69" s="9433"/>
      <c r="E69" s="9311"/>
      <c r="F69" s="9311"/>
      <c r="G69" s="9311"/>
      <c r="H69" s="9311"/>
      <c r="I69" s="9442"/>
      <c r="J69" s="9311"/>
      <c r="K69" s="9311"/>
      <c r="L69" s="9311"/>
      <c r="M69" s="9313"/>
      <c r="N69" s="9313"/>
      <c r="O69" s="9313"/>
      <c r="P69" s="9311"/>
      <c r="Q69" s="10045"/>
      <c r="R69" s="10048"/>
      <c r="S69" s="491"/>
      <c r="T69" s="6305"/>
      <c r="U69" s="6305"/>
      <c r="V69" s="47"/>
      <c r="W69" s="4869"/>
      <c r="X69" s="48"/>
      <c r="Y69" s="6526"/>
      <c r="Z69" s="6526"/>
      <c r="AA69" s="6526"/>
      <c r="AB69" s="6275"/>
      <c r="AC69" s="4880"/>
      <c r="AD69" s="399"/>
      <c r="AE69" s="48"/>
      <c r="AF69" s="51"/>
      <c r="AG69" s="51"/>
      <c r="AH69" s="9969"/>
    </row>
    <row r="70" spans="1:34" ht="22.5" customHeight="1">
      <c r="A70" s="9392"/>
      <c r="B70" s="10055"/>
      <c r="C70" s="9402"/>
      <c r="D70" s="9433"/>
      <c r="E70" s="9311"/>
      <c r="F70" s="9311"/>
      <c r="G70" s="9311"/>
      <c r="H70" s="9311"/>
      <c r="I70" s="9442"/>
      <c r="J70" s="9311"/>
      <c r="K70" s="9311"/>
      <c r="L70" s="9311"/>
      <c r="M70" s="9313"/>
      <c r="N70" s="9313"/>
      <c r="O70" s="9313"/>
      <c r="P70" s="9311"/>
      <c r="Q70" s="10045"/>
      <c r="R70" s="10048"/>
      <c r="S70" s="491"/>
      <c r="T70" s="6305"/>
      <c r="U70" s="6305"/>
      <c r="V70" s="287"/>
      <c r="W70" s="4869"/>
      <c r="X70" s="48"/>
      <c r="Y70" s="6526"/>
      <c r="Z70" s="6526"/>
      <c r="AA70" s="6526"/>
      <c r="AB70" s="6275"/>
      <c r="AC70" s="4880"/>
      <c r="AD70" s="399"/>
      <c r="AE70" s="48"/>
      <c r="AF70" s="51"/>
      <c r="AG70" s="51"/>
      <c r="AH70" s="9969"/>
    </row>
    <row r="71" spans="1:34" ht="22.5" customHeight="1">
      <c r="A71" s="9392"/>
      <c r="B71" s="10055"/>
      <c r="C71" s="9402"/>
      <c r="D71" s="9433"/>
      <c r="E71" s="9311"/>
      <c r="F71" s="9311"/>
      <c r="G71" s="9311"/>
      <c r="H71" s="9311"/>
      <c r="I71" s="9442"/>
      <c r="J71" s="9311"/>
      <c r="K71" s="9311"/>
      <c r="L71" s="9311"/>
      <c r="M71" s="9313"/>
      <c r="N71" s="9313"/>
      <c r="O71" s="9313"/>
      <c r="P71" s="9311"/>
      <c r="Q71" s="10045"/>
      <c r="R71" s="10048"/>
      <c r="S71" s="491"/>
      <c r="T71" s="6305"/>
      <c r="U71" s="6305"/>
      <c r="V71" s="47"/>
      <c r="W71" s="4869"/>
      <c r="X71" s="48"/>
      <c r="Y71" s="6526"/>
      <c r="Z71" s="6526"/>
      <c r="AA71" s="6526"/>
      <c r="AB71" s="6275"/>
      <c r="AC71" s="4880"/>
      <c r="AD71" s="399"/>
      <c r="AE71" s="48"/>
      <c r="AF71" s="51"/>
      <c r="AG71" s="51"/>
      <c r="AH71" s="9969"/>
    </row>
    <row r="72" spans="1:34" ht="22.5" customHeight="1">
      <c r="A72" s="9392"/>
      <c r="B72" s="10055"/>
      <c r="C72" s="9402"/>
      <c r="D72" s="9433"/>
      <c r="E72" s="9311"/>
      <c r="F72" s="9311"/>
      <c r="G72" s="9311"/>
      <c r="H72" s="9311"/>
      <c r="I72" s="9442"/>
      <c r="J72" s="9311"/>
      <c r="K72" s="9311"/>
      <c r="L72" s="9311"/>
      <c r="M72" s="9313"/>
      <c r="N72" s="9313"/>
      <c r="O72" s="9313"/>
      <c r="P72" s="9311"/>
      <c r="Q72" s="10045"/>
      <c r="R72" s="10048"/>
      <c r="S72" s="491"/>
      <c r="T72" s="6305"/>
      <c r="U72" s="6305"/>
      <c r="V72" s="47"/>
      <c r="W72" s="4869"/>
      <c r="X72" s="48"/>
      <c r="Y72" s="6526"/>
      <c r="Z72" s="6526"/>
      <c r="AA72" s="6526"/>
      <c r="AB72" s="6275"/>
      <c r="AC72" s="4880"/>
      <c r="AD72" s="399"/>
      <c r="AE72" s="48"/>
      <c r="AF72" s="51"/>
      <c r="AG72" s="51"/>
      <c r="AH72" s="9969"/>
    </row>
    <row r="73" spans="1:34" ht="22.5" customHeight="1">
      <c r="A73" s="9392"/>
      <c r="B73" s="10055"/>
      <c r="C73" s="9403"/>
      <c r="D73" s="9434"/>
      <c r="E73" s="9312"/>
      <c r="F73" s="9312"/>
      <c r="G73" s="9312"/>
      <c r="H73" s="9312"/>
      <c r="I73" s="9443"/>
      <c r="J73" s="9312"/>
      <c r="K73" s="9312"/>
      <c r="L73" s="9312"/>
      <c r="M73" s="9314"/>
      <c r="N73" s="9314"/>
      <c r="O73" s="9314"/>
      <c r="P73" s="9312"/>
      <c r="Q73" s="10046"/>
      <c r="R73" s="10049"/>
      <c r="S73" s="492"/>
      <c r="T73" s="4856"/>
      <c r="U73" s="4856"/>
      <c r="V73" s="71"/>
      <c r="W73" s="4871"/>
      <c r="X73" s="64"/>
      <c r="Y73" s="7040"/>
      <c r="Z73" s="7040"/>
      <c r="AA73" s="7040"/>
      <c r="AB73" s="6276"/>
      <c r="AC73" s="4882"/>
      <c r="AD73" s="400"/>
      <c r="AE73" s="64"/>
      <c r="AF73" s="65"/>
      <c r="AG73" s="65"/>
      <c r="AH73" s="9970"/>
    </row>
    <row r="74" spans="1:34" ht="22.5" customHeight="1">
      <c r="A74" s="9392"/>
      <c r="B74" s="10055"/>
      <c r="C74" s="8976" t="s">
        <v>127</v>
      </c>
      <c r="D74" s="9217" t="s">
        <v>128</v>
      </c>
      <c r="E74" s="8782" t="s">
        <v>129</v>
      </c>
      <c r="F74" s="8782" t="s">
        <v>284</v>
      </c>
      <c r="G74" s="8977" t="s">
        <v>131</v>
      </c>
      <c r="H74" s="9217" t="s">
        <v>132</v>
      </c>
      <c r="I74" s="10064" t="s">
        <v>159</v>
      </c>
      <c r="J74" s="8860" t="s">
        <v>2433</v>
      </c>
      <c r="K74" s="8782" t="s">
        <v>338</v>
      </c>
      <c r="L74" s="8782" t="s">
        <v>2434</v>
      </c>
      <c r="M74" s="8823">
        <v>1</v>
      </c>
      <c r="N74" s="8823">
        <v>1</v>
      </c>
      <c r="O74" s="8823">
        <v>1</v>
      </c>
      <c r="P74" s="8782" t="s">
        <v>2435</v>
      </c>
      <c r="Q74" s="10044" t="s">
        <v>2436</v>
      </c>
      <c r="R74" s="10047" t="s">
        <v>2378</v>
      </c>
      <c r="S74" s="490"/>
      <c r="T74" s="6330"/>
      <c r="U74" s="6319"/>
      <c r="V74" s="135"/>
      <c r="W74" s="4874"/>
      <c r="X74" s="76"/>
      <c r="Y74" s="7041"/>
      <c r="Z74" s="7041"/>
      <c r="AA74" s="7041"/>
      <c r="AB74" s="7042"/>
      <c r="AC74" s="4883"/>
      <c r="AD74" s="418"/>
      <c r="AE74" s="76"/>
      <c r="AF74" s="79"/>
      <c r="AG74" s="79"/>
      <c r="AH74" s="10102"/>
    </row>
    <row r="75" spans="1:34" ht="22.5" customHeight="1">
      <c r="A75" s="9392"/>
      <c r="B75" s="10055"/>
      <c r="C75" s="9402"/>
      <c r="D75" s="9433"/>
      <c r="E75" s="9311"/>
      <c r="F75" s="9311"/>
      <c r="G75" s="9311"/>
      <c r="H75" s="9433"/>
      <c r="I75" s="10009"/>
      <c r="J75" s="9311"/>
      <c r="K75" s="9311"/>
      <c r="L75" s="9311"/>
      <c r="M75" s="9313"/>
      <c r="N75" s="9313"/>
      <c r="O75" s="9313"/>
      <c r="P75" s="9311"/>
      <c r="Q75" s="10045"/>
      <c r="R75" s="10048"/>
      <c r="S75" s="491"/>
      <c r="T75" s="6305"/>
      <c r="U75" s="6305"/>
      <c r="V75" s="47"/>
      <c r="W75" s="4869"/>
      <c r="X75" s="48"/>
      <c r="Y75" s="6526"/>
      <c r="Z75" s="6526"/>
      <c r="AA75" s="6526"/>
      <c r="AB75" s="6275"/>
      <c r="AC75" s="4880"/>
      <c r="AD75" s="399"/>
      <c r="AE75" s="48"/>
      <c r="AF75" s="51"/>
      <c r="AG75" s="51"/>
      <c r="AH75" s="9969"/>
    </row>
    <row r="76" spans="1:34" ht="22.5" customHeight="1">
      <c r="A76" s="9392"/>
      <c r="B76" s="10055"/>
      <c r="C76" s="9402"/>
      <c r="D76" s="9433"/>
      <c r="E76" s="9311"/>
      <c r="F76" s="9311"/>
      <c r="G76" s="9311"/>
      <c r="H76" s="9433"/>
      <c r="I76" s="10009"/>
      <c r="J76" s="9311"/>
      <c r="K76" s="9311"/>
      <c r="L76" s="9311"/>
      <c r="M76" s="9313"/>
      <c r="N76" s="9313"/>
      <c r="O76" s="9313"/>
      <c r="P76" s="9311"/>
      <c r="Q76" s="10045"/>
      <c r="R76" s="10048"/>
      <c r="S76" s="491"/>
      <c r="T76" s="6305"/>
      <c r="U76" s="6305"/>
      <c r="V76" s="287"/>
      <c r="W76" s="4869"/>
      <c r="X76" s="48"/>
      <c r="Y76" s="6526"/>
      <c r="Z76" s="6526"/>
      <c r="AA76" s="6526"/>
      <c r="AB76" s="6275"/>
      <c r="AC76" s="4880"/>
      <c r="AD76" s="399"/>
      <c r="AE76" s="48"/>
      <c r="AF76" s="51"/>
      <c r="AG76" s="51"/>
      <c r="AH76" s="9969"/>
    </row>
    <row r="77" spans="1:34" ht="22.5" customHeight="1">
      <c r="A77" s="9392"/>
      <c r="B77" s="10055"/>
      <c r="C77" s="9402"/>
      <c r="D77" s="9433"/>
      <c r="E77" s="9311"/>
      <c r="F77" s="9311"/>
      <c r="G77" s="9311"/>
      <c r="H77" s="9433"/>
      <c r="I77" s="10009"/>
      <c r="J77" s="9311"/>
      <c r="K77" s="9311"/>
      <c r="L77" s="9311"/>
      <c r="M77" s="9313"/>
      <c r="N77" s="9313"/>
      <c r="O77" s="9313"/>
      <c r="P77" s="9311"/>
      <c r="Q77" s="10045"/>
      <c r="R77" s="10048"/>
      <c r="S77" s="491"/>
      <c r="T77" s="6305"/>
      <c r="U77" s="6305"/>
      <c r="V77" s="47"/>
      <c r="W77" s="4869"/>
      <c r="X77" s="48"/>
      <c r="Y77" s="6526"/>
      <c r="Z77" s="6526"/>
      <c r="AA77" s="6526"/>
      <c r="AB77" s="6275"/>
      <c r="AC77" s="4880"/>
      <c r="AD77" s="399"/>
      <c r="AE77" s="48"/>
      <c r="AF77" s="51"/>
      <c r="AG77" s="51"/>
      <c r="AH77" s="9969"/>
    </row>
    <row r="78" spans="1:34" ht="22.5" customHeight="1">
      <c r="A78" s="9392"/>
      <c r="B78" s="10055"/>
      <c r="C78" s="9402"/>
      <c r="D78" s="9433"/>
      <c r="E78" s="9311"/>
      <c r="F78" s="9311"/>
      <c r="G78" s="9311"/>
      <c r="H78" s="9433"/>
      <c r="I78" s="10009"/>
      <c r="J78" s="9311"/>
      <c r="K78" s="9311"/>
      <c r="L78" s="9311"/>
      <c r="M78" s="9313"/>
      <c r="N78" s="9313"/>
      <c r="O78" s="9313"/>
      <c r="P78" s="9311"/>
      <c r="Q78" s="10045"/>
      <c r="R78" s="10048"/>
      <c r="S78" s="491"/>
      <c r="T78" s="6305"/>
      <c r="U78" s="6305"/>
      <c r="V78" s="47"/>
      <c r="W78" s="4869"/>
      <c r="X78" s="48"/>
      <c r="Y78" s="6526"/>
      <c r="Z78" s="6526"/>
      <c r="AA78" s="6526"/>
      <c r="AB78" s="6275"/>
      <c r="AC78" s="4880"/>
      <c r="AD78" s="399"/>
      <c r="AE78" s="48"/>
      <c r="AF78" s="51"/>
      <c r="AG78" s="51"/>
      <c r="AH78" s="9969"/>
    </row>
    <row r="79" spans="1:34" ht="22.5" customHeight="1">
      <c r="A79" s="9392"/>
      <c r="B79" s="10055"/>
      <c r="C79" s="9403"/>
      <c r="D79" s="9434"/>
      <c r="E79" s="9312"/>
      <c r="F79" s="9312"/>
      <c r="G79" s="9312"/>
      <c r="H79" s="9434"/>
      <c r="I79" s="10010"/>
      <c r="J79" s="9312"/>
      <c r="K79" s="9312"/>
      <c r="L79" s="9312"/>
      <c r="M79" s="9314"/>
      <c r="N79" s="9314"/>
      <c r="O79" s="9314"/>
      <c r="P79" s="9312"/>
      <c r="Q79" s="10046"/>
      <c r="R79" s="10049"/>
      <c r="S79" s="492"/>
      <c r="T79" s="4856"/>
      <c r="U79" s="4856"/>
      <c r="V79" s="71"/>
      <c r="W79" s="4871"/>
      <c r="X79" s="64"/>
      <c r="Y79" s="7040"/>
      <c r="Z79" s="7040"/>
      <c r="AA79" s="7040"/>
      <c r="AB79" s="6276"/>
      <c r="AC79" s="4882"/>
      <c r="AD79" s="400"/>
      <c r="AE79" s="64"/>
      <c r="AF79" s="65"/>
      <c r="AG79" s="65"/>
      <c r="AH79" s="9970"/>
    </row>
    <row r="80" spans="1:34" s="4835" customFormat="1" ht="22.5" customHeight="1" thickBot="1">
      <c r="A80" s="9392"/>
      <c r="B80" s="10056"/>
      <c r="C80" s="10066"/>
      <c r="D80" s="10067"/>
      <c r="E80" s="10067"/>
      <c r="F80" s="10067"/>
      <c r="G80" s="10067"/>
      <c r="H80" s="10067"/>
      <c r="I80" s="10067"/>
      <c r="J80" s="10067"/>
      <c r="K80" s="10067"/>
      <c r="L80" s="10067"/>
      <c r="M80" s="10068"/>
      <c r="N80" s="10068"/>
      <c r="O80" s="10068"/>
      <c r="P80" s="10067"/>
      <c r="Q80" s="10067"/>
      <c r="R80" s="10069"/>
      <c r="S80" s="10103" t="s">
        <v>2437</v>
      </c>
      <c r="T80" s="10104"/>
      <c r="U80" s="10104"/>
      <c r="V80" s="10104"/>
      <c r="W80" s="10104"/>
      <c r="X80" s="10104"/>
      <c r="Y80" s="10104"/>
      <c r="Z80" s="10104"/>
      <c r="AA80" s="6216" t="s">
        <v>292</v>
      </c>
      <c r="AB80" s="7063">
        <f>SUM(AB9:AB79)</f>
        <v>0</v>
      </c>
      <c r="AC80" s="7068"/>
      <c r="AD80" s="6217"/>
      <c r="AE80" s="6218"/>
      <c r="AF80" s="6218"/>
      <c r="AG80" s="6218"/>
      <c r="AH80" s="6219"/>
    </row>
    <row r="81" spans="1:34" ht="68.25" customHeight="1">
      <c r="A81" s="9392"/>
      <c r="B81" s="10071" t="s">
        <v>2438</v>
      </c>
      <c r="C81" s="10073" t="s">
        <v>127</v>
      </c>
      <c r="D81" s="10032" t="s">
        <v>128</v>
      </c>
      <c r="E81" s="10070" t="s">
        <v>129</v>
      </c>
      <c r="F81" s="10032" t="s">
        <v>336</v>
      </c>
      <c r="G81" s="10034" t="s">
        <v>131</v>
      </c>
      <c r="H81" s="10032" t="s">
        <v>132</v>
      </c>
      <c r="I81" s="10036" t="s">
        <v>159</v>
      </c>
      <c r="J81" s="10038" t="s">
        <v>2439</v>
      </c>
      <c r="K81" s="10029" t="s">
        <v>2440</v>
      </c>
      <c r="L81" s="10027" t="s">
        <v>2441</v>
      </c>
      <c r="M81" s="10024">
        <v>1</v>
      </c>
      <c r="N81" s="10041">
        <v>0</v>
      </c>
      <c r="O81" s="10024">
        <v>1</v>
      </c>
      <c r="P81" s="10027" t="s">
        <v>2442</v>
      </c>
      <c r="Q81" s="10029" t="s">
        <v>2443</v>
      </c>
      <c r="R81" s="10027" t="s">
        <v>2444</v>
      </c>
      <c r="S81" s="6222"/>
      <c r="T81" s="6979"/>
      <c r="U81" s="6979"/>
      <c r="V81" s="6223"/>
      <c r="W81" s="7005"/>
      <c r="X81" s="6223"/>
      <c r="Y81" s="7064"/>
      <c r="Z81" s="7064"/>
      <c r="AA81" s="7064"/>
      <c r="AB81" s="7064"/>
      <c r="AC81" s="7083"/>
      <c r="AD81" s="6224"/>
      <c r="AE81" s="6223"/>
      <c r="AF81" s="6223"/>
      <c r="AG81" s="6223"/>
      <c r="AH81" s="10021"/>
    </row>
    <row r="82" spans="1:34" ht="68.25" customHeight="1">
      <c r="A82" s="9392"/>
      <c r="B82" s="10055"/>
      <c r="C82" s="10058"/>
      <c r="D82" s="10009"/>
      <c r="E82" s="9994"/>
      <c r="F82" s="10009"/>
      <c r="G82" s="9994"/>
      <c r="H82" s="10009"/>
      <c r="I82" s="9433"/>
      <c r="J82" s="10039"/>
      <c r="K82" s="10030"/>
      <c r="L82" s="10003"/>
      <c r="M82" s="10025"/>
      <c r="N82" s="10042"/>
      <c r="O82" s="10025"/>
      <c r="P82" s="10003"/>
      <c r="Q82" s="10030"/>
      <c r="R82" s="10003"/>
      <c r="S82" s="6225"/>
      <c r="T82" s="6980"/>
      <c r="U82" s="6980"/>
      <c r="V82" s="6226"/>
      <c r="W82" s="7006"/>
      <c r="X82" s="6226"/>
      <c r="Y82" s="7065"/>
      <c r="Z82" s="7065"/>
      <c r="AA82" s="7065"/>
      <c r="AB82" s="7065"/>
      <c r="AC82" s="7084"/>
      <c r="AD82" s="6227"/>
      <c r="AE82" s="6226"/>
      <c r="AF82" s="6226"/>
      <c r="AG82" s="6226"/>
      <c r="AH82" s="10022"/>
    </row>
    <row r="83" spans="1:34" ht="68.25" customHeight="1">
      <c r="A83" s="9392"/>
      <c r="B83" s="10055"/>
      <c r="C83" s="10058"/>
      <c r="D83" s="10009"/>
      <c r="E83" s="9994"/>
      <c r="F83" s="10009"/>
      <c r="G83" s="9994"/>
      <c r="H83" s="10009"/>
      <c r="I83" s="9433"/>
      <c r="J83" s="10039"/>
      <c r="K83" s="10030"/>
      <c r="L83" s="10003"/>
      <c r="M83" s="10025"/>
      <c r="N83" s="10042"/>
      <c r="O83" s="10025"/>
      <c r="P83" s="10003"/>
      <c r="Q83" s="10030"/>
      <c r="R83" s="10003"/>
      <c r="S83" s="6225"/>
      <c r="T83" s="6980"/>
      <c r="U83" s="6980"/>
      <c r="V83" s="6226"/>
      <c r="W83" s="7006"/>
      <c r="X83" s="6226"/>
      <c r="Y83" s="7065"/>
      <c r="Z83" s="7065"/>
      <c r="AA83" s="7065"/>
      <c r="AB83" s="7065"/>
      <c r="AC83" s="7084"/>
      <c r="AD83" s="6227"/>
      <c r="AE83" s="6226"/>
      <c r="AF83" s="6226"/>
      <c r="AG83" s="6226"/>
      <c r="AH83" s="10022"/>
    </row>
    <row r="84" spans="1:34" ht="68.25" customHeight="1">
      <c r="A84" s="9392"/>
      <c r="B84" s="10055"/>
      <c r="C84" s="10058"/>
      <c r="D84" s="10009"/>
      <c r="E84" s="9994"/>
      <c r="F84" s="10009"/>
      <c r="G84" s="9994"/>
      <c r="H84" s="10009"/>
      <c r="I84" s="9433"/>
      <c r="J84" s="10039"/>
      <c r="K84" s="10030"/>
      <c r="L84" s="10003"/>
      <c r="M84" s="10025"/>
      <c r="N84" s="10042"/>
      <c r="O84" s="10025"/>
      <c r="P84" s="10003"/>
      <c r="Q84" s="10030"/>
      <c r="R84" s="10003"/>
      <c r="S84" s="6225"/>
      <c r="T84" s="6980"/>
      <c r="U84" s="6980"/>
      <c r="V84" s="6226"/>
      <c r="W84" s="7006"/>
      <c r="X84" s="6226"/>
      <c r="Y84" s="7065"/>
      <c r="Z84" s="7065"/>
      <c r="AA84" s="7065"/>
      <c r="AB84" s="7065"/>
      <c r="AC84" s="7084"/>
      <c r="AD84" s="6227"/>
      <c r="AE84" s="6226"/>
      <c r="AF84" s="6226"/>
      <c r="AG84" s="6226"/>
      <c r="AH84" s="10022"/>
    </row>
    <row r="85" spans="1:34" ht="68.25" customHeight="1">
      <c r="A85" s="9392"/>
      <c r="B85" s="10055"/>
      <c r="C85" s="10074"/>
      <c r="D85" s="10033"/>
      <c r="E85" s="10035"/>
      <c r="F85" s="10033"/>
      <c r="G85" s="10035"/>
      <c r="H85" s="10033"/>
      <c r="I85" s="10037"/>
      <c r="J85" s="10040"/>
      <c r="K85" s="10031"/>
      <c r="L85" s="10028"/>
      <c r="M85" s="10026"/>
      <c r="N85" s="10043"/>
      <c r="O85" s="10026"/>
      <c r="P85" s="10028"/>
      <c r="Q85" s="10031"/>
      <c r="R85" s="10028"/>
      <c r="S85" s="6228"/>
      <c r="T85" s="6981"/>
      <c r="U85" s="6981"/>
      <c r="V85" s="6229"/>
      <c r="W85" s="7007"/>
      <c r="X85" s="6229"/>
      <c r="Y85" s="7066"/>
      <c r="Z85" s="7066"/>
      <c r="AA85" s="7066"/>
      <c r="AB85" s="7066"/>
      <c r="AC85" s="7085"/>
      <c r="AD85" s="6230"/>
      <c r="AE85" s="6229"/>
      <c r="AF85" s="6229"/>
      <c r="AG85" s="6229"/>
      <c r="AH85" s="10023"/>
    </row>
    <row r="86" spans="1:34" ht="90.75" customHeight="1">
      <c r="A86" s="9392"/>
      <c r="B86" s="10055"/>
      <c r="C86" s="10075" t="s">
        <v>183</v>
      </c>
      <c r="D86" s="10064" t="s">
        <v>227</v>
      </c>
      <c r="E86" s="10087" t="s">
        <v>490</v>
      </c>
      <c r="F86" s="10016" t="s">
        <v>2445</v>
      </c>
      <c r="G86" s="10088" t="s">
        <v>230</v>
      </c>
      <c r="H86" s="10016" t="s">
        <v>231</v>
      </c>
      <c r="I86" s="10064" t="s">
        <v>133</v>
      </c>
      <c r="J86" s="10015" t="s">
        <v>2446</v>
      </c>
      <c r="K86" s="10016" t="s">
        <v>2447</v>
      </c>
      <c r="L86" s="10016" t="s">
        <v>2448</v>
      </c>
      <c r="M86" s="10017">
        <v>1991</v>
      </c>
      <c r="N86" s="10020">
        <v>0</v>
      </c>
      <c r="O86" s="10017">
        <v>1991</v>
      </c>
      <c r="P86" s="10011" t="s">
        <v>2449</v>
      </c>
      <c r="Q86" s="10011" t="s">
        <v>2450</v>
      </c>
      <c r="R86" s="10014" t="s">
        <v>2451</v>
      </c>
      <c r="S86" s="288"/>
      <c r="T86" s="6982"/>
      <c r="U86" s="6982"/>
      <c r="V86" s="289"/>
      <c r="W86" s="7008"/>
      <c r="X86" s="289"/>
      <c r="Y86" s="7022"/>
      <c r="Z86" s="7022"/>
      <c r="AA86" s="7022"/>
      <c r="AB86" s="7022"/>
      <c r="AC86" s="7086"/>
      <c r="AD86" s="290"/>
      <c r="AE86" s="289"/>
      <c r="AF86" s="290"/>
      <c r="AG86" s="606"/>
      <c r="AH86" s="9987"/>
    </row>
    <row r="87" spans="1:34" ht="90.75" customHeight="1">
      <c r="A87" s="9392"/>
      <c r="B87" s="10055"/>
      <c r="C87" s="10058"/>
      <c r="D87" s="10009"/>
      <c r="E87" s="9994"/>
      <c r="F87" s="9997"/>
      <c r="G87" s="9997"/>
      <c r="H87" s="9997"/>
      <c r="I87" s="10009"/>
      <c r="J87" s="9994"/>
      <c r="K87" s="9997"/>
      <c r="L87" s="9997"/>
      <c r="M87" s="10018"/>
      <c r="N87" s="10000"/>
      <c r="O87" s="10018"/>
      <c r="P87" s="10012"/>
      <c r="Q87" s="10012"/>
      <c r="R87" s="10003"/>
      <c r="S87" s="291"/>
      <c r="T87" s="6983"/>
      <c r="U87" s="6983"/>
      <c r="V87" s="292"/>
      <c r="W87" s="7009"/>
      <c r="X87" s="292"/>
      <c r="Y87" s="7020"/>
      <c r="Z87" s="7043"/>
      <c r="AA87" s="7043"/>
      <c r="AB87" s="7020"/>
      <c r="AC87" s="7087"/>
      <c r="AD87" s="293"/>
      <c r="AE87" s="292"/>
      <c r="AF87" s="293"/>
      <c r="AG87" s="607"/>
      <c r="AH87" s="9712"/>
    </row>
    <row r="88" spans="1:34" ht="90.75" customHeight="1">
      <c r="A88" s="9392"/>
      <c r="B88" s="10055"/>
      <c r="C88" s="10058"/>
      <c r="D88" s="10009"/>
      <c r="E88" s="9994"/>
      <c r="F88" s="9997"/>
      <c r="G88" s="9997"/>
      <c r="H88" s="9997"/>
      <c r="I88" s="10009"/>
      <c r="J88" s="9994"/>
      <c r="K88" s="9997"/>
      <c r="L88" s="9997"/>
      <c r="M88" s="10018"/>
      <c r="N88" s="10000"/>
      <c r="O88" s="10018"/>
      <c r="P88" s="10012"/>
      <c r="Q88" s="10012"/>
      <c r="R88" s="10003"/>
      <c r="S88" s="291"/>
      <c r="T88" s="6983"/>
      <c r="U88" s="6983"/>
      <c r="V88" s="292"/>
      <c r="W88" s="7009"/>
      <c r="X88" s="292"/>
      <c r="Y88" s="7020"/>
      <c r="Z88" s="7043"/>
      <c r="AA88" s="7043"/>
      <c r="AB88" s="7020"/>
      <c r="AC88" s="7087"/>
      <c r="AD88" s="293"/>
      <c r="AE88" s="292"/>
      <c r="AF88" s="293"/>
      <c r="AG88" s="607"/>
      <c r="AH88" s="9712"/>
    </row>
    <row r="89" spans="1:34" ht="90.75" customHeight="1">
      <c r="A89" s="9392"/>
      <c r="B89" s="10055"/>
      <c r="C89" s="10058"/>
      <c r="D89" s="10009"/>
      <c r="E89" s="9994"/>
      <c r="F89" s="9997"/>
      <c r="G89" s="9997"/>
      <c r="H89" s="9997"/>
      <c r="I89" s="10009"/>
      <c r="J89" s="9994"/>
      <c r="K89" s="9997"/>
      <c r="L89" s="9997"/>
      <c r="M89" s="10018"/>
      <c r="N89" s="10000"/>
      <c r="O89" s="10018"/>
      <c r="P89" s="10012"/>
      <c r="Q89" s="10012"/>
      <c r="R89" s="10003"/>
      <c r="S89" s="291"/>
      <c r="T89" s="6983"/>
      <c r="U89" s="6983"/>
      <c r="V89" s="292"/>
      <c r="W89" s="7009"/>
      <c r="X89" s="292"/>
      <c r="Y89" s="7020"/>
      <c r="Z89" s="7043"/>
      <c r="AA89" s="7043"/>
      <c r="AB89" s="7020"/>
      <c r="AC89" s="7087"/>
      <c r="AD89" s="293"/>
      <c r="AE89" s="292"/>
      <c r="AF89" s="293"/>
      <c r="AG89" s="607"/>
      <c r="AH89" s="9712"/>
    </row>
    <row r="90" spans="1:34" ht="90.75" customHeight="1">
      <c r="A90" s="9392"/>
      <c r="B90" s="10055"/>
      <c r="C90" s="10059"/>
      <c r="D90" s="10010"/>
      <c r="E90" s="9995"/>
      <c r="F90" s="9998"/>
      <c r="G90" s="9998"/>
      <c r="H90" s="9998"/>
      <c r="I90" s="10010"/>
      <c r="J90" s="9995"/>
      <c r="K90" s="9998"/>
      <c r="L90" s="9998"/>
      <c r="M90" s="10019"/>
      <c r="N90" s="10001"/>
      <c r="O90" s="10019"/>
      <c r="P90" s="10013"/>
      <c r="Q90" s="10013"/>
      <c r="R90" s="10004"/>
      <c r="S90" s="294"/>
      <c r="T90" s="6984"/>
      <c r="U90" s="6984"/>
      <c r="V90" s="295"/>
      <c r="W90" s="7010"/>
      <c r="X90" s="295"/>
      <c r="Y90" s="7021"/>
      <c r="Z90" s="7044"/>
      <c r="AA90" s="7044"/>
      <c r="AB90" s="7021"/>
      <c r="AC90" s="7088"/>
      <c r="AD90" s="296"/>
      <c r="AE90" s="295"/>
      <c r="AF90" s="296"/>
      <c r="AG90" s="608"/>
      <c r="AH90" s="9713"/>
    </row>
    <row r="91" spans="1:34" ht="84" customHeight="1">
      <c r="A91" s="9392"/>
      <c r="B91" s="10055"/>
      <c r="C91" s="10065" t="s">
        <v>183</v>
      </c>
      <c r="D91" s="10008" t="s">
        <v>227</v>
      </c>
      <c r="E91" s="10006" t="s">
        <v>490</v>
      </c>
      <c r="F91" s="9996" t="s">
        <v>491</v>
      </c>
      <c r="G91" s="10007" t="s">
        <v>230</v>
      </c>
      <c r="H91" s="9996" t="s">
        <v>231</v>
      </c>
      <c r="I91" s="10008" t="s">
        <v>133</v>
      </c>
      <c r="J91" s="9993" t="s">
        <v>2452</v>
      </c>
      <c r="K91" s="9996" t="s">
        <v>2453</v>
      </c>
      <c r="L91" s="9996" t="s">
        <v>2454</v>
      </c>
      <c r="M91" s="9999">
        <v>1</v>
      </c>
      <c r="N91" s="9999">
        <v>0</v>
      </c>
      <c r="O91" s="9999">
        <v>1</v>
      </c>
      <c r="P91" s="9996" t="s">
        <v>2455</v>
      </c>
      <c r="Q91" s="9996" t="s">
        <v>2456</v>
      </c>
      <c r="R91" s="10002" t="s">
        <v>2457</v>
      </c>
      <c r="S91" s="297"/>
      <c r="T91" s="6985"/>
      <c r="U91" s="6985"/>
      <c r="V91" s="493"/>
      <c r="W91" s="7011"/>
      <c r="X91" s="493"/>
      <c r="Y91" s="7045"/>
      <c r="Z91" s="7045"/>
      <c r="AA91" s="7045"/>
      <c r="AB91" s="7045"/>
      <c r="AC91" s="7089"/>
      <c r="AD91" s="419"/>
      <c r="AE91" s="493"/>
      <c r="AF91" s="419"/>
      <c r="AG91" s="609"/>
      <c r="AH91" s="9984"/>
    </row>
    <row r="92" spans="1:34" ht="84" customHeight="1">
      <c r="A92" s="9392"/>
      <c r="B92" s="10055"/>
      <c r="C92" s="10058"/>
      <c r="D92" s="10009"/>
      <c r="E92" s="9994"/>
      <c r="F92" s="9997"/>
      <c r="G92" s="9997"/>
      <c r="H92" s="9997"/>
      <c r="I92" s="10009"/>
      <c r="J92" s="9994"/>
      <c r="K92" s="9997"/>
      <c r="L92" s="9997"/>
      <c r="M92" s="10000"/>
      <c r="N92" s="10000"/>
      <c r="O92" s="10000"/>
      <c r="P92" s="9997"/>
      <c r="Q92" s="9997"/>
      <c r="R92" s="10003"/>
      <c r="S92" s="291"/>
      <c r="T92" s="6983"/>
      <c r="U92" s="6983"/>
      <c r="V92" s="292"/>
      <c r="W92" s="7009"/>
      <c r="X92" s="292"/>
      <c r="Y92" s="7020"/>
      <c r="Z92" s="7043"/>
      <c r="AA92" s="7043"/>
      <c r="AB92" s="7020"/>
      <c r="AC92" s="7087"/>
      <c r="AD92" s="293"/>
      <c r="AE92" s="292"/>
      <c r="AF92" s="293"/>
      <c r="AG92" s="607"/>
      <c r="AH92" s="9712"/>
    </row>
    <row r="93" spans="1:34" ht="84" customHeight="1">
      <c r="A93" s="9392"/>
      <c r="B93" s="10055"/>
      <c r="C93" s="10058"/>
      <c r="D93" s="10009"/>
      <c r="E93" s="9994"/>
      <c r="F93" s="9997"/>
      <c r="G93" s="9997"/>
      <c r="H93" s="9997"/>
      <c r="I93" s="10009"/>
      <c r="J93" s="9994"/>
      <c r="K93" s="9997"/>
      <c r="L93" s="9997"/>
      <c r="M93" s="10000"/>
      <c r="N93" s="10000"/>
      <c r="O93" s="10000"/>
      <c r="P93" s="9997"/>
      <c r="Q93" s="9997"/>
      <c r="R93" s="10003"/>
      <c r="S93" s="291"/>
      <c r="T93" s="6983"/>
      <c r="U93" s="6983"/>
      <c r="V93" s="1323"/>
      <c r="W93" s="7012"/>
      <c r="X93" s="1323"/>
      <c r="Y93" s="7046"/>
      <c r="Z93" s="7047"/>
      <c r="AA93" s="7047"/>
      <c r="AB93" s="7046"/>
      <c r="AC93" s="7090"/>
      <c r="AD93" s="1324"/>
      <c r="AE93" s="1323"/>
      <c r="AF93" s="293"/>
      <c r="AG93" s="607"/>
      <c r="AH93" s="9712"/>
    </row>
    <row r="94" spans="1:34" ht="84" customHeight="1">
      <c r="A94" s="9392"/>
      <c r="B94" s="10055"/>
      <c r="C94" s="10058"/>
      <c r="D94" s="10009"/>
      <c r="E94" s="9994"/>
      <c r="F94" s="9997"/>
      <c r="G94" s="9997"/>
      <c r="H94" s="9997"/>
      <c r="I94" s="10009"/>
      <c r="J94" s="9994"/>
      <c r="K94" s="9997"/>
      <c r="L94" s="9997"/>
      <c r="M94" s="10000"/>
      <c r="N94" s="10000"/>
      <c r="O94" s="10000"/>
      <c r="P94" s="9997"/>
      <c r="Q94" s="9997"/>
      <c r="R94" s="10003"/>
      <c r="S94" s="291"/>
      <c r="T94" s="6983"/>
      <c r="U94" s="6983"/>
      <c r="V94" s="1323"/>
      <c r="W94" s="7012"/>
      <c r="X94" s="1323"/>
      <c r="Y94" s="7046"/>
      <c r="Z94" s="7047"/>
      <c r="AA94" s="7047"/>
      <c r="AB94" s="7046"/>
      <c r="AC94" s="7090"/>
      <c r="AD94" s="1324"/>
      <c r="AE94" s="1323"/>
      <c r="AF94" s="293"/>
      <c r="AG94" s="607"/>
      <c r="AH94" s="9712"/>
    </row>
    <row r="95" spans="1:34" ht="84" customHeight="1">
      <c r="A95" s="9392"/>
      <c r="B95" s="10055"/>
      <c r="C95" s="10059"/>
      <c r="D95" s="10010"/>
      <c r="E95" s="9995"/>
      <c r="F95" s="9998"/>
      <c r="G95" s="9998"/>
      <c r="H95" s="9998"/>
      <c r="I95" s="10010"/>
      <c r="J95" s="9995"/>
      <c r="K95" s="9998"/>
      <c r="L95" s="9998"/>
      <c r="M95" s="10001"/>
      <c r="N95" s="10001"/>
      <c r="O95" s="10001"/>
      <c r="P95" s="9998"/>
      <c r="Q95" s="9998"/>
      <c r="R95" s="10004"/>
      <c r="S95" s="294"/>
      <c r="T95" s="6984"/>
      <c r="U95" s="6984"/>
      <c r="V95" s="1325"/>
      <c r="W95" s="7013"/>
      <c r="X95" s="1325"/>
      <c r="Y95" s="7048"/>
      <c r="Z95" s="7049"/>
      <c r="AA95" s="7049"/>
      <c r="AB95" s="7048"/>
      <c r="AC95" s="7091"/>
      <c r="AD95" s="1326"/>
      <c r="AE95" s="1325"/>
      <c r="AF95" s="296"/>
      <c r="AG95" s="608"/>
      <c r="AH95" s="9713"/>
    </row>
    <row r="96" spans="1:34" ht="45" customHeight="1">
      <c r="A96" s="9392"/>
      <c r="B96" s="10055"/>
      <c r="C96" s="10065" t="s">
        <v>183</v>
      </c>
      <c r="D96" s="10008" t="s">
        <v>227</v>
      </c>
      <c r="E96" s="10006" t="s">
        <v>490</v>
      </c>
      <c r="F96" s="9996" t="s">
        <v>491</v>
      </c>
      <c r="G96" s="10007" t="s">
        <v>230</v>
      </c>
      <c r="H96" s="9996" t="s">
        <v>231</v>
      </c>
      <c r="I96" s="10008" t="s">
        <v>133</v>
      </c>
      <c r="J96" s="9993" t="s">
        <v>2458</v>
      </c>
      <c r="K96" s="9996" t="s">
        <v>2459</v>
      </c>
      <c r="L96" s="9996" t="s">
        <v>2460</v>
      </c>
      <c r="M96" s="9999">
        <v>1</v>
      </c>
      <c r="N96" s="9999">
        <v>0</v>
      </c>
      <c r="O96" s="9999">
        <v>1</v>
      </c>
      <c r="P96" s="9996" t="s">
        <v>2461</v>
      </c>
      <c r="Q96" s="9996" t="s">
        <v>2462</v>
      </c>
      <c r="R96" s="10002" t="s">
        <v>2463</v>
      </c>
      <c r="S96" s="614"/>
      <c r="T96" s="6312"/>
      <c r="U96" s="6312"/>
      <c r="V96" s="940"/>
      <c r="W96" s="4863"/>
      <c r="X96" s="1327"/>
      <c r="Y96" s="4900"/>
      <c r="Z96" s="4900"/>
      <c r="AA96" s="4900"/>
      <c r="AB96" s="4906"/>
      <c r="AC96" s="4878"/>
      <c r="AD96" s="1328"/>
      <c r="AE96" s="794"/>
      <c r="AF96" s="73"/>
      <c r="AG96" s="73"/>
      <c r="AH96" s="10005"/>
    </row>
    <row r="97" spans="1:34" ht="45" customHeight="1">
      <c r="A97" s="9392"/>
      <c r="B97" s="10055"/>
      <c r="C97" s="10058"/>
      <c r="D97" s="10009"/>
      <c r="E97" s="9994"/>
      <c r="F97" s="9997"/>
      <c r="G97" s="9997"/>
      <c r="H97" s="9997"/>
      <c r="I97" s="10009"/>
      <c r="J97" s="9994"/>
      <c r="K97" s="9997"/>
      <c r="L97" s="9997"/>
      <c r="M97" s="10000"/>
      <c r="N97" s="10000"/>
      <c r="O97" s="10000"/>
      <c r="P97" s="9997"/>
      <c r="Q97" s="9997"/>
      <c r="R97" s="10003"/>
      <c r="S97" s="615"/>
      <c r="T97" s="6305"/>
      <c r="U97" s="6305"/>
      <c r="V97" s="798"/>
      <c r="W97" s="7014"/>
      <c r="X97" s="799"/>
      <c r="Y97" s="7067"/>
      <c r="Z97" s="4898"/>
      <c r="AA97" s="4898"/>
      <c r="AB97" s="4898"/>
      <c r="AC97" s="7092"/>
      <c r="AD97" s="1199"/>
      <c r="AE97" s="799"/>
      <c r="AF97" s="51"/>
      <c r="AG97" s="51"/>
      <c r="AH97" s="9937"/>
    </row>
    <row r="98" spans="1:34" ht="45" customHeight="1">
      <c r="A98" s="9392"/>
      <c r="B98" s="10055"/>
      <c r="C98" s="10058"/>
      <c r="D98" s="10009"/>
      <c r="E98" s="9994"/>
      <c r="F98" s="9997"/>
      <c r="G98" s="9997"/>
      <c r="H98" s="9997"/>
      <c r="I98" s="10009"/>
      <c r="J98" s="9994"/>
      <c r="K98" s="9997"/>
      <c r="L98" s="9997"/>
      <c r="M98" s="10000"/>
      <c r="N98" s="10000"/>
      <c r="O98" s="10000"/>
      <c r="P98" s="9997"/>
      <c r="Q98" s="9997"/>
      <c r="R98" s="10003"/>
      <c r="S98" s="616"/>
      <c r="T98" s="6313"/>
      <c r="U98" s="6313"/>
      <c r="V98" s="1298"/>
      <c r="W98" s="6911"/>
      <c r="X98" s="1329"/>
      <c r="Y98" s="4899"/>
      <c r="Z98" s="4899"/>
      <c r="AA98" s="4899"/>
      <c r="AB98" s="4899"/>
      <c r="AC98" s="4876"/>
      <c r="AD98" s="1012"/>
      <c r="AE98" s="1142"/>
      <c r="AF98" s="610"/>
      <c r="AG98" s="610"/>
      <c r="AH98" s="9937"/>
    </row>
    <row r="99" spans="1:34" ht="45" customHeight="1">
      <c r="A99" s="9392"/>
      <c r="B99" s="10055"/>
      <c r="C99" s="10058"/>
      <c r="D99" s="10009"/>
      <c r="E99" s="9994"/>
      <c r="F99" s="9997"/>
      <c r="G99" s="9997"/>
      <c r="H99" s="9997"/>
      <c r="I99" s="10009"/>
      <c r="J99" s="9994"/>
      <c r="K99" s="9997"/>
      <c r="L99" s="9997"/>
      <c r="M99" s="10000"/>
      <c r="N99" s="10000"/>
      <c r="O99" s="10000"/>
      <c r="P99" s="9997"/>
      <c r="Q99" s="9997"/>
      <c r="R99" s="10003"/>
      <c r="S99" s="560"/>
      <c r="T99" s="6971"/>
      <c r="U99" s="6971"/>
      <c r="V99" s="1330"/>
      <c r="W99" s="6365"/>
      <c r="X99" s="799"/>
      <c r="Y99" s="4898"/>
      <c r="Z99" s="4898"/>
      <c r="AA99" s="4898"/>
      <c r="AB99" s="4898"/>
      <c r="AC99" s="7079"/>
      <c r="AD99" s="1199"/>
      <c r="AE99" s="1142"/>
      <c r="AF99" s="610"/>
      <c r="AG99" s="610"/>
      <c r="AH99" s="9937"/>
    </row>
    <row r="100" spans="1:34" ht="45" customHeight="1">
      <c r="A100" s="9392"/>
      <c r="B100" s="10055"/>
      <c r="C100" s="10059"/>
      <c r="D100" s="10010"/>
      <c r="E100" s="9995"/>
      <c r="F100" s="9998"/>
      <c r="G100" s="9998"/>
      <c r="H100" s="9998"/>
      <c r="I100" s="10010"/>
      <c r="J100" s="9995"/>
      <c r="K100" s="9998"/>
      <c r="L100" s="9998"/>
      <c r="M100" s="10001"/>
      <c r="N100" s="10001"/>
      <c r="O100" s="10001"/>
      <c r="P100" s="9998"/>
      <c r="Q100" s="9998"/>
      <c r="R100" s="10004"/>
      <c r="S100" s="561"/>
      <c r="T100" s="6986"/>
      <c r="U100" s="6986"/>
      <c r="V100" s="1125"/>
      <c r="W100" s="6917"/>
      <c r="X100" s="1125"/>
      <c r="Y100" s="4909"/>
      <c r="Z100" s="6931"/>
      <c r="AA100" s="6931"/>
      <c r="AB100" s="4909"/>
      <c r="AC100" s="7093"/>
      <c r="AD100" s="1200"/>
      <c r="AE100" s="1125"/>
      <c r="AF100" s="611"/>
      <c r="AG100" s="611"/>
      <c r="AH100" s="9938"/>
    </row>
    <row r="101" spans="1:34" ht="37.5" customHeight="1">
      <c r="A101" s="9392"/>
      <c r="B101" s="10055"/>
      <c r="C101" s="10065" t="s">
        <v>183</v>
      </c>
      <c r="D101" s="10008" t="s">
        <v>2464</v>
      </c>
      <c r="E101" s="10006" t="s">
        <v>228</v>
      </c>
      <c r="F101" s="9996" t="s">
        <v>2272</v>
      </c>
      <c r="G101" s="10007" t="s">
        <v>230</v>
      </c>
      <c r="H101" s="9996" t="s">
        <v>132</v>
      </c>
      <c r="I101" s="10008" t="s">
        <v>159</v>
      </c>
      <c r="J101" s="9993" t="s">
        <v>2465</v>
      </c>
      <c r="K101" s="9996" t="s">
        <v>2466</v>
      </c>
      <c r="L101" s="9996" t="s">
        <v>2467</v>
      </c>
      <c r="M101" s="9999">
        <v>10000</v>
      </c>
      <c r="N101" s="9999">
        <v>0</v>
      </c>
      <c r="O101" s="9999">
        <v>10000</v>
      </c>
      <c r="P101" s="9996" t="s">
        <v>2468</v>
      </c>
      <c r="Q101" s="9996" t="s">
        <v>2469</v>
      </c>
      <c r="R101" s="10002" t="s">
        <v>2444</v>
      </c>
      <c r="S101" s="297"/>
      <c r="T101" s="6985"/>
      <c r="U101" s="6985"/>
      <c r="V101" s="1331"/>
      <c r="W101" s="7015"/>
      <c r="X101" s="1331"/>
      <c r="Y101" s="7050"/>
      <c r="Z101" s="7050"/>
      <c r="AA101" s="7050"/>
      <c r="AB101" s="7050"/>
      <c r="AC101" s="7094"/>
      <c r="AD101" s="1332"/>
      <c r="AE101" s="1331"/>
      <c r="AF101" s="419"/>
      <c r="AG101" s="609"/>
      <c r="AH101" s="9984"/>
    </row>
    <row r="102" spans="1:34" ht="37.5" customHeight="1">
      <c r="A102" s="9392"/>
      <c r="B102" s="10055"/>
      <c r="C102" s="10058"/>
      <c r="D102" s="10009"/>
      <c r="E102" s="9994"/>
      <c r="F102" s="9997"/>
      <c r="G102" s="9997"/>
      <c r="H102" s="9997"/>
      <c r="I102" s="10009"/>
      <c r="J102" s="9994"/>
      <c r="K102" s="9997"/>
      <c r="L102" s="9997"/>
      <c r="M102" s="10000"/>
      <c r="N102" s="10000"/>
      <c r="O102" s="10000"/>
      <c r="P102" s="9997"/>
      <c r="Q102" s="9997"/>
      <c r="R102" s="10003"/>
      <c r="S102" s="291"/>
      <c r="T102" s="6983"/>
      <c r="U102" s="6983"/>
      <c r="V102" s="1323"/>
      <c r="W102" s="7012"/>
      <c r="X102" s="1323"/>
      <c r="Y102" s="7046"/>
      <c r="Z102" s="7047"/>
      <c r="AA102" s="7047"/>
      <c r="AB102" s="7046"/>
      <c r="AC102" s="7090"/>
      <c r="AD102" s="1324"/>
      <c r="AE102" s="1323"/>
      <c r="AF102" s="293"/>
      <c r="AG102" s="607"/>
      <c r="AH102" s="9712"/>
    </row>
    <row r="103" spans="1:34" ht="37.5" customHeight="1">
      <c r="A103" s="9392"/>
      <c r="B103" s="10055"/>
      <c r="C103" s="10058"/>
      <c r="D103" s="10009"/>
      <c r="E103" s="9994"/>
      <c r="F103" s="9997"/>
      <c r="G103" s="9997"/>
      <c r="H103" s="9997"/>
      <c r="I103" s="10009"/>
      <c r="J103" s="9994"/>
      <c r="K103" s="9997"/>
      <c r="L103" s="9997"/>
      <c r="M103" s="10000"/>
      <c r="N103" s="10000"/>
      <c r="O103" s="10000"/>
      <c r="P103" s="9997"/>
      <c r="Q103" s="9997"/>
      <c r="R103" s="10003"/>
      <c r="S103" s="291"/>
      <c r="T103" s="6983"/>
      <c r="U103" s="6983"/>
      <c r="V103" s="1323"/>
      <c r="W103" s="7012"/>
      <c r="X103" s="1323"/>
      <c r="Y103" s="7046"/>
      <c r="Z103" s="7047"/>
      <c r="AA103" s="7047"/>
      <c r="AB103" s="7046"/>
      <c r="AC103" s="7090"/>
      <c r="AD103" s="1324"/>
      <c r="AE103" s="1323"/>
      <c r="AF103" s="293"/>
      <c r="AG103" s="607"/>
      <c r="AH103" s="9712"/>
    </row>
    <row r="104" spans="1:34" ht="37.5" customHeight="1">
      <c r="A104" s="9392"/>
      <c r="B104" s="10055"/>
      <c r="C104" s="10058"/>
      <c r="D104" s="10009"/>
      <c r="E104" s="9994"/>
      <c r="F104" s="9997"/>
      <c r="G104" s="9997"/>
      <c r="H104" s="9997"/>
      <c r="I104" s="10009"/>
      <c r="J104" s="9994"/>
      <c r="K104" s="9997"/>
      <c r="L104" s="9997"/>
      <c r="M104" s="10000"/>
      <c r="N104" s="10000"/>
      <c r="O104" s="10000"/>
      <c r="P104" s="9997"/>
      <c r="Q104" s="9997"/>
      <c r="R104" s="10003"/>
      <c r="S104" s="291"/>
      <c r="T104" s="6983"/>
      <c r="U104" s="6983"/>
      <c r="V104" s="1323"/>
      <c r="W104" s="7012"/>
      <c r="X104" s="1323"/>
      <c r="Y104" s="7046"/>
      <c r="Z104" s="7047"/>
      <c r="AA104" s="7047"/>
      <c r="AB104" s="7046"/>
      <c r="AC104" s="7090"/>
      <c r="AD104" s="1324"/>
      <c r="AE104" s="1323"/>
      <c r="AF104" s="293"/>
      <c r="AG104" s="607"/>
      <c r="AH104" s="9712"/>
    </row>
    <row r="105" spans="1:34" ht="37.5" customHeight="1">
      <c r="A105" s="9392"/>
      <c r="B105" s="10055"/>
      <c r="C105" s="10059"/>
      <c r="D105" s="10010"/>
      <c r="E105" s="9995"/>
      <c r="F105" s="9998"/>
      <c r="G105" s="9998"/>
      <c r="H105" s="9998"/>
      <c r="I105" s="10010"/>
      <c r="J105" s="9995"/>
      <c r="K105" s="9998"/>
      <c r="L105" s="9998"/>
      <c r="M105" s="10001"/>
      <c r="N105" s="10001"/>
      <c r="O105" s="10001"/>
      <c r="P105" s="9998"/>
      <c r="Q105" s="9998"/>
      <c r="R105" s="10004"/>
      <c r="S105" s="298"/>
      <c r="T105" s="6987"/>
      <c r="U105" s="6987"/>
      <c r="V105" s="1333"/>
      <c r="W105" s="7016"/>
      <c r="X105" s="1333"/>
      <c r="Y105" s="7051"/>
      <c r="Z105" s="7052"/>
      <c r="AA105" s="7052"/>
      <c r="AB105" s="7051"/>
      <c r="AC105" s="7095"/>
      <c r="AD105" s="1334"/>
      <c r="AE105" s="1333"/>
      <c r="AF105" s="300"/>
      <c r="AG105" s="612"/>
      <c r="AH105" s="9712"/>
    </row>
    <row r="106" spans="1:34" ht="27" customHeight="1">
      <c r="A106" s="9392"/>
      <c r="B106" s="10055"/>
      <c r="C106" s="10076" t="s">
        <v>183</v>
      </c>
      <c r="D106" s="10064" t="s">
        <v>184</v>
      </c>
      <c r="E106" s="10087" t="s">
        <v>490</v>
      </c>
      <c r="F106" s="10016" t="s">
        <v>491</v>
      </c>
      <c r="G106" s="10088" t="s">
        <v>187</v>
      </c>
      <c r="H106" s="10016" t="s">
        <v>247</v>
      </c>
      <c r="I106" s="10092" t="s">
        <v>214</v>
      </c>
      <c r="J106" s="9993" t="s">
        <v>2470</v>
      </c>
      <c r="K106" s="10052" t="s">
        <v>2471</v>
      </c>
      <c r="L106" s="9996" t="s">
        <v>2472</v>
      </c>
      <c r="M106" s="9999">
        <v>1</v>
      </c>
      <c r="N106" s="10020">
        <v>0</v>
      </c>
      <c r="O106" s="9999">
        <v>1</v>
      </c>
      <c r="P106" s="10052" t="s">
        <v>2473</v>
      </c>
      <c r="Q106" s="10052" t="s">
        <v>2474</v>
      </c>
      <c r="R106" s="10002" t="s">
        <v>2451</v>
      </c>
      <c r="S106" s="288"/>
      <c r="T106" s="6982"/>
      <c r="U106" s="6982"/>
      <c r="V106" s="1335"/>
      <c r="W106" s="7017"/>
      <c r="X106" s="1335"/>
      <c r="Y106" s="7053"/>
      <c r="Z106" s="7053"/>
      <c r="AA106" s="7053"/>
      <c r="AB106" s="7053"/>
      <c r="AC106" s="7096"/>
      <c r="AD106" s="1336"/>
      <c r="AE106" s="1335"/>
      <c r="AF106" s="290"/>
      <c r="AG106" s="606"/>
      <c r="AH106" s="4654"/>
    </row>
    <row r="107" spans="1:34" ht="27" customHeight="1">
      <c r="A107" s="9392"/>
      <c r="B107" s="10055"/>
      <c r="C107" s="10077"/>
      <c r="D107" s="10009"/>
      <c r="E107" s="9994"/>
      <c r="F107" s="9997"/>
      <c r="G107" s="9997"/>
      <c r="H107" s="9997"/>
      <c r="I107" s="10093"/>
      <c r="J107" s="9994"/>
      <c r="K107" s="10012"/>
      <c r="L107" s="9997"/>
      <c r="M107" s="10000"/>
      <c r="N107" s="10000"/>
      <c r="O107" s="10000"/>
      <c r="P107" s="10012"/>
      <c r="Q107" s="10012"/>
      <c r="R107" s="10003"/>
      <c r="S107" s="291"/>
      <c r="T107" s="6983"/>
      <c r="U107" s="6983"/>
      <c r="V107" s="1323"/>
      <c r="W107" s="7012"/>
      <c r="X107" s="1323"/>
      <c r="Y107" s="7046"/>
      <c r="Z107" s="7046"/>
      <c r="AA107" s="7046"/>
      <c r="AB107" s="7046"/>
      <c r="AC107" s="7090"/>
      <c r="AD107" s="1324"/>
      <c r="AE107" s="1323"/>
      <c r="AF107" s="293"/>
      <c r="AG107" s="607"/>
      <c r="AH107" s="4655"/>
    </row>
    <row r="108" spans="1:34" ht="27" customHeight="1">
      <c r="A108" s="9392"/>
      <c r="B108" s="10055"/>
      <c r="C108" s="10077"/>
      <c r="D108" s="10009"/>
      <c r="E108" s="9994"/>
      <c r="F108" s="9997"/>
      <c r="G108" s="9997"/>
      <c r="H108" s="9997"/>
      <c r="I108" s="10093"/>
      <c r="J108" s="9994"/>
      <c r="K108" s="10012"/>
      <c r="L108" s="9997"/>
      <c r="M108" s="10000"/>
      <c r="N108" s="10000"/>
      <c r="O108" s="10000"/>
      <c r="P108" s="10012"/>
      <c r="Q108" s="10012"/>
      <c r="R108" s="10003"/>
      <c r="S108" s="291"/>
      <c r="T108" s="6983"/>
      <c r="U108" s="6983"/>
      <c r="V108" s="292"/>
      <c r="W108" s="7009"/>
      <c r="X108" s="292"/>
      <c r="Y108" s="7020"/>
      <c r="Z108" s="7020"/>
      <c r="AA108" s="7020"/>
      <c r="AB108" s="7020"/>
      <c r="AC108" s="7087"/>
      <c r="AD108" s="293"/>
      <c r="AE108" s="292"/>
      <c r="AF108" s="293"/>
      <c r="AG108" s="607"/>
      <c r="AH108" s="4655"/>
    </row>
    <row r="109" spans="1:34" ht="27" customHeight="1">
      <c r="A109" s="9392"/>
      <c r="B109" s="10055"/>
      <c r="C109" s="10077"/>
      <c r="D109" s="10009"/>
      <c r="E109" s="9994"/>
      <c r="F109" s="9997"/>
      <c r="G109" s="9997"/>
      <c r="H109" s="9997"/>
      <c r="I109" s="10093"/>
      <c r="J109" s="9994"/>
      <c r="K109" s="10012"/>
      <c r="L109" s="9997"/>
      <c r="M109" s="10000"/>
      <c r="N109" s="10000"/>
      <c r="O109" s="10000"/>
      <c r="P109" s="10012"/>
      <c r="Q109" s="10012"/>
      <c r="R109" s="10003"/>
      <c r="S109" s="291"/>
      <c r="T109" s="6983"/>
      <c r="U109" s="6983"/>
      <c r="V109" s="292"/>
      <c r="W109" s="7009"/>
      <c r="X109" s="292"/>
      <c r="Y109" s="7020"/>
      <c r="Z109" s="7020"/>
      <c r="AA109" s="7020"/>
      <c r="AB109" s="7020"/>
      <c r="AC109" s="7087"/>
      <c r="AD109" s="293"/>
      <c r="AE109" s="292"/>
      <c r="AF109" s="293"/>
      <c r="AG109" s="607"/>
      <c r="AH109" s="4655"/>
    </row>
    <row r="110" spans="1:34" ht="27" customHeight="1">
      <c r="A110" s="9392"/>
      <c r="B110" s="10055"/>
      <c r="C110" s="10078"/>
      <c r="D110" s="10089"/>
      <c r="E110" s="10090"/>
      <c r="F110" s="10091"/>
      <c r="G110" s="10091"/>
      <c r="H110" s="10091"/>
      <c r="I110" s="10094"/>
      <c r="J110" s="9995"/>
      <c r="K110" s="10013"/>
      <c r="L110" s="9998"/>
      <c r="M110" s="10001"/>
      <c r="N110" s="10001"/>
      <c r="O110" s="10001"/>
      <c r="P110" s="10013"/>
      <c r="Q110" s="10013"/>
      <c r="R110" s="10004"/>
      <c r="S110" s="294"/>
      <c r="T110" s="6984"/>
      <c r="U110" s="6984"/>
      <c r="V110" s="295"/>
      <c r="W110" s="7010"/>
      <c r="X110" s="295"/>
      <c r="Y110" s="7021"/>
      <c r="Z110" s="7021"/>
      <c r="AA110" s="7021"/>
      <c r="AB110" s="7021"/>
      <c r="AC110" s="7088"/>
      <c r="AD110" s="296"/>
      <c r="AE110" s="295"/>
      <c r="AF110" s="296"/>
      <c r="AG110" s="608"/>
      <c r="AH110" s="494"/>
    </row>
    <row r="111" spans="1:34" ht="31.5" customHeight="1">
      <c r="A111" s="9392"/>
      <c r="B111" s="10055"/>
      <c r="C111" s="10065" t="s">
        <v>127</v>
      </c>
      <c r="D111" s="10008" t="s">
        <v>128</v>
      </c>
      <c r="E111" s="10006" t="s">
        <v>129</v>
      </c>
      <c r="F111" s="9996" t="s">
        <v>336</v>
      </c>
      <c r="G111" s="10007" t="s">
        <v>131</v>
      </c>
      <c r="H111" s="9996" t="s">
        <v>132</v>
      </c>
      <c r="I111" s="10008" t="s">
        <v>159</v>
      </c>
      <c r="J111" s="9993" t="s">
        <v>2475</v>
      </c>
      <c r="K111" s="9996" t="s">
        <v>2476</v>
      </c>
      <c r="L111" s="9996" t="s">
        <v>2477</v>
      </c>
      <c r="M111" s="10020">
        <v>1</v>
      </c>
      <c r="N111" s="10020">
        <v>0</v>
      </c>
      <c r="O111" s="10020">
        <v>0</v>
      </c>
      <c r="P111" s="9996" t="s">
        <v>2478</v>
      </c>
      <c r="Q111" s="9996" t="s">
        <v>2479</v>
      </c>
      <c r="R111" s="10014" t="s">
        <v>2451</v>
      </c>
      <c r="S111" s="297"/>
      <c r="T111" s="6985"/>
      <c r="U111" s="6985"/>
      <c r="V111" s="493"/>
      <c r="W111" s="7011"/>
      <c r="X111" s="493"/>
      <c r="Y111" s="7045"/>
      <c r="Z111" s="7045"/>
      <c r="AA111" s="7045"/>
      <c r="AB111" s="7045"/>
      <c r="AC111" s="7089"/>
      <c r="AD111" s="419"/>
      <c r="AE111" s="493"/>
      <c r="AF111" s="419"/>
      <c r="AG111" s="609"/>
      <c r="AH111" s="9985" t="s">
        <v>2480</v>
      </c>
    </row>
    <row r="112" spans="1:34" ht="31.5" customHeight="1">
      <c r="A112" s="9392"/>
      <c r="B112" s="10055"/>
      <c r="C112" s="10058"/>
      <c r="D112" s="10009"/>
      <c r="E112" s="9994"/>
      <c r="F112" s="9997"/>
      <c r="G112" s="9997"/>
      <c r="H112" s="9997"/>
      <c r="I112" s="10009"/>
      <c r="J112" s="9994"/>
      <c r="K112" s="9997"/>
      <c r="L112" s="10079"/>
      <c r="M112" s="10081"/>
      <c r="N112" s="10081"/>
      <c r="O112" s="10081"/>
      <c r="P112" s="9997"/>
      <c r="Q112" s="10079"/>
      <c r="R112" s="10003"/>
      <c r="S112" s="291"/>
      <c r="T112" s="6983"/>
      <c r="U112" s="6983"/>
      <c r="V112" s="292"/>
      <c r="W112" s="7009"/>
      <c r="X112" s="292"/>
      <c r="Y112" s="7020"/>
      <c r="Z112" s="7020"/>
      <c r="AA112" s="7020"/>
      <c r="AB112" s="7020"/>
      <c r="AC112" s="7087"/>
      <c r="AD112" s="293"/>
      <c r="AE112" s="292"/>
      <c r="AF112" s="293"/>
      <c r="AG112" s="607"/>
      <c r="AH112" s="9937"/>
    </row>
    <row r="113" spans="1:34" ht="31.5" customHeight="1">
      <c r="A113" s="9392"/>
      <c r="B113" s="10055"/>
      <c r="C113" s="10058"/>
      <c r="D113" s="10009"/>
      <c r="E113" s="9994"/>
      <c r="F113" s="9997"/>
      <c r="G113" s="9997"/>
      <c r="H113" s="9997"/>
      <c r="I113" s="10009"/>
      <c r="J113" s="9994"/>
      <c r="K113" s="9997"/>
      <c r="L113" s="10079"/>
      <c r="M113" s="10081"/>
      <c r="N113" s="10081"/>
      <c r="O113" s="10081"/>
      <c r="P113" s="9997"/>
      <c r="Q113" s="10079"/>
      <c r="R113" s="10003"/>
      <c r="S113" s="291"/>
      <c r="T113" s="6983"/>
      <c r="U113" s="6983"/>
      <c r="V113" s="292"/>
      <c r="W113" s="7009"/>
      <c r="X113" s="292"/>
      <c r="Y113" s="7020"/>
      <c r="Z113" s="7020"/>
      <c r="AA113" s="7020"/>
      <c r="AB113" s="7020"/>
      <c r="AC113" s="7087"/>
      <c r="AD113" s="293"/>
      <c r="AE113" s="292"/>
      <c r="AF113" s="293"/>
      <c r="AG113" s="607"/>
      <c r="AH113" s="9937"/>
    </row>
    <row r="114" spans="1:34" ht="31.5" customHeight="1">
      <c r="A114" s="9392"/>
      <c r="B114" s="10055"/>
      <c r="C114" s="10058"/>
      <c r="D114" s="10009"/>
      <c r="E114" s="9994"/>
      <c r="F114" s="9997"/>
      <c r="G114" s="9997"/>
      <c r="H114" s="9997"/>
      <c r="I114" s="10009"/>
      <c r="J114" s="9994"/>
      <c r="K114" s="9997"/>
      <c r="L114" s="10079"/>
      <c r="M114" s="10081"/>
      <c r="N114" s="10081"/>
      <c r="O114" s="10081"/>
      <c r="P114" s="9997"/>
      <c r="Q114" s="10079"/>
      <c r="R114" s="10003"/>
      <c r="S114" s="291"/>
      <c r="T114" s="6983"/>
      <c r="U114" s="6983"/>
      <c r="V114" s="292"/>
      <c r="W114" s="7009"/>
      <c r="X114" s="292"/>
      <c r="Y114" s="7020"/>
      <c r="Z114" s="7020"/>
      <c r="AA114" s="7020"/>
      <c r="AB114" s="7020"/>
      <c r="AC114" s="7087"/>
      <c r="AD114" s="293"/>
      <c r="AE114" s="292"/>
      <c r="AF114" s="293"/>
      <c r="AG114" s="607"/>
      <c r="AH114" s="9937"/>
    </row>
    <row r="115" spans="1:34" ht="31.5" customHeight="1">
      <c r="A115" s="9392"/>
      <c r="B115" s="10055"/>
      <c r="C115" s="10059"/>
      <c r="D115" s="10010"/>
      <c r="E115" s="9995"/>
      <c r="F115" s="9998"/>
      <c r="G115" s="9998"/>
      <c r="H115" s="9998"/>
      <c r="I115" s="10010"/>
      <c r="J115" s="9995"/>
      <c r="K115" s="9998"/>
      <c r="L115" s="10080"/>
      <c r="M115" s="10082"/>
      <c r="N115" s="10082"/>
      <c r="O115" s="10082"/>
      <c r="P115" s="9998"/>
      <c r="Q115" s="10080"/>
      <c r="R115" s="10004"/>
      <c r="S115" s="298"/>
      <c r="T115" s="6987"/>
      <c r="U115" s="6987"/>
      <c r="V115" s="299"/>
      <c r="W115" s="7018"/>
      <c r="X115" s="299"/>
      <c r="Y115" s="7029"/>
      <c r="Z115" s="7029"/>
      <c r="AA115" s="7029"/>
      <c r="AB115" s="7029"/>
      <c r="AC115" s="7097"/>
      <c r="AD115" s="300"/>
      <c r="AE115" s="299"/>
      <c r="AF115" s="300"/>
      <c r="AG115" s="612"/>
      <c r="AH115" s="9937"/>
    </row>
    <row r="116" spans="1:34" ht="35.25" customHeight="1">
      <c r="A116" s="9392"/>
      <c r="B116" s="10055"/>
      <c r="C116" s="10065" t="s">
        <v>127</v>
      </c>
      <c r="D116" s="10008" t="s">
        <v>128</v>
      </c>
      <c r="E116" s="10006" t="s">
        <v>140</v>
      </c>
      <c r="F116" s="9996" t="s">
        <v>597</v>
      </c>
      <c r="G116" s="10007" t="s">
        <v>131</v>
      </c>
      <c r="H116" s="9996" t="s">
        <v>231</v>
      </c>
      <c r="I116" s="10008" t="s">
        <v>159</v>
      </c>
      <c r="J116" s="9993" t="s">
        <v>2481</v>
      </c>
      <c r="K116" s="9996" t="s">
        <v>2482</v>
      </c>
      <c r="L116" s="9996" t="s">
        <v>2483</v>
      </c>
      <c r="M116" s="9999">
        <v>200</v>
      </c>
      <c r="N116" s="9999">
        <v>200</v>
      </c>
      <c r="O116" s="9999">
        <v>200</v>
      </c>
      <c r="P116" s="9996" t="s">
        <v>2484</v>
      </c>
      <c r="Q116" s="9996" t="s">
        <v>2485</v>
      </c>
      <c r="R116" s="10002" t="s">
        <v>2451</v>
      </c>
      <c r="S116" s="288"/>
      <c r="T116" s="6982"/>
      <c r="U116" s="6982"/>
      <c r="V116" s="289"/>
      <c r="W116" s="7008"/>
      <c r="X116" s="289"/>
      <c r="Y116" s="7022"/>
      <c r="Z116" s="7022"/>
      <c r="AA116" s="7022"/>
      <c r="AB116" s="7022"/>
      <c r="AC116" s="7086"/>
      <c r="AD116" s="290"/>
      <c r="AE116" s="289"/>
      <c r="AF116" s="290"/>
      <c r="AG116" s="606"/>
      <c r="AH116" s="4654"/>
    </row>
    <row r="117" spans="1:34" ht="35.25" customHeight="1">
      <c r="A117" s="9392"/>
      <c r="B117" s="10055"/>
      <c r="C117" s="10058"/>
      <c r="D117" s="10009"/>
      <c r="E117" s="9994"/>
      <c r="F117" s="9997"/>
      <c r="G117" s="9997"/>
      <c r="H117" s="9997"/>
      <c r="I117" s="10009"/>
      <c r="J117" s="9994"/>
      <c r="K117" s="9997"/>
      <c r="L117" s="9997"/>
      <c r="M117" s="10000"/>
      <c r="N117" s="10000"/>
      <c r="O117" s="10000"/>
      <c r="P117" s="9997"/>
      <c r="Q117" s="9997"/>
      <c r="R117" s="10003"/>
      <c r="S117" s="291"/>
      <c r="T117" s="6983"/>
      <c r="U117" s="6983"/>
      <c r="V117" s="292"/>
      <c r="W117" s="7009"/>
      <c r="X117" s="292"/>
      <c r="Y117" s="7020"/>
      <c r="Z117" s="7020"/>
      <c r="AA117" s="7020"/>
      <c r="AB117" s="7020"/>
      <c r="AC117" s="7087"/>
      <c r="AD117" s="293"/>
      <c r="AE117" s="292"/>
      <c r="AF117" s="293"/>
      <c r="AG117" s="607"/>
      <c r="AH117" s="4655"/>
    </row>
    <row r="118" spans="1:34" ht="35.25" customHeight="1">
      <c r="A118" s="9392"/>
      <c r="B118" s="10055"/>
      <c r="C118" s="10058"/>
      <c r="D118" s="10009"/>
      <c r="E118" s="9994"/>
      <c r="F118" s="9997"/>
      <c r="G118" s="9997"/>
      <c r="H118" s="9997"/>
      <c r="I118" s="10009"/>
      <c r="J118" s="9994"/>
      <c r="K118" s="9997"/>
      <c r="L118" s="9997"/>
      <c r="M118" s="10000"/>
      <c r="N118" s="10000"/>
      <c r="O118" s="10000"/>
      <c r="P118" s="9997"/>
      <c r="Q118" s="9997"/>
      <c r="R118" s="10003"/>
      <c r="S118" s="291"/>
      <c r="T118" s="6983"/>
      <c r="U118" s="6983"/>
      <c r="V118" s="292"/>
      <c r="W118" s="7009"/>
      <c r="X118" s="292"/>
      <c r="Y118" s="7020"/>
      <c r="Z118" s="7020"/>
      <c r="AA118" s="7020"/>
      <c r="AB118" s="7020"/>
      <c r="AC118" s="7087"/>
      <c r="AD118" s="293"/>
      <c r="AE118" s="292"/>
      <c r="AF118" s="293"/>
      <c r="AG118" s="607"/>
      <c r="AH118" s="4655"/>
    </row>
    <row r="119" spans="1:34" ht="35.25" customHeight="1">
      <c r="A119" s="9392"/>
      <c r="B119" s="10055"/>
      <c r="C119" s="10058"/>
      <c r="D119" s="10009"/>
      <c r="E119" s="9994"/>
      <c r="F119" s="9997"/>
      <c r="G119" s="9997"/>
      <c r="H119" s="9997"/>
      <c r="I119" s="10009"/>
      <c r="J119" s="9994"/>
      <c r="K119" s="9997"/>
      <c r="L119" s="9997"/>
      <c r="M119" s="10000"/>
      <c r="N119" s="10000"/>
      <c r="O119" s="10000"/>
      <c r="P119" s="9997"/>
      <c r="Q119" s="9997"/>
      <c r="R119" s="10003"/>
      <c r="S119" s="291"/>
      <c r="T119" s="6983"/>
      <c r="U119" s="6983"/>
      <c r="V119" s="292"/>
      <c r="W119" s="7009"/>
      <c r="X119" s="292"/>
      <c r="Y119" s="7020"/>
      <c r="Z119" s="7020"/>
      <c r="AA119" s="7020"/>
      <c r="AB119" s="7020"/>
      <c r="AC119" s="7087"/>
      <c r="AD119" s="293"/>
      <c r="AE119" s="292"/>
      <c r="AF119" s="293"/>
      <c r="AG119" s="607"/>
      <c r="AH119" s="4655"/>
    </row>
    <row r="120" spans="1:34" ht="35.25" customHeight="1">
      <c r="A120" s="9392"/>
      <c r="B120" s="10055"/>
      <c r="C120" s="10059"/>
      <c r="D120" s="10010"/>
      <c r="E120" s="9995"/>
      <c r="F120" s="9998"/>
      <c r="G120" s="9998"/>
      <c r="H120" s="9998"/>
      <c r="I120" s="10010"/>
      <c r="J120" s="9995"/>
      <c r="K120" s="9998"/>
      <c r="L120" s="9998"/>
      <c r="M120" s="10001"/>
      <c r="N120" s="10001"/>
      <c r="O120" s="10001"/>
      <c r="P120" s="9998"/>
      <c r="Q120" s="9998"/>
      <c r="R120" s="10004"/>
      <c r="S120" s="294"/>
      <c r="T120" s="6984"/>
      <c r="U120" s="6984"/>
      <c r="V120" s="295"/>
      <c r="W120" s="7010"/>
      <c r="X120" s="295"/>
      <c r="Y120" s="7021"/>
      <c r="Z120" s="7021"/>
      <c r="AA120" s="7021"/>
      <c r="AB120" s="7021"/>
      <c r="AC120" s="7088"/>
      <c r="AD120" s="296"/>
      <c r="AE120" s="295"/>
      <c r="AF120" s="296"/>
      <c r="AG120" s="608"/>
      <c r="AH120" s="494"/>
    </row>
    <row r="121" spans="1:34" ht="27" customHeight="1">
      <c r="A121" s="9392"/>
      <c r="B121" s="10055"/>
      <c r="C121" s="10065" t="s">
        <v>127</v>
      </c>
      <c r="D121" s="10008" t="s">
        <v>128</v>
      </c>
      <c r="E121" s="10006" t="s">
        <v>140</v>
      </c>
      <c r="F121" s="9996" t="s">
        <v>284</v>
      </c>
      <c r="G121" s="10007" t="s">
        <v>131</v>
      </c>
      <c r="H121" s="9996" t="s">
        <v>132</v>
      </c>
      <c r="I121" s="10008" t="s">
        <v>159</v>
      </c>
      <c r="J121" s="9993" t="s">
        <v>2486</v>
      </c>
      <c r="K121" s="9996" t="s">
        <v>286</v>
      </c>
      <c r="L121" s="9996" t="s">
        <v>2487</v>
      </c>
      <c r="M121" s="9999">
        <v>0</v>
      </c>
      <c r="N121" s="10020">
        <v>1</v>
      </c>
      <c r="O121" s="9999">
        <v>1</v>
      </c>
      <c r="P121" s="9996" t="s">
        <v>2488</v>
      </c>
      <c r="Q121" s="9996" t="s">
        <v>2489</v>
      </c>
      <c r="R121" s="10002" t="s">
        <v>2490</v>
      </c>
      <c r="S121" s="297"/>
      <c r="T121" s="6985"/>
      <c r="U121" s="6985"/>
      <c r="V121" s="493"/>
      <c r="W121" s="7011"/>
      <c r="X121" s="493"/>
      <c r="Y121" s="7045"/>
      <c r="Z121" s="7045"/>
      <c r="AA121" s="7045"/>
      <c r="AB121" s="7045"/>
      <c r="AC121" s="7089"/>
      <c r="AD121" s="419"/>
      <c r="AE121" s="493"/>
      <c r="AF121" s="419"/>
      <c r="AG121" s="609"/>
      <c r="AH121" s="9986"/>
    </row>
    <row r="122" spans="1:34" ht="27" customHeight="1">
      <c r="A122" s="9392"/>
      <c r="B122" s="10055"/>
      <c r="C122" s="10058"/>
      <c r="D122" s="10009"/>
      <c r="E122" s="9994"/>
      <c r="F122" s="9997"/>
      <c r="G122" s="9997"/>
      <c r="H122" s="9997"/>
      <c r="I122" s="10009"/>
      <c r="J122" s="9994"/>
      <c r="K122" s="9997"/>
      <c r="L122" s="9997"/>
      <c r="M122" s="10000"/>
      <c r="N122" s="10000"/>
      <c r="O122" s="10000"/>
      <c r="P122" s="9997"/>
      <c r="Q122" s="9997"/>
      <c r="R122" s="10003"/>
      <c r="S122" s="291"/>
      <c r="T122" s="6983"/>
      <c r="U122" s="6983"/>
      <c r="V122" s="292"/>
      <c r="W122" s="7009"/>
      <c r="X122" s="292"/>
      <c r="Y122" s="7020"/>
      <c r="Z122" s="7043"/>
      <c r="AA122" s="7043"/>
      <c r="AB122" s="7020"/>
      <c r="AC122" s="7087"/>
      <c r="AD122" s="293"/>
      <c r="AE122" s="292"/>
      <c r="AF122" s="293"/>
      <c r="AG122" s="607"/>
      <c r="AH122" s="9712"/>
    </row>
    <row r="123" spans="1:34" ht="27" customHeight="1">
      <c r="A123" s="9392"/>
      <c r="B123" s="10055"/>
      <c r="C123" s="10058"/>
      <c r="D123" s="10009"/>
      <c r="E123" s="9994"/>
      <c r="F123" s="9997"/>
      <c r="G123" s="9997"/>
      <c r="H123" s="9997"/>
      <c r="I123" s="10009"/>
      <c r="J123" s="9994"/>
      <c r="K123" s="9997"/>
      <c r="L123" s="9997"/>
      <c r="M123" s="10000"/>
      <c r="N123" s="10000"/>
      <c r="O123" s="10000"/>
      <c r="P123" s="9997"/>
      <c r="Q123" s="9997"/>
      <c r="R123" s="10003"/>
      <c r="S123" s="291"/>
      <c r="T123" s="6983"/>
      <c r="U123" s="6983"/>
      <c r="V123" s="292"/>
      <c r="W123" s="7009"/>
      <c r="X123" s="292"/>
      <c r="Y123" s="7020"/>
      <c r="Z123" s="7043"/>
      <c r="AA123" s="7043"/>
      <c r="AB123" s="7020"/>
      <c r="AC123" s="7087"/>
      <c r="AD123" s="293"/>
      <c r="AE123" s="292"/>
      <c r="AF123" s="293"/>
      <c r="AG123" s="607"/>
      <c r="AH123" s="9712"/>
    </row>
    <row r="124" spans="1:34" ht="27" customHeight="1">
      <c r="A124" s="9392"/>
      <c r="B124" s="10055"/>
      <c r="C124" s="10058"/>
      <c r="D124" s="10009"/>
      <c r="E124" s="9994"/>
      <c r="F124" s="9997"/>
      <c r="G124" s="9997"/>
      <c r="H124" s="9997"/>
      <c r="I124" s="10009"/>
      <c r="J124" s="9994"/>
      <c r="K124" s="9997"/>
      <c r="L124" s="9997"/>
      <c r="M124" s="10000"/>
      <c r="N124" s="10000"/>
      <c r="O124" s="10000"/>
      <c r="P124" s="9997"/>
      <c r="Q124" s="9997"/>
      <c r="R124" s="10003"/>
      <c r="S124" s="291"/>
      <c r="T124" s="6983"/>
      <c r="U124" s="6983"/>
      <c r="V124" s="292"/>
      <c r="W124" s="7009"/>
      <c r="X124" s="292"/>
      <c r="Y124" s="7020"/>
      <c r="Z124" s="7043"/>
      <c r="AA124" s="7043"/>
      <c r="AB124" s="7020"/>
      <c r="AC124" s="7087"/>
      <c r="AD124" s="293"/>
      <c r="AE124" s="292"/>
      <c r="AF124" s="293"/>
      <c r="AG124" s="607"/>
      <c r="AH124" s="9712"/>
    </row>
    <row r="125" spans="1:34" ht="27" customHeight="1">
      <c r="A125" s="9392"/>
      <c r="B125" s="10055"/>
      <c r="C125" s="10059"/>
      <c r="D125" s="10010"/>
      <c r="E125" s="9995"/>
      <c r="F125" s="9998"/>
      <c r="G125" s="9998"/>
      <c r="H125" s="9998"/>
      <c r="I125" s="10010"/>
      <c r="J125" s="9995"/>
      <c r="K125" s="9998"/>
      <c r="L125" s="9998"/>
      <c r="M125" s="10001"/>
      <c r="N125" s="10001"/>
      <c r="O125" s="10001"/>
      <c r="P125" s="9998"/>
      <c r="Q125" s="9998"/>
      <c r="R125" s="10004"/>
      <c r="S125" s="298"/>
      <c r="T125" s="6987"/>
      <c r="U125" s="6987"/>
      <c r="V125" s="299"/>
      <c r="W125" s="7018"/>
      <c r="X125" s="299"/>
      <c r="Y125" s="7029"/>
      <c r="Z125" s="7054"/>
      <c r="AA125" s="7054"/>
      <c r="AB125" s="7029"/>
      <c r="AC125" s="7097"/>
      <c r="AD125" s="300"/>
      <c r="AE125" s="299"/>
      <c r="AF125" s="300"/>
      <c r="AG125" s="612"/>
      <c r="AH125" s="9712"/>
    </row>
    <row r="126" spans="1:34" ht="29.25" customHeight="1">
      <c r="A126" s="9392"/>
      <c r="B126" s="10055"/>
      <c r="C126" s="10065" t="s">
        <v>127</v>
      </c>
      <c r="D126" s="10008" t="s">
        <v>128</v>
      </c>
      <c r="E126" s="10006" t="s">
        <v>129</v>
      </c>
      <c r="F126" s="9996" t="s">
        <v>2491</v>
      </c>
      <c r="G126" s="10007" t="s">
        <v>131</v>
      </c>
      <c r="H126" s="9996" t="s">
        <v>132</v>
      </c>
      <c r="I126" s="10008" t="s">
        <v>159</v>
      </c>
      <c r="J126" s="9993" t="s">
        <v>2492</v>
      </c>
      <c r="K126" s="9996" t="s">
        <v>338</v>
      </c>
      <c r="L126" s="9996" t="s">
        <v>2493</v>
      </c>
      <c r="M126" s="9999">
        <v>100</v>
      </c>
      <c r="N126" s="9999">
        <v>100</v>
      </c>
      <c r="O126" s="9999">
        <v>100</v>
      </c>
      <c r="P126" s="9996" t="s">
        <v>2494</v>
      </c>
      <c r="Q126" s="9996" t="s">
        <v>2495</v>
      </c>
      <c r="R126" s="10002" t="s">
        <v>2451</v>
      </c>
      <c r="S126" s="288"/>
      <c r="T126" s="6982"/>
      <c r="U126" s="6982"/>
      <c r="V126" s="289"/>
      <c r="W126" s="7008"/>
      <c r="X126" s="289"/>
      <c r="Y126" s="7022"/>
      <c r="Z126" s="7022"/>
      <c r="AA126" s="7055"/>
      <c r="AB126" s="7022"/>
      <c r="AC126" s="7086"/>
      <c r="AD126" s="290"/>
      <c r="AE126" s="289"/>
      <c r="AF126" s="290"/>
      <c r="AG126" s="606"/>
      <c r="AH126" s="9987"/>
    </row>
    <row r="127" spans="1:34" ht="29.25" customHeight="1">
      <c r="A127" s="9392"/>
      <c r="B127" s="10055"/>
      <c r="C127" s="10058"/>
      <c r="D127" s="10009"/>
      <c r="E127" s="9994"/>
      <c r="F127" s="9997"/>
      <c r="G127" s="9997"/>
      <c r="H127" s="9997"/>
      <c r="I127" s="10009"/>
      <c r="J127" s="9994"/>
      <c r="K127" s="9997"/>
      <c r="L127" s="9997"/>
      <c r="M127" s="10000"/>
      <c r="N127" s="10000"/>
      <c r="O127" s="10000"/>
      <c r="P127" s="9997"/>
      <c r="Q127" s="9997"/>
      <c r="R127" s="10003"/>
      <c r="S127" s="291"/>
      <c r="T127" s="6983"/>
      <c r="U127" s="6983"/>
      <c r="V127" s="292"/>
      <c r="W127" s="7009"/>
      <c r="X127" s="292"/>
      <c r="Y127" s="7020"/>
      <c r="Z127" s="7043"/>
      <c r="AA127" s="7043"/>
      <c r="AB127" s="7020"/>
      <c r="AC127" s="7087"/>
      <c r="AD127" s="293"/>
      <c r="AE127" s="292"/>
      <c r="AF127" s="293"/>
      <c r="AG127" s="607"/>
      <c r="AH127" s="9712"/>
    </row>
    <row r="128" spans="1:34" ht="29.25" customHeight="1">
      <c r="A128" s="9392"/>
      <c r="B128" s="10055"/>
      <c r="C128" s="10058"/>
      <c r="D128" s="10009"/>
      <c r="E128" s="9994"/>
      <c r="F128" s="9997"/>
      <c r="G128" s="9997"/>
      <c r="H128" s="9997"/>
      <c r="I128" s="10009"/>
      <c r="J128" s="9994"/>
      <c r="K128" s="9997"/>
      <c r="L128" s="9997"/>
      <c r="M128" s="10000"/>
      <c r="N128" s="10000"/>
      <c r="O128" s="10000"/>
      <c r="P128" s="9997"/>
      <c r="Q128" s="9997"/>
      <c r="R128" s="10003"/>
      <c r="S128" s="291"/>
      <c r="T128" s="6983"/>
      <c r="U128" s="6983"/>
      <c r="V128" s="292"/>
      <c r="W128" s="7009"/>
      <c r="X128" s="292"/>
      <c r="Y128" s="7020"/>
      <c r="Z128" s="7043"/>
      <c r="AA128" s="7043"/>
      <c r="AB128" s="7020"/>
      <c r="AC128" s="7087"/>
      <c r="AD128" s="293"/>
      <c r="AE128" s="292"/>
      <c r="AF128" s="293"/>
      <c r="AG128" s="607"/>
      <c r="AH128" s="9712"/>
    </row>
    <row r="129" spans="1:34" ht="29.25" customHeight="1">
      <c r="A129" s="9392"/>
      <c r="B129" s="10055"/>
      <c r="C129" s="10058"/>
      <c r="D129" s="10009"/>
      <c r="E129" s="9994"/>
      <c r="F129" s="9997"/>
      <c r="G129" s="9997"/>
      <c r="H129" s="9997"/>
      <c r="I129" s="10009"/>
      <c r="J129" s="9994"/>
      <c r="K129" s="9997"/>
      <c r="L129" s="9997"/>
      <c r="M129" s="10000"/>
      <c r="N129" s="10000"/>
      <c r="O129" s="10000"/>
      <c r="P129" s="9997"/>
      <c r="Q129" s="9997"/>
      <c r="R129" s="10003"/>
      <c r="S129" s="291"/>
      <c r="T129" s="6983"/>
      <c r="U129" s="6983"/>
      <c r="V129" s="292"/>
      <c r="W129" s="7009"/>
      <c r="X129" s="292"/>
      <c r="Y129" s="7020"/>
      <c r="Z129" s="7043"/>
      <c r="AA129" s="7043"/>
      <c r="AB129" s="7020"/>
      <c r="AC129" s="7087"/>
      <c r="AD129" s="293"/>
      <c r="AE129" s="292"/>
      <c r="AF129" s="293"/>
      <c r="AG129" s="607"/>
      <c r="AH129" s="9712"/>
    </row>
    <row r="130" spans="1:34" ht="29.25" customHeight="1">
      <c r="A130" s="9392"/>
      <c r="B130" s="10055"/>
      <c r="C130" s="10059"/>
      <c r="D130" s="10010"/>
      <c r="E130" s="9995"/>
      <c r="F130" s="9998"/>
      <c r="G130" s="9998"/>
      <c r="H130" s="9998"/>
      <c r="I130" s="10010"/>
      <c r="J130" s="9995"/>
      <c r="K130" s="9998"/>
      <c r="L130" s="9998"/>
      <c r="M130" s="10001"/>
      <c r="N130" s="10001"/>
      <c r="O130" s="10001"/>
      <c r="P130" s="9998"/>
      <c r="Q130" s="9998"/>
      <c r="R130" s="10004"/>
      <c r="S130" s="294"/>
      <c r="T130" s="6984"/>
      <c r="U130" s="6984"/>
      <c r="V130" s="295"/>
      <c r="W130" s="7010"/>
      <c r="X130" s="295"/>
      <c r="Y130" s="7021"/>
      <c r="Z130" s="7044"/>
      <c r="AA130" s="7044"/>
      <c r="AB130" s="7021"/>
      <c r="AC130" s="7088"/>
      <c r="AD130" s="296"/>
      <c r="AE130" s="295"/>
      <c r="AF130" s="296"/>
      <c r="AG130" s="608"/>
      <c r="AH130" s="9713"/>
    </row>
    <row r="131" spans="1:34" ht="27.75" customHeight="1" thickBot="1">
      <c r="A131" s="9392"/>
      <c r="B131" s="10072"/>
      <c r="C131" s="10083"/>
      <c r="D131" s="10084"/>
      <c r="E131" s="10084"/>
      <c r="F131" s="10084"/>
      <c r="G131" s="10084"/>
      <c r="H131" s="10084"/>
      <c r="I131" s="10084"/>
      <c r="J131" s="10084"/>
      <c r="K131" s="10084"/>
      <c r="L131" s="10084"/>
      <c r="M131" s="10084"/>
      <c r="N131" s="10084"/>
      <c r="O131" s="10084"/>
      <c r="P131" s="10084"/>
      <c r="Q131" s="10084"/>
      <c r="R131" s="10085"/>
      <c r="S131" s="9988" t="s">
        <v>2496</v>
      </c>
      <c r="T131" s="9989"/>
      <c r="U131" s="9989"/>
      <c r="V131" s="9989"/>
      <c r="W131" s="9989"/>
      <c r="X131" s="9989"/>
      <c r="Y131" s="9989"/>
      <c r="Z131" s="9989"/>
      <c r="AA131" s="6220" t="s">
        <v>292</v>
      </c>
      <c r="AB131" s="7019">
        <f>SUM(AB81:AB130)</f>
        <v>0</v>
      </c>
      <c r="AC131" s="6221"/>
      <c r="AD131" s="6221"/>
      <c r="AE131" s="9990"/>
      <c r="AF131" s="9991"/>
      <c r="AG131" s="9991"/>
      <c r="AH131" s="9992"/>
    </row>
    <row r="132" spans="1:34" ht="27.75" customHeight="1" thickBot="1">
      <c r="A132" s="9393"/>
      <c r="B132" s="10086"/>
      <c r="C132" s="9675"/>
      <c r="D132" s="9675"/>
      <c r="E132" s="9675"/>
      <c r="F132" s="9675"/>
      <c r="G132" s="9675"/>
      <c r="H132" s="9675"/>
      <c r="I132" s="9675"/>
      <c r="J132" s="9675"/>
      <c r="K132" s="9675"/>
      <c r="L132" s="9675"/>
      <c r="M132" s="9675"/>
      <c r="N132" s="9675"/>
      <c r="O132" s="9675"/>
      <c r="P132" s="9675"/>
      <c r="Q132" s="9675"/>
      <c r="R132" s="9675"/>
      <c r="S132" s="9083" t="s">
        <v>2497</v>
      </c>
      <c r="T132" s="9387"/>
      <c r="U132" s="9387"/>
      <c r="V132" s="9387"/>
      <c r="W132" s="9387"/>
      <c r="X132" s="9387"/>
      <c r="Y132" s="9387"/>
      <c r="Z132" s="9387"/>
      <c r="AA132" s="507" t="s">
        <v>292</v>
      </c>
      <c r="AB132" s="5863">
        <f>SUM(AB80,AB131)</f>
        <v>0</v>
      </c>
      <c r="AC132" s="420"/>
      <c r="AD132" s="420"/>
      <c r="AE132" s="449"/>
      <c r="AF132" s="449"/>
      <c r="AG132" s="449"/>
      <c r="AH132" s="301"/>
    </row>
    <row r="133" spans="1:34" ht="17.25" thickTop="1">
      <c r="A133" s="2076"/>
      <c r="B133" s="2076"/>
      <c r="C133" s="689" t="s">
        <v>2498</v>
      </c>
      <c r="D133" s="143"/>
      <c r="E133" s="143"/>
      <c r="F133" s="143"/>
      <c r="G133" s="143"/>
      <c r="H133" s="143"/>
      <c r="I133" s="143"/>
      <c r="J133" s="143"/>
      <c r="K133" s="143"/>
      <c r="L133" s="143"/>
      <c r="M133" s="143"/>
      <c r="N133" s="143"/>
      <c r="O133" s="143"/>
      <c r="P133" s="143"/>
      <c r="Q133" s="143"/>
      <c r="R133" s="143"/>
      <c r="S133" s="9377" t="s">
        <v>533</v>
      </c>
      <c r="T133" s="8825"/>
      <c r="U133" s="8825"/>
      <c r="V133" s="8825"/>
      <c r="W133" s="8825"/>
      <c r="X133" s="8825"/>
      <c r="Y133" s="8825"/>
      <c r="Z133" s="8825"/>
      <c r="AA133" s="8825"/>
      <c r="AB133" s="8825"/>
      <c r="AC133" s="8825"/>
      <c r="AD133" s="8825"/>
      <c r="AE133" s="8825"/>
      <c r="AF133" s="8825"/>
      <c r="AG133" s="8825"/>
      <c r="AH133" s="8825"/>
    </row>
    <row r="134" spans="1:34" ht="16.5" customHeight="1">
      <c r="A134" s="2076"/>
      <c r="B134" s="2076"/>
      <c r="C134" s="689" t="s">
        <v>2499</v>
      </c>
      <c r="D134" s="143"/>
      <c r="E134" s="143"/>
      <c r="F134" s="143"/>
      <c r="G134" s="143"/>
      <c r="H134" s="143"/>
      <c r="I134" s="143"/>
      <c r="J134" s="143"/>
      <c r="K134" s="143"/>
      <c r="L134" s="143"/>
      <c r="M134" s="143"/>
      <c r="N134" s="143"/>
      <c r="O134" s="143"/>
      <c r="P134" s="143"/>
      <c r="Q134" s="143"/>
      <c r="R134" s="143"/>
      <c r="S134" s="210"/>
      <c r="T134" s="210"/>
      <c r="AB134" s="365"/>
      <c r="AD134"/>
      <c r="AF134" s="8"/>
      <c r="AG134" s="236"/>
    </row>
    <row r="135" spans="1:34" ht="16.5" customHeight="1">
      <c r="A135" s="2076"/>
      <c r="B135" s="2076"/>
      <c r="D135" s="143"/>
      <c r="E135" s="143"/>
      <c r="F135" s="143"/>
      <c r="G135" s="143"/>
      <c r="H135" s="143"/>
      <c r="I135" s="143"/>
      <c r="J135" s="143"/>
      <c r="K135" s="143"/>
      <c r="L135" s="143"/>
      <c r="M135" s="143"/>
      <c r="N135" s="143"/>
      <c r="O135" s="143"/>
      <c r="P135" s="143"/>
      <c r="Q135" s="143"/>
      <c r="R135" s="143"/>
      <c r="S135" s="210"/>
      <c r="T135" s="210"/>
      <c r="U135" s="8775" t="s">
        <v>351</v>
      </c>
      <c r="V135" s="9379"/>
      <c r="W135" s="9379"/>
      <c r="X135" s="9379"/>
      <c r="Y135" s="9379"/>
      <c r="Z135" s="9379"/>
      <c r="AB135" s="365"/>
      <c r="AD135" s="231"/>
      <c r="AF135" s="8"/>
      <c r="AG135" s="236"/>
    </row>
    <row r="136" spans="1:34" ht="18">
      <c r="A136" s="2076"/>
      <c r="B136" s="2076"/>
      <c r="C136" s="143"/>
      <c r="D136" s="143"/>
      <c r="E136" s="143"/>
      <c r="F136" s="143"/>
      <c r="G136" s="143"/>
      <c r="H136" s="143"/>
      <c r="I136" s="143"/>
      <c r="J136" s="143"/>
      <c r="K136" s="143"/>
      <c r="L136" s="143"/>
      <c r="M136" s="143"/>
      <c r="N136" s="143"/>
      <c r="O136" s="143"/>
      <c r="P136" s="143"/>
      <c r="Q136" s="143"/>
      <c r="R136" s="143"/>
      <c r="S136" s="210"/>
      <c r="T136" s="305"/>
      <c r="U136" s="596"/>
      <c r="V136" s="596"/>
      <c r="W136" s="595"/>
      <c r="X136" s="2157"/>
      <c r="Y136" s="596"/>
      <c r="Z136" s="596"/>
      <c r="AB136" s="365"/>
      <c r="AD136" s="100"/>
      <c r="AE136" s="100"/>
      <c r="AF136" s="8"/>
      <c r="AG136" s="236"/>
    </row>
    <row r="137" spans="1:34" ht="18" customHeight="1">
      <c r="A137" s="2076"/>
      <c r="B137" s="2076"/>
      <c r="C137" s="143"/>
      <c r="D137" s="143"/>
      <c r="E137" s="143"/>
      <c r="F137" s="143"/>
      <c r="G137" s="143"/>
      <c r="H137" s="143"/>
      <c r="I137" s="143"/>
      <c r="J137" s="143"/>
      <c r="K137" s="143"/>
      <c r="L137" s="143"/>
      <c r="M137" s="143"/>
      <c r="N137" s="143"/>
      <c r="O137" s="143"/>
      <c r="P137" s="354"/>
      <c r="Q137" s="2075"/>
      <c r="T137" s="917"/>
      <c r="U137" s="5882" t="s">
        <v>5</v>
      </c>
      <c r="V137" s="5883" t="s">
        <v>6</v>
      </c>
      <c r="W137" s="5887" t="s">
        <v>7</v>
      </c>
      <c r="X137" s="5885" t="s">
        <v>352</v>
      </c>
      <c r="Y137" s="5885" t="s">
        <v>9</v>
      </c>
      <c r="Z137" s="5886" t="s">
        <v>353</v>
      </c>
      <c r="AA137" s="559"/>
      <c r="AB137" s="365"/>
      <c r="AD137" s="334"/>
      <c r="AE137" s="334"/>
      <c r="AF137" s="8"/>
      <c r="AG137" s="236"/>
    </row>
    <row r="138" spans="1:34" ht="33.75" customHeight="1">
      <c r="A138" s="2076"/>
      <c r="B138" s="2076"/>
      <c r="C138" s="143"/>
      <c r="D138" s="143"/>
      <c r="E138" s="143"/>
      <c r="F138" s="143"/>
      <c r="G138" s="143"/>
      <c r="H138" s="143"/>
      <c r="I138" s="143"/>
      <c r="J138" s="143"/>
      <c r="K138" s="143"/>
      <c r="L138" s="143"/>
      <c r="M138" s="143"/>
      <c r="N138" s="143"/>
      <c r="O138" s="143"/>
      <c r="P138" s="2075"/>
      <c r="Q138" s="2075"/>
      <c r="T138" s="594"/>
      <c r="U138" s="601" t="s">
        <v>79</v>
      </c>
      <c r="V138" s="613" t="s">
        <v>2398</v>
      </c>
      <c r="W138" s="926">
        <v>530613</v>
      </c>
      <c r="X138" s="690" t="s">
        <v>17</v>
      </c>
      <c r="Y138" s="1678" t="s">
        <v>25</v>
      </c>
      <c r="Z138" s="883">
        <f>+AB31</f>
        <v>0</v>
      </c>
      <c r="AA138" s="2909"/>
      <c r="AB138" s="365"/>
      <c r="AD138" s="101"/>
      <c r="AE138" s="335"/>
      <c r="AF138" s="8"/>
      <c r="AG138" s="236"/>
    </row>
    <row r="139" spans="1:34" ht="18" customHeight="1" thickBot="1">
      <c r="A139" s="2076"/>
      <c r="B139" s="2076"/>
      <c r="C139" s="143"/>
      <c r="D139" s="143"/>
      <c r="E139" s="143"/>
      <c r="F139" s="143"/>
      <c r="G139" s="143"/>
      <c r="H139" s="143"/>
      <c r="I139" s="143"/>
      <c r="J139" s="143"/>
      <c r="K139" s="143"/>
      <c r="L139" s="143"/>
      <c r="M139" s="143"/>
      <c r="N139" s="143"/>
      <c r="O139" s="143"/>
      <c r="P139" s="143"/>
      <c r="Q139" s="143"/>
      <c r="R139" s="143"/>
      <c r="S139" s="210"/>
      <c r="T139" s="594"/>
      <c r="U139" s="5930"/>
      <c r="V139" s="5931" t="s">
        <v>67</v>
      </c>
      <c r="W139" s="5932"/>
      <c r="X139" s="5932"/>
      <c r="Y139" s="5926" t="s">
        <v>292</v>
      </c>
      <c r="Z139" s="33">
        <f>SUM(Z138:Z138)</f>
        <v>0</v>
      </c>
      <c r="AA139" s="559"/>
      <c r="AB139" s="365"/>
      <c r="AD139" s="143"/>
      <c r="AE139" s="143"/>
      <c r="AF139" s="8"/>
      <c r="AG139" s="236"/>
    </row>
    <row r="140" spans="1:34" ht="16.5" customHeight="1" thickTop="1">
      <c r="A140" s="2076"/>
      <c r="B140" s="2076"/>
      <c r="C140" s="143"/>
      <c r="D140" s="143"/>
      <c r="E140" s="143"/>
      <c r="F140" s="143"/>
      <c r="G140" s="143"/>
      <c r="H140" s="143"/>
      <c r="I140" s="143"/>
      <c r="J140" s="143"/>
      <c r="K140" s="143"/>
      <c r="L140" s="143"/>
      <c r="M140" s="143"/>
      <c r="N140" s="143"/>
      <c r="O140" s="143"/>
      <c r="P140" s="143"/>
      <c r="Q140" s="143"/>
      <c r="R140" s="143"/>
      <c r="S140" s="210"/>
      <c r="T140" s="210"/>
      <c r="U140" s="596"/>
      <c r="V140" s="596"/>
      <c r="W140" s="2162"/>
      <c r="X140" s="595"/>
      <c r="Y140" s="2157"/>
      <c r="Z140" s="596"/>
      <c r="AA140" s="28"/>
      <c r="AB140" s="368"/>
      <c r="AC140" s="368"/>
      <c r="AD140" s="143"/>
      <c r="AE140" s="145"/>
      <c r="AF140" s="8"/>
      <c r="AG140" s="236"/>
    </row>
    <row r="141" spans="1:34" ht="16.5" customHeight="1">
      <c r="A141" s="2076"/>
      <c r="B141" s="2076"/>
      <c r="C141" s="143"/>
      <c r="D141" s="143"/>
      <c r="E141" s="143"/>
      <c r="F141" s="143"/>
      <c r="G141" s="143"/>
      <c r="H141" s="143"/>
      <c r="I141" s="143"/>
      <c r="J141" s="143"/>
      <c r="K141" s="143"/>
      <c r="L141" s="143"/>
      <c r="M141" s="143"/>
      <c r="N141" s="143"/>
      <c r="O141" s="143"/>
      <c r="P141" s="143"/>
      <c r="Q141" s="143"/>
      <c r="R141" s="143"/>
      <c r="S141" s="210"/>
      <c r="T141" s="210"/>
      <c r="U141" s="28"/>
      <c r="V141" s="28"/>
      <c r="W141" s="28"/>
      <c r="X141" s="235"/>
      <c r="Y141" s="85"/>
      <c r="Z141" s="28"/>
      <c r="AA141" s="28"/>
      <c r="AB141" s="368"/>
      <c r="AC141" s="368"/>
      <c r="AD141" s="143"/>
      <c r="AE141" s="145"/>
      <c r="AF141" s="8"/>
      <c r="AG141" s="236"/>
    </row>
    <row r="142" spans="1:34" ht="16.5" customHeight="1">
      <c r="A142" s="2076"/>
      <c r="B142" s="2076"/>
      <c r="C142" s="143"/>
      <c r="D142" s="143"/>
      <c r="E142" s="143"/>
      <c r="F142" s="143"/>
      <c r="G142" s="143"/>
      <c r="H142" s="143"/>
      <c r="I142" s="143"/>
      <c r="J142" s="143"/>
      <c r="K142" s="143"/>
      <c r="L142" s="143"/>
      <c r="M142" s="143"/>
      <c r="N142" s="143"/>
      <c r="O142" s="143"/>
      <c r="P142" s="143"/>
      <c r="Q142" s="143"/>
      <c r="R142" s="143"/>
      <c r="S142" s="210"/>
      <c r="T142" s="210"/>
      <c r="U142" s="8764" t="s">
        <v>356</v>
      </c>
      <c r="V142" s="9941"/>
      <c r="W142" s="9942"/>
      <c r="X142" s="235"/>
      <c r="Y142" s="237" t="s">
        <v>357</v>
      </c>
      <c r="Z142" s="37" t="str">
        <f>IF(Z139=AB132,"OK","NO")</f>
        <v>OK</v>
      </c>
      <c r="AA142" s="28"/>
      <c r="AB142" s="368"/>
      <c r="AC142" s="368"/>
      <c r="AD142" s="146"/>
      <c r="AE142" s="143"/>
      <c r="AF142" s="8"/>
      <c r="AG142" s="236"/>
    </row>
    <row r="143" spans="1:34" ht="16.5" customHeight="1">
      <c r="A143" s="8"/>
      <c r="B143" s="8"/>
      <c r="C143" s="143"/>
      <c r="D143" s="143"/>
      <c r="E143" s="143"/>
      <c r="F143" s="143"/>
      <c r="G143" s="143"/>
      <c r="H143" s="143"/>
      <c r="I143" s="143"/>
      <c r="J143" s="143"/>
      <c r="K143" s="143"/>
      <c r="L143" s="143"/>
      <c r="M143" s="143"/>
      <c r="N143" s="143"/>
      <c r="O143" s="143"/>
      <c r="P143" s="143"/>
      <c r="Q143" s="143"/>
      <c r="R143" s="143"/>
      <c r="S143" s="210"/>
      <c r="T143" s="210"/>
      <c r="U143" s="4656" t="s">
        <v>358</v>
      </c>
      <c r="V143" s="555"/>
      <c r="W143" s="750">
        <f>+Z138</f>
        <v>0</v>
      </c>
      <c r="X143" s="235"/>
      <c r="Y143" s="85"/>
      <c r="Z143" s="37" t="str">
        <f>IF(W147=AB132,"OK","NO")</f>
        <v>OK</v>
      </c>
      <c r="AA143" s="28"/>
      <c r="AB143" s="368"/>
      <c r="AC143" s="368"/>
      <c r="AD143" s="146"/>
      <c r="AE143" s="143"/>
      <c r="AF143" s="8"/>
      <c r="AG143" s="236"/>
    </row>
    <row r="144" spans="1:34" ht="16.5" customHeight="1">
      <c r="A144" s="8"/>
      <c r="B144" s="8"/>
      <c r="C144" s="143"/>
      <c r="D144" s="143"/>
      <c r="E144" s="143"/>
      <c r="F144" s="143"/>
      <c r="G144" s="143"/>
      <c r="H144" s="143"/>
      <c r="I144" s="143"/>
      <c r="J144" s="143"/>
      <c r="K144" s="143"/>
      <c r="L144" s="143"/>
      <c r="M144" s="143"/>
      <c r="N144" s="143"/>
      <c r="O144" s="143"/>
      <c r="P144" s="143"/>
      <c r="Q144" s="143"/>
      <c r="R144" s="143"/>
      <c r="S144" s="210"/>
      <c r="T144" s="210"/>
      <c r="U144" s="4657" t="s">
        <v>359</v>
      </c>
      <c r="V144" s="556"/>
      <c r="W144" s="751">
        <v>0</v>
      </c>
      <c r="X144" s="235"/>
      <c r="Y144" s="85"/>
      <c r="Z144" s="37" t="str">
        <f>IF(W157=AB132,"OK","NO")</f>
        <v>OK</v>
      </c>
      <c r="AA144" s="28"/>
      <c r="AB144" s="368"/>
      <c r="AC144" s="368"/>
      <c r="AD144" s="146"/>
      <c r="AE144" s="143"/>
      <c r="AF144" s="8"/>
      <c r="AG144" s="236"/>
    </row>
    <row r="145" spans="1:33" ht="16.5" customHeight="1">
      <c r="A145" s="8"/>
      <c r="B145" s="8"/>
      <c r="C145" s="143"/>
      <c r="D145" s="143"/>
      <c r="E145" s="143"/>
      <c r="F145" s="143"/>
      <c r="G145" s="143"/>
      <c r="H145" s="143"/>
      <c r="I145" s="143"/>
      <c r="J145" s="143"/>
      <c r="K145" s="143"/>
      <c r="L145" s="143"/>
      <c r="M145" s="143"/>
      <c r="N145" s="143"/>
      <c r="O145" s="143"/>
      <c r="P145" s="143"/>
      <c r="Q145" s="143"/>
      <c r="R145" s="143"/>
      <c r="S145" s="210"/>
      <c r="T145" s="210"/>
      <c r="U145" s="4657" t="s">
        <v>360</v>
      </c>
      <c r="V145" s="556"/>
      <c r="W145" s="751">
        <v>0</v>
      </c>
      <c r="X145" s="235"/>
      <c r="Y145" s="238"/>
      <c r="Z145" s="37" t="str">
        <f>IF(Resumen!C414=AB132,"OK","NO")</f>
        <v>OK</v>
      </c>
      <c r="AA145" s="28"/>
      <c r="AB145" s="368"/>
      <c r="AC145" s="368"/>
      <c r="AD145" s="146"/>
      <c r="AE145" s="143"/>
      <c r="AF145" s="8"/>
      <c r="AG145" s="236"/>
    </row>
    <row r="146" spans="1:33" ht="16.5" customHeight="1">
      <c r="A146" s="8"/>
      <c r="B146" s="8"/>
      <c r="C146" s="143"/>
      <c r="D146" s="143"/>
      <c r="E146" s="143"/>
      <c r="F146" s="143"/>
      <c r="G146" s="143"/>
      <c r="H146" s="143"/>
      <c r="I146" s="143"/>
      <c r="J146" s="143"/>
      <c r="K146" s="143"/>
      <c r="L146" s="143"/>
      <c r="M146" s="143"/>
      <c r="N146" s="143"/>
      <c r="O146" s="143"/>
      <c r="P146" s="143"/>
      <c r="Q146" s="143"/>
      <c r="R146" s="143"/>
      <c r="S146" s="210"/>
      <c r="T146" s="210"/>
      <c r="U146" s="4657" t="s">
        <v>361</v>
      </c>
      <c r="V146" s="556"/>
      <c r="W146" s="752">
        <v>0</v>
      </c>
      <c r="X146" s="235"/>
      <c r="Y146" s="238"/>
      <c r="Z146" s="28"/>
      <c r="AA146" s="28"/>
      <c r="AB146" s="368"/>
      <c r="AC146" s="368"/>
      <c r="AD146" s="146"/>
      <c r="AE146" s="143"/>
      <c r="AF146" s="8"/>
      <c r="AG146" s="236"/>
    </row>
    <row r="147" spans="1:33" ht="16.5" customHeight="1">
      <c r="A147" s="8"/>
      <c r="B147" s="8"/>
      <c r="C147" s="143"/>
      <c r="D147" s="143"/>
      <c r="E147" s="143"/>
      <c r="F147" s="143"/>
      <c r="G147" s="143"/>
      <c r="H147" s="143"/>
      <c r="I147" s="143"/>
      <c r="J147" s="143"/>
      <c r="K147" s="143"/>
      <c r="L147" s="143"/>
      <c r="M147" s="143"/>
      <c r="N147" s="143"/>
      <c r="O147" s="143"/>
      <c r="P147" s="143"/>
      <c r="Q147" s="143"/>
      <c r="R147" s="143"/>
      <c r="S147" s="210"/>
      <c r="T147" s="210"/>
      <c r="U147" s="4658" t="s">
        <v>67</v>
      </c>
      <c r="V147" s="558"/>
      <c r="W147" s="753">
        <f>SUM(W143:W146)</f>
        <v>0</v>
      </c>
      <c r="X147" s="235"/>
      <c r="Y147" s="238"/>
      <c r="Z147" s="28"/>
      <c r="AA147" s="28"/>
      <c r="AB147" s="368"/>
      <c r="AC147" s="368"/>
      <c r="AD147" s="146"/>
      <c r="AE147" s="143"/>
      <c r="AF147" s="8"/>
      <c r="AG147" s="236"/>
    </row>
    <row r="148" spans="1:33" ht="16.5" customHeight="1">
      <c r="A148" s="8"/>
      <c r="B148" s="8"/>
      <c r="C148" s="143"/>
      <c r="D148" s="143"/>
      <c r="E148" s="143"/>
      <c r="F148" s="143"/>
      <c r="G148" s="143"/>
      <c r="H148" s="143"/>
      <c r="I148" s="143"/>
      <c r="J148" s="143"/>
      <c r="K148" s="143"/>
      <c r="L148" s="143"/>
      <c r="M148" s="143"/>
      <c r="N148" s="143"/>
      <c r="O148" s="143"/>
      <c r="P148" s="143"/>
      <c r="Q148" s="143"/>
      <c r="R148" s="143"/>
      <c r="S148" s="210"/>
      <c r="T148" s="210"/>
      <c r="U148" s="8758" t="s">
        <v>362</v>
      </c>
      <c r="V148" s="9943"/>
      <c r="W148" s="9944"/>
      <c r="X148" s="235"/>
      <c r="Y148" s="239"/>
      <c r="Z148" s="28"/>
      <c r="AA148" s="28"/>
      <c r="AB148" s="368"/>
      <c r="AC148" s="368"/>
      <c r="AD148" s="146"/>
      <c r="AE148" s="143"/>
      <c r="AF148" s="8"/>
      <c r="AG148" s="236"/>
    </row>
    <row r="149" spans="1:33" ht="16.5" customHeight="1">
      <c r="A149" s="8"/>
      <c r="B149" s="8"/>
      <c r="C149" s="143"/>
      <c r="D149" s="143"/>
      <c r="E149" s="143"/>
      <c r="F149" s="143"/>
      <c r="G149" s="143"/>
      <c r="H149" s="143"/>
      <c r="I149" s="143"/>
      <c r="J149" s="143"/>
      <c r="K149" s="143"/>
      <c r="L149" s="143"/>
      <c r="M149" s="143"/>
      <c r="N149" s="143"/>
      <c r="O149" s="143"/>
      <c r="P149" s="143"/>
      <c r="Q149" s="143"/>
      <c r="R149" s="143"/>
      <c r="S149" s="210"/>
      <c r="T149" s="210"/>
      <c r="U149" s="4826" t="s">
        <v>363</v>
      </c>
      <c r="V149" s="555"/>
      <c r="W149" s="750">
        <v>0</v>
      </c>
      <c r="X149" s="235"/>
      <c r="Y149" s="239"/>
      <c r="Z149" s="28"/>
      <c r="AA149" s="28"/>
      <c r="AB149" s="368"/>
      <c r="AC149" s="368"/>
      <c r="AD149" s="146"/>
      <c r="AE149" s="143"/>
      <c r="AF149" s="8"/>
      <c r="AG149" s="236"/>
    </row>
    <row r="150" spans="1:33" ht="16.5" customHeight="1">
      <c r="A150" s="8"/>
      <c r="B150" s="8"/>
      <c r="C150" s="143"/>
      <c r="D150" s="143"/>
      <c r="E150" s="143"/>
      <c r="F150" s="143"/>
      <c r="G150" s="143"/>
      <c r="H150" s="143"/>
      <c r="I150" s="143"/>
      <c r="J150" s="143"/>
      <c r="K150" s="143"/>
      <c r="L150" s="143"/>
      <c r="M150" s="143"/>
      <c r="N150" s="143"/>
      <c r="O150" s="143"/>
      <c r="P150" s="143"/>
      <c r="Q150" s="143"/>
      <c r="R150" s="143"/>
      <c r="S150" s="210"/>
      <c r="T150" s="210"/>
      <c r="U150" s="4827" t="s">
        <v>364</v>
      </c>
      <c r="V150" s="556"/>
      <c r="W150" s="751">
        <f>+SUM(Z138:Z138)</f>
        <v>0</v>
      </c>
      <c r="X150" s="235"/>
      <c r="Y150" s="239"/>
      <c r="Z150" s="28"/>
      <c r="AA150" s="28"/>
      <c r="AB150" s="368"/>
      <c r="AC150" s="368"/>
      <c r="AD150" s="146"/>
      <c r="AE150" s="143"/>
      <c r="AF150" s="8"/>
      <c r="AG150" s="236"/>
    </row>
    <row r="151" spans="1:33" ht="16.5" customHeight="1">
      <c r="A151" s="8"/>
      <c r="B151" s="8"/>
      <c r="C151" s="143"/>
      <c r="D151" s="143"/>
      <c r="E151" s="143"/>
      <c r="F151" s="143"/>
      <c r="G151" s="143"/>
      <c r="H151" s="143"/>
      <c r="I151" s="143"/>
      <c r="J151" s="143"/>
      <c r="K151" s="143"/>
      <c r="L151" s="143"/>
      <c r="M151" s="143"/>
      <c r="N151" s="143"/>
      <c r="O151" s="143"/>
      <c r="P151" s="143"/>
      <c r="Q151" s="143"/>
      <c r="R151" s="143"/>
      <c r="S151" s="210"/>
      <c r="T151" s="210"/>
      <c r="U151" s="4827" t="s">
        <v>365</v>
      </c>
      <c r="V151" s="556"/>
      <c r="W151" s="751">
        <v>0</v>
      </c>
      <c r="X151" s="235"/>
      <c r="Y151" s="2071"/>
      <c r="Z151" s="28"/>
      <c r="AA151" s="28"/>
      <c r="AB151" s="368"/>
      <c r="AC151" s="368"/>
      <c r="AD151" s="146"/>
      <c r="AE151" s="143"/>
      <c r="AF151" s="8"/>
      <c r="AG151" s="236"/>
    </row>
    <row r="152" spans="1:33" ht="16.5" customHeight="1">
      <c r="A152" s="8"/>
      <c r="B152" s="8"/>
      <c r="C152" s="143"/>
      <c r="D152" s="143"/>
      <c r="E152" s="143"/>
      <c r="F152" s="143"/>
      <c r="G152" s="143"/>
      <c r="H152" s="143"/>
      <c r="I152" s="143"/>
      <c r="J152" s="143"/>
      <c r="K152" s="143"/>
      <c r="L152" s="143"/>
      <c r="M152" s="143"/>
      <c r="N152" s="143"/>
      <c r="O152" s="143"/>
      <c r="P152" s="143"/>
      <c r="Q152" s="143"/>
      <c r="R152" s="143"/>
      <c r="S152" s="210"/>
      <c r="T152" s="210"/>
      <c r="U152" s="4827" t="s">
        <v>366</v>
      </c>
      <c r="V152" s="556"/>
      <c r="W152" s="751">
        <v>0</v>
      </c>
      <c r="X152" s="235"/>
      <c r="Y152" s="238"/>
      <c r="Z152" s="28"/>
      <c r="AA152" s="28"/>
      <c r="AB152" s="368"/>
      <c r="AC152" s="368"/>
      <c r="AD152" s="146"/>
      <c r="AE152" s="143"/>
      <c r="AF152" s="8"/>
      <c r="AG152" s="236"/>
    </row>
    <row r="153" spans="1:33" ht="16.5" customHeight="1">
      <c r="A153" s="8"/>
      <c r="B153" s="8"/>
      <c r="C153" s="143"/>
      <c r="D153" s="143"/>
      <c r="E153" s="143"/>
      <c r="F153" s="143"/>
      <c r="G153" s="143"/>
      <c r="H153" s="143"/>
      <c r="I153" s="143"/>
      <c r="J153" s="143"/>
      <c r="K153" s="143"/>
      <c r="L153" s="143"/>
      <c r="M153" s="143"/>
      <c r="N153" s="143"/>
      <c r="O153" s="143"/>
      <c r="P153" s="143"/>
      <c r="Q153" s="143"/>
      <c r="R153" s="143"/>
      <c r="S153" s="210"/>
      <c r="T153" s="210"/>
      <c r="U153" s="4827" t="s">
        <v>367</v>
      </c>
      <c r="V153" s="556"/>
      <c r="W153" s="751">
        <v>0</v>
      </c>
      <c r="X153" s="235"/>
      <c r="Y153" s="2072"/>
      <c r="Z153" s="2067"/>
      <c r="AC153"/>
      <c r="AD153"/>
      <c r="AE153" s="143"/>
      <c r="AF153" s="8"/>
      <c r="AG153" s="236"/>
    </row>
    <row r="154" spans="1:33" ht="16.5" customHeight="1">
      <c r="A154" s="8"/>
      <c r="B154" s="8"/>
      <c r="C154" s="143"/>
      <c r="D154" s="143"/>
      <c r="E154" s="143"/>
      <c r="F154" s="143"/>
      <c r="G154" s="143"/>
      <c r="H154" s="143"/>
      <c r="I154" s="143"/>
      <c r="J154" s="143"/>
      <c r="K154" s="143"/>
      <c r="L154" s="143"/>
      <c r="M154" s="143"/>
      <c r="N154" s="143"/>
      <c r="O154" s="143"/>
      <c r="P154" s="143"/>
      <c r="Q154" s="143"/>
      <c r="R154" s="143"/>
      <c r="S154" s="210"/>
      <c r="T154" s="210"/>
      <c r="U154" s="4827" t="s">
        <v>368</v>
      </c>
      <c r="V154" s="556"/>
      <c r="W154" s="751">
        <v>0</v>
      </c>
      <c r="X154" s="235"/>
      <c r="Y154" s="2072"/>
      <c r="Z154" s="2067"/>
      <c r="AA154" s="2067"/>
      <c r="AB154" s="2066"/>
      <c r="AC154" s="2066"/>
      <c r="AD154" s="2067"/>
      <c r="AE154" s="143"/>
      <c r="AF154" s="8"/>
      <c r="AG154" s="236"/>
    </row>
    <row r="155" spans="1:33" ht="16.5" customHeight="1">
      <c r="A155" s="8"/>
      <c r="B155" s="8"/>
      <c r="C155" s="143"/>
      <c r="D155" s="143"/>
      <c r="E155" s="143"/>
      <c r="F155" s="143"/>
      <c r="G155" s="143"/>
      <c r="H155" s="143"/>
      <c r="I155" s="143"/>
      <c r="J155" s="143"/>
      <c r="K155" s="143"/>
      <c r="L155" s="143"/>
      <c r="M155" s="143"/>
      <c r="N155" s="143"/>
      <c r="O155" s="143"/>
      <c r="P155" s="143"/>
      <c r="Q155" s="143"/>
      <c r="R155" s="143"/>
      <c r="S155" s="210"/>
      <c r="T155" s="210"/>
      <c r="U155" s="4827" t="s">
        <v>369</v>
      </c>
      <c r="V155" s="556"/>
      <c r="W155" s="751">
        <v>0</v>
      </c>
      <c r="X155" s="235"/>
      <c r="Y155" s="2072"/>
      <c r="Z155" s="2073"/>
      <c r="AA155" s="85"/>
      <c r="AB155" s="2068"/>
      <c r="AC155" s="2068"/>
      <c r="AD155" s="2069"/>
      <c r="AE155" s="143"/>
      <c r="AF155" s="8"/>
      <c r="AG155" s="236"/>
    </row>
    <row r="156" spans="1:33" ht="16.5" customHeight="1">
      <c r="A156" s="8"/>
      <c r="B156" s="8"/>
      <c r="C156" s="143"/>
      <c r="D156" s="143"/>
      <c r="E156" s="143"/>
      <c r="F156" s="143"/>
      <c r="G156" s="143"/>
      <c r="H156" s="143"/>
      <c r="I156" s="143"/>
      <c r="J156" s="143"/>
      <c r="K156" s="143"/>
      <c r="L156" s="143"/>
      <c r="M156" s="143"/>
      <c r="N156" s="143"/>
      <c r="O156" s="143"/>
      <c r="P156" s="143"/>
      <c r="Q156" s="143"/>
      <c r="R156" s="143"/>
      <c r="S156" s="210"/>
      <c r="T156" s="210"/>
      <c r="U156" s="4827" t="s">
        <v>370</v>
      </c>
      <c r="V156" s="556"/>
      <c r="W156" s="752">
        <v>0</v>
      </c>
      <c r="X156" s="235"/>
      <c r="Y156" s="2074"/>
      <c r="Z156" s="2075"/>
      <c r="AA156" s="2075"/>
      <c r="AB156" s="2070"/>
      <c r="AC156" s="2070"/>
      <c r="AD156" s="146"/>
      <c r="AE156" s="143"/>
      <c r="AF156" s="8"/>
      <c r="AG156" s="236"/>
    </row>
    <row r="157" spans="1:33" ht="15.75" customHeight="1">
      <c r="U157" s="4652" t="s">
        <v>67</v>
      </c>
      <c r="V157" s="557"/>
      <c r="W157" s="754">
        <f>SUM(W149:W156)</f>
        <v>0</v>
      </c>
      <c r="X157" s="235"/>
      <c r="Y157" s="2071"/>
      <c r="Z157" s="28"/>
      <c r="AA157" s="28"/>
      <c r="AB157" s="368"/>
      <c r="AC157" s="368"/>
      <c r="AD157" s="146"/>
      <c r="AE157" s="143"/>
    </row>
    <row r="158" spans="1:33" ht="15.75" customHeight="1">
      <c r="AB158" s="365"/>
      <c r="AD158"/>
    </row>
    <row r="159" spans="1:33" ht="15.75" customHeight="1">
      <c r="AB159" s="365"/>
      <c r="AD159"/>
    </row>
    <row r="160" spans="1:33" ht="15.75" customHeight="1">
      <c r="AB160" s="365"/>
      <c r="AD160"/>
    </row>
    <row r="161" spans="28:30" ht="15.75" customHeight="1">
      <c r="AB161" s="365"/>
      <c r="AD161"/>
    </row>
    <row r="162" spans="28:30" ht="15.75" customHeight="1">
      <c r="AB162" s="365"/>
      <c r="AD162"/>
    </row>
  </sheetData>
  <mergeCells count="430">
    <mergeCell ref="AH39:AH43"/>
    <mergeCell ref="AH44:AH49"/>
    <mergeCell ref="E29:E33"/>
    <mergeCell ref="F29:F33"/>
    <mergeCell ref="G29:G33"/>
    <mergeCell ref="H29:H33"/>
    <mergeCell ref="I29:I33"/>
    <mergeCell ref="N14:N18"/>
    <mergeCell ref="O14:O18"/>
    <mergeCell ref="P14:P18"/>
    <mergeCell ref="Q14:Q18"/>
    <mergeCell ref="R14:R18"/>
    <mergeCell ref="L34:L38"/>
    <mergeCell ref="M34:M38"/>
    <mergeCell ref="N34:N38"/>
    <mergeCell ref="O34:O38"/>
    <mergeCell ref="P34:P38"/>
    <mergeCell ref="Q34:Q38"/>
    <mergeCell ref="R34:R38"/>
    <mergeCell ref="E34:E38"/>
    <mergeCell ref="F34:F38"/>
    <mergeCell ref="G34:G38"/>
    <mergeCell ref="H34:H38"/>
    <mergeCell ref="I34:I38"/>
    <mergeCell ref="AH50:AH55"/>
    <mergeCell ref="L14:L18"/>
    <mergeCell ref="M14:M18"/>
    <mergeCell ref="AH14:AH18"/>
    <mergeCell ref="AH19:AH23"/>
    <mergeCell ref="AH24:AH28"/>
    <mergeCell ref="AH29:AH33"/>
    <mergeCell ref="AH34:AH38"/>
    <mergeCell ref="J19:J23"/>
    <mergeCell ref="K19:K23"/>
    <mergeCell ref="N24:N28"/>
    <mergeCell ref="O24:O28"/>
    <mergeCell ref="P24:P28"/>
    <mergeCell ref="Q24:Q28"/>
    <mergeCell ref="R24:R28"/>
    <mergeCell ref="L29:L33"/>
    <mergeCell ref="M29:M33"/>
    <mergeCell ref="N29:N33"/>
    <mergeCell ref="O29:O33"/>
    <mergeCell ref="P29:P33"/>
    <mergeCell ref="Q29:Q33"/>
    <mergeCell ref="R29:R33"/>
    <mergeCell ref="J29:J33"/>
    <mergeCell ref="K29:K33"/>
    <mergeCell ref="C14:C18"/>
    <mergeCell ref="C19:C23"/>
    <mergeCell ref="E19:E23"/>
    <mergeCell ref="F19:F23"/>
    <mergeCell ref="G19:G23"/>
    <mergeCell ref="H19:H23"/>
    <mergeCell ref="I19:I23"/>
    <mergeCell ref="L24:L28"/>
    <mergeCell ref="M24:M28"/>
    <mergeCell ref="E24:E28"/>
    <mergeCell ref="F24:F28"/>
    <mergeCell ref="G24:G28"/>
    <mergeCell ref="H24:H28"/>
    <mergeCell ref="I24:I28"/>
    <mergeCell ref="J24:J28"/>
    <mergeCell ref="K24:K28"/>
    <mergeCell ref="E14:E18"/>
    <mergeCell ref="F14:F18"/>
    <mergeCell ref="G14:G18"/>
    <mergeCell ref="H14:H18"/>
    <mergeCell ref="I14:I18"/>
    <mergeCell ref="J14:J18"/>
    <mergeCell ref="K14:K18"/>
    <mergeCell ref="L50:L55"/>
    <mergeCell ref="M50:M55"/>
    <mergeCell ref="N50:N55"/>
    <mergeCell ref="O50:O55"/>
    <mergeCell ref="P50:P55"/>
    <mergeCell ref="Q50:Q55"/>
    <mergeCell ref="R50:R55"/>
    <mergeCell ref="E50:E55"/>
    <mergeCell ref="F50:F55"/>
    <mergeCell ref="G50:G55"/>
    <mergeCell ref="H50:H55"/>
    <mergeCell ref="I50:I55"/>
    <mergeCell ref="J50:J55"/>
    <mergeCell ref="K50:K55"/>
    <mergeCell ref="A1:AH1"/>
    <mergeCell ref="A2:AH2"/>
    <mergeCell ref="A3:AH3"/>
    <mergeCell ref="A4:AH4"/>
    <mergeCell ref="A6:B8"/>
    <mergeCell ref="C6:D6"/>
    <mergeCell ref="E6:I6"/>
    <mergeCell ref="G7:G8"/>
    <mergeCell ref="H7:H8"/>
    <mergeCell ref="I7:I8"/>
    <mergeCell ref="J7:J8"/>
    <mergeCell ref="M7:O7"/>
    <mergeCell ref="P7:P8"/>
    <mergeCell ref="Q7:Q8"/>
    <mergeCell ref="R7:R8"/>
    <mergeCell ref="E7:E8"/>
    <mergeCell ref="F7:F8"/>
    <mergeCell ref="Z7:AD7"/>
    <mergeCell ref="AH9:AH13"/>
    <mergeCell ref="J9:J13"/>
    <mergeCell ref="K9:K13"/>
    <mergeCell ref="L9:L13"/>
    <mergeCell ref="M9:M13"/>
    <mergeCell ref="N9:N13"/>
    <mergeCell ref="O9:O13"/>
    <mergeCell ref="P9:P13"/>
    <mergeCell ref="J6:R6"/>
    <mergeCell ref="S6:AH6"/>
    <mergeCell ref="S7:Y7"/>
    <mergeCell ref="AE7:AG7"/>
    <mergeCell ref="AH7:AH8"/>
    <mergeCell ref="E9:E13"/>
    <mergeCell ref="F9:F13"/>
    <mergeCell ref="G9:G13"/>
    <mergeCell ref="H9:H13"/>
    <mergeCell ref="I9:I13"/>
    <mergeCell ref="Q19:Q23"/>
    <mergeCell ref="R19:R23"/>
    <mergeCell ref="K7:K8"/>
    <mergeCell ref="L7:L8"/>
    <mergeCell ref="L19:L23"/>
    <mergeCell ref="M19:M23"/>
    <mergeCell ref="N19:N23"/>
    <mergeCell ref="O19:O23"/>
    <mergeCell ref="P19:P23"/>
    <mergeCell ref="Q9:Q13"/>
    <mergeCell ref="R9:R13"/>
    <mergeCell ref="J34:J38"/>
    <mergeCell ref="K34:K38"/>
    <mergeCell ref="L39:L43"/>
    <mergeCell ref="M39:M43"/>
    <mergeCell ref="N39:N43"/>
    <mergeCell ref="O39:O43"/>
    <mergeCell ref="P39:P43"/>
    <mergeCell ref="Q39:Q43"/>
    <mergeCell ref="R39:R43"/>
    <mergeCell ref="E39:E43"/>
    <mergeCell ref="F39:F43"/>
    <mergeCell ref="G39:G43"/>
    <mergeCell ref="H39:H43"/>
    <mergeCell ref="I39:I43"/>
    <mergeCell ref="J39:J43"/>
    <mergeCell ref="K39:K43"/>
    <mergeCell ref="L44:L49"/>
    <mergeCell ref="M44:M49"/>
    <mergeCell ref="N44:N49"/>
    <mergeCell ref="O44:O49"/>
    <mergeCell ref="P44:P49"/>
    <mergeCell ref="Q44:Q49"/>
    <mergeCell ref="R44:R49"/>
    <mergeCell ref="E44:E49"/>
    <mergeCell ref="F44:F49"/>
    <mergeCell ref="G44:G49"/>
    <mergeCell ref="H44:H49"/>
    <mergeCell ref="I44:I49"/>
    <mergeCell ref="J44:J49"/>
    <mergeCell ref="K44:K49"/>
    <mergeCell ref="C56:C61"/>
    <mergeCell ref="D56:D61"/>
    <mergeCell ref="E56:E61"/>
    <mergeCell ref="F56:F61"/>
    <mergeCell ref="G56:G61"/>
    <mergeCell ref="H56:H61"/>
    <mergeCell ref="I56:I61"/>
    <mergeCell ref="Q56:Q61"/>
    <mergeCell ref="R56:R61"/>
    <mergeCell ref="AH56:AH61"/>
    <mergeCell ref="AH62:AH67"/>
    <mergeCell ref="AH68:AH73"/>
    <mergeCell ref="AH74:AH79"/>
    <mergeCell ref="S80:Z80"/>
    <mergeCell ref="J56:J61"/>
    <mergeCell ref="K56:K61"/>
    <mergeCell ref="L56:L61"/>
    <mergeCell ref="M56:M61"/>
    <mergeCell ref="N56:N61"/>
    <mergeCell ref="O56:O61"/>
    <mergeCell ref="P56:P61"/>
    <mergeCell ref="Q62:Q67"/>
    <mergeCell ref="R62:R67"/>
    <mergeCell ref="J62:J67"/>
    <mergeCell ref="K62:K67"/>
    <mergeCell ref="L62:L67"/>
    <mergeCell ref="M62:M67"/>
    <mergeCell ref="N62:N67"/>
    <mergeCell ref="O62:O67"/>
    <mergeCell ref="P62:P67"/>
    <mergeCell ref="P68:P73"/>
    <mergeCell ref="Q68:Q73"/>
    <mergeCell ref="R68:R73"/>
    <mergeCell ref="C29:C33"/>
    <mergeCell ref="D29:D33"/>
    <mergeCell ref="C34:C38"/>
    <mergeCell ref="D34:D38"/>
    <mergeCell ref="C39:C43"/>
    <mergeCell ref="D39:D43"/>
    <mergeCell ref="C44:C49"/>
    <mergeCell ref="D44:D49"/>
    <mergeCell ref="C50:C55"/>
    <mergeCell ref="D50:D55"/>
    <mergeCell ref="C74:C79"/>
    <mergeCell ref="D74:D79"/>
    <mergeCell ref="E74:E79"/>
    <mergeCell ref="F74:F79"/>
    <mergeCell ref="G74:G79"/>
    <mergeCell ref="H74:H79"/>
    <mergeCell ref="I74:I79"/>
    <mergeCell ref="C68:C73"/>
    <mergeCell ref="D68:D73"/>
    <mergeCell ref="E86:E90"/>
    <mergeCell ref="F86:F90"/>
    <mergeCell ref="G86:G90"/>
    <mergeCell ref="H86:H90"/>
    <mergeCell ref="I86:I90"/>
    <mergeCell ref="D101:D105"/>
    <mergeCell ref="D106:D110"/>
    <mergeCell ref="E106:E110"/>
    <mergeCell ref="F106:F110"/>
    <mergeCell ref="G106:G110"/>
    <mergeCell ref="H106:H110"/>
    <mergeCell ref="I106:I110"/>
    <mergeCell ref="E101:E105"/>
    <mergeCell ref="F101:F105"/>
    <mergeCell ref="G101:G105"/>
    <mergeCell ref="H101:H105"/>
    <mergeCell ref="I101:I105"/>
    <mergeCell ref="O121:O125"/>
    <mergeCell ref="P121:P125"/>
    <mergeCell ref="Q121:Q125"/>
    <mergeCell ref="R121:R125"/>
    <mergeCell ref="G121:G125"/>
    <mergeCell ref="H121:H125"/>
    <mergeCell ref="J121:J125"/>
    <mergeCell ref="K121:K125"/>
    <mergeCell ref="L121:L125"/>
    <mergeCell ref="M121:M125"/>
    <mergeCell ref="N121:N125"/>
    <mergeCell ref="E111:E115"/>
    <mergeCell ref="F111:F115"/>
    <mergeCell ref="G111:G115"/>
    <mergeCell ref="H111:H115"/>
    <mergeCell ref="I111:I115"/>
    <mergeCell ref="F121:F125"/>
    <mergeCell ref="I121:I125"/>
    <mergeCell ref="E121:E125"/>
    <mergeCell ref="E126:E130"/>
    <mergeCell ref="F126:F130"/>
    <mergeCell ref="G126:G130"/>
    <mergeCell ref="H126:H130"/>
    <mergeCell ref="I126:I130"/>
    <mergeCell ref="E116:E120"/>
    <mergeCell ref="F116:F120"/>
    <mergeCell ref="G116:G120"/>
    <mergeCell ref="H116:H120"/>
    <mergeCell ref="I116:I120"/>
    <mergeCell ref="J126:J130"/>
    <mergeCell ref="R126:R130"/>
    <mergeCell ref="C131:R131"/>
    <mergeCell ref="B132:R132"/>
    <mergeCell ref="K126:K130"/>
    <mergeCell ref="L126:L130"/>
    <mergeCell ref="M126:M130"/>
    <mergeCell ref="N126:N130"/>
    <mergeCell ref="O126:O130"/>
    <mergeCell ref="P126:P130"/>
    <mergeCell ref="Q126:Q130"/>
    <mergeCell ref="Q111:Q115"/>
    <mergeCell ref="R111:R115"/>
    <mergeCell ref="J111:J115"/>
    <mergeCell ref="K111:K115"/>
    <mergeCell ref="L111:L115"/>
    <mergeCell ref="M111:M115"/>
    <mergeCell ref="N111:N115"/>
    <mergeCell ref="O111:O115"/>
    <mergeCell ref="P111:P115"/>
    <mergeCell ref="C121:C125"/>
    <mergeCell ref="C126:C130"/>
    <mergeCell ref="B81:B131"/>
    <mergeCell ref="C81:C85"/>
    <mergeCell ref="C86:C90"/>
    <mergeCell ref="C91:C95"/>
    <mergeCell ref="C96:C100"/>
    <mergeCell ref="C101:C105"/>
    <mergeCell ref="C106:C110"/>
    <mergeCell ref="D121:D125"/>
    <mergeCell ref="D126:D130"/>
    <mergeCell ref="C7:C8"/>
    <mergeCell ref="D7:D8"/>
    <mergeCell ref="A9:A132"/>
    <mergeCell ref="B9:B80"/>
    <mergeCell ref="C9:C13"/>
    <mergeCell ref="D9:D13"/>
    <mergeCell ref="D14:D18"/>
    <mergeCell ref="D19:D23"/>
    <mergeCell ref="C24:C28"/>
    <mergeCell ref="D24:D28"/>
    <mergeCell ref="D81:D85"/>
    <mergeCell ref="D86:D90"/>
    <mergeCell ref="D91:D95"/>
    <mergeCell ref="D96:D100"/>
    <mergeCell ref="C111:C115"/>
    <mergeCell ref="C116:C120"/>
    <mergeCell ref="D111:D115"/>
    <mergeCell ref="D116:D120"/>
    <mergeCell ref="C62:C67"/>
    <mergeCell ref="D62:D67"/>
    <mergeCell ref="C80:R80"/>
    <mergeCell ref="E81:E85"/>
    <mergeCell ref="Q116:Q120"/>
    <mergeCell ref="R116:R120"/>
    <mergeCell ref="J116:J120"/>
    <mergeCell ref="K116:K120"/>
    <mergeCell ref="L116:L120"/>
    <mergeCell ref="M116:M120"/>
    <mergeCell ref="N116:N120"/>
    <mergeCell ref="O116:O120"/>
    <mergeCell ref="P116:P120"/>
    <mergeCell ref="Q106:Q110"/>
    <mergeCell ref="R106:R110"/>
    <mergeCell ref="J106:J110"/>
    <mergeCell ref="K106:K110"/>
    <mergeCell ref="L106:L110"/>
    <mergeCell ref="M106:M110"/>
    <mergeCell ref="N106:N110"/>
    <mergeCell ref="O106:O110"/>
    <mergeCell ref="P106:P110"/>
    <mergeCell ref="E62:E67"/>
    <mergeCell ref="F62:F67"/>
    <mergeCell ref="G62:G67"/>
    <mergeCell ref="H62:H67"/>
    <mergeCell ref="I62:I67"/>
    <mergeCell ref="L68:L73"/>
    <mergeCell ref="M68:M73"/>
    <mergeCell ref="N68:N73"/>
    <mergeCell ref="O68:O73"/>
    <mergeCell ref="E68:E73"/>
    <mergeCell ref="F68:F73"/>
    <mergeCell ref="G68:G73"/>
    <mergeCell ref="H68:H73"/>
    <mergeCell ref="I68:I73"/>
    <mergeCell ref="J68:J73"/>
    <mergeCell ref="K68:K73"/>
    <mergeCell ref="Q74:Q79"/>
    <mergeCell ref="R74:R79"/>
    <mergeCell ref="J74:J79"/>
    <mergeCell ref="K74:K79"/>
    <mergeCell ref="L74:L79"/>
    <mergeCell ref="M74:M79"/>
    <mergeCell ref="N74:N79"/>
    <mergeCell ref="O74:O79"/>
    <mergeCell ref="P74:P79"/>
    <mergeCell ref="AH81:AH85"/>
    <mergeCell ref="O81:O85"/>
    <mergeCell ref="P81:P85"/>
    <mergeCell ref="Q81:Q85"/>
    <mergeCell ref="R81:R85"/>
    <mergeCell ref="F81:F85"/>
    <mergeCell ref="G81:G85"/>
    <mergeCell ref="H81:H85"/>
    <mergeCell ref="I81:I85"/>
    <mergeCell ref="J81:J85"/>
    <mergeCell ref="K81:K85"/>
    <mergeCell ref="L81:L85"/>
    <mergeCell ref="M81:M85"/>
    <mergeCell ref="N81:N85"/>
    <mergeCell ref="Q86:Q90"/>
    <mergeCell ref="R86:R90"/>
    <mergeCell ref="AH86:AH90"/>
    <mergeCell ref="J86:J90"/>
    <mergeCell ref="K86:K90"/>
    <mergeCell ref="L86:L90"/>
    <mergeCell ref="M86:M90"/>
    <mergeCell ref="N86:N90"/>
    <mergeCell ref="O86:O90"/>
    <mergeCell ref="P86:P90"/>
    <mergeCell ref="L91:L95"/>
    <mergeCell ref="M91:M95"/>
    <mergeCell ref="N91:N95"/>
    <mergeCell ref="O91:O95"/>
    <mergeCell ref="P91:P95"/>
    <mergeCell ref="Q91:Q95"/>
    <mergeCell ref="R91:R95"/>
    <mergeCell ref="AH91:AH95"/>
    <mergeCell ref="E91:E95"/>
    <mergeCell ref="F91:F95"/>
    <mergeCell ref="G91:G95"/>
    <mergeCell ref="H91:H95"/>
    <mergeCell ref="I91:I95"/>
    <mergeCell ref="J91:J95"/>
    <mergeCell ref="K91:K95"/>
    <mergeCell ref="L96:L100"/>
    <mergeCell ref="M96:M100"/>
    <mergeCell ref="N96:N100"/>
    <mergeCell ref="O96:O100"/>
    <mergeCell ref="P96:P100"/>
    <mergeCell ref="Q96:Q100"/>
    <mergeCell ref="R96:R100"/>
    <mergeCell ref="AH96:AH100"/>
    <mergeCell ref="E96:E100"/>
    <mergeCell ref="F96:F100"/>
    <mergeCell ref="G96:G100"/>
    <mergeCell ref="H96:H100"/>
    <mergeCell ref="I96:I100"/>
    <mergeCell ref="J96:J100"/>
    <mergeCell ref="K96:K100"/>
    <mergeCell ref="J101:J105"/>
    <mergeCell ref="K101:K105"/>
    <mergeCell ref="L101:L105"/>
    <mergeCell ref="M101:M105"/>
    <mergeCell ref="N101:N105"/>
    <mergeCell ref="O101:O105"/>
    <mergeCell ref="P101:P105"/>
    <mergeCell ref="Q101:Q105"/>
    <mergeCell ref="R101:R105"/>
    <mergeCell ref="U142:W142"/>
    <mergeCell ref="U148:W148"/>
    <mergeCell ref="AH101:AH105"/>
    <mergeCell ref="AH111:AH115"/>
    <mergeCell ref="AH121:AH125"/>
    <mergeCell ref="AH126:AH130"/>
    <mergeCell ref="S131:Z131"/>
    <mergeCell ref="AE131:AH131"/>
    <mergeCell ref="S132:Z132"/>
    <mergeCell ref="S133:AH133"/>
    <mergeCell ref="U135:Z135"/>
  </mergeCells>
  <dataValidations count="4">
    <dataValidation type="list" allowBlank="1" showErrorMessage="1" sqref="E29" xr:uid="{00000000-0002-0000-0E00-000000000000}">
      <formula1>INDIRECT(#REF!)</formula1>
    </dataValidation>
    <dataValidation type="list" allowBlank="1" showErrorMessage="1" sqref="F9 F14 F19 F24 F29 F34 F39 F44 F50 F56 F62 F68 F74" xr:uid="{00000000-0002-0000-0E00-000001000000}">
      <formula1>INDIRECT($E9)</formula1>
    </dataValidation>
    <dataValidation type="list" allowBlank="1" showErrorMessage="1" sqref="E9 E14 E19 E24 E34 E39 E44 E50 E56 E62 E68 E74" xr:uid="{00000000-0002-0000-0E00-000002000000}">
      <formula1>INDIRECT($G9)</formula1>
    </dataValidation>
    <dataValidation type="decimal" allowBlank="1" showInputMessage="1" showErrorMessage="1" prompt="DPLAN - Sólo debe ingresar valores, NO porcentajes." sqref="M9:O9 M14:O14 M19:O19 M24:O24 M29:O29 M34:O34 M39:O39 M44:O44 M50:O50 M56:O56 M62:O62 M68:O68 M74:O74" xr:uid="{00000000-0002-0000-0E00-000003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Formación Profesional&amp;C&amp;P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E00-000004000000}">
          <x14:formula1>
            <xm:f>'https://utmachalaeduec-my.sharepoint.com/personal/planificacion_utmachala_edu_ec/Documents/Gestión 2023/G.06 EMISION DE INSUMOS PARA ELAB. DE LA PROF, PRESUPUESTARIA Y SUS REFORMAS/REFORMA N° 002-2023/[PND]PND'!#REF!</xm:f>
          </x14:formula1>
          <xm:sqref>C9:D9 C14:D14 C19:D19 C24:D24 C29:D29 C34:D34 C39:D39 C44:D44 C50:D50 C56:D56 C62:D62 C68:D68 C74:D74</xm:sqref>
        </x14:dataValidation>
        <x14:dataValidation type="list" allowBlank="1" showErrorMessage="1" xr:uid="{00000000-0002-0000-0E00-000005000000}">
          <x14:formula1>
            <xm:f>('https://utmachalaeduec-my.sharepoint.com/personal/planificacion_utmachala_edu_ec/Documents/Gestión 2023/G.06 EMISION DE INSUMOS PARA ELAB. DE LA PROF, PRESUPUESTARIA Y SUS REFORMAS/REFORMA N° 002-2023/[PEDI]PEDI'!#REF!)</xm:f>
          </x14:formula1>
          <xm:sqref>H9 H14 H19 H24 H29 H34 H39 H44 H50 H56 H62 H68 H74</xm:sqref>
        </x14:dataValidation>
        <x14:dataValidation type="list" allowBlank="1" showErrorMessage="1" xr:uid="{00000000-0002-0000-0E00-000006000000}">
          <x14:formula1>
            <xm:f>'https://utmachalaeduec-my.sharepoint.com/personal/planificacion_utmachala_edu_ec/Documents/Gestión 2023/G.06 EMISION DE INSUMOS PARA ELAB. DE LA PROF, PRESUPUESTARIA Y SUS REFORMAS/REFORMA N° 002-2023/[PEDI]PEDI'!#REF!</xm:f>
          </x14:formula1>
          <xm:sqref>G9 G14 G19 G24 G29 G34 G39 G44 G50 G56 G62 G68 G74</xm:sqref>
        </x14:dataValidation>
        <x14:dataValidation type="list" allowBlank="1" showErrorMessage="1" xr:uid="{00000000-0002-0000-0E00-000007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I34 I39 I44 I50 I56 I62 I68 I74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36C09"/>
  </sheetPr>
  <dimension ref="A1:AG108"/>
  <sheetViews>
    <sheetView showGridLines="0" topLeftCell="R31" zoomScaleNormal="100" workbookViewId="0">
      <selection activeCell="Y32" sqref="Y32"/>
    </sheetView>
  </sheetViews>
  <sheetFormatPr baseColWidth="10" defaultColWidth="12.7109375" defaultRowHeight="15.75" customHeight="1"/>
  <cols>
    <col min="1" max="1" width="7.7109375" customWidth="1"/>
    <col min="2" max="5" width="25.7109375" customWidth="1"/>
    <col min="6" max="6" width="26.7109375" customWidth="1"/>
    <col min="7" max="11" width="25.7109375" customWidth="1"/>
    <col min="12" max="14" width="8.7109375" customWidth="1"/>
    <col min="15" max="17" width="25.7109375" customWidth="1"/>
    <col min="18" max="18" width="22.7109375" customWidth="1"/>
    <col min="19" max="20" width="18.7109375" customWidth="1"/>
    <col min="21" max="21" width="40.7109375" customWidth="1"/>
    <col min="22" max="22" width="19.85546875" customWidth="1"/>
    <col min="23" max="27" width="12.7109375" customWidth="1"/>
    <col min="28" max="28" width="12.140625" style="365" customWidth="1"/>
    <col min="29" max="29" width="10.28515625" style="365" customWidth="1"/>
    <col min="30" max="32" width="8.7109375" customWidth="1"/>
    <col min="33" max="33" width="19.7109375" customWidth="1"/>
  </cols>
  <sheetData>
    <row r="1" spans="1:33"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row>
    <row r="2" spans="1:33"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row>
    <row r="3" spans="1:33" ht="30.75">
      <c r="A3" s="8828" t="s">
        <v>2500</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row>
    <row r="4" spans="1:33"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row>
    <row r="5" spans="1:33" ht="16.5" customHeight="1" thickBo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355"/>
      <c r="AC5" s="355"/>
      <c r="AD5" s="11"/>
      <c r="AE5" s="11"/>
      <c r="AF5" s="11"/>
      <c r="AG5" s="306"/>
    </row>
    <row r="6" spans="1:33" ht="24.75" customHeight="1" thickTop="1">
      <c r="A6" s="9002" t="s">
        <v>89</v>
      </c>
      <c r="B6" s="9735" t="s">
        <v>90</v>
      </c>
      <c r="C6" s="9814"/>
      <c r="D6" s="9010" t="s">
        <v>91</v>
      </c>
      <c r="E6" s="9357"/>
      <c r="F6" s="9357"/>
      <c r="G6" s="9357"/>
      <c r="H6" s="9357"/>
      <c r="I6" s="8988" t="s">
        <v>92</v>
      </c>
      <c r="J6" s="9343"/>
      <c r="K6" s="9343"/>
      <c r="L6" s="9343"/>
      <c r="M6" s="9343"/>
      <c r="N6" s="9343"/>
      <c r="O6" s="9343"/>
      <c r="P6" s="9343"/>
      <c r="Q6" s="9344"/>
      <c r="R6" s="9150" t="s">
        <v>93</v>
      </c>
      <c r="S6" s="9345"/>
      <c r="T6" s="9345"/>
      <c r="U6" s="9345"/>
      <c r="V6" s="9345"/>
      <c r="W6" s="9345"/>
      <c r="X6" s="9345"/>
      <c r="Y6" s="9345"/>
      <c r="Z6" s="9345"/>
      <c r="AA6" s="9345"/>
      <c r="AB6" s="9345"/>
      <c r="AC6" s="9345"/>
      <c r="AD6" s="9345"/>
      <c r="AE6" s="9345"/>
      <c r="AF6" s="9345"/>
      <c r="AG6" s="9346"/>
    </row>
    <row r="7" spans="1:33" ht="39.75" customHeight="1">
      <c r="A7" s="9352"/>
      <c r="B7" s="9663" t="s">
        <v>94</v>
      </c>
      <c r="C7" s="9665" t="s">
        <v>95</v>
      </c>
      <c r="D7" s="9012" t="s">
        <v>96</v>
      </c>
      <c r="E7" s="9012" t="s">
        <v>97</v>
      </c>
      <c r="F7" s="9012" t="s">
        <v>98</v>
      </c>
      <c r="G7" s="9012" t="s">
        <v>99</v>
      </c>
      <c r="H7" s="9012" t="s">
        <v>100</v>
      </c>
      <c r="I7" s="9014" t="s">
        <v>101</v>
      </c>
      <c r="J7" s="9016" t="s">
        <v>102</v>
      </c>
      <c r="K7" s="9016" t="s">
        <v>103</v>
      </c>
      <c r="L7" s="9016" t="s">
        <v>104</v>
      </c>
      <c r="M7" s="9361"/>
      <c r="N7" s="9361"/>
      <c r="O7" s="9016" t="s">
        <v>105</v>
      </c>
      <c r="P7" s="9016" t="s">
        <v>106</v>
      </c>
      <c r="Q7" s="9019" t="s">
        <v>107</v>
      </c>
      <c r="R7" s="9153" t="s">
        <v>108</v>
      </c>
      <c r="S7" s="9347"/>
      <c r="T7" s="9347"/>
      <c r="U7" s="9347"/>
      <c r="V7" s="9347"/>
      <c r="W7" s="9347"/>
      <c r="X7" s="9348"/>
      <c r="Y7" s="9156" t="s">
        <v>109</v>
      </c>
      <c r="Z7" s="9812"/>
      <c r="AA7" s="9812"/>
      <c r="AB7" s="9812"/>
      <c r="AC7" s="9813"/>
      <c r="AD7" s="9156" t="s">
        <v>110</v>
      </c>
      <c r="AE7" s="9347"/>
      <c r="AF7" s="9348"/>
      <c r="AG7" s="9157" t="s">
        <v>111</v>
      </c>
    </row>
    <row r="8" spans="1:33" ht="51.75" customHeight="1" thickBot="1">
      <c r="A8" s="9643"/>
      <c r="B8" s="9817"/>
      <c r="C8" s="9818"/>
      <c r="D8" s="9358"/>
      <c r="E8" s="9358"/>
      <c r="F8" s="9358"/>
      <c r="G8" s="9358"/>
      <c r="H8" s="9358"/>
      <c r="I8" s="9359"/>
      <c r="J8" s="9360"/>
      <c r="K8" s="9360"/>
      <c r="L8" s="5086" t="s">
        <v>112</v>
      </c>
      <c r="M8" s="5086" t="s">
        <v>113</v>
      </c>
      <c r="N8" s="5086" t="s">
        <v>114</v>
      </c>
      <c r="O8" s="9360"/>
      <c r="P8" s="9360"/>
      <c r="Q8" s="9362"/>
      <c r="R8" s="5087" t="s">
        <v>115</v>
      </c>
      <c r="S8" s="5088" t="s">
        <v>116</v>
      </c>
      <c r="T8" s="5089" t="s">
        <v>117</v>
      </c>
      <c r="U8" s="5088" t="s">
        <v>118</v>
      </c>
      <c r="V8" s="5088" t="s">
        <v>119</v>
      </c>
      <c r="W8" s="5088" t="s">
        <v>372</v>
      </c>
      <c r="X8" s="5090" t="s">
        <v>121</v>
      </c>
      <c r="Y8" s="5088" t="s">
        <v>122</v>
      </c>
      <c r="Z8" s="5088" t="s">
        <v>123</v>
      </c>
      <c r="AA8" s="5088" t="s">
        <v>124</v>
      </c>
      <c r="AB8" s="5090" t="s">
        <v>125</v>
      </c>
      <c r="AC8" s="5090" t="s">
        <v>1100</v>
      </c>
      <c r="AD8" s="5088" t="s">
        <v>112</v>
      </c>
      <c r="AE8" s="5088" t="s">
        <v>113</v>
      </c>
      <c r="AF8" s="5088" t="s">
        <v>114</v>
      </c>
      <c r="AG8" s="9349"/>
    </row>
    <row r="9" spans="1:33" ht="47.25" customHeight="1">
      <c r="A9" s="9599" t="s">
        <v>2500</v>
      </c>
      <c r="B9" s="10176" t="s">
        <v>183</v>
      </c>
      <c r="C9" s="8835" t="s">
        <v>184</v>
      </c>
      <c r="D9" s="9166" t="s">
        <v>490</v>
      </c>
      <c r="E9" s="8835" t="s">
        <v>2445</v>
      </c>
      <c r="F9" s="9164" t="s">
        <v>187</v>
      </c>
      <c r="G9" s="8835" t="s">
        <v>247</v>
      </c>
      <c r="H9" s="8835" t="s">
        <v>133</v>
      </c>
      <c r="I9" s="8835" t="s">
        <v>2501</v>
      </c>
      <c r="J9" s="8835" t="s">
        <v>2502</v>
      </c>
      <c r="K9" s="9166" t="s">
        <v>2503</v>
      </c>
      <c r="L9" s="9169">
        <v>1</v>
      </c>
      <c r="M9" s="9169">
        <v>1</v>
      </c>
      <c r="N9" s="9169">
        <v>1</v>
      </c>
      <c r="O9" s="9166" t="s">
        <v>2504</v>
      </c>
      <c r="P9" s="9166" t="s">
        <v>2505</v>
      </c>
      <c r="Q9" s="10174" t="s">
        <v>2506</v>
      </c>
      <c r="R9" s="5160" t="s">
        <v>81</v>
      </c>
      <c r="S9" s="7098">
        <v>530606</v>
      </c>
      <c r="T9" s="7098"/>
      <c r="U9" s="5161" t="s">
        <v>2507</v>
      </c>
      <c r="V9" s="7120"/>
      <c r="W9" s="5162"/>
      <c r="X9" s="7132"/>
      <c r="Y9" s="7132"/>
      <c r="Z9" s="7132"/>
      <c r="AA9" s="5853">
        <f>($Z$10+$Z$11)</f>
        <v>18120</v>
      </c>
      <c r="AB9" s="6422" t="s">
        <v>26</v>
      </c>
      <c r="AC9" s="5163"/>
      <c r="AD9" s="307"/>
      <c r="AE9" s="308"/>
      <c r="AF9" s="308"/>
      <c r="AG9" s="10172"/>
    </row>
    <row r="10" spans="1:33" ht="21" customHeight="1">
      <c r="A10" s="9392"/>
      <c r="B10" s="10159"/>
      <c r="C10" s="9311"/>
      <c r="D10" s="9311"/>
      <c r="E10" s="9311"/>
      <c r="F10" s="9311"/>
      <c r="G10" s="9311"/>
      <c r="H10" s="9311"/>
      <c r="I10" s="9311"/>
      <c r="J10" s="9311"/>
      <c r="K10" s="9311"/>
      <c r="L10" s="9313"/>
      <c r="M10" s="8856"/>
      <c r="N10" s="9313"/>
      <c r="O10" s="9311"/>
      <c r="P10" s="9311"/>
      <c r="Q10" s="9442"/>
      <c r="R10" s="643"/>
      <c r="S10" s="7099"/>
      <c r="T10" s="7099"/>
      <c r="U10" s="659" t="s">
        <v>2508</v>
      </c>
      <c r="V10" s="7121"/>
      <c r="W10" s="153"/>
      <c r="X10" s="7133"/>
      <c r="Y10" s="7133"/>
      <c r="Z10" s="7133">
        <v>18120</v>
      </c>
      <c r="AA10" s="7134"/>
      <c r="AB10" s="4817"/>
      <c r="AC10" s="383"/>
      <c r="AD10" s="496" t="s">
        <v>153</v>
      </c>
      <c r="AE10" s="186" t="s">
        <v>153</v>
      </c>
      <c r="AF10" s="186" t="s">
        <v>153</v>
      </c>
      <c r="AG10" s="8785"/>
    </row>
    <row r="11" spans="1:33" ht="21" customHeight="1">
      <c r="A11" s="9392"/>
      <c r="B11" s="10159"/>
      <c r="C11" s="9311"/>
      <c r="D11" s="9311"/>
      <c r="E11" s="9311"/>
      <c r="F11" s="9311"/>
      <c r="G11" s="9311"/>
      <c r="H11" s="9311"/>
      <c r="I11" s="9311"/>
      <c r="J11" s="9311"/>
      <c r="K11" s="9311"/>
      <c r="L11" s="9313"/>
      <c r="M11" s="8856"/>
      <c r="N11" s="9313"/>
      <c r="O11" s="9311"/>
      <c r="P11" s="9311"/>
      <c r="Q11" s="9442"/>
      <c r="R11" s="644"/>
      <c r="S11" s="6943"/>
      <c r="T11" s="6943"/>
      <c r="U11" s="6180"/>
      <c r="V11" s="6378"/>
      <c r="W11" s="183"/>
      <c r="X11" s="6408"/>
      <c r="Y11" s="6408"/>
      <c r="Z11" s="6408"/>
      <c r="AA11" s="6409"/>
      <c r="AB11" s="4817"/>
      <c r="AC11" s="383"/>
      <c r="AD11" s="185"/>
      <c r="AE11" s="186"/>
      <c r="AF11" s="186"/>
      <c r="AG11" s="8785"/>
    </row>
    <row r="12" spans="1:33" ht="21" customHeight="1">
      <c r="A12" s="9392"/>
      <c r="B12" s="10159"/>
      <c r="C12" s="9311"/>
      <c r="D12" s="9311"/>
      <c r="E12" s="9311"/>
      <c r="F12" s="9311"/>
      <c r="G12" s="9311"/>
      <c r="H12" s="9311"/>
      <c r="I12" s="9311"/>
      <c r="J12" s="9311"/>
      <c r="K12" s="9311"/>
      <c r="L12" s="9313"/>
      <c r="M12" s="8856"/>
      <c r="N12" s="9313"/>
      <c r="O12" s="9311"/>
      <c r="P12" s="9311"/>
      <c r="Q12" s="9442"/>
      <c r="R12" s="645"/>
      <c r="S12" s="6941"/>
      <c r="T12" s="6941"/>
      <c r="U12" s="6180"/>
      <c r="V12" s="6378"/>
      <c r="W12" s="183"/>
      <c r="X12" s="6408"/>
      <c r="Y12" s="6396"/>
      <c r="Z12" s="6396"/>
      <c r="AA12" s="6397"/>
      <c r="AB12" s="4817"/>
      <c r="AC12" s="383"/>
      <c r="AD12" s="185"/>
      <c r="AE12" s="186"/>
      <c r="AF12" s="186"/>
      <c r="AG12" s="8785"/>
    </row>
    <row r="13" spans="1:33" ht="21" customHeight="1">
      <c r="A13" s="9392"/>
      <c r="B13" s="10175"/>
      <c r="C13" s="9312"/>
      <c r="D13" s="9312"/>
      <c r="E13" s="9312"/>
      <c r="F13" s="9312"/>
      <c r="G13" s="9312"/>
      <c r="H13" s="9312"/>
      <c r="I13" s="9312"/>
      <c r="J13" s="9312"/>
      <c r="K13" s="9312"/>
      <c r="L13" s="9314"/>
      <c r="M13" s="9170"/>
      <c r="N13" s="9314"/>
      <c r="O13" s="9312"/>
      <c r="P13" s="9312"/>
      <c r="Q13" s="9443"/>
      <c r="R13" s="646"/>
      <c r="S13" s="6944"/>
      <c r="T13" s="6944"/>
      <c r="U13" s="593"/>
      <c r="V13" s="6375"/>
      <c r="W13" s="187"/>
      <c r="X13" s="6404"/>
      <c r="Y13" s="6404"/>
      <c r="Z13" s="6404"/>
      <c r="AA13" s="6405"/>
      <c r="AB13" s="6428"/>
      <c r="AC13" s="384"/>
      <c r="AD13" s="187"/>
      <c r="AE13" s="182"/>
      <c r="AF13" s="182"/>
      <c r="AG13" s="8794"/>
    </row>
    <row r="14" spans="1:33" ht="20.25" customHeight="1">
      <c r="A14" s="9392"/>
      <c r="B14" s="10177" t="s">
        <v>183</v>
      </c>
      <c r="C14" s="8834" t="s">
        <v>184</v>
      </c>
      <c r="D14" s="8834" t="s">
        <v>490</v>
      </c>
      <c r="E14" s="8834" t="s">
        <v>2445</v>
      </c>
      <c r="F14" s="8974" t="s">
        <v>187</v>
      </c>
      <c r="G14" s="8834" t="s">
        <v>247</v>
      </c>
      <c r="H14" s="8834" t="s">
        <v>133</v>
      </c>
      <c r="I14" s="8834" t="s">
        <v>2509</v>
      </c>
      <c r="J14" s="8834" t="s">
        <v>2510</v>
      </c>
      <c r="K14" s="8834" t="s">
        <v>2511</v>
      </c>
      <c r="L14" s="9761">
        <v>5</v>
      </c>
      <c r="M14" s="9762">
        <v>6</v>
      </c>
      <c r="N14" s="9761">
        <v>5</v>
      </c>
      <c r="O14" s="8834" t="s">
        <v>2512</v>
      </c>
      <c r="P14" s="8834" t="s">
        <v>2513</v>
      </c>
      <c r="Q14" s="9205" t="s">
        <v>2514</v>
      </c>
      <c r="R14" s="647"/>
      <c r="S14" s="7100"/>
      <c r="T14" s="7100"/>
      <c r="U14" s="660"/>
      <c r="V14" s="7122"/>
      <c r="W14" s="245"/>
      <c r="X14" s="7135"/>
      <c r="Y14" s="7135"/>
      <c r="Z14" s="7135"/>
      <c r="AA14" s="7136"/>
      <c r="AB14" s="7154"/>
      <c r="AC14" s="428"/>
      <c r="AD14" s="245"/>
      <c r="AE14" s="497"/>
      <c r="AF14" s="497"/>
      <c r="AG14" s="10165"/>
    </row>
    <row r="15" spans="1:33" ht="20.25" customHeight="1">
      <c r="A15" s="9392"/>
      <c r="B15" s="10159"/>
      <c r="C15" s="9311"/>
      <c r="D15" s="9311"/>
      <c r="E15" s="9311"/>
      <c r="F15" s="9311"/>
      <c r="G15" s="9311"/>
      <c r="H15" s="9311"/>
      <c r="I15" s="9311"/>
      <c r="J15" s="9311"/>
      <c r="K15" s="9311"/>
      <c r="L15" s="9313"/>
      <c r="M15" s="9313"/>
      <c r="N15" s="9313"/>
      <c r="O15" s="9311"/>
      <c r="P15" s="9311"/>
      <c r="Q15" s="9433"/>
      <c r="R15" s="648"/>
      <c r="S15" s="7101"/>
      <c r="T15" s="7101"/>
      <c r="U15" s="661"/>
      <c r="V15" s="7123"/>
      <c r="W15" s="309"/>
      <c r="X15" s="7152"/>
      <c r="Y15" s="7137"/>
      <c r="Z15" s="7137"/>
      <c r="AA15" s="7138"/>
      <c r="AB15" s="7155"/>
      <c r="AC15" s="429"/>
      <c r="AD15" s="310"/>
      <c r="AE15" s="311"/>
      <c r="AF15" s="311"/>
      <c r="AG15" s="9937"/>
    </row>
    <row r="16" spans="1:33" ht="20.25" customHeight="1">
      <c r="A16" s="9392"/>
      <c r="B16" s="10159"/>
      <c r="C16" s="9311"/>
      <c r="D16" s="9311"/>
      <c r="E16" s="9311"/>
      <c r="F16" s="9311"/>
      <c r="G16" s="9311"/>
      <c r="H16" s="9311"/>
      <c r="I16" s="9311"/>
      <c r="J16" s="9311"/>
      <c r="K16" s="9311"/>
      <c r="L16" s="9313"/>
      <c r="M16" s="9313"/>
      <c r="N16" s="9313"/>
      <c r="O16" s="9311"/>
      <c r="P16" s="9311"/>
      <c r="Q16" s="9433"/>
      <c r="R16" s="648"/>
      <c r="S16" s="7101"/>
      <c r="T16" s="7101"/>
      <c r="U16" s="661"/>
      <c r="V16" s="7123"/>
      <c r="W16" s="309"/>
      <c r="X16" s="7152"/>
      <c r="Y16" s="7137"/>
      <c r="Z16" s="7137"/>
      <c r="AA16" s="7138"/>
      <c r="AB16" s="7155"/>
      <c r="AC16" s="429"/>
      <c r="AD16" s="310"/>
      <c r="AE16" s="311"/>
      <c r="AF16" s="311"/>
      <c r="AG16" s="9937"/>
    </row>
    <row r="17" spans="1:33" ht="20.25" customHeight="1">
      <c r="A17" s="9392"/>
      <c r="B17" s="10159"/>
      <c r="C17" s="9311"/>
      <c r="D17" s="9311"/>
      <c r="E17" s="9311"/>
      <c r="F17" s="9311"/>
      <c r="G17" s="9311"/>
      <c r="H17" s="9311"/>
      <c r="I17" s="9311"/>
      <c r="J17" s="9311"/>
      <c r="K17" s="9311"/>
      <c r="L17" s="9313"/>
      <c r="M17" s="9313"/>
      <c r="N17" s="9313"/>
      <c r="O17" s="9311"/>
      <c r="P17" s="9311"/>
      <c r="Q17" s="9433"/>
      <c r="R17" s="649"/>
      <c r="S17" s="7102"/>
      <c r="T17" s="7101"/>
      <c r="U17" s="661"/>
      <c r="V17" s="7123"/>
      <c r="W17" s="309"/>
      <c r="X17" s="7152"/>
      <c r="Y17" s="7137"/>
      <c r="Z17" s="7137"/>
      <c r="AA17" s="7138"/>
      <c r="AB17" s="7155"/>
      <c r="AC17" s="429"/>
      <c r="AD17" s="310"/>
      <c r="AE17" s="311"/>
      <c r="AF17" s="311"/>
      <c r="AG17" s="9937"/>
    </row>
    <row r="18" spans="1:33" ht="20.25" customHeight="1">
      <c r="A18" s="9392"/>
      <c r="B18" s="10160"/>
      <c r="C18" s="9312"/>
      <c r="D18" s="9312"/>
      <c r="E18" s="9312"/>
      <c r="F18" s="9312"/>
      <c r="G18" s="9312"/>
      <c r="H18" s="9312"/>
      <c r="I18" s="9312"/>
      <c r="J18" s="9311"/>
      <c r="K18" s="9312"/>
      <c r="L18" s="9314"/>
      <c r="M18" s="9314"/>
      <c r="N18" s="9314"/>
      <c r="O18" s="9312"/>
      <c r="P18" s="9312"/>
      <c r="Q18" s="9434"/>
      <c r="R18" s="650"/>
      <c r="S18" s="7103"/>
      <c r="T18" s="7103"/>
      <c r="U18" s="662"/>
      <c r="V18" s="7124"/>
      <c r="W18" s="312"/>
      <c r="X18" s="7153"/>
      <c r="Y18" s="7139"/>
      <c r="Z18" s="7139"/>
      <c r="AA18" s="7140"/>
      <c r="AB18" s="7156"/>
      <c r="AC18" s="430"/>
      <c r="AD18" s="313"/>
      <c r="AE18" s="314"/>
      <c r="AF18" s="314"/>
      <c r="AG18" s="9938"/>
    </row>
    <row r="19" spans="1:33" ht="20.25" customHeight="1">
      <c r="A19" s="9392"/>
      <c r="B19" s="10177" t="s">
        <v>183</v>
      </c>
      <c r="C19" s="8834" t="s">
        <v>184</v>
      </c>
      <c r="D19" s="8834" t="s">
        <v>490</v>
      </c>
      <c r="E19" s="8834" t="s">
        <v>2445</v>
      </c>
      <c r="F19" s="8974" t="s">
        <v>187</v>
      </c>
      <c r="G19" s="8834" t="s">
        <v>247</v>
      </c>
      <c r="H19" s="8834" t="s">
        <v>214</v>
      </c>
      <c r="I19" s="8834" t="s">
        <v>2515</v>
      </c>
      <c r="J19" s="9217" t="s">
        <v>2516</v>
      </c>
      <c r="K19" s="9258" t="s">
        <v>2517</v>
      </c>
      <c r="L19" s="10166">
        <v>1</v>
      </c>
      <c r="M19" s="9762">
        <v>1</v>
      </c>
      <c r="N19" s="10166">
        <v>0</v>
      </c>
      <c r="O19" s="9167" t="s">
        <v>2518</v>
      </c>
      <c r="P19" s="9679" t="s">
        <v>2519</v>
      </c>
      <c r="Q19" s="10169" t="s">
        <v>2506</v>
      </c>
      <c r="R19" s="645"/>
      <c r="S19" s="6941"/>
      <c r="T19" s="6941"/>
      <c r="U19" s="600"/>
      <c r="V19" s="6378"/>
      <c r="W19" s="183"/>
      <c r="X19" s="6408"/>
      <c r="Y19" s="6408"/>
      <c r="Z19" s="6408"/>
      <c r="AA19" s="6409"/>
      <c r="AB19" s="6430"/>
      <c r="AC19" s="381"/>
      <c r="AD19" s="183"/>
      <c r="AE19" s="184"/>
      <c r="AF19" s="184"/>
      <c r="AG19" s="10173"/>
    </row>
    <row r="20" spans="1:33" ht="20.25" customHeight="1">
      <c r="A20" s="9392"/>
      <c r="B20" s="10159"/>
      <c r="C20" s="9311"/>
      <c r="D20" s="9311"/>
      <c r="E20" s="9311"/>
      <c r="F20" s="9311"/>
      <c r="G20" s="9311"/>
      <c r="H20" s="9311"/>
      <c r="I20" s="9311"/>
      <c r="J20" s="9433"/>
      <c r="K20" s="9311"/>
      <c r="L20" s="10167"/>
      <c r="M20" s="9313"/>
      <c r="N20" s="10167"/>
      <c r="O20" s="9311"/>
      <c r="P20" s="9402"/>
      <c r="Q20" s="10170"/>
      <c r="R20" s="651"/>
      <c r="S20" s="6942"/>
      <c r="T20" s="6942"/>
      <c r="U20" s="584"/>
      <c r="V20" s="6359"/>
      <c r="W20" s="185"/>
      <c r="X20" s="6396"/>
      <c r="Y20" s="6396"/>
      <c r="Z20" s="6396"/>
      <c r="AA20" s="6397"/>
      <c r="AB20" s="4817"/>
      <c r="AC20" s="383"/>
      <c r="AD20" s="185"/>
      <c r="AE20" s="186"/>
      <c r="AF20" s="186"/>
      <c r="AG20" s="8785"/>
    </row>
    <row r="21" spans="1:33" ht="20.25" customHeight="1">
      <c r="A21" s="9392"/>
      <c r="B21" s="10159"/>
      <c r="C21" s="9311"/>
      <c r="D21" s="9311"/>
      <c r="E21" s="9311"/>
      <c r="F21" s="9311"/>
      <c r="G21" s="9311"/>
      <c r="H21" s="9311"/>
      <c r="I21" s="9311"/>
      <c r="J21" s="9433"/>
      <c r="K21" s="9311"/>
      <c r="L21" s="10167"/>
      <c r="M21" s="9313"/>
      <c r="N21" s="10167"/>
      <c r="O21" s="9311"/>
      <c r="P21" s="9402"/>
      <c r="Q21" s="10170"/>
      <c r="R21" s="644"/>
      <c r="S21" s="6943"/>
      <c r="T21" s="6943"/>
      <c r="U21" s="6180"/>
      <c r="V21" s="6378"/>
      <c r="W21" s="183"/>
      <c r="X21" s="6408"/>
      <c r="Y21" s="6396"/>
      <c r="Z21" s="6396"/>
      <c r="AA21" s="6397"/>
      <c r="AB21" s="4817"/>
      <c r="AC21" s="383"/>
      <c r="AD21" s="185"/>
      <c r="AE21" s="186"/>
      <c r="AF21" s="186"/>
      <c r="AG21" s="8785"/>
    </row>
    <row r="22" spans="1:33" ht="20.25" customHeight="1">
      <c r="A22" s="9392"/>
      <c r="B22" s="10159"/>
      <c r="C22" s="9311"/>
      <c r="D22" s="9311"/>
      <c r="E22" s="9311"/>
      <c r="F22" s="9311"/>
      <c r="G22" s="9311"/>
      <c r="H22" s="9311"/>
      <c r="I22" s="9311"/>
      <c r="J22" s="9433"/>
      <c r="K22" s="9311"/>
      <c r="L22" s="10167"/>
      <c r="M22" s="9313"/>
      <c r="N22" s="10167"/>
      <c r="O22" s="9311"/>
      <c r="P22" s="9402"/>
      <c r="Q22" s="10170"/>
      <c r="R22" s="645"/>
      <c r="S22" s="6941"/>
      <c r="T22" s="6941"/>
      <c r="U22" s="6180"/>
      <c r="V22" s="6378"/>
      <c r="W22" s="183"/>
      <c r="X22" s="6408"/>
      <c r="Y22" s="6396"/>
      <c r="Z22" s="6396"/>
      <c r="AA22" s="6397"/>
      <c r="AB22" s="4817"/>
      <c r="AC22" s="383"/>
      <c r="AD22" s="185"/>
      <c r="AE22" s="186"/>
      <c r="AF22" s="186"/>
      <c r="AG22" s="8785"/>
    </row>
    <row r="23" spans="1:33" ht="20.25" customHeight="1">
      <c r="A23" s="9392"/>
      <c r="B23" s="10160"/>
      <c r="C23" s="9312"/>
      <c r="D23" s="9312"/>
      <c r="E23" s="9312"/>
      <c r="F23" s="9312"/>
      <c r="G23" s="9312"/>
      <c r="H23" s="9312"/>
      <c r="I23" s="9312"/>
      <c r="J23" s="9434"/>
      <c r="K23" s="9312"/>
      <c r="L23" s="10168"/>
      <c r="M23" s="9314"/>
      <c r="N23" s="10168"/>
      <c r="O23" s="9312"/>
      <c r="P23" s="9403"/>
      <c r="Q23" s="10171"/>
      <c r="R23" s="652"/>
      <c r="S23" s="7104"/>
      <c r="T23" s="7104"/>
      <c r="U23" s="599"/>
      <c r="V23" s="6379"/>
      <c r="W23" s="181"/>
      <c r="X23" s="6411"/>
      <c r="Y23" s="6411"/>
      <c r="Z23" s="6411"/>
      <c r="AA23" s="6412"/>
      <c r="AB23" s="6431"/>
      <c r="AC23" s="385"/>
      <c r="AD23" s="181"/>
      <c r="AE23" s="345"/>
      <c r="AF23" s="345"/>
      <c r="AG23" s="8794"/>
    </row>
    <row r="24" spans="1:33" ht="36.75" customHeight="1">
      <c r="A24" s="9392"/>
      <c r="B24" s="10177" t="s">
        <v>183</v>
      </c>
      <c r="C24" s="8834" t="s">
        <v>184</v>
      </c>
      <c r="D24" s="8834" t="s">
        <v>490</v>
      </c>
      <c r="E24" s="8834" t="s">
        <v>2445</v>
      </c>
      <c r="F24" s="8974" t="s">
        <v>187</v>
      </c>
      <c r="G24" s="8834" t="s">
        <v>247</v>
      </c>
      <c r="H24" s="8834" t="s">
        <v>133</v>
      </c>
      <c r="I24" s="8834" t="s">
        <v>2520</v>
      </c>
      <c r="J24" s="9205" t="s">
        <v>2521</v>
      </c>
      <c r="K24" s="8782" t="s">
        <v>2522</v>
      </c>
      <c r="L24" s="10162">
        <v>6780</v>
      </c>
      <c r="M24" s="10162">
        <v>6790</v>
      </c>
      <c r="N24" s="10162">
        <v>4530</v>
      </c>
      <c r="O24" s="9167" t="s">
        <v>2523</v>
      </c>
      <c r="P24" s="9167" t="s">
        <v>2524</v>
      </c>
      <c r="Q24" s="10161" t="s">
        <v>2525</v>
      </c>
      <c r="R24" s="653" t="s">
        <v>81</v>
      </c>
      <c r="S24" s="7105">
        <v>530807</v>
      </c>
      <c r="T24" s="7105"/>
      <c r="U24" s="1979" t="s">
        <v>1006</v>
      </c>
      <c r="V24" s="6996"/>
      <c r="W24" s="263"/>
      <c r="X24" s="8134"/>
      <c r="Y24" s="8134"/>
      <c r="Z24" s="8134"/>
      <c r="AA24" s="8135">
        <f>SUM($Z$25:$Z$27)</f>
        <v>143.77000000000001</v>
      </c>
      <c r="AB24" s="7075" t="s">
        <v>26</v>
      </c>
      <c r="AC24" s="431"/>
      <c r="AD24" s="315"/>
      <c r="AE24" s="316"/>
      <c r="AF24" s="316"/>
      <c r="AG24" s="10165"/>
    </row>
    <row r="25" spans="1:33" ht="45" customHeight="1">
      <c r="A25" s="9392"/>
      <c r="B25" s="10159"/>
      <c r="C25" s="9311"/>
      <c r="D25" s="9311"/>
      <c r="E25" s="9311"/>
      <c r="F25" s="9311"/>
      <c r="G25" s="9311"/>
      <c r="H25" s="9311"/>
      <c r="I25" s="9311"/>
      <c r="J25" s="9433"/>
      <c r="K25" s="9311"/>
      <c r="L25" s="10163"/>
      <c r="M25" s="10163"/>
      <c r="N25" s="10163"/>
      <c r="O25" s="9311"/>
      <c r="P25" s="9311"/>
      <c r="Q25" s="9442"/>
      <c r="R25" s="648"/>
      <c r="S25" s="7106"/>
      <c r="T25" s="7106"/>
      <c r="U25" s="1986" t="s">
        <v>2526</v>
      </c>
      <c r="V25" s="4385">
        <v>1</v>
      </c>
      <c r="W25" s="247" t="s">
        <v>479</v>
      </c>
      <c r="X25" s="8136">
        <v>143.77000000000001</v>
      </c>
      <c r="Y25" s="8136">
        <f t="shared" ref="Y25" si="0">(V25*X25)</f>
        <v>143.77000000000001</v>
      </c>
      <c r="Z25" s="8136">
        <f>Y25</f>
        <v>143.77000000000001</v>
      </c>
      <c r="AA25" s="8137"/>
      <c r="AB25" s="7073"/>
      <c r="AC25" s="429"/>
      <c r="AD25" s="310"/>
      <c r="AE25" s="311"/>
      <c r="AF25" s="311" t="s">
        <v>153</v>
      </c>
      <c r="AG25" s="9937"/>
    </row>
    <row r="26" spans="1:33" ht="18" customHeight="1">
      <c r="A26" s="9392"/>
      <c r="B26" s="10159"/>
      <c r="C26" s="9311"/>
      <c r="D26" s="9311"/>
      <c r="E26" s="9311"/>
      <c r="F26" s="9311"/>
      <c r="G26" s="9311"/>
      <c r="H26" s="9311"/>
      <c r="I26" s="9311"/>
      <c r="J26" s="9433"/>
      <c r="K26" s="9311"/>
      <c r="L26" s="10163"/>
      <c r="M26" s="10163"/>
      <c r="N26" s="10163"/>
      <c r="O26" s="9311"/>
      <c r="P26" s="9311"/>
      <c r="Q26" s="9442"/>
      <c r="R26" s="648"/>
      <c r="S26" s="7106"/>
      <c r="T26" s="7106"/>
      <c r="U26" s="1980"/>
      <c r="V26" s="4385"/>
      <c r="W26" s="247"/>
      <c r="X26" s="7020"/>
      <c r="Y26" s="7020"/>
      <c r="Z26" s="7020"/>
      <c r="AA26" s="7142"/>
      <c r="AB26" s="7073"/>
      <c r="AC26" s="429"/>
      <c r="AD26" s="310"/>
      <c r="AE26" s="311"/>
      <c r="AF26" s="311"/>
      <c r="AG26" s="9937"/>
    </row>
    <row r="27" spans="1:33" ht="18" customHeight="1">
      <c r="A27" s="9392"/>
      <c r="B27" s="10159"/>
      <c r="C27" s="9311"/>
      <c r="D27" s="9311"/>
      <c r="E27" s="9311"/>
      <c r="F27" s="9311"/>
      <c r="G27" s="9311"/>
      <c r="H27" s="9311"/>
      <c r="I27" s="9311"/>
      <c r="J27" s="9433"/>
      <c r="K27" s="9311"/>
      <c r="L27" s="10163"/>
      <c r="M27" s="10163"/>
      <c r="N27" s="10163"/>
      <c r="O27" s="9311"/>
      <c r="P27" s="9311"/>
      <c r="Q27" s="9442"/>
      <c r="R27" s="648"/>
      <c r="S27" s="7106"/>
      <c r="T27" s="7106"/>
      <c r="U27" s="1980"/>
      <c r="V27" s="4385"/>
      <c r="W27" s="247"/>
      <c r="X27" s="7020"/>
      <c r="Y27" s="7020"/>
      <c r="Z27" s="7020"/>
      <c r="AA27" s="7142"/>
      <c r="AB27" s="7073"/>
      <c r="AC27" s="429"/>
      <c r="AD27" s="310"/>
      <c r="AE27" s="311"/>
      <c r="AF27" s="311"/>
      <c r="AG27" s="9937"/>
    </row>
    <row r="28" spans="1:33" ht="18" customHeight="1">
      <c r="A28" s="9392"/>
      <c r="B28" s="10160"/>
      <c r="C28" s="9312"/>
      <c r="D28" s="9312"/>
      <c r="E28" s="9312"/>
      <c r="F28" s="9312"/>
      <c r="G28" s="9312"/>
      <c r="H28" s="9312"/>
      <c r="I28" s="9312"/>
      <c r="J28" s="9433"/>
      <c r="K28" s="9312"/>
      <c r="L28" s="10164"/>
      <c r="M28" s="10164"/>
      <c r="N28" s="10164"/>
      <c r="O28" s="9312"/>
      <c r="P28" s="9312"/>
      <c r="Q28" s="9443"/>
      <c r="R28" s="650"/>
      <c r="S28" s="7107"/>
      <c r="T28" s="7107"/>
      <c r="U28" s="1981"/>
      <c r="V28" s="4386"/>
      <c r="W28" s="252"/>
      <c r="X28" s="7021"/>
      <c r="Y28" s="7021"/>
      <c r="Z28" s="7021"/>
      <c r="AA28" s="7143"/>
      <c r="AB28" s="7074"/>
      <c r="AC28" s="430"/>
      <c r="AD28" s="313"/>
      <c r="AE28" s="314"/>
      <c r="AF28" s="314"/>
      <c r="AG28" s="9938"/>
    </row>
    <row r="29" spans="1:33" ht="42" customHeight="1">
      <c r="A29" s="9392"/>
      <c r="B29" s="10177" t="s">
        <v>183</v>
      </c>
      <c r="C29" s="8834" t="s">
        <v>184</v>
      </c>
      <c r="D29" s="8834" t="s">
        <v>490</v>
      </c>
      <c r="E29" s="8834" t="s">
        <v>2445</v>
      </c>
      <c r="F29" s="8974" t="s">
        <v>187</v>
      </c>
      <c r="G29" s="8834" t="s">
        <v>247</v>
      </c>
      <c r="H29" s="8834" t="s">
        <v>133</v>
      </c>
      <c r="I29" s="9217" t="s">
        <v>2527</v>
      </c>
      <c r="J29" s="9217" t="s">
        <v>2528</v>
      </c>
      <c r="K29" s="9258" t="s">
        <v>2529</v>
      </c>
      <c r="L29" s="8856">
        <v>1</v>
      </c>
      <c r="M29" s="8823">
        <v>1</v>
      </c>
      <c r="N29" s="8856">
        <v>1</v>
      </c>
      <c r="O29" s="9258" t="s">
        <v>2530</v>
      </c>
      <c r="P29" s="9258" t="s">
        <v>2531</v>
      </c>
      <c r="Q29" s="9227" t="s">
        <v>2532</v>
      </c>
      <c r="R29" s="653" t="s">
        <v>81</v>
      </c>
      <c r="S29" s="7105">
        <v>840107</v>
      </c>
      <c r="T29" s="7105"/>
      <c r="U29" s="1979" t="s">
        <v>40</v>
      </c>
      <c r="V29" s="6996"/>
      <c r="W29" s="263"/>
      <c r="X29" s="8134"/>
      <c r="Y29" s="8134"/>
      <c r="Z29" s="8134"/>
      <c r="AA29" s="8135">
        <f>SUM($Z$30:$Z$32)</f>
        <v>4563</v>
      </c>
      <c r="AB29" s="7075" t="s">
        <v>18</v>
      </c>
      <c r="AC29" s="431"/>
      <c r="AD29" s="315"/>
      <c r="AE29" s="203"/>
      <c r="AF29" s="203"/>
      <c r="AG29" s="10165" t="s">
        <v>2533</v>
      </c>
    </row>
    <row r="30" spans="1:33" ht="31.5" customHeight="1">
      <c r="A30" s="9392"/>
      <c r="B30" s="10159"/>
      <c r="C30" s="9311"/>
      <c r="D30" s="9311"/>
      <c r="E30" s="9311"/>
      <c r="F30" s="9311"/>
      <c r="G30" s="9311"/>
      <c r="H30" s="9311"/>
      <c r="I30" s="9433"/>
      <c r="J30" s="9433"/>
      <c r="K30" s="9311"/>
      <c r="L30" s="9313"/>
      <c r="M30" s="9313"/>
      <c r="N30" s="9313"/>
      <c r="O30" s="9311"/>
      <c r="P30" s="9311"/>
      <c r="Q30" s="9442"/>
      <c r="R30" s="648"/>
      <c r="S30" s="7106"/>
      <c r="T30" s="7106">
        <v>4522000114</v>
      </c>
      <c r="U30" s="1982" t="s">
        <v>2534</v>
      </c>
      <c r="V30" s="4385">
        <v>1</v>
      </c>
      <c r="W30" s="247" t="s">
        <v>479</v>
      </c>
      <c r="X30" s="8136">
        <v>3555</v>
      </c>
      <c r="Y30" s="8136">
        <f t="shared" ref="Y30:Y31" si="1">(V30*X30)</f>
        <v>3555</v>
      </c>
      <c r="Z30" s="8136">
        <f>Y30</f>
        <v>3555</v>
      </c>
      <c r="AA30" s="8137"/>
      <c r="AB30" s="7073"/>
      <c r="AC30" s="1338"/>
      <c r="AD30" s="310"/>
      <c r="AE30" s="310"/>
      <c r="AF30" s="204" t="s">
        <v>153</v>
      </c>
      <c r="AG30" s="9937"/>
    </row>
    <row r="31" spans="1:33" ht="18" customHeight="1">
      <c r="A31" s="9392"/>
      <c r="B31" s="10159"/>
      <c r="C31" s="9311"/>
      <c r="D31" s="9311"/>
      <c r="E31" s="9311"/>
      <c r="F31" s="9311"/>
      <c r="G31" s="9311"/>
      <c r="H31" s="9311"/>
      <c r="I31" s="9433"/>
      <c r="J31" s="9433"/>
      <c r="K31" s="9311"/>
      <c r="L31" s="9313"/>
      <c r="M31" s="9313"/>
      <c r="N31" s="9313"/>
      <c r="O31" s="9311"/>
      <c r="P31" s="9311"/>
      <c r="Q31" s="9442"/>
      <c r="R31" s="648"/>
      <c r="S31" s="7106"/>
      <c r="T31" s="7106">
        <v>451700424</v>
      </c>
      <c r="U31" s="1982" t="s">
        <v>2535</v>
      </c>
      <c r="V31" s="4385">
        <v>1</v>
      </c>
      <c r="W31" s="247" t="s">
        <v>180</v>
      </c>
      <c r="X31" s="7020">
        <v>900</v>
      </c>
      <c r="Y31" s="7020">
        <f t="shared" si="1"/>
        <v>900</v>
      </c>
      <c r="Z31" s="7020">
        <f t="shared" ref="Z31" si="2">Y31*1.12</f>
        <v>1008.0000000000001</v>
      </c>
      <c r="AA31" s="7142"/>
      <c r="AB31" s="7073"/>
      <c r="AC31" s="1338"/>
      <c r="AD31" s="310"/>
      <c r="AE31" s="310"/>
      <c r="AF31" s="311" t="s">
        <v>153</v>
      </c>
      <c r="AG31" s="9937"/>
    </row>
    <row r="32" spans="1:33" ht="18" customHeight="1">
      <c r="A32" s="9392"/>
      <c r="B32" s="10159"/>
      <c r="C32" s="9311"/>
      <c r="D32" s="9311"/>
      <c r="E32" s="9311"/>
      <c r="F32" s="9311"/>
      <c r="G32" s="9311"/>
      <c r="H32" s="9311"/>
      <c r="I32" s="9433"/>
      <c r="J32" s="9433"/>
      <c r="K32" s="9311"/>
      <c r="L32" s="9313"/>
      <c r="M32" s="9313"/>
      <c r="N32" s="9313"/>
      <c r="O32" s="9311"/>
      <c r="P32" s="9311"/>
      <c r="Q32" s="9442"/>
      <c r="R32" s="648"/>
      <c r="S32" s="7106"/>
      <c r="T32" s="7106"/>
      <c r="U32" s="1982"/>
      <c r="V32" s="4385"/>
      <c r="W32" s="247"/>
      <c r="X32" s="7020"/>
      <c r="Y32" s="7020"/>
      <c r="Z32" s="7020"/>
      <c r="AA32" s="7142"/>
      <c r="AB32" s="7073"/>
      <c r="AC32" s="1338"/>
      <c r="AD32" s="310"/>
      <c r="AE32" s="310"/>
      <c r="AF32" s="311"/>
      <c r="AG32" s="9937"/>
    </row>
    <row r="33" spans="1:33" ht="18" customHeight="1">
      <c r="A33" s="9392"/>
      <c r="B33" s="10160"/>
      <c r="C33" s="9312"/>
      <c r="D33" s="9312"/>
      <c r="E33" s="9312"/>
      <c r="F33" s="9312"/>
      <c r="G33" s="9312"/>
      <c r="H33" s="9312"/>
      <c r="I33" s="9434"/>
      <c r="J33" s="9434"/>
      <c r="K33" s="9312"/>
      <c r="L33" s="9314"/>
      <c r="M33" s="9314"/>
      <c r="N33" s="9314"/>
      <c r="O33" s="9312"/>
      <c r="P33" s="9312"/>
      <c r="Q33" s="9443"/>
      <c r="R33" s="650"/>
      <c r="S33" s="7107"/>
      <c r="T33" s="7107"/>
      <c r="U33" s="1983"/>
      <c r="V33" s="4386"/>
      <c r="W33" s="252"/>
      <c r="X33" s="7021"/>
      <c r="Y33" s="7021"/>
      <c r="Z33" s="7021"/>
      <c r="AA33" s="7143"/>
      <c r="AB33" s="7074"/>
      <c r="AC33" s="1340"/>
      <c r="AD33" s="313"/>
      <c r="AE33" s="313"/>
      <c r="AF33" s="314"/>
      <c r="AG33" s="9938"/>
    </row>
    <row r="34" spans="1:33" ht="33" customHeight="1">
      <c r="A34" s="9392"/>
      <c r="B34" s="10158" t="s">
        <v>183</v>
      </c>
      <c r="C34" s="8782" t="s">
        <v>184</v>
      </c>
      <c r="D34" s="8782" t="s">
        <v>490</v>
      </c>
      <c r="E34" s="8782" t="s">
        <v>2445</v>
      </c>
      <c r="F34" s="8977" t="s">
        <v>187</v>
      </c>
      <c r="G34" s="8782" t="s">
        <v>247</v>
      </c>
      <c r="H34" s="8782" t="s">
        <v>133</v>
      </c>
      <c r="I34" s="9217" t="s">
        <v>2536</v>
      </c>
      <c r="J34" s="9217" t="s">
        <v>2537</v>
      </c>
      <c r="K34" s="9258" t="s">
        <v>2538</v>
      </c>
      <c r="L34" s="8823">
        <v>350</v>
      </c>
      <c r="M34" s="8823">
        <v>400</v>
      </c>
      <c r="N34" s="8823">
        <v>350</v>
      </c>
      <c r="O34" s="9258" t="s">
        <v>2539</v>
      </c>
      <c r="P34" s="9258" t="s">
        <v>2540</v>
      </c>
      <c r="Q34" s="10169" t="s">
        <v>2514</v>
      </c>
      <c r="R34" s="654"/>
      <c r="S34" s="7108"/>
      <c r="T34" s="6447"/>
      <c r="U34" s="1113"/>
      <c r="V34" s="6383"/>
      <c r="W34" s="1036"/>
      <c r="X34" s="6413"/>
      <c r="Y34" s="6413"/>
      <c r="Z34" s="6413"/>
      <c r="AA34" s="6414"/>
      <c r="AB34" s="6291"/>
      <c r="AC34" s="1037"/>
      <c r="AD34" s="188"/>
      <c r="AE34" s="189"/>
      <c r="AF34" s="189"/>
      <c r="AG34" s="10155"/>
    </row>
    <row r="35" spans="1:33" ht="33" customHeight="1">
      <c r="A35" s="9392"/>
      <c r="B35" s="10159"/>
      <c r="C35" s="9311"/>
      <c r="D35" s="9311"/>
      <c r="E35" s="9311"/>
      <c r="F35" s="9311"/>
      <c r="G35" s="9311"/>
      <c r="H35" s="9311"/>
      <c r="I35" s="9433"/>
      <c r="J35" s="9433"/>
      <c r="K35" s="9311"/>
      <c r="L35" s="9313"/>
      <c r="M35" s="9313"/>
      <c r="N35" s="9313"/>
      <c r="O35" s="9311"/>
      <c r="P35" s="9311"/>
      <c r="Q35" s="10170"/>
      <c r="R35" s="651"/>
      <c r="S35" s="6942"/>
      <c r="T35" s="4844"/>
      <c r="U35" s="798"/>
      <c r="V35" s="4862"/>
      <c r="W35" s="799"/>
      <c r="X35" s="4898"/>
      <c r="Y35" s="4898"/>
      <c r="Z35" s="4898"/>
      <c r="AA35" s="4899"/>
      <c r="AB35" s="4876"/>
      <c r="AC35" s="1012"/>
      <c r="AD35" s="185"/>
      <c r="AE35" s="186"/>
      <c r="AF35" s="186"/>
      <c r="AG35" s="8785"/>
    </row>
    <row r="36" spans="1:33" ht="33" customHeight="1">
      <c r="A36" s="9392"/>
      <c r="B36" s="10159"/>
      <c r="C36" s="9311"/>
      <c r="D36" s="9311"/>
      <c r="E36" s="9311"/>
      <c r="F36" s="9311"/>
      <c r="G36" s="9311"/>
      <c r="H36" s="9311"/>
      <c r="I36" s="9433"/>
      <c r="J36" s="9433"/>
      <c r="K36" s="9311"/>
      <c r="L36" s="9313"/>
      <c r="M36" s="9313"/>
      <c r="N36" s="9313"/>
      <c r="O36" s="9311"/>
      <c r="P36" s="9311"/>
      <c r="Q36" s="10170"/>
      <c r="R36" s="651"/>
      <c r="S36" s="6942"/>
      <c r="T36" s="4844"/>
      <c r="U36" s="798"/>
      <c r="V36" s="4862"/>
      <c r="W36" s="799"/>
      <c r="X36" s="4898"/>
      <c r="Y36" s="4898"/>
      <c r="Z36" s="4898"/>
      <c r="AA36" s="4899"/>
      <c r="AB36" s="4876"/>
      <c r="AC36" s="1012"/>
      <c r="AD36" s="185"/>
      <c r="AE36" s="186"/>
      <c r="AF36" s="186"/>
      <c r="AG36" s="8785"/>
    </row>
    <row r="37" spans="1:33" ht="33" customHeight="1">
      <c r="A37" s="9392"/>
      <c r="B37" s="10159"/>
      <c r="C37" s="9311"/>
      <c r="D37" s="9311"/>
      <c r="E37" s="9311"/>
      <c r="F37" s="9311"/>
      <c r="G37" s="9311"/>
      <c r="H37" s="9311"/>
      <c r="I37" s="9433"/>
      <c r="J37" s="9433"/>
      <c r="K37" s="9311"/>
      <c r="L37" s="9313"/>
      <c r="M37" s="9313"/>
      <c r="N37" s="9313"/>
      <c r="O37" s="9311"/>
      <c r="P37" s="9311"/>
      <c r="Q37" s="10170"/>
      <c r="R37" s="651"/>
      <c r="S37" s="6942"/>
      <c r="T37" s="4844"/>
      <c r="U37" s="798"/>
      <c r="V37" s="4862"/>
      <c r="W37" s="799"/>
      <c r="X37" s="4898"/>
      <c r="Y37" s="4898"/>
      <c r="Z37" s="4898"/>
      <c r="AA37" s="4899"/>
      <c r="AB37" s="4876"/>
      <c r="AC37" s="1012"/>
      <c r="AD37" s="185"/>
      <c r="AE37" s="186"/>
      <c r="AF37" s="186"/>
      <c r="AG37" s="8785"/>
    </row>
    <row r="38" spans="1:33" ht="33" customHeight="1">
      <c r="A38" s="9392"/>
      <c r="B38" s="10160"/>
      <c r="C38" s="9312"/>
      <c r="D38" s="9312"/>
      <c r="E38" s="9312"/>
      <c r="F38" s="9312"/>
      <c r="G38" s="9312"/>
      <c r="H38" s="9312"/>
      <c r="I38" s="9434"/>
      <c r="J38" s="9434"/>
      <c r="K38" s="9312"/>
      <c r="L38" s="9314"/>
      <c r="M38" s="9314"/>
      <c r="N38" s="9314"/>
      <c r="O38" s="9312"/>
      <c r="P38" s="9312"/>
      <c r="Q38" s="10171"/>
      <c r="R38" s="646"/>
      <c r="S38" s="6944"/>
      <c r="T38" s="4852"/>
      <c r="U38" s="1031"/>
      <c r="V38" s="4868"/>
      <c r="W38" s="1023"/>
      <c r="X38" s="4909"/>
      <c r="Y38" s="4909"/>
      <c r="Z38" s="4909"/>
      <c r="AA38" s="4905"/>
      <c r="AB38" s="4877"/>
      <c r="AC38" s="1022"/>
      <c r="AD38" s="187"/>
      <c r="AE38" s="182"/>
      <c r="AF38" s="182"/>
      <c r="AG38" s="8794"/>
    </row>
    <row r="39" spans="1:33" ht="26.25" customHeight="1">
      <c r="A39" s="9392"/>
      <c r="B39" s="10158" t="s">
        <v>183</v>
      </c>
      <c r="C39" s="8782" t="s">
        <v>184</v>
      </c>
      <c r="D39" s="8782" t="s">
        <v>490</v>
      </c>
      <c r="E39" s="8782" t="s">
        <v>2445</v>
      </c>
      <c r="F39" s="8977" t="s">
        <v>187</v>
      </c>
      <c r="G39" s="8782" t="s">
        <v>247</v>
      </c>
      <c r="H39" s="8782" t="s">
        <v>133</v>
      </c>
      <c r="I39" s="9217" t="s">
        <v>2541</v>
      </c>
      <c r="J39" s="9205" t="s">
        <v>2542</v>
      </c>
      <c r="K39" s="8782" t="s">
        <v>2543</v>
      </c>
      <c r="L39" s="8823">
        <v>5</v>
      </c>
      <c r="M39" s="8823">
        <v>6</v>
      </c>
      <c r="N39" s="8823">
        <v>6</v>
      </c>
      <c r="O39" s="8782" t="s">
        <v>2544</v>
      </c>
      <c r="P39" s="8782" t="s">
        <v>2545</v>
      </c>
      <c r="Q39" s="9227" t="s">
        <v>2506</v>
      </c>
      <c r="R39" s="642"/>
      <c r="S39" s="7105"/>
      <c r="T39" s="7109"/>
      <c r="U39" s="1984"/>
      <c r="V39" s="7125"/>
      <c r="W39" s="1985"/>
      <c r="X39" s="7141"/>
      <c r="Y39" s="7141"/>
      <c r="Z39" s="7141"/>
      <c r="AA39" s="7141"/>
      <c r="AB39" s="7075"/>
      <c r="AC39" s="1341"/>
      <c r="AD39" s="289"/>
      <c r="AE39" s="290"/>
      <c r="AF39" s="290"/>
      <c r="AG39" s="9936" t="s">
        <v>2546</v>
      </c>
    </row>
    <row r="40" spans="1:33" ht="26.25" customHeight="1">
      <c r="A40" s="9392"/>
      <c r="B40" s="10159"/>
      <c r="C40" s="9311"/>
      <c r="D40" s="9311"/>
      <c r="E40" s="9311"/>
      <c r="F40" s="9311"/>
      <c r="G40" s="9311"/>
      <c r="H40" s="9311"/>
      <c r="I40" s="9433"/>
      <c r="J40" s="9433"/>
      <c r="K40" s="9311"/>
      <c r="L40" s="9313"/>
      <c r="M40" s="9313"/>
      <c r="N40" s="9313"/>
      <c r="O40" s="9311"/>
      <c r="P40" s="9311"/>
      <c r="Q40" s="9442"/>
      <c r="R40" s="655"/>
      <c r="S40" s="6983"/>
      <c r="T40" s="6983"/>
      <c r="U40" s="1986"/>
      <c r="V40" s="6989"/>
      <c r="W40" s="292"/>
      <c r="X40" s="7020"/>
      <c r="Y40" s="7020"/>
      <c r="Z40" s="7020"/>
      <c r="AA40" s="7020"/>
      <c r="AB40" s="7069"/>
      <c r="AC40" s="1324"/>
      <c r="AD40" s="248"/>
      <c r="AE40" s="258"/>
      <c r="AF40" s="258"/>
      <c r="AG40" s="9937"/>
    </row>
    <row r="41" spans="1:33" ht="26.25" customHeight="1">
      <c r="A41" s="9392"/>
      <c r="B41" s="10159"/>
      <c r="C41" s="9311"/>
      <c r="D41" s="9311"/>
      <c r="E41" s="9311"/>
      <c r="F41" s="9311"/>
      <c r="G41" s="9311"/>
      <c r="H41" s="9311"/>
      <c r="I41" s="9433"/>
      <c r="J41" s="9433"/>
      <c r="K41" s="9311"/>
      <c r="L41" s="9313"/>
      <c r="M41" s="9313"/>
      <c r="N41" s="9313"/>
      <c r="O41" s="9311"/>
      <c r="P41" s="9311"/>
      <c r="Q41" s="9442"/>
      <c r="R41" s="648"/>
      <c r="S41" s="7106"/>
      <c r="T41" s="7106"/>
      <c r="U41" s="1982"/>
      <c r="V41" s="4385"/>
      <c r="W41" s="247"/>
      <c r="X41" s="7020"/>
      <c r="Y41" s="7020"/>
      <c r="Z41" s="7020"/>
      <c r="AA41" s="7142"/>
      <c r="AB41" s="7073"/>
      <c r="AC41" s="1338"/>
      <c r="AD41" s="310"/>
      <c r="AE41" s="311"/>
      <c r="AF41" s="311"/>
      <c r="AG41" s="9937"/>
    </row>
    <row r="42" spans="1:33" ht="26.25" customHeight="1">
      <c r="A42" s="9392"/>
      <c r="B42" s="10159"/>
      <c r="C42" s="9311"/>
      <c r="D42" s="9311"/>
      <c r="E42" s="9311"/>
      <c r="F42" s="9311"/>
      <c r="G42" s="9311"/>
      <c r="H42" s="9311"/>
      <c r="I42" s="9433"/>
      <c r="J42" s="9433"/>
      <c r="K42" s="9311"/>
      <c r="L42" s="9313"/>
      <c r="M42" s="9313"/>
      <c r="N42" s="9313"/>
      <c r="O42" s="9311"/>
      <c r="P42" s="9311"/>
      <c r="Q42" s="9442"/>
      <c r="R42" s="648"/>
      <c r="S42" s="7106"/>
      <c r="T42" s="7106"/>
      <c r="U42" s="1982"/>
      <c r="V42" s="4385"/>
      <c r="W42" s="247"/>
      <c r="X42" s="7020"/>
      <c r="Y42" s="7020"/>
      <c r="Z42" s="7020"/>
      <c r="AA42" s="7142"/>
      <c r="AB42" s="7073"/>
      <c r="AC42" s="1338"/>
      <c r="AD42" s="310"/>
      <c r="AE42" s="311"/>
      <c r="AF42" s="311"/>
      <c r="AG42" s="9937"/>
    </row>
    <row r="43" spans="1:33" ht="26.25" customHeight="1">
      <c r="A43" s="9392"/>
      <c r="B43" s="10160"/>
      <c r="C43" s="9312"/>
      <c r="D43" s="9312"/>
      <c r="E43" s="9312"/>
      <c r="F43" s="9312"/>
      <c r="G43" s="9312"/>
      <c r="H43" s="9312"/>
      <c r="I43" s="9434"/>
      <c r="J43" s="9434"/>
      <c r="K43" s="9312"/>
      <c r="L43" s="9314"/>
      <c r="M43" s="9314"/>
      <c r="N43" s="9314"/>
      <c r="O43" s="9312"/>
      <c r="P43" s="9312"/>
      <c r="Q43" s="9443"/>
      <c r="R43" s="650"/>
      <c r="S43" s="7107"/>
      <c r="T43" s="7107"/>
      <c r="U43" s="1983"/>
      <c r="V43" s="4386"/>
      <c r="W43" s="252"/>
      <c r="X43" s="7021"/>
      <c r="Y43" s="7021"/>
      <c r="Z43" s="7021"/>
      <c r="AA43" s="7143"/>
      <c r="AB43" s="7074"/>
      <c r="AC43" s="1340"/>
      <c r="AD43" s="313"/>
      <c r="AE43" s="314"/>
      <c r="AF43" s="314"/>
      <c r="AG43" s="9938"/>
    </row>
    <row r="44" spans="1:33" ht="44.25" customHeight="1">
      <c r="A44" s="9392"/>
      <c r="B44" s="10158" t="s">
        <v>183</v>
      </c>
      <c r="C44" s="8782" t="s">
        <v>184</v>
      </c>
      <c r="D44" s="8782" t="s">
        <v>490</v>
      </c>
      <c r="E44" s="8782" t="s">
        <v>2445</v>
      </c>
      <c r="F44" s="8977" t="s">
        <v>187</v>
      </c>
      <c r="G44" s="8782" t="s">
        <v>247</v>
      </c>
      <c r="H44" s="8782" t="s">
        <v>189</v>
      </c>
      <c r="I44" s="9217" t="s">
        <v>2547</v>
      </c>
      <c r="J44" s="9217" t="s">
        <v>2548</v>
      </c>
      <c r="K44" s="8782" t="s">
        <v>2549</v>
      </c>
      <c r="L44" s="8823">
        <v>6</v>
      </c>
      <c r="M44" s="1677"/>
      <c r="N44" s="8823">
        <v>7</v>
      </c>
      <c r="O44" s="8782" t="s">
        <v>2550</v>
      </c>
      <c r="P44" s="8782" t="s">
        <v>2551</v>
      </c>
      <c r="Q44" s="9227" t="s">
        <v>2506</v>
      </c>
      <c r="R44" s="653" t="s">
        <v>81</v>
      </c>
      <c r="S44" s="7110">
        <v>530802</v>
      </c>
      <c r="T44" s="7105"/>
      <c r="U44" s="1979" t="s">
        <v>2552</v>
      </c>
      <c r="V44" s="6996"/>
      <c r="W44" s="263"/>
      <c r="X44" s="7022"/>
      <c r="Y44" s="7022"/>
      <c r="Z44" s="7022"/>
      <c r="AA44" s="7141">
        <f>SUM($Z$45:$Z$46)</f>
        <v>584.00160000000005</v>
      </c>
      <c r="AB44" s="7075" t="s">
        <v>26</v>
      </c>
      <c r="AC44" s="1341"/>
      <c r="AD44" s="315"/>
      <c r="AE44" s="316"/>
      <c r="AF44" s="316"/>
      <c r="AG44" s="10165"/>
    </row>
    <row r="45" spans="1:33" ht="18" customHeight="1">
      <c r="A45" s="9392"/>
      <c r="B45" s="10159"/>
      <c r="C45" s="9311"/>
      <c r="D45" s="9311"/>
      <c r="E45" s="9311"/>
      <c r="F45" s="9311"/>
      <c r="G45" s="9311"/>
      <c r="H45" s="9311"/>
      <c r="I45" s="9433"/>
      <c r="J45" s="9433"/>
      <c r="K45" s="9311"/>
      <c r="L45" s="9313"/>
      <c r="M45" s="1676"/>
      <c r="N45" s="9313"/>
      <c r="O45" s="9311"/>
      <c r="P45" s="9311"/>
      <c r="Q45" s="9442"/>
      <c r="R45" s="648"/>
      <c r="S45" s="7106"/>
      <c r="T45" s="7106">
        <v>881220012</v>
      </c>
      <c r="U45" s="1982" t="s">
        <v>2553</v>
      </c>
      <c r="V45" s="4385">
        <v>21</v>
      </c>
      <c r="W45" s="247" t="s">
        <v>180</v>
      </c>
      <c r="X45" s="7020">
        <v>24.83</v>
      </c>
      <c r="Y45" s="7020">
        <f t="shared" ref="Y45" si="3">+V45*X45</f>
        <v>521.42999999999995</v>
      </c>
      <c r="Z45" s="7020">
        <f t="shared" ref="Z45" si="4">+Y45*1.12</f>
        <v>584.00160000000005</v>
      </c>
      <c r="AA45" s="7023"/>
      <c r="AB45" s="7157"/>
      <c r="AC45" s="1342"/>
      <c r="AD45" s="310"/>
      <c r="AE45" s="311" t="s">
        <v>153</v>
      </c>
      <c r="AF45" s="311"/>
      <c r="AG45" s="9937"/>
    </row>
    <row r="46" spans="1:33" ht="18" customHeight="1">
      <c r="A46" s="9392"/>
      <c r="B46" s="10159"/>
      <c r="C46" s="9311"/>
      <c r="D46" s="9311"/>
      <c r="E46" s="9311"/>
      <c r="F46" s="9311"/>
      <c r="G46" s="9311"/>
      <c r="H46" s="9311"/>
      <c r="I46" s="9433"/>
      <c r="J46" s="9433"/>
      <c r="K46" s="9311"/>
      <c r="L46" s="9313"/>
      <c r="M46" s="1676">
        <v>7</v>
      </c>
      <c r="N46" s="9313"/>
      <c r="O46" s="9311"/>
      <c r="P46" s="9311"/>
      <c r="Q46" s="9442"/>
      <c r="R46" s="648"/>
      <c r="S46" s="7106"/>
      <c r="T46" s="7106"/>
      <c r="U46" s="1982"/>
      <c r="V46" s="4385"/>
      <c r="W46" s="247"/>
      <c r="X46" s="7020"/>
      <c r="Y46" s="7020"/>
      <c r="Z46" s="7020"/>
      <c r="AA46" s="7142"/>
      <c r="AB46" s="7073"/>
      <c r="AC46" s="1338"/>
      <c r="AD46" s="310"/>
      <c r="AE46" s="311"/>
      <c r="AF46" s="311"/>
      <c r="AG46" s="9937"/>
    </row>
    <row r="47" spans="1:33" ht="18" customHeight="1">
      <c r="A47" s="9392"/>
      <c r="B47" s="10159"/>
      <c r="C47" s="9311"/>
      <c r="D47" s="9311"/>
      <c r="E47" s="9311"/>
      <c r="F47" s="9311"/>
      <c r="G47" s="9311"/>
      <c r="H47" s="9311"/>
      <c r="I47" s="9433"/>
      <c r="J47" s="9433"/>
      <c r="K47" s="9311"/>
      <c r="L47" s="9313"/>
      <c r="M47" s="1676"/>
      <c r="N47" s="9313"/>
      <c r="O47" s="9311"/>
      <c r="P47" s="9311"/>
      <c r="Q47" s="9442"/>
      <c r="R47" s="648"/>
      <c r="S47" s="7106"/>
      <c r="T47" s="7106"/>
      <c r="U47" s="1982"/>
      <c r="V47" s="4385"/>
      <c r="W47" s="247"/>
      <c r="X47" s="7020"/>
      <c r="Y47" s="7020"/>
      <c r="Z47" s="7020"/>
      <c r="AA47" s="7142"/>
      <c r="AB47" s="7073"/>
      <c r="AC47" s="1338"/>
      <c r="AD47" s="310"/>
      <c r="AE47" s="311"/>
      <c r="AF47" s="311"/>
      <c r="AG47" s="9937"/>
    </row>
    <row r="48" spans="1:33" ht="18" customHeight="1">
      <c r="A48" s="9392"/>
      <c r="B48" s="10160"/>
      <c r="C48" s="9312"/>
      <c r="D48" s="9312"/>
      <c r="E48" s="9312"/>
      <c r="F48" s="9312"/>
      <c r="G48" s="9312"/>
      <c r="H48" s="9312"/>
      <c r="I48" s="9434"/>
      <c r="J48" s="9434"/>
      <c r="K48" s="9312"/>
      <c r="L48" s="9314"/>
      <c r="M48" s="1697"/>
      <c r="N48" s="9314"/>
      <c r="O48" s="9312"/>
      <c r="P48" s="9312"/>
      <c r="Q48" s="9443"/>
      <c r="R48" s="650"/>
      <c r="S48" s="7107"/>
      <c r="T48" s="7107"/>
      <c r="U48" s="1983"/>
      <c r="V48" s="4386"/>
      <c r="W48" s="252"/>
      <c r="X48" s="7021"/>
      <c r="Y48" s="7021"/>
      <c r="Z48" s="7021"/>
      <c r="AA48" s="7143"/>
      <c r="AB48" s="7074"/>
      <c r="AC48" s="1340"/>
      <c r="AD48" s="313"/>
      <c r="AE48" s="314"/>
      <c r="AF48" s="314"/>
      <c r="AG48" s="9938"/>
    </row>
    <row r="49" spans="1:33" ht="21" customHeight="1">
      <c r="A49" s="9392"/>
      <c r="B49" s="10158" t="s">
        <v>183</v>
      </c>
      <c r="C49" s="8782" t="s">
        <v>184</v>
      </c>
      <c r="D49" s="8782" t="s">
        <v>490</v>
      </c>
      <c r="E49" s="8782" t="s">
        <v>2445</v>
      </c>
      <c r="F49" s="8977" t="s">
        <v>187</v>
      </c>
      <c r="G49" s="8782" t="s">
        <v>247</v>
      </c>
      <c r="H49" s="8782" t="s">
        <v>133</v>
      </c>
      <c r="I49" s="9217" t="s">
        <v>2554</v>
      </c>
      <c r="J49" s="9217" t="s">
        <v>2555</v>
      </c>
      <c r="K49" s="8782" t="s">
        <v>2556</v>
      </c>
      <c r="L49" s="8823">
        <v>12</v>
      </c>
      <c r="M49" s="8823">
        <v>14</v>
      </c>
      <c r="N49" s="8823">
        <v>13</v>
      </c>
      <c r="O49" s="8834" t="s">
        <v>2557</v>
      </c>
      <c r="P49" s="8782" t="s">
        <v>2558</v>
      </c>
      <c r="Q49" s="9227" t="s">
        <v>2506</v>
      </c>
      <c r="R49" s="647"/>
      <c r="S49" s="7111"/>
      <c r="T49" s="7112"/>
      <c r="U49" s="1987"/>
      <c r="V49" s="4405"/>
      <c r="W49" s="487"/>
      <c r="X49" s="7045"/>
      <c r="Y49" s="7045"/>
      <c r="Z49" s="7045"/>
      <c r="AA49" s="7144"/>
      <c r="AB49" s="7158"/>
      <c r="AC49" s="1344"/>
      <c r="AD49" s="245"/>
      <c r="AE49" s="497"/>
      <c r="AF49" s="497"/>
      <c r="AG49" s="10165" t="s">
        <v>2559</v>
      </c>
    </row>
    <row r="50" spans="1:33" ht="21" customHeight="1">
      <c r="A50" s="9392"/>
      <c r="B50" s="10159"/>
      <c r="C50" s="9311"/>
      <c r="D50" s="9311"/>
      <c r="E50" s="9311"/>
      <c r="F50" s="9311"/>
      <c r="G50" s="9311"/>
      <c r="H50" s="9311"/>
      <c r="I50" s="9433"/>
      <c r="J50" s="9433"/>
      <c r="K50" s="9311"/>
      <c r="L50" s="9313"/>
      <c r="M50" s="8856"/>
      <c r="N50" s="9313"/>
      <c r="O50" s="9311"/>
      <c r="P50" s="9311"/>
      <c r="Q50" s="9442"/>
      <c r="R50" s="648"/>
      <c r="S50" s="7106"/>
      <c r="T50" s="7106"/>
      <c r="U50" s="1982"/>
      <c r="V50" s="4385"/>
      <c r="W50" s="247"/>
      <c r="X50" s="7020"/>
      <c r="Y50" s="7020"/>
      <c r="Z50" s="7020"/>
      <c r="AA50" s="7142"/>
      <c r="AB50" s="7073"/>
      <c r="AC50" s="1338"/>
      <c r="AD50" s="310"/>
      <c r="AE50" s="311"/>
      <c r="AF50" s="311"/>
      <c r="AG50" s="9937"/>
    </row>
    <row r="51" spans="1:33" ht="21" customHeight="1">
      <c r="A51" s="9392"/>
      <c r="B51" s="10159"/>
      <c r="C51" s="9311"/>
      <c r="D51" s="9311"/>
      <c r="E51" s="9311"/>
      <c r="F51" s="9311"/>
      <c r="G51" s="9311"/>
      <c r="H51" s="9311"/>
      <c r="I51" s="9433"/>
      <c r="J51" s="9433"/>
      <c r="K51" s="9311"/>
      <c r="L51" s="9313"/>
      <c r="M51" s="8856"/>
      <c r="N51" s="9313"/>
      <c r="O51" s="9311"/>
      <c r="P51" s="9311"/>
      <c r="Q51" s="9442"/>
      <c r="R51" s="648"/>
      <c r="S51" s="7106"/>
      <c r="T51" s="7106"/>
      <c r="U51" s="1982"/>
      <c r="V51" s="4385"/>
      <c r="W51" s="247"/>
      <c r="X51" s="7020"/>
      <c r="Y51" s="7020"/>
      <c r="Z51" s="7020"/>
      <c r="AA51" s="7142"/>
      <c r="AB51" s="7073"/>
      <c r="AC51" s="1338"/>
      <c r="AD51" s="310"/>
      <c r="AE51" s="311"/>
      <c r="AF51" s="311"/>
      <c r="AG51" s="9937"/>
    </row>
    <row r="52" spans="1:33" ht="21" customHeight="1">
      <c r="A52" s="9392"/>
      <c r="B52" s="10159"/>
      <c r="C52" s="9311"/>
      <c r="D52" s="9311"/>
      <c r="E52" s="9311"/>
      <c r="F52" s="9311"/>
      <c r="G52" s="9311"/>
      <c r="H52" s="9311"/>
      <c r="I52" s="9433"/>
      <c r="J52" s="9433"/>
      <c r="K52" s="9311"/>
      <c r="L52" s="9313"/>
      <c r="M52" s="8856"/>
      <c r="N52" s="9313"/>
      <c r="O52" s="9311"/>
      <c r="P52" s="9311"/>
      <c r="Q52" s="9442"/>
      <c r="R52" s="648"/>
      <c r="S52" s="7106"/>
      <c r="T52" s="7106"/>
      <c r="U52" s="1982"/>
      <c r="V52" s="4385"/>
      <c r="W52" s="247"/>
      <c r="X52" s="7020"/>
      <c r="Y52" s="7020"/>
      <c r="Z52" s="7020"/>
      <c r="AA52" s="7142"/>
      <c r="AB52" s="7073"/>
      <c r="AC52" s="1338"/>
      <c r="AD52" s="310"/>
      <c r="AE52" s="311"/>
      <c r="AF52" s="311"/>
      <c r="AG52" s="9937"/>
    </row>
    <row r="53" spans="1:33" ht="21" customHeight="1">
      <c r="A53" s="9392"/>
      <c r="B53" s="10160"/>
      <c r="C53" s="9312"/>
      <c r="D53" s="9312"/>
      <c r="E53" s="9312"/>
      <c r="F53" s="9312"/>
      <c r="G53" s="9312"/>
      <c r="H53" s="9312"/>
      <c r="I53" s="9434"/>
      <c r="J53" s="9434"/>
      <c r="K53" s="9312"/>
      <c r="L53" s="9314"/>
      <c r="M53" s="9170"/>
      <c r="N53" s="9314"/>
      <c r="O53" s="9312"/>
      <c r="P53" s="9312"/>
      <c r="Q53" s="9443"/>
      <c r="R53" s="650"/>
      <c r="S53" s="7107"/>
      <c r="T53" s="7107"/>
      <c r="U53" s="1983"/>
      <c r="V53" s="4386"/>
      <c r="W53" s="252"/>
      <c r="X53" s="7021"/>
      <c r="Y53" s="7021"/>
      <c r="Z53" s="7021"/>
      <c r="AA53" s="7143"/>
      <c r="AB53" s="7074"/>
      <c r="AC53" s="1340"/>
      <c r="AD53" s="313"/>
      <c r="AE53" s="314"/>
      <c r="AF53" s="314"/>
      <c r="AG53" s="9938"/>
    </row>
    <row r="54" spans="1:33" ht="20.25" customHeight="1">
      <c r="A54" s="9392"/>
      <c r="B54" s="10158" t="s">
        <v>183</v>
      </c>
      <c r="C54" s="8782" t="s">
        <v>184</v>
      </c>
      <c r="D54" s="8782" t="s">
        <v>490</v>
      </c>
      <c r="E54" s="8782" t="s">
        <v>2445</v>
      </c>
      <c r="F54" s="8977" t="s">
        <v>187</v>
      </c>
      <c r="G54" s="8782" t="s">
        <v>247</v>
      </c>
      <c r="H54" s="8782" t="s">
        <v>133</v>
      </c>
      <c r="I54" s="9217" t="s">
        <v>2560</v>
      </c>
      <c r="J54" s="9217" t="s">
        <v>2561</v>
      </c>
      <c r="K54" s="8782" t="s">
        <v>397</v>
      </c>
      <c r="L54" s="8823">
        <v>21</v>
      </c>
      <c r="M54" s="8823">
        <v>0</v>
      </c>
      <c r="N54" s="8823">
        <v>0</v>
      </c>
      <c r="O54" s="8860" t="s">
        <v>2562</v>
      </c>
      <c r="P54" s="8782" t="s">
        <v>2563</v>
      </c>
      <c r="Q54" s="9227" t="s">
        <v>2506</v>
      </c>
      <c r="R54" s="647"/>
      <c r="S54" s="7112"/>
      <c r="T54" s="7112"/>
      <c r="U54" s="1987"/>
      <c r="V54" s="4405"/>
      <c r="W54" s="487"/>
      <c r="X54" s="7045"/>
      <c r="Y54" s="7045"/>
      <c r="Z54" s="7045"/>
      <c r="AA54" s="7144"/>
      <c r="AB54" s="7158"/>
      <c r="AC54" s="1344"/>
      <c r="AD54" s="245"/>
      <c r="AE54" s="497"/>
      <c r="AF54" s="497"/>
      <c r="AG54" s="9936"/>
    </row>
    <row r="55" spans="1:33" ht="20.25" customHeight="1">
      <c r="A55" s="9392"/>
      <c r="B55" s="10159"/>
      <c r="C55" s="9311"/>
      <c r="D55" s="9311"/>
      <c r="E55" s="9311"/>
      <c r="F55" s="9311"/>
      <c r="G55" s="9311"/>
      <c r="H55" s="9311"/>
      <c r="I55" s="9433"/>
      <c r="J55" s="9433"/>
      <c r="K55" s="9311"/>
      <c r="L55" s="9313"/>
      <c r="M55" s="9313"/>
      <c r="N55" s="9313"/>
      <c r="O55" s="9487"/>
      <c r="P55" s="9311"/>
      <c r="Q55" s="9442"/>
      <c r="R55" s="648"/>
      <c r="S55" s="7106"/>
      <c r="T55" s="7106"/>
      <c r="U55" s="1982"/>
      <c r="V55" s="4385"/>
      <c r="W55" s="247"/>
      <c r="X55" s="7020"/>
      <c r="Y55" s="7020"/>
      <c r="Z55" s="7020"/>
      <c r="AA55" s="7023"/>
      <c r="AB55" s="7157"/>
      <c r="AC55" s="1342"/>
      <c r="AD55" s="310"/>
      <c r="AE55" s="311"/>
      <c r="AF55" s="311"/>
      <c r="AG55" s="9937"/>
    </row>
    <row r="56" spans="1:33" ht="20.25" customHeight="1">
      <c r="A56" s="9392"/>
      <c r="B56" s="10159"/>
      <c r="C56" s="9311"/>
      <c r="D56" s="9311"/>
      <c r="E56" s="9311"/>
      <c r="F56" s="9311"/>
      <c r="G56" s="9311"/>
      <c r="H56" s="9311"/>
      <c r="I56" s="9433"/>
      <c r="J56" s="9433"/>
      <c r="K56" s="9311"/>
      <c r="L56" s="9313"/>
      <c r="M56" s="9313"/>
      <c r="N56" s="9313"/>
      <c r="O56" s="9487"/>
      <c r="P56" s="9311"/>
      <c r="Q56" s="9442"/>
      <c r="R56" s="648"/>
      <c r="S56" s="7106"/>
      <c r="T56" s="7106"/>
      <c r="U56" s="1982"/>
      <c r="V56" s="4385"/>
      <c r="W56" s="247"/>
      <c r="X56" s="7020"/>
      <c r="Y56" s="7020"/>
      <c r="Z56" s="7020"/>
      <c r="AA56" s="7142"/>
      <c r="AB56" s="7073"/>
      <c r="AC56" s="1338"/>
      <c r="AD56" s="310"/>
      <c r="AE56" s="311"/>
      <c r="AF56" s="311"/>
      <c r="AG56" s="9937"/>
    </row>
    <row r="57" spans="1:33" ht="20.25" customHeight="1">
      <c r="A57" s="9392"/>
      <c r="B57" s="10159"/>
      <c r="C57" s="9311"/>
      <c r="D57" s="9311"/>
      <c r="E57" s="9311"/>
      <c r="F57" s="9311"/>
      <c r="G57" s="9311"/>
      <c r="H57" s="9311"/>
      <c r="I57" s="9433"/>
      <c r="J57" s="9433"/>
      <c r="K57" s="9311"/>
      <c r="L57" s="9313"/>
      <c r="M57" s="9313"/>
      <c r="N57" s="9313"/>
      <c r="O57" s="9487"/>
      <c r="P57" s="9311"/>
      <c r="Q57" s="9442"/>
      <c r="R57" s="648"/>
      <c r="S57" s="7101"/>
      <c r="T57" s="7113"/>
      <c r="U57" s="1337"/>
      <c r="V57" s="7126"/>
      <c r="W57" s="924"/>
      <c r="X57" s="7046"/>
      <c r="Y57" s="7046"/>
      <c r="Z57" s="7046"/>
      <c r="AA57" s="7145"/>
      <c r="AB57" s="7159"/>
      <c r="AC57" s="1338"/>
      <c r="AD57" s="310"/>
      <c r="AE57" s="311"/>
      <c r="AF57" s="311"/>
      <c r="AG57" s="9937"/>
    </row>
    <row r="58" spans="1:33" ht="20.25" customHeight="1">
      <c r="A58" s="9392"/>
      <c r="B58" s="10160"/>
      <c r="C58" s="9312"/>
      <c r="D58" s="9312"/>
      <c r="E58" s="9312"/>
      <c r="F58" s="9312"/>
      <c r="G58" s="9312"/>
      <c r="H58" s="9312"/>
      <c r="I58" s="9434"/>
      <c r="J58" s="9434"/>
      <c r="K58" s="9312"/>
      <c r="L58" s="9314"/>
      <c r="M58" s="9314"/>
      <c r="N58" s="9314"/>
      <c r="O58" s="9488"/>
      <c r="P58" s="9312"/>
      <c r="Q58" s="9443"/>
      <c r="R58" s="650"/>
      <c r="S58" s="7103"/>
      <c r="T58" s="7114"/>
      <c r="U58" s="1339"/>
      <c r="V58" s="7127"/>
      <c r="W58" s="967"/>
      <c r="X58" s="7048"/>
      <c r="Y58" s="7048"/>
      <c r="Z58" s="7048"/>
      <c r="AA58" s="7146"/>
      <c r="AB58" s="7160"/>
      <c r="AC58" s="1340"/>
      <c r="AD58" s="313"/>
      <c r="AE58" s="314"/>
      <c r="AF58" s="314"/>
      <c r="AG58" s="9938"/>
    </row>
    <row r="59" spans="1:33" ht="21.75" customHeight="1">
      <c r="A59" s="9392"/>
      <c r="B59" s="10158" t="s">
        <v>183</v>
      </c>
      <c r="C59" s="8782" t="s">
        <v>184</v>
      </c>
      <c r="D59" s="8782" t="s">
        <v>490</v>
      </c>
      <c r="E59" s="8782" t="s">
        <v>2445</v>
      </c>
      <c r="F59" s="8977" t="s">
        <v>187</v>
      </c>
      <c r="G59" s="8782" t="s">
        <v>247</v>
      </c>
      <c r="H59" s="8782" t="s">
        <v>133</v>
      </c>
      <c r="I59" s="9217" t="s">
        <v>2564</v>
      </c>
      <c r="J59" s="9217" t="s">
        <v>2565</v>
      </c>
      <c r="K59" s="8782" t="s">
        <v>2566</v>
      </c>
      <c r="L59" s="8823">
        <v>1</v>
      </c>
      <c r="M59" s="8823">
        <v>1</v>
      </c>
      <c r="N59" s="8823">
        <v>1</v>
      </c>
      <c r="O59" s="8782" t="s">
        <v>2567</v>
      </c>
      <c r="P59" s="8782" t="s">
        <v>2568</v>
      </c>
      <c r="Q59" s="9227" t="s">
        <v>2569</v>
      </c>
      <c r="R59" s="647"/>
      <c r="S59" s="7100"/>
      <c r="T59" s="7115"/>
      <c r="U59" s="1343"/>
      <c r="V59" s="7128"/>
      <c r="W59" s="922"/>
      <c r="X59" s="7050"/>
      <c r="Y59" s="7050"/>
      <c r="Z59" s="7050"/>
      <c r="AA59" s="7147"/>
      <c r="AB59" s="7161"/>
      <c r="AC59" s="1344"/>
      <c r="AD59" s="245"/>
      <c r="AE59" s="497"/>
      <c r="AF59" s="497"/>
      <c r="AG59" s="9936"/>
    </row>
    <row r="60" spans="1:33" ht="21.75" customHeight="1">
      <c r="A60" s="9392"/>
      <c r="B60" s="10159"/>
      <c r="C60" s="9311"/>
      <c r="D60" s="9311"/>
      <c r="E60" s="9311"/>
      <c r="F60" s="9311"/>
      <c r="G60" s="9311"/>
      <c r="H60" s="9311"/>
      <c r="I60" s="9433"/>
      <c r="J60" s="9433"/>
      <c r="K60" s="9311"/>
      <c r="L60" s="9313"/>
      <c r="M60" s="9313"/>
      <c r="N60" s="9313"/>
      <c r="O60" s="9311"/>
      <c r="P60" s="9311"/>
      <c r="Q60" s="9442"/>
      <c r="R60" s="648"/>
      <c r="S60" s="7101"/>
      <c r="T60" s="7113"/>
      <c r="U60" s="1337"/>
      <c r="V60" s="7126"/>
      <c r="W60" s="924"/>
      <c r="X60" s="7046"/>
      <c r="Y60" s="7046"/>
      <c r="Z60" s="7046"/>
      <c r="AA60" s="7145"/>
      <c r="AB60" s="7159"/>
      <c r="AC60" s="1338"/>
      <c r="AD60" s="310"/>
      <c r="AE60" s="311"/>
      <c r="AF60" s="311"/>
      <c r="AG60" s="9937"/>
    </row>
    <row r="61" spans="1:33" ht="21.75" customHeight="1">
      <c r="A61" s="9392"/>
      <c r="B61" s="10159"/>
      <c r="C61" s="9311"/>
      <c r="D61" s="9311"/>
      <c r="E61" s="9311"/>
      <c r="F61" s="9311"/>
      <c r="G61" s="9311"/>
      <c r="H61" s="9311"/>
      <c r="I61" s="9433"/>
      <c r="J61" s="9433"/>
      <c r="K61" s="9311"/>
      <c r="L61" s="9313"/>
      <c r="M61" s="9313"/>
      <c r="N61" s="9313"/>
      <c r="O61" s="9311"/>
      <c r="P61" s="9311"/>
      <c r="Q61" s="9442"/>
      <c r="R61" s="648"/>
      <c r="S61" s="7101"/>
      <c r="T61" s="7113"/>
      <c r="U61" s="1337"/>
      <c r="V61" s="7126"/>
      <c r="W61" s="924"/>
      <c r="X61" s="7046"/>
      <c r="Y61" s="7046"/>
      <c r="Z61" s="7046"/>
      <c r="AA61" s="7145"/>
      <c r="AB61" s="7159"/>
      <c r="AC61" s="1338"/>
      <c r="AD61" s="310"/>
      <c r="AE61" s="311"/>
      <c r="AF61" s="311"/>
      <c r="AG61" s="9937"/>
    </row>
    <row r="62" spans="1:33" ht="21.75" customHeight="1">
      <c r="A62" s="9392"/>
      <c r="B62" s="10159"/>
      <c r="C62" s="9311"/>
      <c r="D62" s="9311"/>
      <c r="E62" s="9311"/>
      <c r="F62" s="9311"/>
      <c r="G62" s="9311"/>
      <c r="H62" s="9311"/>
      <c r="I62" s="9433"/>
      <c r="J62" s="9433"/>
      <c r="K62" s="9311"/>
      <c r="L62" s="9313"/>
      <c r="M62" s="9313"/>
      <c r="N62" s="9313"/>
      <c r="O62" s="9311"/>
      <c r="P62" s="9311"/>
      <c r="Q62" s="9442"/>
      <c r="R62" s="648"/>
      <c r="S62" s="7101"/>
      <c r="T62" s="7113"/>
      <c r="U62" s="1337"/>
      <c r="V62" s="7126"/>
      <c r="W62" s="924"/>
      <c r="X62" s="7046"/>
      <c r="Y62" s="7046"/>
      <c r="Z62" s="7046"/>
      <c r="AA62" s="7145"/>
      <c r="AB62" s="7159"/>
      <c r="AC62" s="1338"/>
      <c r="AD62" s="310"/>
      <c r="AE62" s="311"/>
      <c r="AF62" s="311"/>
      <c r="AG62" s="9937"/>
    </row>
    <row r="63" spans="1:33" ht="21.75" customHeight="1">
      <c r="A63" s="9392"/>
      <c r="B63" s="10160"/>
      <c r="C63" s="9312"/>
      <c r="D63" s="9312"/>
      <c r="E63" s="9312"/>
      <c r="F63" s="9312"/>
      <c r="G63" s="9312"/>
      <c r="H63" s="9312"/>
      <c r="I63" s="9434"/>
      <c r="J63" s="9434"/>
      <c r="K63" s="9312"/>
      <c r="L63" s="9314"/>
      <c r="M63" s="9314"/>
      <c r="N63" s="9314"/>
      <c r="O63" s="9312"/>
      <c r="P63" s="9312"/>
      <c r="Q63" s="9443"/>
      <c r="R63" s="650"/>
      <c r="S63" s="7103"/>
      <c r="T63" s="7114"/>
      <c r="U63" s="1339"/>
      <c r="V63" s="7127"/>
      <c r="W63" s="967"/>
      <c r="X63" s="7048"/>
      <c r="Y63" s="7048"/>
      <c r="Z63" s="7048"/>
      <c r="AA63" s="7146"/>
      <c r="AB63" s="7160"/>
      <c r="AC63" s="1340"/>
      <c r="AD63" s="313"/>
      <c r="AE63" s="314"/>
      <c r="AF63" s="314"/>
      <c r="AG63" s="9938"/>
    </row>
    <row r="64" spans="1:33" ht="128.25" customHeight="1">
      <c r="A64" s="9392"/>
      <c r="B64" s="5169" t="s">
        <v>183</v>
      </c>
      <c r="C64" s="8530" t="s">
        <v>184</v>
      </c>
      <c r="D64" s="640" t="s">
        <v>490</v>
      </c>
      <c r="E64" s="6179" t="s">
        <v>2445</v>
      </c>
      <c r="F64" s="641" t="s">
        <v>187</v>
      </c>
      <c r="G64" s="6179" t="s">
        <v>247</v>
      </c>
      <c r="H64" s="6184" t="s">
        <v>133</v>
      </c>
      <c r="I64" s="6185" t="s">
        <v>2570</v>
      </c>
      <c r="J64" s="4653" t="s">
        <v>2571</v>
      </c>
      <c r="K64" s="6179" t="s">
        <v>2572</v>
      </c>
      <c r="L64" s="1731">
        <v>200</v>
      </c>
      <c r="M64" s="1731">
        <v>260</v>
      </c>
      <c r="N64" s="1731">
        <v>280</v>
      </c>
      <c r="O64" s="6179" t="s">
        <v>2573</v>
      </c>
      <c r="P64" s="6179" t="s">
        <v>2540</v>
      </c>
      <c r="Q64" s="668" t="s">
        <v>2532</v>
      </c>
      <c r="R64" s="656"/>
      <c r="S64" s="7116"/>
      <c r="T64" s="7117"/>
      <c r="U64" s="1345"/>
      <c r="V64" s="7129"/>
      <c r="W64" s="1346"/>
      <c r="X64" s="7148"/>
      <c r="Y64" s="7148"/>
      <c r="Z64" s="7148"/>
      <c r="AA64" s="7149"/>
      <c r="AB64" s="7162"/>
      <c r="AC64" s="1347"/>
      <c r="AD64" s="317"/>
      <c r="AE64" s="318"/>
      <c r="AF64" s="318"/>
      <c r="AG64" s="2874"/>
    </row>
    <row r="65" spans="1:33" ht="26.25" customHeight="1">
      <c r="A65" s="9392"/>
      <c r="B65" s="10158" t="s">
        <v>127</v>
      </c>
      <c r="C65" s="8782" t="s">
        <v>128</v>
      </c>
      <c r="D65" s="8782" t="s">
        <v>490</v>
      </c>
      <c r="E65" s="8782" t="s">
        <v>2445</v>
      </c>
      <c r="F65" s="8977" t="s">
        <v>131</v>
      </c>
      <c r="G65" s="8782" t="s">
        <v>132</v>
      </c>
      <c r="H65" s="8782" t="s">
        <v>159</v>
      </c>
      <c r="I65" s="9217" t="s">
        <v>2574</v>
      </c>
      <c r="J65" s="9217" t="s">
        <v>286</v>
      </c>
      <c r="K65" s="8782" t="s">
        <v>2575</v>
      </c>
      <c r="L65" s="8823">
        <v>0</v>
      </c>
      <c r="M65" s="8823">
        <v>1</v>
      </c>
      <c r="N65" s="8823">
        <v>1</v>
      </c>
      <c r="O65" s="8782" t="s">
        <v>2576</v>
      </c>
      <c r="P65" s="8782" t="s">
        <v>2577</v>
      </c>
      <c r="Q65" s="9227" t="s">
        <v>2506</v>
      </c>
      <c r="R65" s="647"/>
      <c r="S65" s="7100"/>
      <c r="T65" s="7100"/>
      <c r="U65" s="664"/>
      <c r="V65" s="7122"/>
      <c r="W65" s="245"/>
      <c r="X65" s="7135"/>
      <c r="Y65" s="7135"/>
      <c r="Z65" s="7135"/>
      <c r="AA65" s="7136"/>
      <c r="AB65" s="7154"/>
      <c r="AC65" s="428"/>
      <c r="AD65" s="245"/>
      <c r="AE65" s="497"/>
      <c r="AF65" s="497"/>
      <c r="AG65" s="9936"/>
    </row>
    <row r="66" spans="1:33" ht="26.25" customHeight="1">
      <c r="A66" s="9392"/>
      <c r="B66" s="10159"/>
      <c r="C66" s="9311"/>
      <c r="D66" s="9311"/>
      <c r="E66" s="9311"/>
      <c r="F66" s="9311"/>
      <c r="G66" s="9311"/>
      <c r="H66" s="9311"/>
      <c r="I66" s="9433"/>
      <c r="J66" s="9433"/>
      <c r="K66" s="9311"/>
      <c r="L66" s="9313"/>
      <c r="M66" s="9313"/>
      <c r="N66" s="9313"/>
      <c r="O66" s="9311"/>
      <c r="P66" s="9311"/>
      <c r="Q66" s="9442"/>
      <c r="R66" s="648"/>
      <c r="S66" s="7101"/>
      <c r="T66" s="7101"/>
      <c r="U66" s="663"/>
      <c r="V66" s="7130"/>
      <c r="W66" s="310"/>
      <c r="X66" s="7137"/>
      <c r="Y66" s="7137"/>
      <c r="Z66" s="7137"/>
      <c r="AA66" s="7138"/>
      <c r="AB66" s="7155"/>
      <c r="AC66" s="429"/>
      <c r="AD66" s="310"/>
      <c r="AE66" s="311"/>
      <c r="AF66" s="311"/>
      <c r="AG66" s="9937"/>
    </row>
    <row r="67" spans="1:33" ht="26.25" customHeight="1">
      <c r="A67" s="9392"/>
      <c r="B67" s="10159"/>
      <c r="C67" s="9311"/>
      <c r="D67" s="9311"/>
      <c r="E67" s="9311"/>
      <c r="F67" s="9311"/>
      <c r="G67" s="9311"/>
      <c r="H67" s="9311"/>
      <c r="I67" s="9433"/>
      <c r="J67" s="9433"/>
      <c r="K67" s="9311"/>
      <c r="L67" s="9313"/>
      <c r="M67" s="9313"/>
      <c r="N67" s="9313"/>
      <c r="O67" s="9311"/>
      <c r="P67" s="9311"/>
      <c r="Q67" s="9442"/>
      <c r="R67" s="648"/>
      <c r="S67" s="7101"/>
      <c r="T67" s="7101"/>
      <c r="U67" s="663"/>
      <c r="V67" s="7130"/>
      <c r="W67" s="310"/>
      <c r="X67" s="7137"/>
      <c r="Y67" s="7137"/>
      <c r="Z67" s="7137"/>
      <c r="AA67" s="7138"/>
      <c r="AB67" s="7155"/>
      <c r="AC67" s="429"/>
      <c r="AD67" s="310"/>
      <c r="AE67" s="311"/>
      <c r="AF67" s="311"/>
      <c r="AG67" s="9937"/>
    </row>
    <row r="68" spans="1:33" ht="26.25" customHeight="1">
      <c r="A68" s="9392"/>
      <c r="B68" s="10159"/>
      <c r="C68" s="9311"/>
      <c r="D68" s="9311"/>
      <c r="E68" s="9311"/>
      <c r="F68" s="9311"/>
      <c r="G68" s="9311"/>
      <c r="H68" s="9311"/>
      <c r="I68" s="9433"/>
      <c r="J68" s="9433"/>
      <c r="K68" s="9311"/>
      <c r="L68" s="9313"/>
      <c r="M68" s="9313"/>
      <c r="N68" s="9313"/>
      <c r="O68" s="9311"/>
      <c r="P68" s="9311"/>
      <c r="Q68" s="9442"/>
      <c r="R68" s="648"/>
      <c r="S68" s="7101"/>
      <c r="T68" s="7101"/>
      <c r="U68" s="663"/>
      <c r="V68" s="7130"/>
      <c r="W68" s="310"/>
      <c r="X68" s="7137"/>
      <c r="Y68" s="7137"/>
      <c r="Z68" s="7137"/>
      <c r="AA68" s="7138"/>
      <c r="AB68" s="7155"/>
      <c r="AC68" s="429"/>
      <c r="AD68" s="310"/>
      <c r="AE68" s="311"/>
      <c r="AF68" s="311"/>
      <c r="AG68" s="9937"/>
    </row>
    <row r="69" spans="1:33" ht="26.25" customHeight="1">
      <c r="A69" s="9392"/>
      <c r="B69" s="10160"/>
      <c r="C69" s="9312"/>
      <c r="D69" s="9312"/>
      <c r="E69" s="9312"/>
      <c r="F69" s="9312"/>
      <c r="G69" s="9312"/>
      <c r="H69" s="9312"/>
      <c r="I69" s="9434"/>
      <c r="J69" s="9434"/>
      <c r="K69" s="9312"/>
      <c r="L69" s="9314"/>
      <c r="M69" s="9314"/>
      <c r="N69" s="9314"/>
      <c r="O69" s="9312"/>
      <c r="P69" s="9312"/>
      <c r="Q69" s="9443"/>
      <c r="R69" s="657"/>
      <c r="S69" s="7118"/>
      <c r="T69" s="7118"/>
      <c r="U69" s="6183"/>
      <c r="V69" s="7131"/>
      <c r="W69" s="498"/>
      <c r="X69" s="7150"/>
      <c r="Y69" s="7150"/>
      <c r="Z69" s="7150"/>
      <c r="AA69" s="7151"/>
      <c r="AB69" s="7163"/>
      <c r="AC69" s="432"/>
      <c r="AD69" s="498"/>
      <c r="AE69" s="499"/>
      <c r="AF69" s="499"/>
      <c r="AG69" s="9938"/>
    </row>
    <row r="70" spans="1:33" ht="24.75" customHeight="1">
      <c r="A70" s="9392"/>
      <c r="B70" s="10158" t="s">
        <v>127</v>
      </c>
      <c r="C70" s="8782" t="s">
        <v>128</v>
      </c>
      <c r="D70" s="8782" t="s">
        <v>490</v>
      </c>
      <c r="E70" s="8782" t="s">
        <v>2445</v>
      </c>
      <c r="F70" s="8977" t="s">
        <v>131</v>
      </c>
      <c r="G70" s="8782" t="s">
        <v>132</v>
      </c>
      <c r="H70" s="8782" t="s">
        <v>133</v>
      </c>
      <c r="I70" s="9217" t="s">
        <v>2578</v>
      </c>
      <c r="J70" s="9217" t="s">
        <v>338</v>
      </c>
      <c r="K70" s="8782" t="s">
        <v>2579</v>
      </c>
      <c r="L70" s="8823">
        <v>1</v>
      </c>
      <c r="M70" s="8823">
        <v>1</v>
      </c>
      <c r="N70" s="8823">
        <v>1</v>
      </c>
      <c r="O70" s="8782" t="s">
        <v>2580</v>
      </c>
      <c r="P70" s="8782" t="s">
        <v>2581</v>
      </c>
      <c r="Q70" s="10169" t="s">
        <v>2532</v>
      </c>
      <c r="R70" s="654"/>
      <c r="S70" s="7108"/>
      <c r="T70" s="7108"/>
      <c r="U70" s="582"/>
      <c r="V70" s="6370"/>
      <c r="W70" s="188"/>
      <c r="X70" s="6400"/>
      <c r="Y70" s="6400"/>
      <c r="Z70" s="6400"/>
      <c r="AA70" s="6401"/>
      <c r="AB70" s="6426"/>
      <c r="AC70" s="386"/>
      <c r="AD70" s="188"/>
      <c r="AE70" s="189"/>
      <c r="AF70" s="189"/>
      <c r="AG70" s="10155"/>
    </row>
    <row r="71" spans="1:33" ht="24.75" customHeight="1">
      <c r="A71" s="9392"/>
      <c r="B71" s="10159"/>
      <c r="C71" s="9311"/>
      <c r="D71" s="9311"/>
      <c r="E71" s="9311"/>
      <c r="F71" s="9311"/>
      <c r="G71" s="9311"/>
      <c r="H71" s="9311"/>
      <c r="I71" s="9433"/>
      <c r="J71" s="9433"/>
      <c r="K71" s="9311"/>
      <c r="L71" s="9313"/>
      <c r="M71" s="9313"/>
      <c r="N71" s="9313"/>
      <c r="O71" s="9311"/>
      <c r="P71" s="9311"/>
      <c r="Q71" s="10170"/>
      <c r="R71" s="651"/>
      <c r="S71" s="6942"/>
      <c r="T71" s="6942"/>
      <c r="U71" s="584"/>
      <c r="V71" s="6359"/>
      <c r="W71" s="185"/>
      <c r="X71" s="6396"/>
      <c r="Y71" s="6396"/>
      <c r="Z71" s="6396"/>
      <c r="AA71" s="6397"/>
      <c r="AB71" s="4817"/>
      <c r="AC71" s="383"/>
      <c r="AD71" s="185"/>
      <c r="AE71" s="186"/>
      <c r="AF71" s="186"/>
      <c r="AG71" s="8785"/>
    </row>
    <row r="72" spans="1:33" ht="24.75" customHeight="1">
      <c r="A72" s="9392"/>
      <c r="B72" s="10159"/>
      <c r="C72" s="9311"/>
      <c r="D72" s="9311"/>
      <c r="E72" s="9311"/>
      <c r="F72" s="9311"/>
      <c r="G72" s="9311"/>
      <c r="H72" s="9311"/>
      <c r="I72" s="9433"/>
      <c r="J72" s="9433"/>
      <c r="K72" s="9311"/>
      <c r="L72" s="9313"/>
      <c r="M72" s="9313"/>
      <c r="N72" s="9313"/>
      <c r="O72" s="9311"/>
      <c r="P72" s="9311"/>
      <c r="Q72" s="10170"/>
      <c r="R72" s="651"/>
      <c r="S72" s="6942"/>
      <c r="T72" s="6942"/>
      <c r="U72" s="584"/>
      <c r="V72" s="6359"/>
      <c r="W72" s="185"/>
      <c r="X72" s="6396"/>
      <c r="Y72" s="6396"/>
      <c r="Z72" s="6396"/>
      <c r="AA72" s="6397"/>
      <c r="AB72" s="4817"/>
      <c r="AC72" s="383"/>
      <c r="AD72" s="185"/>
      <c r="AE72" s="186"/>
      <c r="AF72" s="186"/>
      <c r="AG72" s="8785"/>
    </row>
    <row r="73" spans="1:33" ht="24.75" customHeight="1">
      <c r="A73" s="9392"/>
      <c r="B73" s="10159"/>
      <c r="C73" s="9311"/>
      <c r="D73" s="9311"/>
      <c r="E73" s="9311"/>
      <c r="F73" s="9311"/>
      <c r="G73" s="9311"/>
      <c r="H73" s="9311"/>
      <c r="I73" s="9433"/>
      <c r="J73" s="9433"/>
      <c r="K73" s="9311"/>
      <c r="L73" s="9313"/>
      <c r="M73" s="9313"/>
      <c r="N73" s="9313"/>
      <c r="O73" s="9311"/>
      <c r="P73" s="9311"/>
      <c r="Q73" s="10170"/>
      <c r="R73" s="651"/>
      <c r="S73" s="6942"/>
      <c r="T73" s="6942"/>
      <c r="U73" s="584"/>
      <c r="V73" s="6359"/>
      <c r="W73" s="185"/>
      <c r="X73" s="6396"/>
      <c r="Y73" s="6396"/>
      <c r="Z73" s="6396"/>
      <c r="AA73" s="6397"/>
      <c r="AB73" s="4817"/>
      <c r="AC73" s="383"/>
      <c r="AD73" s="185"/>
      <c r="AE73" s="186"/>
      <c r="AF73" s="186"/>
      <c r="AG73" s="8785"/>
    </row>
    <row r="74" spans="1:33" ht="24.75" customHeight="1">
      <c r="A74" s="9392"/>
      <c r="B74" s="10175"/>
      <c r="C74" s="9322"/>
      <c r="D74" s="9322"/>
      <c r="E74" s="9322"/>
      <c r="F74" s="9322"/>
      <c r="G74" s="9322"/>
      <c r="H74" s="9322"/>
      <c r="I74" s="9435"/>
      <c r="J74" s="9435"/>
      <c r="K74" s="9322"/>
      <c r="L74" s="9330"/>
      <c r="M74" s="9330"/>
      <c r="N74" s="9330"/>
      <c r="O74" s="9322"/>
      <c r="P74" s="9322"/>
      <c r="Q74" s="10178"/>
      <c r="R74" s="5164"/>
      <c r="S74" s="7119"/>
      <c r="T74" s="7119"/>
      <c r="U74" s="5165"/>
      <c r="V74" s="6376"/>
      <c r="W74" s="5166"/>
      <c r="X74" s="6406"/>
      <c r="Y74" s="6406"/>
      <c r="Z74" s="6406"/>
      <c r="AA74" s="6407"/>
      <c r="AB74" s="6429"/>
      <c r="AC74" s="5167"/>
      <c r="AD74" s="5166"/>
      <c r="AE74" s="5168"/>
      <c r="AF74" s="5168"/>
      <c r="AG74" s="8786"/>
    </row>
    <row r="75" spans="1:33" ht="22.5" customHeight="1" thickBot="1">
      <c r="A75" s="9393"/>
      <c r="B75" s="6245"/>
      <c r="C75" s="500"/>
      <c r="D75" s="500"/>
      <c r="E75" s="500"/>
      <c r="F75" s="500"/>
      <c r="G75" s="500"/>
      <c r="H75" s="500"/>
      <c r="I75" s="500"/>
      <c r="J75" s="500"/>
      <c r="K75" s="500"/>
      <c r="L75" s="500"/>
      <c r="M75" s="500"/>
      <c r="N75" s="500"/>
      <c r="O75" s="500"/>
      <c r="P75" s="500"/>
      <c r="Q75" s="501"/>
      <c r="R75" s="9189" t="s">
        <v>2582</v>
      </c>
      <c r="S75" s="10156"/>
      <c r="T75" s="10156"/>
      <c r="U75" s="10156"/>
      <c r="V75" s="10156"/>
      <c r="W75" s="10156"/>
      <c r="X75" s="10156"/>
      <c r="Y75" s="10156"/>
      <c r="Z75" s="502" t="s">
        <v>292</v>
      </c>
      <c r="AA75" s="503">
        <f>SUM(AA9:AA74)</f>
        <v>23410.7716</v>
      </c>
      <c r="AB75" s="388"/>
      <c r="AC75" s="388"/>
      <c r="AD75" s="10157"/>
      <c r="AE75" s="9675"/>
      <c r="AF75" s="9675"/>
      <c r="AG75" s="9676"/>
    </row>
    <row r="76" spans="1:33" ht="17.25" thickTop="1">
      <c r="A76" s="8"/>
      <c r="B76" s="689" t="s">
        <v>2583</v>
      </c>
      <c r="C76" s="143"/>
      <c r="D76" s="143"/>
      <c r="E76" s="143"/>
      <c r="F76" s="143"/>
      <c r="G76" s="143"/>
      <c r="H76" s="143"/>
      <c r="I76" s="143"/>
      <c r="J76" s="143"/>
      <c r="K76" s="143"/>
      <c r="L76" s="143"/>
      <c r="M76" s="143"/>
      <c r="N76" s="143"/>
      <c r="O76" s="143"/>
      <c r="P76" s="143"/>
      <c r="Q76" s="143"/>
      <c r="R76" s="9377" t="s">
        <v>533</v>
      </c>
      <c r="S76" s="8825"/>
      <c r="T76" s="8825"/>
      <c r="U76" s="8825"/>
      <c r="V76" s="8825"/>
      <c r="W76" s="8825"/>
      <c r="X76" s="8825"/>
      <c r="Y76" s="8825"/>
      <c r="Z76" s="8825"/>
      <c r="AA76" s="8825"/>
      <c r="AB76" s="8825"/>
      <c r="AC76" s="8825"/>
      <c r="AD76" s="8825"/>
      <c r="AE76" s="8825"/>
      <c r="AF76" s="8825"/>
      <c r="AG76" s="8825"/>
    </row>
    <row r="77" spans="1:33" ht="16.5" customHeight="1">
      <c r="A77" s="8"/>
      <c r="B77" s="689" t="s">
        <v>2584</v>
      </c>
      <c r="C77" s="143"/>
      <c r="D77" s="143"/>
      <c r="E77" s="143"/>
      <c r="F77" s="143"/>
      <c r="G77" s="143"/>
      <c r="H77" s="143"/>
      <c r="I77" s="143"/>
      <c r="J77" s="143"/>
      <c r="K77" s="143"/>
      <c r="L77" s="143"/>
      <c r="M77" s="143"/>
      <c r="N77" s="143"/>
      <c r="O77" s="143"/>
      <c r="P77" s="143"/>
      <c r="Q77" s="143"/>
      <c r="R77" s="210"/>
      <c r="S77" s="210"/>
      <c r="T77" s="210"/>
      <c r="U77" s="8"/>
      <c r="V77" s="8"/>
      <c r="W77" s="8"/>
      <c r="X77" s="8"/>
      <c r="Y77" s="8"/>
      <c r="Z77" s="8"/>
      <c r="AA77" s="405"/>
      <c r="AB77" s="405"/>
      <c r="AC77" s="480"/>
      <c r="AD77" s="8"/>
      <c r="AE77" s="8"/>
      <c r="AF77" s="319"/>
    </row>
    <row r="78" spans="1:33" ht="18">
      <c r="A78" s="8"/>
      <c r="B78" s="143"/>
      <c r="C78" s="143"/>
      <c r="D78" s="143"/>
      <c r="E78" s="143"/>
      <c r="F78" s="143"/>
      <c r="G78" s="143"/>
      <c r="H78" s="143"/>
      <c r="I78" s="143"/>
      <c r="J78" s="143"/>
      <c r="K78" s="143"/>
      <c r="L78" s="143"/>
      <c r="M78" s="143"/>
      <c r="N78" s="143"/>
      <c r="O78" s="143"/>
      <c r="P78" s="143"/>
      <c r="Q78" s="143"/>
      <c r="R78" s="210"/>
      <c r="S78" s="305"/>
      <c r="T78" s="8775" t="s">
        <v>351</v>
      </c>
      <c r="U78" s="9379"/>
      <c r="V78" s="9379"/>
      <c r="W78" s="9379"/>
      <c r="X78" s="9379"/>
      <c r="Y78" s="9379"/>
      <c r="AA78" s="365"/>
      <c r="AC78" s="231"/>
      <c r="AE78" s="8"/>
      <c r="AF78" s="319"/>
    </row>
    <row r="79" spans="1:33" ht="16.5" customHeight="1" thickBot="1">
      <c r="A79" s="8"/>
      <c r="B79" s="143"/>
      <c r="C79" s="143"/>
      <c r="D79" s="143"/>
      <c r="E79" s="143"/>
      <c r="F79" s="143"/>
      <c r="G79" s="143"/>
      <c r="H79" s="143"/>
      <c r="I79" s="143"/>
      <c r="J79" s="143"/>
      <c r="K79" s="143"/>
      <c r="L79" s="143"/>
      <c r="M79" s="143"/>
      <c r="N79" s="143"/>
      <c r="O79" s="143"/>
      <c r="P79" s="143"/>
      <c r="Q79" s="143"/>
      <c r="R79" s="7"/>
      <c r="S79" s="7"/>
      <c r="T79" s="28"/>
      <c r="U79" s="28"/>
      <c r="V79" s="235"/>
      <c r="W79" s="85"/>
      <c r="X79" s="28"/>
      <c r="Y79" s="28"/>
      <c r="AA79" s="365"/>
      <c r="AC79" s="100"/>
      <c r="AD79" s="100"/>
      <c r="AE79" s="8"/>
      <c r="AF79" s="319"/>
    </row>
    <row r="80" spans="1:33" ht="18" customHeight="1" thickTop="1">
      <c r="A80" s="8"/>
      <c r="B80" s="143"/>
      <c r="C80" s="143"/>
      <c r="D80" s="143"/>
      <c r="E80" s="143"/>
      <c r="F80" s="143"/>
      <c r="G80" s="143"/>
      <c r="H80" s="143"/>
      <c r="I80" s="143"/>
      <c r="J80" s="143"/>
      <c r="K80" s="143"/>
      <c r="L80" s="143"/>
      <c r="M80" s="143"/>
      <c r="N80" s="143"/>
      <c r="O80" s="143"/>
      <c r="P80" s="143"/>
      <c r="Q80" s="143"/>
      <c r="R80" s="210"/>
      <c r="S80" s="210"/>
      <c r="T80" s="5882" t="s">
        <v>5</v>
      </c>
      <c r="U80" s="5883" t="s">
        <v>6</v>
      </c>
      <c r="V80" s="5887" t="s">
        <v>7</v>
      </c>
      <c r="W80" s="5885" t="s">
        <v>352</v>
      </c>
      <c r="X80" s="5885" t="s">
        <v>9</v>
      </c>
      <c r="Y80" s="5886" t="s">
        <v>353</v>
      </c>
      <c r="AA80" s="365"/>
      <c r="AC80" s="334"/>
      <c r="AD80" s="334"/>
      <c r="AE80" s="8"/>
      <c r="AF80" s="319"/>
    </row>
    <row r="81" spans="1:32" ht="49.5">
      <c r="A81" s="8"/>
      <c r="B81" s="143"/>
      <c r="C81" s="143"/>
      <c r="D81" s="143"/>
      <c r="E81" s="143"/>
      <c r="F81" s="143"/>
      <c r="G81" s="143"/>
      <c r="H81" s="143"/>
      <c r="I81" s="143"/>
      <c r="J81" s="143"/>
      <c r="K81" s="143"/>
      <c r="L81" s="143"/>
      <c r="M81" s="143"/>
      <c r="N81" s="143"/>
      <c r="O81" s="143"/>
      <c r="P81" s="143"/>
      <c r="Q81" s="143"/>
      <c r="R81" s="210"/>
      <c r="S81" s="210"/>
      <c r="T81" s="665" t="s">
        <v>81</v>
      </c>
      <c r="U81" s="666" t="s">
        <v>2507</v>
      </c>
      <c r="V81" s="667">
        <v>530606</v>
      </c>
      <c r="W81" s="690" t="s">
        <v>17</v>
      </c>
      <c r="X81" s="1678" t="s">
        <v>26</v>
      </c>
      <c r="Y81" s="956">
        <f>+AA9</f>
        <v>18120</v>
      </c>
      <c r="AA81" s="365"/>
      <c r="AC81" s="101"/>
      <c r="AD81" s="335"/>
      <c r="AE81" s="8"/>
      <c r="AF81" s="319"/>
    </row>
    <row r="82" spans="1:32" ht="49.5">
      <c r="A82" s="8"/>
      <c r="B82" s="143"/>
      <c r="C82" s="143"/>
      <c r="D82" s="143"/>
      <c r="E82" s="143"/>
      <c r="F82" s="143"/>
      <c r="G82" s="143"/>
      <c r="H82" s="143"/>
      <c r="I82" s="143"/>
      <c r="J82" s="143"/>
      <c r="K82" s="143"/>
      <c r="L82" s="143"/>
      <c r="M82" s="143"/>
      <c r="N82" s="143"/>
      <c r="O82" s="143"/>
      <c r="P82" s="143"/>
      <c r="Q82" s="143"/>
      <c r="R82" s="210"/>
      <c r="S82" s="210"/>
      <c r="T82" s="665" t="s">
        <v>81</v>
      </c>
      <c r="U82" s="666" t="s">
        <v>2552</v>
      </c>
      <c r="V82" s="667">
        <v>530802</v>
      </c>
      <c r="W82" s="690" t="s">
        <v>17</v>
      </c>
      <c r="X82" s="1678" t="s">
        <v>26</v>
      </c>
      <c r="Y82" s="956">
        <f>+AA44</f>
        <v>584.00160000000005</v>
      </c>
      <c r="AA82" s="365"/>
      <c r="AC82" s="101"/>
      <c r="AD82" s="335"/>
      <c r="AE82" s="8"/>
      <c r="AF82" s="319"/>
    </row>
    <row r="83" spans="1:32" ht="49.5">
      <c r="A83" s="8"/>
      <c r="B83" s="143"/>
      <c r="C83" s="143"/>
      <c r="D83" s="143"/>
      <c r="E83" s="143"/>
      <c r="F83" s="143"/>
      <c r="G83" s="143"/>
      <c r="H83" s="143"/>
      <c r="I83" s="143"/>
      <c r="J83" s="143"/>
      <c r="K83" s="143"/>
      <c r="L83" s="143"/>
      <c r="M83" s="143"/>
      <c r="N83" s="143"/>
      <c r="O83" s="143"/>
      <c r="P83" s="143"/>
      <c r="Q83" s="143"/>
      <c r="R83" s="210"/>
      <c r="S83" s="210"/>
      <c r="T83" s="665" t="s">
        <v>81</v>
      </c>
      <c r="U83" s="666" t="s">
        <v>1006</v>
      </c>
      <c r="V83" s="467">
        <v>530807</v>
      </c>
      <c r="W83" s="690" t="s">
        <v>17</v>
      </c>
      <c r="X83" s="1678" t="s">
        <v>26</v>
      </c>
      <c r="Y83" s="956">
        <f>+AA24</f>
        <v>143.77000000000001</v>
      </c>
      <c r="AA83" s="365"/>
      <c r="AC83" s="101"/>
      <c r="AD83" s="335"/>
      <c r="AE83" s="8"/>
      <c r="AF83" s="319"/>
    </row>
    <row r="84" spans="1:32" ht="49.5">
      <c r="A84" s="8"/>
      <c r="B84" s="143"/>
      <c r="C84" s="143"/>
      <c r="D84" s="143"/>
      <c r="E84" s="143"/>
      <c r="F84" s="143"/>
      <c r="G84" s="143"/>
      <c r="H84" s="143"/>
      <c r="I84" s="143"/>
      <c r="J84" s="143"/>
      <c r="K84" s="143"/>
      <c r="L84" s="143"/>
      <c r="M84" s="143"/>
      <c r="N84" s="143"/>
      <c r="O84" s="143"/>
      <c r="P84" s="143"/>
      <c r="Q84" s="143"/>
      <c r="R84" s="210"/>
      <c r="S84" s="210"/>
      <c r="T84" s="665" t="s">
        <v>81</v>
      </c>
      <c r="U84" s="666" t="s">
        <v>40</v>
      </c>
      <c r="V84" s="467">
        <v>840107</v>
      </c>
      <c r="W84" s="690" t="s">
        <v>17</v>
      </c>
      <c r="X84" s="1678" t="s">
        <v>18</v>
      </c>
      <c r="Y84" s="956">
        <f>+AA29</f>
        <v>4563</v>
      </c>
      <c r="Z84" s="919"/>
      <c r="AA84" s="365"/>
      <c r="AC84" s="101"/>
      <c r="AD84" s="335"/>
      <c r="AE84" s="8"/>
      <c r="AF84" s="319"/>
    </row>
    <row r="85" spans="1:32" ht="18" customHeight="1" thickBot="1">
      <c r="A85" s="8"/>
      <c r="B85" s="143"/>
      <c r="C85" s="143"/>
      <c r="D85" s="143"/>
      <c r="E85" s="143"/>
      <c r="F85" s="143"/>
      <c r="G85" s="143"/>
      <c r="H85" s="143"/>
      <c r="I85" s="143"/>
      <c r="J85" s="143"/>
      <c r="K85" s="143"/>
      <c r="L85" s="143"/>
      <c r="M85" s="143"/>
      <c r="N85" s="143"/>
      <c r="S85" s="210"/>
      <c r="T85" s="5930"/>
      <c r="U85" s="5931" t="s">
        <v>67</v>
      </c>
      <c r="V85" s="5932"/>
      <c r="W85" s="5932"/>
      <c r="X85" s="5926" t="s">
        <v>292</v>
      </c>
      <c r="Y85" s="5939">
        <f>SUM(Y81:Y84)</f>
        <v>23410.7716</v>
      </c>
      <c r="AA85" s="365"/>
      <c r="AC85" s="143"/>
      <c r="AD85" s="143"/>
      <c r="AE85" s="8"/>
      <c r="AF85" s="319"/>
    </row>
    <row r="86" spans="1:32" ht="16.5" customHeight="1" thickTop="1">
      <c r="A86" s="8"/>
      <c r="B86" s="143"/>
      <c r="C86" s="143"/>
      <c r="D86" s="143"/>
      <c r="E86" s="143"/>
      <c r="F86" s="143"/>
      <c r="G86" s="143"/>
      <c r="H86" s="143"/>
      <c r="I86" s="143"/>
      <c r="J86" s="143"/>
      <c r="K86" s="143"/>
      <c r="L86" s="143"/>
      <c r="M86" s="143"/>
      <c r="N86" s="143"/>
      <c r="S86" s="210"/>
      <c r="T86" s="28"/>
      <c r="U86" s="28"/>
      <c r="V86" s="34"/>
      <c r="W86" s="235"/>
      <c r="X86" s="85"/>
      <c r="Y86" s="28"/>
      <c r="Z86" s="28"/>
      <c r="AA86" s="368"/>
      <c r="AB86" s="368"/>
      <c r="AC86" s="143"/>
      <c r="AD86" s="145"/>
      <c r="AE86" s="8"/>
      <c r="AF86" s="319"/>
    </row>
    <row r="87" spans="1:32" ht="16.5" customHeight="1">
      <c r="A87" s="8"/>
      <c r="B87" s="143"/>
      <c r="C87" s="143"/>
      <c r="D87" s="143"/>
      <c r="E87" s="143"/>
      <c r="F87" s="143"/>
      <c r="G87" s="143"/>
      <c r="H87" s="143"/>
      <c r="I87" s="143"/>
      <c r="J87" s="143"/>
      <c r="K87" s="143"/>
      <c r="L87" s="143"/>
      <c r="M87" s="143"/>
      <c r="N87" s="143"/>
      <c r="S87" s="210"/>
      <c r="T87" s="28"/>
      <c r="U87" s="28"/>
      <c r="V87" s="28"/>
      <c r="W87" s="235"/>
      <c r="X87" s="85"/>
      <c r="Y87" s="28"/>
      <c r="Z87" s="28"/>
      <c r="AA87" s="368"/>
      <c r="AB87" s="368"/>
      <c r="AC87" s="143"/>
      <c r="AD87" s="145"/>
      <c r="AE87" s="8"/>
      <c r="AF87" s="319"/>
    </row>
    <row r="88" spans="1:32" ht="16.5" customHeight="1">
      <c r="A88" s="8"/>
      <c r="B88" s="143"/>
      <c r="C88" s="143"/>
      <c r="D88" s="143"/>
      <c r="E88" s="143"/>
      <c r="F88" s="143"/>
      <c r="G88" s="143"/>
      <c r="H88" s="143"/>
      <c r="I88" s="143"/>
      <c r="J88" s="143"/>
      <c r="K88" s="143"/>
      <c r="L88" s="143"/>
      <c r="M88" s="143"/>
      <c r="N88" s="143"/>
      <c r="S88" s="210"/>
      <c r="T88" s="8764" t="s">
        <v>356</v>
      </c>
      <c r="U88" s="9366"/>
      <c r="V88" s="9367"/>
      <c r="W88" s="235"/>
      <c r="X88" s="237" t="s">
        <v>357</v>
      </c>
      <c r="Y88" s="37" t="str">
        <f>IF(Y85=AA75,"OK","NO")</f>
        <v>OK</v>
      </c>
      <c r="Z88" s="28"/>
      <c r="AA88" s="368"/>
      <c r="AB88" s="368"/>
      <c r="AC88" s="146"/>
      <c r="AD88" s="143"/>
      <c r="AE88" s="8"/>
      <c r="AF88" s="319"/>
    </row>
    <row r="89" spans="1:32" ht="16.5" customHeight="1">
      <c r="A89" s="8"/>
      <c r="B89" s="143"/>
      <c r="C89" s="143"/>
      <c r="D89" s="143"/>
      <c r="E89" s="143"/>
      <c r="F89" s="143"/>
      <c r="G89" s="143"/>
      <c r="H89" s="143"/>
      <c r="I89" s="143"/>
      <c r="J89" s="143"/>
      <c r="K89" s="143"/>
      <c r="L89" s="143"/>
      <c r="M89" s="143"/>
      <c r="N89" s="143"/>
      <c r="S89" s="210"/>
      <c r="T89" s="8766" t="s">
        <v>358</v>
      </c>
      <c r="U89" s="9368"/>
      <c r="V89" s="750">
        <v>0</v>
      </c>
      <c r="W89" s="235"/>
      <c r="X89" s="85"/>
      <c r="Y89" s="37" t="str">
        <f>IF(V93=AA75,"OK","NO")</f>
        <v>OK</v>
      </c>
      <c r="Z89" s="28"/>
      <c r="AA89" s="368"/>
      <c r="AB89" s="368"/>
      <c r="AC89" s="146"/>
      <c r="AD89" s="143"/>
      <c r="AE89" s="8"/>
      <c r="AF89" s="319"/>
    </row>
    <row r="90" spans="1:32" ht="16.5" customHeight="1">
      <c r="A90" s="8"/>
      <c r="B90" s="143"/>
      <c r="C90" s="143"/>
      <c r="D90" s="143"/>
      <c r="E90" s="143"/>
      <c r="F90" s="143"/>
      <c r="G90" s="143"/>
      <c r="H90" s="143"/>
      <c r="I90" s="143"/>
      <c r="J90" s="143"/>
      <c r="K90" s="143"/>
      <c r="L90" s="143"/>
      <c r="M90" s="143"/>
      <c r="N90" s="143"/>
      <c r="S90" s="210"/>
      <c r="T90" s="8755" t="s">
        <v>359</v>
      </c>
      <c r="U90" s="9369"/>
      <c r="V90" s="751">
        <f>+Y81+Y82+Y83</f>
        <v>18847.7716</v>
      </c>
      <c r="W90" s="235"/>
      <c r="X90" s="85"/>
      <c r="Y90" s="37" t="str">
        <f>IF(V103=AA75,"OK","NO")</f>
        <v>OK</v>
      </c>
      <c r="Z90" s="28"/>
      <c r="AA90" s="368"/>
      <c r="AB90" s="368"/>
      <c r="AC90" s="146"/>
      <c r="AD90" s="143"/>
      <c r="AE90" s="8"/>
      <c r="AF90" s="319"/>
    </row>
    <row r="91" spans="1:32" ht="16.5">
      <c r="A91" s="8"/>
      <c r="B91" s="143"/>
      <c r="C91" s="143"/>
      <c r="D91" s="143"/>
      <c r="E91" s="143"/>
      <c r="F91" s="143"/>
      <c r="G91" s="143"/>
      <c r="H91" s="143"/>
      <c r="I91" s="143"/>
      <c r="J91" s="143"/>
      <c r="K91" s="143"/>
      <c r="L91" s="143"/>
      <c r="M91" s="143"/>
      <c r="N91" s="143"/>
      <c r="O91" s="143"/>
      <c r="P91" s="143"/>
      <c r="Q91" s="143"/>
      <c r="R91" s="210"/>
      <c r="S91" s="210"/>
      <c r="T91" s="8755" t="s">
        <v>360</v>
      </c>
      <c r="U91" s="9369"/>
      <c r="V91" s="751">
        <f>+Y84</f>
        <v>4563</v>
      </c>
      <c r="W91" s="235"/>
      <c r="X91" s="238"/>
      <c r="Y91" s="37" t="str">
        <f>IF(Resumen!C415=AA75,"OK","NO")</f>
        <v>OK</v>
      </c>
      <c r="Z91" s="28"/>
      <c r="AA91" s="368"/>
      <c r="AB91" s="368"/>
      <c r="AC91" s="146"/>
      <c r="AD91" s="143"/>
      <c r="AE91" s="8"/>
      <c r="AF91" s="319"/>
    </row>
    <row r="92" spans="1:32" ht="16.5" customHeight="1">
      <c r="A92" s="8"/>
      <c r="B92" s="143"/>
      <c r="C92" s="143"/>
      <c r="D92" s="143"/>
      <c r="E92" s="143"/>
      <c r="F92" s="143"/>
      <c r="G92" s="143"/>
      <c r="H92" s="143"/>
      <c r="I92" s="143"/>
      <c r="J92" s="143"/>
      <c r="K92" s="143"/>
      <c r="L92" s="143"/>
      <c r="M92" s="143"/>
      <c r="N92" s="143"/>
      <c r="O92" s="143"/>
      <c r="P92" s="143"/>
      <c r="Q92" s="143"/>
      <c r="R92" s="210"/>
      <c r="S92" s="210"/>
      <c r="T92" s="8755" t="s">
        <v>361</v>
      </c>
      <c r="U92" s="9369"/>
      <c r="V92" s="752">
        <v>0</v>
      </c>
      <c r="W92" s="235"/>
      <c r="X92" s="238"/>
      <c r="Y92" s="28"/>
      <c r="Z92" s="28"/>
      <c r="AA92" s="368"/>
      <c r="AB92" s="368"/>
      <c r="AC92" s="146"/>
      <c r="AD92" s="143"/>
      <c r="AE92" s="8"/>
      <c r="AF92" s="319"/>
    </row>
    <row r="93" spans="1:32" ht="16.5" customHeight="1">
      <c r="A93" s="8"/>
      <c r="B93" s="143"/>
      <c r="C93" s="143"/>
      <c r="D93" s="143"/>
      <c r="E93" s="143"/>
      <c r="F93" s="143"/>
      <c r="G93" s="143"/>
      <c r="H93" s="143"/>
      <c r="I93" s="143"/>
      <c r="J93" s="143"/>
      <c r="K93" s="143"/>
      <c r="L93" s="143"/>
      <c r="M93" s="143"/>
      <c r="N93" s="143"/>
      <c r="O93" s="143"/>
      <c r="P93" s="143"/>
      <c r="Q93" s="143"/>
      <c r="R93" s="210"/>
      <c r="S93" s="210"/>
      <c r="T93" s="9371" t="s">
        <v>67</v>
      </c>
      <c r="U93" s="9372"/>
      <c r="V93" s="753">
        <f>SUM(V89:V92)</f>
        <v>23410.7716</v>
      </c>
      <c r="W93" s="235"/>
      <c r="X93" s="238"/>
      <c r="Y93" s="28"/>
      <c r="Z93" s="28"/>
      <c r="AA93" s="368"/>
      <c r="AB93" s="368"/>
      <c r="AC93" s="146"/>
      <c r="AD93" s="143"/>
      <c r="AE93" s="8"/>
      <c r="AF93" s="319"/>
    </row>
    <row r="94" spans="1:32" ht="16.5" customHeight="1">
      <c r="A94" s="8"/>
      <c r="B94" s="143"/>
      <c r="C94" s="143"/>
      <c r="D94" s="143"/>
      <c r="E94" s="143"/>
      <c r="F94" s="143"/>
      <c r="G94" s="143"/>
      <c r="H94" s="143"/>
      <c r="I94" s="143"/>
      <c r="J94" s="143"/>
      <c r="K94" s="143"/>
      <c r="L94" s="143"/>
      <c r="M94" s="143"/>
      <c r="N94" s="143"/>
      <c r="O94" s="143"/>
      <c r="P94" s="143"/>
      <c r="Q94" s="143"/>
      <c r="R94" s="210"/>
      <c r="S94" s="210"/>
      <c r="T94" s="8758" t="s">
        <v>362</v>
      </c>
      <c r="U94" s="9373"/>
      <c r="V94" s="9374"/>
      <c r="W94" s="235"/>
      <c r="X94" s="239"/>
      <c r="Y94" s="28"/>
      <c r="Z94" s="28"/>
      <c r="AA94" s="368"/>
      <c r="AB94" s="368"/>
      <c r="AC94" s="146"/>
      <c r="AD94" s="143"/>
      <c r="AE94" s="8"/>
      <c r="AF94" s="319"/>
    </row>
    <row r="95" spans="1:32" ht="16.5" customHeight="1">
      <c r="A95" s="8"/>
      <c r="B95" s="143"/>
      <c r="C95" s="143"/>
      <c r="D95" s="143"/>
      <c r="E95" s="143"/>
      <c r="F95" s="143"/>
      <c r="G95" s="143"/>
      <c r="H95" s="143"/>
      <c r="I95" s="143"/>
      <c r="J95" s="143"/>
      <c r="K95" s="143"/>
      <c r="L95" s="143"/>
      <c r="M95" s="143"/>
      <c r="N95" s="143"/>
      <c r="O95" s="143"/>
      <c r="P95" s="143"/>
      <c r="Q95" s="143"/>
      <c r="R95" s="210"/>
      <c r="S95" s="210"/>
      <c r="T95" s="8760" t="s">
        <v>363</v>
      </c>
      <c r="U95" s="9368"/>
      <c r="V95" s="750">
        <v>0</v>
      </c>
      <c r="W95" s="235"/>
      <c r="X95" s="239"/>
      <c r="Y95" s="28"/>
      <c r="Z95" s="28"/>
      <c r="AA95" s="368"/>
      <c r="AB95" s="368"/>
      <c r="AC95" s="146"/>
      <c r="AD95" s="143"/>
      <c r="AE95" s="8"/>
      <c r="AF95" s="319"/>
    </row>
    <row r="96" spans="1:32" ht="16.5" customHeight="1">
      <c r="A96" s="8"/>
      <c r="B96" s="143"/>
      <c r="C96" s="143"/>
      <c r="D96" s="143"/>
      <c r="E96" s="143"/>
      <c r="F96" s="143"/>
      <c r="G96" s="143"/>
      <c r="H96" s="143"/>
      <c r="I96" s="143"/>
      <c r="J96" s="143"/>
      <c r="K96" s="143"/>
      <c r="L96" s="143"/>
      <c r="M96" s="143"/>
      <c r="N96" s="143"/>
      <c r="O96" s="143"/>
      <c r="P96" s="143"/>
      <c r="Q96" s="143"/>
      <c r="R96" s="210"/>
      <c r="S96" s="210"/>
      <c r="T96" s="8762" t="s">
        <v>364</v>
      </c>
      <c r="U96" s="9369"/>
      <c r="V96" s="751">
        <f>SUM(Y81:Y83)</f>
        <v>18847.7716</v>
      </c>
      <c r="W96" s="235"/>
      <c r="X96" s="239"/>
      <c r="Y96" s="28"/>
      <c r="Z96" s="28"/>
      <c r="AA96" s="368"/>
      <c r="AB96" s="368"/>
      <c r="AC96" s="146"/>
      <c r="AD96" s="143"/>
      <c r="AE96" s="8"/>
      <c r="AF96" s="319"/>
    </row>
    <row r="97" spans="1:32" ht="16.5" customHeight="1">
      <c r="A97" s="8"/>
      <c r="B97" s="143"/>
      <c r="C97" s="143"/>
      <c r="D97" s="143"/>
      <c r="E97" s="143"/>
      <c r="F97" s="143"/>
      <c r="G97" s="143"/>
      <c r="H97" s="143"/>
      <c r="I97" s="143"/>
      <c r="J97" s="143"/>
      <c r="K97" s="143"/>
      <c r="L97" s="143"/>
      <c r="M97" s="143"/>
      <c r="N97" s="143"/>
      <c r="O97" s="143"/>
      <c r="P97" s="143"/>
      <c r="Q97" s="143"/>
      <c r="R97" s="210"/>
      <c r="S97" s="210"/>
      <c r="T97" s="8762" t="s">
        <v>365</v>
      </c>
      <c r="U97" s="9369"/>
      <c r="V97" s="751">
        <v>0</v>
      </c>
      <c r="W97" s="235"/>
      <c r="X97" s="2071"/>
      <c r="Y97" s="28"/>
      <c r="Z97" s="28"/>
      <c r="AA97" s="368"/>
      <c r="AB97" s="368"/>
      <c r="AC97" s="146"/>
      <c r="AD97" s="143"/>
      <c r="AE97" s="8"/>
      <c r="AF97" s="319"/>
    </row>
    <row r="98" spans="1:32" ht="16.5" customHeight="1">
      <c r="A98" s="8"/>
      <c r="B98" s="143"/>
      <c r="C98" s="143"/>
      <c r="D98" s="143"/>
      <c r="E98" s="143"/>
      <c r="F98" s="143"/>
      <c r="G98" s="143"/>
      <c r="H98" s="143"/>
      <c r="I98" s="143"/>
      <c r="J98" s="143"/>
      <c r="K98" s="143"/>
      <c r="L98" s="143"/>
      <c r="M98" s="143"/>
      <c r="N98" s="143"/>
      <c r="O98" s="143"/>
      <c r="P98" s="143"/>
      <c r="Q98" s="143"/>
      <c r="R98" s="210"/>
      <c r="S98" s="210"/>
      <c r="T98" s="8762" t="s">
        <v>366</v>
      </c>
      <c r="U98" s="9369"/>
      <c r="V98" s="751">
        <v>0</v>
      </c>
      <c r="W98" s="235"/>
      <c r="X98" s="238"/>
      <c r="Y98" s="28"/>
      <c r="Z98" s="28"/>
      <c r="AA98" s="368"/>
      <c r="AB98" s="368"/>
      <c r="AC98" s="146"/>
      <c r="AD98" s="143"/>
      <c r="AE98" s="8"/>
      <c r="AF98" s="319"/>
    </row>
    <row r="99" spans="1:32" ht="16.5" customHeight="1">
      <c r="A99" s="8"/>
      <c r="B99" s="143"/>
      <c r="C99" s="143"/>
      <c r="D99" s="143"/>
      <c r="E99" s="143"/>
      <c r="F99" s="143"/>
      <c r="G99" s="143"/>
      <c r="H99" s="143"/>
      <c r="I99" s="143"/>
      <c r="J99" s="143"/>
      <c r="K99" s="143"/>
      <c r="L99" s="143"/>
      <c r="M99" s="143"/>
      <c r="N99" s="143"/>
      <c r="O99" s="143"/>
      <c r="P99" s="143"/>
      <c r="Q99" s="143"/>
      <c r="R99" s="210"/>
      <c r="S99" s="210"/>
      <c r="T99" s="8762" t="s">
        <v>367</v>
      </c>
      <c r="U99" s="9369"/>
      <c r="V99" s="751">
        <v>0</v>
      </c>
      <c r="W99" s="235"/>
      <c r="X99" s="2072"/>
      <c r="Y99" s="1745"/>
      <c r="AB99"/>
      <c r="AC99"/>
      <c r="AD99" s="143"/>
      <c r="AE99" s="8"/>
      <c r="AF99" s="319"/>
    </row>
    <row r="100" spans="1:32" ht="16.5" customHeight="1">
      <c r="A100" s="8"/>
      <c r="B100" s="143"/>
      <c r="C100" s="143"/>
      <c r="D100" s="143"/>
      <c r="E100" s="143"/>
      <c r="F100" s="143"/>
      <c r="G100" s="143"/>
      <c r="H100" s="143"/>
      <c r="I100" s="143"/>
      <c r="J100" s="143"/>
      <c r="K100" s="143"/>
      <c r="L100" s="143"/>
      <c r="M100" s="143"/>
      <c r="N100" s="143"/>
      <c r="O100" s="143"/>
      <c r="P100" s="143"/>
      <c r="Q100" s="143"/>
      <c r="R100" s="210"/>
      <c r="S100" s="210"/>
      <c r="T100" s="8762" t="s">
        <v>368</v>
      </c>
      <c r="U100" s="9369"/>
      <c r="V100" s="751">
        <v>0</v>
      </c>
      <c r="W100" s="235"/>
      <c r="X100" s="2072"/>
      <c r="Y100" s="2067"/>
      <c r="Z100" s="2067"/>
      <c r="AA100" s="2066"/>
      <c r="AB100" s="2066"/>
      <c r="AC100" s="2067"/>
      <c r="AD100" s="143"/>
      <c r="AE100" s="8"/>
      <c r="AF100" s="319"/>
    </row>
    <row r="101" spans="1:32" ht="16.5" customHeight="1">
      <c r="A101" s="8"/>
      <c r="B101" s="143"/>
      <c r="C101" s="143"/>
      <c r="D101" s="143"/>
      <c r="E101" s="143"/>
      <c r="F101" s="143"/>
      <c r="G101" s="143"/>
      <c r="H101" s="143"/>
      <c r="I101" s="143"/>
      <c r="J101" s="143"/>
      <c r="K101" s="143"/>
      <c r="L101" s="143"/>
      <c r="M101" s="143"/>
      <c r="N101" s="143"/>
      <c r="O101" s="143"/>
      <c r="P101" s="143"/>
      <c r="Q101" s="143"/>
      <c r="R101" s="210"/>
      <c r="S101" s="210"/>
      <c r="T101" s="8762" t="s">
        <v>369</v>
      </c>
      <c r="U101" s="9369"/>
      <c r="V101" s="751">
        <f>SUM(Y84:Y84)</f>
        <v>4563</v>
      </c>
      <c r="W101" s="235"/>
      <c r="X101" s="2072"/>
      <c r="Y101" s="2073"/>
      <c r="Z101" s="85"/>
      <c r="AA101" s="2068"/>
      <c r="AB101" s="2068"/>
      <c r="AC101" s="2069"/>
      <c r="AD101" s="143"/>
      <c r="AE101" s="8"/>
      <c r="AF101" s="319"/>
    </row>
    <row r="102" spans="1:32" ht="16.5" customHeight="1">
      <c r="A102" s="8"/>
      <c r="B102" s="143"/>
      <c r="C102" s="143"/>
      <c r="D102" s="143"/>
      <c r="E102" s="143"/>
      <c r="F102" s="143"/>
      <c r="G102" s="143"/>
      <c r="H102" s="143"/>
      <c r="I102" s="143"/>
      <c r="J102" s="143"/>
      <c r="K102" s="143"/>
      <c r="L102" s="143"/>
      <c r="M102" s="143"/>
      <c r="N102" s="143"/>
      <c r="O102" s="143"/>
      <c r="P102" s="143"/>
      <c r="Q102" s="143"/>
      <c r="R102" s="210"/>
      <c r="S102" s="210"/>
      <c r="T102" s="8762" t="s">
        <v>370</v>
      </c>
      <c r="U102" s="9369"/>
      <c r="V102" s="752">
        <v>0</v>
      </c>
      <c r="W102" s="235"/>
      <c r="X102" s="2074"/>
      <c r="Y102" s="2075"/>
      <c r="Z102" s="2075"/>
      <c r="AA102" s="2070"/>
      <c r="AB102" s="2070"/>
      <c r="AC102" s="146"/>
      <c r="AD102" s="143"/>
      <c r="AE102" s="8"/>
      <c r="AF102" s="319"/>
    </row>
    <row r="103" spans="1:32" ht="16.5" customHeight="1">
      <c r="A103" s="8"/>
      <c r="B103" s="143"/>
      <c r="C103" s="143"/>
      <c r="D103" s="143"/>
      <c r="E103" s="143"/>
      <c r="F103" s="143"/>
      <c r="G103" s="143"/>
      <c r="H103" s="143"/>
      <c r="I103" s="143"/>
      <c r="J103" s="143"/>
      <c r="K103" s="143"/>
      <c r="L103" s="143"/>
      <c r="M103" s="143"/>
      <c r="N103" s="143"/>
      <c r="O103" s="143"/>
      <c r="P103" s="143"/>
      <c r="Q103" s="143"/>
      <c r="R103" s="210"/>
      <c r="S103" s="210"/>
      <c r="T103" s="8927" t="s">
        <v>67</v>
      </c>
      <c r="U103" s="9370"/>
      <c r="V103" s="754">
        <f>SUM(V95:V102)</f>
        <v>23410.7716</v>
      </c>
      <c r="W103" s="235"/>
      <c r="X103" s="2071"/>
      <c r="Y103" s="28"/>
      <c r="Z103" s="28"/>
      <c r="AA103" s="368"/>
      <c r="AB103" s="368"/>
      <c r="AC103" s="146"/>
      <c r="AD103" s="143"/>
      <c r="AE103" s="8"/>
      <c r="AF103" s="319"/>
    </row>
    <row r="104" spans="1:32" ht="15.75" customHeight="1">
      <c r="AA104" s="365"/>
      <c r="AC104"/>
    </row>
    <row r="105" spans="1:32" ht="15.75" customHeight="1">
      <c r="AA105" s="365"/>
      <c r="AC105"/>
    </row>
    <row r="106" spans="1:32" ht="15.75" customHeight="1">
      <c r="AA106" s="365"/>
      <c r="AC106"/>
    </row>
    <row r="107" spans="1:32" ht="15.75" customHeight="1">
      <c r="AA107" s="365"/>
      <c r="AC107"/>
    </row>
    <row r="108" spans="1:32" ht="15.75" customHeight="1">
      <c r="AA108" s="365"/>
      <c r="AC108"/>
    </row>
  </sheetData>
  <mergeCells count="268">
    <mergeCell ref="D34:D38"/>
    <mergeCell ref="E34:E38"/>
    <mergeCell ref="F34:F38"/>
    <mergeCell ref="G34:G38"/>
    <mergeCell ref="H34:H38"/>
    <mergeCell ref="P34:P38"/>
    <mergeCell ref="Q34:Q38"/>
    <mergeCell ref="I34:I38"/>
    <mergeCell ref="J34:J38"/>
    <mergeCell ref="K34:K38"/>
    <mergeCell ref="L34:L38"/>
    <mergeCell ref="M34:M38"/>
    <mergeCell ref="N34:N38"/>
    <mergeCell ref="O34:O38"/>
    <mergeCell ref="P44:P48"/>
    <mergeCell ref="Q44:Q48"/>
    <mergeCell ref="N49:N53"/>
    <mergeCell ref="Q49:Q53"/>
    <mergeCell ref="M54:M58"/>
    <mergeCell ref="N54:N58"/>
    <mergeCell ref="O54:O58"/>
    <mergeCell ref="D39:D43"/>
    <mergeCell ref="E39:E43"/>
    <mergeCell ref="F39:F43"/>
    <mergeCell ref="G39:G43"/>
    <mergeCell ref="H39:H43"/>
    <mergeCell ref="O49:O53"/>
    <mergeCell ref="P39:P43"/>
    <mergeCell ref="Q39:Q43"/>
    <mergeCell ref="I39:I43"/>
    <mergeCell ref="J39:J43"/>
    <mergeCell ref="K39:K43"/>
    <mergeCell ref="L39:L43"/>
    <mergeCell ref="M39:M43"/>
    <mergeCell ref="N39:N43"/>
    <mergeCell ref="O39:O43"/>
    <mergeCell ref="M49:M53"/>
    <mergeCell ref="E54:E58"/>
    <mergeCell ref="K70:K74"/>
    <mergeCell ref="L70:L74"/>
    <mergeCell ref="M70:M74"/>
    <mergeCell ref="N70:N74"/>
    <mergeCell ref="O70:O74"/>
    <mergeCell ref="P70:P74"/>
    <mergeCell ref="Q70:Q74"/>
    <mergeCell ref="D70:D74"/>
    <mergeCell ref="E70:E74"/>
    <mergeCell ref="F70:F74"/>
    <mergeCell ref="G70:G74"/>
    <mergeCell ref="H70:H74"/>
    <mergeCell ref="I70:I74"/>
    <mergeCell ref="J70:J74"/>
    <mergeCell ref="B7:B8"/>
    <mergeCell ref="C7:C8"/>
    <mergeCell ref="A9:A75"/>
    <mergeCell ref="B9:B13"/>
    <mergeCell ref="C9:C13"/>
    <mergeCell ref="B14:B18"/>
    <mergeCell ref="C14:C18"/>
    <mergeCell ref="B49:B53"/>
    <mergeCell ref="C49:C53"/>
    <mergeCell ref="B59:B63"/>
    <mergeCell ref="C59:C63"/>
    <mergeCell ref="B19:B23"/>
    <mergeCell ref="C19:C23"/>
    <mergeCell ref="B24:B28"/>
    <mergeCell ref="C24:C28"/>
    <mergeCell ref="B29:B33"/>
    <mergeCell ref="C29:C33"/>
    <mergeCell ref="B65:B69"/>
    <mergeCell ref="C65:C69"/>
    <mergeCell ref="B39:B43"/>
    <mergeCell ref="C39:C43"/>
    <mergeCell ref="B34:B38"/>
    <mergeCell ref="C34:C38"/>
    <mergeCell ref="B54:B58"/>
    <mergeCell ref="G54:G58"/>
    <mergeCell ref="H54:H58"/>
    <mergeCell ref="B70:B74"/>
    <mergeCell ref="C70:C74"/>
    <mergeCell ref="H65:H69"/>
    <mergeCell ref="D59:D63"/>
    <mergeCell ref="E59:E63"/>
    <mergeCell ref="F59:F63"/>
    <mergeCell ref="G59:G63"/>
    <mergeCell ref="H59:H63"/>
    <mergeCell ref="D65:D69"/>
    <mergeCell ref="E65:E69"/>
    <mergeCell ref="F65:F69"/>
    <mergeCell ref="G65:G69"/>
    <mergeCell ref="Y7:AC7"/>
    <mergeCell ref="P65:P69"/>
    <mergeCell ref="Q65:Q69"/>
    <mergeCell ref="I59:I63"/>
    <mergeCell ref="J59:J63"/>
    <mergeCell ref="K59:K63"/>
    <mergeCell ref="L59:L63"/>
    <mergeCell ref="M59:M63"/>
    <mergeCell ref="N59:N63"/>
    <mergeCell ref="O59:O63"/>
    <mergeCell ref="P59:P63"/>
    <mergeCell ref="Q59:Q63"/>
    <mergeCell ref="I65:I69"/>
    <mergeCell ref="J65:J69"/>
    <mergeCell ref="K65:K69"/>
    <mergeCell ref="L65:L69"/>
    <mergeCell ref="M65:M69"/>
    <mergeCell ref="N65:N69"/>
    <mergeCell ref="O65:O69"/>
    <mergeCell ref="P49:P53"/>
    <mergeCell ref="K44:K48"/>
    <mergeCell ref="L44:L48"/>
    <mergeCell ref="N44:N48"/>
    <mergeCell ref="O44:O48"/>
    <mergeCell ref="AG9:AG13"/>
    <mergeCell ref="AG14:AG18"/>
    <mergeCell ref="I19:I23"/>
    <mergeCell ref="J19:J23"/>
    <mergeCell ref="AG19:AG23"/>
    <mergeCell ref="I9:I13"/>
    <mergeCell ref="J9:J13"/>
    <mergeCell ref="K9:K13"/>
    <mergeCell ref="L9:L13"/>
    <mergeCell ref="N9:N13"/>
    <mergeCell ref="O9:O13"/>
    <mergeCell ref="P9:P13"/>
    <mergeCell ref="Q9:Q13"/>
    <mergeCell ref="K14:K18"/>
    <mergeCell ref="L14:L18"/>
    <mergeCell ref="M14:M18"/>
    <mergeCell ref="N14:N18"/>
    <mergeCell ref="O14:O18"/>
    <mergeCell ref="P14:P18"/>
    <mergeCell ref="Q14:Q18"/>
    <mergeCell ref="I14:I18"/>
    <mergeCell ref="J14:J18"/>
    <mergeCell ref="M9:M13"/>
    <mergeCell ref="AG24:AG28"/>
    <mergeCell ref="AG29:AG33"/>
    <mergeCell ref="AG34:AG38"/>
    <mergeCell ref="AG39:AG43"/>
    <mergeCell ref="K19:K23"/>
    <mergeCell ref="L19:L23"/>
    <mergeCell ref="P54:P58"/>
    <mergeCell ref="Q54:Q58"/>
    <mergeCell ref="I54:I58"/>
    <mergeCell ref="J54:J58"/>
    <mergeCell ref="M19:M23"/>
    <mergeCell ref="N19:N23"/>
    <mergeCell ref="O19:O23"/>
    <mergeCell ref="P19:P23"/>
    <mergeCell ref="Q19:Q23"/>
    <mergeCell ref="I44:I48"/>
    <mergeCell ref="J44:J48"/>
    <mergeCell ref="AG44:AG48"/>
    <mergeCell ref="AG49:AG53"/>
    <mergeCell ref="AG54:AG58"/>
    <mergeCell ref="K49:K53"/>
    <mergeCell ref="L49:L53"/>
    <mergeCell ref="K54:K58"/>
    <mergeCell ref="L54:L58"/>
    <mergeCell ref="A1:AG1"/>
    <mergeCell ref="A2:AG2"/>
    <mergeCell ref="A3:AG3"/>
    <mergeCell ref="A4:AG4"/>
    <mergeCell ref="A6:A8"/>
    <mergeCell ref="B6:C6"/>
    <mergeCell ref="D6:H6"/>
    <mergeCell ref="F7:F8"/>
    <mergeCell ref="G7:G8"/>
    <mergeCell ref="D7:D8"/>
    <mergeCell ref="E7:E8"/>
    <mergeCell ref="H7:H8"/>
    <mergeCell ref="I7:I8"/>
    <mergeCell ref="J7:J8"/>
    <mergeCell ref="K7:K8"/>
    <mergeCell ref="L7:N7"/>
    <mergeCell ref="O7:O8"/>
    <mergeCell ref="P7:P8"/>
    <mergeCell ref="Q7:Q8"/>
    <mergeCell ref="I6:Q6"/>
    <mergeCell ref="R6:AG6"/>
    <mergeCell ref="R7:X7"/>
    <mergeCell ref="AD7:AF7"/>
    <mergeCell ref="AG7:AG8"/>
    <mergeCell ref="D9:D13"/>
    <mergeCell ref="E9:E13"/>
    <mergeCell ref="F9:F13"/>
    <mergeCell ref="G9:G13"/>
    <mergeCell ref="H9:H13"/>
    <mergeCell ref="D19:D23"/>
    <mergeCell ref="E19:E23"/>
    <mergeCell ref="F19:F23"/>
    <mergeCell ref="G19:G23"/>
    <mergeCell ref="H19:H23"/>
    <mergeCell ref="D14:D18"/>
    <mergeCell ref="E14:E18"/>
    <mergeCell ref="F14:F18"/>
    <mergeCell ref="G14:G18"/>
    <mergeCell ref="H14:H18"/>
    <mergeCell ref="D24:D28"/>
    <mergeCell ref="E24:E28"/>
    <mergeCell ref="F24:F28"/>
    <mergeCell ref="G24:G28"/>
    <mergeCell ref="H24:H28"/>
    <mergeCell ref="P24:P28"/>
    <mergeCell ref="Q24:Q28"/>
    <mergeCell ref="I24:I28"/>
    <mergeCell ref="J24:J28"/>
    <mergeCell ref="K24:K28"/>
    <mergeCell ref="L24:L28"/>
    <mergeCell ref="M24:M28"/>
    <mergeCell ref="N24:N28"/>
    <mergeCell ref="O24:O28"/>
    <mergeCell ref="D29:D33"/>
    <mergeCell ref="E29:E33"/>
    <mergeCell ref="F29:F33"/>
    <mergeCell ref="G29:G33"/>
    <mergeCell ref="H29:H33"/>
    <mergeCell ref="P29:P33"/>
    <mergeCell ref="Q29:Q33"/>
    <mergeCell ref="I29:I33"/>
    <mergeCell ref="J29:J33"/>
    <mergeCell ref="K29:K33"/>
    <mergeCell ref="L29:L33"/>
    <mergeCell ref="M29:M33"/>
    <mergeCell ref="N29:N33"/>
    <mergeCell ref="O29:O33"/>
    <mergeCell ref="AG59:AG63"/>
    <mergeCell ref="AG65:AG69"/>
    <mergeCell ref="AG70:AG74"/>
    <mergeCell ref="R75:Y75"/>
    <mergeCell ref="AD75:AG75"/>
    <mergeCell ref="R76:AG76"/>
    <mergeCell ref="T78:Y78"/>
    <mergeCell ref="B44:B48"/>
    <mergeCell ref="C44:C48"/>
    <mergeCell ref="D44:D48"/>
    <mergeCell ref="E44:E48"/>
    <mergeCell ref="F44:F48"/>
    <mergeCell ref="G44:G48"/>
    <mergeCell ref="H44:H48"/>
    <mergeCell ref="I49:I53"/>
    <mergeCell ref="J49:J53"/>
    <mergeCell ref="D49:D53"/>
    <mergeCell ref="E49:E53"/>
    <mergeCell ref="F49:F53"/>
    <mergeCell ref="G49:G53"/>
    <mergeCell ref="H49:H53"/>
    <mergeCell ref="C54:C58"/>
    <mergeCell ref="D54:D58"/>
    <mergeCell ref="F54:F58"/>
    <mergeCell ref="T103:U103"/>
    <mergeCell ref="T91:U91"/>
    <mergeCell ref="T92:U92"/>
    <mergeCell ref="T93:U93"/>
    <mergeCell ref="T94:V94"/>
    <mergeCell ref="T95:U95"/>
    <mergeCell ref="T96:U96"/>
    <mergeCell ref="T97:U97"/>
    <mergeCell ref="T88:V88"/>
    <mergeCell ref="T89:U89"/>
    <mergeCell ref="T90:U90"/>
    <mergeCell ref="T98:U98"/>
    <mergeCell ref="T99:U99"/>
    <mergeCell ref="T100:U100"/>
    <mergeCell ref="T101:U101"/>
    <mergeCell ref="T102:U102"/>
  </mergeCells>
  <dataValidations count="6">
    <dataValidation type="list" allowBlank="1" showErrorMessage="1" sqref="E14 E19 E24 E29 E34 E39 E44 E49 E54 E59 E65 E70" xr:uid="{00000000-0002-0000-0F00-000000000000}">
      <formula1>INDIRECT($D14)</formula1>
    </dataValidation>
    <dataValidation type="list" allowBlank="1" showInputMessage="1" showErrorMessage="1" prompt="Orientación: - Escoja un Lineamiento Estratégico de la lista despegable." sqref="E9" xr:uid="{00000000-0002-0000-0F00-000001000000}">
      <formula1>INDIRECT($D9)</formula1>
    </dataValidation>
    <dataValidation type="list" allowBlank="1" showInputMessage="1" showErrorMessage="1" prompt="Orientación: - Escoja un Eje Estratégico de la lista despegable." sqref="D9" xr:uid="{00000000-0002-0000-0F00-000002000000}">
      <formula1>INDIRECT($F9)</formula1>
    </dataValidation>
    <dataValidation type="list" allowBlank="1" showInputMessage="1" showErrorMessage="1" prompt="Orientación: - Escoja una Política Pública/Meta Nacional de la lista despegable." sqref="C9" xr:uid="{00000000-0002-0000-0F00-000003000000}">
      <formula1>INDIRECT($B9)</formula1>
    </dataValidation>
    <dataValidation type="list" allowBlank="1" showErrorMessage="1" sqref="D14 D19 D24 D29 D34 D39 D44 D49 D54 D59 D65 D70" xr:uid="{00000000-0002-0000-0F00-000004000000}">
      <formula1>INDIRECT($F14)</formula1>
    </dataValidation>
    <dataValidation type="decimal" allowBlank="1" showInputMessage="1" showErrorMessage="1" prompt="DPLAN - Sólo debe ingresar valores, NO porcentajes." sqref="L70:N70 L29:N29 L34:N34 L39:N39 L44:N44 L54:N54 L59:N59 L65:N65 L9:N9 L49 N49 M45:M49" xr:uid="{00000000-0002-0000-0F00-000005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Educación Continua&amp;C&amp;P</oddHead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Orientación: - Escoja un OEI de la lista despegable." xr:uid="{00000000-0002-0000-0F00-000006000000}">
          <x14:formula1>
            <xm:f>'https://utmachalaeduec-my.sharepoint.com/personal/planificacion_utmachala_edu_ec/Documents/Gestión 2023/G.06 EMISION DE INSUMOS PARA ELAB. DE LA PROF, PRESUPUESTARIA Y SUS REFORMAS/REFORMA N° 002-2023/[PEDI]PEDI'!#REF!</xm:f>
          </x14:formula1>
          <xm:sqref>F9</xm:sqref>
        </x14:dataValidation>
        <x14:dataValidation type="list" allowBlank="1" showErrorMessage="1" xr:uid="{00000000-0002-0000-0F00-000007000000}">
          <x14:formula1>
            <xm:f>INDIRECT('https://utmachalaeduec-my.sharepoint.com/personal/planificacion_utmachala_edu_ec/Documents/Gestión 2023/G.06 EMISION DE INSUMOS PARA ELAB. DE LA PROF, PRESUPUESTARIA Y SUS REFORMAS/REFORMA N° 002-2023/[Estrategias DAFO]Estrategias DAFO'!#REF!)</xm:f>
          </x14:formula1>
          <xm:sqref>H9 H14 H19 H24 H29 H34 H39 H44 H49 H54 H59 H65 H70</xm:sqref>
        </x14:dataValidation>
        <x14:dataValidation type="list" allowBlank="1" showErrorMessage="1" xr:uid="{00000000-0002-0000-0F00-000008000000}">
          <x14:formula1>
            <xm:f>('https://utmachalaeduec-my.sharepoint.com/personal/planificacion_utmachala_edu_ec/Documents/Gestión 2023/G.06 EMISION DE INSUMOS PARA ELAB. DE LA PROF, PRESUPUESTARIA Y SUS REFORMAS/REFORMA N° 002-2023/[PEDI]PEDI'!#REF!)</xm:f>
          </x14:formula1>
          <xm:sqref>G14 G19 G24 G29 G34 G39 G44 G49 G54 G59 G65 G70</xm:sqref>
        </x14:dataValidation>
        <x14:dataValidation type="list" allowBlank="1" showErrorMessage="1" xr:uid="{00000000-0002-0000-0F00-000009000000}">
          <x14:formula1>
            <xm:f>'https://utmachalaeduec-my.sharepoint.com/personal/planificacion_utmachala_edu_ec/Documents/Gestión 2023/G.06 EMISION DE INSUMOS PARA ELAB. DE LA PROF, PRESUPUESTARIA Y SUS REFORMAS/REFORMA N° 002-2023/[PND]PND'!#REF!</xm:f>
          </x14:formula1>
          <xm:sqref>C14 B19:C19 B24:C24 B29:C29 B34:C34 B39:C39 B44:C44 B49:C49 B54:C54 B59:C59 B65:C65 B70:C70</xm:sqref>
        </x14:dataValidation>
        <x14:dataValidation type="list" allowBlank="1" showInputMessage="1" showErrorMessage="1" prompt="Orientación: - Escoja un Objetivo Nacional de la lista despegable." xr:uid="{00000000-0002-0000-0F00-00000A000000}">
          <x14:formula1>
            <xm:f>'https://utmachalaeduec-my.sharepoint.com/personal/planificacion_utmachala_edu_ec/Documents/Gestión 2023/G.06 EMISION DE INSUMOS PARA ELAB. DE LA PROF, PRESUPUESTARIA Y SUS REFORMAS/REFORMA N° 002-2023/[PND]PND'!#REF!</xm:f>
          </x14:formula1>
          <xm:sqref>B9 B14</xm:sqref>
        </x14:dataValidation>
        <x14:dataValidation type="list" allowBlank="1" showErrorMessage="1" xr:uid="{00000000-0002-0000-0F00-00000B000000}">
          <x14:formula1>
            <xm:f>'https://utmachalaeduec-my.sharepoint.com/personal/planificacion_utmachala_edu_ec/Documents/Gestión 2023/G.06 EMISION DE INSUMOS PARA ELAB. DE LA PROF, PRESUPUESTARIA Y SUS REFORMAS/REFORMA N° 002-2023/[PEDI]PEDI'!#REF!</xm:f>
          </x14:formula1>
          <xm:sqref>F14 F19 F24 F29 F34 F39 F44 F49 F54 F59 F65 F70</xm:sqref>
        </x14:dataValidation>
        <x14:dataValidation type="list" allowBlank="1" showInputMessage="1" showErrorMessage="1" prompt="Orientación: - Escoja un Producto Institucional de la lista despegable." xr:uid="{00000000-0002-0000-0F00-00000C000000}">
          <x14:formula1>
            <xm:f>('https://utmachalaeduec-my.sharepoint.com/personal/planificacion_utmachala_edu_ec/Documents/Gestión 2023/G.06 EMISION DE INSUMOS PARA ELAB. DE LA PROF, PRESUPUESTARIA Y SUS REFORMAS/REFORMA N° 002-2023/[PEDI]PEDI'!#REF!)</xm:f>
          </x14:formula1>
          <xm:sqref>G9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36C09"/>
  </sheetPr>
  <dimension ref="A1:AH85"/>
  <sheetViews>
    <sheetView showGridLines="0" topLeftCell="P52" zoomScaleNormal="100" workbookViewId="0">
      <selection activeCell="W37" sqref="W37"/>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1.85546875" customWidth="1"/>
    <col min="24" max="24" width="12.7109375" customWidth="1"/>
    <col min="25" max="27" width="13.28515625" bestFit="1" customWidth="1"/>
    <col min="28" max="28" width="14.85546875" bestFit="1" customWidth="1"/>
    <col min="29" max="29" width="12.140625" style="365" customWidth="1"/>
    <col min="30" max="30" width="10.28515625" style="365" customWidth="1"/>
    <col min="31" max="33" width="8.7109375" customWidth="1"/>
    <col min="34" max="34" width="19.7109375" customWidth="1"/>
  </cols>
  <sheetData>
    <row r="1" spans="1:34" ht="42"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2585</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ht="16.5" customHeight="1">
      <c r="A5" s="11"/>
      <c r="B5" s="11"/>
      <c r="C5" s="11"/>
      <c r="D5" s="11"/>
      <c r="E5" s="605"/>
      <c r="F5" s="605"/>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
    </row>
    <row r="6" spans="1:34" ht="24.75" customHeight="1">
      <c r="A6" s="9002" t="s">
        <v>89</v>
      </c>
      <c r="B6" s="9641"/>
      <c r="C6" s="9735" t="s">
        <v>90</v>
      </c>
      <c r="D6" s="9814"/>
      <c r="E6" s="10128" t="s">
        <v>91</v>
      </c>
      <c r="F6" s="10129"/>
      <c r="G6" s="9357"/>
      <c r="H6" s="9357"/>
      <c r="I6" s="9357"/>
      <c r="J6" s="8988" t="s">
        <v>92</v>
      </c>
      <c r="K6" s="9343"/>
      <c r="L6" s="9343"/>
      <c r="M6" s="9343"/>
      <c r="N6" s="9343"/>
      <c r="O6" s="9343"/>
      <c r="P6" s="9343"/>
      <c r="Q6" s="9343"/>
      <c r="R6" s="9811"/>
      <c r="S6" s="10190" t="s">
        <v>93</v>
      </c>
      <c r="T6" s="9345"/>
      <c r="U6" s="9345"/>
      <c r="V6" s="9345"/>
      <c r="W6" s="9345"/>
      <c r="X6" s="9345"/>
      <c r="Y6" s="9345"/>
      <c r="Z6" s="9345"/>
      <c r="AA6" s="9345"/>
      <c r="AB6" s="9345"/>
      <c r="AC6" s="9345"/>
      <c r="AD6" s="9345"/>
      <c r="AE6" s="9345"/>
      <c r="AF6" s="9345"/>
      <c r="AG6" s="9345"/>
      <c r="AH6" s="9346"/>
    </row>
    <row r="7" spans="1:34" ht="39.75" customHeight="1">
      <c r="A7" s="9352"/>
      <c r="B7" s="10192"/>
      <c r="C7" s="9663" t="s">
        <v>94</v>
      </c>
      <c r="D7" s="9665"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815" t="s">
        <v>107</v>
      </c>
      <c r="S7" s="10191" t="s">
        <v>108</v>
      </c>
      <c r="T7" s="9347"/>
      <c r="U7" s="9347"/>
      <c r="V7" s="9347"/>
      <c r="W7" s="9347"/>
      <c r="X7" s="9347"/>
      <c r="Y7" s="9348"/>
      <c r="Z7" s="9156" t="s">
        <v>109</v>
      </c>
      <c r="AA7" s="9812"/>
      <c r="AB7" s="9812"/>
      <c r="AC7" s="9812"/>
      <c r="AD7" s="9813"/>
      <c r="AE7" s="9156" t="s">
        <v>110</v>
      </c>
      <c r="AF7" s="9347"/>
      <c r="AG7" s="9348"/>
      <c r="AH7" s="9157" t="s">
        <v>111</v>
      </c>
    </row>
    <row r="8" spans="1:34" ht="51.75" customHeight="1">
      <c r="A8" s="9643"/>
      <c r="B8" s="9644"/>
      <c r="C8" s="9817"/>
      <c r="D8" s="9818"/>
      <c r="E8" s="9358"/>
      <c r="F8" s="9358"/>
      <c r="G8" s="9358"/>
      <c r="H8" s="9358"/>
      <c r="I8" s="9358"/>
      <c r="J8" s="9359"/>
      <c r="K8" s="9360"/>
      <c r="L8" s="9360"/>
      <c r="M8" s="5086" t="s">
        <v>112</v>
      </c>
      <c r="N8" s="5086" t="s">
        <v>113</v>
      </c>
      <c r="O8" s="5086" t="s">
        <v>114</v>
      </c>
      <c r="P8" s="9360"/>
      <c r="Q8" s="9360"/>
      <c r="R8" s="9816"/>
      <c r="S8" s="5134" t="s">
        <v>115</v>
      </c>
      <c r="T8" s="5088" t="s">
        <v>116</v>
      </c>
      <c r="U8" s="5089" t="s">
        <v>117</v>
      </c>
      <c r="V8" s="5088" t="s">
        <v>118</v>
      </c>
      <c r="W8" s="5088" t="s">
        <v>119</v>
      </c>
      <c r="X8" s="5088" t="s">
        <v>372</v>
      </c>
      <c r="Y8" s="5090" t="s">
        <v>121</v>
      </c>
      <c r="Z8" s="5088" t="s">
        <v>122</v>
      </c>
      <c r="AA8" s="5088" t="s">
        <v>123</v>
      </c>
      <c r="AB8" s="5132" t="s">
        <v>124</v>
      </c>
      <c r="AC8" s="5090" t="s">
        <v>125</v>
      </c>
      <c r="AD8" s="5090" t="s">
        <v>1100</v>
      </c>
      <c r="AE8" s="5088" t="s">
        <v>112</v>
      </c>
      <c r="AF8" s="5088" t="s">
        <v>113</v>
      </c>
      <c r="AG8" s="5088" t="s">
        <v>114</v>
      </c>
      <c r="AH8" s="9349"/>
    </row>
    <row r="9" spans="1:34" ht="29.25" customHeight="1">
      <c r="A9" s="9599" t="s">
        <v>2585</v>
      </c>
      <c r="B9" s="10182"/>
      <c r="C9" s="9283" t="s">
        <v>127</v>
      </c>
      <c r="D9" s="8834" t="s">
        <v>128</v>
      </c>
      <c r="E9" s="8834" t="s">
        <v>129</v>
      </c>
      <c r="F9" s="8834" t="s">
        <v>130</v>
      </c>
      <c r="G9" s="8974" t="s">
        <v>131</v>
      </c>
      <c r="H9" s="8834" t="s">
        <v>132</v>
      </c>
      <c r="I9" s="8834" t="s">
        <v>159</v>
      </c>
      <c r="J9" s="8834" t="s">
        <v>2586</v>
      </c>
      <c r="K9" s="8834" t="s">
        <v>2587</v>
      </c>
      <c r="L9" s="8834" t="s">
        <v>2588</v>
      </c>
      <c r="M9" s="9256">
        <v>4</v>
      </c>
      <c r="N9" s="9264">
        <v>4</v>
      </c>
      <c r="O9" s="9256">
        <v>4</v>
      </c>
      <c r="P9" s="8834" t="s">
        <v>2589</v>
      </c>
      <c r="Q9" s="8834" t="s">
        <v>2590</v>
      </c>
      <c r="R9" s="8982" t="s">
        <v>2591</v>
      </c>
      <c r="S9" s="669" t="s">
        <v>15</v>
      </c>
      <c r="T9" s="7164">
        <v>840107</v>
      </c>
      <c r="U9" s="7165"/>
      <c r="V9" s="658" t="s">
        <v>2592</v>
      </c>
      <c r="W9" s="7177"/>
      <c r="X9" s="183"/>
      <c r="Y9" s="6408"/>
      <c r="Z9" s="6408"/>
      <c r="AA9" s="6408"/>
      <c r="AB9" s="6397">
        <f>SUM($AA$10)</f>
        <v>0</v>
      </c>
      <c r="AC9" s="6430"/>
      <c r="AD9" s="381"/>
      <c r="AE9" s="183"/>
      <c r="AF9" s="184"/>
      <c r="AG9" s="184"/>
      <c r="AH9" s="10173" t="s">
        <v>548</v>
      </c>
    </row>
    <row r="10" spans="1:34" ht="42" customHeight="1">
      <c r="A10" s="10180"/>
      <c r="B10" s="10181"/>
      <c r="C10" s="9841"/>
      <c r="D10" s="9311"/>
      <c r="E10" s="9311"/>
      <c r="F10" s="9311"/>
      <c r="G10" s="9311"/>
      <c r="H10" s="9311"/>
      <c r="I10" s="9311"/>
      <c r="J10" s="9311"/>
      <c r="K10" s="9311"/>
      <c r="L10" s="9311"/>
      <c r="M10" s="9436"/>
      <c r="N10" s="9436"/>
      <c r="O10" s="9436"/>
      <c r="P10" s="9946"/>
      <c r="Q10" s="9946"/>
      <c r="R10" s="10107"/>
      <c r="S10" s="670"/>
      <c r="T10" s="7099"/>
      <c r="U10" s="7099" t="s">
        <v>2593</v>
      </c>
      <c r="V10" s="659" t="s">
        <v>2594</v>
      </c>
      <c r="W10" s="7178"/>
      <c r="X10" s="185" t="s">
        <v>180</v>
      </c>
      <c r="Y10" s="6396">
        <v>1627.08</v>
      </c>
      <c r="Z10" s="6396">
        <f>+W10*Y10</f>
        <v>0</v>
      </c>
      <c r="AA10" s="6396">
        <f>+Z10*1.12</f>
        <v>0</v>
      </c>
      <c r="AB10" s="6396"/>
      <c r="AC10" s="7190"/>
      <c r="AD10" s="382"/>
      <c r="AE10" s="185"/>
      <c r="AF10" s="186"/>
      <c r="AG10" s="186"/>
      <c r="AH10" s="8785"/>
    </row>
    <row r="11" spans="1:34" ht="29.25" customHeight="1">
      <c r="A11" s="10180"/>
      <c r="B11" s="10181"/>
      <c r="C11" s="9841"/>
      <c r="D11" s="9311"/>
      <c r="E11" s="9311"/>
      <c r="F11" s="9311"/>
      <c r="G11" s="9311"/>
      <c r="H11" s="9311"/>
      <c r="I11" s="9311"/>
      <c r="J11" s="9311"/>
      <c r="K11" s="9311"/>
      <c r="L11" s="9311"/>
      <c r="M11" s="9436"/>
      <c r="N11" s="9436"/>
      <c r="O11" s="9436"/>
      <c r="P11" s="9946"/>
      <c r="Q11" s="9946"/>
      <c r="R11" s="10107"/>
      <c r="S11" s="671"/>
      <c r="T11" s="7166"/>
      <c r="U11" s="7099"/>
      <c r="V11" s="683"/>
      <c r="W11" s="7178"/>
      <c r="X11" s="183"/>
      <c r="Y11" s="6408"/>
      <c r="Z11" s="6396"/>
      <c r="AA11" s="6396"/>
      <c r="AB11" s="6397"/>
      <c r="AC11" s="4817"/>
      <c r="AD11" s="383"/>
      <c r="AE11" s="185"/>
      <c r="AF11" s="186"/>
      <c r="AG11" s="186"/>
      <c r="AH11" s="8785"/>
    </row>
    <row r="12" spans="1:34" ht="29.25" customHeight="1">
      <c r="A12" s="10180"/>
      <c r="B12" s="10181"/>
      <c r="C12" s="9841"/>
      <c r="D12" s="9311"/>
      <c r="E12" s="9311"/>
      <c r="F12" s="9311"/>
      <c r="G12" s="9311"/>
      <c r="H12" s="9311"/>
      <c r="I12" s="9311"/>
      <c r="J12" s="9311"/>
      <c r="K12" s="9311"/>
      <c r="L12" s="9311"/>
      <c r="M12" s="9436"/>
      <c r="N12" s="9436"/>
      <c r="O12" s="9436"/>
      <c r="P12" s="9946"/>
      <c r="Q12" s="9946"/>
      <c r="R12" s="10107"/>
      <c r="S12" s="672"/>
      <c r="T12" s="7167"/>
      <c r="U12" s="7099"/>
      <c r="V12" s="659"/>
      <c r="W12" s="7178"/>
      <c r="X12" s="183"/>
      <c r="Y12" s="6408"/>
      <c r="Z12" s="6396"/>
      <c r="AA12" s="6396"/>
      <c r="AB12" s="6396"/>
      <c r="AC12" s="7190"/>
      <c r="AD12" s="382"/>
      <c r="AE12" s="185"/>
      <c r="AF12" s="186"/>
      <c r="AG12" s="186"/>
      <c r="AH12" s="8785"/>
    </row>
    <row r="13" spans="1:34" ht="29.25" customHeight="1">
      <c r="A13" s="10180"/>
      <c r="B13" s="10181"/>
      <c r="C13" s="9842"/>
      <c r="D13" s="9312"/>
      <c r="E13" s="9312"/>
      <c r="F13" s="9312"/>
      <c r="G13" s="9312"/>
      <c r="H13" s="9312"/>
      <c r="I13" s="9312"/>
      <c r="J13" s="9312"/>
      <c r="K13" s="9312"/>
      <c r="L13" s="9312"/>
      <c r="M13" s="9606"/>
      <c r="N13" s="9606"/>
      <c r="O13" s="9606"/>
      <c r="P13" s="9947"/>
      <c r="Q13" s="9947"/>
      <c r="R13" s="10108"/>
      <c r="S13" s="673"/>
      <c r="T13" s="7168"/>
      <c r="U13" s="7168"/>
      <c r="V13" s="684"/>
      <c r="W13" s="7179"/>
      <c r="X13" s="187"/>
      <c r="Y13" s="6404"/>
      <c r="Z13" s="6404"/>
      <c r="AA13" s="6404"/>
      <c r="AB13" s="6405"/>
      <c r="AC13" s="6428"/>
      <c r="AD13" s="384"/>
      <c r="AE13" s="187"/>
      <c r="AF13" s="182"/>
      <c r="AG13" s="182"/>
      <c r="AH13" s="8794"/>
    </row>
    <row r="14" spans="1:34" ht="41.25" customHeight="1">
      <c r="A14" s="10180"/>
      <c r="B14" s="10181"/>
      <c r="C14" s="9283" t="s">
        <v>127</v>
      </c>
      <c r="D14" s="8834" t="s">
        <v>128</v>
      </c>
      <c r="E14" s="8834" t="s">
        <v>129</v>
      </c>
      <c r="F14" s="8834" t="s">
        <v>464</v>
      </c>
      <c r="G14" s="8974" t="s">
        <v>131</v>
      </c>
      <c r="H14" s="8834" t="s">
        <v>132</v>
      </c>
      <c r="I14" s="8834" t="s">
        <v>133</v>
      </c>
      <c r="J14" s="9217" t="s">
        <v>2595</v>
      </c>
      <c r="K14" s="9653" t="s">
        <v>2596</v>
      </c>
      <c r="L14" s="8834" t="s">
        <v>2597</v>
      </c>
      <c r="M14" s="9256">
        <v>1</v>
      </c>
      <c r="N14" s="9252">
        <v>1</v>
      </c>
      <c r="O14" s="9256">
        <v>1</v>
      </c>
      <c r="P14" s="8834" t="s">
        <v>2598</v>
      </c>
      <c r="Q14" s="8834" t="s">
        <v>2599</v>
      </c>
      <c r="R14" s="8982" t="s">
        <v>2591</v>
      </c>
      <c r="S14" s="674"/>
      <c r="T14" s="6941"/>
      <c r="U14" s="6941"/>
      <c r="V14" s="600"/>
      <c r="W14" s="6378"/>
      <c r="X14" s="183"/>
      <c r="Y14" s="6408"/>
      <c r="Z14" s="6408"/>
      <c r="AA14" s="6408"/>
      <c r="AB14" s="6409"/>
      <c r="AC14" s="6430"/>
      <c r="AD14" s="381"/>
      <c r="AE14" s="183"/>
      <c r="AF14" s="183"/>
      <c r="AG14" s="183"/>
      <c r="AH14" s="10173"/>
    </row>
    <row r="15" spans="1:34" ht="41.25" customHeight="1">
      <c r="A15" s="10180"/>
      <c r="B15" s="10181"/>
      <c r="C15" s="9841"/>
      <c r="D15" s="9311"/>
      <c r="E15" s="9311"/>
      <c r="F15" s="9311"/>
      <c r="G15" s="9311"/>
      <c r="H15" s="9311"/>
      <c r="I15" s="9311"/>
      <c r="J15" s="9433"/>
      <c r="K15" s="9647"/>
      <c r="L15" s="9311"/>
      <c r="M15" s="9436"/>
      <c r="N15" s="9436"/>
      <c r="O15" s="9436"/>
      <c r="P15" s="9946"/>
      <c r="Q15" s="9946"/>
      <c r="R15" s="10107"/>
      <c r="S15" s="675"/>
      <c r="T15" s="6942"/>
      <c r="U15" s="6942"/>
      <c r="V15" s="584"/>
      <c r="W15" s="6359"/>
      <c r="X15" s="185"/>
      <c r="Y15" s="6396"/>
      <c r="Z15" s="6396"/>
      <c r="AA15" s="6396"/>
      <c r="AB15" s="6397"/>
      <c r="AC15" s="4817"/>
      <c r="AD15" s="383"/>
      <c r="AE15" s="185"/>
      <c r="AF15" s="185"/>
      <c r="AG15" s="185"/>
      <c r="AH15" s="8785"/>
    </row>
    <row r="16" spans="1:34" ht="41.25" customHeight="1">
      <c r="A16" s="10180"/>
      <c r="B16" s="10181"/>
      <c r="C16" s="9841"/>
      <c r="D16" s="9311"/>
      <c r="E16" s="9311"/>
      <c r="F16" s="9311"/>
      <c r="G16" s="9311"/>
      <c r="H16" s="9311"/>
      <c r="I16" s="9311"/>
      <c r="J16" s="9433"/>
      <c r="K16" s="9647"/>
      <c r="L16" s="9311"/>
      <c r="M16" s="9436"/>
      <c r="N16" s="9436"/>
      <c r="O16" s="9436"/>
      <c r="P16" s="9946"/>
      <c r="Q16" s="9946"/>
      <c r="R16" s="10107"/>
      <c r="S16" s="675"/>
      <c r="T16" s="6942"/>
      <c r="U16" s="6942"/>
      <c r="V16" s="584"/>
      <c r="W16" s="6359"/>
      <c r="X16" s="185"/>
      <c r="Y16" s="6396"/>
      <c r="Z16" s="6396"/>
      <c r="AA16" s="6396"/>
      <c r="AB16" s="6397"/>
      <c r="AC16" s="4817"/>
      <c r="AD16" s="383"/>
      <c r="AE16" s="185"/>
      <c r="AF16" s="185"/>
      <c r="AG16" s="185"/>
      <c r="AH16" s="8785"/>
    </row>
    <row r="17" spans="1:34" ht="41.25" customHeight="1">
      <c r="A17" s="10180"/>
      <c r="B17" s="10181"/>
      <c r="C17" s="9841"/>
      <c r="D17" s="9311"/>
      <c r="E17" s="9311"/>
      <c r="F17" s="9311"/>
      <c r="G17" s="9311"/>
      <c r="H17" s="9311"/>
      <c r="I17" s="9311"/>
      <c r="J17" s="9433"/>
      <c r="K17" s="9647"/>
      <c r="L17" s="9311"/>
      <c r="M17" s="9436"/>
      <c r="N17" s="9436"/>
      <c r="O17" s="9436"/>
      <c r="P17" s="9946"/>
      <c r="Q17" s="9946"/>
      <c r="R17" s="10107"/>
      <c r="S17" s="675"/>
      <c r="T17" s="6942"/>
      <c r="U17" s="6942"/>
      <c r="V17" s="584"/>
      <c r="W17" s="6359"/>
      <c r="X17" s="185"/>
      <c r="Y17" s="6396"/>
      <c r="Z17" s="6396"/>
      <c r="AA17" s="6396"/>
      <c r="AB17" s="6397"/>
      <c r="AC17" s="4817"/>
      <c r="AD17" s="383"/>
      <c r="AE17" s="185"/>
      <c r="AF17" s="185"/>
      <c r="AG17" s="186"/>
      <c r="AH17" s="8785"/>
    </row>
    <row r="18" spans="1:34" ht="41.25" customHeight="1">
      <c r="A18" s="10180"/>
      <c r="B18" s="10181"/>
      <c r="C18" s="9841"/>
      <c r="D18" s="9311"/>
      <c r="E18" s="9311"/>
      <c r="F18" s="9311"/>
      <c r="G18" s="9311"/>
      <c r="H18" s="9311"/>
      <c r="I18" s="9311"/>
      <c r="J18" s="9433"/>
      <c r="K18" s="9647"/>
      <c r="L18" s="9311"/>
      <c r="M18" s="9436"/>
      <c r="N18" s="9436"/>
      <c r="O18" s="9436"/>
      <c r="P18" s="9946"/>
      <c r="Q18" s="9946"/>
      <c r="R18" s="10107"/>
      <c r="S18" s="675"/>
      <c r="T18" s="6942"/>
      <c r="U18" s="6942"/>
      <c r="V18" s="584"/>
      <c r="W18" s="6359"/>
      <c r="X18" s="185"/>
      <c r="Y18" s="6396"/>
      <c r="Z18" s="6396"/>
      <c r="AA18" s="6396"/>
      <c r="AB18" s="6397"/>
      <c r="AC18" s="4817"/>
      <c r="AD18" s="383"/>
      <c r="AE18" s="185"/>
      <c r="AF18" s="185"/>
      <c r="AG18" s="186"/>
      <c r="AH18" s="8785"/>
    </row>
    <row r="19" spans="1:34" ht="41.25" customHeight="1">
      <c r="A19" s="10180"/>
      <c r="B19" s="10181"/>
      <c r="C19" s="9842"/>
      <c r="D19" s="9312"/>
      <c r="E19" s="9312"/>
      <c r="F19" s="9312"/>
      <c r="G19" s="9312"/>
      <c r="H19" s="9312"/>
      <c r="I19" s="9312"/>
      <c r="J19" s="9434"/>
      <c r="K19" s="10189"/>
      <c r="L19" s="9312"/>
      <c r="M19" s="9606"/>
      <c r="N19" s="9606"/>
      <c r="O19" s="9606"/>
      <c r="P19" s="9947"/>
      <c r="Q19" s="9947"/>
      <c r="R19" s="10108"/>
      <c r="S19" s="676"/>
      <c r="T19" s="6944"/>
      <c r="U19" s="6944"/>
      <c r="V19" s="593"/>
      <c r="W19" s="6375"/>
      <c r="X19" s="187"/>
      <c r="Y19" s="6404"/>
      <c r="Z19" s="6404"/>
      <c r="AA19" s="6404"/>
      <c r="AB19" s="6405"/>
      <c r="AC19" s="6428"/>
      <c r="AD19" s="384"/>
      <c r="AE19" s="187"/>
      <c r="AF19" s="187"/>
      <c r="AG19" s="182"/>
      <c r="AH19" s="8794"/>
    </row>
    <row r="20" spans="1:34" ht="31.5" customHeight="1">
      <c r="A20" s="10180"/>
      <c r="B20" s="10181"/>
      <c r="C20" s="9280" t="s">
        <v>127</v>
      </c>
      <c r="D20" s="8782" t="s">
        <v>128</v>
      </c>
      <c r="E20" s="8782" t="s">
        <v>129</v>
      </c>
      <c r="F20" s="8782" t="s">
        <v>130</v>
      </c>
      <c r="G20" s="8977" t="s">
        <v>131</v>
      </c>
      <c r="H20" s="8782" t="s">
        <v>132</v>
      </c>
      <c r="I20" s="8782" t="s">
        <v>159</v>
      </c>
      <c r="J20" s="9609" t="s">
        <v>2600</v>
      </c>
      <c r="K20" s="8834" t="s">
        <v>2601</v>
      </c>
      <c r="L20" s="8782" t="s">
        <v>2602</v>
      </c>
      <c r="M20" s="9252">
        <v>2</v>
      </c>
      <c r="N20" s="9252">
        <v>2</v>
      </c>
      <c r="O20" s="9252">
        <v>2</v>
      </c>
      <c r="P20" s="8782" t="s">
        <v>2603</v>
      </c>
      <c r="Q20" s="8782" t="s">
        <v>2604</v>
      </c>
      <c r="R20" s="8957" t="s">
        <v>2591</v>
      </c>
      <c r="S20" s="677"/>
      <c r="T20" s="7169"/>
      <c r="U20" s="7170"/>
      <c r="V20" s="685"/>
      <c r="W20" s="7177"/>
      <c r="X20" s="183"/>
      <c r="Y20" s="6408"/>
      <c r="Z20" s="6408"/>
      <c r="AA20" s="6408"/>
      <c r="AB20" s="6409"/>
      <c r="AC20" s="6430"/>
      <c r="AD20" s="381"/>
      <c r="AE20" s="183"/>
      <c r="AF20" s="184"/>
      <c r="AG20" s="184"/>
      <c r="AH20" s="10155"/>
    </row>
    <row r="21" spans="1:34" ht="31.5" customHeight="1">
      <c r="A21" s="10180"/>
      <c r="B21" s="10181"/>
      <c r="C21" s="9841"/>
      <c r="D21" s="9311"/>
      <c r="E21" s="9311"/>
      <c r="F21" s="9311"/>
      <c r="G21" s="9311"/>
      <c r="H21" s="9311"/>
      <c r="I21" s="9311"/>
      <c r="J21" s="9402"/>
      <c r="K21" s="9311"/>
      <c r="L21" s="9311"/>
      <c r="M21" s="9436"/>
      <c r="N21" s="9436"/>
      <c r="O21" s="9436"/>
      <c r="P21" s="9946"/>
      <c r="Q21" s="9946"/>
      <c r="R21" s="10107"/>
      <c r="S21" s="678"/>
      <c r="T21" s="7171"/>
      <c r="U21" s="7099"/>
      <c r="V21" s="683"/>
      <c r="W21" s="7178"/>
      <c r="X21" s="185"/>
      <c r="Y21" s="6396"/>
      <c r="Z21" s="6396"/>
      <c r="AA21" s="6396"/>
      <c r="AB21" s="6397"/>
      <c r="AC21" s="4817"/>
      <c r="AD21" s="383"/>
      <c r="AE21" s="185"/>
      <c r="AF21" s="186"/>
      <c r="AG21" s="186"/>
      <c r="AH21" s="8785"/>
    </row>
    <row r="22" spans="1:34" ht="31.5" customHeight="1">
      <c r="A22" s="10180"/>
      <c r="B22" s="10181"/>
      <c r="C22" s="9841"/>
      <c r="D22" s="9311"/>
      <c r="E22" s="9311"/>
      <c r="F22" s="9311"/>
      <c r="G22" s="9311"/>
      <c r="H22" s="9311"/>
      <c r="I22" s="9311"/>
      <c r="J22" s="9402"/>
      <c r="K22" s="9311"/>
      <c r="L22" s="9311"/>
      <c r="M22" s="9436"/>
      <c r="N22" s="9436"/>
      <c r="O22" s="9436"/>
      <c r="P22" s="9946"/>
      <c r="Q22" s="9946"/>
      <c r="R22" s="10107"/>
      <c r="S22" s="675"/>
      <c r="T22" s="7171"/>
      <c r="U22" s="7099"/>
      <c r="V22" s="659"/>
      <c r="W22" s="7178"/>
      <c r="X22" s="185"/>
      <c r="Y22" s="6396"/>
      <c r="Z22" s="6396"/>
      <c r="AA22" s="6396"/>
      <c r="AB22" s="6397"/>
      <c r="AC22" s="4817"/>
      <c r="AD22" s="383"/>
      <c r="AE22" s="185"/>
      <c r="AF22" s="186"/>
      <c r="AG22" s="186"/>
      <c r="AH22" s="8785"/>
    </row>
    <row r="23" spans="1:34" ht="31.5" customHeight="1">
      <c r="A23" s="10180"/>
      <c r="B23" s="10181"/>
      <c r="C23" s="9841"/>
      <c r="D23" s="9311"/>
      <c r="E23" s="9311"/>
      <c r="F23" s="9311"/>
      <c r="G23" s="9311"/>
      <c r="H23" s="9311"/>
      <c r="I23" s="9311"/>
      <c r="J23" s="9402"/>
      <c r="K23" s="9311"/>
      <c r="L23" s="9311"/>
      <c r="M23" s="9436"/>
      <c r="N23" s="9436"/>
      <c r="O23" s="9436"/>
      <c r="P23" s="9946"/>
      <c r="Q23" s="9946"/>
      <c r="R23" s="10107"/>
      <c r="S23" s="675"/>
      <c r="T23" s="7172"/>
      <c r="U23" s="7173"/>
      <c r="V23" s="686"/>
      <c r="W23" s="7180"/>
      <c r="X23" s="185"/>
      <c r="Y23" s="6396"/>
      <c r="Z23" s="6396"/>
      <c r="AA23" s="6396"/>
      <c r="AB23" s="6397"/>
      <c r="AC23" s="4817"/>
      <c r="AD23" s="383"/>
      <c r="AE23" s="185"/>
      <c r="AF23" s="186"/>
      <c r="AG23" s="186"/>
      <c r="AH23" s="8785"/>
    </row>
    <row r="24" spans="1:34" ht="31.5" customHeight="1">
      <c r="A24" s="10180"/>
      <c r="B24" s="10181"/>
      <c r="C24" s="9842"/>
      <c r="D24" s="9312"/>
      <c r="E24" s="9312"/>
      <c r="F24" s="9312"/>
      <c r="G24" s="9312"/>
      <c r="H24" s="9312"/>
      <c r="I24" s="9312"/>
      <c r="J24" s="9403"/>
      <c r="K24" s="9312"/>
      <c r="L24" s="9312"/>
      <c r="M24" s="9606"/>
      <c r="N24" s="9606"/>
      <c r="O24" s="9606"/>
      <c r="P24" s="9947"/>
      <c r="Q24" s="9947"/>
      <c r="R24" s="10108"/>
      <c r="S24" s="676"/>
      <c r="T24" s="6944"/>
      <c r="U24" s="6333"/>
      <c r="V24" s="599"/>
      <c r="W24" s="6379"/>
      <c r="X24" s="181"/>
      <c r="Y24" s="6411"/>
      <c r="Z24" s="6404"/>
      <c r="AA24" s="6404"/>
      <c r="AB24" s="6412"/>
      <c r="AC24" s="6431"/>
      <c r="AD24" s="385"/>
      <c r="AE24" s="181"/>
      <c r="AF24" s="345"/>
      <c r="AG24" s="345"/>
      <c r="AH24" s="8794"/>
    </row>
    <row r="25" spans="1:34" ht="25.5" customHeight="1">
      <c r="A25" s="10180"/>
      <c r="B25" s="10181"/>
      <c r="C25" s="9280" t="s">
        <v>127</v>
      </c>
      <c r="D25" s="8782" t="s">
        <v>128</v>
      </c>
      <c r="E25" s="8782" t="s">
        <v>129</v>
      </c>
      <c r="F25" s="8782" t="s">
        <v>327</v>
      </c>
      <c r="G25" s="8977" t="s">
        <v>131</v>
      </c>
      <c r="H25" s="8782" t="s">
        <v>132</v>
      </c>
      <c r="I25" s="8782" t="s">
        <v>133</v>
      </c>
      <c r="J25" s="8940" t="s">
        <v>2605</v>
      </c>
      <c r="K25" s="8782" t="s">
        <v>2606</v>
      </c>
      <c r="L25" s="8782" t="s">
        <v>2607</v>
      </c>
      <c r="M25" s="9252">
        <v>0</v>
      </c>
      <c r="N25" s="9252">
        <v>1</v>
      </c>
      <c r="O25" s="9252">
        <v>1</v>
      </c>
      <c r="P25" s="8782" t="s">
        <v>2608</v>
      </c>
      <c r="Q25" s="8782" t="s">
        <v>2609</v>
      </c>
      <c r="R25" s="8957" t="s">
        <v>2610</v>
      </c>
      <c r="S25" s="674"/>
      <c r="T25" s="6941"/>
      <c r="U25" s="6941"/>
      <c r="V25" s="582"/>
      <c r="W25" s="6370"/>
      <c r="X25" s="188"/>
      <c r="Y25" s="6400"/>
      <c r="Z25" s="6408"/>
      <c r="AA25" s="6408"/>
      <c r="AB25" s="6401"/>
      <c r="AC25" s="6426"/>
      <c r="AD25" s="386"/>
      <c r="AE25" s="188"/>
      <c r="AF25" s="189"/>
      <c r="AG25" s="189"/>
      <c r="AH25" s="10155"/>
    </row>
    <row r="26" spans="1:34" ht="25.5" customHeight="1">
      <c r="A26" s="10180"/>
      <c r="B26" s="10181"/>
      <c r="C26" s="9841"/>
      <c r="D26" s="9311"/>
      <c r="E26" s="9311"/>
      <c r="F26" s="9311"/>
      <c r="G26" s="9311"/>
      <c r="H26" s="9311"/>
      <c r="I26" s="9311"/>
      <c r="J26" s="9402"/>
      <c r="K26" s="9311"/>
      <c r="L26" s="9311"/>
      <c r="M26" s="9436"/>
      <c r="N26" s="9436"/>
      <c r="O26" s="9436"/>
      <c r="P26" s="9946"/>
      <c r="Q26" s="9946"/>
      <c r="R26" s="10107"/>
      <c r="S26" s="675"/>
      <c r="T26" s="6942"/>
      <c r="U26" s="6942"/>
      <c r="V26" s="584"/>
      <c r="W26" s="6359"/>
      <c r="X26" s="185"/>
      <c r="Y26" s="6396"/>
      <c r="Z26" s="6396"/>
      <c r="AA26" s="6396"/>
      <c r="AB26" s="6397"/>
      <c r="AC26" s="4817"/>
      <c r="AD26" s="383"/>
      <c r="AE26" s="185"/>
      <c r="AF26" s="186"/>
      <c r="AG26" s="186"/>
      <c r="AH26" s="8785"/>
    </row>
    <row r="27" spans="1:34" ht="25.5" customHeight="1">
      <c r="A27" s="10180"/>
      <c r="B27" s="10181"/>
      <c r="C27" s="9841"/>
      <c r="D27" s="9311"/>
      <c r="E27" s="9311"/>
      <c r="F27" s="9311"/>
      <c r="G27" s="9311"/>
      <c r="H27" s="9311"/>
      <c r="I27" s="9311"/>
      <c r="J27" s="9402"/>
      <c r="K27" s="9311"/>
      <c r="L27" s="9311"/>
      <c r="M27" s="9436"/>
      <c r="N27" s="9436"/>
      <c r="O27" s="9436"/>
      <c r="P27" s="9946"/>
      <c r="Q27" s="9946"/>
      <c r="R27" s="10107"/>
      <c r="S27" s="675"/>
      <c r="T27" s="6942"/>
      <c r="U27" s="6942"/>
      <c r="V27" s="584"/>
      <c r="W27" s="6359"/>
      <c r="X27" s="185"/>
      <c r="Y27" s="6396"/>
      <c r="Z27" s="6396"/>
      <c r="AA27" s="6396"/>
      <c r="AB27" s="6397"/>
      <c r="AC27" s="4817"/>
      <c r="AD27" s="383"/>
      <c r="AE27" s="185"/>
      <c r="AF27" s="186"/>
      <c r="AG27" s="186"/>
      <c r="AH27" s="8785"/>
    </row>
    <row r="28" spans="1:34" ht="25.5" customHeight="1">
      <c r="A28" s="10180"/>
      <c r="B28" s="10181"/>
      <c r="C28" s="9841"/>
      <c r="D28" s="9311"/>
      <c r="E28" s="9311"/>
      <c r="F28" s="9311"/>
      <c r="G28" s="9311"/>
      <c r="H28" s="9311"/>
      <c r="I28" s="9311"/>
      <c r="J28" s="9402"/>
      <c r="K28" s="9311"/>
      <c r="L28" s="9311"/>
      <c r="M28" s="9436"/>
      <c r="N28" s="9436"/>
      <c r="O28" s="9436"/>
      <c r="P28" s="9946"/>
      <c r="Q28" s="9946"/>
      <c r="R28" s="10107"/>
      <c r="S28" s="675"/>
      <c r="T28" s="6942"/>
      <c r="U28" s="6942"/>
      <c r="V28" s="584"/>
      <c r="W28" s="6359"/>
      <c r="X28" s="185"/>
      <c r="Y28" s="6396"/>
      <c r="Z28" s="6396"/>
      <c r="AA28" s="6396"/>
      <c r="AB28" s="6397"/>
      <c r="AC28" s="4817"/>
      <c r="AD28" s="383"/>
      <c r="AE28" s="185"/>
      <c r="AF28" s="186"/>
      <c r="AG28" s="186"/>
      <c r="AH28" s="8785"/>
    </row>
    <row r="29" spans="1:34" ht="25.5" customHeight="1">
      <c r="A29" s="10180"/>
      <c r="B29" s="10181"/>
      <c r="C29" s="9842"/>
      <c r="D29" s="9312"/>
      <c r="E29" s="9312"/>
      <c r="F29" s="9312"/>
      <c r="G29" s="9312"/>
      <c r="H29" s="9312"/>
      <c r="I29" s="9312"/>
      <c r="J29" s="9403"/>
      <c r="K29" s="9312"/>
      <c r="L29" s="9312"/>
      <c r="M29" s="9606"/>
      <c r="N29" s="9606"/>
      <c r="O29" s="9606"/>
      <c r="P29" s="9947"/>
      <c r="Q29" s="9947"/>
      <c r="R29" s="10108"/>
      <c r="S29" s="676"/>
      <c r="T29" s="6944"/>
      <c r="U29" s="6944"/>
      <c r="V29" s="593"/>
      <c r="W29" s="6375"/>
      <c r="X29" s="187"/>
      <c r="Y29" s="6404"/>
      <c r="Z29" s="6404"/>
      <c r="AA29" s="6404"/>
      <c r="AB29" s="6405"/>
      <c r="AC29" s="6428"/>
      <c r="AD29" s="384"/>
      <c r="AE29" s="187"/>
      <c r="AF29" s="182"/>
      <c r="AG29" s="182"/>
      <c r="AH29" s="8794"/>
    </row>
    <row r="30" spans="1:34" ht="31.5" customHeight="1">
      <c r="A30" s="10180"/>
      <c r="B30" s="10181"/>
      <c r="C30" s="9280" t="s">
        <v>127</v>
      </c>
      <c r="D30" s="8782" t="s">
        <v>128</v>
      </c>
      <c r="E30" s="8782" t="s">
        <v>129</v>
      </c>
      <c r="F30" s="8782" t="s">
        <v>130</v>
      </c>
      <c r="G30" s="8977" t="s">
        <v>131</v>
      </c>
      <c r="H30" s="8782" t="s">
        <v>132</v>
      </c>
      <c r="I30" s="8782" t="s">
        <v>159</v>
      </c>
      <c r="J30" s="8940" t="s">
        <v>2611</v>
      </c>
      <c r="K30" s="8782" t="s">
        <v>2612</v>
      </c>
      <c r="L30" s="8782" t="s">
        <v>2613</v>
      </c>
      <c r="M30" s="9252">
        <v>2</v>
      </c>
      <c r="N30" s="9252">
        <v>2</v>
      </c>
      <c r="O30" s="9252">
        <v>2</v>
      </c>
      <c r="P30" s="8782" t="s">
        <v>2614</v>
      </c>
      <c r="Q30" s="8782" t="s">
        <v>2615</v>
      </c>
      <c r="R30" s="8957" t="s">
        <v>2591</v>
      </c>
      <c r="S30" s="679"/>
      <c r="T30" s="7164"/>
      <c r="U30" s="7170"/>
      <c r="V30" s="685"/>
      <c r="W30" s="7181"/>
      <c r="X30" s="167"/>
      <c r="Y30" s="7183"/>
      <c r="Z30" s="7184"/>
      <c r="AA30" s="7184"/>
      <c r="AB30" s="7185"/>
      <c r="AC30" s="7191"/>
      <c r="AD30" s="387"/>
      <c r="AE30" s="167"/>
      <c r="AF30" s="168"/>
      <c r="AG30" s="168"/>
      <c r="AH30" s="10187"/>
    </row>
    <row r="31" spans="1:34" ht="31.5" customHeight="1">
      <c r="A31" s="10180"/>
      <c r="B31" s="10181"/>
      <c r="C31" s="9841"/>
      <c r="D31" s="9311"/>
      <c r="E31" s="9311"/>
      <c r="F31" s="9311"/>
      <c r="G31" s="9311"/>
      <c r="H31" s="9311"/>
      <c r="I31" s="9311"/>
      <c r="J31" s="9402"/>
      <c r="K31" s="9311"/>
      <c r="L31" s="9311"/>
      <c r="M31" s="9436"/>
      <c r="N31" s="9436"/>
      <c r="O31" s="9436"/>
      <c r="P31" s="9946"/>
      <c r="Q31" s="9946"/>
      <c r="R31" s="10107"/>
      <c r="S31" s="670"/>
      <c r="T31" s="7099"/>
      <c r="U31" s="7099"/>
      <c r="V31" s="659"/>
      <c r="W31" s="7121"/>
      <c r="X31" s="153"/>
      <c r="Y31" s="7133"/>
      <c r="Z31" s="7133"/>
      <c r="AA31" s="7133"/>
      <c r="AB31" s="7134"/>
      <c r="AC31" s="7192"/>
      <c r="AD31" s="357"/>
      <c r="AE31" s="153"/>
      <c r="AF31" s="154"/>
      <c r="AG31" s="154"/>
      <c r="AH31" s="9445"/>
    </row>
    <row r="32" spans="1:34" ht="31.5" customHeight="1">
      <c r="A32" s="10180"/>
      <c r="B32" s="10181"/>
      <c r="C32" s="9841"/>
      <c r="D32" s="9311"/>
      <c r="E32" s="9311"/>
      <c r="F32" s="9311"/>
      <c r="G32" s="9311"/>
      <c r="H32" s="9311"/>
      <c r="I32" s="9311"/>
      <c r="J32" s="9402"/>
      <c r="K32" s="9311"/>
      <c r="L32" s="9311"/>
      <c r="M32" s="9436"/>
      <c r="N32" s="9436"/>
      <c r="O32" s="9436"/>
      <c r="P32" s="9946"/>
      <c r="Q32" s="9946"/>
      <c r="R32" s="10107"/>
      <c r="S32" s="670"/>
      <c r="T32" s="7099"/>
      <c r="U32" s="7099"/>
      <c r="V32" s="659"/>
      <c r="W32" s="7121"/>
      <c r="X32" s="153"/>
      <c r="Y32" s="7133"/>
      <c r="Z32" s="7133"/>
      <c r="AA32" s="7133"/>
      <c r="AB32" s="7134"/>
      <c r="AC32" s="7192"/>
      <c r="AD32" s="357"/>
      <c r="AE32" s="153"/>
      <c r="AF32" s="154"/>
      <c r="AG32" s="154"/>
      <c r="AH32" s="9445"/>
    </row>
    <row r="33" spans="1:34" ht="31.5" customHeight="1">
      <c r="A33" s="10180"/>
      <c r="B33" s="10181"/>
      <c r="C33" s="9841"/>
      <c r="D33" s="9311"/>
      <c r="E33" s="9311"/>
      <c r="F33" s="9311"/>
      <c r="G33" s="9311"/>
      <c r="H33" s="9311"/>
      <c r="I33" s="9311"/>
      <c r="J33" s="9402"/>
      <c r="K33" s="9311"/>
      <c r="L33" s="9311"/>
      <c r="M33" s="9436"/>
      <c r="N33" s="9436"/>
      <c r="O33" s="9436"/>
      <c r="P33" s="9946"/>
      <c r="Q33" s="9946"/>
      <c r="R33" s="10107"/>
      <c r="S33" s="670"/>
      <c r="T33" s="7099"/>
      <c r="U33" s="7099"/>
      <c r="V33" s="659"/>
      <c r="W33" s="7121"/>
      <c r="X33" s="153"/>
      <c r="Y33" s="7133"/>
      <c r="Z33" s="7133"/>
      <c r="AA33" s="7133"/>
      <c r="AB33" s="7134"/>
      <c r="AC33" s="7192"/>
      <c r="AD33" s="357"/>
      <c r="AE33" s="153"/>
      <c r="AF33" s="154"/>
      <c r="AG33" s="154"/>
      <c r="AH33" s="9445"/>
    </row>
    <row r="34" spans="1:34" ht="31.5" customHeight="1">
      <c r="A34" s="10183"/>
      <c r="B34" s="10184"/>
      <c r="C34" s="9842"/>
      <c r="D34" s="9312"/>
      <c r="E34" s="9312"/>
      <c r="F34" s="9312"/>
      <c r="G34" s="9312"/>
      <c r="H34" s="9312"/>
      <c r="I34" s="9312"/>
      <c r="J34" s="9403"/>
      <c r="K34" s="9312"/>
      <c r="L34" s="9312"/>
      <c r="M34" s="9606"/>
      <c r="N34" s="9606"/>
      <c r="O34" s="9606"/>
      <c r="P34" s="9947"/>
      <c r="Q34" s="9947"/>
      <c r="R34" s="10108"/>
      <c r="S34" s="673"/>
      <c r="T34" s="7168"/>
      <c r="U34" s="4848"/>
      <c r="V34" s="1020"/>
      <c r="W34" s="4865"/>
      <c r="X34" s="1021"/>
      <c r="Y34" s="4903"/>
      <c r="Z34" s="4903"/>
      <c r="AA34" s="4903"/>
      <c r="AB34" s="5990"/>
      <c r="AC34" s="5991"/>
      <c r="AD34" s="1168"/>
      <c r="AE34" s="1021"/>
      <c r="AF34" s="1169"/>
      <c r="AG34" s="170"/>
      <c r="AH34" s="9446"/>
    </row>
    <row r="35" spans="1:34" ht="31.5" customHeight="1">
      <c r="A35" s="10053" t="s">
        <v>2585</v>
      </c>
      <c r="B35" s="10179"/>
      <c r="C35" s="9280" t="s">
        <v>127</v>
      </c>
      <c r="D35" s="8782" t="s">
        <v>128</v>
      </c>
      <c r="E35" s="8782" t="s">
        <v>129</v>
      </c>
      <c r="F35" s="8782" t="s">
        <v>130</v>
      </c>
      <c r="G35" s="8977" t="s">
        <v>131</v>
      </c>
      <c r="H35" s="8782" t="s">
        <v>132</v>
      </c>
      <c r="I35" s="8782" t="s">
        <v>159</v>
      </c>
      <c r="J35" s="8940" t="s">
        <v>2616</v>
      </c>
      <c r="K35" s="8782" t="s">
        <v>2617</v>
      </c>
      <c r="L35" s="8782" t="s">
        <v>2618</v>
      </c>
      <c r="M35" s="9252">
        <v>2</v>
      </c>
      <c r="N35" s="9252">
        <v>2</v>
      </c>
      <c r="O35" s="9252">
        <v>2</v>
      </c>
      <c r="P35" s="8782" t="s">
        <v>2619</v>
      </c>
      <c r="Q35" s="8782" t="s">
        <v>2620</v>
      </c>
      <c r="R35" s="8957" t="s">
        <v>2591</v>
      </c>
      <c r="S35" s="669" t="s">
        <v>15</v>
      </c>
      <c r="T35" s="7174">
        <v>530208</v>
      </c>
      <c r="U35" s="7175"/>
      <c r="V35" s="2708" t="s">
        <v>2621</v>
      </c>
      <c r="W35" s="7182"/>
      <c r="X35" s="471"/>
      <c r="Y35" s="7186"/>
      <c r="Z35" s="7186"/>
      <c r="AA35" s="7186"/>
      <c r="AB35" s="7909">
        <f>+AA36</f>
        <v>0</v>
      </c>
      <c r="AC35" s="5973" t="s">
        <v>18</v>
      </c>
      <c r="AD35" s="1172"/>
      <c r="AE35" s="1173"/>
      <c r="AF35" s="1174"/>
      <c r="AG35" s="474"/>
      <c r="AH35" s="10187"/>
    </row>
    <row r="36" spans="1:34" ht="32.25" customHeight="1">
      <c r="A36" s="10180"/>
      <c r="B36" s="10181"/>
      <c r="C36" s="9841"/>
      <c r="D36" s="9311"/>
      <c r="E36" s="9311"/>
      <c r="F36" s="9311"/>
      <c r="G36" s="9311"/>
      <c r="H36" s="9311"/>
      <c r="I36" s="9311"/>
      <c r="J36" s="9402"/>
      <c r="K36" s="9311"/>
      <c r="L36" s="9311"/>
      <c r="M36" s="9436"/>
      <c r="N36" s="9436"/>
      <c r="O36" s="9436"/>
      <c r="P36" s="9946"/>
      <c r="Q36" s="9946"/>
      <c r="R36" s="10107"/>
      <c r="S36" s="670"/>
      <c r="T36" s="7176"/>
      <c r="U36" s="7176"/>
      <c r="V36" s="2709" t="s">
        <v>2622</v>
      </c>
      <c r="W36" s="7910">
        <v>0</v>
      </c>
      <c r="X36" s="57" t="s">
        <v>152</v>
      </c>
      <c r="Y36" s="7815">
        <v>0</v>
      </c>
      <c r="Z36" s="7815">
        <f>+W36*Y36</f>
        <v>0</v>
      </c>
      <c r="AA36" s="7815">
        <f>+Z36*1.12</f>
        <v>0</v>
      </c>
      <c r="AB36" s="7189"/>
      <c r="AC36" s="7193"/>
      <c r="AD36" s="1348"/>
      <c r="AE36" s="1151"/>
      <c r="AF36" s="1152" t="s">
        <v>153</v>
      </c>
      <c r="AG36" s="154"/>
      <c r="AH36" s="9445"/>
    </row>
    <row r="37" spans="1:34" ht="31.5" customHeight="1">
      <c r="A37" s="10180"/>
      <c r="B37" s="10181"/>
      <c r="C37" s="9841"/>
      <c r="D37" s="9311"/>
      <c r="E37" s="9311"/>
      <c r="F37" s="9311"/>
      <c r="G37" s="9311"/>
      <c r="H37" s="9311"/>
      <c r="I37" s="9311"/>
      <c r="J37" s="9402"/>
      <c r="K37" s="9311"/>
      <c r="L37" s="9311"/>
      <c r="M37" s="9436"/>
      <c r="N37" s="9436"/>
      <c r="O37" s="9436"/>
      <c r="P37" s="9946"/>
      <c r="Q37" s="9946"/>
      <c r="R37" s="10107"/>
      <c r="S37" s="680"/>
      <c r="T37" s="6583"/>
      <c r="U37" s="7176"/>
      <c r="V37" s="1908"/>
      <c r="W37" s="6618"/>
      <c r="X37" s="57"/>
      <c r="Y37" s="6686"/>
      <c r="Z37" s="6686"/>
      <c r="AA37" s="6686"/>
      <c r="AB37" s="5962"/>
      <c r="AC37" s="5963"/>
      <c r="AD37" s="1150"/>
      <c r="AE37" s="1151"/>
      <c r="AF37" s="1152"/>
      <c r="AG37" s="154"/>
      <c r="AH37" s="9445"/>
    </row>
    <row r="38" spans="1:34" ht="31.5" customHeight="1">
      <c r="A38" s="10180"/>
      <c r="B38" s="10181"/>
      <c r="C38" s="9841"/>
      <c r="D38" s="9311"/>
      <c r="E38" s="9311"/>
      <c r="F38" s="9311"/>
      <c r="G38" s="9311"/>
      <c r="H38" s="9311"/>
      <c r="I38" s="9311"/>
      <c r="J38" s="9402"/>
      <c r="K38" s="9311"/>
      <c r="L38" s="9311"/>
      <c r="M38" s="9436"/>
      <c r="N38" s="9436"/>
      <c r="O38" s="9436"/>
      <c r="P38" s="9946"/>
      <c r="Q38" s="9946"/>
      <c r="R38" s="10107"/>
      <c r="S38" s="670"/>
      <c r="T38" s="7176"/>
      <c r="U38" s="7176"/>
      <c r="V38" s="741"/>
      <c r="W38" s="6618"/>
      <c r="X38" s="57"/>
      <c r="Y38" s="6686"/>
      <c r="Z38" s="6686"/>
      <c r="AA38" s="6686"/>
      <c r="AB38" s="5962"/>
      <c r="AC38" s="5963"/>
      <c r="AD38" s="1150"/>
      <c r="AE38" s="1151"/>
      <c r="AF38" s="1152"/>
      <c r="AG38" s="154"/>
      <c r="AH38" s="9445"/>
    </row>
    <row r="39" spans="1:34" ht="31.5" customHeight="1">
      <c r="A39" s="10180"/>
      <c r="B39" s="10181"/>
      <c r="C39" s="9842"/>
      <c r="D39" s="9312"/>
      <c r="E39" s="9312"/>
      <c r="F39" s="9312"/>
      <c r="G39" s="9312"/>
      <c r="H39" s="9312"/>
      <c r="I39" s="9312"/>
      <c r="J39" s="9403"/>
      <c r="K39" s="9312"/>
      <c r="L39" s="9312"/>
      <c r="M39" s="9606"/>
      <c r="N39" s="9606"/>
      <c r="O39" s="9606"/>
      <c r="P39" s="9947"/>
      <c r="Q39" s="9947"/>
      <c r="R39" s="10108"/>
      <c r="S39" s="673"/>
      <c r="T39" s="7168"/>
      <c r="U39" s="4848"/>
      <c r="V39" s="1155"/>
      <c r="W39" s="4865"/>
      <c r="X39" s="1021"/>
      <c r="Y39" s="7187"/>
      <c r="Z39" s="4903"/>
      <c r="AA39" s="4903"/>
      <c r="AB39" s="7188"/>
      <c r="AC39" s="7194"/>
      <c r="AD39" s="1349"/>
      <c r="AE39" s="1158"/>
      <c r="AF39" s="1159"/>
      <c r="AG39" s="165"/>
      <c r="AH39" s="9446"/>
    </row>
    <row r="40" spans="1:34" ht="25.5" customHeight="1">
      <c r="A40" s="10180"/>
      <c r="B40" s="10181"/>
      <c r="C40" s="9280" t="s">
        <v>127</v>
      </c>
      <c r="D40" s="8782" t="s">
        <v>128</v>
      </c>
      <c r="E40" s="8782" t="s">
        <v>129</v>
      </c>
      <c r="F40" s="8782" t="s">
        <v>268</v>
      </c>
      <c r="G40" s="8977" t="s">
        <v>131</v>
      </c>
      <c r="H40" s="8782" t="s">
        <v>132</v>
      </c>
      <c r="I40" s="8782" t="s">
        <v>159</v>
      </c>
      <c r="J40" s="8940" t="s">
        <v>2623</v>
      </c>
      <c r="K40" s="8782" t="s">
        <v>2624</v>
      </c>
      <c r="L40" s="8782" t="s">
        <v>2625</v>
      </c>
      <c r="M40" s="9252">
        <v>2</v>
      </c>
      <c r="N40" s="9252">
        <v>2</v>
      </c>
      <c r="O40" s="9252">
        <v>2</v>
      </c>
      <c r="P40" s="8782" t="s">
        <v>2626</v>
      </c>
      <c r="Q40" s="8782" t="s">
        <v>2627</v>
      </c>
      <c r="R40" s="8957" t="s">
        <v>2610</v>
      </c>
      <c r="S40" s="674"/>
      <c r="T40" s="6941"/>
      <c r="U40" s="4850"/>
      <c r="V40" s="1113"/>
      <c r="W40" s="6383"/>
      <c r="X40" s="1036"/>
      <c r="Y40" s="6413"/>
      <c r="Z40" s="4900"/>
      <c r="AA40" s="4900"/>
      <c r="AB40" s="6414"/>
      <c r="AC40" s="6291"/>
      <c r="AD40" s="1037"/>
      <c r="AE40" s="1036"/>
      <c r="AF40" s="1038"/>
      <c r="AG40" s="189"/>
      <c r="AH40" s="10155"/>
    </row>
    <row r="41" spans="1:34" ht="25.5" customHeight="1">
      <c r="A41" s="10180"/>
      <c r="B41" s="10181"/>
      <c r="C41" s="9841"/>
      <c r="D41" s="9311"/>
      <c r="E41" s="9311"/>
      <c r="F41" s="9311"/>
      <c r="G41" s="9311"/>
      <c r="H41" s="9311"/>
      <c r="I41" s="9311"/>
      <c r="J41" s="9402"/>
      <c r="K41" s="9311"/>
      <c r="L41" s="9311"/>
      <c r="M41" s="9436"/>
      <c r="N41" s="9436"/>
      <c r="O41" s="9436"/>
      <c r="P41" s="9946"/>
      <c r="Q41" s="9946"/>
      <c r="R41" s="10107"/>
      <c r="S41" s="675"/>
      <c r="T41" s="6942"/>
      <c r="U41" s="4844"/>
      <c r="V41" s="798"/>
      <c r="W41" s="4862"/>
      <c r="X41" s="799"/>
      <c r="Y41" s="4898"/>
      <c r="Z41" s="4898"/>
      <c r="AA41" s="4898"/>
      <c r="AB41" s="4899"/>
      <c r="AC41" s="4876"/>
      <c r="AD41" s="1012"/>
      <c r="AE41" s="799"/>
      <c r="AF41" s="1013"/>
      <c r="AG41" s="186"/>
      <c r="AH41" s="8785"/>
    </row>
    <row r="42" spans="1:34" ht="25.5" customHeight="1">
      <c r="A42" s="10180"/>
      <c r="B42" s="10181"/>
      <c r="C42" s="9841"/>
      <c r="D42" s="9311"/>
      <c r="E42" s="9311"/>
      <c r="F42" s="9311"/>
      <c r="G42" s="9311"/>
      <c r="H42" s="9311"/>
      <c r="I42" s="9311"/>
      <c r="J42" s="9402"/>
      <c r="K42" s="9311"/>
      <c r="L42" s="9311"/>
      <c r="M42" s="9436"/>
      <c r="N42" s="9436"/>
      <c r="O42" s="9436"/>
      <c r="P42" s="9946"/>
      <c r="Q42" s="9946"/>
      <c r="R42" s="10107"/>
      <c r="S42" s="675"/>
      <c r="T42" s="6942"/>
      <c r="U42" s="4844"/>
      <c r="V42" s="798"/>
      <c r="W42" s="4862"/>
      <c r="X42" s="799"/>
      <c r="Y42" s="4898"/>
      <c r="Z42" s="4898"/>
      <c r="AA42" s="4898"/>
      <c r="AB42" s="4899"/>
      <c r="AC42" s="4876"/>
      <c r="AD42" s="1012"/>
      <c r="AE42" s="799"/>
      <c r="AF42" s="1013"/>
      <c r="AG42" s="186"/>
      <c r="AH42" s="8785"/>
    </row>
    <row r="43" spans="1:34" ht="25.5" customHeight="1">
      <c r="A43" s="10180"/>
      <c r="B43" s="10181"/>
      <c r="C43" s="9841"/>
      <c r="D43" s="9311"/>
      <c r="E43" s="9311"/>
      <c r="F43" s="9311"/>
      <c r="G43" s="9311"/>
      <c r="H43" s="9311"/>
      <c r="I43" s="9311"/>
      <c r="J43" s="9402"/>
      <c r="K43" s="9311"/>
      <c r="L43" s="9311"/>
      <c r="M43" s="9436"/>
      <c r="N43" s="9436"/>
      <c r="O43" s="9436"/>
      <c r="P43" s="9946"/>
      <c r="Q43" s="9946"/>
      <c r="R43" s="10107"/>
      <c r="S43" s="675"/>
      <c r="T43" s="6942"/>
      <c r="U43" s="4844"/>
      <c r="V43" s="798"/>
      <c r="W43" s="4862"/>
      <c r="X43" s="799"/>
      <c r="Y43" s="4898"/>
      <c r="Z43" s="4898"/>
      <c r="AA43" s="4898"/>
      <c r="AB43" s="4899"/>
      <c r="AC43" s="4876"/>
      <c r="AD43" s="1012"/>
      <c r="AE43" s="799"/>
      <c r="AF43" s="1013"/>
      <c r="AG43" s="186"/>
      <c r="AH43" s="8785"/>
    </row>
    <row r="44" spans="1:34" ht="25.5" customHeight="1">
      <c r="A44" s="10180"/>
      <c r="B44" s="10181"/>
      <c r="C44" s="9842"/>
      <c r="D44" s="9312"/>
      <c r="E44" s="9312"/>
      <c r="F44" s="9312"/>
      <c r="G44" s="9312"/>
      <c r="H44" s="9312"/>
      <c r="I44" s="9312"/>
      <c r="J44" s="9403"/>
      <c r="K44" s="9312"/>
      <c r="L44" s="9312"/>
      <c r="M44" s="9606"/>
      <c r="N44" s="9606"/>
      <c r="O44" s="9606"/>
      <c r="P44" s="9947"/>
      <c r="Q44" s="9947"/>
      <c r="R44" s="10108"/>
      <c r="S44" s="676"/>
      <c r="T44" s="6944"/>
      <c r="U44" s="4852"/>
      <c r="V44" s="1031"/>
      <c r="W44" s="4868"/>
      <c r="X44" s="1023"/>
      <c r="Y44" s="4909"/>
      <c r="Z44" s="4909"/>
      <c r="AA44" s="4909"/>
      <c r="AB44" s="4905"/>
      <c r="AC44" s="4877"/>
      <c r="AD44" s="1022"/>
      <c r="AE44" s="1023"/>
      <c r="AF44" s="1024"/>
      <c r="AG44" s="182"/>
      <c r="AH44" s="8794"/>
    </row>
    <row r="45" spans="1:34" ht="26.25" customHeight="1">
      <c r="A45" s="10180"/>
      <c r="B45" s="10181"/>
      <c r="C45" s="9280" t="s">
        <v>127</v>
      </c>
      <c r="D45" s="8782" t="s">
        <v>128</v>
      </c>
      <c r="E45" s="8782" t="s">
        <v>140</v>
      </c>
      <c r="F45" s="8782" t="s">
        <v>238</v>
      </c>
      <c r="G45" s="8977" t="s">
        <v>131</v>
      </c>
      <c r="H45" s="8782" t="s">
        <v>132</v>
      </c>
      <c r="I45" s="8782" t="s">
        <v>159</v>
      </c>
      <c r="J45" s="8940" t="s">
        <v>2628</v>
      </c>
      <c r="K45" s="8782" t="s">
        <v>2629</v>
      </c>
      <c r="L45" s="8782" t="s">
        <v>2630</v>
      </c>
      <c r="M45" s="9252">
        <v>0</v>
      </c>
      <c r="N45" s="9252">
        <v>1</v>
      </c>
      <c r="O45" s="9252">
        <v>1</v>
      </c>
      <c r="P45" s="8782" t="s">
        <v>2631</v>
      </c>
      <c r="Q45" s="9217" t="s">
        <v>2632</v>
      </c>
      <c r="R45" s="8957" t="s">
        <v>2591</v>
      </c>
      <c r="S45" s="681"/>
      <c r="T45" s="6941"/>
      <c r="U45" s="4850"/>
      <c r="V45" s="1032"/>
      <c r="W45" s="4863"/>
      <c r="X45" s="794"/>
      <c r="Y45" s="4900"/>
      <c r="Z45" s="4900"/>
      <c r="AA45" s="4900"/>
      <c r="AB45" s="4906"/>
      <c r="AC45" s="4878"/>
      <c r="AD45" s="1009"/>
      <c r="AE45" s="794"/>
      <c r="AF45" s="1033"/>
      <c r="AG45" s="184"/>
      <c r="AH45" s="10155"/>
    </row>
    <row r="46" spans="1:34" ht="26.25" customHeight="1">
      <c r="A46" s="10180"/>
      <c r="B46" s="10181"/>
      <c r="C46" s="9841"/>
      <c r="D46" s="9311"/>
      <c r="E46" s="9311"/>
      <c r="F46" s="9311"/>
      <c r="G46" s="9311"/>
      <c r="H46" s="9311"/>
      <c r="I46" s="9311"/>
      <c r="J46" s="9402"/>
      <c r="K46" s="9311"/>
      <c r="L46" s="9311"/>
      <c r="M46" s="9436"/>
      <c r="N46" s="9436"/>
      <c r="O46" s="9436"/>
      <c r="P46" s="9946"/>
      <c r="Q46" s="10039"/>
      <c r="R46" s="10107"/>
      <c r="S46" s="678"/>
      <c r="T46" s="6943"/>
      <c r="U46" s="4845"/>
      <c r="V46" s="798"/>
      <c r="W46" s="4862"/>
      <c r="X46" s="799"/>
      <c r="Y46" s="4898"/>
      <c r="Z46" s="4898"/>
      <c r="AA46" s="4898"/>
      <c r="AB46" s="4899"/>
      <c r="AC46" s="4876"/>
      <c r="AD46" s="1012"/>
      <c r="AE46" s="799"/>
      <c r="AF46" s="1013"/>
      <c r="AG46" s="186"/>
      <c r="AH46" s="8785"/>
    </row>
    <row r="47" spans="1:34" ht="26.25" customHeight="1">
      <c r="A47" s="10180"/>
      <c r="B47" s="10181"/>
      <c r="C47" s="9841"/>
      <c r="D47" s="9311"/>
      <c r="E47" s="9311"/>
      <c r="F47" s="9311"/>
      <c r="G47" s="9311"/>
      <c r="H47" s="9311"/>
      <c r="I47" s="9311"/>
      <c r="J47" s="9402"/>
      <c r="K47" s="9311"/>
      <c r="L47" s="9311"/>
      <c r="M47" s="9436"/>
      <c r="N47" s="9436"/>
      <c r="O47" s="9436"/>
      <c r="P47" s="9946"/>
      <c r="Q47" s="10039"/>
      <c r="R47" s="10107"/>
      <c r="S47" s="675"/>
      <c r="T47" s="6942"/>
      <c r="U47" s="4844"/>
      <c r="V47" s="798"/>
      <c r="W47" s="4862"/>
      <c r="X47" s="799"/>
      <c r="Y47" s="4898"/>
      <c r="Z47" s="4898"/>
      <c r="AA47" s="4898"/>
      <c r="AB47" s="4899"/>
      <c r="AC47" s="4876"/>
      <c r="AD47" s="1012"/>
      <c r="AE47" s="799"/>
      <c r="AF47" s="1013"/>
      <c r="AG47" s="186"/>
      <c r="AH47" s="8785"/>
    </row>
    <row r="48" spans="1:34" ht="26.25" customHeight="1">
      <c r="A48" s="10180"/>
      <c r="B48" s="10181"/>
      <c r="C48" s="9841"/>
      <c r="D48" s="9311"/>
      <c r="E48" s="9311"/>
      <c r="F48" s="9311"/>
      <c r="G48" s="9311"/>
      <c r="H48" s="9311"/>
      <c r="I48" s="9311"/>
      <c r="J48" s="9402"/>
      <c r="K48" s="9311"/>
      <c r="L48" s="9311"/>
      <c r="M48" s="9436"/>
      <c r="N48" s="9436"/>
      <c r="O48" s="9436"/>
      <c r="P48" s="9946"/>
      <c r="Q48" s="10039"/>
      <c r="R48" s="10107"/>
      <c r="S48" s="675"/>
      <c r="T48" s="6942"/>
      <c r="U48" s="6942"/>
      <c r="V48" s="584"/>
      <c r="W48" s="6359"/>
      <c r="X48" s="185"/>
      <c r="Y48" s="6396"/>
      <c r="Z48" s="6396"/>
      <c r="AA48" s="6396"/>
      <c r="AB48" s="6397"/>
      <c r="AC48" s="4817"/>
      <c r="AD48" s="383"/>
      <c r="AE48" s="185"/>
      <c r="AF48" s="186"/>
      <c r="AG48" s="186"/>
      <c r="AH48" s="8785"/>
    </row>
    <row r="49" spans="1:34" ht="26.25" customHeight="1">
      <c r="A49" s="10180"/>
      <c r="B49" s="10181"/>
      <c r="C49" s="9842"/>
      <c r="D49" s="9312"/>
      <c r="E49" s="9312"/>
      <c r="F49" s="9312"/>
      <c r="G49" s="9312"/>
      <c r="H49" s="9312"/>
      <c r="I49" s="9312"/>
      <c r="J49" s="9403"/>
      <c r="K49" s="9312"/>
      <c r="L49" s="9312"/>
      <c r="M49" s="9606"/>
      <c r="N49" s="9606"/>
      <c r="O49" s="9606"/>
      <c r="P49" s="9947"/>
      <c r="Q49" s="10188"/>
      <c r="R49" s="10108"/>
      <c r="S49" s="682"/>
      <c r="T49" s="7104"/>
      <c r="U49" s="7104"/>
      <c r="V49" s="593"/>
      <c r="W49" s="6375"/>
      <c r="X49" s="187"/>
      <c r="Y49" s="6404"/>
      <c r="Z49" s="6404"/>
      <c r="AA49" s="6404"/>
      <c r="AB49" s="6405"/>
      <c r="AC49" s="6428"/>
      <c r="AD49" s="384"/>
      <c r="AE49" s="187"/>
      <c r="AF49" s="182"/>
      <c r="AG49" s="182"/>
      <c r="AH49" s="8794"/>
    </row>
    <row r="50" spans="1:34" ht="27" customHeight="1">
      <c r="A50" s="10180"/>
      <c r="B50" s="10181"/>
      <c r="C50" s="9280" t="s">
        <v>127</v>
      </c>
      <c r="D50" s="8782" t="s">
        <v>128</v>
      </c>
      <c r="E50" s="8782" t="s">
        <v>129</v>
      </c>
      <c r="F50" s="8782" t="s">
        <v>268</v>
      </c>
      <c r="G50" s="8977" t="s">
        <v>131</v>
      </c>
      <c r="H50" s="8782" t="s">
        <v>132</v>
      </c>
      <c r="I50" s="8782" t="s">
        <v>159</v>
      </c>
      <c r="J50" s="8782" t="s">
        <v>430</v>
      </c>
      <c r="K50" s="8782" t="s">
        <v>1378</v>
      </c>
      <c r="L50" s="8782" t="s">
        <v>2633</v>
      </c>
      <c r="M50" s="9252">
        <v>2</v>
      </c>
      <c r="N50" s="9252">
        <v>2</v>
      </c>
      <c r="O50" s="9252">
        <v>2</v>
      </c>
      <c r="P50" s="8834" t="s">
        <v>2634</v>
      </c>
      <c r="Q50" s="8834" t="s">
        <v>1381</v>
      </c>
      <c r="R50" s="8982" t="s">
        <v>2591</v>
      </c>
      <c r="S50" s="681"/>
      <c r="T50" s="7108"/>
      <c r="U50" s="7108"/>
      <c r="V50" s="687"/>
      <c r="W50" s="6370"/>
      <c r="X50" s="188"/>
      <c r="Y50" s="6400"/>
      <c r="Z50" s="6400"/>
      <c r="AA50" s="6400"/>
      <c r="AB50" s="6401"/>
      <c r="AC50" s="6426"/>
      <c r="AD50" s="386"/>
      <c r="AE50" s="188"/>
      <c r="AF50" s="189"/>
      <c r="AG50" s="189"/>
      <c r="AH50" s="10155"/>
    </row>
    <row r="51" spans="1:34" ht="27" customHeight="1">
      <c r="A51" s="10180"/>
      <c r="B51" s="10181"/>
      <c r="C51" s="9841"/>
      <c r="D51" s="9311"/>
      <c r="E51" s="9311"/>
      <c r="F51" s="9311"/>
      <c r="G51" s="9311"/>
      <c r="H51" s="9311"/>
      <c r="I51" s="9311"/>
      <c r="J51" s="9311"/>
      <c r="K51" s="9311"/>
      <c r="L51" s="9311"/>
      <c r="M51" s="9436"/>
      <c r="N51" s="9436"/>
      <c r="O51" s="9436"/>
      <c r="P51" s="9436"/>
      <c r="Q51" s="9436"/>
      <c r="R51" s="9861"/>
      <c r="S51" s="678"/>
      <c r="T51" s="6943"/>
      <c r="U51" s="6943"/>
      <c r="V51" s="584"/>
      <c r="W51" s="6359"/>
      <c r="X51" s="185"/>
      <c r="Y51" s="6396"/>
      <c r="Z51" s="6396"/>
      <c r="AA51" s="6396"/>
      <c r="AB51" s="6397"/>
      <c r="AC51" s="4817"/>
      <c r="AD51" s="383"/>
      <c r="AE51" s="185"/>
      <c r="AF51" s="186"/>
      <c r="AG51" s="186"/>
      <c r="AH51" s="8785"/>
    </row>
    <row r="52" spans="1:34" ht="27" customHeight="1">
      <c r="A52" s="10180"/>
      <c r="B52" s="10181"/>
      <c r="C52" s="9841"/>
      <c r="D52" s="9311"/>
      <c r="E52" s="9311"/>
      <c r="F52" s="9311"/>
      <c r="G52" s="9311"/>
      <c r="H52" s="9311"/>
      <c r="I52" s="9311"/>
      <c r="J52" s="9311"/>
      <c r="K52" s="9311"/>
      <c r="L52" s="9311"/>
      <c r="M52" s="9436"/>
      <c r="N52" s="9436"/>
      <c r="O52" s="9436"/>
      <c r="P52" s="9436"/>
      <c r="Q52" s="9436"/>
      <c r="R52" s="9861"/>
      <c r="S52" s="675"/>
      <c r="T52" s="6942"/>
      <c r="U52" s="6942"/>
      <c r="V52" s="584"/>
      <c r="W52" s="6359"/>
      <c r="X52" s="185"/>
      <c r="Y52" s="6396"/>
      <c r="Z52" s="6396"/>
      <c r="AA52" s="6396"/>
      <c r="AB52" s="6397"/>
      <c r="AC52" s="4817"/>
      <c r="AD52" s="383"/>
      <c r="AE52" s="185"/>
      <c r="AF52" s="186"/>
      <c r="AG52" s="186"/>
      <c r="AH52" s="8785"/>
    </row>
    <row r="53" spans="1:34" ht="27" customHeight="1">
      <c r="A53" s="10180"/>
      <c r="B53" s="10181"/>
      <c r="C53" s="9841"/>
      <c r="D53" s="9311"/>
      <c r="E53" s="9311"/>
      <c r="F53" s="9311"/>
      <c r="G53" s="9311"/>
      <c r="H53" s="9311"/>
      <c r="I53" s="9311"/>
      <c r="J53" s="9311"/>
      <c r="K53" s="9311"/>
      <c r="L53" s="9311"/>
      <c r="M53" s="9436"/>
      <c r="N53" s="9436"/>
      <c r="O53" s="9436"/>
      <c r="P53" s="9436"/>
      <c r="Q53" s="9436"/>
      <c r="R53" s="9861"/>
      <c r="S53" s="675"/>
      <c r="T53" s="6942"/>
      <c r="U53" s="6942"/>
      <c r="V53" s="584"/>
      <c r="W53" s="6359"/>
      <c r="X53" s="185"/>
      <c r="Y53" s="6396"/>
      <c r="Z53" s="6396"/>
      <c r="AA53" s="6396"/>
      <c r="AB53" s="6397"/>
      <c r="AC53" s="4817"/>
      <c r="AD53" s="383"/>
      <c r="AE53" s="185"/>
      <c r="AF53" s="186"/>
      <c r="AG53" s="186"/>
      <c r="AH53" s="8785"/>
    </row>
    <row r="54" spans="1:34" ht="27" customHeight="1">
      <c r="A54" s="10180"/>
      <c r="B54" s="10181"/>
      <c r="C54" s="9842"/>
      <c r="D54" s="9312"/>
      <c r="E54" s="9312"/>
      <c r="F54" s="9312"/>
      <c r="G54" s="9312"/>
      <c r="H54" s="9312"/>
      <c r="I54" s="9312"/>
      <c r="J54" s="9312"/>
      <c r="K54" s="9312"/>
      <c r="L54" s="9312"/>
      <c r="M54" s="9606"/>
      <c r="N54" s="9606"/>
      <c r="O54" s="9606"/>
      <c r="P54" s="9606"/>
      <c r="Q54" s="9606"/>
      <c r="R54" s="9862"/>
      <c r="S54" s="676"/>
      <c r="T54" s="6944"/>
      <c r="U54" s="6944"/>
      <c r="V54" s="593"/>
      <c r="W54" s="6375"/>
      <c r="X54" s="187"/>
      <c r="Y54" s="6404"/>
      <c r="Z54" s="6404"/>
      <c r="AA54" s="6404"/>
      <c r="AB54" s="6405"/>
      <c r="AC54" s="6428"/>
      <c r="AD54" s="384"/>
      <c r="AE54" s="187"/>
      <c r="AF54" s="182"/>
      <c r="AG54" s="182"/>
      <c r="AH54" s="8794"/>
    </row>
    <row r="55" spans="1:34" ht="22.5" customHeight="1">
      <c r="A55" s="320"/>
      <c r="B55" s="504"/>
      <c r="C55" s="505"/>
      <c r="D55" s="506"/>
      <c r="E55" s="506"/>
      <c r="F55" s="506"/>
      <c r="G55" s="506"/>
      <c r="H55" s="506"/>
      <c r="I55" s="506"/>
      <c r="J55" s="506"/>
      <c r="K55" s="506"/>
      <c r="L55" s="506"/>
      <c r="M55" s="506"/>
      <c r="N55" s="506"/>
      <c r="O55" s="506"/>
      <c r="P55" s="506"/>
      <c r="Q55" s="506"/>
      <c r="R55" s="506"/>
      <c r="S55" s="10185" t="s">
        <v>2635</v>
      </c>
      <c r="T55" s="10186"/>
      <c r="U55" s="10186"/>
      <c r="V55" s="10186"/>
      <c r="W55" s="10186"/>
      <c r="X55" s="10186"/>
      <c r="Y55" s="10186"/>
      <c r="Z55" s="10186"/>
      <c r="AA55" s="507" t="s">
        <v>292</v>
      </c>
      <c r="AB55" s="503">
        <f>SUM(AB9:AB54)</f>
        <v>0</v>
      </c>
      <c r="AC55" s="388"/>
      <c r="AD55" s="388"/>
      <c r="AE55" s="9934"/>
      <c r="AF55" s="9675"/>
      <c r="AG55" s="9675"/>
      <c r="AH55" s="9676"/>
    </row>
    <row r="56" spans="1:34" ht="16.5">
      <c r="A56" s="8"/>
      <c r="B56" s="194"/>
      <c r="C56" s="6" t="s">
        <v>656</v>
      </c>
      <c r="D56" s="143"/>
      <c r="E56" s="143"/>
      <c r="F56" s="143"/>
      <c r="G56" s="143"/>
      <c r="H56" s="143"/>
      <c r="I56" s="143"/>
      <c r="J56" s="143"/>
      <c r="K56" s="143"/>
      <c r="L56" s="143"/>
      <c r="M56" s="143"/>
      <c r="N56" s="143"/>
      <c r="O56" s="143"/>
      <c r="P56" s="143"/>
      <c r="Q56" s="143"/>
      <c r="R56" s="143"/>
      <c r="S56" s="9377" t="s">
        <v>533</v>
      </c>
      <c r="T56" s="8825"/>
      <c r="U56" s="8825"/>
      <c r="V56" s="8825"/>
      <c r="W56" s="8825"/>
      <c r="X56" s="8825"/>
      <c r="Y56" s="8825"/>
      <c r="Z56" s="8825"/>
      <c r="AA56" s="8825"/>
      <c r="AB56" s="8825"/>
      <c r="AC56" s="8825"/>
      <c r="AD56" s="8825"/>
      <c r="AE56" s="8825"/>
      <c r="AF56" s="8825"/>
      <c r="AG56" s="8825"/>
      <c r="AH56" s="8825"/>
    </row>
    <row r="57" spans="1:34" ht="16.5" customHeight="1">
      <c r="A57" s="8"/>
      <c r="B57" s="194"/>
      <c r="C57" s="6" t="s">
        <v>658</v>
      </c>
      <c r="D57" s="143"/>
      <c r="E57" s="143"/>
      <c r="F57" s="143"/>
      <c r="G57" s="143"/>
      <c r="H57" s="143"/>
      <c r="I57" s="143"/>
      <c r="J57" s="143"/>
      <c r="K57" s="143"/>
      <c r="L57" s="143"/>
      <c r="M57" s="143"/>
      <c r="N57" s="143"/>
      <c r="O57" s="143"/>
      <c r="P57" s="143"/>
      <c r="Q57" s="143"/>
      <c r="R57" s="143"/>
      <c r="S57" s="210"/>
      <c r="T57" s="210"/>
      <c r="AF57" s="8"/>
      <c r="AG57" s="8"/>
    </row>
    <row r="58" spans="1:34" ht="18">
      <c r="A58" s="8"/>
      <c r="B58" s="8"/>
      <c r="C58" s="143"/>
      <c r="D58" s="143"/>
      <c r="E58" s="143"/>
      <c r="F58" s="143"/>
      <c r="G58" s="143"/>
      <c r="H58" s="143"/>
      <c r="I58" s="143"/>
      <c r="J58" s="143"/>
      <c r="K58" s="143"/>
      <c r="L58" s="143"/>
      <c r="M58" s="143"/>
      <c r="N58" s="143"/>
      <c r="O58" s="143"/>
      <c r="P58" s="143"/>
      <c r="Q58" s="143"/>
      <c r="R58" s="143"/>
      <c r="S58" s="210"/>
      <c r="T58" s="305"/>
      <c r="U58" s="8775" t="s">
        <v>351</v>
      </c>
      <c r="V58" s="9379"/>
      <c r="W58" s="9379"/>
      <c r="X58" s="9379"/>
      <c r="Y58" s="9379"/>
      <c r="Z58" s="9379"/>
      <c r="AB58" s="365"/>
      <c r="AD58" s="231"/>
      <c r="AF58" s="8"/>
      <c r="AG58" s="8"/>
    </row>
    <row r="59" spans="1:34" ht="16.5" customHeight="1">
      <c r="A59" s="8"/>
      <c r="B59" s="8"/>
      <c r="C59" s="143"/>
      <c r="D59" s="143"/>
      <c r="E59" s="143"/>
      <c r="F59" s="143"/>
      <c r="G59" s="143"/>
      <c r="H59" s="143"/>
      <c r="I59" s="143"/>
      <c r="J59" s="143"/>
      <c r="K59" s="143"/>
      <c r="L59" s="143"/>
      <c r="M59" s="143"/>
      <c r="N59" s="143"/>
      <c r="O59" s="143"/>
      <c r="P59" s="143"/>
      <c r="Q59" s="143"/>
      <c r="R59" s="143"/>
      <c r="S59" s="7"/>
      <c r="T59" s="7"/>
      <c r="U59" s="28"/>
      <c r="V59" s="28"/>
      <c r="W59" s="235"/>
      <c r="X59" s="85"/>
      <c r="Y59" s="28"/>
      <c r="Z59" s="28"/>
      <c r="AB59" s="365"/>
      <c r="AD59" s="100"/>
      <c r="AE59" s="100"/>
      <c r="AF59" s="8"/>
      <c r="AG59" s="8"/>
    </row>
    <row r="60" spans="1:34" ht="18" customHeight="1">
      <c r="A60" s="8"/>
      <c r="B60" s="8"/>
      <c r="C60" s="143"/>
      <c r="D60" s="143"/>
      <c r="E60" s="143"/>
      <c r="F60" s="143"/>
      <c r="G60" s="143"/>
      <c r="H60" s="143"/>
      <c r="I60" s="143"/>
      <c r="J60" s="143"/>
      <c r="K60" s="143"/>
      <c r="L60" s="143"/>
      <c r="M60" s="143"/>
      <c r="N60" s="143"/>
      <c r="O60" s="143"/>
      <c r="P60" s="143"/>
      <c r="Q60" s="143"/>
      <c r="R60" s="143"/>
      <c r="S60" s="210"/>
      <c r="T60" s="210"/>
      <c r="U60" s="5882" t="s">
        <v>5</v>
      </c>
      <c r="V60" s="5883" t="s">
        <v>6</v>
      </c>
      <c r="W60" s="5887" t="s">
        <v>7</v>
      </c>
      <c r="X60" s="5885" t="s">
        <v>352</v>
      </c>
      <c r="Y60" s="5885" t="s">
        <v>9</v>
      </c>
      <c r="Z60" s="5886" t="s">
        <v>353</v>
      </c>
      <c r="AA60" s="5888"/>
      <c r="AB60" s="365"/>
      <c r="AD60" s="334"/>
      <c r="AE60" s="334"/>
      <c r="AF60" s="8"/>
      <c r="AG60" s="8"/>
    </row>
    <row r="61" spans="1:34" ht="40.5" customHeight="1">
      <c r="A61" s="8"/>
      <c r="B61" s="8"/>
      <c r="C61" s="143"/>
      <c r="D61" s="143"/>
      <c r="E61" s="143"/>
      <c r="F61" s="143"/>
      <c r="G61" s="143"/>
      <c r="H61" s="143"/>
      <c r="I61" s="143"/>
      <c r="J61" s="143"/>
      <c r="K61" s="143"/>
      <c r="L61" s="143"/>
      <c r="M61" s="143"/>
      <c r="N61" s="143"/>
      <c r="O61" s="143"/>
      <c r="P61" s="143"/>
      <c r="Q61" s="143"/>
      <c r="R61" s="143"/>
      <c r="S61" s="210"/>
      <c r="T61" s="210"/>
      <c r="U61" s="948" t="s">
        <v>15</v>
      </c>
      <c r="V61" s="954" t="s">
        <v>2621</v>
      </c>
      <c r="W61" s="960">
        <v>530208</v>
      </c>
      <c r="X61" s="690" t="s">
        <v>17</v>
      </c>
      <c r="Y61" s="959" t="s">
        <v>18</v>
      </c>
      <c r="Z61" s="956">
        <f>SUM($AA$36:$AA$36)</f>
        <v>0</v>
      </c>
      <c r="AA61" s="919"/>
      <c r="AB61" s="365"/>
      <c r="AD61" s="101"/>
      <c r="AE61" s="335"/>
      <c r="AF61" s="8"/>
      <c r="AG61" s="8"/>
    </row>
    <row r="62" spans="1:34" ht="18" customHeight="1">
      <c r="A62" s="8"/>
      <c r="B62" s="8"/>
      <c r="C62" s="143"/>
      <c r="D62" s="143"/>
      <c r="E62" s="143"/>
      <c r="F62" s="143"/>
      <c r="G62" s="143"/>
      <c r="H62" s="143"/>
      <c r="I62" s="143"/>
      <c r="J62" s="143"/>
      <c r="K62" s="143"/>
      <c r="L62" s="143"/>
      <c r="M62" s="143"/>
      <c r="N62" s="143"/>
      <c r="O62" s="143"/>
      <c r="P62" s="143"/>
      <c r="Q62" s="143"/>
      <c r="R62" s="143"/>
      <c r="S62" s="210"/>
      <c r="T62" s="210"/>
      <c r="U62" s="5930"/>
      <c r="V62" s="5931" t="s">
        <v>67</v>
      </c>
      <c r="W62" s="5932"/>
      <c r="X62" s="5932"/>
      <c r="Y62" s="5926" t="s">
        <v>292</v>
      </c>
      <c r="Z62" s="5939">
        <f>SUM(Z61:Z61)</f>
        <v>0</v>
      </c>
      <c r="AB62" s="365"/>
      <c r="AD62" s="143"/>
      <c r="AE62" s="143"/>
      <c r="AF62" s="8"/>
      <c r="AG62" s="8"/>
    </row>
    <row r="63" spans="1:34" ht="16.5" customHeight="1">
      <c r="A63" s="8"/>
      <c r="B63" s="8"/>
      <c r="C63" s="143"/>
      <c r="D63" s="143"/>
      <c r="E63" s="143"/>
      <c r="F63" s="143"/>
      <c r="G63" s="143"/>
      <c r="H63" s="143"/>
      <c r="I63" s="143"/>
      <c r="J63" s="143"/>
      <c r="K63" s="143"/>
      <c r="L63" s="143"/>
      <c r="M63" s="143"/>
      <c r="N63" s="143"/>
      <c r="O63" s="143"/>
      <c r="P63" s="143"/>
      <c r="Q63" s="143"/>
      <c r="R63" s="143"/>
      <c r="S63" s="210"/>
      <c r="T63" s="210"/>
      <c r="U63" s="28"/>
      <c r="V63" s="28"/>
      <c r="W63" s="34"/>
      <c r="X63" s="235"/>
      <c r="Y63" s="85"/>
      <c r="Z63" s="28"/>
      <c r="AA63" s="28"/>
      <c r="AB63" s="368"/>
      <c r="AC63" s="368"/>
      <c r="AD63" s="143"/>
      <c r="AE63" s="145"/>
      <c r="AF63" s="8"/>
      <c r="AG63" s="8"/>
    </row>
    <row r="64" spans="1:34" ht="16.5" customHeight="1">
      <c r="A64" s="8"/>
      <c r="B64" s="8"/>
      <c r="C64" s="143"/>
      <c r="D64" s="143"/>
      <c r="E64" s="143"/>
      <c r="F64" s="143"/>
      <c r="G64" s="143"/>
      <c r="H64" s="143"/>
      <c r="I64" s="143"/>
      <c r="J64" s="143"/>
      <c r="K64" s="143"/>
      <c r="L64" s="143"/>
      <c r="M64" s="143"/>
      <c r="N64" s="143"/>
      <c r="O64" s="143"/>
      <c r="P64" s="143"/>
      <c r="Q64" s="143"/>
      <c r="R64" s="143"/>
      <c r="S64" s="210"/>
      <c r="T64" s="210"/>
      <c r="U64" s="28"/>
      <c r="V64" s="28"/>
      <c r="W64" s="28"/>
      <c r="X64" s="235"/>
      <c r="Y64" s="85"/>
      <c r="Z64" s="28"/>
      <c r="AA64" s="28"/>
      <c r="AB64" s="368"/>
      <c r="AC64" s="368"/>
      <c r="AD64" s="143"/>
      <c r="AE64" s="145"/>
      <c r="AF64" s="8"/>
      <c r="AG64" s="8"/>
    </row>
    <row r="65" spans="1:33" ht="16.5" customHeight="1">
      <c r="A65" s="8"/>
      <c r="B65" s="8"/>
      <c r="C65" s="143"/>
      <c r="D65" s="143"/>
      <c r="E65" s="143"/>
      <c r="F65" s="143"/>
      <c r="G65" s="143"/>
      <c r="H65" s="143"/>
      <c r="I65" s="143"/>
      <c r="J65" s="143"/>
      <c r="K65" s="143"/>
      <c r="L65" s="143"/>
      <c r="M65" s="143"/>
      <c r="N65" s="143"/>
      <c r="O65" s="143"/>
      <c r="P65" s="143"/>
      <c r="Q65" s="143"/>
      <c r="R65" s="143"/>
      <c r="S65" s="210"/>
      <c r="T65" s="210"/>
      <c r="U65" s="8764" t="s">
        <v>356</v>
      </c>
      <c r="V65" s="9941"/>
      <c r="W65" s="9942"/>
      <c r="X65" s="235"/>
      <c r="Y65" s="237" t="s">
        <v>357</v>
      </c>
      <c r="Z65" s="37" t="str">
        <f>IF(Z62=AB55,"OK","NO")</f>
        <v>OK</v>
      </c>
      <c r="AA65" s="28"/>
      <c r="AB65" s="368"/>
      <c r="AC65" s="368"/>
      <c r="AD65" s="146"/>
      <c r="AE65" s="143"/>
      <c r="AF65" s="8"/>
      <c r="AG65" s="8"/>
    </row>
    <row r="66" spans="1:33" ht="16.5" customHeight="1">
      <c r="A66" s="8"/>
      <c r="B66" s="8"/>
      <c r="C66" s="143"/>
      <c r="D66" s="143"/>
      <c r="E66" s="143"/>
      <c r="F66" s="143"/>
      <c r="G66" s="143"/>
      <c r="H66" s="143"/>
      <c r="I66" s="143"/>
      <c r="J66" s="143"/>
      <c r="K66" s="143"/>
      <c r="L66" s="143"/>
      <c r="M66" s="143"/>
      <c r="N66" s="143"/>
      <c r="O66" s="143"/>
      <c r="P66" s="143"/>
      <c r="Q66" s="143"/>
      <c r="R66" s="143"/>
      <c r="S66" s="210"/>
      <c r="T66" s="210"/>
      <c r="U66" s="4656" t="s">
        <v>358</v>
      </c>
      <c r="V66" s="555"/>
      <c r="W66" s="750">
        <v>0</v>
      </c>
      <c r="X66" s="235"/>
      <c r="Y66" s="85"/>
      <c r="Z66" s="37" t="str">
        <f>IF(W70=AB55,"OK","NO")</f>
        <v>OK</v>
      </c>
      <c r="AA66" s="28"/>
      <c r="AB66" s="368"/>
      <c r="AC66" s="368"/>
      <c r="AD66" s="146"/>
      <c r="AE66" s="143"/>
      <c r="AF66" s="8"/>
      <c r="AG66" s="8"/>
    </row>
    <row r="67" spans="1:33" ht="16.5" customHeight="1">
      <c r="A67" s="8"/>
      <c r="B67" s="8"/>
      <c r="C67" s="143"/>
      <c r="D67" s="143"/>
      <c r="E67" s="143"/>
      <c r="F67" s="143"/>
      <c r="G67" s="143"/>
      <c r="H67" s="143"/>
      <c r="I67" s="143"/>
      <c r="J67" s="143"/>
      <c r="K67" s="143"/>
      <c r="L67" s="143"/>
      <c r="M67" s="143"/>
      <c r="N67" s="143"/>
      <c r="O67" s="143"/>
      <c r="P67" s="143"/>
      <c r="Q67" s="143"/>
      <c r="R67" s="143"/>
      <c r="S67" s="210"/>
      <c r="T67" s="210"/>
      <c r="U67" s="4657" t="s">
        <v>359</v>
      </c>
      <c r="V67" s="556"/>
      <c r="W67" s="750">
        <v>0</v>
      </c>
      <c r="X67" s="235"/>
      <c r="Y67" s="85"/>
      <c r="Z67" s="37" t="str">
        <f>IF(W80=AB55,"OK","NO")</f>
        <v>OK</v>
      </c>
      <c r="AA67" s="28"/>
      <c r="AB67" s="368"/>
      <c r="AC67" s="368"/>
      <c r="AD67" s="146"/>
      <c r="AE67" s="143"/>
      <c r="AF67" s="8"/>
      <c r="AG67" s="8"/>
    </row>
    <row r="68" spans="1:33" ht="16.5" customHeight="1">
      <c r="A68" s="8"/>
      <c r="B68" s="8"/>
      <c r="C68" s="143"/>
      <c r="D68" s="143"/>
      <c r="E68" s="143"/>
      <c r="F68" s="143"/>
      <c r="G68" s="143"/>
      <c r="H68" s="143"/>
      <c r="I68" s="143"/>
      <c r="J68" s="143"/>
      <c r="K68" s="143"/>
      <c r="L68" s="143"/>
      <c r="M68" s="143"/>
      <c r="N68" s="143"/>
      <c r="O68" s="143"/>
      <c r="P68" s="143"/>
      <c r="Q68" s="143"/>
      <c r="R68" s="143"/>
      <c r="S68" s="210"/>
      <c r="T68" s="210"/>
      <c r="U68" s="4657" t="s">
        <v>360</v>
      </c>
      <c r="V68" s="556"/>
      <c r="W68" s="750">
        <f>SUM(Z61:Z61)</f>
        <v>0</v>
      </c>
      <c r="X68" s="235"/>
      <c r="Y68" s="238"/>
      <c r="Z68" s="37" t="str">
        <f>IF(Resumen!C416=AB55,"OK","NO")</f>
        <v>OK</v>
      </c>
      <c r="AA68" s="28"/>
      <c r="AB68" s="368"/>
      <c r="AC68" s="368"/>
      <c r="AD68" s="146"/>
      <c r="AE68" s="143"/>
      <c r="AF68" s="8"/>
      <c r="AG68" s="8"/>
    </row>
    <row r="69" spans="1:33" ht="16.5" customHeight="1">
      <c r="A69" s="8"/>
      <c r="B69" s="8"/>
      <c r="C69" s="143"/>
      <c r="D69" s="143"/>
      <c r="E69" s="143"/>
      <c r="F69" s="143"/>
      <c r="G69" s="143"/>
      <c r="H69" s="143"/>
      <c r="I69" s="143"/>
      <c r="J69" s="143"/>
      <c r="K69" s="143"/>
      <c r="L69" s="143"/>
      <c r="M69" s="143"/>
      <c r="N69" s="143"/>
      <c r="O69" s="143"/>
      <c r="P69" s="143"/>
      <c r="Q69" s="143"/>
      <c r="R69" s="143"/>
      <c r="S69" s="210"/>
      <c r="T69" s="210"/>
      <c r="U69" s="4657" t="s">
        <v>361</v>
      </c>
      <c r="V69" s="556"/>
      <c r="W69" s="2879">
        <v>0</v>
      </c>
      <c r="X69" s="235"/>
      <c r="Y69" s="238"/>
      <c r="Z69" s="28"/>
      <c r="AA69" s="28"/>
      <c r="AB69" s="368"/>
      <c r="AC69" s="368"/>
      <c r="AD69" s="146"/>
      <c r="AE69" s="143"/>
      <c r="AF69" s="8"/>
      <c r="AG69" s="8"/>
    </row>
    <row r="70" spans="1:33" ht="16.5" customHeight="1">
      <c r="A70" s="8"/>
      <c r="B70" s="8"/>
      <c r="C70" s="143"/>
      <c r="D70" s="143"/>
      <c r="E70" s="143"/>
      <c r="F70" s="143"/>
      <c r="G70" s="143"/>
      <c r="H70" s="143"/>
      <c r="I70" s="143"/>
      <c r="J70" s="143"/>
      <c r="K70" s="143"/>
      <c r="L70" s="143"/>
      <c r="M70" s="143"/>
      <c r="N70" s="143"/>
      <c r="O70" s="143"/>
      <c r="P70" s="143"/>
      <c r="Q70" s="143"/>
      <c r="R70" s="143"/>
      <c r="S70" s="210"/>
      <c r="T70" s="210"/>
      <c r="U70" s="4658" t="s">
        <v>67</v>
      </c>
      <c r="V70" s="558"/>
      <c r="W70" s="753">
        <f>SUM(W66:W69)</f>
        <v>0</v>
      </c>
      <c r="X70" s="235"/>
      <c r="Y70" s="238"/>
      <c r="Z70" s="28"/>
      <c r="AA70" s="28"/>
      <c r="AB70" s="368"/>
      <c r="AC70" s="368"/>
      <c r="AD70" s="146"/>
      <c r="AE70" s="143"/>
      <c r="AF70" s="8"/>
      <c r="AG70" s="8"/>
    </row>
    <row r="71" spans="1:33" ht="16.5" customHeight="1">
      <c r="A71" s="8"/>
      <c r="B71" s="8"/>
      <c r="C71" s="143"/>
      <c r="D71" s="143"/>
      <c r="E71" s="143"/>
      <c r="F71" s="143"/>
      <c r="G71" s="143"/>
      <c r="H71" s="143"/>
      <c r="I71" s="143"/>
      <c r="J71" s="143"/>
      <c r="K71" s="143"/>
      <c r="L71" s="143"/>
      <c r="M71" s="143"/>
      <c r="N71" s="143"/>
      <c r="O71" s="143"/>
      <c r="P71" s="143"/>
      <c r="Q71" s="143"/>
      <c r="R71" s="143"/>
      <c r="S71" s="210"/>
      <c r="T71" s="210"/>
      <c r="U71" s="8758" t="s">
        <v>362</v>
      </c>
      <c r="V71" s="9943"/>
      <c r="W71" s="9944"/>
      <c r="X71" s="235"/>
      <c r="Y71" s="239"/>
      <c r="Z71" s="28"/>
      <c r="AA71" s="28"/>
      <c r="AB71" s="368"/>
      <c r="AC71" s="368"/>
      <c r="AD71" s="146"/>
      <c r="AE71" s="143"/>
      <c r="AF71" s="8"/>
      <c r="AG71" s="8"/>
    </row>
    <row r="72" spans="1:33" ht="16.5" customHeight="1">
      <c r="A72" s="8"/>
      <c r="B72" s="8"/>
      <c r="C72" s="143"/>
      <c r="D72" s="143"/>
      <c r="E72" s="143"/>
      <c r="F72" s="143"/>
      <c r="G72" s="143"/>
      <c r="H72" s="143"/>
      <c r="I72" s="143"/>
      <c r="J72" s="143"/>
      <c r="K72" s="143"/>
      <c r="L72" s="143"/>
      <c r="M72" s="143"/>
      <c r="N72" s="143"/>
      <c r="O72" s="143"/>
      <c r="P72" s="143"/>
      <c r="Q72" s="143"/>
      <c r="R72" s="143"/>
      <c r="S72" s="210"/>
      <c r="T72" s="210"/>
      <c r="U72" s="4826" t="s">
        <v>363</v>
      </c>
      <c r="V72" s="555"/>
      <c r="W72" s="750">
        <v>0</v>
      </c>
      <c r="X72" s="235"/>
      <c r="Y72" s="239"/>
      <c r="Z72" s="28"/>
      <c r="AA72" s="28"/>
      <c r="AB72" s="368"/>
      <c r="AC72" s="368"/>
      <c r="AD72" s="146"/>
      <c r="AE72" s="143"/>
      <c r="AF72" s="8"/>
      <c r="AG72" s="8"/>
    </row>
    <row r="73" spans="1:33" ht="16.5" customHeight="1">
      <c r="A73" s="8"/>
      <c r="B73" s="8"/>
      <c r="C73" s="143"/>
      <c r="D73" s="143"/>
      <c r="E73" s="143"/>
      <c r="F73" s="143"/>
      <c r="G73" s="143"/>
      <c r="H73" s="143"/>
      <c r="I73" s="143"/>
      <c r="J73" s="143"/>
      <c r="K73" s="143"/>
      <c r="L73" s="143"/>
      <c r="M73" s="143"/>
      <c r="N73" s="143"/>
      <c r="O73" s="143"/>
      <c r="P73" s="143"/>
      <c r="Q73" s="143"/>
      <c r="R73" s="143"/>
      <c r="S73" s="210"/>
      <c r="T73" s="210"/>
      <c r="U73" s="4827" t="s">
        <v>364</v>
      </c>
      <c r="V73" s="556"/>
      <c r="W73" s="750">
        <f>+Z61</f>
        <v>0</v>
      </c>
      <c r="X73" s="235"/>
      <c r="Y73" s="239"/>
      <c r="Z73" s="28"/>
      <c r="AA73" s="28"/>
      <c r="AB73" s="368"/>
      <c r="AC73" s="368"/>
      <c r="AD73" s="146"/>
      <c r="AE73" s="143"/>
      <c r="AF73" s="8"/>
      <c r="AG73" s="8"/>
    </row>
    <row r="74" spans="1:33" ht="16.5" customHeight="1">
      <c r="A74" s="8"/>
      <c r="B74" s="8"/>
      <c r="C74" s="143"/>
      <c r="D74" s="143"/>
      <c r="E74" s="143"/>
      <c r="F74" s="143"/>
      <c r="G74" s="143"/>
      <c r="H74" s="143"/>
      <c r="I74" s="143"/>
      <c r="J74" s="143"/>
      <c r="K74" s="143"/>
      <c r="L74" s="143"/>
      <c r="M74" s="143"/>
      <c r="N74" s="143"/>
      <c r="O74" s="143"/>
      <c r="P74" s="143"/>
      <c r="Q74" s="143"/>
      <c r="R74" s="143"/>
      <c r="S74" s="210"/>
      <c r="T74" s="210"/>
      <c r="U74" s="4827" t="s">
        <v>365</v>
      </c>
      <c r="V74" s="556"/>
      <c r="W74" s="750">
        <v>0</v>
      </c>
      <c r="X74" s="235"/>
      <c r="Y74" s="2071"/>
      <c r="Z74" s="28"/>
      <c r="AA74" s="28"/>
      <c r="AB74" s="368"/>
      <c r="AC74" s="368"/>
      <c r="AD74" s="146"/>
      <c r="AE74" s="143"/>
      <c r="AF74" s="8"/>
      <c r="AG74" s="8"/>
    </row>
    <row r="75" spans="1:33" ht="16.5" customHeight="1">
      <c r="A75" s="8"/>
      <c r="B75" s="8"/>
      <c r="C75" s="143"/>
      <c r="D75" s="143"/>
      <c r="E75" s="143"/>
      <c r="F75" s="143"/>
      <c r="G75" s="143"/>
      <c r="H75" s="143"/>
      <c r="I75" s="143"/>
      <c r="J75" s="143"/>
      <c r="K75" s="143"/>
      <c r="L75" s="143"/>
      <c r="M75" s="143"/>
      <c r="N75" s="143"/>
      <c r="O75" s="143"/>
      <c r="P75" s="143"/>
      <c r="Q75" s="143"/>
      <c r="R75" s="143"/>
      <c r="S75" s="210"/>
      <c r="T75" s="210"/>
      <c r="U75" s="4827" t="s">
        <v>366</v>
      </c>
      <c r="V75" s="556"/>
      <c r="W75" s="750">
        <v>0</v>
      </c>
      <c r="X75" s="235"/>
      <c r="Y75" s="238"/>
      <c r="Z75" s="28"/>
      <c r="AA75" s="28"/>
      <c r="AB75" s="368"/>
      <c r="AC75" s="368"/>
      <c r="AD75" s="146"/>
      <c r="AE75" s="143"/>
      <c r="AF75" s="8"/>
      <c r="AG75" s="8"/>
    </row>
    <row r="76" spans="1:33" ht="16.5" customHeight="1">
      <c r="A76" s="8"/>
      <c r="B76" s="8"/>
      <c r="C76" s="143"/>
      <c r="D76" s="143"/>
      <c r="E76" s="143"/>
      <c r="F76" s="143"/>
      <c r="G76" s="143"/>
      <c r="H76" s="143"/>
      <c r="I76" s="143"/>
      <c r="J76" s="143"/>
      <c r="K76" s="143"/>
      <c r="L76" s="143"/>
      <c r="M76" s="143"/>
      <c r="N76" s="143"/>
      <c r="O76" s="143"/>
      <c r="P76" s="143"/>
      <c r="Q76" s="143"/>
      <c r="R76" s="143"/>
      <c r="S76" s="210"/>
      <c r="T76" s="210"/>
      <c r="U76" s="4827" t="s">
        <v>367</v>
      </c>
      <c r="V76" s="556"/>
      <c r="W76" s="750">
        <v>0</v>
      </c>
      <c r="X76" s="235"/>
      <c r="Y76" s="2072"/>
      <c r="Z76" s="2067"/>
      <c r="AC76"/>
      <c r="AD76"/>
      <c r="AE76" s="143"/>
      <c r="AF76" s="8"/>
      <c r="AG76" s="8"/>
    </row>
    <row r="77" spans="1:33" ht="16.5" customHeight="1">
      <c r="A77" s="8"/>
      <c r="B77" s="8"/>
      <c r="C77" s="143"/>
      <c r="D77" s="143"/>
      <c r="E77" s="143"/>
      <c r="F77" s="143"/>
      <c r="G77" s="143"/>
      <c r="H77" s="143"/>
      <c r="I77" s="143"/>
      <c r="J77" s="143"/>
      <c r="K77" s="143"/>
      <c r="L77" s="143"/>
      <c r="M77" s="143"/>
      <c r="N77" s="143"/>
      <c r="O77" s="143"/>
      <c r="P77" s="143"/>
      <c r="Q77" s="143"/>
      <c r="R77" s="143"/>
      <c r="S77" s="210"/>
      <c r="T77" s="210"/>
      <c r="U77" s="4827" t="s">
        <v>368</v>
      </c>
      <c r="V77" s="556"/>
      <c r="W77" s="750">
        <v>0</v>
      </c>
      <c r="X77" s="235"/>
      <c r="Y77" s="2072"/>
      <c r="Z77" s="2067"/>
      <c r="AA77" s="2067"/>
      <c r="AB77" s="2066"/>
      <c r="AC77" s="2066"/>
      <c r="AD77" s="2067"/>
      <c r="AE77" s="143"/>
      <c r="AF77" s="8"/>
      <c r="AG77" s="8"/>
    </row>
    <row r="78" spans="1:33" ht="16.5" customHeight="1">
      <c r="A78" s="8"/>
      <c r="B78" s="8"/>
      <c r="C78" s="143"/>
      <c r="D78" s="143"/>
      <c r="E78" s="143"/>
      <c r="F78" s="143"/>
      <c r="G78" s="143"/>
      <c r="H78" s="143"/>
      <c r="I78" s="143"/>
      <c r="J78" s="143"/>
      <c r="K78" s="143"/>
      <c r="L78" s="143"/>
      <c r="M78" s="143"/>
      <c r="N78" s="143"/>
      <c r="O78" s="143"/>
      <c r="P78" s="143"/>
      <c r="Q78" s="143"/>
      <c r="R78" s="143"/>
      <c r="S78" s="210"/>
      <c r="T78" s="210"/>
      <c r="U78" s="4827" t="s">
        <v>369</v>
      </c>
      <c r="V78" s="556"/>
      <c r="W78" s="750">
        <v>0</v>
      </c>
      <c r="X78" s="235"/>
      <c r="Y78" s="2072"/>
      <c r="Z78" s="2107"/>
      <c r="AA78" s="85"/>
      <c r="AB78" s="2068"/>
      <c r="AC78" s="2068"/>
      <c r="AD78" s="480"/>
      <c r="AE78" s="143"/>
      <c r="AF78" s="8"/>
      <c r="AG78" s="8"/>
    </row>
    <row r="79" spans="1:33" ht="16.5" customHeight="1">
      <c r="A79" s="8"/>
      <c r="B79" s="8"/>
      <c r="C79" s="143"/>
      <c r="D79" s="143"/>
      <c r="E79" s="143"/>
      <c r="F79" s="143"/>
      <c r="G79" s="143"/>
      <c r="H79" s="143"/>
      <c r="I79" s="143"/>
      <c r="J79" s="143"/>
      <c r="K79" s="143"/>
      <c r="L79" s="143"/>
      <c r="M79" s="143"/>
      <c r="N79" s="143"/>
      <c r="O79" s="143"/>
      <c r="P79" s="143"/>
      <c r="Q79" s="143"/>
      <c r="R79" s="143"/>
      <c r="S79" s="210"/>
      <c r="T79" s="210"/>
      <c r="U79" s="4827" t="s">
        <v>370</v>
      </c>
      <c r="V79" s="556"/>
      <c r="W79" s="2879">
        <v>0</v>
      </c>
      <c r="X79" s="235"/>
      <c r="Y79" s="2074"/>
      <c r="Z79" s="2075"/>
      <c r="AA79" s="2075"/>
      <c r="AB79" s="2070"/>
      <c r="AC79" s="2070"/>
      <c r="AD79" s="146"/>
      <c r="AE79" s="143"/>
      <c r="AF79" s="8"/>
      <c r="AG79" s="8"/>
    </row>
    <row r="80" spans="1:33" ht="15.75" customHeight="1">
      <c r="U80" s="4652" t="s">
        <v>67</v>
      </c>
      <c r="V80" s="557"/>
      <c r="W80" s="754">
        <f>SUM(W72:W79)</f>
        <v>0</v>
      </c>
      <c r="X80" s="235"/>
      <c r="Y80" s="2071"/>
      <c r="Z80" s="28"/>
      <c r="AA80" s="28"/>
      <c r="AB80" s="368"/>
      <c r="AC80" s="368"/>
      <c r="AD80" s="146"/>
      <c r="AE80" s="143"/>
    </row>
    <row r="81" spans="28:30" ht="15.75" customHeight="1">
      <c r="AB81" s="365"/>
      <c r="AD81"/>
    </row>
    <row r="82" spans="28:30" ht="15.75" customHeight="1">
      <c r="AB82" s="365"/>
      <c r="AD82"/>
    </row>
    <row r="83" spans="28:30" ht="15.75" customHeight="1">
      <c r="AB83" s="365"/>
      <c r="AD83"/>
    </row>
    <row r="84" spans="28:30" ht="15.75" customHeight="1">
      <c r="AB84" s="365"/>
      <c r="AD84"/>
    </row>
    <row r="85" spans="28:30" ht="15.75" customHeight="1">
      <c r="AB85" s="365"/>
      <c r="AD85"/>
    </row>
  </sheetData>
  <mergeCells count="188">
    <mergeCell ref="U65:W65"/>
    <mergeCell ref="U71:W71"/>
    <mergeCell ref="J6:R6"/>
    <mergeCell ref="S6:AH6"/>
    <mergeCell ref="S7:Y7"/>
    <mergeCell ref="AE7:AG7"/>
    <mergeCell ref="AH7:AH8"/>
    <mergeCell ref="A1:AH1"/>
    <mergeCell ref="A2:AH2"/>
    <mergeCell ref="A3:AH3"/>
    <mergeCell ref="A4:AH4"/>
    <mergeCell ref="A6:B8"/>
    <mergeCell ref="C6:D6"/>
    <mergeCell ref="E6:I6"/>
    <mergeCell ref="E7:E8"/>
    <mergeCell ref="F7:F8"/>
    <mergeCell ref="C7:C8"/>
    <mergeCell ref="D7:D8"/>
    <mergeCell ref="Z7:AD7"/>
    <mergeCell ref="AH14:AH19"/>
    <mergeCell ref="E14:E19"/>
    <mergeCell ref="F14:F19"/>
    <mergeCell ref="G14:G19"/>
    <mergeCell ref="J14:J19"/>
    <mergeCell ref="K14:K19"/>
    <mergeCell ref="Q9:Q13"/>
    <mergeCell ref="R9:R13"/>
    <mergeCell ref="AH9:AH13"/>
    <mergeCell ref="J9:J13"/>
    <mergeCell ref="K9:K13"/>
    <mergeCell ref="L9:L13"/>
    <mergeCell ref="M9:M13"/>
    <mergeCell ref="N9:N13"/>
    <mergeCell ref="O9:O13"/>
    <mergeCell ref="P9:P13"/>
    <mergeCell ref="E9:E13"/>
    <mergeCell ref="F9:F13"/>
    <mergeCell ref="G9:G13"/>
    <mergeCell ref="H9:H13"/>
    <mergeCell ref="I9:I13"/>
    <mergeCell ref="C20:C24"/>
    <mergeCell ref="D20:D24"/>
    <mergeCell ref="E20:E24"/>
    <mergeCell ref="F20:F24"/>
    <mergeCell ref="G20:G24"/>
    <mergeCell ref="H20:H24"/>
    <mergeCell ref="I20:I24"/>
    <mergeCell ref="H14:H19"/>
    <mergeCell ref="I14:I19"/>
    <mergeCell ref="J20:J24"/>
    <mergeCell ref="K20:K24"/>
    <mergeCell ref="AH20:AH24"/>
    <mergeCell ref="AH25:AH29"/>
    <mergeCell ref="AH30:AH34"/>
    <mergeCell ref="AH35:AH39"/>
    <mergeCell ref="AH40:AH44"/>
    <mergeCell ref="AH45:AH49"/>
    <mergeCell ref="AH50:AH54"/>
    <mergeCell ref="O25:O29"/>
    <mergeCell ref="P25:P29"/>
    <mergeCell ref="L50:L54"/>
    <mergeCell ref="M50:M54"/>
    <mergeCell ref="P35:P39"/>
    <mergeCell ref="Q35:Q39"/>
    <mergeCell ref="R35:R39"/>
    <mergeCell ref="P40:P44"/>
    <mergeCell ref="Q40:Q44"/>
    <mergeCell ref="R40:R44"/>
    <mergeCell ref="N45:N49"/>
    <mergeCell ref="O45:O49"/>
    <mergeCell ref="P45:P49"/>
    <mergeCell ref="Q45:Q49"/>
    <mergeCell ref="R45:R49"/>
    <mergeCell ref="S55:Z55"/>
    <mergeCell ref="AE55:AH55"/>
    <mergeCell ref="S56:AH56"/>
    <mergeCell ref="U58:Z58"/>
    <mergeCell ref="G7:G8"/>
    <mergeCell ref="H7:H8"/>
    <mergeCell ref="I7:I8"/>
    <mergeCell ref="J7:J8"/>
    <mergeCell ref="M7:O7"/>
    <mergeCell ref="P7:P8"/>
    <mergeCell ref="N14:N19"/>
    <mergeCell ref="O14:O19"/>
    <mergeCell ref="P14:P19"/>
    <mergeCell ref="Q14:Q19"/>
    <mergeCell ref="R14:R19"/>
    <mergeCell ref="Q7:Q8"/>
    <mergeCell ref="R7:R8"/>
    <mergeCell ref="N50:N54"/>
    <mergeCell ref="O50:O54"/>
    <mergeCell ref="P50:P54"/>
    <mergeCell ref="Q50:Q54"/>
    <mergeCell ref="R50:R54"/>
    <mergeCell ref="G50:G54"/>
    <mergeCell ref="H50:H54"/>
    <mergeCell ref="I50:I54"/>
    <mergeCell ref="J50:J54"/>
    <mergeCell ref="K50:K54"/>
    <mergeCell ref="Q20:Q24"/>
    <mergeCell ref="R20:R24"/>
    <mergeCell ref="K7:K8"/>
    <mergeCell ref="L7:L8"/>
    <mergeCell ref="L20:L24"/>
    <mergeCell ref="M20:M24"/>
    <mergeCell ref="N20:N24"/>
    <mergeCell ref="O20:O24"/>
    <mergeCell ref="P20:P24"/>
    <mergeCell ref="L14:L19"/>
    <mergeCell ref="M14:M19"/>
    <mergeCell ref="I30:I34"/>
    <mergeCell ref="Q30:Q34"/>
    <mergeCell ref="R30:R34"/>
    <mergeCell ref="J30:J34"/>
    <mergeCell ref="K30:K34"/>
    <mergeCell ref="L30:L34"/>
    <mergeCell ref="M30:M34"/>
    <mergeCell ref="N30:N34"/>
    <mergeCell ref="O30:O34"/>
    <mergeCell ref="P30:P34"/>
    <mergeCell ref="H25:H29"/>
    <mergeCell ref="I25:I29"/>
    <mergeCell ref="Q25:Q29"/>
    <mergeCell ref="R25:R29"/>
    <mergeCell ref="J25:J29"/>
    <mergeCell ref="K25:K29"/>
    <mergeCell ref="L25:L29"/>
    <mergeCell ref="M25:M29"/>
    <mergeCell ref="N25:N29"/>
    <mergeCell ref="A9:B34"/>
    <mergeCell ref="C9:C13"/>
    <mergeCell ref="D9:D13"/>
    <mergeCell ref="C14:C19"/>
    <mergeCell ref="D14:D19"/>
    <mergeCell ref="E45:E49"/>
    <mergeCell ref="F45:F49"/>
    <mergeCell ref="G45:G49"/>
    <mergeCell ref="H45:H49"/>
    <mergeCell ref="G35:G39"/>
    <mergeCell ref="H35:H39"/>
    <mergeCell ref="G40:G44"/>
    <mergeCell ref="H40:H44"/>
    <mergeCell ref="C30:C34"/>
    <mergeCell ref="D30:D34"/>
    <mergeCell ref="E30:E34"/>
    <mergeCell ref="F30:F34"/>
    <mergeCell ref="G30:G34"/>
    <mergeCell ref="H30:H34"/>
    <mergeCell ref="C25:C29"/>
    <mergeCell ref="D25:D29"/>
    <mergeCell ref="E25:E29"/>
    <mergeCell ref="F25:F29"/>
    <mergeCell ref="G25:G29"/>
    <mergeCell ref="C50:C54"/>
    <mergeCell ref="D50:D54"/>
    <mergeCell ref="E50:E54"/>
    <mergeCell ref="F50:F54"/>
    <mergeCell ref="A35:B54"/>
    <mergeCell ref="C35:C39"/>
    <mergeCell ref="D35:D39"/>
    <mergeCell ref="E35:E39"/>
    <mergeCell ref="F35:F39"/>
    <mergeCell ref="C40:C44"/>
    <mergeCell ref="D40:D44"/>
    <mergeCell ref="E40:E44"/>
    <mergeCell ref="F40:F44"/>
    <mergeCell ref="C45:C49"/>
    <mergeCell ref="D45:D49"/>
    <mergeCell ref="N35:N39"/>
    <mergeCell ref="O35:O39"/>
    <mergeCell ref="N40:N44"/>
    <mergeCell ref="O40:O44"/>
    <mergeCell ref="I40:I44"/>
    <mergeCell ref="J40:J44"/>
    <mergeCell ref="K40:K44"/>
    <mergeCell ref="L40:L44"/>
    <mergeCell ref="M40:M44"/>
    <mergeCell ref="I45:I49"/>
    <mergeCell ref="J45:J49"/>
    <mergeCell ref="K45:K49"/>
    <mergeCell ref="L45:L49"/>
    <mergeCell ref="M45:M49"/>
    <mergeCell ref="I35:I39"/>
    <mergeCell ref="J35:J39"/>
    <mergeCell ref="K35:K39"/>
    <mergeCell ref="L35:L39"/>
    <mergeCell ref="M35:M39"/>
  </mergeCells>
  <dataValidations count="3">
    <dataValidation type="list" allowBlank="1" showErrorMessage="1" sqref="F9 F14 F20 F25 F30 F35 F40 F45 F50" xr:uid="{00000000-0002-0000-1000-000000000000}">
      <formula1>INDIRECT($E9)</formula1>
    </dataValidation>
    <dataValidation type="list" allowBlank="1" showErrorMessage="1" sqref="E9 E14 E20 E25 E30 E35 E40 E45 E50" xr:uid="{00000000-0002-0000-1000-000001000000}">
      <formula1>INDIRECT($G9)</formula1>
    </dataValidation>
    <dataValidation type="decimal" allowBlank="1" showInputMessage="1" showErrorMessage="1" prompt="DPLAN - Sólo debe ingresar valores, NO porcentajes." sqref="M14:O14 M20:O20 M25:O25 M30:O30 M35:O35 M40:O40 M45:O45 M50:O50" xr:uid="{00000000-0002-0000-10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&amp;LVicerrectorado Administrativo&amp;C&amp;P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1000-000003000000}">
          <x14:formula1>
            <xm:f>'https://utmachalaeduec-my.sharepoint.com/personal/planificacion_utmachala_edu_ec/Documents/Gestión 2023/G.06 EMISION DE INSUMOS PARA ELAB. DE LA PROF, PRESUPUESTARIA Y SUS REFORMAS/REFORMA N° 002-2023/[PND]PND'!#REF!</xm:f>
          </x14:formula1>
          <xm:sqref>C9:D9 C14:D14 C20:D20 C25:D25 C30:D30 C35:D35 C40:D40 C45:D45 C50:D50</xm:sqref>
        </x14:dataValidation>
        <x14:dataValidation type="list" allowBlank="1" showErrorMessage="1" xr:uid="{00000000-0002-0000-1000-000004000000}">
          <x14:formula1>
            <xm:f>('https://utmachalaeduec-my.sharepoint.com/personal/planificacion_utmachala_edu_ec/Documents/Gestión 2023/G.06 EMISION DE INSUMOS PARA ELAB. DE LA PROF, PRESUPUESTARIA Y SUS REFORMAS/REFORMA N° 002-2023/[PEDI]PEDI'!#REF!)</xm:f>
          </x14:formula1>
          <xm:sqref>H9 H14 H20 H25 H30 H35 H40 H45 H50</xm:sqref>
        </x14:dataValidation>
        <x14:dataValidation type="list" allowBlank="1" showErrorMessage="1" xr:uid="{00000000-0002-0000-1000-000005000000}">
          <x14:formula1>
            <xm:f>'https://utmachalaeduec-my.sharepoint.com/personal/planificacion_utmachala_edu_ec/Documents/Gestión 2023/G.06 EMISION DE INSUMOS PARA ELAB. DE LA PROF, PRESUPUESTARIA Y SUS REFORMAS/REFORMA N° 002-2023/[PEDI]PEDI'!#REF!</xm:f>
          </x14:formula1>
          <xm:sqref>G9 G14 G20 G25 G30 G35 G40 G45 G50</xm:sqref>
        </x14:dataValidation>
        <x14:dataValidation type="list" allowBlank="1" showErrorMessage="1" xr:uid="{00000000-0002-0000-10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I20 I25 I30 I35 I40 I45 I50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36C09"/>
  </sheetPr>
  <dimension ref="A1:AI370"/>
  <sheetViews>
    <sheetView showGridLines="0" topLeftCell="A253" zoomScaleNormal="100" workbookViewId="0">
      <selection activeCell="A265" sqref="A265"/>
    </sheetView>
  </sheetViews>
  <sheetFormatPr baseColWidth="10" defaultColWidth="12.85546875" defaultRowHeight="15.75" customHeight="1"/>
  <cols>
    <col min="1" max="2" width="5" style="2267" customWidth="1"/>
    <col min="3" max="6" width="25.7109375" style="2267" customWidth="1"/>
    <col min="7" max="7" width="26.7109375" style="2267" customWidth="1"/>
    <col min="8" max="12" width="25.7109375" style="2267" customWidth="1"/>
    <col min="13" max="15" width="8.7109375" style="2267" customWidth="1"/>
    <col min="16" max="18" width="25.7109375" style="2267" customWidth="1"/>
    <col min="19" max="19" width="22.7109375" style="2267" customWidth="1"/>
    <col min="20" max="21" width="18.7109375" style="2267" customWidth="1"/>
    <col min="22" max="22" width="40.7109375" style="2267" customWidth="1"/>
    <col min="23" max="23" width="23.7109375" style="2267" customWidth="1"/>
    <col min="24" max="25" width="12.7109375" style="2267" customWidth="1"/>
    <col min="26" max="26" width="15.140625" style="2267" bestFit="1" customWidth="1"/>
    <col min="27" max="27" width="12.7109375" style="2267" customWidth="1"/>
    <col min="28" max="28" width="15.7109375" style="2267" bestFit="1" customWidth="1"/>
    <col min="29" max="29" width="12.140625" style="2364" customWidth="1"/>
    <col min="30" max="30" width="10.28515625" style="2364" customWidth="1"/>
    <col min="31" max="33" width="8.7109375" style="2267" customWidth="1"/>
    <col min="34" max="34" width="19.7109375" style="2267" customWidth="1"/>
    <col min="35" max="35" width="6.85546875" style="2267" customWidth="1"/>
    <col min="36" max="16384" width="12.85546875" style="2267"/>
  </cols>
  <sheetData>
    <row r="1" spans="1:35" ht="42.75" customHeight="1">
      <c r="A1" s="10318" t="s">
        <v>0</v>
      </c>
      <c r="B1" s="10217"/>
      <c r="C1" s="10217"/>
      <c r="D1" s="10217"/>
      <c r="E1" s="10217"/>
      <c r="F1" s="10217"/>
      <c r="G1" s="10217"/>
      <c r="H1" s="10217"/>
      <c r="I1" s="10217"/>
      <c r="J1" s="10217"/>
      <c r="K1" s="10217"/>
      <c r="L1" s="10217"/>
      <c r="M1" s="10217"/>
      <c r="N1" s="10217"/>
      <c r="O1" s="10217"/>
      <c r="P1" s="10217"/>
      <c r="Q1" s="10217"/>
      <c r="R1" s="10217"/>
      <c r="S1" s="10217"/>
      <c r="T1" s="10217"/>
      <c r="U1" s="10217"/>
      <c r="V1" s="10217"/>
      <c r="W1" s="10217"/>
      <c r="X1" s="10217"/>
      <c r="Y1" s="10217"/>
      <c r="Z1" s="10217"/>
      <c r="AA1" s="10217"/>
      <c r="AB1" s="10217"/>
      <c r="AC1" s="10217"/>
      <c r="AD1" s="10217"/>
      <c r="AE1" s="10217"/>
      <c r="AF1" s="10217"/>
      <c r="AG1" s="10217"/>
      <c r="AH1" s="10217"/>
      <c r="AI1" s="2266"/>
    </row>
    <row r="2" spans="1:35" ht="30">
      <c r="A2" s="10319" t="s">
        <v>1</v>
      </c>
      <c r="B2" s="10320"/>
      <c r="C2" s="10320"/>
      <c r="D2" s="10320"/>
      <c r="E2" s="10320"/>
      <c r="F2" s="10320"/>
      <c r="G2" s="10320"/>
      <c r="H2" s="10320"/>
      <c r="I2" s="10320"/>
      <c r="J2" s="10320"/>
      <c r="K2" s="10320"/>
      <c r="L2" s="10320"/>
      <c r="M2" s="10320"/>
      <c r="N2" s="10320"/>
      <c r="O2" s="10320"/>
      <c r="P2" s="10320"/>
      <c r="Q2" s="10320"/>
      <c r="R2" s="10320"/>
      <c r="S2" s="10320"/>
      <c r="T2" s="10320"/>
      <c r="U2" s="10320"/>
      <c r="V2" s="10320"/>
      <c r="W2" s="10320"/>
      <c r="X2" s="10320"/>
      <c r="Y2" s="10320"/>
      <c r="Z2" s="10320"/>
      <c r="AA2" s="10320"/>
      <c r="AB2" s="10320"/>
      <c r="AC2" s="10320"/>
      <c r="AD2" s="10320"/>
      <c r="AE2" s="10320"/>
      <c r="AF2" s="10320"/>
      <c r="AG2" s="10320"/>
      <c r="AH2" s="10320"/>
      <c r="AI2" s="2268"/>
    </row>
    <row r="3" spans="1:35" ht="30.75">
      <c r="A3" s="10321" t="s">
        <v>2636</v>
      </c>
      <c r="B3" s="10322"/>
      <c r="C3" s="10322"/>
      <c r="D3" s="10322"/>
      <c r="E3" s="10322"/>
      <c r="F3" s="10322"/>
      <c r="G3" s="10322"/>
      <c r="H3" s="10322"/>
      <c r="I3" s="10322"/>
      <c r="J3" s="10322"/>
      <c r="K3" s="10322"/>
      <c r="L3" s="10322"/>
      <c r="M3" s="10322"/>
      <c r="N3" s="10322"/>
      <c r="O3" s="10322"/>
      <c r="P3" s="10322"/>
      <c r="Q3" s="10322"/>
      <c r="R3" s="10322"/>
      <c r="S3" s="10322"/>
      <c r="T3" s="10322"/>
      <c r="U3" s="10322"/>
      <c r="V3" s="10322"/>
      <c r="W3" s="10322"/>
      <c r="X3" s="10322"/>
      <c r="Y3" s="10322"/>
      <c r="Z3" s="10322"/>
      <c r="AA3" s="10322"/>
      <c r="AB3" s="10322"/>
      <c r="AC3" s="10322"/>
      <c r="AD3" s="10322"/>
      <c r="AE3" s="10322"/>
      <c r="AF3" s="10322"/>
      <c r="AG3" s="10322"/>
      <c r="AH3" s="10322"/>
      <c r="AI3" s="2269"/>
    </row>
    <row r="4" spans="1:35" ht="26.25">
      <c r="A4" s="10323" t="s">
        <v>88</v>
      </c>
      <c r="B4" s="10217"/>
      <c r="C4" s="10217"/>
      <c r="D4" s="10217"/>
      <c r="E4" s="10217"/>
      <c r="F4" s="10217"/>
      <c r="G4" s="10217"/>
      <c r="H4" s="10217"/>
      <c r="I4" s="10217"/>
      <c r="J4" s="10217"/>
      <c r="K4" s="10217"/>
      <c r="L4" s="10217"/>
      <c r="M4" s="10217"/>
      <c r="N4" s="10217"/>
      <c r="O4" s="10217"/>
      <c r="P4" s="10217"/>
      <c r="Q4" s="10217"/>
      <c r="R4" s="10217"/>
      <c r="S4" s="10217"/>
      <c r="T4" s="10217"/>
      <c r="U4" s="10217"/>
      <c r="V4" s="10217"/>
      <c r="W4" s="10217"/>
      <c r="X4" s="10217"/>
      <c r="Y4" s="10217"/>
      <c r="Z4" s="10217"/>
      <c r="AA4" s="10217"/>
      <c r="AB4" s="10217"/>
      <c r="AC4" s="10217"/>
      <c r="AD4" s="10217"/>
      <c r="AE4" s="10217"/>
      <c r="AF4" s="10217"/>
      <c r="AG4" s="10217"/>
      <c r="AH4" s="10217"/>
      <c r="AI4" s="2269"/>
    </row>
    <row r="5" spans="1:35" ht="16.5" customHeight="1" thickBot="1">
      <c r="A5" s="2270"/>
      <c r="B5" s="2270"/>
      <c r="C5" s="2270"/>
      <c r="D5" s="2270"/>
      <c r="E5" s="2270"/>
      <c r="F5" s="2270"/>
      <c r="G5" s="2270"/>
      <c r="H5" s="2270"/>
      <c r="I5" s="2270"/>
      <c r="J5" s="2270"/>
      <c r="K5" s="2270"/>
      <c r="L5" s="2270"/>
      <c r="M5" s="2270"/>
      <c r="N5" s="2270"/>
      <c r="O5" s="2270"/>
      <c r="P5" s="2270"/>
      <c r="Q5" s="2270"/>
      <c r="R5" s="2270"/>
      <c r="S5" s="2270"/>
      <c r="T5" s="2270"/>
      <c r="U5" s="2270"/>
      <c r="V5" s="2270"/>
      <c r="W5" s="2270"/>
      <c r="X5" s="2270"/>
      <c r="Y5" s="2270"/>
      <c r="Z5" s="2270"/>
      <c r="AA5" s="2270"/>
      <c r="AB5" s="2270"/>
      <c r="AC5" s="2271"/>
      <c r="AD5" s="2271"/>
      <c r="AE5" s="2270"/>
      <c r="AF5" s="2272"/>
      <c r="AG5" s="2270"/>
      <c r="AH5" s="2273"/>
      <c r="AI5" s="2274"/>
    </row>
    <row r="6" spans="1:35" ht="24.75" customHeight="1" thickTop="1">
      <c r="A6" s="10324" t="s">
        <v>89</v>
      </c>
      <c r="B6" s="10325"/>
      <c r="C6" s="10330" t="s">
        <v>90</v>
      </c>
      <c r="D6" s="10331"/>
      <c r="E6" s="10332" t="s">
        <v>91</v>
      </c>
      <c r="F6" s="10333"/>
      <c r="G6" s="10333"/>
      <c r="H6" s="10333"/>
      <c r="I6" s="10333"/>
      <c r="J6" s="10334" t="s">
        <v>92</v>
      </c>
      <c r="K6" s="10335"/>
      <c r="L6" s="10335"/>
      <c r="M6" s="10335"/>
      <c r="N6" s="10335"/>
      <c r="O6" s="10335"/>
      <c r="P6" s="10335"/>
      <c r="Q6" s="10335"/>
      <c r="R6" s="10336"/>
      <c r="S6" s="10337" t="s">
        <v>93</v>
      </c>
      <c r="T6" s="10338"/>
      <c r="U6" s="10338"/>
      <c r="V6" s="10338"/>
      <c r="W6" s="10338"/>
      <c r="X6" s="10338"/>
      <c r="Y6" s="10338"/>
      <c r="Z6" s="10338"/>
      <c r="AA6" s="10338"/>
      <c r="AB6" s="10338"/>
      <c r="AC6" s="10338"/>
      <c r="AD6" s="10338"/>
      <c r="AE6" s="10338"/>
      <c r="AF6" s="10338"/>
      <c r="AG6" s="10338"/>
      <c r="AH6" s="10339"/>
      <c r="AI6" s="2275"/>
    </row>
    <row r="7" spans="1:35" ht="39.75" customHeight="1">
      <c r="A7" s="10326"/>
      <c r="B7" s="10327"/>
      <c r="C7" s="10340" t="s">
        <v>94</v>
      </c>
      <c r="D7" s="10314" t="s">
        <v>95</v>
      </c>
      <c r="E7" s="10316" t="s">
        <v>96</v>
      </c>
      <c r="F7" s="10316" t="s">
        <v>97</v>
      </c>
      <c r="G7" s="10316" t="s">
        <v>98</v>
      </c>
      <c r="H7" s="10316" t="s">
        <v>99</v>
      </c>
      <c r="I7" s="10316" t="s">
        <v>100</v>
      </c>
      <c r="J7" s="10309" t="s">
        <v>101</v>
      </c>
      <c r="K7" s="10311" t="s">
        <v>102</v>
      </c>
      <c r="L7" s="10311" t="s">
        <v>103</v>
      </c>
      <c r="M7" s="10311" t="s">
        <v>104</v>
      </c>
      <c r="N7" s="10313"/>
      <c r="O7" s="10313"/>
      <c r="P7" s="10311" t="s">
        <v>105</v>
      </c>
      <c r="Q7" s="10311" t="s">
        <v>106</v>
      </c>
      <c r="R7" s="10342" t="s">
        <v>107</v>
      </c>
      <c r="S7" s="10344" t="s">
        <v>108</v>
      </c>
      <c r="T7" s="10345"/>
      <c r="U7" s="10345"/>
      <c r="V7" s="10345"/>
      <c r="W7" s="10345"/>
      <c r="X7" s="10345"/>
      <c r="Y7" s="10346"/>
      <c r="Z7" s="10347" t="s">
        <v>109</v>
      </c>
      <c r="AA7" s="10348"/>
      <c r="AB7" s="10348"/>
      <c r="AC7" s="10348"/>
      <c r="AD7" s="10349"/>
      <c r="AE7" s="10347" t="s">
        <v>110</v>
      </c>
      <c r="AF7" s="10345"/>
      <c r="AG7" s="10346"/>
      <c r="AH7" s="10350" t="s">
        <v>111</v>
      </c>
      <c r="AI7" s="2275"/>
    </row>
    <row r="8" spans="1:35" ht="51.75" customHeight="1" thickBot="1">
      <c r="A8" s="10328"/>
      <c r="B8" s="10329"/>
      <c r="C8" s="10341"/>
      <c r="D8" s="10315"/>
      <c r="E8" s="10317"/>
      <c r="F8" s="10317"/>
      <c r="G8" s="10317"/>
      <c r="H8" s="10317"/>
      <c r="I8" s="10317"/>
      <c r="J8" s="10310"/>
      <c r="K8" s="10312"/>
      <c r="L8" s="10312"/>
      <c r="M8" s="5135" t="s">
        <v>112</v>
      </c>
      <c r="N8" s="5135" t="s">
        <v>113</v>
      </c>
      <c r="O8" s="5135" t="s">
        <v>114</v>
      </c>
      <c r="P8" s="10312"/>
      <c r="Q8" s="10312"/>
      <c r="R8" s="10343"/>
      <c r="S8" s="5136" t="s">
        <v>115</v>
      </c>
      <c r="T8" s="5137" t="s">
        <v>116</v>
      </c>
      <c r="U8" s="5138" t="s">
        <v>117</v>
      </c>
      <c r="V8" s="5137" t="s">
        <v>118</v>
      </c>
      <c r="W8" s="5137" t="s">
        <v>119</v>
      </c>
      <c r="X8" s="5137" t="s">
        <v>372</v>
      </c>
      <c r="Y8" s="5139" t="s">
        <v>121</v>
      </c>
      <c r="Z8" s="5137" t="s">
        <v>122</v>
      </c>
      <c r="AA8" s="5137" t="s">
        <v>123</v>
      </c>
      <c r="AB8" s="5137" t="s">
        <v>124</v>
      </c>
      <c r="AC8" s="5139" t="s">
        <v>125</v>
      </c>
      <c r="AD8" s="5139" t="s">
        <v>1100</v>
      </c>
      <c r="AE8" s="5137" t="s">
        <v>112</v>
      </c>
      <c r="AF8" s="5137" t="s">
        <v>113</v>
      </c>
      <c r="AG8" s="5137" t="s">
        <v>114</v>
      </c>
      <c r="AH8" s="10351"/>
      <c r="AI8" s="2275" t="s">
        <v>2637</v>
      </c>
    </row>
    <row r="9" spans="1:35" ht="40.5" customHeight="1">
      <c r="A9" s="10305" t="s">
        <v>2636</v>
      </c>
      <c r="B9" s="10308" t="s">
        <v>2636</v>
      </c>
      <c r="C9" s="10255" t="s">
        <v>127</v>
      </c>
      <c r="D9" s="10242" t="s">
        <v>128</v>
      </c>
      <c r="E9" s="10242" t="s">
        <v>129</v>
      </c>
      <c r="F9" s="10242" t="s">
        <v>336</v>
      </c>
      <c r="G9" s="10258" t="s">
        <v>131</v>
      </c>
      <c r="H9" s="10242" t="s">
        <v>132</v>
      </c>
      <c r="I9" s="10242" t="s">
        <v>159</v>
      </c>
      <c r="J9" s="10242" t="s">
        <v>2638</v>
      </c>
      <c r="K9" s="10242" t="s">
        <v>2639</v>
      </c>
      <c r="L9" s="10242" t="s">
        <v>2640</v>
      </c>
      <c r="M9" s="10304">
        <v>1</v>
      </c>
      <c r="N9" s="10240">
        <v>1</v>
      </c>
      <c r="O9" s="10240">
        <v>1</v>
      </c>
      <c r="P9" s="10242" t="s">
        <v>2641</v>
      </c>
      <c r="Q9" s="10242" t="s">
        <v>2642</v>
      </c>
      <c r="R9" s="10243" t="s">
        <v>2643</v>
      </c>
      <c r="S9" s="2276"/>
      <c r="T9" s="2277"/>
      <c r="U9" s="2277"/>
      <c r="V9" s="2278"/>
      <c r="W9" s="6186"/>
      <c r="X9" s="2279"/>
      <c r="Y9" s="2280"/>
      <c r="Z9" s="2280"/>
      <c r="AA9" s="2280"/>
      <c r="AB9" s="2281"/>
      <c r="AC9" s="2282"/>
      <c r="AD9" s="2283"/>
      <c r="AE9" s="2279"/>
      <c r="AF9" s="2284"/>
      <c r="AG9" s="2284"/>
      <c r="AH9" s="10302" t="s">
        <v>2644</v>
      </c>
      <c r="AI9" s="2285"/>
    </row>
    <row r="10" spans="1:35" ht="40.5" customHeight="1">
      <c r="A10" s="10306"/>
      <c r="B10" s="10272"/>
      <c r="C10" s="10256"/>
      <c r="D10" s="10238"/>
      <c r="E10" s="10238"/>
      <c r="F10" s="10238"/>
      <c r="G10" s="10238"/>
      <c r="H10" s="10238"/>
      <c r="I10" s="10238"/>
      <c r="J10" s="10238"/>
      <c r="K10" s="10238"/>
      <c r="L10" s="10238"/>
      <c r="M10" s="10235"/>
      <c r="N10" s="10235"/>
      <c r="O10" s="10235"/>
      <c r="P10" s="10238"/>
      <c r="Q10" s="10238"/>
      <c r="R10" s="10244"/>
      <c r="S10" s="2286"/>
      <c r="T10" s="2287"/>
      <c r="U10" s="2287"/>
      <c r="V10" s="2288"/>
      <c r="W10" s="2289"/>
      <c r="X10" s="2290"/>
      <c r="Y10" s="2291"/>
      <c r="Z10" s="2291"/>
      <c r="AA10" s="2291"/>
      <c r="AB10" s="2292"/>
      <c r="AC10" s="2293"/>
      <c r="AD10" s="2294"/>
      <c r="AE10" s="2290"/>
      <c r="AF10" s="2295"/>
      <c r="AG10" s="2295"/>
      <c r="AH10" s="10300"/>
      <c r="AI10" s="2285"/>
    </row>
    <row r="11" spans="1:35" ht="40.5" customHeight="1">
      <c r="A11" s="10306"/>
      <c r="B11" s="10272"/>
      <c r="C11" s="10256"/>
      <c r="D11" s="10238"/>
      <c r="E11" s="10238"/>
      <c r="F11" s="10238"/>
      <c r="G11" s="10238"/>
      <c r="H11" s="10238"/>
      <c r="I11" s="10238"/>
      <c r="J11" s="10238"/>
      <c r="K11" s="10238"/>
      <c r="L11" s="10238"/>
      <c r="M11" s="10235"/>
      <c r="N11" s="10235"/>
      <c r="O11" s="10235"/>
      <c r="P11" s="10238"/>
      <c r="Q11" s="10238"/>
      <c r="R11" s="10244"/>
      <c r="S11" s="2286"/>
      <c r="T11" s="2287"/>
      <c r="U11" s="2287"/>
      <c r="V11" s="2288"/>
      <c r="W11" s="2289"/>
      <c r="X11" s="2290"/>
      <c r="Y11" s="2291"/>
      <c r="Z11" s="2291"/>
      <c r="AA11" s="2291"/>
      <c r="AB11" s="2292"/>
      <c r="AC11" s="2293"/>
      <c r="AD11" s="2294"/>
      <c r="AE11" s="2290"/>
      <c r="AF11" s="2295"/>
      <c r="AG11" s="2295"/>
      <c r="AH11" s="10300"/>
      <c r="AI11" s="2285"/>
    </row>
    <row r="12" spans="1:35" ht="40.5" customHeight="1">
      <c r="A12" s="10306"/>
      <c r="B12" s="10272"/>
      <c r="C12" s="10256"/>
      <c r="D12" s="10238"/>
      <c r="E12" s="10238"/>
      <c r="F12" s="10238"/>
      <c r="G12" s="10238"/>
      <c r="H12" s="10238"/>
      <c r="I12" s="10238"/>
      <c r="J12" s="10238"/>
      <c r="K12" s="10238"/>
      <c r="L12" s="10238"/>
      <c r="M12" s="10235"/>
      <c r="N12" s="10235"/>
      <c r="O12" s="10235"/>
      <c r="P12" s="10238"/>
      <c r="Q12" s="10238"/>
      <c r="R12" s="10244"/>
      <c r="S12" s="2286"/>
      <c r="T12" s="2296"/>
      <c r="U12" s="2287"/>
      <c r="V12" s="2297"/>
      <c r="W12" s="2289"/>
      <c r="X12" s="2298"/>
      <c r="Y12" s="2299"/>
      <c r="Z12" s="2299"/>
      <c r="AA12" s="2299"/>
      <c r="AB12" s="2300"/>
      <c r="AC12" s="2301"/>
      <c r="AD12" s="2302"/>
      <c r="AE12" s="2298"/>
      <c r="AF12" s="2295"/>
      <c r="AG12" s="2295"/>
      <c r="AH12" s="10300"/>
      <c r="AI12" s="2285"/>
    </row>
    <row r="13" spans="1:35" ht="40.5" customHeight="1">
      <c r="A13" s="10306"/>
      <c r="B13" s="10272"/>
      <c r="C13" s="10268"/>
      <c r="D13" s="10265"/>
      <c r="E13" s="10265"/>
      <c r="F13" s="10265"/>
      <c r="G13" s="10265"/>
      <c r="H13" s="10265"/>
      <c r="I13" s="10265"/>
      <c r="J13" s="10265"/>
      <c r="K13" s="10265"/>
      <c r="L13" s="10265"/>
      <c r="M13" s="10267"/>
      <c r="N13" s="10267"/>
      <c r="O13" s="10267"/>
      <c r="P13" s="10265"/>
      <c r="Q13" s="10265"/>
      <c r="R13" s="10260"/>
      <c r="S13" s="2572"/>
      <c r="T13" s="2304"/>
      <c r="U13" s="2304"/>
      <c r="V13" s="2305"/>
      <c r="W13" s="2306"/>
      <c r="X13" s="2307"/>
      <c r="Y13" s="2308"/>
      <c r="Z13" s="2308"/>
      <c r="AA13" s="2308"/>
      <c r="AB13" s="2309"/>
      <c r="AC13" s="2310"/>
      <c r="AD13" s="2311"/>
      <c r="AE13" s="2307"/>
      <c r="AF13" s="2312"/>
      <c r="AG13" s="2312"/>
      <c r="AH13" s="10303"/>
      <c r="AI13" s="2285"/>
    </row>
    <row r="14" spans="1:35" ht="30.75" customHeight="1">
      <c r="A14" s="10306"/>
      <c r="B14" s="10272"/>
      <c r="C14" s="10263" t="s">
        <v>127</v>
      </c>
      <c r="D14" s="10237" t="s">
        <v>128</v>
      </c>
      <c r="E14" s="10237" t="s">
        <v>129</v>
      </c>
      <c r="F14" s="10237" t="s">
        <v>336</v>
      </c>
      <c r="G14" s="10264" t="s">
        <v>131</v>
      </c>
      <c r="H14" s="10237" t="s">
        <v>132</v>
      </c>
      <c r="I14" s="10237" t="s">
        <v>159</v>
      </c>
      <c r="J14" s="10237" t="s">
        <v>2645</v>
      </c>
      <c r="K14" s="10237" t="s">
        <v>2646</v>
      </c>
      <c r="L14" s="10237" t="s">
        <v>2647</v>
      </c>
      <c r="M14" s="10234">
        <v>1</v>
      </c>
      <c r="N14" s="10234">
        <v>1</v>
      </c>
      <c r="O14" s="10234">
        <v>1</v>
      </c>
      <c r="P14" s="10237" t="s">
        <v>2648</v>
      </c>
      <c r="Q14" s="10237" t="s">
        <v>2649</v>
      </c>
      <c r="R14" s="10259" t="s">
        <v>2650</v>
      </c>
      <c r="S14" s="2276" t="s">
        <v>15</v>
      </c>
      <c r="T14" s="2313">
        <v>840103</v>
      </c>
      <c r="U14" s="2314"/>
      <c r="V14" s="2341" t="s">
        <v>671</v>
      </c>
      <c r="W14" s="6187"/>
      <c r="X14" s="2315"/>
      <c r="Y14" s="2316"/>
      <c r="Z14" s="2316"/>
      <c r="AA14" s="2316"/>
      <c r="AB14" s="3313">
        <f>AA15</f>
        <v>1425.27</v>
      </c>
      <c r="AC14" s="2318" t="s">
        <v>18</v>
      </c>
      <c r="AD14" s="2319"/>
      <c r="AE14" s="2315"/>
      <c r="AF14" s="2414"/>
      <c r="AG14" s="2320"/>
      <c r="AH14" s="10261"/>
      <c r="AI14" s="2285"/>
    </row>
    <row r="15" spans="1:35" ht="30.75" customHeight="1">
      <c r="A15" s="10306"/>
      <c r="B15" s="10272"/>
      <c r="C15" s="10256"/>
      <c r="D15" s="10238"/>
      <c r="E15" s="10238"/>
      <c r="F15" s="10238"/>
      <c r="G15" s="10238"/>
      <c r="H15" s="10238"/>
      <c r="I15" s="10238"/>
      <c r="J15" s="10238"/>
      <c r="K15" s="10238"/>
      <c r="L15" s="10238"/>
      <c r="M15" s="10235"/>
      <c r="N15" s="10235"/>
      <c r="O15" s="10235"/>
      <c r="P15" s="10238"/>
      <c r="Q15" s="10238"/>
      <c r="R15" s="10244"/>
      <c r="S15" s="2286"/>
      <c r="T15" s="2287"/>
      <c r="U15" s="3308">
        <v>3811100001</v>
      </c>
      <c r="V15" s="3309" t="s">
        <v>2651</v>
      </c>
      <c r="W15" s="3310">
        <v>3</v>
      </c>
      <c r="X15" s="3311" t="s">
        <v>180</v>
      </c>
      <c r="Y15" s="3312">
        <f>1425.27/W15</f>
        <v>475.09</v>
      </c>
      <c r="Z15" s="3312">
        <f>Y15*W15</f>
        <v>1425.27</v>
      </c>
      <c r="AA15" s="3312">
        <f>Z15</f>
        <v>1425.27</v>
      </c>
      <c r="AB15" s="2300"/>
      <c r="AC15" s="2301"/>
      <c r="AD15" s="2302"/>
      <c r="AE15" s="2298"/>
      <c r="AF15" s="2290" t="s">
        <v>153</v>
      </c>
      <c r="AG15" s="2322"/>
      <c r="AH15" s="10247"/>
      <c r="AI15" s="2285"/>
    </row>
    <row r="16" spans="1:35" ht="30.75" customHeight="1">
      <c r="A16" s="10306"/>
      <c r="B16" s="10272"/>
      <c r="C16" s="10256"/>
      <c r="D16" s="10238"/>
      <c r="E16" s="10238"/>
      <c r="F16" s="10238"/>
      <c r="G16" s="10238"/>
      <c r="H16" s="10238"/>
      <c r="I16" s="10238"/>
      <c r="J16" s="10238"/>
      <c r="K16" s="10238"/>
      <c r="L16" s="10238"/>
      <c r="M16" s="10235"/>
      <c r="N16" s="10235"/>
      <c r="O16" s="10235"/>
      <c r="P16" s="10238"/>
      <c r="Q16" s="10238"/>
      <c r="R16" s="10244"/>
      <c r="S16" s="2286"/>
      <c r="T16" s="2287"/>
      <c r="U16" s="2287"/>
      <c r="V16" s="2288"/>
      <c r="W16" s="2289"/>
      <c r="X16" s="2298"/>
      <c r="Y16" s="2299"/>
      <c r="Z16" s="2299"/>
      <c r="AA16" s="2299"/>
      <c r="AB16" s="2300"/>
      <c r="AC16" s="2301"/>
      <c r="AD16" s="2302"/>
      <c r="AE16" s="2298"/>
      <c r="AF16" s="2290"/>
      <c r="AG16" s="2295"/>
      <c r="AH16" s="10247"/>
      <c r="AI16" s="2285"/>
    </row>
    <row r="17" spans="1:35" ht="30.75" customHeight="1">
      <c r="A17" s="10306"/>
      <c r="B17" s="10272"/>
      <c r="C17" s="10256"/>
      <c r="D17" s="10238"/>
      <c r="E17" s="10238"/>
      <c r="F17" s="10238"/>
      <c r="G17" s="10238"/>
      <c r="H17" s="10238"/>
      <c r="I17" s="10238"/>
      <c r="J17" s="10238"/>
      <c r="K17" s="10238"/>
      <c r="L17" s="10238"/>
      <c r="M17" s="10235"/>
      <c r="N17" s="10235"/>
      <c r="O17" s="10235"/>
      <c r="P17" s="10238"/>
      <c r="Q17" s="10238"/>
      <c r="R17" s="10244"/>
      <c r="S17" s="2286"/>
      <c r="T17" s="2287"/>
      <c r="U17" s="2287"/>
      <c r="V17" s="2288"/>
      <c r="W17" s="2289"/>
      <c r="X17" s="2298"/>
      <c r="Y17" s="2299"/>
      <c r="Z17" s="2299"/>
      <c r="AA17" s="2299"/>
      <c r="AB17" s="2300"/>
      <c r="AC17" s="2301"/>
      <c r="AD17" s="2302"/>
      <c r="AE17" s="2298"/>
      <c r="AF17" s="2290"/>
      <c r="AG17" s="2295"/>
      <c r="AH17" s="10247"/>
      <c r="AI17" s="2285"/>
    </row>
    <row r="18" spans="1:35" ht="30.75" customHeight="1">
      <c r="A18" s="10306"/>
      <c r="B18" s="10272"/>
      <c r="C18" s="10257"/>
      <c r="D18" s="10239"/>
      <c r="E18" s="10239"/>
      <c r="F18" s="10239"/>
      <c r="G18" s="10239"/>
      <c r="H18" s="10239"/>
      <c r="I18" s="10239"/>
      <c r="J18" s="10239"/>
      <c r="K18" s="10239"/>
      <c r="L18" s="10239"/>
      <c r="M18" s="10236"/>
      <c r="N18" s="10236"/>
      <c r="O18" s="10236"/>
      <c r="P18" s="10239"/>
      <c r="Q18" s="10239"/>
      <c r="R18" s="10245"/>
      <c r="S18" s="2323"/>
      <c r="T18" s="2324"/>
      <c r="U18" s="2324"/>
      <c r="V18" s="2325"/>
      <c r="W18" s="2326"/>
      <c r="X18" s="2327"/>
      <c r="Y18" s="2328"/>
      <c r="Z18" s="2328"/>
      <c r="AA18" s="2328"/>
      <c r="AB18" s="2329"/>
      <c r="AC18" s="2330"/>
      <c r="AD18" s="2331"/>
      <c r="AE18" s="2327"/>
      <c r="AF18" s="2332"/>
      <c r="AG18" s="2333"/>
      <c r="AH18" s="10248"/>
      <c r="AI18" s="2285"/>
    </row>
    <row r="19" spans="1:35" ht="30.75" customHeight="1">
      <c r="A19" s="10306"/>
      <c r="B19" s="10272"/>
      <c r="C19" s="10255" t="s">
        <v>127</v>
      </c>
      <c r="D19" s="10242" t="s">
        <v>128</v>
      </c>
      <c r="E19" s="10242" t="s">
        <v>129</v>
      </c>
      <c r="F19" s="10242" t="s">
        <v>336</v>
      </c>
      <c r="G19" s="10258" t="s">
        <v>131</v>
      </c>
      <c r="H19" s="10242" t="s">
        <v>132</v>
      </c>
      <c r="I19" s="10242" t="s">
        <v>159</v>
      </c>
      <c r="J19" s="10258" t="s">
        <v>2652</v>
      </c>
      <c r="K19" s="10242" t="s">
        <v>2653</v>
      </c>
      <c r="L19" s="10242" t="s">
        <v>2654</v>
      </c>
      <c r="M19" s="10240">
        <v>0</v>
      </c>
      <c r="N19" s="10240">
        <v>1</v>
      </c>
      <c r="O19" s="10240">
        <v>0</v>
      </c>
      <c r="P19" s="10242" t="s">
        <v>2655</v>
      </c>
      <c r="Q19" s="10242" t="s">
        <v>2656</v>
      </c>
      <c r="R19" s="10243" t="s">
        <v>2650</v>
      </c>
      <c r="S19" s="2334"/>
      <c r="T19" s="2277"/>
      <c r="U19" s="2277"/>
      <c r="V19" s="2278"/>
      <c r="W19" s="6186"/>
      <c r="X19" s="2335"/>
      <c r="Y19" s="2336"/>
      <c r="Z19" s="2336"/>
      <c r="AA19" s="2336"/>
      <c r="AB19" s="2337"/>
      <c r="AC19" s="2338"/>
      <c r="AD19" s="2339"/>
      <c r="AE19" s="2335"/>
      <c r="AF19" s="2284"/>
      <c r="AG19" s="2284"/>
      <c r="AH19" s="10246"/>
      <c r="AI19" s="2285"/>
    </row>
    <row r="20" spans="1:35" ht="30.75" customHeight="1">
      <c r="A20" s="10306"/>
      <c r="B20" s="10272"/>
      <c r="C20" s="10256"/>
      <c r="D20" s="10238"/>
      <c r="E20" s="10238"/>
      <c r="F20" s="10238"/>
      <c r="G20" s="10238"/>
      <c r="H20" s="10238"/>
      <c r="I20" s="10238"/>
      <c r="J20" s="10238"/>
      <c r="K20" s="10238"/>
      <c r="L20" s="10238"/>
      <c r="M20" s="10235"/>
      <c r="N20" s="10235"/>
      <c r="O20" s="10235"/>
      <c r="P20" s="10238"/>
      <c r="Q20" s="10238"/>
      <c r="R20" s="10244"/>
      <c r="S20" s="2286"/>
      <c r="T20" s="2287"/>
      <c r="U20" s="2287"/>
      <c r="V20" s="2288"/>
      <c r="W20" s="2289"/>
      <c r="X20" s="2298"/>
      <c r="Y20" s="2299"/>
      <c r="Z20" s="2299"/>
      <c r="AA20" s="2299"/>
      <c r="AB20" s="2300"/>
      <c r="AC20" s="2301"/>
      <c r="AD20" s="2302"/>
      <c r="AE20" s="2298"/>
      <c r="AF20" s="2295"/>
      <c r="AG20" s="2295"/>
      <c r="AH20" s="10247"/>
      <c r="AI20" s="2285"/>
    </row>
    <row r="21" spans="1:35" ht="30.75" customHeight="1">
      <c r="A21" s="10306"/>
      <c r="B21" s="10272"/>
      <c r="C21" s="10256"/>
      <c r="D21" s="10238"/>
      <c r="E21" s="10238"/>
      <c r="F21" s="10238"/>
      <c r="G21" s="10238"/>
      <c r="H21" s="10238"/>
      <c r="I21" s="10238"/>
      <c r="J21" s="10238"/>
      <c r="K21" s="10238"/>
      <c r="L21" s="10238"/>
      <c r="M21" s="10235"/>
      <c r="N21" s="10235"/>
      <c r="O21" s="10235"/>
      <c r="P21" s="10238"/>
      <c r="Q21" s="10238"/>
      <c r="R21" s="10244"/>
      <c r="S21" s="2286"/>
      <c r="T21" s="2287"/>
      <c r="U21" s="2287"/>
      <c r="V21" s="2288"/>
      <c r="W21" s="2289"/>
      <c r="X21" s="2298"/>
      <c r="Y21" s="2299"/>
      <c r="Z21" s="2299"/>
      <c r="AA21" s="2299"/>
      <c r="AB21" s="2300"/>
      <c r="AC21" s="2301"/>
      <c r="AD21" s="2302"/>
      <c r="AE21" s="2298"/>
      <c r="AF21" s="2295"/>
      <c r="AG21" s="2295"/>
      <c r="AH21" s="10247"/>
      <c r="AI21" s="2285"/>
    </row>
    <row r="22" spans="1:35" ht="30.75" customHeight="1">
      <c r="A22" s="10306"/>
      <c r="B22" s="10272"/>
      <c r="C22" s="10256"/>
      <c r="D22" s="10238"/>
      <c r="E22" s="10238"/>
      <c r="F22" s="10238"/>
      <c r="G22" s="10238"/>
      <c r="H22" s="10238"/>
      <c r="I22" s="10238"/>
      <c r="J22" s="10238"/>
      <c r="K22" s="10238"/>
      <c r="L22" s="10238"/>
      <c r="M22" s="10235"/>
      <c r="N22" s="10235"/>
      <c r="O22" s="10235"/>
      <c r="P22" s="10238"/>
      <c r="Q22" s="10238"/>
      <c r="R22" s="10244"/>
      <c r="S22" s="2286"/>
      <c r="T22" s="2287"/>
      <c r="U22" s="2287"/>
      <c r="V22" s="2288"/>
      <c r="W22" s="2289"/>
      <c r="X22" s="2298"/>
      <c r="Y22" s="2299"/>
      <c r="Z22" s="2299"/>
      <c r="AA22" s="2299"/>
      <c r="AB22" s="2300"/>
      <c r="AC22" s="2301"/>
      <c r="AD22" s="2302"/>
      <c r="AE22" s="2298"/>
      <c r="AF22" s="2295"/>
      <c r="AG22" s="2295"/>
      <c r="AH22" s="10247"/>
      <c r="AI22" s="2285"/>
    </row>
    <row r="23" spans="1:35" ht="30.75" customHeight="1">
      <c r="A23" s="10306"/>
      <c r="B23" s="10272"/>
      <c r="C23" s="10268"/>
      <c r="D23" s="10265"/>
      <c r="E23" s="10265"/>
      <c r="F23" s="10265"/>
      <c r="G23" s="10265"/>
      <c r="H23" s="10265"/>
      <c r="I23" s="10265"/>
      <c r="J23" s="10265"/>
      <c r="K23" s="10265"/>
      <c r="L23" s="10265"/>
      <c r="M23" s="10267"/>
      <c r="N23" s="10267"/>
      <c r="O23" s="10267"/>
      <c r="P23" s="10265"/>
      <c r="Q23" s="10265"/>
      <c r="R23" s="10260"/>
      <c r="S23" s="2303"/>
      <c r="T23" s="2304"/>
      <c r="U23" s="2304"/>
      <c r="V23" s="2305"/>
      <c r="W23" s="2306"/>
      <c r="X23" s="2307"/>
      <c r="Y23" s="2308"/>
      <c r="Z23" s="2308"/>
      <c r="AA23" s="2308"/>
      <c r="AB23" s="2309"/>
      <c r="AC23" s="2310"/>
      <c r="AD23" s="2311"/>
      <c r="AE23" s="2307"/>
      <c r="AF23" s="2312"/>
      <c r="AG23" s="2312"/>
      <c r="AH23" s="10262"/>
      <c r="AI23" s="2285"/>
    </row>
    <row r="24" spans="1:35" ht="31.5" customHeight="1">
      <c r="A24" s="10306"/>
      <c r="B24" s="10272"/>
      <c r="C24" s="10263" t="s">
        <v>127</v>
      </c>
      <c r="D24" s="10237" t="s">
        <v>128</v>
      </c>
      <c r="E24" s="10237" t="s">
        <v>129</v>
      </c>
      <c r="F24" s="10237" t="s">
        <v>336</v>
      </c>
      <c r="G24" s="10264" t="s">
        <v>131</v>
      </c>
      <c r="H24" s="10237" t="s">
        <v>132</v>
      </c>
      <c r="I24" s="10237" t="s">
        <v>189</v>
      </c>
      <c r="J24" s="10264" t="s">
        <v>2657</v>
      </c>
      <c r="K24" s="10237" t="s">
        <v>2658</v>
      </c>
      <c r="L24" s="10237" t="s">
        <v>2659</v>
      </c>
      <c r="M24" s="10234">
        <v>0</v>
      </c>
      <c r="N24" s="10234">
        <v>1</v>
      </c>
      <c r="O24" s="10254">
        <v>0</v>
      </c>
      <c r="P24" s="10237" t="s">
        <v>2660</v>
      </c>
      <c r="Q24" s="10237" t="s">
        <v>2661</v>
      </c>
      <c r="R24" s="10259" t="s">
        <v>2650</v>
      </c>
      <c r="S24" s="2340"/>
      <c r="T24" s="2313"/>
      <c r="U24" s="2313"/>
      <c r="V24" s="2341"/>
      <c r="W24" s="6187"/>
      <c r="X24" s="2315"/>
      <c r="Y24" s="2316"/>
      <c r="Z24" s="2316"/>
      <c r="AA24" s="2316"/>
      <c r="AB24" s="2317"/>
      <c r="AC24" s="2318"/>
      <c r="AD24" s="2319"/>
      <c r="AE24" s="2315"/>
      <c r="AF24" s="2342"/>
      <c r="AG24" s="2342"/>
      <c r="AH24" s="10261"/>
      <c r="AI24" s="2285"/>
    </row>
    <row r="25" spans="1:35" ht="31.5" customHeight="1">
      <c r="A25" s="10306"/>
      <c r="B25" s="10272"/>
      <c r="C25" s="10256"/>
      <c r="D25" s="10238"/>
      <c r="E25" s="10238"/>
      <c r="F25" s="10238"/>
      <c r="G25" s="10238"/>
      <c r="H25" s="10238"/>
      <c r="I25" s="10238"/>
      <c r="J25" s="10238"/>
      <c r="K25" s="10238"/>
      <c r="L25" s="10238"/>
      <c r="M25" s="10235"/>
      <c r="N25" s="10235"/>
      <c r="O25" s="10235"/>
      <c r="P25" s="10238"/>
      <c r="Q25" s="10238"/>
      <c r="R25" s="10244"/>
      <c r="S25" s="2286"/>
      <c r="T25" s="2287"/>
      <c r="U25" s="2287"/>
      <c r="V25" s="2288"/>
      <c r="W25" s="2289"/>
      <c r="X25" s="2298"/>
      <c r="Y25" s="2299"/>
      <c r="Z25" s="2299"/>
      <c r="AA25" s="2299"/>
      <c r="AB25" s="2300"/>
      <c r="AC25" s="2301"/>
      <c r="AD25" s="2302"/>
      <c r="AE25" s="2298"/>
      <c r="AF25" s="2295"/>
      <c r="AG25" s="2295"/>
      <c r="AH25" s="10247"/>
      <c r="AI25" s="2285"/>
    </row>
    <row r="26" spans="1:35" ht="31.5" customHeight="1">
      <c r="A26" s="10306"/>
      <c r="B26" s="10272"/>
      <c r="C26" s="10256"/>
      <c r="D26" s="10238"/>
      <c r="E26" s="10238"/>
      <c r="F26" s="10238"/>
      <c r="G26" s="10238"/>
      <c r="H26" s="10238"/>
      <c r="I26" s="10238"/>
      <c r="J26" s="10238"/>
      <c r="K26" s="10238"/>
      <c r="L26" s="10238"/>
      <c r="M26" s="10235"/>
      <c r="N26" s="10235"/>
      <c r="O26" s="10235"/>
      <c r="P26" s="10238"/>
      <c r="Q26" s="10238"/>
      <c r="R26" s="10244"/>
      <c r="S26" s="2286"/>
      <c r="T26" s="2287"/>
      <c r="U26" s="2287"/>
      <c r="V26" s="2288"/>
      <c r="W26" s="2289"/>
      <c r="X26" s="2298"/>
      <c r="Y26" s="2299"/>
      <c r="Z26" s="2299"/>
      <c r="AA26" s="2299"/>
      <c r="AB26" s="2300"/>
      <c r="AC26" s="2301"/>
      <c r="AD26" s="2302"/>
      <c r="AE26" s="2298"/>
      <c r="AF26" s="2295"/>
      <c r="AG26" s="2295"/>
      <c r="AH26" s="10247"/>
      <c r="AI26" s="2285"/>
    </row>
    <row r="27" spans="1:35" ht="31.5" customHeight="1">
      <c r="A27" s="10306"/>
      <c r="B27" s="10272"/>
      <c r="C27" s="10256"/>
      <c r="D27" s="10238"/>
      <c r="E27" s="10238"/>
      <c r="F27" s="10238"/>
      <c r="G27" s="10238"/>
      <c r="H27" s="10238"/>
      <c r="I27" s="10238"/>
      <c r="J27" s="10238"/>
      <c r="K27" s="10238"/>
      <c r="L27" s="10238"/>
      <c r="M27" s="10235"/>
      <c r="N27" s="10235"/>
      <c r="O27" s="10235"/>
      <c r="P27" s="10238"/>
      <c r="Q27" s="10238"/>
      <c r="R27" s="10244"/>
      <c r="S27" s="2286"/>
      <c r="T27" s="2287"/>
      <c r="U27" s="2287"/>
      <c r="V27" s="2288"/>
      <c r="W27" s="2289"/>
      <c r="X27" s="2298"/>
      <c r="Y27" s="2299"/>
      <c r="Z27" s="2299"/>
      <c r="AA27" s="2299"/>
      <c r="AB27" s="2300"/>
      <c r="AC27" s="2301"/>
      <c r="AD27" s="2302"/>
      <c r="AE27" s="2298"/>
      <c r="AF27" s="2295"/>
      <c r="AG27" s="2295"/>
      <c r="AH27" s="10247"/>
      <c r="AI27" s="2285"/>
    </row>
    <row r="28" spans="1:35" ht="31.5" customHeight="1">
      <c r="A28" s="10306"/>
      <c r="B28" s="10272"/>
      <c r="C28" s="10257"/>
      <c r="D28" s="10239"/>
      <c r="E28" s="10239"/>
      <c r="F28" s="10239"/>
      <c r="G28" s="10239"/>
      <c r="H28" s="10239"/>
      <c r="I28" s="10239"/>
      <c r="J28" s="10239"/>
      <c r="K28" s="10239"/>
      <c r="L28" s="10239"/>
      <c r="M28" s="10236"/>
      <c r="N28" s="10236"/>
      <c r="O28" s="10236"/>
      <c r="P28" s="10239"/>
      <c r="Q28" s="10239"/>
      <c r="R28" s="10245"/>
      <c r="S28" s="2323"/>
      <c r="T28" s="2324"/>
      <c r="U28" s="2324"/>
      <c r="V28" s="2325"/>
      <c r="W28" s="2326"/>
      <c r="X28" s="2327"/>
      <c r="Y28" s="2328"/>
      <c r="Z28" s="2328"/>
      <c r="AA28" s="2328"/>
      <c r="AB28" s="2329"/>
      <c r="AC28" s="2330"/>
      <c r="AD28" s="2331"/>
      <c r="AE28" s="2327"/>
      <c r="AF28" s="2333"/>
      <c r="AG28" s="2333"/>
      <c r="AH28" s="10248"/>
      <c r="AI28" s="2285"/>
    </row>
    <row r="29" spans="1:35" ht="28.5" customHeight="1">
      <c r="A29" s="10306"/>
      <c r="B29" s="10272"/>
      <c r="C29" s="10255" t="s">
        <v>127</v>
      </c>
      <c r="D29" s="10242" t="s">
        <v>128</v>
      </c>
      <c r="E29" s="10242" t="s">
        <v>129</v>
      </c>
      <c r="F29" s="10242" t="s">
        <v>336</v>
      </c>
      <c r="G29" s="10258" t="s">
        <v>131</v>
      </c>
      <c r="H29" s="10242" t="s">
        <v>132</v>
      </c>
      <c r="I29" s="10242" t="s">
        <v>159</v>
      </c>
      <c r="J29" s="10242" t="s">
        <v>2662</v>
      </c>
      <c r="K29" s="10242" t="s">
        <v>2663</v>
      </c>
      <c r="L29" s="10242" t="s">
        <v>2664</v>
      </c>
      <c r="M29" s="10240">
        <v>0</v>
      </c>
      <c r="N29" s="10240">
        <v>0</v>
      </c>
      <c r="O29" s="10240">
        <v>1</v>
      </c>
      <c r="P29" s="10242" t="s">
        <v>2665</v>
      </c>
      <c r="Q29" s="10242" t="s">
        <v>2666</v>
      </c>
      <c r="R29" s="10243" t="s">
        <v>2667</v>
      </c>
      <c r="S29" s="2334"/>
      <c r="T29" s="2277"/>
      <c r="U29" s="2277"/>
      <c r="V29" s="2278"/>
      <c r="W29" s="6186"/>
      <c r="X29" s="2335"/>
      <c r="Y29" s="2336"/>
      <c r="Z29" s="2336"/>
      <c r="AA29" s="2336"/>
      <c r="AB29" s="2337"/>
      <c r="AC29" s="2338"/>
      <c r="AD29" s="2339"/>
      <c r="AE29" s="2335"/>
      <c r="AF29" s="2284"/>
      <c r="AG29" s="2284"/>
      <c r="AH29" s="10246"/>
      <c r="AI29" s="2285"/>
    </row>
    <row r="30" spans="1:35" ht="28.5" customHeight="1">
      <c r="A30" s="10306"/>
      <c r="B30" s="10272"/>
      <c r="C30" s="10256"/>
      <c r="D30" s="10238"/>
      <c r="E30" s="10238"/>
      <c r="F30" s="10238"/>
      <c r="G30" s="10238"/>
      <c r="H30" s="10238"/>
      <c r="I30" s="10238"/>
      <c r="J30" s="10238"/>
      <c r="K30" s="10238"/>
      <c r="L30" s="10238"/>
      <c r="M30" s="10235"/>
      <c r="N30" s="10235"/>
      <c r="O30" s="10235"/>
      <c r="P30" s="10238"/>
      <c r="Q30" s="10238"/>
      <c r="R30" s="10244"/>
      <c r="S30" s="2286"/>
      <c r="T30" s="2287"/>
      <c r="U30" s="2287"/>
      <c r="V30" s="2288"/>
      <c r="W30" s="2289"/>
      <c r="X30" s="2298"/>
      <c r="Y30" s="2299"/>
      <c r="Z30" s="2299"/>
      <c r="AA30" s="2299"/>
      <c r="AB30" s="2300"/>
      <c r="AC30" s="2301"/>
      <c r="AD30" s="2302"/>
      <c r="AE30" s="2298"/>
      <c r="AF30" s="2295"/>
      <c r="AG30" s="2295"/>
      <c r="AH30" s="10247"/>
      <c r="AI30" s="2285"/>
    </row>
    <row r="31" spans="1:35" ht="28.5" customHeight="1">
      <c r="A31" s="10306"/>
      <c r="B31" s="10272"/>
      <c r="C31" s="10256"/>
      <c r="D31" s="10238"/>
      <c r="E31" s="10238"/>
      <c r="F31" s="10238"/>
      <c r="G31" s="10238"/>
      <c r="H31" s="10238"/>
      <c r="I31" s="10238"/>
      <c r="J31" s="10238"/>
      <c r="K31" s="10238"/>
      <c r="L31" s="10238"/>
      <c r="M31" s="10235"/>
      <c r="N31" s="10235"/>
      <c r="O31" s="10235"/>
      <c r="P31" s="10238"/>
      <c r="Q31" s="10238"/>
      <c r="R31" s="10244"/>
      <c r="S31" s="2286"/>
      <c r="T31" s="2287"/>
      <c r="U31" s="2287"/>
      <c r="V31" s="2288"/>
      <c r="W31" s="2289"/>
      <c r="X31" s="2298"/>
      <c r="Y31" s="2299"/>
      <c r="Z31" s="2299"/>
      <c r="AA31" s="2299"/>
      <c r="AB31" s="2300"/>
      <c r="AC31" s="2301"/>
      <c r="AD31" s="2302"/>
      <c r="AE31" s="2298"/>
      <c r="AF31" s="2295"/>
      <c r="AG31" s="2295"/>
      <c r="AH31" s="10247"/>
      <c r="AI31" s="2285"/>
    </row>
    <row r="32" spans="1:35" ht="28.5" customHeight="1">
      <c r="A32" s="10306"/>
      <c r="B32" s="10272"/>
      <c r="C32" s="10256"/>
      <c r="D32" s="10238"/>
      <c r="E32" s="10238"/>
      <c r="F32" s="10238"/>
      <c r="G32" s="10238"/>
      <c r="H32" s="10238"/>
      <c r="I32" s="10238"/>
      <c r="J32" s="10238"/>
      <c r="K32" s="10238"/>
      <c r="L32" s="10238"/>
      <c r="M32" s="10235"/>
      <c r="N32" s="10235"/>
      <c r="O32" s="10235"/>
      <c r="P32" s="10238"/>
      <c r="Q32" s="10238"/>
      <c r="R32" s="10244"/>
      <c r="S32" s="2286"/>
      <c r="T32" s="2287"/>
      <c r="U32" s="2287"/>
      <c r="V32" s="2288"/>
      <c r="W32" s="2289"/>
      <c r="X32" s="2298"/>
      <c r="Y32" s="2299"/>
      <c r="Z32" s="2299"/>
      <c r="AA32" s="2299"/>
      <c r="AB32" s="2300"/>
      <c r="AC32" s="2301"/>
      <c r="AD32" s="2302"/>
      <c r="AE32" s="2298"/>
      <c r="AF32" s="2295"/>
      <c r="AG32" s="2295"/>
      <c r="AH32" s="10247"/>
      <c r="AI32" s="2285"/>
    </row>
    <row r="33" spans="1:35" ht="28.5" customHeight="1">
      <c r="A33" s="10306"/>
      <c r="B33" s="10272"/>
      <c r="C33" s="10257"/>
      <c r="D33" s="10239"/>
      <c r="E33" s="10239"/>
      <c r="F33" s="10239"/>
      <c r="G33" s="10239"/>
      <c r="H33" s="10239"/>
      <c r="I33" s="10239"/>
      <c r="J33" s="10239"/>
      <c r="K33" s="10239"/>
      <c r="L33" s="10239"/>
      <c r="M33" s="10236"/>
      <c r="N33" s="10236"/>
      <c r="O33" s="10236"/>
      <c r="P33" s="10239"/>
      <c r="Q33" s="10239"/>
      <c r="R33" s="10245"/>
      <c r="S33" s="2323"/>
      <c r="T33" s="2324"/>
      <c r="U33" s="2324"/>
      <c r="V33" s="2325"/>
      <c r="W33" s="2326"/>
      <c r="X33" s="2327"/>
      <c r="Y33" s="2328"/>
      <c r="Z33" s="2328"/>
      <c r="AA33" s="2328"/>
      <c r="AB33" s="2329"/>
      <c r="AC33" s="2330"/>
      <c r="AD33" s="2331"/>
      <c r="AE33" s="2327"/>
      <c r="AF33" s="2333"/>
      <c r="AG33" s="2333"/>
      <c r="AH33" s="10248"/>
      <c r="AI33" s="2285"/>
    </row>
    <row r="34" spans="1:35" ht="26.25" customHeight="1">
      <c r="A34" s="10306"/>
      <c r="B34" s="10272"/>
      <c r="C34" s="10255" t="s">
        <v>127</v>
      </c>
      <c r="D34" s="10242" t="s">
        <v>128</v>
      </c>
      <c r="E34" s="10242" t="s">
        <v>129</v>
      </c>
      <c r="F34" s="10242" t="s">
        <v>336</v>
      </c>
      <c r="G34" s="10258" t="s">
        <v>131</v>
      </c>
      <c r="H34" s="10242" t="s">
        <v>132</v>
      </c>
      <c r="I34" s="10242" t="s">
        <v>159</v>
      </c>
      <c r="J34" s="10297" t="s">
        <v>2668</v>
      </c>
      <c r="K34" s="10242" t="s">
        <v>2669</v>
      </c>
      <c r="L34" s="10242" t="s">
        <v>2670</v>
      </c>
      <c r="M34" s="10240">
        <v>0</v>
      </c>
      <c r="N34" s="10240">
        <v>0</v>
      </c>
      <c r="O34" s="10240">
        <v>1</v>
      </c>
      <c r="P34" s="10242" t="s">
        <v>2671</v>
      </c>
      <c r="Q34" s="10242" t="s">
        <v>2672</v>
      </c>
      <c r="R34" s="10243" t="s">
        <v>2673</v>
      </c>
      <c r="S34" s="2334"/>
      <c r="T34" s="2277"/>
      <c r="U34" s="2277"/>
      <c r="V34" s="2278"/>
      <c r="W34" s="6186"/>
      <c r="X34" s="2335"/>
      <c r="Y34" s="2336"/>
      <c r="Z34" s="2336"/>
      <c r="AA34" s="2336"/>
      <c r="AB34" s="2337"/>
      <c r="AC34" s="2338"/>
      <c r="AD34" s="2339"/>
      <c r="AE34" s="2335"/>
      <c r="AF34" s="2284"/>
      <c r="AG34" s="2284"/>
      <c r="AH34" s="10246"/>
      <c r="AI34" s="2285"/>
    </row>
    <row r="35" spans="1:35" ht="26.25" customHeight="1">
      <c r="A35" s="10306"/>
      <c r="B35" s="10272"/>
      <c r="C35" s="10256"/>
      <c r="D35" s="10238"/>
      <c r="E35" s="10238"/>
      <c r="F35" s="10238"/>
      <c r="G35" s="10238"/>
      <c r="H35" s="10238"/>
      <c r="I35" s="10238"/>
      <c r="J35" s="10238"/>
      <c r="K35" s="10238"/>
      <c r="L35" s="10238"/>
      <c r="M35" s="10235"/>
      <c r="N35" s="10235"/>
      <c r="O35" s="10235"/>
      <c r="P35" s="10238"/>
      <c r="Q35" s="10238"/>
      <c r="R35" s="10244"/>
      <c r="S35" s="2286"/>
      <c r="T35" s="2287"/>
      <c r="U35" s="2287"/>
      <c r="V35" s="2288"/>
      <c r="W35" s="2289"/>
      <c r="X35" s="2298"/>
      <c r="Y35" s="2299"/>
      <c r="Z35" s="2299"/>
      <c r="AA35" s="2299"/>
      <c r="AB35" s="2300"/>
      <c r="AC35" s="2301"/>
      <c r="AD35" s="2302"/>
      <c r="AE35" s="2298"/>
      <c r="AF35" s="2295"/>
      <c r="AG35" s="2295"/>
      <c r="AH35" s="10247"/>
      <c r="AI35" s="2285"/>
    </row>
    <row r="36" spans="1:35" ht="26.25" customHeight="1">
      <c r="A36" s="10306"/>
      <c r="B36" s="10272"/>
      <c r="C36" s="10256"/>
      <c r="D36" s="10238"/>
      <c r="E36" s="10238"/>
      <c r="F36" s="10238"/>
      <c r="G36" s="10238"/>
      <c r="H36" s="10238"/>
      <c r="I36" s="10238"/>
      <c r="J36" s="10238"/>
      <c r="K36" s="10238"/>
      <c r="L36" s="10238"/>
      <c r="M36" s="10235"/>
      <c r="N36" s="10235"/>
      <c r="O36" s="10235"/>
      <c r="P36" s="10238"/>
      <c r="Q36" s="10238"/>
      <c r="R36" s="10244"/>
      <c r="S36" s="2286"/>
      <c r="T36" s="2287"/>
      <c r="U36" s="2287"/>
      <c r="V36" s="2288"/>
      <c r="W36" s="2289"/>
      <c r="X36" s="2298"/>
      <c r="Y36" s="2299"/>
      <c r="Z36" s="2299"/>
      <c r="AA36" s="2299"/>
      <c r="AB36" s="2300"/>
      <c r="AC36" s="2301"/>
      <c r="AD36" s="2302"/>
      <c r="AE36" s="2298"/>
      <c r="AF36" s="2295"/>
      <c r="AG36" s="2295"/>
      <c r="AH36" s="10247"/>
      <c r="AI36" s="2285"/>
    </row>
    <row r="37" spans="1:35" ht="26.25" customHeight="1">
      <c r="A37" s="10306"/>
      <c r="B37" s="10272"/>
      <c r="C37" s="10256"/>
      <c r="D37" s="10238"/>
      <c r="E37" s="10238"/>
      <c r="F37" s="10238"/>
      <c r="G37" s="10238"/>
      <c r="H37" s="10238"/>
      <c r="I37" s="10238"/>
      <c r="J37" s="10238"/>
      <c r="K37" s="10238"/>
      <c r="L37" s="10238"/>
      <c r="M37" s="10235"/>
      <c r="N37" s="10235"/>
      <c r="O37" s="10235"/>
      <c r="P37" s="10238"/>
      <c r="Q37" s="10238"/>
      <c r="R37" s="10244"/>
      <c r="S37" s="2343"/>
      <c r="T37" s="2296"/>
      <c r="U37" s="2296"/>
      <c r="V37" s="2288"/>
      <c r="W37" s="2289"/>
      <c r="X37" s="2298"/>
      <c r="Y37" s="2299"/>
      <c r="Z37" s="2299"/>
      <c r="AA37" s="2299"/>
      <c r="AB37" s="2300"/>
      <c r="AC37" s="2301"/>
      <c r="AD37" s="2302"/>
      <c r="AE37" s="2298"/>
      <c r="AF37" s="2295"/>
      <c r="AG37" s="2295"/>
      <c r="AH37" s="10247"/>
      <c r="AI37" s="2285"/>
    </row>
    <row r="38" spans="1:35" ht="26.25" customHeight="1">
      <c r="A38" s="10306"/>
      <c r="B38" s="10272"/>
      <c r="C38" s="10268"/>
      <c r="D38" s="10265"/>
      <c r="E38" s="10265"/>
      <c r="F38" s="10265"/>
      <c r="G38" s="10265"/>
      <c r="H38" s="10265"/>
      <c r="I38" s="10265"/>
      <c r="J38" s="10265"/>
      <c r="K38" s="10265"/>
      <c r="L38" s="10265"/>
      <c r="M38" s="10267"/>
      <c r="N38" s="10267"/>
      <c r="O38" s="10267"/>
      <c r="P38" s="10265"/>
      <c r="Q38" s="10265"/>
      <c r="R38" s="10260"/>
      <c r="S38" s="2303"/>
      <c r="T38" s="2304"/>
      <c r="U38" s="2304"/>
      <c r="V38" s="2305"/>
      <c r="W38" s="2306"/>
      <c r="X38" s="2307"/>
      <c r="Y38" s="2308"/>
      <c r="Z38" s="2308"/>
      <c r="AA38" s="2308"/>
      <c r="AB38" s="2309"/>
      <c r="AC38" s="2310"/>
      <c r="AD38" s="2311"/>
      <c r="AE38" s="2307"/>
      <c r="AF38" s="2312"/>
      <c r="AG38" s="2312"/>
      <c r="AH38" s="10262"/>
      <c r="AI38" s="2285"/>
    </row>
    <row r="39" spans="1:35" ht="37.5" customHeight="1">
      <c r="A39" s="10306"/>
      <c r="B39" s="10272"/>
      <c r="C39" s="10263" t="s">
        <v>127</v>
      </c>
      <c r="D39" s="10237" t="s">
        <v>128</v>
      </c>
      <c r="E39" s="10237" t="s">
        <v>129</v>
      </c>
      <c r="F39" s="10237" t="s">
        <v>336</v>
      </c>
      <c r="G39" s="10264" t="s">
        <v>131</v>
      </c>
      <c r="H39" s="10237" t="s">
        <v>132</v>
      </c>
      <c r="I39" s="10237" t="s">
        <v>159</v>
      </c>
      <c r="J39" s="10266" t="s">
        <v>2674</v>
      </c>
      <c r="K39" s="10237" t="s">
        <v>2675</v>
      </c>
      <c r="L39" s="10237" t="s">
        <v>2676</v>
      </c>
      <c r="M39" s="10234">
        <v>1</v>
      </c>
      <c r="N39" s="10234">
        <v>1</v>
      </c>
      <c r="O39" s="10234">
        <v>1</v>
      </c>
      <c r="P39" s="10237" t="s">
        <v>2677</v>
      </c>
      <c r="Q39" s="10237" t="s">
        <v>2678</v>
      </c>
      <c r="R39" s="10259" t="s">
        <v>2673</v>
      </c>
      <c r="S39" s="2340"/>
      <c r="T39" s="2313"/>
      <c r="U39" s="2313"/>
      <c r="V39" s="2341"/>
      <c r="W39" s="6187"/>
      <c r="X39" s="2315"/>
      <c r="Y39" s="2316"/>
      <c r="Z39" s="2316"/>
      <c r="AA39" s="2316"/>
      <c r="AB39" s="2317"/>
      <c r="AC39" s="2318"/>
      <c r="AD39" s="2319"/>
      <c r="AE39" s="2315"/>
      <c r="AF39" s="2320"/>
      <c r="AG39" s="2320"/>
      <c r="AH39" s="10261"/>
      <c r="AI39" s="2285"/>
    </row>
    <row r="40" spans="1:35" ht="37.5" customHeight="1">
      <c r="A40" s="10306"/>
      <c r="B40" s="10272"/>
      <c r="C40" s="10256"/>
      <c r="D40" s="10238"/>
      <c r="E40" s="10238"/>
      <c r="F40" s="10238"/>
      <c r="G40" s="10238"/>
      <c r="H40" s="10238"/>
      <c r="I40" s="10238"/>
      <c r="J40" s="10238"/>
      <c r="K40" s="10238"/>
      <c r="L40" s="10238"/>
      <c r="M40" s="10235"/>
      <c r="N40" s="10235"/>
      <c r="O40" s="10235"/>
      <c r="P40" s="10238"/>
      <c r="Q40" s="10238"/>
      <c r="R40" s="10244"/>
      <c r="S40" s="2286"/>
      <c r="T40" s="2287"/>
      <c r="U40" s="2287"/>
      <c r="V40" s="2288"/>
      <c r="W40" s="2289"/>
      <c r="X40" s="2298"/>
      <c r="Y40" s="2299"/>
      <c r="Z40" s="2299"/>
      <c r="AA40" s="2299"/>
      <c r="AB40" s="2300"/>
      <c r="AC40" s="2301"/>
      <c r="AD40" s="2302"/>
      <c r="AE40" s="2298"/>
      <c r="AF40" s="2290"/>
      <c r="AG40" s="2322"/>
      <c r="AH40" s="10247"/>
      <c r="AI40" s="2285"/>
    </row>
    <row r="41" spans="1:35" ht="37.5" customHeight="1">
      <c r="A41" s="10306"/>
      <c r="B41" s="10272"/>
      <c r="C41" s="10256"/>
      <c r="D41" s="10238"/>
      <c r="E41" s="10238"/>
      <c r="F41" s="10238"/>
      <c r="G41" s="10238"/>
      <c r="H41" s="10238"/>
      <c r="I41" s="10238"/>
      <c r="J41" s="10238"/>
      <c r="K41" s="10238"/>
      <c r="L41" s="10238"/>
      <c r="M41" s="10235"/>
      <c r="N41" s="10235"/>
      <c r="O41" s="10235"/>
      <c r="P41" s="10238"/>
      <c r="Q41" s="10238"/>
      <c r="R41" s="10244"/>
      <c r="S41" s="2286"/>
      <c r="T41" s="2287"/>
      <c r="U41" s="2287"/>
      <c r="V41" s="2288"/>
      <c r="W41" s="2289"/>
      <c r="X41" s="2298"/>
      <c r="Y41" s="2299"/>
      <c r="Z41" s="2299"/>
      <c r="AA41" s="2299"/>
      <c r="AB41" s="2300"/>
      <c r="AC41" s="2301"/>
      <c r="AD41" s="2302"/>
      <c r="AE41" s="2298"/>
      <c r="AF41" s="2290"/>
      <c r="AG41" s="2295"/>
      <c r="AH41" s="10247"/>
      <c r="AI41" s="2285"/>
    </row>
    <row r="42" spans="1:35" ht="37.5" customHeight="1">
      <c r="A42" s="10306"/>
      <c r="B42" s="10272"/>
      <c r="C42" s="10256"/>
      <c r="D42" s="10238"/>
      <c r="E42" s="10238"/>
      <c r="F42" s="10238"/>
      <c r="G42" s="10238"/>
      <c r="H42" s="10238"/>
      <c r="I42" s="10238"/>
      <c r="J42" s="10238"/>
      <c r="K42" s="10238"/>
      <c r="L42" s="10238"/>
      <c r="M42" s="10235"/>
      <c r="N42" s="10235"/>
      <c r="O42" s="10235"/>
      <c r="P42" s="10238"/>
      <c r="Q42" s="10238"/>
      <c r="R42" s="10244"/>
      <c r="S42" s="2286"/>
      <c r="T42" s="2287"/>
      <c r="U42" s="2287"/>
      <c r="V42" s="2288"/>
      <c r="W42" s="2289"/>
      <c r="X42" s="2298"/>
      <c r="Y42" s="2299"/>
      <c r="Z42" s="2299"/>
      <c r="AA42" s="2299"/>
      <c r="AB42" s="2300"/>
      <c r="AC42" s="2301"/>
      <c r="AD42" s="2302"/>
      <c r="AE42" s="2298"/>
      <c r="AF42" s="2290"/>
      <c r="AG42" s="2295"/>
      <c r="AH42" s="10247"/>
      <c r="AI42" s="2285"/>
    </row>
    <row r="43" spans="1:35" ht="37.5" customHeight="1">
      <c r="A43" s="10306"/>
      <c r="B43" s="10272"/>
      <c r="C43" s="10257"/>
      <c r="D43" s="10239"/>
      <c r="E43" s="10239"/>
      <c r="F43" s="10239"/>
      <c r="G43" s="10239"/>
      <c r="H43" s="10239"/>
      <c r="I43" s="10239"/>
      <c r="J43" s="10239"/>
      <c r="K43" s="10239"/>
      <c r="L43" s="10239"/>
      <c r="M43" s="10236"/>
      <c r="N43" s="10236"/>
      <c r="O43" s="10236"/>
      <c r="P43" s="10239"/>
      <c r="Q43" s="10239"/>
      <c r="R43" s="10245"/>
      <c r="S43" s="2323"/>
      <c r="T43" s="2324"/>
      <c r="U43" s="2324"/>
      <c r="V43" s="2325"/>
      <c r="W43" s="2326"/>
      <c r="X43" s="2327"/>
      <c r="Y43" s="2328"/>
      <c r="Z43" s="2328"/>
      <c r="AA43" s="2328"/>
      <c r="AB43" s="2329"/>
      <c r="AC43" s="2330"/>
      <c r="AD43" s="2331"/>
      <c r="AE43" s="2327"/>
      <c r="AF43" s="2332"/>
      <c r="AG43" s="2333"/>
      <c r="AH43" s="10248"/>
      <c r="AI43" s="2285"/>
    </row>
    <row r="44" spans="1:35" ht="28.5" customHeight="1">
      <c r="A44" s="10306"/>
      <c r="B44" s="10272"/>
      <c r="C44" s="10255" t="s">
        <v>127</v>
      </c>
      <c r="D44" s="10242" t="s">
        <v>128</v>
      </c>
      <c r="E44" s="10242" t="s">
        <v>129</v>
      </c>
      <c r="F44" s="10242" t="s">
        <v>336</v>
      </c>
      <c r="G44" s="10258" t="s">
        <v>131</v>
      </c>
      <c r="H44" s="10242" t="s">
        <v>132</v>
      </c>
      <c r="I44" s="10242" t="s">
        <v>159</v>
      </c>
      <c r="J44" s="10297" t="s">
        <v>2679</v>
      </c>
      <c r="K44" s="10242" t="s">
        <v>2680</v>
      </c>
      <c r="L44" s="10242" t="s">
        <v>2681</v>
      </c>
      <c r="M44" s="10283">
        <v>0</v>
      </c>
      <c r="N44" s="10283">
        <v>0</v>
      </c>
      <c r="O44" s="10240">
        <v>1</v>
      </c>
      <c r="P44" s="10242" t="s">
        <v>2682</v>
      </c>
      <c r="Q44" s="10242" t="s">
        <v>2683</v>
      </c>
      <c r="R44" s="10243" t="s">
        <v>2684</v>
      </c>
      <c r="S44" s="2344" t="s">
        <v>80</v>
      </c>
      <c r="T44" s="2345">
        <v>840107</v>
      </c>
      <c r="U44" s="2345"/>
      <c r="V44" s="2278" t="s">
        <v>40</v>
      </c>
      <c r="W44" s="2346"/>
      <c r="X44" s="2335"/>
      <c r="Y44" s="2336"/>
      <c r="Z44" s="2336"/>
      <c r="AA44" s="2336"/>
      <c r="AB44" s="2337">
        <f>AA45+AA46</f>
        <v>3252.6972800000003</v>
      </c>
      <c r="AC44" s="2338" t="s">
        <v>25</v>
      </c>
      <c r="AD44" s="2339"/>
      <c r="AE44" s="2335"/>
      <c r="AF44" s="2284"/>
      <c r="AG44" s="2284"/>
      <c r="AH44" s="10246"/>
      <c r="AI44" s="2285"/>
    </row>
    <row r="45" spans="1:35" ht="28.5" customHeight="1">
      <c r="A45" s="10306"/>
      <c r="B45" s="10272"/>
      <c r="C45" s="10256"/>
      <c r="D45" s="10238"/>
      <c r="E45" s="10238"/>
      <c r="F45" s="10238"/>
      <c r="G45" s="10238"/>
      <c r="H45" s="10238"/>
      <c r="I45" s="10238"/>
      <c r="J45" s="10238"/>
      <c r="K45" s="10238"/>
      <c r="L45" s="10238"/>
      <c r="M45" s="10235"/>
      <c r="N45" s="10235"/>
      <c r="O45" s="10235"/>
      <c r="P45" s="10238"/>
      <c r="Q45" s="10238"/>
      <c r="R45" s="10244"/>
      <c r="S45" s="2286"/>
      <c r="T45" s="2321"/>
      <c r="U45" s="3519">
        <v>461220011</v>
      </c>
      <c r="V45" s="2622" t="s">
        <v>2685</v>
      </c>
      <c r="W45" s="2441">
        <v>3</v>
      </c>
      <c r="X45" s="2347" t="s">
        <v>180</v>
      </c>
      <c r="Y45" s="2299">
        <v>729.97</v>
      </c>
      <c r="Z45" s="2299">
        <f t="shared" ref="Z45" si="0">+W45*Y45</f>
        <v>2189.91</v>
      </c>
      <c r="AA45" s="2299">
        <f t="shared" ref="AA45" si="1">+Z45*1.12</f>
        <v>2452.6992</v>
      </c>
      <c r="AB45" s="2292"/>
      <c r="AC45" s="2301"/>
      <c r="AD45" s="2302"/>
      <c r="AE45" s="2298"/>
      <c r="AF45" s="2295" t="s">
        <v>153</v>
      </c>
      <c r="AG45" s="2295"/>
      <c r="AH45" s="10247"/>
      <c r="AI45" s="2285"/>
    </row>
    <row r="46" spans="1:35" ht="28.5" customHeight="1">
      <c r="A46" s="10306"/>
      <c r="B46" s="10272"/>
      <c r="C46" s="10256"/>
      <c r="D46" s="10238"/>
      <c r="E46" s="10238"/>
      <c r="F46" s="10238"/>
      <c r="G46" s="10238"/>
      <c r="H46" s="10238"/>
      <c r="I46" s="10238"/>
      <c r="J46" s="10238"/>
      <c r="K46" s="10238"/>
      <c r="L46" s="10238"/>
      <c r="M46" s="10235"/>
      <c r="N46" s="10235"/>
      <c r="O46" s="10235"/>
      <c r="P46" s="10238"/>
      <c r="Q46" s="10238"/>
      <c r="R46" s="10244"/>
      <c r="S46" s="2286"/>
      <c r="T46" s="2321"/>
      <c r="U46" s="3519">
        <v>452700024</v>
      </c>
      <c r="V46" s="2622" t="s">
        <v>2686</v>
      </c>
      <c r="W46" s="2441">
        <v>4</v>
      </c>
      <c r="X46" s="2347" t="s">
        <v>180</v>
      </c>
      <c r="Y46" s="2299">
        <v>178.571</v>
      </c>
      <c r="Z46" s="2299">
        <f>+W46*Y46</f>
        <v>714.28399999999999</v>
      </c>
      <c r="AA46" s="2299">
        <f>+Z46*1.12</f>
        <v>799.99808000000007</v>
      </c>
      <c r="AB46" s="2300"/>
      <c r="AC46" s="2301"/>
      <c r="AD46" s="2302"/>
      <c r="AE46" s="2298"/>
      <c r="AF46" s="2348" t="s">
        <v>153</v>
      </c>
      <c r="AG46" s="2295"/>
      <c r="AH46" s="10247"/>
      <c r="AI46" s="2285"/>
    </row>
    <row r="47" spans="1:35" ht="28.5" customHeight="1">
      <c r="A47" s="10306"/>
      <c r="B47" s="10272"/>
      <c r="C47" s="10256"/>
      <c r="D47" s="10238"/>
      <c r="E47" s="10238"/>
      <c r="F47" s="10238"/>
      <c r="G47" s="10238"/>
      <c r="H47" s="10238"/>
      <c r="I47" s="10238"/>
      <c r="J47" s="10238"/>
      <c r="K47" s="10238"/>
      <c r="L47" s="10238"/>
      <c r="M47" s="10235"/>
      <c r="N47" s="10235"/>
      <c r="O47" s="10235"/>
      <c r="P47" s="10238"/>
      <c r="Q47" s="10238"/>
      <c r="R47" s="10244"/>
      <c r="S47" s="2286"/>
      <c r="T47" s="2321"/>
      <c r="U47" s="3519"/>
      <c r="V47" s="2622"/>
      <c r="W47" s="2441"/>
      <c r="X47" s="2347"/>
      <c r="Y47" s="2299"/>
      <c r="Z47" s="2299"/>
      <c r="AA47" s="2299"/>
      <c r="AB47" s="2300"/>
      <c r="AC47" s="2301"/>
      <c r="AD47" s="2302"/>
      <c r="AE47" s="2298"/>
      <c r="AF47" s="2348"/>
      <c r="AG47" s="2295"/>
      <c r="AH47" s="10247"/>
      <c r="AI47" s="2285"/>
    </row>
    <row r="48" spans="1:35" ht="28.5" customHeight="1">
      <c r="A48" s="10306"/>
      <c r="B48" s="10272"/>
      <c r="C48" s="10268"/>
      <c r="D48" s="10265"/>
      <c r="E48" s="10265"/>
      <c r="F48" s="10265"/>
      <c r="G48" s="10265"/>
      <c r="H48" s="10265"/>
      <c r="I48" s="10265"/>
      <c r="J48" s="10265"/>
      <c r="K48" s="10265"/>
      <c r="L48" s="10265"/>
      <c r="M48" s="10267"/>
      <c r="N48" s="10267"/>
      <c r="O48" s="10267"/>
      <c r="P48" s="10265"/>
      <c r="Q48" s="10265"/>
      <c r="R48" s="10260"/>
      <c r="S48" s="2303"/>
      <c r="T48" s="2349"/>
      <c r="U48" s="2349"/>
      <c r="V48" s="2305"/>
      <c r="W48" s="2351"/>
      <c r="X48" s="2307"/>
      <c r="Y48" s="2308"/>
      <c r="Z48" s="2308"/>
      <c r="AA48" s="2308"/>
      <c r="AB48" s="2309"/>
      <c r="AC48" s="2310"/>
      <c r="AD48" s="2311"/>
      <c r="AE48" s="2307"/>
      <c r="AF48" s="2352"/>
      <c r="AG48" s="2312"/>
      <c r="AH48" s="10262"/>
      <c r="AI48" s="2285"/>
    </row>
    <row r="49" spans="1:35" ht="31.5" customHeight="1">
      <c r="A49" s="10306"/>
      <c r="B49" s="10272"/>
      <c r="C49" s="10263" t="s">
        <v>127</v>
      </c>
      <c r="D49" s="10237" t="s">
        <v>128</v>
      </c>
      <c r="E49" s="10237" t="s">
        <v>129</v>
      </c>
      <c r="F49" s="10237" t="s">
        <v>336</v>
      </c>
      <c r="G49" s="10264" t="s">
        <v>131</v>
      </c>
      <c r="H49" s="10237" t="s">
        <v>132</v>
      </c>
      <c r="I49" s="10237" t="s">
        <v>159</v>
      </c>
      <c r="J49" s="10298" t="s">
        <v>2687</v>
      </c>
      <c r="K49" s="10237" t="s">
        <v>2688</v>
      </c>
      <c r="L49" s="10237" t="s">
        <v>2689</v>
      </c>
      <c r="M49" s="10254">
        <v>0</v>
      </c>
      <c r="N49" s="10234">
        <v>1</v>
      </c>
      <c r="O49" s="10234">
        <v>1</v>
      </c>
      <c r="P49" s="10237" t="s">
        <v>2690</v>
      </c>
      <c r="Q49" s="10237" t="s">
        <v>2691</v>
      </c>
      <c r="R49" s="10259" t="s">
        <v>2673</v>
      </c>
      <c r="S49" s="2340" t="s">
        <v>80</v>
      </c>
      <c r="T49" s="2314">
        <v>530243</v>
      </c>
      <c r="U49" s="2314"/>
      <c r="V49" s="2341" t="s">
        <v>2692</v>
      </c>
      <c r="W49" s="2354"/>
      <c r="X49" s="2315"/>
      <c r="Y49" s="2316"/>
      <c r="Z49" s="2316"/>
      <c r="AA49" s="2316"/>
      <c r="AB49" s="2317">
        <f>+AA50</f>
        <v>25066.04</v>
      </c>
      <c r="AC49" s="2318" t="s">
        <v>25</v>
      </c>
      <c r="AD49" s="2319"/>
      <c r="AE49" s="2315"/>
      <c r="AF49" s="2355"/>
      <c r="AG49" s="2342"/>
      <c r="AH49" s="10261"/>
      <c r="AI49" s="2285"/>
    </row>
    <row r="50" spans="1:35" ht="46.5" customHeight="1">
      <c r="A50" s="10306"/>
      <c r="B50" s="10272"/>
      <c r="C50" s="10256"/>
      <c r="D50" s="10238"/>
      <c r="E50" s="10238"/>
      <c r="F50" s="10238"/>
      <c r="G50" s="10238"/>
      <c r="H50" s="10238"/>
      <c r="I50" s="10238"/>
      <c r="J50" s="10238"/>
      <c r="K50" s="10238"/>
      <c r="L50" s="10238"/>
      <c r="M50" s="10235"/>
      <c r="N50" s="10235"/>
      <c r="O50" s="10235"/>
      <c r="P50" s="10238"/>
      <c r="Q50" s="10238"/>
      <c r="R50" s="10244"/>
      <c r="S50" s="2286"/>
      <c r="T50" s="2321"/>
      <c r="U50" s="2321"/>
      <c r="V50" s="2288" t="s">
        <v>2693</v>
      </c>
      <c r="W50" s="2357">
        <v>1</v>
      </c>
      <c r="X50" s="2298" t="s">
        <v>1288</v>
      </c>
      <c r="Y50" s="2299">
        <f>25066.04/1.12</f>
        <v>22380.392857142855</v>
      </c>
      <c r="Z50" s="2299">
        <f>Y50*W50</f>
        <v>22380.392857142855</v>
      </c>
      <c r="AA50" s="2299">
        <f>Z50*1.12</f>
        <v>25066.04</v>
      </c>
      <c r="AB50" s="2300"/>
      <c r="AC50" s="2301"/>
      <c r="AD50" s="2302"/>
      <c r="AE50" s="2290" t="s">
        <v>153</v>
      </c>
      <c r="AF50" s="2295"/>
      <c r="AG50" s="2295"/>
      <c r="AH50" s="10247"/>
      <c r="AI50" s="2285"/>
    </row>
    <row r="51" spans="1:35" ht="31.5" customHeight="1">
      <c r="A51" s="10306"/>
      <c r="B51" s="10272"/>
      <c r="C51" s="10256"/>
      <c r="D51" s="10238"/>
      <c r="E51" s="10238"/>
      <c r="F51" s="10238"/>
      <c r="G51" s="10238"/>
      <c r="H51" s="10238"/>
      <c r="I51" s="10238"/>
      <c r="J51" s="10238"/>
      <c r="K51" s="10238"/>
      <c r="L51" s="10238"/>
      <c r="M51" s="10235"/>
      <c r="N51" s="10235"/>
      <c r="O51" s="10235"/>
      <c r="P51" s="10238"/>
      <c r="Q51" s="10238"/>
      <c r="R51" s="10244"/>
      <c r="S51" s="2334" t="s">
        <v>80</v>
      </c>
      <c r="T51" s="3520">
        <v>530243</v>
      </c>
      <c r="U51" s="3521"/>
      <c r="V51" s="2278" t="s">
        <v>2692</v>
      </c>
      <c r="W51" s="3315"/>
      <c r="X51" s="3316"/>
      <c r="Y51" s="3317"/>
      <c r="Z51" s="2280"/>
      <c r="AA51" s="2280"/>
      <c r="AB51" s="2281">
        <f>AA52</f>
        <v>25066.04</v>
      </c>
      <c r="AC51" s="2412" t="s">
        <v>763</v>
      </c>
      <c r="AD51" s="2294"/>
      <c r="AE51" s="2290"/>
      <c r="AF51" s="2295"/>
      <c r="AG51" s="2295"/>
      <c r="AH51" s="10247"/>
      <c r="AI51" s="2285"/>
    </row>
    <row r="52" spans="1:35" ht="42.75" customHeight="1">
      <c r="A52" s="10306"/>
      <c r="B52" s="10272"/>
      <c r="C52" s="10256"/>
      <c r="D52" s="10238"/>
      <c r="E52" s="10238"/>
      <c r="F52" s="10238"/>
      <c r="G52" s="10238"/>
      <c r="H52" s="10238"/>
      <c r="I52" s="10238"/>
      <c r="J52" s="10238"/>
      <c r="K52" s="10238"/>
      <c r="L52" s="10238"/>
      <c r="M52" s="10235"/>
      <c r="N52" s="10235"/>
      <c r="O52" s="10235"/>
      <c r="P52" s="10238"/>
      <c r="Q52" s="10238"/>
      <c r="R52" s="10244"/>
      <c r="S52" s="2286"/>
      <c r="T52" s="3314"/>
      <c r="U52" s="3314"/>
      <c r="V52" s="2288" t="s">
        <v>2693</v>
      </c>
      <c r="W52" s="3315">
        <v>1</v>
      </c>
      <c r="X52" s="3316" t="s">
        <v>180</v>
      </c>
      <c r="Y52" s="3317">
        <v>25066.04</v>
      </c>
      <c r="Z52" s="2280">
        <f>Y52</f>
        <v>25066.04</v>
      </c>
      <c r="AA52" s="2280">
        <f>Z52</f>
        <v>25066.04</v>
      </c>
      <c r="AB52" s="2281"/>
      <c r="AC52" s="2412"/>
      <c r="AD52" s="2294"/>
      <c r="AE52" s="2290" t="s">
        <v>153</v>
      </c>
      <c r="AF52" s="2295"/>
      <c r="AG52" s="2295"/>
      <c r="AH52" s="10247"/>
      <c r="AI52" s="2285"/>
    </row>
    <row r="53" spans="1:35" ht="18" customHeight="1">
      <c r="A53" s="10306"/>
      <c r="B53" s="10272"/>
      <c r="C53" s="10256"/>
      <c r="D53" s="10238"/>
      <c r="E53" s="10238"/>
      <c r="F53" s="10238"/>
      <c r="G53" s="10238"/>
      <c r="H53" s="10238"/>
      <c r="I53" s="10238"/>
      <c r="J53" s="10238"/>
      <c r="K53" s="10238"/>
      <c r="L53" s="10238"/>
      <c r="M53" s="10235"/>
      <c r="N53" s="10235"/>
      <c r="O53" s="10235"/>
      <c r="P53" s="10238"/>
      <c r="Q53" s="10238"/>
      <c r="R53" s="10244"/>
      <c r="S53" s="2358" t="s">
        <v>15</v>
      </c>
      <c r="T53" s="7200">
        <v>530813</v>
      </c>
      <c r="U53" s="7201"/>
      <c r="V53" s="3318" t="s">
        <v>2694</v>
      </c>
      <c r="W53" s="7221"/>
      <c r="X53" s="3319"/>
      <c r="Y53" s="7242"/>
      <c r="Z53" s="2336"/>
      <c r="AA53" s="2336"/>
      <c r="AB53" s="7814">
        <f>4840.55</f>
        <v>4840.55</v>
      </c>
      <c r="AC53" s="2310" t="s">
        <v>25</v>
      </c>
      <c r="AD53" s="2302"/>
      <c r="AE53" s="2298"/>
      <c r="AF53" s="2348"/>
      <c r="AG53" s="2295"/>
      <c r="AH53" s="10247"/>
      <c r="AI53" s="2285"/>
    </row>
    <row r="54" spans="1:35" ht="18" customHeight="1">
      <c r="A54" s="10306"/>
      <c r="B54" s="10272"/>
      <c r="C54" s="10256"/>
      <c r="D54" s="10238"/>
      <c r="E54" s="10238"/>
      <c r="F54" s="10238"/>
      <c r="G54" s="10238"/>
      <c r="H54" s="10238"/>
      <c r="I54" s="10238"/>
      <c r="J54" s="10238"/>
      <c r="K54" s="10238"/>
      <c r="L54" s="10238"/>
      <c r="M54" s="10235"/>
      <c r="N54" s="10235"/>
      <c r="O54" s="10235"/>
      <c r="P54" s="10238"/>
      <c r="Q54" s="10238"/>
      <c r="R54" s="10244"/>
      <c r="S54" s="2286"/>
      <c r="T54" s="2321"/>
      <c r="U54" s="7195">
        <v>452900019</v>
      </c>
      <c r="V54" s="3309" t="s">
        <v>2695</v>
      </c>
      <c r="W54" s="3310">
        <v>31</v>
      </c>
      <c r="X54" s="3311" t="s">
        <v>180</v>
      </c>
      <c r="Y54" s="3325">
        <v>47.45</v>
      </c>
      <c r="Z54" s="3312">
        <f>+W54*Y54</f>
        <v>1470.95</v>
      </c>
      <c r="AA54" s="3312">
        <f>+Z54*1.12</f>
        <v>1647.4640000000002</v>
      </c>
      <c r="AB54" s="2300"/>
      <c r="AC54" s="2301"/>
      <c r="AD54" s="2302"/>
      <c r="AE54" s="2298"/>
      <c r="AF54" s="2348" t="s">
        <v>153</v>
      </c>
      <c r="AG54" s="2295"/>
      <c r="AH54" s="10247"/>
      <c r="AI54" s="2285"/>
    </row>
    <row r="55" spans="1:35" ht="18" customHeight="1">
      <c r="A55" s="10306"/>
      <c r="B55" s="10272"/>
      <c r="C55" s="10284"/>
      <c r="D55" s="10274"/>
      <c r="E55" s="10274"/>
      <c r="F55" s="10274"/>
      <c r="G55" s="10274"/>
      <c r="H55" s="10274"/>
      <c r="I55" s="10274"/>
      <c r="J55" s="10274"/>
      <c r="K55" s="10274"/>
      <c r="L55" s="10274"/>
      <c r="M55" s="10280"/>
      <c r="N55" s="10280"/>
      <c r="O55" s="10280"/>
      <c r="P55" s="10274"/>
      <c r="Q55" s="10274"/>
      <c r="R55" s="10275"/>
      <c r="S55" s="2572"/>
      <c r="T55" s="2633"/>
      <c r="U55" s="7196">
        <v>452900019</v>
      </c>
      <c r="V55" s="3326" t="s">
        <v>2696</v>
      </c>
      <c r="W55" s="3516">
        <v>120</v>
      </c>
      <c r="X55" s="3327" t="s">
        <v>180</v>
      </c>
      <c r="Y55" s="3328">
        <v>28.08</v>
      </c>
      <c r="Z55" s="3328">
        <f>+W55*Y55</f>
        <v>3369.6</v>
      </c>
      <c r="AA55" s="3328">
        <f>+Z55*1.12</f>
        <v>3773.9520000000002</v>
      </c>
      <c r="AB55" s="2608"/>
      <c r="AC55" s="2609"/>
      <c r="AD55" s="2610"/>
      <c r="AE55" s="2637"/>
      <c r="AF55" s="2639" t="s">
        <v>153</v>
      </c>
      <c r="AG55" s="2611"/>
      <c r="AH55" s="10276"/>
      <c r="AI55" s="2285"/>
    </row>
    <row r="56" spans="1:35" ht="35.25" customHeight="1">
      <c r="A56" s="10306"/>
      <c r="B56" s="10272"/>
      <c r="C56" s="10196" t="s">
        <v>127</v>
      </c>
      <c r="D56" s="10193" t="s">
        <v>128</v>
      </c>
      <c r="E56" s="10193" t="s">
        <v>129</v>
      </c>
      <c r="F56" s="10193" t="s">
        <v>336</v>
      </c>
      <c r="G56" s="10208" t="s">
        <v>131</v>
      </c>
      <c r="H56" s="10193" t="s">
        <v>132</v>
      </c>
      <c r="I56" s="10193" t="s">
        <v>159</v>
      </c>
      <c r="J56" s="10205" t="s">
        <v>2697</v>
      </c>
      <c r="K56" s="10193" t="s">
        <v>2698</v>
      </c>
      <c r="L56" s="10193" t="s">
        <v>2699</v>
      </c>
      <c r="M56" s="10199">
        <v>1</v>
      </c>
      <c r="N56" s="10199">
        <v>0</v>
      </c>
      <c r="O56" s="10199">
        <v>1</v>
      </c>
      <c r="P56" s="10193" t="s">
        <v>2700</v>
      </c>
      <c r="Q56" s="10193" t="s">
        <v>2701</v>
      </c>
      <c r="R56" s="10202" t="s">
        <v>2673</v>
      </c>
      <c r="S56" s="2615" t="s">
        <v>80</v>
      </c>
      <c r="T56" s="2715" t="s">
        <v>2702</v>
      </c>
      <c r="U56" s="7197"/>
      <c r="V56" s="2717" t="s">
        <v>2703</v>
      </c>
      <c r="W56" s="3517"/>
      <c r="X56" s="2650"/>
      <c r="Y56" s="7234"/>
      <c r="Z56" s="2316"/>
      <c r="AA56" s="2316"/>
      <c r="AB56" s="2716">
        <f>AA57</f>
        <v>231043.11</v>
      </c>
      <c r="AC56" s="2649" t="s">
        <v>673</v>
      </c>
      <c r="AD56" s="2339"/>
      <c r="AE56" s="2290"/>
      <c r="AF56" s="2290"/>
      <c r="AG56" s="2290"/>
      <c r="AH56" s="2714"/>
      <c r="AI56" s="2285"/>
    </row>
    <row r="57" spans="1:35" ht="60.75" customHeight="1">
      <c r="A57" s="10306"/>
      <c r="B57" s="10272"/>
      <c r="C57" s="10197"/>
      <c r="D57" s="10194"/>
      <c r="E57" s="10194"/>
      <c r="F57" s="10194"/>
      <c r="G57" s="10209"/>
      <c r="H57" s="10194"/>
      <c r="I57" s="10194"/>
      <c r="J57" s="10206"/>
      <c r="K57" s="10194"/>
      <c r="L57" s="10194"/>
      <c r="M57" s="10200"/>
      <c r="N57" s="10200"/>
      <c r="O57" s="10200"/>
      <c r="P57" s="10194"/>
      <c r="Q57" s="10194"/>
      <c r="R57" s="10203"/>
      <c r="S57" s="2617"/>
      <c r="T57" s="2797"/>
      <c r="U57" s="2624"/>
      <c r="V57" s="2663" t="s">
        <v>2704</v>
      </c>
      <c r="W57" s="7222">
        <v>1</v>
      </c>
      <c r="X57" s="2651" t="s">
        <v>479</v>
      </c>
      <c r="Y57" s="2643">
        <f>231043.11/1.12</f>
        <v>206288.49107142855</v>
      </c>
      <c r="Z57" s="2643">
        <f>Y57*W57</f>
        <v>206288.49107142855</v>
      </c>
      <c r="AA57" s="2643">
        <f>Z57*1.12</f>
        <v>231043.11</v>
      </c>
      <c r="AB57" s="2716"/>
      <c r="AC57" s="2649"/>
      <c r="AD57" s="2339"/>
      <c r="AE57" s="2290"/>
      <c r="AF57" s="2290" t="s">
        <v>153</v>
      </c>
      <c r="AG57" s="2290"/>
      <c r="AH57" s="2714"/>
      <c r="AI57" s="2285"/>
    </row>
    <row r="58" spans="1:35" ht="18" customHeight="1">
      <c r="A58" s="10306"/>
      <c r="B58" s="10272"/>
      <c r="C58" s="10197"/>
      <c r="D58" s="10194"/>
      <c r="E58" s="10194"/>
      <c r="F58" s="10194"/>
      <c r="G58" s="10209"/>
      <c r="H58" s="10194"/>
      <c r="I58" s="10194"/>
      <c r="J58" s="10206"/>
      <c r="K58" s="10194"/>
      <c r="L58" s="10194"/>
      <c r="M58" s="10200"/>
      <c r="N58" s="10200"/>
      <c r="O58" s="10200"/>
      <c r="P58" s="10194"/>
      <c r="Q58" s="10194"/>
      <c r="R58" s="10203"/>
      <c r="S58" s="2615" t="s">
        <v>80</v>
      </c>
      <c r="T58" s="2715" t="s">
        <v>2705</v>
      </c>
      <c r="U58" s="2624"/>
      <c r="V58" s="2718" t="s">
        <v>40</v>
      </c>
      <c r="W58" s="7222"/>
      <c r="X58" s="2651"/>
      <c r="Y58" s="3518"/>
      <c r="Z58" s="2643"/>
      <c r="AA58" s="2643"/>
      <c r="AB58" s="2716">
        <f>AA59</f>
        <v>110690</v>
      </c>
      <c r="AC58" s="2649" t="s">
        <v>673</v>
      </c>
      <c r="AD58" s="2339"/>
      <c r="AE58" s="2290"/>
      <c r="AF58" s="2290"/>
      <c r="AG58" s="2290"/>
      <c r="AH58" s="2714"/>
      <c r="AI58" s="2285"/>
    </row>
    <row r="59" spans="1:35" ht="63.75" customHeight="1">
      <c r="A59" s="10306"/>
      <c r="B59" s="10272"/>
      <c r="C59" s="10197"/>
      <c r="D59" s="10194"/>
      <c r="E59" s="10194"/>
      <c r="F59" s="10194"/>
      <c r="G59" s="10209"/>
      <c r="H59" s="10194"/>
      <c r="I59" s="10194"/>
      <c r="J59" s="10206"/>
      <c r="K59" s="10194"/>
      <c r="L59" s="10194"/>
      <c r="M59" s="10200"/>
      <c r="N59" s="10200"/>
      <c r="O59" s="10200"/>
      <c r="P59" s="10194"/>
      <c r="Q59" s="10194"/>
      <c r="R59" s="10203"/>
      <c r="S59" s="2617"/>
      <c r="T59" s="2797"/>
      <c r="U59" s="2624"/>
      <c r="V59" s="2663" t="s">
        <v>2704</v>
      </c>
      <c r="W59" s="7222">
        <v>1</v>
      </c>
      <c r="X59" s="2651" t="s">
        <v>479</v>
      </c>
      <c r="Y59" s="2643">
        <f>110690/1.12</f>
        <v>98830.35714285713</v>
      </c>
      <c r="Z59" s="2643">
        <f>Y59*W59</f>
        <v>98830.35714285713</v>
      </c>
      <c r="AA59" s="2643">
        <f>Z59*1.12</f>
        <v>110690</v>
      </c>
      <c r="AB59" s="2716"/>
      <c r="AC59" s="2649"/>
      <c r="AD59" s="2339"/>
      <c r="AE59" s="2290"/>
      <c r="AF59" s="2290" t="s">
        <v>153</v>
      </c>
      <c r="AG59" s="2290"/>
      <c r="AH59" s="2714"/>
      <c r="AI59" s="2285"/>
    </row>
    <row r="60" spans="1:35" ht="18" customHeight="1">
      <c r="A60" s="10306"/>
      <c r="B60" s="10272"/>
      <c r="C60" s="10197"/>
      <c r="D60" s="10194"/>
      <c r="E60" s="10194"/>
      <c r="F60" s="10194"/>
      <c r="G60" s="10209"/>
      <c r="H60" s="10194"/>
      <c r="I60" s="10194"/>
      <c r="J60" s="10206"/>
      <c r="K60" s="10194"/>
      <c r="L60" s="10194"/>
      <c r="M60" s="10200"/>
      <c r="N60" s="10200"/>
      <c r="O60" s="10200"/>
      <c r="P60" s="10194"/>
      <c r="Q60" s="10194"/>
      <c r="R60" s="10203"/>
      <c r="S60" s="2615" t="s">
        <v>80</v>
      </c>
      <c r="T60" s="2710" t="s">
        <v>2705</v>
      </c>
      <c r="U60" s="3320"/>
      <c r="V60" s="2626" t="s">
        <v>40</v>
      </c>
      <c r="W60" s="7223"/>
      <c r="X60" s="2711"/>
      <c r="Y60" s="7235"/>
      <c r="Z60" s="3321"/>
      <c r="AA60" s="3321"/>
      <c r="AB60" s="3322">
        <f>AA61</f>
        <v>110690</v>
      </c>
      <c r="AC60" s="3323" t="s">
        <v>763</v>
      </c>
      <c r="AD60" s="2339"/>
      <c r="AE60" s="2290"/>
      <c r="AF60" s="2290"/>
      <c r="AG60" s="2290"/>
      <c r="AH60" s="2714"/>
      <c r="AI60" s="2285"/>
    </row>
    <row r="61" spans="1:35" ht="57.75" customHeight="1">
      <c r="A61" s="10306"/>
      <c r="B61" s="10272"/>
      <c r="C61" s="10197"/>
      <c r="D61" s="10194"/>
      <c r="E61" s="10194"/>
      <c r="F61" s="10194"/>
      <c r="G61" s="10209"/>
      <c r="H61" s="10194"/>
      <c r="I61" s="10194"/>
      <c r="J61" s="10206"/>
      <c r="K61" s="10194"/>
      <c r="L61" s="10194"/>
      <c r="M61" s="10200"/>
      <c r="N61" s="10200"/>
      <c r="O61" s="10200"/>
      <c r="P61" s="10194"/>
      <c r="Q61" s="10194"/>
      <c r="R61" s="10203"/>
      <c r="S61" s="2617"/>
      <c r="T61" s="2712"/>
      <c r="U61" s="3320"/>
      <c r="V61" s="2618" t="s">
        <v>2704</v>
      </c>
      <c r="W61" s="7223">
        <v>1</v>
      </c>
      <c r="X61" s="2711" t="s">
        <v>479</v>
      </c>
      <c r="Y61" s="3321">
        <f>110690/1.12</f>
        <v>98830.35714285713</v>
      </c>
      <c r="Z61" s="3321">
        <f>Y61*W61</f>
        <v>98830.35714285713</v>
      </c>
      <c r="AA61" s="3321">
        <f>Z61*1.12</f>
        <v>110690</v>
      </c>
      <c r="AB61" s="3322"/>
      <c r="AC61" s="3323"/>
      <c r="AD61" s="2339"/>
      <c r="AE61" s="2290"/>
      <c r="AF61" s="2290" t="s">
        <v>153</v>
      </c>
      <c r="AG61" s="2290"/>
      <c r="AH61" s="2714"/>
      <c r="AI61" s="2285"/>
    </row>
    <row r="62" spans="1:35" ht="35.25" customHeight="1">
      <c r="A62" s="10306"/>
      <c r="B62" s="10272"/>
      <c r="C62" s="10197"/>
      <c r="D62" s="10194"/>
      <c r="E62" s="10194"/>
      <c r="F62" s="10194"/>
      <c r="G62" s="10209"/>
      <c r="H62" s="10194"/>
      <c r="I62" s="10194"/>
      <c r="J62" s="10206"/>
      <c r="K62" s="10194"/>
      <c r="L62" s="10194"/>
      <c r="M62" s="10200"/>
      <c r="N62" s="10200"/>
      <c r="O62" s="10200"/>
      <c r="P62" s="10194"/>
      <c r="Q62" s="10194"/>
      <c r="R62" s="10203"/>
      <c r="S62" s="2615" t="s">
        <v>80</v>
      </c>
      <c r="T62" s="2715">
        <v>530702</v>
      </c>
      <c r="U62" s="2624"/>
      <c r="V62" s="3324" t="s">
        <v>33</v>
      </c>
      <c r="W62" s="7223"/>
      <c r="X62" s="2642"/>
      <c r="Y62" s="7842"/>
      <c r="Z62" s="7843"/>
      <c r="AA62" s="7843"/>
      <c r="AB62" s="7844">
        <f>SUM(AA63:AA63)</f>
        <v>2378.2199999999998</v>
      </c>
      <c r="AC62" s="2649" t="s">
        <v>25</v>
      </c>
      <c r="AD62" s="2339"/>
      <c r="AE62" s="2290"/>
      <c r="AF62" s="2290"/>
      <c r="AG62" s="2290"/>
      <c r="AH62" s="10246"/>
      <c r="AI62" s="2285"/>
    </row>
    <row r="63" spans="1:35" ht="18" customHeight="1">
      <c r="A63" s="10306"/>
      <c r="B63" s="10272"/>
      <c r="C63" s="10197"/>
      <c r="D63" s="10194"/>
      <c r="E63" s="10194"/>
      <c r="F63" s="10194"/>
      <c r="G63" s="10209"/>
      <c r="H63" s="10194"/>
      <c r="I63" s="10194"/>
      <c r="J63" s="10206"/>
      <c r="K63" s="10194"/>
      <c r="L63" s="10194"/>
      <c r="M63" s="10200"/>
      <c r="N63" s="10200"/>
      <c r="O63" s="10200"/>
      <c r="P63" s="10194"/>
      <c r="Q63" s="10194"/>
      <c r="R63" s="10203"/>
      <c r="S63" s="2617"/>
      <c r="T63" s="2797"/>
      <c r="U63" s="2624">
        <v>859901313</v>
      </c>
      <c r="V63" s="2663" t="s">
        <v>2706</v>
      </c>
      <c r="W63" s="7222">
        <v>1</v>
      </c>
      <c r="X63" s="2651" t="s">
        <v>479</v>
      </c>
      <c r="Y63" s="7842">
        <v>2378.2199999999998</v>
      </c>
      <c r="Z63" s="7843">
        <f>Y63*W63</f>
        <v>2378.2199999999998</v>
      </c>
      <c r="AA63" s="7843">
        <f>Z63</f>
        <v>2378.2199999999998</v>
      </c>
      <c r="AB63" s="7845"/>
      <c r="AC63" s="2649"/>
      <c r="AD63" s="2339"/>
      <c r="AE63" s="2290"/>
      <c r="AF63" s="2290" t="s">
        <v>153</v>
      </c>
      <c r="AG63" s="2290"/>
      <c r="AH63" s="10247"/>
      <c r="AI63" s="2285"/>
    </row>
    <row r="64" spans="1:35" ht="18" customHeight="1">
      <c r="A64" s="10306"/>
      <c r="B64" s="10272"/>
      <c r="C64" s="10197"/>
      <c r="D64" s="10194"/>
      <c r="E64" s="10194"/>
      <c r="F64" s="10194"/>
      <c r="G64" s="10209"/>
      <c r="H64" s="10194"/>
      <c r="I64" s="10194"/>
      <c r="J64" s="10206"/>
      <c r="K64" s="10194"/>
      <c r="L64" s="10194"/>
      <c r="M64" s="10200"/>
      <c r="N64" s="10200"/>
      <c r="O64" s="10200"/>
      <c r="P64" s="10194"/>
      <c r="Q64" s="10194"/>
      <c r="R64" s="10203"/>
      <c r="S64" s="2652" t="s">
        <v>80</v>
      </c>
      <c r="T64" s="2624">
        <v>531407</v>
      </c>
      <c r="U64" s="2624"/>
      <c r="V64" s="2626" t="s">
        <v>40</v>
      </c>
      <c r="W64" s="2627"/>
      <c r="X64" s="2646"/>
      <c r="Y64" s="7848"/>
      <c r="Z64" s="7848"/>
      <c r="AA64" s="7848"/>
      <c r="AB64" s="7844">
        <f>SUM(AA65)</f>
        <v>714.24</v>
      </c>
      <c r="AC64" s="2649" t="s">
        <v>25</v>
      </c>
      <c r="AD64" s="2302"/>
      <c r="AE64" s="2298"/>
      <c r="AF64" s="2348"/>
      <c r="AG64" s="2295"/>
      <c r="AH64" s="10247"/>
      <c r="AI64" s="2285"/>
    </row>
    <row r="65" spans="1:35" ht="18" customHeight="1">
      <c r="A65" s="10306"/>
      <c r="B65" s="10272"/>
      <c r="C65" s="10198"/>
      <c r="D65" s="10195"/>
      <c r="E65" s="10195"/>
      <c r="F65" s="10195"/>
      <c r="G65" s="10210"/>
      <c r="H65" s="10195"/>
      <c r="I65" s="10195"/>
      <c r="J65" s="10207"/>
      <c r="K65" s="10195"/>
      <c r="L65" s="10195"/>
      <c r="M65" s="10201"/>
      <c r="N65" s="10201"/>
      <c r="O65" s="10201"/>
      <c r="P65" s="10195"/>
      <c r="Q65" s="10195"/>
      <c r="R65" s="10204"/>
      <c r="S65" s="2634"/>
      <c r="T65" s="2635"/>
      <c r="U65" s="7198">
        <v>473130017</v>
      </c>
      <c r="V65" s="2638" t="s">
        <v>2707</v>
      </c>
      <c r="W65" s="7224">
        <v>1</v>
      </c>
      <c r="X65" s="2636" t="s">
        <v>479</v>
      </c>
      <c r="Y65" s="7849">
        <v>714.24</v>
      </c>
      <c r="Z65" s="7849">
        <f>+W65*Y65</f>
        <v>714.24</v>
      </c>
      <c r="AA65" s="7849">
        <f>Z65</f>
        <v>714.24</v>
      </c>
      <c r="AB65" s="7850"/>
      <c r="AC65" s="2609"/>
      <c r="AD65" s="2311"/>
      <c r="AE65" s="2307"/>
      <c r="AF65" s="2352" t="s">
        <v>153</v>
      </c>
      <c r="AG65" s="2312"/>
      <c r="AH65" s="10262"/>
      <c r="AI65" s="2285"/>
    </row>
    <row r="66" spans="1:35" ht="25.5" customHeight="1">
      <c r="A66" s="10306"/>
      <c r="B66" s="10272"/>
      <c r="C66" s="10263" t="s">
        <v>127</v>
      </c>
      <c r="D66" s="10237" t="s">
        <v>128</v>
      </c>
      <c r="E66" s="10237" t="s">
        <v>129</v>
      </c>
      <c r="F66" s="10237" t="s">
        <v>336</v>
      </c>
      <c r="G66" s="10264" t="s">
        <v>131</v>
      </c>
      <c r="H66" s="10237" t="s">
        <v>132</v>
      </c>
      <c r="I66" s="10237" t="s">
        <v>159</v>
      </c>
      <c r="J66" s="10298" t="s">
        <v>2708</v>
      </c>
      <c r="K66" s="10237" t="s">
        <v>2709</v>
      </c>
      <c r="L66" s="10237" t="s">
        <v>2710</v>
      </c>
      <c r="M66" s="10234">
        <v>1</v>
      </c>
      <c r="N66" s="10254">
        <v>0</v>
      </c>
      <c r="O66" s="10234">
        <v>1</v>
      </c>
      <c r="P66" s="10237" t="s">
        <v>2711</v>
      </c>
      <c r="Q66" s="10237" t="s">
        <v>2712</v>
      </c>
      <c r="R66" s="10259" t="s">
        <v>2684</v>
      </c>
      <c r="S66" s="2640"/>
      <c r="T66" s="7202"/>
      <c r="U66" s="7202"/>
      <c r="V66" s="2641"/>
      <c r="W66" s="7225"/>
      <c r="X66" s="2641"/>
      <c r="Y66" s="7225"/>
      <c r="Z66" s="7225"/>
      <c r="AA66" s="7225"/>
      <c r="AB66" s="7225"/>
      <c r="AC66" s="7250"/>
      <c r="AD66" s="2319"/>
      <c r="AE66" s="2315"/>
      <c r="AF66" s="2355"/>
      <c r="AG66" s="2342"/>
      <c r="AH66" s="10261"/>
      <c r="AI66" s="2285"/>
    </row>
    <row r="67" spans="1:35" ht="25.5" customHeight="1">
      <c r="A67" s="10306"/>
      <c r="B67" s="10272"/>
      <c r="C67" s="10256"/>
      <c r="D67" s="10238"/>
      <c r="E67" s="10238"/>
      <c r="F67" s="10238"/>
      <c r="G67" s="10238"/>
      <c r="H67" s="10238"/>
      <c r="I67" s="10238"/>
      <c r="J67" s="10238"/>
      <c r="K67" s="10238"/>
      <c r="L67" s="10238"/>
      <c r="M67" s="10235"/>
      <c r="N67" s="10235"/>
      <c r="O67" s="10235"/>
      <c r="P67" s="10238"/>
      <c r="Q67" s="10238"/>
      <c r="R67" s="10244"/>
      <c r="S67" s="2644"/>
      <c r="T67" s="2625"/>
      <c r="U67" s="2625"/>
      <c r="V67" s="2645"/>
      <c r="W67" s="2627"/>
      <c r="X67" s="2646"/>
      <c r="Y67" s="2647"/>
      <c r="Z67" s="2647"/>
      <c r="AA67" s="2647"/>
      <c r="AB67" s="2648"/>
      <c r="AC67" s="2649"/>
      <c r="AD67" s="2302"/>
      <c r="AE67" s="2298"/>
      <c r="AF67" s="2348"/>
      <c r="AG67" s="2295"/>
      <c r="AH67" s="10247"/>
      <c r="AI67" s="2285"/>
    </row>
    <row r="68" spans="1:35" ht="25.5" customHeight="1">
      <c r="A68" s="10306"/>
      <c r="B68" s="10272"/>
      <c r="C68" s="10256"/>
      <c r="D68" s="10238"/>
      <c r="E68" s="10238"/>
      <c r="F68" s="10238"/>
      <c r="G68" s="10238"/>
      <c r="H68" s="10238"/>
      <c r="I68" s="10238"/>
      <c r="J68" s="10238"/>
      <c r="K68" s="10238"/>
      <c r="L68" s="10238"/>
      <c r="M68" s="10235"/>
      <c r="N68" s="10235"/>
      <c r="O68" s="10235"/>
      <c r="P68" s="10238"/>
      <c r="Q68" s="10238"/>
      <c r="R68" s="10244"/>
      <c r="S68" s="2286"/>
      <c r="T68" s="2321"/>
      <c r="U68" s="2321"/>
      <c r="V68" s="2681"/>
      <c r="W68" s="2682"/>
      <c r="X68" s="2683"/>
      <c r="Y68" s="2679"/>
      <c r="Z68" s="2679"/>
      <c r="AA68" s="2679"/>
      <c r="AB68" s="2680"/>
      <c r="AC68" s="2301"/>
      <c r="AD68" s="2302"/>
      <c r="AE68" s="2298"/>
      <c r="AF68" s="2348"/>
      <c r="AG68" s="2295"/>
      <c r="AH68" s="10247"/>
      <c r="AI68" s="2285"/>
    </row>
    <row r="69" spans="1:35" ht="25.5" customHeight="1">
      <c r="A69" s="10306"/>
      <c r="B69" s="10272"/>
      <c r="C69" s="10256"/>
      <c r="D69" s="10238"/>
      <c r="E69" s="10238"/>
      <c r="F69" s="10238"/>
      <c r="G69" s="10238"/>
      <c r="H69" s="10238"/>
      <c r="I69" s="10238"/>
      <c r="J69" s="10238"/>
      <c r="K69" s="10238"/>
      <c r="L69" s="10238"/>
      <c r="M69" s="10235"/>
      <c r="N69" s="10235"/>
      <c r="O69" s="10235"/>
      <c r="P69" s="10238"/>
      <c r="Q69" s="10238"/>
      <c r="R69" s="10244"/>
      <c r="S69" s="2343" t="s">
        <v>15</v>
      </c>
      <c r="T69" s="2363">
        <v>530804</v>
      </c>
      <c r="U69" s="2321"/>
      <c r="V69" s="2297" t="s">
        <v>1171</v>
      </c>
      <c r="W69" s="2357"/>
      <c r="X69" s="2298"/>
      <c r="Y69" s="2299"/>
      <c r="Z69" s="7807"/>
      <c r="AA69" s="7807"/>
      <c r="AB69" s="7811">
        <f>SUM(AA70)</f>
        <v>21.12</v>
      </c>
      <c r="AC69" s="2338" t="s">
        <v>25</v>
      </c>
      <c r="AD69" s="2302"/>
      <c r="AE69" s="2298"/>
      <c r="AF69" s="2348"/>
      <c r="AG69" s="2295"/>
      <c r="AH69" s="10247"/>
      <c r="AI69" s="2285"/>
    </row>
    <row r="70" spans="1:35" ht="25.5" customHeight="1">
      <c r="A70" s="10306"/>
      <c r="B70" s="10272"/>
      <c r="C70" s="10257"/>
      <c r="D70" s="10239"/>
      <c r="E70" s="10239"/>
      <c r="F70" s="10239"/>
      <c r="G70" s="10239"/>
      <c r="H70" s="10239"/>
      <c r="I70" s="10239"/>
      <c r="J70" s="10239"/>
      <c r="K70" s="10239"/>
      <c r="L70" s="10239"/>
      <c r="M70" s="10236"/>
      <c r="N70" s="10236"/>
      <c r="O70" s="10236"/>
      <c r="P70" s="10239"/>
      <c r="Q70" s="10239"/>
      <c r="R70" s="10245"/>
      <c r="S70" s="2323"/>
      <c r="T70" s="2359"/>
      <c r="U70" s="3329">
        <v>36990001110</v>
      </c>
      <c r="V70" s="3330" t="s">
        <v>2713</v>
      </c>
      <c r="W70" s="3331">
        <v>24</v>
      </c>
      <c r="X70" s="3327" t="s">
        <v>180</v>
      </c>
      <c r="Y70" s="7810">
        <v>21.12</v>
      </c>
      <c r="Z70" s="7810">
        <f>Y70</f>
        <v>21.12</v>
      </c>
      <c r="AA70" s="7810">
        <f>Z70</f>
        <v>21.12</v>
      </c>
      <c r="AB70" s="7812"/>
      <c r="AC70" s="2330"/>
      <c r="AD70" s="2331"/>
      <c r="AE70" s="2327"/>
      <c r="AF70" s="2360" t="s">
        <v>153</v>
      </c>
      <c r="AG70" s="2333"/>
      <c r="AH70" s="10248"/>
      <c r="AI70" s="2285"/>
    </row>
    <row r="71" spans="1:35" ht="32.25" customHeight="1">
      <c r="A71" s="10306"/>
      <c r="B71" s="10272"/>
      <c r="C71" s="10255" t="s">
        <v>127</v>
      </c>
      <c r="D71" s="10242" t="s">
        <v>128</v>
      </c>
      <c r="E71" s="10242" t="s">
        <v>129</v>
      </c>
      <c r="F71" s="10242" t="s">
        <v>336</v>
      </c>
      <c r="G71" s="10258" t="s">
        <v>131</v>
      </c>
      <c r="H71" s="10242" t="s">
        <v>132</v>
      </c>
      <c r="I71" s="10242" t="s">
        <v>159</v>
      </c>
      <c r="J71" s="10297" t="s">
        <v>2714</v>
      </c>
      <c r="K71" s="10242" t="s">
        <v>2715</v>
      </c>
      <c r="L71" s="10242" t="s">
        <v>2716</v>
      </c>
      <c r="M71" s="10240">
        <v>1</v>
      </c>
      <c r="N71" s="10240">
        <v>0</v>
      </c>
      <c r="O71" s="10240">
        <v>1</v>
      </c>
      <c r="P71" s="10242" t="s">
        <v>2717</v>
      </c>
      <c r="Q71" s="10242" t="s">
        <v>2718</v>
      </c>
      <c r="R71" s="10243" t="s">
        <v>2673</v>
      </c>
      <c r="S71" s="2344" t="s">
        <v>80</v>
      </c>
      <c r="T71" s="2345">
        <v>840107</v>
      </c>
      <c r="U71" s="2345"/>
      <c r="V71" s="2278" t="s">
        <v>40</v>
      </c>
      <c r="W71" s="2346"/>
      <c r="X71" s="2335"/>
      <c r="Y71" s="2336"/>
      <c r="Z71" s="2336"/>
      <c r="AA71" s="2336"/>
      <c r="AB71" s="2337">
        <f>SUM($AA$72:$AA$85)</f>
        <v>130845.37120000001</v>
      </c>
      <c r="AC71" s="2338" t="s">
        <v>18</v>
      </c>
      <c r="AD71" s="2339"/>
      <c r="AE71" s="2335"/>
      <c r="AF71" s="2361"/>
      <c r="AG71" s="2284"/>
      <c r="AH71" s="10299" t="s">
        <v>2719</v>
      </c>
      <c r="AI71" s="2285"/>
    </row>
    <row r="72" spans="1:35" ht="18" customHeight="1">
      <c r="A72" s="10306"/>
      <c r="B72" s="10272"/>
      <c r="C72" s="10256"/>
      <c r="D72" s="10238"/>
      <c r="E72" s="10238"/>
      <c r="F72" s="10238"/>
      <c r="G72" s="10238"/>
      <c r="H72" s="10238"/>
      <c r="I72" s="10238"/>
      <c r="J72" s="10238"/>
      <c r="K72" s="10238"/>
      <c r="L72" s="10238"/>
      <c r="M72" s="10235"/>
      <c r="N72" s="10235"/>
      <c r="O72" s="10235"/>
      <c r="P72" s="10238"/>
      <c r="Q72" s="10238"/>
      <c r="R72" s="10244"/>
      <c r="S72" s="2366"/>
      <c r="T72" s="2321"/>
      <c r="U72" s="2321">
        <v>4523000839</v>
      </c>
      <c r="V72" s="2288" t="s">
        <v>384</v>
      </c>
      <c r="W72" s="2289">
        <v>25</v>
      </c>
      <c r="X72" s="2298" t="s">
        <v>180</v>
      </c>
      <c r="Y72" s="2299">
        <v>1300</v>
      </c>
      <c r="Z72" s="2299">
        <f>+W72*Y72</f>
        <v>32500</v>
      </c>
      <c r="AA72" s="2299">
        <f>+Z72*1.12</f>
        <v>36400</v>
      </c>
      <c r="AB72" s="2300"/>
      <c r="AC72" s="2301"/>
      <c r="AD72" s="2302"/>
      <c r="AE72" s="2298"/>
      <c r="AF72" s="2348" t="s">
        <v>153</v>
      </c>
      <c r="AG72" s="2295"/>
      <c r="AH72" s="10300"/>
      <c r="AI72" s="2367" t="s">
        <v>2720</v>
      </c>
    </row>
    <row r="73" spans="1:35" ht="18" customHeight="1">
      <c r="A73" s="10306"/>
      <c r="B73" s="10272"/>
      <c r="C73" s="10256"/>
      <c r="D73" s="10238"/>
      <c r="E73" s="10238"/>
      <c r="F73" s="10238"/>
      <c r="G73" s="10238"/>
      <c r="H73" s="10238"/>
      <c r="I73" s="10238"/>
      <c r="J73" s="10238"/>
      <c r="K73" s="10238"/>
      <c r="L73" s="10238"/>
      <c r="M73" s="10235"/>
      <c r="N73" s="10235"/>
      <c r="O73" s="10235"/>
      <c r="P73" s="10238"/>
      <c r="Q73" s="10238"/>
      <c r="R73" s="10244"/>
      <c r="S73" s="2366"/>
      <c r="T73" s="2321"/>
      <c r="U73" s="2321">
        <v>4523000811</v>
      </c>
      <c r="V73" s="2288" t="s">
        <v>384</v>
      </c>
      <c r="W73" s="2357">
        <v>23</v>
      </c>
      <c r="X73" s="2298" t="s">
        <v>180</v>
      </c>
      <c r="Y73" s="2299">
        <v>1330</v>
      </c>
      <c r="Z73" s="2299">
        <f>+W73*Y73</f>
        <v>30590</v>
      </c>
      <c r="AA73" s="2299">
        <f>+Z73*1.12</f>
        <v>34260.800000000003</v>
      </c>
      <c r="AB73" s="2300"/>
      <c r="AC73" s="2301"/>
      <c r="AD73" s="2302"/>
      <c r="AE73" s="2298"/>
      <c r="AF73" s="2290" t="s">
        <v>153</v>
      </c>
      <c r="AG73" s="2295"/>
      <c r="AH73" s="10300"/>
      <c r="AI73" s="2367"/>
    </row>
    <row r="74" spans="1:35" ht="18" customHeight="1">
      <c r="A74" s="10306"/>
      <c r="B74" s="10272"/>
      <c r="C74" s="10256"/>
      <c r="D74" s="10238"/>
      <c r="E74" s="10238"/>
      <c r="F74" s="10238"/>
      <c r="G74" s="10238"/>
      <c r="H74" s="10238"/>
      <c r="I74" s="10238"/>
      <c r="J74" s="10238"/>
      <c r="K74" s="10238"/>
      <c r="L74" s="10238"/>
      <c r="M74" s="10235"/>
      <c r="N74" s="10235"/>
      <c r="O74" s="10235"/>
      <c r="P74" s="10238"/>
      <c r="Q74" s="10238"/>
      <c r="R74" s="10244"/>
      <c r="S74" s="2366"/>
      <c r="T74" s="2321"/>
      <c r="U74" s="2321"/>
      <c r="V74" s="2288" t="s">
        <v>2721</v>
      </c>
      <c r="W74" s="2357">
        <v>2</v>
      </c>
      <c r="X74" s="2298" t="s">
        <v>180</v>
      </c>
      <c r="Y74" s="2299">
        <v>1428.575</v>
      </c>
      <c r="Z74" s="2299">
        <f t="shared" ref="Z74:Z78" si="2">+W74*Y74</f>
        <v>2857.15</v>
      </c>
      <c r="AA74" s="2299">
        <f t="shared" ref="AA74:AA84" si="3">+Z74*1.12</f>
        <v>3200.0080000000003</v>
      </c>
      <c r="AB74" s="2300"/>
      <c r="AC74" s="2301"/>
      <c r="AD74" s="2302"/>
      <c r="AE74" s="2298"/>
      <c r="AF74" s="2290" t="s">
        <v>153</v>
      </c>
      <c r="AG74" s="2295"/>
      <c r="AH74" s="10300"/>
      <c r="AI74" s="2367"/>
    </row>
    <row r="75" spans="1:35" ht="18" customHeight="1">
      <c r="A75" s="10306"/>
      <c r="B75" s="10272"/>
      <c r="C75" s="10256"/>
      <c r="D75" s="10238"/>
      <c r="E75" s="10238"/>
      <c r="F75" s="10238"/>
      <c r="G75" s="10238"/>
      <c r="H75" s="10238"/>
      <c r="I75" s="10238"/>
      <c r="J75" s="10238"/>
      <c r="K75" s="10238"/>
      <c r="L75" s="10238"/>
      <c r="M75" s="10235"/>
      <c r="N75" s="10235"/>
      <c r="O75" s="10235"/>
      <c r="P75" s="10238"/>
      <c r="Q75" s="10238"/>
      <c r="R75" s="10244"/>
      <c r="S75" s="2366"/>
      <c r="T75" s="2321"/>
      <c r="U75" s="2321">
        <v>452300064</v>
      </c>
      <c r="V75" s="2288" t="s">
        <v>2722</v>
      </c>
      <c r="W75" s="2357">
        <v>2</v>
      </c>
      <c r="X75" s="2368" t="s">
        <v>180</v>
      </c>
      <c r="Y75" s="2299">
        <v>5357.14</v>
      </c>
      <c r="Z75" s="2299">
        <f t="shared" si="2"/>
        <v>10714.28</v>
      </c>
      <c r="AA75" s="2299">
        <f t="shared" si="3"/>
        <v>11999.993600000002</v>
      </c>
      <c r="AB75" s="2300"/>
      <c r="AC75" s="2301"/>
      <c r="AD75" s="2302"/>
      <c r="AE75" s="2298"/>
      <c r="AF75" s="2290" t="s">
        <v>153</v>
      </c>
      <c r="AG75" s="2295"/>
      <c r="AH75" s="10300"/>
      <c r="AI75" s="2367"/>
    </row>
    <row r="76" spans="1:35" ht="18" customHeight="1">
      <c r="A76" s="10306"/>
      <c r="B76" s="10272"/>
      <c r="C76" s="10256"/>
      <c r="D76" s="10238"/>
      <c r="E76" s="10238"/>
      <c r="F76" s="10238"/>
      <c r="G76" s="10238"/>
      <c r="H76" s="10238"/>
      <c r="I76" s="10238"/>
      <c r="J76" s="10238"/>
      <c r="K76" s="10238"/>
      <c r="L76" s="10238"/>
      <c r="M76" s="10235"/>
      <c r="N76" s="10235"/>
      <c r="O76" s="10235"/>
      <c r="P76" s="10238"/>
      <c r="Q76" s="10238"/>
      <c r="R76" s="10244"/>
      <c r="S76" s="2366"/>
      <c r="T76" s="2321"/>
      <c r="U76" s="3519">
        <v>731250115</v>
      </c>
      <c r="V76" s="2288" t="s">
        <v>2723</v>
      </c>
      <c r="W76" s="2357">
        <v>5</v>
      </c>
      <c r="X76" s="2368" t="s">
        <v>180</v>
      </c>
      <c r="Y76" s="2299">
        <v>714.28499999999997</v>
      </c>
      <c r="Z76" s="2299">
        <f t="shared" si="2"/>
        <v>3571.4249999999997</v>
      </c>
      <c r="AA76" s="2299">
        <f t="shared" si="3"/>
        <v>3999.9960000000001</v>
      </c>
      <c r="AB76" s="2300"/>
      <c r="AC76" s="2301"/>
      <c r="AD76" s="2302"/>
      <c r="AE76" s="2298"/>
      <c r="AF76" s="2290" t="s">
        <v>2724</v>
      </c>
      <c r="AG76" s="2295"/>
      <c r="AH76" s="10300"/>
      <c r="AI76" s="2367"/>
    </row>
    <row r="77" spans="1:35" ht="18" customHeight="1">
      <c r="A77" s="10306"/>
      <c r="B77" s="10272"/>
      <c r="C77" s="10256"/>
      <c r="D77" s="10238"/>
      <c r="E77" s="10238"/>
      <c r="F77" s="10238"/>
      <c r="G77" s="10238"/>
      <c r="H77" s="10238"/>
      <c r="I77" s="10238"/>
      <c r="J77" s="10238"/>
      <c r="K77" s="10238"/>
      <c r="L77" s="10238"/>
      <c r="M77" s="10235"/>
      <c r="N77" s="10235"/>
      <c r="O77" s="10235"/>
      <c r="P77" s="10238"/>
      <c r="Q77" s="10238"/>
      <c r="R77" s="10244"/>
      <c r="S77" s="2366"/>
      <c r="T77" s="2321"/>
      <c r="U77" s="3519">
        <v>731250115</v>
      </c>
      <c r="V77" s="2288" t="s">
        <v>2725</v>
      </c>
      <c r="W77" s="2357">
        <v>2</v>
      </c>
      <c r="X77" s="2368" t="s">
        <v>180</v>
      </c>
      <c r="Y77" s="2299">
        <v>223.215</v>
      </c>
      <c r="Z77" s="2299">
        <f t="shared" si="2"/>
        <v>446.43</v>
      </c>
      <c r="AA77" s="2299">
        <f t="shared" si="3"/>
        <v>500.00160000000005</v>
      </c>
      <c r="AB77" s="2300"/>
      <c r="AC77" s="2301"/>
      <c r="AD77" s="2302"/>
      <c r="AE77" s="2298"/>
      <c r="AF77" s="2290" t="s">
        <v>2724</v>
      </c>
      <c r="AG77" s="2295"/>
      <c r="AH77" s="10300"/>
      <c r="AI77" s="2367"/>
    </row>
    <row r="78" spans="1:35" ht="18" customHeight="1">
      <c r="A78" s="10306"/>
      <c r="B78" s="10272"/>
      <c r="C78" s="10256"/>
      <c r="D78" s="10238"/>
      <c r="E78" s="10238"/>
      <c r="F78" s="10238"/>
      <c r="G78" s="10238"/>
      <c r="H78" s="10238"/>
      <c r="I78" s="10238"/>
      <c r="J78" s="10238"/>
      <c r="K78" s="10238"/>
      <c r="L78" s="10238"/>
      <c r="M78" s="10235"/>
      <c r="N78" s="10235"/>
      <c r="O78" s="10235"/>
      <c r="P78" s="10238"/>
      <c r="Q78" s="10238"/>
      <c r="R78" s="10244"/>
      <c r="S78" s="2366"/>
      <c r="T78" s="2321"/>
      <c r="U78" s="3519">
        <v>4529000121</v>
      </c>
      <c r="V78" s="2288" t="s">
        <v>2726</v>
      </c>
      <c r="W78" s="2357">
        <v>10</v>
      </c>
      <c r="X78" s="2368" t="s">
        <v>180</v>
      </c>
      <c r="Y78" s="2299">
        <v>113.643</v>
      </c>
      <c r="Z78" s="2299">
        <f t="shared" si="2"/>
        <v>1136.43</v>
      </c>
      <c r="AA78" s="2299">
        <f t="shared" si="3"/>
        <v>1272.8016000000002</v>
      </c>
      <c r="AB78" s="2300"/>
      <c r="AC78" s="2301"/>
      <c r="AD78" s="2302"/>
      <c r="AE78" s="2298"/>
      <c r="AF78" s="2290" t="s">
        <v>2724</v>
      </c>
      <c r="AG78" s="2295"/>
      <c r="AH78" s="10300"/>
      <c r="AI78" s="2367"/>
    </row>
    <row r="79" spans="1:35" ht="18" customHeight="1">
      <c r="A79" s="10306"/>
      <c r="B79" s="10272"/>
      <c r="C79" s="10256"/>
      <c r="D79" s="10238"/>
      <c r="E79" s="10238"/>
      <c r="F79" s="10238"/>
      <c r="G79" s="10238"/>
      <c r="H79" s="10238"/>
      <c r="I79" s="10238"/>
      <c r="J79" s="10238"/>
      <c r="K79" s="10238"/>
      <c r="L79" s="10238"/>
      <c r="M79" s="10235"/>
      <c r="N79" s="10235"/>
      <c r="O79" s="10235"/>
      <c r="P79" s="10238"/>
      <c r="Q79" s="10238"/>
      <c r="R79" s="10244"/>
      <c r="S79" s="2366"/>
      <c r="T79" s="2321"/>
      <c r="U79" s="7199">
        <v>452200016</v>
      </c>
      <c r="V79" s="3309" t="s">
        <v>2727</v>
      </c>
      <c r="W79" s="3310">
        <v>25</v>
      </c>
      <c r="X79" s="3311" t="s">
        <v>180</v>
      </c>
      <c r="Y79" s="3312">
        <v>862</v>
      </c>
      <c r="Z79" s="3312">
        <f>+W79*Y79</f>
        <v>21550</v>
      </c>
      <c r="AA79" s="3312">
        <f t="shared" si="3"/>
        <v>24136.000000000004</v>
      </c>
      <c r="AB79" s="2300"/>
      <c r="AC79" s="2301"/>
      <c r="AD79" s="2302"/>
      <c r="AE79" s="2298"/>
      <c r="AF79" s="2348" t="s">
        <v>153</v>
      </c>
      <c r="AG79" s="2295"/>
      <c r="AH79" s="10300"/>
      <c r="AI79" s="2367" t="s">
        <v>2728</v>
      </c>
    </row>
    <row r="80" spans="1:35" ht="18" customHeight="1">
      <c r="A80" s="10306"/>
      <c r="B80" s="10272"/>
      <c r="C80" s="10256"/>
      <c r="D80" s="10238"/>
      <c r="E80" s="10238"/>
      <c r="F80" s="10238"/>
      <c r="G80" s="10238"/>
      <c r="H80" s="10238"/>
      <c r="I80" s="10238"/>
      <c r="J80" s="10238"/>
      <c r="K80" s="10238"/>
      <c r="L80" s="10238"/>
      <c r="M80" s="10235"/>
      <c r="N80" s="10235"/>
      <c r="O80" s="10235"/>
      <c r="P80" s="10238"/>
      <c r="Q80" s="10238"/>
      <c r="R80" s="10244"/>
      <c r="S80" s="2362"/>
      <c r="T80" s="2363"/>
      <c r="U80" s="7199">
        <v>452900014</v>
      </c>
      <c r="V80" s="3345" t="s">
        <v>2729</v>
      </c>
      <c r="W80" s="3310" t="s">
        <v>1966</v>
      </c>
      <c r="X80" s="3344" t="s">
        <v>180</v>
      </c>
      <c r="Y80" s="3312">
        <f>5385.78/8</f>
        <v>673.22249999999997</v>
      </c>
      <c r="Z80" s="3312">
        <f>+W80*Y80</f>
        <v>5385.78</v>
      </c>
      <c r="AA80" s="3312">
        <f>Z80</f>
        <v>5385.78</v>
      </c>
      <c r="AB80" s="2300"/>
      <c r="AC80" s="2301"/>
      <c r="AD80" s="2302"/>
      <c r="AE80" s="2368"/>
      <c r="AF80" s="2348" t="s">
        <v>153</v>
      </c>
      <c r="AG80" s="2295"/>
      <c r="AH80" s="10300"/>
      <c r="AI80" s="2367" t="s">
        <v>2730</v>
      </c>
    </row>
    <row r="81" spans="1:35" ht="18" customHeight="1">
      <c r="A81" s="10306"/>
      <c r="B81" s="10272"/>
      <c r="C81" s="10256"/>
      <c r="D81" s="10238"/>
      <c r="E81" s="10238"/>
      <c r="F81" s="10238"/>
      <c r="G81" s="10238"/>
      <c r="H81" s="10238"/>
      <c r="I81" s="10238"/>
      <c r="J81" s="10238"/>
      <c r="K81" s="10238"/>
      <c r="L81" s="10238"/>
      <c r="M81" s="10235"/>
      <c r="N81" s="10235"/>
      <c r="O81" s="10235"/>
      <c r="P81" s="10238"/>
      <c r="Q81" s="10238"/>
      <c r="R81" s="10244"/>
      <c r="S81" s="2362"/>
      <c r="T81" s="2363"/>
      <c r="U81" s="7199">
        <v>4523000411</v>
      </c>
      <c r="V81" s="3343" t="s">
        <v>2731</v>
      </c>
      <c r="W81" s="3310">
        <v>1</v>
      </c>
      <c r="X81" s="3344" t="s">
        <v>180</v>
      </c>
      <c r="Y81" s="3312">
        <v>720</v>
      </c>
      <c r="Z81" s="3312">
        <f>+W81*Y81</f>
        <v>720</v>
      </c>
      <c r="AA81" s="3312">
        <f>Z81</f>
        <v>720</v>
      </c>
      <c r="AB81" s="2300"/>
      <c r="AC81" s="2301"/>
      <c r="AD81" s="2302"/>
      <c r="AE81" s="2368"/>
      <c r="AF81" s="2348" t="s">
        <v>153</v>
      </c>
      <c r="AG81" s="2295"/>
      <c r="AH81" s="10300"/>
      <c r="AI81" s="2285"/>
    </row>
    <row r="82" spans="1:35" ht="18" customHeight="1">
      <c r="A82" s="10306"/>
      <c r="B82" s="10272"/>
      <c r="C82" s="10256"/>
      <c r="D82" s="10238"/>
      <c r="E82" s="10238"/>
      <c r="F82" s="10238"/>
      <c r="G82" s="10238"/>
      <c r="H82" s="10238"/>
      <c r="I82" s="10238"/>
      <c r="J82" s="10238"/>
      <c r="K82" s="10238"/>
      <c r="L82" s="10238"/>
      <c r="M82" s="10235"/>
      <c r="N82" s="10235"/>
      <c r="O82" s="10235"/>
      <c r="P82" s="10238"/>
      <c r="Q82" s="10238"/>
      <c r="R82" s="10244"/>
      <c r="S82" s="2362"/>
      <c r="T82" s="2363"/>
      <c r="U82" s="3519">
        <v>4516003111</v>
      </c>
      <c r="V82" s="2356" t="s">
        <v>1995</v>
      </c>
      <c r="W82" s="2357">
        <v>8</v>
      </c>
      <c r="X82" s="2298" t="s">
        <v>180</v>
      </c>
      <c r="Y82" s="2299">
        <v>700</v>
      </c>
      <c r="Z82" s="2299">
        <f>+W82*Y82</f>
        <v>5600</v>
      </c>
      <c r="AA82" s="2299">
        <f t="shared" si="3"/>
        <v>6272.0000000000009</v>
      </c>
      <c r="AB82" s="2300"/>
      <c r="AC82" s="2301"/>
      <c r="AD82" s="2302"/>
      <c r="AE82" s="2368"/>
      <c r="AF82" s="2348" t="s">
        <v>153</v>
      </c>
      <c r="AG82" s="2295"/>
      <c r="AH82" s="10300"/>
      <c r="AI82" s="2367" t="s">
        <v>2732</v>
      </c>
    </row>
    <row r="83" spans="1:35" ht="18" customHeight="1">
      <c r="A83" s="10306"/>
      <c r="B83" s="10272"/>
      <c r="C83" s="10256"/>
      <c r="D83" s="10238"/>
      <c r="E83" s="10238"/>
      <c r="F83" s="10238"/>
      <c r="G83" s="10238"/>
      <c r="H83" s="10238"/>
      <c r="I83" s="10238"/>
      <c r="J83" s="10238"/>
      <c r="K83" s="10238"/>
      <c r="L83" s="10238"/>
      <c r="M83" s="10235"/>
      <c r="N83" s="10235"/>
      <c r="O83" s="10235"/>
      <c r="P83" s="10238"/>
      <c r="Q83" s="10238"/>
      <c r="R83" s="10244"/>
      <c r="S83" s="2362"/>
      <c r="T83" s="2363"/>
      <c r="U83" s="3519">
        <v>452900015</v>
      </c>
      <c r="V83" s="2369" t="s">
        <v>2733</v>
      </c>
      <c r="W83" s="2357">
        <v>3</v>
      </c>
      <c r="X83" s="2370" t="s">
        <v>180</v>
      </c>
      <c r="Y83" s="2299">
        <v>150</v>
      </c>
      <c r="Z83" s="2299">
        <f>W83*Y83</f>
        <v>450</v>
      </c>
      <c r="AA83" s="2299">
        <f t="shared" si="3"/>
        <v>504.00000000000006</v>
      </c>
      <c r="AB83" s="2422"/>
      <c r="AC83" s="2301"/>
      <c r="AD83" s="2302"/>
      <c r="AE83" s="2298"/>
      <c r="AF83" s="2348" t="s">
        <v>153</v>
      </c>
      <c r="AG83" s="2295"/>
      <c r="AH83" s="10300"/>
      <c r="AI83" s="2367" t="s">
        <v>2734</v>
      </c>
    </row>
    <row r="84" spans="1:35" ht="18" customHeight="1">
      <c r="A84" s="10306"/>
      <c r="B84" s="10272"/>
      <c r="C84" s="10256"/>
      <c r="D84" s="10238"/>
      <c r="E84" s="10238"/>
      <c r="F84" s="10238"/>
      <c r="G84" s="10238"/>
      <c r="H84" s="10238"/>
      <c r="I84" s="10238"/>
      <c r="J84" s="10238"/>
      <c r="K84" s="10238"/>
      <c r="L84" s="10238"/>
      <c r="M84" s="10235"/>
      <c r="N84" s="10235"/>
      <c r="O84" s="10235"/>
      <c r="P84" s="10238"/>
      <c r="Q84" s="10238"/>
      <c r="R84" s="10244"/>
      <c r="S84" s="2362"/>
      <c r="T84" s="2363"/>
      <c r="U84" s="3519">
        <v>452900015</v>
      </c>
      <c r="V84" s="2369" t="s">
        <v>2735</v>
      </c>
      <c r="W84" s="2357">
        <v>3</v>
      </c>
      <c r="X84" s="2370" t="s">
        <v>180</v>
      </c>
      <c r="Y84" s="2299">
        <v>182.14</v>
      </c>
      <c r="Z84" s="2299">
        <f>W84*Y84</f>
        <v>546.41999999999996</v>
      </c>
      <c r="AA84" s="2299">
        <f t="shared" si="3"/>
        <v>611.99040000000002</v>
      </c>
      <c r="AB84" s="2422"/>
      <c r="AC84" s="2301"/>
      <c r="AD84" s="2302"/>
      <c r="AE84" s="2298"/>
      <c r="AF84" s="2348" t="s">
        <v>153</v>
      </c>
      <c r="AG84" s="2295"/>
      <c r="AH84" s="10300"/>
      <c r="AI84" s="2367" t="s">
        <v>2736</v>
      </c>
    </row>
    <row r="85" spans="1:35" ht="18" customHeight="1">
      <c r="A85" s="10306"/>
      <c r="B85" s="10272"/>
      <c r="C85" s="10256"/>
      <c r="D85" s="10238"/>
      <c r="E85" s="10238"/>
      <c r="F85" s="10238"/>
      <c r="G85" s="10238"/>
      <c r="H85" s="10238"/>
      <c r="I85" s="10238"/>
      <c r="J85" s="10238"/>
      <c r="K85" s="10238"/>
      <c r="L85" s="10238"/>
      <c r="M85" s="10235"/>
      <c r="N85" s="10235"/>
      <c r="O85" s="10235"/>
      <c r="P85" s="10238"/>
      <c r="Q85" s="10238"/>
      <c r="R85" s="10244"/>
      <c r="S85" s="2362"/>
      <c r="T85" s="2363"/>
      <c r="U85" s="3308"/>
      <c r="V85" s="3346" t="s">
        <v>2737</v>
      </c>
      <c r="W85" s="3310">
        <v>1</v>
      </c>
      <c r="X85" s="3347" t="s">
        <v>180</v>
      </c>
      <c r="Y85" s="3312">
        <f>1771.84/1.12</f>
        <v>1581.9999999999998</v>
      </c>
      <c r="Z85" s="3312">
        <f>W85*Y85</f>
        <v>1581.9999999999998</v>
      </c>
      <c r="AA85" s="3312">
        <f>Z85</f>
        <v>1581.9999999999998</v>
      </c>
      <c r="AB85" s="2422"/>
      <c r="AC85" s="2301"/>
      <c r="AD85" s="2302"/>
      <c r="AE85" s="2298"/>
      <c r="AF85" s="2371" t="s">
        <v>153</v>
      </c>
      <c r="AG85" s="2295"/>
      <c r="AH85" s="10300"/>
      <c r="AI85" s="2367"/>
    </row>
    <row r="86" spans="1:35" ht="30.75" customHeight="1">
      <c r="A86" s="10306"/>
      <c r="B86" s="10272"/>
      <c r="C86" s="10256"/>
      <c r="D86" s="10238"/>
      <c r="E86" s="10238"/>
      <c r="F86" s="10238"/>
      <c r="G86" s="10238"/>
      <c r="H86" s="10238"/>
      <c r="I86" s="10238"/>
      <c r="J86" s="10238"/>
      <c r="K86" s="10238"/>
      <c r="L86" s="10238"/>
      <c r="M86" s="10235"/>
      <c r="N86" s="10235"/>
      <c r="O86" s="10235"/>
      <c r="P86" s="10238"/>
      <c r="Q86" s="10238"/>
      <c r="R86" s="10244"/>
      <c r="S86" s="4308" t="s">
        <v>80</v>
      </c>
      <c r="T86" s="4309">
        <v>840107</v>
      </c>
      <c r="U86" s="4309"/>
      <c r="V86" s="4310" t="s">
        <v>40</v>
      </c>
      <c r="W86" s="3310"/>
      <c r="X86" s="3347"/>
      <c r="Y86" s="3312"/>
      <c r="Z86" s="3312"/>
      <c r="AA86" s="3312"/>
      <c r="AB86" s="7990">
        <f>+SUM(AA87:AA88)-13537.8</f>
        <v>105759.00000000001</v>
      </c>
      <c r="AC86" s="3365" t="s">
        <v>26</v>
      </c>
      <c r="AD86" s="2302"/>
      <c r="AE86" s="2298"/>
      <c r="AF86" s="2371"/>
      <c r="AG86" s="2295"/>
      <c r="AH86" s="10300"/>
      <c r="AI86" s="2367"/>
    </row>
    <row r="87" spans="1:35" ht="18" customHeight="1">
      <c r="A87" s="10306"/>
      <c r="B87" s="10272"/>
      <c r="C87" s="10256"/>
      <c r="D87" s="10238"/>
      <c r="E87" s="10238"/>
      <c r="F87" s="10238"/>
      <c r="G87" s="10238"/>
      <c r="H87" s="10238"/>
      <c r="I87" s="10238"/>
      <c r="J87" s="10238"/>
      <c r="K87" s="10238"/>
      <c r="L87" s="10238"/>
      <c r="M87" s="10235"/>
      <c r="N87" s="10235"/>
      <c r="O87" s="10235"/>
      <c r="P87" s="10238"/>
      <c r="Q87" s="10238"/>
      <c r="R87" s="10244"/>
      <c r="S87" s="2362"/>
      <c r="T87" s="2363"/>
      <c r="U87" s="3308">
        <v>4523000811</v>
      </c>
      <c r="V87" s="3346" t="s">
        <v>2738</v>
      </c>
      <c r="W87" s="3310">
        <v>27</v>
      </c>
      <c r="X87" s="3347" t="s">
        <v>180</v>
      </c>
      <c r="Y87" s="3312">
        <v>1330</v>
      </c>
      <c r="Z87" s="3312">
        <f t="shared" ref="Z87:Z88" si="4">W87*Y87</f>
        <v>35910</v>
      </c>
      <c r="AA87" s="3312">
        <f>+Z87*1.12</f>
        <v>40219.200000000004</v>
      </c>
      <c r="AB87" s="2422"/>
      <c r="AC87" s="2301"/>
      <c r="AD87" s="2302"/>
      <c r="AE87" s="2298"/>
      <c r="AF87" s="2371"/>
      <c r="AG87" s="3344" t="s">
        <v>153</v>
      </c>
      <c r="AH87" s="10300"/>
      <c r="AI87" s="2367"/>
    </row>
    <row r="88" spans="1:35" ht="18" customHeight="1">
      <c r="A88" s="10306"/>
      <c r="B88" s="10272"/>
      <c r="C88" s="10256"/>
      <c r="D88" s="10238"/>
      <c r="E88" s="10238"/>
      <c r="F88" s="10238"/>
      <c r="G88" s="10238"/>
      <c r="H88" s="10238"/>
      <c r="I88" s="10238"/>
      <c r="J88" s="10238"/>
      <c r="K88" s="10238"/>
      <c r="L88" s="10238"/>
      <c r="M88" s="10235"/>
      <c r="N88" s="10235"/>
      <c r="O88" s="10235"/>
      <c r="P88" s="10238"/>
      <c r="Q88" s="10238"/>
      <c r="R88" s="10244"/>
      <c r="S88" s="2362"/>
      <c r="T88" s="2363"/>
      <c r="U88" s="3308">
        <v>452200016</v>
      </c>
      <c r="V88" s="3346" t="s">
        <v>1659</v>
      </c>
      <c r="W88" s="3310">
        <v>45</v>
      </c>
      <c r="X88" s="3347" t="s">
        <v>180</v>
      </c>
      <c r="Y88" s="3312">
        <v>1569</v>
      </c>
      <c r="Z88" s="3312">
        <f t="shared" si="4"/>
        <v>70605</v>
      </c>
      <c r="AA88" s="3312">
        <f>+Z88*1.12</f>
        <v>79077.600000000006</v>
      </c>
      <c r="AB88" s="2422"/>
      <c r="AC88" s="2301"/>
      <c r="AD88" s="2302"/>
      <c r="AE88" s="2298"/>
      <c r="AF88" s="2371"/>
      <c r="AG88" s="3344" t="s">
        <v>153</v>
      </c>
      <c r="AH88" s="10300"/>
      <c r="AI88" s="2367"/>
    </row>
    <row r="89" spans="1:35" ht="30.75" customHeight="1">
      <c r="A89" s="10306"/>
      <c r="B89" s="10272"/>
      <c r="C89" s="10256"/>
      <c r="D89" s="10238"/>
      <c r="E89" s="10238"/>
      <c r="F89" s="10238"/>
      <c r="G89" s="10238"/>
      <c r="H89" s="10238"/>
      <c r="I89" s="10238"/>
      <c r="J89" s="10238"/>
      <c r="K89" s="10238"/>
      <c r="L89" s="10238"/>
      <c r="M89" s="10235"/>
      <c r="N89" s="10235"/>
      <c r="O89" s="10235"/>
      <c r="P89" s="10238"/>
      <c r="Q89" s="10238"/>
      <c r="R89" s="10244"/>
      <c r="S89" s="3416" t="s">
        <v>80</v>
      </c>
      <c r="T89" s="3417">
        <v>531407</v>
      </c>
      <c r="U89" s="3308"/>
      <c r="V89" s="3418" t="s">
        <v>40</v>
      </c>
      <c r="W89" s="7226"/>
      <c r="X89" s="3347"/>
      <c r="Y89" s="3312"/>
      <c r="Z89" s="7243"/>
      <c r="AA89" s="7243"/>
      <c r="AB89" s="3332">
        <f>AA90</f>
        <v>1662.5</v>
      </c>
      <c r="AC89" s="3365" t="s">
        <v>26</v>
      </c>
      <c r="AD89" s="2294"/>
      <c r="AE89" s="2290"/>
      <c r="AF89" s="4311"/>
      <c r="AG89" s="2295"/>
      <c r="AH89" s="10300"/>
      <c r="AI89" s="2367"/>
    </row>
    <row r="90" spans="1:35" ht="18" customHeight="1">
      <c r="A90" s="10306"/>
      <c r="B90" s="10272"/>
      <c r="C90" s="10256"/>
      <c r="D90" s="10238"/>
      <c r="E90" s="10238"/>
      <c r="F90" s="10238"/>
      <c r="G90" s="10238"/>
      <c r="H90" s="10238"/>
      <c r="I90" s="10238"/>
      <c r="J90" s="10238"/>
      <c r="K90" s="10238"/>
      <c r="L90" s="10238"/>
      <c r="M90" s="10235"/>
      <c r="N90" s="10235"/>
      <c r="O90" s="10235"/>
      <c r="P90" s="10238"/>
      <c r="Q90" s="10238"/>
      <c r="R90" s="10244"/>
      <c r="S90" s="2358"/>
      <c r="T90" s="2296"/>
      <c r="U90" s="3308">
        <v>461220011</v>
      </c>
      <c r="V90" s="3309" t="s">
        <v>2739</v>
      </c>
      <c r="W90" s="3310">
        <v>25</v>
      </c>
      <c r="X90" s="3311" t="s">
        <v>180</v>
      </c>
      <c r="Y90" s="3312">
        <f>66.5/1.12</f>
        <v>59.374999999999993</v>
      </c>
      <c r="Z90" s="3312">
        <f>+W90*Y90</f>
        <v>1484.3749999999998</v>
      </c>
      <c r="AA90" s="3312">
        <f t="shared" ref="AA90" si="5">+Z90*1.12</f>
        <v>1662.5</v>
      </c>
      <c r="AB90" s="2292"/>
      <c r="AC90" s="2293"/>
      <c r="AD90" s="2294"/>
      <c r="AE90" s="2290"/>
      <c r="AF90" s="2295"/>
      <c r="AG90" s="3344" t="s">
        <v>153</v>
      </c>
      <c r="AH90" s="10300"/>
      <c r="AI90" s="2367"/>
    </row>
    <row r="91" spans="1:35" ht="18" customHeight="1">
      <c r="A91" s="10306"/>
      <c r="B91" s="10272"/>
      <c r="C91" s="10256"/>
      <c r="D91" s="10238"/>
      <c r="E91" s="10238"/>
      <c r="F91" s="10238"/>
      <c r="G91" s="10238"/>
      <c r="H91" s="10238"/>
      <c r="I91" s="10238"/>
      <c r="J91" s="10238"/>
      <c r="K91" s="10238"/>
      <c r="L91" s="10238"/>
      <c r="M91" s="10235"/>
      <c r="N91" s="10235"/>
      <c r="O91" s="10235"/>
      <c r="P91" s="10238"/>
      <c r="Q91" s="10238"/>
      <c r="R91" s="10244"/>
      <c r="S91" s="2362" t="s">
        <v>15</v>
      </c>
      <c r="T91" s="2363">
        <v>840104</v>
      </c>
      <c r="U91" s="2321"/>
      <c r="V91" s="2372" t="s">
        <v>39</v>
      </c>
      <c r="W91" s="2357"/>
      <c r="X91" s="2298"/>
      <c r="Y91" s="2299"/>
      <c r="Z91" s="2299"/>
      <c r="AA91" s="7807"/>
      <c r="AB91" s="7968">
        <f>SUM(AA92:AA92)</f>
        <v>2625</v>
      </c>
      <c r="AC91" s="2301" t="s">
        <v>26</v>
      </c>
      <c r="AD91" s="2302"/>
      <c r="AE91" s="2298"/>
      <c r="AF91" s="2348"/>
      <c r="AG91" s="2295"/>
      <c r="AH91" s="10300"/>
      <c r="AI91" s="2285"/>
    </row>
    <row r="92" spans="1:35" ht="18" customHeight="1">
      <c r="A92" s="10306"/>
      <c r="B92" s="10272"/>
      <c r="C92" s="10256"/>
      <c r="D92" s="10238"/>
      <c r="E92" s="10238"/>
      <c r="F92" s="10238"/>
      <c r="G92" s="10238"/>
      <c r="H92" s="10238"/>
      <c r="I92" s="10238"/>
      <c r="J92" s="10238"/>
      <c r="K92" s="10238"/>
      <c r="L92" s="10238"/>
      <c r="M92" s="10235"/>
      <c r="N92" s="10235"/>
      <c r="O92" s="10235"/>
      <c r="P92" s="10238"/>
      <c r="Q92" s="10238"/>
      <c r="R92" s="10244"/>
      <c r="S92" s="2362"/>
      <c r="T92" s="2363"/>
      <c r="U92" s="2321"/>
      <c r="V92" s="2356" t="s">
        <v>2740</v>
      </c>
      <c r="W92" s="2357">
        <v>1</v>
      </c>
      <c r="X92" s="2298" t="s">
        <v>1288</v>
      </c>
      <c r="Y92" s="2299">
        <v>2625</v>
      </c>
      <c r="Z92" s="2299">
        <f>W92*Y92</f>
        <v>2625</v>
      </c>
      <c r="AA92" s="7967">
        <f>Z92</f>
        <v>2625</v>
      </c>
      <c r="AB92" s="7808"/>
      <c r="AC92" s="2301"/>
      <c r="AD92" s="2302"/>
      <c r="AE92" s="2290"/>
      <c r="AF92" s="2295" t="s">
        <v>153</v>
      </c>
      <c r="AG92" s="2295"/>
      <c r="AH92" s="10300"/>
      <c r="AI92" s="2285"/>
    </row>
    <row r="93" spans="1:35" ht="42.75" customHeight="1">
      <c r="A93" s="10306"/>
      <c r="B93" s="10272"/>
      <c r="C93" s="10256"/>
      <c r="D93" s="10238"/>
      <c r="E93" s="10238"/>
      <c r="F93" s="10238"/>
      <c r="G93" s="10238"/>
      <c r="H93" s="10238"/>
      <c r="I93" s="10238"/>
      <c r="J93" s="10238"/>
      <c r="K93" s="10238"/>
      <c r="L93" s="10238"/>
      <c r="M93" s="10235"/>
      <c r="N93" s="10235"/>
      <c r="O93" s="10235"/>
      <c r="P93" s="10238"/>
      <c r="Q93" s="10238"/>
      <c r="R93" s="10244"/>
      <c r="S93" s="2362" t="s">
        <v>81</v>
      </c>
      <c r="T93" s="2363">
        <v>840104</v>
      </c>
      <c r="U93" s="2321"/>
      <c r="V93" s="2372" t="s">
        <v>39</v>
      </c>
      <c r="W93" s="2357"/>
      <c r="X93" s="2298"/>
      <c r="Y93" s="2299"/>
      <c r="Z93" s="2299"/>
      <c r="AA93" s="2299"/>
      <c r="AB93" s="2300">
        <f>SUM(AA94:AA95)</f>
        <v>17858.600000000002</v>
      </c>
      <c r="AC93" s="2301" t="s">
        <v>18</v>
      </c>
      <c r="AD93" s="2302"/>
      <c r="AE93" s="2290"/>
      <c r="AF93" s="2295"/>
      <c r="AG93" s="2295"/>
      <c r="AH93" s="10300"/>
      <c r="AI93" s="2285"/>
    </row>
    <row r="94" spans="1:35" ht="18" customHeight="1">
      <c r="A94" s="10306"/>
      <c r="B94" s="10272"/>
      <c r="C94" s="10256"/>
      <c r="D94" s="10238"/>
      <c r="E94" s="10238"/>
      <c r="F94" s="10238"/>
      <c r="G94" s="10238"/>
      <c r="H94" s="10238"/>
      <c r="I94" s="10238"/>
      <c r="J94" s="10238"/>
      <c r="K94" s="10238"/>
      <c r="L94" s="10238"/>
      <c r="M94" s="10235"/>
      <c r="N94" s="10235"/>
      <c r="O94" s="10235"/>
      <c r="P94" s="10238"/>
      <c r="Q94" s="10238"/>
      <c r="R94" s="10244"/>
      <c r="S94" s="2362"/>
      <c r="T94" s="2363"/>
      <c r="U94" s="2321"/>
      <c r="V94" s="2356" t="s">
        <v>2740</v>
      </c>
      <c r="W94" s="2357">
        <v>1</v>
      </c>
      <c r="X94" s="2298" t="s">
        <v>1288</v>
      </c>
      <c r="Y94" s="2299">
        <v>4740</v>
      </c>
      <c r="Z94" s="2299">
        <f>W94*Y94</f>
        <v>4740</v>
      </c>
      <c r="AA94" s="2299">
        <f>+Z94*1.12</f>
        <v>5308.8</v>
      </c>
      <c r="AB94" s="2300"/>
      <c r="AC94" s="2301"/>
      <c r="AD94" s="2302"/>
      <c r="AE94" s="2290"/>
      <c r="AF94" s="2295" t="s">
        <v>153</v>
      </c>
      <c r="AG94" s="2295"/>
      <c r="AH94" s="10300"/>
      <c r="AI94" s="2285"/>
    </row>
    <row r="95" spans="1:35" ht="18" customHeight="1">
      <c r="A95" s="10306"/>
      <c r="B95" s="10272"/>
      <c r="C95" s="10256"/>
      <c r="D95" s="10238"/>
      <c r="E95" s="10238"/>
      <c r="F95" s="10238"/>
      <c r="G95" s="10238"/>
      <c r="H95" s="10238"/>
      <c r="I95" s="10238"/>
      <c r="J95" s="10238"/>
      <c r="K95" s="10238"/>
      <c r="L95" s="10238"/>
      <c r="M95" s="10235"/>
      <c r="N95" s="10235"/>
      <c r="O95" s="10235"/>
      <c r="P95" s="10238"/>
      <c r="Q95" s="10238"/>
      <c r="R95" s="10244"/>
      <c r="S95" s="2362"/>
      <c r="T95" s="2363"/>
      <c r="U95" s="3519">
        <v>473130013</v>
      </c>
      <c r="V95" s="2369" t="s">
        <v>2741</v>
      </c>
      <c r="W95" s="2357">
        <v>16</v>
      </c>
      <c r="X95" s="2347" t="s">
        <v>180</v>
      </c>
      <c r="Y95" s="2299">
        <v>700</v>
      </c>
      <c r="Z95" s="2299">
        <f>W95*Y95</f>
        <v>11200</v>
      </c>
      <c r="AA95" s="2299">
        <f>+Z95*1.12+5.8</f>
        <v>12549.800000000001</v>
      </c>
      <c r="AB95" s="2300"/>
      <c r="AC95" s="2301"/>
      <c r="AD95" s="2302"/>
      <c r="AE95" s="2290"/>
      <c r="AF95" s="2804" t="s">
        <v>153</v>
      </c>
      <c r="AG95" s="2295"/>
      <c r="AH95" s="10300"/>
      <c r="AI95" s="2285"/>
    </row>
    <row r="96" spans="1:35" ht="24" customHeight="1">
      <c r="A96" s="10306"/>
      <c r="B96" s="10272"/>
      <c r="C96" s="10256"/>
      <c r="D96" s="10238"/>
      <c r="E96" s="10238"/>
      <c r="F96" s="10238"/>
      <c r="G96" s="10238"/>
      <c r="H96" s="10238"/>
      <c r="I96" s="10238"/>
      <c r="J96" s="10238"/>
      <c r="K96" s="10238"/>
      <c r="L96" s="10238"/>
      <c r="M96" s="10235"/>
      <c r="N96" s="10235"/>
      <c r="O96" s="10235"/>
      <c r="P96" s="10238"/>
      <c r="Q96" s="10238"/>
      <c r="R96" s="10244"/>
      <c r="S96" s="2362" t="s">
        <v>80</v>
      </c>
      <c r="T96" s="2363">
        <v>840104</v>
      </c>
      <c r="U96" s="2321"/>
      <c r="V96" s="2372" t="s">
        <v>39</v>
      </c>
      <c r="W96" s="2357"/>
      <c r="X96" s="2298"/>
      <c r="Y96" s="7807"/>
      <c r="Z96" s="7807"/>
      <c r="AA96" s="7807"/>
      <c r="AB96" s="7808">
        <f>SUM(AA97)</f>
        <v>9325.25</v>
      </c>
      <c r="AC96" s="2301" t="s">
        <v>26</v>
      </c>
      <c r="AD96" s="2302"/>
      <c r="AE96" s="2290"/>
      <c r="AF96" s="2295"/>
      <c r="AG96" s="2295"/>
      <c r="AH96" s="10300"/>
      <c r="AI96" s="2285"/>
    </row>
    <row r="97" spans="1:35" ht="18" customHeight="1">
      <c r="A97" s="10306"/>
      <c r="B97" s="10272"/>
      <c r="C97" s="10256"/>
      <c r="D97" s="10238"/>
      <c r="E97" s="10238"/>
      <c r="F97" s="10238"/>
      <c r="G97" s="10238"/>
      <c r="H97" s="10238"/>
      <c r="I97" s="10238"/>
      <c r="J97" s="10238"/>
      <c r="K97" s="10238"/>
      <c r="L97" s="10238"/>
      <c r="M97" s="10235"/>
      <c r="N97" s="10235"/>
      <c r="O97" s="10235"/>
      <c r="P97" s="10238"/>
      <c r="Q97" s="10238"/>
      <c r="R97" s="10244"/>
      <c r="S97" s="2362"/>
      <c r="T97" s="2363"/>
      <c r="U97" s="2321"/>
      <c r="V97" s="2356" t="s">
        <v>2740</v>
      </c>
      <c r="W97" s="2357">
        <v>1</v>
      </c>
      <c r="X97" s="2298" t="s">
        <v>1288</v>
      </c>
      <c r="Y97" s="7807">
        <f>7645.25+1680</f>
        <v>9325.25</v>
      </c>
      <c r="Z97" s="7807">
        <f>W97*Y97</f>
        <v>9325.25</v>
      </c>
      <c r="AA97" s="7807">
        <f>Z97</f>
        <v>9325.25</v>
      </c>
      <c r="AB97" s="7808"/>
      <c r="AC97" s="2301"/>
      <c r="AD97" s="2302"/>
      <c r="AE97" s="2290"/>
      <c r="AF97" s="2295" t="s">
        <v>153</v>
      </c>
      <c r="AG97" s="2295"/>
      <c r="AH97" s="10300"/>
      <c r="AI97" s="2285"/>
    </row>
    <row r="98" spans="1:35" ht="24" customHeight="1">
      <c r="A98" s="10306"/>
      <c r="B98" s="10272"/>
      <c r="C98" s="10256"/>
      <c r="D98" s="10238"/>
      <c r="E98" s="10238"/>
      <c r="F98" s="10238"/>
      <c r="G98" s="10238"/>
      <c r="H98" s="10238"/>
      <c r="I98" s="10238"/>
      <c r="J98" s="10238"/>
      <c r="K98" s="10238"/>
      <c r="L98" s="10238"/>
      <c r="M98" s="10235"/>
      <c r="N98" s="10235"/>
      <c r="O98" s="10235"/>
      <c r="P98" s="10238"/>
      <c r="Q98" s="10238"/>
      <c r="R98" s="10244"/>
      <c r="S98" s="2362" t="s">
        <v>80</v>
      </c>
      <c r="T98" s="2363">
        <v>840104</v>
      </c>
      <c r="U98" s="2321"/>
      <c r="V98" s="2372" t="s">
        <v>39</v>
      </c>
      <c r="W98" s="2357"/>
      <c r="X98" s="2298"/>
      <c r="Y98" s="2299"/>
      <c r="Z98" s="2299"/>
      <c r="AA98" s="2299"/>
      <c r="AB98" s="2300">
        <f>SUM(AA99)</f>
        <v>8692.2528000000002</v>
      </c>
      <c r="AC98" s="2301" t="s">
        <v>25</v>
      </c>
      <c r="AD98" s="2302"/>
      <c r="AE98" s="2290"/>
      <c r="AF98" s="2295"/>
      <c r="AG98" s="2295"/>
      <c r="AH98" s="10300"/>
      <c r="AI98" s="2285"/>
    </row>
    <row r="99" spans="1:35" ht="33.75" customHeight="1">
      <c r="A99" s="10306"/>
      <c r="B99" s="10272"/>
      <c r="C99" s="10256"/>
      <c r="D99" s="10238"/>
      <c r="E99" s="10238"/>
      <c r="F99" s="10238"/>
      <c r="G99" s="10238"/>
      <c r="H99" s="10238"/>
      <c r="I99" s="10238"/>
      <c r="J99" s="10238"/>
      <c r="K99" s="10238"/>
      <c r="L99" s="10238"/>
      <c r="M99" s="10235"/>
      <c r="N99" s="10235"/>
      <c r="O99" s="10235"/>
      <c r="P99" s="10238"/>
      <c r="Q99" s="10238"/>
      <c r="R99" s="10244"/>
      <c r="S99" s="2362"/>
      <c r="T99" s="2363"/>
      <c r="U99" s="2321"/>
      <c r="V99" s="2356" t="s">
        <v>2740</v>
      </c>
      <c r="W99" s="2357">
        <v>1</v>
      </c>
      <c r="X99" s="2298" t="s">
        <v>1288</v>
      </c>
      <c r="Y99" s="2299">
        <v>7760.94</v>
      </c>
      <c r="Z99" s="2299">
        <f>W99*Y99</f>
        <v>7760.94</v>
      </c>
      <c r="AA99" s="2299">
        <f>+Z99*1.12</f>
        <v>8692.2528000000002</v>
      </c>
      <c r="AB99" s="2300"/>
      <c r="AC99" s="2301"/>
      <c r="AD99" s="2302"/>
      <c r="AE99" s="2290"/>
      <c r="AF99" s="2295" t="s">
        <v>153</v>
      </c>
      <c r="AG99" s="2295"/>
      <c r="AH99" s="10300"/>
      <c r="AI99" s="2285"/>
    </row>
    <row r="100" spans="1:35" ht="24" customHeight="1">
      <c r="A100" s="10306"/>
      <c r="B100" s="10272"/>
      <c r="C100" s="10256"/>
      <c r="D100" s="10238"/>
      <c r="E100" s="10238"/>
      <c r="F100" s="10238"/>
      <c r="G100" s="10238"/>
      <c r="H100" s="10238"/>
      <c r="I100" s="10238"/>
      <c r="J100" s="10238"/>
      <c r="K100" s="10238"/>
      <c r="L100" s="10238"/>
      <c r="M100" s="10235"/>
      <c r="N100" s="10235"/>
      <c r="O100" s="10235"/>
      <c r="P100" s="10238"/>
      <c r="Q100" s="10238"/>
      <c r="R100" s="10244"/>
      <c r="S100" s="2358" t="s">
        <v>80</v>
      </c>
      <c r="T100" s="2296">
        <v>840104</v>
      </c>
      <c r="U100" s="2287"/>
      <c r="V100" s="2297" t="s">
        <v>39</v>
      </c>
      <c r="W100" s="2289"/>
      <c r="X100" s="2290"/>
      <c r="Y100" s="2291"/>
      <c r="Z100" s="2407"/>
      <c r="AA100" s="2407"/>
      <c r="AB100" s="2292">
        <f>AA101</f>
        <v>24677.5</v>
      </c>
      <c r="AC100" s="2293" t="s">
        <v>763</v>
      </c>
      <c r="AD100" s="2294"/>
      <c r="AE100" s="2290"/>
      <c r="AF100" s="2295"/>
      <c r="AG100" s="2295"/>
      <c r="AH100" s="10300"/>
      <c r="AI100" s="2285"/>
    </row>
    <row r="101" spans="1:35" ht="29.25" customHeight="1">
      <c r="A101" s="10306"/>
      <c r="B101" s="10272"/>
      <c r="C101" s="10256"/>
      <c r="D101" s="10238"/>
      <c r="E101" s="10238"/>
      <c r="F101" s="10238"/>
      <c r="G101" s="10238"/>
      <c r="H101" s="10238"/>
      <c r="I101" s="10238"/>
      <c r="J101" s="10238"/>
      <c r="K101" s="10238"/>
      <c r="L101" s="10238"/>
      <c r="M101" s="10235"/>
      <c r="N101" s="10235"/>
      <c r="O101" s="10235"/>
      <c r="P101" s="10238"/>
      <c r="Q101" s="10238"/>
      <c r="R101" s="10244"/>
      <c r="S101" s="2358"/>
      <c r="T101" s="2296"/>
      <c r="U101" s="2287"/>
      <c r="V101" s="2288" t="s">
        <v>2740</v>
      </c>
      <c r="W101" s="2289">
        <v>1</v>
      </c>
      <c r="X101" s="2290" t="s">
        <v>1288</v>
      </c>
      <c r="Y101" s="2291">
        <v>24677.5</v>
      </c>
      <c r="Z101" s="2299">
        <f>Y101</f>
        <v>24677.5</v>
      </c>
      <c r="AA101" s="2299">
        <f>Z101</f>
        <v>24677.5</v>
      </c>
      <c r="AB101" s="2292"/>
      <c r="AC101" s="2293"/>
      <c r="AD101" s="2294"/>
      <c r="AE101" s="2805" t="s">
        <v>153</v>
      </c>
      <c r="AF101" s="2295"/>
      <c r="AG101" s="2295"/>
      <c r="AH101" s="10300"/>
      <c r="AI101" s="2285"/>
    </row>
    <row r="102" spans="1:35" ht="25.5">
      <c r="A102" s="10306"/>
      <c r="B102" s="10272"/>
      <c r="C102" s="10256"/>
      <c r="D102" s="10238"/>
      <c r="E102" s="10238"/>
      <c r="F102" s="10238"/>
      <c r="G102" s="10238"/>
      <c r="H102" s="10238"/>
      <c r="I102" s="10238"/>
      <c r="J102" s="10238"/>
      <c r="K102" s="10238"/>
      <c r="L102" s="10238"/>
      <c r="M102" s="10235"/>
      <c r="N102" s="10235"/>
      <c r="O102" s="10235"/>
      <c r="P102" s="10238"/>
      <c r="Q102" s="10238"/>
      <c r="R102" s="10244"/>
      <c r="S102" s="2373" t="s">
        <v>80</v>
      </c>
      <c r="T102" s="2296" t="s">
        <v>2702</v>
      </c>
      <c r="U102" s="2296"/>
      <c r="V102" s="2297" t="s">
        <v>2742</v>
      </c>
      <c r="W102" s="2357"/>
      <c r="X102" s="2298"/>
      <c r="Y102" s="2299"/>
      <c r="Z102" s="2299"/>
      <c r="AA102" s="2299"/>
      <c r="AB102" s="3332">
        <f>SUM(AA103:AA103)</f>
        <v>316079.06400000007</v>
      </c>
      <c r="AC102" s="3365" t="s">
        <v>673</v>
      </c>
      <c r="AD102" s="2302"/>
      <c r="AE102" s="2298"/>
      <c r="AF102" s="2348"/>
      <c r="AG102" s="2374"/>
      <c r="AH102" s="10300"/>
      <c r="AI102" s="2285"/>
    </row>
    <row r="103" spans="1:35" ht="82.5" customHeight="1">
      <c r="A103" s="10306"/>
      <c r="B103" s="10272"/>
      <c r="C103" s="10256"/>
      <c r="D103" s="10238"/>
      <c r="E103" s="10238"/>
      <c r="F103" s="10238"/>
      <c r="G103" s="10238"/>
      <c r="H103" s="10238"/>
      <c r="I103" s="10238"/>
      <c r="J103" s="10238"/>
      <c r="K103" s="10238"/>
      <c r="L103" s="10238"/>
      <c r="M103" s="10235"/>
      <c r="N103" s="10235"/>
      <c r="O103" s="10235"/>
      <c r="P103" s="10238"/>
      <c r="Q103" s="10238"/>
      <c r="R103" s="10244"/>
      <c r="S103" s="2366"/>
      <c r="T103" s="2287"/>
      <c r="U103" s="3308" t="s">
        <v>2743</v>
      </c>
      <c r="V103" s="3309" t="s">
        <v>2744</v>
      </c>
      <c r="W103" s="3310">
        <v>1</v>
      </c>
      <c r="X103" s="3311" t="s">
        <v>180</v>
      </c>
      <c r="Y103" s="3312">
        <f>370463.45-(98840/1.12)</f>
        <v>282213.45</v>
      </c>
      <c r="Z103" s="3312">
        <f>+W103*Y103</f>
        <v>282213.45</v>
      </c>
      <c r="AA103" s="3312">
        <f>+Z103*1.12</f>
        <v>316079.06400000007</v>
      </c>
      <c r="AB103" s="2300"/>
      <c r="AC103" s="2301"/>
      <c r="AD103" s="2302"/>
      <c r="AE103" s="2298"/>
      <c r="AF103" s="2348"/>
      <c r="AG103" s="2374" t="s">
        <v>153</v>
      </c>
      <c r="AH103" s="10300"/>
      <c r="AI103" s="2285"/>
    </row>
    <row r="104" spans="1:35" ht="28.5" customHeight="1">
      <c r="A104" s="10306"/>
      <c r="B104" s="10272"/>
      <c r="C104" s="10256"/>
      <c r="D104" s="10238"/>
      <c r="E104" s="10238"/>
      <c r="F104" s="10238"/>
      <c r="G104" s="10238"/>
      <c r="H104" s="10238"/>
      <c r="I104" s="10238"/>
      <c r="J104" s="10238"/>
      <c r="K104" s="10238"/>
      <c r="L104" s="10238"/>
      <c r="M104" s="10235"/>
      <c r="N104" s="10235"/>
      <c r="O104" s="10235"/>
      <c r="P104" s="10238"/>
      <c r="Q104" s="10238"/>
      <c r="R104" s="10244"/>
      <c r="S104" s="2373" t="s">
        <v>80</v>
      </c>
      <c r="T104" s="2363">
        <v>530105</v>
      </c>
      <c r="U104" s="2363"/>
      <c r="V104" s="2297" t="s">
        <v>881</v>
      </c>
      <c r="W104" s="2375"/>
      <c r="X104" s="2376"/>
      <c r="Y104" s="2300"/>
      <c r="Z104" s="2300"/>
      <c r="AA104" s="2300"/>
      <c r="AB104" s="2300">
        <f>SUM(AA105:AA105)</f>
        <v>8609.1600000000017</v>
      </c>
      <c r="AC104" s="2301" t="s">
        <v>25</v>
      </c>
      <c r="AD104" s="2377"/>
      <c r="AE104" s="2378"/>
      <c r="AF104" s="2374"/>
      <c r="AG104" s="2374"/>
      <c r="AH104" s="10300"/>
      <c r="AI104" s="2285"/>
    </row>
    <row r="105" spans="1:35" ht="28.5" customHeight="1">
      <c r="A105" s="10306"/>
      <c r="B105" s="10272"/>
      <c r="C105" s="10256"/>
      <c r="D105" s="10238"/>
      <c r="E105" s="10238"/>
      <c r="F105" s="10238"/>
      <c r="G105" s="10238"/>
      <c r="H105" s="10238"/>
      <c r="I105" s="10238"/>
      <c r="J105" s="10238"/>
      <c r="K105" s="10238"/>
      <c r="L105" s="10238"/>
      <c r="M105" s="10235"/>
      <c r="N105" s="10235"/>
      <c r="O105" s="10235"/>
      <c r="P105" s="10238"/>
      <c r="Q105" s="10238"/>
      <c r="R105" s="10244"/>
      <c r="S105" s="2366"/>
      <c r="T105" s="2321"/>
      <c r="U105" s="2321"/>
      <c r="V105" s="2288" t="s">
        <v>2745</v>
      </c>
      <c r="W105" s="2357">
        <v>1</v>
      </c>
      <c r="X105" s="2379" t="s">
        <v>1288</v>
      </c>
      <c r="Y105" s="2380">
        <v>7686.75</v>
      </c>
      <c r="Z105" s="2380">
        <f>+W105*Y105</f>
        <v>7686.75</v>
      </c>
      <c r="AA105" s="2299">
        <f>+Z105*1.12</f>
        <v>8609.1600000000017</v>
      </c>
      <c r="AB105" s="2300"/>
      <c r="AC105" s="2301"/>
      <c r="AD105" s="2377"/>
      <c r="AE105" s="2378" t="s">
        <v>153</v>
      </c>
      <c r="AF105" s="2374"/>
      <c r="AG105" s="2374"/>
      <c r="AH105" s="10300"/>
      <c r="AI105" s="2285"/>
    </row>
    <row r="106" spans="1:35" ht="28.5" customHeight="1">
      <c r="A106" s="10306"/>
      <c r="B106" s="10272"/>
      <c r="C106" s="10256"/>
      <c r="D106" s="10238"/>
      <c r="E106" s="10238"/>
      <c r="F106" s="10238"/>
      <c r="G106" s="10238"/>
      <c r="H106" s="10238"/>
      <c r="I106" s="10238"/>
      <c r="J106" s="10238"/>
      <c r="K106" s="10238"/>
      <c r="L106" s="10238"/>
      <c r="M106" s="10235"/>
      <c r="N106" s="10235"/>
      <c r="O106" s="10235"/>
      <c r="P106" s="10238"/>
      <c r="Q106" s="10238"/>
      <c r="R106" s="10244"/>
      <c r="S106" s="2373" t="s">
        <v>80</v>
      </c>
      <c r="T106" s="2363">
        <v>530105</v>
      </c>
      <c r="U106" s="2321"/>
      <c r="V106" s="2297" t="s">
        <v>881</v>
      </c>
      <c r="W106" s="2357"/>
      <c r="X106" s="2298"/>
      <c r="Y106" s="2299"/>
      <c r="Z106" s="2299"/>
      <c r="AA106" s="2299"/>
      <c r="AB106" s="2300">
        <f>SUM($AA$107:$AA$108)</f>
        <v>274409.23079999996</v>
      </c>
      <c r="AC106" s="2301" t="s">
        <v>25</v>
      </c>
      <c r="AD106" s="2377"/>
      <c r="AE106" s="2378"/>
      <c r="AF106" s="2374"/>
      <c r="AG106" s="2374"/>
      <c r="AH106" s="10300"/>
      <c r="AI106" s="2285"/>
    </row>
    <row r="107" spans="1:35" ht="28.5" customHeight="1">
      <c r="A107" s="10306"/>
      <c r="B107" s="10272"/>
      <c r="C107" s="10256"/>
      <c r="D107" s="10238"/>
      <c r="E107" s="10238"/>
      <c r="F107" s="10238"/>
      <c r="G107" s="10238"/>
      <c r="H107" s="10238"/>
      <c r="I107" s="10238"/>
      <c r="J107" s="10238"/>
      <c r="K107" s="10238"/>
      <c r="L107" s="10238"/>
      <c r="M107" s="10235"/>
      <c r="N107" s="10235"/>
      <c r="O107" s="10235"/>
      <c r="P107" s="10238"/>
      <c r="Q107" s="10238"/>
      <c r="R107" s="10244"/>
      <c r="S107" s="2366"/>
      <c r="T107" s="2321"/>
      <c r="U107" s="2321">
        <v>842900012</v>
      </c>
      <c r="V107" s="2288" t="s">
        <v>2746</v>
      </c>
      <c r="W107" s="2357">
        <v>1</v>
      </c>
      <c r="X107" s="2368" t="s">
        <v>152</v>
      </c>
      <c r="Y107" s="2299">
        <f>(214690.66+0.63)/1.12</f>
        <v>191688.65178571426</v>
      </c>
      <c r="Z107" s="2380">
        <f>+W107*Y107</f>
        <v>191688.65178571426</v>
      </c>
      <c r="AA107" s="2299">
        <f>+Z107*1.12</f>
        <v>214691.28999999998</v>
      </c>
      <c r="AB107" s="2300"/>
      <c r="AC107" s="2301"/>
      <c r="AD107" s="2377"/>
      <c r="AE107" s="2378" t="s">
        <v>153</v>
      </c>
      <c r="AF107" s="2374" t="s">
        <v>153</v>
      </c>
      <c r="AG107" s="2374" t="s">
        <v>153</v>
      </c>
      <c r="AH107" s="10300"/>
      <c r="AI107" s="2285"/>
    </row>
    <row r="108" spans="1:35" ht="18" customHeight="1">
      <c r="A108" s="10306"/>
      <c r="B108" s="10272"/>
      <c r="C108" s="10257"/>
      <c r="D108" s="10239"/>
      <c r="E108" s="10239"/>
      <c r="F108" s="10239"/>
      <c r="G108" s="10239"/>
      <c r="H108" s="10239"/>
      <c r="I108" s="10239"/>
      <c r="J108" s="10239"/>
      <c r="K108" s="10239"/>
      <c r="L108" s="10239"/>
      <c r="M108" s="10236"/>
      <c r="N108" s="10236"/>
      <c r="O108" s="10236"/>
      <c r="P108" s="10239"/>
      <c r="Q108" s="10239"/>
      <c r="R108" s="10245"/>
      <c r="S108" s="2366"/>
      <c r="T108" s="2321"/>
      <c r="U108" s="2321">
        <v>842900012</v>
      </c>
      <c r="V108" s="2288" t="s">
        <v>2747</v>
      </c>
      <c r="W108" s="2357">
        <v>1</v>
      </c>
      <c r="X108" s="2379" t="s">
        <v>1288</v>
      </c>
      <c r="Y108" s="2380">
        <v>53319.59</v>
      </c>
      <c r="Z108" s="2380">
        <f>+W108*Y108</f>
        <v>53319.59</v>
      </c>
      <c r="AA108" s="2380">
        <f>+Z108*1.12</f>
        <v>59717.940800000004</v>
      </c>
      <c r="AB108" s="2300"/>
      <c r="AC108" s="2301"/>
      <c r="AD108" s="2377"/>
      <c r="AE108" s="2290"/>
      <c r="AF108" s="2295" t="s">
        <v>153</v>
      </c>
      <c r="AG108" s="2295"/>
      <c r="AH108" s="10301"/>
      <c r="AI108" s="2285"/>
    </row>
    <row r="109" spans="1:35" ht="25.5" customHeight="1">
      <c r="A109" s="10306"/>
      <c r="B109" s="10272"/>
      <c r="C109" s="10255" t="s">
        <v>127</v>
      </c>
      <c r="D109" s="10242" t="s">
        <v>128</v>
      </c>
      <c r="E109" s="10242" t="s">
        <v>129</v>
      </c>
      <c r="F109" s="10242" t="s">
        <v>336</v>
      </c>
      <c r="G109" s="10258" t="s">
        <v>131</v>
      </c>
      <c r="H109" s="10242" t="s">
        <v>132</v>
      </c>
      <c r="I109" s="10242" t="s">
        <v>159</v>
      </c>
      <c r="J109" s="10269" t="s">
        <v>2748</v>
      </c>
      <c r="K109" s="10242" t="s">
        <v>286</v>
      </c>
      <c r="L109" s="10242" t="s">
        <v>2749</v>
      </c>
      <c r="M109" s="10283">
        <v>0</v>
      </c>
      <c r="N109" s="10240">
        <v>1</v>
      </c>
      <c r="O109" s="10240">
        <v>1</v>
      </c>
      <c r="P109" s="10242" t="s">
        <v>2750</v>
      </c>
      <c r="Q109" s="10242" t="s">
        <v>2751</v>
      </c>
      <c r="R109" s="10243" t="s">
        <v>2752</v>
      </c>
      <c r="S109" s="2381"/>
      <c r="T109" s="2314"/>
      <c r="U109" s="2382"/>
      <c r="V109" s="2383"/>
      <c r="W109" s="2354"/>
      <c r="X109" s="2384"/>
      <c r="Y109" s="2385"/>
      <c r="Z109" s="2385"/>
      <c r="AA109" s="2385"/>
      <c r="AB109" s="2386"/>
      <c r="AC109" s="2387"/>
      <c r="AD109" s="2388"/>
      <c r="AE109" s="2389"/>
      <c r="AF109" s="2390"/>
      <c r="AG109" s="2390"/>
      <c r="AH109" s="10246"/>
      <c r="AI109" s="2285"/>
    </row>
    <row r="110" spans="1:35" ht="25.5" customHeight="1">
      <c r="A110" s="10306"/>
      <c r="B110" s="10272"/>
      <c r="C110" s="10256"/>
      <c r="D110" s="10238"/>
      <c r="E110" s="10238"/>
      <c r="F110" s="10238"/>
      <c r="G110" s="10238"/>
      <c r="H110" s="10238"/>
      <c r="I110" s="10238"/>
      <c r="J110" s="10238"/>
      <c r="K110" s="10238"/>
      <c r="L110" s="10238"/>
      <c r="M110" s="10235"/>
      <c r="N110" s="10235"/>
      <c r="O110" s="10235"/>
      <c r="P110" s="10238"/>
      <c r="Q110" s="10238"/>
      <c r="R110" s="10244"/>
      <c r="S110" s="2366"/>
      <c r="T110" s="2321"/>
      <c r="U110" s="2321"/>
      <c r="V110" s="2356"/>
      <c r="W110" s="2357"/>
      <c r="X110" s="2379"/>
      <c r="Y110" s="2380"/>
      <c r="Z110" s="2380"/>
      <c r="AA110" s="2380"/>
      <c r="AB110" s="2391"/>
      <c r="AC110" s="2392"/>
      <c r="AD110" s="2294"/>
      <c r="AE110" s="2290"/>
      <c r="AF110" s="2295"/>
      <c r="AG110" s="2295"/>
      <c r="AH110" s="10247"/>
      <c r="AI110" s="2285"/>
    </row>
    <row r="111" spans="1:35" ht="25.5" customHeight="1">
      <c r="A111" s="10306"/>
      <c r="B111" s="10272"/>
      <c r="C111" s="10256"/>
      <c r="D111" s="10238"/>
      <c r="E111" s="10238"/>
      <c r="F111" s="10238"/>
      <c r="G111" s="10238"/>
      <c r="H111" s="10238"/>
      <c r="I111" s="10238"/>
      <c r="J111" s="10238"/>
      <c r="K111" s="10238"/>
      <c r="L111" s="10238"/>
      <c r="M111" s="10235"/>
      <c r="N111" s="10235"/>
      <c r="O111" s="10235"/>
      <c r="P111" s="10238"/>
      <c r="Q111" s="10238"/>
      <c r="R111" s="10244"/>
      <c r="S111" s="2366"/>
      <c r="T111" s="2321"/>
      <c r="U111" s="2321"/>
      <c r="V111" s="2356"/>
      <c r="W111" s="2357"/>
      <c r="X111" s="2379"/>
      <c r="Y111" s="2380"/>
      <c r="Z111" s="2380"/>
      <c r="AA111" s="2380"/>
      <c r="AB111" s="2391"/>
      <c r="AC111" s="2392"/>
      <c r="AD111" s="2294"/>
      <c r="AE111" s="2290"/>
      <c r="AF111" s="2295"/>
      <c r="AG111" s="2295"/>
      <c r="AH111" s="10247"/>
      <c r="AI111" s="2285"/>
    </row>
    <row r="112" spans="1:35" ht="25.5" customHeight="1">
      <c r="A112" s="10306"/>
      <c r="B112" s="10272"/>
      <c r="C112" s="10256"/>
      <c r="D112" s="10238"/>
      <c r="E112" s="10238"/>
      <c r="F112" s="10238"/>
      <c r="G112" s="10238"/>
      <c r="H112" s="10238"/>
      <c r="I112" s="10238"/>
      <c r="J112" s="10238"/>
      <c r="K112" s="10238"/>
      <c r="L112" s="10238"/>
      <c r="M112" s="10235"/>
      <c r="N112" s="10235"/>
      <c r="O112" s="10235"/>
      <c r="P112" s="10238"/>
      <c r="Q112" s="10238"/>
      <c r="R112" s="10244"/>
      <c r="S112" s="2286"/>
      <c r="T112" s="2321"/>
      <c r="U112" s="2321"/>
      <c r="V112" s="2288"/>
      <c r="W112" s="2289"/>
      <c r="X112" s="2290"/>
      <c r="Y112" s="2291"/>
      <c r="Z112" s="2291"/>
      <c r="AA112" s="2291"/>
      <c r="AB112" s="2292"/>
      <c r="AC112" s="2293"/>
      <c r="AD112" s="2294"/>
      <c r="AE112" s="2290"/>
      <c r="AF112" s="2295"/>
      <c r="AG112" s="2295"/>
      <c r="AH112" s="10247"/>
      <c r="AI112" s="2285"/>
    </row>
    <row r="113" spans="1:35" ht="25.5" customHeight="1">
      <c r="A113" s="10306"/>
      <c r="B113" s="10272"/>
      <c r="C113" s="10257"/>
      <c r="D113" s="10239"/>
      <c r="E113" s="10239"/>
      <c r="F113" s="10239"/>
      <c r="G113" s="10239"/>
      <c r="H113" s="10239"/>
      <c r="I113" s="10239"/>
      <c r="J113" s="10239"/>
      <c r="K113" s="10239"/>
      <c r="L113" s="10239"/>
      <c r="M113" s="10236"/>
      <c r="N113" s="10236"/>
      <c r="O113" s="10236"/>
      <c r="P113" s="10239"/>
      <c r="Q113" s="10239"/>
      <c r="R113" s="10245"/>
      <c r="S113" s="2323"/>
      <c r="T113" s="2359"/>
      <c r="U113" s="2359"/>
      <c r="V113" s="2325"/>
      <c r="W113" s="2326"/>
      <c r="X113" s="2332"/>
      <c r="Y113" s="2393"/>
      <c r="Z113" s="2393"/>
      <c r="AA113" s="2393"/>
      <c r="AB113" s="2394"/>
      <c r="AC113" s="2395"/>
      <c r="AD113" s="2396"/>
      <c r="AE113" s="2332"/>
      <c r="AF113" s="2333"/>
      <c r="AG113" s="2333"/>
      <c r="AH113" s="10248"/>
      <c r="AI113" s="2285"/>
    </row>
    <row r="114" spans="1:35" ht="25.5" customHeight="1">
      <c r="A114" s="10306"/>
      <c r="B114" s="10272"/>
      <c r="C114" s="10263" t="s">
        <v>127</v>
      </c>
      <c r="D114" s="10237" t="s">
        <v>128</v>
      </c>
      <c r="E114" s="10237" t="s">
        <v>129</v>
      </c>
      <c r="F114" s="10237" t="s">
        <v>336</v>
      </c>
      <c r="G114" s="10264" t="s">
        <v>131</v>
      </c>
      <c r="H114" s="10237" t="s">
        <v>132</v>
      </c>
      <c r="I114" s="10237" t="s">
        <v>159</v>
      </c>
      <c r="J114" s="10266" t="s">
        <v>2753</v>
      </c>
      <c r="K114" s="10237" t="s">
        <v>2754</v>
      </c>
      <c r="L114" s="10237" t="s">
        <v>2755</v>
      </c>
      <c r="M114" s="10234">
        <v>1</v>
      </c>
      <c r="N114" s="10234">
        <v>1</v>
      </c>
      <c r="O114" s="10234">
        <v>1</v>
      </c>
      <c r="P114" s="10296" t="s">
        <v>2756</v>
      </c>
      <c r="Q114" s="10237" t="s">
        <v>2757</v>
      </c>
      <c r="R114" s="10259" t="s">
        <v>2643</v>
      </c>
      <c r="S114" s="2340"/>
      <c r="T114" s="2314"/>
      <c r="U114" s="2314"/>
      <c r="V114" s="2341"/>
      <c r="W114" s="6187"/>
      <c r="X114" s="2414"/>
      <c r="Y114" s="2489"/>
      <c r="Z114" s="2489"/>
      <c r="AA114" s="2489"/>
      <c r="AB114" s="2490"/>
      <c r="AC114" s="2417"/>
      <c r="AD114" s="2418"/>
      <c r="AE114" s="2414"/>
      <c r="AF114" s="2342"/>
      <c r="AG114" s="2342"/>
      <c r="AH114" s="10261"/>
      <c r="AI114" s="2285"/>
    </row>
    <row r="115" spans="1:35" ht="25.5" customHeight="1">
      <c r="A115" s="10306"/>
      <c r="B115" s="10272"/>
      <c r="C115" s="10256"/>
      <c r="D115" s="10238"/>
      <c r="E115" s="10238"/>
      <c r="F115" s="10238"/>
      <c r="G115" s="10238"/>
      <c r="H115" s="10238"/>
      <c r="I115" s="10238"/>
      <c r="J115" s="10238"/>
      <c r="K115" s="10238"/>
      <c r="L115" s="10238"/>
      <c r="M115" s="10235"/>
      <c r="N115" s="10235"/>
      <c r="O115" s="10235"/>
      <c r="P115" s="10238"/>
      <c r="Q115" s="10238"/>
      <c r="R115" s="10244"/>
      <c r="S115" s="2286"/>
      <c r="T115" s="2321"/>
      <c r="U115" s="2321"/>
      <c r="V115" s="2288"/>
      <c r="W115" s="2289"/>
      <c r="X115" s="2290"/>
      <c r="Y115" s="2291"/>
      <c r="Z115" s="2291"/>
      <c r="AA115" s="2291"/>
      <c r="AB115" s="2292"/>
      <c r="AC115" s="2293"/>
      <c r="AD115" s="2294"/>
      <c r="AE115" s="2290"/>
      <c r="AF115" s="2295"/>
      <c r="AG115" s="2295"/>
      <c r="AH115" s="10247"/>
      <c r="AI115" s="2285"/>
    </row>
    <row r="116" spans="1:35" ht="25.5" customHeight="1">
      <c r="A116" s="10306"/>
      <c r="B116" s="10272"/>
      <c r="C116" s="10256"/>
      <c r="D116" s="10238"/>
      <c r="E116" s="10238"/>
      <c r="F116" s="10238"/>
      <c r="G116" s="10238"/>
      <c r="H116" s="10238"/>
      <c r="I116" s="10238"/>
      <c r="J116" s="10238"/>
      <c r="K116" s="10238"/>
      <c r="L116" s="10238"/>
      <c r="M116" s="10235"/>
      <c r="N116" s="10235"/>
      <c r="O116" s="10235"/>
      <c r="P116" s="10238"/>
      <c r="Q116" s="10238"/>
      <c r="R116" s="10244"/>
      <c r="S116" s="2286"/>
      <c r="T116" s="2321"/>
      <c r="U116" s="2321"/>
      <c r="V116" s="2288"/>
      <c r="W116" s="2289"/>
      <c r="X116" s="2290"/>
      <c r="Y116" s="2291"/>
      <c r="Z116" s="2291"/>
      <c r="AA116" s="2291"/>
      <c r="AB116" s="2292"/>
      <c r="AC116" s="2293"/>
      <c r="AD116" s="2294"/>
      <c r="AE116" s="2290"/>
      <c r="AF116" s="2295"/>
      <c r="AG116" s="2295"/>
      <c r="AH116" s="10247"/>
      <c r="AI116" s="2285"/>
    </row>
    <row r="117" spans="1:35" ht="25.5" customHeight="1">
      <c r="A117" s="10306"/>
      <c r="B117" s="10272"/>
      <c r="C117" s="10256"/>
      <c r="D117" s="10238"/>
      <c r="E117" s="10238"/>
      <c r="F117" s="10238"/>
      <c r="G117" s="10238"/>
      <c r="H117" s="10238"/>
      <c r="I117" s="10238"/>
      <c r="J117" s="10238"/>
      <c r="K117" s="10238"/>
      <c r="L117" s="10238"/>
      <c r="M117" s="10235"/>
      <c r="N117" s="10235"/>
      <c r="O117" s="10235"/>
      <c r="P117" s="10238"/>
      <c r="Q117" s="10238"/>
      <c r="R117" s="10244"/>
      <c r="S117" s="2286"/>
      <c r="T117" s="2287"/>
      <c r="U117" s="2287"/>
      <c r="V117" s="2288"/>
      <c r="W117" s="2289"/>
      <c r="X117" s="2290"/>
      <c r="Y117" s="2291"/>
      <c r="Z117" s="2291"/>
      <c r="AA117" s="2291"/>
      <c r="AB117" s="2292"/>
      <c r="AC117" s="2293"/>
      <c r="AD117" s="2294"/>
      <c r="AE117" s="2290"/>
      <c r="AF117" s="2295"/>
      <c r="AG117" s="2295"/>
      <c r="AH117" s="10247"/>
      <c r="AI117" s="2285"/>
    </row>
    <row r="118" spans="1:35" ht="25.5" customHeight="1">
      <c r="A118" s="10306"/>
      <c r="B118" s="10272"/>
      <c r="C118" s="10284"/>
      <c r="D118" s="10274"/>
      <c r="E118" s="10274"/>
      <c r="F118" s="10274"/>
      <c r="G118" s="10274"/>
      <c r="H118" s="10274"/>
      <c r="I118" s="10274"/>
      <c r="J118" s="10274"/>
      <c r="K118" s="10274"/>
      <c r="L118" s="10274"/>
      <c r="M118" s="10280"/>
      <c r="N118" s="10280"/>
      <c r="O118" s="10280"/>
      <c r="P118" s="10274"/>
      <c r="Q118" s="10274"/>
      <c r="R118" s="10275"/>
      <c r="S118" s="2572"/>
      <c r="T118" s="2602"/>
      <c r="U118" s="2602"/>
      <c r="V118" s="2603"/>
      <c r="W118" s="2604"/>
      <c r="X118" s="2605"/>
      <c r="Y118" s="2606"/>
      <c r="Z118" s="2606"/>
      <c r="AA118" s="2606"/>
      <c r="AB118" s="6084"/>
      <c r="AC118" s="6085"/>
      <c r="AD118" s="6086"/>
      <c r="AE118" s="2605"/>
      <c r="AF118" s="2611"/>
      <c r="AG118" s="2611"/>
      <c r="AH118" s="10276"/>
      <c r="AI118" s="2285"/>
    </row>
    <row r="119" spans="1:35" s="6093" customFormat="1" ht="22.5" customHeight="1" thickBot="1">
      <c r="A119" s="10306"/>
      <c r="B119" s="10273"/>
      <c r="C119" s="6091"/>
      <c r="D119" s="6091"/>
      <c r="E119" s="6091"/>
      <c r="F119" s="6091"/>
      <c r="G119" s="6091"/>
      <c r="H119" s="6091"/>
      <c r="I119" s="6091"/>
      <c r="J119" s="6091"/>
      <c r="K119" s="6091"/>
      <c r="L119" s="6091"/>
      <c r="M119" s="6091"/>
      <c r="N119" s="6091"/>
      <c r="O119" s="6091"/>
      <c r="P119" s="6091"/>
      <c r="Q119" s="6091"/>
      <c r="R119" s="6091"/>
      <c r="S119" s="10293" t="s">
        <v>2758</v>
      </c>
      <c r="T119" s="10294"/>
      <c r="U119" s="10294"/>
      <c r="V119" s="10294"/>
      <c r="W119" s="10294"/>
      <c r="X119" s="10294"/>
      <c r="Y119" s="10294"/>
      <c r="Z119" s="10294"/>
      <c r="AA119" s="5864" t="s">
        <v>292</v>
      </c>
      <c r="AB119" s="7236">
        <f>SUM(AB9:AB118)</f>
        <v>1415730.2160799999</v>
      </c>
      <c r="AC119" s="7248"/>
      <c r="AD119" s="6088"/>
      <c r="AE119" s="10287"/>
      <c r="AF119" s="10295"/>
      <c r="AG119" s="10295"/>
      <c r="AH119" s="10289"/>
      <c r="AI119" s="6092"/>
    </row>
    <row r="120" spans="1:35" ht="31.5" customHeight="1">
      <c r="A120" s="10306"/>
      <c r="B120" s="10271" t="s">
        <v>2759</v>
      </c>
      <c r="C120" s="10255" t="s">
        <v>127</v>
      </c>
      <c r="D120" s="10242" t="s">
        <v>128</v>
      </c>
      <c r="E120" s="10242" t="s">
        <v>129</v>
      </c>
      <c r="F120" s="10242" t="s">
        <v>336</v>
      </c>
      <c r="G120" s="10258" t="s">
        <v>131</v>
      </c>
      <c r="H120" s="10242" t="s">
        <v>132</v>
      </c>
      <c r="I120" s="10242" t="s">
        <v>159</v>
      </c>
      <c r="J120" s="10258" t="s">
        <v>2760</v>
      </c>
      <c r="K120" s="10242" t="s">
        <v>2761</v>
      </c>
      <c r="L120" s="10242" t="s">
        <v>2762</v>
      </c>
      <c r="M120" s="10283">
        <v>0</v>
      </c>
      <c r="N120" s="10283">
        <v>1</v>
      </c>
      <c r="O120" s="10283">
        <v>1</v>
      </c>
      <c r="P120" s="10242" t="s">
        <v>2763</v>
      </c>
      <c r="Q120" s="10242" t="s">
        <v>2764</v>
      </c>
      <c r="R120" s="10243" t="s">
        <v>2765</v>
      </c>
      <c r="S120" s="2400"/>
      <c r="T120" s="2462"/>
      <c r="U120" s="2462"/>
      <c r="V120" s="2401"/>
      <c r="W120" s="2463"/>
      <c r="X120" s="2402"/>
      <c r="Y120" s="2403"/>
      <c r="Z120" s="2403"/>
      <c r="AA120" s="2404"/>
      <c r="AB120" s="2405"/>
      <c r="AC120" s="2282"/>
      <c r="AD120" s="2283"/>
      <c r="AE120" s="2402"/>
      <c r="AF120" s="2406"/>
      <c r="AG120" s="2406"/>
      <c r="AH120" s="10270"/>
      <c r="AI120" s="2285"/>
    </row>
    <row r="121" spans="1:35" ht="31.5" customHeight="1">
      <c r="A121" s="10306"/>
      <c r="B121" s="10272"/>
      <c r="C121" s="10256"/>
      <c r="D121" s="10238"/>
      <c r="E121" s="10238"/>
      <c r="F121" s="10238"/>
      <c r="G121" s="10238"/>
      <c r="H121" s="10238"/>
      <c r="I121" s="10238"/>
      <c r="J121" s="10238"/>
      <c r="K121" s="10238"/>
      <c r="L121" s="10238"/>
      <c r="M121" s="10235"/>
      <c r="N121" s="10235"/>
      <c r="O121" s="10235"/>
      <c r="P121" s="10238"/>
      <c r="Q121" s="10238"/>
      <c r="R121" s="10244"/>
      <c r="S121" s="2286"/>
      <c r="T121" s="2287"/>
      <c r="U121" s="2287"/>
      <c r="V121" s="2288"/>
      <c r="W121" s="2289"/>
      <c r="X121" s="2290"/>
      <c r="Y121" s="2407"/>
      <c r="Z121" s="2407"/>
      <c r="AA121" s="2407"/>
      <c r="AB121" s="2408"/>
      <c r="AC121" s="2293"/>
      <c r="AD121" s="2294"/>
      <c r="AE121" s="2290"/>
      <c r="AF121" s="2295"/>
      <c r="AG121" s="2295"/>
      <c r="AH121" s="10247"/>
      <c r="AI121" s="2285"/>
    </row>
    <row r="122" spans="1:35" ht="31.5" customHeight="1">
      <c r="A122" s="10306"/>
      <c r="B122" s="10272"/>
      <c r="C122" s="10256"/>
      <c r="D122" s="10238"/>
      <c r="E122" s="10238"/>
      <c r="F122" s="10238"/>
      <c r="G122" s="10238"/>
      <c r="H122" s="10238"/>
      <c r="I122" s="10238"/>
      <c r="J122" s="10238"/>
      <c r="K122" s="10238"/>
      <c r="L122" s="10238"/>
      <c r="M122" s="10235"/>
      <c r="N122" s="10235"/>
      <c r="O122" s="10235"/>
      <c r="P122" s="10238"/>
      <c r="Q122" s="10238"/>
      <c r="R122" s="10244"/>
      <c r="S122" s="2343"/>
      <c r="T122" s="2296"/>
      <c r="U122" s="2296"/>
      <c r="V122" s="2297"/>
      <c r="W122" s="2289"/>
      <c r="X122" s="2290"/>
      <c r="Y122" s="2407"/>
      <c r="Z122" s="2407"/>
      <c r="AA122" s="2407"/>
      <c r="AB122" s="2408"/>
      <c r="AC122" s="2293"/>
      <c r="AD122" s="2294"/>
      <c r="AE122" s="2290"/>
      <c r="AF122" s="2295"/>
      <c r="AG122" s="2295"/>
      <c r="AH122" s="10247"/>
      <c r="AI122" s="2285"/>
    </row>
    <row r="123" spans="1:35" ht="31.5" customHeight="1">
      <c r="A123" s="10306"/>
      <c r="B123" s="10272"/>
      <c r="C123" s="10256"/>
      <c r="D123" s="10238"/>
      <c r="E123" s="10238"/>
      <c r="F123" s="10238"/>
      <c r="G123" s="10238"/>
      <c r="H123" s="10238"/>
      <c r="I123" s="10238"/>
      <c r="J123" s="10238"/>
      <c r="K123" s="10238"/>
      <c r="L123" s="10238"/>
      <c r="M123" s="10235"/>
      <c r="N123" s="10235"/>
      <c r="O123" s="10235"/>
      <c r="P123" s="10238"/>
      <c r="Q123" s="10238"/>
      <c r="R123" s="10244"/>
      <c r="S123" s="2343"/>
      <c r="T123" s="2296"/>
      <c r="U123" s="2296"/>
      <c r="V123" s="2288"/>
      <c r="W123" s="2289"/>
      <c r="X123" s="2290"/>
      <c r="Y123" s="2407"/>
      <c r="Z123" s="2407"/>
      <c r="AA123" s="2407"/>
      <c r="AB123" s="2408"/>
      <c r="AC123" s="2293"/>
      <c r="AD123" s="2294"/>
      <c r="AE123" s="2290"/>
      <c r="AF123" s="2295"/>
      <c r="AG123" s="2295"/>
      <c r="AH123" s="10247"/>
      <c r="AI123" s="2285"/>
    </row>
    <row r="124" spans="1:35" ht="31.5" customHeight="1">
      <c r="A124" s="10306"/>
      <c r="B124" s="10272"/>
      <c r="C124" s="10268"/>
      <c r="D124" s="10265"/>
      <c r="E124" s="10265"/>
      <c r="F124" s="10265"/>
      <c r="G124" s="10265"/>
      <c r="H124" s="10265"/>
      <c r="I124" s="10265"/>
      <c r="J124" s="10265"/>
      <c r="K124" s="10265"/>
      <c r="L124" s="10265"/>
      <c r="M124" s="10267"/>
      <c r="N124" s="10267"/>
      <c r="O124" s="10267"/>
      <c r="P124" s="10265"/>
      <c r="Q124" s="10265"/>
      <c r="R124" s="10260"/>
      <c r="S124" s="2303"/>
      <c r="T124" s="2304"/>
      <c r="U124" s="2304"/>
      <c r="V124" s="2305"/>
      <c r="W124" s="2306"/>
      <c r="X124" s="2409"/>
      <c r="Y124" s="2410"/>
      <c r="Z124" s="2410"/>
      <c r="AA124" s="2410"/>
      <c r="AB124" s="2411"/>
      <c r="AC124" s="2412"/>
      <c r="AD124" s="2413"/>
      <c r="AE124" s="2409"/>
      <c r="AF124" s="2312"/>
      <c r="AG124" s="2312"/>
      <c r="AH124" s="10262"/>
      <c r="AI124" s="2285"/>
    </row>
    <row r="125" spans="1:35" ht="24" customHeight="1">
      <c r="A125" s="10306"/>
      <c r="B125" s="10272"/>
      <c r="C125" s="10263" t="s">
        <v>127</v>
      </c>
      <c r="D125" s="10237" t="s">
        <v>128</v>
      </c>
      <c r="E125" s="10237" t="s">
        <v>129</v>
      </c>
      <c r="F125" s="10237" t="s">
        <v>336</v>
      </c>
      <c r="G125" s="10264" t="s">
        <v>131</v>
      </c>
      <c r="H125" s="10237" t="s">
        <v>132</v>
      </c>
      <c r="I125" s="10237" t="s">
        <v>159</v>
      </c>
      <c r="J125" s="10237" t="s">
        <v>2766</v>
      </c>
      <c r="K125" s="10237" t="s">
        <v>2767</v>
      </c>
      <c r="L125" s="10237" t="s">
        <v>2768</v>
      </c>
      <c r="M125" s="10254">
        <v>1</v>
      </c>
      <c r="N125" s="10254">
        <v>0</v>
      </c>
      <c r="O125" s="10254">
        <v>0</v>
      </c>
      <c r="P125" s="10237" t="s">
        <v>2769</v>
      </c>
      <c r="Q125" s="10237" t="s">
        <v>2770</v>
      </c>
      <c r="R125" s="10259" t="s">
        <v>2765</v>
      </c>
      <c r="S125" s="2340"/>
      <c r="T125" s="2313"/>
      <c r="U125" s="2313"/>
      <c r="V125" s="2341"/>
      <c r="W125" s="6187"/>
      <c r="X125" s="2414"/>
      <c r="Y125" s="2415"/>
      <c r="Z125" s="2415"/>
      <c r="AA125" s="2415"/>
      <c r="AB125" s="2416"/>
      <c r="AC125" s="2417"/>
      <c r="AD125" s="2418"/>
      <c r="AE125" s="2414"/>
      <c r="AF125" s="2320"/>
      <c r="AG125" s="2320"/>
      <c r="AH125" s="10261"/>
      <c r="AI125" s="2285"/>
    </row>
    <row r="126" spans="1:35" ht="24" customHeight="1">
      <c r="A126" s="10306"/>
      <c r="B126" s="10272"/>
      <c r="C126" s="10256"/>
      <c r="D126" s="10238"/>
      <c r="E126" s="10238"/>
      <c r="F126" s="10238"/>
      <c r="G126" s="10238"/>
      <c r="H126" s="10238"/>
      <c r="I126" s="10238"/>
      <c r="J126" s="10238"/>
      <c r="K126" s="10238"/>
      <c r="L126" s="10238"/>
      <c r="M126" s="10235"/>
      <c r="N126" s="10235"/>
      <c r="O126" s="10235"/>
      <c r="P126" s="10238"/>
      <c r="Q126" s="10238"/>
      <c r="R126" s="10244"/>
      <c r="S126" s="2286"/>
      <c r="T126" s="2287"/>
      <c r="U126" s="2287"/>
      <c r="V126" s="2288"/>
      <c r="W126" s="2289"/>
      <c r="X126" s="2290"/>
      <c r="Y126" s="2407"/>
      <c r="Z126" s="2407"/>
      <c r="AA126" s="2407"/>
      <c r="AB126" s="2408"/>
      <c r="AC126" s="2293"/>
      <c r="AD126" s="2294"/>
      <c r="AE126" s="2290"/>
      <c r="AF126" s="2290"/>
      <c r="AG126" s="2322"/>
      <c r="AH126" s="10247"/>
      <c r="AI126" s="2285"/>
    </row>
    <row r="127" spans="1:35" ht="24" customHeight="1">
      <c r="A127" s="10306"/>
      <c r="B127" s="10272"/>
      <c r="C127" s="10256"/>
      <c r="D127" s="10238"/>
      <c r="E127" s="10238"/>
      <c r="F127" s="10238"/>
      <c r="G127" s="10238"/>
      <c r="H127" s="10238"/>
      <c r="I127" s="10238"/>
      <c r="J127" s="10238"/>
      <c r="K127" s="10238"/>
      <c r="L127" s="10238"/>
      <c r="M127" s="10235"/>
      <c r="N127" s="10235"/>
      <c r="O127" s="10235"/>
      <c r="P127" s="10238"/>
      <c r="Q127" s="10238"/>
      <c r="R127" s="10244"/>
      <c r="S127" s="2343"/>
      <c r="T127" s="2296"/>
      <c r="U127" s="2296"/>
      <c r="V127" s="2297"/>
      <c r="W127" s="2289"/>
      <c r="X127" s="2290"/>
      <c r="Y127" s="2407"/>
      <c r="Z127" s="2407"/>
      <c r="AA127" s="2407"/>
      <c r="AB127" s="2408"/>
      <c r="AC127" s="2293"/>
      <c r="AD127" s="2294"/>
      <c r="AE127" s="2290"/>
      <c r="AF127" s="2290"/>
      <c r="AG127" s="2295"/>
      <c r="AH127" s="10247"/>
      <c r="AI127" s="2285"/>
    </row>
    <row r="128" spans="1:35" ht="24" customHeight="1">
      <c r="A128" s="10306"/>
      <c r="B128" s="10272"/>
      <c r="C128" s="10256"/>
      <c r="D128" s="10238"/>
      <c r="E128" s="10238"/>
      <c r="F128" s="10238"/>
      <c r="G128" s="10238"/>
      <c r="H128" s="10238"/>
      <c r="I128" s="10238"/>
      <c r="J128" s="10238"/>
      <c r="K128" s="10238"/>
      <c r="L128" s="10238"/>
      <c r="M128" s="10235"/>
      <c r="N128" s="10235"/>
      <c r="O128" s="10235"/>
      <c r="P128" s="10238"/>
      <c r="Q128" s="10238"/>
      <c r="R128" s="10244"/>
      <c r="S128" s="2286"/>
      <c r="T128" s="2287"/>
      <c r="U128" s="2287"/>
      <c r="V128" s="2288"/>
      <c r="W128" s="2289"/>
      <c r="X128" s="2290"/>
      <c r="Y128" s="2407"/>
      <c r="Z128" s="2407"/>
      <c r="AA128" s="2407"/>
      <c r="AB128" s="2408"/>
      <c r="AC128" s="2293"/>
      <c r="AD128" s="2294"/>
      <c r="AE128" s="2290"/>
      <c r="AF128" s="2290"/>
      <c r="AG128" s="2295"/>
      <c r="AH128" s="10247"/>
      <c r="AI128" s="2285"/>
    </row>
    <row r="129" spans="1:35" ht="24" customHeight="1">
      <c r="A129" s="10306"/>
      <c r="B129" s="10272"/>
      <c r="C129" s="10257"/>
      <c r="D129" s="10239"/>
      <c r="E129" s="10239"/>
      <c r="F129" s="10239"/>
      <c r="G129" s="10239"/>
      <c r="H129" s="10239"/>
      <c r="I129" s="10239"/>
      <c r="J129" s="10239"/>
      <c r="K129" s="10239"/>
      <c r="L129" s="10239"/>
      <c r="M129" s="10236"/>
      <c r="N129" s="10236"/>
      <c r="O129" s="10236"/>
      <c r="P129" s="10239"/>
      <c r="Q129" s="10239"/>
      <c r="R129" s="10245"/>
      <c r="S129" s="2323"/>
      <c r="T129" s="2324"/>
      <c r="U129" s="2324"/>
      <c r="V129" s="2325"/>
      <c r="W129" s="2326"/>
      <c r="X129" s="2332"/>
      <c r="Y129" s="2419"/>
      <c r="Z129" s="2419"/>
      <c r="AA129" s="2419"/>
      <c r="AB129" s="2420"/>
      <c r="AC129" s="2395"/>
      <c r="AD129" s="2396"/>
      <c r="AE129" s="2332"/>
      <c r="AF129" s="2332"/>
      <c r="AG129" s="2333"/>
      <c r="AH129" s="10248"/>
      <c r="AI129" s="2285"/>
    </row>
    <row r="130" spans="1:35" ht="27" customHeight="1">
      <c r="A130" s="10306"/>
      <c r="B130" s="10272"/>
      <c r="C130" s="10255" t="s">
        <v>127</v>
      </c>
      <c r="D130" s="10242" t="s">
        <v>128</v>
      </c>
      <c r="E130" s="10242" t="s">
        <v>129</v>
      </c>
      <c r="F130" s="10242" t="s">
        <v>336</v>
      </c>
      <c r="G130" s="10258" t="s">
        <v>131</v>
      </c>
      <c r="H130" s="10242" t="s">
        <v>213</v>
      </c>
      <c r="I130" s="10242" t="s">
        <v>133</v>
      </c>
      <c r="J130" s="10242" t="s">
        <v>2771</v>
      </c>
      <c r="K130" s="10242" t="s">
        <v>2772</v>
      </c>
      <c r="L130" s="10242" t="s">
        <v>2773</v>
      </c>
      <c r="M130" s="10283">
        <v>1</v>
      </c>
      <c r="N130" s="10283">
        <v>1</v>
      </c>
      <c r="O130" s="10283">
        <v>1</v>
      </c>
      <c r="P130" s="10242" t="s">
        <v>2774</v>
      </c>
      <c r="Q130" s="10242" t="s">
        <v>2775</v>
      </c>
      <c r="R130" s="10243" t="s">
        <v>2765</v>
      </c>
      <c r="S130" s="2334"/>
      <c r="T130" s="2277"/>
      <c r="U130" s="2277"/>
      <c r="V130" s="2278"/>
      <c r="W130" s="6186"/>
      <c r="X130" s="2279"/>
      <c r="Y130" s="2404"/>
      <c r="Z130" s="2404"/>
      <c r="AA130" s="2404"/>
      <c r="AB130" s="2405"/>
      <c r="AC130" s="2282"/>
      <c r="AD130" s="2283"/>
      <c r="AE130" s="2279"/>
      <c r="AF130" s="2284"/>
      <c r="AG130" s="2284"/>
      <c r="AH130" s="10246"/>
      <c r="AI130" s="2285"/>
    </row>
    <row r="131" spans="1:35" ht="27" customHeight="1">
      <c r="A131" s="10306"/>
      <c r="B131" s="10272"/>
      <c r="C131" s="10256"/>
      <c r="D131" s="10238"/>
      <c r="E131" s="10238"/>
      <c r="F131" s="10238"/>
      <c r="G131" s="10238"/>
      <c r="H131" s="10238"/>
      <c r="I131" s="10238"/>
      <c r="J131" s="10238"/>
      <c r="K131" s="10238"/>
      <c r="L131" s="10238"/>
      <c r="M131" s="10235"/>
      <c r="N131" s="10235"/>
      <c r="O131" s="10235"/>
      <c r="P131" s="10238"/>
      <c r="Q131" s="10238"/>
      <c r="R131" s="10244"/>
      <c r="S131" s="2286"/>
      <c r="T131" s="2287"/>
      <c r="U131" s="2287"/>
      <c r="V131" s="2288"/>
      <c r="W131" s="2289"/>
      <c r="X131" s="2290"/>
      <c r="Y131" s="2407"/>
      <c r="Z131" s="2407"/>
      <c r="AA131" s="2407"/>
      <c r="AB131" s="2408"/>
      <c r="AC131" s="2293"/>
      <c r="AD131" s="2294"/>
      <c r="AE131" s="2290"/>
      <c r="AF131" s="2295"/>
      <c r="AG131" s="2295"/>
      <c r="AH131" s="10247"/>
      <c r="AI131" s="2285"/>
    </row>
    <row r="132" spans="1:35" ht="27" customHeight="1">
      <c r="A132" s="10306"/>
      <c r="B132" s="10272"/>
      <c r="C132" s="10256"/>
      <c r="D132" s="10238"/>
      <c r="E132" s="10238"/>
      <c r="F132" s="10238"/>
      <c r="G132" s="10238"/>
      <c r="H132" s="10238"/>
      <c r="I132" s="10238"/>
      <c r="J132" s="10238"/>
      <c r="K132" s="10238"/>
      <c r="L132" s="10238"/>
      <c r="M132" s="10235"/>
      <c r="N132" s="10235"/>
      <c r="O132" s="10235"/>
      <c r="P132" s="10238"/>
      <c r="Q132" s="10238"/>
      <c r="R132" s="10244"/>
      <c r="S132" s="2286"/>
      <c r="T132" s="2287"/>
      <c r="U132" s="2287"/>
      <c r="V132" s="2288"/>
      <c r="W132" s="2289"/>
      <c r="X132" s="2290"/>
      <c r="Y132" s="2407"/>
      <c r="Z132" s="2407"/>
      <c r="AA132" s="2407"/>
      <c r="AB132" s="2408"/>
      <c r="AC132" s="2293"/>
      <c r="AD132" s="2294"/>
      <c r="AE132" s="2290"/>
      <c r="AF132" s="2295"/>
      <c r="AG132" s="2295"/>
      <c r="AH132" s="10247"/>
      <c r="AI132" s="2285"/>
    </row>
    <row r="133" spans="1:35" ht="27" customHeight="1">
      <c r="A133" s="10306"/>
      <c r="B133" s="10272"/>
      <c r="C133" s="10256"/>
      <c r="D133" s="10238"/>
      <c r="E133" s="10238"/>
      <c r="F133" s="10238"/>
      <c r="G133" s="10238"/>
      <c r="H133" s="10238"/>
      <c r="I133" s="10238"/>
      <c r="J133" s="10238"/>
      <c r="K133" s="10238"/>
      <c r="L133" s="10238"/>
      <c r="M133" s="10235"/>
      <c r="N133" s="10235"/>
      <c r="O133" s="10235"/>
      <c r="P133" s="10238"/>
      <c r="Q133" s="10238"/>
      <c r="R133" s="10244"/>
      <c r="S133" s="2286"/>
      <c r="T133" s="2287"/>
      <c r="U133" s="2287"/>
      <c r="V133" s="2288"/>
      <c r="W133" s="2289"/>
      <c r="X133" s="2290"/>
      <c r="Y133" s="2421"/>
      <c r="Z133" s="2421"/>
      <c r="AA133" s="2421"/>
      <c r="AB133" s="2422"/>
      <c r="AC133" s="2301"/>
      <c r="AD133" s="2302"/>
      <c r="AE133" s="2290"/>
      <c r="AF133" s="2295"/>
      <c r="AG133" s="2295"/>
      <c r="AH133" s="10247"/>
      <c r="AI133" s="2285"/>
    </row>
    <row r="134" spans="1:35" ht="27" customHeight="1">
      <c r="A134" s="10306"/>
      <c r="B134" s="10272"/>
      <c r="C134" s="10268"/>
      <c r="D134" s="10265"/>
      <c r="E134" s="10265"/>
      <c r="F134" s="10265"/>
      <c r="G134" s="10265"/>
      <c r="H134" s="10265"/>
      <c r="I134" s="10265"/>
      <c r="J134" s="10265"/>
      <c r="K134" s="10265"/>
      <c r="L134" s="10265"/>
      <c r="M134" s="10267"/>
      <c r="N134" s="10267"/>
      <c r="O134" s="10267"/>
      <c r="P134" s="10265"/>
      <c r="Q134" s="10265"/>
      <c r="R134" s="10260"/>
      <c r="S134" s="2572"/>
      <c r="T134" s="2304"/>
      <c r="U134" s="2304"/>
      <c r="V134" s="2305"/>
      <c r="W134" s="2306"/>
      <c r="X134" s="2409"/>
      <c r="Y134" s="2423"/>
      <c r="Z134" s="2423"/>
      <c r="AA134" s="2423"/>
      <c r="AB134" s="2424"/>
      <c r="AC134" s="2310"/>
      <c r="AD134" s="2311"/>
      <c r="AE134" s="2409"/>
      <c r="AF134" s="2312"/>
      <c r="AG134" s="2312"/>
      <c r="AH134" s="10262"/>
      <c r="AI134" s="2285"/>
    </row>
    <row r="135" spans="1:35" ht="33.75" customHeight="1">
      <c r="A135" s="10306"/>
      <c r="B135" s="10272"/>
      <c r="C135" s="10263" t="s">
        <v>127</v>
      </c>
      <c r="D135" s="10237" t="s">
        <v>128</v>
      </c>
      <c r="E135" s="10237" t="s">
        <v>129</v>
      </c>
      <c r="F135" s="10237" t="s">
        <v>336</v>
      </c>
      <c r="G135" s="10264" t="s">
        <v>131</v>
      </c>
      <c r="H135" s="10237" t="s">
        <v>132</v>
      </c>
      <c r="I135" s="10237" t="s">
        <v>159</v>
      </c>
      <c r="J135" s="10237" t="s">
        <v>2776</v>
      </c>
      <c r="K135" s="10237" t="s">
        <v>2777</v>
      </c>
      <c r="L135" s="10237" t="s">
        <v>2778</v>
      </c>
      <c r="M135" s="10254">
        <v>2</v>
      </c>
      <c r="N135" s="10254">
        <v>2</v>
      </c>
      <c r="O135" s="10254">
        <v>2</v>
      </c>
      <c r="P135" s="10237" t="s">
        <v>2779</v>
      </c>
      <c r="Q135" s="10237" t="s">
        <v>2780</v>
      </c>
      <c r="R135" s="10259" t="s">
        <v>2765</v>
      </c>
      <c r="S135" s="2630" t="s">
        <v>80</v>
      </c>
      <c r="T135" s="2632">
        <v>530702</v>
      </c>
      <c r="U135" s="2632"/>
      <c r="V135" s="2631" t="s">
        <v>33</v>
      </c>
      <c r="W135" s="7227"/>
      <c r="X135" s="2629"/>
      <c r="Y135" s="7237"/>
      <c r="Z135" s="2425"/>
      <c r="AA135" s="2425"/>
      <c r="AB135" s="3412">
        <f>SUM(AA136:AA138)</f>
        <v>18063</v>
      </c>
      <c r="AC135" s="2318" t="s">
        <v>26</v>
      </c>
      <c r="AD135" s="2319"/>
      <c r="AE135" s="2414"/>
      <c r="AF135" s="2342"/>
      <c r="AG135" s="2342"/>
      <c r="AH135" s="10261"/>
      <c r="AI135" s="2285"/>
    </row>
    <row r="136" spans="1:35" ht="33.75" customHeight="1">
      <c r="A136" s="10306"/>
      <c r="B136" s="10272"/>
      <c r="C136" s="10256"/>
      <c r="D136" s="10238"/>
      <c r="E136" s="10238"/>
      <c r="F136" s="10238"/>
      <c r="G136" s="10238"/>
      <c r="H136" s="10238"/>
      <c r="I136" s="10238"/>
      <c r="J136" s="10238"/>
      <c r="K136" s="10238"/>
      <c r="L136" s="10238"/>
      <c r="M136" s="10235"/>
      <c r="N136" s="10235"/>
      <c r="O136" s="10235"/>
      <c r="P136" s="10238"/>
      <c r="Q136" s="10238"/>
      <c r="R136" s="10244"/>
      <c r="S136" s="2286"/>
      <c r="T136" s="2321"/>
      <c r="U136" s="2321">
        <v>859901313</v>
      </c>
      <c r="V136" s="2288" t="s">
        <v>2781</v>
      </c>
      <c r="W136" s="3310">
        <v>1</v>
      </c>
      <c r="X136" s="3311" t="s">
        <v>180</v>
      </c>
      <c r="Y136" s="3522">
        <f>12325</f>
        <v>12325</v>
      </c>
      <c r="Z136" s="3312">
        <f>+W136*Y136</f>
        <v>12325</v>
      </c>
      <c r="AA136" s="3312">
        <f>Z136</f>
        <v>12325</v>
      </c>
      <c r="AB136" s="2300"/>
      <c r="AC136" s="2301"/>
      <c r="AD136" s="2302"/>
      <c r="AE136" s="2290"/>
      <c r="AF136" s="2295"/>
      <c r="AG136" s="3344" t="s">
        <v>153</v>
      </c>
      <c r="AH136" s="10247"/>
      <c r="AI136" s="2285"/>
    </row>
    <row r="137" spans="1:35" ht="33.75" customHeight="1">
      <c r="A137" s="10306"/>
      <c r="B137" s="10272"/>
      <c r="C137" s="10256"/>
      <c r="D137" s="10238"/>
      <c r="E137" s="10238"/>
      <c r="F137" s="10238"/>
      <c r="G137" s="10238"/>
      <c r="H137" s="10238"/>
      <c r="I137" s="10238"/>
      <c r="J137" s="10238"/>
      <c r="K137" s="10238"/>
      <c r="L137" s="10238"/>
      <c r="M137" s="10235"/>
      <c r="N137" s="10235"/>
      <c r="O137" s="10235"/>
      <c r="P137" s="10238"/>
      <c r="Q137" s="10238"/>
      <c r="R137" s="10244"/>
      <c r="S137" s="3414"/>
      <c r="T137" s="2321"/>
      <c r="U137" s="2321"/>
      <c r="V137" s="2288" t="s">
        <v>2782</v>
      </c>
      <c r="W137" s="3310">
        <v>1</v>
      </c>
      <c r="X137" s="3311" t="s">
        <v>180</v>
      </c>
      <c r="Y137" s="3522">
        <v>810</v>
      </c>
      <c r="Z137" s="3312">
        <v>810</v>
      </c>
      <c r="AA137" s="3312">
        <v>810</v>
      </c>
      <c r="AB137" s="2300"/>
      <c r="AC137" s="2301"/>
      <c r="AD137" s="2302"/>
      <c r="AE137" s="2290"/>
      <c r="AF137" s="2295"/>
      <c r="AG137" s="3344" t="s">
        <v>153</v>
      </c>
      <c r="AH137" s="10247"/>
      <c r="AI137" s="2285"/>
    </row>
    <row r="138" spans="1:35" ht="18" customHeight="1">
      <c r="A138" s="10306"/>
      <c r="B138" s="10272"/>
      <c r="C138" s="10256"/>
      <c r="D138" s="10238"/>
      <c r="E138" s="10238"/>
      <c r="F138" s="10238"/>
      <c r="G138" s="10238"/>
      <c r="H138" s="10238"/>
      <c r="I138" s="10238"/>
      <c r="J138" s="10238"/>
      <c r="K138" s="10238"/>
      <c r="L138" s="10238"/>
      <c r="M138" s="10235"/>
      <c r="N138" s="10235"/>
      <c r="O138" s="10235"/>
      <c r="P138" s="10238"/>
      <c r="Q138" s="10238"/>
      <c r="R138" s="10244"/>
      <c r="S138" s="3414"/>
      <c r="T138" s="2321"/>
      <c r="U138" s="2321"/>
      <c r="V138" s="2288" t="s">
        <v>2783</v>
      </c>
      <c r="W138" s="3310">
        <v>2</v>
      </c>
      <c r="X138" s="3311" t="s">
        <v>180</v>
      </c>
      <c r="Y138" s="3522">
        <v>2200</v>
      </c>
      <c r="Z138" s="3312">
        <v>4400</v>
      </c>
      <c r="AA138" s="3312">
        <v>4928</v>
      </c>
      <c r="AB138" s="2300"/>
      <c r="AC138" s="2301"/>
      <c r="AD138" s="2302"/>
      <c r="AE138" s="2298"/>
      <c r="AF138" s="3415"/>
      <c r="AG138" s="3344" t="s">
        <v>153</v>
      </c>
      <c r="AH138" s="10247"/>
      <c r="AI138" s="2285"/>
    </row>
    <row r="139" spans="1:35" ht="18" customHeight="1">
      <c r="A139" s="10306"/>
      <c r="B139" s="10272"/>
      <c r="C139" s="10256"/>
      <c r="D139" s="10238"/>
      <c r="E139" s="10238"/>
      <c r="F139" s="10238"/>
      <c r="G139" s="10238"/>
      <c r="H139" s="10238"/>
      <c r="I139" s="10238"/>
      <c r="J139" s="10238"/>
      <c r="K139" s="10238"/>
      <c r="L139" s="10238"/>
      <c r="M139" s="10235"/>
      <c r="N139" s="10235"/>
      <c r="O139" s="10235"/>
      <c r="P139" s="10238"/>
      <c r="Q139" s="10238"/>
      <c r="R139" s="10244"/>
      <c r="S139" s="2276" t="s">
        <v>15</v>
      </c>
      <c r="T139" s="2363">
        <v>530612</v>
      </c>
      <c r="U139" s="2321"/>
      <c r="V139" s="2297" t="s">
        <v>1360</v>
      </c>
      <c r="W139" s="2357"/>
      <c r="X139" s="2290"/>
      <c r="Y139" s="3523"/>
      <c r="Z139" s="2299"/>
      <c r="AA139" s="2299"/>
      <c r="AB139" s="7990">
        <f>SUM(AA140:AA140)</f>
        <v>9870</v>
      </c>
      <c r="AC139" s="2301" t="s">
        <v>25</v>
      </c>
      <c r="AD139" s="2302"/>
      <c r="AE139" s="2290"/>
      <c r="AF139" s="2295"/>
      <c r="AG139" s="2295"/>
      <c r="AH139" s="10247"/>
      <c r="AI139" s="2285"/>
    </row>
    <row r="140" spans="1:35" ht="18" customHeight="1">
      <c r="A140" s="10306"/>
      <c r="B140" s="10272"/>
      <c r="C140" s="10256"/>
      <c r="D140" s="10238"/>
      <c r="E140" s="10238"/>
      <c r="F140" s="10238"/>
      <c r="G140" s="10238"/>
      <c r="H140" s="10238"/>
      <c r="I140" s="10238"/>
      <c r="J140" s="10238"/>
      <c r="K140" s="10238"/>
      <c r="L140" s="10238"/>
      <c r="M140" s="10235"/>
      <c r="N140" s="10235"/>
      <c r="O140" s="10235"/>
      <c r="P140" s="10238"/>
      <c r="Q140" s="10238"/>
      <c r="R140" s="10244"/>
      <c r="S140" s="2286"/>
      <c r="T140" s="2363"/>
      <c r="U140" s="2321">
        <v>929000013</v>
      </c>
      <c r="V140" s="3309" t="s">
        <v>2784</v>
      </c>
      <c r="W140" s="3310">
        <v>7</v>
      </c>
      <c r="X140" s="3311" t="s">
        <v>180</v>
      </c>
      <c r="Y140" s="3522">
        <v>1410</v>
      </c>
      <c r="Z140" s="3312">
        <f>+W140*Y140</f>
        <v>9870</v>
      </c>
      <c r="AA140" s="7989">
        <f>Z140</f>
        <v>9870</v>
      </c>
      <c r="AB140" s="3332"/>
      <c r="AC140" s="3365"/>
      <c r="AD140" s="3413"/>
      <c r="AE140" s="3311"/>
      <c r="AF140" s="3344"/>
      <c r="AG140" s="3344" t="s">
        <v>153</v>
      </c>
      <c r="AH140" s="10247"/>
      <c r="AI140" s="2285"/>
    </row>
    <row r="141" spans="1:35" ht="33.75" customHeight="1">
      <c r="A141" s="10306"/>
      <c r="B141" s="10272"/>
      <c r="C141" s="10256"/>
      <c r="D141" s="10238"/>
      <c r="E141" s="10238"/>
      <c r="F141" s="10238"/>
      <c r="G141" s="10238"/>
      <c r="H141" s="10238"/>
      <c r="I141" s="10238"/>
      <c r="J141" s="10238"/>
      <c r="K141" s="10238"/>
      <c r="L141" s="10238"/>
      <c r="M141" s="10235"/>
      <c r="N141" s="10235"/>
      <c r="O141" s="10235"/>
      <c r="P141" s="10238"/>
      <c r="Q141" s="10238"/>
      <c r="R141" s="10244"/>
      <c r="S141" s="2343" t="s">
        <v>80</v>
      </c>
      <c r="T141" s="2363">
        <v>840107</v>
      </c>
      <c r="U141" s="2321"/>
      <c r="V141" s="2297" t="s">
        <v>40</v>
      </c>
      <c r="W141" s="2357"/>
      <c r="X141" s="2290"/>
      <c r="Y141" s="3523"/>
      <c r="Z141" s="2299"/>
      <c r="AA141" s="2299"/>
      <c r="AB141" s="2300">
        <f>SUM(AA142:AA142)</f>
        <v>13611.651200000002</v>
      </c>
      <c r="AC141" s="2301" t="s">
        <v>18</v>
      </c>
      <c r="AD141" s="2302"/>
      <c r="AE141" s="2290"/>
      <c r="AF141" s="2295"/>
      <c r="AG141" s="2295"/>
      <c r="AH141" s="10247"/>
      <c r="AI141" s="2285"/>
    </row>
    <row r="142" spans="1:35" ht="18" customHeight="1">
      <c r="A142" s="10306"/>
      <c r="B142" s="10272"/>
      <c r="C142" s="10284"/>
      <c r="D142" s="10274"/>
      <c r="E142" s="10274"/>
      <c r="F142" s="10274"/>
      <c r="G142" s="10274"/>
      <c r="H142" s="10274"/>
      <c r="I142" s="10274"/>
      <c r="J142" s="10274"/>
      <c r="K142" s="10274"/>
      <c r="L142" s="10274"/>
      <c r="M142" s="10280"/>
      <c r="N142" s="10280"/>
      <c r="O142" s="10280"/>
      <c r="P142" s="10274"/>
      <c r="Q142" s="10274"/>
      <c r="R142" s="10275"/>
      <c r="S142" s="2572"/>
      <c r="T142" s="2633"/>
      <c r="U142" s="2633"/>
      <c r="V142" s="2603" t="s">
        <v>1458</v>
      </c>
      <c r="W142" s="2365">
        <v>2</v>
      </c>
      <c r="X142" s="2605" t="s">
        <v>180</v>
      </c>
      <c r="Y142" s="3524">
        <v>6076.63</v>
      </c>
      <c r="Z142" s="2607">
        <f>+W142*Y142</f>
        <v>12153.26</v>
      </c>
      <c r="AA142" s="2607">
        <f>+Z142*1.12</f>
        <v>13611.651200000002</v>
      </c>
      <c r="AB142" s="2608"/>
      <c r="AC142" s="2609"/>
      <c r="AD142" s="2610"/>
      <c r="AE142" s="2605"/>
      <c r="AF142" s="2611" t="s">
        <v>153</v>
      </c>
      <c r="AG142" s="2611"/>
      <c r="AH142" s="10276"/>
      <c r="AI142" s="2285"/>
    </row>
    <row r="143" spans="1:35" ht="27" customHeight="1">
      <c r="A143" s="10306"/>
      <c r="B143" s="10272"/>
      <c r="C143" s="10255" t="s">
        <v>127</v>
      </c>
      <c r="D143" s="10242" t="s">
        <v>128</v>
      </c>
      <c r="E143" s="10242" t="s">
        <v>129</v>
      </c>
      <c r="F143" s="10242" t="s">
        <v>157</v>
      </c>
      <c r="G143" s="10258" t="s">
        <v>131</v>
      </c>
      <c r="H143" s="10242" t="s">
        <v>158</v>
      </c>
      <c r="I143" s="10242" t="s">
        <v>133</v>
      </c>
      <c r="J143" s="10242" t="s">
        <v>2785</v>
      </c>
      <c r="K143" s="10242" t="s">
        <v>2786</v>
      </c>
      <c r="L143" s="10242" t="s">
        <v>2787</v>
      </c>
      <c r="M143" s="10283">
        <v>1</v>
      </c>
      <c r="N143" s="10283">
        <v>1</v>
      </c>
      <c r="O143" s="10283">
        <v>1</v>
      </c>
      <c r="P143" s="10242" t="s">
        <v>2788</v>
      </c>
      <c r="Q143" s="10242" t="s">
        <v>2789</v>
      </c>
      <c r="R143" s="10243" t="s">
        <v>2765</v>
      </c>
      <c r="S143" s="2334"/>
      <c r="T143" s="2277"/>
      <c r="U143" s="2277"/>
      <c r="V143" s="2278"/>
      <c r="W143" s="6186"/>
      <c r="X143" s="2279"/>
      <c r="Y143" s="2426"/>
      <c r="Z143" s="2426"/>
      <c r="AA143" s="2426"/>
      <c r="AB143" s="2427"/>
      <c r="AC143" s="2338"/>
      <c r="AD143" s="2339"/>
      <c r="AE143" s="2279"/>
      <c r="AF143" s="2284"/>
      <c r="AG143" s="2284"/>
      <c r="AH143" s="10246"/>
      <c r="AI143" s="2285"/>
    </row>
    <row r="144" spans="1:35" ht="27" customHeight="1">
      <c r="A144" s="10306"/>
      <c r="B144" s="10272"/>
      <c r="C144" s="10256"/>
      <c r="D144" s="10238"/>
      <c r="E144" s="10238"/>
      <c r="F144" s="10238"/>
      <c r="G144" s="10238"/>
      <c r="H144" s="10238"/>
      <c r="I144" s="10238"/>
      <c r="J144" s="10238"/>
      <c r="K144" s="10238"/>
      <c r="L144" s="10238"/>
      <c r="M144" s="10235"/>
      <c r="N144" s="10235"/>
      <c r="O144" s="10235"/>
      <c r="P144" s="10238"/>
      <c r="Q144" s="10238"/>
      <c r="R144" s="10244"/>
      <c r="S144" s="2286"/>
      <c r="T144" s="2287"/>
      <c r="U144" s="2287"/>
      <c r="V144" s="2288"/>
      <c r="W144" s="2289"/>
      <c r="X144" s="2290"/>
      <c r="Y144" s="2421"/>
      <c r="Z144" s="2421"/>
      <c r="AA144" s="2421"/>
      <c r="AB144" s="2422"/>
      <c r="AC144" s="2301"/>
      <c r="AD144" s="2302"/>
      <c r="AE144" s="2290"/>
      <c r="AF144" s="2295"/>
      <c r="AG144" s="2295"/>
      <c r="AH144" s="10247"/>
      <c r="AI144" s="2285"/>
    </row>
    <row r="145" spans="1:35" ht="27" customHeight="1">
      <c r="A145" s="10306"/>
      <c r="B145" s="10272"/>
      <c r="C145" s="10256"/>
      <c r="D145" s="10238"/>
      <c r="E145" s="10238"/>
      <c r="F145" s="10238"/>
      <c r="G145" s="10238"/>
      <c r="H145" s="10238"/>
      <c r="I145" s="10238"/>
      <c r="J145" s="10238"/>
      <c r="K145" s="10238"/>
      <c r="L145" s="10238"/>
      <c r="M145" s="10235"/>
      <c r="N145" s="10235"/>
      <c r="O145" s="10235"/>
      <c r="P145" s="10238"/>
      <c r="Q145" s="10238"/>
      <c r="R145" s="10244"/>
      <c r="S145" s="2343"/>
      <c r="T145" s="2296"/>
      <c r="U145" s="2296"/>
      <c r="V145" s="2297"/>
      <c r="W145" s="2289"/>
      <c r="X145" s="2290"/>
      <c r="Y145" s="2407"/>
      <c r="Z145" s="2407"/>
      <c r="AA145" s="2407"/>
      <c r="AB145" s="2408"/>
      <c r="AC145" s="2293"/>
      <c r="AD145" s="2294"/>
      <c r="AE145" s="2290"/>
      <c r="AF145" s="2295"/>
      <c r="AG145" s="2295"/>
      <c r="AH145" s="10247"/>
      <c r="AI145" s="2285"/>
    </row>
    <row r="146" spans="1:35" ht="27" customHeight="1">
      <c r="A146" s="10306"/>
      <c r="B146" s="10272"/>
      <c r="C146" s="10256"/>
      <c r="D146" s="10238"/>
      <c r="E146" s="10238"/>
      <c r="F146" s="10238"/>
      <c r="G146" s="10238"/>
      <c r="H146" s="10238"/>
      <c r="I146" s="10238"/>
      <c r="J146" s="10238"/>
      <c r="K146" s="10238"/>
      <c r="L146" s="10238"/>
      <c r="M146" s="10235"/>
      <c r="N146" s="10235"/>
      <c r="O146" s="10235"/>
      <c r="P146" s="10238"/>
      <c r="Q146" s="10238"/>
      <c r="R146" s="10244"/>
      <c r="S146" s="2286"/>
      <c r="T146" s="2287"/>
      <c r="U146" s="2287"/>
      <c r="V146" s="2288"/>
      <c r="W146" s="2289"/>
      <c r="X146" s="2290"/>
      <c r="Y146" s="2407"/>
      <c r="Z146" s="2407"/>
      <c r="AA146" s="2407"/>
      <c r="AB146" s="2408"/>
      <c r="AC146" s="2293"/>
      <c r="AD146" s="2294"/>
      <c r="AE146" s="2290"/>
      <c r="AF146" s="2295"/>
      <c r="AG146" s="2295"/>
      <c r="AH146" s="10247"/>
      <c r="AI146" s="2285"/>
    </row>
    <row r="147" spans="1:35" ht="27" customHeight="1">
      <c r="A147" s="10306"/>
      <c r="B147" s="10272"/>
      <c r="C147" s="10268"/>
      <c r="D147" s="10265"/>
      <c r="E147" s="10265"/>
      <c r="F147" s="10265"/>
      <c r="G147" s="10265"/>
      <c r="H147" s="10265"/>
      <c r="I147" s="10265"/>
      <c r="J147" s="10265"/>
      <c r="K147" s="10265"/>
      <c r="L147" s="10265"/>
      <c r="M147" s="10267"/>
      <c r="N147" s="10267"/>
      <c r="O147" s="10267"/>
      <c r="P147" s="10265"/>
      <c r="Q147" s="10265"/>
      <c r="R147" s="10260"/>
      <c r="S147" s="2303"/>
      <c r="T147" s="2304"/>
      <c r="U147" s="2304"/>
      <c r="V147" s="2305"/>
      <c r="W147" s="2306"/>
      <c r="X147" s="2409"/>
      <c r="Y147" s="2410"/>
      <c r="Z147" s="2410"/>
      <c r="AA147" s="2410"/>
      <c r="AB147" s="2411"/>
      <c r="AC147" s="2412"/>
      <c r="AD147" s="2413"/>
      <c r="AE147" s="2409"/>
      <c r="AF147" s="2312"/>
      <c r="AG147" s="2312"/>
      <c r="AH147" s="10262"/>
      <c r="AI147" s="2285"/>
    </row>
    <row r="148" spans="1:35" ht="25.5" customHeight="1">
      <c r="A148" s="10306"/>
      <c r="B148" s="10272"/>
      <c r="C148" s="10263" t="s">
        <v>127</v>
      </c>
      <c r="D148" s="10237" t="s">
        <v>128</v>
      </c>
      <c r="E148" s="10237" t="s">
        <v>129</v>
      </c>
      <c r="F148" s="10237" t="s">
        <v>336</v>
      </c>
      <c r="G148" s="10264" t="s">
        <v>131</v>
      </c>
      <c r="H148" s="10237" t="s">
        <v>132</v>
      </c>
      <c r="I148" s="10237" t="s">
        <v>159</v>
      </c>
      <c r="J148" s="10237" t="s">
        <v>2790</v>
      </c>
      <c r="K148" s="10237" t="s">
        <v>2791</v>
      </c>
      <c r="L148" s="10237" t="s">
        <v>2792</v>
      </c>
      <c r="M148" s="10254">
        <v>100</v>
      </c>
      <c r="N148" s="10254">
        <v>100</v>
      </c>
      <c r="O148" s="10254">
        <v>100</v>
      </c>
      <c r="P148" s="10237" t="s">
        <v>2793</v>
      </c>
      <c r="Q148" s="10237" t="s">
        <v>2794</v>
      </c>
      <c r="R148" s="10259" t="s">
        <v>2765</v>
      </c>
      <c r="S148" s="2340"/>
      <c r="T148" s="2313"/>
      <c r="U148" s="2313"/>
      <c r="V148" s="2341"/>
      <c r="W148" s="6187"/>
      <c r="X148" s="2414"/>
      <c r="Y148" s="2415"/>
      <c r="Z148" s="2415"/>
      <c r="AA148" s="2415"/>
      <c r="AB148" s="2416"/>
      <c r="AC148" s="2417"/>
      <c r="AD148" s="2418"/>
      <c r="AE148" s="2414"/>
      <c r="AF148" s="2342"/>
      <c r="AG148" s="2342"/>
      <c r="AH148" s="10261"/>
      <c r="AI148" s="2285"/>
    </row>
    <row r="149" spans="1:35" ht="25.5" customHeight="1">
      <c r="A149" s="10306"/>
      <c r="B149" s="10272"/>
      <c r="C149" s="10256"/>
      <c r="D149" s="10238"/>
      <c r="E149" s="10238"/>
      <c r="F149" s="10238"/>
      <c r="G149" s="10238"/>
      <c r="H149" s="10238"/>
      <c r="I149" s="10238"/>
      <c r="J149" s="10238"/>
      <c r="K149" s="10238"/>
      <c r="L149" s="10238"/>
      <c r="M149" s="10235"/>
      <c r="N149" s="10235"/>
      <c r="O149" s="10235"/>
      <c r="P149" s="10238"/>
      <c r="Q149" s="10238"/>
      <c r="R149" s="10244"/>
      <c r="S149" s="2286"/>
      <c r="T149" s="2287"/>
      <c r="U149" s="2287"/>
      <c r="V149" s="2288"/>
      <c r="W149" s="2289"/>
      <c r="X149" s="2290"/>
      <c r="Y149" s="2407"/>
      <c r="Z149" s="2407"/>
      <c r="AA149" s="2407"/>
      <c r="AB149" s="2408"/>
      <c r="AC149" s="2293"/>
      <c r="AD149" s="2294"/>
      <c r="AE149" s="2290"/>
      <c r="AF149" s="2295"/>
      <c r="AG149" s="2295"/>
      <c r="AH149" s="10247"/>
      <c r="AI149" s="2285"/>
    </row>
    <row r="150" spans="1:35" ht="25.5" customHeight="1">
      <c r="A150" s="10306"/>
      <c r="B150" s="10272"/>
      <c r="C150" s="10256"/>
      <c r="D150" s="10238"/>
      <c r="E150" s="10238"/>
      <c r="F150" s="10238"/>
      <c r="G150" s="10238"/>
      <c r="H150" s="10238"/>
      <c r="I150" s="10238"/>
      <c r="J150" s="10238"/>
      <c r="K150" s="10238"/>
      <c r="L150" s="10238"/>
      <c r="M150" s="10235"/>
      <c r="N150" s="10235"/>
      <c r="O150" s="10235"/>
      <c r="P150" s="10238"/>
      <c r="Q150" s="10238"/>
      <c r="R150" s="10244"/>
      <c r="S150" s="2286"/>
      <c r="T150" s="2287"/>
      <c r="U150" s="2287"/>
      <c r="V150" s="2288"/>
      <c r="W150" s="2289"/>
      <c r="X150" s="2290"/>
      <c r="Y150" s="2407"/>
      <c r="Z150" s="2407"/>
      <c r="AA150" s="2407"/>
      <c r="AB150" s="2408"/>
      <c r="AC150" s="2293"/>
      <c r="AD150" s="2294"/>
      <c r="AE150" s="2290"/>
      <c r="AF150" s="2295"/>
      <c r="AG150" s="2295"/>
      <c r="AH150" s="10247"/>
      <c r="AI150" s="2285"/>
    </row>
    <row r="151" spans="1:35" ht="25.5" customHeight="1">
      <c r="A151" s="10306"/>
      <c r="B151" s="10272"/>
      <c r="C151" s="10256"/>
      <c r="D151" s="10238"/>
      <c r="E151" s="10238"/>
      <c r="F151" s="10238"/>
      <c r="G151" s="10238"/>
      <c r="H151" s="10238"/>
      <c r="I151" s="10238"/>
      <c r="J151" s="10238"/>
      <c r="K151" s="10238"/>
      <c r="L151" s="10238"/>
      <c r="M151" s="10235"/>
      <c r="N151" s="10235"/>
      <c r="O151" s="10235"/>
      <c r="P151" s="10238"/>
      <c r="Q151" s="10238"/>
      <c r="R151" s="10244"/>
      <c r="S151" s="2343"/>
      <c r="T151" s="2296"/>
      <c r="U151" s="2296"/>
      <c r="V151" s="2288"/>
      <c r="W151" s="2289"/>
      <c r="X151" s="2290"/>
      <c r="Y151" s="2407"/>
      <c r="Z151" s="2407"/>
      <c r="AA151" s="2407"/>
      <c r="AB151" s="2408"/>
      <c r="AC151" s="2293"/>
      <c r="AD151" s="2294"/>
      <c r="AE151" s="2290"/>
      <c r="AF151" s="2295"/>
      <c r="AG151" s="2295"/>
      <c r="AH151" s="10247"/>
      <c r="AI151" s="2285"/>
    </row>
    <row r="152" spans="1:35" ht="25.5" customHeight="1">
      <c r="A152" s="10306"/>
      <c r="B152" s="10272"/>
      <c r="C152" s="10257"/>
      <c r="D152" s="10239"/>
      <c r="E152" s="10239"/>
      <c r="F152" s="10239"/>
      <c r="G152" s="10239"/>
      <c r="H152" s="10239"/>
      <c r="I152" s="10239"/>
      <c r="J152" s="10239"/>
      <c r="K152" s="10239"/>
      <c r="L152" s="10239"/>
      <c r="M152" s="10236"/>
      <c r="N152" s="10236"/>
      <c r="O152" s="10236"/>
      <c r="P152" s="10239"/>
      <c r="Q152" s="10239"/>
      <c r="R152" s="10245"/>
      <c r="S152" s="2323"/>
      <c r="T152" s="2324"/>
      <c r="U152" s="2324"/>
      <c r="V152" s="2325"/>
      <c r="W152" s="2326"/>
      <c r="X152" s="2332"/>
      <c r="Y152" s="2419"/>
      <c r="Z152" s="2419"/>
      <c r="AA152" s="2419"/>
      <c r="AB152" s="2420"/>
      <c r="AC152" s="2395"/>
      <c r="AD152" s="2396"/>
      <c r="AE152" s="2332"/>
      <c r="AF152" s="2333"/>
      <c r="AG152" s="2333"/>
      <c r="AH152" s="10248"/>
      <c r="AI152" s="2285"/>
    </row>
    <row r="153" spans="1:35" ht="26.25" customHeight="1">
      <c r="A153" s="10306"/>
      <c r="B153" s="10272"/>
      <c r="C153" s="10255" t="s">
        <v>127</v>
      </c>
      <c r="D153" s="10242" t="s">
        <v>128</v>
      </c>
      <c r="E153" s="10242" t="s">
        <v>129</v>
      </c>
      <c r="F153" s="10242" t="s">
        <v>336</v>
      </c>
      <c r="G153" s="10258" t="s">
        <v>131</v>
      </c>
      <c r="H153" s="10242" t="s">
        <v>132</v>
      </c>
      <c r="I153" s="10242" t="s">
        <v>189</v>
      </c>
      <c r="J153" s="10258" t="s">
        <v>2795</v>
      </c>
      <c r="K153" s="10242" t="s">
        <v>2796</v>
      </c>
      <c r="L153" s="10242" t="s">
        <v>2797</v>
      </c>
      <c r="M153" s="10283">
        <v>0</v>
      </c>
      <c r="N153" s="10283">
        <v>1</v>
      </c>
      <c r="O153" s="10283">
        <v>1</v>
      </c>
      <c r="P153" s="10242" t="s">
        <v>2798</v>
      </c>
      <c r="Q153" s="10242" t="s">
        <v>2799</v>
      </c>
      <c r="R153" s="10243" t="s">
        <v>2765</v>
      </c>
      <c r="S153" s="2334"/>
      <c r="T153" s="2277"/>
      <c r="U153" s="2277"/>
      <c r="V153" s="2278"/>
      <c r="W153" s="6186"/>
      <c r="X153" s="2279"/>
      <c r="Y153" s="2404"/>
      <c r="Z153" s="2404"/>
      <c r="AA153" s="2404"/>
      <c r="AB153" s="2405"/>
      <c r="AC153" s="2282"/>
      <c r="AD153" s="2283"/>
      <c r="AE153" s="2279"/>
      <c r="AF153" s="2428"/>
      <c r="AG153" s="2428"/>
      <c r="AH153" s="10246"/>
      <c r="AI153" s="2285"/>
    </row>
    <row r="154" spans="1:35" ht="26.25" customHeight="1">
      <c r="A154" s="10306"/>
      <c r="B154" s="10272"/>
      <c r="C154" s="10256"/>
      <c r="D154" s="10238"/>
      <c r="E154" s="10238"/>
      <c r="F154" s="10238"/>
      <c r="G154" s="10238"/>
      <c r="H154" s="10238"/>
      <c r="I154" s="10238"/>
      <c r="J154" s="10238"/>
      <c r="K154" s="10238"/>
      <c r="L154" s="10238"/>
      <c r="M154" s="10235"/>
      <c r="N154" s="10235"/>
      <c r="O154" s="10235"/>
      <c r="P154" s="10238"/>
      <c r="Q154" s="10238"/>
      <c r="R154" s="10244"/>
      <c r="S154" s="2286"/>
      <c r="T154" s="2287"/>
      <c r="U154" s="2287"/>
      <c r="V154" s="2288"/>
      <c r="W154" s="2289"/>
      <c r="X154" s="2290"/>
      <c r="Y154" s="2407"/>
      <c r="Z154" s="2407"/>
      <c r="AA154" s="2407"/>
      <c r="AB154" s="2408"/>
      <c r="AC154" s="2293"/>
      <c r="AD154" s="2294"/>
      <c r="AE154" s="2290"/>
      <c r="AF154" s="2290"/>
      <c r="AG154" s="2322"/>
      <c r="AH154" s="10247"/>
      <c r="AI154" s="2285"/>
    </row>
    <row r="155" spans="1:35" ht="26.25" customHeight="1">
      <c r="A155" s="10306"/>
      <c r="B155" s="10272"/>
      <c r="C155" s="10256"/>
      <c r="D155" s="10238"/>
      <c r="E155" s="10238"/>
      <c r="F155" s="10238"/>
      <c r="G155" s="10238"/>
      <c r="H155" s="10238"/>
      <c r="I155" s="10238"/>
      <c r="J155" s="10238"/>
      <c r="K155" s="10238"/>
      <c r="L155" s="10238"/>
      <c r="M155" s="10235"/>
      <c r="N155" s="10235"/>
      <c r="O155" s="10235"/>
      <c r="P155" s="10238"/>
      <c r="Q155" s="10238"/>
      <c r="R155" s="10244"/>
      <c r="S155" s="2286"/>
      <c r="T155" s="2287"/>
      <c r="U155" s="2287"/>
      <c r="V155" s="2288"/>
      <c r="W155" s="2289"/>
      <c r="X155" s="2290"/>
      <c r="Y155" s="2407"/>
      <c r="Z155" s="2407"/>
      <c r="AA155" s="2407"/>
      <c r="AB155" s="2408"/>
      <c r="AC155" s="2293"/>
      <c r="AD155" s="2294"/>
      <c r="AE155" s="2290"/>
      <c r="AF155" s="2290"/>
      <c r="AG155" s="2295"/>
      <c r="AH155" s="10247"/>
      <c r="AI155" s="2285"/>
    </row>
    <row r="156" spans="1:35" ht="26.25" customHeight="1">
      <c r="A156" s="10306"/>
      <c r="B156" s="10272"/>
      <c r="C156" s="10256"/>
      <c r="D156" s="10238"/>
      <c r="E156" s="10238"/>
      <c r="F156" s="10238"/>
      <c r="G156" s="10238"/>
      <c r="H156" s="10238"/>
      <c r="I156" s="10238"/>
      <c r="J156" s="10238"/>
      <c r="K156" s="10238"/>
      <c r="L156" s="10238"/>
      <c r="M156" s="10235"/>
      <c r="N156" s="10235"/>
      <c r="O156" s="10235"/>
      <c r="P156" s="10238"/>
      <c r="Q156" s="10238"/>
      <c r="R156" s="10244"/>
      <c r="S156" s="2286"/>
      <c r="T156" s="2287"/>
      <c r="U156" s="2287"/>
      <c r="V156" s="2288"/>
      <c r="W156" s="2289"/>
      <c r="X156" s="2290"/>
      <c r="Y156" s="2407"/>
      <c r="Z156" s="2407"/>
      <c r="AA156" s="2407"/>
      <c r="AB156" s="2408"/>
      <c r="AC156" s="2293"/>
      <c r="AD156" s="2294"/>
      <c r="AE156" s="2290"/>
      <c r="AF156" s="2290"/>
      <c r="AG156" s="2295"/>
      <c r="AH156" s="10247"/>
      <c r="AI156" s="2285"/>
    </row>
    <row r="157" spans="1:35" ht="26.25" customHeight="1">
      <c r="A157" s="10306"/>
      <c r="B157" s="10272"/>
      <c r="C157" s="10268"/>
      <c r="D157" s="10265"/>
      <c r="E157" s="10265"/>
      <c r="F157" s="10265"/>
      <c r="G157" s="10265"/>
      <c r="H157" s="10265"/>
      <c r="I157" s="10265"/>
      <c r="J157" s="10265"/>
      <c r="K157" s="10265"/>
      <c r="L157" s="10265"/>
      <c r="M157" s="10267"/>
      <c r="N157" s="10267"/>
      <c r="O157" s="10267"/>
      <c r="P157" s="10265"/>
      <c r="Q157" s="10265"/>
      <c r="R157" s="10260"/>
      <c r="S157" s="2303"/>
      <c r="T157" s="2304"/>
      <c r="U157" s="2304"/>
      <c r="V157" s="2305"/>
      <c r="W157" s="2306"/>
      <c r="X157" s="2409"/>
      <c r="Y157" s="2410"/>
      <c r="Z157" s="2410"/>
      <c r="AA157" s="2410"/>
      <c r="AB157" s="2411"/>
      <c r="AC157" s="2412"/>
      <c r="AD157" s="2413"/>
      <c r="AE157" s="2409"/>
      <c r="AF157" s="2409"/>
      <c r="AG157" s="2312"/>
      <c r="AH157" s="10262"/>
      <c r="AI157" s="2285"/>
    </row>
    <row r="158" spans="1:35" ht="27" customHeight="1">
      <c r="A158" s="10306"/>
      <c r="B158" s="10272"/>
      <c r="C158" s="10263" t="s">
        <v>127</v>
      </c>
      <c r="D158" s="10237" t="s">
        <v>128</v>
      </c>
      <c r="E158" s="10237" t="s">
        <v>129</v>
      </c>
      <c r="F158" s="10237" t="s">
        <v>508</v>
      </c>
      <c r="G158" s="10264" t="s">
        <v>131</v>
      </c>
      <c r="H158" s="10237" t="s">
        <v>132</v>
      </c>
      <c r="I158" s="10237" t="s">
        <v>159</v>
      </c>
      <c r="J158" s="10264" t="s">
        <v>2800</v>
      </c>
      <c r="K158" s="10237" t="s">
        <v>2801</v>
      </c>
      <c r="L158" s="10237" t="s">
        <v>2802</v>
      </c>
      <c r="M158" s="10254">
        <v>10</v>
      </c>
      <c r="N158" s="10254">
        <v>10</v>
      </c>
      <c r="O158" s="10254">
        <v>10</v>
      </c>
      <c r="P158" s="10237" t="s">
        <v>2803</v>
      </c>
      <c r="Q158" s="10237" t="s">
        <v>2804</v>
      </c>
      <c r="R158" s="10259" t="s">
        <v>2765</v>
      </c>
      <c r="S158" s="2340"/>
      <c r="T158" s="2313"/>
      <c r="U158" s="2313"/>
      <c r="V158" s="2341"/>
      <c r="W158" s="6187"/>
      <c r="X158" s="2414"/>
      <c r="Y158" s="2415"/>
      <c r="Z158" s="2415"/>
      <c r="AA158" s="2415"/>
      <c r="AB158" s="2416"/>
      <c r="AC158" s="2417"/>
      <c r="AD158" s="2418"/>
      <c r="AE158" s="2414"/>
      <c r="AF158" s="2342"/>
      <c r="AG158" s="2342"/>
      <c r="AH158" s="10261"/>
      <c r="AI158" s="2285"/>
    </row>
    <row r="159" spans="1:35" ht="27" customHeight="1">
      <c r="A159" s="10306"/>
      <c r="B159" s="10272"/>
      <c r="C159" s="10256"/>
      <c r="D159" s="10238"/>
      <c r="E159" s="10238"/>
      <c r="F159" s="10238"/>
      <c r="G159" s="10238"/>
      <c r="H159" s="10238"/>
      <c r="I159" s="10238"/>
      <c r="J159" s="10238"/>
      <c r="K159" s="10238"/>
      <c r="L159" s="10238"/>
      <c r="M159" s="10235"/>
      <c r="N159" s="10235"/>
      <c r="O159" s="10235"/>
      <c r="P159" s="10238"/>
      <c r="Q159" s="10238"/>
      <c r="R159" s="10244"/>
      <c r="S159" s="2286"/>
      <c r="T159" s="2287"/>
      <c r="U159" s="2287"/>
      <c r="V159" s="2288"/>
      <c r="W159" s="2289"/>
      <c r="X159" s="2290"/>
      <c r="Y159" s="2407"/>
      <c r="Z159" s="2407"/>
      <c r="AA159" s="2407"/>
      <c r="AB159" s="2408"/>
      <c r="AC159" s="2293"/>
      <c r="AD159" s="2294"/>
      <c r="AE159" s="2290"/>
      <c r="AF159" s="2295"/>
      <c r="AG159" s="2295"/>
      <c r="AH159" s="10247"/>
      <c r="AI159" s="2285"/>
    </row>
    <row r="160" spans="1:35" ht="27" customHeight="1">
      <c r="A160" s="10306"/>
      <c r="B160" s="10272"/>
      <c r="C160" s="10256"/>
      <c r="D160" s="10238"/>
      <c r="E160" s="10238"/>
      <c r="F160" s="10238"/>
      <c r="G160" s="10238"/>
      <c r="H160" s="10238"/>
      <c r="I160" s="10238"/>
      <c r="J160" s="10238"/>
      <c r="K160" s="10238"/>
      <c r="L160" s="10238"/>
      <c r="M160" s="10235"/>
      <c r="N160" s="10235"/>
      <c r="O160" s="10235"/>
      <c r="P160" s="10238"/>
      <c r="Q160" s="10238"/>
      <c r="R160" s="10244"/>
      <c r="S160" s="2286"/>
      <c r="T160" s="2287"/>
      <c r="U160" s="2287"/>
      <c r="V160" s="2288"/>
      <c r="W160" s="2289"/>
      <c r="X160" s="2290"/>
      <c r="Y160" s="2407"/>
      <c r="Z160" s="2407"/>
      <c r="AA160" s="2407"/>
      <c r="AB160" s="2408"/>
      <c r="AC160" s="2293"/>
      <c r="AD160" s="2294"/>
      <c r="AE160" s="2290"/>
      <c r="AF160" s="2295"/>
      <c r="AG160" s="2295"/>
      <c r="AH160" s="10247"/>
      <c r="AI160" s="2285"/>
    </row>
    <row r="161" spans="1:35" ht="27" customHeight="1">
      <c r="A161" s="10306"/>
      <c r="B161" s="10272"/>
      <c r="C161" s="10256"/>
      <c r="D161" s="10238"/>
      <c r="E161" s="10238"/>
      <c r="F161" s="10238"/>
      <c r="G161" s="10238"/>
      <c r="H161" s="10238"/>
      <c r="I161" s="10238"/>
      <c r="J161" s="10238"/>
      <c r="K161" s="10238"/>
      <c r="L161" s="10238"/>
      <c r="M161" s="10235"/>
      <c r="N161" s="10235"/>
      <c r="O161" s="10235"/>
      <c r="P161" s="10238"/>
      <c r="Q161" s="10238"/>
      <c r="R161" s="10244"/>
      <c r="S161" s="2286"/>
      <c r="T161" s="2287"/>
      <c r="U161" s="2287"/>
      <c r="V161" s="2288"/>
      <c r="W161" s="2289"/>
      <c r="X161" s="2290"/>
      <c r="Y161" s="2407"/>
      <c r="Z161" s="2407"/>
      <c r="AA161" s="2407"/>
      <c r="AB161" s="2408"/>
      <c r="AC161" s="2293"/>
      <c r="AD161" s="2294"/>
      <c r="AE161" s="2290"/>
      <c r="AF161" s="2295"/>
      <c r="AG161" s="2295"/>
      <c r="AH161" s="10247"/>
      <c r="AI161" s="2285"/>
    </row>
    <row r="162" spans="1:35" ht="27" customHeight="1">
      <c r="A162" s="10306"/>
      <c r="B162" s="10272"/>
      <c r="C162" s="10257"/>
      <c r="D162" s="10239"/>
      <c r="E162" s="10239"/>
      <c r="F162" s="10239"/>
      <c r="G162" s="10239"/>
      <c r="H162" s="10239"/>
      <c r="I162" s="10239"/>
      <c r="J162" s="10239"/>
      <c r="K162" s="10239"/>
      <c r="L162" s="10239"/>
      <c r="M162" s="10236"/>
      <c r="N162" s="10236"/>
      <c r="O162" s="10236"/>
      <c r="P162" s="10239"/>
      <c r="Q162" s="10239"/>
      <c r="R162" s="10245"/>
      <c r="S162" s="2323"/>
      <c r="T162" s="7203"/>
      <c r="U162" s="2324"/>
      <c r="V162" s="2325"/>
      <c r="W162" s="2326"/>
      <c r="X162" s="2332"/>
      <c r="Y162" s="2419"/>
      <c r="Z162" s="2419"/>
      <c r="AA162" s="2419"/>
      <c r="AB162" s="2420"/>
      <c r="AC162" s="2395"/>
      <c r="AD162" s="2396"/>
      <c r="AE162" s="2332"/>
      <c r="AF162" s="2333"/>
      <c r="AG162" s="2333"/>
      <c r="AH162" s="10248"/>
      <c r="AI162" s="2285"/>
    </row>
    <row r="163" spans="1:35" ht="25.5" customHeight="1">
      <c r="A163" s="10306"/>
      <c r="B163" s="10272"/>
      <c r="C163" s="10255" t="s">
        <v>127</v>
      </c>
      <c r="D163" s="10242" t="s">
        <v>128</v>
      </c>
      <c r="E163" s="10242" t="s">
        <v>129</v>
      </c>
      <c r="F163" s="10242" t="s">
        <v>157</v>
      </c>
      <c r="G163" s="10258" t="s">
        <v>131</v>
      </c>
      <c r="H163" s="10242" t="s">
        <v>213</v>
      </c>
      <c r="I163" s="10242" t="s">
        <v>159</v>
      </c>
      <c r="J163" s="10242" t="s">
        <v>2805</v>
      </c>
      <c r="K163" s="10242" t="s">
        <v>2806</v>
      </c>
      <c r="L163" s="10242" t="s">
        <v>2807</v>
      </c>
      <c r="M163" s="10283">
        <v>30</v>
      </c>
      <c r="N163" s="10283">
        <v>30</v>
      </c>
      <c r="O163" s="10283">
        <v>30</v>
      </c>
      <c r="P163" s="10242" t="s">
        <v>2808</v>
      </c>
      <c r="Q163" s="10242" t="s">
        <v>2809</v>
      </c>
      <c r="R163" s="10243" t="s">
        <v>2765</v>
      </c>
      <c r="S163" s="2334"/>
      <c r="T163" s="7204"/>
      <c r="U163" s="7204"/>
      <c r="V163" s="2278"/>
      <c r="W163" s="6186"/>
      <c r="X163" s="2279"/>
      <c r="Y163" s="2404"/>
      <c r="Z163" s="2404"/>
      <c r="AA163" s="2404"/>
      <c r="AB163" s="2405"/>
      <c r="AC163" s="2282"/>
      <c r="AD163" s="2283"/>
      <c r="AE163" s="2279"/>
      <c r="AF163" s="2284"/>
      <c r="AG163" s="2284"/>
      <c r="AH163" s="10246"/>
      <c r="AI163" s="2285"/>
    </row>
    <row r="164" spans="1:35" ht="25.5" customHeight="1">
      <c r="A164" s="10306"/>
      <c r="B164" s="10272"/>
      <c r="C164" s="10256"/>
      <c r="D164" s="10238"/>
      <c r="E164" s="10238"/>
      <c r="F164" s="10238"/>
      <c r="G164" s="10238"/>
      <c r="H164" s="10238"/>
      <c r="I164" s="10238"/>
      <c r="J164" s="10238"/>
      <c r="K164" s="10238"/>
      <c r="L164" s="10238"/>
      <c r="M164" s="10235"/>
      <c r="N164" s="10235"/>
      <c r="O164" s="10235"/>
      <c r="P164" s="10238"/>
      <c r="Q164" s="10238"/>
      <c r="R164" s="10244"/>
      <c r="S164" s="2286"/>
      <c r="T164" s="2287"/>
      <c r="U164" s="2287"/>
      <c r="V164" s="2288"/>
      <c r="W164" s="2289"/>
      <c r="X164" s="2290"/>
      <c r="Y164" s="2407"/>
      <c r="Z164" s="2407"/>
      <c r="AA164" s="2407"/>
      <c r="AB164" s="2408"/>
      <c r="AC164" s="2293"/>
      <c r="AD164" s="2294"/>
      <c r="AE164" s="2290"/>
      <c r="AF164" s="2295"/>
      <c r="AG164" s="2295"/>
      <c r="AH164" s="10247"/>
      <c r="AI164" s="2285"/>
    </row>
    <row r="165" spans="1:35" ht="25.5" customHeight="1">
      <c r="A165" s="10306"/>
      <c r="B165" s="10272"/>
      <c r="C165" s="10256"/>
      <c r="D165" s="10238"/>
      <c r="E165" s="10238"/>
      <c r="F165" s="10238"/>
      <c r="G165" s="10238"/>
      <c r="H165" s="10238"/>
      <c r="I165" s="10238"/>
      <c r="J165" s="10238"/>
      <c r="K165" s="10238"/>
      <c r="L165" s="10238"/>
      <c r="M165" s="10235"/>
      <c r="N165" s="10235"/>
      <c r="O165" s="10235"/>
      <c r="P165" s="10238"/>
      <c r="Q165" s="10238"/>
      <c r="R165" s="10244"/>
      <c r="S165" s="2286"/>
      <c r="T165" s="2287"/>
      <c r="U165" s="2287"/>
      <c r="V165" s="2288"/>
      <c r="W165" s="2289"/>
      <c r="X165" s="2290"/>
      <c r="Y165" s="2407"/>
      <c r="Z165" s="2407"/>
      <c r="AA165" s="2407"/>
      <c r="AB165" s="2408"/>
      <c r="AC165" s="2293"/>
      <c r="AD165" s="2294"/>
      <c r="AE165" s="2290"/>
      <c r="AF165" s="2295"/>
      <c r="AG165" s="2295"/>
      <c r="AH165" s="10247"/>
      <c r="AI165" s="2285"/>
    </row>
    <row r="166" spans="1:35" ht="25.5" customHeight="1">
      <c r="A166" s="10306"/>
      <c r="B166" s="10272"/>
      <c r="C166" s="10256"/>
      <c r="D166" s="10238"/>
      <c r="E166" s="10238"/>
      <c r="F166" s="10238"/>
      <c r="G166" s="10238"/>
      <c r="H166" s="10238"/>
      <c r="I166" s="10238"/>
      <c r="J166" s="10238"/>
      <c r="K166" s="10238"/>
      <c r="L166" s="10238"/>
      <c r="M166" s="10235"/>
      <c r="N166" s="10235"/>
      <c r="O166" s="10235"/>
      <c r="P166" s="10238"/>
      <c r="Q166" s="10238"/>
      <c r="R166" s="10244"/>
      <c r="S166" s="2286"/>
      <c r="T166" s="2287"/>
      <c r="U166" s="2287"/>
      <c r="V166" s="2288"/>
      <c r="W166" s="2289"/>
      <c r="X166" s="2290"/>
      <c r="Y166" s="2407"/>
      <c r="Z166" s="2407"/>
      <c r="AA166" s="2407"/>
      <c r="AB166" s="2408"/>
      <c r="AC166" s="2293"/>
      <c r="AD166" s="2294"/>
      <c r="AE166" s="2290"/>
      <c r="AF166" s="2295"/>
      <c r="AG166" s="2295"/>
      <c r="AH166" s="10247"/>
      <c r="AI166" s="2285"/>
    </row>
    <row r="167" spans="1:35" ht="25.5" customHeight="1">
      <c r="A167" s="10306"/>
      <c r="B167" s="10272"/>
      <c r="C167" s="10268"/>
      <c r="D167" s="10265"/>
      <c r="E167" s="10265"/>
      <c r="F167" s="10265"/>
      <c r="G167" s="10265"/>
      <c r="H167" s="10265"/>
      <c r="I167" s="10265"/>
      <c r="J167" s="10265"/>
      <c r="K167" s="10265"/>
      <c r="L167" s="10265"/>
      <c r="M167" s="10267"/>
      <c r="N167" s="10267"/>
      <c r="O167" s="10267"/>
      <c r="P167" s="10265"/>
      <c r="Q167" s="10265"/>
      <c r="R167" s="10260"/>
      <c r="S167" s="2303"/>
      <c r="T167" s="2304"/>
      <c r="U167" s="2304"/>
      <c r="V167" s="2305"/>
      <c r="W167" s="2306"/>
      <c r="X167" s="2409"/>
      <c r="Y167" s="2410"/>
      <c r="Z167" s="2410"/>
      <c r="AA167" s="2410"/>
      <c r="AB167" s="2411"/>
      <c r="AC167" s="2412"/>
      <c r="AD167" s="2413"/>
      <c r="AE167" s="2409"/>
      <c r="AF167" s="2312"/>
      <c r="AG167" s="2312"/>
      <c r="AH167" s="10262"/>
      <c r="AI167" s="2285"/>
    </row>
    <row r="168" spans="1:35" ht="27" customHeight="1">
      <c r="A168" s="10306"/>
      <c r="B168" s="10272"/>
      <c r="C168" s="10263" t="s">
        <v>127</v>
      </c>
      <c r="D168" s="10237" t="s">
        <v>128</v>
      </c>
      <c r="E168" s="10237" t="s">
        <v>129</v>
      </c>
      <c r="F168" s="10237" t="s">
        <v>336</v>
      </c>
      <c r="G168" s="10264" t="s">
        <v>131</v>
      </c>
      <c r="H168" s="10237" t="s">
        <v>132</v>
      </c>
      <c r="I168" s="10237" t="s">
        <v>189</v>
      </c>
      <c r="J168" s="10237" t="s">
        <v>2810</v>
      </c>
      <c r="K168" s="10237" t="s">
        <v>2811</v>
      </c>
      <c r="L168" s="10237" t="s">
        <v>2812</v>
      </c>
      <c r="M168" s="10254">
        <v>0</v>
      </c>
      <c r="N168" s="10254">
        <v>0</v>
      </c>
      <c r="O168" s="10254">
        <v>1</v>
      </c>
      <c r="P168" s="10237" t="s">
        <v>2813</v>
      </c>
      <c r="Q168" s="10237" t="s">
        <v>2814</v>
      </c>
      <c r="R168" s="10259" t="s">
        <v>2815</v>
      </c>
      <c r="S168" s="2429"/>
      <c r="T168" s="7205"/>
      <c r="U168" s="7205"/>
      <c r="V168" s="2430"/>
      <c r="W168" s="6187"/>
      <c r="X168" s="2414"/>
      <c r="Y168" s="2415"/>
      <c r="Z168" s="2415"/>
      <c r="AA168" s="2415"/>
      <c r="AB168" s="2416"/>
      <c r="AC168" s="2417"/>
      <c r="AD168" s="2418"/>
      <c r="AE168" s="2414"/>
      <c r="AF168" s="2342"/>
      <c r="AG168" s="2342"/>
      <c r="AH168" s="10261"/>
      <c r="AI168" s="2285"/>
    </row>
    <row r="169" spans="1:35" ht="27" customHeight="1">
      <c r="A169" s="10306"/>
      <c r="B169" s="10272"/>
      <c r="C169" s="10256"/>
      <c r="D169" s="10238"/>
      <c r="E169" s="10238"/>
      <c r="F169" s="10238"/>
      <c r="G169" s="10238"/>
      <c r="H169" s="10238"/>
      <c r="I169" s="10238"/>
      <c r="J169" s="10238"/>
      <c r="K169" s="10238"/>
      <c r="L169" s="10238"/>
      <c r="M169" s="10235"/>
      <c r="N169" s="10235"/>
      <c r="O169" s="10235"/>
      <c r="P169" s="10238"/>
      <c r="Q169" s="10238"/>
      <c r="R169" s="10244"/>
      <c r="S169" s="2286"/>
      <c r="T169" s="2287"/>
      <c r="U169" s="2287"/>
      <c r="V169" s="2288"/>
      <c r="W169" s="2289"/>
      <c r="X169" s="2290"/>
      <c r="Y169" s="2407"/>
      <c r="Z169" s="2407"/>
      <c r="AA169" s="2407"/>
      <c r="AB169" s="2408"/>
      <c r="AC169" s="2293"/>
      <c r="AD169" s="2294"/>
      <c r="AE169" s="2290"/>
      <c r="AF169" s="2295"/>
      <c r="AG169" s="2295"/>
      <c r="AH169" s="10247"/>
      <c r="AI169" s="2285"/>
    </row>
    <row r="170" spans="1:35" ht="27" customHeight="1">
      <c r="A170" s="10306"/>
      <c r="B170" s="10272"/>
      <c r="C170" s="10256"/>
      <c r="D170" s="10238"/>
      <c r="E170" s="10238"/>
      <c r="F170" s="10238"/>
      <c r="G170" s="10238"/>
      <c r="H170" s="10238"/>
      <c r="I170" s="10238"/>
      <c r="J170" s="10238"/>
      <c r="K170" s="10238"/>
      <c r="L170" s="10238"/>
      <c r="M170" s="10235"/>
      <c r="N170" s="10235"/>
      <c r="O170" s="10235"/>
      <c r="P170" s="10238"/>
      <c r="Q170" s="10238"/>
      <c r="R170" s="10244"/>
      <c r="S170" s="2286"/>
      <c r="T170" s="2287"/>
      <c r="U170" s="2287"/>
      <c r="V170" s="2288"/>
      <c r="W170" s="2289"/>
      <c r="X170" s="2290"/>
      <c r="Y170" s="2407"/>
      <c r="Z170" s="2407"/>
      <c r="AA170" s="2407"/>
      <c r="AB170" s="2408"/>
      <c r="AC170" s="2293"/>
      <c r="AD170" s="2294"/>
      <c r="AE170" s="2290"/>
      <c r="AF170" s="2295"/>
      <c r="AG170" s="2295"/>
      <c r="AH170" s="10247"/>
      <c r="AI170" s="2285"/>
    </row>
    <row r="171" spans="1:35" ht="27" customHeight="1">
      <c r="A171" s="10306"/>
      <c r="B171" s="10272"/>
      <c r="C171" s="10256"/>
      <c r="D171" s="10238"/>
      <c r="E171" s="10238"/>
      <c r="F171" s="10238"/>
      <c r="G171" s="10238"/>
      <c r="H171" s="10238"/>
      <c r="I171" s="10238"/>
      <c r="J171" s="10238"/>
      <c r="K171" s="10238"/>
      <c r="L171" s="10238"/>
      <c r="M171" s="10235"/>
      <c r="N171" s="10235"/>
      <c r="O171" s="10235"/>
      <c r="P171" s="10238"/>
      <c r="Q171" s="10238"/>
      <c r="R171" s="10244"/>
      <c r="S171" s="2286"/>
      <c r="T171" s="2287"/>
      <c r="U171" s="2287"/>
      <c r="V171" s="2288"/>
      <c r="W171" s="2289"/>
      <c r="X171" s="2290"/>
      <c r="Y171" s="2407"/>
      <c r="Z171" s="2407"/>
      <c r="AA171" s="2407"/>
      <c r="AB171" s="2408"/>
      <c r="AC171" s="2293"/>
      <c r="AD171" s="2294"/>
      <c r="AE171" s="2290"/>
      <c r="AF171" s="2295"/>
      <c r="AG171" s="2295"/>
      <c r="AH171" s="10247"/>
      <c r="AI171" s="2285"/>
    </row>
    <row r="172" spans="1:35" ht="27" customHeight="1">
      <c r="A172" s="10306"/>
      <c r="B172" s="10272"/>
      <c r="C172" s="10257"/>
      <c r="D172" s="10239"/>
      <c r="E172" s="10239"/>
      <c r="F172" s="10239"/>
      <c r="G172" s="10239"/>
      <c r="H172" s="10239"/>
      <c r="I172" s="10239"/>
      <c r="J172" s="10239"/>
      <c r="K172" s="10239"/>
      <c r="L172" s="10239"/>
      <c r="M172" s="10236"/>
      <c r="N172" s="10236"/>
      <c r="O172" s="10236"/>
      <c r="P172" s="10239"/>
      <c r="Q172" s="10239"/>
      <c r="R172" s="10245"/>
      <c r="S172" s="2323"/>
      <c r="T172" s="2324"/>
      <c r="U172" s="2324"/>
      <c r="V172" s="2325"/>
      <c r="W172" s="2326"/>
      <c r="X172" s="2332"/>
      <c r="Y172" s="2419"/>
      <c r="Z172" s="2419"/>
      <c r="AA172" s="2419"/>
      <c r="AB172" s="2420"/>
      <c r="AC172" s="2395"/>
      <c r="AD172" s="2396"/>
      <c r="AE172" s="2332"/>
      <c r="AF172" s="2333"/>
      <c r="AG172" s="2333"/>
      <c r="AH172" s="10248"/>
      <c r="AI172" s="2285"/>
    </row>
    <row r="173" spans="1:35" ht="26.25" customHeight="1">
      <c r="A173" s="10306"/>
      <c r="B173" s="10272"/>
      <c r="C173" s="10255" t="s">
        <v>127</v>
      </c>
      <c r="D173" s="10242" t="s">
        <v>128</v>
      </c>
      <c r="E173" s="10242" t="s">
        <v>129</v>
      </c>
      <c r="F173" s="10242" t="s">
        <v>336</v>
      </c>
      <c r="G173" s="10258" t="s">
        <v>131</v>
      </c>
      <c r="H173" s="10242" t="s">
        <v>132</v>
      </c>
      <c r="I173" s="10242" t="s">
        <v>189</v>
      </c>
      <c r="J173" s="10269" t="s">
        <v>2816</v>
      </c>
      <c r="K173" s="10242" t="s">
        <v>2817</v>
      </c>
      <c r="L173" s="10242" t="s">
        <v>2818</v>
      </c>
      <c r="M173" s="10283">
        <v>0</v>
      </c>
      <c r="N173" s="10283">
        <v>0</v>
      </c>
      <c r="O173" s="10283">
        <v>1</v>
      </c>
      <c r="P173" s="10242" t="s">
        <v>2819</v>
      </c>
      <c r="Q173" s="10242" t="s">
        <v>2820</v>
      </c>
      <c r="R173" s="10243" t="s">
        <v>2815</v>
      </c>
      <c r="S173" s="2653"/>
      <c r="T173" s="2798"/>
      <c r="U173" s="2798"/>
      <c r="V173" s="2654"/>
      <c r="W173" s="7219"/>
      <c r="X173" s="2655"/>
      <c r="Y173" s="7238"/>
      <c r="Z173" s="2656"/>
      <c r="AA173" s="2380"/>
      <c r="AB173" s="2391"/>
      <c r="AC173" s="2282"/>
      <c r="AD173" s="2283"/>
      <c r="AE173" s="2279"/>
      <c r="AF173" s="2284"/>
      <c r="AG173" s="2284"/>
      <c r="AH173" s="10246"/>
      <c r="AI173" s="2285"/>
    </row>
    <row r="174" spans="1:35" ht="26.25" customHeight="1">
      <c r="A174" s="10306"/>
      <c r="B174" s="10272"/>
      <c r="C174" s="10256"/>
      <c r="D174" s="10238"/>
      <c r="E174" s="10238"/>
      <c r="F174" s="10238"/>
      <c r="G174" s="10238"/>
      <c r="H174" s="10238"/>
      <c r="I174" s="10238"/>
      <c r="J174" s="10238"/>
      <c r="K174" s="10238"/>
      <c r="L174" s="10238"/>
      <c r="M174" s="10235"/>
      <c r="N174" s="10235"/>
      <c r="O174" s="10235"/>
      <c r="P174" s="10238"/>
      <c r="Q174" s="10238"/>
      <c r="R174" s="10244"/>
      <c r="S174" s="2617"/>
      <c r="T174" s="2799"/>
      <c r="U174" s="7206"/>
      <c r="V174" s="2657"/>
      <c r="W174" s="7228"/>
      <c r="X174" s="2618"/>
      <c r="Y174" s="7235"/>
      <c r="Z174" s="2658"/>
      <c r="AA174" s="2380"/>
      <c r="AB174" s="2391"/>
      <c r="AC174" s="2293"/>
      <c r="AD174" s="2294"/>
      <c r="AE174" s="2290"/>
      <c r="AF174" s="2295"/>
      <c r="AG174" s="2295"/>
      <c r="AH174" s="10247"/>
      <c r="AI174" s="2285"/>
    </row>
    <row r="175" spans="1:35" ht="26.25" customHeight="1">
      <c r="A175" s="10306"/>
      <c r="B175" s="10272"/>
      <c r="C175" s="10256"/>
      <c r="D175" s="10238"/>
      <c r="E175" s="10238"/>
      <c r="F175" s="10238"/>
      <c r="G175" s="10238"/>
      <c r="H175" s="10238"/>
      <c r="I175" s="10238"/>
      <c r="J175" s="10238"/>
      <c r="K175" s="10238"/>
      <c r="L175" s="10238"/>
      <c r="M175" s="10235"/>
      <c r="N175" s="10235"/>
      <c r="O175" s="10235"/>
      <c r="P175" s="10238"/>
      <c r="Q175" s="10238"/>
      <c r="R175" s="10244"/>
      <c r="S175" s="2644"/>
      <c r="T175" s="7207"/>
      <c r="U175" s="7207"/>
      <c r="V175" s="2659"/>
      <c r="W175" s="7229"/>
      <c r="X175" s="2660"/>
      <c r="Y175" s="2661"/>
      <c r="Z175" s="2662"/>
      <c r="AA175" s="2407"/>
      <c r="AB175" s="2408"/>
      <c r="AC175" s="2293"/>
      <c r="AD175" s="2294"/>
      <c r="AE175" s="2290"/>
      <c r="AF175" s="2295"/>
      <c r="AG175" s="2295"/>
      <c r="AH175" s="10247"/>
      <c r="AI175" s="2285"/>
    </row>
    <row r="176" spans="1:35" ht="26.25" customHeight="1">
      <c r="A176" s="10306"/>
      <c r="B176" s="10272"/>
      <c r="C176" s="10256"/>
      <c r="D176" s="10238"/>
      <c r="E176" s="10238"/>
      <c r="F176" s="10238"/>
      <c r="G176" s="10238"/>
      <c r="H176" s="10238"/>
      <c r="I176" s="10238"/>
      <c r="J176" s="10238"/>
      <c r="K176" s="10238"/>
      <c r="L176" s="10238"/>
      <c r="M176" s="10235"/>
      <c r="N176" s="10235"/>
      <c r="O176" s="10235"/>
      <c r="P176" s="10238"/>
      <c r="Q176" s="10238"/>
      <c r="R176" s="10244"/>
      <c r="S176" s="2286"/>
      <c r="T176" s="2287"/>
      <c r="U176" s="2287"/>
      <c r="V176" s="2288"/>
      <c r="W176" s="2289"/>
      <c r="X176" s="2290"/>
      <c r="Y176" s="2407"/>
      <c r="Z176" s="2407"/>
      <c r="AA176" s="2407"/>
      <c r="AB176" s="2408"/>
      <c r="AC176" s="2293"/>
      <c r="AD176" s="2294"/>
      <c r="AE176" s="2290"/>
      <c r="AF176" s="2295"/>
      <c r="AG176" s="2295"/>
      <c r="AH176" s="10247"/>
      <c r="AI176" s="2285"/>
    </row>
    <row r="177" spans="1:35" ht="26.25" customHeight="1">
      <c r="A177" s="10306"/>
      <c r="B177" s="10272"/>
      <c r="C177" s="10268"/>
      <c r="D177" s="10265"/>
      <c r="E177" s="10265"/>
      <c r="F177" s="10265"/>
      <c r="G177" s="10265"/>
      <c r="H177" s="10265"/>
      <c r="I177" s="10265"/>
      <c r="J177" s="10265"/>
      <c r="K177" s="10265"/>
      <c r="L177" s="10265"/>
      <c r="M177" s="10267"/>
      <c r="N177" s="10267"/>
      <c r="O177" s="10267"/>
      <c r="P177" s="10265"/>
      <c r="Q177" s="10265"/>
      <c r="R177" s="10260"/>
      <c r="S177" s="2303"/>
      <c r="T177" s="2304"/>
      <c r="U177" s="2304"/>
      <c r="V177" s="2305"/>
      <c r="W177" s="2306"/>
      <c r="X177" s="2409"/>
      <c r="Y177" s="2410"/>
      <c r="Z177" s="2410"/>
      <c r="AA177" s="2410"/>
      <c r="AB177" s="2411"/>
      <c r="AC177" s="2412"/>
      <c r="AD177" s="2413"/>
      <c r="AE177" s="2409"/>
      <c r="AF177" s="2312"/>
      <c r="AG177" s="2312"/>
      <c r="AH177" s="10262"/>
      <c r="AI177" s="2285"/>
    </row>
    <row r="178" spans="1:35" ht="26.25" customHeight="1">
      <c r="A178" s="10306"/>
      <c r="B178" s="10272"/>
      <c r="C178" s="10263" t="s">
        <v>127</v>
      </c>
      <c r="D178" s="10237" t="s">
        <v>128</v>
      </c>
      <c r="E178" s="10237" t="s">
        <v>129</v>
      </c>
      <c r="F178" s="10237" t="s">
        <v>157</v>
      </c>
      <c r="G178" s="10264" t="s">
        <v>131</v>
      </c>
      <c r="H178" s="10237" t="s">
        <v>158</v>
      </c>
      <c r="I178" s="10237" t="s">
        <v>189</v>
      </c>
      <c r="J178" s="10266" t="s">
        <v>2821</v>
      </c>
      <c r="K178" s="10237" t="s">
        <v>2822</v>
      </c>
      <c r="L178" s="10237" t="s">
        <v>2823</v>
      </c>
      <c r="M178" s="10254">
        <v>0</v>
      </c>
      <c r="N178" s="10254">
        <v>0</v>
      </c>
      <c r="O178" s="10254">
        <v>5</v>
      </c>
      <c r="P178" s="10237" t="s">
        <v>2824</v>
      </c>
      <c r="Q178" s="10237" t="s">
        <v>2825</v>
      </c>
      <c r="R178" s="10259" t="s">
        <v>2815</v>
      </c>
      <c r="S178" s="2429"/>
      <c r="T178" s="7205"/>
      <c r="U178" s="7205"/>
      <c r="V178" s="2430"/>
      <c r="W178" s="6187"/>
      <c r="X178" s="2414"/>
      <c r="Y178" s="2415"/>
      <c r="Z178" s="2415"/>
      <c r="AA178" s="2415"/>
      <c r="AB178" s="2416"/>
      <c r="AC178" s="2417"/>
      <c r="AD178" s="2418"/>
      <c r="AE178" s="2414"/>
      <c r="AF178" s="2342"/>
      <c r="AG178" s="2342"/>
      <c r="AH178" s="10261"/>
      <c r="AI178" s="2285"/>
    </row>
    <row r="179" spans="1:35" ht="26.25" customHeight="1">
      <c r="A179" s="10306"/>
      <c r="B179" s="10272"/>
      <c r="C179" s="10256"/>
      <c r="D179" s="10238"/>
      <c r="E179" s="10238"/>
      <c r="F179" s="10238"/>
      <c r="G179" s="10238"/>
      <c r="H179" s="10238"/>
      <c r="I179" s="10238"/>
      <c r="J179" s="10238"/>
      <c r="K179" s="10238"/>
      <c r="L179" s="10238"/>
      <c r="M179" s="10235"/>
      <c r="N179" s="10235"/>
      <c r="O179" s="10235"/>
      <c r="P179" s="10238"/>
      <c r="Q179" s="10238"/>
      <c r="R179" s="10244"/>
      <c r="S179" s="2286"/>
      <c r="T179" s="2287"/>
      <c r="U179" s="2287"/>
      <c r="V179" s="2288"/>
      <c r="W179" s="2289"/>
      <c r="X179" s="2290"/>
      <c r="Y179" s="2407"/>
      <c r="Z179" s="2407"/>
      <c r="AA179" s="2407"/>
      <c r="AB179" s="2408"/>
      <c r="AC179" s="2293"/>
      <c r="AD179" s="2294"/>
      <c r="AE179" s="2290"/>
      <c r="AF179" s="2295"/>
      <c r="AG179" s="2295"/>
      <c r="AH179" s="10247"/>
      <c r="AI179" s="2285"/>
    </row>
    <row r="180" spans="1:35" ht="26.25" customHeight="1">
      <c r="A180" s="10306"/>
      <c r="B180" s="10272"/>
      <c r="C180" s="10256"/>
      <c r="D180" s="10238"/>
      <c r="E180" s="10238"/>
      <c r="F180" s="10238"/>
      <c r="G180" s="10238"/>
      <c r="H180" s="10238"/>
      <c r="I180" s="10238"/>
      <c r="J180" s="10238"/>
      <c r="K180" s="10238"/>
      <c r="L180" s="10238"/>
      <c r="M180" s="10235"/>
      <c r="N180" s="10235"/>
      <c r="O180" s="10235"/>
      <c r="P180" s="10238"/>
      <c r="Q180" s="10238"/>
      <c r="R180" s="10244"/>
      <c r="S180" s="2286"/>
      <c r="T180" s="2287"/>
      <c r="U180" s="2287"/>
      <c r="V180" s="2288"/>
      <c r="W180" s="2289"/>
      <c r="X180" s="2290"/>
      <c r="Y180" s="2407"/>
      <c r="Z180" s="2407"/>
      <c r="AA180" s="2407"/>
      <c r="AB180" s="2408"/>
      <c r="AC180" s="2293"/>
      <c r="AD180" s="2294"/>
      <c r="AE180" s="2290"/>
      <c r="AF180" s="2295"/>
      <c r="AG180" s="2295"/>
      <c r="AH180" s="10247"/>
      <c r="AI180" s="2285"/>
    </row>
    <row r="181" spans="1:35" ht="26.25" customHeight="1">
      <c r="A181" s="10306"/>
      <c r="B181" s="10272"/>
      <c r="C181" s="10256"/>
      <c r="D181" s="10238"/>
      <c r="E181" s="10238"/>
      <c r="F181" s="10238"/>
      <c r="G181" s="10238"/>
      <c r="H181" s="10238"/>
      <c r="I181" s="10238"/>
      <c r="J181" s="10238"/>
      <c r="K181" s="10238"/>
      <c r="L181" s="10238"/>
      <c r="M181" s="10235"/>
      <c r="N181" s="10235"/>
      <c r="O181" s="10235"/>
      <c r="P181" s="10238"/>
      <c r="Q181" s="10238"/>
      <c r="R181" s="10244"/>
      <c r="S181" s="2286"/>
      <c r="T181" s="2287"/>
      <c r="U181" s="2287"/>
      <c r="V181" s="2288"/>
      <c r="W181" s="2289"/>
      <c r="X181" s="2290"/>
      <c r="Y181" s="2407"/>
      <c r="Z181" s="2407"/>
      <c r="AA181" s="2407"/>
      <c r="AB181" s="2408"/>
      <c r="AC181" s="2293"/>
      <c r="AD181" s="2294"/>
      <c r="AE181" s="2290"/>
      <c r="AF181" s="2295"/>
      <c r="AG181" s="2295"/>
      <c r="AH181" s="10247"/>
      <c r="AI181" s="2285"/>
    </row>
    <row r="182" spans="1:35" ht="26.25" customHeight="1">
      <c r="A182" s="10306"/>
      <c r="B182" s="10272"/>
      <c r="C182" s="10268"/>
      <c r="D182" s="10265"/>
      <c r="E182" s="10265"/>
      <c r="F182" s="10265"/>
      <c r="G182" s="10265"/>
      <c r="H182" s="10265"/>
      <c r="I182" s="10265"/>
      <c r="J182" s="10265"/>
      <c r="K182" s="10265"/>
      <c r="L182" s="10265"/>
      <c r="M182" s="10267"/>
      <c r="N182" s="10267"/>
      <c r="O182" s="10267"/>
      <c r="P182" s="10265"/>
      <c r="Q182" s="10265"/>
      <c r="R182" s="10260"/>
      <c r="S182" s="2303"/>
      <c r="T182" s="2304"/>
      <c r="U182" s="2304"/>
      <c r="V182" s="2305"/>
      <c r="W182" s="2306"/>
      <c r="X182" s="2409"/>
      <c r="Y182" s="2410"/>
      <c r="Z182" s="2410"/>
      <c r="AA182" s="2410"/>
      <c r="AB182" s="2411"/>
      <c r="AC182" s="2412"/>
      <c r="AD182" s="2413"/>
      <c r="AE182" s="2409"/>
      <c r="AF182" s="2312"/>
      <c r="AG182" s="2312"/>
      <c r="AH182" s="10262"/>
      <c r="AI182" s="2285"/>
    </row>
    <row r="183" spans="1:35" ht="31.5" customHeight="1">
      <c r="A183" s="10306"/>
      <c r="B183" s="10272"/>
      <c r="C183" s="10263" t="s">
        <v>127</v>
      </c>
      <c r="D183" s="10237" t="s">
        <v>128</v>
      </c>
      <c r="E183" s="10237" t="s">
        <v>129</v>
      </c>
      <c r="F183" s="10237" t="s">
        <v>157</v>
      </c>
      <c r="G183" s="10264" t="s">
        <v>131</v>
      </c>
      <c r="H183" s="10237" t="s">
        <v>132</v>
      </c>
      <c r="I183" s="10237" t="s">
        <v>159</v>
      </c>
      <c r="J183" s="10237" t="s">
        <v>2826</v>
      </c>
      <c r="K183" s="10237" t="s">
        <v>286</v>
      </c>
      <c r="L183" s="10237" t="s">
        <v>2827</v>
      </c>
      <c r="M183" s="10254">
        <v>0</v>
      </c>
      <c r="N183" s="10254">
        <v>1</v>
      </c>
      <c r="O183" s="10254">
        <v>1</v>
      </c>
      <c r="P183" s="10237" t="s">
        <v>2828</v>
      </c>
      <c r="Q183" s="10237" t="s">
        <v>2829</v>
      </c>
      <c r="R183" s="10259" t="s">
        <v>2765</v>
      </c>
      <c r="S183" s="2340"/>
      <c r="T183" s="2313"/>
      <c r="U183" s="2313"/>
      <c r="V183" s="2341"/>
      <c r="W183" s="6187"/>
      <c r="X183" s="2414"/>
      <c r="Y183" s="2415"/>
      <c r="Z183" s="2415"/>
      <c r="AA183" s="2415"/>
      <c r="AB183" s="2416"/>
      <c r="AC183" s="2417"/>
      <c r="AD183" s="2418"/>
      <c r="AE183" s="2414"/>
      <c r="AF183" s="2342"/>
      <c r="AG183" s="2342"/>
      <c r="AH183" s="10261"/>
      <c r="AI183" s="2285"/>
    </row>
    <row r="184" spans="1:35" ht="31.5" customHeight="1">
      <c r="A184" s="10306"/>
      <c r="B184" s="10272"/>
      <c r="C184" s="10256"/>
      <c r="D184" s="10238"/>
      <c r="E184" s="10238"/>
      <c r="F184" s="10238"/>
      <c r="G184" s="10238"/>
      <c r="H184" s="10238"/>
      <c r="I184" s="10238"/>
      <c r="J184" s="10238"/>
      <c r="K184" s="10238"/>
      <c r="L184" s="10238"/>
      <c r="M184" s="10235"/>
      <c r="N184" s="10235"/>
      <c r="O184" s="10235"/>
      <c r="P184" s="10238"/>
      <c r="Q184" s="10238"/>
      <c r="R184" s="10244"/>
      <c r="S184" s="2286"/>
      <c r="T184" s="2287"/>
      <c r="U184" s="2287"/>
      <c r="V184" s="2288"/>
      <c r="W184" s="2289"/>
      <c r="X184" s="2290"/>
      <c r="Y184" s="2407"/>
      <c r="Z184" s="2407"/>
      <c r="AA184" s="2407"/>
      <c r="AB184" s="2408"/>
      <c r="AC184" s="2293"/>
      <c r="AD184" s="2294"/>
      <c r="AE184" s="2290"/>
      <c r="AF184" s="2295"/>
      <c r="AG184" s="2295"/>
      <c r="AH184" s="10247"/>
      <c r="AI184" s="2285"/>
    </row>
    <row r="185" spans="1:35" ht="31.5" customHeight="1">
      <c r="A185" s="10306"/>
      <c r="B185" s="10272"/>
      <c r="C185" s="10256"/>
      <c r="D185" s="10238"/>
      <c r="E185" s="10238"/>
      <c r="F185" s="10238"/>
      <c r="G185" s="10238"/>
      <c r="H185" s="10238"/>
      <c r="I185" s="10238"/>
      <c r="J185" s="10238"/>
      <c r="K185" s="10238"/>
      <c r="L185" s="10238"/>
      <c r="M185" s="10235"/>
      <c r="N185" s="10235"/>
      <c r="O185" s="10235"/>
      <c r="P185" s="10238"/>
      <c r="Q185" s="10238"/>
      <c r="R185" s="10244"/>
      <c r="S185" s="2286"/>
      <c r="T185" s="2287"/>
      <c r="U185" s="2287"/>
      <c r="V185" s="2288"/>
      <c r="W185" s="2289"/>
      <c r="X185" s="2290"/>
      <c r="Y185" s="2407"/>
      <c r="Z185" s="2407"/>
      <c r="AA185" s="2407"/>
      <c r="AB185" s="2408"/>
      <c r="AC185" s="2293"/>
      <c r="AD185" s="2294"/>
      <c r="AE185" s="2290"/>
      <c r="AF185" s="2295"/>
      <c r="AG185" s="2295"/>
      <c r="AH185" s="10247"/>
      <c r="AI185" s="2285"/>
    </row>
    <row r="186" spans="1:35" ht="31.5" customHeight="1">
      <c r="A186" s="10306"/>
      <c r="B186" s="10272"/>
      <c r="C186" s="10256"/>
      <c r="D186" s="10238"/>
      <c r="E186" s="10238"/>
      <c r="F186" s="10238"/>
      <c r="G186" s="10238"/>
      <c r="H186" s="10238"/>
      <c r="I186" s="10238"/>
      <c r="J186" s="10238"/>
      <c r="K186" s="10238"/>
      <c r="L186" s="10238"/>
      <c r="M186" s="10235"/>
      <c r="N186" s="10235"/>
      <c r="O186" s="10235"/>
      <c r="P186" s="10238"/>
      <c r="Q186" s="10238"/>
      <c r="R186" s="10244"/>
      <c r="S186" s="2286"/>
      <c r="T186" s="2287"/>
      <c r="U186" s="2287"/>
      <c r="V186" s="2288"/>
      <c r="W186" s="2289"/>
      <c r="X186" s="2290"/>
      <c r="Y186" s="2407"/>
      <c r="Z186" s="2407"/>
      <c r="AA186" s="2407"/>
      <c r="AB186" s="2408"/>
      <c r="AC186" s="2293"/>
      <c r="AD186" s="2294"/>
      <c r="AE186" s="2290"/>
      <c r="AF186" s="2295"/>
      <c r="AG186" s="2295"/>
      <c r="AH186" s="10247"/>
      <c r="AI186" s="2285"/>
    </row>
    <row r="187" spans="1:35" ht="31.5" customHeight="1">
      <c r="A187" s="10306"/>
      <c r="B187" s="10272"/>
      <c r="C187" s="10257"/>
      <c r="D187" s="10239"/>
      <c r="E187" s="10239"/>
      <c r="F187" s="10239"/>
      <c r="G187" s="10239"/>
      <c r="H187" s="10239"/>
      <c r="I187" s="10239"/>
      <c r="J187" s="10239"/>
      <c r="K187" s="10239"/>
      <c r="L187" s="10239"/>
      <c r="M187" s="10236"/>
      <c r="N187" s="10236"/>
      <c r="O187" s="10236"/>
      <c r="P187" s="10239"/>
      <c r="Q187" s="10239"/>
      <c r="R187" s="10245"/>
      <c r="S187" s="2323"/>
      <c r="T187" s="2324"/>
      <c r="U187" s="2324"/>
      <c r="V187" s="2325"/>
      <c r="W187" s="2326"/>
      <c r="X187" s="2332"/>
      <c r="Y187" s="2419"/>
      <c r="Z187" s="2419"/>
      <c r="AA187" s="2419"/>
      <c r="AB187" s="2420"/>
      <c r="AC187" s="2395"/>
      <c r="AD187" s="2396"/>
      <c r="AE187" s="2332"/>
      <c r="AF187" s="2333"/>
      <c r="AG187" s="2333"/>
      <c r="AH187" s="10248"/>
      <c r="AI187" s="2285"/>
    </row>
    <row r="188" spans="1:35" ht="27" customHeight="1">
      <c r="A188" s="10306"/>
      <c r="B188" s="10272"/>
      <c r="C188" s="10290" t="s">
        <v>127</v>
      </c>
      <c r="D188" s="10237" t="s">
        <v>128</v>
      </c>
      <c r="E188" s="10237" t="s">
        <v>129</v>
      </c>
      <c r="F188" s="10237" t="s">
        <v>268</v>
      </c>
      <c r="G188" s="10264" t="s">
        <v>131</v>
      </c>
      <c r="H188" s="10237" t="s">
        <v>132</v>
      </c>
      <c r="I188" s="10237" t="s">
        <v>159</v>
      </c>
      <c r="J188" s="10237" t="s">
        <v>2830</v>
      </c>
      <c r="K188" s="10237" t="s">
        <v>338</v>
      </c>
      <c r="L188" s="10237" t="s">
        <v>1265</v>
      </c>
      <c r="M188" s="10254">
        <v>0</v>
      </c>
      <c r="N188" s="10254">
        <v>0</v>
      </c>
      <c r="O188" s="10254">
        <v>1</v>
      </c>
      <c r="P188" s="10237" t="s">
        <v>2756</v>
      </c>
      <c r="Q188" s="10237" t="s">
        <v>1381</v>
      </c>
      <c r="R188" s="10259" t="s">
        <v>2765</v>
      </c>
      <c r="S188" s="2340"/>
      <c r="T188" s="2313"/>
      <c r="U188" s="2313"/>
      <c r="V188" s="2341"/>
      <c r="W188" s="6187"/>
      <c r="X188" s="2414"/>
      <c r="Y188" s="2415"/>
      <c r="Z188" s="2415"/>
      <c r="AA188" s="2415"/>
      <c r="AB188" s="2416"/>
      <c r="AC188" s="2417"/>
      <c r="AD188" s="2418"/>
      <c r="AE188" s="2414"/>
      <c r="AF188" s="2342"/>
      <c r="AG188" s="2342"/>
      <c r="AH188" s="10261"/>
      <c r="AI188" s="2285"/>
    </row>
    <row r="189" spans="1:35" ht="27" customHeight="1">
      <c r="A189" s="10306"/>
      <c r="B189" s="10272"/>
      <c r="C189" s="10291"/>
      <c r="D189" s="10238"/>
      <c r="E189" s="10238"/>
      <c r="F189" s="10238"/>
      <c r="G189" s="10238"/>
      <c r="H189" s="10238"/>
      <c r="I189" s="10238"/>
      <c r="J189" s="10238"/>
      <c r="K189" s="10238"/>
      <c r="L189" s="10238"/>
      <c r="M189" s="10235"/>
      <c r="N189" s="10235"/>
      <c r="O189" s="10235"/>
      <c r="P189" s="10238"/>
      <c r="Q189" s="10238"/>
      <c r="R189" s="10244"/>
      <c r="S189" s="2286"/>
      <c r="T189" s="2287"/>
      <c r="U189" s="2287"/>
      <c r="V189" s="2288"/>
      <c r="W189" s="2289"/>
      <c r="X189" s="2290"/>
      <c r="Y189" s="2407"/>
      <c r="Z189" s="2407"/>
      <c r="AA189" s="2407"/>
      <c r="AB189" s="2408"/>
      <c r="AC189" s="2293"/>
      <c r="AD189" s="2294"/>
      <c r="AE189" s="2290"/>
      <c r="AF189" s="2295"/>
      <c r="AG189" s="2295"/>
      <c r="AH189" s="10247"/>
      <c r="AI189" s="2285"/>
    </row>
    <row r="190" spans="1:35" ht="27" customHeight="1">
      <c r="A190" s="10306"/>
      <c r="B190" s="10272"/>
      <c r="C190" s="10291"/>
      <c r="D190" s="10238"/>
      <c r="E190" s="10238"/>
      <c r="F190" s="10238"/>
      <c r="G190" s="10238"/>
      <c r="H190" s="10238"/>
      <c r="I190" s="10238"/>
      <c r="J190" s="10238"/>
      <c r="K190" s="10238"/>
      <c r="L190" s="10238"/>
      <c r="M190" s="10235"/>
      <c r="N190" s="10235"/>
      <c r="O190" s="10235"/>
      <c r="P190" s="10238"/>
      <c r="Q190" s="10238"/>
      <c r="R190" s="10244"/>
      <c r="S190" s="2286"/>
      <c r="T190" s="2287"/>
      <c r="U190" s="2287"/>
      <c r="V190" s="2288"/>
      <c r="W190" s="2289"/>
      <c r="X190" s="2290"/>
      <c r="Y190" s="2407"/>
      <c r="Z190" s="2407"/>
      <c r="AA190" s="2407"/>
      <c r="AB190" s="2408"/>
      <c r="AC190" s="2293"/>
      <c r="AD190" s="2294"/>
      <c r="AE190" s="2290"/>
      <c r="AF190" s="2295"/>
      <c r="AG190" s="2295"/>
      <c r="AH190" s="10247"/>
      <c r="AI190" s="2285"/>
    </row>
    <row r="191" spans="1:35" ht="27" customHeight="1">
      <c r="A191" s="10306"/>
      <c r="B191" s="10272"/>
      <c r="C191" s="10291"/>
      <c r="D191" s="10238"/>
      <c r="E191" s="10238"/>
      <c r="F191" s="10238"/>
      <c r="G191" s="10238"/>
      <c r="H191" s="10238"/>
      <c r="I191" s="10238"/>
      <c r="J191" s="10238"/>
      <c r="K191" s="10238"/>
      <c r="L191" s="10238"/>
      <c r="M191" s="10235"/>
      <c r="N191" s="10235"/>
      <c r="O191" s="10235"/>
      <c r="P191" s="10238"/>
      <c r="Q191" s="10238"/>
      <c r="R191" s="10244"/>
      <c r="S191" s="2286"/>
      <c r="T191" s="2287"/>
      <c r="U191" s="2287"/>
      <c r="V191" s="2288"/>
      <c r="W191" s="2289"/>
      <c r="X191" s="2290"/>
      <c r="Y191" s="2407"/>
      <c r="Z191" s="2407"/>
      <c r="AA191" s="2407"/>
      <c r="AB191" s="2408"/>
      <c r="AC191" s="2293"/>
      <c r="AD191" s="2294"/>
      <c r="AE191" s="2290"/>
      <c r="AF191" s="2295"/>
      <c r="AG191" s="2295"/>
      <c r="AH191" s="10247"/>
      <c r="AI191" s="2285"/>
    </row>
    <row r="192" spans="1:35" ht="27" customHeight="1">
      <c r="A192" s="10306"/>
      <c r="B192" s="10272"/>
      <c r="C192" s="10292"/>
      <c r="D192" s="10274"/>
      <c r="E192" s="10274"/>
      <c r="F192" s="10274"/>
      <c r="G192" s="10274"/>
      <c r="H192" s="10274"/>
      <c r="I192" s="10274"/>
      <c r="J192" s="10274"/>
      <c r="K192" s="10274"/>
      <c r="L192" s="10274"/>
      <c r="M192" s="10280"/>
      <c r="N192" s="10280"/>
      <c r="O192" s="10280"/>
      <c r="P192" s="10274"/>
      <c r="Q192" s="10274"/>
      <c r="R192" s="10275"/>
      <c r="S192" s="2572"/>
      <c r="T192" s="2602"/>
      <c r="U192" s="2602"/>
      <c r="V192" s="2603"/>
      <c r="W192" s="2604"/>
      <c r="X192" s="2605"/>
      <c r="Y192" s="6094"/>
      <c r="Z192" s="6094"/>
      <c r="AA192" s="6094"/>
      <c r="AB192" s="6095"/>
      <c r="AC192" s="6085"/>
      <c r="AD192" s="6086"/>
      <c r="AE192" s="2605"/>
      <c r="AF192" s="2611"/>
      <c r="AG192" s="2611"/>
      <c r="AH192" s="10276"/>
      <c r="AI192" s="2285"/>
    </row>
    <row r="193" spans="1:35" s="6093" customFormat="1" ht="22.5" customHeight="1" thickBot="1">
      <c r="A193" s="10306"/>
      <c r="B193" s="10273"/>
      <c r="C193" s="6091"/>
      <c r="D193" s="6091"/>
      <c r="E193" s="6091"/>
      <c r="F193" s="6091"/>
      <c r="G193" s="6091"/>
      <c r="H193" s="6091"/>
      <c r="I193" s="6091"/>
      <c r="J193" s="6091"/>
      <c r="K193" s="6091"/>
      <c r="L193" s="6091"/>
      <c r="M193" s="6091"/>
      <c r="N193" s="6091"/>
      <c r="O193" s="6091"/>
      <c r="P193" s="6091"/>
      <c r="Q193" s="6091"/>
      <c r="R193" s="6091"/>
      <c r="S193" s="10285" t="s">
        <v>2831</v>
      </c>
      <c r="T193" s="10286"/>
      <c r="U193" s="10286"/>
      <c r="V193" s="10286"/>
      <c r="W193" s="10286"/>
      <c r="X193" s="10286"/>
      <c r="Y193" s="10286"/>
      <c r="Z193" s="10286"/>
      <c r="AA193" s="5864" t="s">
        <v>292</v>
      </c>
      <c r="AB193" s="7239">
        <f>SUM(AB120:AB192)</f>
        <v>41544.6512</v>
      </c>
      <c r="AC193" s="7249"/>
      <c r="AD193" s="6088"/>
      <c r="AE193" s="10287"/>
      <c r="AF193" s="10288"/>
      <c r="AG193" s="10288"/>
      <c r="AH193" s="10289"/>
      <c r="AI193" s="6092"/>
    </row>
    <row r="194" spans="1:35" ht="33.75" customHeight="1">
      <c r="A194" s="10306"/>
      <c r="B194" s="10271" t="s">
        <v>2832</v>
      </c>
      <c r="C194" s="10255" t="s">
        <v>127</v>
      </c>
      <c r="D194" s="10242" t="s">
        <v>128</v>
      </c>
      <c r="E194" s="10242" t="s">
        <v>129</v>
      </c>
      <c r="F194" s="10242" t="s">
        <v>336</v>
      </c>
      <c r="G194" s="10258" t="s">
        <v>131</v>
      </c>
      <c r="H194" s="10242" t="s">
        <v>132</v>
      </c>
      <c r="I194" s="10242" t="s">
        <v>159</v>
      </c>
      <c r="J194" s="10258" t="s">
        <v>2833</v>
      </c>
      <c r="K194" s="10242" t="s">
        <v>2834</v>
      </c>
      <c r="L194" s="10242" t="s">
        <v>2835</v>
      </c>
      <c r="M194" s="10283">
        <v>4</v>
      </c>
      <c r="N194" s="10283">
        <v>2</v>
      </c>
      <c r="O194" s="10283">
        <v>2</v>
      </c>
      <c r="P194" s="10241" t="s">
        <v>2836</v>
      </c>
      <c r="Q194" s="10242" t="s">
        <v>2837</v>
      </c>
      <c r="R194" s="10243" t="s">
        <v>2838</v>
      </c>
      <c r="S194" s="2431" t="s">
        <v>79</v>
      </c>
      <c r="T194" s="2432">
        <v>530704</v>
      </c>
      <c r="U194" s="2432"/>
      <c r="V194" s="2433" t="s">
        <v>148</v>
      </c>
      <c r="W194" s="2434"/>
      <c r="X194" s="2435"/>
      <c r="Y194" s="2436"/>
      <c r="Z194" s="2436"/>
      <c r="AA194" s="2336"/>
      <c r="AB194" s="3333">
        <f>SUM($AA$195:$AA$197)</f>
        <v>7458.0007999999998</v>
      </c>
      <c r="AC194" s="2437" t="s">
        <v>25</v>
      </c>
      <c r="AD194" s="2339"/>
      <c r="AE194" s="2435"/>
      <c r="AF194" s="2438"/>
      <c r="AG194" s="2406"/>
      <c r="AH194" s="10270"/>
      <c r="AI194" s="2285"/>
    </row>
    <row r="195" spans="1:35" ht="18" customHeight="1">
      <c r="A195" s="10306"/>
      <c r="B195" s="10272"/>
      <c r="C195" s="10256"/>
      <c r="D195" s="10238"/>
      <c r="E195" s="10238"/>
      <c r="F195" s="10238"/>
      <c r="G195" s="10238"/>
      <c r="H195" s="10238"/>
      <c r="I195" s="10238"/>
      <c r="J195" s="10238"/>
      <c r="K195" s="10238"/>
      <c r="L195" s="10238"/>
      <c r="M195" s="10235"/>
      <c r="N195" s="10235"/>
      <c r="O195" s="10235"/>
      <c r="P195" s="10238"/>
      <c r="Q195" s="10238"/>
      <c r="R195" s="10244"/>
      <c r="S195" s="2286"/>
      <c r="T195" s="2321"/>
      <c r="U195" s="2321">
        <v>8713000</v>
      </c>
      <c r="V195" s="2288" t="s">
        <v>2839</v>
      </c>
      <c r="W195" s="2357">
        <v>1</v>
      </c>
      <c r="X195" s="2439" t="s">
        <v>152</v>
      </c>
      <c r="Y195" s="2380">
        <v>1785.7149999999999</v>
      </c>
      <c r="Z195" s="2380">
        <f>+W195*Y195</f>
        <v>1785.7149999999999</v>
      </c>
      <c r="AA195" s="2299">
        <f>+Z195*1.12</f>
        <v>2000.0008</v>
      </c>
      <c r="AB195" s="2300"/>
      <c r="AC195" s="2301"/>
      <c r="AD195" s="2302"/>
      <c r="AE195" s="2379"/>
      <c r="AF195" s="2348" t="s">
        <v>153</v>
      </c>
      <c r="AG195" s="2295" t="s">
        <v>153</v>
      </c>
      <c r="AH195" s="10247"/>
      <c r="AI195" s="2285"/>
    </row>
    <row r="196" spans="1:35" ht="18" customHeight="1">
      <c r="A196" s="10306"/>
      <c r="B196" s="10272"/>
      <c r="C196" s="10256"/>
      <c r="D196" s="10238"/>
      <c r="E196" s="10238"/>
      <c r="F196" s="10238"/>
      <c r="G196" s="10238"/>
      <c r="H196" s="10238"/>
      <c r="I196" s="10238"/>
      <c r="J196" s="10238"/>
      <c r="K196" s="10238"/>
      <c r="L196" s="10238"/>
      <c r="M196" s="10235"/>
      <c r="N196" s="10235"/>
      <c r="O196" s="10235"/>
      <c r="P196" s="10238"/>
      <c r="Q196" s="10238"/>
      <c r="R196" s="10244"/>
      <c r="S196" s="2343"/>
      <c r="T196" s="2363"/>
      <c r="U196" s="2321">
        <v>8713000</v>
      </c>
      <c r="V196" s="2288" t="s">
        <v>2840</v>
      </c>
      <c r="W196" s="2357">
        <v>1</v>
      </c>
      <c r="X196" s="7822" t="s">
        <v>152</v>
      </c>
      <c r="Y196" s="7823">
        <v>3330</v>
      </c>
      <c r="Z196" s="7823">
        <f>+W196*Y196</f>
        <v>3330</v>
      </c>
      <c r="AA196" s="7807">
        <f>Z196</f>
        <v>3330</v>
      </c>
      <c r="AB196" s="2300"/>
      <c r="AC196" s="2301"/>
      <c r="AD196" s="2302"/>
      <c r="AE196" s="2379"/>
      <c r="AF196" s="2348" t="s">
        <v>153</v>
      </c>
      <c r="AG196" s="2295"/>
      <c r="AH196" s="10247"/>
      <c r="AI196" s="2285"/>
    </row>
    <row r="197" spans="1:35" ht="33.75" customHeight="1">
      <c r="A197" s="10306"/>
      <c r="B197" s="10272"/>
      <c r="C197" s="10256"/>
      <c r="D197" s="10238"/>
      <c r="E197" s="10238"/>
      <c r="F197" s="10238"/>
      <c r="G197" s="10238"/>
      <c r="H197" s="10238"/>
      <c r="I197" s="10238"/>
      <c r="J197" s="10238"/>
      <c r="K197" s="10238"/>
      <c r="L197" s="10238"/>
      <c r="M197" s="10235"/>
      <c r="N197" s="10235"/>
      <c r="O197" s="10235"/>
      <c r="P197" s="10238"/>
      <c r="Q197" s="10238"/>
      <c r="R197" s="10244"/>
      <c r="S197" s="2343"/>
      <c r="T197" s="2363"/>
      <c r="U197" s="2321">
        <v>859901911</v>
      </c>
      <c r="V197" s="2288" t="s">
        <v>2841</v>
      </c>
      <c r="W197" s="2357">
        <v>1</v>
      </c>
      <c r="X197" s="2439" t="s">
        <v>152</v>
      </c>
      <c r="Y197" s="2380">
        <v>1900</v>
      </c>
      <c r="Z197" s="2380">
        <f>+W197*Y197</f>
        <v>1900</v>
      </c>
      <c r="AA197" s="2299">
        <f>+Z197*1.12</f>
        <v>2128</v>
      </c>
      <c r="AB197" s="2300"/>
      <c r="AC197" s="2301"/>
      <c r="AD197" s="2302"/>
      <c r="AE197" s="2379"/>
      <c r="AF197" s="2348" t="s">
        <v>153</v>
      </c>
      <c r="AG197" s="2295"/>
      <c r="AH197" s="10247"/>
      <c r="AI197" s="2285"/>
    </row>
    <row r="198" spans="1:35" ht="33.75" customHeight="1">
      <c r="A198" s="10306"/>
      <c r="B198" s="10272"/>
      <c r="C198" s="10256"/>
      <c r="D198" s="10238"/>
      <c r="E198" s="10238"/>
      <c r="F198" s="10238"/>
      <c r="G198" s="10238"/>
      <c r="H198" s="10238"/>
      <c r="I198" s="10238"/>
      <c r="J198" s="10238"/>
      <c r="K198" s="10238"/>
      <c r="L198" s="10238"/>
      <c r="M198" s="10235"/>
      <c r="N198" s="10235"/>
      <c r="O198" s="10235"/>
      <c r="P198" s="10238"/>
      <c r="Q198" s="10238"/>
      <c r="R198" s="10244"/>
      <c r="S198" s="2358" t="s">
        <v>79</v>
      </c>
      <c r="T198" s="2363">
        <v>840104</v>
      </c>
      <c r="U198" s="2321"/>
      <c r="V198" s="2297" t="s">
        <v>39</v>
      </c>
      <c r="W198" s="2441"/>
      <c r="X198" s="2442"/>
      <c r="Y198" s="2380"/>
      <c r="Z198" s="2380"/>
      <c r="AA198" s="2299"/>
      <c r="AB198" s="3332">
        <v>0</v>
      </c>
      <c r="AC198" s="2301" t="s">
        <v>18</v>
      </c>
      <c r="AD198" s="2302"/>
      <c r="AE198" s="2440"/>
      <c r="AF198" s="2442"/>
      <c r="AG198" s="2374"/>
      <c r="AH198" s="10247"/>
      <c r="AI198" s="2285"/>
    </row>
    <row r="199" spans="1:35" ht="18" customHeight="1">
      <c r="A199" s="10306"/>
      <c r="B199" s="10272"/>
      <c r="C199" s="10256"/>
      <c r="D199" s="10238"/>
      <c r="E199" s="10238"/>
      <c r="F199" s="10238"/>
      <c r="G199" s="10238"/>
      <c r="H199" s="10238"/>
      <c r="I199" s="10238"/>
      <c r="J199" s="10238"/>
      <c r="K199" s="10238"/>
      <c r="L199" s="10238"/>
      <c r="M199" s="10235"/>
      <c r="N199" s="10235"/>
      <c r="O199" s="10235"/>
      <c r="P199" s="10238"/>
      <c r="Q199" s="10238"/>
      <c r="R199" s="10244"/>
      <c r="S199" s="2343"/>
      <c r="T199" s="2614"/>
      <c r="U199" s="2321">
        <v>439130111</v>
      </c>
      <c r="V199" s="2288" t="s">
        <v>2842</v>
      </c>
      <c r="W199" s="2357">
        <v>2</v>
      </c>
      <c r="X199" s="2439" t="s">
        <v>180</v>
      </c>
      <c r="Y199" s="2299">
        <v>505</v>
      </c>
      <c r="Z199" s="2299">
        <f>+W199*Y199</f>
        <v>1010</v>
      </c>
      <c r="AA199" s="2299">
        <f>+Z199*1.12</f>
        <v>1131.2</v>
      </c>
      <c r="AB199" s="2299"/>
      <c r="AC199" s="2443"/>
      <c r="AD199" s="2444"/>
      <c r="AE199" s="2348" t="s">
        <v>153</v>
      </c>
      <c r="AF199" s="2348" t="s">
        <v>153</v>
      </c>
      <c r="AG199" s="2374"/>
      <c r="AH199" s="10247"/>
      <c r="AI199" s="2285"/>
    </row>
    <row r="200" spans="1:35" ht="18" customHeight="1">
      <c r="A200" s="10306"/>
      <c r="B200" s="10272"/>
      <c r="C200" s="10256"/>
      <c r="D200" s="10238"/>
      <c r="E200" s="10238"/>
      <c r="F200" s="10238"/>
      <c r="G200" s="10238"/>
      <c r="H200" s="10238"/>
      <c r="I200" s="10238"/>
      <c r="J200" s="10238"/>
      <c r="K200" s="10238"/>
      <c r="L200" s="10238"/>
      <c r="M200" s="10235"/>
      <c r="N200" s="10235"/>
      <c r="O200" s="10235"/>
      <c r="P200" s="10238"/>
      <c r="Q200" s="10238"/>
      <c r="R200" s="10244"/>
      <c r="S200" s="2286"/>
      <c r="T200" s="2614"/>
      <c r="U200" s="2321">
        <v>439130111</v>
      </c>
      <c r="V200" s="2288" t="s">
        <v>2843</v>
      </c>
      <c r="W200" s="2357">
        <v>1</v>
      </c>
      <c r="X200" s="2439" t="s">
        <v>180</v>
      </c>
      <c r="Y200" s="2299">
        <v>1000</v>
      </c>
      <c r="Z200" s="2299">
        <f>+W200*Y200</f>
        <v>1000</v>
      </c>
      <c r="AA200" s="2299">
        <f>+Z200*1.12</f>
        <v>1120</v>
      </c>
      <c r="AB200" s="2300"/>
      <c r="AC200" s="2301"/>
      <c r="AD200" s="2302"/>
      <c r="AE200" s="2348" t="s">
        <v>153</v>
      </c>
      <c r="AF200" s="2348" t="s">
        <v>153</v>
      </c>
      <c r="AG200" s="2374"/>
      <c r="AH200" s="10247"/>
      <c r="AI200" s="2285"/>
    </row>
    <row r="201" spans="1:35" ht="18" customHeight="1">
      <c r="A201" s="10306"/>
      <c r="B201" s="10272"/>
      <c r="C201" s="10256"/>
      <c r="D201" s="10238"/>
      <c r="E201" s="10238"/>
      <c r="F201" s="10238"/>
      <c r="G201" s="10238"/>
      <c r="H201" s="10238"/>
      <c r="I201" s="10238"/>
      <c r="J201" s="10238"/>
      <c r="K201" s="10238"/>
      <c r="L201" s="10238"/>
      <c r="M201" s="10235"/>
      <c r="N201" s="10235"/>
      <c r="O201" s="10235"/>
      <c r="P201" s="10238"/>
      <c r="Q201" s="10238"/>
      <c r="R201" s="10244"/>
      <c r="S201" s="2613" t="s">
        <v>15</v>
      </c>
      <c r="T201" s="2363">
        <v>530612</v>
      </c>
      <c r="U201" s="7208"/>
      <c r="V201" s="3334" t="s">
        <v>1360</v>
      </c>
      <c r="W201" s="3337"/>
      <c r="X201" s="3335"/>
      <c r="Y201" s="7805"/>
      <c r="Z201" s="7806"/>
      <c r="AA201" s="7807"/>
      <c r="AB201" s="7808">
        <f>SUM($AA$202)</f>
        <v>0</v>
      </c>
      <c r="AC201" s="2301" t="s">
        <v>25</v>
      </c>
      <c r="AD201" s="2302"/>
      <c r="AE201" s="2348"/>
      <c r="AF201" s="2348"/>
      <c r="AG201" s="2374"/>
      <c r="AH201" s="10247"/>
      <c r="AI201" s="2285"/>
    </row>
    <row r="202" spans="1:35" ht="33.75" customHeight="1">
      <c r="A202" s="10306"/>
      <c r="B202" s="10272"/>
      <c r="C202" s="10256"/>
      <c r="D202" s="10238"/>
      <c r="E202" s="10238"/>
      <c r="F202" s="10238"/>
      <c r="G202" s="10238"/>
      <c r="H202" s="10238"/>
      <c r="I202" s="10238"/>
      <c r="J202" s="10238"/>
      <c r="K202" s="10238"/>
      <c r="L202" s="10238"/>
      <c r="M202" s="10235"/>
      <c r="N202" s="10235"/>
      <c r="O202" s="10235"/>
      <c r="P202" s="10238"/>
      <c r="Q202" s="10238"/>
      <c r="R202" s="10244"/>
      <c r="S202" s="2617"/>
      <c r="T202" s="2614"/>
      <c r="U202" s="2800">
        <v>929000013</v>
      </c>
      <c r="V202" s="2618" t="s">
        <v>2844</v>
      </c>
      <c r="W202" s="7223">
        <v>2</v>
      </c>
      <c r="X202" s="3336" t="s">
        <v>180</v>
      </c>
      <c r="Y202" s="7809">
        <v>0</v>
      </c>
      <c r="Z202" s="7807">
        <f>+W202*Y202</f>
        <v>0</v>
      </c>
      <c r="AA202" s="7807">
        <f>+Z202*1.12</f>
        <v>0</v>
      </c>
      <c r="AB202" s="7807"/>
      <c r="AC202" s="2301"/>
      <c r="AD202" s="2302"/>
      <c r="AE202" s="2348"/>
      <c r="AF202" s="2295" t="s">
        <v>153</v>
      </c>
      <c r="AG202" s="2374"/>
      <c r="AH202" s="10247"/>
      <c r="AI202" s="2285"/>
    </row>
    <row r="203" spans="1:35" ht="33.75" customHeight="1">
      <c r="A203" s="10306"/>
      <c r="B203" s="10272"/>
      <c r="C203" s="10256"/>
      <c r="D203" s="10238"/>
      <c r="E203" s="10238"/>
      <c r="F203" s="10238"/>
      <c r="G203" s="10238"/>
      <c r="H203" s="10238"/>
      <c r="I203" s="10238"/>
      <c r="J203" s="10238"/>
      <c r="K203" s="10238"/>
      <c r="L203" s="10238"/>
      <c r="M203" s="10235"/>
      <c r="N203" s="10235"/>
      <c r="O203" s="10235"/>
      <c r="P203" s="10238"/>
      <c r="Q203" s="10238"/>
      <c r="R203" s="10244"/>
      <c r="S203" s="2623" t="s">
        <v>80</v>
      </c>
      <c r="T203" s="2363">
        <v>840104</v>
      </c>
      <c r="U203" s="2625"/>
      <c r="V203" s="2626" t="s">
        <v>39</v>
      </c>
      <c r="W203" s="2627"/>
      <c r="X203" s="2628"/>
      <c r="Y203" s="7975"/>
      <c r="Z203" s="7975"/>
      <c r="AA203" s="7975"/>
      <c r="AB203" s="7976">
        <f>SUM(AA204:AA204)</f>
        <v>5500</v>
      </c>
      <c r="AC203" s="2301" t="s">
        <v>25</v>
      </c>
      <c r="AD203" s="2302"/>
      <c r="AE203" s="2348"/>
      <c r="AF203" s="2348"/>
      <c r="AG203" s="2374"/>
      <c r="AH203" s="10247"/>
      <c r="AI203" s="2285"/>
    </row>
    <row r="204" spans="1:35" ht="18" customHeight="1">
      <c r="A204" s="10306"/>
      <c r="B204" s="10272"/>
      <c r="C204" s="10256"/>
      <c r="D204" s="10238"/>
      <c r="E204" s="10238"/>
      <c r="F204" s="10238"/>
      <c r="G204" s="10238"/>
      <c r="H204" s="10238"/>
      <c r="I204" s="10238"/>
      <c r="J204" s="10238"/>
      <c r="K204" s="10238"/>
      <c r="L204" s="10238"/>
      <c r="M204" s="10235"/>
      <c r="N204" s="10235"/>
      <c r="O204" s="10235"/>
      <c r="P204" s="10238"/>
      <c r="Q204" s="10238"/>
      <c r="R204" s="10244"/>
      <c r="S204" s="2362"/>
      <c r="T204" s="2614"/>
      <c r="U204" s="2321"/>
      <c r="V204" s="2288" t="s">
        <v>2845</v>
      </c>
      <c r="W204" s="2357">
        <v>1</v>
      </c>
      <c r="X204" s="2298" t="s">
        <v>180</v>
      </c>
      <c r="Y204" s="7975">
        <f>5500/1.12</f>
        <v>4910.7142857142853</v>
      </c>
      <c r="Z204" s="7975">
        <f>W204*Y204</f>
        <v>4910.7142857142853</v>
      </c>
      <c r="AA204" s="7975">
        <f>+Z204*1.12</f>
        <v>5500</v>
      </c>
      <c r="AB204" s="7976"/>
      <c r="AC204" s="2301"/>
      <c r="AD204" s="2302"/>
      <c r="AE204" s="2348"/>
      <c r="AF204" s="2348" t="s">
        <v>153</v>
      </c>
      <c r="AG204" s="2374"/>
      <c r="AH204" s="10247"/>
      <c r="AI204" s="2285"/>
    </row>
    <row r="205" spans="1:35" ht="33.75" customHeight="1">
      <c r="A205" s="10306"/>
      <c r="B205" s="10272"/>
      <c r="C205" s="10256"/>
      <c r="D205" s="10238"/>
      <c r="E205" s="10238"/>
      <c r="F205" s="10238"/>
      <c r="G205" s="10238"/>
      <c r="H205" s="10238"/>
      <c r="I205" s="10238"/>
      <c r="J205" s="10238"/>
      <c r="K205" s="10238"/>
      <c r="L205" s="10238"/>
      <c r="M205" s="10235"/>
      <c r="N205" s="10235"/>
      <c r="O205" s="10235"/>
      <c r="P205" s="10238"/>
      <c r="Q205" s="10238"/>
      <c r="R205" s="10244"/>
      <c r="S205" s="3420" t="s">
        <v>80</v>
      </c>
      <c r="T205" s="3417">
        <v>840107</v>
      </c>
      <c r="U205" s="3421"/>
      <c r="V205" s="3422" t="s">
        <v>40</v>
      </c>
      <c r="W205" s="3423"/>
      <c r="X205" s="3424"/>
      <c r="Y205" s="3312"/>
      <c r="Z205" s="3312"/>
      <c r="AA205" s="3312"/>
      <c r="AB205" s="3332">
        <f>SUM(AA206:AA206)</f>
        <v>8587.3799999999992</v>
      </c>
      <c r="AC205" s="3365" t="s">
        <v>18</v>
      </c>
      <c r="AD205" s="3413"/>
      <c r="AE205" s="3344"/>
      <c r="AF205" s="3425"/>
      <c r="AG205" s="3344"/>
      <c r="AH205" s="10247"/>
      <c r="AI205" s="2285"/>
    </row>
    <row r="206" spans="1:35" ht="18" customHeight="1">
      <c r="A206" s="10306"/>
      <c r="B206" s="10272"/>
      <c r="C206" s="10256"/>
      <c r="D206" s="10238"/>
      <c r="E206" s="10238"/>
      <c r="F206" s="10238"/>
      <c r="G206" s="10238"/>
      <c r="H206" s="10238"/>
      <c r="I206" s="10238"/>
      <c r="J206" s="10238"/>
      <c r="K206" s="10238"/>
      <c r="L206" s="10238"/>
      <c r="M206" s="10235"/>
      <c r="N206" s="10235"/>
      <c r="O206" s="10235"/>
      <c r="P206" s="10238"/>
      <c r="Q206" s="10238"/>
      <c r="R206" s="10244"/>
      <c r="S206" s="3416"/>
      <c r="T206" s="7209"/>
      <c r="U206" s="3308"/>
      <c r="V206" s="3309" t="s">
        <v>2846</v>
      </c>
      <c r="W206" s="3310">
        <v>2</v>
      </c>
      <c r="X206" s="3311" t="s">
        <v>180</v>
      </c>
      <c r="Y206" s="3312">
        <f>(8587.38/2)/1.12</f>
        <v>3833.6517857142849</v>
      </c>
      <c r="Z206" s="3312">
        <f>W206*Y206</f>
        <v>7667.3035714285697</v>
      </c>
      <c r="AA206" s="3312">
        <f>+Z206*1.12</f>
        <v>8587.3799999999992</v>
      </c>
      <c r="AB206" s="3332"/>
      <c r="AC206" s="3365"/>
      <c r="AD206" s="3413"/>
      <c r="AE206" s="3344"/>
      <c r="AF206" s="3425"/>
      <c r="AG206" s="3344" t="s">
        <v>153</v>
      </c>
      <c r="AH206" s="10247"/>
      <c r="AI206" s="2285"/>
    </row>
    <row r="207" spans="1:35" ht="18" customHeight="1">
      <c r="A207" s="10306"/>
      <c r="B207" s="10272"/>
      <c r="C207" s="10256"/>
      <c r="D207" s="10238"/>
      <c r="E207" s="10238"/>
      <c r="F207" s="10238"/>
      <c r="G207" s="10238"/>
      <c r="H207" s="10238"/>
      <c r="I207" s="10238"/>
      <c r="J207" s="10238"/>
      <c r="K207" s="10238"/>
      <c r="L207" s="10238"/>
      <c r="M207" s="10235"/>
      <c r="N207" s="10235"/>
      <c r="O207" s="10235"/>
      <c r="P207" s="10238"/>
      <c r="Q207" s="10238"/>
      <c r="R207" s="10244"/>
      <c r="S207" s="2358" t="s">
        <v>15</v>
      </c>
      <c r="T207" s="2363">
        <v>840104</v>
      </c>
      <c r="U207" s="2363"/>
      <c r="V207" s="2372" t="s">
        <v>39</v>
      </c>
      <c r="W207" s="2441"/>
      <c r="X207" s="2442"/>
      <c r="Y207" s="2380"/>
      <c r="Z207" s="2380"/>
      <c r="AA207" s="2299"/>
      <c r="AB207" s="2300">
        <f>SUM($AA$208:$AA$208)</f>
        <v>53704.13440000001</v>
      </c>
      <c r="AC207" s="2301" t="s">
        <v>18</v>
      </c>
      <c r="AD207" s="2302"/>
      <c r="AE207" s="2379"/>
      <c r="AF207" s="2348"/>
      <c r="AG207" s="2295"/>
      <c r="AH207" s="10247"/>
      <c r="AI207" s="2285"/>
    </row>
    <row r="208" spans="1:35" ht="33.75" customHeight="1">
      <c r="A208" s="10306"/>
      <c r="B208" s="10272"/>
      <c r="C208" s="10257"/>
      <c r="D208" s="10239"/>
      <c r="E208" s="10239"/>
      <c r="F208" s="10239"/>
      <c r="G208" s="10239"/>
      <c r="H208" s="10239"/>
      <c r="I208" s="10239"/>
      <c r="J208" s="10239"/>
      <c r="K208" s="10239"/>
      <c r="L208" s="10239"/>
      <c r="M208" s="10236"/>
      <c r="N208" s="10236"/>
      <c r="O208" s="10236"/>
      <c r="P208" s="10239"/>
      <c r="Q208" s="10239"/>
      <c r="R208" s="10245"/>
      <c r="S208" s="2323"/>
      <c r="T208" s="2445"/>
      <c r="U208" s="2359">
        <v>439130112</v>
      </c>
      <c r="V208" s="2446" t="s">
        <v>2847</v>
      </c>
      <c r="W208" s="2365">
        <v>2</v>
      </c>
      <c r="X208" s="2447" t="s">
        <v>180</v>
      </c>
      <c r="Y208" s="2448">
        <v>23975.06</v>
      </c>
      <c r="Z208" s="2448">
        <f>+W208*Y208</f>
        <v>47950.12</v>
      </c>
      <c r="AA208" s="2328">
        <f>+Z208*1.12</f>
        <v>53704.13440000001</v>
      </c>
      <c r="AB208" s="2329"/>
      <c r="AC208" s="2330"/>
      <c r="AD208" s="2331"/>
      <c r="AE208" s="2449"/>
      <c r="AF208" s="2360"/>
      <c r="AG208" s="2450" t="s">
        <v>153</v>
      </c>
      <c r="AH208" s="10248"/>
      <c r="AI208" s="2285"/>
    </row>
    <row r="209" spans="1:35" ht="38.25" customHeight="1">
      <c r="A209" s="10306"/>
      <c r="B209" s="10272"/>
      <c r="C209" s="10255" t="s">
        <v>127</v>
      </c>
      <c r="D209" s="10242" t="s">
        <v>128</v>
      </c>
      <c r="E209" s="10242" t="s">
        <v>129</v>
      </c>
      <c r="F209" s="10242" t="s">
        <v>336</v>
      </c>
      <c r="G209" s="10258" t="s">
        <v>131</v>
      </c>
      <c r="H209" s="10242" t="s">
        <v>132</v>
      </c>
      <c r="I209" s="10242" t="s">
        <v>159</v>
      </c>
      <c r="J209" s="10242" t="s">
        <v>2848</v>
      </c>
      <c r="K209" s="10242" t="s">
        <v>2849</v>
      </c>
      <c r="L209" s="10242" t="s">
        <v>2850</v>
      </c>
      <c r="M209" s="10283">
        <v>1</v>
      </c>
      <c r="N209" s="10283">
        <v>1</v>
      </c>
      <c r="O209" s="10283">
        <v>1</v>
      </c>
      <c r="P209" s="10242" t="s">
        <v>2851</v>
      </c>
      <c r="Q209" s="10242" t="s">
        <v>2852</v>
      </c>
      <c r="R209" s="10243" t="s">
        <v>2853</v>
      </c>
      <c r="S209" s="2276" t="s">
        <v>15</v>
      </c>
      <c r="T209" s="2624">
        <v>531407</v>
      </c>
      <c r="U209" s="2345"/>
      <c r="V209" s="2451" t="s">
        <v>40</v>
      </c>
      <c r="W209" s="2346"/>
      <c r="X209" s="2452"/>
      <c r="Y209" s="2453"/>
      <c r="Z209" s="2453"/>
      <c r="AA209" s="2336"/>
      <c r="AB209" s="2337">
        <f>SUM($AA$210:$AA$210)</f>
        <v>88.530400000000014</v>
      </c>
      <c r="AC209" s="2338" t="s">
        <v>18</v>
      </c>
      <c r="AD209" s="2339"/>
      <c r="AE209" s="2452"/>
      <c r="AF209" s="2454"/>
      <c r="AG209" s="2428"/>
      <c r="AH209" s="10246"/>
      <c r="AI209" s="2285"/>
    </row>
    <row r="210" spans="1:35" ht="38.25" customHeight="1">
      <c r="A210" s="10306"/>
      <c r="B210" s="10272"/>
      <c r="C210" s="10256"/>
      <c r="D210" s="10238"/>
      <c r="E210" s="10238"/>
      <c r="F210" s="10238"/>
      <c r="G210" s="10238"/>
      <c r="H210" s="10238"/>
      <c r="I210" s="10238"/>
      <c r="J210" s="10238"/>
      <c r="K210" s="10238"/>
      <c r="L210" s="10238"/>
      <c r="M210" s="10235"/>
      <c r="N210" s="10235"/>
      <c r="O210" s="10235"/>
      <c r="P210" s="10238"/>
      <c r="Q210" s="10238"/>
      <c r="R210" s="10244"/>
      <c r="S210" s="2286"/>
      <c r="T210" s="7210"/>
      <c r="U210" s="2321">
        <v>452900031</v>
      </c>
      <c r="V210" s="2356" t="s">
        <v>2854</v>
      </c>
      <c r="W210" s="2357">
        <v>1</v>
      </c>
      <c r="X210" s="2439" t="s">
        <v>180</v>
      </c>
      <c r="Y210" s="2380">
        <v>79.045000000000002</v>
      </c>
      <c r="Z210" s="2380">
        <f>+W210*Y210</f>
        <v>79.045000000000002</v>
      </c>
      <c r="AA210" s="2299">
        <f>+Z210*1.12</f>
        <v>88.530400000000014</v>
      </c>
      <c r="AB210" s="2300"/>
      <c r="AC210" s="2301"/>
      <c r="AD210" s="2302"/>
      <c r="AE210" s="2379"/>
      <c r="AF210" s="2379" t="s">
        <v>153</v>
      </c>
      <c r="AG210" s="2322"/>
      <c r="AH210" s="10247"/>
      <c r="AI210" s="2285"/>
    </row>
    <row r="211" spans="1:35" ht="38.25" customHeight="1">
      <c r="A211" s="10306"/>
      <c r="B211" s="10272"/>
      <c r="C211" s="10256"/>
      <c r="D211" s="10238"/>
      <c r="E211" s="10238"/>
      <c r="F211" s="10238"/>
      <c r="G211" s="10238"/>
      <c r="H211" s="10238"/>
      <c r="I211" s="10238"/>
      <c r="J211" s="10238"/>
      <c r="K211" s="10238"/>
      <c r="L211" s="10238"/>
      <c r="M211" s="10235"/>
      <c r="N211" s="10235"/>
      <c r="O211" s="10235"/>
      <c r="P211" s="10238"/>
      <c r="Q211" s="10238"/>
      <c r="R211" s="10244"/>
      <c r="S211" s="2358" t="s">
        <v>15</v>
      </c>
      <c r="T211" s="2345">
        <v>530243</v>
      </c>
      <c r="U211" s="2363"/>
      <c r="V211" s="2372" t="s">
        <v>2855</v>
      </c>
      <c r="W211" s="2357"/>
      <c r="X211" s="2379"/>
      <c r="Y211" s="7974"/>
      <c r="Z211" s="7974"/>
      <c r="AA211" s="7975"/>
      <c r="AB211" s="7976">
        <f>SUM($AA$212:$AA$212)</f>
        <v>52000.000000000007</v>
      </c>
      <c r="AC211" s="2301" t="s">
        <v>18</v>
      </c>
      <c r="AD211" s="2302"/>
      <c r="AE211" s="2379"/>
      <c r="AF211" s="2379"/>
      <c r="AG211" s="2295"/>
      <c r="AH211" s="10247"/>
      <c r="AI211" s="2285"/>
    </row>
    <row r="212" spans="1:35" ht="38.25" customHeight="1">
      <c r="A212" s="10306"/>
      <c r="B212" s="10272"/>
      <c r="C212" s="10256"/>
      <c r="D212" s="10238"/>
      <c r="E212" s="10238"/>
      <c r="F212" s="10238"/>
      <c r="G212" s="10238"/>
      <c r="H212" s="10238"/>
      <c r="I212" s="10238"/>
      <c r="J212" s="10238"/>
      <c r="K212" s="10238"/>
      <c r="L212" s="10238"/>
      <c r="M212" s="10235"/>
      <c r="N212" s="10235"/>
      <c r="O212" s="10235"/>
      <c r="P212" s="10238"/>
      <c r="Q212" s="10238"/>
      <c r="R212" s="10244"/>
      <c r="S212" s="2343"/>
      <c r="T212" s="2363"/>
      <c r="U212" s="2321">
        <v>87130011</v>
      </c>
      <c r="V212" s="2356" t="s">
        <v>2856</v>
      </c>
      <c r="W212" s="2357">
        <v>1</v>
      </c>
      <c r="X212" s="2439" t="s">
        <v>152</v>
      </c>
      <c r="Y212" s="7974">
        <f>52000/1.12</f>
        <v>46428.571428571428</v>
      </c>
      <c r="Z212" s="7974">
        <f>+W212*Y212</f>
        <v>46428.571428571428</v>
      </c>
      <c r="AA212" s="7975">
        <f>+Z212*1.12</f>
        <v>52000.000000000007</v>
      </c>
      <c r="AB212" s="7976"/>
      <c r="AC212" s="2301"/>
      <c r="AD212" s="2302"/>
      <c r="AE212" s="2379"/>
      <c r="AF212" s="2379"/>
      <c r="AG212" s="2295" t="s">
        <v>153</v>
      </c>
      <c r="AH212" s="10247"/>
      <c r="AI212" s="2285"/>
    </row>
    <row r="213" spans="1:35" ht="38.25" customHeight="1">
      <c r="A213" s="10306"/>
      <c r="B213" s="10272"/>
      <c r="C213" s="10257"/>
      <c r="D213" s="10239"/>
      <c r="E213" s="10239"/>
      <c r="F213" s="10239"/>
      <c r="G213" s="10239"/>
      <c r="H213" s="10239"/>
      <c r="I213" s="10239"/>
      <c r="J213" s="10239"/>
      <c r="K213" s="10239"/>
      <c r="L213" s="10239"/>
      <c r="M213" s="10236"/>
      <c r="N213" s="10236"/>
      <c r="O213" s="10236"/>
      <c r="P213" s="10239"/>
      <c r="Q213" s="10239"/>
      <c r="R213" s="10245"/>
      <c r="S213" s="2323"/>
      <c r="T213" s="2359"/>
      <c r="U213" s="2359"/>
      <c r="V213" s="2446"/>
      <c r="W213" s="2365"/>
      <c r="X213" s="2449"/>
      <c r="Y213" s="2448"/>
      <c r="Z213" s="2448"/>
      <c r="AA213" s="2328"/>
      <c r="AB213" s="2329"/>
      <c r="AC213" s="2330"/>
      <c r="AD213" s="2331"/>
      <c r="AE213" s="2449"/>
      <c r="AF213" s="2449"/>
      <c r="AG213" s="2333"/>
      <c r="AH213" s="10248"/>
      <c r="AI213" s="2285"/>
    </row>
    <row r="214" spans="1:35" ht="57" customHeight="1">
      <c r="A214" s="10306"/>
      <c r="B214" s="10272"/>
      <c r="C214" s="10255" t="s">
        <v>127</v>
      </c>
      <c r="D214" s="10242" t="s">
        <v>128</v>
      </c>
      <c r="E214" s="10242" t="s">
        <v>129</v>
      </c>
      <c r="F214" s="10242" t="s">
        <v>336</v>
      </c>
      <c r="G214" s="10258" t="s">
        <v>131</v>
      </c>
      <c r="H214" s="10242" t="s">
        <v>132</v>
      </c>
      <c r="I214" s="10242" t="s">
        <v>159</v>
      </c>
      <c r="J214" s="10269" t="s">
        <v>2857</v>
      </c>
      <c r="K214" s="10242" t="s">
        <v>2858</v>
      </c>
      <c r="L214" s="10242" t="s">
        <v>2859</v>
      </c>
      <c r="M214" s="10283">
        <v>2</v>
      </c>
      <c r="N214" s="10283">
        <v>1</v>
      </c>
      <c r="O214" s="10283">
        <v>1</v>
      </c>
      <c r="P214" s="10242" t="s">
        <v>2860</v>
      </c>
      <c r="Q214" s="10242" t="s">
        <v>2861</v>
      </c>
      <c r="R214" s="10243" t="s">
        <v>2853</v>
      </c>
      <c r="S214" s="2358" t="s">
        <v>15</v>
      </c>
      <c r="T214" s="2345">
        <v>530811</v>
      </c>
      <c r="U214" s="2345"/>
      <c r="V214" s="2451" t="s">
        <v>2234</v>
      </c>
      <c r="W214" s="2346"/>
      <c r="X214" s="2452"/>
      <c r="Y214" s="2453"/>
      <c r="Z214" s="2453"/>
      <c r="AA214" s="2336"/>
      <c r="AB214" s="2337">
        <f>SUM($AA$215)</f>
        <v>1120</v>
      </c>
      <c r="AC214" s="2338" t="s">
        <v>18</v>
      </c>
      <c r="AD214" s="2339"/>
      <c r="AE214" s="2452"/>
      <c r="AF214" s="2361"/>
      <c r="AG214" s="2284"/>
      <c r="AH214" s="10246"/>
      <c r="AI214" s="2285"/>
    </row>
    <row r="215" spans="1:35" ht="18" customHeight="1">
      <c r="A215" s="10306"/>
      <c r="B215" s="10272"/>
      <c r="C215" s="10256"/>
      <c r="D215" s="10238"/>
      <c r="E215" s="10238"/>
      <c r="F215" s="10238"/>
      <c r="G215" s="10238"/>
      <c r="H215" s="10238"/>
      <c r="I215" s="10238"/>
      <c r="J215" s="10238"/>
      <c r="K215" s="10238"/>
      <c r="L215" s="10238"/>
      <c r="M215" s="10235"/>
      <c r="N215" s="10235"/>
      <c r="O215" s="10235"/>
      <c r="P215" s="10238"/>
      <c r="Q215" s="10238"/>
      <c r="R215" s="10244"/>
      <c r="S215" s="2358"/>
      <c r="T215" s="2345"/>
      <c r="U215" s="2321">
        <v>4523000414</v>
      </c>
      <c r="V215" s="2356" t="s">
        <v>2862</v>
      </c>
      <c r="W215" s="2357">
        <v>20</v>
      </c>
      <c r="X215" s="2439" t="s">
        <v>180</v>
      </c>
      <c r="Y215" s="2380">
        <v>50</v>
      </c>
      <c r="Z215" s="2380">
        <f>+W215*Y215</f>
        <v>1000</v>
      </c>
      <c r="AA215" s="2299">
        <f>+Z215*1.12</f>
        <v>1120</v>
      </c>
      <c r="AB215" s="2300"/>
      <c r="AC215" s="2301"/>
      <c r="AD215" s="2302"/>
      <c r="AE215" s="2379"/>
      <c r="AF215" s="2348" t="s">
        <v>153</v>
      </c>
      <c r="AG215" s="2374"/>
      <c r="AH215" s="10247"/>
      <c r="AI215" s="2285"/>
    </row>
    <row r="216" spans="1:35" ht="61.5" customHeight="1">
      <c r="A216" s="10306"/>
      <c r="B216" s="10272"/>
      <c r="C216" s="10256"/>
      <c r="D216" s="10238"/>
      <c r="E216" s="10238"/>
      <c r="F216" s="10238"/>
      <c r="G216" s="10238"/>
      <c r="H216" s="10238"/>
      <c r="I216" s="10238"/>
      <c r="J216" s="10238"/>
      <c r="K216" s="10238"/>
      <c r="L216" s="10238"/>
      <c r="M216" s="10235"/>
      <c r="N216" s="10235"/>
      <c r="O216" s="10235"/>
      <c r="P216" s="10238"/>
      <c r="Q216" s="10238"/>
      <c r="R216" s="10244"/>
      <c r="S216" s="2358" t="s">
        <v>15</v>
      </c>
      <c r="T216" s="2345">
        <v>530811</v>
      </c>
      <c r="U216" s="2614"/>
      <c r="V216" s="3334" t="s">
        <v>2234</v>
      </c>
      <c r="W216" s="3337"/>
      <c r="X216" s="3338"/>
      <c r="Y216" s="3339"/>
      <c r="Z216" s="2336"/>
      <c r="AA216" s="2299"/>
      <c r="AB216" s="8004">
        <f>SUM($AA$217)</f>
        <v>599.99520000000007</v>
      </c>
      <c r="AC216" s="2338" t="s">
        <v>25</v>
      </c>
      <c r="AD216" s="2302"/>
      <c r="AE216" s="2379"/>
      <c r="AF216" s="2348"/>
      <c r="AG216" s="2374"/>
      <c r="AH216" s="10247"/>
      <c r="AI216" s="2285"/>
    </row>
    <row r="217" spans="1:35" ht="18" customHeight="1">
      <c r="A217" s="10306"/>
      <c r="B217" s="10272"/>
      <c r="C217" s="10256"/>
      <c r="D217" s="10238"/>
      <c r="E217" s="10238"/>
      <c r="F217" s="10238"/>
      <c r="G217" s="10238"/>
      <c r="H217" s="10238"/>
      <c r="I217" s="10238"/>
      <c r="J217" s="10238"/>
      <c r="K217" s="10238"/>
      <c r="L217" s="10238"/>
      <c r="M217" s="10235"/>
      <c r="N217" s="10235"/>
      <c r="O217" s="10235"/>
      <c r="P217" s="10238"/>
      <c r="Q217" s="10238"/>
      <c r="R217" s="10244"/>
      <c r="S217" s="2358"/>
      <c r="T217" s="2345"/>
      <c r="U217" s="2801">
        <v>4634000113</v>
      </c>
      <c r="V217" s="3340" t="s">
        <v>2863</v>
      </c>
      <c r="W217" s="8005">
        <v>2</v>
      </c>
      <c r="X217" s="2439" t="s">
        <v>180</v>
      </c>
      <c r="Y217" s="2616">
        <v>267.85500000000002</v>
      </c>
      <c r="Z217" s="2299">
        <f>+W217*Y217</f>
        <v>535.71</v>
      </c>
      <c r="AA217" s="2299">
        <f>+Z217*1.12</f>
        <v>599.99520000000007</v>
      </c>
      <c r="AB217" s="2300"/>
      <c r="AC217" s="2301"/>
      <c r="AD217" s="2302"/>
      <c r="AE217" s="2379"/>
      <c r="AF217" s="2295" t="s">
        <v>153</v>
      </c>
      <c r="AG217" s="2374"/>
      <c r="AH217" s="10247"/>
      <c r="AI217" s="2285"/>
    </row>
    <row r="218" spans="1:35" ht="18" customHeight="1">
      <c r="A218" s="10306"/>
      <c r="B218" s="10272"/>
      <c r="C218" s="10268"/>
      <c r="D218" s="10265"/>
      <c r="E218" s="10265"/>
      <c r="F218" s="10265"/>
      <c r="G218" s="10265"/>
      <c r="H218" s="10265"/>
      <c r="I218" s="10265"/>
      <c r="J218" s="10265"/>
      <c r="K218" s="10265"/>
      <c r="L218" s="10265"/>
      <c r="M218" s="10267"/>
      <c r="N218" s="10267"/>
      <c r="O218" s="10267"/>
      <c r="P218" s="10265"/>
      <c r="Q218" s="10265"/>
      <c r="R218" s="10260"/>
      <c r="S218" s="2358" t="s">
        <v>15</v>
      </c>
      <c r="T218" s="7200">
        <v>530813</v>
      </c>
      <c r="U218" s="7211"/>
      <c r="V218" s="3341" t="s">
        <v>2694</v>
      </c>
      <c r="W218" s="7230"/>
      <c r="X218" s="2619"/>
      <c r="Y218" s="7244"/>
      <c r="Z218" s="2336"/>
      <c r="AA218" s="2336"/>
      <c r="AB218" s="8004">
        <f>SUM(AA219:AA219)</f>
        <v>1409.22</v>
      </c>
      <c r="AC218" s="2310" t="s">
        <v>25</v>
      </c>
      <c r="AD218" s="2311"/>
      <c r="AE218" s="2455"/>
      <c r="AF218" s="2352"/>
      <c r="AG218" s="2312"/>
      <c r="AH218" s="10262"/>
      <c r="AI218" s="2285"/>
    </row>
    <row r="219" spans="1:35" ht="18" customHeight="1">
      <c r="A219" s="10306"/>
      <c r="B219" s="10272"/>
      <c r="C219" s="10268"/>
      <c r="D219" s="10265"/>
      <c r="E219" s="10265"/>
      <c r="F219" s="10265"/>
      <c r="G219" s="10265"/>
      <c r="H219" s="10265"/>
      <c r="I219" s="10265"/>
      <c r="J219" s="10265"/>
      <c r="K219" s="10265"/>
      <c r="L219" s="10265"/>
      <c r="M219" s="10267"/>
      <c r="N219" s="10267"/>
      <c r="O219" s="10267"/>
      <c r="P219" s="10265"/>
      <c r="Q219" s="10265"/>
      <c r="R219" s="10260"/>
      <c r="S219" s="2689"/>
      <c r="T219" s="7212"/>
      <c r="U219" s="2801"/>
      <c r="V219" s="8008" t="s">
        <v>2864</v>
      </c>
      <c r="W219" s="8005">
        <v>1</v>
      </c>
      <c r="X219" s="8009" t="s">
        <v>180</v>
      </c>
      <c r="Y219" s="8010">
        <v>1409.22</v>
      </c>
      <c r="Z219" s="7975">
        <f>Y219</f>
        <v>1409.22</v>
      </c>
      <c r="AA219" s="7975">
        <f>Z219</f>
        <v>1409.22</v>
      </c>
      <c r="AB219" s="7976"/>
      <c r="AC219" s="2310"/>
      <c r="AD219" s="2311"/>
      <c r="AE219" s="2455"/>
      <c r="AF219" s="2295" t="s">
        <v>153</v>
      </c>
      <c r="AG219" s="2312"/>
      <c r="AH219" s="10262"/>
      <c r="AI219" s="2285"/>
    </row>
    <row r="220" spans="1:35" ht="28.5" customHeight="1">
      <c r="A220" s="10306"/>
      <c r="B220" s="10272"/>
      <c r="C220" s="10268"/>
      <c r="D220" s="10265"/>
      <c r="E220" s="10265"/>
      <c r="F220" s="10265"/>
      <c r="G220" s="10265"/>
      <c r="H220" s="10265"/>
      <c r="I220" s="10265"/>
      <c r="J220" s="10265"/>
      <c r="K220" s="10265"/>
      <c r="L220" s="10265"/>
      <c r="M220" s="10267"/>
      <c r="N220" s="10267"/>
      <c r="O220" s="10267"/>
      <c r="P220" s="10265"/>
      <c r="Q220" s="10265"/>
      <c r="R220" s="10260"/>
      <c r="S220" s="2615" t="s">
        <v>80</v>
      </c>
      <c r="T220" s="2363">
        <v>840107</v>
      </c>
      <c r="U220" s="7213"/>
      <c r="V220" s="2297" t="s">
        <v>40</v>
      </c>
      <c r="W220" s="2713"/>
      <c r="X220" s="2439"/>
      <c r="Y220" s="2616"/>
      <c r="Z220" s="2308"/>
      <c r="AA220" s="2308"/>
      <c r="AB220" s="2309">
        <f>SUM(AA221)</f>
        <v>2000.0041600000002</v>
      </c>
      <c r="AC220" s="2310" t="s">
        <v>25</v>
      </c>
      <c r="AD220" s="2311"/>
      <c r="AE220" s="2455"/>
      <c r="AF220" s="2312"/>
      <c r="AG220" s="2312"/>
      <c r="AH220" s="10262"/>
      <c r="AI220" s="2285"/>
    </row>
    <row r="221" spans="1:35" ht="18" customHeight="1">
      <c r="A221" s="10306"/>
      <c r="B221" s="10272"/>
      <c r="C221" s="10268"/>
      <c r="D221" s="10265"/>
      <c r="E221" s="10265"/>
      <c r="F221" s="10265"/>
      <c r="G221" s="10265"/>
      <c r="H221" s="10265"/>
      <c r="I221" s="10265"/>
      <c r="J221" s="10265"/>
      <c r="K221" s="10265"/>
      <c r="L221" s="10265"/>
      <c r="M221" s="10267"/>
      <c r="N221" s="10267"/>
      <c r="O221" s="10267"/>
      <c r="P221" s="10265"/>
      <c r="Q221" s="10265"/>
      <c r="R221" s="10260"/>
      <c r="S221" s="2620"/>
      <c r="T221" s="7214"/>
      <c r="U221" s="2801">
        <v>452900028</v>
      </c>
      <c r="V221" s="3342" t="s">
        <v>2865</v>
      </c>
      <c r="W221" s="7231">
        <v>1</v>
      </c>
      <c r="X221" s="2439" t="s">
        <v>180</v>
      </c>
      <c r="Y221" s="2621">
        <v>1785.7180000000001</v>
      </c>
      <c r="Z221" s="2299">
        <v>1785.7180000000001</v>
      </c>
      <c r="AA221" s="2299">
        <f>+Z221*1.12</f>
        <v>2000.0041600000002</v>
      </c>
      <c r="AB221" s="2309"/>
      <c r="AC221" s="2310"/>
      <c r="AD221" s="2311"/>
      <c r="AE221" s="2455"/>
      <c r="AF221" s="2456" t="s">
        <v>153</v>
      </c>
      <c r="AG221" s="2312"/>
      <c r="AH221" s="10262"/>
      <c r="AI221" s="2285"/>
    </row>
    <row r="222" spans="1:35" ht="27" customHeight="1">
      <c r="A222" s="10306"/>
      <c r="B222" s="10272"/>
      <c r="C222" s="10263" t="s">
        <v>127</v>
      </c>
      <c r="D222" s="10237" t="s">
        <v>128</v>
      </c>
      <c r="E222" s="10237" t="s">
        <v>129</v>
      </c>
      <c r="F222" s="10237" t="s">
        <v>336</v>
      </c>
      <c r="G222" s="10264" t="s">
        <v>131</v>
      </c>
      <c r="H222" s="10237" t="s">
        <v>132</v>
      </c>
      <c r="I222" s="10237" t="s">
        <v>159</v>
      </c>
      <c r="J222" s="10237" t="s">
        <v>2866</v>
      </c>
      <c r="K222" s="10237" t="s">
        <v>2867</v>
      </c>
      <c r="L222" s="10237" t="s">
        <v>2868</v>
      </c>
      <c r="M222" s="10254">
        <v>1</v>
      </c>
      <c r="N222" s="10254">
        <v>1</v>
      </c>
      <c r="O222" s="10254">
        <v>1</v>
      </c>
      <c r="P222" s="10237" t="s">
        <v>2869</v>
      </c>
      <c r="Q222" s="10237" t="s">
        <v>2870</v>
      </c>
      <c r="R222" s="10259" t="s">
        <v>2838</v>
      </c>
      <c r="S222" s="2457" t="s">
        <v>15</v>
      </c>
      <c r="T222" s="2314">
        <v>531407</v>
      </c>
      <c r="U222" s="2314"/>
      <c r="V222" s="2353" t="s">
        <v>40</v>
      </c>
      <c r="W222" s="2354"/>
      <c r="X222" s="2384"/>
      <c r="Y222" s="2385"/>
      <c r="Z222" s="2385"/>
      <c r="AA222" s="2316"/>
      <c r="AB222" s="2317">
        <f>SUM($AA$223:$AA$224)</f>
        <v>381.87000000000006</v>
      </c>
      <c r="AC222" s="2318" t="s">
        <v>18</v>
      </c>
      <c r="AD222" s="2319"/>
      <c r="AE222" s="2384"/>
      <c r="AF222" s="2355"/>
      <c r="AG222" s="2342"/>
      <c r="AH222" s="10261"/>
      <c r="AI222" s="2285"/>
    </row>
    <row r="223" spans="1:35" ht="27" customHeight="1">
      <c r="A223" s="10306"/>
      <c r="B223" s="10272"/>
      <c r="C223" s="10256"/>
      <c r="D223" s="10238"/>
      <c r="E223" s="10238"/>
      <c r="F223" s="10238"/>
      <c r="G223" s="10238"/>
      <c r="H223" s="10238"/>
      <c r="I223" s="10238"/>
      <c r="J223" s="10238"/>
      <c r="K223" s="10238"/>
      <c r="L223" s="10238"/>
      <c r="M223" s="10235"/>
      <c r="N223" s="10235"/>
      <c r="O223" s="10235"/>
      <c r="P223" s="10238"/>
      <c r="Q223" s="10238"/>
      <c r="R223" s="10244"/>
      <c r="S223" s="2286"/>
      <c r="T223" s="2321"/>
      <c r="U223" s="2321">
        <v>472200415</v>
      </c>
      <c r="V223" s="2356" t="s">
        <v>2871</v>
      </c>
      <c r="W223" s="2357">
        <v>1</v>
      </c>
      <c r="X223" s="2439" t="s">
        <v>180</v>
      </c>
      <c r="Y223" s="2380">
        <v>62.5</v>
      </c>
      <c r="Z223" s="2380">
        <f>+W223*Y223</f>
        <v>62.5</v>
      </c>
      <c r="AA223" s="2299">
        <f>+Z223*1.12</f>
        <v>70</v>
      </c>
      <c r="AB223" s="2300"/>
      <c r="AC223" s="2301"/>
      <c r="AD223" s="2302"/>
      <c r="AE223" s="2379"/>
      <c r="AF223" s="2348" t="s">
        <v>153</v>
      </c>
      <c r="AG223" s="2295"/>
      <c r="AH223" s="10247"/>
      <c r="AI223" s="2285"/>
    </row>
    <row r="224" spans="1:35" ht="27" customHeight="1">
      <c r="A224" s="10306"/>
      <c r="B224" s="10272"/>
      <c r="C224" s="10256"/>
      <c r="D224" s="10238"/>
      <c r="E224" s="10238"/>
      <c r="F224" s="10238"/>
      <c r="G224" s="10238"/>
      <c r="H224" s="10238"/>
      <c r="I224" s="10238"/>
      <c r="J224" s="10238"/>
      <c r="K224" s="10238"/>
      <c r="L224" s="10238"/>
      <c r="M224" s="10235"/>
      <c r="N224" s="10235"/>
      <c r="O224" s="10235"/>
      <c r="P224" s="10238"/>
      <c r="Q224" s="10238"/>
      <c r="R224" s="10244"/>
      <c r="S224" s="2343"/>
      <c r="T224" s="2363"/>
      <c r="U224" s="3308">
        <v>472200415</v>
      </c>
      <c r="V224" s="3309" t="s">
        <v>2871</v>
      </c>
      <c r="W224" s="3310">
        <v>4</v>
      </c>
      <c r="X224" s="3419" t="s">
        <v>180</v>
      </c>
      <c r="Y224" s="3312">
        <f>62.5+(31.87/4/1.12)</f>
        <v>69.613839285714292</v>
      </c>
      <c r="Z224" s="3312">
        <f>+W224*Y224</f>
        <v>278.45535714285717</v>
      </c>
      <c r="AA224" s="3312">
        <f>+Z224*1.12</f>
        <v>311.87000000000006</v>
      </c>
      <c r="AB224" s="3332"/>
      <c r="AC224" s="3365"/>
      <c r="AD224" s="3413"/>
      <c r="AE224" s="3311"/>
      <c r="AF224" s="3344"/>
      <c r="AG224" s="3344" t="s">
        <v>153</v>
      </c>
      <c r="AH224" s="10247"/>
      <c r="AI224" s="2285"/>
    </row>
    <row r="225" spans="1:35" ht="27" customHeight="1">
      <c r="A225" s="10306"/>
      <c r="B225" s="10272"/>
      <c r="C225" s="10256"/>
      <c r="D225" s="10238"/>
      <c r="E225" s="10238"/>
      <c r="F225" s="10238"/>
      <c r="G225" s="10238"/>
      <c r="H225" s="10238"/>
      <c r="I225" s="10238"/>
      <c r="J225" s="10238"/>
      <c r="K225" s="10238"/>
      <c r="L225" s="10238"/>
      <c r="M225" s="10235"/>
      <c r="N225" s="10235"/>
      <c r="O225" s="10235"/>
      <c r="P225" s="10238"/>
      <c r="Q225" s="10238"/>
      <c r="R225" s="10244"/>
      <c r="S225" s="2286"/>
      <c r="T225" s="2287"/>
      <c r="U225" s="2458"/>
      <c r="V225" s="2356"/>
      <c r="W225" s="2357"/>
      <c r="X225" s="2379"/>
      <c r="Y225" s="2380"/>
      <c r="Z225" s="2380"/>
      <c r="AA225" s="2299"/>
      <c r="AB225" s="2300"/>
      <c r="AC225" s="2301"/>
      <c r="AD225" s="2302"/>
      <c r="AE225" s="2379"/>
      <c r="AF225" s="2348"/>
      <c r="AG225" s="2295"/>
      <c r="AH225" s="10247"/>
      <c r="AI225" s="2285"/>
    </row>
    <row r="226" spans="1:35" ht="27" customHeight="1">
      <c r="A226" s="10306"/>
      <c r="B226" s="10272"/>
      <c r="C226" s="10257"/>
      <c r="D226" s="10239"/>
      <c r="E226" s="10239"/>
      <c r="F226" s="10239"/>
      <c r="G226" s="10239"/>
      <c r="H226" s="10239"/>
      <c r="I226" s="10239"/>
      <c r="J226" s="10239"/>
      <c r="K226" s="10239"/>
      <c r="L226" s="10239"/>
      <c r="M226" s="10236"/>
      <c r="N226" s="10236"/>
      <c r="O226" s="10236"/>
      <c r="P226" s="10239"/>
      <c r="Q226" s="10239"/>
      <c r="R226" s="10245"/>
      <c r="S226" s="2323"/>
      <c r="T226" s="2324"/>
      <c r="U226" s="2324"/>
      <c r="V226" s="2325"/>
      <c r="W226" s="2326"/>
      <c r="X226" s="2332"/>
      <c r="Y226" s="2328"/>
      <c r="Z226" s="2328"/>
      <c r="AA226" s="2328"/>
      <c r="AB226" s="2329"/>
      <c r="AC226" s="2330"/>
      <c r="AD226" s="2331"/>
      <c r="AE226" s="2332"/>
      <c r="AF226" s="2333"/>
      <c r="AG226" s="2333"/>
      <c r="AH226" s="10248"/>
      <c r="AI226" s="2285"/>
    </row>
    <row r="227" spans="1:35" ht="32.25" customHeight="1">
      <c r="A227" s="10306"/>
      <c r="B227" s="10272"/>
      <c r="C227" s="10255" t="s">
        <v>127</v>
      </c>
      <c r="D227" s="10242" t="s">
        <v>128</v>
      </c>
      <c r="E227" s="10242" t="s">
        <v>129</v>
      </c>
      <c r="F227" s="10242" t="s">
        <v>336</v>
      </c>
      <c r="G227" s="10258" t="s">
        <v>131</v>
      </c>
      <c r="H227" s="10242" t="s">
        <v>132</v>
      </c>
      <c r="I227" s="10242" t="s">
        <v>159</v>
      </c>
      <c r="J227" s="10242" t="s">
        <v>2872</v>
      </c>
      <c r="K227" s="10242" t="s">
        <v>2873</v>
      </c>
      <c r="L227" s="10242" t="s">
        <v>2874</v>
      </c>
      <c r="M227" s="10283">
        <v>0</v>
      </c>
      <c r="N227" s="10283">
        <v>1</v>
      </c>
      <c r="O227" s="10283">
        <v>1</v>
      </c>
      <c r="P227" s="10242" t="s">
        <v>2875</v>
      </c>
      <c r="Q227" s="10242" t="s">
        <v>2876</v>
      </c>
      <c r="R227" s="10243" t="s">
        <v>2838</v>
      </c>
      <c r="S227" s="2344"/>
      <c r="T227" s="2313"/>
      <c r="U227" s="2314"/>
      <c r="V227" s="2341"/>
      <c r="W227" s="6187"/>
      <c r="X227" s="2414"/>
      <c r="Y227" s="7240"/>
      <c r="Z227" s="2316"/>
      <c r="AA227" s="2316"/>
      <c r="AB227" s="2317"/>
      <c r="AC227" s="2338"/>
      <c r="AD227" s="2339"/>
      <c r="AE227" s="2279"/>
      <c r="AF227" s="2284"/>
      <c r="AG227" s="2284"/>
      <c r="AH227" s="10246"/>
      <c r="AI227" s="2285"/>
    </row>
    <row r="228" spans="1:35" ht="32.25" customHeight="1">
      <c r="A228" s="10306"/>
      <c r="B228" s="10272"/>
      <c r="C228" s="10256"/>
      <c r="D228" s="10238"/>
      <c r="E228" s="10238"/>
      <c r="F228" s="10238"/>
      <c r="G228" s="10238"/>
      <c r="H228" s="10238"/>
      <c r="I228" s="10238"/>
      <c r="J228" s="10238"/>
      <c r="K228" s="10238"/>
      <c r="L228" s="10238"/>
      <c r="M228" s="10235"/>
      <c r="N228" s="10235"/>
      <c r="O228" s="10235"/>
      <c r="P228" s="10238"/>
      <c r="Q228" s="10238"/>
      <c r="R228" s="10244"/>
      <c r="S228" s="2286"/>
      <c r="T228" s="2287"/>
      <c r="U228" s="2321"/>
      <c r="V228" s="2288"/>
      <c r="W228" s="7220"/>
      <c r="X228" s="2612"/>
      <c r="Y228" s="2299"/>
      <c r="Z228" s="2299"/>
      <c r="AA228" s="2299"/>
      <c r="AB228" s="2300"/>
      <c r="AC228" s="2301"/>
      <c r="AD228" s="2302"/>
      <c r="AE228" s="2290"/>
      <c r="AF228" s="2295"/>
      <c r="AG228" s="2295"/>
      <c r="AH228" s="10247"/>
      <c r="AI228" s="2285"/>
    </row>
    <row r="229" spans="1:35" ht="32.25" customHeight="1">
      <c r="A229" s="10306"/>
      <c r="B229" s="10272"/>
      <c r="C229" s="10256"/>
      <c r="D229" s="10238"/>
      <c r="E229" s="10238"/>
      <c r="F229" s="10238"/>
      <c r="G229" s="10238"/>
      <c r="H229" s="10238"/>
      <c r="I229" s="10238"/>
      <c r="J229" s="10238"/>
      <c r="K229" s="10238"/>
      <c r="L229" s="10238"/>
      <c r="M229" s="10235"/>
      <c r="N229" s="10235"/>
      <c r="O229" s="10235"/>
      <c r="P229" s="10238"/>
      <c r="Q229" s="10238"/>
      <c r="R229" s="10244"/>
      <c r="S229" s="2286"/>
      <c r="T229" s="2287"/>
      <c r="U229" s="2287"/>
      <c r="V229" s="2288"/>
      <c r="W229" s="2289"/>
      <c r="X229" s="2290"/>
      <c r="Y229" s="2299"/>
      <c r="Z229" s="2299"/>
      <c r="AA229" s="2299"/>
      <c r="AB229" s="2300"/>
      <c r="AC229" s="2301"/>
      <c r="AD229" s="2302"/>
      <c r="AE229" s="2290"/>
      <c r="AF229" s="2295"/>
      <c r="AG229" s="2295"/>
      <c r="AH229" s="10247"/>
      <c r="AI229" s="2285"/>
    </row>
    <row r="230" spans="1:35" ht="32.25" customHeight="1">
      <c r="A230" s="10306"/>
      <c r="B230" s="10272"/>
      <c r="C230" s="10268"/>
      <c r="D230" s="10265"/>
      <c r="E230" s="10265"/>
      <c r="F230" s="10265"/>
      <c r="G230" s="10265"/>
      <c r="H230" s="10265"/>
      <c r="I230" s="10265"/>
      <c r="J230" s="10265"/>
      <c r="K230" s="10265"/>
      <c r="L230" s="10265"/>
      <c r="M230" s="10267"/>
      <c r="N230" s="10267"/>
      <c r="O230" s="10267"/>
      <c r="P230" s="10265"/>
      <c r="Q230" s="10265"/>
      <c r="R230" s="10245"/>
      <c r="S230" s="2303"/>
      <c r="T230" s="2304"/>
      <c r="U230" s="2304"/>
      <c r="V230" s="2305"/>
      <c r="W230" s="2306"/>
      <c r="X230" s="2409"/>
      <c r="Y230" s="2308"/>
      <c r="Z230" s="2308"/>
      <c r="AA230" s="2308"/>
      <c r="AB230" s="2308"/>
      <c r="AC230" s="2459"/>
      <c r="AD230" s="2460"/>
      <c r="AE230" s="2409"/>
      <c r="AF230" s="2312"/>
      <c r="AG230" s="2312"/>
      <c r="AH230" s="10262"/>
      <c r="AI230" s="2285"/>
    </row>
    <row r="231" spans="1:35" ht="24" customHeight="1">
      <c r="A231" s="10306"/>
      <c r="B231" s="10272"/>
      <c r="C231" s="10263" t="s">
        <v>127</v>
      </c>
      <c r="D231" s="10237" t="s">
        <v>128</v>
      </c>
      <c r="E231" s="10237" t="s">
        <v>129</v>
      </c>
      <c r="F231" s="10237" t="s">
        <v>336</v>
      </c>
      <c r="G231" s="10264" t="s">
        <v>131</v>
      </c>
      <c r="H231" s="10237" t="s">
        <v>132</v>
      </c>
      <c r="I231" s="10237" t="s">
        <v>159</v>
      </c>
      <c r="J231" s="10237" t="s">
        <v>2877</v>
      </c>
      <c r="K231" s="10237" t="s">
        <v>2878</v>
      </c>
      <c r="L231" s="10237" t="s">
        <v>2879</v>
      </c>
      <c r="M231" s="10254">
        <v>0</v>
      </c>
      <c r="N231" s="10254">
        <v>1</v>
      </c>
      <c r="O231" s="10254">
        <v>1</v>
      </c>
      <c r="P231" s="10237" t="s">
        <v>2880</v>
      </c>
      <c r="Q231" s="10237" t="s">
        <v>2881</v>
      </c>
      <c r="R231" s="10281" t="s">
        <v>2838</v>
      </c>
      <c r="S231" s="2340"/>
      <c r="T231" s="2313"/>
      <c r="U231" s="2313"/>
      <c r="V231" s="2341"/>
      <c r="W231" s="6187"/>
      <c r="X231" s="2414"/>
      <c r="Y231" s="2316"/>
      <c r="Z231" s="2316"/>
      <c r="AA231" s="2316"/>
      <c r="AB231" s="2317"/>
      <c r="AC231" s="2318"/>
      <c r="AD231" s="2319"/>
      <c r="AE231" s="2414"/>
      <c r="AF231" s="2342"/>
      <c r="AG231" s="2342"/>
      <c r="AH231" s="10261"/>
      <c r="AI231" s="2285"/>
    </row>
    <row r="232" spans="1:35" ht="24" customHeight="1">
      <c r="A232" s="10306"/>
      <c r="B232" s="10272"/>
      <c r="C232" s="10256"/>
      <c r="D232" s="10238"/>
      <c r="E232" s="10238"/>
      <c r="F232" s="10238"/>
      <c r="G232" s="10238"/>
      <c r="H232" s="10238"/>
      <c r="I232" s="10238"/>
      <c r="J232" s="10238"/>
      <c r="K232" s="10238"/>
      <c r="L232" s="10238"/>
      <c r="M232" s="10235"/>
      <c r="N232" s="10235"/>
      <c r="O232" s="10235"/>
      <c r="P232" s="10238"/>
      <c r="Q232" s="10238"/>
      <c r="R232" s="10281"/>
      <c r="S232" s="2286"/>
      <c r="T232" s="2287"/>
      <c r="U232" s="2287"/>
      <c r="V232" s="2288"/>
      <c r="W232" s="2289"/>
      <c r="X232" s="2290"/>
      <c r="Y232" s="2291"/>
      <c r="Z232" s="2291"/>
      <c r="AA232" s="2299"/>
      <c r="AB232" s="2300"/>
      <c r="AC232" s="2301"/>
      <c r="AD232" s="2302"/>
      <c r="AE232" s="2290"/>
      <c r="AF232" s="2295"/>
      <c r="AG232" s="2295"/>
      <c r="AH232" s="10247"/>
      <c r="AI232" s="2285"/>
    </row>
    <row r="233" spans="1:35" ht="24" customHeight="1">
      <c r="A233" s="10306"/>
      <c r="B233" s="10272"/>
      <c r="C233" s="10256"/>
      <c r="D233" s="10238"/>
      <c r="E233" s="10238"/>
      <c r="F233" s="10238"/>
      <c r="G233" s="10238"/>
      <c r="H233" s="10238"/>
      <c r="I233" s="10238"/>
      <c r="J233" s="10238"/>
      <c r="K233" s="10238"/>
      <c r="L233" s="10238"/>
      <c r="M233" s="10235"/>
      <c r="N233" s="10235"/>
      <c r="O233" s="10235"/>
      <c r="P233" s="10238"/>
      <c r="Q233" s="10238"/>
      <c r="R233" s="10281"/>
      <c r="S233" s="2286"/>
      <c r="T233" s="2287"/>
      <c r="U233" s="2287"/>
      <c r="V233" s="2288"/>
      <c r="W233" s="2289"/>
      <c r="X233" s="2290"/>
      <c r="Y233" s="2291"/>
      <c r="Z233" s="2291"/>
      <c r="AA233" s="2299"/>
      <c r="AB233" s="2300"/>
      <c r="AC233" s="2301"/>
      <c r="AD233" s="2302"/>
      <c r="AE233" s="2290"/>
      <c r="AF233" s="2295"/>
      <c r="AG233" s="2295"/>
      <c r="AH233" s="10247"/>
      <c r="AI233" s="2285"/>
    </row>
    <row r="234" spans="1:35" ht="24" customHeight="1">
      <c r="A234" s="10306"/>
      <c r="B234" s="10272"/>
      <c r="C234" s="10256"/>
      <c r="D234" s="10238"/>
      <c r="E234" s="10238"/>
      <c r="F234" s="10238"/>
      <c r="G234" s="10238"/>
      <c r="H234" s="10238"/>
      <c r="I234" s="10238"/>
      <c r="J234" s="10238"/>
      <c r="K234" s="10238"/>
      <c r="L234" s="10238"/>
      <c r="M234" s="10235"/>
      <c r="N234" s="10235"/>
      <c r="O234" s="10235"/>
      <c r="P234" s="10238"/>
      <c r="Q234" s="10238"/>
      <c r="R234" s="10281"/>
      <c r="S234" s="2343"/>
      <c r="T234" s="2296"/>
      <c r="U234" s="2296"/>
      <c r="V234" s="2288"/>
      <c r="W234" s="2289"/>
      <c r="X234" s="2290"/>
      <c r="Y234" s="2291"/>
      <c r="Z234" s="2291"/>
      <c r="AA234" s="2299"/>
      <c r="AB234" s="2300"/>
      <c r="AC234" s="2301"/>
      <c r="AD234" s="2302"/>
      <c r="AE234" s="2290"/>
      <c r="AF234" s="2295"/>
      <c r="AG234" s="2295"/>
      <c r="AH234" s="10247"/>
      <c r="AI234" s="2285"/>
    </row>
    <row r="235" spans="1:35" ht="24" customHeight="1">
      <c r="A235" s="10306"/>
      <c r="B235" s="10272"/>
      <c r="C235" s="10268"/>
      <c r="D235" s="10265"/>
      <c r="E235" s="10265"/>
      <c r="F235" s="10265"/>
      <c r="G235" s="10265"/>
      <c r="H235" s="10265"/>
      <c r="I235" s="10265"/>
      <c r="J235" s="10265"/>
      <c r="K235" s="10265"/>
      <c r="L235" s="10265"/>
      <c r="M235" s="10267"/>
      <c r="N235" s="10267"/>
      <c r="O235" s="10267"/>
      <c r="P235" s="10265"/>
      <c r="Q235" s="10265"/>
      <c r="R235" s="10282"/>
      <c r="S235" s="2572"/>
      <c r="T235" s="2602"/>
      <c r="U235" s="2602"/>
      <c r="V235" s="2603"/>
      <c r="W235" s="2604"/>
      <c r="X235" s="2605"/>
      <c r="Y235" s="2606"/>
      <c r="Z235" s="2606"/>
      <c r="AA235" s="2607"/>
      <c r="AB235" s="2608"/>
      <c r="AC235" s="2609"/>
      <c r="AD235" s="2610"/>
      <c r="AE235" s="2605"/>
      <c r="AF235" s="2611"/>
      <c r="AG235" s="2312"/>
      <c r="AH235" s="10262"/>
      <c r="AI235" s="2285"/>
    </row>
    <row r="236" spans="1:35" ht="33.75" customHeight="1">
      <c r="A236" s="10306"/>
      <c r="B236" s="10272"/>
      <c r="C236" s="10263" t="s">
        <v>127</v>
      </c>
      <c r="D236" s="10237" t="s">
        <v>128</v>
      </c>
      <c r="E236" s="10237" t="s">
        <v>129</v>
      </c>
      <c r="F236" s="10237" t="s">
        <v>268</v>
      </c>
      <c r="G236" s="10264" t="s">
        <v>131</v>
      </c>
      <c r="H236" s="10237" t="s">
        <v>132</v>
      </c>
      <c r="I236" s="10237" t="s">
        <v>159</v>
      </c>
      <c r="J236" s="10237" t="s">
        <v>2882</v>
      </c>
      <c r="K236" s="10237" t="s">
        <v>286</v>
      </c>
      <c r="L236" s="10237" t="s">
        <v>2883</v>
      </c>
      <c r="M236" s="10254">
        <v>0</v>
      </c>
      <c r="N236" s="10254">
        <v>1</v>
      </c>
      <c r="O236" s="10254">
        <v>1</v>
      </c>
      <c r="P236" s="10237" t="s">
        <v>2884</v>
      </c>
      <c r="Q236" s="10237" t="s">
        <v>2885</v>
      </c>
      <c r="R236" s="10243" t="s">
        <v>2853</v>
      </c>
      <c r="S236" s="2590"/>
      <c r="T236" s="7215"/>
      <c r="U236" s="7216"/>
      <c r="V236" s="2599"/>
      <c r="W236" s="7232"/>
      <c r="X236" s="2599"/>
      <c r="Y236" s="7232"/>
      <c r="Z236" s="7245"/>
      <c r="AA236" s="7232"/>
      <c r="AB236" s="7245"/>
      <c r="AC236" s="7251"/>
      <c r="AD236" s="2600"/>
      <c r="AE236" s="2598"/>
      <c r="AF236" s="2601"/>
      <c r="AG236" s="2578"/>
      <c r="AH236" s="10261"/>
      <c r="AI236" s="2285"/>
    </row>
    <row r="237" spans="1:35" ht="33.75" customHeight="1">
      <c r="A237" s="10306"/>
      <c r="B237" s="10272"/>
      <c r="C237" s="10256"/>
      <c r="D237" s="10238"/>
      <c r="E237" s="10238"/>
      <c r="F237" s="10238"/>
      <c r="G237" s="10238"/>
      <c r="H237" s="10238"/>
      <c r="I237" s="10238"/>
      <c r="J237" s="10238"/>
      <c r="K237" s="10238"/>
      <c r="L237" s="10238"/>
      <c r="M237" s="10235"/>
      <c r="N237" s="10235"/>
      <c r="O237" s="10235"/>
      <c r="P237" s="10238"/>
      <c r="Q237" s="10238"/>
      <c r="R237" s="10244"/>
      <c r="S237" s="2576"/>
      <c r="T237" s="7217"/>
      <c r="U237" s="7218"/>
      <c r="W237" s="7233"/>
      <c r="Y237" s="7233"/>
      <c r="Z237" s="7246"/>
      <c r="AA237" s="7247"/>
      <c r="AB237" s="7246"/>
      <c r="AC237" s="7252"/>
      <c r="AE237" s="2594"/>
      <c r="AF237" s="2583"/>
      <c r="AG237" s="2579"/>
      <c r="AH237" s="10247"/>
      <c r="AI237" s="2285"/>
    </row>
    <row r="238" spans="1:35" ht="33.75" customHeight="1">
      <c r="A238" s="10306"/>
      <c r="B238" s="10272"/>
      <c r="C238" s="10256"/>
      <c r="D238" s="10238"/>
      <c r="E238" s="10238"/>
      <c r="F238" s="10238"/>
      <c r="G238" s="10238"/>
      <c r="H238" s="10238"/>
      <c r="I238" s="10238"/>
      <c r="J238" s="10238"/>
      <c r="K238" s="10238"/>
      <c r="L238" s="10238"/>
      <c r="M238" s="10235"/>
      <c r="N238" s="10235"/>
      <c r="O238" s="10235"/>
      <c r="P238" s="10238"/>
      <c r="Q238" s="10238"/>
      <c r="R238" s="10244"/>
      <c r="S238" s="2577"/>
      <c r="T238" s="2591"/>
      <c r="U238" s="2593"/>
      <c r="V238" s="2592"/>
      <c r="W238" s="2584"/>
      <c r="X238" s="2585"/>
      <c r="Y238" s="2586"/>
      <c r="Z238" s="2596"/>
      <c r="AA238" s="2597"/>
      <c r="AB238" s="2595"/>
      <c r="AC238" s="2587"/>
      <c r="AD238" s="2588"/>
      <c r="AE238" s="2585"/>
      <c r="AF238" s="2589"/>
      <c r="AG238" s="2580"/>
      <c r="AH238" s="10247"/>
      <c r="AI238" s="2285"/>
    </row>
    <row r="239" spans="1:35" ht="33.75" customHeight="1">
      <c r="A239" s="10306"/>
      <c r="B239" s="10272"/>
      <c r="C239" s="10256"/>
      <c r="D239" s="10238"/>
      <c r="E239" s="10238"/>
      <c r="F239" s="10238"/>
      <c r="G239" s="10238"/>
      <c r="H239" s="10238"/>
      <c r="I239" s="10238"/>
      <c r="J239" s="10238"/>
      <c r="K239" s="10238"/>
      <c r="L239" s="10238"/>
      <c r="M239" s="10235"/>
      <c r="N239" s="10235"/>
      <c r="O239" s="10235"/>
      <c r="P239" s="10238"/>
      <c r="Q239" s="10238"/>
      <c r="R239" s="10244"/>
      <c r="S239" s="2286"/>
      <c r="T239" s="2581"/>
      <c r="U239" s="2581"/>
      <c r="V239" s="2582"/>
      <c r="W239" s="6186"/>
      <c r="X239" s="2279"/>
      <c r="Y239" s="2280"/>
      <c r="Z239" s="2280"/>
      <c r="AA239" s="2336"/>
      <c r="AB239" s="2337"/>
      <c r="AC239" s="2338"/>
      <c r="AD239" s="2339"/>
      <c r="AE239" s="2279"/>
      <c r="AF239" s="2279"/>
      <c r="AG239" s="2295"/>
      <c r="AH239" s="10247"/>
      <c r="AI239" s="2285"/>
    </row>
    <row r="240" spans="1:35" ht="33.75" customHeight="1">
      <c r="A240" s="10306"/>
      <c r="B240" s="10272"/>
      <c r="C240" s="10257"/>
      <c r="D240" s="10239"/>
      <c r="E240" s="10239"/>
      <c r="F240" s="10239"/>
      <c r="G240" s="10239"/>
      <c r="H240" s="10239"/>
      <c r="I240" s="10239"/>
      <c r="J240" s="10239"/>
      <c r="K240" s="10239"/>
      <c r="L240" s="10239"/>
      <c r="M240" s="10236"/>
      <c r="N240" s="10236"/>
      <c r="O240" s="10236"/>
      <c r="P240" s="10239"/>
      <c r="Q240" s="10239"/>
      <c r="R240" s="10245"/>
      <c r="S240" s="2323"/>
      <c r="T240" s="2324"/>
      <c r="U240" s="2324"/>
      <c r="V240" s="2325"/>
      <c r="W240" s="2326"/>
      <c r="X240" s="2332"/>
      <c r="Y240" s="2393"/>
      <c r="Z240" s="2393"/>
      <c r="AA240" s="2328"/>
      <c r="AB240" s="2329"/>
      <c r="AC240" s="2330"/>
      <c r="AD240" s="2331"/>
      <c r="AE240" s="2332"/>
      <c r="AF240" s="2332"/>
      <c r="AG240" s="2333"/>
      <c r="AH240" s="10248"/>
      <c r="AI240" s="2285"/>
    </row>
    <row r="241" spans="1:35" ht="26.25" customHeight="1">
      <c r="A241" s="10306"/>
      <c r="B241" s="10272"/>
      <c r="C241" s="10263" t="s">
        <v>127</v>
      </c>
      <c r="D241" s="10237" t="s">
        <v>128</v>
      </c>
      <c r="E241" s="10237" t="s">
        <v>129</v>
      </c>
      <c r="F241" s="10237" t="s">
        <v>268</v>
      </c>
      <c r="G241" s="10264" t="s">
        <v>131</v>
      </c>
      <c r="H241" s="10237" t="s">
        <v>213</v>
      </c>
      <c r="I241" s="10237" t="s">
        <v>159</v>
      </c>
      <c r="J241" s="10237" t="s">
        <v>2886</v>
      </c>
      <c r="K241" s="10237" t="s">
        <v>1378</v>
      </c>
      <c r="L241" s="10237" t="s">
        <v>2887</v>
      </c>
      <c r="M241" s="10254">
        <v>0</v>
      </c>
      <c r="N241" s="10254">
        <v>1</v>
      </c>
      <c r="O241" s="10254">
        <v>1</v>
      </c>
      <c r="P241" s="10237" t="s">
        <v>2435</v>
      </c>
      <c r="Q241" s="10237" t="s">
        <v>1381</v>
      </c>
      <c r="R241" s="10259" t="s">
        <v>2853</v>
      </c>
      <c r="S241" s="2340"/>
      <c r="T241" s="2313"/>
      <c r="U241" s="2313"/>
      <c r="V241" s="2341"/>
      <c r="W241" s="6187"/>
      <c r="X241" s="2414"/>
      <c r="Y241" s="2489"/>
      <c r="Z241" s="2489"/>
      <c r="AA241" s="2316"/>
      <c r="AB241" s="2317"/>
      <c r="AC241" s="2318"/>
      <c r="AD241" s="2319"/>
      <c r="AE241" s="2414"/>
      <c r="AF241" s="2342"/>
      <c r="AG241" s="2342"/>
      <c r="AH241" s="10261"/>
      <c r="AI241" s="2285"/>
    </row>
    <row r="242" spans="1:35" ht="26.25" customHeight="1">
      <c r="A242" s="10306"/>
      <c r="B242" s="10272"/>
      <c r="C242" s="10256"/>
      <c r="D242" s="10238"/>
      <c r="E242" s="10238"/>
      <c r="F242" s="10238"/>
      <c r="G242" s="10238"/>
      <c r="H242" s="10238"/>
      <c r="I242" s="10238"/>
      <c r="J242" s="10238"/>
      <c r="K242" s="10238"/>
      <c r="L242" s="10238"/>
      <c r="M242" s="10235"/>
      <c r="N242" s="10235"/>
      <c r="O242" s="10235"/>
      <c r="P242" s="10238"/>
      <c r="Q242" s="10238"/>
      <c r="R242" s="10244"/>
      <c r="S242" s="2286"/>
      <c r="T242" s="2287"/>
      <c r="U242" s="2287"/>
      <c r="V242" s="2288"/>
      <c r="W242" s="2289"/>
      <c r="X242" s="2290"/>
      <c r="Y242" s="2291"/>
      <c r="Z242" s="2291"/>
      <c r="AA242" s="2299"/>
      <c r="AB242" s="2300"/>
      <c r="AC242" s="2301"/>
      <c r="AD242" s="2302"/>
      <c r="AE242" s="2290"/>
      <c r="AF242" s="2295"/>
      <c r="AG242" s="2295"/>
      <c r="AH242" s="10247"/>
      <c r="AI242" s="2285"/>
    </row>
    <row r="243" spans="1:35" ht="26.25" customHeight="1">
      <c r="A243" s="10306"/>
      <c r="B243" s="10272"/>
      <c r="C243" s="10256"/>
      <c r="D243" s="10238"/>
      <c r="E243" s="10238"/>
      <c r="F243" s="10238"/>
      <c r="G243" s="10238"/>
      <c r="H243" s="10238"/>
      <c r="I243" s="10238"/>
      <c r="J243" s="10238"/>
      <c r="K243" s="10238"/>
      <c r="L243" s="10238"/>
      <c r="M243" s="10235"/>
      <c r="N243" s="10235"/>
      <c r="O243" s="10235"/>
      <c r="P243" s="10238"/>
      <c r="Q243" s="10238"/>
      <c r="R243" s="10244"/>
      <c r="S243" s="2286"/>
      <c r="T243" s="2287"/>
      <c r="U243" s="2287"/>
      <c r="V243" s="2288"/>
      <c r="W243" s="2289"/>
      <c r="X243" s="2290"/>
      <c r="Y243" s="2291"/>
      <c r="Z243" s="2291"/>
      <c r="AA243" s="2291"/>
      <c r="AB243" s="2292"/>
      <c r="AC243" s="2293"/>
      <c r="AD243" s="2294"/>
      <c r="AE243" s="2290"/>
      <c r="AF243" s="2295"/>
      <c r="AG243" s="2295"/>
      <c r="AH243" s="10247"/>
      <c r="AI243" s="2285"/>
    </row>
    <row r="244" spans="1:35" ht="26.25" customHeight="1">
      <c r="A244" s="10306"/>
      <c r="B244" s="10272"/>
      <c r="C244" s="10256"/>
      <c r="D244" s="10238"/>
      <c r="E244" s="10238"/>
      <c r="F244" s="10238"/>
      <c r="G244" s="10238"/>
      <c r="H244" s="10238"/>
      <c r="I244" s="10238"/>
      <c r="J244" s="10238"/>
      <c r="K244" s="10238"/>
      <c r="L244" s="10238"/>
      <c r="M244" s="10235"/>
      <c r="N244" s="10235"/>
      <c r="O244" s="10235"/>
      <c r="P244" s="10238"/>
      <c r="Q244" s="10238"/>
      <c r="R244" s="10244"/>
      <c r="S244" s="2286"/>
      <c r="T244" s="2287"/>
      <c r="U244" s="2287"/>
      <c r="V244" s="2288"/>
      <c r="W244" s="2289"/>
      <c r="X244" s="2290"/>
      <c r="Y244" s="2291"/>
      <c r="Z244" s="2291"/>
      <c r="AA244" s="2291"/>
      <c r="AB244" s="2292"/>
      <c r="AC244" s="2293"/>
      <c r="AD244" s="2294"/>
      <c r="AE244" s="2290"/>
      <c r="AF244" s="2295"/>
      <c r="AG244" s="2295"/>
      <c r="AH244" s="10247"/>
      <c r="AI244" s="2285"/>
    </row>
    <row r="245" spans="1:35" ht="26.25" customHeight="1">
      <c r="A245" s="10306"/>
      <c r="B245" s="10272"/>
      <c r="C245" s="10284"/>
      <c r="D245" s="10274"/>
      <c r="E245" s="10274"/>
      <c r="F245" s="10274"/>
      <c r="G245" s="10274"/>
      <c r="H245" s="10274"/>
      <c r="I245" s="10274"/>
      <c r="J245" s="10274"/>
      <c r="K245" s="10274"/>
      <c r="L245" s="10274"/>
      <c r="M245" s="10280"/>
      <c r="N245" s="10280"/>
      <c r="O245" s="10280"/>
      <c r="P245" s="10274"/>
      <c r="Q245" s="10274"/>
      <c r="R245" s="10275"/>
      <c r="S245" s="2572"/>
      <c r="T245" s="2602"/>
      <c r="U245" s="2602"/>
      <c r="V245" s="2603"/>
      <c r="W245" s="2604"/>
      <c r="X245" s="2605"/>
      <c r="Y245" s="2606"/>
      <c r="Z245" s="2606"/>
      <c r="AA245" s="2606"/>
      <c r="AB245" s="6084"/>
      <c r="AC245" s="6085"/>
      <c r="AD245" s="6086"/>
      <c r="AE245" s="2605"/>
      <c r="AF245" s="2611"/>
      <c r="AG245" s="2611"/>
      <c r="AH245" s="10276"/>
      <c r="AI245" s="2285"/>
    </row>
    <row r="246" spans="1:35" s="6090" customFormat="1" ht="22.5" customHeight="1" thickBot="1">
      <c r="A246" s="10306"/>
      <c r="B246" s="10273"/>
      <c r="C246" s="6087"/>
      <c r="D246" s="6087"/>
      <c r="E246" s="6087"/>
      <c r="F246" s="6087"/>
      <c r="G246" s="6087"/>
      <c r="H246" s="6087"/>
      <c r="I246" s="6087"/>
      <c r="J246" s="6087"/>
      <c r="K246" s="6087"/>
      <c r="L246" s="6087"/>
      <c r="M246" s="6087"/>
      <c r="N246" s="6087"/>
      <c r="O246" s="6087"/>
      <c r="P246" s="6087"/>
      <c r="Q246" s="6087"/>
      <c r="R246" s="6087"/>
      <c r="S246" s="10249" t="s">
        <v>2888</v>
      </c>
      <c r="T246" s="10250"/>
      <c r="U246" s="10250"/>
      <c r="V246" s="10250"/>
      <c r="W246" s="10250"/>
      <c r="X246" s="10250"/>
      <c r="Y246" s="10250"/>
      <c r="Z246" s="10250"/>
      <c r="AA246" s="5864" t="s">
        <v>292</v>
      </c>
      <c r="AB246" s="7241">
        <f>SUM(AB194:AB245)</f>
        <v>132849.13496000002</v>
      </c>
      <c r="AC246" s="6083"/>
      <c r="AD246" s="6088"/>
      <c r="AE246" s="10277"/>
      <c r="AF246" s="10278"/>
      <c r="AG246" s="10278"/>
      <c r="AH246" s="10279"/>
      <c r="AI246" s="6089"/>
    </row>
    <row r="247" spans="1:35" ht="33" customHeight="1">
      <c r="A247" s="10306"/>
      <c r="B247" s="10271" t="s">
        <v>2889</v>
      </c>
      <c r="C247" s="10255" t="s">
        <v>127</v>
      </c>
      <c r="D247" s="10242" t="s">
        <v>128</v>
      </c>
      <c r="E247" s="10242" t="s">
        <v>129</v>
      </c>
      <c r="F247" s="10242" t="s">
        <v>336</v>
      </c>
      <c r="G247" s="10258" t="s">
        <v>131</v>
      </c>
      <c r="H247" s="10242" t="s">
        <v>132</v>
      </c>
      <c r="I247" s="10242" t="s">
        <v>159</v>
      </c>
      <c r="J247" s="10269" t="s">
        <v>2890</v>
      </c>
      <c r="K247" s="10242" t="s">
        <v>2891</v>
      </c>
      <c r="L247" s="10242" t="s">
        <v>2892</v>
      </c>
      <c r="M247" s="10240">
        <v>0</v>
      </c>
      <c r="N247" s="10240">
        <v>1</v>
      </c>
      <c r="O247" s="10240">
        <v>0</v>
      </c>
      <c r="P247" s="10242" t="s">
        <v>2893</v>
      </c>
      <c r="Q247" s="10242" t="s">
        <v>2894</v>
      </c>
      <c r="R247" s="10243" t="s">
        <v>2895</v>
      </c>
      <c r="S247" s="2431"/>
      <c r="T247" s="2462"/>
      <c r="U247" s="2462"/>
      <c r="V247" s="2401"/>
      <c r="W247" s="2463"/>
      <c r="X247" s="2402"/>
      <c r="Y247" s="2464"/>
      <c r="Z247" s="2464"/>
      <c r="AA247" s="2280"/>
      <c r="AB247" s="2465"/>
      <c r="AC247" s="2466"/>
      <c r="AD247" s="2283"/>
      <c r="AE247" s="2402"/>
      <c r="AF247" s="2406"/>
      <c r="AG247" s="2406"/>
      <c r="AH247" s="10270"/>
      <c r="AI247" s="2285"/>
    </row>
    <row r="248" spans="1:35" ht="33" customHeight="1">
      <c r="A248" s="10306"/>
      <c r="B248" s="10272"/>
      <c r="C248" s="10256"/>
      <c r="D248" s="10238"/>
      <c r="E248" s="10238"/>
      <c r="F248" s="10238"/>
      <c r="G248" s="10238"/>
      <c r="H248" s="10238"/>
      <c r="I248" s="10238"/>
      <c r="J248" s="10238"/>
      <c r="K248" s="10238"/>
      <c r="L248" s="10238"/>
      <c r="M248" s="10235"/>
      <c r="N248" s="10235"/>
      <c r="O248" s="10235"/>
      <c r="P248" s="10238"/>
      <c r="Q248" s="10238"/>
      <c r="R248" s="10244"/>
      <c r="S248" s="2286"/>
      <c r="T248" s="2287"/>
      <c r="U248" s="2287"/>
      <c r="V248" s="2288"/>
      <c r="W248" s="2289"/>
      <c r="X248" s="2290"/>
      <c r="Y248" s="2291"/>
      <c r="Z248" s="2291"/>
      <c r="AA248" s="2291"/>
      <c r="AB248" s="2292"/>
      <c r="AC248" s="2293"/>
      <c r="AD248" s="2294"/>
      <c r="AE248" s="2290"/>
      <c r="AF248" s="2295"/>
      <c r="AG248" s="2295"/>
      <c r="AH248" s="10247"/>
      <c r="AI248" s="2285"/>
    </row>
    <row r="249" spans="1:35" ht="33" customHeight="1">
      <c r="A249" s="10306"/>
      <c r="B249" s="10272"/>
      <c r="C249" s="10256"/>
      <c r="D249" s="10238"/>
      <c r="E249" s="10238"/>
      <c r="F249" s="10238"/>
      <c r="G249" s="10238"/>
      <c r="H249" s="10238"/>
      <c r="I249" s="10238"/>
      <c r="J249" s="10238"/>
      <c r="K249" s="10238"/>
      <c r="L249" s="10238"/>
      <c r="M249" s="10235"/>
      <c r="N249" s="10235"/>
      <c r="O249" s="10235"/>
      <c r="P249" s="10238"/>
      <c r="Q249" s="10238"/>
      <c r="R249" s="10244"/>
      <c r="S249" s="2286"/>
      <c r="T249" s="2287"/>
      <c r="U249" s="2287"/>
      <c r="V249" s="2288"/>
      <c r="W249" s="2289"/>
      <c r="X249" s="2290"/>
      <c r="Y249" s="2291"/>
      <c r="Z249" s="2291"/>
      <c r="AA249" s="2291"/>
      <c r="AB249" s="2292"/>
      <c r="AC249" s="2293"/>
      <c r="AD249" s="2294"/>
      <c r="AE249" s="2290"/>
      <c r="AF249" s="2295"/>
      <c r="AG249" s="2295"/>
      <c r="AH249" s="10247"/>
      <c r="AI249" s="2285"/>
    </row>
    <row r="250" spans="1:35" ht="33" customHeight="1">
      <c r="A250" s="10306"/>
      <c r="B250" s="10272"/>
      <c r="C250" s="10256"/>
      <c r="D250" s="10238"/>
      <c r="E250" s="10238"/>
      <c r="F250" s="10238"/>
      <c r="G250" s="10238"/>
      <c r="H250" s="10238"/>
      <c r="I250" s="10238"/>
      <c r="J250" s="10238"/>
      <c r="K250" s="10238"/>
      <c r="L250" s="10238"/>
      <c r="M250" s="10235"/>
      <c r="N250" s="10235"/>
      <c r="O250" s="10235"/>
      <c r="P250" s="10238"/>
      <c r="Q250" s="10238"/>
      <c r="R250" s="10244"/>
      <c r="S250" s="2366"/>
      <c r="T250" s="2467"/>
      <c r="U250" s="2458"/>
      <c r="V250" s="2372"/>
      <c r="W250" s="2357"/>
      <c r="X250" s="2379"/>
      <c r="Y250" s="2380"/>
      <c r="Z250" s="2380"/>
      <c r="AA250" s="2380"/>
      <c r="AB250" s="2391"/>
      <c r="AC250" s="2392"/>
      <c r="AD250" s="2468"/>
      <c r="AE250" s="2379"/>
      <c r="AF250" s="2348"/>
      <c r="AG250" s="2348"/>
      <c r="AH250" s="10247"/>
      <c r="AI250" s="2285"/>
    </row>
    <row r="251" spans="1:35" ht="33" customHeight="1">
      <c r="A251" s="10306"/>
      <c r="B251" s="10272"/>
      <c r="C251" s="10268"/>
      <c r="D251" s="10265"/>
      <c r="E251" s="10265"/>
      <c r="F251" s="10265"/>
      <c r="G251" s="10265"/>
      <c r="H251" s="10265"/>
      <c r="I251" s="10265"/>
      <c r="J251" s="10265"/>
      <c r="K251" s="10265"/>
      <c r="L251" s="10265"/>
      <c r="M251" s="10267"/>
      <c r="N251" s="10267"/>
      <c r="O251" s="10267"/>
      <c r="P251" s="10265"/>
      <c r="Q251" s="10265"/>
      <c r="R251" s="10260"/>
      <c r="S251" s="2469"/>
      <c r="T251" s="2470"/>
      <c r="U251" s="2470"/>
      <c r="V251" s="2350"/>
      <c r="W251" s="2351"/>
      <c r="X251" s="2455"/>
      <c r="Y251" s="2471"/>
      <c r="Z251" s="2471"/>
      <c r="AA251" s="2471"/>
      <c r="AB251" s="2472"/>
      <c r="AC251" s="2473"/>
      <c r="AD251" s="2474"/>
      <c r="AE251" s="2455"/>
      <c r="AF251" s="2352"/>
      <c r="AG251" s="2352"/>
      <c r="AH251" s="10262"/>
      <c r="AI251" s="2285"/>
    </row>
    <row r="252" spans="1:35" ht="33.75" customHeight="1">
      <c r="A252" s="10306"/>
      <c r="B252" s="10272"/>
      <c r="C252" s="10263" t="s">
        <v>127</v>
      </c>
      <c r="D252" s="10237" t="s">
        <v>128</v>
      </c>
      <c r="E252" s="10237" t="s">
        <v>129</v>
      </c>
      <c r="F252" s="10237" t="s">
        <v>336</v>
      </c>
      <c r="G252" s="10264" t="s">
        <v>131</v>
      </c>
      <c r="H252" s="10237" t="s">
        <v>132</v>
      </c>
      <c r="I252" s="10237" t="s">
        <v>159</v>
      </c>
      <c r="J252" s="10266" t="s">
        <v>2896</v>
      </c>
      <c r="K252" s="10237" t="s">
        <v>2897</v>
      </c>
      <c r="L252" s="10237" t="s">
        <v>2898</v>
      </c>
      <c r="M252" s="10234">
        <v>1</v>
      </c>
      <c r="N252" s="10234">
        <v>0</v>
      </c>
      <c r="O252" s="10234">
        <v>0</v>
      </c>
      <c r="P252" s="10237" t="s">
        <v>2899</v>
      </c>
      <c r="Q252" s="10237" t="s">
        <v>2900</v>
      </c>
      <c r="R252" s="10259" t="s">
        <v>2895</v>
      </c>
      <c r="S252" s="2475" t="s">
        <v>79</v>
      </c>
      <c r="T252" s="2314">
        <v>530704</v>
      </c>
      <c r="U252" s="2382"/>
      <c r="V252" s="2574" t="s">
        <v>148</v>
      </c>
      <c r="W252" s="2354"/>
      <c r="X252" s="2384"/>
      <c r="Y252" s="8066"/>
      <c r="Z252" s="8066"/>
      <c r="AA252" s="8066"/>
      <c r="AB252" s="8067">
        <f>SUM(AA253:AA254)</f>
        <v>3499.1</v>
      </c>
      <c r="AC252" s="2476" t="s">
        <v>25</v>
      </c>
      <c r="AD252" s="2477"/>
      <c r="AE252" s="2384"/>
      <c r="AF252" s="2478"/>
      <c r="AG252" s="2478"/>
      <c r="AH252" s="10261"/>
      <c r="AI252" s="2285"/>
    </row>
    <row r="253" spans="1:35" ht="33.75" customHeight="1">
      <c r="A253" s="10306"/>
      <c r="B253" s="10272"/>
      <c r="C253" s="10256"/>
      <c r="D253" s="10238"/>
      <c r="E253" s="10238"/>
      <c r="F253" s="10238"/>
      <c r="G253" s="10238"/>
      <c r="H253" s="10238"/>
      <c r="I253" s="10238"/>
      <c r="J253" s="10238"/>
      <c r="K253" s="10238"/>
      <c r="L253" s="10238"/>
      <c r="M253" s="10235"/>
      <c r="N253" s="10235"/>
      <c r="O253" s="10235"/>
      <c r="P253" s="10238"/>
      <c r="Q253" s="10238"/>
      <c r="R253" s="10244"/>
      <c r="S253" s="2366"/>
      <c r="T253" s="2321"/>
      <c r="U253" s="2321">
        <v>871300011</v>
      </c>
      <c r="V253" s="2288" t="s">
        <v>2901</v>
      </c>
      <c r="W253" s="2357">
        <v>1</v>
      </c>
      <c r="X253" s="2439" t="s">
        <v>152</v>
      </c>
      <c r="Y253" s="8068">
        <v>2499.1</v>
      </c>
      <c r="Z253" s="8068">
        <f>Y253</f>
        <v>2499.1</v>
      </c>
      <c r="AA253" s="8068">
        <f>+Z253</f>
        <v>2499.1</v>
      </c>
      <c r="AB253" s="8068"/>
      <c r="AC253" s="2480"/>
      <c r="AD253" s="2481"/>
      <c r="AE253" s="2379"/>
      <c r="AF253" s="2295" t="s">
        <v>153</v>
      </c>
      <c r="AG253" s="2482" t="s">
        <v>153</v>
      </c>
      <c r="AH253" s="10247"/>
      <c r="AI253" s="2285"/>
    </row>
    <row r="254" spans="1:35" ht="54" customHeight="1">
      <c r="A254" s="10306"/>
      <c r="B254" s="10272"/>
      <c r="C254" s="10256"/>
      <c r="D254" s="10238"/>
      <c r="E254" s="10238"/>
      <c r="F254" s="10238"/>
      <c r="G254" s="10238"/>
      <c r="H254" s="10238"/>
      <c r="I254" s="10238"/>
      <c r="J254" s="10238"/>
      <c r="K254" s="10238"/>
      <c r="L254" s="10238"/>
      <c r="M254" s="10235"/>
      <c r="N254" s="10235"/>
      <c r="O254" s="10235"/>
      <c r="P254" s="10238"/>
      <c r="Q254" s="10238"/>
      <c r="R254" s="10244"/>
      <c r="S254" s="2366"/>
      <c r="T254" s="2321"/>
      <c r="U254" s="2321"/>
      <c r="V254" s="2288" t="s">
        <v>2902</v>
      </c>
      <c r="W254" s="2357">
        <v>1</v>
      </c>
      <c r="X254" s="2439" t="s">
        <v>152</v>
      </c>
      <c r="Y254" s="8068">
        <v>1000</v>
      </c>
      <c r="Z254" s="8068">
        <f>Y254</f>
        <v>1000</v>
      </c>
      <c r="AA254" s="8068">
        <f>+Z254</f>
        <v>1000</v>
      </c>
      <c r="AB254" s="8068"/>
      <c r="AC254" s="2480"/>
      <c r="AD254" s="2481"/>
      <c r="AE254" s="2379"/>
      <c r="AF254" s="2295"/>
      <c r="AG254" s="2482"/>
      <c r="AH254" s="10247"/>
      <c r="AI254" s="2285"/>
    </row>
    <row r="255" spans="1:35" ht="33.75" customHeight="1">
      <c r="A255" s="10306"/>
      <c r="B255" s="10272"/>
      <c r="C255" s="10256"/>
      <c r="D255" s="10238"/>
      <c r="E255" s="10238"/>
      <c r="F255" s="10238"/>
      <c r="G255" s="10238"/>
      <c r="H255" s="10238"/>
      <c r="I255" s="10238"/>
      <c r="J255" s="10238"/>
      <c r="K255" s="10238"/>
      <c r="L255" s="10238"/>
      <c r="M255" s="10235"/>
      <c r="N255" s="10235"/>
      <c r="O255" s="10235"/>
      <c r="P255" s="10238"/>
      <c r="Q255" s="10238"/>
      <c r="R255" s="10244"/>
      <c r="S255" s="2373" t="s">
        <v>80</v>
      </c>
      <c r="T255" s="2363">
        <v>530702</v>
      </c>
      <c r="U255" s="2321"/>
      <c r="V255" s="2575" t="s">
        <v>33</v>
      </c>
      <c r="W255" s="2357"/>
      <c r="X255" s="2379"/>
      <c r="Y255" s="2479"/>
      <c r="Z255" s="2479"/>
      <c r="AA255" s="2479"/>
      <c r="AB255" s="3411">
        <f>SUM($AA$256:$AA$257)</f>
        <v>12409.6</v>
      </c>
      <c r="AC255" s="2483" t="s">
        <v>26</v>
      </c>
      <c r="AD255" s="2468"/>
      <c r="AE255" s="2379"/>
      <c r="AF255" s="2379"/>
      <c r="AG255" s="2348"/>
      <c r="AH255" s="10247"/>
      <c r="AI255" s="2285"/>
    </row>
    <row r="256" spans="1:35" ht="33.75" customHeight="1">
      <c r="A256" s="10306"/>
      <c r="B256" s="10272"/>
      <c r="C256" s="10256"/>
      <c r="D256" s="10238"/>
      <c r="E256" s="10238"/>
      <c r="F256" s="10238"/>
      <c r="G256" s="10238"/>
      <c r="H256" s="10238"/>
      <c r="I256" s="10238"/>
      <c r="J256" s="10238"/>
      <c r="K256" s="10238"/>
      <c r="L256" s="10238"/>
      <c r="M256" s="10235"/>
      <c r="N256" s="10235"/>
      <c r="O256" s="10235"/>
      <c r="P256" s="10238"/>
      <c r="Q256" s="10238"/>
      <c r="R256" s="10244"/>
      <c r="S256" s="2366"/>
      <c r="T256" s="2321"/>
      <c r="U256" s="2321">
        <v>5129000116</v>
      </c>
      <c r="V256" s="3309" t="s">
        <v>2903</v>
      </c>
      <c r="W256" s="3310">
        <v>1</v>
      </c>
      <c r="X256" s="3311" t="s">
        <v>180</v>
      </c>
      <c r="Y256" s="3410">
        <f>5353.6/1.12</f>
        <v>4780</v>
      </c>
      <c r="Z256" s="3410">
        <f>+W256*Y256</f>
        <v>4780</v>
      </c>
      <c r="AA256" s="3410">
        <f>+Z256*1.12</f>
        <v>5353.6</v>
      </c>
      <c r="AB256" s="2300"/>
      <c r="AC256" s="2301"/>
      <c r="AD256" s="2468"/>
      <c r="AE256" s="2379"/>
      <c r="AF256" s="2379"/>
      <c r="AG256" s="2348" t="s">
        <v>153</v>
      </c>
      <c r="AH256" s="10247"/>
      <c r="AI256" s="2285"/>
    </row>
    <row r="257" spans="1:35" ht="33.75" customHeight="1">
      <c r="A257" s="10306"/>
      <c r="B257" s="10272"/>
      <c r="C257" s="10257"/>
      <c r="D257" s="10239"/>
      <c r="E257" s="10239"/>
      <c r="F257" s="10239"/>
      <c r="G257" s="10239"/>
      <c r="H257" s="10239"/>
      <c r="I257" s="10239"/>
      <c r="J257" s="10239"/>
      <c r="K257" s="10239"/>
      <c r="L257" s="10239"/>
      <c r="M257" s="10236"/>
      <c r="N257" s="10236"/>
      <c r="O257" s="10236"/>
      <c r="P257" s="10239"/>
      <c r="Q257" s="10239"/>
      <c r="R257" s="10245"/>
      <c r="S257" s="2484"/>
      <c r="T257" s="2359"/>
      <c r="U257" s="2359">
        <v>5129000116</v>
      </c>
      <c r="V257" s="2325" t="s">
        <v>2904</v>
      </c>
      <c r="W257" s="2365">
        <v>1</v>
      </c>
      <c r="X257" s="3525" t="s">
        <v>180</v>
      </c>
      <c r="Y257" s="3526">
        <f>7056/1.12</f>
        <v>6299.9999999999991</v>
      </c>
      <c r="Z257" s="3526">
        <f>+W257*Y257</f>
        <v>6299.9999999999991</v>
      </c>
      <c r="AA257" s="3526">
        <f>+Z257*1.12</f>
        <v>7056</v>
      </c>
      <c r="AB257" s="2329"/>
      <c r="AC257" s="2330"/>
      <c r="AD257" s="2485"/>
      <c r="AE257" s="2449"/>
      <c r="AF257" s="2449"/>
      <c r="AG257" s="2360" t="s">
        <v>153</v>
      </c>
      <c r="AH257" s="10248"/>
      <c r="AI257" s="2285"/>
    </row>
    <row r="258" spans="1:35" ht="28.5" customHeight="1">
      <c r="A258" s="10306"/>
      <c r="B258" s="10272"/>
      <c r="C258" s="10255" t="s">
        <v>127</v>
      </c>
      <c r="D258" s="10242" t="s">
        <v>128</v>
      </c>
      <c r="E258" s="10242" t="s">
        <v>129</v>
      </c>
      <c r="F258" s="10242" t="s">
        <v>336</v>
      </c>
      <c r="G258" s="10258" t="s">
        <v>131</v>
      </c>
      <c r="H258" s="10242" t="s">
        <v>132</v>
      </c>
      <c r="I258" s="10242" t="s">
        <v>159</v>
      </c>
      <c r="J258" s="10269" t="s">
        <v>2905</v>
      </c>
      <c r="K258" s="10242" t="s">
        <v>2906</v>
      </c>
      <c r="L258" s="10242" t="s">
        <v>2907</v>
      </c>
      <c r="M258" s="10240">
        <v>0</v>
      </c>
      <c r="N258" s="10240">
        <v>1</v>
      </c>
      <c r="O258" s="10240">
        <v>1</v>
      </c>
      <c r="P258" s="10242" t="s">
        <v>2908</v>
      </c>
      <c r="Q258" s="10242" t="s">
        <v>2909</v>
      </c>
      <c r="R258" s="10243" t="s">
        <v>2895</v>
      </c>
      <c r="S258" s="2630" t="s">
        <v>80</v>
      </c>
      <c r="T258" s="2345">
        <v>530702</v>
      </c>
      <c r="U258" s="3527"/>
      <c r="V258" s="4222" t="s">
        <v>33</v>
      </c>
      <c r="W258" s="2346"/>
      <c r="X258" s="2452"/>
      <c r="Y258" s="4223"/>
      <c r="Z258" s="4223"/>
      <c r="AA258" s="4223"/>
      <c r="AB258" s="3528">
        <f>SUM($AA$259)</f>
        <v>268.8</v>
      </c>
      <c r="AC258" s="3529" t="s">
        <v>25</v>
      </c>
      <c r="AD258" s="2486"/>
      <c r="AE258" s="2452"/>
      <c r="AF258" s="2361"/>
      <c r="AG258" s="2361"/>
      <c r="AH258" s="10246"/>
      <c r="AI258" s="2285"/>
    </row>
    <row r="259" spans="1:35" ht="18.75" customHeight="1">
      <c r="A259" s="10306"/>
      <c r="B259" s="10272"/>
      <c r="C259" s="10256"/>
      <c r="D259" s="10238"/>
      <c r="E259" s="10238"/>
      <c r="F259" s="10238"/>
      <c r="G259" s="10238"/>
      <c r="H259" s="10238"/>
      <c r="I259" s="10238"/>
      <c r="J259" s="10238"/>
      <c r="K259" s="10238"/>
      <c r="L259" s="10238"/>
      <c r="M259" s="10235"/>
      <c r="N259" s="10235"/>
      <c r="O259" s="10235"/>
      <c r="P259" s="10238"/>
      <c r="Q259" s="10238"/>
      <c r="R259" s="10244"/>
      <c r="S259" s="2469"/>
      <c r="T259" s="2349"/>
      <c r="U259" s="2349">
        <v>859901313</v>
      </c>
      <c r="V259" s="8550" t="s">
        <v>2910</v>
      </c>
      <c r="W259" s="2351">
        <v>5</v>
      </c>
      <c r="X259" s="4224" t="s">
        <v>180</v>
      </c>
      <c r="Y259" s="4225">
        <v>48</v>
      </c>
      <c r="Z259" s="4225">
        <f>+W259*Y259</f>
        <v>240</v>
      </c>
      <c r="AA259" s="4225">
        <f>+Z259*1.12</f>
        <v>268.8</v>
      </c>
      <c r="AB259" s="8551"/>
      <c r="AC259" s="8552"/>
      <c r="AD259" s="2474"/>
      <c r="AE259" s="2409"/>
      <c r="AF259" s="2312"/>
      <c r="AG259" s="2295" t="s">
        <v>153</v>
      </c>
      <c r="AH259" s="10247"/>
      <c r="AI259" s="2285"/>
    </row>
    <row r="260" spans="1:35" ht="18.75" customHeight="1">
      <c r="A260" s="10306"/>
      <c r="B260" s="10272"/>
      <c r="C260" s="10256"/>
      <c r="D260" s="10238"/>
      <c r="E260" s="10238"/>
      <c r="F260" s="10238"/>
      <c r="G260" s="10238"/>
      <c r="H260" s="10238"/>
      <c r="I260" s="10238"/>
      <c r="J260" s="10238"/>
      <c r="K260" s="10238"/>
      <c r="L260" s="10238"/>
      <c r="M260" s="10235"/>
      <c r="N260" s="10235"/>
      <c r="O260" s="10235"/>
      <c r="P260" s="10238"/>
      <c r="Q260" s="10238"/>
      <c r="R260" s="10244"/>
      <c r="S260" s="8538" t="s">
        <v>15</v>
      </c>
      <c r="T260" s="8539">
        <v>840107</v>
      </c>
      <c r="U260" s="8539"/>
      <c r="V260" s="8540" t="s">
        <v>40</v>
      </c>
      <c r="W260" s="8541"/>
      <c r="X260" s="8542"/>
      <c r="Y260" s="8543"/>
      <c r="Z260" s="8543"/>
      <c r="AA260" s="8544"/>
      <c r="AB260" s="8545">
        <f>SUM(AA261:AA264)</f>
        <v>10313.89</v>
      </c>
      <c r="AC260" s="8546" t="s">
        <v>18</v>
      </c>
      <c r="AD260" s="8547"/>
      <c r="AE260" s="8548"/>
      <c r="AF260" s="8549"/>
      <c r="AG260" s="7932"/>
      <c r="AH260" s="10247"/>
      <c r="AI260" s="2285"/>
    </row>
    <row r="261" spans="1:35" ht="18.75" customHeight="1">
      <c r="A261" s="10306"/>
      <c r="B261" s="10272"/>
      <c r="C261" s="10256"/>
      <c r="D261" s="10238"/>
      <c r="E261" s="10238"/>
      <c r="F261" s="10238"/>
      <c r="G261" s="10238"/>
      <c r="H261" s="10238"/>
      <c r="I261" s="10238"/>
      <c r="J261" s="10238"/>
      <c r="K261" s="10238"/>
      <c r="L261" s="10238"/>
      <c r="M261" s="10235"/>
      <c r="N261" s="10235"/>
      <c r="O261" s="10235"/>
      <c r="P261" s="10238"/>
      <c r="Q261" s="10238"/>
      <c r="R261" s="10244"/>
      <c r="S261" s="7934"/>
      <c r="T261" s="7935"/>
      <c r="U261" s="7947"/>
      <c r="V261" s="7948" t="s">
        <v>2911</v>
      </c>
      <c r="W261" s="7936">
        <v>4</v>
      </c>
      <c r="X261" s="8537" t="s">
        <v>180</v>
      </c>
      <c r="Y261" s="7937">
        <f>(1489.6/1.12)</f>
        <v>1329.9999999999998</v>
      </c>
      <c r="Z261" s="7937">
        <f>Y261*W261</f>
        <v>5319.9999999999991</v>
      </c>
      <c r="AA261" s="7938">
        <f>Z261*1.12</f>
        <v>5958.4</v>
      </c>
      <c r="AB261" s="7813"/>
      <c r="AC261" s="7939"/>
      <c r="AD261" s="7940"/>
      <c r="AE261" s="2452"/>
      <c r="AF261" s="7941"/>
      <c r="AG261" s="7932" t="s">
        <v>153</v>
      </c>
      <c r="AH261" s="10247"/>
      <c r="AI261" s="2285"/>
    </row>
    <row r="262" spans="1:35" ht="18.75" customHeight="1">
      <c r="A262" s="10306"/>
      <c r="B262" s="10272"/>
      <c r="C262" s="10256"/>
      <c r="D262" s="10238"/>
      <c r="E262" s="10238"/>
      <c r="F262" s="10238"/>
      <c r="G262" s="10238"/>
      <c r="H262" s="10238"/>
      <c r="I262" s="10238"/>
      <c r="J262" s="10238"/>
      <c r="K262" s="10238"/>
      <c r="L262" s="10238"/>
      <c r="M262" s="10235"/>
      <c r="N262" s="10235"/>
      <c r="O262" s="10235"/>
      <c r="P262" s="10238"/>
      <c r="Q262" s="10238"/>
      <c r="R262" s="10244"/>
      <c r="S262" s="7934"/>
      <c r="T262" s="7935"/>
      <c r="U262" s="7947"/>
      <c r="V262" s="7948" t="s">
        <v>1995</v>
      </c>
      <c r="W262" s="7936">
        <v>1</v>
      </c>
      <c r="X262" s="7822" t="s">
        <v>180</v>
      </c>
      <c r="Y262" s="7937">
        <f>(784/1.12)</f>
        <v>699.99999999999989</v>
      </c>
      <c r="Z262" s="7937">
        <f t="shared" ref="Z262:Z264" si="6">Y262*W262</f>
        <v>699.99999999999989</v>
      </c>
      <c r="AA262" s="7938">
        <f t="shared" ref="AA262:AA264" si="7">Z262*1.12</f>
        <v>784</v>
      </c>
      <c r="AB262" s="7813"/>
      <c r="AC262" s="7939"/>
      <c r="AD262" s="7940"/>
      <c r="AE262" s="2452"/>
      <c r="AF262" s="7941"/>
      <c r="AG262" s="7932" t="s">
        <v>153</v>
      </c>
      <c r="AH262" s="10247"/>
      <c r="AI262" s="2285"/>
    </row>
    <row r="263" spans="1:35" ht="18.75" customHeight="1">
      <c r="A263" s="10306"/>
      <c r="B263" s="10272"/>
      <c r="C263" s="10256"/>
      <c r="D263" s="10238"/>
      <c r="E263" s="10238"/>
      <c r="F263" s="10238"/>
      <c r="G263" s="10238"/>
      <c r="H263" s="10238"/>
      <c r="I263" s="10238"/>
      <c r="J263" s="10238"/>
      <c r="K263" s="10238"/>
      <c r="L263" s="10238"/>
      <c r="M263" s="10235"/>
      <c r="N263" s="10235"/>
      <c r="O263" s="10235"/>
      <c r="P263" s="10238"/>
      <c r="Q263" s="10238"/>
      <c r="R263" s="10244"/>
      <c r="S263" s="7926"/>
      <c r="T263" s="7927"/>
      <c r="U263" s="7927"/>
      <c r="V263" s="7928" t="s">
        <v>2912</v>
      </c>
      <c r="W263" s="7929">
        <v>1</v>
      </c>
      <c r="X263" s="7822" t="s">
        <v>180</v>
      </c>
      <c r="Y263" s="7823">
        <f>(291.65/1.12)</f>
        <v>260.40178571428567</v>
      </c>
      <c r="Z263" s="7937">
        <f t="shared" si="6"/>
        <v>260.40178571428567</v>
      </c>
      <c r="AA263" s="7938">
        <f t="shared" si="7"/>
        <v>291.64999999999998</v>
      </c>
      <c r="AB263" s="7808"/>
      <c r="AC263" s="7930"/>
      <c r="AD263" s="7931"/>
      <c r="AE263" s="2379"/>
      <c r="AF263" s="7932"/>
      <c r="AG263" s="7932" t="s">
        <v>153</v>
      </c>
      <c r="AH263" s="10247"/>
      <c r="AI263" s="2285"/>
    </row>
    <row r="264" spans="1:35" ht="18.75" customHeight="1">
      <c r="A264" s="10306"/>
      <c r="B264" s="10272"/>
      <c r="C264" s="10268"/>
      <c r="D264" s="10265"/>
      <c r="E264" s="10265"/>
      <c r="F264" s="10265"/>
      <c r="G264" s="10265"/>
      <c r="H264" s="10265"/>
      <c r="I264" s="10265"/>
      <c r="J264" s="10265"/>
      <c r="K264" s="10265"/>
      <c r="L264" s="10265"/>
      <c r="M264" s="10267"/>
      <c r="N264" s="10267"/>
      <c r="O264" s="10267"/>
      <c r="P264" s="10265"/>
      <c r="Q264" s="10265"/>
      <c r="R264" s="10260"/>
      <c r="S264" s="2469"/>
      <c r="T264" s="2470"/>
      <c r="U264" s="7942"/>
      <c r="V264" s="7943" t="s">
        <v>2913</v>
      </c>
      <c r="W264" s="7944">
        <v>6</v>
      </c>
      <c r="X264" s="7822" t="s">
        <v>180</v>
      </c>
      <c r="Y264" s="7945">
        <f>(546.64/1.12)</f>
        <v>488.0714285714285</v>
      </c>
      <c r="Z264" s="7937">
        <f t="shared" si="6"/>
        <v>2928.4285714285711</v>
      </c>
      <c r="AA264" s="7938">
        <f t="shared" si="7"/>
        <v>3279.84</v>
      </c>
      <c r="AB264" s="7946"/>
      <c r="AC264" s="2473"/>
      <c r="AD264" s="2474"/>
      <c r="AE264" s="2455"/>
      <c r="AF264" s="7933"/>
      <c r="AG264" s="7933" t="s">
        <v>153</v>
      </c>
      <c r="AH264" s="10262"/>
      <c r="AI264" s="2285"/>
    </row>
    <row r="265" spans="1:35" ht="25.5" customHeight="1">
      <c r="A265" s="10306"/>
      <c r="B265" s="10272"/>
      <c r="C265" s="10263" t="s">
        <v>127</v>
      </c>
      <c r="D265" s="10237" t="s">
        <v>128</v>
      </c>
      <c r="E265" s="10237" t="s">
        <v>129</v>
      </c>
      <c r="F265" s="10237" t="s">
        <v>336</v>
      </c>
      <c r="G265" s="10264" t="s">
        <v>131</v>
      </c>
      <c r="H265" s="10237" t="s">
        <v>132</v>
      </c>
      <c r="I265" s="10237" t="s">
        <v>189</v>
      </c>
      <c r="J265" s="10266" t="s">
        <v>2914</v>
      </c>
      <c r="K265" s="10237" t="s">
        <v>2915</v>
      </c>
      <c r="L265" s="10237" t="s">
        <v>2916</v>
      </c>
      <c r="M265" s="10234">
        <v>1</v>
      </c>
      <c r="N265" s="10234">
        <v>1</v>
      </c>
      <c r="O265" s="10234">
        <v>1</v>
      </c>
      <c r="P265" s="10237" t="s">
        <v>2917</v>
      </c>
      <c r="Q265" s="10237" t="s">
        <v>2918</v>
      </c>
      <c r="R265" s="10259" t="s">
        <v>2895</v>
      </c>
      <c r="S265" s="2381"/>
      <c r="T265" s="2487"/>
      <c r="U265" s="2487"/>
      <c r="V265" s="2353"/>
      <c r="W265" s="2354"/>
      <c r="X265" s="2384"/>
      <c r="Y265" s="2385"/>
      <c r="Z265" s="2385"/>
      <c r="AA265" s="2385"/>
      <c r="AB265" s="2386"/>
      <c r="AC265" s="2387"/>
      <c r="AD265" s="2477"/>
      <c r="AE265" s="2384"/>
      <c r="AF265" s="2355"/>
      <c r="AG265" s="2355"/>
      <c r="AH265" s="10261"/>
      <c r="AI265" s="2285"/>
    </row>
    <row r="266" spans="1:35" ht="25.5" customHeight="1">
      <c r="A266" s="10306"/>
      <c r="B266" s="10272"/>
      <c r="C266" s="10256"/>
      <c r="D266" s="10238"/>
      <c r="E266" s="10238"/>
      <c r="F266" s="10238"/>
      <c r="G266" s="10238"/>
      <c r="H266" s="10238"/>
      <c r="I266" s="10238"/>
      <c r="J266" s="10238"/>
      <c r="K266" s="10238"/>
      <c r="L266" s="10238"/>
      <c r="M266" s="10235"/>
      <c r="N266" s="10235"/>
      <c r="O266" s="10235"/>
      <c r="P266" s="10238"/>
      <c r="Q266" s="10238"/>
      <c r="R266" s="10244"/>
      <c r="S266" s="2286"/>
      <c r="T266" s="2287"/>
      <c r="U266" s="2287"/>
      <c r="V266" s="2288"/>
      <c r="W266" s="2289"/>
      <c r="X266" s="2290"/>
      <c r="Y266" s="2291"/>
      <c r="Z266" s="2291"/>
      <c r="AA266" s="2291"/>
      <c r="AB266" s="2292"/>
      <c r="AC266" s="2293"/>
      <c r="AD266" s="2294"/>
      <c r="AE266" s="2290"/>
      <c r="AF266" s="2295"/>
      <c r="AG266" s="2295"/>
      <c r="AH266" s="10247"/>
      <c r="AI266" s="2285"/>
    </row>
    <row r="267" spans="1:35" ht="25.5" customHeight="1">
      <c r="A267" s="10306"/>
      <c r="B267" s="10272"/>
      <c r="C267" s="10256"/>
      <c r="D267" s="10238"/>
      <c r="E267" s="10238"/>
      <c r="F267" s="10238"/>
      <c r="G267" s="10238"/>
      <c r="H267" s="10238"/>
      <c r="I267" s="10238"/>
      <c r="J267" s="10238"/>
      <c r="K267" s="10238"/>
      <c r="L267" s="10238"/>
      <c r="M267" s="10235"/>
      <c r="N267" s="10235"/>
      <c r="O267" s="10235"/>
      <c r="P267" s="10238"/>
      <c r="Q267" s="10238"/>
      <c r="R267" s="10244"/>
      <c r="S267" s="2286"/>
      <c r="T267" s="2287"/>
      <c r="U267" s="2287"/>
      <c r="V267" s="2288"/>
      <c r="W267" s="2289"/>
      <c r="X267" s="2290"/>
      <c r="Y267" s="2291"/>
      <c r="Z267" s="2291"/>
      <c r="AA267" s="2291"/>
      <c r="AB267" s="2292"/>
      <c r="AC267" s="2293"/>
      <c r="AD267" s="2294"/>
      <c r="AE267" s="2290"/>
      <c r="AF267" s="2295"/>
      <c r="AG267" s="2295"/>
      <c r="AH267" s="10247"/>
      <c r="AI267" s="2285"/>
    </row>
    <row r="268" spans="1:35" ht="25.5" customHeight="1">
      <c r="A268" s="10306"/>
      <c r="B268" s="10272"/>
      <c r="C268" s="10256"/>
      <c r="D268" s="10238"/>
      <c r="E268" s="10238"/>
      <c r="F268" s="10238"/>
      <c r="G268" s="10238"/>
      <c r="H268" s="10238"/>
      <c r="I268" s="10238"/>
      <c r="J268" s="10238"/>
      <c r="K268" s="10238"/>
      <c r="L268" s="10238"/>
      <c r="M268" s="10235"/>
      <c r="N268" s="10235"/>
      <c r="O268" s="10235"/>
      <c r="P268" s="10238"/>
      <c r="Q268" s="10238"/>
      <c r="R268" s="10244"/>
      <c r="S268" s="2286"/>
      <c r="T268" s="2287"/>
      <c r="U268" s="2287"/>
      <c r="V268" s="2288"/>
      <c r="W268" s="2289"/>
      <c r="X268" s="2290"/>
      <c r="Y268" s="2291"/>
      <c r="Z268" s="2291"/>
      <c r="AA268" s="2291"/>
      <c r="AB268" s="2292"/>
      <c r="AC268" s="2293"/>
      <c r="AD268" s="2294"/>
      <c r="AE268" s="2290"/>
      <c r="AF268" s="2295"/>
      <c r="AG268" s="2295"/>
      <c r="AH268" s="10247"/>
      <c r="AI268" s="2285"/>
    </row>
    <row r="269" spans="1:35" ht="25.5" customHeight="1">
      <c r="A269" s="10306"/>
      <c r="B269" s="10272"/>
      <c r="C269" s="10257"/>
      <c r="D269" s="10239"/>
      <c r="E269" s="10239"/>
      <c r="F269" s="10239"/>
      <c r="G269" s="10239"/>
      <c r="H269" s="10239"/>
      <c r="I269" s="10239"/>
      <c r="J269" s="10239"/>
      <c r="K269" s="10239"/>
      <c r="L269" s="10239"/>
      <c r="M269" s="10236"/>
      <c r="N269" s="10236"/>
      <c r="O269" s="10236"/>
      <c r="P269" s="10239"/>
      <c r="Q269" s="10239"/>
      <c r="R269" s="10245"/>
      <c r="S269" s="2323"/>
      <c r="T269" s="2324"/>
      <c r="U269" s="2324"/>
      <c r="V269" s="2325"/>
      <c r="W269" s="2326"/>
      <c r="X269" s="2332"/>
      <c r="Y269" s="2393"/>
      <c r="Z269" s="2393"/>
      <c r="AA269" s="2393"/>
      <c r="AB269" s="2394"/>
      <c r="AC269" s="2395"/>
      <c r="AD269" s="2396"/>
      <c r="AE269" s="2332"/>
      <c r="AF269" s="2333"/>
      <c r="AG269" s="2333"/>
      <c r="AH269" s="10248"/>
      <c r="AI269" s="2285"/>
    </row>
    <row r="270" spans="1:35" ht="27.75" customHeight="1">
      <c r="A270" s="10306"/>
      <c r="B270" s="10272"/>
      <c r="C270" s="10255" t="s">
        <v>127</v>
      </c>
      <c r="D270" s="10242" t="s">
        <v>128</v>
      </c>
      <c r="E270" s="10242" t="s">
        <v>129</v>
      </c>
      <c r="F270" s="10242" t="s">
        <v>336</v>
      </c>
      <c r="G270" s="10258" t="s">
        <v>131</v>
      </c>
      <c r="H270" s="10242" t="s">
        <v>132</v>
      </c>
      <c r="I270" s="10242" t="s">
        <v>159</v>
      </c>
      <c r="J270" s="10269" t="s">
        <v>2919</v>
      </c>
      <c r="K270" s="10242" t="s">
        <v>2920</v>
      </c>
      <c r="L270" s="10242" t="s">
        <v>2921</v>
      </c>
      <c r="M270" s="10240">
        <v>0</v>
      </c>
      <c r="N270" s="10240">
        <v>1</v>
      </c>
      <c r="O270" s="10240">
        <v>1</v>
      </c>
      <c r="P270" s="10242" t="s">
        <v>2922</v>
      </c>
      <c r="Q270" s="10242" t="s">
        <v>2923</v>
      </c>
      <c r="R270" s="10243" t="s">
        <v>2895</v>
      </c>
      <c r="S270" s="2334"/>
      <c r="T270" s="2277"/>
      <c r="U270" s="2277"/>
      <c r="V270" s="2278"/>
      <c r="W270" s="6186"/>
      <c r="X270" s="2279"/>
      <c r="Y270" s="2280"/>
      <c r="Z270" s="2280"/>
      <c r="AA270" s="2280"/>
      <c r="AB270" s="2281"/>
      <c r="AC270" s="2282"/>
      <c r="AD270" s="2283"/>
      <c r="AE270" s="2279"/>
      <c r="AF270" s="2284"/>
      <c r="AG270" s="2284"/>
      <c r="AH270" s="10246"/>
      <c r="AI270" s="2285"/>
    </row>
    <row r="271" spans="1:35" ht="27.75" customHeight="1">
      <c r="A271" s="10306"/>
      <c r="B271" s="10272"/>
      <c r="C271" s="10256"/>
      <c r="D271" s="10238"/>
      <c r="E271" s="10238"/>
      <c r="F271" s="10238"/>
      <c r="G271" s="10238"/>
      <c r="H271" s="10238"/>
      <c r="I271" s="10238"/>
      <c r="J271" s="10238"/>
      <c r="K271" s="10238"/>
      <c r="L271" s="10238"/>
      <c r="M271" s="10235"/>
      <c r="N271" s="10235"/>
      <c r="O271" s="10235"/>
      <c r="P271" s="10238"/>
      <c r="Q271" s="10238"/>
      <c r="R271" s="10244"/>
      <c r="S271" s="2286"/>
      <c r="T271" s="2287"/>
      <c r="U271" s="2287"/>
      <c r="V271" s="2288"/>
      <c r="W271" s="2289"/>
      <c r="X271" s="2290"/>
      <c r="Y271" s="2291"/>
      <c r="Z271" s="2291"/>
      <c r="AA271" s="2291"/>
      <c r="AB271" s="2292"/>
      <c r="AC271" s="2293"/>
      <c r="AD271" s="2294"/>
      <c r="AE271" s="2290"/>
      <c r="AF271" s="2295"/>
      <c r="AG271" s="2295"/>
      <c r="AH271" s="10247"/>
      <c r="AI271" s="2285"/>
    </row>
    <row r="272" spans="1:35" ht="27.75" customHeight="1">
      <c r="A272" s="10306"/>
      <c r="B272" s="10272"/>
      <c r="C272" s="10256"/>
      <c r="D272" s="10238"/>
      <c r="E272" s="10238"/>
      <c r="F272" s="10238"/>
      <c r="G272" s="10238"/>
      <c r="H272" s="10238"/>
      <c r="I272" s="10238"/>
      <c r="J272" s="10238"/>
      <c r="K272" s="10238"/>
      <c r="L272" s="10238"/>
      <c r="M272" s="10235"/>
      <c r="N272" s="10235"/>
      <c r="O272" s="10235"/>
      <c r="P272" s="10238"/>
      <c r="Q272" s="10238"/>
      <c r="R272" s="10244"/>
      <c r="S272" s="2286"/>
      <c r="T272" s="2287"/>
      <c r="U272" s="2287"/>
      <c r="V272" s="2288"/>
      <c r="W272" s="2289"/>
      <c r="X272" s="2290"/>
      <c r="Y272" s="2291"/>
      <c r="Z272" s="2291"/>
      <c r="AA272" s="2291"/>
      <c r="AB272" s="2292"/>
      <c r="AC272" s="2293"/>
      <c r="AD272" s="2294"/>
      <c r="AE272" s="2290"/>
      <c r="AF272" s="2295"/>
      <c r="AG272" s="2295"/>
      <c r="AH272" s="10247"/>
      <c r="AI272" s="2285"/>
    </row>
    <row r="273" spans="1:35" ht="27.75" customHeight="1">
      <c r="A273" s="10306"/>
      <c r="B273" s="10272"/>
      <c r="C273" s="10256"/>
      <c r="D273" s="10238"/>
      <c r="E273" s="10238"/>
      <c r="F273" s="10238"/>
      <c r="G273" s="10238"/>
      <c r="H273" s="10238"/>
      <c r="I273" s="10238"/>
      <c r="J273" s="10238"/>
      <c r="K273" s="10238"/>
      <c r="L273" s="10238"/>
      <c r="M273" s="10235"/>
      <c r="N273" s="10235"/>
      <c r="O273" s="10235"/>
      <c r="P273" s="10238"/>
      <c r="Q273" s="10238"/>
      <c r="R273" s="10244"/>
      <c r="S273" s="2343"/>
      <c r="T273" s="2296"/>
      <c r="U273" s="2296"/>
      <c r="V273" s="2288"/>
      <c r="W273" s="2289"/>
      <c r="X273" s="2290"/>
      <c r="Y273" s="2291"/>
      <c r="Z273" s="2291"/>
      <c r="AA273" s="2291"/>
      <c r="AB273" s="2292"/>
      <c r="AC273" s="2293"/>
      <c r="AD273" s="2294"/>
      <c r="AE273" s="2290"/>
      <c r="AF273" s="2295"/>
      <c r="AG273" s="2295"/>
      <c r="AH273" s="10247"/>
      <c r="AI273" s="2285"/>
    </row>
    <row r="274" spans="1:35" ht="27.75" customHeight="1">
      <c r="A274" s="10306"/>
      <c r="B274" s="10272"/>
      <c r="C274" s="10268"/>
      <c r="D274" s="10265"/>
      <c r="E274" s="10265"/>
      <c r="F274" s="10265"/>
      <c r="G274" s="10265"/>
      <c r="H274" s="10265"/>
      <c r="I274" s="10265"/>
      <c r="J274" s="10265"/>
      <c r="K274" s="10265"/>
      <c r="L274" s="10265"/>
      <c r="M274" s="10267"/>
      <c r="N274" s="10267"/>
      <c r="O274" s="10267"/>
      <c r="P274" s="10265"/>
      <c r="Q274" s="10265"/>
      <c r="R274" s="10260"/>
      <c r="S274" s="2303"/>
      <c r="T274" s="2304"/>
      <c r="U274" s="2304"/>
      <c r="V274" s="2305"/>
      <c r="W274" s="2306"/>
      <c r="X274" s="2409"/>
      <c r="Y274" s="2461"/>
      <c r="Z274" s="2461"/>
      <c r="AA274" s="2461"/>
      <c r="AB274" s="2488"/>
      <c r="AC274" s="2412"/>
      <c r="AD274" s="2413"/>
      <c r="AE274" s="2409"/>
      <c r="AF274" s="2312"/>
      <c r="AG274" s="2312"/>
      <c r="AH274" s="10262"/>
      <c r="AI274" s="2285"/>
    </row>
    <row r="275" spans="1:35" ht="28.5" customHeight="1">
      <c r="A275" s="10306"/>
      <c r="B275" s="10272"/>
      <c r="C275" s="10263" t="s">
        <v>127</v>
      </c>
      <c r="D275" s="10237" t="s">
        <v>128</v>
      </c>
      <c r="E275" s="10237" t="s">
        <v>129</v>
      </c>
      <c r="F275" s="10237" t="s">
        <v>336</v>
      </c>
      <c r="G275" s="10264" t="s">
        <v>131</v>
      </c>
      <c r="H275" s="10237" t="s">
        <v>132</v>
      </c>
      <c r="I275" s="10237" t="s">
        <v>159</v>
      </c>
      <c r="J275" s="10266" t="s">
        <v>2924</v>
      </c>
      <c r="K275" s="10237" t="s">
        <v>2925</v>
      </c>
      <c r="L275" s="10237" t="s">
        <v>2926</v>
      </c>
      <c r="M275" s="10234">
        <v>0</v>
      </c>
      <c r="N275" s="10234">
        <v>1</v>
      </c>
      <c r="O275" s="10234">
        <v>1</v>
      </c>
      <c r="P275" s="10237" t="s">
        <v>2927</v>
      </c>
      <c r="Q275" s="10237" t="s">
        <v>2928</v>
      </c>
      <c r="R275" s="10259" t="s">
        <v>2895</v>
      </c>
      <c r="S275" s="2340"/>
      <c r="T275" s="2313"/>
      <c r="U275" s="2313"/>
      <c r="V275" s="2341"/>
      <c r="W275" s="6187"/>
      <c r="X275" s="2414"/>
      <c r="Y275" s="2489"/>
      <c r="Z275" s="2489"/>
      <c r="AA275" s="2489"/>
      <c r="AB275" s="2490"/>
      <c r="AC275" s="2417"/>
      <c r="AD275" s="2418"/>
      <c r="AE275" s="2414"/>
      <c r="AF275" s="2320"/>
      <c r="AG275" s="2320"/>
      <c r="AH275" s="10261"/>
      <c r="AI275" s="2285"/>
    </row>
    <row r="276" spans="1:35" ht="28.5" customHeight="1">
      <c r="A276" s="10306"/>
      <c r="B276" s="10272"/>
      <c r="C276" s="10256"/>
      <c r="D276" s="10238"/>
      <c r="E276" s="10238"/>
      <c r="F276" s="10238"/>
      <c r="G276" s="10238"/>
      <c r="H276" s="10238"/>
      <c r="I276" s="10238"/>
      <c r="J276" s="10238"/>
      <c r="K276" s="10238"/>
      <c r="L276" s="10238"/>
      <c r="M276" s="10235"/>
      <c r="N276" s="10235"/>
      <c r="O276" s="10235"/>
      <c r="P276" s="10238"/>
      <c r="Q276" s="10238"/>
      <c r="R276" s="10244"/>
      <c r="S276" s="2286"/>
      <c r="T276" s="2287"/>
      <c r="U276" s="2287"/>
      <c r="V276" s="2288"/>
      <c r="W276" s="2289"/>
      <c r="X276" s="2290"/>
      <c r="Y276" s="2291"/>
      <c r="Z276" s="2291"/>
      <c r="AA276" s="2291"/>
      <c r="AB276" s="2292"/>
      <c r="AC276" s="2293"/>
      <c r="AD276" s="2294"/>
      <c r="AE276" s="2290"/>
      <c r="AF276" s="2290"/>
      <c r="AG276" s="2322"/>
      <c r="AH276" s="10247"/>
      <c r="AI276" s="2285"/>
    </row>
    <row r="277" spans="1:35" ht="28.5" customHeight="1">
      <c r="A277" s="10306"/>
      <c r="B277" s="10272"/>
      <c r="C277" s="10256"/>
      <c r="D277" s="10238"/>
      <c r="E277" s="10238"/>
      <c r="F277" s="10238"/>
      <c r="G277" s="10238"/>
      <c r="H277" s="10238"/>
      <c r="I277" s="10238"/>
      <c r="J277" s="10238"/>
      <c r="K277" s="10238"/>
      <c r="L277" s="10238"/>
      <c r="M277" s="10235"/>
      <c r="N277" s="10235"/>
      <c r="O277" s="10235"/>
      <c r="P277" s="10238"/>
      <c r="Q277" s="10238"/>
      <c r="R277" s="10244"/>
      <c r="S277" s="2286"/>
      <c r="T277" s="2287"/>
      <c r="U277" s="2287"/>
      <c r="V277" s="2288"/>
      <c r="W277" s="2289"/>
      <c r="X277" s="2290"/>
      <c r="Y277" s="2291"/>
      <c r="Z277" s="2291"/>
      <c r="AA277" s="2291"/>
      <c r="AB277" s="2292"/>
      <c r="AC277" s="2293"/>
      <c r="AD277" s="2294"/>
      <c r="AE277" s="2290"/>
      <c r="AF277" s="2290"/>
      <c r="AG277" s="2295"/>
      <c r="AH277" s="10247"/>
      <c r="AI277" s="2285"/>
    </row>
    <row r="278" spans="1:35" ht="28.5" customHeight="1">
      <c r="A278" s="10306"/>
      <c r="B278" s="10272"/>
      <c r="C278" s="10256"/>
      <c r="D278" s="10238"/>
      <c r="E278" s="10238"/>
      <c r="F278" s="10238"/>
      <c r="G278" s="10238"/>
      <c r="H278" s="10238"/>
      <c r="I278" s="10238"/>
      <c r="J278" s="10238"/>
      <c r="K278" s="10238"/>
      <c r="L278" s="10238"/>
      <c r="M278" s="10235"/>
      <c r="N278" s="10235"/>
      <c r="O278" s="10235"/>
      <c r="P278" s="10238"/>
      <c r="Q278" s="10238"/>
      <c r="R278" s="10244"/>
      <c r="S278" s="2286"/>
      <c r="T278" s="2287"/>
      <c r="U278" s="2287"/>
      <c r="V278" s="2288"/>
      <c r="W278" s="2289"/>
      <c r="X278" s="2290"/>
      <c r="Y278" s="2291"/>
      <c r="Z278" s="2291"/>
      <c r="AA278" s="2291"/>
      <c r="AB278" s="2292"/>
      <c r="AC278" s="2293"/>
      <c r="AD278" s="2294"/>
      <c r="AE278" s="2290"/>
      <c r="AF278" s="2290"/>
      <c r="AG278" s="2295"/>
      <c r="AH278" s="10247"/>
      <c r="AI278" s="2285"/>
    </row>
    <row r="279" spans="1:35" ht="28.5" customHeight="1">
      <c r="A279" s="10306"/>
      <c r="B279" s="10272"/>
      <c r="C279" s="10257"/>
      <c r="D279" s="10239"/>
      <c r="E279" s="10239"/>
      <c r="F279" s="10239"/>
      <c r="G279" s="10239"/>
      <c r="H279" s="10239"/>
      <c r="I279" s="10239"/>
      <c r="J279" s="10239"/>
      <c r="K279" s="10239"/>
      <c r="L279" s="10239"/>
      <c r="M279" s="10236"/>
      <c r="N279" s="10236"/>
      <c r="O279" s="10236"/>
      <c r="P279" s="10239"/>
      <c r="Q279" s="10239"/>
      <c r="R279" s="10245"/>
      <c r="S279" s="2323"/>
      <c r="T279" s="2324"/>
      <c r="U279" s="2324"/>
      <c r="V279" s="2325"/>
      <c r="W279" s="2326"/>
      <c r="X279" s="2332"/>
      <c r="Y279" s="2393"/>
      <c r="Z279" s="2393"/>
      <c r="AA279" s="2393"/>
      <c r="AB279" s="2394"/>
      <c r="AC279" s="2395"/>
      <c r="AD279" s="2396"/>
      <c r="AE279" s="2332"/>
      <c r="AF279" s="2332"/>
      <c r="AG279" s="2333"/>
      <c r="AH279" s="10248"/>
      <c r="AI279" s="2285"/>
    </row>
    <row r="280" spans="1:35" ht="27" customHeight="1">
      <c r="A280" s="10306"/>
      <c r="B280" s="10272"/>
      <c r="C280" s="10255" t="s">
        <v>127</v>
      </c>
      <c r="D280" s="10242" t="s">
        <v>128</v>
      </c>
      <c r="E280" s="10242" t="s">
        <v>129</v>
      </c>
      <c r="F280" s="10242" t="s">
        <v>336</v>
      </c>
      <c r="G280" s="10258" t="s">
        <v>131</v>
      </c>
      <c r="H280" s="10242" t="s">
        <v>132</v>
      </c>
      <c r="I280" s="10242" t="s">
        <v>159</v>
      </c>
      <c r="J280" s="10269" t="s">
        <v>2929</v>
      </c>
      <c r="K280" s="10242" t="s">
        <v>2930</v>
      </c>
      <c r="L280" s="10242" t="s">
        <v>2931</v>
      </c>
      <c r="M280" s="10240">
        <v>1</v>
      </c>
      <c r="N280" s="10240">
        <v>0</v>
      </c>
      <c r="O280" s="10240">
        <v>0</v>
      </c>
      <c r="P280" s="10242" t="s">
        <v>2932</v>
      </c>
      <c r="Q280" s="10242" t="s">
        <v>2933</v>
      </c>
      <c r="R280" s="10243" t="s">
        <v>2895</v>
      </c>
      <c r="S280" s="2276"/>
      <c r="T280" s="2277"/>
      <c r="U280" s="2277"/>
      <c r="V280" s="2278"/>
      <c r="W280" s="6186"/>
      <c r="X280" s="2279"/>
      <c r="Y280" s="2280"/>
      <c r="Z280" s="2280"/>
      <c r="AA280" s="2280"/>
      <c r="AB280" s="2281"/>
      <c r="AC280" s="2282"/>
      <c r="AD280" s="2283"/>
      <c r="AE280" s="2279"/>
      <c r="AF280" s="2284"/>
      <c r="AG280" s="2284"/>
      <c r="AH280" s="10246"/>
      <c r="AI280" s="2285"/>
    </row>
    <row r="281" spans="1:35" ht="27" customHeight="1">
      <c r="A281" s="10306"/>
      <c r="B281" s="10272"/>
      <c r="C281" s="10256"/>
      <c r="D281" s="10238"/>
      <c r="E281" s="10238"/>
      <c r="F281" s="10238"/>
      <c r="G281" s="10238"/>
      <c r="H281" s="10238"/>
      <c r="I281" s="10238"/>
      <c r="J281" s="10238"/>
      <c r="K281" s="10238"/>
      <c r="L281" s="10238"/>
      <c r="M281" s="10235"/>
      <c r="N281" s="10235"/>
      <c r="O281" s="10235"/>
      <c r="P281" s="10238"/>
      <c r="Q281" s="10238"/>
      <c r="R281" s="10244"/>
      <c r="S281" s="2286"/>
      <c r="T281" s="2287"/>
      <c r="U281" s="2287"/>
      <c r="V281" s="2288"/>
      <c r="W281" s="2289"/>
      <c r="X281" s="2290"/>
      <c r="Y281" s="2291"/>
      <c r="Z281" s="2291"/>
      <c r="AA281" s="2291"/>
      <c r="AB281" s="2292"/>
      <c r="AC281" s="2293"/>
      <c r="AD281" s="2294"/>
      <c r="AE281" s="2290"/>
      <c r="AF281" s="2295"/>
      <c r="AG281" s="2295"/>
      <c r="AH281" s="10247"/>
      <c r="AI281" s="2285"/>
    </row>
    <row r="282" spans="1:35" ht="27" customHeight="1">
      <c r="A282" s="10306"/>
      <c r="B282" s="10272"/>
      <c r="C282" s="10256"/>
      <c r="D282" s="10238"/>
      <c r="E282" s="10238"/>
      <c r="F282" s="10238"/>
      <c r="G282" s="10238"/>
      <c r="H282" s="10238"/>
      <c r="I282" s="10238"/>
      <c r="J282" s="10238"/>
      <c r="K282" s="10238"/>
      <c r="L282" s="10238"/>
      <c r="M282" s="10235"/>
      <c r="N282" s="10235"/>
      <c r="O282" s="10235"/>
      <c r="P282" s="10238"/>
      <c r="Q282" s="10238"/>
      <c r="R282" s="10244"/>
      <c r="S282" s="2286"/>
      <c r="T282" s="2287"/>
      <c r="U282" s="2287"/>
      <c r="V282" s="2288"/>
      <c r="W282" s="2289"/>
      <c r="X282" s="2290"/>
      <c r="Y282" s="2291"/>
      <c r="Z282" s="2291"/>
      <c r="AA282" s="2291"/>
      <c r="AB282" s="2292"/>
      <c r="AC282" s="2293"/>
      <c r="AD282" s="2294"/>
      <c r="AE282" s="2290"/>
      <c r="AF282" s="2295"/>
      <c r="AG282" s="2295"/>
      <c r="AH282" s="10247"/>
      <c r="AI282" s="2285"/>
    </row>
    <row r="283" spans="1:35" ht="27" customHeight="1">
      <c r="A283" s="10306"/>
      <c r="B283" s="10272"/>
      <c r="C283" s="10256"/>
      <c r="D283" s="10238"/>
      <c r="E283" s="10238"/>
      <c r="F283" s="10238"/>
      <c r="G283" s="10238"/>
      <c r="H283" s="10238"/>
      <c r="I283" s="10238"/>
      <c r="J283" s="10238"/>
      <c r="K283" s="10238"/>
      <c r="L283" s="10238"/>
      <c r="M283" s="10235"/>
      <c r="N283" s="10235"/>
      <c r="O283" s="10235"/>
      <c r="P283" s="10238"/>
      <c r="Q283" s="10238"/>
      <c r="R283" s="10244"/>
      <c r="S283" s="2286"/>
      <c r="T283" s="2287"/>
      <c r="U283" s="2287"/>
      <c r="V283" s="2288"/>
      <c r="W283" s="2289"/>
      <c r="X283" s="2290"/>
      <c r="Y283" s="2291"/>
      <c r="Z283" s="2291"/>
      <c r="AA283" s="2291"/>
      <c r="AB283" s="2292"/>
      <c r="AC283" s="2293"/>
      <c r="AD283" s="2294"/>
      <c r="AE283" s="2290"/>
      <c r="AF283" s="2295"/>
      <c r="AG283" s="2295"/>
      <c r="AH283" s="10247"/>
      <c r="AI283" s="2285"/>
    </row>
    <row r="284" spans="1:35" ht="27" customHeight="1">
      <c r="A284" s="10306"/>
      <c r="B284" s="10272"/>
      <c r="C284" s="10257"/>
      <c r="D284" s="10239"/>
      <c r="E284" s="10239"/>
      <c r="F284" s="10239"/>
      <c r="G284" s="10239"/>
      <c r="H284" s="10239"/>
      <c r="I284" s="10239"/>
      <c r="J284" s="10239"/>
      <c r="K284" s="10239"/>
      <c r="L284" s="10239"/>
      <c r="M284" s="10236"/>
      <c r="N284" s="10236"/>
      <c r="O284" s="10236"/>
      <c r="P284" s="10239"/>
      <c r="Q284" s="10239"/>
      <c r="R284" s="10245"/>
      <c r="S284" s="2303"/>
      <c r="T284" s="2304"/>
      <c r="U284" s="2304"/>
      <c r="V284" s="2305"/>
      <c r="W284" s="2306"/>
      <c r="X284" s="2409"/>
      <c r="Y284" s="2461"/>
      <c r="Z284" s="2461"/>
      <c r="AA284" s="2461"/>
      <c r="AB284" s="2488"/>
      <c r="AC284" s="2412"/>
      <c r="AD284" s="2413"/>
      <c r="AE284" s="2409"/>
      <c r="AF284" s="2312"/>
      <c r="AG284" s="2312"/>
      <c r="AH284" s="10262"/>
      <c r="AI284" s="2285"/>
    </row>
    <row r="285" spans="1:35" ht="26.25" customHeight="1">
      <c r="A285" s="10306"/>
      <c r="B285" s="10272"/>
      <c r="C285" s="10255" t="s">
        <v>127</v>
      </c>
      <c r="D285" s="10242" t="s">
        <v>128</v>
      </c>
      <c r="E285" s="10242" t="s">
        <v>129</v>
      </c>
      <c r="F285" s="10242" t="s">
        <v>336</v>
      </c>
      <c r="G285" s="10258" t="s">
        <v>131</v>
      </c>
      <c r="H285" s="10242" t="s">
        <v>132</v>
      </c>
      <c r="I285" s="10242" t="s">
        <v>159</v>
      </c>
      <c r="J285" s="10269" t="s">
        <v>2934</v>
      </c>
      <c r="K285" s="10242" t="s">
        <v>2935</v>
      </c>
      <c r="L285" s="10242" t="s">
        <v>2936</v>
      </c>
      <c r="M285" s="10240">
        <v>1</v>
      </c>
      <c r="N285" s="10240">
        <v>1</v>
      </c>
      <c r="O285" s="10240">
        <v>1</v>
      </c>
      <c r="P285" s="10242" t="s">
        <v>2937</v>
      </c>
      <c r="Q285" s="10242" t="s">
        <v>2938</v>
      </c>
      <c r="R285" s="10243" t="s">
        <v>2895</v>
      </c>
      <c r="S285" s="2340"/>
      <c r="T285" s="2313"/>
      <c r="U285" s="2313"/>
      <c r="V285" s="2341"/>
      <c r="W285" s="6187"/>
      <c r="X285" s="2414"/>
      <c r="Y285" s="2489"/>
      <c r="Z285" s="2489"/>
      <c r="AA285" s="2489"/>
      <c r="AB285" s="2490"/>
      <c r="AC285" s="2417"/>
      <c r="AD285" s="2418"/>
      <c r="AE285" s="2414"/>
      <c r="AF285" s="2342"/>
      <c r="AG285" s="2342"/>
      <c r="AH285" s="10261"/>
      <c r="AI285" s="2285"/>
    </row>
    <row r="286" spans="1:35" ht="26.25" customHeight="1">
      <c r="A286" s="10306"/>
      <c r="B286" s="10272"/>
      <c r="C286" s="10256"/>
      <c r="D286" s="10238"/>
      <c r="E286" s="10238"/>
      <c r="F286" s="10238"/>
      <c r="G286" s="10238"/>
      <c r="H286" s="10238"/>
      <c r="I286" s="10238"/>
      <c r="J286" s="10238"/>
      <c r="K286" s="10238"/>
      <c r="L286" s="10238"/>
      <c r="M286" s="10235"/>
      <c r="N286" s="10235"/>
      <c r="O286" s="10235"/>
      <c r="P286" s="10238"/>
      <c r="Q286" s="10238"/>
      <c r="R286" s="10244"/>
      <c r="S286" s="2286"/>
      <c r="T286" s="2287"/>
      <c r="U286" s="2287"/>
      <c r="V286" s="2288"/>
      <c r="W286" s="2289"/>
      <c r="X286" s="2290"/>
      <c r="Y286" s="2291"/>
      <c r="Z286" s="2291"/>
      <c r="AA286" s="2291"/>
      <c r="AB286" s="2292"/>
      <c r="AC286" s="2293"/>
      <c r="AD286" s="2294"/>
      <c r="AE286" s="2290"/>
      <c r="AF286" s="2295"/>
      <c r="AG286" s="2295"/>
      <c r="AH286" s="10247"/>
      <c r="AI286" s="2285"/>
    </row>
    <row r="287" spans="1:35" ht="26.25" customHeight="1">
      <c r="A287" s="10306"/>
      <c r="B287" s="10272"/>
      <c r="C287" s="10256"/>
      <c r="D287" s="10238"/>
      <c r="E287" s="10238"/>
      <c r="F287" s="10238"/>
      <c r="G287" s="10238"/>
      <c r="H287" s="10238"/>
      <c r="I287" s="10238"/>
      <c r="J287" s="10238"/>
      <c r="K287" s="10238"/>
      <c r="L287" s="10238"/>
      <c r="M287" s="10235"/>
      <c r="N287" s="10235"/>
      <c r="O287" s="10235"/>
      <c r="P287" s="10238"/>
      <c r="Q287" s="10238"/>
      <c r="R287" s="10244"/>
      <c r="S287" s="2286"/>
      <c r="T287" s="2287"/>
      <c r="U287" s="2287"/>
      <c r="V287" s="2288"/>
      <c r="W287" s="2289"/>
      <c r="X287" s="2290"/>
      <c r="Y287" s="2291"/>
      <c r="Z287" s="2291"/>
      <c r="AA287" s="2291"/>
      <c r="AB287" s="2292"/>
      <c r="AC287" s="2293"/>
      <c r="AD287" s="2294"/>
      <c r="AE287" s="2290"/>
      <c r="AF287" s="2295"/>
      <c r="AG287" s="2295"/>
      <c r="AH287" s="10247"/>
      <c r="AI287" s="2285"/>
    </row>
    <row r="288" spans="1:35" ht="26.25" customHeight="1">
      <c r="A288" s="10306"/>
      <c r="B288" s="10272"/>
      <c r="C288" s="10256"/>
      <c r="D288" s="10238"/>
      <c r="E288" s="10238"/>
      <c r="F288" s="10238"/>
      <c r="G288" s="10238"/>
      <c r="H288" s="10238"/>
      <c r="I288" s="10238"/>
      <c r="J288" s="10238"/>
      <c r="K288" s="10238"/>
      <c r="L288" s="10238"/>
      <c r="M288" s="10235"/>
      <c r="N288" s="10235"/>
      <c r="O288" s="10235"/>
      <c r="P288" s="10238"/>
      <c r="Q288" s="10238"/>
      <c r="R288" s="10244"/>
      <c r="S288" s="2286"/>
      <c r="T288" s="2287"/>
      <c r="U288" s="2287"/>
      <c r="V288" s="2288"/>
      <c r="W288" s="2289"/>
      <c r="X288" s="2290"/>
      <c r="Y288" s="2291"/>
      <c r="Z288" s="2291"/>
      <c r="AA288" s="2291"/>
      <c r="AB288" s="2292"/>
      <c r="AC288" s="2293"/>
      <c r="AD288" s="2294"/>
      <c r="AE288" s="2290"/>
      <c r="AF288" s="2295"/>
      <c r="AG288" s="2295"/>
      <c r="AH288" s="10247"/>
      <c r="AI288" s="2285"/>
    </row>
    <row r="289" spans="1:35" ht="26.25" customHeight="1">
      <c r="A289" s="10306"/>
      <c r="B289" s="10272"/>
      <c r="C289" s="10257"/>
      <c r="D289" s="10239"/>
      <c r="E289" s="10239"/>
      <c r="F289" s="10239"/>
      <c r="G289" s="10239"/>
      <c r="H289" s="10239"/>
      <c r="I289" s="10239"/>
      <c r="J289" s="10239"/>
      <c r="K289" s="10239"/>
      <c r="L289" s="10239"/>
      <c r="M289" s="10236"/>
      <c r="N289" s="10236"/>
      <c r="O289" s="10236"/>
      <c r="P289" s="10239"/>
      <c r="Q289" s="10239"/>
      <c r="R289" s="10245"/>
      <c r="S289" s="2323"/>
      <c r="T289" s="2324"/>
      <c r="U289" s="2324"/>
      <c r="V289" s="2325"/>
      <c r="W289" s="2326"/>
      <c r="X289" s="2332"/>
      <c r="Y289" s="2393"/>
      <c r="Z289" s="2393"/>
      <c r="AA289" s="2393"/>
      <c r="AB289" s="2394"/>
      <c r="AC289" s="2395"/>
      <c r="AD289" s="2396"/>
      <c r="AE289" s="2332"/>
      <c r="AF289" s="2333"/>
      <c r="AG289" s="2333"/>
      <c r="AH289" s="10248"/>
      <c r="AI289" s="2285"/>
    </row>
    <row r="290" spans="1:35" ht="27" customHeight="1">
      <c r="A290" s="10306"/>
      <c r="B290" s="10272"/>
      <c r="C290" s="10255" t="s">
        <v>127</v>
      </c>
      <c r="D290" s="10242" t="s">
        <v>128</v>
      </c>
      <c r="E290" s="10242" t="s">
        <v>129</v>
      </c>
      <c r="F290" s="10242" t="s">
        <v>336</v>
      </c>
      <c r="G290" s="10258" t="s">
        <v>131</v>
      </c>
      <c r="H290" s="10242" t="s">
        <v>132</v>
      </c>
      <c r="I290" s="10242" t="s">
        <v>159</v>
      </c>
      <c r="J290" s="10269" t="s">
        <v>2939</v>
      </c>
      <c r="K290" s="10242" t="s">
        <v>2940</v>
      </c>
      <c r="L290" s="10242" t="s">
        <v>2941</v>
      </c>
      <c r="M290" s="10240">
        <v>1</v>
      </c>
      <c r="N290" s="10240">
        <v>0</v>
      </c>
      <c r="O290" s="10240">
        <v>1</v>
      </c>
      <c r="P290" s="10242" t="s">
        <v>2942</v>
      </c>
      <c r="Q290" s="10242" t="s">
        <v>2943</v>
      </c>
      <c r="R290" s="10243" t="s">
        <v>2895</v>
      </c>
      <c r="S290" s="2334"/>
      <c r="T290" s="2277"/>
      <c r="U290" s="2277"/>
      <c r="V290" s="2278"/>
      <c r="W290" s="6186"/>
      <c r="X290" s="2279"/>
      <c r="Y290" s="2280"/>
      <c r="Z290" s="2280"/>
      <c r="AA290" s="2280"/>
      <c r="AB290" s="2281"/>
      <c r="AC290" s="2282"/>
      <c r="AD290" s="2283"/>
      <c r="AE290" s="2279"/>
      <c r="AF290" s="2284"/>
      <c r="AG290" s="2284"/>
      <c r="AH290" s="10246"/>
      <c r="AI290" s="2285"/>
    </row>
    <row r="291" spans="1:35" ht="27" customHeight="1">
      <c r="A291" s="10306"/>
      <c r="B291" s="10272"/>
      <c r="C291" s="10256"/>
      <c r="D291" s="10238"/>
      <c r="E291" s="10238"/>
      <c r="F291" s="10238"/>
      <c r="G291" s="10238"/>
      <c r="H291" s="10238"/>
      <c r="I291" s="10238"/>
      <c r="J291" s="10238"/>
      <c r="K291" s="10238"/>
      <c r="L291" s="10238"/>
      <c r="M291" s="10235"/>
      <c r="N291" s="10235"/>
      <c r="O291" s="10235"/>
      <c r="P291" s="10238"/>
      <c r="Q291" s="10238"/>
      <c r="R291" s="10244"/>
      <c r="S291" s="2286"/>
      <c r="T291" s="2287"/>
      <c r="U291" s="2287"/>
      <c r="V291" s="2288"/>
      <c r="W291" s="2289"/>
      <c r="X291" s="2290"/>
      <c r="Y291" s="2291"/>
      <c r="Z291" s="2291"/>
      <c r="AA291" s="2291"/>
      <c r="AB291" s="2292"/>
      <c r="AC291" s="2293"/>
      <c r="AD291" s="2294"/>
      <c r="AE291" s="2290"/>
      <c r="AF291" s="2295"/>
      <c r="AG291" s="2295"/>
      <c r="AH291" s="10247"/>
      <c r="AI291" s="2285"/>
    </row>
    <row r="292" spans="1:35" ht="27" customHeight="1">
      <c r="A292" s="10306"/>
      <c r="B292" s="10272"/>
      <c r="C292" s="10256"/>
      <c r="D292" s="10238"/>
      <c r="E292" s="10238"/>
      <c r="F292" s="10238"/>
      <c r="G292" s="10238"/>
      <c r="H292" s="10238"/>
      <c r="I292" s="10238"/>
      <c r="J292" s="10238"/>
      <c r="K292" s="10238"/>
      <c r="L292" s="10238"/>
      <c r="M292" s="10235"/>
      <c r="N292" s="10235"/>
      <c r="O292" s="10235"/>
      <c r="P292" s="10238"/>
      <c r="Q292" s="10238"/>
      <c r="R292" s="10244"/>
      <c r="S292" s="2286"/>
      <c r="T292" s="2287"/>
      <c r="U292" s="2287"/>
      <c r="V292" s="2288"/>
      <c r="W292" s="2289"/>
      <c r="X292" s="2290"/>
      <c r="Y292" s="2291"/>
      <c r="Z292" s="2291"/>
      <c r="AA292" s="2291"/>
      <c r="AB292" s="2292"/>
      <c r="AC292" s="2293"/>
      <c r="AD292" s="2294"/>
      <c r="AE292" s="2290"/>
      <c r="AF292" s="2295"/>
      <c r="AG292" s="2295"/>
      <c r="AH292" s="10247"/>
      <c r="AI292" s="2285"/>
    </row>
    <row r="293" spans="1:35" ht="27" customHeight="1">
      <c r="A293" s="10306"/>
      <c r="B293" s="10272"/>
      <c r="C293" s="10256"/>
      <c r="D293" s="10238"/>
      <c r="E293" s="10238"/>
      <c r="F293" s="10238"/>
      <c r="G293" s="10238"/>
      <c r="H293" s="10238"/>
      <c r="I293" s="10238"/>
      <c r="J293" s="10238"/>
      <c r="K293" s="10238"/>
      <c r="L293" s="10238"/>
      <c r="M293" s="10235"/>
      <c r="N293" s="10235"/>
      <c r="O293" s="10235"/>
      <c r="P293" s="10238"/>
      <c r="Q293" s="10238"/>
      <c r="R293" s="10244"/>
      <c r="S293" s="2286"/>
      <c r="T293" s="2287"/>
      <c r="U293" s="2287"/>
      <c r="V293" s="2288"/>
      <c r="W293" s="2289"/>
      <c r="X293" s="2290"/>
      <c r="Y293" s="2291"/>
      <c r="Z293" s="2291"/>
      <c r="AA293" s="2291"/>
      <c r="AB293" s="2292"/>
      <c r="AC293" s="2293"/>
      <c r="AD293" s="2294"/>
      <c r="AE293" s="2290"/>
      <c r="AF293" s="2295"/>
      <c r="AG293" s="2295"/>
      <c r="AH293" s="10247"/>
      <c r="AI293" s="2285"/>
    </row>
    <row r="294" spans="1:35" ht="27" customHeight="1">
      <c r="A294" s="10306"/>
      <c r="B294" s="10272"/>
      <c r="C294" s="10268"/>
      <c r="D294" s="10265"/>
      <c r="E294" s="10265"/>
      <c r="F294" s="10265"/>
      <c r="G294" s="10265"/>
      <c r="H294" s="10265"/>
      <c r="I294" s="10265"/>
      <c r="J294" s="10265"/>
      <c r="K294" s="10265"/>
      <c r="L294" s="10265"/>
      <c r="M294" s="10267"/>
      <c r="N294" s="10267"/>
      <c r="O294" s="10267"/>
      <c r="P294" s="10265"/>
      <c r="Q294" s="10265"/>
      <c r="R294" s="10260"/>
      <c r="S294" s="2303"/>
      <c r="T294" s="2304"/>
      <c r="U294" s="2304"/>
      <c r="V294" s="2305"/>
      <c r="W294" s="2306"/>
      <c r="X294" s="2409"/>
      <c r="Y294" s="2461"/>
      <c r="Z294" s="2461"/>
      <c r="AA294" s="2461"/>
      <c r="AB294" s="2488"/>
      <c r="AC294" s="2412"/>
      <c r="AD294" s="2413"/>
      <c r="AE294" s="2409"/>
      <c r="AF294" s="2312"/>
      <c r="AG294" s="2312"/>
      <c r="AH294" s="10262"/>
      <c r="AI294" s="2285"/>
    </row>
    <row r="295" spans="1:35" ht="27" customHeight="1">
      <c r="A295" s="10306"/>
      <c r="B295" s="10272"/>
      <c r="C295" s="10263" t="s">
        <v>127</v>
      </c>
      <c r="D295" s="10237" t="s">
        <v>128</v>
      </c>
      <c r="E295" s="10237" t="s">
        <v>129</v>
      </c>
      <c r="F295" s="10237" t="s">
        <v>336</v>
      </c>
      <c r="G295" s="10264" t="s">
        <v>131</v>
      </c>
      <c r="H295" s="10237" t="s">
        <v>132</v>
      </c>
      <c r="I295" s="10237" t="s">
        <v>159</v>
      </c>
      <c r="J295" s="10266" t="s">
        <v>2944</v>
      </c>
      <c r="K295" s="10237" t="s">
        <v>2945</v>
      </c>
      <c r="L295" s="10237" t="s">
        <v>2946</v>
      </c>
      <c r="M295" s="10234">
        <v>1</v>
      </c>
      <c r="N295" s="10234">
        <v>0</v>
      </c>
      <c r="O295" s="10234">
        <v>1</v>
      </c>
      <c r="P295" s="10237" t="s">
        <v>2947</v>
      </c>
      <c r="Q295" s="10237" t="s">
        <v>2948</v>
      </c>
      <c r="R295" s="10259" t="s">
        <v>2895</v>
      </c>
      <c r="S295" s="2340"/>
      <c r="T295" s="2313"/>
      <c r="U295" s="2313"/>
      <c r="V295" s="2341"/>
      <c r="W295" s="6187"/>
      <c r="X295" s="2414"/>
      <c r="Y295" s="2489"/>
      <c r="Z295" s="2489"/>
      <c r="AA295" s="2489"/>
      <c r="AB295" s="2490"/>
      <c r="AC295" s="2417"/>
      <c r="AD295" s="2418"/>
      <c r="AE295" s="2414"/>
      <c r="AF295" s="2342"/>
      <c r="AG295" s="2342"/>
      <c r="AH295" s="10261"/>
      <c r="AI295" s="2285"/>
    </row>
    <row r="296" spans="1:35" ht="27" customHeight="1">
      <c r="A296" s="10306"/>
      <c r="B296" s="10272"/>
      <c r="C296" s="10256"/>
      <c r="D296" s="10238"/>
      <c r="E296" s="10238"/>
      <c r="F296" s="10238"/>
      <c r="G296" s="10238"/>
      <c r="H296" s="10238"/>
      <c r="I296" s="10238"/>
      <c r="J296" s="10238"/>
      <c r="K296" s="10238"/>
      <c r="L296" s="10238"/>
      <c r="M296" s="10235"/>
      <c r="N296" s="10235"/>
      <c r="O296" s="10235"/>
      <c r="P296" s="10238"/>
      <c r="Q296" s="10238"/>
      <c r="R296" s="10244"/>
      <c r="S296" s="2286"/>
      <c r="T296" s="2287"/>
      <c r="U296" s="2287"/>
      <c r="V296" s="2288"/>
      <c r="W296" s="2289"/>
      <c r="X296" s="2290"/>
      <c r="Y296" s="2291"/>
      <c r="Z296" s="2291"/>
      <c r="AA296" s="2291"/>
      <c r="AB296" s="2292"/>
      <c r="AC296" s="2293"/>
      <c r="AD296" s="2294"/>
      <c r="AE296" s="2290"/>
      <c r="AF296" s="2295"/>
      <c r="AG296" s="2295"/>
      <c r="AH296" s="10247"/>
      <c r="AI296" s="2285"/>
    </row>
    <row r="297" spans="1:35" ht="27" customHeight="1">
      <c r="A297" s="10306"/>
      <c r="B297" s="10272"/>
      <c r="C297" s="10256"/>
      <c r="D297" s="10238"/>
      <c r="E297" s="10238"/>
      <c r="F297" s="10238"/>
      <c r="G297" s="10238"/>
      <c r="H297" s="10238"/>
      <c r="I297" s="10238"/>
      <c r="J297" s="10238"/>
      <c r="K297" s="10238"/>
      <c r="L297" s="10238"/>
      <c r="M297" s="10235"/>
      <c r="N297" s="10235"/>
      <c r="O297" s="10235"/>
      <c r="P297" s="10238"/>
      <c r="Q297" s="10238"/>
      <c r="R297" s="10244"/>
      <c r="S297" s="2286"/>
      <c r="T297" s="2287"/>
      <c r="U297" s="2287"/>
      <c r="V297" s="2288"/>
      <c r="W297" s="2289"/>
      <c r="X297" s="2290"/>
      <c r="Y297" s="2291"/>
      <c r="Z297" s="2291"/>
      <c r="AA297" s="2291"/>
      <c r="AB297" s="2292"/>
      <c r="AC297" s="2293"/>
      <c r="AD297" s="2294"/>
      <c r="AE297" s="2290"/>
      <c r="AF297" s="2295"/>
      <c r="AG297" s="2295"/>
      <c r="AH297" s="10247"/>
      <c r="AI297" s="2285"/>
    </row>
    <row r="298" spans="1:35" ht="27" customHeight="1">
      <c r="A298" s="10306"/>
      <c r="B298" s="10272"/>
      <c r="C298" s="10256"/>
      <c r="D298" s="10238"/>
      <c r="E298" s="10238"/>
      <c r="F298" s="10238"/>
      <c r="G298" s="10238"/>
      <c r="H298" s="10238"/>
      <c r="I298" s="10238"/>
      <c r="J298" s="10238"/>
      <c r="K298" s="10238"/>
      <c r="L298" s="10238"/>
      <c r="M298" s="10235"/>
      <c r="N298" s="10235"/>
      <c r="O298" s="10235"/>
      <c r="P298" s="10238"/>
      <c r="Q298" s="10238"/>
      <c r="R298" s="10244"/>
      <c r="S298" s="2286"/>
      <c r="T298" s="2287"/>
      <c r="U298" s="2287"/>
      <c r="V298" s="2288"/>
      <c r="W298" s="2289"/>
      <c r="X298" s="2290"/>
      <c r="Y298" s="2291"/>
      <c r="Z298" s="2291"/>
      <c r="AA298" s="2291"/>
      <c r="AB298" s="2292"/>
      <c r="AC298" s="2293"/>
      <c r="AD298" s="2294"/>
      <c r="AE298" s="2290"/>
      <c r="AF298" s="2295"/>
      <c r="AG298" s="2295"/>
      <c r="AH298" s="10247"/>
      <c r="AI298" s="2285"/>
    </row>
    <row r="299" spans="1:35" ht="27" customHeight="1">
      <c r="A299" s="10306"/>
      <c r="B299" s="10272"/>
      <c r="C299" s="10268"/>
      <c r="D299" s="10265"/>
      <c r="E299" s="10265"/>
      <c r="F299" s="10265"/>
      <c r="G299" s="10265"/>
      <c r="H299" s="10265"/>
      <c r="I299" s="10265"/>
      <c r="J299" s="10265"/>
      <c r="K299" s="10265"/>
      <c r="L299" s="10265"/>
      <c r="M299" s="10267"/>
      <c r="N299" s="10267"/>
      <c r="O299" s="10267"/>
      <c r="P299" s="10265"/>
      <c r="Q299" s="10265"/>
      <c r="R299" s="10260"/>
      <c r="S299" s="2303"/>
      <c r="T299" s="2304"/>
      <c r="U299" s="2304"/>
      <c r="V299" s="2305"/>
      <c r="W299" s="2306"/>
      <c r="X299" s="2409"/>
      <c r="Y299" s="2461"/>
      <c r="Z299" s="2461"/>
      <c r="AA299" s="2461"/>
      <c r="AB299" s="2488"/>
      <c r="AC299" s="2412"/>
      <c r="AD299" s="2413"/>
      <c r="AE299" s="2409"/>
      <c r="AF299" s="2312"/>
      <c r="AG299" s="2312"/>
      <c r="AH299" s="10262"/>
      <c r="AI299" s="2285"/>
    </row>
    <row r="300" spans="1:35" ht="27.75" customHeight="1">
      <c r="A300" s="10306"/>
      <c r="B300" s="10272"/>
      <c r="C300" s="10263" t="s">
        <v>127</v>
      </c>
      <c r="D300" s="10237" t="s">
        <v>128</v>
      </c>
      <c r="E300" s="10237" t="s">
        <v>129</v>
      </c>
      <c r="F300" s="10237" t="s">
        <v>336</v>
      </c>
      <c r="G300" s="10264" t="s">
        <v>131</v>
      </c>
      <c r="H300" s="10237" t="s">
        <v>132</v>
      </c>
      <c r="I300" s="10237" t="s">
        <v>159</v>
      </c>
      <c r="J300" s="10237" t="s">
        <v>2949</v>
      </c>
      <c r="K300" s="10237" t="s">
        <v>286</v>
      </c>
      <c r="L300" s="10237" t="s">
        <v>2749</v>
      </c>
      <c r="M300" s="10254">
        <v>0</v>
      </c>
      <c r="N300" s="10234">
        <v>1</v>
      </c>
      <c r="O300" s="10234">
        <v>1</v>
      </c>
      <c r="P300" s="10237" t="s">
        <v>2750</v>
      </c>
      <c r="Q300" s="10237" t="s">
        <v>2751</v>
      </c>
      <c r="R300" s="10259" t="s">
        <v>2895</v>
      </c>
      <c r="S300" s="2340"/>
      <c r="T300" s="2313"/>
      <c r="U300" s="2313"/>
      <c r="V300" s="2341"/>
      <c r="W300" s="6187"/>
      <c r="X300" s="2414"/>
      <c r="Y300" s="2489"/>
      <c r="Z300" s="2489"/>
      <c r="AA300" s="2489"/>
      <c r="AB300" s="2490"/>
      <c r="AC300" s="2417"/>
      <c r="AD300" s="2418"/>
      <c r="AE300" s="2414"/>
      <c r="AF300" s="2342"/>
      <c r="AG300" s="2342"/>
      <c r="AH300" s="10261"/>
      <c r="AI300" s="2285"/>
    </row>
    <row r="301" spans="1:35" ht="27.75" customHeight="1">
      <c r="A301" s="10306"/>
      <c r="B301" s="10272"/>
      <c r="C301" s="10256"/>
      <c r="D301" s="10238"/>
      <c r="E301" s="10238"/>
      <c r="F301" s="10238"/>
      <c r="G301" s="10238"/>
      <c r="H301" s="10238"/>
      <c r="I301" s="10238"/>
      <c r="J301" s="10238"/>
      <c r="K301" s="10238"/>
      <c r="L301" s="10238"/>
      <c r="M301" s="10235"/>
      <c r="N301" s="10235"/>
      <c r="O301" s="10235"/>
      <c r="P301" s="10238"/>
      <c r="Q301" s="10238"/>
      <c r="R301" s="10244"/>
      <c r="S301" s="2286"/>
      <c r="T301" s="2287"/>
      <c r="U301" s="2287"/>
      <c r="V301" s="2288"/>
      <c r="W301" s="2289"/>
      <c r="X301" s="2290"/>
      <c r="Y301" s="2291"/>
      <c r="Z301" s="2291"/>
      <c r="AA301" s="2291"/>
      <c r="AB301" s="2292"/>
      <c r="AC301" s="2293"/>
      <c r="AD301" s="2294"/>
      <c r="AE301" s="2290"/>
      <c r="AF301" s="2295"/>
      <c r="AG301" s="2295"/>
      <c r="AH301" s="10247"/>
      <c r="AI301" s="2285"/>
    </row>
    <row r="302" spans="1:35" ht="27.75" customHeight="1">
      <c r="A302" s="10306"/>
      <c r="B302" s="10272"/>
      <c r="C302" s="10256"/>
      <c r="D302" s="10238"/>
      <c r="E302" s="10238"/>
      <c r="F302" s="10238"/>
      <c r="G302" s="10238"/>
      <c r="H302" s="10238"/>
      <c r="I302" s="10238"/>
      <c r="J302" s="10238"/>
      <c r="K302" s="10238"/>
      <c r="L302" s="10238"/>
      <c r="M302" s="10235"/>
      <c r="N302" s="10235"/>
      <c r="O302" s="10235"/>
      <c r="P302" s="10238"/>
      <c r="Q302" s="10238"/>
      <c r="R302" s="10244"/>
      <c r="S302" s="2286"/>
      <c r="T302" s="2287"/>
      <c r="U302" s="2287"/>
      <c r="V302" s="2288"/>
      <c r="W302" s="2289"/>
      <c r="X302" s="2290"/>
      <c r="Y302" s="2291"/>
      <c r="Z302" s="2291"/>
      <c r="AA302" s="2291"/>
      <c r="AB302" s="2292"/>
      <c r="AC302" s="2293"/>
      <c r="AD302" s="2294"/>
      <c r="AE302" s="2290"/>
      <c r="AF302" s="2295"/>
      <c r="AG302" s="2295"/>
      <c r="AH302" s="10247"/>
      <c r="AI302" s="2285"/>
    </row>
    <row r="303" spans="1:35" ht="27.75" customHeight="1">
      <c r="A303" s="10306"/>
      <c r="B303" s="10272"/>
      <c r="C303" s="10256"/>
      <c r="D303" s="10238"/>
      <c r="E303" s="10238"/>
      <c r="F303" s="10238"/>
      <c r="G303" s="10238"/>
      <c r="H303" s="10238"/>
      <c r="I303" s="10238"/>
      <c r="J303" s="10238"/>
      <c r="K303" s="10238"/>
      <c r="L303" s="10238"/>
      <c r="M303" s="10235"/>
      <c r="N303" s="10235"/>
      <c r="O303" s="10235"/>
      <c r="P303" s="10238"/>
      <c r="Q303" s="10238"/>
      <c r="R303" s="10244"/>
      <c r="S303" s="2286"/>
      <c r="T303" s="2287"/>
      <c r="U303" s="2287"/>
      <c r="V303" s="2288"/>
      <c r="W303" s="2289"/>
      <c r="X303" s="2290"/>
      <c r="Y303" s="2291"/>
      <c r="Z303" s="2291"/>
      <c r="AA303" s="2291"/>
      <c r="AB303" s="2292"/>
      <c r="AC303" s="2293"/>
      <c r="AD303" s="2294"/>
      <c r="AE303" s="2290"/>
      <c r="AF303" s="2295"/>
      <c r="AG303" s="2295"/>
      <c r="AH303" s="10247"/>
      <c r="AI303" s="2285"/>
    </row>
    <row r="304" spans="1:35" ht="27.75" customHeight="1">
      <c r="A304" s="10306"/>
      <c r="B304" s="10272"/>
      <c r="C304" s="10257"/>
      <c r="D304" s="10239"/>
      <c r="E304" s="10239"/>
      <c r="F304" s="10239"/>
      <c r="G304" s="10239"/>
      <c r="H304" s="10239"/>
      <c r="I304" s="10239"/>
      <c r="J304" s="10239"/>
      <c r="K304" s="10239"/>
      <c r="L304" s="10239"/>
      <c r="M304" s="10236"/>
      <c r="N304" s="10236"/>
      <c r="O304" s="10236"/>
      <c r="P304" s="10239"/>
      <c r="Q304" s="10239"/>
      <c r="R304" s="10245"/>
      <c r="S304" s="2323"/>
      <c r="T304" s="2324"/>
      <c r="U304" s="2324"/>
      <c r="V304" s="2325"/>
      <c r="W304" s="2326"/>
      <c r="X304" s="2332"/>
      <c r="Y304" s="2393"/>
      <c r="Z304" s="2393"/>
      <c r="AA304" s="2393"/>
      <c r="AB304" s="2394"/>
      <c r="AC304" s="2395"/>
      <c r="AD304" s="2396"/>
      <c r="AE304" s="2332"/>
      <c r="AF304" s="2333"/>
      <c r="AG304" s="2333"/>
      <c r="AH304" s="10248"/>
      <c r="AI304" s="2285"/>
    </row>
    <row r="305" spans="1:35" ht="25.5" customHeight="1">
      <c r="A305" s="10306"/>
      <c r="B305" s="10272"/>
      <c r="C305" s="10255" t="s">
        <v>127</v>
      </c>
      <c r="D305" s="10242" t="s">
        <v>128</v>
      </c>
      <c r="E305" s="10242" t="s">
        <v>129</v>
      </c>
      <c r="F305" s="10242" t="s">
        <v>336</v>
      </c>
      <c r="G305" s="10258" t="s">
        <v>131</v>
      </c>
      <c r="H305" s="10242" t="s">
        <v>132</v>
      </c>
      <c r="I305" s="10242" t="s">
        <v>159</v>
      </c>
      <c r="J305" s="10242" t="s">
        <v>2950</v>
      </c>
      <c r="K305" s="10242" t="s">
        <v>2754</v>
      </c>
      <c r="L305" s="10242" t="s">
        <v>2755</v>
      </c>
      <c r="M305" s="10240">
        <v>1</v>
      </c>
      <c r="N305" s="10240">
        <v>1</v>
      </c>
      <c r="O305" s="10240">
        <v>1</v>
      </c>
      <c r="P305" s="10241" t="s">
        <v>2756</v>
      </c>
      <c r="Q305" s="10242" t="s">
        <v>2757</v>
      </c>
      <c r="R305" s="10243" t="s">
        <v>2895</v>
      </c>
      <c r="S305" s="2334"/>
      <c r="T305" s="2277"/>
      <c r="U305" s="2277"/>
      <c r="V305" s="2278"/>
      <c r="W305" s="6186"/>
      <c r="X305" s="2279"/>
      <c r="Y305" s="2280"/>
      <c r="Z305" s="2280"/>
      <c r="AA305" s="2280"/>
      <c r="AB305" s="2281"/>
      <c r="AC305" s="2282"/>
      <c r="AD305" s="2283"/>
      <c r="AE305" s="2279"/>
      <c r="AF305" s="2284"/>
      <c r="AG305" s="2284"/>
      <c r="AH305" s="10246"/>
      <c r="AI305" s="2285"/>
    </row>
    <row r="306" spans="1:35" ht="25.5" customHeight="1">
      <c r="A306" s="10306"/>
      <c r="B306" s="10272"/>
      <c r="C306" s="10256"/>
      <c r="D306" s="10238"/>
      <c r="E306" s="10238"/>
      <c r="F306" s="10238"/>
      <c r="G306" s="10238"/>
      <c r="H306" s="10238"/>
      <c r="I306" s="10238"/>
      <c r="J306" s="10238"/>
      <c r="K306" s="10238"/>
      <c r="L306" s="10238"/>
      <c r="M306" s="10235"/>
      <c r="N306" s="10235"/>
      <c r="O306" s="10235"/>
      <c r="P306" s="10238"/>
      <c r="Q306" s="10238"/>
      <c r="R306" s="10244"/>
      <c r="S306" s="2286"/>
      <c r="T306" s="2287"/>
      <c r="U306" s="2287"/>
      <c r="V306" s="2288"/>
      <c r="W306" s="2289"/>
      <c r="X306" s="2290"/>
      <c r="Y306" s="2291"/>
      <c r="Z306" s="2291"/>
      <c r="AA306" s="2291"/>
      <c r="AB306" s="2292"/>
      <c r="AC306" s="2293"/>
      <c r="AD306" s="2294"/>
      <c r="AE306" s="2290"/>
      <c r="AF306" s="2295"/>
      <c r="AG306" s="2295"/>
      <c r="AH306" s="10247"/>
      <c r="AI306" s="2285"/>
    </row>
    <row r="307" spans="1:35" ht="25.5" customHeight="1">
      <c r="A307" s="10306"/>
      <c r="B307" s="10272"/>
      <c r="C307" s="10256"/>
      <c r="D307" s="10238"/>
      <c r="E307" s="10238"/>
      <c r="F307" s="10238"/>
      <c r="G307" s="10238"/>
      <c r="H307" s="10238"/>
      <c r="I307" s="10238"/>
      <c r="J307" s="10238"/>
      <c r="K307" s="10238"/>
      <c r="L307" s="10238"/>
      <c r="M307" s="10235"/>
      <c r="N307" s="10235"/>
      <c r="O307" s="10235"/>
      <c r="P307" s="10238"/>
      <c r="Q307" s="10238"/>
      <c r="R307" s="10244"/>
      <c r="S307" s="2286"/>
      <c r="T307" s="2287"/>
      <c r="U307" s="2287"/>
      <c r="V307" s="2288"/>
      <c r="W307" s="2289"/>
      <c r="X307" s="2290"/>
      <c r="Y307" s="2291"/>
      <c r="Z307" s="2291"/>
      <c r="AA307" s="2291"/>
      <c r="AB307" s="2292"/>
      <c r="AC307" s="2293"/>
      <c r="AD307" s="2294"/>
      <c r="AE307" s="2290"/>
      <c r="AF307" s="2295"/>
      <c r="AG307" s="2295"/>
      <c r="AH307" s="10247"/>
      <c r="AI307" s="2285"/>
    </row>
    <row r="308" spans="1:35" ht="25.5" customHeight="1">
      <c r="A308" s="10306"/>
      <c r="B308" s="10272"/>
      <c r="C308" s="10256"/>
      <c r="D308" s="10238"/>
      <c r="E308" s="10238"/>
      <c r="F308" s="10238"/>
      <c r="G308" s="10238"/>
      <c r="H308" s="10238"/>
      <c r="I308" s="10238"/>
      <c r="J308" s="10238"/>
      <c r="K308" s="10238"/>
      <c r="L308" s="10238"/>
      <c r="M308" s="10235"/>
      <c r="N308" s="10235"/>
      <c r="O308" s="10235"/>
      <c r="P308" s="10238"/>
      <c r="Q308" s="10238"/>
      <c r="R308" s="10244"/>
      <c r="S308" s="2286"/>
      <c r="T308" s="2287"/>
      <c r="U308" s="2287"/>
      <c r="V308" s="2288"/>
      <c r="W308" s="2289"/>
      <c r="X308" s="2290"/>
      <c r="Y308" s="2291"/>
      <c r="Z308" s="2291"/>
      <c r="AA308" s="2291"/>
      <c r="AB308" s="2292"/>
      <c r="AC308" s="2293"/>
      <c r="AD308" s="2294"/>
      <c r="AE308" s="2290"/>
      <c r="AF308" s="2295"/>
      <c r="AG308" s="2295"/>
      <c r="AH308" s="10247"/>
      <c r="AI308" s="2285"/>
    </row>
    <row r="309" spans="1:35" ht="25.5" customHeight="1">
      <c r="A309" s="10306"/>
      <c r="B309" s="10272"/>
      <c r="C309" s="10257"/>
      <c r="D309" s="10239"/>
      <c r="E309" s="10239"/>
      <c r="F309" s="10239"/>
      <c r="G309" s="10239"/>
      <c r="H309" s="10239"/>
      <c r="I309" s="10239"/>
      <c r="J309" s="10239"/>
      <c r="K309" s="10239"/>
      <c r="L309" s="10239"/>
      <c r="M309" s="10236"/>
      <c r="N309" s="10236"/>
      <c r="O309" s="10236"/>
      <c r="P309" s="10239"/>
      <c r="Q309" s="10239"/>
      <c r="R309" s="10245"/>
      <c r="S309" s="2323"/>
      <c r="T309" s="2324"/>
      <c r="U309" s="2324"/>
      <c r="V309" s="2325"/>
      <c r="W309" s="2326"/>
      <c r="X309" s="2332"/>
      <c r="Y309" s="2393"/>
      <c r="Z309" s="2393"/>
      <c r="AA309" s="2393"/>
      <c r="AB309" s="2394"/>
      <c r="AC309" s="2395"/>
      <c r="AD309" s="2396"/>
      <c r="AE309" s="2332"/>
      <c r="AF309" s="2333"/>
      <c r="AG309" s="2333"/>
      <c r="AH309" s="10248"/>
      <c r="AI309" s="2285"/>
    </row>
    <row r="310" spans="1:35" ht="22.5" customHeight="1">
      <c r="A310" s="10306"/>
      <c r="B310" s="10273"/>
      <c r="C310" s="2397"/>
      <c r="D310" s="2397"/>
      <c r="E310" s="2397"/>
      <c r="F310" s="2397"/>
      <c r="G310" s="2397"/>
      <c r="H310" s="2397"/>
      <c r="I310" s="2397"/>
      <c r="J310" s="2397"/>
      <c r="K310" s="2397"/>
      <c r="L310" s="2397"/>
      <c r="M310" s="2397"/>
      <c r="N310" s="2397"/>
      <c r="O310" s="2397"/>
      <c r="P310" s="2397"/>
      <c r="Q310" s="2397"/>
      <c r="R310" s="2397"/>
      <c r="S310" s="10249" t="s">
        <v>2951</v>
      </c>
      <c r="T310" s="10250"/>
      <c r="U310" s="10250"/>
      <c r="V310" s="10250"/>
      <c r="W310" s="10250"/>
      <c r="X310" s="10250"/>
      <c r="Y310" s="10250"/>
      <c r="Z310" s="10250"/>
      <c r="AA310" s="5864" t="s">
        <v>292</v>
      </c>
      <c r="AB310" s="7236">
        <f>SUM(AB247:AB309)</f>
        <v>26491.39</v>
      </c>
      <c r="AC310" s="2491"/>
      <c r="AD310" s="2398"/>
      <c r="AE310" s="10251"/>
      <c r="AF310" s="10252"/>
      <c r="AG310" s="10252"/>
      <c r="AH310" s="10253"/>
      <c r="AI310" s="2399"/>
    </row>
    <row r="311" spans="1:35" ht="33" customHeight="1">
      <c r="A311" s="10307"/>
      <c r="B311" s="6231"/>
      <c r="C311" s="2492"/>
      <c r="D311" s="2492"/>
      <c r="E311" s="2492"/>
      <c r="F311" s="2492"/>
      <c r="G311" s="2492"/>
      <c r="H311" s="2492"/>
      <c r="I311" s="2492"/>
      <c r="J311" s="2492"/>
      <c r="K311" s="2492"/>
      <c r="L311" s="2492"/>
      <c r="M311" s="2492"/>
      <c r="N311" s="2492"/>
      <c r="O311" s="2492"/>
      <c r="P311" s="2492"/>
      <c r="Q311" s="2492"/>
      <c r="R311" s="2492"/>
      <c r="S311" s="6082" t="s">
        <v>2952</v>
      </c>
      <c r="T311" s="5865"/>
      <c r="U311" s="5865"/>
      <c r="V311" s="5865"/>
      <c r="W311" s="5865"/>
      <c r="X311" s="5865"/>
      <c r="Y311" s="5865"/>
      <c r="Z311" s="5865"/>
      <c r="AA311" s="5866" t="s">
        <v>292</v>
      </c>
      <c r="AB311" s="2493">
        <f>SUM(AB119,AB193,AB246,AB310)</f>
        <v>1616615.3922399997</v>
      </c>
      <c r="AC311" s="2494"/>
      <c r="AD311" s="2495"/>
      <c r="AE311" s="10226"/>
      <c r="AF311" s="10227"/>
      <c r="AG311" s="10227"/>
      <c r="AH311" s="10228"/>
      <c r="AI311" s="2496"/>
    </row>
    <row r="312" spans="1:35" ht="17.25" thickTop="1">
      <c r="A312" s="2497"/>
      <c r="B312" s="2498"/>
      <c r="C312" s="2499" t="s">
        <v>656</v>
      </c>
      <c r="D312" s="2570" t="s">
        <v>2953</v>
      </c>
      <c r="E312" s="2497"/>
      <c r="F312" s="2497"/>
      <c r="G312" s="2497"/>
      <c r="H312" s="2497"/>
      <c r="I312" s="2497"/>
      <c r="J312" s="2497"/>
      <c r="K312" s="2497"/>
      <c r="L312" s="2497"/>
      <c r="M312" s="2497"/>
      <c r="N312" s="2497"/>
      <c r="O312" s="2497"/>
      <c r="P312" s="2497"/>
      <c r="Q312" s="2497"/>
      <c r="R312" s="2497"/>
      <c r="S312" s="10229" t="s">
        <v>533</v>
      </c>
      <c r="T312" s="10217"/>
      <c r="U312" s="10217"/>
      <c r="V312" s="10217"/>
      <c r="W312" s="10217"/>
      <c r="X312" s="10217"/>
      <c r="Y312" s="10217"/>
      <c r="Z312" s="10217"/>
      <c r="AA312" s="10217"/>
      <c r="AB312" s="10217"/>
      <c r="AC312" s="10217"/>
      <c r="AD312" s="10217"/>
      <c r="AE312" s="10217"/>
      <c r="AF312" s="10217"/>
      <c r="AG312" s="10217"/>
      <c r="AH312" s="10217"/>
      <c r="AI312" s="2367"/>
    </row>
    <row r="313" spans="1:35" ht="16.5">
      <c r="A313" s="2497"/>
      <c r="B313" s="2498"/>
      <c r="C313" s="2499" t="s">
        <v>658</v>
      </c>
      <c r="D313" s="2571">
        <v>44817</v>
      </c>
      <c r="E313" s="2497"/>
      <c r="F313" s="2497"/>
      <c r="G313" s="2497"/>
      <c r="H313" s="2497"/>
      <c r="I313" s="2497"/>
      <c r="J313" s="2497"/>
      <c r="K313" s="2497"/>
      <c r="L313" s="2497"/>
      <c r="M313" s="2497"/>
      <c r="N313" s="2497"/>
      <c r="O313" s="2497"/>
      <c r="P313" s="2497"/>
      <c r="Q313" s="2497"/>
      <c r="R313" s="2497"/>
      <c r="S313" s="2500"/>
      <c r="AC313" s="2267"/>
      <c r="AD313" s="2267"/>
      <c r="AI313" s="2367"/>
    </row>
    <row r="314" spans="1:35" ht="16.5" customHeight="1">
      <c r="A314" s="2497"/>
      <c r="B314" s="2498"/>
      <c r="E314" s="2497"/>
      <c r="F314" s="2497"/>
      <c r="G314" s="2497"/>
      <c r="H314" s="2497"/>
      <c r="I314" s="2497"/>
      <c r="J314" s="2497"/>
      <c r="K314" s="2497"/>
      <c r="L314" s="2497"/>
      <c r="M314" s="2497"/>
      <c r="N314" s="2497"/>
      <c r="O314" s="2501"/>
      <c r="P314" s="2501"/>
      <c r="Q314" s="2501"/>
      <c r="R314" s="2501"/>
      <c r="S314" s="2497"/>
      <c r="T314" s="2497"/>
      <c r="U314" s="5940" t="s">
        <v>351</v>
      </c>
      <c r="V314" s="5941"/>
      <c r="W314" s="5941"/>
      <c r="X314" s="5941"/>
      <c r="Y314" s="5941"/>
      <c r="Z314" s="5941"/>
      <c r="AB314" s="2502"/>
      <c r="AC314" s="2503"/>
      <c r="AD314" s="10230"/>
      <c r="AE314" s="10217"/>
      <c r="AF314" s="2497"/>
      <c r="AG314" s="2504"/>
      <c r="AH314" s="2505"/>
    </row>
    <row r="315" spans="1:35" ht="17.25" thickBot="1">
      <c r="A315" s="2497"/>
      <c r="B315" s="2497"/>
      <c r="C315" s="2497"/>
      <c r="D315" s="2497"/>
      <c r="E315" s="2497"/>
      <c r="F315" s="2497"/>
      <c r="G315" s="2497"/>
      <c r="H315" s="2497"/>
      <c r="I315" s="2497"/>
      <c r="J315" s="2497"/>
      <c r="K315" s="2497"/>
      <c r="L315" s="2497"/>
      <c r="M315" s="2497"/>
      <c r="N315" s="2497"/>
      <c r="O315" s="2506"/>
      <c r="P315" s="2506"/>
      <c r="Q315" s="2506"/>
      <c r="R315" s="2506"/>
      <c r="S315" s="2507"/>
      <c r="U315" s="2508"/>
      <c r="V315" s="2508"/>
      <c r="W315" s="2509"/>
      <c r="X315" s="2510"/>
      <c r="Y315" s="2508"/>
      <c r="Z315" s="2508"/>
      <c r="AB315" s="2503"/>
      <c r="AD315" s="2501"/>
      <c r="AE315" s="2501"/>
      <c r="AF315" s="2497"/>
      <c r="AG315" s="2504"/>
      <c r="AH315" s="2505"/>
    </row>
    <row r="316" spans="1:35" ht="18" customHeight="1" thickTop="1">
      <c r="A316" s="2497"/>
      <c r="B316" s="2497"/>
      <c r="C316" s="2497"/>
      <c r="D316" s="2497"/>
      <c r="E316" s="2497"/>
      <c r="F316" s="2497"/>
      <c r="G316" s="2497"/>
      <c r="H316" s="2497"/>
      <c r="I316" s="2497"/>
      <c r="J316" s="2497"/>
      <c r="K316" s="2497"/>
      <c r="L316" s="2497"/>
      <c r="M316" s="2497"/>
      <c r="N316" s="2497"/>
      <c r="O316" s="2506"/>
      <c r="P316" s="2506"/>
      <c r="Q316" s="2506"/>
      <c r="R316" s="2506"/>
      <c r="S316" s="2511"/>
      <c r="U316" s="5889" t="s">
        <v>5</v>
      </c>
      <c r="V316" s="5890" t="s">
        <v>6</v>
      </c>
      <c r="W316" s="5891" t="s">
        <v>7</v>
      </c>
      <c r="X316" s="5892" t="s">
        <v>352</v>
      </c>
      <c r="Y316" s="5892" t="s">
        <v>9</v>
      </c>
      <c r="Z316" s="5893" t="s">
        <v>353</v>
      </c>
      <c r="AB316" s="2364"/>
      <c r="AC316" s="2573"/>
      <c r="AD316" s="2512"/>
      <c r="AE316" s="2512"/>
      <c r="AF316" s="2497"/>
      <c r="AG316" s="2504"/>
      <c r="AH316" s="2505"/>
    </row>
    <row r="317" spans="1:35" ht="33">
      <c r="A317" s="2497"/>
      <c r="B317" s="2497"/>
      <c r="C317" s="2497"/>
      <c r="D317" s="2497"/>
      <c r="E317" s="2497"/>
      <c r="F317" s="2497"/>
      <c r="G317" s="2497"/>
      <c r="H317" s="2497"/>
      <c r="I317" s="2497"/>
      <c r="J317" s="2497"/>
      <c r="K317" s="2497"/>
      <c r="L317" s="2497"/>
      <c r="M317" s="2497"/>
      <c r="N317" s="2497"/>
      <c r="O317" s="2513"/>
      <c r="P317" s="2514"/>
      <c r="Q317" s="2515"/>
      <c r="R317" s="2516"/>
      <c r="S317" s="2517"/>
      <c r="U317" s="2518" t="s">
        <v>15</v>
      </c>
      <c r="V317" s="2519" t="s">
        <v>2855</v>
      </c>
      <c r="W317" s="2520">
        <v>530243</v>
      </c>
      <c r="X317" s="2521" t="s">
        <v>17</v>
      </c>
      <c r="Y317" s="2522" t="s">
        <v>18</v>
      </c>
      <c r="Z317" s="3531">
        <f>+AB211</f>
        <v>52000.000000000007</v>
      </c>
      <c r="AB317" s="2364"/>
      <c r="AC317" s="2573"/>
      <c r="AD317" s="2523"/>
      <c r="AE317" s="2523"/>
      <c r="AF317" s="2497"/>
      <c r="AG317" s="2504"/>
      <c r="AH317" s="2505"/>
    </row>
    <row r="318" spans="1:35" ht="33">
      <c r="A318" s="2497"/>
      <c r="B318" s="2497"/>
      <c r="C318" s="2497"/>
      <c r="D318" s="2497"/>
      <c r="E318" s="2497"/>
      <c r="F318" s="2497"/>
      <c r="G318" s="2497"/>
      <c r="H318" s="2497"/>
      <c r="I318" s="2497"/>
      <c r="J318" s="2497"/>
      <c r="K318" s="2497"/>
      <c r="L318" s="2497"/>
      <c r="M318" s="2497"/>
      <c r="N318" s="2497"/>
      <c r="O318" s="2513"/>
      <c r="P318" s="2514"/>
      <c r="Q318" s="2525"/>
      <c r="R318" s="2516"/>
      <c r="S318" s="2526"/>
      <c r="U318" s="2518" t="s">
        <v>15</v>
      </c>
      <c r="V318" s="2519" t="s">
        <v>1360</v>
      </c>
      <c r="W318" s="2520">
        <v>530612</v>
      </c>
      <c r="X318" s="2521" t="s">
        <v>17</v>
      </c>
      <c r="Y318" s="2522" t="s">
        <v>25</v>
      </c>
      <c r="Z318" s="3531">
        <f>AB201+AB139</f>
        <v>9870</v>
      </c>
      <c r="AB318" s="2364"/>
      <c r="AD318" s="2524"/>
      <c r="AE318" s="2523"/>
      <c r="AF318" s="2497"/>
      <c r="AG318" s="2504"/>
      <c r="AH318" s="2505"/>
    </row>
    <row r="319" spans="1:35" ht="33">
      <c r="A319" s="2497"/>
      <c r="B319" s="2497"/>
      <c r="C319" s="2497"/>
      <c r="D319" s="2497"/>
      <c r="E319" s="2497"/>
      <c r="F319" s="2497"/>
      <c r="G319" s="2497"/>
      <c r="H319" s="2497"/>
      <c r="I319" s="2497"/>
      <c r="J319" s="2497"/>
      <c r="K319" s="2497"/>
      <c r="L319" s="2497"/>
      <c r="M319" s="2497"/>
      <c r="N319" s="2497"/>
      <c r="O319" s="2513"/>
      <c r="P319" s="2514"/>
      <c r="Q319" s="2515"/>
      <c r="R319" s="2511"/>
      <c r="S319" s="2517"/>
      <c r="U319" s="2518" t="s">
        <v>15</v>
      </c>
      <c r="V319" s="2519" t="s">
        <v>1171</v>
      </c>
      <c r="W319" s="2520">
        <v>530804</v>
      </c>
      <c r="X319" s="2521" t="s">
        <v>17</v>
      </c>
      <c r="Y319" s="2522" t="s">
        <v>25</v>
      </c>
      <c r="Z319" s="3531">
        <f>AB69</f>
        <v>21.12</v>
      </c>
      <c r="AA319" s="2527"/>
      <c r="AB319" s="2364"/>
      <c r="AD319" s="2524"/>
      <c r="AE319" s="2523"/>
      <c r="AF319" s="2497"/>
      <c r="AG319" s="2504"/>
      <c r="AH319" s="2505"/>
    </row>
    <row r="320" spans="1:35" ht="66">
      <c r="A320" s="2497"/>
      <c r="B320" s="2497"/>
      <c r="C320" s="2497"/>
      <c r="D320" s="2497"/>
      <c r="E320" s="2497"/>
      <c r="F320" s="2497"/>
      <c r="G320" s="2497"/>
      <c r="H320" s="2497"/>
      <c r="I320" s="2497"/>
      <c r="J320" s="2497"/>
      <c r="K320" s="2497"/>
      <c r="L320" s="2497"/>
      <c r="M320" s="2497"/>
      <c r="N320" s="2497"/>
      <c r="O320" s="2513"/>
      <c r="P320" s="2514"/>
      <c r="Q320" s="2515"/>
      <c r="R320" s="2511"/>
      <c r="S320" s="2517"/>
      <c r="U320" s="2518" t="s">
        <v>15</v>
      </c>
      <c r="V320" s="2519" t="s">
        <v>2234</v>
      </c>
      <c r="W320" s="2520">
        <v>530811</v>
      </c>
      <c r="X320" s="2521" t="s">
        <v>17</v>
      </c>
      <c r="Y320" s="2522" t="s">
        <v>25</v>
      </c>
      <c r="Z320" s="3531">
        <f>AB216</f>
        <v>599.99520000000007</v>
      </c>
      <c r="AB320" s="2364"/>
      <c r="AD320" s="2524"/>
      <c r="AE320" s="2523"/>
      <c r="AF320" s="2497"/>
      <c r="AG320" s="2504"/>
      <c r="AH320" s="2505"/>
    </row>
    <row r="321" spans="1:34" ht="66">
      <c r="A321" s="2497"/>
      <c r="B321" s="2497"/>
      <c r="C321" s="2497"/>
      <c r="D321" s="2497"/>
      <c r="E321" s="2497"/>
      <c r="F321" s="2497"/>
      <c r="G321" s="2497"/>
      <c r="H321" s="2497"/>
      <c r="I321" s="2497"/>
      <c r="J321" s="2497"/>
      <c r="K321" s="2497"/>
      <c r="L321" s="2497"/>
      <c r="M321" s="2497"/>
      <c r="N321" s="2497"/>
      <c r="O321" s="2513"/>
      <c r="P321" s="2514"/>
      <c r="Q321" s="2515"/>
      <c r="R321" s="2511"/>
      <c r="S321" s="2517"/>
      <c r="U321" s="2518" t="s">
        <v>15</v>
      </c>
      <c r="V321" s="2519" t="s">
        <v>2234</v>
      </c>
      <c r="W321" s="2520">
        <v>530811</v>
      </c>
      <c r="X321" s="2521" t="s">
        <v>17</v>
      </c>
      <c r="Y321" s="2522" t="s">
        <v>18</v>
      </c>
      <c r="Z321" s="3531">
        <f>+AB214</f>
        <v>1120</v>
      </c>
      <c r="AB321" s="2364"/>
      <c r="AD321" s="2524"/>
      <c r="AE321" s="2523"/>
      <c r="AF321" s="2497"/>
      <c r="AG321" s="2504"/>
      <c r="AH321" s="2505"/>
    </row>
    <row r="322" spans="1:34" ht="33">
      <c r="A322" s="2497"/>
      <c r="B322" s="2497"/>
      <c r="C322" s="2497"/>
      <c r="D322" s="2497"/>
      <c r="E322" s="2497"/>
      <c r="F322" s="2497"/>
      <c r="G322" s="2497"/>
      <c r="H322" s="2497"/>
      <c r="I322" s="2497"/>
      <c r="J322" s="2497"/>
      <c r="K322" s="2497"/>
      <c r="L322" s="2497"/>
      <c r="M322" s="2497"/>
      <c r="N322" s="2497"/>
      <c r="O322" s="2513"/>
      <c r="P322" s="2514"/>
      <c r="Q322" s="2525"/>
      <c r="R322" s="2516"/>
      <c r="S322" s="2526"/>
      <c r="U322" s="2518" t="s">
        <v>15</v>
      </c>
      <c r="V322" s="2519" t="s">
        <v>2694</v>
      </c>
      <c r="W322" s="2520">
        <v>530813</v>
      </c>
      <c r="X322" s="2521" t="s">
        <v>17</v>
      </c>
      <c r="Y322" s="2522" t="s">
        <v>25</v>
      </c>
      <c r="Z322" s="3531">
        <f>+AB53+AB218</f>
        <v>6249.77</v>
      </c>
      <c r="AB322" s="2364"/>
      <c r="AD322" s="2524"/>
      <c r="AE322" s="2523"/>
      <c r="AF322" s="2497"/>
      <c r="AG322" s="2504"/>
      <c r="AH322" s="2505"/>
    </row>
    <row r="323" spans="1:34" ht="33">
      <c r="A323" s="2497"/>
      <c r="B323" s="2497"/>
      <c r="C323" s="2497"/>
      <c r="D323" s="2497"/>
      <c r="E323" s="2497"/>
      <c r="F323" s="2497"/>
      <c r="G323" s="2497"/>
      <c r="H323" s="2497"/>
      <c r="I323" s="2497"/>
      <c r="J323" s="2497"/>
      <c r="K323" s="2497"/>
      <c r="L323" s="2497"/>
      <c r="M323" s="2497"/>
      <c r="N323" s="2497"/>
      <c r="O323" s="2513"/>
      <c r="P323" s="2514"/>
      <c r="Q323" s="2515"/>
      <c r="R323" s="2511"/>
      <c r="S323" s="2517"/>
      <c r="U323" s="2518" t="s">
        <v>15</v>
      </c>
      <c r="V323" s="2519" t="s">
        <v>40</v>
      </c>
      <c r="W323" s="2520">
        <v>531407</v>
      </c>
      <c r="X323" s="2521" t="s">
        <v>17</v>
      </c>
      <c r="Y323" s="2522" t="s">
        <v>18</v>
      </c>
      <c r="Z323" s="3531">
        <f>AB209+AB222</f>
        <v>470.4004000000001</v>
      </c>
      <c r="AB323" s="2364"/>
      <c r="AD323" s="2524"/>
      <c r="AE323" s="2523"/>
      <c r="AF323" s="2497"/>
      <c r="AG323" s="2504"/>
      <c r="AH323" s="2505"/>
    </row>
    <row r="324" spans="1:34" ht="33">
      <c r="A324" s="2497"/>
      <c r="B324" s="2497"/>
      <c r="C324" s="2497"/>
      <c r="D324" s="2497"/>
      <c r="E324" s="2497"/>
      <c r="F324" s="2497"/>
      <c r="G324" s="2497"/>
      <c r="H324" s="2497"/>
      <c r="I324" s="2497"/>
      <c r="J324" s="2497"/>
      <c r="K324" s="2497"/>
      <c r="L324" s="2497"/>
      <c r="M324" s="2497"/>
      <c r="N324" s="2497"/>
      <c r="O324" s="2506"/>
      <c r="P324" s="2506"/>
      <c r="Q324" s="2506"/>
      <c r="R324" s="2506"/>
      <c r="S324" s="2511"/>
      <c r="U324" s="2518" t="s">
        <v>15</v>
      </c>
      <c r="V324" s="2519" t="s">
        <v>671</v>
      </c>
      <c r="W324" s="2520">
        <v>840103</v>
      </c>
      <c r="X324" s="2521" t="s">
        <v>17</v>
      </c>
      <c r="Y324" s="2522" t="s">
        <v>18</v>
      </c>
      <c r="Z324" s="3531">
        <f>+AB14</f>
        <v>1425.27</v>
      </c>
      <c r="AD324" s="2512"/>
      <c r="AE324" s="2512"/>
      <c r="AF324" s="2497"/>
      <c r="AG324" s="2504"/>
      <c r="AH324" s="2505"/>
    </row>
    <row r="325" spans="1:34" ht="33">
      <c r="A325" s="2497"/>
      <c r="B325" s="2497"/>
      <c r="C325" s="2497"/>
      <c r="D325" s="2497"/>
      <c r="E325" s="2497"/>
      <c r="F325" s="2497"/>
      <c r="G325" s="2497"/>
      <c r="H325" s="2497"/>
      <c r="I325" s="2497"/>
      <c r="J325" s="2497"/>
      <c r="K325" s="2497"/>
      <c r="L325" s="2497"/>
      <c r="M325" s="2497"/>
      <c r="N325" s="2497"/>
      <c r="O325" s="2513"/>
      <c r="P325" s="2514"/>
      <c r="Q325" s="2515"/>
      <c r="R325" s="2511"/>
      <c r="S325" s="2517"/>
      <c r="U325" s="2518" t="s">
        <v>15</v>
      </c>
      <c r="V325" s="2519" t="s">
        <v>39</v>
      </c>
      <c r="W325" s="2520">
        <v>840104</v>
      </c>
      <c r="X325" s="2521" t="s">
        <v>17</v>
      </c>
      <c r="Y325" s="2522" t="s">
        <v>26</v>
      </c>
      <c r="Z325" s="3531">
        <f>AB91</f>
        <v>2625</v>
      </c>
      <c r="AB325" s="2364"/>
      <c r="AD325" s="2524"/>
      <c r="AE325" s="2523"/>
      <c r="AF325" s="2497"/>
      <c r="AG325" s="2504"/>
      <c r="AH325" s="2505"/>
    </row>
    <row r="326" spans="1:34" ht="33">
      <c r="A326" s="2497"/>
      <c r="B326" s="2497"/>
      <c r="C326" s="2497"/>
      <c r="D326" s="2497"/>
      <c r="E326" s="2497"/>
      <c r="F326" s="2497"/>
      <c r="G326" s="2497"/>
      <c r="H326" s="2497"/>
      <c r="I326" s="2497"/>
      <c r="J326" s="2497"/>
      <c r="K326" s="2497"/>
      <c r="L326" s="2497"/>
      <c r="M326" s="2497"/>
      <c r="N326" s="2497"/>
      <c r="O326" s="2513"/>
      <c r="P326" s="2514"/>
      <c r="Q326" s="2525"/>
      <c r="R326" s="2516"/>
      <c r="S326" s="2526"/>
      <c r="U326" s="2518" t="s">
        <v>15</v>
      </c>
      <c r="V326" s="2519" t="s">
        <v>39</v>
      </c>
      <c r="W326" s="2520">
        <v>840104</v>
      </c>
      <c r="X326" s="2521" t="s">
        <v>17</v>
      </c>
      <c r="Y326" s="2522" t="s">
        <v>18</v>
      </c>
      <c r="Z326" s="3531">
        <f>+AB207</f>
        <v>53704.13440000001</v>
      </c>
      <c r="AB326" s="2364"/>
      <c r="AD326" s="2524"/>
      <c r="AE326" s="2523"/>
      <c r="AF326" s="2497"/>
      <c r="AG326" s="2504"/>
      <c r="AH326" s="2505"/>
    </row>
    <row r="327" spans="1:34" ht="33">
      <c r="A327" s="2497"/>
      <c r="B327" s="2497"/>
      <c r="C327" s="2497"/>
      <c r="D327" s="2497"/>
      <c r="E327" s="2497"/>
      <c r="F327" s="2497"/>
      <c r="G327" s="2497"/>
      <c r="H327" s="2497"/>
      <c r="I327" s="2497"/>
      <c r="J327" s="2497"/>
      <c r="K327" s="2497"/>
      <c r="L327" s="2497"/>
      <c r="M327" s="2497"/>
      <c r="N327" s="2497"/>
      <c r="O327" s="2513"/>
      <c r="P327" s="2514"/>
      <c r="Q327" s="2525"/>
      <c r="R327" s="2516"/>
      <c r="S327" s="2526"/>
      <c r="U327" s="2518" t="s">
        <v>15</v>
      </c>
      <c r="V327" s="2519" t="s">
        <v>40</v>
      </c>
      <c r="W327" s="2520">
        <v>840107</v>
      </c>
      <c r="X327" s="2521" t="s">
        <v>17</v>
      </c>
      <c r="Y327" s="2522" t="s">
        <v>18</v>
      </c>
      <c r="Z327" s="7949">
        <f>AB260</f>
        <v>10313.89</v>
      </c>
      <c r="AB327" s="2364"/>
      <c r="AD327" s="2524"/>
      <c r="AE327" s="2523"/>
      <c r="AF327" s="2497"/>
      <c r="AG327" s="2504"/>
      <c r="AH327" s="2505"/>
    </row>
    <row r="328" spans="1:34" ht="33">
      <c r="A328" s="2497"/>
      <c r="B328" s="2497"/>
      <c r="C328" s="2497"/>
      <c r="D328" s="2497"/>
      <c r="E328" s="2497"/>
      <c r="F328" s="2497"/>
      <c r="G328" s="2497"/>
      <c r="H328" s="2497"/>
      <c r="I328" s="2497"/>
      <c r="J328" s="2497"/>
      <c r="K328" s="2497"/>
      <c r="L328" s="2497"/>
      <c r="M328" s="2497"/>
      <c r="N328" s="2497"/>
      <c r="O328" s="2513"/>
      <c r="P328" s="2514"/>
      <c r="Q328" s="2515"/>
      <c r="R328" s="2511"/>
      <c r="S328" s="2517"/>
      <c r="U328" s="2518" t="s">
        <v>79</v>
      </c>
      <c r="V328" s="2519" t="s">
        <v>148</v>
      </c>
      <c r="W328" s="2520">
        <v>530704</v>
      </c>
      <c r="X328" s="2521" t="s">
        <v>17</v>
      </c>
      <c r="Y328" s="2522" t="s">
        <v>25</v>
      </c>
      <c r="Z328" s="3531">
        <f>AB252+AB194</f>
        <v>10957.1008</v>
      </c>
      <c r="AA328" s="2527"/>
      <c r="AB328" s="2364"/>
      <c r="AD328" s="2524"/>
      <c r="AE328" s="2523"/>
      <c r="AF328" s="2497"/>
      <c r="AG328" s="2504"/>
      <c r="AH328" s="2505"/>
    </row>
    <row r="329" spans="1:34" ht="33">
      <c r="A329" s="2497"/>
      <c r="B329" s="2497"/>
      <c r="C329" s="2497"/>
      <c r="D329" s="2497"/>
      <c r="E329" s="2497"/>
      <c r="F329" s="2497"/>
      <c r="G329" s="2497"/>
      <c r="H329" s="2497"/>
      <c r="I329" s="2497"/>
      <c r="J329" s="2497"/>
      <c r="K329" s="2497"/>
      <c r="L329" s="2497"/>
      <c r="M329" s="2497"/>
      <c r="N329" s="2497"/>
      <c r="O329" s="2513"/>
      <c r="P329" s="2514"/>
      <c r="Q329" s="2525"/>
      <c r="R329" s="2516"/>
      <c r="S329" s="2526"/>
      <c r="U329" s="2518" t="s">
        <v>79</v>
      </c>
      <c r="V329" s="2519" t="s">
        <v>39</v>
      </c>
      <c r="W329" s="2520">
        <v>840104</v>
      </c>
      <c r="X329" s="2521" t="s">
        <v>17</v>
      </c>
      <c r="Y329" s="2522" t="s">
        <v>18</v>
      </c>
      <c r="Z329" s="3531">
        <f>AB198</f>
        <v>0</v>
      </c>
      <c r="AB329" s="2364"/>
      <c r="AD329" s="2524"/>
      <c r="AE329" s="2523"/>
      <c r="AF329" s="2497"/>
      <c r="AG329" s="2504"/>
      <c r="AH329" s="2505"/>
    </row>
    <row r="330" spans="1:34" ht="33">
      <c r="A330" s="2497"/>
      <c r="B330" s="2497"/>
      <c r="C330" s="2497"/>
      <c r="D330" s="2497"/>
      <c r="E330" s="2497"/>
      <c r="F330" s="2497"/>
      <c r="G330" s="2497"/>
      <c r="H330" s="2497"/>
      <c r="I330" s="2497"/>
      <c r="J330" s="2497"/>
      <c r="K330" s="2497"/>
      <c r="L330" s="2497"/>
      <c r="M330" s="2497"/>
      <c r="N330" s="2497"/>
      <c r="O330" s="2513"/>
      <c r="P330" s="2528"/>
      <c r="Q330" s="2525"/>
      <c r="R330" s="2516"/>
      <c r="S330" s="2526"/>
      <c r="U330" s="2529" t="s">
        <v>80</v>
      </c>
      <c r="V330" s="2519" t="s">
        <v>881</v>
      </c>
      <c r="W330" s="2520">
        <v>530105</v>
      </c>
      <c r="X330" s="2521" t="s">
        <v>17</v>
      </c>
      <c r="Y330" s="2522" t="s">
        <v>25</v>
      </c>
      <c r="Z330" s="3531">
        <f>+AB104+AB106</f>
        <v>283018.39079999994</v>
      </c>
      <c r="AA330" s="2533"/>
      <c r="AB330" s="2364"/>
      <c r="AD330" s="2524"/>
      <c r="AE330" s="2523"/>
      <c r="AF330" s="2497"/>
      <c r="AG330" s="2504"/>
      <c r="AH330" s="2505"/>
    </row>
    <row r="331" spans="1:34" ht="33">
      <c r="A331" s="2497"/>
      <c r="B331" s="2497"/>
      <c r="C331" s="2497"/>
      <c r="D331" s="2497"/>
      <c r="E331" s="2497"/>
      <c r="F331" s="2497"/>
      <c r="G331" s="2497"/>
      <c r="H331" s="2497"/>
      <c r="I331" s="2497"/>
      <c r="J331" s="2497"/>
      <c r="K331" s="2497"/>
      <c r="L331" s="2497"/>
      <c r="M331" s="2497"/>
      <c r="N331" s="2497"/>
      <c r="O331" s="2513"/>
      <c r="P331" s="2514"/>
      <c r="Q331" s="2515"/>
      <c r="R331" s="2516"/>
      <c r="S331" s="2517"/>
      <c r="U331" s="2529" t="s">
        <v>80</v>
      </c>
      <c r="V331" s="2519" t="s">
        <v>2855</v>
      </c>
      <c r="W331" s="2520">
        <v>530243</v>
      </c>
      <c r="X331" s="2521" t="s">
        <v>17</v>
      </c>
      <c r="Y331" s="2522" t="s">
        <v>25</v>
      </c>
      <c r="Z331" s="3531">
        <f>+AB49</f>
        <v>25066.04</v>
      </c>
      <c r="AB331" s="2364"/>
      <c r="AD331" s="2524"/>
      <c r="AE331" s="2523"/>
      <c r="AF331" s="2497"/>
      <c r="AG331" s="2504"/>
      <c r="AH331" s="2505"/>
    </row>
    <row r="332" spans="1:34" ht="33">
      <c r="A332" s="2497"/>
      <c r="B332" s="2497"/>
      <c r="C332" s="2497"/>
      <c r="D332" s="2497"/>
      <c r="E332" s="2497"/>
      <c r="F332" s="2497"/>
      <c r="G332" s="2497"/>
      <c r="H332" s="2497"/>
      <c r="I332" s="2497"/>
      <c r="J332" s="2497"/>
      <c r="K332" s="2497"/>
      <c r="L332" s="2497"/>
      <c r="M332" s="2497"/>
      <c r="N332" s="2497"/>
      <c r="O332" s="2513"/>
      <c r="P332" s="2514"/>
      <c r="Q332" s="2515"/>
      <c r="R332" s="2516"/>
      <c r="S332" s="2517"/>
      <c r="U332" s="2529" t="s">
        <v>80</v>
      </c>
      <c r="V332" s="2519" t="s">
        <v>2855</v>
      </c>
      <c r="W332" s="2520">
        <v>530243</v>
      </c>
      <c r="X332" s="2521" t="s">
        <v>17</v>
      </c>
      <c r="Y332" s="2522" t="s">
        <v>763</v>
      </c>
      <c r="Z332" s="3531">
        <f>+AB51</f>
        <v>25066.04</v>
      </c>
      <c r="AB332" s="2364"/>
      <c r="AD332" s="2524"/>
      <c r="AE332" s="2523"/>
      <c r="AF332" s="2497"/>
      <c r="AG332" s="2504"/>
      <c r="AH332" s="2505"/>
    </row>
    <row r="333" spans="1:34" ht="33">
      <c r="A333" s="2497"/>
      <c r="B333" s="2497"/>
      <c r="C333" s="2497"/>
      <c r="D333" s="2497"/>
      <c r="E333" s="2497"/>
      <c r="F333" s="2497"/>
      <c r="G333" s="2497"/>
      <c r="H333" s="2497"/>
      <c r="I333" s="2497"/>
      <c r="J333" s="2497"/>
      <c r="K333" s="2497"/>
      <c r="L333" s="2497"/>
      <c r="M333" s="2497"/>
      <c r="N333" s="2497"/>
      <c r="O333" s="2513"/>
      <c r="P333" s="2514"/>
      <c r="Q333" s="2515"/>
      <c r="R333" s="2516"/>
      <c r="S333" s="2517"/>
      <c r="U333" s="2529" t="s">
        <v>80</v>
      </c>
      <c r="V333" s="2519" t="s">
        <v>33</v>
      </c>
      <c r="W333" s="2520">
        <v>530702</v>
      </c>
      <c r="X333" s="2521" t="s">
        <v>17</v>
      </c>
      <c r="Y333" s="2522" t="s">
        <v>25</v>
      </c>
      <c r="Z333" s="3531">
        <f>AB62+AB258</f>
        <v>2647.02</v>
      </c>
      <c r="AB333" s="2364"/>
      <c r="AD333" s="2524"/>
      <c r="AE333" s="2523"/>
      <c r="AF333" s="2497"/>
      <c r="AG333" s="2504"/>
      <c r="AH333" s="2505"/>
    </row>
    <row r="334" spans="1:34" ht="33">
      <c r="A334" s="2497"/>
      <c r="B334" s="2497"/>
      <c r="C334" s="2497"/>
      <c r="D334" s="2497"/>
      <c r="E334" s="2497"/>
      <c r="F334" s="2497"/>
      <c r="G334" s="2497"/>
      <c r="H334" s="2497"/>
      <c r="I334" s="2497"/>
      <c r="J334" s="2497"/>
      <c r="K334" s="2497"/>
      <c r="L334" s="2497"/>
      <c r="M334" s="2497"/>
      <c r="N334" s="2497"/>
      <c r="O334" s="2513"/>
      <c r="P334" s="2528"/>
      <c r="Q334" s="2515"/>
      <c r="R334" s="2530"/>
      <c r="S334" s="2531"/>
      <c r="U334" s="2529" t="s">
        <v>80</v>
      </c>
      <c r="V334" s="2519" t="s">
        <v>33</v>
      </c>
      <c r="W334" s="2520">
        <v>530702</v>
      </c>
      <c r="X334" s="2521" t="s">
        <v>17</v>
      </c>
      <c r="Y334" s="2522" t="s">
        <v>26</v>
      </c>
      <c r="Z334" s="3531">
        <f>+AB135+AB255+AB227</f>
        <v>30472.6</v>
      </c>
      <c r="AB334" s="2364"/>
      <c r="AD334" s="2524"/>
      <c r="AE334" s="2523"/>
      <c r="AF334" s="2497"/>
      <c r="AG334" s="2504"/>
      <c r="AH334" s="2505"/>
    </row>
    <row r="335" spans="1:34" ht="33">
      <c r="A335" s="2497"/>
      <c r="B335" s="2497"/>
      <c r="C335" s="2497"/>
      <c r="D335" s="2497"/>
      <c r="E335" s="2497"/>
      <c r="F335" s="2497"/>
      <c r="G335" s="2497"/>
      <c r="H335" s="2497"/>
      <c r="I335" s="2497"/>
      <c r="J335" s="2497"/>
      <c r="K335" s="2497"/>
      <c r="L335" s="2497"/>
      <c r="M335" s="2497"/>
      <c r="N335" s="2497"/>
      <c r="O335" s="2513"/>
      <c r="P335" s="2514"/>
      <c r="Q335" s="2525"/>
      <c r="R335" s="2516"/>
      <c r="S335" s="2526"/>
      <c r="U335" s="2529" t="s">
        <v>80</v>
      </c>
      <c r="V335" s="2519" t="s">
        <v>40</v>
      </c>
      <c r="W335" s="2520">
        <v>531407</v>
      </c>
      <c r="X335" s="2521" t="s">
        <v>17</v>
      </c>
      <c r="Y335" s="2522" t="s">
        <v>25</v>
      </c>
      <c r="Z335" s="3531">
        <f>AB64</f>
        <v>714.24</v>
      </c>
      <c r="AB335" s="2364"/>
      <c r="AD335" s="2524"/>
      <c r="AE335" s="2523"/>
      <c r="AF335" s="2497"/>
      <c r="AG335" s="2504"/>
      <c r="AH335" s="2505"/>
    </row>
    <row r="336" spans="1:34" ht="33">
      <c r="A336" s="2497"/>
      <c r="B336" s="2497"/>
      <c r="C336" s="2497"/>
      <c r="D336" s="2497"/>
      <c r="E336" s="2497"/>
      <c r="F336" s="2497"/>
      <c r="G336" s="2497"/>
      <c r="H336" s="2497"/>
      <c r="I336" s="2497"/>
      <c r="J336" s="2497"/>
      <c r="K336" s="2497"/>
      <c r="L336" s="2497"/>
      <c r="M336" s="2497"/>
      <c r="N336" s="2497"/>
      <c r="O336" s="2513"/>
      <c r="P336" s="2514"/>
      <c r="Q336" s="2525"/>
      <c r="R336" s="2516"/>
      <c r="S336" s="2526"/>
      <c r="U336" s="2529" t="s">
        <v>80</v>
      </c>
      <c r="V336" s="2519" t="s">
        <v>40</v>
      </c>
      <c r="W336" s="2520">
        <v>531407</v>
      </c>
      <c r="X336" s="2521" t="s">
        <v>17</v>
      </c>
      <c r="Y336" s="2522" t="s">
        <v>26</v>
      </c>
      <c r="Z336" s="3531">
        <f>+AB89</f>
        <v>1662.5</v>
      </c>
      <c r="AB336" s="2364"/>
      <c r="AD336" s="2524"/>
      <c r="AE336" s="2523"/>
      <c r="AF336" s="2497"/>
      <c r="AG336" s="2504"/>
      <c r="AH336" s="2505"/>
    </row>
    <row r="337" spans="1:34" ht="33">
      <c r="A337" s="2497"/>
      <c r="B337" s="2497"/>
      <c r="C337" s="2497"/>
      <c r="D337" s="2497"/>
      <c r="E337" s="2497"/>
      <c r="F337" s="2497"/>
      <c r="G337" s="2497"/>
      <c r="H337" s="2497"/>
      <c r="I337" s="2497"/>
      <c r="J337" s="2497"/>
      <c r="K337" s="2497"/>
      <c r="L337" s="2497"/>
      <c r="M337" s="2497"/>
      <c r="N337" s="2497"/>
      <c r="O337" s="2513"/>
      <c r="P337" s="2528"/>
      <c r="Q337" s="2515"/>
      <c r="R337" s="2511"/>
      <c r="S337" s="2526"/>
      <c r="U337" s="2529" t="s">
        <v>80</v>
      </c>
      <c r="V337" s="2803" t="s">
        <v>2703</v>
      </c>
      <c r="W337" s="2520" t="s">
        <v>2702</v>
      </c>
      <c r="X337" s="2521" t="s">
        <v>17</v>
      </c>
      <c r="Y337" s="2522" t="s">
        <v>673</v>
      </c>
      <c r="Z337" s="3531">
        <f>+AB56+AB102</f>
        <v>547122.17400000012</v>
      </c>
      <c r="AA337" s="3141"/>
      <c r="AB337" s="2364"/>
      <c r="AD337" s="2524"/>
      <c r="AE337" s="2523"/>
      <c r="AF337" s="2497"/>
      <c r="AG337" s="2504"/>
      <c r="AH337" s="2505"/>
    </row>
    <row r="338" spans="1:34" ht="33">
      <c r="A338" s="2497"/>
      <c r="B338" s="2497"/>
      <c r="C338" s="2497"/>
      <c r="D338" s="2497"/>
      <c r="E338" s="2497"/>
      <c r="F338" s="2497"/>
      <c r="G338" s="2497"/>
      <c r="H338" s="2497"/>
      <c r="I338" s="2497"/>
      <c r="J338" s="2497"/>
      <c r="K338" s="2497"/>
      <c r="L338" s="2497"/>
      <c r="M338" s="2497"/>
      <c r="N338" s="2497"/>
      <c r="O338" s="2513"/>
      <c r="P338" s="2514"/>
      <c r="Q338" s="2525"/>
      <c r="R338" s="2516"/>
      <c r="S338" s="2526"/>
      <c r="U338" s="2529" t="s">
        <v>80</v>
      </c>
      <c r="V338" s="2519" t="s">
        <v>39</v>
      </c>
      <c r="W338" s="2520">
        <v>840104</v>
      </c>
      <c r="X338" s="2521" t="s">
        <v>17</v>
      </c>
      <c r="Y338" s="2522" t="s">
        <v>25</v>
      </c>
      <c r="Z338" s="3531">
        <f>AB98+AB203</f>
        <v>14192.2528</v>
      </c>
      <c r="AB338" s="2364"/>
      <c r="AD338" s="2524"/>
      <c r="AE338" s="2523"/>
      <c r="AF338" s="2497"/>
      <c r="AG338" s="2504"/>
      <c r="AH338" s="2505"/>
    </row>
    <row r="339" spans="1:34" ht="33">
      <c r="A339" s="2497"/>
      <c r="B339" s="2497"/>
      <c r="C339" s="2497"/>
      <c r="D339" s="2497"/>
      <c r="E339" s="2497"/>
      <c r="F339" s="2497"/>
      <c r="G339" s="2497"/>
      <c r="H339" s="2497"/>
      <c r="I339" s="2497"/>
      <c r="J339" s="2497"/>
      <c r="K339" s="2497"/>
      <c r="L339" s="2497"/>
      <c r="M339" s="2497"/>
      <c r="N339" s="2497"/>
      <c r="O339" s="2513"/>
      <c r="P339" s="2514"/>
      <c r="Q339" s="2525"/>
      <c r="R339" s="2516"/>
      <c r="S339" s="2526"/>
      <c r="U339" s="2529" t="s">
        <v>80</v>
      </c>
      <c r="V339" s="2519" t="s">
        <v>39</v>
      </c>
      <c r="W339" s="2520">
        <v>840104</v>
      </c>
      <c r="X339" s="2521" t="s">
        <v>17</v>
      </c>
      <c r="Y339" s="2522" t="s">
        <v>26</v>
      </c>
      <c r="Z339" s="3531">
        <f>AB96</f>
        <v>9325.25</v>
      </c>
      <c r="AB339" s="2364"/>
      <c r="AD339" s="2524"/>
      <c r="AE339" s="2523"/>
      <c r="AF339" s="2497"/>
      <c r="AG339" s="2504"/>
      <c r="AH339" s="2505"/>
    </row>
    <row r="340" spans="1:34" ht="33">
      <c r="A340" s="2497"/>
      <c r="B340" s="2497"/>
      <c r="C340" s="2497"/>
      <c r="D340" s="2497"/>
      <c r="E340" s="2497"/>
      <c r="F340" s="2497"/>
      <c r="G340" s="2497"/>
      <c r="H340" s="2497"/>
      <c r="I340" s="2497"/>
      <c r="J340" s="2497"/>
      <c r="K340" s="2497"/>
      <c r="L340" s="2497"/>
      <c r="M340" s="2497"/>
      <c r="N340" s="2497"/>
      <c r="O340" s="2513"/>
      <c r="P340" s="2514"/>
      <c r="Q340" s="2525"/>
      <c r="R340" s="2516"/>
      <c r="S340" s="2526"/>
      <c r="U340" s="2529" t="s">
        <v>80</v>
      </c>
      <c r="V340" s="2519" t="s">
        <v>39</v>
      </c>
      <c r="W340" s="2520">
        <v>840104</v>
      </c>
      <c r="X340" s="2521" t="s">
        <v>17</v>
      </c>
      <c r="Y340" s="2522" t="s">
        <v>763</v>
      </c>
      <c r="Z340" s="3531">
        <f>+AB100</f>
        <v>24677.5</v>
      </c>
      <c r="AB340" s="2364"/>
      <c r="AD340" s="2524"/>
      <c r="AE340" s="2523"/>
      <c r="AF340" s="2497"/>
      <c r="AG340" s="2504"/>
      <c r="AH340" s="2505"/>
    </row>
    <row r="341" spans="1:34" ht="33">
      <c r="A341" s="2497"/>
      <c r="B341" s="2497"/>
      <c r="C341" s="2497"/>
      <c r="D341" s="2497"/>
      <c r="E341" s="2497"/>
      <c r="F341" s="2497"/>
      <c r="G341" s="2497"/>
      <c r="H341" s="2497"/>
      <c r="I341" s="2497"/>
      <c r="J341" s="2497"/>
      <c r="K341" s="2497"/>
      <c r="L341" s="2497"/>
      <c r="M341" s="2497"/>
      <c r="N341" s="2497"/>
      <c r="O341" s="2513"/>
      <c r="P341" s="2528"/>
      <c r="Q341" s="2515"/>
      <c r="R341" s="2511"/>
      <c r="S341" s="2526"/>
      <c r="U341" s="2529" t="s">
        <v>80</v>
      </c>
      <c r="V341" s="2519" t="s">
        <v>40</v>
      </c>
      <c r="W341" s="2520">
        <v>840107</v>
      </c>
      <c r="X341" s="2521" t="s">
        <v>17</v>
      </c>
      <c r="Y341" s="2522" t="s">
        <v>25</v>
      </c>
      <c r="Z341" s="3531">
        <f>+AB44+AB220</f>
        <v>5252.7014400000007</v>
      </c>
      <c r="AB341" s="2364"/>
      <c r="AD341" s="2524"/>
      <c r="AE341" s="2523"/>
      <c r="AF341" s="2497"/>
      <c r="AG341" s="2504"/>
      <c r="AH341" s="2505"/>
    </row>
    <row r="342" spans="1:34" ht="33">
      <c r="A342" s="2497"/>
      <c r="B342" s="2497"/>
      <c r="C342" s="2497"/>
      <c r="D342" s="2497"/>
      <c r="E342" s="2497"/>
      <c r="F342" s="2497"/>
      <c r="G342" s="2497"/>
      <c r="H342" s="2497"/>
      <c r="I342" s="2497"/>
      <c r="J342" s="2497"/>
      <c r="K342" s="2497"/>
      <c r="L342" s="2497"/>
      <c r="M342" s="2497"/>
      <c r="N342" s="2497"/>
      <c r="O342" s="2513"/>
      <c r="P342" s="2528"/>
      <c r="Q342" s="2515"/>
      <c r="R342" s="2511"/>
      <c r="S342" s="2526"/>
      <c r="U342" s="2529" t="s">
        <v>80</v>
      </c>
      <c r="V342" s="2519" t="s">
        <v>40</v>
      </c>
      <c r="W342" s="2520">
        <v>840107</v>
      </c>
      <c r="X342" s="2521" t="s">
        <v>17</v>
      </c>
      <c r="Y342" s="2522" t="s">
        <v>26</v>
      </c>
      <c r="Z342" s="3531">
        <f>+AB86</f>
        <v>105759.00000000001</v>
      </c>
      <c r="AB342" s="2364"/>
      <c r="AD342" s="2524"/>
      <c r="AE342" s="2523"/>
      <c r="AF342" s="2497"/>
      <c r="AG342" s="2504"/>
      <c r="AH342" s="2505"/>
    </row>
    <row r="343" spans="1:34" ht="33">
      <c r="A343" s="2497"/>
      <c r="B343" s="2497"/>
      <c r="C343" s="2497"/>
      <c r="D343" s="2497"/>
      <c r="E343" s="2497"/>
      <c r="F343" s="2497"/>
      <c r="G343" s="2497"/>
      <c r="H343" s="2497"/>
      <c r="I343" s="2497"/>
      <c r="J343" s="2497"/>
      <c r="K343" s="2497"/>
      <c r="L343" s="2497"/>
      <c r="M343" s="2497"/>
      <c r="N343" s="2497"/>
      <c r="O343" s="2513"/>
      <c r="P343" s="2528"/>
      <c r="Q343" s="2515"/>
      <c r="R343" s="2511"/>
      <c r="S343" s="2526"/>
      <c r="U343" s="2529" t="s">
        <v>80</v>
      </c>
      <c r="V343" s="2532" t="s">
        <v>40</v>
      </c>
      <c r="W343" s="2520">
        <v>840107</v>
      </c>
      <c r="X343" s="2521" t="s">
        <v>17</v>
      </c>
      <c r="Y343" s="2522" t="s">
        <v>18</v>
      </c>
      <c r="Z343" s="3531">
        <f>AB71+AB141+AB205</f>
        <v>153044.40240000002</v>
      </c>
      <c r="AB343" s="2364"/>
      <c r="AD343" s="2524"/>
      <c r="AE343" s="2523"/>
      <c r="AF343" s="2497"/>
      <c r="AG343" s="2504"/>
      <c r="AH343" s="2505"/>
    </row>
    <row r="344" spans="1:34" ht="33">
      <c r="A344" s="2497"/>
      <c r="B344" s="2497"/>
      <c r="C344" s="2497"/>
      <c r="D344" s="2497"/>
      <c r="E344" s="2497"/>
      <c r="F344" s="2497"/>
      <c r="G344" s="2497"/>
      <c r="H344" s="2497"/>
      <c r="I344" s="2497"/>
      <c r="J344" s="2497"/>
      <c r="K344" s="2497"/>
      <c r="L344" s="2497"/>
      <c r="M344" s="2497"/>
      <c r="N344" s="2497"/>
      <c r="O344" s="2513"/>
      <c r="P344" s="2528"/>
      <c r="Q344" s="2525"/>
      <c r="R344" s="2516"/>
      <c r="S344" s="2526"/>
      <c r="U344" s="2529" t="s">
        <v>80</v>
      </c>
      <c r="V344" s="2519" t="s">
        <v>40</v>
      </c>
      <c r="W344" s="2520" t="s">
        <v>2705</v>
      </c>
      <c r="X344" s="2521" t="s">
        <v>17</v>
      </c>
      <c r="Y344" s="2522" t="s">
        <v>673</v>
      </c>
      <c r="Z344" s="3531">
        <f>+AB58</f>
        <v>110690</v>
      </c>
      <c r="AB344" s="2364"/>
      <c r="AD344" s="2524"/>
      <c r="AE344" s="2523"/>
      <c r="AF344" s="2497"/>
      <c r="AG344" s="2504"/>
      <c r="AH344" s="2505"/>
    </row>
    <row r="345" spans="1:34" ht="33">
      <c r="A345" s="2497"/>
      <c r="B345" s="2497"/>
      <c r="C345" s="2497"/>
      <c r="D345" s="2497"/>
      <c r="E345" s="2497"/>
      <c r="F345" s="2497"/>
      <c r="G345" s="2497"/>
      <c r="H345" s="2497"/>
      <c r="I345" s="2497"/>
      <c r="J345" s="2497"/>
      <c r="K345" s="2497"/>
      <c r="L345" s="2497"/>
      <c r="M345" s="2497"/>
      <c r="N345" s="2497"/>
      <c r="O345" s="2513"/>
      <c r="P345" s="2528"/>
      <c r="Q345" s="2525"/>
      <c r="R345" s="2516"/>
      <c r="S345" s="2526"/>
      <c r="U345" s="2529" t="s">
        <v>80</v>
      </c>
      <c r="V345" s="2519" t="s">
        <v>40</v>
      </c>
      <c r="W345" s="2520" t="s">
        <v>2705</v>
      </c>
      <c r="X345" s="2521" t="s">
        <v>17</v>
      </c>
      <c r="Y345" s="2522" t="s">
        <v>763</v>
      </c>
      <c r="Z345" s="3531">
        <f>+AB60</f>
        <v>110690</v>
      </c>
      <c r="AB345" s="2364"/>
      <c r="AD345" s="2524"/>
      <c r="AE345" s="2523"/>
      <c r="AF345" s="2497"/>
      <c r="AG345" s="2504"/>
      <c r="AH345" s="2505"/>
    </row>
    <row r="346" spans="1:34" ht="49.5">
      <c r="A346" s="2497"/>
      <c r="B346" s="2497"/>
      <c r="C346" s="2497"/>
      <c r="D346" s="2497"/>
      <c r="E346" s="2497"/>
      <c r="F346" s="2497"/>
      <c r="G346" s="2497"/>
      <c r="H346" s="2497"/>
      <c r="I346" s="2497"/>
      <c r="J346" s="2497"/>
      <c r="K346" s="2497"/>
      <c r="L346" s="2497"/>
      <c r="M346" s="2497"/>
      <c r="N346" s="2497"/>
      <c r="O346" s="2513"/>
      <c r="P346" s="2514"/>
      <c r="Q346" s="2525"/>
      <c r="R346" s="2516"/>
      <c r="S346" s="2526"/>
      <c r="U346" s="2518" t="s">
        <v>81</v>
      </c>
      <c r="V346" s="2519" t="s">
        <v>39</v>
      </c>
      <c r="W346" s="2520">
        <v>840104</v>
      </c>
      <c r="X346" s="2521" t="s">
        <v>17</v>
      </c>
      <c r="Y346" s="2522" t="s">
        <v>18</v>
      </c>
      <c r="Z346" s="3531">
        <f>AB93</f>
        <v>17858.600000000002</v>
      </c>
      <c r="AA346" s="2533"/>
      <c r="AB346" s="2364"/>
      <c r="AD346" s="2524"/>
      <c r="AE346" s="2523"/>
      <c r="AF346" s="2497"/>
      <c r="AG346" s="2504"/>
      <c r="AH346" s="2505"/>
    </row>
    <row r="347" spans="1:34" ht="18" customHeight="1" thickBot="1">
      <c r="A347" s="2497"/>
      <c r="B347" s="2497"/>
      <c r="C347" s="2497"/>
      <c r="D347" s="2497"/>
      <c r="E347" s="2497"/>
      <c r="F347" s="2497"/>
      <c r="G347" s="2497"/>
      <c r="H347" s="2497"/>
      <c r="I347" s="2497"/>
      <c r="J347" s="2497"/>
      <c r="K347" s="2497"/>
      <c r="L347" s="2497"/>
      <c r="M347" s="2497"/>
      <c r="N347" s="2497"/>
      <c r="O347" s="2513"/>
      <c r="P347" s="2534"/>
      <c r="Q347" s="2535"/>
      <c r="R347" s="2506"/>
      <c r="S347" s="2536"/>
      <c r="U347" s="5930"/>
      <c r="V347" s="5931" t="s">
        <v>67</v>
      </c>
      <c r="W347" s="5932"/>
      <c r="X347" s="5932"/>
      <c r="Y347" s="5926" t="s">
        <v>292</v>
      </c>
      <c r="Z347" s="2569">
        <f>SUM(Z317:Z346)</f>
        <v>1616615.39224</v>
      </c>
      <c r="AA347" s="2533"/>
      <c r="AB347" s="2364"/>
      <c r="AD347" s="2537"/>
      <c r="AE347" s="2537"/>
      <c r="AF347" s="2497"/>
      <c r="AG347" s="2504"/>
      <c r="AH347" s="2505"/>
    </row>
    <row r="348" spans="1:34" ht="17.25" thickTop="1">
      <c r="A348" s="2497"/>
      <c r="B348" s="2497"/>
      <c r="C348" s="2497"/>
      <c r="D348" s="2497"/>
      <c r="E348" s="2497"/>
      <c r="F348" s="2497"/>
      <c r="G348" s="2497"/>
      <c r="H348" s="2497"/>
      <c r="I348" s="2497"/>
      <c r="J348" s="2497"/>
      <c r="K348" s="2497"/>
      <c r="L348" s="2497"/>
      <c r="M348" s="2497"/>
      <c r="N348" s="2497"/>
      <c r="O348" s="2513"/>
      <c r="P348" s="2534"/>
      <c r="Q348" s="2538"/>
      <c r="R348" s="2506"/>
      <c r="S348" s="2536"/>
      <c r="U348" s="2508"/>
      <c r="V348" s="2508"/>
      <c r="W348" s="2539"/>
      <c r="X348" s="2509"/>
      <c r="Y348" s="2510"/>
      <c r="Z348" s="3530"/>
      <c r="AA348" s="2508"/>
      <c r="AB348" s="2540"/>
      <c r="AC348" s="2540"/>
      <c r="AD348" s="2537"/>
      <c r="AE348" s="2541"/>
      <c r="AF348" s="2497"/>
      <c r="AG348" s="2504"/>
      <c r="AH348" s="2505"/>
    </row>
    <row r="349" spans="1:34" ht="16.5" customHeight="1" thickBot="1">
      <c r="A349" s="2497"/>
      <c r="B349" s="2497"/>
      <c r="C349" s="2497"/>
      <c r="D349" s="2497"/>
      <c r="E349" s="2497"/>
      <c r="F349" s="2497"/>
      <c r="G349" s="2497"/>
      <c r="H349" s="2497"/>
      <c r="I349" s="2497"/>
      <c r="J349" s="2497"/>
      <c r="K349" s="2497"/>
      <c r="L349" s="2497"/>
      <c r="M349" s="2497"/>
      <c r="N349" s="2497"/>
      <c r="O349" s="2513"/>
      <c r="P349" s="2534"/>
      <c r="Q349" s="2538"/>
      <c r="R349" s="2506"/>
      <c r="S349" s="2536"/>
      <c r="U349" s="2508"/>
      <c r="V349" s="2508"/>
      <c r="W349" s="2508"/>
      <c r="X349" s="2509"/>
      <c r="Y349" s="2510"/>
      <c r="Z349" s="2508"/>
      <c r="AA349" s="2508"/>
      <c r="AB349" s="2540"/>
      <c r="AC349" s="2540"/>
      <c r="AD349" s="2537"/>
      <c r="AE349" s="2541"/>
      <c r="AF349" s="2497"/>
      <c r="AG349" s="2504"/>
      <c r="AH349" s="2505"/>
    </row>
    <row r="350" spans="1:34" ht="16.5" customHeight="1">
      <c r="A350" s="2497"/>
      <c r="B350" s="2497"/>
      <c r="C350" s="2497"/>
      <c r="D350" s="2497"/>
      <c r="E350" s="2497"/>
      <c r="F350" s="2497"/>
      <c r="G350" s="2497"/>
      <c r="H350" s="2497"/>
      <c r="I350" s="2497"/>
      <c r="J350" s="2497"/>
      <c r="K350" s="2497"/>
      <c r="L350" s="2497"/>
      <c r="M350" s="2497"/>
      <c r="N350" s="2497"/>
      <c r="O350" s="2506"/>
      <c r="P350" s="2506"/>
      <c r="Q350" s="2506"/>
      <c r="R350" s="2506"/>
      <c r="S350" s="2536"/>
      <c r="U350" s="10231" t="s">
        <v>356</v>
      </c>
      <c r="V350" s="10232"/>
      <c r="W350" s="10233"/>
      <c r="X350" s="2509"/>
      <c r="Y350" s="2542" t="s">
        <v>357</v>
      </c>
      <c r="Z350" s="2543" t="str">
        <f>IF(Z347=AB311,"OK","NO")</f>
        <v>OK</v>
      </c>
      <c r="AA350" s="2508"/>
      <c r="AB350" s="2540"/>
      <c r="AC350" s="2540"/>
      <c r="AD350" s="2544"/>
      <c r="AE350" s="2537"/>
      <c r="AF350" s="2497"/>
      <c r="AG350" s="2504"/>
      <c r="AH350" s="2505"/>
    </row>
    <row r="351" spans="1:34" ht="16.5" customHeight="1">
      <c r="A351" s="2497"/>
      <c r="B351" s="2497"/>
      <c r="C351" s="2497"/>
      <c r="D351" s="2497"/>
      <c r="E351" s="2497"/>
      <c r="F351" s="2497"/>
      <c r="G351" s="2497"/>
      <c r="H351" s="2497"/>
      <c r="I351" s="2497"/>
      <c r="J351" s="2497"/>
      <c r="K351" s="2497"/>
      <c r="L351" s="2497"/>
      <c r="M351" s="2497"/>
      <c r="N351" s="2497"/>
      <c r="O351" s="2501"/>
      <c r="P351" s="2506"/>
      <c r="Q351" s="2506"/>
      <c r="R351" s="2506"/>
      <c r="U351" s="10218" t="s">
        <v>358</v>
      </c>
      <c r="V351" s="10212"/>
      <c r="W351" s="2545">
        <f>+Z318+Z319+Z320+Z322+Z328+Z330+Z331+Z333+Z335+Z338+Z341</f>
        <v>358588.63103999989</v>
      </c>
      <c r="X351" s="2509"/>
      <c r="Y351" s="2510"/>
      <c r="Z351" s="2543" t="str">
        <f>IF(W356=AB311,"OK","NO")</f>
        <v>OK</v>
      </c>
      <c r="AA351" s="2508"/>
      <c r="AB351" s="2540"/>
      <c r="AC351" s="2540"/>
      <c r="AD351" s="2544"/>
      <c r="AE351" s="2537"/>
      <c r="AF351" s="2497"/>
      <c r="AG351" s="2504"/>
      <c r="AH351" s="2505"/>
    </row>
    <row r="352" spans="1:34" ht="16.5">
      <c r="A352" s="2497"/>
      <c r="B352" s="2497"/>
      <c r="C352" s="2497"/>
      <c r="D352" s="2497"/>
      <c r="E352" s="2497"/>
      <c r="F352" s="2497"/>
      <c r="G352" s="2497"/>
      <c r="H352" s="2497"/>
      <c r="I352" s="2497"/>
      <c r="J352" s="2497"/>
      <c r="K352" s="2497"/>
      <c r="L352" s="2497"/>
      <c r="M352" s="2497"/>
      <c r="N352" s="2497"/>
      <c r="O352" s="2506"/>
      <c r="P352" s="2506"/>
      <c r="Q352" s="2506"/>
      <c r="R352" s="2506"/>
      <c r="U352" s="10219" t="s">
        <v>359</v>
      </c>
      <c r="V352" s="10220"/>
      <c r="W352" s="2546">
        <f>+Z325+Z334+Z336+Z339+Z342</f>
        <v>149844.35</v>
      </c>
      <c r="X352" s="2509"/>
      <c r="Y352" s="2510"/>
      <c r="Z352" s="2543" t="str">
        <f>IF(W366=AB311,"OK","NO")</f>
        <v>OK</v>
      </c>
      <c r="AA352" s="2508"/>
      <c r="AB352" s="2540"/>
      <c r="AC352" s="2540"/>
      <c r="AD352" s="2544"/>
      <c r="AE352" s="2537"/>
      <c r="AF352" s="2497"/>
      <c r="AG352" s="2504"/>
      <c r="AH352" s="2505"/>
    </row>
    <row r="353" spans="1:34" ht="16.5">
      <c r="A353" s="2497"/>
      <c r="B353" s="2497"/>
      <c r="C353" s="2497"/>
      <c r="D353" s="2497"/>
      <c r="E353" s="2497"/>
      <c r="F353" s="2497"/>
      <c r="G353" s="2497"/>
      <c r="H353" s="2497"/>
      <c r="I353" s="2497"/>
      <c r="J353" s="2497"/>
      <c r="K353" s="2497"/>
      <c r="L353" s="2497"/>
      <c r="M353" s="2497"/>
      <c r="N353" s="2497"/>
      <c r="O353" s="2506"/>
      <c r="P353" s="2506"/>
      <c r="Q353" s="2506"/>
      <c r="R353" s="2506"/>
      <c r="U353" s="10219" t="s">
        <v>360</v>
      </c>
      <c r="V353" s="10220"/>
      <c r="W353" s="2546">
        <f>+Z317+Z321+Z323+Z324+Z326+Z329+Z343+Z346+Z327</f>
        <v>289936.69720000005</v>
      </c>
      <c r="X353" s="2509"/>
      <c r="Y353" s="2547"/>
      <c r="Z353" s="37" t="str">
        <f>IF(Resumen!C417=AB311,"OK","NO")</f>
        <v>OK</v>
      </c>
      <c r="AA353" s="2508"/>
      <c r="AB353" s="2540"/>
      <c r="AC353" s="2540"/>
      <c r="AD353" s="2544"/>
      <c r="AE353" s="2537"/>
      <c r="AF353" s="2497"/>
      <c r="AG353" s="2504"/>
      <c r="AH353" s="2505"/>
    </row>
    <row r="354" spans="1:34" ht="16.5">
      <c r="A354" s="2497"/>
      <c r="B354" s="2497"/>
      <c r="C354" s="2497"/>
      <c r="D354" s="2497"/>
      <c r="E354" s="2497"/>
      <c r="F354" s="2497"/>
      <c r="G354" s="2497"/>
      <c r="H354" s="2497"/>
      <c r="I354" s="2497"/>
      <c r="J354" s="2497"/>
      <c r="K354" s="2497"/>
      <c r="L354" s="2497"/>
      <c r="M354" s="2497"/>
      <c r="N354" s="2497"/>
      <c r="O354" s="2506"/>
      <c r="P354" s="2506"/>
      <c r="Q354" s="2506"/>
      <c r="R354" s="2506"/>
      <c r="U354" s="10219" t="s">
        <v>361</v>
      </c>
      <c r="V354" s="10220"/>
      <c r="W354" s="2967">
        <f>+Z337+Z344</f>
        <v>657812.17400000012</v>
      </c>
      <c r="X354" s="2509"/>
      <c r="Y354" s="2547"/>
      <c r="Z354" s="2508"/>
      <c r="AA354" s="2508"/>
      <c r="AB354" s="2540"/>
      <c r="AC354" s="2540"/>
      <c r="AD354" s="2544"/>
      <c r="AE354" s="2537"/>
      <c r="AF354" s="2497"/>
      <c r="AG354" s="2504"/>
      <c r="AH354" s="2505"/>
    </row>
    <row r="355" spans="1:34" ht="16.5">
      <c r="A355" s="2497"/>
      <c r="B355" s="2497"/>
      <c r="C355" s="2497"/>
      <c r="D355" s="2497"/>
      <c r="E355" s="2497"/>
      <c r="F355" s="2497"/>
      <c r="G355" s="2497"/>
      <c r="H355" s="2497"/>
      <c r="I355" s="2497"/>
      <c r="J355" s="2497"/>
      <c r="K355" s="2497"/>
      <c r="L355" s="2497"/>
      <c r="M355" s="2497"/>
      <c r="N355" s="2497"/>
      <c r="O355" s="2506"/>
      <c r="P355" s="2506"/>
      <c r="Q355" s="2506"/>
      <c r="R355" s="2506"/>
      <c r="U355" s="5867" t="s">
        <v>796</v>
      </c>
      <c r="V355" s="5868"/>
      <c r="W355" s="2968">
        <f>+Z332+Z340+Z345</f>
        <v>160433.54</v>
      </c>
      <c r="X355" s="2509"/>
      <c r="Y355" s="2547"/>
      <c r="Z355" s="2508"/>
      <c r="AA355" s="2508"/>
      <c r="AB355" s="2540"/>
      <c r="AC355" s="2540"/>
      <c r="AD355" s="2544"/>
      <c r="AE355" s="2537"/>
      <c r="AF355" s="2497"/>
      <c r="AG355" s="2504"/>
      <c r="AH355" s="2505"/>
    </row>
    <row r="356" spans="1:34" ht="16.5">
      <c r="A356" s="2497"/>
      <c r="B356" s="2497"/>
      <c r="C356" s="2497"/>
      <c r="D356" s="2497"/>
      <c r="E356" s="2497"/>
      <c r="F356" s="2497"/>
      <c r="G356" s="2497"/>
      <c r="H356" s="2497"/>
      <c r="I356" s="2497"/>
      <c r="J356" s="2497"/>
      <c r="K356" s="2497"/>
      <c r="L356" s="2497"/>
      <c r="M356" s="2497"/>
      <c r="N356" s="2497"/>
      <c r="O356" s="2506"/>
      <c r="P356" s="2506"/>
      <c r="Q356" s="2506"/>
      <c r="R356" s="2506"/>
      <c r="U356" s="10221" t="s">
        <v>67</v>
      </c>
      <c r="V356" s="10222"/>
      <c r="W356" s="2566">
        <f>SUM(W351:W355)</f>
        <v>1616615.39224</v>
      </c>
      <c r="X356" s="2509"/>
      <c r="Y356" s="2547"/>
      <c r="Z356" s="2508"/>
      <c r="AA356" s="2508"/>
      <c r="AB356" s="2540"/>
      <c r="AC356" s="2540"/>
      <c r="AD356" s="2544"/>
      <c r="AE356" s="2537"/>
      <c r="AF356" s="2497"/>
      <c r="AG356" s="2504"/>
      <c r="AH356" s="2505"/>
    </row>
    <row r="357" spans="1:34" ht="16.5" customHeight="1">
      <c r="A357" s="2497"/>
      <c r="B357" s="2497"/>
      <c r="C357" s="2497"/>
      <c r="D357" s="2497"/>
      <c r="E357" s="2497"/>
      <c r="F357" s="2497"/>
      <c r="G357" s="2497"/>
      <c r="H357" s="2497"/>
      <c r="I357" s="2497"/>
      <c r="J357" s="2497"/>
      <c r="K357" s="2497"/>
      <c r="L357" s="2497"/>
      <c r="M357" s="2497"/>
      <c r="N357" s="2497"/>
      <c r="O357" s="2506"/>
      <c r="P357" s="2506"/>
      <c r="Q357" s="2506"/>
      <c r="R357" s="2506"/>
      <c r="U357" s="10223" t="s">
        <v>362</v>
      </c>
      <c r="V357" s="10224"/>
      <c r="W357" s="10225"/>
      <c r="X357" s="2509"/>
      <c r="Y357" s="2549"/>
      <c r="Z357" s="2508"/>
      <c r="AA357" s="2508"/>
      <c r="AB357" s="2540"/>
      <c r="AC357" s="2540"/>
      <c r="AD357" s="2544"/>
      <c r="AE357" s="2537"/>
      <c r="AF357" s="2497"/>
      <c r="AG357" s="2504"/>
      <c r="AH357" s="2505"/>
    </row>
    <row r="358" spans="1:34" ht="16.5" customHeight="1">
      <c r="A358" s="2497"/>
      <c r="B358" s="2497"/>
      <c r="C358" s="2497"/>
      <c r="D358" s="2497"/>
      <c r="E358" s="2497"/>
      <c r="F358" s="2497"/>
      <c r="G358" s="2497"/>
      <c r="H358" s="2497"/>
      <c r="I358" s="2497"/>
      <c r="J358" s="2497"/>
      <c r="K358" s="2497"/>
      <c r="L358" s="2497"/>
      <c r="M358" s="2497"/>
      <c r="N358" s="2497"/>
      <c r="O358" s="2507"/>
      <c r="P358" s="2507"/>
      <c r="Q358" s="2507"/>
      <c r="R358" s="2507"/>
      <c r="U358" s="10215" t="s">
        <v>363</v>
      </c>
      <c r="V358" s="10212"/>
      <c r="W358" s="2545">
        <v>0</v>
      </c>
      <c r="X358" s="2509"/>
      <c r="Y358" s="2549"/>
      <c r="Z358" s="2508"/>
      <c r="AA358" s="2508"/>
      <c r="AB358" s="2540"/>
      <c r="AC358" s="2540"/>
      <c r="AD358" s="2544"/>
      <c r="AE358" s="2537"/>
      <c r="AF358" s="2497"/>
      <c r="AG358" s="2504"/>
      <c r="AH358" s="2505"/>
    </row>
    <row r="359" spans="1:34" ht="16.5" customHeight="1">
      <c r="A359" s="2497"/>
      <c r="B359" s="2497"/>
      <c r="C359" s="2497"/>
      <c r="D359" s="2497"/>
      <c r="E359" s="2497"/>
      <c r="F359" s="2497"/>
      <c r="G359" s="2497"/>
      <c r="H359" s="2497"/>
      <c r="I359" s="2497"/>
      <c r="J359" s="2497"/>
      <c r="K359" s="2497"/>
      <c r="L359" s="2497"/>
      <c r="M359" s="2497"/>
      <c r="N359" s="2497"/>
      <c r="O359" s="2507"/>
      <c r="P359" s="2507"/>
      <c r="Q359" s="2507"/>
      <c r="R359" s="2507"/>
      <c r="U359" s="10211" t="s">
        <v>364</v>
      </c>
      <c r="V359" s="10212"/>
      <c r="W359" s="2546">
        <f>+SUM(Z317:Z323)+Z328+SUM(Z330:Z336)</f>
        <v>449935.2171999999</v>
      </c>
      <c r="X359" s="2509"/>
      <c r="Y359" s="2550"/>
      <c r="Z359" s="2508"/>
      <c r="AA359" s="2508"/>
      <c r="AB359" s="2540"/>
      <c r="AC359" s="2540"/>
      <c r="AD359" s="2544"/>
      <c r="AE359" s="2537"/>
      <c r="AF359" s="2497"/>
      <c r="AG359" s="2504"/>
      <c r="AH359" s="2505"/>
    </row>
    <row r="360" spans="1:34" ht="16.5" customHeight="1">
      <c r="A360" s="2497"/>
      <c r="B360" s="2497"/>
      <c r="C360" s="2497"/>
      <c r="D360" s="2497"/>
      <c r="E360" s="2497"/>
      <c r="F360" s="2497"/>
      <c r="G360" s="2497"/>
      <c r="H360" s="2497"/>
      <c r="I360" s="2497"/>
      <c r="J360" s="2497"/>
      <c r="K360" s="2497"/>
      <c r="L360" s="2497"/>
      <c r="M360" s="2497"/>
      <c r="N360" s="2497"/>
      <c r="O360" s="2507"/>
      <c r="P360" s="2507"/>
      <c r="Q360" s="2507"/>
      <c r="R360" s="2507"/>
      <c r="U360" s="10211" t="s">
        <v>365</v>
      </c>
      <c r="V360" s="10212"/>
      <c r="W360" s="2546">
        <v>0</v>
      </c>
      <c r="X360" s="2509"/>
      <c r="Y360" s="2551"/>
      <c r="Z360" s="2508"/>
      <c r="AA360" s="2508"/>
      <c r="AB360" s="2540"/>
      <c r="AC360" s="2540"/>
      <c r="AD360" s="2544"/>
      <c r="AE360" s="2537"/>
      <c r="AF360" s="2497"/>
      <c r="AG360" s="2504"/>
      <c r="AH360" s="2505"/>
    </row>
    <row r="361" spans="1:34" ht="16.5" customHeight="1">
      <c r="A361" s="2497"/>
      <c r="B361" s="2497"/>
      <c r="C361" s="2497"/>
      <c r="D361" s="2497"/>
      <c r="E361" s="2497"/>
      <c r="F361" s="2497"/>
      <c r="G361" s="2497"/>
      <c r="H361" s="2497"/>
      <c r="I361" s="2497"/>
      <c r="J361" s="2497"/>
      <c r="K361" s="2497"/>
      <c r="L361" s="2497"/>
      <c r="M361" s="2497"/>
      <c r="N361" s="2497"/>
      <c r="O361" s="2497"/>
      <c r="P361" s="2507"/>
      <c r="Q361" s="2507"/>
      <c r="R361" s="2507"/>
      <c r="U361" s="10211" t="s">
        <v>366</v>
      </c>
      <c r="V361" s="10212"/>
      <c r="W361" s="2546">
        <v>0</v>
      </c>
      <c r="X361" s="2509"/>
      <c r="Y361" s="2547"/>
      <c r="Z361" s="2552"/>
      <c r="AA361" s="2552"/>
      <c r="AB361" s="2553"/>
      <c r="AC361" s="2553"/>
      <c r="AD361" s="2554"/>
      <c r="AE361" s="2555"/>
      <c r="AF361" s="2497"/>
      <c r="AG361" s="2504"/>
      <c r="AH361" s="2505"/>
    </row>
    <row r="362" spans="1:34" ht="16.5" customHeight="1">
      <c r="A362" s="2497"/>
      <c r="B362" s="2497"/>
      <c r="C362" s="2497"/>
      <c r="D362" s="2497"/>
      <c r="E362" s="2497"/>
      <c r="F362" s="2497"/>
      <c r="G362" s="2497"/>
      <c r="H362" s="2497"/>
      <c r="I362" s="2497"/>
      <c r="J362" s="2497"/>
      <c r="K362" s="2497"/>
      <c r="L362" s="2497"/>
      <c r="M362" s="2497"/>
      <c r="N362" s="2497"/>
      <c r="O362" s="2497"/>
      <c r="P362" s="2507"/>
      <c r="Q362" s="2507"/>
      <c r="R362" s="2507"/>
      <c r="U362" s="10211" t="s">
        <v>367</v>
      </c>
      <c r="V362" s="10212"/>
      <c r="W362" s="2546">
        <v>0</v>
      </c>
      <c r="X362" s="2509"/>
      <c r="Y362" s="2556"/>
      <c r="Z362" s="10216"/>
      <c r="AA362" s="10217"/>
      <c r="AB362" s="10217"/>
      <c r="AC362" s="10217"/>
      <c r="AD362" s="10217"/>
      <c r="AE362" s="2555"/>
      <c r="AF362" s="2497"/>
      <c r="AG362" s="2504"/>
      <c r="AH362" s="2505"/>
    </row>
    <row r="363" spans="1:34" ht="16.5" customHeight="1">
      <c r="A363" s="2497"/>
      <c r="B363" s="2497"/>
      <c r="C363" s="2497"/>
      <c r="D363" s="2497"/>
      <c r="E363" s="2497"/>
      <c r="F363" s="2497"/>
      <c r="G363" s="2497"/>
      <c r="H363" s="2497"/>
      <c r="I363" s="2497"/>
      <c r="J363" s="2497"/>
      <c r="K363" s="2497"/>
      <c r="L363" s="2497"/>
      <c r="M363" s="2497"/>
      <c r="N363" s="2497"/>
      <c r="O363" s="2497"/>
      <c r="P363" s="2507"/>
      <c r="Q363" s="2507"/>
      <c r="R363" s="2507"/>
      <c r="U363" s="10211" t="s">
        <v>368</v>
      </c>
      <c r="V363" s="10212"/>
      <c r="W363" s="2546">
        <f>+Z337</f>
        <v>547122.17400000012</v>
      </c>
      <c r="X363" s="2509"/>
      <c r="Y363" s="2556"/>
      <c r="Z363" s="2557"/>
      <c r="AA363" s="2557"/>
      <c r="AB363" s="2558"/>
      <c r="AC363" s="2558"/>
      <c r="AD363" s="2557"/>
      <c r="AE363" s="2555"/>
      <c r="AF363" s="2497"/>
      <c r="AG363" s="2504"/>
      <c r="AH363" s="2505"/>
    </row>
    <row r="364" spans="1:34" ht="16.5" customHeight="1">
      <c r="A364" s="2497"/>
      <c r="B364" s="2497"/>
      <c r="C364" s="2497"/>
      <c r="D364" s="2497"/>
      <c r="E364" s="2497"/>
      <c r="F364" s="2497"/>
      <c r="G364" s="2497"/>
      <c r="H364" s="2497"/>
      <c r="I364" s="2497"/>
      <c r="J364" s="2497"/>
      <c r="K364" s="2497"/>
      <c r="L364" s="2497"/>
      <c r="M364" s="2497"/>
      <c r="N364" s="2497"/>
      <c r="O364" s="2497"/>
      <c r="P364" s="2507"/>
      <c r="Q364" s="2507"/>
      <c r="R364" s="2507"/>
      <c r="U364" s="10211" t="s">
        <v>369</v>
      </c>
      <c r="V364" s="10212"/>
      <c r="W364" s="2546">
        <f>+Z324+Z325+Z326+Z329+Z338+Z339+Z340+Z341+Z342+Z343+Z344+Z345+Z346+Z327</f>
        <v>619558.00104</v>
      </c>
      <c r="X364" s="2509"/>
      <c r="Y364" s="2556"/>
      <c r="Z364" s="2559"/>
      <c r="AA364" s="2560"/>
      <c r="AB364" s="2561"/>
      <c r="AC364" s="2561"/>
      <c r="AD364" s="2562"/>
      <c r="AE364" s="2555"/>
      <c r="AF364" s="2501"/>
      <c r="AG364" s="2504"/>
      <c r="AH364" s="2505"/>
    </row>
    <row r="365" spans="1:34" ht="16.5" customHeight="1">
      <c r="A365" s="2497"/>
      <c r="B365" s="2497"/>
      <c r="C365" s="2497"/>
      <c r="D365" s="2497"/>
      <c r="E365" s="2497"/>
      <c r="F365" s="2497"/>
      <c r="G365" s="2497"/>
      <c r="H365" s="2497"/>
      <c r="I365" s="2497"/>
      <c r="J365" s="2497"/>
      <c r="K365" s="2497"/>
      <c r="L365" s="2497"/>
      <c r="M365" s="2497"/>
      <c r="N365" s="2497"/>
      <c r="O365" s="2497"/>
      <c r="P365" s="2507"/>
      <c r="Q365" s="2507"/>
      <c r="R365" s="2507"/>
      <c r="U365" s="10211" t="s">
        <v>370</v>
      </c>
      <c r="V365" s="10212"/>
      <c r="W365" s="2548">
        <v>0</v>
      </c>
      <c r="X365" s="2509"/>
      <c r="Y365" s="2563"/>
      <c r="Z365" s="2564"/>
      <c r="AA365" s="2564"/>
      <c r="AB365" s="2565"/>
      <c r="AC365" s="2565"/>
      <c r="AD365" s="2554"/>
      <c r="AE365" s="2555"/>
      <c r="AF365" s="2501"/>
      <c r="AG365" s="2504"/>
      <c r="AH365" s="2505"/>
    </row>
    <row r="366" spans="1:34" ht="16.5" customHeight="1">
      <c r="A366" s="2497"/>
      <c r="B366" s="2497"/>
      <c r="C366" s="2497"/>
      <c r="D366" s="2497"/>
      <c r="E366" s="2497"/>
      <c r="F366" s="2497"/>
      <c r="G366" s="2497"/>
      <c r="H366" s="2497"/>
      <c r="I366" s="2497"/>
      <c r="J366" s="2497"/>
      <c r="K366" s="2497"/>
      <c r="L366" s="2497"/>
      <c r="M366" s="2497"/>
      <c r="N366" s="2497"/>
      <c r="O366" s="2497"/>
      <c r="P366" s="2507"/>
      <c r="Q366" s="2507"/>
      <c r="R366" s="2507"/>
      <c r="U366" s="10213" t="s">
        <v>67</v>
      </c>
      <c r="V366" s="10214"/>
      <c r="W366" s="2567">
        <f>SUM(W358:W365)</f>
        <v>1616615.39224</v>
      </c>
      <c r="X366" s="2509"/>
      <c r="Y366" s="2551"/>
      <c r="Z366" s="2552"/>
      <c r="AA366" s="2552"/>
      <c r="AB366" s="2553"/>
      <c r="AC366" s="2553"/>
      <c r="AD366" s="2554"/>
      <c r="AE366" s="2555"/>
      <c r="AF366" s="2501"/>
      <c r="AG366" s="2504"/>
      <c r="AH366" s="2505"/>
    </row>
    <row r="367" spans="1:34" ht="15.75" customHeight="1" thickTop="1">
      <c r="AB367" s="2364"/>
      <c r="AD367" s="2267"/>
    </row>
    <row r="368" spans="1:34" ht="15.75" customHeight="1">
      <c r="AB368" s="2364"/>
      <c r="AD368" s="2267"/>
    </row>
    <row r="369" spans="21:30" ht="15.75" customHeight="1">
      <c r="U369" s="2568"/>
      <c r="AB369" s="2364"/>
      <c r="AD369" s="2267"/>
    </row>
    <row r="370" spans="21:30" ht="15.75" customHeight="1">
      <c r="AB370" s="2364"/>
      <c r="AD370" s="2267"/>
    </row>
  </sheetData>
  <mergeCells count="876">
    <mergeCell ref="A1:AH1"/>
    <mergeCell ref="A2:AH2"/>
    <mergeCell ref="A3:AH3"/>
    <mergeCell ref="A4:AH4"/>
    <mergeCell ref="A6:B8"/>
    <mergeCell ref="C6:D6"/>
    <mergeCell ref="E6:I6"/>
    <mergeCell ref="J6:R6"/>
    <mergeCell ref="S6:AH6"/>
    <mergeCell ref="C7:C8"/>
    <mergeCell ref="R7:R8"/>
    <mergeCell ref="S7:Y7"/>
    <mergeCell ref="Z7:AD7"/>
    <mergeCell ref="AE7:AG7"/>
    <mergeCell ref="AH7:AH8"/>
    <mergeCell ref="P7:P8"/>
    <mergeCell ref="Q7:Q8"/>
    <mergeCell ref="A9:A311"/>
    <mergeCell ref="B9:B119"/>
    <mergeCell ref="C9:C13"/>
    <mergeCell ref="D9:D13"/>
    <mergeCell ref="E9:E13"/>
    <mergeCell ref="J7:J8"/>
    <mergeCell ref="K7:K8"/>
    <mergeCell ref="L7:L8"/>
    <mergeCell ref="M7:O7"/>
    <mergeCell ref="D7:D8"/>
    <mergeCell ref="E7:E8"/>
    <mergeCell ref="F7:F8"/>
    <mergeCell ref="G7:G8"/>
    <mergeCell ref="H7:H8"/>
    <mergeCell ref="I7:I8"/>
    <mergeCell ref="C24:C28"/>
    <mergeCell ref="D24:D28"/>
    <mergeCell ref="E24:E28"/>
    <mergeCell ref="F24:F28"/>
    <mergeCell ref="G24:G28"/>
    <mergeCell ref="H24:H28"/>
    <mergeCell ref="O24:O28"/>
    <mergeCell ref="K29:K33"/>
    <mergeCell ref="L29:L33"/>
    <mergeCell ref="R9:R13"/>
    <mergeCell ref="AH9:AH13"/>
    <mergeCell ref="C14:C18"/>
    <mergeCell ref="D14:D18"/>
    <mergeCell ref="E14:E18"/>
    <mergeCell ref="F14:F18"/>
    <mergeCell ref="G14:G18"/>
    <mergeCell ref="H14:H18"/>
    <mergeCell ref="I14:I18"/>
    <mergeCell ref="J14:J18"/>
    <mergeCell ref="L9:L13"/>
    <mergeCell ref="M9:M13"/>
    <mergeCell ref="N9:N13"/>
    <mergeCell ref="O9:O13"/>
    <mergeCell ref="P9:P13"/>
    <mergeCell ref="Q9:Q13"/>
    <mergeCell ref="F9:F13"/>
    <mergeCell ref="G9:G13"/>
    <mergeCell ref="H9:H13"/>
    <mergeCell ref="I9:I13"/>
    <mergeCell ref="J9:J13"/>
    <mergeCell ref="K9:K13"/>
    <mergeCell ref="Q14:Q18"/>
    <mergeCell ref="R14:R18"/>
    <mergeCell ref="AH14:AH18"/>
    <mergeCell ref="C19:C23"/>
    <mergeCell ref="D19:D23"/>
    <mergeCell ref="E19:E23"/>
    <mergeCell ref="F19:F23"/>
    <mergeCell ref="G19:G23"/>
    <mergeCell ref="H19:H23"/>
    <mergeCell ref="I19:I23"/>
    <mergeCell ref="K14:K18"/>
    <mergeCell ref="L14:L18"/>
    <mergeCell ref="M14:M18"/>
    <mergeCell ref="N14:N18"/>
    <mergeCell ref="O14:O18"/>
    <mergeCell ref="P14:P18"/>
    <mergeCell ref="P19:P23"/>
    <mergeCell ref="Q19:Q23"/>
    <mergeCell ref="R19:R23"/>
    <mergeCell ref="AH19:AH23"/>
    <mergeCell ref="J19:J23"/>
    <mergeCell ref="K19:K23"/>
    <mergeCell ref="L19:L23"/>
    <mergeCell ref="M19:M23"/>
    <mergeCell ref="N19:N23"/>
    <mergeCell ref="O19:O23"/>
    <mergeCell ref="P24:P28"/>
    <mergeCell ref="Q24:Q28"/>
    <mergeCell ref="R24:R28"/>
    <mergeCell ref="AH24:AH28"/>
    <mergeCell ref="C29:C33"/>
    <mergeCell ref="D29:D33"/>
    <mergeCell ref="E29:E33"/>
    <mergeCell ref="F29:F33"/>
    <mergeCell ref="G29:G33"/>
    <mergeCell ref="I24:I28"/>
    <mergeCell ref="J24:J28"/>
    <mergeCell ref="K24:K28"/>
    <mergeCell ref="L24:L28"/>
    <mergeCell ref="M24:M28"/>
    <mergeCell ref="N24:N28"/>
    <mergeCell ref="N29:N33"/>
    <mergeCell ref="O29:O33"/>
    <mergeCell ref="P29:P33"/>
    <mergeCell ref="Q29:Q33"/>
    <mergeCell ref="R29:R33"/>
    <mergeCell ref="AH29:AH33"/>
    <mergeCell ref="H29:H33"/>
    <mergeCell ref="I29:I33"/>
    <mergeCell ref="J29:J33"/>
    <mergeCell ref="M29:M33"/>
    <mergeCell ref="O34:O38"/>
    <mergeCell ref="P34:P38"/>
    <mergeCell ref="Q34:Q38"/>
    <mergeCell ref="R34:R38"/>
    <mergeCell ref="AH34:AH38"/>
    <mergeCell ref="C39:C43"/>
    <mergeCell ref="D39:D43"/>
    <mergeCell ref="E39:E43"/>
    <mergeCell ref="F39:F43"/>
    <mergeCell ref="G39:G43"/>
    <mergeCell ref="I34:I38"/>
    <mergeCell ref="J34:J38"/>
    <mergeCell ref="K34:K38"/>
    <mergeCell ref="L34:L38"/>
    <mergeCell ref="M34:M38"/>
    <mergeCell ref="N34:N38"/>
    <mergeCell ref="C34:C38"/>
    <mergeCell ref="D34:D38"/>
    <mergeCell ref="E34:E38"/>
    <mergeCell ref="F34:F38"/>
    <mergeCell ref="G34:G38"/>
    <mergeCell ref="H34:H38"/>
    <mergeCell ref="N39:N43"/>
    <mergeCell ref="O39:O43"/>
    <mergeCell ref="P39:P43"/>
    <mergeCell ref="Q39:Q43"/>
    <mergeCell ref="R39:R43"/>
    <mergeCell ref="AH39:AH43"/>
    <mergeCell ref="H39:H43"/>
    <mergeCell ref="I39:I43"/>
    <mergeCell ref="J39:J43"/>
    <mergeCell ref="K39:K43"/>
    <mergeCell ref="L39:L43"/>
    <mergeCell ref="M39:M43"/>
    <mergeCell ref="O44:O48"/>
    <mergeCell ref="P44:P48"/>
    <mergeCell ref="Q44:Q48"/>
    <mergeCell ref="R44:R48"/>
    <mergeCell ref="AH44:AH48"/>
    <mergeCell ref="C49:C55"/>
    <mergeCell ref="D49:D55"/>
    <mergeCell ref="E49:E55"/>
    <mergeCell ref="F49:F55"/>
    <mergeCell ref="G49:G55"/>
    <mergeCell ref="I44:I48"/>
    <mergeCell ref="J44:J48"/>
    <mergeCell ref="K44:K48"/>
    <mergeCell ref="L44:L48"/>
    <mergeCell ref="M44:M48"/>
    <mergeCell ref="N44:N48"/>
    <mergeCell ref="C44:C48"/>
    <mergeCell ref="D44:D48"/>
    <mergeCell ref="E44:E48"/>
    <mergeCell ref="F44:F48"/>
    <mergeCell ref="G44:G48"/>
    <mergeCell ref="H44:H48"/>
    <mergeCell ref="N49:N55"/>
    <mergeCell ref="O49:O55"/>
    <mergeCell ref="AH62:AH65"/>
    <mergeCell ref="C66:C70"/>
    <mergeCell ref="D66:D70"/>
    <mergeCell ref="E66:E70"/>
    <mergeCell ref="F66:F70"/>
    <mergeCell ref="G66:G70"/>
    <mergeCell ref="N66:N70"/>
    <mergeCell ref="O66:O70"/>
    <mergeCell ref="P49:P55"/>
    <mergeCell ref="Q49:Q55"/>
    <mergeCell ref="R49:R55"/>
    <mergeCell ref="AH49:AH55"/>
    <mergeCell ref="H49:H55"/>
    <mergeCell ref="I49:I55"/>
    <mergeCell ref="J49:J55"/>
    <mergeCell ref="K49:K55"/>
    <mergeCell ref="L49:L55"/>
    <mergeCell ref="M49:M55"/>
    <mergeCell ref="P66:P70"/>
    <mergeCell ref="Q66:Q70"/>
    <mergeCell ref="R66:R70"/>
    <mergeCell ref="AH66:AH70"/>
    <mergeCell ref="H66:H70"/>
    <mergeCell ref="I66:I70"/>
    <mergeCell ref="J66:J70"/>
    <mergeCell ref="K66:K70"/>
    <mergeCell ref="L66:L70"/>
    <mergeCell ref="M66:M70"/>
    <mergeCell ref="O71:O108"/>
    <mergeCell ref="P71:P108"/>
    <mergeCell ref="Q71:Q108"/>
    <mergeCell ref="R71:R108"/>
    <mergeCell ref="AH71:AH108"/>
    <mergeCell ref="M71:M108"/>
    <mergeCell ref="N71:N108"/>
    <mergeCell ref="I71:I108"/>
    <mergeCell ref="J71:J108"/>
    <mergeCell ref="K71:K108"/>
    <mergeCell ref="L71:L108"/>
    <mergeCell ref="C71:C108"/>
    <mergeCell ref="D71:D108"/>
    <mergeCell ref="E71:E108"/>
    <mergeCell ref="F71:F108"/>
    <mergeCell ref="G71:G108"/>
    <mergeCell ref="H71:H108"/>
    <mergeCell ref="Q109:Q113"/>
    <mergeCell ref="R109:R113"/>
    <mergeCell ref="AH109:AH113"/>
    <mergeCell ref="H109:H113"/>
    <mergeCell ref="I109:I113"/>
    <mergeCell ref="J109:J113"/>
    <mergeCell ref="K109:K113"/>
    <mergeCell ref="L109:L113"/>
    <mergeCell ref="M109:M113"/>
    <mergeCell ref="C114:C118"/>
    <mergeCell ref="D114:D118"/>
    <mergeCell ref="E114:E118"/>
    <mergeCell ref="F114:F118"/>
    <mergeCell ref="G114:G118"/>
    <mergeCell ref="H114:H118"/>
    <mergeCell ref="N109:N113"/>
    <mergeCell ref="O109:O113"/>
    <mergeCell ref="P109:P113"/>
    <mergeCell ref="O114:O118"/>
    <mergeCell ref="P114:P118"/>
    <mergeCell ref="C109:C113"/>
    <mergeCell ref="D109:D113"/>
    <mergeCell ref="E109:E113"/>
    <mergeCell ref="F109:F113"/>
    <mergeCell ref="G109:G113"/>
    <mergeCell ref="Q114:Q118"/>
    <mergeCell ref="R114:R118"/>
    <mergeCell ref="AH114:AH118"/>
    <mergeCell ref="S119:Z119"/>
    <mergeCell ref="AE119:AH119"/>
    <mergeCell ref="I114:I118"/>
    <mergeCell ref="J114:J118"/>
    <mergeCell ref="K114:K118"/>
    <mergeCell ref="L114:L118"/>
    <mergeCell ref="M114:M118"/>
    <mergeCell ref="N114:N118"/>
    <mergeCell ref="B120:B193"/>
    <mergeCell ref="C120:C124"/>
    <mergeCell ref="D120:D124"/>
    <mergeCell ref="E120:E124"/>
    <mergeCell ref="F120:F124"/>
    <mergeCell ref="G120:G124"/>
    <mergeCell ref="C125:C129"/>
    <mergeCell ref="D125:D129"/>
    <mergeCell ref="E125:E129"/>
    <mergeCell ref="F125:F129"/>
    <mergeCell ref="C135:C142"/>
    <mergeCell ref="D135:D142"/>
    <mergeCell ref="E135:E142"/>
    <mergeCell ref="F135:F142"/>
    <mergeCell ref="G135:G142"/>
    <mergeCell ref="C148:C152"/>
    <mergeCell ref="D148:D152"/>
    <mergeCell ref="E148:E152"/>
    <mergeCell ref="F148:F152"/>
    <mergeCell ref="G148:G152"/>
    <mergeCell ref="C143:C147"/>
    <mergeCell ref="D143:D147"/>
    <mergeCell ref="E143:E147"/>
    <mergeCell ref="F143:F147"/>
    <mergeCell ref="H120:H124"/>
    <mergeCell ref="I120:I124"/>
    <mergeCell ref="J120:J124"/>
    <mergeCell ref="K120:K124"/>
    <mergeCell ref="L120:L124"/>
    <mergeCell ref="M120:M124"/>
    <mergeCell ref="L130:L134"/>
    <mergeCell ref="M130:M134"/>
    <mergeCell ref="N130:N134"/>
    <mergeCell ref="J125:J129"/>
    <mergeCell ref="K125:K129"/>
    <mergeCell ref="L125:L129"/>
    <mergeCell ref="N120:N124"/>
    <mergeCell ref="M125:M129"/>
    <mergeCell ref="N125:N129"/>
    <mergeCell ref="O120:O124"/>
    <mergeCell ref="P120:P124"/>
    <mergeCell ref="Q120:Q124"/>
    <mergeCell ref="R120:R124"/>
    <mergeCell ref="AH120:AH124"/>
    <mergeCell ref="O130:O134"/>
    <mergeCell ref="P130:P134"/>
    <mergeCell ref="Q130:Q134"/>
    <mergeCell ref="AH125:AH129"/>
    <mergeCell ref="O125:O129"/>
    <mergeCell ref="P125:P129"/>
    <mergeCell ref="Q125:Q129"/>
    <mergeCell ref="R125:R129"/>
    <mergeCell ref="C130:C134"/>
    <mergeCell ref="D130:D134"/>
    <mergeCell ref="E130:E134"/>
    <mergeCell ref="F130:F134"/>
    <mergeCell ref="G130:G134"/>
    <mergeCell ref="H130:H134"/>
    <mergeCell ref="I130:I134"/>
    <mergeCell ref="J130:J134"/>
    <mergeCell ref="K130:K134"/>
    <mergeCell ref="G125:G129"/>
    <mergeCell ref="H125:H129"/>
    <mergeCell ref="I125:I129"/>
    <mergeCell ref="R130:R134"/>
    <mergeCell ref="AH130:AH134"/>
    <mergeCell ref="G143:G147"/>
    <mergeCell ref="H143:H147"/>
    <mergeCell ref="I143:I147"/>
    <mergeCell ref="K135:K142"/>
    <mergeCell ref="L135:L142"/>
    <mergeCell ref="N135:N142"/>
    <mergeCell ref="O135:O142"/>
    <mergeCell ref="P135:P142"/>
    <mergeCell ref="P143:P147"/>
    <mergeCell ref="M135:M142"/>
    <mergeCell ref="Q143:Q147"/>
    <mergeCell ref="R143:R147"/>
    <mergeCell ref="AH143:AH147"/>
    <mergeCell ref="H135:H142"/>
    <mergeCell ref="I135:I142"/>
    <mergeCell ref="J135:J142"/>
    <mergeCell ref="H148:H152"/>
    <mergeCell ref="J143:J147"/>
    <mergeCell ref="K143:K147"/>
    <mergeCell ref="L143:L147"/>
    <mergeCell ref="M143:M147"/>
    <mergeCell ref="N143:N147"/>
    <mergeCell ref="O143:O147"/>
    <mergeCell ref="O148:O152"/>
    <mergeCell ref="P148:P152"/>
    <mergeCell ref="Q148:Q152"/>
    <mergeCell ref="R148:R152"/>
    <mergeCell ref="AH148:AH152"/>
    <mergeCell ref="M148:M152"/>
    <mergeCell ref="N148:N152"/>
    <mergeCell ref="Q135:Q142"/>
    <mergeCell ref="R135:R142"/>
    <mergeCell ref="AH135:AH142"/>
    <mergeCell ref="C153:C157"/>
    <mergeCell ref="D153:D157"/>
    <mergeCell ref="E153:E157"/>
    <mergeCell ref="F153:F157"/>
    <mergeCell ref="G153:G157"/>
    <mergeCell ref="I148:I152"/>
    <mergeCell ref="J148:J152"/>
    <mergeCell ref="K148:K152"/>
    <mergeCell ref="L148:L152"/>
    <mergeCell ref="N153:N157"/>
    <mergeCell ref="O153:O157"/>
    <mergeCell ref="P153:P157"/>
    <mergeCell ref="Q153:Q157"/>
    <mergeCell ref="R153:R157"/>
    <mergeCell ref="AH153:AH157"/>
    <mergeCell ref="H153:H157"/>
    <mergeCell ref="I153:I157"/>
    <mergeCell ref="J153:J157"/>
    <mergeCell ref="K153:K157"/>
    <mergeCell ref="L153:L157"/>
    <mergeCell ref="M153:M157"/>
    <mergeCell ref="O158:O162"/>
    <mergeCell ref="P158:P162"/>
    <mergeCell ref="Q158:Q162"/>
    <mergeCell ref="R158:R162"/>
    <mergeCell ref="AH158:AH162"/>
    <mergeCell ref="C163:C167"/>
    <mergeCell ref="D163:D167"/>
    <mergeCell ref="E163:E167"/>
    <mergeCell ref="F163:F167"/>
    <mergeCell ref="G163:G167"/>
    <mergeCell ref="I158:I162"/>
    <mergeCell ref="J158:J162"/>
    <mergeCell ref="K158:K162"/>
    <mergeCell ref="L158:L162"/>
    <mergeCell ref="M158:M162"/>
    <mergeCell ref="N158:N162"/>
    <mergeCell ref="C158:C162"/>
    <mergeCell ref="D158:D162"/>
    <mergeCell ref="E158:E162"/>
    <mergeCell ref="F158:F162"/>
    <mergeCell ref="G158:G162"/>
    <mergeCell ref="H158:H162"/>
    <mergeCell ref="N163:N167"/>
    <mergeCell ref="O163:O167"/>
    <mergeCell ref="P163:P167"/>
    <mergeCell ref="Q163:Q167"/>
    <mergeCell ref="R163:R167"/>
    <mergeCell ref="AH163:AH167"/>
    <mergeCell ref="H163:H167"/>
    <mergeCell ref="I163:I167"/>
    <mergeCell ref="J163:J167"/>
    <mergeCell ref="K163:K167"/>
    <mergeCell ref="L163:L167"/>
    <mergeCell ref="M163:M167"/>
    <mergeCell ref="O168:O172"/>
    <mergeCell ref="P168:P172"/>
    <mergeCell ref="Q168:Q172"/>
    <mergeCell ref="R168:R172"/>
    <mergeCell ref="AH168:AH172"/>
    <mergeCell ref="C173:C177"/>
    <mergeCell ref="D173:D177"/>
    <mergeCell ref="E173:E177"/>
    <mergeCell ref="F173:F177"/>
    <mergeCell ref="G173:G177"/>
    <mergeCell ref="I168:I172"/>
    <mergeCell ref="J168:J172"/>
    <mergeCell ref="K168:K172"/>
    <mergeCell ref="L168:L172"/>
    <mergeCell ref="M168:M172"/>
    <mergeCell ref="N168:N172"/>
    <mergeCell ref="C168:C172"/>
    <mergeCell ref="D168:D172"/>
    <mergeCell ref="E168:E172"/>
    <mergeCell ref="F168:F172"/>
    <mergeCell ref="G168:G172"/>
    <mergeCell ref="H168:H172"/>
    <mergeCell ref="N173:N177"/>
    <mergeCell ref="O173:O177"/>
    <mergeCell ref="P173:P177"/>
    <mergeCell ref="Q173:Q177"/>
    <mergeCell ref="R173:R177"/>
    <mergeCell ref="AH173:AH177"/>
    <mergeCell ref="H173:H177"/>
    <mergeCell ref="I173:I177"/>
    <mergeCell ref="J173:J177"/>
    <mergeCell ref="K173:K177"/>
    <mergeCell ref="L173:L177"/>
    <mergeCell ref="M173:M177"/>
    <mergeCell ref="O178:O182"/>
    <mergeCell ref="P178:P182"/>
    <mergeCell ref="Q178:Q182"/>
    <mergeCell ref="R178:R182"/>
    <mergeCell ref="AH178:AH182"/>
    <mergeCell ref="M178:M182"/>
    <mergeCell ref="N178:N182"/>
    <mergeCell ref="I178:I182"/>
    <mergeCell ref="J178:J182"/>
    <mergeCell ref="K178:K182"/>
    <mergeCell ref="L178:L182"/>
    <mergeCell ref="C178:C182"/>
    <mergeCell ref="D178:D182"/>
    <mergeCell ref="E178:E182"/>
    <mergeCell ref="F178:F182"/>
    <mergeCell ref="G178:G182"/>
    <mergeCell ref="H178:H182"/>
    <mergeCell ref="Q183:Q187"/>
    <mergeCell ref="R183:R187"/>
    <mergeCell ref="AH183:AH187"/>
    <mergeCell ref="H183:H187"/>
    <mergeCell ref="I183:I187"/>
    <mergeCell ref="J183:J187"/>
    <mergeCell ref="K183:K187"/>
    <mergeCell ref="L183:L187"/>
    <mergeCell ref="M183:M187"/>
    <mergeCell ref="C188:C192"/>
    <mergeCell ref="D188:D192"/>
    <mergeCell ref="E188:E192"/>
    <mergeCell ref="F188:F192"/>
    <mergeCell ref="G188:G192"/>
    <mergeCell ref="H188:H192"/>
    <mergeCell ref="N183:N187"/>
    <mergeCell ref="O183:O187"/>
    <mergeCell ref="P183:P187"/>
    <mergeCell ref="O188:O192"/>
    <mergeCell ref="P188:P192"/>
    <mergeCell ref="C183:C187"/>
    <mergeCell ref="D183:D187"/>
    <mergeCell ref="E183:E187"/>
    <mergeCell ref="F183:F187"/>
    <mergeCell ref="G183:G187"/>
    <mergeCell ref="Q188:Q192"/>
    <mergeCell ref="R188:R192"/>
    <mergeCell ref="AH188:AH192"/>
    <mergeCell ref="S193:Z193"/>
    <mergeCell ref="AE193:AH193"/>
    <mergeCell ref="I188:I192"/>
    <mergeCell ref="J188:J192"/>
    <mergeCell ref="K188:K192"/>
    <mergeCell ref="L188:L192"/>
    <mergeCell ref="M188:M192"/>
    <mergeCell ref="N188:N192"/>
    <mergeCell ref="B194:B246"/>
    <mergeCell ref="C194:C208"/>
    <mergeCell ref="D194:D208"/>
    <mergeCell ref="E194:E208"/>
    <mergeCell ref="F194:F208"/>
    <mergeCell ref="G194:G208"/>
    <mergeCell ref="C209:C213"/>
    <mergeCell ref="D209:D213"/>
    <mergeCell ref="E209:E213"/>
    <mergeCell ref="F209:F213"/>
    <mergeCell ref="C222:C226"/>
    <mergeCell ref="D222:D226"/>
    <mergeCell ref="E222:E226"/>
    <mergeCell ref="F222:F226"/>
    <mergeCell ref="G222:G226"/>
    <mergeCell ref="C231:C235"/>
    <mergeCell ref="D231:D235"/>
    <mergeCell ref="E231:E235"/>
    <mergeCell ref="F231:F235"/>
    <mergeCell ref="G231:G235"/>
    <mergeCell ref="C241:C245"/>
    <mergeCell ref="D241:D245"/>
    <mergeCell ref="E241:E245"/>
    <mergeCell ref="F241:F245"/>
    <mergeCell ref="H209:H213"/>
    <mergeCell ref="I209:I213"/>
    <mergeCell ref="J209:J213"/>
    <mergeCell ref="K209:K213"/>
    <mergeCell ref="L209:L213"/>
    <mergeCell ref="R214:R221"/>
    <mergeCell ref="AH214:AH221"/>
    <mergeCell ref="N194:N208"/>
    <mergeCell ref="O194:O208"/>
    <mergeCell ref="P194:P208"/>
    <mergeCell ref="Q194:Q208"/>
    <mergeCell ref="R194:R208"/>
    <mergeCell ref="AH194:AH208"/>
    <mergeCell ref="H194:H208"/>
    <mergeCell ref="I194:I208"/>
    <mergeCell ref="J194:J208"/>
    <mergeCell ref="K194:K208"/>
    <mergeCell ref="L194:L208"/>
    <mergeCell ref="M194:M208"/>
    <mergeCell ref="L214:L221"/>
    <mergeCell ref="M214:M221"/>
    <mergeCell ref="N214:N221"/>
    <mergeCell ref="O214:O221"/>
    <mergeCell ref="P214:P221"/>
    <mergeCell ref="Q214:Q221"/>
    <mergeCell ref="Q222:Q226"/>
    <mergeCell ref="AH209:AH213"/>
    <mergeCell ref="C214:C221"/>
    <mergeCell ref="D214:D221"/>
    <mergeCell ref="E214:E221"/>
    <mergeCell ref="F214:F221"/>
    <mergeCell ref="G214:G221"/>
    <mergeCell ref="H214:H221"/>
    <mergeCell ref="I214:I221"/>
    <mergeCell ref="J214:J221"/>
    <mergeCell ref="K214:K221"/>
    <mergeCell ref="M209:M213"/>
    <mergeCell ref="N209:N213"/>
    <mergeCell ref="O209:O213"/>
    <mergeCell ref="P209:P213"/>
    <mergeCell ref="Q209:Q213"/>
    <mergeCell ref="R209:R213"/>
    <mergeCell ref="G209:G213"/>
    <mergeCell ref="AH222:AH226"/>
    <mergeCell ref="M222:M226"/>
    <mergeCell ref="N222:N226"/>
    <mergeCell ref="O222:O226"/>
    <mergeCell ref="P222:P226"/>
    <mergeCell ref="C227:C230"/>
    <mergeCell ref="D227:D230"/>
    <mergeCell ref="E227:E230"/>
    <mergeCell ref="F227:F230"/>
    <mergeCell ref="G227:G230"/>
    <mergeCell ref="H227:H230"/>
    <mergeCell ref="I227:I230"/>
    <mergeCell ref="K222:K226"/>
    <mergeCell ref="L222:L226"/>
    <mergeCell ref="AH231:AH235"/>
    <mergeCell ref="M231:M235"/>
    <mergeCell ref="N231:N235"/>
    <mergeCell ref="Q236:Q240"/>
    <mergeCell ref="R236:R240"/>
    <mergeCell ref="AH236:AH240"/>
    <mergeCell ref="P227:P230"/>
    <mergeCell ref="Q227:Q230"/>
    <mergeCell ref="R227:R230"/>
    <mergeCell ref="AH227:AH230"/>
    <mergeCell ref="M227:M230"/>
    <mergeCell ref="N227:N230"/>
    <mergeCell ref="O227:O230"/>
    <mergeCell ref="I231:I235"/>
    <mergeCell ref="J231:J235"/>
    <mergeCell ref="K231:K235"/>
    <mergeCell ref="L231:L235"/>
    <mergeCell ref="H231:H235"/>
    <mergeCell ref="O231:O235"/>
    <mergeCell ref="P231:P235"/>
    <mergeCell ref="R222:R226"/>
    <mergeCell ref="Q231:Q235"/>
    <mergeCell ref="R231:R235"/>
    <mergeCell ref="H222:H226"/>
    <mergeCell ref="I222:I226"/>
    <mergeCell ref="J222:J226"/>
    <mergeCell ref="J227:J230"/>
    <mergeCell ref="K227:K230"/>
    <mergeCell ref="L227:L230"/>
    <mergeCell ref="G241:G245"/>
    <mergeCell ref="H241:H245"/>
    <mergeCell ref="N236:N240"/>
    <mergeCell ref="O236:O240"/>
    <mergeCell ref="P236:P240"/>
    <mergeCell ref="O241:O245"/>
    <mergeCell ref="P241:P245"/>
    <mergeCell ref="C236:C240"/>
    <mergeCell ref="D236:D240"/>
    <mergeCell ref="E236:E240"/>
    <mergeCell ref="F236:F240"/>
    <mergeCell ref="G236:G240"/>
    <mergeCell ref="H236:H240"/>
    <mergeCell ref="I236:I240"/>
    <mergeCell ref="J236:J240"/>
    <mergeCell ref="K236:K240"/>
    <mergeCell ref="L236:L240"/>
    <mergeCell ref="M236:M240"/>
    <mergeCell ref="Q241:Q245"/>
    <mergeCell ref="R241:R245"/>
    <mergeCell ref="AH241:AH245"/>
    <mergeCell ref="S246:Z246"/>
    <mergeCell ref="AE246:AH246"/>
    <mergeCell ref="I241:I245"/>
    <mergeCell ref="J241:J245"/>
    <mergeCell ref="K241:K245"/>
    <mergeCell ref="L241:L245"/>
    <mergeCell ref="M241:M245"/>
    <mergeCell ref="N241:N245"/>
    <mergeCell ref="B247:B310"/>
    <mergeCell ref="C247:C251"/>
    <mergeCell ref="D247:D251"/>
    <mergeCell ref="E247:E251"/>
    <mergeCell ref="F247:F251"/>
    <mergeCell ref="G247:G251"/>
    <mergeCell ref="C252:C257"/>
    <mergeCell ref="D252:D257"/>
    <mergeCell ref="E252:E257"/>
    <mergeCell ref="F252:F257"/>
    <mergeCell ref="C265:C269"/>
    <mergeCell ref="D265:D269"/>
    <mergeCell ref="E265:E269"/>
    <mergeCell ref="F265:F269"/>
    <mergeCell ref="G265:G269"/>
    <mergeCell ref="C275:C279"/>
    <mergeCell ref="D275:D279"/>
    <mergeCell ref="E275:E279"/>
    <mergeCell ref="F275:F279"/>
    <mergeCell ref="G275:G279"/>
    <mergeCell ref="C270:C274"/>
    <mergeCell ref="D270:D274"/>
    <mergeCell ref="E270:E274"/>
    <mergeCell ref="F270:F274"/>
    <mergeCell ref="H247:H251"/>
    <mergeCell ref="I247:I251"/>
    <mergeCell ref="J247:J251"/>
    <mergeCell ref="K247:K251"/>
    <mergeCell ref="L247:L251"/>
    <mergeCell ref="M247:M251"/>
    <mergeCell ref="L258:L264"/>
    <mergeCell ref="M258:M264"/>
    <mergeCell ref="N258:N264"/>
    <mergeCell ref="K252:K257"/>
    <mergeCell ref="L252:L257"/>
    <mergeCell ref="N247:N251"/>
    <mergeCell ref="M252:M257"/>
    <mergeCell ref="N252:N257"/>
    <mergeCell ref="O247:O251"/>
    <mergeCell ref="P247:P251"/>
    <mergeCell ref="Q247:Q251"/>
    <mergeCell ref="R247:R251"/>
    <mergeCell ref="AH247:AH251"/>
    <mergeCell ref="O258:O264"/>
    <mergeCell ref="P258:P264"/>
    <mergeCell ref="Q258:Q264"/>
    <mergeCell ref="AH252:AH257"/>
    <mergeCell ref="O252:O257"/>
    <mergeCell ref="P252:P257"/>
    <mergeCell ref="Q252:Q257"/>
    <mergeCell ref="R252:R257"/>
    <mergeCell ref="C258:C264"/>
    <mergeCell ref="D258:D264"/>
    <mergeCell ref="E258:E264"/>
    <mergeCell ref="F258:F264"/>
    <mergeCell ref="G258:G264"/>
    <mergeCell ref="H258:H264"/>
    <mergeCell ref="I258:I264"/>
    <mergeCell ref="J258:J264"/>
    <mergeCell ref="K258:K264"/>
    <mergeCell ref="G252:G257"/>
    <mergeCell ref="H252:H257"/>
    <mergeCell ref="I252:I257"/>
    <mergeCell ref="J252:J257"/>
    <mergeCell ref="R258:R264"/>
    <mergeCell ref="AH258:AH264"/>
    <mergeCell ref="G270:G274"/>
    <mergeCell ref="H270:H274"/>
    <mergeCell ref="I270:I274"/>
    <mergeCell ref="K265:K269"/>
    <mergeCell ref="L265:L269"/>
    <mergeCell ref="M265:M269"/>
    <mergeCell ref="N265:N269"/>
    <mergeCell ref="O265:O269"/>
    <mergeCell ref="P265:P269"/>
    <mergeCell ref="P270:P274"/>
    <mergeCell ref="Q270:Q274"/>
    <mergeCell ref="R270:R274"/>
    <mergeCell ref="AH270:AH274"/>
    <mergeCell ref="H265:H269"/>
    <mergeCell ref="I265:I269"/>
    <mergeCell ref="J265:J269"/>
    <mergeCell ref="H275:H279"/>
    <mergeCell ref="J270:J274"/>
    <mergeCell ref="K270:K274"/>
    <mergeCell ref="L270:L274"/>
    <mergeCell ref="M270:M274"/>
    <mergeCell ref="N270:N274"/>
    <mergeCell ref="O270:O274"/>
    <mergeCell ref="O275:O279"/>
    <mergeCell ref="P275:P279"/>
    <mergeCell ref="Q275:Q279"/>
    <mergeCell ref="R275:R279"/>
    <mergeCell ref="AH275:AH279"/>
    <mergeCell ref="M275:M279"/>
    <mergeCell ref="N275:N279"/>
    <mergeCell ref="Q265:Q269"/>
    <mergeCell ref="R265:R269"/>
    <mergeCell ref="AH265:AH269"/>
    <mergeCell ref="C280:C284"/>
    <mergeCell ref="D280:D284"/>
    <mergeCell ref="E280:E284"/>
    <mergeCell ref="F280:F284"/>
    <mergeCell ref="G280:G284"/>
    <mergeCell ref="I275:I279"/>
    <mergeCell ref="J275:J279"/>
    <mergeCell ref="K275:K279"/>
    <mergeCell ref="L275:L279"/>
    <mergeCell ref="N280:N284"/>
    <mergeCell ref="O280:O284"/>
    <mergeCell ref="P280:P284"/>
    <mergeCell ref="Q280:Q284"/>
    <mergeCell ref="R280:R284"/>
    <mergeCell ref="AH280:AH284"/>
    <mergeCell ref="H280:H284"/>
    <mergeCell ref="I280:I284"/>
    <mergeCell ref="J280:J284"/>
    <mergeCell ref="K280:K284"/>
    <mergeCell ref="L280:L284"/>
    <mergeCell ref="M280:M284"/>
    <mergeCell ref="O285:O289"/>
    <mergeCell ref="P285:P289"/>
    <mergeCell ref="Q285:Q289"/>
    <mergeCell ref="R285:R289"/>
    <mergeCell ref="AH285:AH289"/>
    <mergeCell ref="C290:C294"/>
    <mergeCell ref="D290:D294"/>
    <mergeCell ref="E290:E294"/>
    <mergeCell ref="F290:F294"/>
    <mergeCell ref="G290:G294"/>
    <mergeCell ref="I285:I289"/>
    <mergeCell ref="J285:J289"/>
    <mergeCell ref="K285:K289"/>
    <mergeCell ref="L285:L289"/>
    <mergeCell ref="M285:M289"/>
    <mergeCell ref="N285:N289"/>
    <mergeCell ref="C285:C289"/>
    <mergeCell ref="D285:D289"/>
    <mergeCell ref="E285:E289"/>
    <mergeCell ref="F285:F289"/>
    <mergeCell ref="G285:G289"/>
    <mergeCell ref="H285:H289"/>
    <mergeCell ref="N290:N294"/>
    <mergeCell ref="O290:O294"/>
    <mergeCell ref="P290:P294"/>
    <mergeCell ref="Q290:Q294"/>
    <mergeCell ref="R290:R294"/>
    <mergeCell ref="AH290:AH294"/>
    <mergeCell ref="H290:H294"/>
    <mergeCell ref="I290:I294"/>
    <mergeCell ref="J290:J294"/>
    <mergeCell ref="K290:K294"/>
    <mergeCell ref="L290:L294"/>
    <mergeCell ref="M290:M294"/>
    <mergeCell ref="O295:O299"/>
    <mergeCell ref="P295:P299"/>
    <mergeCell ref="Q295:Q299"/>
    <mergeCell ref="R295:R299"/>
    <mergeCell ref="AH295:AH299"/>
    <mergeCell ref="C300:C304"/>
    <mergeCell ref="D300:D304"/>
    <mergeCell ref="E300:E304"/>
    <mergeCell ref="F300:F304"/>
    <mergeCell ref="G300:G304"/>
    <mergeCell ref="I295:I299"/>
    <mergeCell ref="J295:J299"/>
    <mergeCell ref="K295:K299"/>
    <mergeCell ref="L295:L299"/>
    <mergeCell ref="M295:M299"/>
    <mergeCell ref="N295:N299"/>
    <mergeCell ref="C295:C299"/>
    <mergeCell ref="D295:D299"/>
    <mergeCell ref="E295:E299"/>
    <mergeCell ref="F295:F299"/>
    <mergeCell ref="G295:G299"/>
    <mergeCell ref="H295:H299"/>
    <mergeCell ref="Q300:Q304"/>
    <mergeCell ref="R300:R304"/>
    <mergeCell ref="AH300:AH304"/>
    <mergeCell ref="H300:H304"/>
    <mergeCell ref="I300:I304"/>
    <mergeCell ref="J300:J304"/>
    <mergeCell ref="K300:K304"/>
    <mergeCell ref="L300:L304"/>
    <mergeCell ref="M300:M304"/>
    <mergeCell ref="C305:C309"/>
    <mergeCell ref="D305:D309"/>
    <mergeCell ref="E305:E309"/>
    <mergeCell ref="F305:F309"/>
    <mergeCell ref="G305:G309"/>
    <mergeCell ref="H305:H309"/>
    <mergeCell ref="I305:I309"/>
    <mergeCell ref="J305:J309"/>
    <mergeCell ref="K305:K309"/>
    <mergeCell ref="L305:L309"/>
    <mergeCell ref="M305:M309"/>
    <mergeCell ref="N300:N304"/>
    <mergeCell ref="O300:O304"/>
    <mergeCell ref="P300:P304"/>
    <mergeCell ref="O305:O309"/>
    <mergeCell ref="P305:P309"/>
    <mergeCell ref="Q305:Q309"/>
    <mergeCell ref="R305:R309"/>
    <mergeCell ref="AH305:AH309"/>
    <mergeCell ref="S310:Z310"/>
    <mergeCell ref="AE310:AH310"/>
    <mergeCell ref="N305:N309"/>
    <mergeCell ref="Z362:AD362"/>
    <mergeCell ref="U351:V351"/>
    <mergeCell ref="U352:V352"/>
    <mergeCell ref="U353:V353"/>
    <mergeCell ref="U354:V354"/>
    <mergeCell ref="U356:V356"/>
    <mergeCell ref="U357:W357"/>
    <mergeCell ref="AE311:AH311"/>
    <mergeCell ref="S312:AH312"/>
    <mergeCell ref="AD314:AE314"/>
    <mergeCell ref="U350:W350"/>
    <mergeCell ref="U363:V363"/>
    <mergeCell ref="U364:V364"/>
    <mergeCell ref="U365:V365"/>
    <mergeCell ref="U366:V366"/>
    <mergeCell ref="U358:V358"/>
    <mergeCell ref="U359:V359"/>
    <mergeCell ref="U360:V360"/>
    <mergeCell ref="U361:V361"/>
    <mergeCell ref="U362:V362"/>
    <mergeCell ref="F56:F65"/>
    <mergeCell ref="E56:E65"/>
    <mergeCell ref="D56:D65"/>
    <mergeCell ref="C56:C65"/>
    <mergeCell ref="M56:M65"/>
    <mergeCell ref="N56:N65"/>
    <mergeCell ref="O56:O65"/>
    <mergeCell ref="R56:R65"/>
    <mergeCell ref="Q56:Q65"/>
    <mergeCell ref="P56:P65"/>
    <mergeCell ref="L56:L65"/>
    <mergeCell ref="K56:K65"/>
    <mergeCell ref="J56:J65"/>
    <mergeCell ref="I56:I65"/>
    <mergeCell ref="H56:H65"/>
    <mergeCell ref="G56:G65"/>
  </mergeCells>
  <conditionalFormatting sqref="S12">
    <cfRule type="notContainsBlanks" dxfId="0" priority="1">
      <formula>LEN(TRIM(S12))&gt;0</formula>
    </cfRule>
  </conditionalFormatting>
  <dataValidations count="3">
    <dataValidation type="list" allowBlank="1" showErrorMessage="1" sqref="F9 F14 F19 F24 F29 F34 F39 F44 F49 F71 F109 F114 F120 F125 F130 F135 F143 F148 F153 F158 F163 F168 F173 F178 F183 F188 F194 F209 F214 F222 F227 F231 F236 F241 F247 F252 F258 F265 F270 F275 F280 F285 F290 F295 F300 F305 F56 F66" xr:uid="{00000000-0002-0000-1100-000000000000}">
      <formula1>INDIRECT($E9)</formula1>
    </dataValidation>
    <dataValidation type="list" allowBlank="1" showErrorMessage="1" sqref="E9 E14 E19 E24 E29 E34 E39 E44 E49 E71 E109 E114 E120 E125 E130 E135 E143 E148 E153 E158 E163 E168 E173 E178 E183 E188 E194 E209 E214 E222 E227 E231 E236 E241 E247 E252 E258 E265 E270 E275 E280 E285 E290 E295 E300 E305 E56 E66" xr:uid="{00000000-0002-0000-1100-000001000000}">
      <formula1>INDIRECT($G9)</formula1>
    </dataValidation>
    <dataValidation type="decimal" allowBlank="1" showInputMessage="1" showErrorMessage="1" prompt="DPLAN - Sólo debe ingresar valores, NO porcentajes." sqref="N14:O14 M19:O19 M24:O24 M29:N29 M39:O39 M44:O44 M49:O49 M66:O66 M71:O71 M109:O109 M114:O114 M125:O125 M130:O130 M135:O135 M143:O143 M148:O148 M153:O153 M158:O158 M163:O163 M168:O168 M173:O173 M178:O178 M183:O183 M188:O188 M209:O209 M214:O214 M222:O222 M227:O227 M236:O236 M241:O241 N252:O252 M258:O258 M265:O265 M275:O275 M280:O280 M285:O285 M290:O290 M295:O295 M300:O300 M305:O305 M56:O56" xr:uid="{00000000-0002-0000-11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Tecnologías de la Información y Comunicación&amp;C&amp;P</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36C09"/>
  </sheetPr>
  <dimension ref="A1:AI479"/>
  <sheetViews>
    <sheetView showGridLines="0" topLeftCell="U43" zoomScaleNormal="100" workbookViewId="0">
      <selection activeCell="Y45" sqref="Y45"/>
    </sheetView>
  </sheetViews>
  <sheetFormatPr baseColWidth="10" defaultColWidth="12.7109375" defaultRowHeight="15.75" customHeight="1"/>
  <cols>
    <col min="1" max="2" width="5" style="434" customWidth="1"/>
    <col min="3" max="6" width="25.7109375" style="434" customWidth="1"/>
    <col min="7" max="7" width="26.7109375" style="434" customWidth="1"/>
    <col min="8" max="12" width="25.7109375" style="434" customWidth="1"/>
    <col min="13" max="15" width="8.7109375" style="434" customWidth="1"/>
    <col min="16" max="18" width="25.7109375" style="434" customWidth="1"/>
    <col min="19" max="19" width="22.7109375" style="434" customWidth="1"/>
    <col min="20" max="21" width="18.7109375" style="434" customWidth="1"/>
    <col min="22" max="22" width="40.7109375" style="434" customWidth="1"/>
    <col min="23" max="23" width="22.140625" style="434" customWidth="1"/>
    <col min="24" max="24" width="12.7109375" style="434" customWidth="1"/>
    <col min="25" max="25" width="17" style="434" customWidth="1"/>
    <col min="26" max="26" width="16.5703125" style="434" bestFit="1" customWidth="1"/>
    <col min="27" max="27" width="14.42578125" style="434" customWidth="1"/>
    <col min="28" max="28" width="17.140625" style="434" bestFit="1" customWidth="1"/>
    <col min="29" max="29" width="12.140625" style="803" customWidth="1"/>
    <col min="30" max="30" width="10.28515625" style="803" customWidth="1"/>
    <col min="31" max="33" width="8.7109375" style="434" customWidth="1"/>
    <col min="34" max="34" width="19.7109375" style="434" customWidth="1"/>
    <col min="35" max="16384" width="12.7109375" style="434"/>
  </cols>
  <sheetData>
    <row r="1" spans="1:35" ht="42" customHeight="1">
      <c r="A1" s="8824" t="s">
        <v>0</v>
      </c>
      <c r="B1" s="9000"/>
      <c r="C1" s="9000"/>
      <c r="D1" s="9000"/>
      <c r="E1" s="9000"/>
      <c r="F1" s="9000"/>
      <c r="G1" s="9000"/>
      <c r="H1" s="9000"/>
      <c r="I1" s="9000"/>
      <c r="J1" s="9000"/>
      <c r="K1" s="9000"/>
      <c r="L1" s="9000"/>
      <c r="M1" s="9000"/>
      <c r="N1" s="9000"/>
      <c r="O1" s="9000"/>
      <c r="P1" s="9000"/>
      <c r="Q1" s="9000"/>
      <c r="R1" s="9000"/>
      <c r="S1" s="9000"/>
      <c r="T1" s="9000"/>
      <c r="U1" s="9000"/>
      <c r="V1" s="9000"/>
      <c r="W1" s="9000"/>
      <c r="X1" s="9000"/>
      <c r="Y1" s="9000"/>
      <c r="Z1" s="9000"/>
      <c r="AA1" s="9000"/>
      <c r="AB1" s="9000"/>
      <c r="AC1" s="9000"/>
      <c r="AD1" s="9000"/>
      <c r="AE1" s="9000"/>
      <c r="AF1" s="9000"/>
      <c r="AG1" s="9000"/>
      <c r="AH1" s="9000"/>
    </row>
    <row r="2" spans="1:35" ht="30">
      <c r="A2" s="8826" t="s">
        <v>1</v>
      </c>
      <c r="B2" s="9001"/>
      <c r="C2" s="9001"/>
      <c r="D2" s="9001"/>
      <c r="E2" s="9001"/>
      <c r="F2" s="9001"/>
      <c r="G2" s="9001"/>
      <c r="H2" s="9001"/>
      <c r="I2" s="9001"/>
      <c r="J2" s="9001"/>
      <c r="K2" s="9001"/>
      <c r="L2" s="9001"/>
      <c r="M2" s="9001"/>
      <c r="N2" s="9001"/>
      <c r="O2" s="9001"/>
      <c r="P2" s="9001"/>
      <c r="Q2" s="9001"/>
      <c r="R2" s="9001"/>
      <c r="S2" s="9001"/>
      <c r="T2" s="9001"/>
      <c r="U2" s="9001"/>
      <c r="V2" s="9001"/>
      <c r="W2" s="9001"/>
      <c r="X2" s="9001"/>
      <c r="Y2" s="9001"/>
      <c r="Z2" s="9001"/>
      <c r="AA2" s="9001"/>
      <c r="AB2" s="9001"/>
      <c r="AC2" s="9001"/>
      <c r="AD2" s="9001"/>
      <c r="AE2" s="9001"/>
      <c r="AF2" s="9001"/>
      <c r="AG2" s="9001"/>
      <c r="AH2" s="9001"/>
    </row>
    <row r="3" spans="1:35" ht="30.75">
      <c r="A3" s="8828" t="s">
        <v>2954</v>
      </c>
      <c r="B3" s="9000"/>
      <c r="C3" s="9000"/>
      <c r="D3" s="9000"/>
      <c r="E3" s="9000"/>
      <c r="F3" s="9000"/>
      <c r="G3" s="9000"/>
      <c r="H3" s="9000"/>
      <c r="I3" s="9000"/>
      <c r="J3" s="9000"/>
      <c r="K3" s="9000"/>
      <c r="L3" s="9000"/>
      <c r="M3" s="9000"/>
      <c r="N3" s="9000"/>
      <c r="O3" s="9000"/>
      <c r="P3" s="9000"/>
      <c r="Q3" s="9000"/>
      <c r="R3" s="9000"/>
      <c r="S3" s="9000"/>
      <c r="T3" s="9000"/>
      <c r="U3" s="9000"/>
      <c r="V3" s="9000"/>
      <c r="W3" s="9000"/>
      <c r="X3" s="9000"/>
      <c r="Y3" s="9000"/>
      <c r="Z3" s="9000"/>
      <c r="AA3" s="9000"/>
      <c r="AB3" s="9000"/>
      <c r="AC3" s="9000"/>
      <c r="AD3" s="9000"/>
      <c r="AE3" s="9000"/>
      <c r="AF3" s="9000"/>
      <c r="AG3" s="9000"/>
      <c r="AH3" s="9000"/>
    </row>
    <row r="4" spans="1:35" ht="26.25">
      <c r="A4" s="8829" t="s">
        <v>88</v>
      </c>
      <c r="B4" s="9000"/>
      <c r="C4" s="9000"/>
      <c r="D4" s="9000"/>
      <c r="E4" s="9000"/>
      <c r="F4" s="9000"/>
      <c r="G4" s="9000"/>
      <c r="H4" s="9000"/>
      <c r="I4" s="9000"/>
      <c r="J4" s="9000"/>
      <c r="K4" s="9000"/>
      <c r="L4" s="9000"/>
      <c r="M4" s="9000"/>
      <c r="N4" s="9000"/>
      <c r="O4" s="9000"/>
      <c r="P4" s="9000"/>
      <c r="Q4" s="9000"/>
      <c r="R4" s="9000"/>
      <c r="S4" s="9000"/>
      <c r="T4" s="9000"/>
      <c r="U4" s="9000"/>
      <c r="V4" s="9000"/>
      <c r="W4" s="9000"/>
      <c r="X4" s="9000"/>
      <c r="Y4" s="9000"/>
      <c r="Z4" s="9000"/>
      <c r="AA4" s="9000"/>
      <c r="AB4" s="9000"/>
      <c r="AC4" s="9000"/>
      <c r="AD4" s="9000"/>
      <c r="AE4" s="9000"/>
      <c r="AF4" s="9000"/>
      <c r="AG4" s="9000"/>
      <c r="AH4" s="9000"/>
    </row>
    <row r="5" spans="1:35" ht="16.5" customHeight="1">
      <c r="A5" s="604"/>
      <c r="B5" s="604"/>
      <c r="C5" s="604"/>
      <c r="D5" s="604"/>
      <c r="E5" s="604"/>
      <c r="F5" s="604"/>
      <c r="G5" s="604"/>
      <c r="H5" s="604"/>
      <c r="I5" s="604"/>
      <c r="J5" s="604"/>
      <c r="K5" s="604"/>
      <c r="L5" s="604"/>
      <c r="M5" s="604"/>
      <c r="N5" s="604"/>
      <c r="O5" s="604"/>
      <c r="P5" s="604"/>
      <c r="Q5" s="604"/>
      <c r="R5" s="604"/>
      <c r="S5" s="891"/>
      <c r="T5" s="891"/>
      <c r="U5" s="891"/>
      <c r="V5" s="891"/>
      <c r="W5" s="891"/>
      <c r="X5" s="891"/>
      <c r="Y5" s="891"/>
      <c r="Z5" s="891"/>
      <c r="AA5" s="891"/>
      <c r="AB5" s="891"/>
      <c r="AC5" s="892"/>
      <c r="AD5" s="892"/>
      <c r="AE5" s="891"/>
      <c r="AF5" s="891"/>
      <c r="AG5" s="891"/>
      <c r="AH5" s="891"/>
    </row>
    <row r="6" spans="1:35" ht="24.75" customHeight="1">
      <c r="A6" s="9002" t="s">
        <v>89</v>
      </c>
      <c r="B6" s="9003"/>
      <c r="C6" s="8832" t="s">
        <v>90</v>
      </c>
      <c r="D6" s="9009"/>
      <c r="E6" s="9010" t="s">
        <v>91</v>
      </c>
      <c r="F6" s="9011"/>
      <c r="G6" s="9011"/>
      <c r="H6" s="9011"/>
      <c r="I6" s="9011"/>
      <c r="J6" s="8988" t="s">
        <v>92</v>
      </c>
      <c r="K6" s="8989"/>
      <c r="L6" s="8989"/>
      <c r="M6" s="8989"/>
      <c r="N6" s="8989"/>
      <c r="O6" s="8989"/>
      <c r="P6" s="8989"/>
      <c r="Q6" s="8989"/>
      <c r="R6" s="8990"/>
      <c r="S6" s="10427" t="s">
        <v>93</v>
      </c>
      <c r="T6" s="9151"/>
      <c r="U6" s="9151"/>
      <c r="V6" s="9151"/>
      <c r="W6" s="9151"/>
      <c r="X6" s="9151"/>
      <c r="Y6" s="9151"/>
      <c r="Z6" s="9151"/>
      <c r="AA6" s="9151"/>
      <c r="AB6" s="9151"/>
      <c r="AC6" s="9151"/>
      <c r="AD6" s="9151"/>
      <c r="AE6" s="9151"/>
      <c r="AF6" s="9151"/>
      <c r="AG6" s="9151"/>
      <c r="AH6" s="9152"/>
      <c r="AI6" s="819"/>
    </row>
    <row r="7" spans="1:35" ht="39.75" customHeight="1">
      <c r="A7" s="9004"/>
      <c r="B7" s="9005"/>
      <c r="C7" s="9146" t="s">
        <v>94</v>
      </c>
      <c r="D7" s="9147" t="s">
        <v>95</v>
      </c>
      <c r="E7" s="9012" t="s">
        <v>96</v>
      </c>
      <c r="F7" s="9012" t="s">
        <v>97</v>
      </c>
      <c r="G7" s="9012" t="s">
        <v>98</v>
      </c>
      <c r="H7" s="9012" t="s">
        <v>99</v>
      </c>
      <c r="I7" s="9012" t="s">
        <v>100</v>
      </c>
      <c r="J7" s="9014" t="s">
        <v>101</v>
      </c>
      <c r="K7" s="9016" t="s">
        <v>102</v>
      </c>
      <c r="L7" s="9016" t="s">
        <v>103</v>
      </c>
      <c r="M7" s="9016" t="s">
        <v>104</v>
      </c>
      <c r="N7" s="9017"/>
      <c r="O7" s="9017"/>
      <c r="P7" s="9016" t="s">
        <v>105</v>
      </c>
      <c r="Q7" s="9016" t="s">
        <v>106</v>
      </c>
      <c r="R7" s="9019" t="s">
        <v>107</v>
      </c>
      <c r="S7" s="9153" t="s">
        <v>108</v>
      </c>
      <c r="T7" s="9154"/>
      <c r="U7" s="9154"/>
      <c r="V7" s="9154"/>
      <c r="W7" s="9154"/>
      <c r="X7" s="9154"/>
      <c r="Y7" s="9155"/>
      <c r="Z7" s="9156" t="s">
        <v>109</v>
      </c>
      <c r="AA7" s="9812"/>
      <c r="AB7" s="9812"/>
      <c r="AC7" s="9812"/>
      <c r="AD7" s="9813"/>
      <c r="AE7" s="9156" t="s">
        <v>110</v>
      </c>
      <c r="AF7" s="9154"/>
      <c r="AG7" s="9155"/>
      <c r="AH7" s="9157" t="s">
        <v>111</v>
      </c>
      <c r="AI7" s="819"/>
    </row>
    <row r="8" spans="1:35" ht="51.75" customHeight="1" thickBot="1">
      <c r="A8" s="9006"/>
      <c r="B8" s="9007"/>
      <c r="C8" s="9022"/>
      <c r="D8" s="9024"/>
      <c r="E8" s="9013"/>
      <c r="F8" s="9013"/>
      <c r="G8" s="9013"/>
      <c r="H8" s="9013"/>
      <c r="I8" s="9013"/>
      <c r="J8" s="9015"/>
      <c r="K8" s="9018"/>
      <c r="L8" s="9018"/>
      <c r="M8" s="5094" t="s">
        <v>112</v>
      </c>
      <c r="N8" s="5086" t="s">
        <v>113</v>
      </c>
      <c r="O8" s="5094" t="s">
        <v>114</v>
      </c>
      <c r="P8" s="9018"/>
      <c r="Q8" s="9018"/>
      <c r="R8" s="9020"/>
      <c r="S8" s="5091" t="s">
        <v>115</v>
      </c>
      <c r="T8" s="5092" t="s">
        <v>116</v>
      </c>
      <c r="U8" s="5095" t="s">
        <v>117</v>
      </c>
      <c r="V8" s="5092" t="s">
        <v>118</v>
      </c>
      <c r="W8" s="5092" t="s">
        <v>119</v>
      </c>
      <c r="X8" s="5092" t="s">
        <v>120</v>
      </c>
      <c r="Y8" s="5093" t="s">
        <v>121</v>
      </c>
      <c r="Z8" s="5092" t="s">
        <v>122</v>
      </c>
      <c r="AA8" s="5092" t="s">
        <v>123</v>
      </c>
      <c r="AB8" s="5092" t="s">
        <v>124</v>
      </c>
      <c r="AC8" s="5090" t="s">
        <v>125</v>
      </c>
      <c r="AD8" s="5090" t="s">
        <v>1100</v>
      </c>
      <c r="AE8" s="5092" t="s">
        <v>112</v>
      </c>
      <c r="AF8" s="5092" t="s">
        <v>113</v>
      </c>
      <c r="AG8" s="5092" t="s">
        <v>114</v>
      </c>
      <c r="AH8" s="9158"/>
      <c r="AI8" s="819"/>
    </row>
    <row r="9" spans="1:35" ht="28.5" customHeight="1" thickTop="1">
      <c r="A9" s="10423" t="s">
        <v>2954</v>
      </c>
      <c r="B9" s="10377" t="s">
        <v>2954</v>
      </c>
      <c r="C9" s="10368" t="s">
        <v>127</v>
      </c>
      <c r="D9" s="10369" t="s">
        <v>128</v>
      </c>
      <c r="E9" s="10369" t="s">
        <v>140</v>
      </c>
      <c r="F9" s="10369" t="s">
        <v>284</v>
      </c>
      <c r="G9" s="10415" t="s">
        <v>131</v>
      </c>
      <c r="H9" s="10369" t="s">
        <v>158</v>
      </c>
      <c r="I9" s="10369" t="s">
        <v>159</v>
      </c>
      <c r="J9" s="10369" t="s">
        <v>2955</v>
      </c>
      <c r="K9" s="10369" t="s">
        <v>2956</v>
      </c>
      <c r="L9" s="10369" t="s">
        <v>2957</v>
      </c>
      <c r="M9" s="10421">
        <v>0.01</v>
      </c>
      <c r="N9" s="10422">
        <v>0.02</v>
      </c>
      <c r="O9" s="10421">
        <v>0.02</v>
      </c>
      <c r="P9" s="10369" t="s">
        <v>2958</v>
      </c>
      <c r="Q9" s="10369" t="s">
        <v>2959</v>
      </c>
      <c r="R9" s="10420" t="s">
        <v>2960</v>
      </c>
      <c r="S9" s="895"/>
      <c r="T9" s="7253"/>
      <c r="U9" s="7253"/>
      <c r="V9" s="875"/>
      <c r="W9" s="7287"/>
      <c r="X9" s="149"/>
      <c r="Y9" s="7313"/>
      <c r="Z9" s="7313"/>
      <c r="AA9" s="7313"/>
      <c r="AB9" s="7314"/>
      <c r="AC9" s="5961"/>
      <c r="AD9" s="913"/>
      <c r="AE9" s="149"/>
      <c r="AF9" s="148"/>
      <c r="AG9" s="148"/>
      <c r="AH9" s="10399"/>
      <c r="AI9" s="819"/>
    </row>
    <row r="10" spans="1:35" ht="28.5" customHeight="1">
      <c r="A10" s="10424"/>
      <c r="B10" s="10378"/>
      <c r="C10" s="9134"/>
      <c r="D10" s="9091"/>
      <c r="E10" s="9091"/>
      <c r="F10" s="9091"/>
      <c r="G10" s="9091"/>
      <c r="H10" s="9091"/>
      <c r="I10" s="9091"/>
      <c r="J10" s="9091"/>
      <c r="K10" s="9091"/>
      <c r="L10" s="9091"/>
      <c r="M10" s="10353"/>
      <c r="N10" s="10353"/>
      <c r="O10" s="10353"/>
      <c r="P10" s="10356"/>
      <c r="Q10" s="10356"/>
      <c r="R10" s="10359"/>
      <c r="S10" s="896"/>
      <c r="T10" s="7176"/>
      <c r="U10" s="7176"/>
      <c r="V10" s="741"/>
      <c r="W10" s="6618"/>
      <c r="X10" s="57"/>
      <c r="Y10" s="6686"/>
      <c r="Z10" s="6686"/>
      <c r="AA10" s="6686"/>
      <c r="AB10" s="5962"/>
      <c r="AC10" s="5963"/>
      <c r="AD10" s="905"/>
      <c r="AE10" s="57"/>
      <c r="AF10" s="151"/>
      <c r="AG10" s="151"/>
      <c r="AH10" s="10386"/>
      <c r="AI10" s="819"/>
    </row>
    <row r="11" spans="1:35" ht="28.5" customHeight="1">
      <c r="A11" s="10424"/>
      <c r="B11" s="10378"/>
      <c r="C11" s="9134"/>
      <c r="D11" s="9091"/>
      <c r="E11" s="9091"/>
      <c r="F11" s="9091"/>
      <c r="G11" s="9091"/>
      <c r="H11" s="9091"/>
      <c r="I11" s="9091"/>
      <c r="J11" s="9091"/>
      <c r="K11" s="9091"/>
      <c r="L11" s="9091"/>
      <c r="M11" s="10353"/>
      <c r="N11" s="10353"/>
      <c r="O11" s="10353"/>
      <c r="P11" s="10356"/>
      <c r="Q11" s="10356"/>
      <c r="R11" s="10359"/>
      <c r="S11" s="896"/>
      <c r="T11" s="7176"/>
      <c r="U11" s="7176"/>
      <c r="V11" s="741"/>
      <c r="W11" s="6618"/>
      <c r="X11" s="57"/>
      <c r="Y11" s="6686"/>
      <c r="Z11" s="6686"/>
      <c r="AA11" s="6686"/>
      <c r="AB11" s="5962"/>
      <c r="AC11" s="5963"/>
      <c r="AD11" s="905"/>
      <c r="AE11" s="57"/>
      <c r="AF11" s="151"/>
      <c r="AG11" s="151"/>
      <c r="AH11" s="10386"/>
      <c r="AI11" s="819"/>
    </row>
    <row r="12" spans="1:35" ht="28.5" customHeight="1">
      <c r="A12" s="10424"/>
      <c r="B12" s="10378"/>
      <c r="C12" s="9134"/>
      <c r="D12" s="9091"/>
      <c r="E12" s="9091"/>
      <c r="F12" s="9091"/>
      <c r="G12" s="9091"/>
      <c r="H12" s="9091"/>
      <c r="I12" s="9091"/>
      <c r="J12" s="9091"/>
      <c r="K12" s="9091"/>
      <c r="L12" s="9091"/>
      <c r="M12" s="10353"/>
      <c r="N12" s="10353"/>
      <c r="O12" s="10353"/>
      <c r="P12" s="10356"/>
      <c r="Q12" s="10356"/>
      <c r="R12" s="10359"/>
      <c r="S12" s="897"/>
      <c r="T12" s="6583"/>
      <c r="U12" s="6583"/>
      <c r="V12" s="741"/>
      <c r="W12" s="6618"/>
      <c r="X12" s="57"/>
      <c r="Y12" s="6686"/>
      <c r="Z12" s="6686"/>
      <c r="AA12" s="6686"/>
      <c r="AB12" s="5962"/>
      <c r="AC12" s="5963"/>
      <c r="AD12" s="905"/>
      <c r="AE12" s="57"/>
      <c r="AF12" s="151"/>
      <c r="AG12" s="151"/>
      <c r="AH12" s="10386"/>
      <c r="AI12" s="819"/>
    </row>
    <row r="13" spans="1:35" ht="28.5" customHeight="1">
      <c r="A13" s="10424"/>
      <c r="B13" s="10378"/>
      <c r="C13" s="9135"/>
      <c r="D13" s="9129"/>
      <c r="E13" s="9129"/>
      <c r="F13" s="9129"/>
      <c r="G13" s="9129"/>
      <c r="H13" s="9129"/>
      <c r="I13" s="9129"/>
      <c r="J13" s="9129"/>
      <c r="K13" s="9129"/>
      <c r="L13" s="9129"/>
      <c r="M13" s="10362"/>
      <c r="N13" s="10362"/>
      <c r="O13" s="10362"/>
      <c r="P13" s="10363"/>
      <c r="Q13" s="10363"/>
      <c r="R13" s="10365"/>
      <c r="S13" s="898"/>
      <c r="T13" s="7254"/>
      <c r="U13" s="7254"/>
      <c r="V13" s="860"/>
      <c r="W13" s="7288"/>
      <c r="X13" s="160"/>
      <c r="Y13" s="7315"/>
      <c r="Z13" s="7315"/>
      <c r="AA13" s="7315"/>
      <c r="AB13" s="7316"/>
      <c r="AC13" s="7348"/>
      <c r="AD13" s="914"/>
      <c r="AE13" s="160"/>
      <c r="AF13" s="158"/>
      <c r="AG13" s="158"/>
      <c r="AH13" s="10386"/>
      <c r="AI13" s="819"/>
    </row>
    <row r="14" spans="1:35" ht="25.5" customHeight="1">
      <c r="A14" s="10424"/>
      <c r="B14" s="10378"/>
      <c r="C14" s="9140" t="s">
        <v>127</v>
      </c>
      <c r="D14" s="9090" t="s">
        <v>128</v>
      </c>
      <c r="E14" s="9090" t="s">
        <v>129</v>
      </c>
      <c r="F14" s="9090" t="s">
        <v>2961</v>
      </c>
      <c r="G14" s="9116" t="s">
        <v>131</v>
      </c>
      <c r="H14" s="9090" t="s">
        <v>132</v>
      </c>
      <c r="I14" s="9090" t="s">
        <v>159</v>
      </c>
      <c r="J14" s="9090" t="s">
        <v>2962</v>
      </c>
      <c r="K14" s="9090" t="s">
        <v>2963</v>
      </c>
      <c r="L14" s="10409" t="s">
        <v>2964</v>
      </c>
      <c r="M14" s="10376">
        <v>2</v>
      </c>
      <c r="N14" s="10376">
        <v>2</v>
      </c>
      <c r="O14" s="10376">
        <v>2</v>
      </c>
      <c r="P14" s="9090" t="s">
        <v>2965</v>
      </c>
      <c r="Q14" s="9090" t="s">
        <v>2966</v>
      </c>
      <c r="R14" s="10358" t="s">
        <v>2967</v>
      </c>
      <c r="S14" s="899"/>
      <c r="T14" s="6582"/>
      <c r="U14" s="6582"/>
      <c r="V14" s="742"/>
      <c r="W14" s="6617"/>
      <c r="X14" s="171"/>
      <c r="Y14" s="6677"/>
      <c r="Z14" s="6677"/>
      <c r="AA14" s="6677"/>
      <c r="AB14" s="5986"/>
      <c r="AC14" s="5969"/>
      <c r="AD14" s="915"/>
      <c r="AE14" s="171"/>
      <c r="AF14" s="166"/>
      <c r="AG14" s="166"/>
      <c r="AH14" s="10385"/>
      <c r="AI14" s="819"/>
    </row>
    <row r="15" spans="1:35" ht="25.5" customHeight="1">
      <c r="A15" s="10424"/>
      <c r="B15" s="10378"/>
      <c r="C15" s="9134"/>
      <c r="D15" s="9091"/>
      <c r="E15" s="9091"/>
      <c r="F15" s="9091"/>
      <c r="G15" s="9091"/>
      <c r="H15" s="9091"/>
      <c r="I15" s="9091"/>
      <c r="J15" s="9091"/>
      <c r="K15" s="9091"/>
      <c r="L15" s="9091"/>
      <c r="M15" s="10353"/>
      <c r="N15" s="10353"/>
      <c r="O15" s="10353"/>
      <c r="P15" s="10356"/>
      <c r="Q15" s="10356"/>
      <c r="R15" s="10359"/>
      <c r="S15" s="896"/>
      <c r="T15" s="7176"/>
      <c r="U15" s="7176"/>
      <c r="V15" s="741"/>
      <c r="W15" s="6618"/>
      <c r="X15" s="57"/>
      <c r="Y15" s="6686"/>
      <c r="Z15" s="6686"/>
      <c r="AA15" s="6686"/>
      <c r="AB15" s="5962"/>
      <c r="AC15" s="5963"/>
      <c r="AD15" s="905"/>
      <c r="AE15" s="57"/>
      <c r="AF15" s="151"/>
      <c r="AG15" s="151"/>
      <c r="AH15" s="10386"/>
      <c r="AI15" s="819"/>
    </row>
    <row r="16" spans="1:35" ht="25.5" customHeight="1">
      <c r="A16" s="10424"/>
      <c r="B16" s="10378"/>
      <c r="C16" s="9134"/>
      <c r="D16" s="9091"/>
      <c r="E16" s="9091"/>
      <c r="F16" s="9091"/>
      <c r="G16" s="9091"/>
      <c r="H16" s="9091"/>
      <c r="I16" s="9091"/>
      <c r="J16" s="9091"/>
      <c r="K16" s="9091"/>
      <c r="L16" s="9091"/>
      <c r="M16" s="10353"/>
      <c r="N16" s="10353"/>
      <c r="O16" s="10353"/>
      <c r="P16" s="10356"/>
      <c r="Q16" s="10356"/>
      <c r="R16" s="10359"/>
      <c r="S16" s="896"/>
      <c r="T16" s="7176"/>
      <c r="U16" s="7176"/>
      <c r="V16" s="741"/>
      <c r="W16" s="6618"/>
      <c r="X16" s="57"/>
      <c r="Y16" s="6686"/>
      <c r="Z16" s="6686"/>
      <c r="AA16" s="6686"/>
      <c r="AB16" s="5962"/>
      <c r="AC16" s="5963"/>
      <c r="AD16" s="905"/>
      <c r="AE16" s="57"/>
      <c r="AF16" s="151"/>
      <c r="AG16" s="151"/>
      <c r="AH16" s="10386"/>
      <c r="AI16" s="819"/>
    </row>
    <row r="17" spans="1:35" ht="25.5" customHeight="1">
      <c r="A17" s="10424"/>
      <c r="B17" s="10378"/>
      <c r="C17" s="9134"/>
      <c r="D17" s="9091"/>
      <c r="E17" s="9091"/>
      <c r="F17" s="9091"/>
      <c r="G17" s="9091"/>
      <c r="H17" s="9091"/>
      <c r="I17" s="9091"/>
      <c r="J17" s="9091"/>
      <c r="K17" s="9091"/>
      <c r="L17" s="9091"/>
      <c r="M17" s="10353"/>
      <c r="N17" s="10353"/>
      <c r="O17" s="10353"/>
      <c r="P17" s="10356"/>
      <c r="Q17" s="10356"/>
      <c r="R17" s="10359"/>
      <c r="S17" s="897"/>
      <c r="T17" s="6583"/>
      <c r="U17" s="6583"/>
      <c r="V17" s="741"/>
      <c r="W17" s="6618"/>
      <c r="X17" s="57"/>
      <c r="Y17" s="6686"/>
      <c r="Z17" s="6686"/>
      <c r="AA17" s="6686"/>
      <c r="AB17" s="5962"/>
      <c r="AC17" s="5963"/>
      <c r="AD17" s="905"/>
      <c r="AE17" s="57"/>
      <c r="AF17" s="151"/>
      <c r="AG17" s="151"/>
      <c r="AH17" s="10386"/>
      <c r="AI17" s="819"/>
    </row>
    <row r="18" spans="1:35" ht="25.5" customHeight="1">
      <c r="A18" s="10424"/>
      <c r="B18" s="10378"/>
      <c r="C18" s="9141"/>
      <c r="D18" s="9102"/>
      <c r="E18" s="9102"/>
      <c r="F18" s="9102"/>
      <c r="G18" s="9102"/>
      <c r="H18" s="9102"/>
      <c r="I18" s="9102"/>
      <c r="J18" s="9102"/>
      <c r="K18" s="9102"/>
      <c r="L18" s="9102"/>
      <c r="M18" s="10354"/>
      <c r="N18" s="10354"/>
      <c r="O18" s="10354"/>
      <c r="P18" s="10357"/>
      <c r="Q18" s="10357"/>
      <c r="R18" s="10360"/>
      <c r="S18" s="900"/>
      <c r="T18" s="7255"/>
      <c r="U18" s="7255"/>
      <c r="V18" s="745"/>
      <c r="W18" s="7289"/>
      <c r="X18" s="61"/>
      <c r="Y18" s="7317"/>
      <c r="Z18" s="7317"/>
      <c r="AA18" s="7317"/>
      <c r="AB18" s="5970"/>
      <c r="AC18" s="5971"/>
      <c r="AD18" s="916"/>
      <c r="AE18" s="61"/>
      <c r="AF18" s="177"/>
      <c r="AG18" s="177"/>
      <c r="AH18" s="10389"/>
      <c r="AI18" s="819"/>
    </row>
    <row r="19" spans="1:35" ht="33.75" customHeight="1">
      <c r="A19" s="10424"/>
      <c r="B19" s="10378"/>
      <c r="C19" s="9133" t="s">
        <v>127</v>
      </c>
      <c r="D19" s="9131" t="s">
        <v>128</v>
      </c>
      <c r="E19" s="9131" t="s">
        <v>129</v>
      </c>
      <c r="F19" s="9131" t="s">
        <v>2961</v>
      </c>
      <c r="G19" s="9142" t="s">
        <v>131</v>
      </c>
      <c r="H19" s="9131" t="s">
        <v>132</v>
      </c>
      <c r="I19" s="9131" t="s">
        <v>159</v>
      </c>
      <c r="J19" s="9131" t="s">
        <v>2968</v>
      </c>
      <c r="K19" s="9131" t="s">
        <v>2969</v>
      </c>
      <c r="L19" s="9131" t="s">
        <v>2970</v>
      </c>
      <c r="M19" s="10372">
        <v>1</v>
      </c>
      <c r="N19" s="10372">
        <v>1</v>
      </c>
      <c r="O19" s="10372">
        <v>0</v>
      </c>
      <c r="P19" s="9131" t="s">
        <v>2971</v>
      </c>
      <c r="Q19" s="9131" t="s">
        <v>2972</v>
      </c>
      <c r="R19" s="10364" t="s">
        <v>2973</v>
      </c>
      <c r="S19" s="901"/>
      <c r="T19" s="7175"/>
      <c r="U19" s="7256"/>
      <c r="V19" s="743"/>
      <c r="W19" s="7290"/>
      <c r="X19" s="472"/>
      <c r="Y19" s="7318"/>
      <c r="Z19" s="7318"/>
      <c r="AA19" s="7318"/>
      <c r="AB19" s="5987"/>
      <c r="AC19" s="5973"/>
      <c r="AD19" s="904"/>
      <c r="AE19" s="472"/>
      <c r="AF19" s="472"/>
      <c r="AG19" s="472"/>
      <c r="AH19" s="10388"/>
      <c r="AI19" s="819"/>
    </row>
    <row r="20" spans="1:35" ht="33.75" customHeight="1">
      <c r="A20" s="10424"/>
      <c r="B20" s="10378"/>
      <c r="C20" s="9134"/>
      <c r="D20" s="9091"/>
      <c r="E20" s="9091"/>
      <c r="F20" s="9091"/>
      <c r="G20" s="9091"/>
      <c r="H20" s="9091"/>
      <c r="I20" s="9091"/>
      <c r="J20" s="9091"/>
      <c r="K20" s="9091"/>
      <c r="L20" s="9091"/>
      <c r="M20" s="10353"/>
      <c r="N20" s="10353"/>
      <c r="O20" s="10353"/>
      <c r="P20" s="10356"/>
      <c r="Q20" s="10356"/>
      <c r="R20" s="10359"/>
      <c r="S20" s="896"/>
      <c r="T20" s="7176"/>
      <c r="U20" s="7176"/>
      <c r="V20" s="741"/>
      <c r="W20" s="7291"/>
      <c r="X20" s="55"/>
      <c r="Y20" s="6686"/>
      <c r="Z20" s="6686"/>
      <c r="AA20" s="6686"/>
      <c r="AB20" s="7319"/>
      <c r="AC20" s="5965"/>
      <c r="AD20" s="906"/>
      <c r="AE20" s="55"/>
      <c r="AF20" s="55"/>
      <c r="AG20" s="55"/>
      <c r="AH20" s="10386"/>
      <c r="AI20" s="819"/>
    </row>
    <row r="21" spans="1:35" ht="33.75" customHeight="1">
      <c r="A21" s="10424"/>
      <c r="B21" s="10378"/>
      <c r="C21" s="9134"/>
      <c r="D21" s="9091"/>
      <c r="E21" s="9091"/>
      <c r="F21" s="9091"/>
      <c r="G21" s="9091"/>
      <c r="H21" s="9091"/>
      <c r="I21" s="9091"/>
      <c r="J21" s="9091"/>
      <c r="K21" s="9091"/>
      <c r="L21" s="9091"/>
      <c r="M21" s="10353"/>
      <c r="N21" s="10353"/>
      <c r="O21" s="10353"/>
      <c r="P21" s="10356"/>
      <c r="Q21" s="10356"/>
      <c r="R21" s="10359"/>
      <c r="S21" s="1350"/>
      <c r="T21" s="7257"/>
      <c r="U21" s="7257"/>
      <c r="V21" s="1153"/>
      <c r="W21" s="7292"/>
      <c r="X21" s="1149"/>
      <c r="Y21" s="7320"/>
      <c r="Z21" s="7320"/>
      <c r="AA21" s="7320"/>
      <c r="AB21" s="7321"/>
      <c r="AC21" s="7298"/>
      <c r="AD21" s="1351"/>
      <c r="AE21" s="1149"/>
      <c r="AF21" s="1149"/>
      <c r="AG21" s="1149"/>
      <c r="AH21" s="10386"/>
      <c r="AI21" s="819"/>
    </row>
    <row r="22" spans="1:35" ht="33.75" customHeight="1">
      <c r="A22" s="10424"/>
      <c r="B22" s="10378"/>
      <c r="C22" s="9134"/>
      <c r="D22" s="9091"/>
      <c r="E22" s="9091"/>
      <c r="F22" s="9091"/>
      <c r="G22" s="9091"/>
      <c r="H22" s="9091"/>
      <c r="I22" s="9091"/>
      <c r="J22" s="9091"/>
      <c r="K22" s="9091"/>
      <c r="L22" s="9091"/>
      <c r="M22" s="10353"/>
      <c r="N22" s="10353"/>
      <c r="O22" s="10353"/>
      <c r="P22" s="10356"/>
      <c r="Q22" s="10356"/>
      <c r="R22" s="10359"/>
      <c r="S22" s="1350"/>
      <c r="T22" s="7257"/>
      <c r="U22" s="7257"/>
      <c r="V22" s="1153"/>
      <c r="W22" s="7292"/>
      <c r="X22" s="1149"/>
      <c r="Y22" s="7320"/>
      <c r="Z22" s="7320"/>
      <c r="AA22" s="7320"/>
      <c r="AB22" s="7321"/>
      <c r="AC22" s="7298"/>
      <c r="AD22" s="1351"/>
      <c r="AE22" s="1149"/>
      <c r="AF22" s="1149"/>
      <c r="AG22" s="1149"/>
      <c r="AH22" s="10386"/>
      <c r="AI22" s="819"/>
    </row>
    <row r="23" spans="1:35" ht="33.75" customHeight="1">
      <c r="A23" s="10424"/>
      <c r="B23" s="10378"/>
      <c r="C23" s="9135"/>
      <c r="D23" s="9129"/>
      <c r="E23" s="9129"/>
      <c r="F23" s="9129"/>
      <c r="G23" s="9129"/>
      <c r="H23" s="9129"/>
      <c r="I23" s="9129"/>
      <c r="J23" s="9129"/>
      <c r="K23" s="9129"/>
      <c r="L23" s="9129"/>
      <c r="M23" s="10362"/>
      <c r="N23" s="10362"/>
      <c r="O23" s="10362"/>
      <c r="P23" s="10363"/>
      <c r="Q23" s="10363"/>
      <c r="R23" s="10365"/>
      <c r="S23" s="1352"/>
      <c r="T23" s="7258"/>
      <c r="U23" s="7258"/>
      <c r="V23" s="1155"/>
      <c r="W23" s="7293"/>
      <c r="X23" s="1156"/>
      <c r="Y23" s="7187"/>
      <c r="Z23" s="7187"/>
      <c r="AA23" s="7187"/>
      <c r="AB23" s="7322"/>
      <c r="AC23" s="7349"/>
      <c r="AD23" s="1353"/>
      <c r="AE23" s="1156"/>
      <c r="AF23" s="1156"/>
      <c r="AG23" s="1156"/>
      <c r="AH23" s="10386"/>
      <c r="AI23" s="819"/>
    </row>
    <row r="24" spans="1:35" ht="33" customHeight="1">
      <c r="A24" s="10424"/>
      <c r="B24" s="10378"/>
      <c r="C24" s="9140" t="s">
        <v>127</v>
      </c>
      <c r="D24" s="9090" t="s">
        <v>128</v>
      </c>
      <c r="E24" s="9090" t="s">
        <v>129</v>
      </c>
      <c r="F24" s="9090" t="s">
        <v>2961</v>
      </c>
      <c r="G24" s="9116" t="s">
        <v>131</v>
      </c>
      <c r="H24" s="9090" t="s">
        <v>132</v>
      </c>
      <c r="I24" s="9090" t="s">
        <v>159</v>
      </c>
      <c r="J24" s="9090" t="s">
        <v>2974</v>
      </c>
      <c r="K24" s="9090" t="s">
        <v>2975</v>
      </c>
      <c r="L24" s="9090" t="s">
        <v>2976</v>
      </c>
      <c r="M24" s="10376">
        <v>0</v>
      </c>
      <c r="N24" s="10376">
        <v>1</v>
      </c>
      <c r="O24" s="10376">
        <v>0</v>
      </c>
      <c r="P24" s="10409" t="s">
        <v>2977</v>
      </c>
      <c r="Q24" s="9090" t="s">
        <v>2978</v>
      </c>
      <c r="R24" s="10358" t="s">
        <v>2979</v>
      </c>
      <c r="S24" s="1354"/>
      <c r="T24" s="7259"/>
      <c r="U24" s="7259"/>
      <c r="V24" s="1162"/>
      <c r="W24" s="7294"/>
      <c r="X24" s="1164"/>
      <c r="Y24" s="7323"/>
      <c r="Z24" s="7323"/>
      <c r="AA24" s="7323"/>
      <c r="AB24" s="5982"/>
      <c r="AC24" s="5983"/>
      <c r="AD24" s="1355"/>
      <c r="AE24" s="1164"/>
      <c r="AF24" s="1165"/>
      <c r="AG24" s="1165"/>
      <c r="AH24" s="10385"/>
      <c r="AI24" s="819"/>
    </row>
    <row r="25" spans="1:35" ht="33" customHeight="1">
      <c r="A25" s="10424"/>
      <c r="B25" s="10378"/>
      <c r="C25" s="9134"/>
      <c r="D25" s="9091"/>
      <c r="E25" s="9091"/>
      <c r="F25" s="9091"/>
      <c r="G25" s="9091"/>
      <c r="H25" s="9091"/>
      <c r="I25" s="9091"/>
      <c r="J25" s="9091"/>
      <c r="K25" s="9091"/>
      <c r="L25" s="9091"/>
      <c r="M25" s="10353"/>
      <c r="N25" s="10353"/>
      <c r="O25" s="10353"/>
      <c r="P25" s="10356"/>
      <c r="Q25" s="10356"/>
      <c r="R25" s="10359"/>
      <c r="S25" s="1350"/>
      <c r="T25" s="7257"/>
      <c r="U25" s="7257"/>
      <c r="V25" s="1153"/>
      <c r="W25" s="7295"/>
      <c r="X25" s="1151"/>
      <c r="Y25" s="7320"/>
      <c r="Z25" s="7320"/>
      <c r="AA25" s="7320"/>
      <c r="AB25" s="5978"/>
      <c r="AC25" s="5979"/>
      <c r="AD25" s="1356"/>
      <c r="AE25" s="1151"/>
      <c r="AF25" s="1152"/>
      <c r="AG25" s="1152"/>
      <c r="AH25" s="10386"/>
      <c r="AI25" s="819"/>
    </row>
    <row r="26" spans="1:35" ht="33" customHeight="1">
      <c r="A26" s="10424"/>
      <c r="B26" s="10378"/>
      <c r="C26" s="9134"/>
      <c r="D26" s="9091"/>
      <c r="E26" s="9091"/>
      <c r="F26" s="9091"/>
      <c r="G26" s="9091"/>
      <c r="H26" s="9091"/>
      <c r="I26" s="9091"/>
      <c r="J26" s="9091"/>
      <c r="K26" s="9091"/>
      <c r="L26" s="9091"/>
      <c r="M26" s="10353"/>
      <c r="N26" s="10353"/>
      <c r="O26" s="10353"/>
      <c r="P26" s="10356"/>
      <c r="Q26" s="10356"/>
      <c r="R26" s="10359"/>
      <c r="S26" s="1350"/>
      <c r="T26" s="7257"/>
      <c r="U26" s="7257"/>
      <c r="V26" s="1153"/>
      <c r="W26" s="7295"/>
      <c r="X26" s="1151"/>
      <c r="Y26" s="7320"/>
      <c r="Z26" s="7320"/>
      <c r="AA26" s="7320"/>
      <c r="AB26" s="5978"/>
      <c r="AC26" s="5979"/>
      <c r="AD26" s="1356"/>
      <c r="AE26" s="1151"/>
      <c r="AF26" s="1152"/>
      <c r="AG26" s="1152"/>
      <c r="AH26" s="10386"/>
      <c r="AI26" s="819"/>
    </row>
    <row r="27" spans="1:35" ht="33" customHeight="1">
      <c r="A27" s="10424"/>
      <c r="B27" s="10378"/>
      <c r="C27" s="9134"/>
      <c r="D27" s="9091"/>
      <c r="E27" s="9091"/>
      <c r="F27" s="9091"/>
      <c r="G27" s="9091"/>
      <c r="H27" s="9091"/>
      <c r="I27" s="9091"/>
      <c r="J27" s="9091"/>
      <c r="K27" s="9091"/>
      <c r="L27" s="9091"/>
      <c r="M27" s="10353"/>
      <c r="N27" s="10353"/>
      <c r="O27" s="10353"/>
      <c r="P27" s="10356"/>
      <c r="Q27" s="10356"/>
      <c r="R27" s="10359"/>
      <c r="S27" s="1350"/>
      <c r="T27" s="7257"/>
      <c r="U27" s="7257"/>
      <c r="V27" s="1153"/>
      <c r="W27" s="7295"/>
      <c r="X27" s="1151"/>
      <c r="Y27" s="7320"/>
      <c r="Z27" s="7320"/>
      <c r="AA27" s="7320"/>
      <c r="AB27" s="5978"/>
      <c r="AC27" s="5979"/>
      <c r="AD27" s="1356"/>
      <c r="AE27" s="1151"/>
      <c r="AF27" s="1152"/>
      <c r="AG27" s="1152"/>
      <c r="AH27" s="10386"/>
      <c r="AI27" s="819"/>
    </row>
    <row r="28" spans="1:35" ht="33" customHeight="1">
      <c r="A28" s="10424"/>
      <c r="B28" s="10378"/>
      <c r="C28" s="9141"/>
      <c r="D28" s="9102"/>
      <c r="E28" s="9102"/>
      <c r="F28" s="9102"/>
      <c r="G28" s="9102"/>
      <c r="H28" s="9102"/>
      <c r="I28" s="9102"/>
      <c r="J28" s="9102"/>
      <c r="K28" s="9102"/>
      <c r="L28" s="9102"/>
      <c r="M28" s="10354"/>
      <c r="N28" s="10354"/>
      <c r="O28" s="10354"/>
      <c r="P28" s="10357"/>
      <c r="Q28" s="10357"/>
      <c r="R28" s="10360"/>
      <c r="S28" s="1357"/>
      <c r="T28" s="4848"/>
      <c r="U28" s="4848"/>
      <c r="V28" s="1020"/>
      <c r="W28" s="4865"/>
      <c r="X28" s="1021"/>
      <c r="Y28" s="4903"/>
      <c r="Z28" s="4903"/>
      <c r="AA28" s="4903"/>
      <c r="AB28" s="5990"/>
      <c r="AC28" s="5991"/>
      <c r="AD28" s="1358"/>
      <c r="AE28" s="1021"/>
      <c r="AF28" s="1169"/>
      <c r="AG28" s="1169"/>
      <c r="AH28" s="10389"/>
      <c r="AI28" s="819"/>
    </row>
    <row r="29" spans="1:35" ht="42" customHeight="1">
      <c r="A29" s="10424"/>
      <c r="B29" s="10378"/>
      <c r="C29" s="9133" t="s">
        <v>127</v>
      </c>
      <c r="D29" s="9131" t="s">
        <v>128</v>
      </c>
      <c r="E29" s="9131" t="s">
        <v>129</v>
      </c>
      <c r="F29" s="9131" t="s">
        <v>2961</v>
      </c>
      <c r="G29" s="9142" t="s">
        <v>131</v>
      </c>
      <c r="H29" s="9131" t="s">
        <v>132</v>
      </c>
      <c r="I29" s="9131" t="s">
        <v>159</v>
      </c>
      <c r="J29" s="9142" t="s">
        <v>2980</v>
      </c>
      <c r="K29" s="9131" t="s">
        <v>2981</v>
      </c>
      <c r="L29" s="9131" t="s">
        <v>2982</v>
      </c>
      <c r="M29" s="10372">
        <v>1</v>
      </c>
      <c r="N29" s="10372">
        <v>0</v>
      </c>
      <c r="O29" s="10372">
        <v>0</v>
      </c>
      <c r="P29" s="9131" t="s">
        <v>2983</v>
      </c>
      <c r="Q29" s="9131" t="s">
        <v>2984</v>
      </c>
      <c r="R29" s="10364" t="s">
        <v>2967</v>
      </c>
      <c r="S29" s="1359" t="s">
        <v>15</v>
      </c>
      <c r="T29" s="7175">
        <v>530802</v>
      </c>
      <c r="U29" s="7175"/>
      <c r="V29" s="743" t="s">
        <v>2985</v>
      </c>
      <c r="W29" s="7182"/>
      <c r="X29" s="471"/>
      <c r="Y29" s="7186"/>
      <c r="Z29" s="7186"/>
      <c r="AA29" s="7186"/>
      <c r="AB29" s="7818">
        <f>SUM($AA$30:$AA$31)</f>
        <v>53541.770000000004</v>
      </c>
      <c r="AC29" s="5973" t="s">
        <v>18</v>
      </c>
      <c r="AD29" s="1360"/>
      <c r="AE29" s="1173"/>
      <c r="AF29" s="1174"/>
      <c r="AG29" s="1174"/>
      <c r="AH29" s="10388"/>
      <c r="AI29" s="819"/>
    </row>
    <row r="30" spans="1:35" ht="42" customHeight="1">
      <c r="A30" s="10424"/>
      <c r="B30" s="10378"/>
      <c r="C30" s="9134"/>
      <c r="D30" s="9091"/>
      <c r="E30" s="9091"/>
      <c r="F30" s="9091"/>
      <c r="G30" s="9091"/>
      <c r="H30" s="9091"/>
      <c r="I30" s="9091"/>
      <c r="J30" s="9091"/>
      <c r="K30" s="9091"/>
      <c r="L30" s="9091"/>
      <c r="M30" s="10353"/>
      <c r="N30" s="10353"/>
      <c r="O30" s="10353"/>
      <c r="P30" s="10356"/>
      <c r="Q30" s="10356"/>
      <c r="R30" s="10359"/>
      <c r="S30" s="1350"/>
      <c r="T30" s="7176"/>
      <c r="U30" s="7260" t="s">
        <v>2986</v>
      </c>
      <c r="V30" s="3237" t="s">
        <v>2987</v>
      </c>
      <c r="W30" s="7296">
        <v>1</v>
      </c>
      <c r="X30" s="3281" t="s">
        <v>152</v>
      </c>
      <c r="Y30" s="7324">
        <v>21805.77</v>
      </c>
      <c r="Z30" s="7324">
        <f t="shared" ref="Z30:Z31" si="0">+W30*Y30</f>
        <v>21805.77</v>
      </c>
      <c r="AA30" s="7324">
        <f>Z30</f>
        <v>21805.77</v>
      </c>
      <c r="AB30" s="5962"/>
      <c r="AC30" s="5963"/>
      <c r="AD30" s="1356"/>
      <c r="AE30" s="1151" t="s">
        <v>153</v>
      </c>
      <c r="AF30" s="1152"/>
      <c r="AG30" s="1152"/>
      <c r="AH30" s="10386"/>
      <c r="AI30" s="819"/>
    </row>
    <row r="31" spans="1:35" ht="42" customHeight="1">
      <c r="A31" s="10424"/>
      <c r="B31" s="10378"/>
      <c r="C31" s="9134"/>
      <c r="D31" s="9091"/>
      <c r="E31" s="9091"/>
      <c r="F31" s="9091"/>
      <c r="G31" s="9091"/>
      <c r="H31" s="9091"/>
      <c r="I31" s="9091"/>
      <c r="J31" s="9091"/>
      <c r="K31" s="9091"/>
      <c r="L31" s="9091"/>
      <c r="M31" s="10353"/>
      <c r="N31" s="10353"/>
      <c r="O31" s="10353"/>
      <c r="P31" s="10356"/>
      <c r="Q31" s="10356"/>
      <c r="R31" s="10359"/>
      <c r="S31" s="1350"/>
      <c r="T31" s="7176"/>
      <c r="U31" s="7260"/>
      <c r="V31" s="3237" t="s">
        <v>2988</v>
      </c>
      <c r="W31" s="7296">
        <v>1</v>
      </c>
      <c r="X31" s="3281" t="s">
        <v>152</v>
      </c>
      <c r="Y31" s="7915">
        <v>31736</v>
      </c>
      <c r="Z31" s="7915">
        <f t="shared" si="0"/>
        <v>31736</v>
      </c>
      <c r="AA31" s="7915">
        <f>Z31</f>
        <v>31736</v>
      </c>
      <c r="AB31" s="5962"/>
      <c r="AC31" s="5963"/>
      <c r="AD31" s="1356"/>
      <c r="AE31" s="2806"/>
      <c r="AF31" s="1152"/>
      <c r="AG31" s="1152" t="s">
        <v>153</v>
      </c>
      <c r="AH31" s="10386"/>
      <c r="AI31" s="819"/>
    </row>
    <row r="32" spans="1:35" ht="42" customHeight="1">
      <c r="A32" s="10424"/>
      <c r="B32" s="10378"/>
      <c r="C32" s="9134"/>
      <c r="D32" s="9091"/>
      <c r="E32" s="9091"/>
      <c r="F32" s="9091"/>
      <c r="G32" s="9091"/>
      <c r="H32" s="9091"/>
      <c r="I32" s="9091"/>
      <c r="J32" s="9091"/>
      <c r="K32" s="9091"/>
      <c r="L32" s="9091"/>
      <c r="M32" s="10353"/>
      <c r="N32" s="10353"/>
      <c r="O32" s="10353"/>
      <c r="P32" s="10356"/>
      <c r="Q32" s="10356"/>
      <c r="R32" s="10359"/>
      <c r="S32" s="1361" t="s">
        <v>15</v>
      </c>
      <c r="T32" s="6583">
        <v>570201</v>
      </c>
      <c r="U32" s="6583"/>
      <c r="V32" s="1908" t="s">
        <v>894</v>
      </c>
      <c r="W32" s="6618"/>
      <c r="X32" s="57"/>
      <c r="Y32" s="7815"/>
      <c r="Z32" s="7815" t="str">
        <f>IF(W32=0," ",W32*Y32)</f>
        <v xml:space="preserve"> </v>
      </c>
      <c r="AA32" s="7815" t="str">
        <f>IF(W32=0," ",(Z32*12%)+Z32)</f>
        <v xml:space="preserve"> </v>
      </c>
      <c r="AB32" s="7816">
        <f>+AA33</f>
        <v>1569.27</v>
      </c>
      <c r="AC32" s="5963" t="s">
        <v>25</v>
      </c>
      <c r="AD32" s="1356"/>
      <c r="AE32" s="1151"/>
      <c r="AF32" s="1152"/>
      <c r="AG32" s="1152"/>
      <c r="AH32" s="10386"/>
      <c r="AI32" s="819"/>
    </row>
    <row r="33" spans="1:35" ht="42" customHeight="1">
      <c r="A33" s="10424"/>
      <c r="B33" s="10378"/>
      <c r="C33" s="9141"/>
      <c r="D33" s="9102"/>
      <c r="E33" s="9102"/>
      <c r="F33" s="9102"/>
      <c r="G33" s="9102"/>
      <c r="H33" s="9102"/>
      <c r="I33" s="9102"/>
      <c r="J33" s="9102"/>
      <c r="K33" s="9102"/>
      <c r="L33" s="9102"/>
      <c r="M33" s="10354"/>
      <c r="N33" s="10354"/>
      <c r="O33" s="10354"/>
      <c r="P33" s="10357"/>
      <c r="Q33" s="10357"/>
      <c r="R33" s="10360"/>
      <c r="S33" s="1350"/>
      <c r="T33" s="7176"/>
      <c r="U33" s="7176" t="s">
        <v>2989</v>
      </c>
      <c r="V33" s="741" t="s">
        <v>2990</v>
      </c>
      <c r="W33" s="6618">
        <v>1</v>
      </c>
      <c r="X33" s="57" t="s">
        <v>180</v>
      </c>
      <c r="Y33" s="7815">
        <f>1569.27</f>
        <v>1569.27</v>
      </c>
      <c r="Z33" s="7815">
        <f t="shared" ref="Z33" si="1">+W33*Y33</f>
        <v>1569.27</v>
      </c>
      <c r="AA33" s="7815">
        <f>Z33</f>
        <v>1569.27</v>
      </c>
      <c r="AB33" s="7816"/>
      <c r="AC33" s="5963"/>
      <c r="AD33" s="1356"/>
      <c r="AE33" s="1151"/>
      <c r="AF33" s="1152" t="s">
        <v>153</v>
      </c>
      <c r="AG33" s="1152"/>
      <c r="AH33" s="10386"/>
      <c r="AI33" s="819"/>
    </row>
    <row r="34" spans="1:35" ht="27" customHeight="1">
      <c r="A34" s="10424"/>
      <c r="B34" s="10378"/>
      <c r="C34" s="9133" t="s">
        <v>127</v>
      </c>
      <c r="D34" s="9131" t="s">
        <v>128</v>
      </c>
      <c r="E34" s="9131" t="s">
        <v>129</v>
      </c>
      <c r="F34" s="9131" t="s">
        <v>268</v>
      </c>
      <c r="G34" s="9142" t="s">
        <v>131</v>
      </c>
      <c r="H34" s="9131" t="s">
        <v>132</v>
      </c>
      <c r="I34" s="9131" t="s">
        <v>159</v>
      </c>
      <c r="J34" s="9131" t="s">
        <v>2991</v>
      </c>
      <c r="K34" s="9131" t="s">
        <v>2992</v>
      </c>
      <c r="L34" s="9131" t="s">
        <v>2993</v>
      </c>
      <c r="M34" s="10372">
        <v>0</v>
      </c>
      <c r="N34" s="10372">
        <v>0</v>
      </c>
      <c r="O34" s="10372">
        <v>1</v>
      </c>
      <c r="P34" s="9131" t="s">
        <v>2994</v>
      </c>
      <c r="Q34" s="9131" t="s">
        <v>2995</v>
      </c>
      <c r="R34" s="10364" t="s">
        <v>2996</v>
      </c>
      <c r="S34" s="1362"/>
      <c r="T34" s="7261"/>
      <c r="U34" s="7261"/>
      <c r="V34" s="1988"/>
      <c r="W34" s="7297"/>
      <c r="X34" s="166"/>
      <c r="Y34" s="6677"/>
      <c r="Z34" s="6677"/>
      <c r="AA34" s="6677"/>
      <c r="AB34" s="5986"/>
      <c r="AC34" s="5969"/>
      <c r="AD34" s="1355"/>
      <c r="AE34" s="1165"/>
      <c r="AF34" s="1165"/>
      <c r="AG34" s="1165"/>
      <c r="AH34" s="10385"/>
      <c r="AI34" s="819"/>
    </row>
    <row r="35" spans="1:35" ht="27" customHeight="1">
      <c r="A35" s="10424"/>
      <c r="B35" s="10378"/>
      <c r="C35" s="9134"/>
      <c r="D35" s="9091"/>
      <c r="E35" s="9091"/>
      <c r="F35" s="9091"/>
      <c r="G35" s="9091"/>
      <c r="H35" s="9091"/>
      <c r="I35" s="9091"/>
      <c r="J35" s="9091"/>
      <c r="K35" s="9091"/>
      <c r="L35" s="9091"/>
      <c r="M35" s="10353"/>
      <c r="N35" s="10353"/>
      <c r="O35" s="10353"/>
      <c r="P35" s="10356"/>
      <c r="Q35" s="10356"/>
      <c r="R35" s="10359"/>
      <c r="S35" s="1361"/>
      <c r="T35" s="7262"/>
      <c r="U35" s="7257"/>
      <c r="V35" s="1188"/>
      <c r="W35" s="7298"/>
      <c r="X35" s="1152"/>
      <c r="Y35" s="7321"/>
      <c r="Z35" s="7321"/>
      <c r="AA35" s="7321"/>
      <c r="AB35" s="5978"/>
      <c r="AC35" s="5979"/>
      <c r="AD35" s="1356"/>
      <c r="AE35" s="1152"/>
      <c r="AF35" s="1152"/>
      <c r="AG35" s="1152"/>
      <c r="AH35" s="10386"/>
      <c r="AI35" s="819"/>
    </row>
    <row r="36" spans="1:35" ht="27" customHeight="1">
      <c r="A36" s="10424"/>
      <c r="B36" s="10378"/>
      <c r="C36" s="9134"/>
      <c r="D36" s="9091"/>
      <c r="E36" s="9091"/>
      <c r="F36" s="9091"/>
      <c r="G36" s="9091"/>
      <c r="H36" s="9091"/>
      <c r="I36" s="9091"/>
      <c r="J36" s="9091"/>
      <c r="K36" s="9091"/>
      <c r="L36" s="9091"/>
      <c r="M36" s="10353"/>
      <c r="N36" s="10353"/>
      <c r="O36" s="10353"/>
      <c r="P36" s="10356"/>
      <c r="Q36" s="10356"/>
      <c r="R36" s="10359"/>
      <c r="S36" s="1363"/>
      <c r="T36" s="7262"/>
      <c r="U36" s="7257"/>
      <c r="V36" s="1153"/>
      <c r="W36" s="7298"/>
      <c r="X36" s="1152"/>
      <c r="Y36" s="7320"/>
      <c r="Z36" s="7320"/>
      <c r="AA36" s="7320"/>
      <c r="AB36" s="7321"/>
      <c r="AC36" s="7298"/>
      <c r="AD36" s="1351"/>
      <c r="AE36" s="1152"/>
      <c r="AF36" s="1152"/>
      <c r="AG36" s="1152"/>
      <c r="AH36" s="10386"/>
      <c r="AI36" s="819"/>
    </row>
    <row r="37" spans="1:35" ht="27" customHeight="1">
      <c r="A37" s="10424"/>
      <c r="B37" s="10378"/>
      <c r="C37" s="9134"/>
      <c r="D37" s="9091"/>
      <c r="E37" s="9091"/>
      <c r="F37" s="9091"/>
      <c r="G37" s="9091"/>
      <c r="H37" s="9091"/>
      <c r="I37" s="9091"/>
      <c r="J37" s="9091"/>
      <c r="K37" s="9091"/>
      <c r="L37" s="9091"/>
      <c r="M37" s="10353"/>
      <c r="N37" s="10353"/>
      <c r="O37" s="10353"/>
      <c r="P37" s="10356"/>
      <c r="Q37" s="10356"/>
      <c r="R37" s="10359"/>
      <c r="S37" s="1350"/>
      <c r="T37" s="7257"/>
      <c r="U37" s="7257"/>
      <c r="V37" s="1153"/>
      <c r="W37" s="7292"/>
      <c r="X37" s="1149"/>
      <c r="Y37" s="7325"/>
      <c r="Z37" s="7320"/>
      <c r="AA37" s="7320"/>
      <c r="AB37" s="7321"/>
      <c r="AC37" s="7298"/>
      <c r="AD37" s="1351"/>
      <c r="AE37" s="1149"/>
      <c r="AF37" s="1149"/>
      <c r="AG37" s="1149"/>
      <c r="AH37" s="10386"/>
      <c r="AI37" s="819"/>
    </row>
    <row r="38" spans="1:35" ht="27" customHeight="1">
      <c r="A38" s="10424"/>
      <c r="B38" s="10378"/>
      <c r="C38" s="9141"/>
      <c r="D38" s="9102"/>
      <c r="E38" s="9102"/>
      <c r="F38" s="9102"/>
      <c r="G38" s="9102"/>
      <c r="H38" s="9102"/>
      <c r="I38" s="9102"/>
      <c r="J38" s="9102"/>
      <c r="K38" s="9102"/>
      <c r="L38" s="9102"/>
      <c r="M38" s="10354"/>
      <c r="N38" s="10354"/>
      <c r="O38" s="10354"/>
      <c r="P38" s="10357"/>
      <c r="Q38" s="10357"/>
      <c r="R38" s="10360"/>
      <c r="S38" s="1364"/>
      <c r="T38" s="4848"/>
      <c r="U38" s="4848"/>
      <c r="V38" s="1020"/>
      <c r="W38" s="4865"/>
      <c r="X38" s="1169"/>
      <c r="Y38" s="7326"/>
      <c r="Z38" s="4903"/>
      <c r="AA38" s="4903"/>
      <c r="AB38" s="4903"/>
      <c r="AC38" s="5981"/>
      <c r="AD38" s="1365"/>
      <c r="AE38" s="1169"/>
      <c r="AF38" s="1169"/>
      <c r="AG38" s="1169"/>
      <c r="AH38" s="10389"/>
      <c r="AI38" s="819"/>
    </row>
    <row r="39" spans="1:35" ht="27" customHeight="1">
      <c r="A39" s="10424"/>
      <c r="B39" s="10378"/>
      <c r="C39" s="9133" t="s">
        <v>127</v>
      </c>
      <c r="D39" s="9131" t="s">
        <v>128</v>
      </c>
      <c r="E39" s="9131" t="s">
        <v>129</v>
      </c>
      <c r="F39" s="9131" t="s">
        <v>2961</v>
      </c>
      <c r="G39" s="9142" t="s">
        <v>131</v>
      </c>
      <c r="H39" s="9131" t="s">
        <v>132</v>
      </c>
      <c r="I39" s="9131" t="s">
        <v>159</v>
      </c>
      <c r="J39" s="9142" t="s">
        <v>2997</v>
      </c>
      <c r="K39" s="9131" t="s">
        <v>2998</v>
      </c>
      <c r="L39" s="9131" t="s">
        <v>2999</v>
      </c>
      <c r="M39" s="10372">
        <v>1</v>
      </c>
      <c r="N39" s="10372">
        <v>0</v>
      </c>
      <c r="O39" s="10372">
        <v>0</v>
      </c>
      <c r="P39" s="9131" t="s">
        <v>3000</v>
      </c>
      <c r="Q39" s="9130" t="s">
        <v>3001</v>
      </c>
      <c r="R39" s="10364" t="s">
        <v>2973</v>
      </c>
      <c r="S39" s="1366"/>
      <c r="T39" s="7263"/>
      <c r="U39" s="7264"/>
      <c r="V39" s="1360"/>
      <c r="W39" s="7299"/>
      <c r="X39" s="1174"/>
      <c r="Y39" s="7327"/>
      <c r="Z39" s="7327"/>
      <c r="AA39" s="7327"/>
      <c r="AB39" s="5988"/>
      <c r="AC39" s="5989"/>
      <c r="AD39" s="1360"/>
      <c r="AE39" s="1173"/>
      <c r="AF39" s="1174"/>
      <c r="AG39" s="1174"/>
      <c r="AH39" s="9426"/>
      <c r="AI39" s="819"/>
    </row>
    <row r="40" spans="1:35" ht="27" customHeight="1">
      <c r="A40" s="10424"/>
      <c r="B40" s="10378"/>
      <c r="C40" s="9134"/>
      <c r="D40" s="9091"/>
      <c r="E40" s="9091"/>
      <c r="F40" s="9091"/>
      <c r="G40" s="9091"/>
      <c r="H40" s="9091"/>
      <c r="I40" s="9091"/>
      <c r="J40" s="9091"/>
      <c r="K40" s="9091"/>
      <c r="L40" s="9091"/>
      <c r="M40" s="10353"/>
      <c r="N40" s="10353"/>
      <c r="O40" s="10353"/>
      <c r="P40" s="10356"/>
      <c r="Q40" s="10356"/>
      <c r="R40" s="10359"/>
      <c r="S40" s="1363"/>
      <c r="T40" s="7265"/>
      <c r="U40" s="7265"/>
      <c r="V40" s="1153"/>
      <c r="W40" s="7298"/>
      <c r="X40" s="1152"/>
      <c r="Y40" s="6696"/>
      <c r="Z40" s="7320"/>
      <c r="AA40" s="7320"/>
      <c r="AB40" s="7321"/>
      <c r="AC40" s="7298"/>
      <c r="AD40" s="1351"/>
      <c r="AE40" s="1151"/>
      <c r="AF40" s="1152"/>
      <c r="AG40" s="1152"/>
      <c r="AH40" s="10386"/>
      <c r="AI40" s="819"/>
    </row>
    <row r="41" spans="1:35" ht="27" customHeight="1">
      <c r="A41" s="10424"/>
      <c r="B41" s="10378"/>
      <c r="C41" s="9134"/>
      <c r="D41" s="9091"/>
      <c r="E41" s="9091"/>
      <c r="F41" s="9091"/>
      <c r="G41" s="9091"/>
      <c r="H41" s="9091"/>
      <c r="I41" s="9091"/>
      <c r="J41" s="9091"/>
      <c r="K41" s="9091"/>
      <c r="L41" s="9091"/>
      <c r="M41" s="10353"/>
      <c r="N41" s="10353"/>
      <c r="O41" s="10353"/>
      <c r="P41" s="10356"/>
      <c r="Q41" s="10356"/>
      <c r="R41" s="10359"/>
      <c r="S41" s="1363"/>
      <c r="T41" s="7265"/>
      <c r="U41" s="7265"/>
      <c r="V41" s="1153"/>
      <c r="W41" s="7298"/>
      <c r="X41" s="1152"/>
      <c r="Y41" s="6696"/>
      <c r="Z41" s="7320"/>
      <c r="AA41" s="7320"/>
      <c r="AB41" s="7321"/>
      <c r="AC41" s="7298"/>
      <c r="AD41" s="1351"/>
      <c r="AE41" s="1151"/>
      <c r="AF41" s="1152"/>
      <c r="AG41" s="1152"/>
      <c r="AH41" s="10386"/>
      <c r="AI41" s="819"/>
    </row>
    <row r="42" spans="1:35" ht="27" customHeight="1">
      <c r="A42" s="10424"/>
      <c r="B42" s="10378"/>
      <c r="C42" s="9134"/>
      <c r="D42" s="9091"/>
      <c r="E42" s="9091"/>
      <c r="F42" s="9091"/>
      <c r="G42" s="9091"/>
      <c r="H42" s="9091"/>
      <c r="I42" s="9091"/>
      <c r="J42" s="9091"/>
      <c r="K42" s="9091"/>
      <c r="L42" s="9091"/>
      <c r="M42" s="10353"/>
      <c r="N42" s="10353"/>
      <c r="O42" s="10353"/>
      <c r="P42" s="10356"/>
      <c r="Q42" s="10356"/>
      <c r="R42" s="10359"/>
      <c r="S42" s="1363"/>
      <c r="T42" s="7265"/>
      <c r="U42" s="7265"/>
      <c r="V42" s="1153"/>
      <c r="W42" s="7298"/>
      <c r="X42" s="1152"/>
      <c r="Y42" s="6696"/>
      <c r="Z42" s="7320"/>
      <c r="AA42" s="7320"/>
      <c r="AB42" s="7321"/>
      <c r="AC42" s="7298"/>
      <c r="AD42" s="1351"/>
      <c r="AE42" s="1151"/>
      <c r="AF42" s="1152"/>
      <c r="AG42" s="1152"/>
      <c r="AH42" s="10386"/>
      <c r="AI42" s="819"/>
    </row>
    <row r="43" spans="1:35" ht="27" customHeight="1">
      <c r="A43" s="10424"/>
      <c r="B43" s="10378"/>
      <c r="C43" s="9135"/>
      <c r="D43" s="9129"/>
      <c r="E43" s="9129"/>
      <c r="F43" s="9129"/>
      <c r="G43" s="9129"/>
      <c r="H43" s="9129"/>
      <c r="I43" s="9129"/>
      <c r="J43" s="9129"/>
      <c r="K43" s="9129"/>
      <c r="L43" s="9129"/>
      <c r="M43" s="10362"/>
      <c r="N43" s="10362"/>
      <c r="O43" s="10362"/>
      <c r="P43" s="10357"/>
      <c r="Q43" s="10363"/>
      <c r="R43" s="10365"/>
      <c r="S43" s="1364"/>
      <c r="T43" s="7266"/>
      <c r="U43" s="7266"/>
      <c r="V43" s="1020"/>
      <c r="W43" s="5981"/>
      <c r="X43" s="1169"/>
      <c r="Y43" s="7328"/>
      <c r="Z43" s="4903"/>
      <c r="AA43" s="4903"/>
      <c r="AB43" s="7329"/>
      <c r="AC43" s="5981"/>
      <c r="AD43" s="1365"/>
      <c r="AE43" s="1021"/>
      <c r="AF43" s="1169"/>
      <c r="AG43" s="1169"/>
      <c r="AH43" s="10389"/>
      <c r="AI43" s="819"/>
    </row>
    <row r="44" spans="1:35" ht="18" customHeight="1">
      <c r="A44" s="10424"/>
      <c r="B44" s="10378"/>
      <c r="C44" s="9140" t="s">
        <v>127</v>
      </c>
      <c r="D44" s="9090" t="s">
        <v>128</v>
      </c>
      <c r="E44" s="9090" t="s">
        <v>129</v>
      </c>
      <c r="F44" s="9090" t="s">
        <v>2961</v>
      </c>
      <c r="G44" s="9116" t="s">
        <v>131</v>
      </c>
      <c r="H44" s="9090" t="s">
        <v>132</v>
      </c>
      <c r="I44" s="9090" t="s">
        <v>159</v>
      </c>
      <c r="J44" s="9186" t="s">
        <v>3002</v>
      </c>
      <c r="K44" s="9186" t="s">
        <v>3003</v>
      </c>
      <c r="L44" s="9186" t="s">
        <v>3004</v>
      </c>
      <c r="M44" s="10376">
        <v>4</v>
      </c>
      <c r="N44" s="10376">
        <v>6</v>
      </c>
      <c r="O44" s="10376">
        <v>4</v>
      </c>
      <c r="P44" s="9131" t="s">
        <v>3005</v>
      </c>
      <c r="Q44" s="9186" t="s">
        <v>3006</v>
      </c>
      <c r="R44" s="10358" t="s">
        <v>3007</v>
      </c>
      <c r="S44" s="1359" t="s">
        <v>15</v>
      </c>
      <c r="T44" s="7267">
        <v>510105</v>
      </c>
      <c r="U44" s="7268"/>
      <c r="V44" s="904" t="s">
        <v>3008</v>
      </c>
      <c r="W44" s="7300"/>
      <c r="X44" s="475"/>
      <c r="Y44" s="6683">
        <v>3549942.24</v>
      </c>
      <c r="Z44" s="6683"/>
      <c r="AA44" s="6683">
        <f t="shared" ref="AA44:AA69" si="2">Y44</f>
        <v>3549942.24</v>
      </c>
      <c r="AB44" s="7330">
        <f>$AA$44</f>
        <v>3549942.24</v>
      </c>
      <c r="AC44" s="5989" t="s">
        <v>18</v>
      </c>
      <c r="AD44" s="1360"/>
      <c r="AE44" s="1174" t="s">
        <v>153</v>
      </c>
      <c r="AF44" s="1174" t="s">
        <v>153</v>
      </c>
      <c r="AG44" s="1174" t="s">
        <v>153</v>
      </c>
      <c r="AH44" s="10410"/>
      <c r="AI44" s="819"/>
    </row>
    <row r="45" spans="1:35" ht="18" customHeight="1">
      <c r="A45" s="10424"/>
      <c r="B45" s="10378"/>
      <c r="C45" s="9134"/>
      <c r="D45" s="9091"/>
      <c r="E45" s="9091"/>
      <c r="F45" s="9091"/>
      <c r="G45" s="9091"/>
      <c r="H45" s="9091"/>
      <c r="I45" s="9091"/>
      <c r="J45" s="9091"/>
      <c r="K45" s="9091"/>
      <c r="L45" s="9091"/>
      <c r="M45" s="10353"/>
      <c r="N45" s="10353"/>
      <c r="O45" s="10353"/>
      <c r="P45" s="10356"/>
      <c r="Q45" s="10356"/>
      <c r="R45" s="10359"/>
      <c r="S45" s="1361" t="s">
        <v>15</v>
      </c>
      <c r="T45" s="7269" t="s">
        <v>3009</v>
      </c>
      <c r="U45" s="7270"/>
      <c r="V45" s="905" t="s">
        <v>3010</v>
      </c>
      <c r="W45" s="5965"/>
      <c r="X45" s="151"/>
      <c r="Y45" s="6683">
        <v>929212.08</v>
      </c>
      <c r="Z45" s="6683"/>
      <c r="AA45" s="6683">
        <f t="shared" si="2"/>
        <v>929212.08</v>
      </c>
      <c r="AB45" s="7331">
        <f>$AA$45</f>
        <v>929212.08</v>
      </c>
      <c r="AC45" s="5979" t="s">
        <v>18</v>
      </c>
      <c r="AD45" s="1356"/>
      <c r="AE45" s="1152" t="s">
        <v>153</v>
      </c>
      <c r="AF45" s="1152" t="s">
        <v>153</v>
      </c>
      <c r="AG45" s="1152" t="s">
        <v>153</v>
      </c>
      <c r="AH45" s="10386"/>
      <c r="AI45" s="819"/>
    </row>
    <row r="46" spans="1:35" ht="36.75" customHeight="1">
      <c r="A46" s="10424"/>
      <c r="B46" s="10378"/>
      <c r="C46" s="9134"/>
      <c r="D46" s="9091"/>
      <c r="E46" s="9091"/>
      <c r="F46" s="9091"/>
      <c r="G46" s="9091"/>
      <c r="H46" s="9091"/>
      <c r="I46" s="9091"/>
      <c r="J46" s="9091"/>
      <c r="K46" s="9091"/>
      <c r="L46" s="9091"/>
      <c r="M46" s="10353"/>
      <c r="N46" s="10353"/>
      <c r="O46" s="10353"/>
      <c r="P46" s="10356"/>
      <c r="Q46" s="10356"/>
      <c r="R46" s="10359"/>
      <c r="S46" s="1361" t="s">
        <v>15</v>
      </c>
      <c r="T46" s="7269" t="s">
        <v>3011</v>
      </c>
      <c r="U46" s="7270"/>
      <c r="V46" s="905" t="s">
        <v>3012</v>
      </c>
      <c r="W46" s="5965"/>
      <c r="X46" s="151"/>
      <c r="Y46" s="6680">
        <v>828059.49</v>
      </c>
      <c r="Z46" s="6680"/>
      <c r="AA46" s="6680">
        <f t="shared" si="2"/>
        <v>828059.49</v>
      </c>
      <c r="AB46" s="7332">
        <f>$AA$46</f>
        <v>828059.49</v>
      </c>
      <c r="AC46" s="5979" t="s">
        <v>18</v>
      </c>
      <c r="AD46" s="1356"/>
      <c r="AE46" s="1152" t="s">
        <v>153</v>
      </c>
      <c r="AF46" s="1152" t="s">
        <v>153</v>
      </c>
      <c r="AG46" s="1152" t="s">
        <v>153</v>
      </c>
      <c r="AH46" s="10386"/>
      <c r="AI46" s="819"/>
    </row>
    <row r="47" spans="1:35" ht="18" customHeight="1">
      <c r="A47" s="10424"/>
      <c r="B47" s="10378"/>
      <c r="C47" s="9134"/>
      <c r="D47" s="9091"/>
      <c r="E47" s="9091"/>
      <c r="F47" s="9091"/>
      <c r="G47" s="9091"/>
      <c r="H47" s="9091"/>
      <c r="I47" s="9091"/>
      <c r="J47" s="9091"/>
      <c r="K47" s="9091"/>
      <c r="L47" s="9091"/>
      <c r="M47" s="10353"/>
      <c r="N47" s="10353"/>
      <c r="O47" s="10353"/>
      <c r="P47" s="10356"/>
      <c r="Q47" s="10356"/>
      <c r="R47" s="10359"/>
      <c r="S47" s="1361" t="s">
        <v>15</v>
      </c>
      <c r="T47" s="7269">
        <v>510203</v>
      </c>
      <c r="U47" s="7270"/>
      <c r="V47" s="905" t="s">
        <v>3013</v>
      </c>
      <c r="W47" s="5965"/>
      <c r="X47" s="151"/>
      <c r="Y47" s="6680">
        <v>514670.12</v>
      </c>
      <c r="Z47" s="6680"/>
      <c r="AA47" s="6680">
        <f t="shared" si="2"/>
        <v>514670.12</v>
      </c>
      <c r="AB47" s="7332">
        <f>$AA$47</f>
        <v>514670.12</v>
      </c>
      <c r="AC47" s="5979" t="s">
        <v>18</v>
      </c>
      <c r="AD47" s="1356"/>
      <c r="AE47" s="1152" t="s">
        <v>153</v>
      </c>
      <c r="AF47" s="1152" t="s">
        <v>153</v>
      </c>
      <c r="AG47" s="1152" t="s">
        <v>153</v>
      </c>
      <c r="AH47" s="10386"/>
      <c r="AI47" s="819"/>
    </row>
    <row r="48" spans="1:35" ht="18" customHeight="1">
      <c r="A48" s="10424"/>
      <c r="B48" s="10378"/>
      <c r="C48" s="9134"/>
      <c r="D48" s="9091"/>
      <c r="E48" s="9091"/>
      <c r="F48" s="9091"/>
      <c r="G48" s="9091"/>
      <c r="H48" s="9091"/>
      <c r="I48" s="9091"/>
      <c r="J48" s="9091"/>
      <c r="K48" s="9091"/>
      <c r="L48" s="9091"/>
      <c r="M48" s="10353"/>
      <c r="N48" s="10353"/>
      <c r="O48" s="10353"/>
      <c r="P48" s="10356"/>
      <c r="Q48" s="10356"/>
      <c r="R48" s="10359"/>
      <c r="S48" s="1361" t="s">
        <v>15</v>
      </c>
      <c r="T48" s="7269">
        <v>510204</v>
      </c>
      <c r="U48" s="7270"/>
      <c r="V48" s="905" t="s">
        <v>3014</v>
      </c>
      <c r="W48" s="5965"/>
      <c r="X48" s="151"/>
      <c r="Y48" s="6680">
        <f>191875.81-10000</f>
        <v>181875.81</v>
      </c>
      <c r="Z48" s="6680"/>
      <c r="AA48" s="6680">
        <f t="shared" si="2"/>
        <v>181875.81</v>
      </c>
      <c r="AB48" s="7332">
        <f>$AA$48</f>
        <v>181875.81</v>
      </c>
      <c r="AC48" s="5979" t="s">
        <v>18</v>
      </c>
      <c r="AD48" s="1356"/>
      <c r="AE48" s="1152" t="s">
        <v>153</v>
      </c>
      <c r="AF48" s="1152" t="s">
        <v>153</v>
      </c>
      <c r="AG48" s="1152" t="s">
        <v>153</v>
      </c>
      <c r="AH48" s="10386"/>
      <c r="AI48" s="819"/>
    </row>
    <row r="49" spans="1:35" ht="18" customHeight="1">
      <c r="A49" s="10424"/>
      <c r="B49" s="10378"/>
      <c r="C49" s="9134"/>
      <c r="D49" s="9091"/>
      <c r="E49" s="9091"/>
      <c r="F49" s="9091"/>
      <c r="G49" s="9091"/>
      <c r="H49" s="9091"/>
      <c r="I49" s="9091"/>
      <c r="J49" s="9091"/>
      <c r="K49" s="9091"/>
      <c r="L49" s="9091"/>
      <c r="M49" s="10353"/>
      <c r="N49" s="10353"/>
      <c r="O49" s="10353"/>
      <c r="P49" s="10356"/>
      <c r="Q49" s="10356"/>
      <c r="R49" s="10359"/>
      <c r="S49" s="1361" t="s">
        <v>15</v>
      </c>
      <c r="T49" s="7269" t="s">
        <v>3015</v>
      </c>
      <c r="U49" s="7270"/>
      <c r="V49" s="905" t="s">
        <v>3016</v>
      </c>
      <c r="W49" s="5965"/>
      <c r="X49" s="151"/>
      <c r="Y49" s="6680">
        <v>15000</v>
      </c>
      <c r="Z49" s="6680"/>
      <c r="AA49" s="6680">
        <f t="shared" si="2"/>
        <v>15000</v>
      </c>
      <c r="AB49" s="7332">
        <f>$AA$49</f>
        <v>15000</v>
      </c>
      <c r="AC49" s="5979" t="s">
        <v>18</v>
      </c>
      <c r="AD49" s="1356"/>
      <c r="AE49" s="1152" t="s">
        <v>153</v>
      </c>
      <c r="AF49" s="1152" t="s">
        <v>153</v>
      </c>
      <c r="AG49" s="1152" t="s">
        <v>153</v>
      </c>
      <c r="AH49" s="10386"/>
      <c r="AI49" s="819"/>
    </row>
    <row r="50" spans="1:35" ht="18" customHeight="1">
      <c r="A50" s="10424"/>
      <c r="B50" s="10378"/>
      <c r="C50" s="9134"/>
      <c r="D50" s="9091"/>
      <c r="E50" s="9091"/>
      <c r="F50" s="9091"/>
      <c r="G50" s="9091"/>
      <c r="H50" s="9091"/>
      <c r="I50" s="9091"/>
      <c r="J50" s="9091"/>
      <c r="K50" s="9091"/>
      <c r="L50" s="9091"/>
      <c r="M50" s="10353"/>
      <c r="N50" s="10353"/>
      <c r="O50" s="10353"/>
      <c r="P50" s="10356"/>
      <c r="Q50" s="10356"/>
      <c r="R50" s="10359"/>
      <c r="S50" s="1361" t="s">
        <v>15</v>
      </c>
      <c r="T50" s="7269" t="s">
        <v>3017</v>
      </c>
      <c r="U50" s="7270"/>
      <c r="V50" s="905" t="s">
        <v>3018</v>
      </c>
      <c r="W50" s="5965"/>
      <c r="X50" s="151"/>
      <c r="Y50" s="6680">
        <v>95000</v>
      </c>
      <c r="Z50" s="6680"/>
      <c r="AA50" s="6680">
        <f t="shared" si="2"/>
        <v>95000</v>
      </c>
      <c r="AB50" s="7332">
        <f>$AA$50</f>
        <v>95000</v>
      </c>
      <c r="AC50" s="5979" t="s">
        <v>18</v>
      </c>
      <c r="AD50" s="1356"/>
      <c r="AE50" s="1152" t="s">
        <v>153</v>
      </c>
      <c r="AF50" s="1152" t="s">
        <v>153</v>
      </c>
      <c r="AG50" s="1152" t="s">
        <v>153</v>
      </c>
      <c r="AH50" s="10386"/>
      <c r="AI50" s="819"/>
    </row>
    <row r="51" spans="1:35" ht="18" customHeight="1">
      <c r="A51" s="10424"/>
      <c r="B51" s="10378"/>
      <c r="C51" s="9134"/>
      <c r="D51" s="9091"/>
      <c r="E51" s="9091"/>
      <c r="F51" s="9091"/>
      <c r="G51" s="9091"/>
      <c r="H51" s="9091"/>
      <c r="I51" s="9091"/>
      <c r="J51" s="9091"/>
      <c r="K51" s="9091"/>
      <c r="L51" s="9091"/>
      <c r="M51" s="10353"/>
      <c r="N51" s="10353"/>
      <c r="O51" s="10353"/>
      <c r="P51" s="10356"/>
      <c r="Q51" s="10356"/>
      <c r="R51" s="10359"/>
      <c r="S51" s="1361" t="s">
        <v>15</v>
      </c>
      <c r="T51" s="7269" t="s">
        <v>3019</v>
      </c>
      <c r="U51" s="7270"/>
      <c r="V51" s="905" t="s">
        <v>3020</v>
      </c>
      <c r="W51" s="5965"/>
      <c r="X51" s="151"/>
      <c r="Y51" s="6680">
        <v>5000</v>
      </c>
      <c r="Z51" s="6680"/>
      <c r="AA51" s="6680">
        <f t="shared" si="2"/>
        <v>5000</v>
      </c>
      <c r="AB51" s="7332">
        <f>$AA$51</f>
        <v>5000</v>
      </c>
      <c r="AC51" s="5979" t="s">
        <v>18</v>
      </c>
      <c r="AD51" s="1356"/>
      <c r="AE51" s="1152" t="s">
        <v>153</v>
      </c>
      <c r="AF51" s="1152" t="s">
        <v>153</v>
      </c>
      <c r="AG51" s="1152" t="s">
        <v>153</v>
      </c>
      <c r="AH51" s="10386"/>
      <c r="AI51" s="819"/>
    </row>
    <row r="52" spans="1:35" ht="18" customHeight="1">
      <c r="A52" s="10424"/>
      <c r="B52" s="10378"/>
      <c r="C52" s="9134"/>
      <c r="D52" s="9091"/>
      <c r="E52" s="9091"/>
      <c r="F52" s="9091"/>
      <c r="G52" s="9091"/>
      <c r="H52" s="9091"/>
      <c r="I52" s="9091"/>
      <c r="J52" s="9091"/>
      <c r="K52" s="9091"/>
      <c r="L52" s="9091"/>
      <c r="M52" s="10353"/>
      <c r="N52" s="10353"/>
      <c r="O52" s="10353"/>
      <c r="P52" s="10356"/>
      <c r="Q52" s="10356"/>
      <c r="R52" s="10359"/>
      <c r="S52" s="1361" t="s">
        <v>15</v>
      </c>
      <c r="T52" s="7269" t="s">
        <v>3021</v>
      </c>
      <c r="U52" s="7270"/>
      <c r="V52" s="905" t="s">
        <v>3022</v>
      </c>
      <c r="W52" s="5965"/>
      <c r="X52" s="151"/>
      <c r="Y52" s="6680">
        <v>24000</v>
      </c>
      <c r="Z52" s="6680"/>
      <c r="AA52" s="6680">
        <f t="shared" si="2"/>
        <v>24000</v>
      </c>
      <c r="AB52" s="7332">
        <f>$AA$52</f>
        <v>24000</v>
      </c>
      <c r="AC52" s="5979" t="s">
        <v>18</v>
      </c>
      <c r="AD52" s="1356"/>
      <c r="AE52" s="1152" t="s">
        <v>153</v>
      </c>
      <c r="AF52" s="1152" t="s">
        <v>153</v>
      </c>
      <c r="AG52" s="1152" t="s">
        <v>153</v>
      </c>
      <c r="AH52" s="10386"/>
      <c r="AI52" s="819"/>
    </row>
    <row r="53" spans="1:35" ht="18" customHeight="1">
      <c r="A53" s="10424"/>
      <c r="B53" s="10378"/>
      <c r="C53" s="9134"/>
      <c r="D53" s="9091"/>
      <c r="E53" s="9091"/>
      <c r="F53" s="9091"/>
      <c r="G53" s="9091"/>
      <c r="H53" s="9091"/>
      <c r="I53" s="9091"/>
      <c r="J53" s="9091"/>
      <c r="K53" s="9091"/>
      <c r="L53" s="9091"/>
      <c r="M53" s="10353"/>
      <c r="N53" s="10353"/>
      <c r="O53" s="10353"/>
      <c r="P53" s="10356"/>
      <c r="Q53" s="10356"/>
      <c r="R53" s="10359"/>
      <c r="S53" s="1361" t="s">
        <v>15</v>
      </c>
      <c r="T53" s="7269" t="s">
        <v>3023</v>
      </c>
      <c r="U53" s="7270"/>
      <c r="V53" s="905" t="s">
        <v>3024</v>
      </c>
      <c r="W53" s="5965"/>
      <c r="X53" s="151"/>
      <c r="Y53" s="6680">
        <v>31000</v>
      </c>
      <c r="Z53" s="6680"/>
      <c r="AA53" s="6680">
        <f t="shared" si="2"/>
        <v>31000</v>
      </c>
      <c r="AB53" s="7332">
        <f>$AA$53</f>
        <v>31000</v>
      </c>
      <c r="AC53" s="5979" t="s">
        <v>18</v>
      </c>
      <c r="AD53" s="1356"/>
      <c r="AE53" s="1152" t="s">
        <v>153</v>
      </c>
      <c r="AF53" s="1152" t="s">
        <v>153</v>
      </c>
      <c r="AG53" s="1152" t="s">
        <v>153</v>
      </c>
      <c r="AH53" s="10386"/>
      <c r="AI53" s="819"/>
    </row>
    <row r="54" spans="1:35" ht="18" customHeight="1">
      <c r="A54" s="10424"/>
      <c r="B54" s="10378"/>
      <c r="C54" s="9134"/>
      <c r="D54" s="9091"/>
      <c r="E54" s="9091"/>
      <c r="F54" s="9091"/>
      <c r="G54" s="9091"/>
      <c r="H54" s="9091"/>
      <c r="I54" s="9091"/>
      <c r="J54" s="9091"/>
      <c r="K54" s="9091"/>
      <c r="L54" s="9091"/>
      <c r="M54" s="10353"/>
      <c r="N54" s="10353"/>
      <c r="O54" s="10353"/>
      <c r="P54" s="10356"/>
      <c r="Q54" s="10356"/>
      <c r="R54" s="10359"/>
      <c r="S54" s="1361" t="s">
        <v>15</v>
      </c>
      <c r="T54" s="7269" t="s">
        <v>3025</v>
      </c>
      <c r="U54" s="7270"/>
      <c r="V54" s="905" t="s">
        <v>3026</v>
      </c>
      <c r="W54" s="5965"/>
      <c r="X54" s="151"/>
      <c r="Y54" s="6683">
        <v>665424</v>
      </c>
      <c r="Z54" s="6683"/>
      <c r="AA54" s="6683">
        <f t="shared" si="2"/>
        <v>665424</v>
      </c>
      <c r="AB54" s="7331">
        <f>$AA$54</f>
        <v>665424</v>
      </c>
      <c r="AC54" s="5979" t="s">
        <v>18</v>
      </c>
      <c r="AD54" s="1356"/>
      <c r="AE54" s="1152" t="s">
        <v>153</v>
      </c>
      <c r="AF54" s="1152" t="s">
        <v>153</v>
      </c>
      <c r="AG54" s="1152" t="s">
        <v>153</v>
      </c>
      <c r="AH54" s="10386"/>
      <c r="AI54" s="819"/>
    </row>
    <row r="55" spans="1:35" ht="18" customHeight="1">
      <c r="A55" s="10424"/>
      <c r="B55" s="10378"/>
      <c r="C55" s="9134"/>
      <c r="D55" s="9091"/>
      <c r="E55" s="9091"/>
      <c r="F55" s="9091"/>
      <c r="G55" s="9091"/>
      <c r="H55" s="9091"/>
      <c r="I55" s="9091"/>
      <c r="J55" s="9091"/>
      <c r="K55" s="9091"/>
      <c r="L55" s="9091"/>
      <c r="M55" s="10353"/>
      <c r="N55" s="10353"/>
      <c r="O55" s="10353"/>
      <c r="P55" s="10356"/>
      <c r="Q55" s="10356"/>
      <c r="R55" s="10359"/>
      <c r="S55" s="1361" t="s">
        <v>15</v>
      </c>
      <c r="T55" s="7269" t="s">
        <v>3027</v>
      </c>
      <c r="U55" s="7270"/>
      <c r="V55" s="905" t="s">
        <v>3028</v>
      </c>
      <c r="W55" s="5965"/>
      <c r="X55" s="151"/>
      <c r="Y55" s="6680">
        <v>15000</v>
      </c>
      <c r="Z55" s="6680"/>
      <c r="AA55" s="6680">
        <f t="shared" si="2"/>
        <v>15000</v>
      </c>
      <c r="AB55" s="7332">
        <f>$AA$55</f>
        <v>15000</v>
      </c>
      <c r="AC55" s="5979" t="s">
        <v>18</v>
      </c>
      <c r="AD55" s="1356"/>
      <c r="AE55" s="1152" t="s">
        <v>153</v>
      </c>
      <c r="AF55" s="1152" t="s">
        <v>153</v>
      </c>
      <c r="AG55" s="1152" t="s">
        <v>153</v>
      </c>
      <c r="AH55" s="10386"/>
      <c r="AI55" s="819"/>
    </row>
    <row r="56" spans="1:35" ht="18" customHeight="1">
      <c r="A56" s="10424"/>
      <c r="B56" s="10378"/>
      <c r="C56" s="9134"/>
      <c r="D56" s="9091"/>
      <c r="E56" s="9091"/>
      <c r="F56" s="9091"/>
      <c r="G56" s="9091"/>
      <c r="H56" s="9091"/>
      <c r="I56" s="9091"/>
      <c r="J56" s="9091"/>
      <c r="K56" s="9091"/>
      <c r="L56" s="9091"/>
      <c r="M56" s="10353"/>
      <c r="N56" s="10353"/>
      <c r="O56" s="10353"/>
      <c r="P56" s="10356"/>
      <c r="Q56" s="10356"/>
      <c r="R56" s="10359"/>
      <c r="S56" s="1361" t="s">
        <v>15</v>
      </c>
      <c r="T56" s="7269" t="s">
        <v>3029</v>
      </c>
      <c r="U56" s="7270"/>
      <c r="V56" s="905" t="s">
        <v>3030</v>
      </c>
      <c r="W56" s="5965"/>
      <c r="X56" s="151"/>
      <c r="Y56" s="6680">
        <v>4804</v>
      </c>
      <c r="Z56" s="6680"/>
      <c r="AA56" s="6680">
        <f t="shared" si="2"/>
        <v>4804</v>
      </c>
      <c r="AB56" s="7332">
        <f>$AA$56</f>
        <v>4804</v>
      </c>
      <c r="AC56" s="5979" t="s">
        <v>18</v>
      </c>
      <c r="AD56" s="1356"/>
      <c r="AE56" s="1152" t="s">
        <v>153</v>
      </c>
      <c r="AF56" s="1152" t="s">
        <v>153</v>
      </c>
      <c r="AG56" s="1152" t="s">
        <v>153</v>
      </c>
      <c r="AH56" s="10386"/>
      <c r="AI56" s="819"/>
    </row>
    <row r="57" spans="1:35" ht="18" customHeight="1">
      <c r="A57" s="10424"/>
      <c r="B57" s="10378"/>
      <c r="C57" s="9134"/>
      <c r="D57" s="9091"/>
      <c r="E57" s="9091"/>
      <c r="F57" s="9091"/>
      <c r="G57" s="9091"/>
      <c r="H57" s="9091"/>
      <c r="I57" s="9091"/>
      <c r="J57" s="9091"/>
      <c r="K57" s="9091"/>
      <c r="L57" s="9091"/>
      <c r="M57" s="10353"/>
      <c r="N57" s="10353"/>
      <c r="O57" s="10353"/>
      <c r="P57" s="10356"/>
      <c r="Q57" s="10356"/>
      <c r="R57" s="10359"/>
      <c r="S57" s="1361" t="s">
        <v>15</v>
      </c>
      <c r="T57" s="7269" t="s">
        <v>3031</v>
      </c>
      <c r="U57" s="7270"/>
      <c r="V57" s="905" t="s">
        <v>3032</v>
      </c>
      <c r="W57" s="5965"/>
      <c r="X57" s="151"/>
      <c r="Y57" s="6683">
        <v>604823.06999999995</v>
      </c>
      <c r="Z57" s="6683"/>
      <c r="AA57" s="6683">
        <f t="shared" si="2"/>
        <v>604823.06999999995</v>
      </c>
      <c r="AB57" s="7331">
        <f>$AA$57</f>
        <v>604823.06999999995</v>
      </c>
      <c r="AC57" s="5979" t="s">
        <v>18</v>
      </c>
      <c r="AD57" s="1356"/>
      <c r="AE57" s="1152" t="s">
        <v>153</v>
      </c>
      <c r="AF57" s="1152" t="s">
        <v>153</v>
      </c>
      <c r="AG57" s="1152" t="s">
        <v>153</v>
      </c>
      <c r="AH57" s="10386"/>
      <c r="AI57" s="819"/>
    </row>
    <row r="58" spans="1:35" ht="18" customHeight="1">
      <c r="A58" s="10424"/>
      <c r="B58" s="10378"/>
      <c r="C58" s="9134"/>
      <c r="D58" s="9091"/>
      <c r="E58" s="9091"/>
      <c r="F58" s="9091"/>
      <c r="G58" s="9091"/>
      <c r="H58" s="9091"/>
      <c r="I58" s="9091"/>
      <c r="J58" s="9091"/>
      <c r="K58" s="9091"/>
      <c r="L58" s="9091"/>
      <c r="M58" s="10353"/>
      <c r="N58" s="10353"/>
      <c r="O58" s="10353"/>
      <c r="P58" s="10356"/>
      <c r="Q58" s="10356"/>
      <c r="R58" s="10359"/>
      <c r="S58" s="1361" t="s">
        <v>15</v>
      </c>
      <c r="T58" s="7269" t="s">
        <v>3033</v>
      </c>
      <c r="U58" s="7270"/>
      <c r="V58" s="905" t="s">
        <v>3034</v>
      </c>
      <c r="W58" s="5965"/>
      <c r="X58" s="151"/>
      <c r="Y58" s="7761">
        <v>5750.25</v>
      </c>
      <c r="Z58" s="7761"/>
      <c r="AA58" s="7761">
        <f t="shared" ref="AA58" si="3">Y58</f>
        <v>5750.25</v>
      </c>
      <c r="AB58" s="7756">
        <f>$AA$58</f>
        <v>5750.25</v>
      </c>
      <c r="AC58" s="5979" t="s">
        <v>18</v>
      </c>
      <c r="AD58" s="1356"/>
      <c r="AE58" s="1152"/>
      <c r="AF58" s="1152"/>
      <c r="AG58" s="1152" t="s">
        <v>153</v>
      </c>
      <c r="AH58" s="10386"/>
      <c r="AI58" s="819"/>
    </row>
    <row r="59" spans="1:35" ht="18" customHeight="1">
      <c r="A59" s="10424"/>
      <c r="B59" s="10378"/>
      <c r="C59" s="9134"/>
      <c r="D59" s="9091"/>
      <c r="E59" s="9091"/>
      <c r="F59" s="9091"/>
      <c r="G59" s="9091"/>
      <c r="H59" s="9091"/>
      <c r="I59" s="9091"/>
      <c r="J59" s="9091"/>
      <c r="K59" s="9091"/>
      <c r="L59" s="9091"/>
      <c r="M59" s="10353"/>
      <c r="N59" s="10353"/>
      <c r="O59" s="10353"/>
      <c r="P59" s="10356"/>
      <c r="Q59" s="10356"/>
      <c r="R59" s="10359"/>
      <c r="S59" s="1361" t="s">
        <v>15</v>
      </c>
      <c r="T59" s="7269" t="s">
        <v>3035</v>
      </c>
      <c r="U59" s="7270"/>
      <c r="V59" s="905" t="s">
        <v>3036</v>
      </c>
      <c r="W59" s="7754"/>
      <c r="X59" s="7755"/>
      <c r="Y59" s="7761">
        <v>29000</v>
      </c>
      <c r="Z59" s="7761"/>
      <c r="AA59" s="7761">
        <f t="shared" ref="AA59" si="4">Y59</f>
        <v>29000</v>
      </c>
      <c r="AB59" s="7756">
        <f>$AA$59</f>
        <v>29000</v>
      </c>
      <c r="AC59" s="5979" t="s">
        <v>18</v>
      </c>
      <c r="AD59" s="1356"/>
      <c r="AE59" s="1152"/>
      <c r="AF59" s="1152"/>
      <c r="AG59" s="1152" t="s">
        <v>153</v>
      </c>
      <c r="AH59" s="10386"/>
      <c r="AI59" s="819"/>
    </row>
    <row r="60" spans="1:35" ht="18" customHeight="1">
      <c r="A60" s="10424"/>
      <c r="B60" s="10378"/>
      <c r="C60" s="9134"/>
      <c r="D60" s="9091"/>
      <c r="E60" s="9091"/>
      <c r="F60" s="9091"/>
      <c r="G60" s="9091"/>
      <c r="H60" s="9091"/>
      <c r="I60" s="9091"/>
      <c r="J60" s="9091"/>
      <c r="K60" s="9091"/>
      <c r="L60" s="9091"/>
      <c r="M60" s="10353"/>
      <c r="N60" s="10353"/>
      <c r="O60" s="10353"/>
      <c r="P60" s="10356"/>
      <c r="Q60" s="10356"/>
      <c r="R60" s="10359"/>
      <c r="S60" s="1361" t="s">
        <v>15</v>
      </c>
      <c r="T60" s="7269" t="s">
        <v>3037</v>
      </c>
      <c r="U60" s="7270"/>
      <c r="V60" s="905" t="s">
        <v>3038</v>
      </c>
      <c r="W60" s="5965"/>
      <c r="X60" s="151"/>
      <c r="Y60" s="7761">
        <v>123900</v>
      </c>
      <c r="Z60" s="7761"/>
      <c r="AA60" s="7761">
        <f>+Y60</f>
        <v>123900</v>
      </c>
      <c r="AB60" s="7756">
        <f>+Y60</f>
        <v>123900</v>
      </c>
      <c r="AC60" s="5979" t="s">
        <v>18</v>
      </c>
      <c r="AD60" s="1356"/>
      <c r="AE60" s="1152"/>
      <c r="AF60" s="1152"/>
      <c r="AG60" s="1152" t="s">
        <v>153</v>
      </c>
      <c r="AH60" s="10386"/>
      <c r="AI60" s="819"/>
    </row>
    <row r="61" spans="1:35" ht="18" customHeight="1">
      <c r="A61" s="10424"/>
      <c r="B61" s="10378"/>
      <c r="C61" s="9134"/>
      <c r="D61" s="9091"/>
      <c r="E61" s="9091"/>
      <c r="F61" s="9091"/>
      <c r="G61" s="9091"/>
      <c r="H61" s="9091"/>
      <c r="I61" s="9091"/>
      <c r="J61" s="9091"/>
      <c r="K61" s="9091"/>
      <c r="L61" s="9091"/>
      <c r="M61" s="10353"/>
      <c r="N61" s="10353"/>
      <c r="O61" s="10353"/>
      <c r="P61" s="10356"/>
      <c r="Q61" s="10356"/>
      <c r="R61" s="10359"/>
      <c r="S61" s="1361" t="s">
        <v>15</v>
      </c>
      <c r="T61" s="7269">
        <v>510602</v>
      </c>
      <c r="U61" s="7270"/>
      <c r="V61" s="905" t="s">
        <v>3039</v>
      </c>
      <c r="W61" s="5965"/>
      <c r="X61" s="151"/>
      <c r="Y61" s="7953">
        <f>493782.5-1000</f>
        <v>492782.5</v>
      </c>
      <c r="Z61" s="7953"/>
      <c r="AA61" s="7953">
        <f t="shared" si="2"/>
        <v>492782.5</v>
      </c>
      <c r="AB61" s="7954">
        <f>$AA$61</f>
        <v>492782.5</v>
      </c>
      <c r="AC61" s="5979" t="s">
        <v>18</v>
      </c>
      <c r="AD61" s="1356"/>
      <c r="AE61" s="1152" t="s">
        <v>153</v>
      </c>
      <c r="AF61" s="1152" t="s">
        <v>153</v>
      </c>
      <c r="AG61" s="1152" t="s">
        <v>153</v>
      </c>
      <c r="AH61" s="10386"/>
      <c r="AI61" s="819"/>
    </row>
    <row r="62" spans="1:35" ht="33.75" customHeight="1">
      <c r="A62" s="10424"/>
      <c r="B62" s="10378"/>
      <c r="C62" s="9134"/>
      <c r="D62" s="9091"/>
      <c r="E62" s="9091"/>
      <c r="F62" s="9091"/>
      <c r="G62" s="9091"/>
      <c r="H62" s="9091"/>
      <c r="I62" s="9091"/>
      <c r="J62" s="9091"/>
      <c r="K62" s="9091"/>
      <c r="L62" s="9091"/>
      <c r="M62" s="10353"/>
      <c r="N62" s="10353"/>
      <c r="O62" s="10353"/>
      <c r="P62" s="10356"/>
      <c r="Q62" s="10356"/>
      <c r="R62" s="10359"/>
      <c r="S62" s="1361" t="s">
        <v>15</v>
      </c>
      <c r="T62" s="7269" t="s">
        <v>3040</v>
      </c>
      <c r="U62" s="7270"/>
      <c r="V62" s="905" t="s">
        <v>3041</v>
      </c>
      <c r="W62" s="5965"/>
      <c r="X62" s="151"/>
      <c r="Y62" s="8052">
        <v>3000</v>
      </c>
      <c r="Z62" s="8052"/>
      <c r="AA62" s="8052">
        <f t="shared" si="2"/>
        <v>3000</v>
      </c>
      <c r="AB62" s="8053">
        <f>$AA$62</f>
        <v>3000</v>
      </c>
      <c r="AC62" s="5979" t="s">
        <v>18</v>
      </c>
      <c r="AD62" s="1356"/>
      <c r="AE62" s="1152" t="s">
        <v>153</v>
      </c>
      <c r="AF62" s="1152" t="s">
        <v>153</v>
      </c>
      <c r="AG62" s="1152" t="s">
        <v>153</v>
      </c>
      <c r="AH62" s="10386"/>
      <c r="AI62" s="819"/>
    </row>
    <row r="63" spans="1:35" ht="39" customHeight="1">
      <c r="A63" s="10424"/>
      <c r="B63" s="10378"/>
      <c r="C63" s="9134"/>
      <c r="D63" s="9091"/>
      <c r="E63" s="9091"/>
      <c r="F63" s="9091"/>
      <c r="G63" s="9091"/>
      <c r="H63" s="9091"/>
      <c r="I63" s="9091"/>
      <c r="J63" s="9091"/>
      <c r="K63" s="9091"/>
      <c r="L63" s="9091"/>
      <c r="M63" s="10353"/>
      <c r="N63" s="10353"/>
      <c r="O63" s="10353"/>
      <c r="P63" s="10356"/>
      <c r="Q63" s="10356"/>
      <c r="R63" s="10359"/>
      <c r="S63" s="1367" t="s">
        <v>79</v>
      </c>
      <c r="T63" s="7269" t="s">
        <v>3011</v>
      </c>
      <c r="U63" s="7270"/>
      <c r="V63" s="905" t="s">
        <v>3012</v>
      </c>
      <c r="W63" s="5965"/>
      <c r="X63" s="151"/>
      <c r="Y63" s="6683">
        <v>8902539.5199999996</v>
      </c>
      <c r="Z63" s="6683"/>
      <c r="AA63" s="6683">
        <f t="shared" si="2"/>
        <v>8902539.5199999996</v>
      </c>
      <c r="AB63" s="7331">
        <f>$AA$63</f>
        <v>8902539.5199999996</v>
      </c>
      <c r="AC63" s="5979" t="s">
        <v>18</v>
      </c>
      <c r="AD63" s="1356"/>
      <c r="AE63" s="1152" t="s">
        <v>153</v>
      </c>
      <c r="AF63" s="1152" t="s">
        <v>153</v>
      </c>
      <c r="AG63" s="1152" t="s">
        <v>153</v>
      </c>
      <c r="AH63" s="10386"/>
      <c r="AI63" s="819"/>
    </row>
    <row r="64" spans="1:35" ht="18" customHeight="1">
      <c r="A64" s="10424"/>
      <c r="B64" s="10378"/>
      <c r="C64" s="9134"/>
      <c r="D64" s="9091"/>
      <c r="E64" s="9091"/>
      <c r="F64" s="9091"/>
      <c r="G64" s="9091"/>
      <c r="H64" s="9091"/>
      <c r="I64" s="9091"/>
      <c r="J64" s="9091"/>
      <c r="K64" s="9091"/>
      <c r="L64" s="9091"/>
      <c r="M64" s="10353"/>
      <c r="N64" s="10353"/>
      <c r="O64" s="10353"/>
      <c r="P64" s="10356"/>
      <c r="Q64" s="10356"/>
      <c r="R64" s="10359"/>
      <c r="S64" s="1367" t="s">
        <v>79</v>
      </c>
      <c r="T64" s="7269">
        <v>510203</v>
      </c>
      <c r="U64" s="7270"/>
      <c r="V64" s="905" t="s">
        <v>3013</v>
      </c>
      <c r="W64" s="5965"/>
      <c r="X64" s="151"/>
      <c r="Y64" s="6680">
        <v>1135912.31</v>
      </c>
      <c r="Z64" s="6680"/>
      <c r="AA64" s="6680">
        <f t="shared" si="2"/>
        <v>1135912.31</v>
      </c>
      <c r="AB64" s="7332">
        <f>$AA$64</f>
        <v>1135912.31</v>
      </c>
      <c r="AC64" s="5979" t="s">
        <v>18</v>
      </c>
      <c r="AD64" s="1356"/>
      <c r="AE64" s="1152" t="s">
        <v>153</v>
      </c>
      <c r="AF64" s="1152" t="s">
        <v>153</v>
      </c>
      <c r="AG64" s="1152" t="s">
        <v>153</v>
      </c>
      <c r="AH64" s="10386"/>
      <c r="AI64" s="819"/>
    </row>
    <row r="65" spans="1:35" ht="18" customHeight="1">
      <c r="A65" s="10424"/>
      <c r="B65" s="10378"/>
      <c r="C65" s="9134"/>
      <c r="D65" s="9091"/>
      <c r="E65" s="9091"/>
      <c r="F65" s="9091"/>
      <c r="G65" s="9091"/>
      <c r="H65" s="9091"/>
      <c r="I65" s="9091"/>
      <c r="J65" s="9091"/>
      <c r="K65" s="9091"/>
      <c r="L65" s="9091"/>
      <c r="M65" s="10353"/>
      <c r="N65" s="10353"/>
      <c r="O65" s="10353"/>
      <c r="P65" s="10356"/>
      <c r="Q65" s="10356"/>
      <c r="R65" s="10359"/>
      <c r="S65" s="1367" t="s">
        <v>79</v>
      </c>
      <c r="T65" s="7269">
        <v>510204</v>
      </c>
      <c r="U65" s="7270"/>
      <c r="V65" s="905" t="s">
        <v>3014</v>
      </c>
      <c r="W65" s="5965"/>
      <c r="X65" s="151"/>
      <c r="Y65" s="6683">
        <v>252300</v>
      </c>
      <c r="Z65" s="6683"/>
      <c r="AA65" s="6683">
        <f t="shared" si="2"/>
        <v>252300</v>
      </c>
      <c r="AB65" s="7331">
        <f>$AA$65</f>
        <v>252300</v>
      </c>
      <c r="AC65" s="5979" t="s">
        <v>18</v>
      </c>
      <c r="AD65" s="1356"/>
      <c r="AE65" s="1152" t="s">
        <v>153</v>
      </c>
      <c r="AF65" s="1152" t="s">
        <v>153</v>
      </c>
      <c r="AG65" s="1152" t="s">
        <v>153</v>
      </c>
      <c r="AH65" s="10386"/>
      <c r="AI65" s="819"/>
    </row>
    <row r="66" spans="1:35" ht="38.25" customHeight="1">
      <c r="A66" s="10424"/>
      <c r="B66" s="10378"/>
      <c r="C66" s="9134"/>
      <c r="D66" s="9091"/>
      <c r="E66" s="9091"/>
      <c r="F66" s="9091"/>
      <c r="G66" s="9091"/>
      <c r="H66" s="9091"/>
      <c r="I66" s="9091"/>
      <c r="J66" s="9091"/>
      <c r="K66" s="9091"/>
      <c r="L66" s="9091"/>
      <c r="M66" s="10353"/>
      <c r="N66" s="10353"/>
      <c r="O66" s="10353"/>
      <c r="P66" s="10356"/>
      <c r="Q66" s="10356"/>
      <c r="R66" s="10359"/>
      <c r="S66" s="1367" t="s">
        <v>79</v>
      </c>
      <c r="T66" s="7269" t="s">
        <v>3042</v>
      </c>
      <c r="U66" s="7270"/>
      <c r="V66" s="905" t="s">
        <v>3043</v>
      </c>
      <c r="W66" s="5965"/>
      <c r="X66" s="151"/>
      <c r="Y66" s="8591">
        <f>4695677.6-150000</f>
        <v>4545677.5999999996</v>
      </c>
      <c r="Z66" s="8591"/>
      <c r="AA66" s="8591">
        <f t="shared" si="2"/>
        <v>4545677.5999999996</v>
      </c>
      <c r="AB66" s="8590">
        <f>$AA$66</f>
        <v>4545677.5999999996</v>
      </c>
      <c r="AC66" s="5979" t="s">
        <v>18</v>
      </c>
      <c r="AD66" s="1356"/>
      <c r="AE66" s="1152" t="s">
        <v>153</v>
      </c>
      <c r="AF66" s="1152" t="s">
        <v>153</v>
      </c>
      <c r="AG66" s="1152" t="s">
        <v>153</v>
      </c>
      <c r="AH66" s="10386"/>
      <c r="AI66" s="819"/>
    </row>
    <row r="67" spans="1:35" ht="25.5">
      <c r="A67" s="10424"/>
      <c r="B67" s="10378"/>
      <c r="C67" s="9134"/>
      <c r="D67" s="9091"/>
      <c r="E67" s="9091"/>
      <c r="F67" s="9091"/>
      <c r="G67" s="9091"/>
      <c r="H67" s="9091"/>
      <c r="I67" s="9091"/>
      <c r="J67" s="9091"/>
      <c r="K67" s="9091"/>
      <c r="L67" s="9091"/>
      <c r="M67" s="10353"/>
      <c r="N67" s="10353"/>
      <c r="O67" s="10353"/>
      <c r="P67" s="10356"/>
      <c r="Q67" s="10356"/>
      <c r="R67" s="10359"/>
      <c r="S67" s="1367" t="s">
        <v>79</v>
      </c>
      <c r="T67" s="7269" t="s">
        <v>3031</v>
      </c>
      <c r="U67" s="7270"/>
      <c r="V67" s="905" t="s">
        <v>3032</v>
      </c>
      <c r="W67" s="5965"/>
      <c r="X67" s="151"/>
      <c r="Y67" s="8052">
        <f>1251170.96-15000</f>
        <v>1236170.96</v>
      </c>
      <c r="Z67" s="8052"/>
      <c r="AA67" s="8052">
        <f t="shared" si="2"/>
        <v>1236170.96</v>
      </c>
      <c r="AB67" s="8053">
        <f>$AA$67</f>
        <v>1236170.96</v>
      </c>
      <c r="AC67" s="5979" t="s">
        <v>18</v>
      </c>
      <c r="AD67" s="1356"/>
      <c r="AE67" s="1152" t="s">
        <v>153</v>
      </c>
      <c r="AF67" s="1152" t="s">
        <v>153</v>
      </c>
      <c r="AG67" s="1152" t="s">
        <v>153</v>
      </c>
      <c r="AH67" s="10386"/>
      <c r="AI67" s="819"/>
    </row>
    <row r="68" spans="1:35" ht="18" customHeight="1">
      <c r="A68" s="10424"/>
      <c r="B68" s="10378"/>
      <c r="C68" s="9134"/>
      <c r="D68" s="9091"/>
      <c r="E68" s="9091"/>
      <c r="F68" s="9091"/>
      <c r="G68" s="9091"/>
      <c r="H68" s="9091"/>
      <c r="I68" s="9091"/>
      <c r="J68" s="9091"/>
      <c r="K68" s="9091"/>
      <c r="L68" s="9091"/>
      <c r="M68" s="10353"/>
      <c r="N68" s="10353"/>
      <c r="O68" s="10353"/>
      <c r="P68" s="10356"/>
      <c r="Q68" s="10356"/>
      <c r="R68" s="10359"/>
      <c r="S68" s="1367" t="s">
        <v>79</v>
      </c>
      <c r="T68" s="7269">
        <v>510602</v>
      </c>
      <c r="U68" s="7270"/>
      <c r="V68" s="905" t="s">
        <v>3039</v>
      </c>
      <c r="W68" s="5965"/>
      <c r="X68" s="151"/>
      <c r="Y68" s="8052">
        <f>1139058.9-40267.38</f>
        <v>1098791.52</v>
      </c>
      <c r="Z68" s="8052"/>
      <c r="AA68" s="8052">
        <f>Y68</f>
        <v>1098791.52</v>
      </c>
      <c r="AB68" s="8053">
        <f>$AA$68</f>
        <v>1098791.52</v>
      </c>
      <c r="AC68" s="5979" t="s">
        <v>18</v>
      </c>
      <c r="AD68" s="1356"/>
      <c r="AE68" s="1152" t="s">
        <v>153</v>
      </c>
      <c r="AF68" s="1152" t="s">
        <v>153</v>
      </c>
      <c r="AG68" s="1152" t="s">
        <v>153</v>
      </c>
      <c r="AH68" s="10386"/>
      <c r="AI68" s="819"/>
    </row>
    <row r="69" spans="1:35" ht="33.75" customHeight="1">
      <c r="A69" s="10424"/>
      <c r="B69" s="10378"/>
      <c r="C69" s="9134"/>
      <c r="D69" s="9091"/>
      <c r="E69" s="9091"/>
      <c r="F69" s="9091"/>
      <c r="G69" s="9091"/>
      <c r="H69" s="9091"/>
      <c r="I69" s="9091"/>
      <c r="J69" s="9091"/>
      <c r="K69" s="9091"/>
      <c r="L69" s="9091"/>
      <c r="M69" s="10353"/>
      <c r="N69" s="10353"/>
      <c r="O69" s="10353"/>
      <c r="P69" s="10356"/>
      <c r="Q69" s="10356"/>
      <c r="R69" s="10359"/>
      <c r="S69" s="1367" t="s">
        <v>79</v>
      </c>
      <c r="T69" s="7269" t="s">
        <v>3040</v>
      </c>
      <c r="U69" s="7270"/>
      <c r="V69" s="905" t="s">
        <v>3041</v>
      </c>
      <c r="W69" s="5965"/>
      <c r="X69" s="151"/>
      <c r="Y69" s="8052">
        <f>1500+4000+4000</f>
        <v>9500</v>
      </c>
      <c r="Z69" s="8052"/>
      <c r="AA69" s="8052">
        <f t="shared" si="2"/>
        <v>9500</v>
      </c>
      <c r="AB69" s="8053">
        <f>$AA$69</f>
        <v>9500</v>
      </c>
      <c r="AC69" s="5979" t="s">
        <v>18</v>
      </c>
      <c r="AD69" s="1356"/>
      <c r="AE69" s="1152" t="s">
        <v>153</v>
      </c>
      <c r="AF69" s="1152" t="s">
        <v>153</v>
      </c>
      <c r="AG69" s="1152" t="s">
        <v>153</v>
      </c>
      <c r="AH69" s="10386"/>
      <c r="AI69" s="819"/>
    </row>
    <row r="70" spans="1:35" ht="18" customHeight="1">
      <c r="A70" s="10424"/>
      <c r="B70" s="10378"/>
      <c r="C70" s="9134"/>
      <c r="D70" s="9091"/>
      <c r="E70" s="9091"/>
      <c r="F70" s="9091"/>
      <c r="G70" s="9091"/>
      <c r="H70" s="9091"/>
      <c r="I70" s="9091"/>
      <c r="J70" s="9091"/>
      <c r="K70" s="9091"/>
      <c r="L70" s="9091"/>
      <c r="M70" s="10353"/>
      <c r="N70" s="10353"/>
      <c r="O70" s="10353"/>
      <c r="P70" s="10356"/>
      <c r="Q70" s="10356"/>
      <c r="R70" s="10359"/>
      <c r="S70" s="1367" t="s">
        <v>79</v>
      </c>
      <c r="T70" s="7269" t="s">
        <v>3044</v>
      </c>
      <c r="U70" s="7270"/>
      <c r="V70" s="905" t="s">
        <v>2507</v>
      </c>
      <c r="W70" s="5965"/>
      <c r="X70" s="151"/>
      <c r="Y70" s="8052"/>
      <c r="Z70" s="8052"/>
      <c r="AA70" s="8052"/>
      <c r="AB70" s="8053">
        <f>$AA$71</f>
        <v>129543.64000000001</v>
      </c>
      <c r="AC70" s="5979" t="s">
        <v>25</v>
      </c>
      <c r="AD70" s="1356"/>
      <c r="AE70" s="1152"/>
      <c r="AF70" s="1152"/>
      <c r="AG70" s="1152"/>
      <c r="AH70" s="10386"/>
      <c r="AI70" s="819"/>
    </row>
    <row r="71" spans="1:35" ht="18" customHeight="1">
      <c r="A71" s="10424"/>
      <c r="B71" s="10378"/>
      <c r="C71" s="9134"/>
      <c r="D71" s="9091"/>
      <c r="E71" s="9091"/>
      <c r="F71" s="9091"/>
      <c r="G71" s="9091"/>
      <c r="H71" s="9091"/>
      <c r="I71" s="9091"/>
      <c r="J71" s="9091"/>
      <c r="K71" s="9091"/>
      <c r="L71" s="9091"/>
      <c r="M71" s="10353"/>
      <c r="N71" s="10353"/>
      <c r="O71" s="10353"/>
      <c r="P71" s="10356"/>
      <c r="Q71" s="10356"/>
      <c r="R71" s="10359"/>
      <c r="S71" s="1367"/>
      <c r="T71" s="7269"/>
      <c r="U71" s="7270"/>
      <c r="V71" s="1989" t="s">
        <v>3045</v>
      </c>
      <c r="W71" s="5965" t="s">
        <v>3046</v>
      </c>
      <c r="X71" s="151" t="s">
        <v>152</v>
      </c>
      <c r="Y71" s="8052">
        <f>(133543.64-4000)/1.12</f>
        <v>115663.96428571429</v>
      </c>
      <c r="Z71" s="8052">
        <f>+W71*Y71</f>
        <v>115663.96428571429</v>
      </c>
      <c r="AA71" s="8052">
        <f>+Z71*1.12</f>
        <v>129543.64000000001</v>
      </c>
      <c r="AB71" s="8053"/>
      <c r="AC71" s="5963"/>
      <c r="AD71" s="1356"/>
      <c r="AE71" s="1152" t="s">
        <v>153</v>
      </c>
      <c r="AF71" s="1152" t="s">
        <v>153</v>
      </c>
      <c r="AG71" s="1152" t="s">
        <v>153</v>
      </c>
      <c r="AH71" s="10386"/>
      <c r="AI71" s="819"/>
    </row>
    <row r="72" spans="1:35" ht="18" customHeight="1">
      <c r="A72" s="10424"/>
      <c r="B72" s="10378"/>
      <c r="C72" s="9134"/>
      <c r="D72" s="9091"/>
      <c r="E72" s="9091"/>
      <c r="F72" s="9091"/>
      <c r="G72" s="9091"/>
      <c r="H72" s="9091"/>
      <c r="I72" s="9091"/>
      <c r="J72" s="9091"/>
      <c r="K72" s="9091"/>
      <c r="L72" s="9091"/>
      <c r="M72" s="10353"/>
      <c r="N72" s="10353"/>
      <c r="O72" s="10353"/>
      <c r="P72" s="10356"/>
      <c r="Q72" s="10356"/>
      <c r="R72" s="10359"/>
      <c r="S72" s="1361" t="s">
        <v>15</v>
      </c>
      <c r="T72" s="7269" t="s">
        <v>3044</v>
      </c>
      <c r="U72" s="7269"/>
      <c r="V72" s="7753" t="s">
        <v>2507</v>
      </c>
      <c r="W72" s="7754"/>
      <c r="X72" s="7755"/>
      <c r="Y72" s="8052"/>
      <c r="Z72" s="8052"/>
      <c r="AA72" s="8052"/>
      <c r="AB72" s="8590">
        <f>+AA73</f>
        <v>18873.099999999999</v>
      </c>
      <c r="AC72" s="7757" t="s">
        <v>18</v>
      </c>
      <c r="AD72" s="1356"/>
      <c r="AE72" s="1152"/>
      <c r="AF72" s="1152"/>
      <c r="AG72" s="1152"/>
      <c r="AH72" s="10386"/>
      <c r="AI72" s="819"/>
    </row>
    <row r="73" spans="1:35" ht="34.5" customHeight="1">
      <c r="A73" s="10424"/>
      <c r="B73" s="10378"/>
      <c r="C73" s="9134"/>
      <c r="D73" s="9091"/>
      <c r="E73" s="9091"/>
      <c r="F73" s="9091"/>
      <c r="G73" s="9091"/>
      <c r="H73" s="9091"/>
      <c r="I73" s="9091"/>
      <c r="J73" s="9091"/>
      <c r="K73" s="9091"/>
      <c r="L73" s="9091"/>
      <c r="M73" s="10353"/>
      <c r="N73" s="10353"/>
      <c r="O73" s="10353"/>
      <c r="P73" s="10356"/>
      <c r="Q73" s="10356"/>
      <c r="R73" s="10359"/>
      <c r="S73" s="1367"/>
      <c r="T73" s="7269"/>
      <c r="U73" s="7270"/>
      <c r="V73" s="7758" t="s">
        <v>3047</v>
      </c>
      <c r="W73" s="7759"/>
      <c r="X73" s="7760"/>
      <c r="Y73" s="8591">
        <f>19133.1-260</f>
        <v>18873.099999999999</v>
      </c>
      <c r="Z73" s="8591">
        <f>Y73</f>
        <v>18873.099999999999</v>
      </c>
      <c r="AA73" s="8591">
        <f>Z73</f>
        <v>18873.099999999999</v>
      </c>
      <c r="AB73" s="8053"/>
      <c r="AC73" s="7757"/>
      <c r="AD73" s="1356"/>
      <c r="AE73" s="1152"/>
      <c r="AF73" s="1152" t="s">
        <v>153</v>
      </c>
      <c r="AG73" s="1152" t="s">
        <v>153</v>
      </c>
      <c r="AH73" s="10386"/>
      <c r="AI73" s="819"/>
    </row>
    <row r="74" spans="1:35" ht="18" customHeight="1">
      <c r="A74" s="10424"/>
      <c r="B74" s="10378"/>
      <c r="C74" s="9134"/>
      <c r="D74" s="9091"/>
      <c r="E74" s="9091"/>
      <c r="F74" s="9091"/>
      <c r="G74" s="9091"/>
      <c r="H74" s="9091"/>
      <c r="I74" s="9091"/>
      <c r="J74" s="9091"/>
      <c r="K74" s="9091"/>
      <c r="L74" s="9091"/>
      <c r="M74" s="10353"/>
      <c r="N74" s="10353"/>
      <c r="O74" s="10353"/>
      <c r="P74" s="10356"/>
      <c r="Q74" s="10356"/>
      <c r="R74" s="10359"/>
      <c r="S74" s="1367" t="s">
        <v>80</v>
      </c>
      <c r="T74" s="7269" t="s">
        <v>3044</v>
      </c>
      <c r="U74" s="7269"/>
      <c r="V74" s="905" t="s">
        <v>2507</v>
      </c>
      <c r="W74" s="5963"/>
      <c r="X74" s="169"/>
      <c r="Y74" s="8053"/>
      <c r="Z74" s="8053"/>
      <c r="AA74" s="8053"/>
      <c r="AB74" s="8053">
        <f>SUM($AA$75)</f>
        <v>2400</v>
      </c>
      <c r="AC74" s="5979" t="s">
        <v>26</v>
      </c>
      <c r="AD74" s="1356"/>
      <c r="AE74" s="1152"/>
      <c r="AF74" s="1152"/>
      <c r="AG74" s="1152"/>
      <c r="AH74" s="10386"/>
      <c r="AI74" s="819"/>
    </row>
    <row r="75" spans="1:35" ht="29.25" customHeight="1">
      <c r="A75" s="10424"/>
      <c r="B75" s="10378"/>
      <c r="C75" s="9134"/>
      <c r="D75" s="9091"/>
      <c r="E75" s="9091"/>
      <c r="F75" s="9091"/>
      <c r="G75" s="9091"/>
      <c r="H75" s="9091"/>
      <c r="I75" s="9091"/>
      <c r="J75" s="9091"/>
      <c r="K75" s="9091"/>
      <c r="L75" s="9091"/>
      <c r="M75" s="10353"/>
      <c r="N75" s="10353"/>
      <c r="O75" s="10353"/>
      <c r="P75" s="10356"/>
      <c r="Q75" s="10356"/>
      <c r="R75" s="10359"/>
      <c r="S75" s="1367"/>
      <c r="T75" s="7269"/>
      <c r="U75" s="7269"/>
      <c r="V75" s="1989" t="s">
        <v>3048</v>
      </c>
      <c r="W75" s="5965" t="s">
        <v>3046</v>
      </c>
      <c r="X75" s="325" t="s">
        <v>152</v>
      </c>
      <c r="Y75" s="8052">
        <f>2400</f>
        <v>2400</v>
      </c>
      <c r="Z75" s="8052">
        <f>+W75*Y75</f>
        <v>2400</v>
      </c>
      <c r="AA75" s="8052">
        <f>Z75</f>
        <v>2400</v>
      </c>
      <c r="AB75" s="8052"/>
      <c r="AC75" s="7298"/>
      <c r="AD75" s="1351"/>
      <c r="AE75" s="1152" t="s">
        <v>153</v>
      </c>
      <c r="AF75" s="1152" t="s">
        <v>153</v>
      </c>
      <c r="AG75" s="1152" t="s">
        <v>153</v>
      </c>
      <c r="AH75" s="10386"/>
      <c r="AI75" s="819"/>
    </row>
    <row r="76" spans="1:35" ht="33.75" customHeight="1">
      <c r="A76" s="10424"/>
      <c r="B76" s="10378"/>
      <c r="C76" s="9134"/>
      <c r="D76" s="9091"/>
      <c r="E76" s="9091"/>
      <c r="F76" s="9091"/>
      <c r="G76" s="9091"/>
      <c r="H76" s="9091"/>
      <c r="I76" s="9091"/>
      <c r="J76" s="9091"/>
      <c r="K76" s="9091"/>
      <c r="L76" s="9091"/>
      <c r="M76" s="10353"/>
      <c r="N76" s="10353"/>
      <c r="O76" s="10353"/>
      <c r="P76" s="10356"/>
      <c r="Q76" s="10356"/>
      <c r="R76" s="10359"/>
      <c r="S76" s="1367" t="s">
        <v>81</v>
      </c>
      <c r="T76" s="7269" t="s">
        <v>3044</v>
      </c>
      <c r="U76" s="7269"/>
      <c r="V76" s="905" t="s">
        <v>2507</v>
      </c>
      <c r="W76" s="5963"/>
      <c r="X76" s="169"/>
      <c r="Y76" s="7332"/>
      <c r="Z76" s="7332"/>
      <c r="AA76" s="7332"/>
      <c r="AB76" s="7331">
        <v>0</v>
      </c>
      <c r="AC76" s="5979" t="s">
        <v>26</v>
      </c>
      <c r="AD76" s="1356"/>
      <c r="AE76" s="1152"/>
      <c r="AF76" s="1152"/>
      <c r="AG76" s="1152"/>
      <c r="AH76" s="10386"/>
      <c r="AI76" s="819"/>
    </row>
    <row r="77" spans="1:35" ht="33.75" customHeight="1">
      <c r="A77" s="10424"/>
      <c r="B77" s="10378"/>
      <c r="C77" s="9135"/>
      <c r="D77" s="9129"/>
      <c r="E77" s="9129"/>
      <c r="F77" s="9129"/>
      <c r="G77" s="9129"/>
      <c r="H77" s="9129"/>
      <c r="I77" s="9129"/>
      <c r="J77" s="9129"/>
      <c r="K77" s="9129"/>
      <c r="L77" s="9129"/>
      <c r="M77" s="10362"/>
      <c r="N77" s="10362"/>
      <c r="O77" s="10362"/>
      <c r="P77" s="10363"/>
      <c r="Q77" s="10363"/>
      <c r="R77" s="10365"/>
      <c r="S77" s="7950"/>
      <c r="T77" s="7951"/>
      <c r="U77" s="7951"/>
      <c r="V77" s="8298" t="s">
        <v>3049</v>
      </c>
      <c r="W77" s="8299" t="s">
        <v>3046</v>
      </c>
      <c r="X77" s="8300" t="s">
        <v>152</v>
      </c>
      <c r="Y77" s="8301">
        <f>5000/1.12</f>
        <v>4464.2857142857138</v>
      </c>
      <c r="Z77" s="8301">
        <f>+W77*Y77</f>
        <v>4464.2857142857138</v>
      </c>
      <c r="AA77" s="8301"/>
      <c r="AB77" s="7952"/>
      <c r="AC77" s="7194"/>
      <c r="AD77" s="1370"/>
      <c r="AE77" s="1159" t="s">
        <v>153</v>
      </c>
      <c r="AF77" s="1159" t="s">
        <v>153</v>
      </c>
      <c r="AG77" s="1159" t="s">
        <v>153</v>
      </c>
      <c r="AH77" s="10386"/>
      <c r="AI77" s="819"/>
    </row>
    <row r="78" spans="1:35" ht="33.75" customHeight="1">
      <c r="A78" s="10424"/>
      <c r="B78" s="10378"/>
      <c r="C78" s="9135"/>
      <c r="D78" s="9129"/>
      <c r="E78" s="9129"/>
      <c r="F78" s="9129"/>
      <c r="G78" s="9129"/>
      <c r="H78" s="9129"/>
      <c r="I78" s="9129"/>
      <c r="J78" s="9129"/>
      <c r="K78" s="9129"/>
      <c r="L78" s="9129"/>
      <c r="M78" s="10362"/>
      <c r="N78" s="10362"/>
      <c r="O78" s="10362"/>
      <c r="P78" s="10363"/>
      <c r="Q78" s="10363"/>
      <c r="R78" s="10365"/>
      <c r="S78" s="8302"/>
      <c r="T78" s="8303"/>
      <c r="U78" s="8303"/>
      <c r="V78" s="8304" t="s">
        <v>3050</v>
      </c>
      <c r="W78" s="8305"/>
      <c r="X78" s="8306"/>
      <c r="Y78" s="8307"/>
      <c r="Z78" s="8307"/>
      <c r="AA78" s="8307"/>
      <c r="AB78" s="8053">
        <f>+SUM(AA79:AA83)</f>
        <v>517392.07</v>
      </c>
      <c r="AC78" s="8308"/>
      <c r="AD78" s="8309"/>
      <c r="AE78" s="8310"/>
      <c r="AF78" s="8310"/>
      <c r="AG78" s="8310"/>
      <c r="AH78" s="10386"/>
      <c r="AI78" s="819"/>
    </row>
    <row r="79" spans="1:35" ht="33.75" customHeight="1">
      <c r="A79" s="10424"/>
      <c r="B79" s="10378"/>
      <c r="C79" s="9135"/>
      <c r="D79" s="9129"/>
      <c r="E79" s="9129"/>
      <c r="F79" s="9129"/>
      <c r="G79" s="9129"/>
      <c r="H79" s="9129"/>
      <c r="I79" s="9129"/>
      <c r="J79" s="9129"/>
      <c r="K79" s="9129"/>
      <c r="L79" s="9129"/>
      <c r="M79" s="10362"/>
      <c r="N79" s="10362"/>
      <c r="O79" s="10362"/>
      <c r="P79" s="10363"/>
      <c r="Q79" s="10363"/>
      <c r="R79" s="10365"/>
      <c r="S79" s="8302" t="s">
        <v>15</v>
      </c>
      <c r="T79" s="8303" t="s">
        <v>3051</v>
      </c>
      <c r="U79" s="8303"/>
      <c r="V79" s="8311" t="s">
        <v>3036</v>
      </c>
      <c r="W79" s="8312" t="s">
        <v>3046</v>
      </c>
      <c r="X79" s="8313" t="s">
        <v>152</v>
      </c>
      <c r="Y79" s="8052">
        <v>95038.45</v>
      </c>
      <c r="Z79" s="8052">
        <f>+W79*Y79</f>
        <v>95038.45</v>
      </c>
      <c r="AA79" s="8053">
        <f>+Z79</f>
        <v>95038.45</v>
      </c>
      <c r="AB79" s="8052"/>
      <c r="AC79" s="8308" t="s">
        <v>673</v>
      </c>
      <c r="AD79" s="8314"/>
      <c r="AE79" s="8310"/>
      <c r="AF79" s="8310"/>
      <c r="AG79" s="8310" t="s">
        <v>153</v>
      </c>
      <c r="AH79" s="10386"/>
      <c r="AI79" s="819"/>
    </row>
    <row r="80" spans="1:35" ht="33.75" customHeight="1">
      <c r="A80" s="10424"/>
      <c r="B80" s="10378"/>
      <c r="C80" s="9135"/>
      <c r="D80" s="9129"/>
      <c r="E80" s="9129"/>
      <c r="F80" s="9129"/>
      <c r="G80" s="9129"/>
      <c r="H80" s="9129"/>
      <c r="I80" s="9129"/>
      <c r="J80" s="9129"/>
      <c r="K80" s="9129"/>
      <c r="L80" s="9129"/>
      <c r="M80" s="10362"/>
      <c r="N80" s="10362"/>
      <c r="O80" s="10362"/>
      <c r="P80" s="10363"/>
      <c r="Q80" s="10363"/>
      <c r="R80" s="10365"/>
      <c r="S80" s="8302" t="s">
        <v>15</v>
      </c>
      <c r="T80" s="8303" t="s">
        <v>3051</v>
      </c>
      <c r="U80" s="8303"/>
      <c r="V80" s="8315" t="s">
        <v>3036</v>
      </c>
      <c r="W80" s="8312" t="s">
        <v>3046</v>
      </c>
      <c r="X80" s="8313" t="s">
        <v>152</v>
      </c>
      <c r="Y80" s="8052">
        <v>212400</v>
      </c>
      <c r="Z80" s="8052">
        <f>+Y80</f>
        <v>212400</v>
      </c>
      <c r="AA80" s="8053">
        <f>+Z80</f>
        <v>212400</v>
      </c>
      <c r="AB80" s="8053"/>
      <c r="AC80" s="8308" t="s">
        <v>25</v>
      </c>
      <c r="AD80" s="8309"/>
      <c r="AE80" s="8310"/>
      <c r="AF80" s="8310"/>
      <c r="AG80" s="8310" t="s">
        <v>153</v>
      </c>
      <c r="AH80" s="10386"/>
      <c r="AI80" s="819"/>
    </row>
    <row r="81" spans="1:35" ht="33.75" customHeight="1">
      <c r="A81" s="10424"/>
      <c r="B81" s="10378"/>
      <c r="C81" s="9135"/>
      <c r="D81" s="9129"/>
      <c r="E81" s="9129"/>
      <c r="F81" s="9129"/>
      <c r="G81" s="9129"/>
      <c r="H81" s="9129"/>
      <c r="I81" s="9129"/>
      <c r="J81" s="9129"/>
      <c r="K81" s="9129"/>
      <c r="L81" s="9129"/>
      <c r="M81" s="10362"/>
      <c r="N81" s="10362"/>
      <c r="O81" s="10362"/>
      <c r="P81" s="10363"/>
      <c r="Q81" s="10363"/>
      <c r="R81" s="10365"/>
      <c r="S81" s="8302" t="s">
        <v>15</v>
      </c>
      <c r="T81" s="8303" t="s">
        <v>3033</v>
      </c>
      <c r="U81" s="8303"/>
      <c r="V81" s="8311" t="s">
        <v>3034</v>
      </c>
      <c r="W81" s="8312" t="s">
        <v>3046</v>
      </c>
      <c r="X81" s="8313" t="s">
        <v>152</v>
      </c>
      <c r="Y81" s="8052">
        <v>6678.75</v>
      </c>
      <c r="Z81" s="8052">
        <f>+Y81</f>
        <v>6678.75</v>
      </c>
      <c r="AA81" s="8527">
        <f>+Z81</f>
        <v>6678.75</v>
      </c>
      <c r="AB81" s="8052"/>
      <c r="AC81" s="8308" t="s">
        <v>18</v>
      </c>
      <c r="AD81" s="8314"/>
      <c r="AE81" s="8310"/>
      <c r="AF81" s="8310"/>
      <c r="AG81" s="8310" t="s">
        <v>153</v>
      </c>
      <c r="AH81" s="10386"/>
      <c r="AI81" s="819"/>
    </row>
    <row r="82" spans="1:35" ht="33.75" customHeight="1">
      <c r="A82" s="10424"/>
      <c r="B82" s="10378"/>
      <c r="C82" s="9135"/>
      <c r="D82" s="9129"/>
      <c r="E82" s="9129"/>
      <c r="F82" s="9129"/>
      <c r="G82" s="9129"/>
      <c r="H82" s="9129"/>
      <c r="I82" s="9129"/>
      <c r="J82" s="9129"/>
      <c r="K82" s="9129"/>
      <c r="L82" s="9129"/>
      <c r="M82" s="10362"/>
      <c r="N82" s="10362"/>
      <c r="O82" s="10362"/>
      <c r="P82" s="10363"/>
      <c r="Q82" s="10363"/>
      <c r="R82" s="10365"/>
      <c r="S82" s="8302" t="s">
        <v>15</v>
      </c>
      <c r="T82" s="8316" t="s">
        <v>3035</v>
      </c>
      <c r="U82" s="8316"/>
      <c r="V82" s="8329" t="s">
        <v>3036</v>
      </c>
      <c r="W82" s="8312" t="s">
        <v>3046</v>
      </c>
      <c r="X82" s="8313" t="s">
        <v>152</v>
      </c>
      <c r="Y82" s="8317">
        <v>150174.87</v>
      </c>
      <c r="Z82" s="8317">
        <f>+Y82</f>
        <v>150174.87</v>
      </c>
      <c r="AA82" s="8528">
        <f>+Z82</f>
        <v>150174.87</v>
      </c>
      <c r="AB82" s="8318"/>
      <c r="AC82" s="8319" t="s">
        <v>18</v>
      </c>
      <c r="AD82" s="8320"/>
      <c r="AE82" s="8321"/>
      <c r="AF82" s="8321"/>
      <c r="AG82" s="8321" t="s">
        <v>153</v>
      </c>
      <c r="AH82" s="10386"/>
      <c r="AI82" s="819"/>
    </row>
    <row r="83" spans="1:35" ht="18" customHeight="1">
      <c r="A83" s="10424"/>
      <c r="B83" s="10378"/>
      <c r="C83" s="9141"/>
      <c r="D83" s="9102"/>
      <c r="E83" s="9102"/>
      <c r="F83" s="9102"/>
      <c r="G83" s="9102"/>
      <c r="H83" s="9102"/>
      <c r="I83" s="9102"/>
      <c r="J83" s="9102"/>
      <c r="K83" s="9102"/>
      <c r="L83" s="9102"/>
      <c r="M83" s="10354"/>
      <c r="N83" s="10354"/>
      <c r="O83" s="10354"/>
      <c r="P83" s="10357"/>
      <c r="Q83" s="10357"/>
      <c r="R83" s="10360"/>
      <c r="S83" s="8322" t="s">
        <v>15</v>
      </c>
      <c r="T83" s="8323" t="s">
        <v>3052</v>
      </c>
      <c r="U83" s="8323"/>
      <c r="V83" s="8331" t="s">
        <v>3053</v>
      </c>
      <c r="W83" s="8324">
        <v>1</v>
      </c>
      <c r="X83" s="8332" t="s">
        <v>152</v>
      </c>
      <c r="Y83" s="8325">
        <v>53100</v>
      </c>
      <c r="Z83" s="8325">
        <f>+Y83</f>
        <v>53100</v>
      </c>
      <c r="AA83" s="8529">
        <f>+Z83</f>
        <v>53100</v>
      </c>
      <c r="AB83" s="8326"/>
      <c r="AC83" s="8330" t="s">
        <v>18</v>
      </c>
      <c r="AD83" s="8327"/>
      <c r="AE83" s="8328"/>
      <c r="AF83" s="8328"/>
      <c r="AG83" s="8328" t="s">
        <v>153</v>
      </c>
      <c r="AH83" s="10389"/>
      <c r="AI83" s="819"/>
    </row>
    <row r="84" spans="1:35" ht="42" customHeight="1">
      <c r="A84" s="10424"/>
      <c r="B84" s="10378"/>
      <c r="C84" s="9133" t="s">
        <v>127</v>
      </c>
      <c r="D84" s="9131" t="s">
        <v>128</v>
      </c>
      <c r="E84" s="9131" t="s">
        <v>129</v>
      </c>
      <c r="F84" s="9131" t="s">
        <v>2961</v>
      </c>
      <c r="G84" s="9142" t="s">
        <v>131</v>
      </c>
      <c r="H84" s="9131" t="s">
        <v>132</v>
      </c>
      <c r="I84" s="9131" t="s">
        <v>159</v>
      </c>
      <c r="J84" s="9131" t="s">
        <v>3054</v>
      </c>
      <c r="K84" s="9131" t="s">
        <v>3055</v>
      </c>
      <c r="L84" s="9131" t="s">
        <v>3056</v>
      </c>
      <c r="M84" s="10372">
        <v>2</v>
      </c>
      <c r="N84" s="10372">
        <v>0</v>
      </c>
      <c r="O84" s="10372">
        <v>2</v>
      </c>
      <c r="P84" s="10408" t="s">
        <v>3057</v>
      </c>
      <c r="Q84" s="9131" t="s">
        <v>3058</v>
      </c>
      <c r="R84" s="10364" t="s">
        <v>2960</v>
      </c>
      <c r="S84" s="1359"/>
      <c r="T84" s="7271"/>
      <c r="U84" s="7271"/>
      <c r="V84" s="1171"/>
      <c r="W84" s="7301"/>
      <c r="X84" s="1173"/>
      <c r="Y84" s="7333"/>
      <c r="Z84" s="7333"/>
      <c r="AA84" s="7333"/>
      <c r="AB84" s="7334"/>
      <c r="AC84" s="5989"/>
      <c r="AD84" s="1360"/>
      <c r="AE84" s="1173"/>
      <c r="AF84" s="1174"/>
      <c r="AG84" s="1174"/>
      <c r="AH84" s="10388"/>
      <c r="AI84" s="819"/>
    </row>
    <row r="85" spans="1:35" ht="42" customHeight="1">
      <c r="A85" s="10424"/>
      <c r="B85" s="10378"/>
      <c r="C85" s="9134"/>
      <c r="D85" s="9091"/>
      <c r="E85" s="9091"/>
      <c r="F85" s="9091"/>
      <c r="G85" s="9091"/>
      <c r="H85" s="9091"/>
      <c r="I85" s="9091"/>
      <c r="J85" s="9091"/>
      <c r="K85" s="9091"/>
      <c r="L85" s="9091"/>
      <c r="M85" s="10353"/>
      <c r="N85" s="10353"/>
      <c r="O85" s="10353"/>
      <c r="P85" s="10356"/>
      <c r="Q85" s="10356"/>
      <c r="R85" s="10359"/>
      <c r="S85" s="1350"/>
      <c r="T85" s="7257"/>
      <c r="U85" s="7257"/>
      <c r="V85" s="1153"/>
      <c r="W85" s="7295"/>
      <c r="X85" s="1151"/>
      <c r="Y85" s="6696"/>
      <c r="Z85" s="6696"/>
      <c r="AA85" s="6696"/>
      <c r="AB85" s="7335"/>
      <c r="AC85" s="5979"/>
      <c r="AD85" s="1356"/>
      <c r="AE85" s="1151"/>
      <c r="AF85" s="1152"/>
      <c r="AG85" s="1152"/>
      <c r="AH85" s="10386"/>
      <c r="AI85" s="819"/>
    </row>
    <row r="86" spans="1:35" ht="42" customHeight="1">
      <c r="A86" s="10424"/>
      <c r="B86" s="10378"/>
      <c r="C86" s="9134"/>
      <c r="D86" s="9091"/>
      <c r="E86" s="9091"/>
      <c r="F86" s="9091"/>
      <c r="G86" s="9091"/>
      <c r="H86" s="9091"/>
      <c r="I86" s="9091"/>
      <c r="J86" s="9091"/>
      <c r="K86" s="9091"/>
      <c r="L86" s="9091"/>
      <c r="M86" s="10353"/>
      <c r="N86" s="10353"/>
      <c r="O86" s="10353"/>
      <c r="P86" s="10356"/>
      <c r="Q86" s="10356"/>
      <c r="R86" s="10359"/>
      <c r="S86" s="1350"/>
      <c r="T86" s="7257"/>
      <c r="U86" s="7257"/>
      <c r="V86" s="1153"/>
      <c r="W86" s="7295"/>
      <c r="X86" s="1151"/>
      <c r="Y86" s="6696"/>
      <c r="Z86" s="6696"/>
      <c r="AA86" s="6696"/>
      <c r="AB86" s="7335"/>
      <c r="AC86" s="5979"/>
      <c r="AD86" s="1356"/>
      <c r="AE86" s="1151"/>
      <c r="AF86" s="1152"/>
      <c r="AG86" s="1152"/>
      <c r="AH86" s="10386"/>
      <c r="AI86" s="819"/>
    </row>
    <row r="87" spans="1:35" ht="42" customHeight="1">
      <c r="A87" s="10424"/>
      <c r="B87" s="10378"/>
      <c r="C87" s="9134"/>
      <c r="D87" s="9091"/>
      <c r="E87" s="9091"/>
      <c r="F87" s="9091"/>
      <c r="G87" s="9091"/>
      <c r="H87" s="9091"/>
      <c r="I87" s="9091"/>
      <c r="J87" s="9091"/>
      <c r="K87" s="9091"/>
      <c r="L87" s="9091"/>
      <c r="M87" s="10353"/>
      <c r="N87" s="10353"/>
      <c r="O87" s="10353"/>
      <c r="P87" s="10356"/>
      <c r="Q87" s="10356"/>
      <c r="R87" s="10359"/>
      <c r="S87" s="1350"/>
      <c r="T87" s="7257"/>
      <c r="U87" s="7257"/>
      <c r="V87" s="1153"/>
      <c r="W87" s="7295"/>
      <c r="X87" s="1151"/>
      <c r="Y87" s="6696"/>
      <c r="Z87" s="6696"/>
      <c r="AA87" s="6696"/>
      <c r="AB87" s="7335"/>
      <c r="AC87" s="5979"/>
      <c r="AD87" s="1356"/>
      <c r="AE87" s="1151"/>
      <c r="AF87" s="1152"/>
      <c r="AG87" s="1152"/>
      <c r="AH87" s="10386"/>
      <c r="AI87" s="819"/>
    </row>
    <row r="88" spans="1:35" ht="42" customHeight="1">
      <c r="A88" s="10424"/>
      <c r="B88" s="10378"/>
      <c r="C88" s="9135"/>
      <c r="D88" s="9129"/>
      <c r="E88" s="9129"/>
      <c r="F88" s="9129"/>
      <c r="G88" s="9129"/>
      <c r="H88" s="9129"/>
      <c r="I88" s="9129"/>
      <c r="J88" s="9129"/>
      <c r="K88" s="9129"/>
      <c r="L88" s="9129"/>
      <c r="M88" s="10362"/>
      <c r="N88" s="10362"/>
      <c r="O88" s="10362"/>
      <c r="P88" s="10363"/>
      <c r="Q88" s="10363"/>
      <c r="R88" s="10365"/>
      <c r="S88" s="1352"/>
      <c r="T88" s="7258"/>
      <c r="U88" s="7258"/>
      <c r="V88" s="1155"/>
      <c r="W88" s="7302"/>
      <c r="X88" s="1158"/>
      <c r="Y88" s="7187"/>
      <c r="Z88" s="7187"/>
      <c r="AA88" s="7187"/>
      <c r="AB88" s="7188"/>
      <c r="AC88" s="7194"/>
      <c r="AD88" s="1370"/>
      <c r="AE88" s="1158"/>
      <c r="AF88" s="1159"/>
      <c r="AG88" s="1159"/>
      <c r="AH88" s="10386"/>
      <c r="AI88" s="819"/>
    </row>
    <row r="89" spans="1:35" ht="30" customHeight="1">
      <c r="A89" s="10424"/>
      <c r="B89" s="10378"/>
      <c r="C89" s="9140" t="s">
        <v>127</v>
      </c>
      <c r="D89" s="9090" t="s">
        <v>128</v>
      </c>
      <c r="E89" s="9090" t="s">
        <v>129</v>
      </c>
      <c r="F89" s="9090" t="s">
        <v>2961</v>
      </c>
      <c r="G89" s="9116" t="s">
        <v>131</v>
      </c>
      <c r="H89" s="9090" t="s">
        <v>132</v>
      </c>
      <c r="I89" s="9090" t="s">
        <v>159</v>
      </c>
      <c r="J89" s="9090" t="s">
        <v>3059</v>
      </c>
      <c r="K89" s="9090" t="s">
        <v>3060</v>
      </c>
      <c r="L89" s="9090" t="s">
        <v>3061</v>
      </c>
      <c r="M89" s="10376">
        <v>1</v>
      </c>
      <c r="N89" s="10376">
        <v>1</v>
      </c>
      <c r="O89" s="10376">
        <v>0</v>
      </c>
      <c r="P89" s="10409" t="s">
        <v>3062</v>
      </c>
      <c r="Q89" s="9090" t="s">
        <v>3063</v>
      </c>
      <c r="R89" s="10358" t="s">
        <v>2960</v>
      </c>
      <c r="S89" s="1354"/>
      <c r="T89" s="7259"/>
      <c r="U89" s="7259"/>
      <c r="V89" s="1162"/>
      <c r="W89" s="7294"/>
      <c r="X89" s="1164"/>
      <c r="Y89" s="7323"/>
      <c r="Z89" s="7323"/>
      <c r="AA89" s="7323"/>
      <c r="AB89" s="5982"/>
      <c r="AC89" s="5983"/>
      <c r="AD89" s="1355"/>
      <c r="AE89" s="1164"/>
      <c r="AF89" s="1165"/>
      <c r="AG89" s="1165"/>
      <c r="AH89" s="10385"/>
      <c r="AI89" s="819"/>
    </row>
    <row r="90" spans="1:35" ht="30" customHeight="1">
      <c r="A90" s="10424"/>
      <c r="B90" s="10378"/>
      <c r="C90" s="9134"/>
      <c r="D90" s="9091"/>
      <c r="E90" s="9091"/>
      <c r="F90" s="9091"/>
      <c r="G90" s="9091"/>
      <c r="H90" s="9091"/>
      <c r="I90" s="9091"/>
      <c r="J90" s="9091"/>
      <c r="K90" s="9091"/>
      <c r="L90" s="9091"/>
      <c r="M90" s="10353"/>
      <c r="N90" s="10353"/>
      <c r="O90" s="10353"/>
      <c r="P90" s="10356"/>
      <c r="Q90" s="10356"/>
      <c r="R90" s="10359"/>
      <c r="S90" s="1350"/>
      <c r="T90" s="7257"/>
      <c r="U90" s="7257"/>
      <c r="V90" s="1153"/>
      <c r="W90" s="7295"/>
      <c r="X90" s="1151"/>
      <c r="Y90" s="7320"/>
      <c r="Z90" s="7320"/>
      <c r="AA90" s="7320"/>
      <c r="AB90" s="5978"/>
      <c r="AC90" s="5979"/>
      <c r="AD90" s="1356"/>
      <c r="AE90" s="1151"/>
      <c r="AF90" s="1152"/>
      <c r="AG90" s="1152"/>
      <c r="AH90" s="10386"/>
      <c r="AI90" s="819"/>
    </row>
    <row r="91" spans="1:35" ht="30" customHeight="1">
      <c r="A91" s="10424"/>
      <c r="B91" s="10378"/>
      <c r="C91" s="9134"/>
      <c r="D91" s="9091"/>
      <c r="E91" s="9091"/>
      <c r="F91" s="9091"/>
      <c r="G91" s="9091"/>
      <c r="H91" s="9091"/>
      <c r="I91" s="9091"/>
      <c r="J91" s="9091"/>
      <c r="K91" s="9091"/>
      <c r="L91" s="9091"/>
      <c r="M91" s="10353"/>
      <c r="N91" s="10353"/>
      <c r="O91" s="10353"/>
      <c r="P91" s="10356"/>
      <c r="Q91" s="10356"/>
      <c r="R91" s="10359"/>
      <c r="S91" s="1350"/>
      <c r="T91" s="7257"/>
      <c r="U91" s="7257"/>
      <c r="V91" s="1153"/>
      <c r="W91" s="7295"/>
      <c r="X91" s="1151"/>
      <c r="Y91" s="7320"/>
      <c r="Z91" s="7320"/>
      <c r="AA91" s="7320"/>
      <c r="AB91" s="5978"/>
      <c r="AC91" s="5979"/>
      <c r="AD91" s="1356"/>
      <c r="AE91" s="1151"/>
      <c r="AF91" s="1152"/>
      <c r="AG91" s="1152"/>
      <c r="AH91" s="10386"/>
      <c r="AI91" s="819"/>
    </row>
    <row r="92" spans="1:35" ht="30" customHeight="1">
      <c r="A92" s="10424"/>
      <c r="B92" s="10378"/>
      <c r="C92" s="9134"/>
      <c r="D92" s="9091"/>
      <c r="E92" s="9091"/>
      <c r="F92" s="9091"/>
      <c r="G92" s="9091"/>
      <c r="H92" s="9091"/>
      <c r="I92" s="9091"/>
      <c r="J92" s="9091"/>
      <c r="K92" s="9091"/>
      <c r="L92" s="9091"/>
      <c r="M92" s="10353"/>
      <c r="N92" s="10353"/>
      <c r="O92" s="10353"/>
      <c r="P92" s="10356"/>
      <c r="Q92" s="10356"/>
      <c r="R92" s="10359"/>
      <c r="S92" s="1361"/>
      <c r="T92" s="7262"/>
      <c r="U92" s="7262"/>
      <c r="V92" s="1153"/>
      <c r="W92" s="7295"/>
      <c r="X92" s="1151"/>
      <c r="Y92" s="7320"/>
      <c r="Z92" s="7320"/>
      <c r="AA92" s="7320"/>
      <c r="AB92" s="5978"/>
      <c r="AC92" s="5979"/>
      <c r="AD92" s="1356"/>
      <c r="AE92" s="1151"/>
      <c r="AF92" s="1152"/>
      <c r="AG92" s="1152"/>
      <c r="AH92" s="10386"/>
      <c r="AI92" s="819"/>
    </row>
    <row r="93" spans="1:35" ht="30" customHeight="1">
      <c r="A93" s="10424"/>
      <c r="B93" s="10378"/>
      <c r="C93" s="9141"/>
      <c r="D93" s="9102"/>
      <c r="E93" s="9102"/>
      <c r="F93" s="9102"/>
      <c r="G93" s="9102"/>
      <c r="H93" s="9102"/>
      <c r="I93" s="9102"/>
      <c r="J93" s="9102"/>
      <c r="K93" s="9102"/>
      <c r="L93" s="9102"/>
      <c r="M93" s="10354"/>
      <c r="N93" s="10354"/>
      <c r="O93" s="10354"/>
      <c r="P93" s="10357"/>
      <c r="Q93" s="10357"/>
      <c r="R93" s="10360"/>
      <c r="S93" s="1357"/>
      <c r="T93" s="4848"/>
      <c r="U93" s="4848"/>
      <c r="V93" s="1020"/>
      <c r="W93" s="4865"/>
      <c r="X93" s="1021"/>
      <c r="Y93" s="4903"/>
      <c r="Z93" s="4903"/>
      <c r="AA93" s="4903"/>
      <c r="AB93" s="5990"/>
      <c r="AC93" s="5991"/>
      <c r="AD93" s="1358"/>
      <c r="AE93" s="1021"/>
      <c r="AF93" s="1169"/>
      <c r="AG93" s="1169"/>
      <c r="AH93" s="10389"/>
      <c r="AI93" s="819"/>
    </row>
    <row r="94" spans="1:35" ht="37.5" customHeight="1">
      <c r="A94" s="10424"/>
      <c r="B94" s="10378"/>
      <c r="C94" s="9133" t="s">
        <v>127</v>
      </c>
      <c r="D94" s="9131" t="s">
        <v>128</v>
      </c>
      <c r="E94" s="9131" t="s">
        <v>129</v>
      </c>
      <c r="F94" s="9131" t="s">
        <v>2961</v>
      </c>
      <c r="G94" s="9142" t="s">
        <v>131</v>
      </c>
      <c r="H94" s="9131" t="s">
        <v>132</v>
      </c>
      <c r="I94" s="9131" t="s">
        <v>159</v>
      </c>
      <c r="J94" s="9131" t="s">
        <v>3064</v>
      </c>
      <c r="K94" s="9131" t="s">
        <v>3065</v>
      </c>
      <c r="L94" s="9131" t="s">
        <v>3066</v>
      </c>
      <c r="M94" s="10372">
        <v>2</v>
      </c>
      <c r="N94" s="10372">
        <v>2</v>
      </c>
      <c r="O94" s="10372">
        <v>2</v>
      </c>
      <c r="P94" s="9131" t="s">
        <v>3067</v>
      </c>
      <c r="Q94" s="9131" t="s">
        <v>3068</v>
      </c>
      <c r="R94" s="10364" t="s">
        <v>3069</v>
      </c>
      <c r="S94" s="1359"/>
      <c r="T94" s="7271"/>
      <c r="U94" s="7271"/>
      <c r="V94" s="1171"/>
      <c r="W94" s="7301"/>
      <c r="X94" s="1173"/>
      <c r="Y94" s="7336"/>
      <c r="Z94" s="7336"/>
      <c r="AA94" s="7336"/>
      <c r="AB94" s="5988"/>
      <c r="AC94" s="5989"/>
      <c r="AD94" s="1360"/>
      <c r="AE94" s="1173"/>
      <c r="AF94" s="1173"/>
      <c r="AG94" s="1173"/>
      <c r="AH94" s="10388"/>
      <c r="AI94" s="819"/>
    </row>
    <row r="95" spans="1:35" ht="37.5" customHeight="1">
      <c r="A95" s="10424"/>
      <c r="B95" s="10378"/>
      <c r="C95" s="9134"/>
      <c r="D95" s="9091"/>
      <c r="E95" s="9091"/>
      <c r="F95" s="9091"/>
      <c r="G95" s="9091"/>
      <c r="H95" s="9091"/>
      <c r="I95" s="9091"/>
      <c r="J95" s="9091"/>
      <c r="K95" s="9091"/>
      <c r="L95" s="9091"/>
      <c r="M95" s="10353"/>
      <c r="N95" s="10353"/>
      <c r="O95" s="10353"/>
      <c r="P95" s="10356"/>
      <c r="Q95" s="10356"/>
      <c r="R95" s="10359"/>
      <c r="S95" s="1350"/>
      <c r="T95" s="7257"/>
      <c r="U95" s="7257"/>
      <c r="V95" s="1153"/>
      <c r="W95" s="7295"/>
      <c r="X95" s="1151"/>
      <c r="Y95" s="7320"/>
      <c r="Z95" s="7320"/>
      <c r="AA95" s="7320"/>
      <c r="AB95" s="5978"/>
      <c r="AC95" s="5979"/>
      <c r="AD95" s="1356"/>
      <c r="AE95" s="1151"/>
      <c r="AF95" s="1151"/>
      <c r="AG95" s="1151"/>
      <c r="AH95" s="10386"/>
      <c r="AI95" s="819"/>
    </row>
    <row r="96" spans="1:35" ht="37.5" customHeight="1">
      <c r="A96" s="10424"/>
      <c r="B96" s="10378"/>
      <c r="C96" s="9134"/>
      <c r="D96" s="9091"/>
      <c r="E96" s="9091"/>
      <c r="F96" s="9091"/>
      <c r="G96" s="9091"/>
      <c r="H96" s="9091"/>
      <c r="I96" s="9091"/>
      <c r="J96" s="9091"/>
      <c r="K96" s="9091"/>
      <c r="L96" s="9091"/>
      <c r="M96" s="10353"/>
      <c r="N96" s="10353"/>
      <c r="O96" s="10353"/>
      <c r="P96" s="10356"/>
      <c r="Q96" s="10356"/>
      <c r="R96" s="10359"/>
      <c r="S96" s="1350"/>
      <c r="T96" s="7257"/>
      <c r="U96" s="7257"/>
      <c r="V96" s="1153"/>
      <c r="W96" s="7295"/>
      <c r="X96" s="1151"/>
      <c r="Y96" s="7320"/>
      <c r="Z96" s="7320"/>
      <c r="AA96" s="7320"/>
      <c r="AB96" s="5978"/>
      <c r="AC96" s="5979"/>
      <c r="AD96" s="1356"/>
      <c r="AE96" s="1151"/>
      <c r="AF96" s="1151"/>
      <c r="AG96" s="1152"/>
      <c r="AH96" s="10386"/>
      <c r="AI96" s="819"/>
    </row>
    <row r="97" spans="1:35" ht="37.5" customHeight="1">
      <c r="A97" s="10424"/>
      <c r="B97" s="10378"/>
      <c r="C97" s="9134"/>
      <c r="D97" s="9091"/>
      <c r="E97" s="9091"/>
      <c r="F97" s="9091"/>
      <c r="G97" s="9091"/>
      <c r="H97" s="9091"/>
      <c r="I97" s="9091"/>
      <c r="J97" s="9091"/>
      <c r="K97" s="9091"/>
      <c r="L97" s="9091"/>
      <c r="M97" s="10353"/>
      <c r="N97" s="10353"/>
      <c r="O97" s="10353"/>
      <c r="P97" s="10356"/>
      <c r="Q97" s="10356"/>
      <c r="R97" s="10359"/>
      <c r="S97" s="1350"/>
      <c r="T97" s="7257"/>
      <c r="U97" s="7257"/>
      <c r="V97" s="1153"/>
      <c r="W97" s="7295"/>
      <c r="X97" s="1151"/>
      <c r="Y97" s="7320"/>
      <c r="Z97" s="7320"/>
      <c r="AA97" s="7320"/>
      <c r="AB97" s="5978"/>
      <c r="AC97" s="5979"/>
      <c r="AD97" s="1356"/>
      <c r="AE97" s="1151"/>
      <c r="AF97" s="1151"/>
      <c r="AG97" s="1152"/>
      <c r="AH97" s="10386"/>
      <c r="AI97" s="819"/>
    </row>
    <row r="98" spans="1:35" ht="37.5" customHeight="1">
      <c r="A98" s="10424"/>
      <c r="B98" s="10378"/>
      <c r="C98" s="9135"/>
      <c r="D98" s="9129"/>
      <c r="E98" s="9129"/>
      <c r="F98" s="9129"/>
      <c r="G98" s="9129"/>
      <c r="H98" s="9129"/>
      <c r="I98" s="9129"/>
      <c r="J98" s="9129"/>
      <c r="K98" s="9129"/>
      <c r="L98" s="9129"/>
      <c r="M98" s="10362"/>
      <c r="N98" s="10362"/>
      <c r="O98" s="10362"/>
      <c r="P98" s="10363"/>
      <c r="Q98" s="10363"/>
      <c r="R98" s="10365"/>
      <c r="S98" s="1352"/>
      <c r="T98" s="7258"/>
      <c r="U98" s="7258"/>
      <c r="V98" s="1155"/>
      <c r="W98" s="7302"/>
      <c r="X98" s="1158"/>
      <c r="Y98" s="7187"/>
      <c r="Z98" s="7187"/>
      <c r="AA98" s="7187"/>
      <c r="AB98" s="7188"/>
      <c r="AC98" s="7194"/>
      <c r="AD98" s="1370"/>
      <c r="AE98" s="1158"/>
      <c r="AF98" s="1158"/>
      <c r="AG98" s="1159"/>
      <c r="AH98" s="10386"/>
      <c r="AI98" s="819"/>
    </row>
    <row r="99" spans="1:35" ht="29.25" customHeight="1">
      <c r="A99" s="10424"/>
      <c r="B99" s="10378"/>
      <c r="C99" s="9140" t="s">
        <v>127</v>
      </c>
      <c r="D99" s="9090" t="s">
        <v>128</v>
      </c>
      <c r="E99" s="9090" t="s">
        <v>129</v>
      </c>
      <c r="F99" s="9090" t="s">
        <v>2961</v>
      </c>
      <c r="G99" s="9116" t="s">
        <v>131</v>
      </c>
      <c r="H99" s="9090" t="s">
        <v>132</v>
      </c>
      <c r="I99" s="9090" t="s">
        <v>159</v>
      </c>
      <c r="J99" s="9116" t="s">
        <v>3070</v>
      </c>
      <c r="K99" s="9090" t="s">
        <v>3071</v>
      </c>
      <c r="L99" s="9090" t="s">
        <v>3072</v>
      </c>
      <c r="M99" s="10376">
        <v>1</v>
      </c>
      <c r="N99" s="10376">
        <v>1</v>
      </c>
      <c r="O99" s="10376">
        <v>0</v>
      </c>
      <c r="P99" s="10409" t="s">
        <v>3073</v>
      </c>
      <c r="Q99" s="9090" t="s">
        <v>3074</v>
      </c>
      <c r="R99" s="10358" t="s">
        <v>3075</v>
      </c>
      <c r="S99" s="1354" t="s">
        <v>15</v>
      </c>
      <c r="T99" s="7259" t="s">
        <v>3076</v>
      </c>
      <c r="U99" s="7272"/>
      <c r="V99" s="1162" t="s">
        <v>3036</v>
      </c>
      <c r="W99" s="7294"/>
      <c r="X99" s="1164"/>
      <c r="Y99" s="8592"/>
      <c r="Z99" s="8592"/>
      <c r="AA99" s="8592"/>
      <c r="AB99" s="8593">
        <f>SUM(AA100)</f>
        <v>412916.6</v>
      </c>
      <c r="AC99" s="5983" t="s">
        <v>673</v>
      </c>
      <c r="AD99" s="1355"/>
      <c r="AE99" s="1164"/>
      <c r="AF99" s="1165"/>
      <c r="AG99" s="1165"/>
      <c r="AH99" s="10385"/>
      <c r="AI99" s="819"/>
    </row>
    <row r="100" spans="1:35" ht="29.25" customHeight="1">
      <c r="A100" s="10424"/>
      <c r="B100" s="10378"/>
      <c r="C100" s="9134"/>
      <c r="D100" s="9091"/>
      <c r="E100" s="9091"/>
      <c r="F100" s="9091"/>
      <c r="G100" s="9091"/>
      <c r="H100" s="9091"/>
      <c r="I100" s="9091"/>
      <c r="J100" s="9091"/>
      <c r="K100" s="9091"/>
      <c r="L100" s="9091"/>
      <c r="M100" s="10353"/>
      <c r="N100" s="10353"/>
      <c r="O100" s="10353"/>
      <c r="P100" s="10356"/>
      <c r="Q100" s="10356"/>
      <c r="R100" s="10359"/>
      <c r="S100" s="1350"/>
      <c r="T100" s="7176"/>
      <c r="U100" s="7176"/>
      <c r="V100" s="1990" t="s">
        <v>3077</v>
      </c>
      <c r="W100" s="6618">
        <v>1</v>
      </c>
      <c r="X100" s="57" t="s">
        <v>479</v>
      </c>
      <c r="Y100" s="8594">
        <v>412916.6</v>
      </c>
      <c r="Z100" s="8594"/>
      <c r="AA100" s="8594">
        <f>Y100</f>
        <v>412916.6</v>
      </c>
      <c r="AB100" s="8018"/>
      <c r="AC100" s="5963"/>
      <c r="AD100" s="1356"/>
      <c r="AE100" s="1151" t="s">
        <v>153</v>
      </c>
      <c r="AF100" s="1152" t="s">
        <v>153</v>
      </c>
      <c r="AG100" s="1152" t="s">
        <v>153</v>
      </c>
      <c r="AH100" s="10386"/>
      <c r="AI100" s="819"/>
    </row>
    <row r="101" spans="1:35" ht="29.25" customHeight="1">
      <c r="A101" s="10424"/>
      <c r="B101" s="10378"/>
      <c r="C101" s="9134"/>
      <c r="D101" s="9091"/>
      <c r="E101" s="9091"/>
      <c r="F101" s="9091"/>
      <c r="G101" s="9091"/>
      <c r="H101" s="9091"/>
      <c r="I101" s="9091"/>
      <c r="J101" s="9091"/>
      <c r="K101" s="9091"/>
      <c r="L101" s="9091"/>
      <c r="M101" s="10353"/>
      <c r="N101" s="10353"/>
      <c r="O101" s="10353"/>
      <c r="P101" s="10356"/>
      <c r="Q101" s="10356"/>
      <c r="R101" s="10359"/>
      <c r="S101" s="1354" t="s">
        <v>15</v>
      </c>
      <c r="T101" s="7259" t="s">
        <v>3078</v>
      </c>
      <c r="U101" s="7272"/>
      <c r="V101" s="1162" t="s">
        <v>3034</v>
      </c>
      <c r="W101" s="7294"/>
      <c r="X101" s="1164"/>
      <c r="Y101" s="8592"/>
      <c r="Z101" s="8592"/>
      <c r="AA101" s="8592"/>
      <c r="AB101" s="8593">
        <f>AA102</f>
        <v>10271.700000000001</v>
      </c>
      <c r="AC101" s="5983" t="s">
        <v>673</v>
      </c>
      <c r="AD101" s="1355"/>
      <c r="AE101" s="1164"/>
      <c r="AF101" s="1165"/>
      <c r="AG101" s="1165"/>
      <c r="AH101" s="10386"/>
      <c r="AI101" s="819"/>
    </row>
    <row r="102" spans="1:35" ht="29.25" customHeight="1">
      <c r="A102" s="10424"/>
      <c r="B102" s="10378"/>
      <c r="C102" s="9134"/>
      <c r="D102" s="9091"/>
      <c r="E102" s="9091"/>
      <c r="F102" s="9091"/>
      <c r="G102" s="9091"/>
      <c r="H102" s="9091"/>
      <c r="I102" s="9091"/>
      <c r="J102" s="9091"/>
      <c r="K102" s="9091"/>
      <c r="L102" s="9091"/>
      <c r="M102" s="10353"/>
      <c r="N102" s="10353"/>
      <c r="O102" s="10353"/>
      <c r="P102" s="10356"/>
      <c r="Q102" s="10356"/>
      <c r="R102" s="10359"/>
      <c r="S102" s="1350"/>
      <c r="T102" s="7176"/>
      <c r="U102" s="7176"/>
      <c r="V102" s="1990" t="s">
        <v>3077</v>
      </c>
      <c r="W102" s="6618">
        <v>1</v>
      </c>
      <c r="X102" s="57" t="s">
        <v>479</v>
      </c>
      <c r="Y102" s="8594">
        <v>10271.700000000001</v>
      </c>
      <c r="Z102" s="8594"/>
      <c r="AA102" s="8594">
        <f>Y102</f>
        <v>10271.700000000001</v>
      </c>
      <c r="AB102" s="8018"/>
      <c r="AC102" s="5963"/>
      <c r="AD102" s="1356"/>
      <c r="AE102" s="1151"/>
      <c r="AF102" s="1152"/>
      <c r="AG102" s="8310" t="s">
        <v>153</v>
      </c>
      <c r="AH102" s="10386"/>
      <c r="AI102" s="819"/>
    </row>
    <row r="103" spans="1:35" ht="29.25" customHeight="1">
      <c r="A103" s="10424"/>
      <c r="B103" s="10378"/>
      <c r="C103" s="9134"/>
      <c r="D103" s="9091"/>
      <c r="E103" s="9091"/>
      <c r="F103" s="9091"/>
      <c r="G103" s="9091"/>
      <c r="H103" s="9091"/>
      <c r="I103" s="9091"/>
      <c r="J103" s="9091"/>
      <c r="K103" s="9091"/>
      <c r="L103" s="9091"/>
      <c r="M103" s="10353"/>
      <c r="N103" s="10353"/>
      <c r="O103" s="10353"/>
      <c r="P103" s="10356"/>
      <c r="Q103" s="10356"/>
      <c r="R103" s="10359"/>
      <c r="S103" s="1361" t="s">
        <v>15</v>
      </c>
      <c r="T103" s="6583">
        <v>580209</v>
      </c>
      <c r="U103" s="7176"/>
      <c r="V103" s="3348" t="s">
        <v>3079</v>
      </c>
      <c r="W103" s="7296">
        <v>1</v>
      </c>
      <c r="X103" s="3281" t="s">
        <v>180</v>
      </c>
      <c r="Y103" s="7965">
        <v>1109108.98</v>
      </c>
      <c r="Z103" s="7965"/>
      <c r="AA103" s="7965">
        <f>Y103</f>
        <v>1109108.98</v>
      </c>
      <c r="AB103" s="7966">
        <f>$AA$103</f>
        <v>1109108.98</v>
      </c>
      <c r="AC103" s="5963" t="s">
        <v>25</v>
      </c>
      <c r="AD103" s="1356"/>
      <c r="AE103" s="1151" t="s">
        <v>153</v>
      </c>
      <c r="AF103" s="1152" t="s">
        <v>153</v>
      </c>
      <c r="AG103" s="1152" t="s">
        <v>153</v>
      </c>
      <c r="AH103" s="10386"/>
      <c r="AI103" s="819"/>
    </row>
    <row r="104" spans="1:35" ht="29.25" customHeight="1">
      <c r="A104" s="10424"/>
      <c r="B104" s="10378"/>
      <c r="C104" s="9134"/>
      <c r="D104" s="9091"/>
      <c r="E104" s="9091"/>
      <c r="F104" s="9091"/>
      <c r="G104" s="9091"/>
      <c r="H104" s="9091"/>
      <c r="I104" s="9091"/>
      <c r="J104" s="9091"/>
      <c r="K104" s="9091"/>
      <c r="L104" s="9091"/>
      <c r="M104" s="10353"/>
      <c r="N104" s="10353"/>
      <c r="O104" s="10353"/>
      <c r="P104" s="10356"/>
      <c r="Q104" s="10356"/>
      <c r="R104" s="10359"/>
      <c r="S104" s="1350"/>
      <c r="T104" s="7176"/>
      <c r="U104" s="7176"/>
      <c r="V104" s="741"/>
      <c r="W104" s="6618"/>
      <c r="X104" s="57"/>
      <c r="Y104" s="6686"/>
      <c r="Z104" s="6686"/>
      <c r="AA104" s="6686"/>
      <c r="AB104" s="5962"/>
      <c r="AC104" s="5963"/>
      <c r="AD104" s="1356"/>
      <c r="AE104" s="1151"/>
      <c r="AF104" s="1152"/>
      <c r="AG104" s="1152"/>
      <c r="AH104" s="10386"/>
      <c r="AI104" s="819"/>
    </row>
    <row r="105" spans="1:35" ht="29.25" customHeight="1">
      <c r="A105" s="10424"/>
      <c r="B105" s="10378"/>
      <c r="C105" s="9141"/>
      <c r="D105" s="9102"/>
      <c r="E105" s="9102"/>
      <c r="F105" s="9102"/>
      <c r="G105" s="9102"/>
      <c r="H105" s="9102"/>
      <c r="I105" s="9102"/>
      <c r="J105" s="9102"/>
      <c r="K105" s="9102"/>
      <c r="L105" s="9102"/>
      <c r="M105" s="10354"/>
      <c r="N105" s="10354"/>
      <c r="O105" s="10354"/>
      <c r="P105" s="10357"/>
      <c r="Q105" s="10357"/>
      <c r="R105" s="10360"/>
      <c r="S105" s="1357"/>
      <c r="T105" s="7255"/>
      <c r="U105" s="7255"/>
      <c r="V105" s="745"/>
      <c r="W105" s="7289"/>
      <c r="X105" s="61"/>
      <c r="Y105" s="7317"/>
      <c r="Z105" s="7317"/>
      <c r="AA105" s="7317"/>
      <c r="AB105" s="5970"/>
      <c r="AC105" s="5971"/>
      <c r="AD105" s="1358"/>
      <c r="AE105" s="1021"/>
      <c r="AF105" s="1169"/>
      <c r="AG105" s="1169"/>
      <c r="AH105" s="10389"/>
      <c r="AI105" s="819"/>
    </row>
    <row r="106" spans="1:35" ht="27" customHeight="1">
      <c r="A106" s="10424"/>
      <c r="B106" s="10378"/>
      <c r="C106" s="9133" t="s">
        <v>127</v>
      </c>
      <c r="D106" s="9131" t="s">
        <v>128</v>
      </c>
      <c r="E106" s="9131" t="s">
        <v>129</v>
      </c>
      <c r="F106" s="9131" t="s">
        <v>2961</v>
      </c>
      <c r="G106" s="9142" t="s">
        <v>131</v>
      </c>
      <c r="H106" s="9131" t="s">
        <v>132</v>
      </c>
      <c r="I106" s="9131" t="s">
        <v>159</v>
      </c>
      <c r="J106" s="10419" t="s">
        <v>3080</v>
      </c>
      <c r="K106" s="9131" t="s">
        <v>3081</v>
      </c>
      <c r="L106" s="9131" t="s">
        <v>3082</v>
      </c>
      <c r="M106" s="10372">
        <v>3</v>
      </c>
      <c r="N106" s="10372">
        <v>3</v>
      </c>
      <c r="O106" s="10372">
        <v>3</v>
      </c>
      <c r="P106" s="10408" t="s">
        <v>3083</v>
      </c>
      <c r="Q106" s="10408" t="s">
        <v>3084</v>
      </c>
      <c r="R106" s="10364" t="s">
        <v>2996</v>
      </c>
      <c r="S106" s="1359"/>
      <c r="T106" s="7175"/>
      <c r="U106" s="7175"/>
      <c r="V106" s="743"/>
      <c r="W106" s="7182"/>
      <c r="X106" s="471"/>
      <c r="Y106" s="7186"/>
      <c r="Z106" s="7186"/>
      <c r="AA106" s="7186"/>
      <c r="AB106" s="5987"/>
      <c r="AC106" s="5973"/>
      <c r="AD106" s="1360"/>
      <c r="AE106" s="1173"/>
      <c r="AF106" s="1174"/>
      <c r="AG106" s="1174"/>
      <c r="AH106" s="10388"/>
      <c r="AI106" s="819"/>
    </row>
    <row r="107" spans="1:35" ht="27" customHeight="1">
      <c r="A107" s="10424"/>
      <c r="B107" s="10378"/>
      <c r="C107" s="9134"/>
      <c r="D107" s="9091"/>
      <c r="E107" s="9091"/>
      <c r="F107" s="9091"/>
      <c r="G107" s="9091"/>
      <c r="H107" s="9091"/>
      <c r="I107" s="9091"/>
      <c r="J107" s="9091"/>
      <c r="K107" s="9091"/>
      <c r="L107" s="9091"/>
      <c r="M107" s="10353"/>
      <c r="N107" s="10353"/>
      <c r="O107" s="10353"/>
      <c r="P107" s="10356"/>
      <c r="Q107" s="10356"/>
      <c r="R107" s="10359"/>
      <c r="S107" s="1350"/>
      <c r="T107" s="7257"/>
      <c r="U107" s="7257"/>
      <c r="V107" s="1153"/>
      <c r="W107" s="7295"/>
      <c r="X107" s="1151"/>
      <c r="Y107" s="7320"/>
      <c r="Z107" s="7320"/>
      <c r="AA107" s="7320"/>
      <c r="AB107" s="5978"/>
      <c r="AC107" s="5979"/>
      <c r="AD107" s="1356"/>
      <c r="AE107" s="1151"/>
      <c r="AF107" s="1152"/>
      <c r="AG107" s="1152"/>
      <c r="AH107" s="10386"/>
      <c r="AI107" s="819"/>
    </row>
    <row r="108" spans="1:35" ht="27" customHeight="1">
      <c r="A108" s="10424"/>
      <c r="B108" s="10378"/>
      <c r="C108" s="9134"/>
      <c r="D108" s="9091"/>
      <c r="E108" s="9091"/>
      <c r="F108" s="9091"/>
      <c r="G108" s="9091"/>
      <c r="H108" s="9091"/>
      <c r="I108" s="9091"/>
      <c r="J108" s="9091"/>
      <c r="K108" s="9091"/>
      <c r="L108" s="9091"/>
      <c r="M108" s="10353"/>
      <c r="N108" s="10353"/>
      <c r="O108" s="10353"/>
      <c r="P108" s="10356"/>
      <c r="Q108" s="10356"/>
      <c r="R108" s="10359"/>
      <c r="S108" s="1350"/>
      <c r="T108" s="7257"/>
      <c r="U108" s="7257"/>
      <c r="V108" s="1153"/>
      <c r="W108" s="7295"/>
      <c r="X108" s="1151"/>
      <c r="Y108" s="7320"/>
      <c r="Z108" s="7320"/>
      <c r="AA108" s="7320"/>
      <c r="AB108" s="5978"/>
      <c r="AC108" s="5979"/>
      <c r="AD108" s="1356"/>
      <c r="AE108" s="1151"/>
      <c r="AF108" s="1152"/>
      <c r="AG108" s="1152"/>
      <c r="AH108" s="10386"/>
      <c r="AI108" s="819"/>
    </row>
    <row r="109" spans="1:35" ht="27" customHeight="1">
      <c r="A109" s="10424"/>
      <c r="B109" s="10378"/>
      <c r="C109" s="9134"/>
      <c r="D109" s="9091"/>
      <c r="E109" s="9091"/>
      <c r="F109" s="9091"/>
      <c r="G109" s="9091"/>
      <c r="H109" s="9091"/>
      <c r="I109" s="9091"/>
      <c r="J109" s="9091"/>
      <c r="K109" s="9091"/>
      <c r="L109" s="9091"/>
      <c r="M109" s="10353"/>
      <c r="N109" s="10353"/>
      <c r="O109" s="10353"/>
      <c r="P109" s="10356"/>
      <c r="Q109" s="10356"/>
      <c r="R109" s="10359"/>
      <c r="S109" s="1350"/>
      <c r="T109" s="7257"/>
      <c r="U109" s="7257"/>
      <c r="V109" s="1153"/>
      <c r="W109" s="7295"/>
      <c r="X109" s="1151"/>
      <c r="Y109" s="7320"/>
      <c r="Z109" s="7320"/>
      <c r="AA109" s="7320"/>
      <c r="AB109" s="5978"/>
      <c r="AC109" s="5979"/>
      <c r="AD109" s="1356"/>
      <c r="AE109" s="1151"/>
      <c r="AF109" s="1152"/>
      <c r="AG109" s="1152"/>
      <c r="AH109" s="10386"/>
      <c r="AI109" s="819"/>
    </row>
    <row r="110" spans="1:35" ht="27" customHeight="1">
      <c r="A110" s="10424"/>
      <c r="B110" s="10378"/>
      <c r="C110" s="9135"/>
      <c r="D110" s="9129"/>
      <c r="E110" s="9129"/>
      <c r="F110" s="9129"/>
      <c r="G110" s="9129"/>
      <c r="H110" s="9129"/>
      <c r="I110" s="9129"/>
      <c r="J110" s="9129"/>
      <c r="K110" s="9129"/>
      <c r="L110" s="9129"/>
      <c r="M110" s="10362"/>
      <c r="N110" s="10362"/>
      <c r="O110" s="10362"/>
      <c r="P110" s="10363"/>
      <c r="Q110" s="10363"/>
      <c r="R110" s="10365"/>
      <c r="S110" s="1352"/>
      <c r="T110" s="7258"/>
      <c r="U110" s="7258"/>
      <c r="V110" s="1155"/>
      <c r="W110" s="7302"/>
      <c r="X110" s="1158"/>
      <c r="Y110" s="7187"/>
      <c r="Z110" s="7187"/>
      <c r="AA110" s="7187"/>
      <c r="AB110" s="7188"/>
      <c r="AC110" s="7194"/>
      <c r="AD110" s="1370"/>
      <c r="AE110" s="1158"/>
      <c r="AF110" s="1159"/>
      <c r="AG110" s="1159"/>
      <c r="AH110" s="10386"/>
      <c r="AI110" s="819"/>
    </row>
    <row r="111" spans="1:35" ht="28.5" customHeight="1">
      <c r="A111" s="10424"/>
      <c r="B111" s="10378"/>
      <c r="C111" s="9140" t="s">
        <v>127</v>
      </c>
      <c r="D111" s="9090" t="s">
        <v>128</v>
      </c>
      <c r="E111" s="9090" t="s">
        <v>129</v>
      </c>
      <c r="F111" s="9090" t="s">
        <v>2961</v>
      </c>
      <c r="G111" s="9116" t="s">
        <v>131</v>
      </c>
      <c r="H111" s="9090" t="s">
        <v>132</v>
      </c>
      <c r="I111" s="9090" t="s">
        <v>159</v>
      </c>
      <c r="J111" s="9116" t="s">
        <v>3085</v>
      </c>
      <c r="K111" s="9090" t="s">
        <v>3086</v>
      </c>
      <c r="L111" s="9090" t="s">
        <v>3087</v>
      </c>
      <c r="M111" s="10376">
        <v>1</v>
      </c>
      <c r="N111" s="10376">
        <v>0</v>
      </c>
      <c r="O111" s="10376">
        <v>1</v>
      </c>
      <c r="P111" s="10409" t="s">
        <v>3088</v>
      </c>
      <c r="Q111" s="10409" t="s">
        <v>3089</v>
      </c>
      <c r="R111" s="10358" t="s">
        <v>2996</v>
      </c>
      <c r="S111" s="1354"/>
      <c r="T111" s="7259"/>
      <c r="U111" s="7259"/>
      <c r="V111" s="1162"/>
      <c r="W111" s="7294"/>
      <c r="X111" s="1164"/>
      <c r="Y111" s="7323"/>
      <c r="Z111" s="7323"/>
      <c r="AA111" s="7323"/>
      <c r="AB111" s="5982"/>
      <c r="AC111" s="5983"/>
      <c r="AD111" s="1355"/>
      <c r="AE111" s="1164"/>
      <c r="AF111" s="1165"/>
      <c r="AG111" s="1165"/>
      <c r="AH111" s="10385"/>
      <c r="AI111" s="819"/>
    </row>
    <row r="112" spans="1:35" ht="28.5" customHeight="1">
      <c r="A112" s="10424"/>
      <c r="B112" s="10378"/>
      <c r="C112" s="9134"/>
      <c r="D112" s="9091"/>
      <c r="E112" s="9091"/>
      <c r="F112" s="9091"/>
      <c r="G112" s="9091"/>
      <c r="H112" s="9091"/>
      <c r="I112" s="9091"/>
      <c r="J112" s="9091"/>
      <c r="K112" s="9091"/>
      <c r="L112" s="9091"/>
      <c r="M112" s="10353"/>
      <c r="N112" s="10353"/>
      <c r="O112" s="10353"/>
      <c r="P112" s="10356"/>
      <c r="Q112" s="10356"/>
      <c r="R112" s="10359"/>
      <c r="S112" s="1350"/>
      <c r="T112" s="7257"/>
      <c r="U112" s="7257"/>
      <c r="V112" s="1153"/>
      <c r="W112" s="7295"/>
      <c r="X112" s="1151"/>
      <c r="Y112" s="7320"/>
      <c r="Z112" s="7320"/>
      <c r="AA112" s="7320"/>
      <c r="AB112" s="5978"/>
      <c r="AC112" s="5979"/>
      <c r="AD112" s="1356"/>
      <c r="AE112" s="1151"/>
      <c r="AF112" s="1152"/>
      <c r="AG112" s="1152"/>
      <c r="AH112" s="10386"/>
      <c r="AI112" s="819"/>
    </row>
    <row r="113" spans="1:35" ht="28.5" customHeight="1">
      <c r="A113" s="10424"/>
      <c r="B113" s="10378"/>
      <c r="C113" s="9134"/>
      <c r="D113" s="9091"/>
      <c r="E113" s="9091"/>
      <c r="F113" s="9091"/>
      <c r="G113" s="9091"/>
      <c r="H113" s="9091"/>
      <c r="I113" s="9091"/>
      <c r="J113" s="9091"/>
      <c r="K113" s="9091"/>
      <c r="L113" s="9091"/>
      <c r="M113" s="10353"/>
      <c r="N113" s="10353"/>
      <c r="O113" s="10353"/>
      <c r="P113" s="10356"/>
      <c r="Q113" s="10356"/>
      <c r="R113" s="10359"/>
      <c r="S113" s="1350"/>
      <c r="T113" s="7257"/>
      <c r="U113" s="7257"/>
      <c r="V113" s="1153"/>
      <c r="W113" s="7295"/>
      <c r="X113" s="1151"/>
      <c r="Y113" s="7320"/>
      <c r="Z113" s="7320"/>
      <c r="AA113" s="7320"/>
      <c r="AB113" s="5978"/>
      <c r="AC113" s="5979"/>
      <c r="AD113" s="1356"/>
      <c r="AE113" s="1151"/>
      <c r="AF113" s="1152"/>
      <c r="AG113" s="1152"/>
      <c r="AH113" s="10386"/>
      <c r="AI113" s="819"/>
    </row>
    <row r="114" spans="1:35" ht="28.5" customHeight="1">
      <c r="A114" s="10424"/>
      <c r="B114" s="10378"/>
      <c r="C114" s="9134"/>
      <c r="D114" s="9091"/>
      <c r="E114" s="9091"/>
      <c r="F114" s="9091"/>
      <c r="G114" s="9091"/>
      <c r="H114" s="9091"/>
      <c r="I114" s="9091"/>
      <c r="J114" s="9091"/>
      <c r="K114" s="9091"/>
      <c r="L114" s="9091"/>
      <c r="M114" s="10353"/>
      <c r="N114" s="10353"/>
      <c r="O114" s="10353"/>
      <c r="P114" s="10356"/>
      <c r="Q114" s="10356"/>
      <c r="R114" s="10359"/>
      <c r="S114" s="1350"/>
      <c r="T114" s="7257"/>
      <c r="U114" s="7257"/>
      <c r="V114" s="1153"/>
      <c r="W114" s="7295"/>
      <c r="X114" s="1151"/>
      <c r="Y114" s="7320"/>
      <c r="Z114" s="7320"/>
      <c r="AA114" s="7320"/>
      <c r="AB114" s="5978"/>
      <c r="AC114" s="5979"/>
      <c r="AD114" s="1356"/>
      <c r="AE114" s="1151"/>
      <c r="AF114" s="1152"/>
      <c r="AG114" s="1152"/>
      <c r="AH114" s="10386"/>
      <c r="AI114" s="819"/>
    </row>
    <row r="115" spans="1:35" ht="28.5" customHeight="1">
      <c r="A115" s="10424"/>
      <c r="B115" s="10378"/>
      <c r="C115" s="9141"/>
      <c r="D115" s="9102"/>
      <c r="E115" s="9102"/>
      <c r="F115" s="9102"/>
      <c r="G115" s="9102"/>
      <c r="H115" s="9102"/>
      <c r="I115" s="9102"/>
      <c r="J115" s="9102"/>
      <c r="K115" s="9102"/>
      <c r="L115" s="9102"/>
      <c r="M115" s="10354"/>
      <c r="N115" s="10354"/>
      <c r="O115" s="10354"/>
      <c r="P115" s="10357"/>
      <c r="Q115" s="10357"/>
      <c r="R115" s="10360"/>
      <c r="S115" s="1357"/>
      <c r="T115" s="4848"/>
      <c r="U115" s="4848"/>
      <c r="V115" s="1020"/>
      <c r="W115" s="4865"/>
      <c r="X115" s="1021"/>
      <c r="Y115" s="4903"/>
      <c r="Z115" s="4903"/>
      <c r="AA115" s="4903"/>
      <c r="AB115" s="5990"/>
      <c r="AC115" s="5991"/>
      <c r="AD115" s="1358"/>
      <c r="AE115" s="1021"/>
      <c r="AF115" s="1169"/>
      <c r="AG115" s="1169"/>
      <c r="AH115" s="10389"/>
      <c r="AI115" s="819"/>
    </row>
    <row r="116" spans="1:35" ht="25.5" customHeight="1">
      <c r="A116" s="10424"/>
      <c r="B116" s="10378"/>
      <c r="C116" s="9133" t="s">
        <v>127</v>
      </c>
      <c r="D116" s="9131" t="s">
        <v>128</v>
      </c>
      <c r="E116" s="9131" t="s">
        <v>129</v>
      </c>
      <c r="F116" s="9131" t="s">
        <v>2961</v>
      </c>
      <c r="G116" s="9142" t="s">
        <v>131</v>
      </c>
      <c r="H116" s="9131" t="s">
        <v>132</v>
      </c>
      <c r="I116" s="9131" t="s">
        <v>159</v>
      </c>
      <c r="J116" s="9142" t="s">
        <v>3090</v>
      </c>
      <c r="K116" s="9130" t="s">
        <v>3091</v>
      </c>
      <c r="L116" s="9130" t="s">
        <v>3092</v>
      </c>
      <c r="M116" s="10361">
        <v>0</v>
      </c>
      <c r="N116" s="10361">
        <v>0</v>
      </c>
      <c r="O116" s="10361">
        <v>1</v>
      </c>
      <c r="P116" s="9130" t="s">
        <v>3093</v>
      </c>
      <c r="Q116" s="9131" t="s">
        <v>3094</v>
      </c>
      <c r="R116" s="10364" t="s">
        <v>2967</v>
      </c>
      <c r="S116" s="1359"/>
      <c r="T116" s="7271"/>
      <c r="U116" s="7271"/>
      <c r="V116" s="1171"/>
      <c r="W116" s="7301"/>
      <c r="X116" s="1173"/>
      <c r="Y116" s="7336"/>
      <c r="Z116" s="7336"/>
      <c r="AA116" s="7336"/>
      <c r="AB116" s="5988"/>
      <c r="AC116" s="5989"/>
      <c r="AD116" s="1360"/>
      <c r="AE116" s="1173"/>
      <c r="AF116" s="1174"/>
      <c r="AG116" s="1174"/>
      <c r="AH116" s="10388"/>
      <c r="AI116" s="819"/>
    </row>
    <row r="117" spans="1:35" ht="25.5" customHeight="1">
      <c r="A117" s="10424"/>
      <c r="B117" s="10378"/>
      <c r="C117" s="9134"/>
      <c r="D117" s="9091"/>
      <c r="E117" s="9091"/>
      <c r="F117" s="9091"/>
      <c r="G117" s="9091"/>
      <c r="H117" s="9091"/>
      <c r="I117" s="9091"/>
      <c r="J117" s="9091"/>
      <c r="K117" s="9091"/>
      <c r="L117" s="9091"/>
      <c r="M117" s="10353"/>
      <c r="N117" s="10353"/>
      <c r="O117" s="10353"/>
      <c r="P117" s="10356"/>
      <c r="Q117" s="10356"/>
      <c r="R117" s="10359"/>
      <c r="S117" s="1350"/>
      <c r="T117" s="7257"/>
      <c r="U117" s="7257"/>
      <c r="V117" s="1153"/>
      <c r="W117" s="7295"/>
      <c r="X117" s="1151"/>
      <c r="Y117" s="7320"/>
      <c r="Z117" s="7320"/>
      <c r="AA117" s="7320"/>
      <c r="AB117" s="5978"/>
      <c r="AC117" s="5979"/>
      <c r="AD117" s="1356"/>
      <c r="AE117" s="1151"/>
      <c r="AF117" s="1152"/>
      <c r="AG117" s="1152"/>
      <c r="AH117" s="10386"/>
      <c r="AI117" s="819"/>
    </row>
    <row r="118" spans="1:35" ht="25.5" customHeight="1">
      <c r="A118" s="10424"/>
      <c r="B118" s="10378"/>
      <c r="C118" s="9134"/>
      <c r="D118" s="9091"/>
      <c r="E118" s="9091"/>
      <c r="F118" s="9091"/>
      <c r="G118" s="9091"/>
      <c r="H118" s="9091"/>
      <c r="I118" s="9091"/>
      <c r="J118" s="9091"/>
      <c r="K118" s="9091"/>
      <c r="L118" s="9091"/>
      <c r="M118" s="10353"/>
      <c r="N118" s="10353"/>
      <c r="O118" s="10353"/>
      <c r="P118" s="10356"/>
      <c r="Q118" s="10356"/>
      <c r="R118" s="10359"/>
      <c r="S118" s="1350"/>
      <c r="T118" s="7257"/>
      <c r="U118" s="7257"/>
      <c r="V118" s="1153"/>
      <c r="W118" s="7295"/>
      <c r="X118" s="1151"/>
      <c r="Y118" s="7320"/>
      <c r="Z118" s="7320"/>
      <c r="AA118" s="7320"/>
      <c r="AB118" s="5978"/>
      <c r="AC118" s="5979"/>
      <c r="AD118" s="1356"/>
      <c r="AE118" s="1151"/>
      <c r="AF118" s="1152"/>
      <c r="AG118" s="1152"/>
      <c r="AH118" s="10386"/>
      <c r="AI118" s="819"/>
    </row>
    <row r="119" spans="1:35" ht="25.5" customHeight="1">
      <c r="A119" s="10424"/>
      <c r="B119" s="10378"/>
      <c r="C119" s="9134"/>
      <c r="D119" s="9091"/>
      <c r="E119" s="9091"/>
      <c r="F119" s="9091"/>
      <c r="G119" s="9091"/>
      <c r="H119" s="9091"/>
      <c r="I119" s="9091"/>
      <c r="J119" s="9091"/>
      <c r="K119" s="9091"/>
      <c r="L119" s="9091"/>
      <c r="M119" s="10353"/>
      <c r="N119" s="10353"/>
      <c r="O119" s="10353"/>
      <c r="P119" s="10356"/>
      <c r="Q119" s="10356"/>
      <c r="R119" s="10359"/>
      <c r="S119" s="1350"/>
      <c r="T119" s="7257"/>
      <c r="U119" s="7257"/>
      <c r="V119" s="1153"/>
      <c r="W119" s="7295"/>
      <c r="X119" s="1151"/>
      <c r="Y119" s="7320"/>
      <c r="Z119" s="7320"/>
      <c r="AA119" s="7320"/>
      <c r="AB119" s="5978"/>
      <c r="AC119" s="5979"/>
      <c r="AD119" s="1356"/>
      <c r="AE119" s="1151"/>
      <c r="AF119" s="1152"/>
      <c r="AG119" s="1152"/>
      <c r="AH119" s="10386"/>
      <c r="AI119" s="819"/>
    </row>
    <row r="120" spans="1:35" ht="25.5" customHeight="1">
      <c r="A120" s="10424"/>
      <c r="B120" s="10378"/>
      <c r="C120" s="9135"/>
      <c r="D120" s="9129"/>
      <c r="E120" s="9129"/>
      <c r="F120" s="9129"/>
      <c r="G120" s="9129"/>
      <c r="H120" s="9129"/>
      <c r="I120" s="9129"/>
      <c r="J120" s="9129"/>
      <c r="K120" s="9129"/>
      <c r="L120" s="9129"/>
      <c r="M120" s="10362"/>
      <c r="N120" s="10362"/>
      <c r="O120" s="10362"/>
      <c r="P120" s="10363"/>
      <c r="Q120" s="10363"/>
      <c r="R120" s="10365"/>
      <c r="S120" s="1352"/>
      <c r="T120" s="7258"/>
      <c r="U120" s="7258"/>
      <c r="V120" s="1155"/>
      <c r="W120" s="7302"/>
      <c r="X120" s="1158"/>
      <c r="Y120" s="7187"/>
      <c r="Z120" s="7187"/>
      <c r="AA120" s="7187"/>
      <c r="AB120" s="7188"/>
      <c r="AC120" s="7194"/>
      <c r="AD120" s="1370"/>
      <c r="AE120" s="1158"/>
      <c r="AF120" s="1159"/>
      <c r="AG120" s="1159"/>
      <c r="AH120" s="10386"/>
      <c r="AI120" s="819"/>
    </row>
    <row r="121" spans="1:35" ht="27" customHeight="1">
      <c r="A121" s="10424"/>
      <c r="B121" s="10378"/>
      <c r="C121" s="9140" t="s">
        <v>127</v>
      </c>
      <c r="D121" s="9090" t="s">
        <v>128</v>
      </c>
      <c r="E121" s="9090" t="s">
        <v>129</v>
      </c>
      <c r="F121" s="9090" t="s">
        <v>2961</v>
      </c>
      <c r="G121" s="9116" t="s">
        <v>131</v>
      </c>
      <c r="H121" s="9090" t="s">
        <v>132</v>
      </c>
      <c r="I121" s="9090" t="s">
        <v>159</v>
      </c>
      <c r="J121" s="9116" t="s">
        <v>3095</v>
      </c>
      <c r="K121" s="9186" t="s">
        <v>3096</v>
      </c>
      <c r="L121" s="9186" t="s">
        <v>3097</v>
      </c>
      <c r="M121" s="10352">
        <v>0</v>
      </c>
      <c r="N121" s="10352">
        <v>0</v>
      </c>
      <c r="O121" s="10352">
        <v>0</v>
      </c>
      <c r="P121" s="9186" t="s">
        <v>3098</v>
      </c>
      <c r="Q121" s="9090" t="s">
        <v>3099</v>
      </c>
      <c r="R121" s="10358" t="s">
        <v>3100</v>
      </c>
      <c r="S121" s="1354"/>
      <c r="T121" s="7259"/>
      <c r="U121" s="7259"/>
      <c r="V121" s="1162"/>
      <c r="W121" s="7294"/>
      <c r="X121" s="1164"/>
      <c r="Y121" s="7323"/>
      <c r="Z121" s="7323"/>
      <c r="AA121" s="7323"/>
      <c r="AB121" s="5982"/>
      <c r="AC121" s="5983"/>
      <c r="AD121" s="1355"/>
      <c r="AE121" s="1164"/>
      <c r="AF121" s="1165"/>
      <c r="AG121" s="1165"/>
      <c r="AH121" s="10416"/>
      <c r="AI121" s="819"/>
    </row>
    <row r="122" spans="1:35" ht="27" customHeight="1">
      <c r="A122" s="10424"/>
      <c r="B122" s="10378"/>
      <c r="C122" s="9134"/>
      <c r="D122" s="9091"/>
      <c r="E122" s="9091"/>
      <c r="F122" s="9091"/>
      <c r="G122" s="9091"/>
      <c r="H122" s="9091"/>
      <c r="I122" s="9091"/>
      <c r="J122" s="9091"/>
      <c r="K122" s="9091"/>
      <c r="L122" s="9091"/>
      <c r="M122" s="10353"/>
      <c r="N122" s="10353"/>
      <c r="O122" s="10353"/>
      <c r="P122" s="10356"/>
      <c r="Q122" s="10356"/>
      <c r="R122" s="10359"/>
      <c r="S122" s="1350"/>
      <c r="T122" s="7257"/>
      <c r="U122" s="7257"/>
      <c r="V122" s="1153"/>
      <c r="W122" s="7295"/>
      <c r="X122" s="1151"/>
      <c r="Y122" s="7320"/>
      <c r="Z122" s="7320"/>
      <c r="AA122" s="7320"/>
      <c r="AB122" s="5978"/>
      <c r="AC122" s="5979"/>
      <c r="AD122" s="1356"/>
      <c r="AE122" s="1151"/>
      <c r="AF122" s="1152"/>
      <c r="AG122" s="1152"/>
      <c r="AH122" s="10386"/>
      <c r="AI122" s="819"/>
    </row>
    <row r="123" spans="1:35" ht="27" customHeight="1">
      <c r="A123" s="10424"/>
      <c r="B123" s="10378"/>
      <c r="C123" s="9134"/>
      <c r="D123" s="9091"/>
      <c r="E123" s="9091"/>
      <c r="F123" s="9091"/>
      <c r="G123" s="9091"/>
      <c r="H123" s="9091"/>
      <c r="I123" s="9091"/>
      <c r="J123" s="9091"/>
      <c r="K123" s="9091"/>
      <c r="L123" s="9091"/>
      <c r="M123" s="10353"/>
      <c r="N123" s="10353"/>
      <c r="O123" s="10353"/>
      <c r="P123" s="10356"/>
      <c r="Q123" s="10356"/>
      <c r="R123" s="10359"/>
      <c r="S123" s="1350"/>
      <c r="T123" s="7257"/>
      <c r="U123" s="7257"/>
      <c r="V123" s="1153"/>
      <c r="W123" s="7295"/>
      <c r="X123" s="1151"/>
      <c r="Y123" s="7320"/>
      <c r="Z123" s="7320"/>
      <c r="AA123" s="7320"/>
      <c r="AB123" s="5978"/>
      <c r="AC123" s="5979"/>
      <c r="AD123" s="1356"/>
      <c r="AE123" s="1151"/>
      <c r="AF123" s="1152"/>
      <c r="AG123" s="1152"/>
      <c r="AH123" s="10386"/>
      <c r="AI123" s="819"/>
    </row>
    <row r="124" spans="1:35" ht="27" customHeight="1">
      <c r="A124" s="10424"/>
      <c r="B124" s="10378"/>
      <c r="C124" s="9134"/>
      <c r="D124" s="9091"/>
      <c r="E124" s="9091"/>
      <c r="F124" s="9091"/>
      <c r="G124" s="9091"/>
      <c r="H124" s="9091"/>
      <c r="I124" s="9091"/>
      <c r="J124" s="9091"/>
      <c r="K124" s="9091"/>
      <c r="L124" s="9091"/>
      <c r="M124" s="10353"/>
      <c r="N124" s="10353"/>
      <c r="O124" s="10353"/>
      <c r="P124" s="10356"/>
      <c r="Q124" s="10356"/>
      <c r="R124" s="10359"/>
      <c r="S124" s="896"/>
      <c r="T124" s="7176"/>
      <c r="U124" s="7176"/>
      <c r="V124" s="741"/>
      <c r="W124" s="6618"/>
      <c r="X124" s="57"/>
      <c r="Y124" s="6686"/>
      <c r="Z124" s="6686"/>
      <c r="AA124" s="6686"/>
      <c r="AB124" s="5962"/>
      <c r="AC124" s="5963"/>
      <c r="AD124" s="905"/>
      <c r="AE124" s="57"/>
      <c r="AF124" s="151"/>
      <c r="AG124" s="151"/>
      <c r="AH124" s="10386"/>
      <c r="AI124" s="819"/>
    </row>
    <row r="125" spans="1:35" ht="27" customHeight="1">
      <c r="A125" s="10424"/>
      <c r="B125" s="10378"/>
      <c r="C125" s="9141"/>
      <c r="D125" s="9102"/>
      <c r="E125" s="9102"/>
      <c r="F125" s="9102"/>
      <c r="G125" s="9102"/>
      <c r="H125" s="9102"/>
      <c r="I125" s="9102"/>
      <c r="J125" s="9102"/>
      <c r="K125" s="9102"/>
      <c r="L125" s="9102"/>
      <c r="M125" s="10354"/>
      <c r="N125" s="10354"/>
      <c r="O125" s="10354"/>
      <c r="P125" s="10357"/>
      <c r="Q125" s="10357"/>
      <c r="R125" s="10360"/>
      <c r="S125" s="900"/>
      <c r="T125" s="7255"/>
      <c r="U125" s="7255"/>
      <c r="V125" s="745"/>
      <c r="W125" s="7289"/>
      <c r="X125" s="61"/>
      <c r="Y125" s="7317"/>
      <c r="Z125" s="7317"/>
      <c r="AA125" s="7317"/>
      <c r="AB125" s="5970"/>
      <c r="AC125" s="5971"/>
      <c r="AD125" s="916"/>
      <c r="AE125" s="61"/>
      <c r="AF125" s="177"/>
      <c r="AG125" s="177"/>
      <c r="AH125" s="10389"/>
      <c r="AI125" s="819"/>
    </row>
    <row r="126" spans="1:35" ht="33" customHeight="1">
      <c r="A126" s="10424"/>
      <c r="B126" s="10378"/>
      <c r="C126" s="9133" t="s">
        <v>127</v>
      </c>
      <c r="D126" s="9131" t="s">
        <v>128</v>
      </c>
      <c r="E126" s="9131" t="s">
        <v>129</v>
      </c>
      <c r="F126" s="9131" t="s">
        <v>2961</v>
      </c>
      <c r="G126" s="9142" t="s">
        <v>131</v>
      </c>
      <c r="H126" s="9131" t="s">
        <v>132</v>
      </c>
      <c r="I126" s="9131" t="s">
        <v>159</v>
      </c>
      <c r="J126" s="9131" t="s">
        <v>3101</v>
      </c>
      <c r="K126" s="9130" t="s">
        <v>286</v>
      </c>
      <c r="L126" s="9130" t="s">
        <v>3102</v>
      </c>
      <c r="M126" s="10361">
        <v>0</v>
      </c>
      <c r="N126" s="10361">
        <v>1</v>
      </c>
      <c r="O126" s="10361">
        <v>1</v>
      </c>
      <c r="P126" s="9130" t="s">
        <v>3103</v>
      </c>
      <c r="Q126" s="9131" t="s">
        <v>3104</v>
      </c>
      <c r="R126" s="10364" t="s">
        <v>2967</v>
      </c>
      <c r="S126" s="874"/>
      <c r="T126" s="7175"/>
      <c r="U126" s="7175"/>
      <c r="V126" s="743"/>
      <c r="W126" s="7182"/>
      <c r="X126" s="471"/>
      <c r="Y126" s="7186"/>
      <c r="Z126" s="7186"/>
      <c r="AA126" s="7186"/>
      <c r="AB126" s="5987"/>
      <c r="AC126" s="5973"/>
      <c r="AD126" s="904"/>
      <c r="AE126" s="471"/>
      <c r="AF126" s="475"/>
      <c r="AG126" s="475"/>
      <c r="AH126" s="10388"/>
      <c r="AI126" s="819"/>
    </row>
    <row r="127" spans="1:35" ht="33" customHeight="1">
      <c r="A127" s="10424"/>
      <c r="B127" s="10378"/>
      <c r="C127" s="9134"/>
      <c r="D127" s="9091"/>
      <c r="E127" s="9091"/>
      <c r="F127" s="9091"/>
      <c r="G127" s="9091"/>
      <c r="H127" s="9091"/>
      <c r="I127" s="9091"/>
      <c r="J127" s="9091"/>
      <c r="K127" s="9091"/>
      <c r="L127" s="9091"/>
      <c r="M127" s="10353"/>
      <c r="N127" s="10353"/>
      <c r="O127" s="10353"/>
      <c r="P127" s="10356"/>
      <c r="Q127" s="10356"/>
      <c r="R127" s="10359"/>
      <c r="S127" s="869"/>
      <c r="T127" s="7176"/>
      <c r="U127" s="7176"/>
      <c r="V127" s="741"/>
      <c r="W127" s="6618"/>
      <c r="X127" s="57"/>
      <c r="Y127" s="6686"/>
      <c r="Z127" s="6686"/>
      <c r="AA127" s="6686"/>
      <c r="AB127" s="5962"/>
      <c r="AC127" s="5963"/>
      <c r="AD127" s="905"/>
      <c r="AE127" s="57"/>
      <c r="AF127" s="151"/>
      <c r="AG127" s="151"/>
      <c r="AH127" s="10386"/>
      <c r="AI127" s="819"/>
    </row>
    <row r="128" spans="1:35" ht="33" customHeight="1">
      <c r="A128" s="10424"/>
      <c r="B128" s="10378"/>
      <c r="C128" s="9134"/>
      <c r="D128" s="9091"/>
      <c r="E128" s="9091"/>
      <c r="F128" s="9091"/>
      <c r="G128" s="9091"/>
      <c r="H128" s="9091"/>
      <c r="I128" s="9091"/>
      <c r="J128" s="9091"/>
      <c r="K128" s="9091"/>
      <c r="L128" s="9091"/>
      <c r="M128" s="10353"/>
      <c r="N128" s="10353"/>
      <c r="O128" s="10353"/>
      <c r="P128" s="10356"/>
      <c r="Q128" s="10356"/>
      <c r="R128" s="10359"/>
      <c r="S128" s="869"/>
      <c r="T128" s="7176"/>
      <c r="U128" s="7176"/>
      <c r="V128" s="741"/>
      <c r="W128" s="6618"/>
      <c r="X128" s="57"/>
      <c r="Y128" s="6686"/>
      <c r="Z128" s="6686"/>
      <c r="AA128" s="6686"/>
      <c r="AB128" s="5962"/>
      <c r="AC128" s="5963"/>
      <c r="AD128" s="905"/>
      <c r="AE128" s="57"/>
      <c r="AF128" s="151"/>
      <c r="AG128" s="151"/>
      <c r="AH128" s="10386"/>
      <c r="AI128" s="819"/>
    </row>
    <row r="129" spans="1:35" ht="33" customHeight="1">
      <c r="A129" s="10424"/>
      <c r="B129" s="10378"/>
      <c r="C129" s="9134"/>
      <c r="D129" s="9091"/>
      <c r="E129" s="9091"/>
      <c r="F129" s="9091"/>
      <c r="G129" s="9091"/>
      <c r="H129" s="9091"/>
      <c r="I129" s="9091"/>
      <c r="J129" s="9091"/>
      <c r="K129" s="9091"/>
      <c r="L129" s="9091"/>
      <c r="M129" s="10353"/>
      <c r="N129" s="10353"/>
      <c r="O129" s="10353"/>
      <c r="P129" s="10356"/>
      <c r="Q129" s="10356"/>
      <c r="R129" s="10359"/>
      <c r="S129" s="869"/>
      <c r="T129" s="7176"/>
      <c r="U129" s="7176"/>
      <c r="V129" s="741"/>
      <c r="W129" s="6618"/>
      <c r="X129" s="57"/>
      <c r="Y129" s="6686"/>
      <c r="Z129" s="6686"/>
      <c r="AA129" s="6686"/>
      <c r="AB129" s="5962"/>
      <c r="AC129" s="5963"/>
      <c r="AD129" s="905"/>
      <c r="AE129" s="57"/>
      <c r="AF129" s="151"/>
      <c r="AG129" s="151"/>
      <c r="AH129" s="10386"/>
      <c r="AI129" s="819"/>
    </row>
    <row r="130" spans="1:35" ht="33" customHeight="1">
      <c r="A130" s="10424"/>
      <c r="B130" s="10378"/>
      <c r="C130" s="9135"/>
      <c r="D130" s="9129"/>
      <c r="E130" s="9129"/>
      <c r="F130" s="9129"/>
      <c r="G130" s="9129"/>
      <c r="H130" s="9129"/>
      <c r="I130" s="9129"/>
      <c r="J130" s="9129"/>
      <c r="K130" s="9129"/>
      <c r="L130" s="9129"/>
      <c r="M130" s="10362"/>
      <c r="N130" s="10362"/>
      <c r="O130" s="10362"/>
      <c r="P130" s="10363"/>
      <c r="Q130" s="10363"/>
      <c r="R130" s="10365"/>
      <c r="S130" s="870"/>
      <c r="T130" s="7254"/>
      <c r="U130" s="7254"/>
      <c r="V130" s="860"/>
      <c r="W130" s="7288"/>
      <c r="X130" s="160"/>
      <c r="Y130" s="7315"/>
      <c r="Z130" s="7315"/>
      <c r="AA130" s="7315"/>
      <c r="AB130" s="7316"/>
      <c r="AC130" s="7348"/>
      <c r="AD130" s="914"/>
      <c r="AE130" s="160"/>
      <c r="AF130" s="158"/>
      <c r="AG130" s="158"/>
      <c r="AH130" s="10386"/>
      <c r="AI130" s="819"/>
    </row>
    <row r="131" spans="1:35" ht="27.75" customHeight="1">
      <c r="A131" s="10424"/>
      <c r="B131" s="10378"/>
      <c r="C131" s="9140" t="s">
        <v>127</v>
      </c>
      <c r="D131" s="9090" t="s">
        <v>128</v>
      </c>
      <c r="E131" s="9090" t="s">
        <v>129</v>
      </c>
      <c r="F131" s="9090" t="s">
        <v>2961</v>
      </c>
      <c r="G131" s="9116" t="s">
        <v>131</v>
      </c>
      <c r="H131" s="9090" t="s">
        <v>132</v>
      </c>
      <c r="I131" s="9090" t="s">
        <v>159</v>
      </c>
      <c r="J131" s="9090" t="s">
        <v>3105</v>
      </c>
      <c r="K131" s="9090" t="s">
        <v>1378</v>
      </c>
      <c r="L131" s="9090" t="s">
        <v>3106</v>
      </c>
      <c r="M131" s="10376">
        <v>8</v>
      </c>
      <c r="N131" s="10376">
        <v>8</v>
      </c>
      <c r="O131" s="10376">
        <v>8</v>
      </c>
      <c r="P131" s="9090" t="s">
        <v>2435</v>
      </c>
      <c r="Q131" s="9090" t="s">
        <v>1381</v>
      </c>
      <c r="R131" s="10358" t="s">
        <v>3107</v>
      </c>
      <c r="S131" s="902"/>
      <c r="T131" s="6582"/>
      <c r="U131" s="6582"/>
      <c r="V131" s="742"/>
      <c r="W131" s="6617"/>
      <c r="X131" s="171"/>
      <c r="Y131" s="6677"/>
      <c r="Z131" s="6677"/>
      <c r="AA131" s="6677"/>
      <c r="AB131" s="5986"/>
      <c r="AC131" s="5969"/>
      <c r="AD131" s="915"/>
      <c r="AE131" s="171"/>
      <c r="AF131" s="166"/>
      <c r="AG131" s="166"/>
      <c r="AH131" s="10385"/>
      <c r="AI131" s="819"/>
    </row>
    <row r="132" spans="1:35" ht="27.75" customHeight="1">
      <c r="A132" s="10424"/>
      <c r="B132" s="10378"/>
      <c r="C132" s="9134"/>
      <c r="D132" s="9091"/>
      <c r="E132" s="9091"/>
      <c r="F132" s="9091"/>
      <c r="G132" s="9091"/>
      <c r="H132" s="9091"/>
      <c r="I132" s="9091"/>
      <c r="J132" s="9091"/>
      <c r="K132" s="9091"/>
      <c r="L132" s="9091"/>
      <c r="M132" s="10353"/>
      <c r="N132" s="10353"/>
      <c r="O132" s="10353"/>
      <c r="P132" s="10356"/>
      <c r="Q132" s="10356"/>
      <c r="R132" s="10359"/>
      <c r="S132" s="869"/>
      <c r="T132" s="7176"/>
      <c r="U132" s="7176"/>
      <c r="V132" s="741"/>
      <c r="W132" s="6618"/>
      <c r="X132" s="57"/>
      <c r="Y132" s="6686"/>
      <c r="Z132" s="6686"/>
      <c r="AA132" s="6686"/>
      <c r="AB132" s="5962"/>
      <c r="AC132" s="5963"/>
      <c r="AD132" s="905"/>
      <c r="AE132" s="57"/>
      <c r="AF132" s="151"/>
      <c r="AG132" s="151"/>
      <c r="AH132" s="10386"/>
      <c r="AI132" s="819"/>
    </row>
    <row r="133" spans="1:35" ht="27.75" customHeight="1">
      <c r="A133" s="10424"/>
      <c r="B133" s="10378"/>
      <c r="C133" s="9134"/>
      <c r="D133" s="9091"/>
      <c r="E133" s="9091"/>
      <c r="F133" s="9091"/>
      <c r="G133" s="9091"/>
      <c r="H133" s="9091"/>
      <c r="I133" s="9091"/>
      <c r="J133" s="9091"/>
      <c r="K133" s="9091"/>
      <c r="L133" s="9091"/>
      <c r="M133" s="10353"/>
      <c r="N133" s="10353"/>
      <c r="O133" s="10353"/>
      <c r="P133" s="10356"/>
      <c r="Q133" s="10356"/>
      <c r="R133" s="10359"/>
      <c r="S133" s="869"/>
      <c r="T133" s="7176"/>
      <c r="U133" s="7176"/>
      <c r="V133" s="741"/>
      <c r="W133" s="6618"/>
      <c r="X133" s="57"/>
      <c r="Y133" s="6686"/>
      <c r="Z133" s="6686"/>
      <c r="AA133" s="6686"/>
      <c r="AB133" s="5962"/>
      <c r="AC133" s="5963"/>
      <c r="AD133" s="905"/>
      <c r="AE133" s="57"/>
      <c r="AF133" s="151"/>
      <c r="AG133" s="151"/>
      <c r="AH133" s="10386"/>
      <c r="AI133" s="819"/>
    </row>
    <row r="134" spans="1:35" ht="27.75" customHeight="1">
      <c r="A134" s="10424"/>
      <c r="B134" s="10378"/>
      <c r="C134" s="9134"/>
      <c r="D134" s="9091"/>
      <c r="E134" s="9091"/>
      <c r="F134" s="9091"/>
      <c r="G134" s="9091"/>
      <c r="H134" s="9091"/>
      <c r="I134" s="9091"/>
      <c r="J134" s="9091"/>
      <c r="K134" s="9091"/>
      <c r="L134" s="9091"/>
      <c r="M134" s="10353"/>
      <c r="N134" s="10353"/>
      <c r="O134" s="10353"/>
      <c r="P134" s="10356"/>
      <c r="Q134" s="10356"/>
      <c r="R134" s="10359"/>
      <c r="S134" s="869"/>
      <c r="T134" s="7176"/>
      <c r="U134" s="7176"/>
      <c r="V134" s="741"/>
      <c r="W134" s="6618"/>
      <c r="X134" s="57"/>
      <c r="Y134" s="6686"/>
      <c r="Z134" s="6686"/>
      <c r="AA134" s="6686"/>
      <c r="AB134" s="5962"/>
      <c r="AC134" s="5963"/>
      <c r="AD134" s="905"/>
      <c r="AE134" s="57"/>
      <c r="AF134" s="151"/>
      <c r="AG134" s="151"/>
      <c r="AH134" s="10386"/>
      <c r="AI134" s="819"/>
    </row>
    <row r="135" spans="1:35" ht="27.75" customHeight="1">
      <c r="A135" s="10424"/>
      <c r="B135" s="10378"/>
      <c r="C135" s="9141"/>
      <c r="D135" s="9102"/>
      <c r="E135" s="9102"/>
      <c r="F135" s="9102"/>
      <c r="G135" s="9102"/>
      <c r="H135" s="9102"/>
      <c r="I135" s="9102"/>
      <c r="J135" s="9102"/>
      <c r="K135" s="9102"/>
      <c r="L135" s="9102"/>
      <c r="M135" s="10354"/>
      <c r="N135" s="10354"/>
      <c r="O135" s="10354"/>
      <c r="P135" s="10357"/>
      <c r="Q135" s="10357"/>
      <c r="R135" s="10360"/>
      <c r="S135" s="872"/>
      <c r="T135" s="7255"/>
      <c r="U135" s="7255"/>
      <c r="V135" s="745"/>
      <c r="W135" s="7289"/>
      <c r="X135" s="61"/>
      <c r="Y135" s="7317"/>
      <c r="Z135" s="7317"/>
      <c r="AA135" s="7315"/>
      <c r="AB135" s="7316"/>
      <c r="AC135" s="7348"/>
      <c r="AD135" s="914"/>
      <c r="AE135" s="61"/>
      <c r="AF135" s="177"/>
      <c r="AG135" s="177"/>
      <c r="AH135" s="10389"/>
      <c r="AI135" s="819"/>
    </row>
    <row r="136" spans="1:35" s="4842" customFormat="1" ht="22.5" customHeight="1" thickBot="1">
      <c r="A136" s="10424"/>
      <c r="B136" s="10379"/>
      <c r="C136" s="9397"/>
      <c r="D136" s="9216"/>
      <c r="E136" s="9216"/>
      <c r="F136" s="9216"/>
      <c r="G136" s="9216"/>
      <c r="H136" s="9216"/>
      <c r="I136" s="9216"/>
      <c r="J136" s="9216"/>
      <c r="K136" s="9216"/>
      <c r="L136" s="9216"/>
      <c r="M136" s="9216"/>
      <c r="N136" s="9216"/>
      <c r="O136" s="9216"/>
      <c r="P136" s="9216"/>
      <c r="Q136" s="9216"/>
      <c r="R136" s="9047"/>
      <c r="S136" s="9326" t="s">
        <v>3108</v>
      </c>
      <c r="T136" s="9045"/>
      <c r="U136" s="9045"/>
      <c r="V136" s="9045"/>
      <c r="W136" s="9045"/>
      <c r="X136" s="9045"/>
      <c r="Y136" s="9045"/>
      <c r="Z136" s="9045"/>
      <c r="AA136" s="6096" t="s">
        <v>292</v>
      </c>
      <c r="AB136" s="7312">
        <f>SUM(AB9:AB135)</f>
        <v>27554752.600000005</v>
      </c>
      <c r="AC136" s="6100"/>
      <c r="AD136" s="6101"/>
      <c r="AE136" s="9331"/>
      <c r="AF136" s="9047"/>
      <c r="AG136" s="9047"/>
      <c r="AH136" s="9048"/>
      <c r="AI136" s="4887"/>
    </row>
    <row r="137" spans="1:35" ht="59.25" customHeight="1">
      <c r="A137" s="10424"/>
      <c r="B137" s="10377" t="s">
        <v>3109</v>
      </c>
      <c r="C137" s="9133" t="s">
        <v>127</v>
      </c>
      <c r="D137" s="9131" t="s">
        <v>128</v>
      </c>
      <c r="E137" s="9131" t="s">
        <v>129</v>
      </c>
      <c r="F137" s="9131" t="s">
        <v>268</v>
      </c>
      <c r="G137" s="9142" t="s">
        <v>131</v>
      </c>
      <c r="H137" s="9131" t="s">
        <v>132</v>
      </c>
      <c r="I137" s="9131" t="s">
        <v>159</v>
      </c>
      <c r="J137" s="9130" t="s">
        <v>3110</v>
      </c>
      <c r="K137" s="9131" t="s">
        <v>3111</v>
      </c>
      <c r="L137" s="9131" t="s">
        <v>3112</v>
      </c>
      <c r="M137" s="10372">
        <v>400</v>
      </c>
      <c r="N137" s="10372">
        <v>500</v>
      </c>
      <c r="O137" s="10372">
        <v>250</v>
      </c>
      <c r="P137" s="9131" t="s">
        <v>3113</v>
      </c>
      <c r="Q137" s="9131" t="s">
        <v>3114</v>
      </c>
      <c r="R137" s="10364" t="s">
        <v>3115</v>
      </c>
      <c r="S137" s="868"/>
      <c r="T137" s="7253"/>
      <c r="U137" s="7253"/>
      <c r="V137" s="908"/>
      <c r="W137" s="7287"/>
      <c r="X137" s="149"/>
      <c r="Y137" s="7313"/>
      <c r="Z137" s="7313"/>
      <c r="AA137" s="7186"/>
      <c r="AB137" s="5987"/>
      <c r="AC137" s="7350"/>
      <c r="AD137" s="904"/>
      <c r="AE137" s="149"/>
      <c r="AF137" s="148"/>
      <c r="AG137" s="148"/>
      <c r="AH137" s="10399"/>
      <c r="AI137" s="819"/>
    </row>
    <row r="138" spans="1:35" ht="59.25" customHeight="1">
      <c r="A138" s="10424"/>
      <c r="B138" s="10378"/>
      <c r="C138" s="9134"/>
      <c r="D138" s="9091"/>
      <c r="E138" s="9091"/>
      <c r="F138" s="9091"/>
      <c r="G138" s="9091"/>
      <c r="H138" s="9091"/>
      <c r="I138" s="9091"/>
      <c r="J138" s="9091"/>
      <c r="K138" s="9091"/>
      <c r="L138" s="9091"/>
      <c r="M138" s="10353"/>
      <c r="N138" s="10353"/>
      <c r="O138" s="10353"/>
      <c r="P138" s="10356"/>
      <c r="Q138" s="10356"/>
      <c r="R138" s="10359"/>
      <c r="S138" s="869"/>
      <c r="T138" s="7176"/>
      <c r="U138" s="7176"/>
      <c r="V138" s="909"/>
      <c r="W138" s="6618"/>
      <c r="X138" s="57"/>
      <c r="Y138" s="6686"/>
      <c r="Z138" s="6686"/>
      <c r="AA138" s="6686"/>
      <c r="AB138" s="5962"/>
      <c r="AC138" s="5963"/>
      <c r="AD138" s="905"/>
      <c r="AE138" s="57"/>
      <c r="AF138" s="151"/>
      <c r="AG138" s="151"/>
      <c r="AH138" s="10386"/>
      <c r="AI138" s="819"/>
    </row>
    <row r="139" spans="1:35" ht="59.25" customHeight="1">
      <c r="A139" s="10424"/>
      <c r="B139" s="10378"/>
      <c r="C139" s="9134"/>
      <c r="D139" s="9091"/>
      <c r="E139" s="9091"/>
      <c r="F139" s="9091"/>
      <c r="G139" s="9091"/>
      <c r="H139" s="9091"/>
      <c r="I139" s="9091"/>
      <c r="J139" s="9091"/>
      <c r="K139" s="9091"/>
      <c r="L139" s="9091"/>
      <c r="M139" s="10353"/>
      <c r="N139" s="10353"/>
      <c r="O139" s="10353"/>
      <c r="P139" s="10356"/>
      <c r="Q139" s="10356"/>
      <c r="R139" s="10359"/>
      <c r="S139" s="869"/>
      <c r="T139" s="7176"/>
      <c r="U139" s="7176"/>
      <c r="V139" s="741"/>
      <c r="W139" s="7291"/>
      <c r="X139" s="55"/>
      <c r="Y139" s="6686"/>
      <c r="Z139" s="6686"/>
      <c r="AA139" s="6686"/>
      <c r="AB139" s="5962"/>
      <c r="AC139" s="5963"/>
      <c r="AD139" s="905"/>
      <c r="AE139" s="57"/>
      <c r="AF139" s="151"/>
      <c r="AG139" s="151"/>
      <c r="AH139" s="10386"/>
      <c r="AI139" s="819"/>
    </row>
    <row r="140" spans="1:35" ht="59.25" customHeight="1">
      <c r="A140" s="10424"/>
      <c r="B140" s="10378"/>
      <c r="C140" s="9134"/>
      <c r="D140" s="9091"/>
      <c r="E140" s="9091"/>
      <c r="F140" s="9091"/>
      <c r="G140" s="9091"/>
      <c r="H140" s="9091"/>
      <c r="I140" s="9091"/>
      <c r="J140" s="9091"/>
      <c r="K140" s="9091"/>
      <c r="L140" s="9091"/>
      <c r="M140" s="10353"/>
      <c r="N140" s="10353"/>
      <c r="O140" s="10353"/>
      <c r="P140" s="10356"/>
      <c r="Q140" s="10356"/>
      <c r="R140" s="10359"/>
      <c r="S140" s="871"/>
      <c r="T140" s="6583"/>
      <c r="U140" s="7176"/>
      <c r="V140" s="741"/>
      <c r="W140" s="7291"/>
      <c r="X140" s="55"/>
      <c r="Y140" s="6686"/>
      <c r="Z140" s="6686"/>
      <c r="AA140" s="6686"/>
      <c r="AB140" s="5962"/>
      <c r="AC140" s="5963"/>
      <c r="AD140" s="905"/>
      <c r="AE140" s="57"/>
      <c r="AF140" s="151"/>
      <c r="AG140" s="151"/>
      <c r="AH140" s="10386"/>
      <c r="AI140" s="819"/>
    </row>
    <row r="141" spans="1:35" ht="59.25" customHeight="1">
      <c r="A141" s="10424"/>
      <c r="B141" s="10378"/>
      <c r="C141" s="9135"/>
      <c r="D141" s="9129"/>
      <c r="E141" s="9129"/>
      <c r="F141" s="9129"/>
      <c r="G141" s="9129"/>
      <c r="H141" s="9129"/>
      <c r="I141" s="9129"/>
      <c r="J141" s="9129"/>
      <c r="K141" s="9129"/>
      <c r="L141" s="9129"/>
      <c r="M141" s="10362"/>
      <c r="N141" s="10362"/>
      <c r="O141" s="10362"/>
      <c r="P141" s="10363"/>
      <c r="Q141" s="10363"/>
      <c r="R141" s="10365"/>
      <c r="S141" s="870"/>
      <c r="T141" s="7254"/>
      <c r="U141" s="7254"/>
      <c r="V141" s="860"/>
      <c r="W141" s="7303"/>
      <c r="X141" s="161"/>
      <c r="Y141" s="7315"/>
      <c r="Z141" s="7315"/>
      <c r="AA141" s="7315"/>
      <c r="AB141" s="7316"/>
      <c r="AC141" s="7348"/>
      <c r="AD141" s="914"/>
      <c r="AE141" s="160"/>
      <c r="AF141" s="158"/>
      <c r="AG141" s="158"/>
      <c r="AH141" s="10386"/>
      <c r="AI141" s="819"/>
    </row>
    <row r="142" spans="1:35" ht="54.75" customHeight="1">
      <c r="A142" s="10424"/>
      <c r="B142" s="10378"/>
      <c r="C142" s="9140" t="s">
        <v>127</v>
      </c>
      <c r="D142" s="9090" t="s">
        <v>128</v>
      </c>
      <c r="E142" s="9090" t="s">
        <v>129</v>
      </c>
      <c r="F142" s="9090" t="s">
        <v>268</v>
      </c>
      <c r="G142" s="9116" t="s">
        <v>131</v>
      </c>
      <c r="H142" s="9090" t="s">
        <v>132</v>
      </c>
      <c r="I142" s="9090" t="s">
        <v>159</v>
      </c>
      <c r="J142" s="9186" t="s">
        <v>3116</v>
      </c>
      <c r="K142" s="9090" t="s">
        <v>3117</v>
      </c>
      <c r="L142" s="9090" t="s">
        <v>3118</v>
      </c>
      <c r="M142" s="10376">
        <v>1</v>
      </c>
      <c r="N142" s="10376">
        <v>1</v>
      </c>
      <c r="O142" s="10376">
        <v>1</v>
      </c>
      <c r="P142" s="9090" t="s">
        <v>3119</v>
      </c>
      <c r="Q142" s="9090" t="s">
        <v>3120</v>
      </c>
      <c r="R142" s="10358" t="s">
        <v>3121</v>
      </c>
      <c r="S142" s="902"/>
      <c r="T142" s="6582"/>
      <c r="U142" s="7273"/>
      <c r="V142" s="910"/>
      <c r="W142" s="7304"/>
      <c r="X142" s="172"/>
      <c r="Y142" s="6677"/>
      <c r="Z142" s="6677"/>
      <c r="AA142" s="6677"/>
      <c r="AB142" s="5986"/>
      <c r="AC142" s="5969"/>
      <c r="AD142" s="915"/>
      <c r="AE142" s="171"/>
      <c r="AF142" s="171"/>
      <c r="AG142" s="171"/>
      <c r="AH142" s="9447" t="s">
        <v>3122</v>
      </c>
      <c r="AI142" s="819"/>
    </row>
    <row r="143" spans="1:35" ht="54.75" customHeight="1">
      <c r="A143" s="10424"/>
      <c r="B143" s="10378"/>
      <c r="C143" s="9134"/>
      <c r="D143" s="9091"/>
      <c r="E143" s="9091"/>
      <c r="F143" s="9091"/>
      <c r="G143" s="9091"/>
      <c r="H143" s="9091"/>
      <c r="I143" s="9091"/>
      <c r="J143" s="9091"/>
      <c r="K143" s="9091"/>
      <c r="L143" s="9091"/>
      <c r="M143" s="10353"/>
      <c r="N143" s="10353"/>
      <c r="O143" s="10353"/>
      <c r="P143" s="10356"/>
      <c r="Q143" s="10356"/>
      <c r="R143" s="10359"/>
      <c r="S143" s="869"/>
      <c r="T143" s="7176"/>
      <c r="U143" s="7176"/>
      <c r="V143" s="741"/>
      <c r="W143" s="7291"/>
      <c r="X143" s="55"/>
      <c r="Y143" s="6686"/>
      <c r="Z143" s="6686"/>
      <c r="AA143" s="6686"/>
      <c r="AB143" s="5962"/>
      <c r="AC143" s="5963"/>
      <c r="AD143" s="905"/>
      <c r="AE143" s="57"/>
      <c r="AF143" s="57"/>
      <c r="AG143" s="57"/>
      <c r="AH143" s="10417"/>
      <c r="AI143" s="819"/>
    </row>
    <row r="144" spans="1:35" ht="54.75" customHeight="1">
      <c r="A144" s="10424"/>
      <c r="B144" s="10378"/>
      <c r="C144" s="9134"/>
      <c r="D144" s="9091"/>
      <c r="E144" s="9091"/>
      <c r="F144" s="9091"/>
      <c r="G144" s="9091"/>
      <c r="H144" s="9091"/>
      <c r="I144" s="9091"/>
      <c r="J144" s="9091"/>
      <c r="K144" s="9091"/>
      <c r="L144" s="9091"/>
      <c r="M144" s="10353"/>
      <c r="N144" s="10353"/>
      <c r="O144" s="10353"/>
      <c r="P144" s="10356"/>
      <c r="Q144" s="10356"/>
      <c r="R144" s="10359"/>
      <c r="S144" s="869"/>
      <c r="T144" s="7176"/>
      <c r="U144" s="7176"/>
      <c r="V144" s="741"/>
      <c r="W144" s="7291"/>
      <c r="X144" s="55"/>
      <c r="Y144" s="6686"/>
      <c r="Z144" s="6686"/>
      <c r="AA144" s="6686"/>
      <c r="AB144" s="5962"/>
      <c r="AC144" s="5963"/>
      <c r="AD144" s="905"/>
      <c r="AE144" s="57"/>
      <c r="AF144" s="57"/>
      <c r="AG144" s="151"/>
      <c r="AH144" s="10417"/>
      <c r="AI144" s="819"/>
    </row>
    <row r="145" spans="1:35" ht="54.75" customHeight="1">
      <c r="A145" s="10424"/>
      <c r="B145" s="10378"/>
      <c r="C145" s="9134"/>
      <c r="D145" s="9091"/>
      <c r="E145" s="9091"/>
      <c r="F145" s="9091"/>
      <c r="G145" s="9091"/>
      <c r="H145" s="9091"/>
      <c r="I145" s="9091"/>
      <c r="J145" s="9091"/>
      <c r="K145" s="9091"/>
      <c r="L145" s="9091"/>
      <c r="M145" s="10353"/>
      <c r="N145" s="10353"/>
      <c r="O145" s="10353"/>
      <c r="P145" s="10356"/>
      <c r="Q145" s="10356"/>
      <c r="R145" s="10359"/>
      <c r="S145" s="869"/>
      <c r="T145" s="7176"/>
      <c r="U145" s="7176"/>
      <c r="V145" s="741"/>
      <c r="W145" s="7291"/>
      <c r="X145" s="55"/>
      <c r="Y145" s="6686"/>
      <c r="Z145" s="6686"/>
      <c r="AA145" s="6686"/>
      <c r="AB145" s="5962"/>
      <c r="AC145" s="5963"/>
      <c r="AD145" s="905"/>
      <c r="AE145" s="57"/>
      <c r="AF145" s="57"/>
      <c r="AG145" s="151"/>
      <c r="AH145" s="10417"/>
      <c r="AI145" s="819"/>
    </row>
    <row r="146" spans="1:35" ht="54.75" customHeight="1">
      <c r="A146" s="10424"/>
      <c r="B146" s="10378"/>
      <c r="C146" s="9141"/>
      <c r="D146" s="9102"/>
      <c r="E146" s="9102"/>
      <c r="F146" s="9102"/>
      <c r="G146" s="9102"/>
      <c r="H146" s="9102"/>
      <c r="I146" s="9102"/>
      <c r="J146" s="9102"/>
      <c r="K146" s="9102"/>
      <c r="L146" s="9102"/>
      <c r="M146" s="10354"/>
      <c r="N146" s="10354"/>
      <c r="O146" s="10354"/>
      <c r="P146" s="10357"/>
      <c r="Q146" s="10357"/>
      <c r="R146" s="10360"/>
      <c r="S146" s="872"/>
      <c r="T146" s="7255"/>
      <c r="U146" s="7255"/>
      <c r="V146" s="745"/>
      <c r="W146" s="7305"/>
      <c r="X146" s="59"/>
      <c r="Y146" s="7317"/>
      <c r="Z146" s="7317"/>
      <c r="AA146" s="7317"/>
      <c r="AB146" s="5970"/>
      <c r="AC146" s="5971"/>
      <c r="AD146" s="916"/>
      <c r="AE146" s="61"/>
      <c r="AF146" s="61"/>
      <c r="AG146" s="177"/>
      <c r="AH146" s="10418"/>
      <c r="AI146" s="819"/>
    </row>
    <row r="147" spans="1:35" ht="42" customHeight="1">
      <c r="A147" s="10424"/>
      <c r="B147" s="10378"/>
      <c r="C147" s="9133" t="s">
        <v>127</v>
      </c>
      <c r="D147" s="9131" t="s">
        <v>128</v>
      </c>
      <c r="E147" s="9131" t="s">
        <v>129</v>
      </c>
      <c r="F147" s="9131" t="s">
        <v>268</v>
      </c>
      <c r="G147" s="9142" t="s">
        <v>131</v>
      </c>
      <c r="H147" s="9131" t="s">
        <v>132</v>
      </c>
      <c r="I147" s="9131" t="s">
        <v>159</v>
      </c>
      <c r="J147" s="9130" t="s">
        <v>3123</v>
      </c>
      <c r="K147" s="9131" t="s">
        <v>3124</v>
      </c>
      <c r="L147" s="9131" t="s">
        <v>3125</v>
      </c>
      <c r="M147" s="10372">
        <v>1</v>
      </c>
      <c r="N147" s="10372">
        <v>1</v>
      </c>
      <c r="O147" s="10372">
        <v>1</v>
      </c>
      <c r="P147" s="9131" t="s">
        <v>3126</v>
      </c>
      <c r="Q147" s="9131" t="s">
        <v>3127</v>
      </c>
      <c r="R147" s="10364" t="s">
        <v>3128</v>
      </c>
      <c r="S147" s="874"/>
      <c r="T147" s="7175"/>
      <c r="U147" s="7256"/>
      <c r="V147" s="744"/>
      <c r="W147" s="7290"/>
      <c r="X147" s="472"/>
      <c r="Y147" s="7186"/>
      <c r="Z147" s="7186"/>
      <c r="AA147" s="7186"/>
      <c r="AB147" s="5987"/>
      <c r="AC147" s="5973"/>
      <c r="AD147" s="904"/>
      <c r="AE147" s="471"/>
      <c r="AF147" s="475"/>
      <c r="AG147" s="475"/>
      <c r="AH147" s="10388"/>
      <c r="AI147" s="819"/>
    </row>
    <row r="148" spans="1:35" ht="42" customHeight="1">
      <c r="A148" s="10424"/>
      <c r="B148" s="10378"/>
      <c r="C148" s="9134"/>
      <c r="D148" s="9091"/>
      <c r="E148" s="9091"/>
      <c r="F148" s="9091"/>
      <c r="G148" s="9091"/>
      <c r="H148" s="9091"/>
      <c r="I148" s="9091"/>
      <c r="J148" s="9091"/>
      <c r="K148" s="9091"/>
      <c r="L148" s="9091"/>
      <c r="M148" s="10353"/>
      <c r="N148" s="10353"/>
      <c r="O148" s="10353"/>
      <c r="P148" s="10356"/>
      <c r="Q148" s="10356"/>
      <c r="R148" s="10359"/>
      <c r="S148" s="869"/>
      <c r="T148" s="7176"/>
      <c r="U148" s="7176"/>
      <c r="V148" s="741"/>
      <c r="W148" s="7291"/>
      <c r="X148" s="55"/>
      <c r="Y148" s="6686"/>
      <c r="Z148" s="6686"/>
      <c r="AA148" s="6686"/>
      <c r="AB148" s="5962"/>
      <c r="AC148" s="5963"/>
      <c r="AD148" s="905"/>
      <c r="AE148" s="57"/>
      <c r="AF148" s="151"/>
      <c r="AG148" s="151"/>
      <c r="AH148" s="10386"/>
      <c r="AI148" s="819"/>
    </row>
    <row r="149" spans="1:35" ht="42" customHeight="1">
      <c r="A149" s="10424"/>
      <c r="B149" s="10378"/>
      <c r="C149" s="9134"/>
      <c r="D149" s="9091"/>
      <c r="E149" s="9091"/>
      <c r="F149" s="9091"/>
      <c r="G149" s="9091"/>
      <c r="H149" s="9091"/>
      <c r="I149" s="9091"/>
      <c r="J149" s="9091"/>
      <c r="K149" s="9091"/>
      <c r="L149" s="9091"/>
      <c r="M149" s="10353"/>
      <c r="N149" s="10353"/>
      <c r="O149" s="10353"/>
      <c r="P149" s="10356"/>
      <c r="Q149" s="10356"/>
      <c r="R149" s="10359"/>
      <c r="S149" s="869"/>
      <c r="T149" s="7176"/>
      <c r="U149" s="7176"/>
      <c r="V149" s="741"/>
      <c r="W149" s="7291"/>
      <c r="X149" s="55"/>
      <c r="Y149" s="6686"/>
      <c r="Z149" s="6686"/>
      <c r="AA149" s="6686"/>
      <c r="AB149" s="5962"/>
      <c r="AC149" s="5963"/>
      <c r="AD149" s="905"/>
      <c r="AE149" s="57"/>
      <c r="AF149" s="151"/>
      <c r="AG149" s="151"/>
      <c r="AH149" s="10386"/>
      <c r="AI149" s="819"/>
    </row>
    <row r="150" spans="1:35" ht="42" customHeight="1">
      <c r="A150" s="10424"/>
      <c r="B150" s="10378"/>
      <c r="C150" s="9134"/>
      <c r="D150" s="9091"/>
      <c r="E150" s="9091"/>
      <c r="F150" s="9091"/>
      <c r="G150" s="9091"/>
      <c r="H150" s="9091"/>
      <c r="I150" s="9091"/>
      <c r="J150" s="9091"/>
      <c r="K150" s="9091"/>
      <c r="L150" s="9091"/>
      <c r="M150" s="10353"/>
      <c r="N150" s="10353"/>
      <c r="O150" s="10353"/>
      <c r="P150" s="10356"/>
      <c r="Q150" s="10356"/>
      <c r="R150" s="10359"/>
      <c r="S150" s="869"/>
      <c r="T150" s="7176"/>
      <c r="U150" s="7176"/>
      <c r="V150" s="741"/>
      <c r="W150" s="7291"/>
      <c r="X150" s="55"/>
      <c r="Y150" s="6686"/>
      <c r="Z150" s="6686"/>
      <c r="AA150" s="6686"/>
      <c r="AB150" s="5962"/>
      <c r="AC150" s="5963"/>
      <c r="AD150" s="905"/>
      <c r="AE150" s="57"/>
      <c r="AF150" s="151"/>
      <c r="AG150" s="151"/>
      <c r="AH150" s="10386"/>
      <c r="AI150" s="819"/>
    </row>
    <row r="151" spans="1:35" ht="42" customHeight="1">
      <c r="A151" s="10424"/>
      <c r="B151" s="10378"/>
      <c r="C151" s="9135"/>
      <c r="D151" s="9129"/>
      <c r="E151" s="9129"/>
      <c r="F151" s="9129"/>
      <c r="G151" s="9129"/>
      <c r="H151" s="9129"/>
      <c r="I151" s="9129"/>
      <c r="J151" s="9129"/>
      <c r="K151" s="9129"/>
      <c r="L151" s="9129"/>
      <c r="M151" s="10362"/>
      <c r="N151" s="10362"/>
      <c r="O151" s="10362"/>
      <c r="P151" s="10363"/>
      <c r="Q151" s="10363"/>
      <c r="R151" s="10365"/>
      <c r="S151" s="870"/>
      <c r="T151" s="7254"/>
      <c r="U151" s="7254"/>
      <c r="V151" s="911"/>
      <c r="W151" s="7303"/>
      <c r="X151" s="161"/>
      <c r="Y151" s="7315"/>
      <c r="Z151" s="7315"/>
      <c r="AA151" s="7315"/>
      <c r="AB151" s="7316"/>
      <c r="AC151" s="7348"/>
      <c r="AD151" s="914"/>
      <c r="AE151" s="160"/>
      <c r="AF151" s="158"/>
      <c r="AG151" s="158"/>
      <c r="AH151" s="10386"/>
      <c r="AI151" s="819"/>
    </row>
    <row r="152" spans="1:35" ht="45.75" customHeight="1">
      <c r="A152" s="10424"/>
      <c r="B152" s="10378"/>
      <c r="C152" s="9140" t="s">
        <v>127</v>
      </c>
      <c r="D152" s="9090" t="s">
        <v>128</v>
      </c>
      <c r="E152" s="9090" t="s">
        <v>129</v>
      </c>
      <c r="F152" s="9090" t="s">
        <v>268</v>
      </c>
      <c r="G152" s="9116" t="s">
        <v>131</v>
      </c>
      <c r="H152" s="9090" t="s">
        <v>132</v>
      </c>
      <c r="I152" s="9090" t="s">
        <v>159</v>
      </c>
      <c r="J152" s="9186" t="s">
        <v>3129</v>
      </c>
      <c r="K152" s="9090" t="s">
        <v>3130</v>
      </c>
      <c r="L152" s="9090" t="s">
        <v>3131</v>
      </c>
      <c r="M152" s="10376">
        <v>4</v>
      </c>
      <c r="N152" s="10376">
        <v>4</v>
      </c>
      <c r="O152" s="10376">
        <v>3</v>
      </c>
      <c r="P152" s="9090" t="s">
        <v>3132</v>
      </c>
      <c r="Q152" s="9090" t="s">
        <v>3133</v>
      </c>
      <c r="R152" s="10358" t="s">
        <v>3134</v>
      </c>
      <c r="S152" s="902"/>
      <c r="T152" s="6582"/>
      <c r="U152" s="7273"/>
      <c r="V152" s="910"/>
      <c r="W152" s="7304"/>
      <c r="X152" s="172"/>
      <c r="Y152" s="6677"/>
      <c r="Z152" s="6677"/>
      <c r="AA152" s="6677"/>
      <c r="AB152" s="5986"/>
      <c r="AC152" s="5969"/>
      <c r="AD152" s="915"/>
      <c r="AE152" s="171"/>
      <c r="AF152" s="166"/>
      <c r="AG152" s="166"/>
      <c r="AH152" s="10385"/>
      <c r="AI152" s="819"/>
    </row>
    <row r="153" spans="1:35" ht="45.75" customHeight="1">
      <c r="A153" s="10424"/>
      <c r="B153" s="10378"/>
      <c r="C153" s="9134"/>
      <c r="D153" s="9091"/>
      <c r="E153" s="9091"/>
      <c r="F153" s="9091"/>
      <c r="G153" s="9091"/>
      <c r="H153" s="9091"/>
      <c r="I153" s="9091"/>
      <c r="J153" s="9091"/>
      <c r="K153" s="9091"/>
      <c r="L153" s="9091"/>
      <c r="M153" s="10353"/>
      <c r="N153" s="10353"/>
      <c r="O153" s="10353"/>
      <c r="P153" s="10356"/>
      <c r="Q153" s="10356"/>
      <c r="R153" s="10359"/>
      <c r="S153" s="869"/>
      <c r="T153" s="7176"/>
      <c r="U153" s="7176"/>
      <c r="V153" s="909"/>
      <c r="W153" s="7291"/>
      <c r="X153" s="55"/>
      <c r="Y153" s="6686"/>
      <c r="Z153" s="6686"/>
      <c r="AA153" s="6686"/>
      <c r="AB153" s="5962"/>
      <c r="AC153" s="5963"/>
      <c r="AD153" s="905"/>
      <c r="AE153" s="57"/>
      <c r="AF153" s="151"/>
      <c r="AG153" s="151"/>
      <c r="AH153" s="10386"/>
      <c r="AI153" s="819"/>
    </row>
    <row r="154" spans="1:35" ht="45.75" customHeight="1">
      <c r="A154" s="10424"/>
      <c r="B154" s="10378"/>
      <c r="C154" s="9134"/>
      <c r="D154" s="9091"/>
      <c r="E154" s="9091"/>
      <c r="F154" s="9091"/>
      <c r="G154" s="9091"/>
      <c r="H154" s="9091"/>
      <c r="I154" s="9091"/>
      <c r="J154" s="9091"/>
      <c r="K154" s="9091"/>
      <c r="L154" s="9091"/>
      <c r="M154" s="10353"/>
      <c r="N154" s="10353"/>
      <c r="O154" s="10353"/>
      <c r="P154" s="10356"/>
      <c r="Q154" s="10356"/>
      <c r="R154" s="10359"/>
      <c r="S154" s="869"/>
      <c r="T154" s="7176"/>
      <c r="U154" s="7176"/>
      <c r="V154" s="909"/>
      <c r="W154" s="7291"/>
      <c r="X154" s="55"/>
      <c r="Y154" s="6686"/>
      <c r="Z154" s="6686"/>
      <c r="AA154" s="6686"/>
      <c r="AB154" s="5962"/>
      <c r="AC154" s="5963"/>
      <c r="AD154" s="905"/>
      <c r="AE154" s="57"/>
      <c r="AF154" s="151"/>
      <c r="AG154" s="151"/>
      <c r="AH154" s="10386"/>
      <c r="AI154" s="819"/>
    </row>
    <row r="155" spans="1:35" ht="45.75" customHeight="1">
      <c r="A155" s="10424"/>
      <c r="B155" s="10378"/>
      <c r="C155" s="9134"/>
      <c r="D155" s="9091"/>
      <c r="E155" s="9091"/>
      <c r="F155" s="9091"/>
      <c r="G155" s="9091"/>
      <c r="H155" s="9091"/>
      <c r="I155" s="9091"/>
      <c r="J155" s="9091"/>
      <c r="K155" s="9091"/>
      <c r="L155" s="9091"/>
      <c r="M155" s="10353"/>
      <c r="N155" s="10353"/>
      <c r="O155" s="10353"/>
      <c r="P155" s="10356"/>
      <c r="Q155" s="10356"/>
      <c r="R155" s="10359"/>
      <c r="S155" s="869"/>
      <c r="T155" s="7176"/>
      <c r="U155" s="7176"/>
      <c r="V155" s="909"/>
      <c r="W155" s="7291"/>
      <c r="X155" s="55"/>
      <c r="Y155" s="6686"/>
      <c r="Z155" s="6686"/>
      <c r="AA155" s="6686"/>
      <c r="AB155" s="5962"/>
      <c r="AC155" s="5963"/>
      <c r="AD155" s="905"/>
      <c r="AE155" s="57"/>
      <c r="AF155" s="151"/>
      <c r="AG155" s="151"/>
      <c r="AH155" s="10386"/>
      <c r="AI155" s="819"/>
    </row>
    <row r="156" spans="1:35" ht="45.75" customHeight="1">
      <c r="A156" s="10424"/>
      <c r="B156" s="10378"/>
      <c r="C156" s="9141"/>
      <c r="D156" s="9102"/>
      <c r="E156" s="9102"/>
      <c r="F156" s="9102"/>
      <c r="G156" s="9102"/>
      <c r="H156" s="9102"/>
      <c r="I156" s="9102"/>
      <c r="J156" s="9102"/>
      <c r="K156" s="9102"/>
      <c r="L156" s="9102"/>
      <c r="M156" s="10354"/>
      <c r="N156" s="10354"/>
      <c r="O156" s="10354"/>
      <c r="P156" s="10357"/>
      <c r="Q156" s="10357"/>
      <c r="R156" s="10360"/>
      <c r="S156" s="872"/>
      <c r="T156" s="7255"/>
      <c r="U156" s="7255"/>
      <c r="V156" s="912"/>
      <c r="W156" s="7305"/>
      <c r="X156" s="59"/>
      <c r="Y156" s="7317"/>
      <c r="Z156" s="7317"/>
      <c r="AA156" s="7317"/>
      <c r="AB156" s="5970"/>
      <c r="AC156" s="5971"/>
      <c r="AD156" s="916"/>
      <c r="AE156" s="61"/>
      <c r="AF156" s="177"/>
      <c r="AG156" s="177"/>
      <c r="AH156" s="10389"/>
      <c r="AI156" s="819"/>
    </row>
    <row r="157" spans="1:35" ht="63.75" customHeight="1">
      <c r="A157" s="10424"/>
      <c r="B157" s="10378"/>
      <c r="C157" s="9133" t="s">
        <v>127</v>
      </c>
      <c r="D157" s="9131" t="s">
        <v>128</v>
      </c>
      <c r="E157" s="9131" t="s">
        <v>129</v>
      </c>
      <c r="F157" s="9131" t="s">
        <v>268</v>
      </c>
      <c r="G157" s="9142" t="s">
        <v>131</v>
      </c>
      <c r="H157" s="9131" t="s">
        <v>132</v>
      </c>
      <c r="I157" s="9131" t="s">
        <v>159</v>
      </c>
      <c r="J157" s="9130" t="s">
        <v>3135</v>
      </c>
      <c r="K157" s="9131" t="s">
        <v>3136</v>
      </c>
      <c r="L157" s="9131" t="s">
        <v>3137</v>
      </c>
      <c r="M157" s="10372">
        <v>1500</v>
      </c>
      <c r="N157" s="10372">
        <v>1200</v>
      </c>
      <c r="O157" s="10372">
        <v>500</v>
      </c>
      <c r="P157" s="9131" t="s">
        <v>3138</v>
      </c>
      <c r="Q157" s="9131" t="s">
        <v>3139</v>
      </c>
      <c r="R157" s="10364" t="s">
        <v>3140</v>
      </c>
      <c r="S157" s="1170"/>
      <c r="T157" s="7271"/>
      <c r="U157" s="7271"/>
      <c r="V157" s="1171"/>
      <c r="W157" s="7301"/>
      <c r="X157" s="1173"/>
      <c r="Y157" s="7336"/>
      <c r="Z157" s="7336"/>
      <c r="AA157" s="7336"/>
      <c r="AB157" s="5988"/>
      <c r="AC157" s="5989"/>
      <c r="AD157" s="1360"/>
      <c r="AE157" s="1173"/>
      <c r="AF157" s="1174"/>
      <c r="AG157" s="1174"/>
      <c r="AH157" s="10400"/>
      <c r="AI157" s="819"/>
    </row>
    <row r="158" spans="1:35" ht="63.75" customHeight="1">
      <c r="A158" s="10424"/>
      <c r="B158" s="10378"/>
      <c r="C158" s="9134"/>
      <c r="D158" s="9091"/>
      <c r="E158" s="9091"/>
      <c r="F158" s="9091"/>
      <c r="G158" s="9091"/>
      <c r="H158" s="9091"/>
      <c r="I158" s="9091"/>
      <c r="J158" s="9091"/>
      <c r="K158" s="9091"/>
      <c r="L158" s="9091"/>
      <c r="M158" s="10353"/>
      <c r="N158" s="10353"/>
      <c r="O158" s="10353"/>
      <c r="P158" s="10356"/>
      <c r="Q158" s="10356"/>
      <c r="R158" s="10359"/>
      <c r="S158" s="1371"/>
      <c r="T158" s="7257"/>
      <c r="U158" s="7257"/>
      <c r="V158" s="1153"/>
      <c r="W158" s="7292"/>
      <c r="X158" s="1149"/>
      <c r="Y158" s="7320"/>
      <c r="Z158" s="7320"/>
      <c r="AA158" s="7320"/>
      <c r="AB158" s="5978"/>
      <c r="AC158" s="5979"/>
      <c r="AD158" s="1356"/>
      <c r="AE158" s="1151"/>
      <c r="AF158" s="1152"/>
      <c r="AG158" s="1152"/>
      <c r="AH158" s="10401"/>
      <c r="AI158" s="819"/>
    </row>
    <row r="159" spans="1:35" ht="63.75" customHeight="1">
      <c r="A159" s="10424"/>
      <c r="B159" s="10378"/>
      <c r="C159" s="9134"/>
      <c r="D159" s="9091"/>
      <c r="E159" s="9091"/>
      <c r="F159" s="9091"/>
      <c r="G159" s="9091"/>
      <c r="H159" s="9091"/>
      <c r="I159" s="9091"/>
      <c r="J159" s="9091"/>
      <c r="K159" s="9091"/>
      <c r="L159" s="9091"/>
      <c r="M159" s="10353"/>
      <c r="N159" s="10353"/>
      <c r="O159" s="10353"/>
      <c r="P159" s="10356"/>
      <c r="Q159" s="10356"/>
      <c r="R159" s="10359"/>
      <c r="S159" s="1371"/>
      <c r="T159" s="7257"/>
      <c r="U159" s="7257"/>
      <c r="V159" s="1153"/>
      <c r="W159" s="7292"/>
      <c r="X159" s="1149"/>
      <c r="Y159" s="7320"/>
      <c r="Z159" s="7320"/>
      <c r="AA159" s="7320"/>
      <c r="AB159" s="5978"/>
      <c r="AC159" s="5979"/>
      <c r="AD159" s="1356"/>
      <c r="AE159" s="1151"/>
      <c r="AF159" s="1152"/>
      <c r="AG159" s="1152"/>
      <c r="AH159" s="10401"/>
      <c r="AI159" s="819"/>
    </row>
    <row r="160" spans="1:35" ht="63.75" customHeight="1">
      <c r="A160" s="10424"/>
      <c r="B160" s="10378"/>
      <c r="C160" s="9134"/>
      <c r="D160" s="9091"/>
      <c r="E160" s="9091"/>
      <c r="F160" s="9091"/>
      <c r="G160" s="9091"/>
      <c r="H160" s="9091"/>
      <c r="I160" s="9091"/>
      <c r="J160" s="9091"/>
      <c r="K160" s="9091"/>
      <c r="L160" s="9091"/>
      <c r="M160" s="10353"/>
      <c r="N160" s="10353"/>
      <c r="O160" s="10353"/>
      <c r="P160" s="10356"/>
      <c r="Q160" s="10356"/>
      <c r="R160" s="10359"/>
      <c r="S160" s="1371"/>
      <c r="T160" s="7257"/>
      <c r="U160" s="7257"/>
      <c r="V160" s="1153"/>
      <c r="W160" s="7295"/>
      <c r="X160" s="1151"/>
      <c r="Y160" s="7320"/>
      <c r="Z160" s="7320"/>
      <c r="AA160" s="7320"/>
      <c r="AB160" s="5978"/>
      <c r="AC160" s="5979"/>
      <c r="AD160" s="1356"/>
      <c r="AE160" s="1151"/>
      <c r="AF160" s="1152"/>
      <c r="AG160" s="1152"/>
      <c r="AH160" s="10401"/>
      <c r="AI160" s="819"/>
    </row>
    <row r="161" spans="1:35" ht="63.75" customHeight="1">
      <c r="A161" s="10424"/>
      <c r="B161" s="10378"/>
      <c r="C161" s="9135"/>
      <c r="D161" s="9129"/>
      <c r="E161" s="9129"/>
      <c r="F161" s="9129"/>
      <c r="G161" s="9129"/>
      <c r="H161" s="9129"/>
      <c r="I161" s="9129"/>
      <c r="J161" s="9129"/>
      <c r="K161" s="9129"/>
      <c r="L161" s="9129"/>
      <c r="M161" s="10362"/>
      <c r="N161" s="10362"/>
      <c r="O161" s="10362"/>
      <c r="P161" s="10363"/>
      <c r="Q161" s="10363"/>
      <c r="R161" s="10365"/>
      <c r="S161" s="1372"/>
      <c r="T161" s="7258"/>
      <c r="U161" s="7258"/>
      <c r="V161" s="1155"/>
      <c r="W161" s="7302"/>
      <c r="X161" s="1158"/>
      <c r="Y161" s="7187"/>
      <c r="Z161" s="7187"/>
      <c r="AA161" s="7187"/>
      <c r="AB161" s="7188"/>
      <c r="AC161" s="7194"/>
      <c r="AD161" s="1370"/>
      <c r="AE161" s="1158"/>
      <c r="AF161" s="1159"/>
      <c r="AG161" s="1159"/>
      <c r="AH161" s="10401"/>
      <c r="AI161" s="819"/>
    </row>
    <row r="162" spans="1:35" ht="36" customHeight="1">
      <c r="A162" s="10424"/>
      <c r="B162" s="10378"/>
      <c r="C162" s="9140" t="s">
        <v>127</v>
      </c>
      <c r="D162" s="9090" t="s">
        <v>128</v>
      </c>
      <c r="E162" s="9090" t="s">
        <v>129</v>
      </c>
      <c r="F162" s="9090" t="s">
        <v>268</v>
      </c>
      <c r="G162" s="9116" t="s">
        <v>131</v>
      </c>
      <c r="H162" s="9090" t="s">
        <v>132</v>
      </c>
      <c r="I162" s="9090" t="s">
        <v>159</v>
      </c>
      <c r="J162" s="9186" t="s">
        <v>3141</v>
      </c>
      <c r="K162" s="9090" t="s">
        <v>3142</v>
      </c>
      <c r="L162" s="9090" t="s">
        <v>3143</v>
      </c>
      <c r="M162" s="10376">
        <v>2</v>
      </c>
      <c r="N162" s="10376">
        <v>1</v>
      </c>
      <c r="O162" s="10376">
        <v>1</v>
      </c>
      <c r="P162" s="9090" t="s">
        <v>3144</v>
      </c>
      <c r="Q162" s="9090" t="s">
        <v>3145</v>
      </c>
      <c r="R162" s="10358" t="s">
        <v>3146</v>
      </c>
      <c r="S162" s="1160" t="s">
        <v>15</v>
      </c>
      <c r="T162" s="6582">
        <v>530807</v>
      </c>
      <c r="U162" s="6582"/>
      <c r="V162" s="742" t="s">
        <v>1006</v>
      </c>
      <c r="W162" s="6617"/>
      <c r="X162" s="171"/>
      <c r="Y162" s="6677"/>
      <c r="Z162" s="6677"/>
      <c r="AA162" s="6677"/>
      <c r="AB162" s="5986">
        <f>SUM($AA$163:$AA$166)</f>
        <v>426.72</v>
      </c>
      <c r="AC162" s="5969" t="s">
        <v>18</v>
      </c>
      <c r="AD162" s="1355"/>
      <c r="AE162" s="1164"/>
      <c r="AF162" s="1165"/>
      <c r="AG162" s="1165"/>
      <c r="AH162" s="10402"/>
      <c r="AI162" s="819"/>
    </row>
    <row r="163" spans="1:35" ht="36" customHeight="1">
      <c r="A163" s="10424"/>
      <c r="B163" s="10378"/>
      <c r="C163" s="9134"/>
      <c r="D163" s="9091"/>
      <c r="E163" s="9091"/>
      <c r="F163" s="9091"/>
      <c r="G163" s="9091"/>
      <c r="H163" s="9091"/>
      <c r="I163" s="9091"/>
      <c r="J163" s="9091"/>
      <c r="K163" s="9091"/>
      <c r="L163" s="9091"/>
      <c r="M163" s="10353"/>
      <c r="N163" s="10353"/>
      <c r="O163" s="10353"/>
      <c r="P163" s="10356"/>
      <c r="Q163" s="10356"/>
      <c r="R163" s="10359"/>
      <c r="S163" s="1371"/>
      <c r="T163" s="7176"/>
      <c r="U163" s="7274">
        <v>38912013307</v>
      </c>
      <c r="V163" s="741" t="s">
        <v>3147</v>
      </c>
      <c r="W163" s="7291">
        <v>3</v>
      </c>
      <c r="X163" s="55" t="s">
        <v>180</v>
      </c>
      <c r="Y163" s="6686">
        <v>65</v>
      </c>
      <c r="Z163" s="6686">
        <f t="shared" ref="Z163:Z166" si="5">+W163*Y163</f>
        <v>195</v>
      </c>
      <c r="AA163" s="6686">
        <f t="shared" ref="AA163:AA166" si="6">+Z163*1.12</f>
        <v>218.40000000000003</v>
      </c>
      <c r="AB163" s="5962"/>
      <c r="AC163" s="5963"/>
      <c r="AD163" s="1356"/>
      <c r="AE163" s="1151" t="s">
        <v>153</v>
      </c>
      <c r="AF163" s="1152"/>
      <c r="AG163" s="1152"/>
      <c r="AH163" s="10401"/>
      <c r="AI163" s="819"/>
    </row>
    <row r="164" spans="1:35" ht="36" customHeight="1">
      <c r="A164" s="10424"/>
      <c r="B164" s="10378"/>
      <c r="C164" s="9134"/>
      <c r="D164" s="9091"/>
      <c r="E164" s="9091"/>
      <c r="F164" s="9091"/>
      <c r="G164" s="9091"/>
      <c r="H164" s="9091"/>
      <c r="I164" s="9091"/>
      <c r="J164" s="9091"/>
      <c r="K164" s="9091"/>
      <c r="L164" s="9091"/>
      <c r="M164" s="10353"/>
      <c r="N164" s="10353"/>
      <c r="O164" s="10353"/>
      <c r="P164" s="10356"/>
      <c r="Q164" s="10356"/>
      <c r="R164" s="10359"/>
      <c r="S164" s="1371"/>
      <c r="T164" s="7176"/>
      <c r="U164" s="7274">
        <v>38912013307</v>
      </c>
      <c r="V164" s="741" t="s">
        <v>3148</v>
      </c>
      <c r="W164" s="7291">
        <v>1</v>
      </c>
      <c r="X164" s="55" t="s">
        <v>180</v>
      </c>
      <c r="Y164" s="6686">
        <v>62</v>
      </c>
      <c r="Z164" s="6686">
        <f t="shared" si="5"/>
        <v>62</v>
      </c>
      <c r="AA164" s="6686">
        <f t="shared" si="6"/>
        <v>69.440000000000012</v>
      </c>
      <c r="AB164" s="5962"/>
      <c r="AC164" s="5963"/>
      <c r="AD164" s="1356"/>
      <c r="AE164" s="1151" t="s">
        <v>153</v>
      </c>
      <c r="AF164" s="1152"/>
      <c r="AG164" s="1152"/>
      <c r="AH164" s="10401"/>
      <c r="AI164" s="819"/>
    </row>
    <row r="165" spans="1:35" ht="36" customHeight="1">
      <c r="A165" s="10424"/>
      <c r="B165" s="10378"/>
      <c r="C165" s="9134"/>
      <c r="D165" s="9091"/>
      <c r="E165" s="9091"/>
      <c r="F165" s="9091"/>
      <c r="G165" s="9091"/>
      <c r="H165" s="9091"/>
      <c r="I165" s="9091"/>
      <c r="J165" s="9091"/>
      <c r="K165" s="9091"/>
      <c r="L165" s="9091"/>
      <c r="M165" s="10353"/>
      <c r="N165" s="10353"/>
      <c r="O165" s="10353"/>
      <c r="P165" s="10356"/>
      <c r="Q165" s="10356"/>
      <c r="R165" s="10359"/>
      <c r="S165" s="1371"/>
      <c r="T165" s="7176"/>
      <c r="U165" s="7274">
        <v>38912013307</v>
      </c>
      <c r="V165" s="741" t="s">
        <v>3149</v>
      </c>
      <c r="W165" s="7291">
        <v>1</v>
      </c>
      <c r="X165" s="55" t="s">
        <v>180</v>
      </c>
      <c r="Y165" s="6686">
        <v>62</v>
      </c>
      <c r="Z165" s="6686">
        <f t="shared" si="5"/>
        <v>62</v>
      </c>
      <c r="AA165" s="6686">
        <f t="shared" si="6"/>
        <v>69.440000000000012</v>
      </c>
      <c r="AB165" s="5962"/>
      <c r="AC165" s="5963"/>
      <c r="AD165" s="1356"/>
      <c r="AE165" s="1151" t="s">
        <v>153</v>
      </c>
      <c r="AF165" s="1152"/>
      <c r="AG165" s="1152"/>
      <c r="AH165" s="10401"/>
      <c r="AI165" s="819"/>
    </row>
    <row r="166" spans="1:35" ht="36" customHeight="1">
      <c r="A166" s="10424"/>
      <c r="B166" s="10378"/>
      <c r="C166" s="9141"/>
      <c r="D166" s="9102"/>
      <c r="E166" s="9102"/>
      <c r="F166" s="9102"/>
      <c r="G166" s="9102"/>
      <c r="H166" s="9102"/>
      <c r="I166" s="9102"/>
      <c r="J166" s="9102"/>
      <c r="K166" s="9102"/>
      <c r="L166" s="9102"/>
      <c r="M166" s="10354"/>
      <c r="N166" s="10354"/>
      <c r="O166" s="10354"/>
      <c r="P166" s="10357"/>
      <c r="Q166" s="10357"/>
      <c r="R166" s="10360"/>
      <c r="S166" s="1373"/>
      <c r="T166" s="7255"/>
      <c r="U166" s="7275">
        <v>38912013307</v>
      </c>
      <c r="V166" s="745" t="s">
        <v>3150</v>
      </c>
      <c r="W166" s="7305">
        <v>1</v>
      </c>
      <c r="X166" s="59" t="s">
        <v>180</v>
      </c>
      <c r="Y166" s="7317">
        <v>62</v>
      </c>
      <c r="Z166" s="7317">
        <f t="shared" si="5"/>
        <v>62</v>
      </c>
      <c r="AA166" s="7317">
        <f t="shared" si="6"/>
        <v>69.440000000000012</v>
      </c>
      <c r="AB166" s="5970"/>
      <c r="AC166" s="5971"/>
      <c r="AD166" s="1358"/>
      <c r="AE166" s="1021" t="s">
        <v>153</v>
      </c>
      <c r="AF166" s="1169"/>
      <c r="AG166" s="1169"/>
      <c r="AH166" s="10403"/>
      <c r="AI166" s="819"/>
    </row>
    <row r="167" spans="1:35" ht="57" customHeight="1">
      <c r="A167" s="10424"/>
      <c r="B167" s="10378"/>
      <c r="C167" s="9133" t="s">
        <v>127</v>
      </c>
      <c r="D167" s="9131" t="s">
        <v>128</v>
      </c>
      <c r="E167" s="9131" t="s">
        <v>129</v>
      </c>
      <c r="F167" s="9131" t="s">
        <v>268</v>
      </c>
      <c r="G167" s="9142" t="s">
        <v>131</v>
      </c>
      <c r="H167" s="9131" t="s">
        <v>132</v>
      </c>
      <c r="I167" s="9131" t="s">
        <v>159</v>
      </c>
      <c r="J167" s="9130" t="s">
        <v>3151</v>
      </c>
      <c r="K167" s="9131" t="s">
        <v>3152</v>
      </c>
      <c r="L167" s="9131" t="s">
        <v>3153</v>
      </c>
      <c r="M167" s="10372">
        <v>1</v>
      </c>
      <c r="N167" s="10372">
        <v>1</v>
      </c>
      <c r="O167" s="10372">
        <v>1</v>
      </c>
      <c r="P167" s="9131" t="s">
        <v>3154</v>
      </c>
      <c r="Q167" s="9131" t="s">
        <v>3155</v>
      </c>
      <c r="R167" s="10364" t="s">
        <v>3156</v>
      </c>
      <c r="S167" s="1170"/>
      <c r="T167" s="7175"/>
      <c r="U167" s="7175"/>
      <c r="V167" s="743"/>
      <c r="W167" s="7182"/>
      <c r="X167" s="471"/>
      <c r="Y167" s="7186"/>
      <c r="Z167" s="7186"/>
      <c r="AA167" s="7186"/>
      <c r="AB167" s="5987"/>
      <c r="AC167" s="5973"/>
      <c r="AD167" s="1360"/>
      <c r="AE167" s="1173"/>
      <c r="AF167" s="1173"/>
      <c r="AG167" s="1173"/>
      <c r="AH167" s="10400"/>
      <c r="AI167" s="819"/>
    </row>
    <row r="168" spans="1:35" ht="57" customHeight="1">
      <c r="A168" s="10424"/>
      <c r="B168" s="10378"/>
      <c r="C168" s="9134"/>
      <c r="D168" s="9091"/>
      <c r="E168" s="9091"/>
      <c r="F168" s="9091"/>
      <c r="G168" s="9091"/>
      <c r="H168" s="9091"/>
      <c r="I168" s="9091"/>
      <c r="J168" s="9091"/>
      <c r="K168" s="9091"/>
      <c r="L168" s="9091"/>
      <c r="M168" s="10353"/>
      <c r="N168" s="10353"/>
      <c r="O168" s="10353"/>
      <c r="P168" s="10356"/>
      <c r="Q168" s="10356"/>
      <c r="R168" s="10359"/>
      <c r="S168" s="1371"/>
      <c r="T168" s="7257"/>
      <c r="U168" s="7257"/>
      <c r="V168" s="1153"/>
      <c r="W168" s="7292"/>
      <c r="X168" s="1149"/>
      <c r="Y168" s="7320"/>
      <c r="Z168" s="7320"/>
      <c r="AA168" s="7320"/>
      <c r="AB168" s="5978"/>
      <c r="AC168" s="5979"/>
      <c r="AD168" s="1356"/>
      <c r="AE168" s="1151"/>
      <c r="AF168" s="1151"/>
      <c r="AG168" s="1151"/>
      <c r="AH168" s="10401"/>
      <c r="AI168" s="819"/>
    </row>
    <row r="169" spans="1:35" ht="57" customHeight="1">
      <c r="A169" s="10424"/>
      <c r="B169" s="10378"/>
      <c r="C169" s="9134"/>
      <c r="D169" s="9091"/>
      <c r="E169" s="9091"/>
      <c r="F169" s="9091"/>
      <c r="G169" s="9091"/>
      <c r="H169" s="9091"/>
      <c r="I169" s="9091"/>
      <c r="J169" s="9091"/>
      <c r="K169" s="9091"/>
      <c r="L169" s="9091"/>
      <c r="M169" s="10353"/>
      <c r="N169" s="10353"/>
      <c r="O169" s="10353"/>
      <c r="P169" s="10356"/>
      <c r="Q169" s="10356"/>
      <c r="R169" s="10359"/>
      <c r="S169" s="1371"/>
      <c r="T169" s="7257"/>
      <c r="U169" s="7257"/>
      <c r="V169" s="1153"/>
      <c r="W169" s="7292"/>
      <c r="X169" s="1149"/>
      <c r="Y169" s="7320"/>
      <c r="Z169" s="7320"/>
      <c r="AA169" s="7320"/>
      <c r="AB169" s="5978"/>
      <c r="AC169" s="5979"/>
      <c r="AD169" s="1356"/>
      <c r="AE169" s="1151"/>
      <c r="AF169" s="1151"/>
      <c r="AG169" s="1152"/>
      <c r="AH169" s="10401"/>
      <c r="AI169" s="819"/>
    </row>
    <row r="170" spans="1:35" ht="57" customHeight="1">
      <c r="A170" s="10424"/>
      <c r="B170" s="10378"/>
      <c r="C170" s="9134"/>
      <c r="D170" s="9091"/>
      <c r="E170" s="9091"/>
      <c r="F170" s="9091"/>
      <c r="G170" s="9091"/>
      <c r="H170" s="9091"/>
      <c r="I170" s="9091"/>
      <c r="J170" s="9091"/>
      <c r="K170" s="9091"/>
      <c r="L170" s="9091"/>
      <c r="M170" s="10353"/>
      <c r="N170" s="10353"/>
      <c r="O170" s="10353"/>
      <c r="P170" s="10356"/>
      <c r="Q170" s="10356"/>
      <c r="R170" s="10359"/>
      <c r="S170" s="1371"/>
      <c r="T170" s="7257"/>
      <c r="U170" s="7257"/>
      <c r="V170" s="1153"/>
      <c r="W170" s="7292"/>
      <c r="X170" s="1149"/>
      <c r="Y170" s="7320"/>
      <c r="Z170" s="7320"/>
      <c r="AA170" s="7320"/>
      <c r="AB170" s="5978"/>
      <c r="AC170" s="5979"/>
      <c r="AD170" s="1356"/>
      <c r="AE170" s="1151"/>
      <c r="AF170" s="1151"/>
      <c r="AG170" s="1152"/>
      <c r="AH170" s="10401"/>
      <c r="AI170" s="819"/>
    </row>
    <row r="171" spans="1:35" ht="57" customHeight="1">
      <c r="A171" s="10424"/>
      <c r="B171" s="10378"/>
      <c r="C171" s="9135"/>
      <c r="D171" s="9129"/>
      <c r="E171" s="9129"/>
      <c r="F171" s="9129"/>
      <c r="G171" s="9129"/>
      <c r="H171" s="9129"/>
      <c r="I171" s="9129"/>
      <c r="J171" s="9129"/>
      <c r="K171" s="9129"/>
      <c r="L171" s="9129"/>
      <c r="M171" s="10362"/>
      <c r="N171" s="10362"/>
      <c r="O171" s="10362"/>
      <c r="P171" s="10363"/>
      <c r="Q171" s="10363"/>
      <c r="R171" s="10365"/>
      <c r="S171" s="1372"/>
      <c r="T171" s="7258"/>
      <c r="U171" s="7258"/>
      <c r="V171" s="1155"/>
      <c r="W171" s="7293"/>
      <c r="X171" s="1156"/>
      <c r="Y171" s="7187"/>
      <c r="Z171" s="7187"/>
      <c r="AA171" s="7187"/>
      <c r="AB171" s="7188"/>
      <c r="AC171" s="7194"/>
      <c r="AD171" s="1370"/>
      <c r="AE171" s="1158"/>
      <c r="AF171" s="1158"/>
      <c r="AG171" s="1159"/>
      <c r="AH171" s="10401"/>
      <c r="AI171" s="819"/>
    </row>
    <row r="172" spans="1:35" ht="51" customHeight="1">
      <c r="A172" s="10424"/>
      <c r="B172" s="10378"/>
      <c r="C172" s="9140" t="s">
        <v>127</v>
      </c>
      <c r="D172" s="9090" t="s">
        <v>128</v>
      </c>
      <c r="E172" s="9090" t="s">
        <v>129</v>
      </c>
      <c r="F172" s="9090" t="s">
        <v>268</v>
      </c>
      <c r="G172" s="9116" t="s">
        <v>131</v>
      </c>
      <c r="H172" s="9090" t="s">
        <v>132</v>
      </c>
      <c r="I172" s="9090" t="s">
        <v>159</v>
      </c>
      <c r="J172" s="10429" t="s">
        <v>3157</v>
      </c>
      <c r="K172" s="9090" t="s">
        <v>3158</v>
      </c>
      <c r="L172" s="9090" t="s">
        <v>3159</v>
      </c>
      <c r="M172" s="10376">
        <v>1</v>
      </c>
      <c r="N172" s="10376">
        <v>1</v>
      </c>
      <c r="O172" s="10376">
        <v>1</v>
      </c>
      <c r="P172" s="9090" t="s">
        <v>3160</v>
      </c>
      <c r="Q172" s="9090" t="s">
        <v>3161</v>
      </c>
      <c r="R172" s="10358" t="s">
        <v>3162</v>
      </c>
      <c r="S172" s="1374"/>
      <c r="T172" s="7259"/>
      <c r="U172" s="7259"/>
      <c r="V172" s="1162"/>
      <c r="W172" s="7294"/>
      <c r="X172" s="1164"/>
      <c r="Y172" s="7323"/>
      <c r="Z172" s="7323"/>
      <c r="AA172" s="7323"/>
      <c r="AB172" s="5982"/>
      <c r="AC172" s="5983"/>
      <c r="AD172" s="1355"/>
      <c r="AE172" s="1164"/>
      <c r="AF172" s="1165"/>
      <c r="AG172" s="1165"/>
      <c r="AH172" s="10402"/>
      <c r="AI172" s="819"/>
    </row>
    <row r="173" spans="1:35" ht="51" customHeight="1">
      <c r="A173" s="10424"/>
      <c r="B173" s="10378"/>
      <c r="C173" s="9134"/>
      <c r="D173" s="9091"/>
      <c r="E173" s="9091"/>
      <c r="F173" s="9091"/>
      <c r="G173" s="9091"/>
      <c r="H173" s="9091"/>
      <c r="I173" s="9091"/>
      <c r="J173" s="9091"/>
      <c r="K173" s="9091"/>
      <c r="L173" s="9091"/>
      <c r="M173" s="10353"/>
      <c r="N173" s="10353"/>
      <c r="O173" s="10353"/>
      <c r="P173" s="10356"/>
      <c r="Q173" s="10356"/>
      <c r="R173" s="10359"/>
      <c r="S173" s="1371"/>
      <c r="T173" s="7257"/>
      <c r="U173" s="7257"/>
      <c r="V173" s="1153"/>
      <c r="W173" s="7295"/>
      <c r="X173" s="1151"/>
      <c r="Y173" s="7320"/>
      <c r="Z173" s="7320"/>
      <c r="AA173" s="7320"/>
      <c r="AB173" s="5978"/>
      <c r="AC173" s="5979"/>
      <c r="AD173" s="1356"/>
      <c r="AE173" s="1151"/>
      <c r="AF173" s="1152"/>
      <c r="AG173" s="1152"/>
      <c r="AH173" s="10401"/>
      <c r="AI173" s="819"/>
    </row>
    <row r="174" spans="1:35" ht="51" customHeight="1">
      <c r="A174" s="10424"/>
      <c r="B174" s="10378"/>
      <c r="C174" s="9134"/>
      <c r="D174" s="9091"/>
      <c r="E174" s="9091"/>
      <c r="F174" s="9091"/>
      <c r="G174" s="9091"/>
      <c r="H174" s="9091"/>
      <c r="I174" s="9091"/>
      <c r="J174" s="9091"/>
      <c r="K174" s="9091"/>
      <c r="L174" s="9091"/>
      <c r="M174" s="10353"/>
      <c r="N174" s="10353"/>
      <c r="O174" s="10353"/>
      <c r="P174" s="10356"/>
      <c r="Q174" s="10356"/>
      <c r="R174" s="10359"/>
      <c r="S174" s="1371"/>
      <c r="T174" s="7257"/>
      <c r="U174" s="7257"/>
      <c r="V174" s="1153"/>
      <c r="W174" s="7295"/>
      <c r="X174" s="1151"/>
      <c r="Y174" s="7320"/>
      <c r="Z174" s="7320"/>
      <c r="AA174" s="7320"/>
      <c r="AB174" s="5978"/>
      <c r="AC174" s="5979"/>
      <c r="AD174" s="1356"/>
      <c r="AE174" s="1151"/>
      <c r="AF174" s="1152"/>
      <c r="AG174" s="1152"/>
      <c r="AH174" s="10401"/>
      <c r="AI174" s="819"/>
    </row>
    <row r="175" spans="1:35" ht="51" customHeight="1">
      <c r="A175" s="10424"/>
      <c r="B175" s="10378"/>
      <c r="C175" s="9134"/>
      <c r="D175" s="9091"/>
      <c r="E175" s="9091"/>
      <c r="F175" s="9091"/>
      <c r="G175" s="9091"/>
      <c r="H175" s="9091"/>
      <c r="I175" s="9091"/>
      <c r="J175" s="9091"/>
      <c r="K175" s="9091"/>
      <c r="L175" s="9091"/>
      <c r="M175" s="10353"/>
      <c r="N175" s="10353"/>
      <c r="O175" s="10353"/>
      <c r="P175" s="10356"/>
      <c r="Q175" s="10356"/>
      <c r="R175" s="10359"/>
      <c r="S175" s="1371"/>
      <c r="T175" s="7257"/>
      <c r="U175" s="7257"/>
      <c r="V175" s="1153"/>
      <c r="W175" s="7295"/>
      <c r="X175" s="1151"/>
      <c r="Y175" s="7320"/>
      <c r="Z175" s="7320"/>
      <c r="AA175" s="7320"/>
      <c r="AB175" s="5978"/>
      <c r="AC175" s="5979"/>
      <c r="AD175" s="1356"/>
      <c r="AE175" s="1151"/>
      <c r="AF175" s="1152"/>
      <c r="AG175" s="1152"/>
      <c r="AH175" s="10401"/>
      <c r="AI175" s="819"/>
    </row>
    <row r="176" spans="1:35" ht="51" customHeight="1">
      <c r="A176" s="10424"/>
      <c r="B176" s="10378"/>
      <c r="C176" s="9141"/>
      <c r="D176" s="9102"/>
      <c r="E176" s="9102"/>
      <c r="F176" s="9102"/>
      <c r="G176" s="9102"/>
      <c r="H176" s="9102"/>
      <c r="I176" s="9102"/>
      <c r="J176" s="9102"/>
      <c r="K176" s="9102"/>
      <c r="L176" s="9102"/>
      <c r="M176" s="10354"/>
      <c r="N176" s="10354"/>
      <c r="O176" s="10354"/>
      <c r="P176" s="10357"/>
      <c r="Q176" s="10357"/>
      <c r="R176" s="10360"/>
      <c r="S176" s="1373"/>
      <c r="T176" s="4848"/>
      <c r="U176" s="4848"/>
      <c r="V176" s="1020"/>
      <c r="W176" s="4865"/>
      <c r="X176" s="1021"/>
      <c r="Y176" s="4903"/>
      <c r="Z176" s="4903"/>
      <c r="AA176" s="4903"/>
      <c r="AB176" s="5990"/>
      <c r="AC176" s="5991"/>
      <c r="AD176" s="1358"/>
      <c r="AE176" s="1021"/>
      <c r="AF176" s="1169"/>
      <c r="AG176" s="1169"/>
      <c r="AH176" s="10403"/>
      <c r="AI176" s="819"/>
    </row>
    <row r="177" spans="1:35" ht="61.5" customHeight="1">
      <c r="A177" s="10424"/>
      <c r="B177" s="10378"/>
      <c r="C177" s="9133" t="s">
        <v>127</v>
      </c>
      <c r="D177" s="9131" t="s">
        <v>128</v>
      </c>
      <c r="E177" s="9131" t="s">
        <v>129</v>
      </c>
      <c r="F177" s="9131" t="s">
        <v>268</v>
      </c>
      <c r="G177" s="9142" t="s">
        <v>131</v>
      </c>
      <c r="H177" s="9131" t="s">
        <v>132</v>
      </c>
      <c r="I177" s="9131" t="s">
        <v>159</v>
      </c>
      <c r="J177" s="9130" t="s">
        <v>3163</v>
      </c>
      <c r="K177" s="9131" t="s">
        <v>3164</v>
      </c>
      <c r="L177" s="9131" t="s">
        <v>3165</v>
      </c>
      <c r="M177" s="10372">
        <v>1</v>
      </c>
      <c r="N177" s="10372">
        <v>1</v>
      </c>
      <c r="O177" s="10372">
        <v>1</v>
      </c>
      <c r="P177" s="9131" t="s">
        <v>3166</v>
      </c>
      <c r="Q177" s="9131" t="s">
        <v>3167</v>
      </c>
      <c r="R177" s="10364" t="s">
        <v>3168</v>
      </c>
      <c r="S177" s="1375"/>
      <c r="T177" s="7271"/>
      <c r="U177" s="7271"/>
      <c r="V177" s="1171"/>
      <c r="W177" s="7301"/>
      <c r="X177" s="1173"/>
      <c r="Y177" s="7336"/>
      <c r="Z177" s="7336"/>
      <c r="AA177" s="7336"/>
      <c r="AB177" s="5988"/>
      <c r="AC177" s="5989"/>
      <c r="AD177" s="1360"/>
      <c r="AE177" s="1173"/>
      <c r="AF177" s="1174"/>
      <c r="AG177" s="1174"/>
      <c r="AH177" s="10400"/>
      <c r="AI177" s="819"/>
    </row>
    <row r="178" spans="1:35" ht="61.5" customHeight="1">
      <c r="A178" s="10424"/>
      <c r="B178" s="10378"/>
      <c r="C178" s="9134"/>
      <c r="D178" s="9091"/>
      <c r="E178" s="9091"/>
      <c r="F178" s="9091"/>
      <c r="G178" s="9091"/>
      <c r="H178" s="9091"/>
      <c r="I178" s="9091"/>
      <c r="J178" s="9091"/>
      <c r="K178" s="9091"/>
      <c r="L178" s="9091"/>
      <c r="M178" s="10353"/>
      <c r="N178" s="10353"/>
      <c r="O178" s="10353"/>
      <c r="P178" s="10356"/>
      <c r="Q178" s="10356"/>
      <c r="R178" s="10359"/>
      <c r="S178" s="1371"/>
      <c r="T178" s="7257"/>
      <c r="U178" s="7257"/>
      <c r="V178" s="1153"/>
      <c r="W178" s="7295"/>
      <c r="X178" s="1151"/>
      <c r="Y178" s="7320"/>
      <c r="Z178" s="7320"/>
      <c r="AA178" s="7320"/>
      <c r="AB178" s="5978"/>
      <c r="AC178" s="5979"/>
      <c r="AD178" s="1356"/>
      <c r="AE178" s="1151"/>
      <c r="AF178" s="1152"/>
      <c r="AG178" s="1152"/>
      <c r="AH178" s="10401"/>
      <c r="AI178" s="819"/>
    </row>
    <row r="179" spans="1:35" ht="61.5" customHeight="1">
      <c r="A179" s="10424"/>
      <c r="B179" s="10378"/>
      <c r="C179" s="9134"/>
      <c r="D179" s="9091"/>
      <c r="E179" s="9091"/>
      <c r="F179" s="9091"/>
      <c r="G179" s="9091"/>
      <c r="H179" s="9091"/>
      <c r="I179" s="9091"/>
      <c r="J179" s="9091"/>
      <c r="K179" s="9091"/>
      <c r="L179" s="9091"/>
      <c r="M179" s="10353"/>
      <c r="N179" s="10353"/>
      <c r="O179" s="10353"/>
      <c r="P179" s="10356"/>
      <c r="Q179" s="10356"/>
      <c r="R179" s="10359"/>
      <c r="S179" s="1371"/>
      <c r="T179" s="7257"/>
      <c r="U179" s="7257"/>
      <c r="V179" s="1153"/>
      <c r="W179" s="7295"/>
      <c r="X179" s="1151"/>
      <c r="Y179" s="7320"/>
      <c r="Z179" s="7320"/>
      <c r="AA179" s="7320"/>
      <c r="AB179" s="5978"/>
      <c r="AC179" s="5979"/>
      <c r="AD179" s="1356"/>
      <c r="AE179" s="1151"/>
      <c r="AF179" s="1152"/>
      <c r="AG179" s="1152"/>
      <c r="AH179" s="10401"/>
      <c r="AI179" s="819"/>
    </row>
    <row r="180" spans="1:35" ht="61.5" customHeight="1">
      <c r="A180" s="10424"/>
      <c r="B180" s="10378"/>
      <c r="C180" s="9134"/>
      <c r="D180" s="9091"/>
      <c r="E180" s="9091"/>
      <c r="F180" s="9091"/>
      <c r="G180" s="9091"/>
      <c r="H180" s="9091"/>
      <c r="I180" s="9091"/>
      <c r="J180" s="9091"/>
      <c r="K180" s="9091"/>
      <c r="L180" s="9091"/>
      <c r="M180" s="10353"/>
      <c r="N180" s="10353"/>
      <c r="O180" s="10353"/>
      <c r="P180" s="10356"/>
      <c r="Q180" s="10356"/>
      <c r="R180" s="10359"/>
      <c r="S180" s="1371"/>
      <c r="T180" s="7257"/>
      <c r="U180" s="7257"/>
      <c r="V180" s="1153"/>
      <c r="W180" s="7295"/>
      <c r="X180" s="1151"/>
      <c r="Y180" s="7320"/>
      <c r="Z180" s="7320"/>
      <c r="AA180" s="7320"/>
      <c r="AB180" s="5978"/>
      <c r="AC180" s="5979"/>
      <c r="AD180" s="1356"/>
      <c r="AE180" s="1151"/>
      <c r="AF180" s="1152"/>
      <c r="AG180" s="1152"/>
      <c r="AH180" s="10401"/>
      <c r="AI180" s="819"/>
    </row>
    <row r="181" spans="1:35" ht="61.5" customHeight="1">
      <c r="A181" s="10424"/>
      <c r="B181" s="10378"/>
      <c r="C181" s="9141"/>
      <c r="D181" s="9102"/>
      <c r="E181" s="9102"/>
      <c r="F181" s="9102"/>
      <c r="G181" s="9102"/>
      <c r="H181" s="9102"/>
      <c r="I181" s="9102"/>
      <c r="J181" s="9102"/>
      <c r="K181" s="9102"/>
      <c r="L181" s="9102"/>
      <c r="M181" s="10354"/>
      <c r="N181" s="10354"/>
      <c r="O181" s="10354"/>
      <c r="P181" s="10357"/>
      <c r="Q181" s="10357"/>
      <c r="R181" s="10360"/>
      <c r="S181" s="1373"/>
      <c r="T181" s="4848"/>
      <c r="U181" s="4848"/>
      <c r="V181" s="1020"/>
      <c r="W181" s="4865"/>
      <c r="X181" s="1021"/>
      <c r="Y181" s="4903"/>
      <c r="Z181" s="4903"/>
      <c r="AA181" s="4903"/>
      <c r="AB181" s="5990"/>
      <c r="AC181" s="5991"/>
      <c r="AD181" s="1358"/>
      <c r="AE181" s="1021"/>
      <c r="AF181" s="1169"/>
      <c r="AG181" s="1169"/>
      <c r="AH181" s="10403"/>
      <c r="AI181" s="819"/>
    </row>
    <row r="182" spans="1:35" ht="70.5" customHeight="1">
      <c r="A182" s="10424"/>
      <c r="B182" s="10378"/>
      <c r="C182" s="9133" t="s">
        <v>127</v>
      </c>
      <c r="D182" s="9131" t="s">
        <v>128</v>
      </c>
      <c r="E182" s="9131" t="s">
        <v>129</v>
      </c>
      <c r="F182" s="9131" t="s">
        <v>268</v>
      </c>
      <c r="G182" s="9142" t="s">
        <v>131</v>
      </c>
      <c r="H182" s="9131" t="s">
        <v>132</v>
      </c>
      <c r="I182" s="9131" t="s">
        <v>159</v>
      </c>
      <c r="J182" s="9130" t="s">
        <v>3064</v>
      </c>
      <c r="K182" s="9131" t="s">
        <v>3169</v>
      </c>
      <c r="L182" s="9131" t="s">
        <v>3170</v>
      </c>
      <c r="M182" s="10372">
        <v>1</v>
      </c>
      <c r="N182" s="10372">
        <v>1</v>
      </c>
      <c r="O182" s="10372">
        <v>1</v>
      </c>
      <c r="P182" s="9131" t="s">
        <v>3171</v>
      </c>
      <c r="Q182" s="9131" t="s">
        <v>3172</v>
      </c>
      <c r="R182" s="10364" t="s">
        <v>3173</v>
      </c>
      <c r="S182" s="874"/>
      <c r="T182" s="7175"/>
      <c r="U182" s="7175"/>
      <c r="V182" s="743"/>
      <c r="W182" s="7182"/>
      <c r="X182" s="471"/>
      <c r="Y182" s="7186"/>
      <c r="Z182" s="7186"/>
      <c r="AA182" s="7186"/>
      <c r="AB182" s="5987"/>
      <c r="AC182" s="5973"/>
      <c r="AD182" s="904"/>
      <c r="AE182" s="471"/>
      <c r="AF182" s="475"/>
      <c r="AG182" s="475"/>
      <c r="AH182" s="10388"/>
      <c r="AI182" s="819"/>
    </row>
    <row r="183" spans="1:35" ht="70.5" customHeight="1">
      <c r="A183" s="10424"/>
      <c r="B183" s="10378"/>
      <c r="C183" s="9134"/>
      <c r="D183" s="9091"/>
      <c r="E183" s="9091"/>
      <c r="F183" s="9091"/>
      <c r="G183" s="9091"/>
      <c r="H183" s="9091"/>
      <c r="I183" s="9091"/>
      <c r="J183" s="9091"/>
      <c r="K183" s="9091"/>
      <c r="L183" s="9091"/>
      <c r="M183" s="10353"/>
      <c r="N183" s="10353"/>
      <c r="O183" s="10353"/>
      <c r="P183" s="10356"/>
      <c r="Q183" s="10356"/>
      <c r="R183" s="10359"/>
      <c r="S183" s="869"/>
      <c r="T183" s="7176"/>
      <c r="U183" s="7176"/>
      <c r="V183" s="741"/>
      <c r="W183" s="6618"/>
      <c r="X183" s="57"/>
      <c r="Y183" s="6686"/>
      <c r="Z183" s="6686"/>
      <c r="AA183" s="6686"/>
      <c r="AB183" s="5962"/>
      <c r="AC183" s="5963"/>
      <c r="AD183" s="905"/>
      <c r="AE183" s="57"/>
      <c r="AF183" s="151"/>
      <c r="AG183" s="151"/>
      <c r="AH183" s="10386"/>
      <c r="AI183" s="819"/>
    </row>
    <row r="184" spans="1:35" ht="70.5" customHeight="1">
      <c r="A184" s="10424"/>
      <c r="B184" s="10378"/>
      <c r="C184" s="9134"/>
      <c r="D184" s="9091"/>
      <c r="E184" s="9091"/>
      <c r="F184" s="9091"/>
      <c r="G184" s="9091"/>
      <c r="H184" s="9091"/>
      <c r="I184" s="9091"/>
      <c r="J184" s="9091"/>
      <c r="K184" s="9091"/>
      <c r="L184" s="9091"/>
      <c r="M184" s="10353"/>
      <c r="N184" s="10353"/>
      <c r="O184" s="10353"/>
      <c r="P184" s="10356"/>
      <c r="Q184" s="10356"/>
      <c r="R184" s="10359"/>
      <c r="S184" s="869"/>
      <c r="T184" s="7176"/>
      <c r="U184" s="7176"/>
      <c r="V184" s="741"/>
      <c r="W184" s="6618"/>
      <c r="X184" s="57"/>
      <c r="Y184" s="6686"/>
      <c r="Z184" s="6686"/>
      <c r="AA184" s="6686"/>
      <c r="AB184" s="5962"/>
      <c r="AC184" s="5963"/>
      <c r="AD184" s="905"/>
      <c r="AE184" s="57"/>
      <c r="AF184" s="151"/>
      <c r="AG184" s="151"/>
      <c r="AH184" s="10386"/>
      <c r="AI184" s="819"/>
    </row>
    <row r="185" spans="1:35" ht="70.5" customHeight="1">
      <c r="A185" s="10424"/>
      <c r="B185" s="10378"/>
      <c r="C185" s="9134"/>
      <c r="D185" s="9091"/>
      <c r="E185" s="9091"/>
      <c r="F185" s="9091"/>
      <c r="G185" s="9091"/>
      <c r="H185" s="9091"/>
      <c r="I185" s="9091"/>
      <c r="J185" s="9091"/>
      <c r="K185" s="9091"/>
      <c r="L185" s="9091"/>
      <c r="M185" s="10353"/>
      <c r="N185" s="10353"/>
      <c r="O185" s="10353"/>
      <c r="P185" s="10356"/>
      <c r="Q185" s="10356"/>
      <c r="R185" s="10359"/>
      <c r="S185" s="869"/>
      <c r="T185" s="7176"/>
      <c r="U185" s="7176"/>
      <c r="V185" s="741"/>
      <c r="W185" s="6618"/>
      <c r="X185" s="57"/>
      <c r="Y185" s="6686"/>
      <c r="Z185" s="6686"/>
      <c r="AA185" s="6686"/>
      <c r="AB185" s="5962"/>
      <c r="AC185" s="5963"/>
      <c r="AD185" s="905"/>
      <c r="AE185" s="57"/>
      <c r="AF185" s="151"/>
      <c r="AG185" s="151"/>
      <c r="AH185" s="10386"/>
      <c r="AI185" s="819"/>
    </row>
    <row r="186" spans="1:35" ht="70.5" customHeight="1">
      <c r="A186" s="10424"/>
      <c r="B186" s="10378"/>
      <c r="C186" s="9141"/>
      <c r="D186" s="9102"/>
      <c r="E186" s="9102"/>
      <c r="F186" s="9102"/>
      <c r="G186" s="9102"/>
      <c r="H186" s="9102"/>
      <c r="I186" s="9102"/>
      <c r="J186" s="9102"/>
      <c r="K186" s="9102"/>
      <c r="L186" s="9102"/>
      <c r="M186" s="10354"/>
      <c r="N186" s="10354"/>
      <c r="O186" s="10354"/>
      <c r="P186" s="10357"/>
      <c r="Q186" s="10357"/>
      <c r="R186" s="10360"/>
      <c r="S186" s="872"/>
      <c r="T186" s="7255"/>
      <c r="U186" s="7255"/>
      <c r="V186" s="745"/>
      <c r="W186" s="7289"/>
      <c r="X186" s="61"/>
      <c r="Y186" s="7317"/>
      <c r="Z186" s="7317"/>
      <c r="AA186" s="7317"/>
      <c r="AB186" s="5970"/>
      <c r="AC186" s="5971"/>
      <c r="AD186" s="916"/>
      <c r="AE186" s="61"/>
      <c r="AF186" s="177"/>
      <c r="AG186" s="177"/>
      <c r="AH186" s="10389"/>
      <c r="AI186" s="819"/>
    </row>
    <row r="187" spans="1:35" ht="56.25" customHeight="1">
      <c r="A187" s="10424"/>
      <c r="B187" s="10378"/>
      <c r="C187" s="9133" t="s">
        <v>127</v>
      </c>
      <c r="D187" s="9131" t="s">
        <v>128</v>
      </c>
      <c r="E187" s="9131" t="s">
        <v>129</v>
      </c>
      <c r="F187" s="9131" t="s">
        <v>268</v>
      </c>
      <c r="G187" s="9142" t="s">
        <v>131</v>
      </c>
      <c r="H187" s="9131" t="s">
        <v>132</v>
      </c>
      <c r="I187" s="9131" t="s">
        <v>159</v>
      </c>
      <c r="J187" s="9130" t="s">
        <v>3174</v>
      </c>
      <c r="K187" s="9131" t="s">
        <v>286</v>
      </c>
      <c r="L187" s="9131" t="s">
        <v>3175</v>
      </c>
      <c r="M187" s="10372">
        <v>0</v>
      </c>
      <c r="N187" s="10372">
        <v>1</v>
      </c>
      <c r="O187" s="10372">
        <v>1</v>
      </c>
      <c r="P187" s="9131" t="s">
        <v>3176</v>
      </c>
      <c r="Q187" s="9131" t="s">
        <v>3177</v>
      </c>
      <c r="R187" s="10364" t="s">
        <v>3178</v>
      </c>
      <c r="S187" s="874"/>
      <c r="T187" s="7175"/>
      <c r="U187" s="7175"/>
      <c r="V187" s="743"/>
      <c r="W187" s="7182"/>
      <c r="X187" s="471"/>
      <c r="Y187" s="7186"/>
      <c r="Z187" s="7186"/>
      <c r="AA187" s="7186"/>
      <c r="AB187" s="5987"/>
      <c r="AC187" s="5973"/>
      <c r="AD187" s="904"/>
      <c r="AE187" s="471"/>
      <c r="AF187" s="475"/>
      <c r="AG187" s="475"/>
      <c r="AH187" s="10388"/>
      <c r="AI187" s="819"/>
    </row>
    <row r="188" spans="1:35" ht="56.25" customHeight="1">
      <c r="A188" s="10424"/>
      <c r="B188" s="10378"/>
      <c r="C188" s="9134"/>
      <c r="D188" s="9091"/>
      <c r="E188" s="9091"/>
      <c r="F188" s="9091"/>
      <c r="G188" s="9091"/>
      <c r="H188" s="9091"/>
      <c r="I188" s="9091"/>
      <c r="J188" s="9091"/>
      <c r="K188" s="9091"/>
      <c r="L188" s="9091"/>
      <c r="M188" s="10353"/>
      <c r="N188" s="10353"/>
      <c r="O188" s="10353"/>
      <c r="P188" s="10356"/>
      <c r="Q188" s="10356"/>
      <c r="R188" s="10359"/>
      <c r="S188" s="869"/>
      <c r="T188" s="7176"/>
      <c r="U188" s="7176"/>
      <c r="V188" s="741"/>
      <c r="W188" s="6618"/>
      <c r="X188" s="57"/>
      <c r="Y188" s="6686"/>
      <c r="Z188" s="6686"/>
      <c r="AA188" s="6686"/>
      <c r="AB188" s="5962"/>
      <c r="AC188" s="5963"/>
      <c r="AD188" s="905"/>
      <c r="AE188" s="57"/>
      <c r="AF188" s="151"/>
      <c r="AG188" s="151"/>
      <c r="AH188" s="10386"/>
      <c r="AI188" s="819"/>
    </row>
    <row r="189" spans="1:35" ht="56.25" customHeight="1">
      <c r="A189" s="10424"/>
      <c r="B189" s="10378"/>
      <c r="C189" s="9134"/>
      <c r="D189" s="9091"/>
      <c r="E189" s="9091"/>
      <c r="F189" s="9091"/>
      <c r="G189" s="9091"/>
      <c r="H189" s="9091"/>
      <c r="I189" s="9091"/>
      <c r="J189" s="9091"/>
      <c r="K189" s="9091"/>
      <c r="L189" s="9091"/>
      <c r="M189" s="10353"/>
      <c r="N189" s="10353"/>
      <c r="O189" s="10353"/>
      <c r="P189" s="10356"/>
      <c r="Q189" s="10356"/>
      <c r="R189" s="10359"/>
      <c r="S189" s="869"/>
      <c r="T189" s="7176"/>
      <c r="U189" s="7176"/>
      <c r="V189" s="741"/>
      <c r="W189" s="6618"/>
      <c r="X189" s="57"/>
      <c r="Y189" s="6686"/>
      <c r="Z189" s="6686"/>
      <c r="AA189" s="6686"/>
      <c r="AB189" s="5962"/>
      <c r="AC189" s="5963"/>
      <c r="AD189" s="905"/>
      <c r="AE189" s="57"/>
      <c r="AF189" s="151"/>
      <c r="AG189" s="151"/>
      <c r="AH189" s="10386"/>
      <c r="AI189" s="819"/>
    </row>
    <row r="190" spans="1:35" ht="56.25" customHeight="1">
      <c r="A190" s="10424"/>
      <c r="B190" s="10378"/>
      <c r="C190" s="9134"/>
      <c r="D190" s="9091"/>
      <c r="E190" s="9091"/>
      <c r="F190" s="9091"/>
      <c r="G190" s="9091"/>
      <c r="H190" s="9091"/>
      <c r="I190" s="9091"/>
      <c r="J190" s="9091"/>
      <c r="K190" s="9091"/>
      <c r="L190" s="9091"/>
      <c r="M190" s="10353"/>
      <c r="N190" s="10353"/>
      <c r="O190" s="10353"/>
      <c r="P190" s="10356"/>
      <c r="Q190" s="10356"/>
      <c r="R190" s="10359"/>
      <c r="S190" s="869"/>
      <c r="T190" s="7176"/>
      <c r="U190" s="7176"/>
      <c r="V190" s="741"/>
      <c r="W190" s="6618"/>
      <c r="X190" s="57"/>
      <c r="Y190" s="6686"/>
      <c r="Z190" s="6686"/>
      <c r="AA190" s="6686"/>
      <c r="AB190" s="5962"/>
      <c r="AC190" s="5963"/>
      <c r="AD190" s="905"/>
      <c r="AE190" s="57"/>
      <c r="AF190" s="151"/>
      <c r="AG190" s="151"/>
      <c r="AH190" s="10386"/>
      <c r="AI190" s="819"/>
    </row>
    <row r="191" spans="1:35" ht="56.25" customHeight="1">
      <c r="A191" s="10424"/>
      <c r="B191" s="10378"/>
      <c r="C191" s="9135"/>
      <c r="D191" s="9129"/>
      <c r="E191" s="9129"/>
      <c r="F191" s="9129"/>
      <c r="G191" s="9129"/>
      <c r="H191" s="9129"/>
      <c r="I191" s="9129"/>
      <c r="J191" s="9129"/>
      <c r="K191" s="9129"/>
      <c r="L191" s="9129"/>
      <c r="M191" s="10362"/>
      <c r="N191" s="10362"/>
      <c r="O191" s="10362"/>
      <c r="P191" s="10363"/>
      <c r="Q191" s="10363"/>
      <c r="R191" s="10365"/>
      <c r="S191" s="870"/>
      <c r="T191" s="7254"/>
      <c r="U191" s="7254"/>
      <c r="V191" s="860"/>
      <c r="W191" s="7288"/>
      <c r="X191" s="160"/>
      <c r="Y191" s="7315"/>
      <c r="Z191" s="7315"/>
      <c r="AA191" s="7315"/>
      <c r="AB191" s="7316"/>
      <c r="AC191" s="7348"/>
      <c r="AD191" s="914"/>
      <c r="AE191" s="160"/>
      <c r="AF191" s="158"/>
      <c r="AG191" s="158"/>
      <c r="AH191" s="10386"/>
      <c r="AI191" s="819"/>
    </row>
    <row r="192" spans="1:35" ht="48.75" customHeight="1">
      <c r="A192" s="10424"/>
      <c r="B192" s="10378"/>
      <c r="C192" s="9140" t="s">
        <v>127</v>
      </c>
      <c r="D192" s="9090" t="s">
        <v>128</v>
      </c>
      <c r="E192" s="9090" t="s">
        <v>129</v>
      </c>
      <c r="F192" s="9090" t="s">
        <v>268</v>
      </c>
      <c r="G192" s="9116" t="s">
        <v>131</v>
      </c>
      <c r="H192" s="9090" t="s">
        <v>132</v>
      </c>
      <c r="I192" s="9090" t="s">
        <v>159</v>
      </c>
      <c r="J192" s="9186" t="s">
        <v>3179</v>
      </c>
      <c r="K192" s="9090" t="s">
        <v>338</v>
      </c>
      <c r="L192" s="9090" t="s">
        <v>1265</v>
      </c>
      <c r="M192" s="10376">
        <v>2</v>
      </c>
      <c r="N192" s="10376">
        <v>1</v>
      </c>
      <c r="O192" s="10376">
        <v>1</v>
      </c>
      <c r="P192" s="9090" t="s">
        <v>3180</v>
      </c>
      <c r="Q192" s="9090" t="s">
        <v>1381</v>
      </c>
      <c r="R192" s="10358" t="s">
        <v>3181</v>
      </c>
      <c r="S192" s="902"/>
      <c r="T192" s="6582"/>
      <c r="U192" s="6582"/>
      <c r="V192" s="742"/>
      <c r="W192" s="6617"/>
      <c r="X192" s="171"/>
      <c r="Y192" s="6677"/>
      <c r="Z192" s="6677"/>
      <c r="AA192" s="6677"/>
      <c r="AB192" s="5986"/>
      <c r="AC192" s="5969"/>
      <c r="AD192" s="915"/>
      <c r="AE192" s="171"/>
      <c r="AF192" s="166"/>
      <c r="AG192" s="166"/>
      <c r="AH192" s="10385"/>
      <c r="AI192" s="819"/>
    </row>
    <row r="193" spans="1:35" ht="48.75" customHeight="1">
      <c r="A193" s="10424"/>
      <c r="B193" s="10378"/>
      <c r="C193" s="9134"/>
      <c r="D193" s="9091"/>
      <c r="E193" s="9091"/>
      <c r="F193" s="9091"/>
      <c r="G193" s="9091"/>
      <c r="H193" s="9091"/>
      <c r="I193" s="9091"/>
      <c r="J193" s="9091"/>
      <c r="K193" s="9091"/>
      <c r="L193" s="9091"/>
      <c r="M193" s="10353"/>
      <c r="N193" s="10353"/>
      <c r="O193" s="10353"/>
      <c r="P193" s="10356"/>
      <c r="Q193" s="10356"/>
      <c r="R193" s="10359"/>
      <c r="S193" s="869"/>
      <c r="T193" s="7176"/>
      <c r="U193" s="7176"/>
      <c r="V193" s="741"/>
      <c r="W193" s="6618"/>
      <c r="X193" s="57"/>
      <c r="Y193" s="6686"/>
      <c r="Z193" s="6686"/>
      <c r="AA193" s="6686"/>
      <c r="AB193" s="5962"/>
      <c r="AC193" s="5963"/>
      <c r="AD193" s="905"/>
      <c r="AE193" s="57"/>
      <c r="AF193" s="151"/>
      <c r="AG193" s="151"/>
      <c r="AH193" s="10386"/>
      <c r="AI193" s="819"/>
    </row>
    <row r="194" spans="1:35" ht="48.75" customHeight="1">
      <c r="A194" s="10424"/>
      <c r="B194" s="10378"/>
      <c r="C194" s="9134"/>
      <c r="D194" s="9091"/>
      <c r="E194" s="9091"/>
      <c r="F194" s="9091"/>
      <c r="G194" s="9091"/>
      <c r="H194" s="9091"/>
      <c r="I194" s="9091"/>
      <c r="J194" s="9091"/>
      <c r="K194" s="9091"/>
      <c r="L194" s="9091"/>
      <c r="M194" s="10353"/>
      <c r="N194" s="10353"/>
      <c r="O194" s="10353"/>
      <c r="P194" s="10356"/>
      <c r="Q194" s="10356"/>
      <c r="R194" s="10359"/>
      <c r="S194" s="869"/>
      <c r="T194" s="7176"/>
      <c r="U194" s="7176"/>
      <c r="V194" s="741"/>
      <c r="W194" s="6618"/>
      <c r="X194" s="57"/>
      <c r="Y194" s="6686"/>
      <c r="Z194" s="6686"/>
      <c r="AA194" s="6686"/>
      <c r="AB194" s="5962"/>
      <c r="AC194" s="5963"/>
      <c r="AD194" s="905"/>
      <c r="AE194" s="57"/>
      <c r="AF194" s="151"/>
      <c r="AG194" s="151"/>
      <c r="AH194" s="10386"/>
      <c r="AI194" s="819"/>
    </row>
    <row r="195" spans="1:35" ht="48.75" customHeight="1">
      <c r="A195" s="10424"/>
      <c r="B195" s="10378"/>
      <c r="C195" s="9134"/>
      <c r="D195" s="9091"/>
      <c r="E195" s="9091"/>
      <c r="F195" s="9091"/>
      <c r="G195" s="9091"/>
      <c r="H195" s="9091"/>
      <c r="I195" s="9091"/>
      <c r="J195" s="9091"/>
      <c r="K195" s="9091"/>
      <c r="L195" s="9091"/>
      <c r="M195" s="10353"/>
      <c r="N195" s="10353"/>
      <c r="O195" s="10353"/>
      <c r="P195" s="10356"/>
      <c r="Q195" s="10356"/>
      <c r="R195" s="10359"/>
      <c r="S195" s="869"/>
      <c r="T195" s="7176"/>
      <c r="U195" s="7176"/>
      <c r="V195" s="741"/>
      <c r="W195" s="6618"/>
      <c r="X195" s="57"/>
      <c r="Y195" s="6686"/>
      <c r="Z195" s="6686"/>
      <c r="AA195" s="6686"/>
      <c r="AB195" s="5962"/>
      <c r="AC195" s="5963"/>
      <c r="AD195" s="905"/>
      <c r="AE195" s="57"/>
      <c r="AF195" s="151"/>
      <c r="AG195" s="151"/>
      <c r="AH195" s="10386"/>
      <c r="AI195" s="819"/>
    </row>
    <row r="196" spans="1:35" ht="48.75" customHeight="1">
      <c r="A196" s="10424"/>
      <c r="B196" s="10378"/>
      <c r="C196" s="9141"/>
      <c r="D196" s="9102"/>
      <c r="E196" s="9102"/>
      <c r="F196" s="9102"/>
      <c r="G196" s="9102"/>
      <c r="H196" s="9102"/>
      <c r="I196" s="9102"/>
      <c r="J196" s="9102"/>
      <c r="K196" s="9102"/>
      <c r="L196" s="9102"/>
      <c r="M196" s="10354"/>
      <c r="N196" s="10354"/>
      <c r="O196" s="10354"/>
      <c r="P196" s="10357"/>
      <c r="Q196" s="10357"/>
      <c r="R196" s="10360"/>
      <c r="S196" s="872"/>
      <c r="T196" s="7255"/>
      <c r="U196" s="7255"/>
      <c r="V196" s="745"/>
      <c r="W196" s="7289"/>
      <c r="X196" s="61"/>
      <c r="Y196" s="7317"/>
      <c r="Z196" s="7317"/>
      <c r="AA196" s="7315"/>
      <c r="AB196" s="7316"/>
      <c r="AC196" s="7348"/>
      <c r="AD196" s="914"/>
      <c r="AE196" s="61"/>
      <c r="AF196" s="177"/>
      <c r="AG196" s="177"/>
      <c r="AH196" s="10389"/>
      <c r="AI196" s="819"/>
    </row>
    <row r="197" spans="1:35" s="4842" customFormat="1" ht="22.5" customHeight="1" thickBot="1">
      <c r="A197" s="10424"/>
      <c r="B197" s="10379"/>
      <c r="C197" s="10414"/>
      <c r="D197" s="9216"/>
      <c r="E197" s="9216"/>
      <c r="F197" s="9216"/>
      <c r="G197" s="9216"/>
      <c r="H197" s="9216"/>
      <c r="I197" s="9216"/>
      <c r="J197" s="9216"/>
      <c r="K197" s="9216"/>
      <c r="L197" s="9216"/>
      <c r="M197" s="9216"/>
      <c r="N197" s="9216"/>
      <c r="O197" s="9216"/>
      <c r="P197" s="9216"/>
      <c r="Q197" s="9216"/>
      <c r="R197" s="9047"/>
      <c r="S197" s="10393" t="s">
        <v>3182</v>
      </c>
      <c r="T197" s="10394"/>
      <c r="U197" s="10394"/>
      <c r="V197" s="10394"/>
      <c r="W197" s="10394"/>
      <c r="X197" s="10394"/>
      <c r="Y197" s="10394"/>
      <c r="Z197" s="10394"/>
      <c r="AA197" s="6096" t="s">
        <v>292</v>
      </c>
      <c r="AB197" s="7312">
        <f>SUM(AB137:AB196)</f>
        <v>426.72</v>
      </c>
      <c r="AC197" s="6100"/>
      <c r="AD197" s="6101"/>
      <c r="AE197" s="10395"/>
      <c r="AF197" s="10396"/>
      <c r="AG197" s="10396"/>
      <c r="AH197" s="10397"/>
      <c r="AI197" s="4887"/>
    </row>
    <row r="198" spans="1:35" ht="31.5" customHeight="1">
      <c r="A198" s="10424"/>
      <c r="B198" s="10377" t="s">
        <v>3183</v>
      </c>
      <c r="C198" s="9133" t="s">
        <v>127</v>
      </c>
      <c r="D198" s="9131" t="s">
        <v>128</v>
      </c>
      <c r="E198" s="9131" t="s">
        <v>129</v>
      </c>
      <c r="F198" s="9131" t="s">
        <v>464</v>
      </c>
      <c r="G198" s="9142" t="s">
        <v>131</v>
      </c>
      <c r="H198" s="9131" t="s">
        <v>158</v>
      </c>
      <c r="I198" s="9131" t="s">
        <v>159</v>
      </c>
      <c r="J198" s="9142" t="s">
        <v>3184</v>
      </c>
      <c r="K198" s="9131" t="s">
        <v>3185</v>
      </c>
      <c r="L198" s="9131" t="s">
        <v>3186</v>
      </c>
      <c r="M198" s="10372">
        <v>1</v>
      </c>
      <c r="N198" s="10372">
        <v>0</v>
      </c>
      <c r="O198" s="10372">
        <v>0</v>
      </c>
      <c r="P198" s="9131" t="s">
        <v>3187</v>
      </c>
      <c r="Q198" s="9131" t="s">
        <v>3188</v>
      </c>
      <c r="R198" s="10364" t="s">
        <v>3189</v>
      </c>
      <c r="S198" s="1376" t="s">
        <v>15</v>
      </c>
      <c r="T198" s="7253">
        <v>530612</v>
      </c>
      <c r="U198" s="7253"/>
      <c r="V198" s="875" t="s">
        <v>1360</v>
      </c>
      <c r="W198" s="7306"/>
      <c r="X198" s="1991"/>
      <c r="Y198" s="7313"/>
      <c r="Z198" s="7313"/>
      <c r="AA198" s="7186"/>
      <c r="AB198" s="5987">
        <f>SUM($AA$199:$AA$201)</f>
        <v>10999.996800000001</v>
      </c>
      <c r="AC198" s="5973" t="s">
        <v>18</v>
      </c>
      <c r="AD198" s="1360"/>
      <c r="AE198" s="1145"/>
      <c r="AF198" s="1147"/>
      <c r="AG198" s="148"/>
      <c r="AH198" s="10399"/>
      <c r="AI198" s="819"/>
    </row>
    <row r="199" spans="1:35" ht="31.5" customHeight="1">
      <c r="A199" s="10424"/>
      <c r="B199" s="10378"/>
      <c r="C199" s="9134"/>
      <c r="D199" s="9091"/>
      <c r="E199" s="9091"/>
      <c r="F199" s="9091"/>
      <c r="G199" s="9091"/>
      <c r="H199" s="9091"/>
      <c r="I199" s="9091"/>
      <c r="J199" s="9091"/>
      <c r="K199" s="9091"/>
      <c r="L199" s="9091"/>
      <c r="M199" s="10353"/>
      <c r="N199" s="10353"/>
      <c r="O199" s="10353"/>
      <c r="P199" s="10356"/>
      <c r="Q199" s="10356"/>
      <c r="R199" s="10359"/>
      <c r="S199" s="1377"/>
      <c r="T199" s="6583"/>
      <c r="U199" s="6583"/>
      <c r="V199" s="741" t="s">
        <v>3190</v>
      </c>
      <c r="W199" s="6618">
        <v>1</v>
      </c>
      <c r="X199" s="57" t="s">
        <v>479</v>
      </c>
      <c r="Y199" s="6686">
        <v>5357.14</v>
      </c>
      <c r="Z199" s="6686">
        <f>+W199*Y199</f>
        <v>5357.14</v>
      </c>
      <c r="AA199" s="6686">
        <f>+Z199*1.12</f>
        <v>5999.9968000000008</v>
      </c>
      <c r="AB199" s="5962"/>
      <c r="AC199" s="5963"/>
      <c r="AD199" s="1356"/>
      <c r="AE199" s="1151"/>
      <c r="AF199" s="1152"/>
      <c r="AG199" s="151" t="s">
        <v>153</v>
      </c>
      <c r="AH199" s="10386"/>
      <c r="AI199" s="819"/>
    </row>
    <row r="200" spans="1:35" ht="31.5" customHeight="1">
      <c r="A200" s="10424"/>
      <c r="B200" s="10378"/>
      <c r="C200" s="9134"/>
      <c r="D200" s="9091"/>
      <c r="E200" s="9091"/>
      <c r="F200" s="9091"/>
      <c r="G200" s="9091"/>
      <c r="H200" s="9091"/>
      <c r="I200" s="9091"/>
      <c r="J200" s="9091"/>
      <c r="K200" s="9091"/>
      <c r="L200" s="9091"/>
      <c r="M200" s="10353"/>
      <c r="N200" s="10353"/>
      <c r="O200" s="10353"/>
      <c r="P200" s="10356"/>
      <c r="Q200" s="10356"/>
      <c r="R200" s="10359"/>
      <c r="S200" s="1371"/>
      <c r="T200" s="7257"/>
      <c r="U200" s="7257"/>
      <c r="V200" s="8294" t="s">
        <v>3191</v>
      </c>
      <c r="W200" s="8295">
        <v>1</v>
      </c>
      <c r="X200" s="8296" t="s">
        <v>479</v>
      </c>
      <c r="Y200" s="7965">
        <f>5000/1.12</f>
        <v>4464.2857142857138</v>
      </c>
      <c r="Z200" s="7965">
        <f>Y200*W200</f>
        <v>4464.2857142857138</v>
      </c>
      <c r="AA200" s="7965">
        <f>Z200*1.12</f>
        <v>5000</v>
      </c>
      <c r="AB200" s="5978"/>
      <c r="AC200" s="5979"/>
      <c r="AD200" s="1356"/>
      <c r="AE200" s="1151"/>
      <c r="AF200" s="1152" t="s">
        <v>153</v>
      </c>
      <c r="AG200" s="151"/>
      <c r="AH200" s="10386"/>
      <c r="AI200" s="819"/>
    </row>
    <row r="201" spans="1:35" ht="31.5" customHeight="1">
      <c r="A201" s="10424"/>
      <c r="B201" s="10378"/>
      <c r="C201" s="9134"/>
      <c r="D201" s="9091"/>
      <c r="E201" s="9091"/>
      <c r="F201" s="9091"/>
      <c r="G201" s="9091"/>
      <c r="H201" s="9091"/>
      <c r="I201" s="9091"/>
      <c r="J201" s="9091"/>
      <c r="K201" s="9091"/>
      <c r="L201" s="9091"/>
      <c r="M201" s="10353"/>
      <c r="N201" s="10353"/>
      <c r="O201" s="10353"/>
      <c r="P201" s="10356"/>
      <c r="Q201" s="10356"/>
      <c r="R201" s="10359"/>
      <c r="S201" s="1377"/>
      <c r="T201" s="7262"/>
      <c r="U201" s="7262"/>
      <c r="V201" s="1153"/>
      <c r="W201" s="7295"/>
      <c r="X201" s="1151"/>
      <c r="Y201" s="7320"/>
      <c r="Z201" s="7320"/>
      <c r="AA201" s="7320"/>
      <c r="AB201" s="5978"/>
      <c r="AC201" s="5979"/>
      <c r="AD201" s="1356"/>
      <c r="AE201" s="1151"/>
      <c r="AF201" s="1152"/>
      <c r="AG201" s="151"/>
      <c r="AH201" s="10386"/>
      <c r="AI201" s="819"/>
    </row>
    <row r="202" spans="1:35" ht="31.5" customHeight="1">
      <c r="A202" s="10424"/>
      <c r="B202" s="10378"/>
      <c r="C202" s="9135"/>
      <c r="D202" s="9129"/>
      <c r="E202" s="9129"/>
      <c r="F202" s="9129"/>
      <c r="G202" s="9129"/>
      <c r="H202" s="9129"/>
      <c r="I202" s="9129"/>
      <c r="J202" s="9129"/>
      <c r="K202" s="9129"/>
      <c r="L202" s="9129"/>
      <c r="M202" s="10362"/>
      <c r="N202" s="10362"/>
      <c r="O202" s="10362"/>
      <c r="P202" s="10363"/>
      <c r="Q202" s="10363"/>
      <c r="R202" s="10365"/>
      <c r="S202" s="1372"/>
      <c r="T202" s="7258"/>
      <c r="U202" s="7258"/>
      <c r="V202" s="1155"/>
      <c r="W202" s="7302"/>
      <c r="X202" s="1158"/>
      <c r="Y202" s="7187"/>
      <c r="Z202" s="7187"/>
      <c r="AA202" s="7187"/>
      <c r="AB202" s="7188"/>
      <c r="AC202" s="7194"/>
      <c r="AD202" s="1370"/>
      <c r="AE202" s="1158"/>
      <c r="AF202" s="1159"/>
      <c r="AG202" s="158"/>
      <c r="AH202" s="10386"/>
      <c r="AI202" s="819"/>
    </row>
    <row r="203" spans="1:35" ht="30.75" customHeight="1">
      <c r="A203" s="10424"/>
      <c r="B203" s="10378"/>
      <c r="C203" s="9140" t="s">
        <v>127</v>
      </c>
      <c r="D203" s="9090" t="s">
        <v>128</v>
      </c>
      <c r="E203" s="9090" t="s">
        <v>129</v>
      </c>
      <c r="F203" s="9090" t="s">
        <v>464</v>
      </c>
      <c r="G203" s="9116" t="s">
        <v>131</v>
      </c>
      <c r="H203" s="9090" t="s">
        <v>158</v>
      </c>
      <c r="I203" s="9090" t="s">
        <v>159</v>
      </c>
      <c r="J203" s="9090" t="s">
        <v>3192</v>
      </c>
      <c r="K203" s="9090" t="s">
        <v>3193</v>
      </c>
      <c r="L203" s="9090" t="s">
        <v>3194</v>
      </c>
      <c r="M203" s="10376">
        <v>0</v>
      </c>
      <c r="N203" s="10376">
        <v>2</v>
      </c>
      <c r="O203" s="10376">
        <v>2</v>
      </c>
      <c r="P203" s="9090" t="s">
        <v>3195</v>
      </c>
      <c r="Q203" s="9090" t="s">
        <v>3196</v>
      </c>
      <c r="R203" s="10358" t="s">
        <v>3189</v>
      </c>
      <c r="S203" s="1374"/>
      <c r="T203" s="7259"/>
      <c r="U203" s="7259"/>
      <c r="V203" s="1162"/>
      <c r="W203" s="7294"/>
      <c r="X203" s="1164"/>
      <c r="Y203" s="7323"/>
      <c r="Z203" s="7323"/>
      <c r="AA203" s="7323"/>
      <c r="AB203" s="5982"/>
      <c r="AC203" s="5983"/>
      <c r="AD203" s="1355"/>
      <c r="AE203" s="1164"/>
      <c r="AF203" s="1164"/>
      <c r="AG203" s="171"/>
      <c r="AH203" s="10385"/>
      <c r="AI203" s="819"/>
    </row>
    <row r="204" spans="1:35" ht="30.75" customHeight="1">
      <c r="A204" s="10424"/>
      <c r="B204" s="10378"/>
      <c r="C204" s="9134"/>
      <c r="D204" s="9091"/>
      <c r="E204" s="9091"/>
      <c r="F204" s="9091"/>
      <c r="G204" s="9091"/>
      <c r="H204" s="9091"/>
      <c r="I204" s="9091"/>
      <c r="J204" s="9091"/>
      <c r="K204" s="9091"/>
      <c r="L204" s="9091"/>
      <c r="M204" s="10353"/>
      <c r="N204" s="10353"/>
      <c r="O204" s="10353"/>
      <c r="P204" s="10356"/>
      <c r="Q204" s="10356"/>
      <c r="R204" s="10359"/>
      <c r="S204" s="1371"/>
      <c r="T204" s="7257"/>
      <c r="U204" s="7257"/>
      <c r="V204" s="1153"/>
      <c r="W204" s="7295"/>
      <c r="X204" s="1151"/>
      <c r="Y204" s="7320"/>
      <c r="Z204" s="7320"/>
      <c r="AA204" s="7320"/>
      <c r="AB204" s="5978"/>
      <c r="AC204" s="5979"/>
      <c r="AD204" s="1356"/>
      <c r="AE204" s="1151"/>
      <c r="AF204" s="1151"/>
      <c r="AG204" s="57"/>
      <c r="AH204" s="10386"/>
      <c r="AI204" s="819"/>
    </row>
    <row r="205" spans="1:35" ht="30.75" customHeight="1">
      <c r="A205" s="10424"/>
      <c r="B205" s="10378"/>
      <c r="C205" s="9134"/>
      <c r="D205" s="9091"/>
      <c r="E205" s="9091"/>
      <c r="F205" s="9091"/>
      <c r="G205" s="9091"/>
      <c r="H205" s="9091"/>
      <c r="I205" s="9091"/>
      <c r="J205" s="9091"/>
      <c r="K205" s="9091"/>
      <c r="L205" s="9091"/>
      <c r="M205" s="10353"/>
      <c r="N205" s="10353"/>
      <c r="O205" s="10353"/>
      <c r="P205" s="10356"/>
      <c r="Q205" s="10356"/>
      <c r="R205" s="10359"/>
      <c r="S205" s="1371"/>
      <c r="T205" s="7257"/>
      <c r="U205" s="7257"/>
      <c r="V205" s="1153"/>
      <c r="W205" s="7295"/>
      <c r="X205" s="1151"/>
      <c r="Y205" s="7320"/>
      <c r="Z205" s="7320"/>
      <c r="AA205" s="7320"/>
      <c r="AB205" s="5978"/>
      <c r="AC205" s="5979"/>
      <c r="AD205" s="1356"/>
      <c r="AE205" s="1151"/>
      <c r="AF205" s="1151"/>
      <c r="AG205" s="151"/>
      <c r="AH205" s="10386"/>
      <c r="AI205" s="819"/>
    </row>
    <row r="206" spans="1:35" ht="30.75" customHeight="1">
      <c r="A206" s="10424"/>
      <c r="B206" s="10378"/>
      <c r="C206" s="9134"/>
      <c r="D206" s="9091"/>
      <c r="E206" s="9091"/>
      <c r="F206" s="9091"/>
      <c r="G206" s="9091"/>
      <c r="H206" s="9091"/>
      <c r="I206" s="9091"/>
      <c r="J206" s="9091"/>
      <c r="K206" s="9091"/>
      <c r="L206" s="9091"/>
      <c r="M206" s="10353"/>
      <c r="N206" s="10353"/>
      <c r="O206" s="10353"/>
      <c r="P206" s="10356"/>
      <c r="Q206" s="10356"/>
      <c r="R206" s="10359"/>
      <c r="S206" s="1371"/>
      <c r="T206" s="7257"/>
      <c r="U206" s="7257"/>
      <c r="V206" s="1153"/>
      <c r="W206" s="7295"/>
      <c r="X206" s="1151"/>
      <c r="Y206" s="7320"/>
      <c r="Z206" s="7320"/>
      <c r="AA206" s="7320"/>
      <c r="AB206" s="5978"/>
      <c r="AC206" s="5979"/>
      <c r="AD206" s="1356"/>
      <c r="AE206" s="1151"/>
      <c r="AF206" s="1151"/>
      <c r="AG206" s="151"/>
      <c r="AH206" s="10386"/>
      <c r="AI206" s="819"/>
    </row>
    <row r="207" spans="1:35" ht="30.75" customHeight="1">
      <c r="A207" s="10424"/>
      <c r="B207" s="10378"/>
      <c r="C207" s="9141"/>
      <c r="D207" s="9102"/>
      <c r="E207" s="9102"/>
      <c r="F207" s="9102"/>
      <c r="G207" s="9102"/>
      <c r="H207" s="9102"/>
      <c r="I207" s="9102"/>
      <c r="J207" s="9102"/>
      <c r="K207" s="9102"/>
      <c r="L207" s="9102"/>
      <c r="M207" s="10354"/>
      <c r="N207" s="10354"/>
      <c r="O207" s="10354"/>
      <c r="P207" s="10357"/>
      <c r="Q207" s="10357"/>
      <c r="R207" s="10360"/>
      <c r="S207" s="1373"/>
      <c r="T207" s="4848"/>
      <c r="U207" s="4848"/>
      <c r="V207" s="1020"/>
      <c r="W207" s="4865"/>
      <c r="X207" s="1021"/>
      <c r="Y207" s="4903"/>
      <c r="Z207" s="4903"/>
      <c r="AA207" s="4903"/>
      <c r="AB207" s="5990"/>
      <c r="AC207" s="5991"/>
      <c r="AD207" s="1358"/>
      <c r="AE207" s="1021"/>
      <c r="AF207" s="1021"/>
      <c r="AG207" s="177"/>
      <c r="AH207" s="10389"/>
      <c r="AI207" s="819"/>
    </row>
    <row r="208" spans="1:35" ht="26.25" customHeight="1">
      <c r="A208" s="10424"/>
      <c r="B208" s="10378"/>
      <c r="C208" s="9133" t="s">
        <v>127</v>
      </c>
      <c r="D208" s="9131" t="s">
        <v>128</v>
      </c>
      <c r="E208" s="9131" t="s">
        <v>129</v>
      </c>
      <c r="F208" s="9131" t="s">
        <v>464</v>
      </c>
      <c r="G208" s="9142" t="s">
        <v>131</v>
      </c>
      <c r="H208" s="9131" t="s">
        <v>158</v>
      </c>
      <c r="I208" s="9131" t="s">
        <v>159</v>
      </c>
      <c r="J208" s="9142" t="s">
        <v>3197</v>
      </c>
      <c r="K208" s="9131" t="s">
        <v>3198</v>
      </c>
      <c r="L208" s="9131" t="s">
        <v>3199</v>
      </c>
      <c r="M208" s="10372">
        <v>1</v>
      </c>
      <c r="N208" s="10372">
        <v>0</v>
      </c>
      <c r="O208" s="10372">
        <v>0</v>
      </c>
      <c r="P208" s="9131" t="s">
        <v>3200</v>
      </c>
      <c r="Q208" s="9131" t="s">
        <v>3201</v>
      </c>
      <c r="R208" s="10364" t="s">
        <v>3202</v>
      </c>
      <c r="S208" s="1375" t="s">
        <v>15</v>
      </c>
      <c r="T208" s="7175">
        <v>580208</v>
      </c>
      <c r="U208" s="7175"/>
      <c r="V208" s="743" t="s">
        <v>38</v>
      </c>
      <c r="W208" s="7182"/>
      <c r="X208" s="471"/>
      <c r="Y208" s="7817"/>
      <c r="Z208" s="7817"/>
      <c r="AA208" s="7817"/>
      <c r="AB208" s="7818">
        <f>+AA209</f>
        <v>4979.9984000000004</v>
      </c>
      <c r="AC208" s="5973" t="s">
        <v>25</v>
      </c>
      <c r="AD208" s="1360"/>
      <c r="AE208" s="1173"/>
      <c r="AF208" s="1174"/>
      <c r="AG208" s="475"/>
      <c r="AH208" s="10388"/>
      <c r="AI208" s="819"/>
    </row>
    <row r="209" spans="1:35" ht="26.25" customHeight="1">
      <c r="A209" s="10424"/>
      <c r="B209" s="10378"/>
      <c r="C209" s="9134"/>
      <c r="D209" s="9091"/>
      <c r="E209" s="9091"/>
      <c r="F209" s="9091"/>
      <c r="G209" s="9091"/>
      <c r="H209" s="9091"/>
      <c r="I209" s="9091"/>
      <c r="J209" s="9091"/>
      <c r="K209" s="9091"/>
      <c r="L209" s="9091"/>
      <c r="M209" s="10353"/>
      <c r="N209" s="10353"/>
      <c r="O209" s="10353"/>
      <c r="P209" s="10356"/>
      <c r="Q209" s="10356"/>
      <c r="R209" s="10359"/>
      <c r="S209" s="1371"/>
      <c r="T209" s="7176"/>
      <c r="U209" s="7176"/>
      <c r="V209" s="741" t="s">
        <v>3203</v>
      </c>
      <c r="W209" s="6618">
        <v>1</v>
      </c>
      <c r="X209" s="57" t="s">
        <v>180</v>
      </c>
      <c r="Y209" s="7815">
        <f>4980/1.12</f>
        <v>4446.4285714285706</v>
      </c>
      <c r="Z209" s="7815">
        <f t="shared" ref="Z209" si="7">+W209*Y209</f>
        <v>4446.4285714285706</v>
      </c>
      <c r="AA209" s="7815">
        <f>+Z209*1.12-0.0016</f>
        <v>4979.9984000000004</v>
      </c>
      <c r="AB209" s="7816"/>
      <c r="AC209" s="5963"/>
      <c r="AD209" s="1356"/>
      <c r="AE209" s="1151" t="s">
        <v>153</v>
      </c>
      <c r="AF209" s="1152" t="s">
        <v>153</v>
      </c>
      <c r="AG209" s="151" t="s">
        <v>153</v>
      </c>
      <c r="AH209" s="10386"/>
      <c r="AI209" s="819"/>
    </row>
    <row r="210" spans="1:35" ht="26.25" customHeight="1">
      <c r="A210" s="10424"/>
      <c r="B210" s="10378"/>
      <c r="C210" s="9134"/>
      <c r="D210" s="9091"/>
      <c r="E210" s="9091"/>
      <c r="F210" s="9091"/>
      <c r="G210" s="9091"/>
      <c r="H210" s="9091"/>
      <c r="I210" s="9091"/>
      <c r="J210" s="9091"/>
      <c r="K210" s="9091"/>
      <c r="L210" s="9091"/>
      <c r="M210" s="10353"/>
      <c r="N210" s="10353"/>
      <c r="O210" s="10353"/>
      <c r="P210" s="10356"/>
      <c r="Q210" s="10356"/>
      <c r="R210" s="10359"/>
      <c r="S210" s="1371"/>
      <c r="T210" s="7176"/>
      <c r="U210" s="7176"/>
      <c r="V210" s="3532"/>
      <c r="W210" s="7307"/>
      <c r="X210" s="3533"/>
      <c r="Y210" s="7337"/>
      <c r="Z210" s="7337"/>
      <c r="AA210" s="7338"/>
      <c r="AB210" s="7339"/>
      <c r="AC210" s="5963"/>
      <c r="AD210" s="1356"/>
      <c r="AE210" s="1151"/>
      <c r="AF210" s="1152"/>
      <c r="AG210" s="151"/>
      <c r="AH210" s="10386"/>
      <c r="AI210" s="819"/>
    </row>
    <row r="211" spans="1:35" ht="26.25" customHeight="1">
      <c r="A211" s="10424"/>
      <c r="B211" s="10378"/>
      <c r="C211" s="9134"/>
      <c r="D211" s="9091"/>
      <c r="E211" s="9091"/>
      <c r="F211" s="9091"/>
      <c r="G211" s="9091"/>
      <c r="H211" s="9091"/>
      <c r="I211" s="9091"/>
      <c r="J211" s="9091"/>
      <c r="K211" s="9091"/>
      <c r="L211" s="9091"/>
      <c r="M211" s="10353"/>
      <c r="N211" s="10353"/>
      <c r="O211" s="10353"/>
      <c r="P211" s="10356"/>
      <c r="Q211" s="10356"/>
      <c r="R211" s="10359"/>
      <c r="S211" s="1371"/>
      <c r="T211" s="7257"/>
      <c r="U211" s="7257"/>
      <c r="V211" s="1153"/>
      <c r="W211" s="7295"/>
      <c r="X211" s="1151"/>
      <c r="Y211" s="7320"/>
      <c r="Z211" s="7320"/>
      <c r="AA211" s="7320"/>
      <c r="AB211" s="5978"/>
      <c r="AC211" s="5979"/>
      <c r="AD211" s="1356"/>
      <c r="AE211" s="1151"/>
      <c r="AF211" s="1152"/>
      <c r="AG211" s="151"/>
      <c r="AH211" s="10386"/>
      <c r="AI211" s="819"/>
    </row>
    <row r="212" spans="1:35" ht="26.25" customHeight="1">
      <c r="A212" s="10424"/>
      <c r="B212" s="10378"/>
      <c r="C212" s="9135"/>
      <c r="D212" s="9129"/>
      <c r="E212" s="9129"/>
      <c r="F212" s="9129"/>
      <c r="G212" s="9129"/>
      <c r="H212" s="9129"/>
      <c r="I212" s="9129"/>
      <c r="J212" s="9129"/>
      <c r="K212" s="9129"/>
      <c r="L212" s="9129"/>
      <c r="M212" s="10362"/>
      <c r="N212" s="10362"/>
      <c r="O212" s="10362"/>
      <c r="P212" s="10363"/>
      <c r="Q212" s="10363"/>
      <c r="R212" s="10365"/>
      <c r="S212" s="1372"/>
      <c r="T212" s="7258"/>
      <c r="U212" s="7258"/>
      <c r="V212" s="1155"/>
      <c r="W212" s="7302"/>
      <c r="X212" s="1158"/>
      <c r="Y212" s="7187"/>
      <c r="Z212" s="7187"/>
      <c r="AA212" s="7187"/>
      <c r="AB212" s="7188"/>
      <c r="AC212" s="7194"/>
      <c r="AD212" s="1370"/>
      <c r="AE212" s="1158"/>
      <c r="AF212" s="1159"/>
      <c r="AG212" s="158"/>
      <c r="AH212" s="10386"/>
      <c r="AI212" s="819"/>
    </row>
    <row r="213" spans="1:35" ht="27" customHeight="1">
      <c r="A213" s="10424"/>
      <c r="B213" s="10378"/>
      <c r="C213" s="9140" t="s">
        <v>127</v>
      </c>
      <c r="D213" s="9090" t="s">
        <v>128</v>
      </c>
      <c r="E213" s="9090" t="s">
        <v>129</v>
      </c>
      <c r="F213" s="9090" t="s">
        <v>464</v>
      </c>
      <c r="G213" s="9116" t="s">
        <v>131</v>
      </c>
      <c r="H213" s="9090" t="s">
        <v>158</v>
      </c>
      <c r="I213" s="9090" t="s">
        <v>159</v>
      </c>
      <c r="J213" s="9090" t="s">
        <v>3204</v>
      </c>
      <c r="K213" s="9090" t="s">
        <v>3205</v>
      </c>
      <c r="L213" s="9186" t="s">
        <v>3206</v>
      </c>
      <c r="M213" s="10376">
        <v>0</v>
      </c>
      <c r="N213" s="10376">
        <v>1</v>
      </c>
      <c r="O213" s="10376">
        <v>0</v>
      </c>
      <c r="P213" s="9090" t="s">
        <v>3207</v>
      </c>
      <c r="Q213" s="9090" t="s">
        <v>3208</v>
      </c>
      <c r="R213" s="10358" t="s">
        <v>3189</v>
      </c>
      <c r="S213" s="902"/>
      <c r="T213" s="6582"/>
      <c r="U213" s="6582"/>
      <c r="V213" s="742"/>
      <c r="W213" s="6617"/>
      <c r="X213" s="171"/>
      <c r="Y213" s="6677"/>
      <c r="Z213" s="6677"/>
      <c r="AA213" s="6677"/>
      <c r="AB213" s="5986"/>
      <c r="AC213" s="5969"/>
      <c r="AD213" s="915"/>
      <c r="AE213" s="171"/>
      <c r="AF213" s="166"/>
      <c r="AG213" s="166"/>
      <c r="AH213" s="10385"/>
      <c r="AI213" s="819"/>
    </row>
    <row r="214" spans="1:35" ht="27" customHeight="1">
      <c r="A214" s="10424"/>
      <c r="B214" s="10378"/>
      <c r="C214" s="9134"/>
      <c r="D214" s="9091"/>
      <c r="E214" s="9091"/>
      <c r="F214" s="9091"/>
      <c r="G214" s="9091"/>
      <c r="H214" s="9091"/>
      <c r="I214" s="9091"/>
      <c r="J214" s="9091"/>
      <c r="K214" s="9091"/>
      <c r="L214" s="9091"/>
      <c r="M214" s="10353"/>
      <c r="N214" s="10353"/>
      <c r="O214" s="10353"/>
      <c r="P214" s="10356"/>
      <c r="Q214" s="10356"/>
      <c r="R214" s="10359"/>
      <c r="S214" s="869"/>
      <c r="T214" s="7176"/>
      <c r="U214" s="7176"/>
      <c r="V214" s="741"/>
      <c r="W214" s="6618"/>
      <c r="X214" s="57"/>
      <c r="Y214" s="6686"/>
      <c r="Z214" s="6686"/>
      <c r="AA214" s="6686"/>
      <c r="AB214" s="5962"/>
      <c r="AC214" s="5963"/>
      <c r="AD214" s="905"/>
      <c r="AE214" s="57"/>
      <c r="AF214" s="151"/>
      <c r="AG214" s="151"/>
      <c r="AH214" s="10386"/>
      <c r="AI214" s="819"/>
    </row>
    <row r="215" spans="1:35" ht="27" customHeight="1">
      <c r="A215" s="10424"/>
      <c r="B215" s="10378"/>
      <c r="C215" s="9134"/>
      <c r="D215" s="9091"/>
      <c r="E215" s="9091"/>
      <c r="F215" s="9091"/>
      <c r="G215" s="9091"/>
      <c r="H215" s="9091"/>
      <c r="I215" s="9091"/>
      <c r="J215" s="9091"/>
      <c r="K215" s="9091"/>
      <c r="L215" s="9091"/>
      <c r="M215" s="10353"/>
      <c r="N215" s="10353"/>
      <c r="O215" s="10353"/>
      <c r="P215" s="10356"/>
      <c r="Q215" s="10356"/>
      <c r="R215" s="10359"/>
      <c r="S215" s="869"/>
      <c r="T215" s="7176"/>
      <c r="U215" s="7176"/>
      <c r="V215" s="741"/>
      <c r="W215" s="6618"/>
      <c r="X215" s="57"/>
      <c r="Y215" s="6686"/>
      <c r="Z215" s="6686"/>
      <c r="AA215" s="6686"/>
      <c r="AB215" s="5962"/>
      <c r="AC215" s="5963"/>
      <c r="AD215" s="905"/>
      <c r="AE215" s="57"/>
      <c r="AF215" s="151"/>
      <c r="AG215" s="151"/>
      <c r="AH215" s="10386"/>
      <c r="AI215" s="819"/>
    </row>
    <row r="216" spans="1:35" ht="27" customHeight="1">
      <c r="A216" s="10424"/>
      <c r="B216" s="10378"/>
      <c r="C216" s="9134"/>
      <c r="D216" s="9091"/>
      <c r="E216" s="9091"/>
      <c r="F216" s="9091"/>
      <c r="G216" s="9091"/>
      <c r="H216" s="9091"/>
      <c r="I216" s="9091"/>
      <c r="J216" s="9091"/>
      <c r="K216" s="9091"/>
      <c r="L216" s="9091"/>
      <c r="M216" s="10353"/>
      <c r="N216" s="10353"/>
      <c r="O216" s="10353"/>
      <c r="P216" s="10356"/>
      <c r="Q216" s="10356"/>
      <c r="R216" s="10359"/>
      <c r="S216" s="869"/>
      <c r="T216" s="7176"/>
      <c r="U216" s="7176"/>
      <c r="V216" s="741"/>
      <c r="W216" s="6618"/>
      <c r="X216" s="57"/>
      <c r="Y216" s="6686"/>
      <c r="Z216" s="6686"/>
      <c r="AA216" s="6686"/>
      <c r="AB216" s="5962"/>
      <c r="AC216" s="5963"/>
      <c r="AD216" s="905"/>
      <c r="AE216" s="57"/>
      <c r="AF216" s="151"/>
      <c r="AG216" s="151"/>
      <c r="AH216" s="10386"/>
      <c r="AI216" s="819"/>
    </row>
    <row r="217" spans="1:35" ht="27" customHeight="1">
      <c r="A217" s="10424"/>
      <c r="B217" s="10378"/>
      <c r="C217" s="9141"/>
      <c r="D217" s="9102"/>
      <c r="E217" s="9102"/>
      <c r="F217" s="9102"/>
      <c r="G217" s="9102"/>
      <c r="H217" s="9102"/>
      <c r="I217" s="9102"/>
      <c r="J217" s="9102"/>
      <c r="K217" s="9102"/>
      <c r="L217" s="9102"/>
      <c r="M217" s="10354"/>
      <c r="N217" s="10354"/>
      <c r="O217" s="10354"/>
      <c r="P217" s="10357"/>
      <c r="Q217" s="10357"/>
      <c r="R217" s="10360"/>
      <c r="S217" s="872"/>
      <c r="T217" s="7255"/>
      <c r="U217" s="7255"/>
      <c r="V217" s="745"/>
      <c r="W217" s="7289"/>
      <c r="X217" s="61"/>
      <c r="Y217" s="7317"/>
      <c r="Z217" s="7317"/>
      <c r="AA217" s="7317"/>
      <c r="AB217" s="5970"/>
      <c r="AC217" s="5971"/>
      <c r="AD217" s="916"/>
      <c r="AE217" s="61"/>
      <c r="AF217" s="177"/>
      <c r="AG217" s="177"/>
      <c r="AH217" s="10389"/>
      <c r="AI217" s="819"/>
    </row>
    <row r="218" spans="1:35" ht="34.5" customHeight="1">
      <c r="A218" s="10424"/>
      <c r="B218" s="10378"/>
      <c r="C218" s="9133" t="s">
        <v>127</v>
      </c>
      <c r="D218" s="9131" t="s">
        <v>128</v>
      </c>
      <c r="E218" s="9131" t="s">
        <v>129</v>
      </c>
      <c r="F218" s="9131" t="s">
        <v>2491</v>
      </c>
      <c r="G218" s="9142" t="s">
        <v>131</v>
      </c>
      <c r="H218" s="9131" t="s">
        <v>132</v>
      </c>
      <c r="I218" s="9131" t="s">
        <v>159</v>
      </c>
      <c r="J218" s="9142" t="s">
        <v>3209</v>
      </c>
      <c r="K218" s="9131" t="s">
        <v>3210</v>
      </c>
      <c r="L218" s="9131" t="s">
        <v>3211</v>
      </c>
      <c r="M218" s="10372">
        <v>1</v>
      </c>
      <c r="N218" s="10372">
        <v>0</v>
      </c>
      <c r="O218" s="10372">
        <v>0</v>
      </c>
      <c r="P218" s="9131" t="s">
        <v>3212</v>
      </c>
      <c r="Q218" s="9131" t="s">
        <v>3213</v>
      </c>
      <c r="R218" s="10364" t="s">
        <v>3189</v>
      </c>
      <c r="S218" s="874"/>
      <c r="T218" s="7175"/>
      <c r="U218" s="7175"/>
      <c r="V218" s="743"/>
      <c r="W218" s="7182"/>
      <c r="X218" s="471"/>
      <c r="Y218" s="7186"/>
      <c r="Z218" s="7186"/>
      <c r="AA218" s="7186"/>
      <c r="AB218" s="5987"/>
      <c r="AC218" s="5973"/>
      <c r="AD218" s="904"/>
      <c r="AE218" s="471"/>
      <c r="AF218" s="475"/>
      <c r="AG218" s="475"/>
      <c r="AH218" s="10388"/>
      <c r="AI218" s="819"/>
    </row>
    <row r="219" spans="1:35" ht="34.5" customHeight="1">
      <c r="A219" s="10424"/>
      <c r="B219" s="10378"/>
      <c r="C219" s="9134"/>
      <c r="D219" s="9091"/>
      <c r="E219" s="9091"/>
      <c r="F219" s="9091"/>
      <c r="G219" s="9091"/>
      <c r="H219" s="9091"/>
      <c r="I219" s="9091"/>
      <c r="J219" s="9091"/>
      <c r="K219" s="9091"/>
      <c r="L219" s="9091"/>
      <c r="M219" s="10353"/>
      <c r="N219" s="10353"/>
      <c r="O219" s="10353"/>
      <c r="P219" s="10356"/>
      <c r="Q219" s="10356"/>
      <c r="R219" s="10359"/>
      <c r="S219" s="869"/>
      <c r="T219" s="7176"/>
      <c r="U219" s="7176"/>
      <c r="V219" s="741"/>
      <c r="W219" s="6618"/>
      <c r="X219" s="57"/>
      <c r="Y219" s="6686"/>
      <c r="Z219" s="6686"/>
      <c r="AA219" s="6686"/>
      <c r="AB219" s="5962"/>
      <c r="AC219" s="5963"/>
      <c r="AD219" s="905"/>
      <c r="AE219" s="57"/>
      <c r="AF219" s="151"/>
      <c r="AG219" s="151"/>
      <c r="AH219" s="10386"/>
      <c r="AI219" s="819"/>
    </row>
    <row r="220" spans="1:35" ht="34.5" customHeight="1">
      <c r="A220" s="10424"/>
      <c r="B220" s="10378"/>
      <c r="C220" s="9134"/>
      <c r="D220" s="9091"/>
      <c r="E220" s="9091"/>
      <c r="F220" s="9091"/>
      <c r="G220" s="9091"/>
      <c r="H220" s="9091"/>
      <c r="I220" s="9091"/>
      <c r="J220" s="9091"/>
      <c r="K220" s="9091"/>
      <c r="L220" s="9091"/>
      <c r="M220" s="10353"/>
      <c r="N220" s="10353"/>
      <c r="O220" s="10353"/>
      <c r="P220" s="10356"/>
      <c r="Q220" s="10356"/>
      <c r="R220" s="10359"/>
      <c r="S220" s="869"/>
      <c r="T220" s="7176"/>
      <c r="U220" s="7176"/>
      <c r="V220" s="741"/>
      <c r="W220" s="6618"/>
      <c r="X220" s="57"/>
      <c r="Y220" s="6686"/>
      <c r="Z220" s="6686"/>
      <c r="AA220" s="6686"/>
      <c r="AB220" s="5962"/>
      <c r="AC220" s="5963"/>
      <c r="AD220" s="905"/>
      <c r="AE220" s="57"/>
      <c r="AF220" s="151"/>
      <c r="AG220" s="151"/>
      <c r="AH220" s="10386"/>
      <c r="AI220" s="819"/>
    </row>
    <row r="221" spans="1:35" ht="34.5" customHeight="1">
      <c r="A221" s="10424"/>
      <c r="B221" s="10378"/>
      <c r="C221" s="9134"/>
      <c r="D221" s="9091"/>
      <c r="E221" s="9091"/>
      <c r="F221" s="9091"/>
      <c r="G221" s="9091"/>
      <c r="H221" s="9091"/>
      <c r="I221" s="9091"/>
      <c r="J221" s="9091"/>
      <c r="K221" s="9091"/>
      <c r="L221" s="9091"/>
      <c r="M221" s="10353"/>
      <c r="N221" s="10353"/>
      <c r="O221" s="10353"/>
      <c r="P221" s="10356"/>
      <c r="Q221" s="10356"/>
      <c r="R221" s="10359"/>
      <c r="S221" s="869"/>
      <c r="T221" s="7176"/>
      <c r="U221" s="7176"/>
      <c r="V221" s="741"/>
      <c r="W221" s="6618"/>
      <c r="X221" s="57"/>
      <c r="Y221" s="6686"/>
      <c r="Z221" s="6686"/>
      <c r="AA221" s="6686"/>
      <c r="AB221" s="5962"/>
      <c r="AC221" s="5963"/>
      <c r="AD221" s="905"/>
      <c r="AE221" s="57"/>
      <c r="AF221" s="151"/>
      <c r="AG221" s="151"/>
      <c r="AH221" s="10386"/>
      <c r="AI221" s="819"/>
    </row>
    <row r="222" spans="1:35" ht="34.5" customHeight="1">
      <c r="A222" s="10424"/>
      <c r="B222" s="10378"/>
      <c r="C222" s="9135"/>
      <c r="D222" s="9129"/>
      <c r="E222" s="9129"/>
      <c r="F222" s="9129"/>
      <c r="G222" s="9129"/>
      <c r="H222" s="9129"/>
      <c r="I222" s="9129"/>
      <c r="J222" s="9129"/>
      <c r="K222" s="9129"/>
      <c r="L222" s="9129"/>
      <c r="M222" s="10362"/>
      <c r="N222" s="10362"/>
      <c r="O222" s="10362"/>
      <c r="P222" s="10363"/>
      <c r="Q222" s="10363"/>
      <c r="R222" s="10360"/>
      <c r="S222" s="870"/>
      <c r="T222" s="7254"/>
      <c r="U222" s="7254"/>
      <c r="V222" s="860"/>
      <c r="W222" s="7288"/>
      <c r="X222" s="160"/>
      <c r="Y222" s="7315"/>
      <c r="Z222" s="7315"/>
      <c r="AA222" s="7315"/>
      <c r="AB222" s="7316"/>
      <c r="AC222" s="7348"/>
      <c r="AD222" s="914"/>
      <c r="AE222" s="160"/>
      <c r="AF222" s="158"/>
      <c r="AG222" s="158"/>
      <c r="AH222" s="10386"/>
      <c r="AI222" s="819"/>
    </row>
    <row r="223" spans="1:35" ht="54.75" customHeight="1">
      <c r="A223" s="10424"/>
      <c r="B223" s="10378"/>
      <c r="C223" s="9140" t="s">
        <v>127</v>
      </c>
      <c r="D223" s="9090" t="s">
        <v>128</v>
      </c>
      <c r="E223" s="9090" t="s">
        <v>129</v>
      </c>
      <c r="F223" s="9090" t="s">
        <v>2491</v>
      </c>
      <c r="G223" s="9116" t="s">
        <v>131</v>
      </c>
      <c r="H223" s="9090" t="s">
        <v>132</v>
      </c>
      <c r="I223" s="9090" t="s">
        <v>159</v>
      </c>
      <c r="J223" s="9090" t="s">
        <v>3214</v>
      </c>
      <c r="K223" s="9090" t="s">
        <v>3215</v>
      </c>
      <c r="L223" s="9090" t="s">
        <v>3216</v>
      </c>
      <c r="M223" s="10376">
        <v>3</v>
      </c>
      <c r="N223" s="10376">
        <v>0</v>
      </c>
      <c r="O223" s="10376">
        <v>3</v>
      </c>
      <c r="P223" s="9090" t="s">
        <v>3217</v>
      </c>
      <c r="Q223" s="9090" t="s">
        <v>3218</v>
      </c>
      <c r="R223" s="10364" t="s">
        <v>3219</v>
      </c>
      <c r="S223" s="902"/>
      <c r="T223" s="6582"/>
      <c r="U223" s="6582"/>
      <c r="V223" s="742"/>
      <c r="W223" s="6617"/>
      <c r="X223" s="171"/>
      <c r="Y223" s="6677"/>
      <c r="Z223" s="6677"/>
      <c r="AA223" s="6677"/>
      <c r="AB223" s="5986"/>
      <c r="AC223" s="5969"/>
      <c r="AD223" s="915"/>
      <c r="AE223" s="171"/>
      <c r="AF223" s="166"/>
      <c r="AG223" s="166"/>
      <c r="AH223" s="10385"/>
      <c r="AI223" s="819"/>
    </row>
    <row r="224" spans="1:35" ht="54.75" customHeight="1">
      <c r="A224" s="10424"/>
      <c r="B224" s="10378"/>
      <c r="C224" s="9134"/>
      <c r="D224" s="9091"/>
      <c r="E224" s="9091"/>
      <c r="F224" s="9091"/>
      <c r="G224" s="9091"/>
      <c r="H224" s="9091"/>
      <c r="I224" s="9091"/>
      <c r="J224" s="9091"/>
      <c r="K224" s="9091"/>
      <c r="L224" s="9091"/>
      <c r="M224" s="10353"/>
      <c r="N224" s="10353"/>
      <c r="O224" s="10353"/>
      <c r="P224" s="10356"/>
      <c r="Q224" s="10356"/>
      <c r="R224" s="10359"/>
      <c r="S224" s="869"/>
      <c r="T224" s="7176"/>
      <c r="U224" s="7176"/>
      <c r="V224" s="741"/>
      <c r="W224" s="6618"/>
      <c r="X224" s="57"/>
      <c r="Y224" s="6686"/>
      <c r="Z224" s="6686"/>
      <c r="AA224" s="6686"/>
      <c r="AB224" s="5962"/>
      <c r="AC224" s="5963"/>
      <c r="AD224" s="905"/>
      <c r="AE224" s="57"/>
      <c r="AF224" s="151"/>
      <c r="AG224" s="151"/>
      <c r="AH224" s="10386"/>
      <c r="AI224" s="819"/>
    </row>
    <row r="225" spans="1:35" ht="54.75" customHeight="1">
      <c r="A225" s="10424"/>
      <c r="B225" s="10378"/>
      <c r="C225" s="9134"/>
      <c r="D225" s="9091"/>
      <c r="E225" s="9091"/>
      <c r="F225" s="9091"/>
      <c r="G225" s="9091"/>
      <c r="H225" s="9091"/>
      <c r="I225" s="9091"/>
      <c r="J225" s="9091"/>
      <c r="K225" s="9091"/>
      <c r="L225" s="9091"/>
      <c r="M225" s="10353"/>
      <c r="N225" s="10353"/>
      <c r="O225" s="10353"/>
      <c r="P225" s="10356"/>
      <c r="Q225" s="10356"/>
      <c r="R225" s="10359"/>
      <c r="S225" s="869"/>
      <c r="T225" s="7176"/>
      <c r="U225" s="7176"/>
      <c r="V225" s="741"/>
      <c r="W225" s="6618"/>
      <c r="X225" s="57"/>
      <c r="Y225" s="6686"/>
      <c r="Z225" s="6686"/>
      <c r="AA225" s="6686"/>
      <c r="AB225" s="5962"/>
      <c r="AC225" s="5963"/>
      <c r="AD225" s="905"/>
      <c r="AE225" s="57"/>
      <c r="AF225" s="151"/>
      <c r="AG225" s="151"/>
      <c r="AH225" s="10386"/>
      <c r="AI225" s="819"/>
    </row>
    <row r="226" spans="1:35" ht="54.75" customHeight="1">
      <c r="A226" s="10424"/>
      <c r="B226" s="10378"/>
      <c r="C226" s="9134"/>
      <c r="D226" s="9091"/>
      <c r="E226" s="9091"/>
      <c r="F226" s="9091"/>
      <c r="G226" s="9091"/>
      <c r="H226" s="9091"/>
      <c r="I226" s="9091"/>
      <c r="J226" s="9091"/>
      <c r="K226" s="9091"/>
      <c r="L226" s="9091"/>
      <c r="M226" s="10353"/>
      <c r="N226" s="10353"/>
      <c r="O226" s="10353"/>
      <c r="P226" s="10356"/>
      <c r="Q226" s="10356"/>
      <c r="R226" s="10359"/>
      <c r="S226" s="871"/>
      <c r="T226" s="6583"/>
      <c r="U226" s="6583"/>
      <c r="V226" s="741"/>
      <c r="W226" s="6618"/>
      <c r="X226" s="57"/>
      <c r="Y226" s="6686"/>
      <c r="Z226" s="6686"/>
      <c r="AA226" s="6686"/>
      <c r="AB226" s="5962"/>
      <c r="AC226" s="5963"/>
      <c r="AD226" s="905"/>
      <c r="AE226" s="57"/>
      <c r="AF226" s="151"/>
      <c r="AG226" s="151"/>
      <c r="AH226" s="10386"/>
      <c r="AI226" s="819"/>
    </row>
    <row r="227" spans="1:35" ht="54.75" customHeight="1">
      <c r="A227" s="10424"/>
      <c r="B227" s="10378"/>
      <c r="C227" s="9141"/>
      <c r="D227" s="9102"/>
      <c r="E227" s="9102"/>
      <c r="F227" s="9102"/>
      <c r="G227" s="9102"/>
      <c r="H227" s="9102"/>
      <c r="I227" s="9102"/>
      <c r="J227" s="9102"/>
      <c r="K227" s="9102"/>
      <c r="L227" s="9102"/>
      <c r="M227" s="10354"/>
      <c r="N227" s="10354"/>
      <c r="O227" s="10354"/>
      <c r="P227" s="10357"/>
      <c r="Q227" s="10357"/>
      <c r="R227" s="10360"/>
      <c r="S227" s="872"/>
      <c r="T227" s="7255"/>
      <c r="U227" s="7255"/>
      <c r="V227" s="745"/>
      <c r="W227" s="7289"/>
      <c r="X227" s="61"/>
      <c r="Y227" s="7317"/>
      <c r="Z227" s="7317"/>
      <c r="AA227" s="7317"/>
      <c r="AB227" s="5970"/>
      <c r="AC227" s="5971"/>
      <c r="AD227" s="916"/>
      <c r="AE227" s="61"/>
      <c r="AF227" s="177"/>
      <c r="AG227" s="177"/>
      <c r="AH227" s="10389"/>
      <c r="AI227" s="819"/>
    </row>
    <row r="228" spans="1:35" ht="28.5" customHeight="1">
      <c r="A228" s="10424"/>
      <c r="B228" s="10378"/>
      <c r="C228" s="9133" t="s">
        <v>127</v>
      </c>
      <c r="D228" s="9131" t="s">
        <v>128</v>
      </c>
      <c r="E228" s="9131" t="s">
        <v>129</v>
      </c>
      <c r="F228" s="9131" t="s">
        <v>157</v>
      </c>
      <c r="G228" s="9142" t="s">
        <v>131</v>
      </c>
      <c r="H228" s="9131" t="s">
        <v>132</v>
      </c>
      <c r="I228" s="9131" t="s">
        <v>159</v>
      </c>
      <c r="J228" s="9131" t="s">
        <v>3220</v>
      </c>
      <c r="K228" s="9131" t="s">
        <v>3221</v>
      </c>
      <c r="L228" s="9131" t="s">
        <v>3222</v>
      </c>
      <c r="M228" s="10372">
        <v>15</v>
      </c>
      <c r="N228" s="10372">
        <v>15</v>
      </c>
      <c r="O228" s="10372">
        <v>10</v>
      </c>
      <c r="P228" s="9131" t="s">
        <v>3223</v>
      </c>
      <c r="Q228" s="9131" t="s">
        <v>3224</v>
      </c>
      <c r="R228" s="10364" t="s">
        <v>3189</v>
      </c>
      <c r="S228" s="874"/>
      <c r="T228" s="7175"/>
      <c r="U228" s="7175"/>
      <c r="V228" s="743"/>
      <c r="W228" s="7182"/>
      <c r="X228" s="471"/>
      <c r="Y228" s="7186"/>
      <c r="Z228" s="7186"/>
      <c r="AA228" s="7186"/>
      <c r="AB228" s="5987"/>
      <c r="AC228" s="5973"/>
      <c r="AD228" s="904"/>
      <c r="AE228" s="471"/>
      <c r="AF228" s="471"/>
      <c r="AG228" s="471"/>
      <c r="AH228" s="10388"/>
      <c r="AI228" s="819"/>
    </row>
    <row r="229" spans="1:35" ht="28.5" customHeight="1">
      <c r="A229" s="10424"/>
      <c r="B229" s="10378"/>
      <c r="C229" s="9134"/>
      <c r="D229" s="9091"/>
      <c r="E229" s="9091"/>
      <c r="F229" s="9091"/>
      <c r="G229" s="9091"/>
      <c r="H229" s="9091"/>
      <c r="I229" s="9091"/>
      <c r="J229" s="9091"/>
      <c r="K229" s="9091"/>
      <c r="L229" s="9091"/>
      <c r="M229" s="10353"/>
      <c r="N229" s="10353"/>
      <c r="O229" s="10353"/>
      <c r="P229" s="10356"/>
      <c r="Q229" s="10356"/>
      <c r="R229" s="10359"/>
      <c r="S229" s="869"/>
      <c r="T229" s="7176"/>
      <c r="U229" s="7176"/>
      <c r="V229" s="741"/>
      <c r="W229" s="6618"/>
      <c r="X229" s="57"/>
      <c r="Y229" s="6686"/>
      <c r="Z229" s="6686"/>
      <c r="AA229" s="6686"/>
      <c r="AB229" s="5962"/>
      <c r="AC229" s="5963"/>
      <c r="AD229" s="905"/>
      <c r="AE229" s="57"/>
      <c r="AF229" s="57"/>
      <c r="AG229" s="57"/>
      <c r="AH229" s="10386"/>
      <c r="AI229" s="819"/>
    </row>
    <row r="230" spans="1:35" ht="28.5" customHeight="1">
      <c r="A230" s="10424"/>
      <c r="B230" s="10378"/>
      <c r="C230" s="9134"/>
      <c r="D230" s="9091"/>
      <c r="E230" s="9091"/>
      <c r="F230" s="9091"/>
      <c r="G230" s="9091"/>
      <c r="H230" s="9091"/>
      <c r="I230" s="9091"/>
      <c r="J230" s="9091"/>
      <c r="K230" s="9091"/>
      <c r="L230" s="9091"/>
      <c r="M230" s="10353"/>
      <c r="N230" s="10353"/>
      <c r="O230" s="10353"/>
      <c r="P230" s="10356"/>
      <c r="Q230" s="10356"/>
      <c r="R230" s="10359"/>
      <c r="S230" s="869"/>
      <c r="T230" s="7176"/>
      <c r="U230" s="7176"/>
      <c r="V230" s="741"/>
      <c r="W230" s="6618"/>
      <c r="X230" s="57"/>
      <c r="Y230" s="6686"/>
      <c r="Z230" s="6686"/>
      <c r="AA230" s="6686"/>
      <c r="AB230" s="5962"/>
      <c r="AC230" s="5963"/>
      <c r="AD230" s="905"/>
      <c r="AE230" s="57"/>
      <c r="AF230" s="57"/>
      <c r="AG230" s="151"/>
      <c r="AH230" s="10386"/>
      <c r="AI230" s="819"/>
    </row>
    <row r="231" spans="1:35" ht="28.5" customHeight="1">
      <c r="A231" s="10424"/>
      <c r="B231" s="10378"/>
      <c r="C231" s="9134"/>
      <c r="D231" s="9091"/>
      <c r="E231" s="9091"/>
      <c r="F231" s="9091"/>
      <c r="G231" s="9091"/>
      <c r="H231" s="9091"/>
      <c r="I231" s="9091"/>
      <c r="J231" s="9091"/>
      <c r="K231" s="9091"/>
      <c r="L231" s="9091"/>
      <c r="M231" s="10353"/>
      <c r="N231" s="10353"/>
      <c r="O231" s="10353"/>
      <c r="P231" s="10356"/>
      <c r="Q231" s="10356"/>
      <c r="R231" s="10359"/>
      <c r="S231" s="869"/>
      <c r="T231" s="7176"/>
      <c r="U231" s="7176"/>
      <c r="V231" s="741"/>
      <c r="W231" s="6618"/>
      <c r="X231" s="57"/>
      <c r="Y231" s="6686"/>
      <c r="Z231" s="6686"/>
      <c r="AA231" s="6686"/>
      <c r="AB231" s="5962"/>
      <c r="AC231" s="5963"/>
      <c r="AD231" s="905"/>
      <c r="AE231" s="57"/>
      <c r="AF231" s="57"/>
      <c r="AG231" s="151"/>
      <c r="AH231" s="10386"/>
      <c r="AI231" s="819"/>
    </row>
    <row r="232" spans="1:35" ht="28.5" customHeight="1">
      <c r="A232" s="10424"/>
      <c r="B232" s="10378"/>
      <c r="C232" s="9135"/>
      <c r="D232" s="9129"/>
      <c r="E232" s="9129"/>
      <c r="F232" s="9129"/>
      <c r="G232" s="9129"/>
      <c r="H232" s="9129"/>
      <c r="I232" s="9129"/>
      <c r="J232" s="9129"/>
      <c r="K232" s="9129"/>
      <c r="L232" s="9129"/>
      <c r="M232" s="10362"/>
      <c r="N232" s="10362"/>
      <c r="O232" s="10362"/>
      <c r="P232" s="10363"/>
      <c r="Q232" s="10363"/>
      <c r="R232" s="10365"/>
      <c r="S232" s="870"/>
      <c r="T232" s="7254"/>
      <c r="U232" s="7254"/>
      <c r="V232" s="860"/>
      <c r="W232" s="7288"/>
      <c r="X232" s="160"/>
      <c r="Y232" s="7315"/>
      <c r="Z232" s="7315"/>
      <c r="AA232" s="7315"/>
      <c r="AB232" s="7316"/>
      <c r="AC232" s="7348"/>
      <c r="AD232" s="914"/>
      <c r="AE232" s="160"/>
      <c r="AF232" s="160"/>
      <c r="AG232" s="158"/>
      <c r="AH232" s="10386"/>
      <c r="AI232" s="819"/>
    </row>
    <row r="233" spans="1:35" ht="29.25" customHeight="1">
      <c r="A233" s="10424"/>
      <c r="B233" s="10378"/>
      <c r="C233" s="9140" t="s">
        <v>127</v>
      </c>
      <c r="D233" s="9090" t="s">
        <v>128</v>
      </c>
      <c r="E233" s="9090" t="s">
        <v>129</v>
      </c>
      <c r="F233" s="9090" t="s">
        <v>336</v>
      </c>
      <c r="G233" s="9116" t="s">
        <v>131</v>
      </c>
      <c r="H233" s="9090" t="s">
        <v>132</v>
      </c>
      <c r="I233" s="9090" t="s">
        <v>159</v>
      </c>
      <c r="J233" s="9090" t="s">
        <v>3225</v>
      </c>
      <c r="K233" s="9090" t="s">
        <v>3226</v>
      </c>
      <c r="L233" s="9090" t="s">
        <v>3227</v>
      </c>
      <c r="M233" s="10376">
        <v>50</v>
      </c>
      <c r="N233" s="10376">
        <v>50</v>
      </c>
      <c r="O233" s="10376">
        <v>50</v>
      </c>
      <c r="P233" s="9090" t="s">
        <v>3228</v>
      </c>
      <c r="Q233" s="9090" t="s">
        <v>3229</v>
      </c>
      <c r="R233" s="10358" t="s">
        <v>3219</v>
      </c>
      <c r="S233" s="902"/>
      <c r="T233" s="6582"/>
      <c r="U233" s="6582"/>
      <c r="V233" s="742"/>
      <c r="W233" s="6617"/>
      <c r="X233" s="171"/>
      <c r="Y233" s="6677"/>
      <c r="Z233" s="6677"/>
      <c r="AA233" s="6677"/>
      <c r="AB233" s="5986"/>
      <c r="AC233" s="5969"/>
      <c r="AD233" s="915"/>
      <c r="AE233" s="171"/>
      <c r="AF233" s="166"/>
      <c r="AG233" s="166"/>
      <c r="AH233" s="10385"/>
      <c r="AI233" s="819"/>
    </row>
    <row r="234" spans="1:35" ht="29.25" customHeight="1">
      <c r="A234" s="10424"/>
      <c r="B234" s="10378"/>
      <c r="C234" s="9134"/>
      <c r="D234" s="9091"/>
      <c r="E234" s="9091"/>
      <c r="F234" s="9091"/>
      <c r="G234" s="9091"/>
      <c r="H234" s="9091"/>
      <c r="I234" s="9091"/>
      <c r="J234" s="9091"/>
      <c r="K234" s="9091"/>
      <c r="L234" s="9091"/>
      <c r="M234" s="10353"/>
      <c r="N234" s="10353"/>
      <c r="O234" s="10353"/>
      <c r="P234" s="10356"/>
      <c r="Q234" s="10356"/>
      <c r="R234" s="10359"/>
      <c r="S234" s="869"/>
      <c r="T234" s="7176"/>
      <c r="U234" s="7176"/>
      <c r="V234" s="741"/>
      <c r="W234" s="6618"/>
      <c r="X234" s="57"/>
      <c r="Y234" s="6686"/>
      <c r="Z234" s="6686"/>
      <c r="AA234" s="6686"/>
      <c r="AB234" s="5962"/>
      <c r="AC234" s="5963"/>
      <c r="AD234" s="905"/>
      <c r="AE234" s="57"/>
      <c r="AF234" s="151"/>
      <c r="AG234" s="151"/>
      <c r="AH234" s="10386"/>
      <c r="AI234" s="819"/>
    </row>
    <row r="235" spans="1:35" ht="29.25" customHeight="1">
      <c r="A235" s="10424"/>
      <c r="B235" s="10378"/>
      <c r="C235" s="9134"/>
      <c r="D235" s="9091"/>
      <c r="E235" s="9091"/>
      <c r="F235" s="9091"/>
      <c r="G235" s="9091"/>
      <c r="H235" s="9091"/>
      <c r="I235" s="9091"/>
      <c r="J235" s="9091"/>
      <c r="K235" s="9091"/>
      <c r="L235" s="9091"/>
      <c r="M235" s="10353"/>
      <c r="N235" s="10353"/>
      <c r="O235" s="10353"/>
      <c r="P235" s="10356"/>
      <c r="Q235" s="10356"/>
      <c r="R235" s="10359"/>
      <c r="S235" s="869"/>
      <c r="T235" s="7176"/>
      <c r="U235" s="7176"/>
      <c r="V235" s="741"/>
      <c r="W235" s="6618"/>
      <c r="X235" s="57"/>
      <c r="Y235" s="6686"/>
      <c r="Z235" s="6686"/>
      <c r="AA235" s="6686"/>
      <c r="AB235" s="5962"/>
      <c r="AC235" s="5963"/>
      <c r="AD235" s="905"/>
      <c r="AE235" s="57"/>
      <c r="AF235" s="151"/>
      <c r="AG235" s="151"/>
      <c r="AH235" s="10386"/>
      <c r="AI235" s="819"/>
    </row>
    <row r="236" spans="1:35" ht="29.25" customHeight="1">
      <c r="A236" s="10424"/>
      <c r="B236" s="10378"/>
      <c r="C236" s="9134"/>
      <c r="D236" s="9091"/>
      <c r="E236" s="9091"/>
      <c r="F236" s="9091"/>
      <c r="G236" s="9091"/>
      <c r="H236" s="9091"/>
      <c r="I236" s="9091"/>
      <c r="J236" s="9091"/>
      <c r="K236" s="9091"/>
      <c r="L236" s="9091"/>
      <c r="M236" s="10353"/>
      <c r="N236" s="10353"/>
      <c r="O236" s="10353"/>
      <c r="P236" s="10356"/>
      <c r="Q236" s="10356"/>
      <c r="R236" s="10359"/>
      <c r="S236" s="869"/>
      <c r="T236" s="7176"/>
      <c r="U236" s="7176"/>
      <c r="V236" s="741"/>
      <c r="W236" s="6618"/>
      <c r="X236" s="57"/>
      <c r="Y236" s="6686"/>
      <c r="Z236" s="6686"/>
      <c r="AA236" s="6686"/>
      <c r="AB236" s="5962"/>
      <c r="AC236" s="5963"/>
      <c r="AD236" s="905"/>
      <c r="AE236" s="57"/>
      <c r="AF236" s="151"/>
      <c r="AG236" s="151"/>
      <c r="AH236" s="10386"/>
      <c r="AI236" s="819"/>
    </row>
    <row r="237" spans="1:35" ht="29.25" customHeight="1">
      <c r="A237" s="10424"/>
      <c r="B237" s="10378"/>
      <c r="C237" s="9141"/>
      <c r="D237" s="9102"/>
      <c r="E237" s="9102"/>
      <c r="F237" s="9102"/>
      <c r="G237" s="9102"/>
      <c r="H237" s="9102"/>
      <c r="I237" s="9102"/>
      <c r="J237" s="9102"/>
      <c r="K237" s="9102"/>
      <c r="L237" s="9102"/>
      <c r="M237" s="10354"/>
      <c r="N237" s="10354"/>
      <c r="O237" s="10354"/>
      <c r="P237" s="10357"/>
      <c r="Q237" s="10357"/>
      <c r="R237" s="10360"/>
      <c r="S237" s="872"/>
      <c r="T237" s="7255"/>
      <c r="U237" s="7255"/>
      <c r="V237" s="745"/>
      <c r="W237" s="7289"/>
      <c r="X237" s="61"/>
      <c r="Y237" s="7317"/>
      <c r="Z237" s="7317"/>
      <c r="AA237" s="7317"/>
      <c r="AB237" s="5970"/>
      <c r="AC237" s="5971"/>
      <c r="AD237" s="916"/>
      <c r="AE237" s="61"/>
      <c r="AF237" s="177"/>
      <c r="AG237" s="177"/>
      <c r="AH237" s="10389"/>
      <c r="AI237" s="819"/>
    </row>
    <row r="238" spans="1:35" ht="32.25" customHeight="1">
      <c r="A238" s="10424"/>
      <c r="B238" s="10378"/>
      <c r="C238" s="9133" t="s">
        <v>127</v>
      </c>
      <c r="D238" s="9131" t="s">
        <v>128</v>
      </c>
      <c r="E238" s="9131" t="s">
        <v>129</v>
      </c>
      <c r="F238" s="9131" t="s">
        <v>2961</v>
      </c>
      <c r="G238" s="9142" t="s">
        <v>131</v>
      </c>
      <c r="H238" s="9131" t="s">
        <v>132</v>
      </c>
      <c r="I238" s="9131" t="s">
        <v>159</v>
      </c>
      <c r="J238" s="10432" t="s">
        <v>3230</v>
      </c>
      <c r="K238" s="9131" t="s">
        <v>3231</v>
      </c>
      <c r="L238" s="9131" t="s">
        <v>3232</v>
      </c>
      <c r="M238" s="10372">
        <v>4</v>
      </c>
      <c r="N238" s="10372">
        <v>4</v>
      </c>
      <c r="O238" s="10372">
        <v>3</v>
      </c>
      <c r="P238" s="9131" t="s">
        <v>3233</v>
      </c>
      <c r="Q238" s="9131" t="s">
        <v>3234</v>
      </c>
      <c r="R238" s="10364" t="s">
        <v>3219</v>
      </c>
      <c r="S238" s="874"/>
      <c r="T238" s="7175"/>
      <c r="U238" s="7175"/>
      <c r="V238" s="743"/>
      <c r="W238" s="7182"/>
      <c r="X238" s="471"/>
      <c r="Y238" s="7186"/>
      <c r="Z238" s="7186"/>
      <c r="AA238" s="7186"/>
      <c r="AB238" s="5987"/>
      <c r="AC238" s="5973"/>
      <c r="AD238" s="904"/>
      <c r="AE238" s="471"/>
      <c r="AF238" s="475"/>
      <c r="AG238" s="475"/>
      <c r="AH238" s="10388"/>
      <c r="AI238" s="819"/>
    </row>
    <row r="239" spans="1:35" ht="32.25" customHeight="1">
      <c r="A239" s="10424"/>
      <c r="B239" s="10378"/>
      <c r="C239" s="9134"/>
      <c r="D239" s="9091"/>
      <c r="E239" s="9091"/>
      <c r="F239" s="9091"/>
      <c r="G239" s="9091"/>
      <c r="H239" s="9091"/>
      <c r="I239" s="9091"/>
      <c r="J239" s="9091"/>
      <c r="K239" s="9091"/>
      <c r="L239" s="9091"/>
      <c r="M239" s="10353"/>
      <c r="N239" s="10353"/>
      <c r="O239" s="10353"/>
      <c r="P239" s="10356"/>
      <c r="Q239" s="10356"/>
      <c r="R239" s="10359"/>
      <c r="S239" s="869"/>
      <c r="T239" s="7176"/>
      <c r="U239" s="7176"/>
      <c r="V239" s="741"/>
      <c r="W239" s="6618"/>
      <c r="X239" s="57"/>
      <c r="Y239" s="6686"/>
      <c r="Z239" s="6686"/>
      <c r="AA239" s="6686"/>
      <c r="AB239" s="5962"/>
      <c r="AC239" s="5963"/>
      <c r="AD239" s="905"/>
      <c r="AE239" s="57"/>
      <c r="AF239" s="151"/>
      <c r="AG239" s="151"/>
      <c r="AH239" s="10386"/>
      <c r="AI239" s="819"/>
    </row>
    <row r="240" spans="1:35" ht="32.25" customHeight="1">
      <c r="A240" s="10424"/>
      <c r="B240" s="10378"/>
      <c r="C240" s="9134"/>
      <c r="D240" s="9091"/>
      <c r="E240" s="9091"/>
      <c r="F240" s="9091"/>
      <c r="G240" s="9091"/>
      <c r="H240" s="9091"/>
      <c r="I240" s="9091"/>
      <c r="J240" s="9091"/>
      <c r="K240" s="9091"/>
      <c r="L240" s="9091"/>
      <c r="M240" s="10353"/>
      <c r="N240" s="10353"/>
      <c r="O240" s="10353"/>
      <c r="P240" s="10356"/>
      <c r="Q240" s="10356"/>
      <c r="R240" s="10359"/>
      <c r="S240" s="869"/>
      <c r="T240" s="7176"/>
      <c r="U240" s="7176"/>
      <c r="V240" s="741"/>
      <c r="W240" s="6618"/>
      <c r="X240" s="57"/>
      <c r="Y240" s="6686"/>
      <c r="Z240" s="6686"/>
      <c r="AA240" s="6686"/>
      <c r="AB240" s="5962"/>
      <c r="AC240" s="5963"/>
      <c r="AD240" s="905"/>
      <c r="AE240" s="57"/>
      <c r="AF240" s="151"/>
      <c r="AG240" s="151"/>
      <c r="AH240" s="10386"/>
      <c r="AI240" s="819"/>
    </row>
    <row r="241" spans="1:35" ht="32.25" customHeight="1">
      <c r="A241" s="10424"/>
      <c r="B241" s="10378"/>
      <c r="C241" s="9134"/>
      <c r="D241" s="9091"/>
      <c r="E241" s="9091"/>
      <c r="F241" s="9091"/>
      <c r="G241" s="9091"/>
      <c r="H241" s="9091"/>
      <c r="I241" s="9091"/>
      <c r="J241" s="9091"/>
      <c r="K241" s="9091"/>
      <c r="L241" s="9091"/>
      <c r="M241" s="10353"/>
      <c r="N241" s="10353"/>
      <c r="O241" s="10353"/>
      <c r="P241" s="10356"/>
      <c r="Q241" s="10356"/>
      <c r="R241" s="10359"/>
      <c r="S241" s="869"/>
      <c r="T241" s="7176"/>
      <c r="U241" s="7176"/>
      <c r="V241" s="741"/>
      <c r="W241" s="6618"/>
      <c r="X241" s="57"/>
      <c r="Y241" s="6686"/>
      <c r="Z241" s="6686"/>
      <c r="AA241" s="6686"/>
      <c r="AB241" s="5962"/>
      <c r="AC241" s="5963"/>
      <c r="AD241" s="905"/>
      <c r="AE241" s="57"/>
      <c r="AF241" s="151"/>
      <c r="AG241" s="151"/>
      <c r="AH241" s="10386"/>
      <c r="AI241" s="819"/>
    </row>
    <row r="242" spans="1:35" ht="32.25" customHeight="1">
      <c r="A242" s="10424"/>
      <c r="B242" s="10378"/>
      <c r="C242" s="9135"/>
      <c r="D242" s="9129"/>
      <c r="E242" s="9129"/>
      <c r="F242" s="9129"/>
      <c r="G242" s="9129"/>
      <c r="H242" s="9129"/>
      <c r="I242" s="9129"/>
      <c r="J242" s="9129"/>
      <c r="K242" s="9129"/>
      <c r="L242" s="9129"/>
      <c r="M242" s="10362"/>
      <c r="N242" s="10362"/>
      <c r="O242" s="10362"/>
      <c r="P242" s="10363"/>
      <c r="Q242" s="10363"/>
      <c r="R242" s="10365"/>
      <c r="S242" s="870"/>
      <c r="T242" s="7254"/>
      <c r="U242" s="7254"/>
      <c r="V242" s="860"/>
      <c r="W242" s="7288"/>
      <c r="X242" s="160"/>
      <c r="Y242" s="7315"/>
      <c r="Z242" s="7315"/>
      <c r="AA242" s="7315"/>
      <c r="AB242" s="7316"/>
      <c r="AC242" s="7348"/>
      <c r="AD242" s="914"/>
      <c r="AE242" s="160"/>
      <c r="AF242" s="158"/>
      <c r="AG242" s="158"/>
      <c r="AH242" s="10386"/>
      <c r="AI242" s="819"/>
    </row>
    <row r="243" spans="1:35" ht="26.25" customHeight="1">
      <c r="A243" s="10424"/>
      <c r="B243" s="10378"/>
      <c r="C243" s="9140" t="s">
        <v>127</v>
      </c>
      <c r="D243" s="9090" t="s">
        <v>128</v>
      </c>
      <c r="E243" s="9090" t="s">
        <v>129</v>
      </c>
      <c r="F243" s="9090" t="s">
        <v>2961</v>
      </c>
      <c r="G243" s="9116" t="s">
        <v>131</v>
      </c>
      <c r="H243" s="9090" t="s">
        <v>132</v>
      </c>
      <c r="I243" s="9090" t="s">
        <v>159</v>
      </c>
      <c r="J243" s="10431" t="s">
        <v>3235</v>
      </c>
      <c r="K243" s="9090" t="s">
        <v>286</v>
      </c>
      <c r="L243" s="9090" t="s">
        <v>3236</v>
      </c>
      <c r="M243" s="10376">
        <v>0</v>
      </c>
      <c r="N243" s="10376">
        <v>1</v>
      </c>
      <c r="O243" s="10376">
        <v>1</v>
      </c>
      <c r="P243" s="9090" t="s">
        <v>3237</v>
      </c>
      <c r="Q243" s="9090" t="s">
        <v>3238</v>
      </c>
      <c r="R243" s="10358" t="s">
        <v>3219</v>
      </c>
      <c r="S243" s="902"/>
      <c r="T243" s="6582"/>
      <c r="U243" s="6582"/>
      <c r="V243" s="742"/>
      <c r="W243" s="6617"/>
      <c r="X243" s="171"/>
      <c r="Y243" s="6677"/>
      <c r="Z243" s="6677"/>
      <c r="AA243" s="6677"/>
      <c r="AB243" s="5986"/>
      <c r="AC243" s="5969"/>
      <c r="AD243" s="915"/>
      <c r="AE243" s="171"/>
      <c r="AF243" s="166"/>
      <c r="AG243" s="166"/>
      <c r="AH243" s="10385"/>
      <c r="AI243" s="819"/>
    </row>
    <row r="244" spans="1:35" ht="26.25" customHeight="1">
      <c r="A244" s="10424"/>
      <c r="B244" s="10378"/>
      <c r="C244" s="9134"/>
      <c r="D244" s="9091"/>
      <c r="E244" s="9091"/>
      <c r="F244" s="9091"/>
      <c r="G244" s="9091"/>
      <c r="H244" s="9091"/>
      <c r="I244" s="9091"/>
      <c r="J244" s="9091"/>
      <c r="K244" s="9091"/>
      <c r="L244" s="9091"/>
      <c r="M244" s="10353"/>
      <c r="N244" s="10353"/>
      <c r="O244" s="10353"/>
      <c r="P244" s="10356"/>
      <c r="Q244" s="10356"/>
      <c r="R244" s="10359"/>
      <c r="S244" s="869"/>
      <c r="T244" s="7176"/>
      <c r="U244" s="7176"/>
      <c r="V244" s="741"/>
      <c r="W244" s="6618"/>
      <c r="X244" s="57"/>
      <c r="Y244" s="6686"/>
      <c r="Z244" s="6686"/>
      <c r="AA244" s="6686"/>
      <c r="AB244" s="5962"/>
      <c r="AC244" s="5963"/>
      <c r="AD244" s="905"/>
      <c r="AE244" s="57"/>
      <c r="AF244" s="151"/>
      <c r="AG244" s="151"/>
      <c r="AH244" s="10386"/>
      <c r="AI244" s="819"/>
    </row>
    <row r="245" spans="1:35" ht="26.25" customHeight="1">
      <c r="A245" s="10424"/>
      <c r="B245" s="10378"/>
      <c r="C245" s="9134"/>
      <c r="D245" s="9091"/>
      <c r="E245" s="9091"/>
      <c r="F245" s="9091"/>
      <c r="G245" s="9091"/>
      <c r="H245" s="9091"/>
      <c r="I245" s="9091"/>
      <c r="J245" s="9091"/>
      <c r="K245" s="9091"/>
      <c r="L245" s="9091"/>
      <c r="M245" s="10353"/>
      <c r="N245" s="10353"/>
      <c r="O245" s="10353"/>
      <c r="P245" s="10356"/>
      <c r="Q245" s="10356"/>
      <c r="R245" s="10359"/>
      <c r="S245" s="869"/>
      <c r="T245" s="7176"/>
      <c r="U245" s="7176"/>
      <c r="V245" s="741"/>
      <c r="W245" s="6618"/>
      <c r="X245" s="57"/>
      <c r="Y245" s="6686"/>
      <c r="Z245" s="6686"/>
      <c r="AA245" s="6686"/>
      <c r="AB245" s="5962"/>
      <c r="AC245" s="5963"/>
      <c r="AD245" s="905"/>
      <c r="AE245" s="57"/>
      <c r="AF245" s="151"/>
      <c r="AG245" s="151"/>
      <c r="AH245" s="10386"/>
      <c r="AI245" s="819"/>
    </row>
    <row r="246" spans="1:35" ht="26.25" customHeight="1">
      <c r="A246" s="10424"/>
      <c r="B246" s="10378"/>
      <c r="C246" s="9134"/>
      <c r="D246" s="9091"/>
      <c r="E246" s="9091"/>
      <c r="F246" s="9091"/>
      <c r="G246" s="9091"/>
      <c r="H246" s="9091"/>
      <c r="I246" s="9091"/>
      <c r="J246" s="9091"/>
      <c r="K246" s="9091"/>
      <c r="L246" s="9091"/>
      <c r="M246" s="10353"/>
      <c r="N246" s="10353"/>
      <c r="O246" s="10353"/>
      <c r="P246" s="10356"/>
      <c r="Q246" s="10356"/>
      <c r="R246" s="10359"/>
      <c r="S246" s="869"/>
      <c r="T246" s="7176"/>
      <c r="U246" s="7176"/>
      <c r="V246" s="741"/>
      <c r="W246" s="6618"/>
      <c r="X246" s="57"/>
      <c r="Y246" s="6686"/>
      <c r="Z246" s="6686"/>
      <c r="AA246" s="6686"/>
      <c r="AB246" s="5962"/>
      <c r="AC246" s="5963"/>
      <c r="AD246" s="905"/>
      <c r="AE246" s="57"/>
      <c r="AF246" s="151"/>
      <c r="AG246" s="151"/>
      <c r="AH246" s="10386"/>
      <c r="AI246" s="819"/>
    </row>
    <row r="247" spans="1:35" ht="26.25" customHeight="1">
      <c r="A247" s="10424"/>
      <c r="B247" s="10378"/>
      <c r="C247" s="9135"/>
      <c r="D247" s="9129"/>
      <c r="E247" s="9129"/>
      <c r="F247" s="9129"/>
      <c r="G247" s="9129"/>
      <c r="H247" s="9129"/>
      <c r="I247" s="9129"/>
      <c r="J247" s="9129"/>
      <c r="K247" s="9129"/>
      <c r="L247" s="9129"/>
      <c r="M247" s="10362"/>
      <c r="N247" s="10362"/>
      <c r="O247" s="10362"/>
      <c r="P247" s="10363"/>
      <c r="Q247" s="10363"/>
      <c r="R247" s="10365"/>
      <c r="S247" s="870"/>
      <c r="T247" s="7254"/>
      <c r="U247" s="7254"/>
      <c r="V247" s="860"/>
      <c r="W247" s="7288"/>
      <c r="X247" s="160"/>
      <c r="Y247" s="7315"/>
      <c r="Z247" s="7315"/>
      <c r="AA247" s="7315"/>
      <c r="AB247" s="7316"/>
      <c r="AC247" s="7348"/>
      <c r="AD247" s="914"/>
      <c r="AE247" s="160"/>
      <c r="AF247" s="158"/>
      <c r="AG247" s="158"/>
      <c r="AH247" s="10386"/>
      <c r="AI247" s="819"/>
    </row>
    <row r="248" spans="1:35" ht="27.75" customHeight="1">
      <c r="A248" s="10424"/>
      <c r="B248" s="10378"/>
      <c r="C248" s="9140" t="s">
        <v>127</v>
      </c>
      <c r="D248" s="9090" t="s">
        <v>128</v>
      </c>
      <c r="E248" s="9090" t="s">
        <v>129</v>
      </c>
      <c r="F248" s="9090" t="s">
        <v>2961</v>
      </c>
      <c r="G248" s="9116" t="s">
        <v>131</v>
      </c>
      <c r="H248" s="9090" t="s">
        <v>132</v>
      </c>
      <c r="I248" s="9090" t="s">
        <v>159</v>
      </c>
      <c r="J248" s="10431" t="s">
        <v>3239</v>
      </c>
      <c r="K248" s="9090" t="s">
        <v>2358</v>
      </c>
      <c r="L248" s="9090" t="s">
        <v>1265</v>
      </c>
      <c r="M248" s="10376">
        <v>0</v>
      </c>
      <c r="N248" s="10376">
        <v>0</v>
      </c>
      <c r="O248" s="10376">
        <v>6</v>
      </c>
      <c r="P248" s="9090" t="s">
        <v>3240</v>
      </c>
      <c r="Q248" s="9090" t="s">
        <v>1381</v>
      </c>
      <c r="R248" s="10358" t="s">
        <v>3219</v>
      </c>
      <c r="S248" s="902"/>
      <c r="T248" s="6582"/>
      <c r="U248" s="6582"/>
      <c r="V248" s="742"/>
      <c r="W248" s="6617"/>
      <c r="X248" s="171"/>
      <c r="Y248" s="6677"/>
      <c r="Z248" s="6677"/>
      <c r="AA248" s="6677"/>
      <c r="AB248" s="5986"/>
      <c r="AC248" s="5969"/>
      <c r="AD248" s="915"/>
      <c r="AE248" s="171"/>
      <c r="AF248" s="166"/>
      <c r="AG248" s="166"/>
      <c r="AH248" s="10385"/>
      <c r="AI248" s="819"/>
    </row>
    <row r="249" spans="1:35" ht="27.75" customHeight="1">
      <c r="A249" s="10424"/>
      <c r="B249" s="10378"/>
      <c r="C249" s="9134"/>
      <c r="D249" s="9091"/>
      <c r="E249" s="9091"/>
      <c r="F249" s="9091"/>
      <c r="G249" s="9091"/>
      <c r="H249" s="9091"/>
      <c r="I249" s="9091"/>
      <c r="J249" s="9091"/>
      <c r="K249" s="9091"/>
      <c r="L249" s="9091"/>
      <c r="M249" s="10353"/>
      <c r="N249" s="10353"/>
      <c r="O249" s="10353"/>
      <c r="P249" s="10356"/>
      <c r="Q249" s="10356"/>
      <c r="R249" s="10359"/>
      <c r="S249" s="869"/>
      <c r="T249" s="7176"/>
      <c r="U249" s="7176"/>
      <c r="V249" s="741"/>
      <c r="W249" s="6618"/>
      <c r="X249" s="57"/>
      <c r="Y249" s="6686"/>
      <c r="Z249" s="6686"/>
      <c r="AA249" s="6686"/>
      <c r="AB249" s="5962"/>
      <c r="AC249" s="5963"/>
      <c r="AD249" s="905"/>
      <c r="AE249" s="57"/>
      <c r="AF249" s="151"/>
      <c r="AG249" s="151"/>
      <c r="AH249" s="10386"/>
      <c r="AI249" s="819"/>
    </row>
    <row r="250" spans="1:35" ht="27.75" customHeight="1">
      <c r="A250" s="10424"/>
      <c r="B250" s="10378"/>
      <c r="C250" s="9134"/>
      <c r="D250" s="9091"/>
      <c r="E250" s="9091"/>
      <c r="F250" s="9091"/>
      <c r="G250" s="9091"/>
      <c r="H250" s="9091"/>
      <c r="I250" s="9091"/>
      <c r="J250" s="9091"/>
      <c r="K250" s="9091"/>
      <c r="L250" s="9091"/>
      <c r="M250" s="10353"/>
      <c r="N250" s="10353"/>
      <c r="O250" s="10353"/>
      <c r="P250" s="10356"/>
      <c r="Q250" s="10356"/>
      <c r="R250" s="10359"/>
      <c r="S250" s="869"/>
      <c r="T250" s="7176"/>
      <c r="U250" s="7176"/>
      <c r="V250" s="741"/>
      <c r="W250" s="6618"/>
      <c r="X250" s="57"/>
      <c r="Y250" s="6686"/>
      <c r="Z250" s="6686"/>
      <c r="AA250" s="6686"/>
      <c r="AB250" s="5962"/>
      <c r="AC250" s="5963"/>
      <c r="AD250" s="905"/>
      <c r="AE250" s="57"/>
      <c r="AF250" s="151"/>
      <c r="AG250" s="151"/>
      <c r="AH250" s="10386"/>
      <c r="AI250" s="819"/>
    </row>
    <row r="251" spans="1:35" ht="27.75" customHeight="1">
      <c r="A251" s="10424"/>
      <c r="B251" s="10378"/>
      <c r="C251" s="9134"/>
      <c r="D251" s="9091"/>
      <c r="E251" s="9091"/>
      <c r="F251" s="9091"/>
      <c r="G251" s="9091"/>
      <c r="H251" s="9091"/>
      <c r="I251" s="9091"/>
      <c r="J251" s="9091"/>
      <c r="K251" s="9091"/>
      <c r="L251" s="9091"/>
      <c r="M251" s="10353"/>
      <c r="N251" s="10353"/>
      <c r="O251" s="10353"/>
      <c r="P251" s="10356"/>
      <c r="Q251" s="10356"/>
      <c r="R251" s="10359"/>
      <c r="S251" s="869"/>
      <c r="T251" s="7176"/>
      <c r="U251" s="7176"/>
      <c r="V251" s="741"/>
      <c r="W251" s="6618"/>
      <c r="X251" s="57"/>
      <c r="Y251" s="6686"/>
      <c r="Z251" s="6686"/>
      <c r="AA251" s="6686"/>
      <c r="AB251" s="5962"/>
      <c r="AC251" s="5963"/>
      <c r="AD251" s="905"/>
      <c r="AE251" s="57"/>
      <c r="AF251" s="151"/>
      <c r="AG251" s="151"/>
      <c r="AH251" s="10386"/>
      <c r="AI251" s="819"/>
    </row>
    <row r="252" spans="1:35" ht="27.75" customHeight="1">
      <c r="A252" s="10424"/>
      <c r="B252" s="10378"/>
      <c r="C252" s="9135"/>
      <c r="D252" s="9102"/>
      <c r="E252" s="9102"/>
      <c r="F252" s="9102"/>
      <c r="G252" s="9102"/>
      <c r="H252" s="9102"/>
      <c r="I252" s="9102"/>
      <c r="J252" s="9102"/>
      <c r="K252" s="9102"/>
      <c r="L252" s="9102"/>
      <c r="M252" s="10354"/>
      <c r="N252" s="10354"/>
      <c r="O252" s="10354"/>
      <c r="P252" s="10357"/>
      <c r="Q252" s="10357"/>
      <c r="R252" s="10360"/>
      <c r="S252" s="872"/>
      <c r="T252" s="7255"/>
      <c r="U252" s="7255"/>
      <c r="V252" s="745"/>
      <c r="W252" s="7289"/>
      <c r="X252" s="61"/>
      <c r="Y252" s="7317"/>
      <c r="Z252" s="7317"/>
      <c r="AA252" s="7315"/>
      <c r="AB252" s="7316"/>
      <c r="AC252" s="5971"/>
      <c r="AD252" s="916"/>
      <c r="AE252" s="61"/>
      <c r="AF252" s="177"/>
      <c r="AG252" s="177"/>
      <c r="AH252" s="10389"/>
      <c r="AI252" s="819"/>
    </row>
    <row r="253" spans="1:35" s="4842" customFormat="1" ht="22.5" customHeight="1" thickBot="1">
      <c r="A253" s="10424"/>
      <c r="B253" s="10379"/>
      <c r="C253" s="6102"/>
      <c r="D253" s="6103"/>
      <c r="E253" s="6103"/>
      <c r="F253" s="6103"/>
      <c r="G253" s="6103"/>
      <c r="H253" s="6103"/>
      <c r="I253" s="6103"/>
      <c r="J253" s="6103"/>
      <c r="K253" s="6103"/>
      <c r="L253" s="6103"/>
      <c r="M253" s="6103"/>
      <c r="N253" s="5024"/>
      <c r="O253" s="6103"/>
      <c r="P253" s="6103"/>
      <c r="Q253" s="6103"/>
      <c r="R253" s="6103"/>
      <c r="S253" s="10428" t="s">
        <v>3241</v>
      </c>
      <c r="T253" s="10394"/>
      <c r="U253" s="10394"/>
      <c r="V253" s="10394"/>
      <c r="W253" s="10394"/>
      <c r="X253" s="10394"/>
      <c r="Y253" s="10394"/>
      <c r="Z253" s="10394"/>
      <c r="AA253" s="6096" t="s">
        <v>292</v>
      </c>
      <c r="AB253" s="7312">
        <f>SUM(AB198:AB252)</f>
        <v>15979.995200000001</v>
      </c>
      <c r="AC253" s="6104"/>
      <c r="AD253" s="6105"/>
      <c r="AE253" s="10395"/>
      <c r="AF253" s="10396"/>
      <c r="AG253" s="10396"/>
      <c r="AH253" s="10397"/>
      <c r="AI253" s="4887"/>
    </row>
    <row r="254" spans="1:35" ht="36.75" customHeight="1">
      <c r="A254" s="10424"/>
      <c r="B254" s="10377" t="s">
        <v>3242</v>
      </c>
      <c r="C254" s="9133" t="s">
        <v>127</v>
      </c>
      <c r="D254" s="10369" t="s">
        <v>128</v>
      </c>
      <c r="E254" s="10369" t="s">
        <v>129</v>
      </c>
      <c r="F254" s="10369" t="s">
        <v>327</v>
      </c>
      <c r="G254" s="10415" t="s">
        <v>131</v>
      </c>
      <c r="H254" s="10369" t="s">
        <v>132</v>
      </c>
      <c r="I254" s="10369" t="s">
        <v>159</v>
      </c>
      <c r="J254" s="10369" t="s">
        <v>3243</v>
      </c>
      <c r="K254" s="10369" t="s">
        <v>3244</v>
      </c>
      <c r="L254" s="10398" t="s">
        <v>3245</v>
      </c>
      <c r="M254" s="10430">
        <v>1</v>
      </c>
      <c r="N254" s="10361">
        <v>1</v>
      </c>
      <c r="O254" s="10430">
        <v>0</v>
      </c>
      <c r="P254" s="10398" t="s">
        <v>3246</v>
      </c>
      <c r="Q254" s="10398" t="s">
        <v>3247</v>
      </c>
      <c r="R254" s="10420" t="s">
        <v>3248</v>
      </c>
      <c r="S254" s="873"/>
      <c r="T254" s="7253"/>
      <c r="U254" s="7253"/>
      <c r="V254" s="875"/>
      <c r="W254" s="7287"/>
      <c r="X254" s="149"/>
      <c r="Y254" s="7313"/>
      <c r="Z254" s="7313"/>
      <c r="AA254" s="7186"/>
      <c r="AB254" s="5987"/>
      <c r="AC254" s="5961"/>
      <c r="AD254" s="913"/>
      <c r="AE254" s="149"/>
      <c r="AF254" s="148"/>
      <c r="AG254" s="148"/>
      <c r="AH254" s="10399"/>
      <c r="AI254" s="819"/>
    </row>
    <row r="255" spans="1:35" ht="36.75" customHeight="1">
      <c r="A255" s="10424"/>
      <c r="B255" s="10378"/>
      <c r="C255" s="9134"/>
      <c r="D255" s="9091"/>
      <c r="E255" s="9091"/>
      <c r="F255" s="9091"/>
      <c r="G255" s="9091"/>
      <c r="H255" s="9091"/>
      <c r="I255" s="9091"/>
      <c r="J255" s="9091"/>
      <c r="K255" s="9091"/>
      <c r="L255" s="9091"/>
      <c r="M255" s="10353"/>
      <c r="N255" s="10353"/>
      <c r="O255" s="10353"/>
      <c r="P255" s="10356"/>
      <c r="Q255" s="10356"/>
      <c r="R255" s="10359"/>
      <c r="S255" s="869"/>
      <c r="T255" s="7176"/>
      <c r="U255" s="7176"/>
      <c r="V255" s="741"/>
      <c r="W255" s="6618"/>
      <c r="X255" s="57"/>
      <c r="Y255" s="6686"/>
      <c r="Z255" s="6686"/>
      <c r="AA255" s="6686"/>
      <c r="AB255" s="5962"/>
      <c r="AC255" s="5963"/>
      <c r="AD255" s="905"/>
      <c r="AE255" s="57"/>
      <c r="AF255" s="151"/>
      <c r="AG255" s="151"/>
      <c r="AH255" s="10386"/>
      <c r="AI255" s="819"/>
    </row>
    <row r="256" spans="1:35" ht="36.75" customHeight="1">
      <c r="A256" s="10424"/>
      <c r="B256" s="10378"/>
      <c r="C256" s="9134"/>
      <c r="D256" s="9091"/>
      <c r="E256" s="9091"/>
      <c r="F256" s="9091"/>
      <c r="G256" s="9091"/>
      <c r="H256" s="9091"/>
      <c r="I256" s="9091"/>
      <c r="J256" s="9091"/>
      <c r="K256" s="9091"/>
      <c r="L256" s="9091"/>
      <c r="M256" s="10353"/>
      <c r="N256" s="10353"/>
      <c r="O256" s="10353"/>
      <c r="P256" s="10356"/>
      <c r="Q256" s="10356"/>
      <c r="R256" s="10359"/>
      <c r="S256" s="869"/>
      <c r="T256" s="7176"/>
      <c r="U256" s="7176"/>
      <c r="V256" s="741"/>
      <c r="W256" s="6618"/>
      <c r="X256" s="57"/>
      <c r="Y256" s="6686"/>
      <c r="Z256" s="6686"/>
      <c r="AA256" s="6686"/>
      <c r="AB256" s="5962"/>
      <c r="AC256" s="5963"/>
      <c r="AD256" s="905"/>
      <c r="AE256" s="57"/>
      <c r="AF256" s="151"/>
      <c r="AG256" s="151"/>
      <c r="AH256" s="10386"/>
      <c r="AI256" s="819"/>
    </row>
    <row r="257" spans="1:35" ht="36.75" customHeight="1">
      <c r="A257" s="10424"/>
      <c r="B257" s="10378"/>
      <c r="C257" s="9134"/>
      <c r="D257" s="9091"/>
      <c r="E257" s="9091"/>
      <c r="F257" s="9091"/>
      <c r="G257" s="9091"/>
      <c r="H257" s="9091"/>
      <c r="I257" s="9091"/>
      <c r="J257" s="9091"/>
      <c r="K257" s="9091"/>
      <c r="L257" s="9091"/>
      <c r="M257" s="10353"/>
      <c r="N257" s="10353"/>
      <c r="O257" s="10353"/>
      <c r="P257" s="10356"/>
      <c r="Q257" s="10356"/>
      <c r="R257" s="10359"/>
      <c r="S257" s="871"/>
      <c r="T257" s="7262"/>
      <c r="U257" s="7262"/>
      <c r="V257" s="1153"/>
      <c r="W257" s="7295"/>
      <c r="X257" s="1151"/>
      <c r="Y257" s="7320"/>
      <c r="Z257" s="7320"/>
      <c r="AA257" s="7320"/>
      <c r="AB257" s="5978"/>
      <c r="AC257" s="5979"/>
      <c r="AD257" s="1356"/>
      <c r="AE257" s="1151"/>
      <c r="AF257" s="151"/>
      <c r="AG257" s="151"/>
      <c r="AH257" s="10386"/>
      <c r="AI257" s="819"/>
    </row>
    <row r="258" spans="1:35" ht="36.75" customHeight="1">
      <c r="A258" s="10424"/>
      <c r="B258" s="10378"/>
      <c r="C258" s="9135"/>
      <c r="D258" s="9129"/>
      <c r="E258" s="9129"/>
      <c r="F258" s="9129"/>
      <c r="G258" s="9129"/>
      <c r="H258" s="9129"/>
      <c r="I258" s="9129"/>
      <c r="J258" s="9129"/>
      <c r="K258" s="9129"/>
      <c r="L258" s="9129"/>
      <c r="M258" s="10362"/>
      <c r="N258" s="10362"/>
      <c r="O258" s="10362"/>
      <c r="P258" s="10363"/>
      <c r="Q258" s="10363"/>
      <c r="R258" s="10365"/>
      <c r="S258" s="870"/>
      <c r="T258" s="7258"/>
      <c r="U258" s="7258"/>
      <c r="V258" s="1155"/>
      <c r="W258" s="7302"/>
      <c r="X258" s="1158"/>
      <c r="Y258" s="7187"/>
      <c r="Z258" s="7187"/>
      <c r="AA258" s="7187"/>
      <c r="AB258" s="7188"/>
      <c r="AC258" s="7194"/>
      <c r="AD258" s="1370"/>
      <c r="AE258" s="1158"/>
      <c r="AF258" s="158"/>
      <c r="AG258" s="158"/>
      <c r="AH258" s="10386"/>
      <c r="AI258" s="819"/>
    </row>
    <row r="259" spans="1:35" ht="27" customHeight="1">
      <c r="A259" s="10424"/>
      <c r="B259" s="10378"/>
      <c r="C259" s="9140" t="s">
        <v>127</v>
      </c>
      <c r="D259" s="9090" t="s">
        <v>128</v>
      </c>
      <c r="E259" s="9090" t="s">
        <v>129</v>
      </c>
      <c r="F259" s="9090" t="s">
        <v>327</v>
      </c>
      <c r="G259" s="9116" t="s">
        <v>131</v>
      </c>
      <c r="H259" s="9090" t="s">
        <v>132</v>
      </c>
      <c r="I259" s="9090" t="s">
        <v>159</v>
      </c>
      <c r="J259" s="9090" t="s">
        <v>3249</v>
      </c>
      <c r="K259" s="9090" t="s">
        <v>3250</v>
      </c>
      <c r="L259" s="9090" t="s">
        <v>3251</v>
      </c>
      <c r="M259" s="10376">
        <v>4</v>
      </c>
      <c r="N259" s="10376">
        <v>4</v>
      </c>
      <c r="O259" s="10376">
        <v>2</v>
      </c>
      <c r="P259" s="9090" t="s">
        <v>3252</v>
      </c>
      <c r="Q259" s="9090" t="s">
        <v>3253</v>
      </c>
      <c r="R259" s="10358" t="s">
        <v>3248</v>
      </c>
      <c r="S259" s="902" t="s">
        <v>15</v>
      </c>
      <c r="T259" s="6582">
        <v>531407</v>
      </c>
      <c r="U259" s="6582"/>
      <c r="V259" s="742" t="s">
        <v>40</v>
      </c>
      <c r="W259" s="6617"/>
      <c r="X259" s="171"/>
      <c r="Y259" s="6677"/>
      <c r="Z259" s="6677"/>
      <c r="AA259" s="6677"/>
      <c r="AB259" s="5986">
        <f>SUM($AA$260:$AA$261)</f>
        <v>35</v>
      </c>
      <c r="AC259" s="5969" t="s">
        <v>18</v>
      </c>
      <c r="AD259" s="1355"/>
      <c r="AE259" s="1164"/>
      <c r="AF259" s="171"/>
      <c r="AG259" s="171"/>
      <c r="AH259" s="10385"/>
      <c r="AI259" s="819"/>
    </row>
    <row r="260" spans="1:35" ht="27" customHeight="1">
      <c r="A260" s="10424"/>
      <c r="B260" s="10378"/>
      <c r="C260" s="9134"/>
      <c r="D260" s="9091"/>
      <c r="E260" s="9091"/>
      <c r="F260" s="9091"/>
      <c r="G260" s="9091"/>
      <c r="H260" s="9091"/>
      <c r="I260" s="9091"/>
      <c r="J260" s="9091"/>
      <c r="K260" s="9091"/>
      <c r="L260" s="9091"/>
      <c r="M260" s="10353"/>
      <c r="N260" s="10353"/>
      <c r="O260" s="10353"/>
      <c r="P260" s="10356"/>
      <c r="Q260" s="10356"/>
      <c r="R260" s="10359"/>
      <c r="S260" s="869"/>
      <c r="T260" s="7176"/>
      <c r="U260" s="7176">
        <v>452900012</v>
      </c>
      <c r="V260" s="741" t="s">
        <v>3254</v>
      </c>
      <c r="W260" s="6618">
        <v>1</v>
      </c>
      <c r="X260" s="326" t="s">
        <v>180</v>
      </c>
      <c r="Y260" s="6686">
        <v>8.93</v>
      </c>
      <c r="Z260" s="6686">
        <f t="shared" ref="Z260:Z261" si="8">+W260*Y260</f>
        <v>8.93</v>
      </c>
      <c r="AA260" s="6686">
        <f t="shared" ref="AA260:AA261" si="9">+Z260*1.12</f>
        <v>10.0016</v>
      </c>
      <c r="AB260" s="5962"/>
      <c r="AC260" s="5963"/>
      <c r="AD260" s="1356"/>
      <c r="AE260" s="1151" t="s">
        <v>153</v>
      </c>
      <c r="AF260" s="57"/>
      <c r="AG260" s="57"/>
      <c r="AH260" s="10386"/>
      <c r="AI260" s="819"/>
    </row>
    <row r="261" spans="1:35" ht="27" customHeight="1">
      <c r="A261" s="10424"/>
      <c r="B261" s="10378"/>
      <c r="C261" s="9134"/>
      <c r="D261" s="9091"/>
      <c r="E261" s="9091"/>
      <c r="F261" s="9091"/>
      <c r="G261" s="9091"/>
      <c r="H261" s="9091"/>
      <c r="I261" s="9091"/>
      <c r="J261" s="9091"/>
      <c r="K261" s="9091"/>
      <c r="L261" s="9091"/>
      <c r="M261" s="10353"/>
      <c r="N261" s="10353"/>
      <c r="O261" s="10353"/>
      <c r="P261" s="10356"/>
      <c r="Q261" s="10356"/>
      <c r="R261" s="10359"/>
      <c r="S261" s="869"/>
      <c r="T261" s="7176"/>
      <c r="U261" s="7176">
        <v>452900011</v>
      </c>
      <c r="V261" s="741" t="s">
        <v>3255</v>
      </c>
      <c r="W261" s="6618">
        <v>1</v>
      </c>
      <c r="X261" s="326" t="s">
        <v>180</v>
      </c>
      <c r="Y261" s="6686">
        <v>22.32</v>
      </c>
      <c r="Z261" s="6686">
        <f t="shared" si="8"/>
        <v>22.32</v>
      </c>
      <c r="AA261" s="6686">
        <f t="shared" si="9"/>
        <v>24.998400000000004</v>
      </c>
      <c r="AB261" s="5962"/>
      <c r="AC261" s="5963"/>
      <c r="AD261" s="1356"/>
      <c r="AE261" s="1151" t="s">
        <v>153</v>
      </c>
      <c r="AF261" s="57"/>
      <c r="AG261" s="151"/>
      <c r="AH261" s="10386"/>
      <c r="AI261" s="819"/>
    </row>
    <row r="262" spans="1:35" ht="27" customHeight="1">
      <c r="A262" s="10424"/>
      <c r="B262" s="10378"/>
      <c r="C262" s="9134"/>
      <c r="D262" s="9091"/>
      <c r="E262" s="9091"/>
      <c r="F262" s="9091"/>
      <c r="G262" s="9091"/>
      <c r="H262" s="9091"/>
      <c r="I262" s="9091"/>
      <c r="J262" s="9091"/>
      <c r="K262" s="9091"/>
      <c r="L262" s="9091"/>
      <c r="M262" s="10353"/>
      <c r="N262" s="10353"/>
      <c r="O262" s="10353"/>
      <c r="P262" s="10356"/>
      <c r="Q262" s="10356"/>
      <c r="R262" s="10359"/>
      <c r="S262" s="869"/>
      <c r="T262" s="7257"/>
      <c r="U262" s="7257"/>
      <c r="V262" s="1153"/>
      <c r="W262" s="7295"/>
      <c r="X262" s="1151"/>
      <c r="Y262" s="7320"/>
      <c r="Z262" s="7320"/>
      <c r="AA262" s="7320"/>
      <c r="AB262" s="5978"/>
      <c r="AC262" s="5979"/>
      <c r="AD262" s="1356"/>
      <c r="AE262" s="1151"/>
      <c r="AF262" s="57"/>
      <c r="AG262" s="151"/>
      <c r="AH262" s="10386"/>
      <c r="AI262" s="819"/>
    </row>
    <row r="263" spans="1:35" ht="27" customHeight="1">
      <c r="A263" s="10424"/>
      <c r="B263" s="10378"/>
      <c r="C263" s="9141"/>
      <c r="D263" s="9102"/>
      <c r="E263" s="9102"/>
      <c r="F263" s="9102"/>
      <c r="G263" s="9102"/>
      <c r="H263" s="9102"/>
      <c r="I263" s="9102"/>
      <c r="J263" s="9102"/>
      <c r="K263" s="9102"/>
      <c r="L263" s="9102"/>
      <c r="M263" s="10354"/>
      <c r="N263" s="10354"/>
      <c r="O263" s="10354"/>
      <c r="P263" s="10357"/>
      <c r="Q263" s="10357"/>
      <c r="R263" s="10360"/>
      <c r="S263" s="872"/>
      <c r="T263" s="4848"/>
      <c r="U263" s="4848"/>
      <c r="V263" s="1020"/>
      <c r="W263" s="4865"/>
      <c r="X263" s="1021"/>
      <c r="Y263" s="4903"/>
      <c r="Z263" s="4903"/>
      <c r="AA263" s="4903"/>
      <c r="AB263" s="5990"/>
      <c r="AC263" s="5991"/>
      <c r="AD263" s="1358"/>
      <c r="AE263" s="1021"/>
      <c r="AF263" s="61"/>
      <c r="AG263" s="177"/>
      <c r="AH263" s="10389"/>
      <c r="AI263" s="819"/>
    </row>
    <row r="264" spans="1:35" ht="54" customHeight="1">
      <c r="A264" s="10424"/>
      <c r="B264" s="10378"/>
      <c r="C264" s="9133" t="s">
        <v>127</v>
      </c>
      <c r="D264" s="9131" t="s">
        <v>128</v>
      </c>
      <c r="E264" s="9131" t="s">
        <v>129</v>
      </c>
      <c r="F264" s="9131" t="s">
        <v>268</v>
      </c>
      <c r="G264" s="9142" t="s">
        <v>131</v>
      </c>
      <c r="H264" s="9131" t="s">
        <v>132</v>
      </c>
      <c r="I264" s="9131" t="s">
        <v>159</v>
      </c>
      <c r="J264" s="9131" t="s">
        <v>3256</v>
      </c>
      <c r="K264" s="9131" t="s">
        <v>3257</v>
      </c>
      <c r="L264" s="9131" t="s">
        <v>3258</v>
      </c>
      <c r="M264" s="10372">
        <v>0</v>
      </c>
      <c r="N264" s="10372">
        <v>0</v>
      </c>
      <c r="O264" s="10372">
        <v>1</v>
      </c>
      <c r="P264" s="9131" t="s">
        <v>3259</v>
      </c>
      <c r="Q264" s="9131" t="s">
        <v>3260</v>
      </c>
      <c r="R264" s="10364" t="s">
        <v>3248</v>
      </c>
      <c r="S264" s="4409" t="s">
        <v>15</v>
      </c>
      <c r="T264" s="7276">
        <v>840107</v>
      </c>
      <c r="U264" s="7175"/>
      <c r="V264" s="4410" t="s">
        <v>3261</v>
      </c>
      <c r="W264" s="7182"/>
      <c r="X264" s="471"/>
      <c r="Y264" s="7186"/>
      <c r="Z264" s="7186"/>
      <c r="AA264" s="7186"/>
      <c r="AB264" s="5972">
        <f>+AA265</f>
        <v>1044.9000000000001</v>
      </c>
      <c r="AC264" s="7351" t="s">
        <v>25</v>
      </c>
      <c r="AD264" s="904"/>
      <c r="AE264" s="471"/>
      <c r="AF264" s="475"/>
      <c r="AG264" s="475"/>
      <c r="AH264" s="10388"/>
      <c r="AI264" s="819"/>
    </row>
    <row r="265" spans="1:35" ht="54" customHeight="1">
      <c r="A265" s="10424"/>
      <c r="B265" s="10378"/>
      <c r="C265" s="9134"/>
      <c r="D265" s="9091"/>
      <c r="E265" s="9091"/>
      <c r="F265" s="9091"/>
      <c r="G265" s="9091"/>
      <c r="H265" s="9091"/>
      <c r="I265" s="9091"/>
      <c r="J265" s="9091"/>
      <c r="K265" s="9091"/>
      <c r="L265" s="9091"/>
      <c r="M265" s="10353"/>
      <c r="N265" s="10353"/>
      <c r="O265" s="10353"/>
      <c r="P265" s="10356"/>
      <c r="Q265" s="10356"/>
      <c r="R265" s="10359"/>
      <c r="S265" s="869"/>
      <c r="T265" s="7176"/>
      <c r="U265" s="7176"/>
      <c r="V265" s="3237" t="s">
        <v>3262</v>
      </c>
      <c r="W265" s="7296">
        <v>1</v>
      </c>
      <c r="X265" s="3281" t="s">
        <v>180</v>
      </c>
      <c r="Y265" s="7324">
        <v>1044.9000000000001</v>
      </c>
      <c r="Z265" s="7324">
        <v>1044.9000000000001</v>
      </c>
      <c r="AA265" s="7324">
        <f>+Z265</f>
        <v>1044.9000000000001</v>
      </c>
      <c r="AB265" s="5962"/>
      <c r="AC265" s="5963"/>
      <c r="AD265" s="905"/>
      <c r="AE265" s="3281" t="s">
        <v>153</v>
      </c>
      <c r="AF265" s="151"/>
      <c r="AG265" s="151"/>
      <c r="AH265" s="10386"/>
      <c r="AI265" s="819"/>
    </row>
    <row r="266" spans="1:35" ht="54" customHeight="1">
      <c r="A266" s="10424"/>
      <c r="B266" s="10378"/>
      <c r="C266" s="9134"/>
      <c r="D266" s="9091"/>
      <c r="E266" s="9091"/>
      <c r="F266" s="9091"/>
      <c r="G266" s="9091"/>
      <c r="H266" s="9091"/>
      <c r="I266" s="9091"/>
      <c r="J266" s="9091"/>
      <c r="K266" s="9091"/>
      <c r="L266" s="9091"/>
      <c r="M266" s="10353"/>
      <c r="N266" s="10353"/>
      <c r="O266" s="10353"/>
      <c r="P266" s="10356"/>
      <c r="Q266" s="10356"/>
      <c r="R266" s="10359"/>
      <c r="S266" s="869"/>
      <c r="T266" s="7257"/>
      <c r="U266" s="7257"/>
      <c r="V266" s="1153"/>
      <c r="W266" s="7295"/>
      <c r="X266" s="1151"/>
      <c r="Y266" s="7320"/>
      <c r="Z266" s="7320"/>
      <c r="AA266" s="7320"/>
      <c r="AB266" s="5978"/>
      <c r="AC266" s="5979"/>
      <c r="AD266" s="1356"/>
      <c r="AE266" s="1151"/>
      <c r="AF266" s="151"/>
      <c r="AG266" s="151"/>
      <c r="AH266" s="10386"/>
      <c r="AI266" s="819"/>
    </row>
    <row r="267" spans="1:35" ht="54" customHeight="1">
      <c r="A267" s="10424"/>
      <c r="B267" s="10378"/>
      <c r="C267" s="9134"/>
      <c r="D267" s="9091"/>
      <c r="E267" s="9091"/>
      <c r="F267" s="9091"/>
      <c r="G267" s="9091"/>
      <c r="H267" s="9091"/>
      <c r="I267" s="9091"/>
      <c r="J267" s="9091"/>
      <c r="K267" s="9091"/>
      <c r="L267" s="9091"/>
      <c r="M267" s="10353"/>
      <c r="N267" s="10353"/>
      <c r="O267" s="10353"/>
      <c r="P267" s="10356"/>
      <c r="Q267" s="10356"/>
      <c r="R267" s="10359"/>
      <c r="S267" s="869"/>
      <c r="T267" s="7257"/>
      <c r="U267" s="7257"/>
      <c r="V267" s="1153"/>
      <c r="W267" s="7295"/>
      <c r="X267" s="1151"/>
      <c r="Y267" s="7320"/>
      <c r="Z267" s="7320"/>
      <c r="AA267" s="7320"/>
      <c r="AB267" s="5978"/>
      <c r="AC267" s="5979"/>
      <c r="AD267" s="1356"/>
      <c r="AE267" s="1151"/>
      <c r="AF267" s="151"/>
      <c r="AG267" s="151"/>
      <c r="AH267" s="10386"/>
      <c r="AI267" s="819"/>
    </row>
    <row r="268" spans="1:35" ht="54" customHeight="1">
      <c r="A268" s="10424"/>
      <c r="B268" s="10378"/>
      <c r="C268" s="9135"/>
      <c r="D268" s="9129"/>
      <c r="E268" s="9129"/>
      <c r="F268" s="9129"/>
      <c r="G268" s="9129"/>
      <c r="H268" s="9129"/>
      <c r="I268" s="9129"/>
      <c r="J268" s="9129"/>
      <c r="K268" s="9129"/>
      <c r="L268" s="9129"/>
      <c r="M268" s="10362"/>
      <c r="N268" s="10362"/>
      <c r="O268" s="10362"/>
      <c r="P268" s="10363"/>
      <c r="Q268" s="10363"/>
      <c r="R268" s="10365"/>
      <c r="S268" s="870"/>
      <c r="T268" s="7258"/>
      <c r="U268" s="7258"/>
      <c r="V268" s="1155"/>
      <c r="W268" s="7302"/>
      <c r="X268" s="1158"/>
      <c r="Y268" s="7187"/>
      <c r="Z268" s="7187"/>
      <c r="AA268" s="7187"/>
      <c r="AB268" s="7188"/>
      <c r="AC268" s="7194"/>
      <c r="AD268" s="1370"/>
      <c r="AE268" s="1158"/>
      <c r="AF268" s="158"/>
      <c r="AG268" s="158"/>
      <c r="AH268" s="10386"/>
      <c r="AI268" s="819"/>
    </row>
    <row r="269" spans="1:35" ht="31.5" customHeight="1">
      <c r="A269" s="10424"/>
      <c r="B269" s="10378"/>
      <c r="C269" s="9140" t="s">
        <v>127</v>
      </c>
      <c r="D269" s="9090" t="s">
        <v>128</v>
      </c>
      <c r="E269" s="9090" t="s">
        <v>129</v>
      </c>
      <c r="F269" s="9090" t="s">
        <v>157</v>
      </c>
      <c r="G269" s="9116" t="s">
        <v>131</v>
      </c>
      <c r="H269" s="9090" t="s">
        <v>132</v>
      </c>
      <c r="I269" s="9090" t="s">
        <v>159</v>
      </c>
      <c r="J269" s="9090" t="s">
        <v>3263</v>
      </c>
      <c r="K269" s="9090" t="s">
        <v>3264</v>
      </c>
      <c r="L269" s="9090" t="s">
        <v>3265</v>
      </c>
      <c r="M269" s="10376">
        <v>0</v>
      </c>
      <c r="N269" s="10376">
        <v>0</v>
      </c>
      <c r="O269" s="10376">
        <v>1</v>
      </c>
      <c r="P269" s="9090" t="s">
        <v>3266</v>
      </c>
      <c r="Q269" s="9090" t="s">
        <v>3267</v>
      </c>
      <c r="R269" s="10358" t="s">
        <v>3248</v>
      </c>
      <c r="S269" s="902"/>
      <c r="T269" s="7259"/>
      <c r="U269" s="7259"/>
      <c r="V269" s="1162"/>
      <c r="W269" s="7294"/>
      <c r="X269" s="1164"/>
      <c r="Y269" s="7323"/>
      <c r="Z269" s="7323"/>
      <c r="AA269" s="7323"/>
      <c r="AB269" s="5982"/>
      <c r="AC269" s="5983"/>
      <c r="AD269" s="1355"/>
      <c r="AE269" s="1164"/>
      <c r="AF269" s="166"/>
      <c r="AG269" s="166"/>
      <c r="AH269" s="10385"/>
      <c r="AI269" s="819"/>
    </row>
    <row r="270" spans="1:35" ht="31.5" customHeight="1">
      <c r="A270" s="10424"/>
      <c r="B270" s="10378"/>
      <c r="C270" s="9134"/>
      <c r="D270" s="9091"/>
      <c r="E270" s="9091"/>
      <c r="F270" s="9091"/>
      <c r="G270" s="9091"/>
      <c r="H270" s="9091"/>
      <c r="I270" s="9091"/>
      <c r="J270" s="9091"/>
      <c r="K270" s="9091"/>
      <c r="L270" s="9091"/>
      <c r="M270" s="10353"/>
      <c r="N270" s="10353"/>
      <c r="O270" s="10353"/>
      <c r="P270" s="10356"/>
      <c r="Q270" s="10356"/>
      <c r="R270" s="10359"/>
      <c r="S270" s="869"/>
      <c r="T270" s="7257"/>
      <c r="U270" s="7257"/>
      <c r="V270" s="1153"/>
      <c r="W270" s="7295"/>
      <c r="X270" s="1151"/>
      <c r="Y270" s="7320"/>
      <c r="Z270" s="7320"/>
      <c r="AA270" s="7320"/>
      <c r="AB270" s="5978"/>
      <c r="AC270" s="5979"/>
      <c r="AD270" s="1356"/>
      <c r="AE270" s="1151"/>
      <c r="AF270" s="151"/>
      <c r="AG270" s="151"/>
      <c r="AH270" s="10386"/>
      <c r="AI270" s="819"/>
    </row>
    <row r="271" spans="1:35" ht="31.5" customHeight="1">
      <c r="A271" s="10424"/>
      <c r="B271" s="10378"/>
      <c r="C271" s="9134"/>
      <c r="D271" s="9091"/>
      <c r="E271" s="9091"/>
      <c r="F271" s="9091"/>
      <c r="G271" s="9091"/>
      <c r="H271" s="9091"/>
      <c r="I271" s="9091"/>
      <c r="J271" s="9091"/>
      <c r="K271" s="9091"/>
      <c r="L271" s="9091"/>
      <c r="M271" s="10353"/>
      <c r="N271" s="10353"/>
      <c r="O271" s="10353"/>
      <c r="P271" s="10356"/>
      <c r="Q271" s="10356"/>
      <c r="R271" s="10359"/>
      <c r="S271" s="869"/>
      <c r="T271" s="7257"/>
      <c r="U271" s="7257"/>
      <c r="V271" s="1153"/>
      <c r="W271" s="7295"/>
      <c r="X271" s="1151"/>
      <c r="Y271" s="7320"/>
      <c r="Z271" s="7320"/>
      <c r="AA271" s="7320"/>
      <c r="AB271" s="5978"/>
      <c r="AC271" s="5979"/>
      <c r="AD271" s="1356"/>
      <c r="AE271" s="1151"/>
      <c r="AF271" s="151"/>
      <c r="AG271" s="151"/>
      <c r="AH271" s="10386"/>
      <c r="AI271" s="819"/>
    </row>
    <row r="272" spans="1:35" ht="31.5" customHeight="1">
      <c r="A272" s="10424"/>
      <c r="B272" s="10378"/>
      <c r="C272" s="9134"/>
      <c r="D272" s="9091"/>
      <c r="E272" s="9091"/>
      <c r="F272" s="9091"/>
      <c r="G272" s="9091"/>
      <c r="H272" s="9091"/>
      <c r="I272" s="9091"/>
      <c r="J272" s="9091"/>
      <c r="K272" s="9091"/>
      <c r="L272" s="9091"/>
      <c r="M272" s="10353"/>
      <c r="N272" s="10353"/>
      <c r="O272" s="10353"/>
      <c r="P272" s="10356"/>
      <c r="Q272" s="10356"/>
      <c r="R272" s="10359"/>
      <c r="S272" s="869"/>
      <c r="T272" s="7257"/>
      <c r="U272" s="7257"/>
      <c r="V272" s="1153"/>
      <c r="W272" s="7295"/>
      <c r="X272" s="1151"/>
      <c r="Y272" s="7320"/>
      <c r="Z272" s="7320"/>
      <c r="AA272" s="7320"/>
      <c r="AB272" s="5978"/>
      <c r="AC272" s="5979"/>
      <c r="AD272" s="1356"/>
      <c r="AE272" s="1151"/>
      <c r="AF272" s="151"/>
      <c r="AG272" s="151"/>
      <c r="AH272" s="10386"/>
      <c r="AI272" s="819"/>
    </row>
    <row r="273" spans="1:35" ht="31.5" customHeight="1">
      <c r="A273" s="10424"/>
      <c r="B273" s="10378"/>
      <c r="C273" s="9141"/>
      <c r="D273" s="9102"/>
      <c r="E273" s="9102"/>
      <c r="F273" s="9102"/>
      <c r="G273" s="9102"/>
      <c r="H273" s="9102"/>
      <c r="I273" s="9102"/>
      <c r="J273" s="9102"/>
      <c r="K273" s="9102"/>
      <c r="L273" s="9102"/>
      <c r="M273" s="10354"/>
      <c r="N273" s="10354"/>
      <c r="O273" s="10354"/>
      <c r="P273" s="10357"/>
      <c r="Q273" s="10357"/>
      <c r="R273" s="10360"/>
      <c r="S273" s="872"/>
      <c r="T273" s="7255"/>
      <c r="U273" s="7255"/>
      <c r="V273" s="745"/>
      <c r="W273" s="7289"/>
      <c r="X273" s="61"/>
      <c r="Y273" s="7317"/>
      <c r="Z273" s="7317"/>
      <c r="AA273" s="7317"/>
      <c r="AB273" s="5970"/>
      <c r="AC273" s="5971"/>
      <c r="AD273" s="916"/>
      <c r="AE273" s="61"/>
      <c r="AF273" s="177"/>
      <c r="AG273" s="177"/>
      <c r="AH273" s="10389"/>
      <c r="AI273" s="819"/>
    </row>
    <row r="274" spans="1:35" ht="47.25" customHeight="1">
      <c r="A274" s="10424"/>
      <c r="B274" s="10378"/>
      <c r="C274" s="9133" t="s">
        <v>127</v>
      </c>
      <c r="D274" s="9131" t="s">
        <v>128</v>
      </c>
      <c r="E274" s="9131" t="s">
        <v>129</v>
      </c>
      <c r="F274" s="9131" t="s">
        <v>2961</v>
      </c>
      <c r="G274" s="9142" t="s">
        <v>131</v>
      </c>
      <c r="H274" s="9131" t="s">
        <v>132</v>
      </c>
      <c r="I274" s="9131" t="s">
        <v>159</v>
      </c>
      <c r="J274" s="9131" t="s">
        <v>3268</v>
      </c>
      <c r="K274" s="9131" t="s">
        <v>3269</v>
      </c>
      <c r="L274" s="9131" t="s">
        <v>3270</v>
      </c>
      <c r="M274" s="10372">
        <v>1</v>
      </c>
      <c r="N274" s="10372">
        <v>1</v>
      </c>
      <c r="O274" s="10372">
        <v>1</v>
      </c>
      <c r="P274" s="9131" t="s">
        <v>3271</v>
      </c>
      <c r="Q274" s="9131" t="s">
        <v>3272</v>
      </c>
      <c r="R274" s="10364" t="s">
        <v>3248</v>
      </c>
      <c r="S274" s="874"/>
      <c r="T274" s="7175"/>
      <c r="U274" s="7175"/>
      <c r="V274" s="743"/>
      <c r="W274" s="7182"/>
      <c r="X274" s="471"/>
      <c r="Y274" s="7186"/>
      <c r="Z274" s="7186"/>
      <c r="AA274" s="7186"/>
      <c r="AB274" s="5987"/>
      <c r="AC274" s="5973"/>
      <c r="AD274" s="904"/>
      <c r="AE274" s="471"/>
      <c r="AF274" s="475"/>
      <c r="AG274" s="475"/>
      <c r="AH274" s="10388"/>
      <c r="AI274" s="819"/>
    </row>
    <row r="275" spans="1:35" ht="47.25" customHeight="1">
      <c r="A275" s="10424"/>
      <c r="B275" s="10378"/>
      <c r="C275" s="9134"/>
      <c r="D275" s="9091"/>
      <c r="E275" s="9091"/>
      <c r="F275" s="9091"/>
      <c r="G275" s="9091"/>
      <c r="H275" s="9091"/>
      <c r="I275" s="9091"/>
      <c r="J275" s="9091"/>
      <c r="K275" s="9091"/>
      <c r="L275" s="9091"/>
      <c r="M275" s="10353"/>
      <c r="N275" s="10353"/>
      <c r="O275" s="10353"/>
      <c r="P275" s="10356"/>
      <c r="Q275" s="10356"/>
      <c r="R275" s="10359"/>
      <c r="S275" s="869"/>
      <c r="T275" s="7176"/>
      <c r="U275" s="7176"/>
      <c r="V275" s="741"/>
      <c r="W275" s="6618"/>
      <c r="X275" s="57"/>
      <c r="Y275" s="6686"/>
      <c r="Z275" s="6686"/>
      <c r="AA275" s="6686"/>
      <c r="AB275" s="5962"/>
      <c r="AC275" s="5963"/>
      <c r="AD275" s="905"/>
      <c r="AE275" s="57"/>
      <c r="AF275" s="151"/>
      <c r="AG275" s="151"/>
      <c r="AH275" s="10386"/>
      <c r="AI275" s="819"/>
    </row>
    <row r="276" spans="1:35" ht="47.25" customHeight="1">
      <c r="A276" s="10424"/>
      <c r="B276" s="10378"/>
      <c r="C276" s="9134"/>
      <c r="D276" s="9091"/>
      <c r="E276" s="9091"/>
      <c r="F276" s="9091"/>
      <c r="G276" s="9091"/>
      <c r="H276" s="9091"/>
      <c r="I276" s="9091"/>
      <c r="J276" s="9091"/>
      <c r="K276" s="9091"/>
      <c r="L276" s="9091"/>
      <c r="M276" s="10353"/>
      <c r="N276" s="10353"/>
      <c r="O276" s="10353"/>
      <c r="P276" s="10356"/>
      <c r="Q276" s="10356"/>
      <c r="R276" s="10359"/>
      <c r="S276" s="869"/>
      <c r="T276" s="7176"/>
      <c r="U276" s="7176"/>
      <c r="V276" s="741"/>
      <c r="W276" s="6618"/>
      <c r="X276" s="57"/>
      <c r="Y276" s="6686"/>
      <c r="Z276" s="6686"/>
      <c r="AA276" s="6686"/>
      <c r="AB276" s="5962"/>
      <c r="AC276" s="5963"/>
      <c r="AD276" s="905"/>
      <c r="AE276" s="57"/>
      <c r="AF276" s="151"/>
      <c r="AG276" s="151"/>
      <c r="AH276" s="10386"/>
      <c r="AI276" s="819"/>
    </row>
    <row r="277" spans="1:35" ht="47.25" customHeight="1">
      <c r="A277" s="10424"/>
      <c r="B277" s="10378"/>
      <c r="C277" s="9134"/>
      <c r="D277" s="9091"/>
      <c r="E277" s="9091"/>
      <c r="F277" s="9091"/>
      <c r="G277" s="9091"/>
      <c r="H277" s="9091"/>
      <c r="I277" s="9091"/>
      <c r="J277" s="9091"/>
      <c r="K277" s="9091"/>
      <c r="L277" s="9091"/>
      <c r="M277" s="10353"/>
      <c r="N277" s="10353"/>
      <c r="O277" s="10353"/>
      <c r="P277" s="10356"/>
      <c r="Q277" s="10356"/>
      <c r="R277" s="10359"/>
      <c r="S277" s="869"/>
      <c r="T277" s="7176"/>
      <c r="U277" s="7176"/>
      <c r="V277" s="741"/>
      <c r="W277" s="6618"/>
      <c r="X277" s="57"/>
      <c r="Y277" s="6686"/>
      <c r="Z277" s="6686"/>
      <c r="AA277" s="6686"/>
      <c r="AB277" s="5962"/>
      <c r="AC277" s="5963"/>
      <c r="AD277" s="905"/>
      <c r="AE277" s="57"/>
      <c r="AF277" s="151"/>
      <c r="AG277" s="151"/>
      <c r="AH277" s="10386"/>
      <c r="AI277" s="819"/>
    </row>
    <row r="278" spans="1:35" ht="47.25" customHeight="1">
      <c r="A278" s="10424"/>
      <c r="B278" s="10378"/>
      <c r="C278" s="9135"/>
      <c r="D278" s="9129"/>
      <c r="E278" s="9129"/>
      <c r="F278" s="9129"/>
      <c r="G278" s="9129"/>
      <c r="H278" s="9129"/>
      <c r="I278" s="9129"/>
      <c r="J278" s="9129"/>
      <c r="K278" s="9129"/>
      <c r="L278" s="9129"/>
      <c r="M278" s="10362"/>
      <c r="N278" s="10362"/>
      <c r="O278" s="10362"/>
      <c r="P278" s="10363"/>
      <c r="Q278" s="10363"/>
      <c r="R278" s="10365"/>
      <c r="S278" s="870"/>
      <c r="T278" s="7254"/>
      <c r="U278" s="7254"/>
      <c r="V278" s="860"/>
      <c r="W278" s="7288"/>
      <c r="X278" s="160"/>
      <c r="Y278" s="7315"/>
      <c r="Z278" s="7315"/>
      <c r="AA278" s="7315"/>
      <c r="AB278" s="7316"/>
      <c r="AC278" s="7348"/>
      <c r="AD278" s="914"/>
      <c r="AE278" s="160"/>
      <c r="AF278" s="158"/>
      <c r="AG278" s="158"/>
      <c r="AH278" s="10386"/>
      <c r="AI278" s="819"/>
    </row>
    <row r="279" spans="1:35" ht="34.5" customHeight="1">
      <c r="A279" s="10424"/>
      <c r="B279" s="10378"/>
      <c r="C279" s="9140" t="s">
        <v>127</v>
      </c>
      <c r="D279" s="9090" t="s">
        <v>128</v>
      </c>
      <c r="E279" s="9090" t="s">
        <v>129</v>
      </c>
      <c r="F279" s="10411" t="s">
        <v>2961</v>
      </c>
      <c r="G279" s="9116" t="s">
        <v>131</v>
      </c>
      <c r="H279" s="9090" t="s">
        <v>132</v>
      </c>
      <c r="I279" s="9090" t="s">
        <v>159</v>
      </c>
      <c r="J279" s="9090" t="s">
        <v>3273</v>
      </c>
      <c r="K279" s="9090" t="s">
        <v>3274</v>
      </c>
      <c r="L279" s="9090" t="s">
        <v>3275</v>
      </c>
      <c r="M279" s="10376">
        <v>4</v>
      </c>
      <c r="N279" s="10376">
        <v>4</v>
      </c>
      <c r="O279" s="10376">
        <v>3</v>
      </c>
      <c r="P279" s="9090" t="s">
        <v>3276</v>
      </c>
      <c r="Q279" s="9090" t="s">
        <v>3277</v>
      </c>
      <c r="R279" s="10358" t="s">
        <v>3278</v>
      </c>
      <c r="S279" s="902"/>
      <c r="T279" s="6582"/>
      <c r="U279" s="6582"/>
      <c r="V279" s="742"/>
      <c r="W279" s="6617"/>
      <c r="X279" s="171"/>
      <c r="Y279" s="6677"/>
      <c r="Z279" s="6677"/>
      <c r="AA279" s="6677"/>
      <c r="AB279" s="5986"/>
      <c r="AC279" s="5969"/>
      <c r="AD279" s="915"/>
      <c r="AE279" s="171"/>
      <c r="AF279" s="166"/>
      <c r="AG279" s="166"/>
      <c r="AH279" s="10385"/>
      <c r="AI279" s="819"/>
    </row>
    <row r="280" spans="1:35" ht="34.5" customHeight="1">
      <c r="A280" s="10424"/>
      <c r="B280" s="10378"/>
      <c r="C280" s="9134"/>
      <c r="D280" s="9091"/>
      <c r="E280" s="9091"/>
      <c r="F280" s="10412"/>
      <c r="G280" s="9091"/>
      <c r="H280" s="9091"/>
      <c r="I280" s="9091"/>
      <c r="J280" s="9091"/>
      <c r="K280" s="9091"/>
      <c r="L280" s="9091"/>
      <c r="M280" s="10353"/>
      <c r="N280" s="10353"/>
      <c r="O280" s="10353"/>
      <c r="P280" s="10356"/>
      <c r="Q280" s="10356"/>
      <c r="R280" s="10359"/>
      <c r="S280" s="869"/>
      <c r="T280" s="7176"/>
      <c r="U280" s="7176"/>
      <c r="V280" s="741"/>
      <c r="W280" s="6618"/>
      <c r="X280" s="57"/>
      <c r="Y280" s="6686"/>
      <c r="Z280" s="6686"/>
      <c r="AA280" s="6686"/>
      <c r="AB280" s="5962"/>
      <c r="AC280" s="5963"/>
      <c r="AD280" s="905"/>
      <c r="AE280" s="57"/>
      <c r="AF280" s="151"/>
      <c r="AG280" s="151"/>
      <c r="AH280" s="10386"/>
      <c r="AI280" s="819"/>
    </row>
    <row r="281" spans="1:35" ht="34.5" customHeight="1">
      <c r="A281" s="10424"/>
      <c r="B281" s="10378"/>
      <c r="C281" s="9134"/>
      <c r="D281" s="9091"/>
      <c r="E281" s="9091"/>
      <c r="F281" s="10412"/>
      <c r="G281" s="9091"/>
      <c r="H281" s="9091"/>
      <c r="I281" s="9091"/>
      <c r="J281" s="9091"/>
      <c r="K281" s="9091"/>
      <c r="L281" s="9091"/>
      <c r="M281" s="10353"/>
      <c r="N281" s="10353"/>
      <c r="O281" s="10353"/>
      <c r="P281" s="10356"/>
      <c r="Q281" s="10356"/>
      <c r="R281" s="10359"/>
      <c r="S281" s="869"/>
      <c r="T281" s="7176"/>
      <c r="U281" s="7176"/>
      <c r="V281" s="741"/>
      <c r="W281" s="6618"/>
      <c r="X281" s="57"/>
      <c r="Y281" s="6686"/>
      <c r="Z281" s="6686"/>
      <c r="AA281" s="6686"/>
      <c r="AB281" s="5962"/>
      <c r="AC281" s="5963"/>
      <c r="AD281" s="905"/>
      <c r="AE281" s="57"/>
      <c r="AF281" s="151"/>
      <c r="AG281" s="151"/>
      <c r="AH281" s="10386"/>
      <c r="AI281" s="819"/>
    </row>
    <row r="282" spans="1:35" ht="34.5" customHeight="1">
      <c r="A282" s="10424"/>
      <c r="B282" s="10378"/>
      <c r="C282" s="9134"/>
      <c r="D282" s="9091"/>
      <c r="E282" s="9091"/>
      <c r="F282" s="10412"/>
      <c r="G282" s="9091"/>
      <c r="H282" s="9091"/>
      <c r="I282" s="9091"/>
      <c r="J282" s="9091"/>
      <c r="K282" s="9091"/>
      <c r="L282" s="9091"/>
      <c r="M282" s="10353"/>
      <c r="N282" s="10353"/>
      <c r="O282" s="10353"/>
      <c r="P282" s="10356"/>
      <c r="Q282" s="10356"/>
      <c r="R282" s="10359"/>
      <c r="S282" s="871"/>
      <c r="T282" s="6583"/>
      <c r="U282" s="6583"/>
      <c r="V282" s="741"/>
      <c r="W282" s="6618"/>
      <c r="X282" s="57"/>
      <c r="Y282" s="6686"/>
      <c r="Z282" s="6686"/>
      <c r="AA282" s="6686"/>
      <c r="AB282" s="5962"/>
      <c r="AC282" s="5963"/>
      <c r="AD282" s="905"/>
      <c r="AE282" s="57"/>
      <c r="AF282" s="151"/>
      <c r="AG282" s="151"/>
      <c r="AH282" s="10386"/>
      <c r="AI282" s="819"/>
    </row>
    <row r="283" spans="1:35" ht="34.5" customHeight="1">
      <c r="A283" s="10424"/>
      <c r="B283" s="10378"/>
      <c r="C283" s="9141"/>
      <c r="D283" s="9102"/>
      <c r="E283" s="9102"/>
      <c r="F283" s="10413"/>
      <c r="G283" s="9102"/>
      <c r="H283" s="9102"/>
      <c r="I283" s="9102"/>
      <c r="J283" s="9102"/>
      <c r="K283" s="9102"/>
      <c r="L283" s="9102"/>
      <c r="M283" s="10354"/>
      <c r="N283" s="10354"/>
      <c r="O283" s="10354"/>
      <c r="P283" s="10357"/>
      <c r="Q283" s="10357"/>
      <c r="R283" s="10360"/>
      <c r="S283" s="872"/>
      <c r="T283" s="7255"/>
      <c r="U283" s="7255"/>
      <c r="V283" s="745"/>
      <c r="W283" s="7289"/>
      <c r="X283" s="61"/>
      <c r="Y283" s="7317"/>
      <c r="Z283" s="7317"/>
      <c r="AA283" s="7317"/>
      <c r="AB283" s="5970"/>
      <c r="AC283" s="5971"/>
      <c r="AD283" s="916"/>
      <c r="AE283" s="61"/>
      <c r="AF283" s="177"/>
      <c r="AG283" s="177"/>
      <c r="AH283" s="10389"/>
      <c r="AI283" s="819"/>
    </row>
    <row r="284" spans="1:35" ht="46.5" customHeight="1">
      <c r="A284" s="10424"/>
      <c r="B284" s="10378"/>
      <c r="C284" s="9133" t="s">
        <v>127</v>
      </c>
      <c r="D284" s="9131" t="s">
        <v>128</v>
      </c>
      <c r="E284" s="9131" t="s">
        <v>129</v>
      </c>
      <c r="F284" s="9131" t="s">
        <v>2961</v>
      </c>
      <c r="G284" s="9142" t="s">
        <v>131</v>
      </c>
      <c r="H284" s="9131" t="s">
        <v>132</v>
      </c>
      <c r="I284" s="9131" t="s">
        <v>159</v>
      </c>
      <c r="J284" s="9131" t="s">
        <v>3279</v>
      </c>
      <c r="K284" s="9131" t="s">
        <v>3280</v>
      </c>
      <c r="L284" s="9131" t="s">
        <v>3281</v>
      </c>
      <c r="M284" s="10372">
        <v>4</v>
      </c>
      <c r="N284" s="10372">
        <v>4</v>
      </c>
      <c r="O284" s="10372">
        <v>3</v>
      </c>
      <c r="P284" s="9131" t="s">
        <v>3282</v>
      </c>
      <c r="Q284" s="9131" t="s">
        <v>3283</v>
      </c>
      <c r="R284" s="10364" t="s">
        <v>3248</v>
      </c>
      <c r="S284" s="874"/>
      <c r="T284" s="7175"/>
      <c r="U284" s="7175"/>
      <c r="V284" s="743"/>
      <c r="W284" s="7182"/>
      <c r="X284" s="471"/>
      <c r="Y284" s="7186"/>
      <c r="Z284" s="7186"/>
      <c r="AA284" s="7186"/>
      <c r="AB284" s="5987"/>
      <c r="AC284" s="5973"/>
      <c r="AD284" s="904"/>
      <c r="AE284" s="471"/>
      <c r="AF284" s="471"/>
      <c r="AG284" s="471"/>
      <c r="AH284" s="10388"/>
      <c r="AI284" s="819"/>
    </row>
    <row r="285" spans="1:35" ht="46.5" customHeight="1">
      <c r="A285" s="10424"/>
      <c r="B285" s="10378"/>
      <c r="C285" s="9134"/>
      <c r="D285" s="9091"/>
      <c r="E285" s="9091"/>
      <c r="F285" s="9091"/>
      <c r="G285" s="9091"/>
      <c r="H285" s="9091"/>
      <c r="I285" s="9091"/>
      <c r="J285" s="9091"/>
      <c r="K285" s="9091"/>
      <c r="L285" s="9091"/>
      <c r="M285" s="10353"/>
      <c r="N285" s="10353"/>
      <c r="O285" s="10353"/>
      <c r="P285" s="10356"/>
      <c r="Q285" s="10356"/>
      <c r="R285" s="10359"/>
      <c r="S285" s="869"/>
      <c r="T285" s="7176"/>
      <c r="U285" s="7176"/>
      <c r="V285" s="741"/>
      <c r="W285" s="6618"/>
      <c r="X285" s="57"/>
      <c r="Y285" s="6686"/>
      <c r="Z285" s="6686"/>
      <c r="AA285" s="6686"/>
      <c r="AB285" s="5962"/>
      <c r="AC285" s="5963"/>
      <c r="AD285" s="905"/>
      <c r="AE285" s="57"/>
      <c r="AF285" s="57"/>
      <c r="AG285" s="57"/>
      <c r="AH285" s="10386"/>
      <c r="AI285" s="819"/>
    </row>
    <row r="286" spans="1:35" ht="46.5" customHeight="1">
      <c r="A286" s="10424"/>
      <c r="B286" s="10378"/>
      <c r="C286" s="9134"/>
      <c r="D286" s="9091"/>
      <c r="E286" s="9091"/>
      <c r="F286" s="9091"/>
      <c r="G286" s="9091"/>
      <c r="H286" s="9091"/>
      <c r="I286" s="9091"/>
      <c r="J286" s="9091"/>
      <c r="K286" s="9091"/>
      <c r="L286" s="9091"/>
      <c r="M286" s="10353"/>
      <c r="N286" s="10353"/>
      <c r="O286" s="10353"/>
      <c r="P286" s="10356"/>
      <c r="Q286" s="10356"/>
      <c r="R286" s="10359"/>
      <c r="S286" s="869"/>
      <c r="T286" s="7176"/>
      <c r="U286" s="7176"/>
      <c r="V286" s="741"/>
      <c r="W286" s="6618"/>
      <c r="X286" s="57"/>
      <c r="Y286" s="6686"/>
      <c r="Z286" s="6686"/>
      <c r="AA286" s="6686"/>
      <c r="AB286" s="5962"/>
      <c r="AC286" s="5963"/>
      <c r="AD286" s="905"/>
      <c r="AE286" s="57"/>
      <c r="AF286" s="57"/>
      <c r="AG286" s="151"/>
      <c r="AH286" s="10386"/>
      <c r="AI286" s="819"/>
    </row>
    <row r="287" spans="1:35" ht="46.5" customHeight="1">
      <c r="A287" s="10424"/>
      <c r="B287" s="10378"/>
      <c r="C287" s="9134"/>
      <c r="D287" s="9091"/>
      <c r="E287" s="9091"/>
      <c r="F287" s="9091"/>
      <c r="G287" s="9091"/>
      <c r="H287" s="9091"/>
      <c r="I287" s="9091"/>
      <c r="J287" s="9091"/>
      <c r="K287" s="9091"/>
      <c r="L287" s="9091"/>
      <c r="M287" s="10353"/>
      <c r="N287" s="10353"/>
      <c r="O287" s="10353"/>
      <c r="P287" s="10356"/>
      <c r="Q287" s="10356"/>
      <c r="R287" s="10359"/>
      <c r="S287" s="869"/>
      <c r="T287" s="7176"/>
      <c r="U287" s="7176"/>
      <c r="V287" s="741"/>
      <c r="W287" s="6618"/>
      <c r="X287" s="57"/>
      <c r="Y287" s="6686"/>
      <c r="Z287" s="6686"/>
      <c r="AA287" s="6686"/>
      <c r="AB287" s="5962"/>
      <c r="AC287" s="5963"/>
      <c r="AD287" s="905"/>
      <c r="AE287" s="57"/>
      <c r="AF287" s="57"/>
      <c r="AG287" s="151"/>
      <c r="AH287" s="10386"/>
      <c r="AI287" s="819"/>
    </row>
    <row r="288" spans="1:35" ht="46.5" customHeight="1">
      <c r="A288" s="10424"/>
      <c r="B288" s="10378"/>
      <c r="C288" s="9135"/>
      <c r="D288" s="9129"/>
      <c r="E288" s="9129"/>
      <c r="F288" s="9129"/>
      <c r="G288" s="9129"/>
      <c r="H288" s="9129"/>
      <c r="I288" s="9129"/>
      <c r="J288" s="9129"/>
      <c r="K288" s="9129"/>
      <c r="L288" s="9129"/>
      <c r="M288" s="10362"/>
      <c r="N288" s="10362"/>
      <c r="O288" s="10362"/>
      <c r="P288" s="10363"/>
      <c r="Q288" s="10363"/>
      <c r="R288" s="10365"/>
      <c r="S288" s="870"/>
      <c r="T288" s="7254"/>
      <c r="U288" s="7254"/>
      <c r="V288" s="860"/>
      <c r="W288" s="7288"/>
      <c r="X288" s="160"/>
      <c r="Y288" s="7315"/>
      <c r="Z288" s="7315"/>
      <c r="AA288" s="7315"/>
      <c r="AB288" s="7316"/>
      <c r="AC288" s="7348"/>
      <c r="AD288" s="914"/>
      <c r="AE288" s="160"/>
      <c r="AF288" s="160"/>
      <c r="AG288" s="158"/>
      <c r="AH288" s="10386"/>
      <c r="AI288" s="819"/>
    </row>
    <row r="289" spans="1:35" ht="36" customHeight="1">
      <c r="A289" s="10424"/>
      <c r="B289" s="10378"/>
      <c r="C289" s="9140" t="s">
        <v>127</v>
      </c>
      <c r="D289" s="9090" t="s">
        <v>128</v>
      </c>
      <c r="E289" s="9090" t="s">
        <v>129</v>
      </c>
      <c r="F289" s="9090" t="s">
        <v>2961</v>
      </c>
      <c r="G289" s="9116" t="s">
        <v>131</v>
      </c>
      <c r="H289" s="9090" t="s">
        <v>132</v>
      </c>
      <c r="I289" s="9090" t="s">
        <v>159</v>
      </c>
      <c r="J289" s="9090" t="s">
        <v>3284</v>
      </c>
      <c r="K289" s="9090" t="s">
        <v>286</v>
      </c>
      <c r="L289" s="9090" t="s">
        <v>3285</v>
      </c>
      <c r="M289" s="10376">
        <v>0</v>
      </c>
      <c r="N289" s="10376">
        <v>1</v>
      </c>
      <c r="O289" s="10376">
        <v>1</v>
      </c>
      <c r="P289" s="9090" t="s">
        <v>3286</v>
      </c>
      <c r="Q289" s="9090" t="s">
        <v>3287</v>
      </c>
      <c r="R289" s="10358" t="s">
        <v>3248</v>
      </c>
      <c r="S289" s="902"/>
      <c r="T289" s="6582"/>
      <c r="U289" s="6582"/>
      <c r="V289" s="742"/>
      <c r="W289" s="6617"/>
      <c r="X289" s="171"/>
      <c r="Y289" s="6677"/>
      <c r="Z289" s="6677"/>
      <c r="AA289" s="6677"/>
      <c r="AB289" s="5986"/>
      <c r="AC289" s="5969"/>
      <c r="AD289" s="915"/>
      <c r="AE289" s="171"/>
      <c r="AF289" s="166"/>
      <c r="AG289" s="166"/>
      <c r="AH289" s="10385"/>
      <c r="AI289" s="819"/>
    </row>
    <row r="290" spans="1:35" ht="36" customHeight="1">
      <c r="A290" s="10424"/>
      <c r="B290" s="10378"/>
      <c r="C290" s="9134"/>
      <c r="D290" s="9091"/>
      <c r="E290" s="9091"/>
      <c r="F290" s="9091"/>
      <c r="G290" s="9091"/>
      <c r="H290" s="9091"/>
      <c r="I290" s="9091"/>
      <c r="J290" s="9091"/>
      <c r="K290" s="9091"/>
      <c r="L290" s="9091"/>
      <c r="M290" s="10353"/>
      <c r="N290" s="10353"/>
      <c r="O290" s="10353"/>
      <c r="P290" s="10356"/>
      <c r="Q290" s="10356"/>
      <c r="R290" s="10359"/>
      <c r="S290" s="869"/>
      <c r="T290" s="7176"/>
      <c r="U290" s="7176"/>
      <c r="V290" s="741"/>
      <c r="W290" s="6618"/>
      <c r="X290" s="57"/>
      <c r="Y290" s="6686"/>
      <c r="Z290" s="6686"/>
      <c r="AA290" s="6686"/>
      <c r="AB290" s="5962"/>
      <c r="AC290" s="5963"/>
      <c r="AD290" s="905"/>
      <c r="AE290" s="57"/>
      <c r="AF290" s="151"/>
      <c r="AG290" s="151"/>
      <c r="AH290" s="10386"/>
      <c r="AI290" s="819"/>
    </row>
    <row r="291" spans="1:35" ht="36" customHeight="1">
      <c r="A291" s="10424"/>
      <c r="B291" s="10378"/>
      <c r="C291" s="9134"/>
      <c r="D291" s="9091"/>
      <c r="E291" s="9091"/>
      <c r="F291" s="9091"/>
      <c r="G291" s="9091"/>
      <c r="H291" s="9091"/>
      <c r="I291" s="9091"/>
      <c r="J291" s="9091"/>
      <c r="K291" s="9091"/>
      <c r="L291" s="9091"/>
      <c r="M291" s="10353"/>
      <c r="N291" s="10353"/>
      <c r="O291" s="10353"/>
      <c r="P291" s="10356"/>
      <c r="Q291" s="10356"/>
      <c r="R291" s="10359"/>
      <c r="S291" s="869"/>
      <c r="T291" s="7176"/>
      <c r="U291" s="7176"/>
      <c r="V291" s="741"/>
      <c r="W291" s="6618"/>
      <c r="X291" s="57"/>
      <c r="Y291" s="6686"/>
      <c r="Z291" s="6686"/>
      <c r="AA291" s="6686"/>
      <c r="AB291" s="5962"/>
      <c r="AC291" s="5963"/>
      <c r="AD291" s="905"/>
      <c r="AE291" s="57"/>
      <c r="AF291" s="151"/>
      <c r="AG291" s="151"/>
      <c r="AH291" s="10386"/>
      <c r="AI291" s="819"/>
    </row>
    <row r="292" spans="1:35" ht="36" customHeight="1">
      <c r="A292" s="10424"/>
      <c r="B292" s="10378"/>
      <c r="C292" s="9134"/>
      <c r="D292" s="9091"/>
      <c r="E292" s="9091"/>
      <c r="F292" s="9091"/>
      <c r="G292" s="9091"/>
      <c r="H292" s="9091"/>
      <c r="I292" s="9091"/>
      <c r="J292" s="9091"/>
      <c r="K292" s="9091"/>
      <c r="L292" s="9091"/>
      <c r="M292" s="10353"/>
      <c r="N292" s="10353"/>
      <c r="O292" s="10353"/>
      <c r="P292" s="10356"/>
      <c r="Q292" s="10356"/>
      <c r="R292" s="10359"/>
      <c r="S292" s="869"/>
      <c r="T292" s="7176"/>
      <c r="U292" s="7176"/>
      <c r="V292" s="741"/>
      <c r="W292" s="6618"/>
      <c r="X292" s="57"/>
      <c r="Y292" s="6686"/>
      <c r="Z292" s="6686"/>
      <c r="AA292" s="6686"/>
      <c r="AB292" s="5962"/>
      <c r="AC292" s="5963"/>
      <c r="AD292" s="905"/>
      <c r="AE292" s="57"/>
      <c r="AF292" s="151"/>
      <c r="AG292" s="151"/>
      <c r="AH292" s="10386"/>
      <c r="AI292" s="819"/>
    </row>
    <row r="293" spans="1:35" ht="36" customHeight="1">
      <c r="A293" s="10424"/>
      <c r="B293" s="10378"/>
      <c r="C293" s="9141"/>
      <c r="D293" s="9102"/>
      <c r="E293" s="9102"/>
      <c r="F293" s="9102"/>
      <c r="G293" s="9102"/>
      <c r="H293" s="9102"/>
      <c r="I293" s="9102"/>
      <c r="J293" s="9102"/>
      <c r="K293" s="9102"/>
      <c r="L293" s="9102"/>
      <c r="M293" s="10354"/>
      <c r="N293" s="10354"/>
      <c r="O293" s="10354"/>
      <c r="P293" s="10357"/>
      <c r="Q293" s="10357"/>
      <c r="R293" s="10360"/>
      <c r="S293" s="872"/>
      <c r="T293" s="7255"/>
      <c r="U293" s="7255"/>
      <c r="V293" s="860"/>
      <c r="W293" s="7288"/>
      <c r="X293" s="160"/>
      <c r="Y293" s="7315"/>
      <c r="Z293" s="7315"/>
      <c r="AA293" s="7315"/>
      <c r="AB293" s="7316"/>
      <c r="AC293" s="7348"/>
      <c r="AD293" s="914"/>
      <c r="AE293" s="160"/>
      <c r="AF293" s="158"/>
      <c r="AG293" s="158"/>
      <c r="AH293" s="10386"/>
      <c r="AI293" s="819"/>
    </row>
    <row r="294" spans="1:35" ht="26.25" customHeight="1">
      <c r="A294" s="10424"/>
      <c r="B294" s="10378"/>
      <c r="C294" s="9133" t="s">
        <v>127</v>
      </c>
      <c r="D294" s="9131" t="s">
        <v>128</v>
      </c>
      <c r="E294" s="9131" t="s">
        <v>129</v>
      </c>
      <c r="F294" s="9131" t="s">
        <v>2961</v>
      </c>
      <c r="G294" s="9142" t="s">
        <v>131</v>
      </c>
      <c r="H294" s="9131" t="s">
        <v>132</v>
      </c>
      <c r="I294" s="9131" t="s">
        <v>159</v>
      </c>
      <c r="J294" s="9131" t="s">
        <v>3288</v>
      </c>
      <c r="K294" s="9131" t="s">
        <v>1378</v>
      </c>
      <c r="L294" s="9131" t="s">
        <v>3289</v>
      </c>
      <c r="M294" s="10372">
        <v>10</v>
      </c>
      <c r="N294" s="10372">
        <v>10</v>
      </c>
      <c r="O294" s="10372">
        <v>10</v>
      </c>
      <c r="P294" s="9131" t="s">
        <v>3290</v>
      </c>
      <c r="Q294" s="9131" t="s">
        <v>1381</v>
      </c>
      <c r="R294" s="10364" t="s">
        <v>3291</v>
      </c>
      <c r="S294" s="874"/>
      <c r="T294" s="7175"/>
      <c r="U294" s="7175"/>
      <c r="V294" s="742"/>
      <c r="W294" s="6617"/>
      <c r="X294" s="171"/>
      <c r="Y294" s="6677"/>
      <c r="Z294" s="6677"/>
      <c r="AA294" s="6677"/>
      <c r="AB294" s="5986"/>
      <c r="AC294" s="5969"/>
      <c r="AD294" s="915"/>
      <c r="AE294" s="171"/>
      <c r="AF294" s="166"/>
      <c r="AG294" s="166"/>
      <c r="AH294" s="10385"/>
      <c r="AI294" s="819"/>
    </row>
    <row r="295" spans="1:35" ht="26.25" customHeight="1">
      <c r="A295" s="10424"/>
      <c r="B295" s="10378"/>
      <c r="C295" s="9134"/>
      <c r="D295" s="9091"/>
      <c r="E295" s="9091"/>
      <c r="F295" s="9091"/>
      <c r="G295" s="9091"/>
      <c r="H295" s="9091"/>
      <c r="I295" s="9091"/>
      <c r="J295" s="9091"/>
      <c r="K295" s="9091"/>
      <c r="L295" s="9091"/>
      <c r="M295" s="10353"/>
      <c r="N295" s="10353"/>
      <c r="O295" s="10353"/>
      <c r="P295" s="10356"/>
      <c r="Q295" s="10356"/>
      <c r="R295" s="10359"/>
      <c r="S295" s="869"/>
      <c r="T295" s="7176"/>
      <c r="U295" s="7176"/>
      <c r="V295" s="741"/>
      <c r="W295" s="6618"/>
      <c r="X295" s="57"/>
      <c r="Y295" s="6686"/>
      <c r="Z295" s="6686"/>
      <c r="AA295" s="6686"/>
      <c r="AB295" s="5962"/>
      <c r="AC295" s="5963"/>
      <c r="AD295" s="905"/>
      <c r="AE295" s="57"/>
      <c r="AF295" s="151"/>
      <c r="AG295" s="151"/>
      <c r="AH295" s="10386"/>
      <c r="AI295" s="819"/>
    </row>
    <row r="296" spans="1:35" ht="26.25" customHeight="1">
      <c r="A296" s="10424"/>
      <c r="B296" s="10378"/>
      <c r="C296" s="9134"/>
      <c r="D296" s="9091"/>
      <c r="E296" s="9091"/>
      <c r="F296" s="9091"/>
      <c r="G296" s="9091"/>
      <c r="H296" s="9091"/>
      <c r="I296" s="9091"/>
      <c r="J296" s="9091"/>
      <c r="K296" s="9091"/>
      <c r="L296" s="9091"/>
      <c r="M296" s="10353"/>
      <c r="N296" s="10353"/>
      <c r="O296" s="10353"/>
      <c r="P296" s="10356"/>
      <c r="Q296" s="10356"/>
      <c r="R296" s="10359"/>
      <c r="S296" s="869"/>
      <c r="T296" s="7176"/>
      <c r="U296" s="7176"/>
      <c r="V296" s="741"/>
      <c r="W296" s="6618"/>
      <c r="X296" s="57"/>
      <c r="Y296" s="6686"/>
      <c r="Z296" s="6686"/>
      <c r="AA296" s="6686"/>
      <c r="AB296" s="5962"/>
      <c r="AC296" s="5963"/>
      <c r="AD296" s="905"/>
      <c r="AE296" s="57"/>
      <c r="AF296" s="151"/>
      <c r="AG296" s="151"/>
      <c r="AH296" s="10386"/>
      <c r="AI296" s="819"/>
    </row>
    <row r="297" spans="1:35" ht="26.25" customHeight="1">
      <c r="A297" s="10424"/>
      <c r="B297" s="10378"/>
      <c r="C297" s="9134"/>
      <c r="D297" s="9091"/>
      <c r="E297" s="9091"/>
      <c r="F297" s="9091"/>
      <c r="G297" s="9091"/>
      <c r="H297" s="9091"/>
      <c r="I297" s="9091"/>
      <c r="J297" s="9091"/>
      <c r="K297" s="9091"/>
      <c r="L297" s="9091"/>
      <c r="M297" s="10353"/>
      <c r="N297" s="10353"/>
      <c r="O297" s="10353"/>
      <c r="P297" s="10356"/>
      <c r="Q297" s="10356"/>
      <c r="R297" s="10359"/>
      <c r="S297" s="869"/>
      <c r="T297" s="7176"/>
      <c r="U297" s="7176"/>
      <c r="V297" s="741"/>
      <c r="W297" s="6618"/>
      <c r="X297" s="57"/>
      <c r="Y297" s="6686"/>
      <c r="Z297" s="6686"/>
      <c r="AA297" s="6686"/>
      <c r="AB297" s="5962"/>
      <c r="AC297" s="5963"/>
      <c r="AD297" s="905"/>
      <c r="AE297" s="57"/>
      <c r="AF297" s="151"/>
      <c r="AG297" s="151"/>
      <c r="AH297" s="10386"/>
      <c r="AI297" s="819"/>
    </row>
    <row r="298" spans="1:35" ht="26.25" customHeight="1">
      <c r="A298" s="10424"/>
      <c r="B298" s="10378"/>
      <c r="C298" s="9141"/>
      <c r="D298" s="9102"/>
      <c r="E298" s="9102"/>
      <c r="F298" s="9102"/>
      <c r="G298" s="9102"/>
      <c r="H298" s="9102"/>
      <c r="I298" s="9102"/>
      <c r="J298" s="9102"/>
      <c r="K298" s="9102"/>
      <c r="L298" s="9102"/>
      <c r="M298" s="10354"/>
      <c r="N298" s="10354"/>
      <c r="O298" s="10354"/>
      <c r="P298" s="10357"/>
      <c r="Q298" s="10357"/>
      <c r="R298" s="10360"/>
      <c r="S298" s="872"/>
      <c r="T298" s="7255"/>
      <c r="U298" s="7255"/>
      <c r="V298" s="745"/>
      <c r="W298" s="7289"/>
      <c r="X298" s="61"/>
      <c r="Y298" s="7317"/>
      <c r="Z298" s="7317"/>
      <c r="AA298" s="7315"/>
      <c r="AB298" s="7316"/>
      <c r="AC298" s="7348"/>
      <c r="AD298" s="914"/>
      <c r="AE298" s="61"/>
      <c r="AF298" s="177"/>
      <c r="AG298" s="177"/>
      <c r="AH298" s="10389"/>
      <c r="AI298" s="819"/>
    </row>
    <row r="299" spans="1:35" s="4842" customFormat="1" ht="22.5" customHeight="1" thickBot="1">
      <c r="A299" s="10424"/>
      <c r="B299" s="10379"/>
      <c r="C299" s="10414"/>
      <c r="D299" s="9216"/>
      <c r="E299" s="9216"/>
      <c r="F299" s="9216"/>
      <c r="G299" s="9216"/>
      <c r="H299" s="9216"/>
      <c r="I299" s="9216"/>
      <c r="J299" s="9216"/>
      <c r="K299" s="9216"/>
      <c r="L299" s="9216"/>
      <c r="M299" s="9216"/>
      <c r="N299" s="9216"/>
      <c r="O299" s="9216"/>
      <c r="P299" s="9216"/>
      <c r="Q299" s="9216"/>
      <c r="R299" s="9047"/>
      <c r="S299" s="10393" t="s">
        <v>3292</v>
      </c>
      <c r="T299" s="10394"/>
      <c r="U299" s="10394"/>
      <c r="V299" s="10394"/>
      <c r="W299" s="10394"/>
      <c r="X299" s="10394"/>
      <c r="Y299" s="10394"/>
      <c r="Z299" s="10394"/>
      <c r="AA299" s="6096" t="s">
        <v>292</v>
      </c>
      <c r="AB299" s="7312">
        <f>SUM(AB254:AB298)</f>
        <v>1079.9000000000001</v>
      </c>
      <c r="AC299" s="6100"/>
      <c r="AD299" s="6101"/>
      <c r="AE299" s="10395"/>
      <c r="AF299" s="10396"/>
      <c r="AG299" s="10396"/>
      <c r="AH299" s="10397"/>
      <c r="AI299" s="4887"/>
    </row>
    <row r="300" spans="1:35" ht="28.5" customHeight="1">
      <c r="A300" s="10425"/>
      <c r="B300" s="9234" t="s">
        <v>3293</v>
      </c>
      <c r="C300" s="9133" t="s">
        <v>127</v>
      </c>
      <c r="D300" s="9131" t="s">
        <v>128</v>
      </c>
      <c r="E300" s="9131" t="s">
        <v>140</v>
      </c>
      <c r="F300" s="9131" t="s">
        <v>284</v>
      </c>
      <c r="G300" s="9142" t="s">
        <v>131</v>
      </c>
      <c r="H300" s="9131" t="s">
        <v>132</v>
      </c>
      <c r="I300" s="9131" t="s">
        <v>159</v>
      </c>
      <c r="J300" s="9131" t="s">
        <v>3294</v>
      </c>
      <c r="K300" s="9131" t="s">
        <v>3295</v>
      </c>
      <c r="L300" s="10373" t="s">
        <v>3296</v>
      </c>
      <c r="M300" s="10372">
        <v>10</v>
      </c>
      <c r="N300" s="10372">
        <v>10</v>
      </c>
      <c r="O300" s="10372">
        <v>10</v>
      </c>
      <c r="P300" s="8835" t="s">
        <v>3297</v>
      </c>
      <c r="Q300" s="9130" t="s">
        <v>3298</v>
      </c>
      <c r="R300" s="9342" t="s">
        <v>3299</v>
      </c>
      <c r="S300" s="873"/>
      <c r="T300" s="7277"/>
      <c r="U300" s="7253"/>
      <c r="V300" s="875"/>
      <c r="W300" s="7287"/>
      <c r="X300" s="149"/>
      <c r="Y300" s="7313"/>
      <c r="Z300" s="7313"/>
      <c r="AA300" s="7186"/>
      <c r="AB300" s="5987"/>
      <c r="AC300" s="5973"/>
      <c r="AD300" s="904"/>
      <c r="AE300" s="149"/>
      <c r="AF300" s="148"/>
      <c r="AG300" s="148"/>
      <c r="AH300" s="10399"/>
      <c r="AI300" s="819"/>
    </row>
    <row r="301" spans="1:35" ht="28.5" customHeight="1">
      <c r="A301" s="10425"/>
      <c r="B301" s="10366"/>
      <c r="C301" s="9134"/>
      <c r="D301" s="9091"/>
      <c r="E301" s="9091"/>
      <c r="F301" s="9091"/>
      <c r="G301" s="9091"/>
      <c r="H301" s="9091"/>
      <c r="I301" s="9091"/>
      <c r="J301" s="9091"/>
      <c r="K301" s="9091"/>
      <c r="L301" s="10374"/>
      <c r="M301" s="10353"/>
      <c r="N301" s="10353"/>
      <c r="O301" s="10353"/>
      <c r="P301" s="8834"/>
      <c r="Q301" s="10356"/>
      <c r="R301" s="9263"/>
      <c r="S301" s="869"/>
      <c r="T301" s="7270"/>
      <c r="U301" s="7176"/>
      <c r="V301" s="741"/>
      <c r="W301" s="6618"/>
      <c r="X301" s="57"/>
      <c r="Y301" s="6686"/>
      <c r="Z301" s="6686"/>
      <c r="AA301" s="6686"/>
      <c r="AB301" s="5962"/>
      <c r="AC301" s="5963"/>
      <c r="AD301" s="905"/>
      <c r="AE301" s="57"/>
      <c r="AF301" s="151"/>
      <c r="AG301" s="151"/>
      <c r="AH301" s="10386"/>
      <c r="AI301" s="819"/>
    </row>
    <row r="302" spans="1:35" ht="28.5" customHeight="1">
      <c r="A302" s="10425"/>
      <c r="B302" s="10366"/>
      <c r="C302" s="9134"/>
      <c r="D302" s="9091"/>
      <c r="E302" s="9091"/>
      <c r="F302" s="9091"/>
      <c r="G302" s="9091"/>
      <c r="H302" s="9091"/>
      <c r="I302" s="9091"/>
      <c r="J302" s="9091"/>
      <c r="K302" s="9091"/>
      <c r="L302" s="10374"/>
      <c r="M302" s="10353"/>
      <c r="N302" s="10353"/>
      <c r="O302" s="10353"/>
      <c r="P302" s="8834"/>
      <c r="Q302" s="10356"/>
      <c r="R302" s="9263"/>
      <c r="S302" s="869"/>
      <c r="T302" s="7270"/>
      <c r="U302" s="7176"/>
      <c r="V302" s="741"/>
      <c r="W302" s="6618"/>
      <c r="X302" s="57"/>
      <c r="Y302" s="6686"/>
      <c r="Z302" s="6686"/>
      <c r="AA302" s="6686"/>
      <c r="AB302" s="5962"/>
      <c r="AC302" s="5963"/>
      <c r="AD302" s="905"/>
      <c r="AE302" s="57"/>
      <c r="AF302" s="151"/>
      <c r="AG302" s="151"/>
      <c r="AH302" s="10386"/>
      <c r="AI302" s="819"/>
    </row>
    <row r="303" spans="1:35" ht="28.5" customHeight="1">
      <c r="A303" s="10425"/>
      <c r="B303" s="10366"/>
      <c r="C303" s="9134"/>
      <c r="D303" s="9091"/>
      <c r="E303" s="9091"/>
      <c r="F303" s="9091"/>
      <c r="G303" s="9091"/>
      <c r="H303" s="9091"/>
      <c r="I303" s="9091"/>
      <c r="J303" s="9091"/>
      <c r="K303" s="9091"/>
      <c r="L303" s="10374"/>
      <c r="M303" s="10353"/>
      <c r="N303" s="10353"/>
      <c r="O303" s="10353"/>
      <c r="P303" s="8834"/>
      <c r="Q303" s="10356"/>
      <c r="R303" s="9263"/>
      <c r="S303" s="871"/>
      <c r="T303" s="7269"/>
      <c r="U303" s="6583"/>
      <c r="V303" s="741"/>
      <c r="W303" s="6618"/>
      <c r="X303" s="57"/>
      <c r="Y303" s="6686"/>
      <c r="Z303" s="6686"/>
      <c r="AA303" s="6686"/>
      <c r="AB303" s="5962"/>
      <c r="AC303" s="5963"/>
      <c r="AD303" s="905"/>
      <c r="AE303" s="57"/>
      <c r="AF303" s="151"/>
      <c r="AG303" s="151"/>
      <c r="AH303" s="10386"/>
      <c r="AI303" s="819"/>
    </row>
    <row r="304" spans="1:35" ht="28.5" customHeight="1">
      <c r="A304" s="10425"/>
      <c r="B304" s="10366"/>
      <c r="C304" s="9135"/>
      <c r="D304" s="9129"/>
      <c r="E304" s="9129"/>
      <c r="F304" s="9129"/>
      <c r="G304" s="9129"/>
      <c r="H304" s="9129"/>
      <c r="I304" s="9129"/>
      <c r="J304" s="9129"/>
      <c r="K304" s="9129"/>
      <c r="L304" s="10375"/>
      <c r="M304" s="10362"/>
      <c r="N304" s="10362"/>
      <c r="O304" s="10362"/>
      <c r="P304" s="9127"/>
      <c r="Q304" s="10363"/>
      <c r="R304" s="9338"/>
      <c r="S304" s="870"/>
      <c r="T304" s="7278"/>
      <c r="U304" s="7254"/>
      <c r="V304" s="860"/>
      <c r="W304" s="7288"/>
      <c r="X304" s="160"/>
      <c r="Y304" s="7315"/>
      <c r="Z304" s="7187"/>
      <c r="AA304" s="7187"/>
      <c r="AB304" s="7188"/>
      <c r="AC304" s="7194"/>
      <c r="AD304" s="1370"/>
      <c r="AE304" s="1158"/>
      <c r="AF304" s="1159"/>
      <c r="AG304" s="158"/>
      <c r="AH304" s="10386"/>
      <c r="AI304" s="819"/>
    </row>
    <row r="305" spans="1:35" ht="18" customHeight="1">
      <c r="A305" s="10425"/>
      <c r="B305" s="10366"/>
      <c r="C305" s="9140" t="s">
        <v>127</v>
      </c>
      <c r="D305" s="9090" t="s">
        <v>128</v>
      </c>
      <c r="E305" s="9090" t="s">
        <v>140</v>
      </c>
      <c r="F305" s="9090" t="s">
        <v>284</v>
      </c>
      <c r="G305" s="9116" t="s">
        <v>131</v>
      </c>
      <c r="H305" s="9090" t="s">
        <v>132</v>
      </c>
      <c r="I305" s="9090" t="s">
        <v>159</v>
      </c>
      <c r="J305" s="9090" t="s">
        <v>3300</v>
      </c>
      <c r="K305" s="9090" t="s">
        <v>3301</v>
      </c>
      <c r="L305" s="9090" t="s">
        <v>3302</v>
      </c>
      <c r="M305" s="10376">
        <v>200</v>
      </c>
      <c r="N305" s="10376">
        <v>200</v>
      </c>
      <c r="O305" s="10376">
        <v>200</v>
      </c>
      <c r="P305" s="9090" t="s">
        <v>3303</v>
      </c>
      <c r="Q305" s="9186" t="s">
        <v>3304</v>
      </c>
      <c r="R305" s="10358" t="s">
        <v>3305</v>
      </c>
      <c r="S305" s="902" t="s">
        <v>15</v>
      </c>
      <c r="T305" s="7279" t="s">
        <v>3306</v>
      </c>
      <c r="U305" s="7273"/>
      <c r="V305" s="742" t="s">
        <v>956</v>
      </c>
      <c r="W305" s="7304"/>
      <c r="X305" s="172"/>
      <c r="Y305" s="7340"/>
      <c r="Z305" s="7340"/>
      <c r="AA305" s="7340"/>
      <c r="AB305" s="7881">
        <f>SUM($AA$306:$AA$329)-0.21-1593.1</f>
        <v>5174.8388000000014</v>
      </c>
      <c r="AC305" s="5969" t="s">
        <v>18</v>
      </c>
      <c r="AD305" s="1355"/>
      <c r="AE305" s="1177"/>
      <c r="AF305" s="1177"/>
      <c r="AG305" s="172"/>
      <c r="AH305" s="10385"/>
      <c r="AI305" s="819"/>
    </row>
    <row r="306" spans="1:35" ht="18" customHeight="1">
      <c r="A306" s="10425"/>
      <c r="B306" s="10366"/>
      <c r="C306" s="9134"/>
      <c r="D306" s="9091"/>
      <c r="E306" s="9091"/>
      <c r="F306" s="9091"/>
      <c r="G306" s="9091"/>
      <c r="H306" s="9091"/>
      <c r="I306" s="9091"/>
      <c r="J306" s="9091"/>
      <c r="K306" s="9091"/>
      <c r="L306" s="9091"/>
      <c r="M306" s="10353"/>
      <c r="N306" s="10353"/>
      <c r="O306" s="10353"/>
      <c r="P306" s="10356"/>
      <c r="Q306" s="10356"/>
      <c r="R306" s="10359"/>
      <c r="S306" s="869"/>
      <c r="T306" s="7270"/>
      <c r="U306" s="7176">
        <v>352500531</v>
      </c>
      <c r="V306" s="741" t="s">
        <v>3307</v>
      </c>
      <c r="W306" s="7291">
        <v>50</v>
      </c>
      <c r="X306" s="57" t="s">
        <v>180</v>
      </c>
      <c r="Y306" s="6686">
        <v>11.35</v>
      </c>
      <c r="Z306" s="6686">
        <f t="shared" ref="Z306:Z329" si="10">+W306*Y306</f>
        <v>567.5</v>
      </c>
      <c r="AA306" s="6686">
        <f t="shared" ref="AA306:AA329" si="11">+Z306*1.12</f>
        <v>635.6</v>
      </c>
      <c r="AB306" s="7319"/>
      <c r="AC306" s="5965"/>
      <c r="AD306" s="1351"/>
      <c r="AE306" s="1149" t="s">
        <v>153</v>
      </c>
      <c r="AF306" s="1149" t="s">
        <v>153</v>
      </c>
      <c r="AG306" s="55"/>
      <c r="AH306" s="10386"/>
      <c r="AI306" s="819"/>
    </row>
    <row r="307" spans="1:35" ht="33.75" customHeight="1">
      <c r="A307" s="10425"/>
      <c r="B307" s="10366"/>
      <c r="C307" s="9134"/>
      <c r="D307" s="9091"/>
      <c r="E307" s="9091"/>
      <c r="F307" s="9091"/>
      <c r="G307" s="9091"/>
      <c r="H307" s="9091"/>
      <c r="I307" s="9091"/>
      <c r="J307" s="9091"/>
      <c r="K307" s="9091"/>
      <c r="L307" s="9091"/>
      <c r="M307" s="10353"/>
      <c r="N307" s="10353"/>
      <c r="O307" s="10353"/>
      <c r="P307" s="10356"/>
      <c r="Q307" s="10356"/>
      <c r="R307" s="10359"/>
      <c r="S307" s="869"/>
      <c r="T307" s="7270"/>
      <c r="U307" s="7176">
        <v>352501311</v>
      </c>
      <c r="V307" s="741" t="s">
        <v>3308</v>
      </c>
      <c r="W307" s="7291">
        <v>80</v>
      </c>
      <c r="X307" s="57" t="s">
        <v>180</v>
      </c>
      <c r="Y307" s="6686">
        <v>1.59</v>
      </c>
      <c r="Z307" s="6686">
        <f t="shared" si="10"/>
        <v>127.2</v>
      </c>
      <c r="AA307" s="6686">
        <f t="shared" si="11"/>
        <v>142.46400000000003</v>
      </c>
      <c r="AB307" s="7319"/>
      <c r="AC307" s="5965"/>
      <c r="AD307" s="1351"/>
      <c r="AE307" s="1149" t="s">
        <v>153</v>
      </c>
      <c r="AF307" s="1149" t="s">
        <v>153</v>
      </c>
      <c r="AG307" s="55"/>
      <c r="AH307" s="10386"/>
      <c r="AI307" s="819"/>
    </row>
    <row r="308" spans="1:35" ht="18" customHeight="1">
      <c r="A308" s="10425"/>
      <c r="B308" s="10366"/>
      <c r="C308" s="9134"/>
      <c r="D308" s="9091"/>
      <c r="E308" s="9091"/>
      <c r="F308" s="9091"/>
      <c r="G308" s="9091"/>
      <c r="H308" s="9091"/>
      <c r="I308" s="9091"/>
      <c r="J308" s="9091"/>
      <c r="K308" s="9091"/>
      <c r="L308" s="9091"/>
      <c r="M308" s="10353"/>
      <c r="N308" s="10353"/>
      <c r="O308" s="10353"/>
      <c r="P308" s="10356"/>
      <c r="Q308" s="10356"/>
      <c r="R308" s="10359"/>
      <c r="S308" s="869"/>
      <c r="T308" s="7270"/>
      <c r="U308" s="7176">
        <v>352100011</v>
      </c>
      <c r="V308" s="741" t="s">
        <v>3309</v>
      </c>
      <c r="W308" s="7291">
        <v>900</v>
      </c>
      <c r="X308" s="57" t="s">
        <v>180</v>
      </c>
      <c r="Y308" s="6686">
        <v>0.3</v>
      </c>
      <c r="Z308" s="6686">
        <f t="shared" si="10"/>
        <v>270</v>
      </c>
      <c r="AA308" s="6686">
        <f t="shared" si="11"/>
        <v>302.40000000000003</v>
      </c>
      <c r="AB308" s="7319"/>
      <c r="AC308" s="5965"/>
      <c r="AD308" s="1351"/>
      <c r="AE308" s="1149" t="s">
        <v>153</v>
      </c>
      <c r="AF308" s="1149" t="s">
        <v>153</v>
      </c>
      <c r="AG308" s="55"/>
      <c r="AH308" s="10386"/>
      <c r="AI308" s="819"/>
    </row>
    <row r="309" spans="1:35" ht="18" customHeight="1">
      <c r="A309" s="10425"/>
      <c r="B309" s="10366"/>
      <c r="C309" s="9134"/>
      <c r="D309" s="9091"/>
      <c r="E309" s="9091"/>
      <c r="F309" s="9091"/>
      <c r="G309" s="9091"/>
      <c r="H309" s="9091"/>
      <c r="I309" s="9091"/>
      <c r="J309" s="9091"/>
      <c r="K309" s="9091"/>
      <c r="L309" s="9091"/>
      <c r="M309" s="10353"/>
      <c r="N309" s="10353"/>
      <c r="O309" s="10353"/>
      <c r="P309" s="10356"/>
      <c r="Q309" s="10356"/>
      <c r="R309" s="10359"/>
      <c r="S309" s="869"/>
      <c r="T309" s="7270"/>
      <c r="U309" s="7176">
        <v>352100011</v>
      </c>
      <c r="V309" s="741" t="s">
        <v>3310</v>
      </c>
      <c r="W309" s="7291">
        <v>300</v>
      </c>
      <c r="X309" s="57" t="s">
        <v>180</v>
      </c>
      <c r="Y309" s="6686">
        <v>0.75</v>
      </c>
      <c r="Z309" s="6686">
        <f t="shared" si="10"/>
        <v>225</v>
      </c>
      <c r="AA309" s="6686">
        <f t="shared" si="11"/>
        <v>252.00000000000003</v>
      </c>
      <c r="AB309" s="7319"/>
      <c r="AC309" s="5965"/>
      <c r="AD309" s="1351"/>
      <c r="AE309" s="1149" t="s">
        <v>153</v>
      </c>
      <c r="AF309" s="1149" t="s">
        <v>153</v>
      </c>
      <c r="AG309" s="55"/>
      <c r="AH309" s="10386"/>
      <c r="AI309" s="819"/>
    </row>
    <row r="310" spans="1:35" ht="18" customHeight="1">
      <c r="A310" s="10425"/>
      <c r="B310" s="10366"/>
      <c r="C310" s="9134"/>
      <c r="D310" s="9091"/>
      <c r="E310" s="9091"/>
      <c r="F310" s="9091"/>
      <c r="G310" s="9091"/>
      <c r="H310" s="9091"/>
      <c r="I310" s="9091"/>
      <c r="J310" s="9091"/>
      <c r="K310" s="9091"/>
      <c r="L310" s="9091"/>
      <c r="M310" s="10353"/>
      <c r="N310" s="10353"/>
      <c r="O310" s="10353"/>
      <c r="P310" s="10356"/>
      <c r="Q310" s="10356"/>
      <c r="R310" s="10359"/>
      <c r="S310" s="869"/>
      <c r="T310" s="7270"/>
      <c r="U310" s="7176">
        <v>352501311</v>
      </c>
      <c r="V310" s="741" t="s">
        <v>3311</v>
      </c>
      <c r="W310" s="7291">
        <v>400</v>
      </c>
      <c r="X310" s="57" t="s">
        <v>180</v>
      </c>
      <c r="Y310" s="6686">
        <v>2</v>
      </c>
      <c r="Z310" s="6686">
        <f t="shared" si="10"/>
        <v>800</v>
      </c>
      <c r="AA310" s="6686">
        <f t="shared" si="11"/>
        <v>896.00000000000011</v>
      </c>
      <c r="AB310" s="7319"/>
      <c r="AC310" s="5965"/>
      <c r="AD310" s="1351"/>
      <c r="AE310" s="1149" t="s">
        <v>153</v>
      </c>
      <c r="AF310" s="1149" t="s">
        <v>153</v>
      </c>
      <c r="AG310" s="55"/>
      <c r="AH310" s="10386"/>
      <c r="AI310" s="819"/>
    </row>
    <row r="311" spans="1:35" ht="18" customHeight="1">
      <c r="A311" s="10425"/>
      <c r="B311" s="10366"/>
      <c r="C311" s="9134"/>
      <c r="D311" s="9091"/>
      <c r="E311" s="9091"/>
      <c r="F311" s="9091"/>
      <c r="G311" s="9091"/>
      <c r="H311" s="9091"/>
      <c r="I311" s="9091"/>
      <c r="J311" s="9091"/>
      <c r="K311" s="9091"/>
      <c r="L311" s="9091"/>
      <c r="M311" s="10353"/>
      <c r="N311" s="10353"/>
      <c r="O311" s="10353"/>
      <c r="P311" s="10356"/>
      <c r="Q311" s="10356"/>
      <c r="R311" s="10359"/>
      <c r="S311" s="869"/>
      <c r="T311" s="7270"/>
      <c r="U311" s="7176">
        <v>352501311</v>
      </c>
      <c r="V311" s="741" t="s">
        <v>3312</v>
      </c>
      <c r="W311" s="7291">
        <v>50</v>
      </c>
      <c r="X311" s="57" t="s">
        <v>180</v>
      </c>
      <c r="Y311" s="6686">
        <v>0.25</v>
      </c>
      <c r="Z311" s="6686">
        <f t="shared" si="10"/>
        <v>12.5</v>
      </c>
      <c r="AA311" s="6686">
        <f t="shared" si="11"/>
        <v>14.000000000000002</v>
      </c>
      <c r="AB311" s="7319"/>
      <c r="AC311" s="5965"/>
      <c r="AD311" s="1351"/>
      <c r="AE311" s="1149" t="s">
        <v>153</v>
      </c>
      <c r="AF311" s="1149" t="s">
        <v>153</v>
      </c>
      <c r="AG311" s="55"/>
      <c r="AH311" s="10386"/>
      <c r="AI311" s="819"/>
    </row>
    <row r="312" spans="1:35" ht="18" customHeight="1">
      <c r="A312" s="10425"/>
      <c r="B312" s="10366"/>
      <c r="C312" s="9134"/>
      <c r="D312" s="9091"/>
      <c r="E312" s="9091"/>
      <c r="F312" s="9091"/>
      <c r="G312" s="9091"/>
      <c r="H312" s="9091"/>
      <c r="I312" s="9091"/>
      <c r="J312" s="9091"/>
      <c r="K312" s="9091"/>
      <c r="L312" s="9091"/>
      <c r="M312" s="10353"/>
      <c r="N312" s="10353"/>
      <c r="O312" s="10353"/>
      <c r="P312" s="10356"/>
      <c r="Q312" s="10356"/>
      <c r="R312" s="10359"/>
      <c r="S312" s="869"/>
      <c r="T312" s="7270"/>
      <c r="U312" s="7176">
        <v>352100011</v>
      </c>
      <c r="V312" s="741" t="s">
        <v>3313</v>
      </c>
      <c r="W312" s="7291">
        <v>350</v>
      </c>
      <c r="X312" s="57" t="s">
        <v>180</v>
      </c>
      <c r="Y312" s="6686">
        <v>0.2</v>
      </c>
      <c r="Z312" s="6686">
        <f t="shared" si="10"/>
        <v>70</v>
      </c>
      <c r="AA312" s="6686">
        <f t="shared" si="11"/>
        <v>78.400000000000006</v>
      </c>
      <c r="AB312" s="7319"/>
      <c r="AC312" s="5965"/>
      <c r="AD312" s="906"/>
      <c r="AE312" s="55" t="s">
        <v>153</v>
      </c>
      <c r="AF312" s="55" t="s">
        <v>153</v>
      </c>
      <c r="AG312" s="55"/>
      <c r="AH312" s="10386"/>
      <c r="AI312" s="819"/>
    </row>
    <row r="313" spans="1:35" ht="18" customHeight="1">
      <c r="A313" s="10425"/>
      <c r="B313" s="10366"/>
      <c r="C313" s="9134"/>
      <c r="D313" s="9091"/>
      <c r="E313" s="9091"/>
      <c r="F313" s="9091"/>
      <c r="G313" s="9091"/>
      <c r="H313" s="9091"/>
      <c r="I313" s="9091"/>
      <c r="J313" s="9091"/>
      <c r="K313" s="9091"/>
      <c r="L313" s="9091"/>
      <c r="M313" s="10353"/>
      <c r="N313" s="10353"/>
      <c r="O313" s="10353"/>
      <c r="P313" s="10356"/>
      <c r="Q313" s="10356"/>
      <c r="R313" s="10359"/>
      <c r="S313" s="869"/>
      <c r="T313" s="7270"/>
      <c r="U313" s="7176">
        <v>352100011</v>
      </c>
      <c r="V313" s="741" t="s">
        <v>3314</v>
      </c>
      <c r="W313" s="7291">
        <v>31</v>
      </c>
      <c r="X313" s="57" t="s">
        <v>180</v>
      </c>
      <c r="Y313" s="6686">
        <v>0.8</v>
      </c>
      <c r="Z313" s="6686">
        <f t="shared" si="10"/>
        <v>24.8</v>
      </c>
      <c r="AA313" s="6686">
        <f t="shared" si="11"/>
        <v>27.776000000000003</v>
      </c>
      <c r="AB313" s="7319"/>
      <c r="AC313" s="5965"/>
      <c r="AD313" s="906"/>
      <c r="AE313" s="55" t="s">
        <v>153</v>
      </c>
      <c r="AF313" s="55" t="s">
        <v>153</v>
      </c>
      <c r="AG313" s="55"/>
      <c r="AH313" s="10386"/>
      <c r="AI313" s="819"/>
    </row>
    <row r="314" spans="1:35" ht="18" customHeight="1">
      <c r="A314" s="10425"/>
      <c r="B314" s="10366"/>
      <c r="C314" s="9134"/>
      <c r="D314" s="9091"/>
      <c r="E314" s="9091"/>
      <c r="F314" s="9091"/>
      <c r="G314" s="9091"/>
      <c r="H314" s="9091"/>
      <c r="I314" s="9091"/>
      <c r="J314" s="9091"/>
      <c r="K314" s="9091"/>
      <c r="L314" s="9091"/>
      <c r="M314" s="10353"/>
      <c r="N314" s="10353"/>
      <c r="O314" s="10353"/>
      <c r="P314" s="10356"/>
      <c r="Q314" s="10356"/>
      <c r="R314" s="10359"/>
      <c r="S314" s="869"/>
      <c r="T314" s="7270"/>
      <c r="U314" s="7176">
        <v>341501312</v>
      </c>
      <c r="V314" s="741" t="s">
        <v>3315</v>
      </c>
      <c r="W314" s="7291">
        <v>1410</v>
      </c>
      <c r="X314" s="57" t="s">
        <v>180</v>
      </c>
      <c r="Y314" s="6686">
        <v>0.2</v>
      </c>
      <c r="Z314" s="6686">
        <f t="shared" si="10"/>
        <v>282</v>
      </c>
      <c r="AA314" s="6686">
        <f t="shared" si="11"/>
        <v>315.84000000000003</v>
      </c>
      <c r="AB314" s="7319"/>
      <c r="AC314" s="5965"/>
      <c r="AD314" s="906"/>
      <c r="AE314" s="55" t="s">
        <v>153</v>
      </c>
      <c r="AF314" s="55" t="s">
        <v>153</v>
      </c>
      <c r="AG314" s="55"/>
      <c r="AH314" s="10386"/>
      <c r="AI314" s="819"/>
    </row>
    <row r="315" spans="1:35" ht="18" customHeight="1">
      <c r="A315" s="10425"/>
      <c r="B315" s="10366"/>
      <c r="C315" s="9134"/>
      <c r="D315" s="9091"/>
      <c r="E315" s="9091"/>
      <c r="F315" s="9091"/>
      <c r="G315" s="9091"/>
      <c r="H315" s="9091"/>
      <c r="I315" s="9091"/>
      <c r="J315" s="9091"/>
      <c r="K315" s="9091"/>
      <c r="L315" s="9091"/>
      <c r="M315" s="10353"/>
      <c r="N315" s="10353"/>
      <c r="O315" s="10353"/>
      <c r="P315" s="10356"/>
      <c r="Q315" s="10356"/>
      <c r="R315" s="10359"/>
      <c r="S315" s="869"/>
      <c r="T315" s="7270"/>
      <c r="U315" s="7176">
        <v>35250021100</v>
      </c>
      <c r="V315" s="741" t="s">
        <v>3316</v>
      </c>
      <c r="W315" s="7291">
        <v>100</v>
      </c>
      <c r="X315" s="57" t="s">
        <v>180</v>
      </c>
      <c r="Y315" s="6686">
        <v>3</v>
      </c>
      <c r="Z315" s="6686">
        <f t="shared" si="10"/>
        <v>300</v>
      </c>
      <c r="AA315" s="6686">
        <f t="shared" si="11"/>
        <v>336.00000000000006</v>
      </c>
      <c r="AB315" s="7319"/>
      <c r="AC315" s="5965"/>
      <c r="AD315" s="906"/>
      <c r="AE315" s="55" t="s">
        <v>153</v>
      </c>
      <c r="AF315" s="55" t="s">
        <v>153</v>
      </c>
      <c r="AG315" s="55"/>
      <c r="AH315" s="10386"/>
      <c r="AI315" s="819"/>
    </row>
    <row r="316" spans="1:35" ht="18" customHeight="1">
      <c r="A316" s="10425"/>
      <c r="B316" s="10366"/>
      <c r="C316" s="9134"/>
      <c r="D316" s="9091"/>
      <c r="E316" s="9091"/>
      <c r="F316" s="9091"/>
      <c r="G316" s="9091"/>
      <c r="H316" s="9091"/>
      <c r="I316" s="9091"/>
      <c r="J316" s="9091"/>
      <c r="K316" s="9091"/>
      <c r="L316" s="9091"/>
      <c r="M316" s="10353"/>
      <c r="N316" s="10353"/>
      <c r="O316" s="10353"/>
      <c r="P316" s="10356"/>
      <c r="Q316" s="10356"/>
      <c r="R316" s="10359"/>
      <c r="S316" s="869"/>
      <c r="T316" s="7270"/>
      <c r="U316" s="7176">
        <v>352901094</v>
      </c>
      <c r="V316" s="741" t="s">
        <v>3317</v>
      </c>
      <c r="W316" s="7291">
        <v>15</v>
      </c>
      <c r="X316" s="57" t="s">
        <v>180</v>
      </c>
      <c r="Y316" s="6686">
        <v>2</v>
      </c>
      <c r="Z316" s="6686">
        <f t="shared" si="10"/>
        <v>30</v>
      </c>
      <c r="AA316" s="6686">
        <f t="shared" si="11"/>
        <v>33.6</v>
      </c>
      <c r="AB316" s="7319"/>
      <c r="AC316" s="5965"/>
      <c r="AD316" s="906"/>
      <c r="AE316" s="55" t="s">
        <v>153</v>
      </c>
      <c r="AF316" s="55" t="s">
        <v>153</v>
      </c>
      <c r="AG316" s="55"/>
      <c r="AH316" s="10386"/>
      <c r="AI316" s="819"/>
    </row>
    <row r="317" spans="1:35" ht="18" customHeight="1">
      <c r="A317" s="10425"/>
      <c r="B317" s="10366"/>
      <c r="C317" s="9134"/>
      <c r="D317" s="9091"/>
      <c r="E317" s="9091"/>
      <c r="F317" s="9091"/>
      <c r="G317" s="9091"/>
      <c r="H317" s="9091"/>
      <c r="I317" s="9091"/>
      <c r="J317" s="9091"/>
      <c r="K317" s="9091"/>
      <c r="L317" s="9091"/>
      <c r="M317" s="10353"/>
      <c r="N317" s="10353"/>
      <c r="O317" s="10353"/>
      <c r="P317" s="10356"/>
      <c r="Q317" s="10356"/>
      <c r="R317" s="10359"/>
      <c r="S317" s="869"/>
      <c r="T317" s="7270"/>
      <c r="U317" s="7176">
        <v>352901094</v>
      </c>
      <c r="V317" s="741" t="s">
        <v>3318</v>
      </c>
      <c r="W317" s="7291">
        <v>15</v>
      </c>
      <c r="X317" s="57" t="s">
        <v>180</v>
      </c>
      <c r="Y317" s="6686">
        <v>1.5</v>
      </c>
      <c r="Z317" s="6686">
        <f t="shared" si="10"/>
        <v>22.5</v>
      </c>
      <c r="AA317" s="6686">
        <f t="shared" si="11"/>
        <v>25.200000000000003</v>
      </c>
      <c r="AB317" s="7319"/>
      <c r="AC317" s="5965"/>
      <c r="AD317" s="906"/>
      <c r="AE317" s="55" t="s">
        <v>153</v>
      </c>
      <c r="AF317" s="55" t="s">
        <v>153</v>
      </c>
      <c r="AG317" s="55"/>
      <c r="AH317" s="10386"/>
      <c r="AI317" s="819"/>
    </row>
    <row r="318" spans="1:35" ht="18" customHeight="1">
      <c r="A318" s="10425"/>
      <c r="B318" s="10366"/>
      <c r="C318" s="9134"/>
      <c r="D318" s="9091"/>
      <c r="E318" s="9091"/>
      <c r="F318" s="9091"/>
      <c r="G318" s="9091"/>
      <c r="H318" s="9091"/>
      <c r="I318" s="9091"/>
      <c r="J318" s="9091"/>
      <c r="K318" s="9091"/>
      <c r="L318" s="9091"/>
      <c r="M318" s="10353"/>
      <c r="N318" s="10353"/>
      <c r="O318" s="10353"/>
      <c r="P318" s="10356"/>
      <c r="Q318" s="10356"/>
      <c r="R318" s="10359"/>
      <c r="S318" s="869"/>
      <c r="T318" s="7270"/>
      <c r="U318" s="7176">
        <v>352901096</v>
      </c>
      <c r="V318" s="741" t="s">
        <v>3319</v>
      </c>
      <c r="W318" s="7291">
        <v>130</v>
      </c>
      <c r="X318" s="57" t="s">
        <v>180</v>
      </c>
      <c r="Y318" s="6686">
        <v>1.5</v>
      </c>
      <c r="Z318" s="6686">
        <f t="shared" si="10"/>
        <v>195</v>
      </c>
      <c r="AA318" s="6686">
        <f t="shared" si="11"/>
        <v>218.40000000000003</v>
      </c>
      <c r="AB318" s="7319"/>
      <c r="AC318" s="5965"/>
      <c r="AD318" s="906"/>
      <c r="AE318" s="55" t="s">
        <v>153</v>
      </c>
      <c r="AF318" s="55" t="s">
        <v>153</v>
      </c>
      <c r="AG318" s="55"/>
      <c r="AH318" s="10386"/>
      <c r="AI318" s="819"/>
    </row>
    <row r="319" spans="1:35" ht="30" customHeight="1">
      <c r="A319" s="10425"/>
      <c r="B319" s="10366"/>
      <c r="C319" s="9134"/>
      <c r="D319" s="9091"/>
      <c r="E319" s="9091"/>
      <c r="F319" s="9091"/>
      <c r="G319" s="9091"/>
      <c r="H319" s="9091"/>
      <c r="I319" s="9091"/>
      <c r="J319" s="9091"/>
      <c r="K319" s="9091"/>
      <c r="L319" s="9091"/>
      <c r="M319" s="10353"/>
      <c r="N319" s="10353"/>
      <c r="O319" s="10353"/>
      <c r="P319" s="10356"/>
      <c r="Q319" s="10356"/>
      <c r="R319" s="10359"/>
      <c r="S319" s="869"/>
      <c r="T319" s="7270"/>
      <c r="U319" s="7176">
        <v>352100011</v>
      </c>
      <c r="V319" s="741" t="s">
        <v>3320</v>
      </c>
      <c r="W319" s="7291">
        <v>250</v>
      </c>
      <c r="X319" s="57" t="s">
        <v>180</v>
      </c>
      <c r="Y319" s="6686">
        <v>0.5</v>
      </c>
      <c r="Z319" s="6686">
        <f t="shared" si="10"/>
        <v>125</v>
      </c>
      <c r="AA319" s="6686">
        <f t="shared" si="11"/>
        <v>140</v>
      </c>
      <c r="AB319" s="7319"/>
      <c r="AC319" s="5965"/>
      <c r="AD319" s="906"/>
      <c r="AE319" s="55" t="s">
        <v>153</v>
      </c>
      <c r="AF319" s="55" t="s">
        <v>153</v>
      </c>
      <c r="AG319" s="55"/>
      <c r="AH319" s="10386"/>
      <c r="AI319" s="819"/>
    </row>
    <row r="320" spans="1:35" ht="18" customHeight="1">
      <c r="A320" s="10425"/>
      <c r="B320" s="10366"/>
      <c r="C320" s="9134"/>
      <c r="D320" s="9091"/>
      <c r="E320" s="9091"/>
      <c r="F320" s="9091"/>
      <c r="G320" s="9091"/>
      <c r="H320" s="9091"/>
      <c r="I320" s="9091"/>
      <c r="J320" s="9091"/>
      <c r="K320" s="9091"/>
      <c r="L320" s="9091"/>
      <c r="M320" s="10353"/>
      <c r="N320" s="10353"/>
      <c r="O320" s="10353"/>
      <c r="P320" s="10356"/>
      <c r="Q320" s="10356"/>
      <c r="R320" s="10359"/>
      <c r="S320" s="869"/>
      <c r="T320" s="7270"/>
      <c r="U320" s="7176">
        <v>352609011</v>
      </c>
      <c r="V320" s="741" t="s">
        <v>3321</v>
      </c>
      <c r="W320" s="7291">
        <v>300</v>
      </c>
      <c r="X320" s="57" t="s">
        <v>180</v>
      </c>
      <c r="Y320" s="6686">
        <v>1</v>
      </c>
      <c r="Z320" s="6686">
        <f t="shared" si="10"/>
        <v>300</v>
      </c>
      <c r="AA320" s="6686">
        <f t="shared" si="11"/>
        <v>336.00000000000006</v>
      </c>
      <c r="AB320" s="7319"/>
      <c r="AC320" s="5965"/>
      <c r="AD320" s="906"/>
      <c r="AE320" s="55" t="s">
        <v>153</v>
      </c>
      <c r="AF320" s="55" t="s">
        <v>153</v>
      </c>
      <c r="AG320" s="55"/>
      <c r="AH320" s="10386"/>
      <c r="AI320" s="819"/>
    </row>
    <row r="321" spans="1:35" ht="33.75" customHeight="1">
      <c r="A321" s="10425"/>
      <c r="B321" s="10366"/>
      <c r="C321" s="9134"/>
      <c r="D321" s="9091"/>
      <c r="E321" s="9091"/>
      <c r="F321" s="9091"/>
      <c r="G321" s="9091"/>
      <c r="H321" s="9091"/>
      <c r="I321" s="9091"/>
      <c r="J321" s="9091"/>
      <c r="K321" s="9091"/>
      <c r="L321" s="9091"/>
      <c r="M321" s="10353"/>
      <c r="N321" s="10353"/>
      <c r="O321" s="10353"/>
      <c r="P321" s="10356"/>
      <c r="Q321" s="10356"/>
      <c r="R321" s="10359"/>
      <c r="S321" s="869"/>
      <c r="T321" s="7270"/>
      <c r="U321" s="7176">
        <v>35200000315</v>
      </c>
      <c r="V321" s="741" t="s">
        <v>3322</v>
      </c>
      <c r="W321" s="7291">
        <v>300</v>
      </c>
      <c r="X321" s="57" t="s">
        <v>180</v>
      </c>
      <c r="Y321" s="6686">
        <v>2</v>
      </c>
      <c r="Z321" s="6686">
        <f t="shared" si="10"/>
        <v>600</v>
      </c>
      <c r="AA321" s="6686">
        <f t="shared" si="11"/>
        <v>672.00000000000011</v>
      </c>
      <c r="AB321" s="7319"/>
      <c r="AC321" s="5965"/>
      <c r="AD321" s="906"/>
      <c r="AE321" s="55" t="s">
        <v>153</v>
      </c>
      <c r="AF321" s="55" t="s">
        <v>153</v>
      </c>
      <c r="AG321" s="55"/>
      <c r="AH321" s="10386"/>
      <c r="AI321" s="819"/>
    </row>
    <row r="322" spans="1:35" ht="18" customHeight="1">
      <c r="A322" s="10425"/>
      <c r="B322" s="10366"/>
      <c r="C322" s="9134"/>
      <c r="D322" s="9091"/>
      <c r="E322" s="9091"/>
      <c r="F322" s="9091"/>
      <c r="G322" s="9091"/>
      <c r="H322" s="9091"/>
      <c r="I322" s="9091"/>
      <c r="J322" s="9091"/>
      <c r="K322" s="9091"/>
      <c r="L322" s="9091"/>
      <c r="M322" s="10353"/>
      <c r="N322" s="10353"/>
      <c r="O322" s="10353"/>
      <c r="P322" s="10356"/>
      <c r="Q322" s="10356"/>
      <c r="R322" s="10359"/>
      <c r="S322" s="869"/>
      <c r="T322" s="7270"/>
      <c r="U322" s="7176">
        <v>352605806</v>
      </c>
      <c r="V322" s="741" t="s">
        <v>3323</v>
      </c>
      <c r="W322" s="7291">
        <v>49</v>
      </c>
      <c r="X322" s="57" t="s">
        <v>180</v>
      </c>
      <c r="Y322" s="6686">
        <v>1</v>
      </c>
      <c r="Z322" s="6686">
        <f t="shared" si="10"/>
        <v>49</v>
      </c>
      <c r="AA322" s="6686">
        <f t="shared" si="11"/>
        <v>54.88</v>
      </c>
      <c r="AB322" s="7319"/>
      <c r="AC322" s="5965"/>
      <c r="AD322" s="906"/>
      <c r="AE322" s="55" t="s">
        <v>153</v>
      </c>
      <c r="AF322" s="55" t="s">
        <v>153</v>
      </c>
      <c r="AG322" s="55"/>
      <c r="AH322" s="10386"/>
      <c r="AI322" s="819"/>
    </row>
    <row r="323" spans="1:35" ht="18" customHeight="1">
      <c r="A323" s="10425"/>
      <c r="B323" s="10366"/>
      <c r="C323" s="9134"/>
      <c r="D323" s="9091"/>
      <c r="E323" s="9091"/>
      <c r="F323" s="9091"/>
      <c r="G323" s="9091"/>
      <c r="H323" s="9091"/>
      <c r="I323" s="9091"/>
      <c r="J323" s="9091"/>
      <c r="K323" s="9091"/>
      <c r="L323" s="9091"/>
      <c r="M323" s="10353"/>
      <c r="N323" s="10353"/>
      <c r="O323" s="10353"/>
      <c r="P323" s="10356"/>
      <c r="Q323" s="10356"/>
      <c r="R323" s="10359"/>
      <c r="S323" s="869"/>
      <c r="T323" s="7270"/>
      <c r="U323" s="7176">
        <v>35200000347</v>
      </c>
      <c r="V323" s="741" t="s">
        <v>3324</v>
      </c>
      <c r="W323" s="7291">
        <v>25</v>
      </c>
      <c r="X323" s="57" t="s">
        <v>180</v>
      </c>
      <c r="Y323" s="6686">
        <v>1</v>
      </c>
      <c r="Z323" s="6686">
        <f t="shared" si="10"/>
        <v>25</v>
      </c>
      <c r="AA323" s="6686">
        <f t="shared" si="11"/>
        <v>28.000000000000004</v>
      </c>
      <c r="AB323" s="7319"/>
      <c r="AC323" s="5965"/>
      <c r="AD323" s="906"/>
      <c r="AE323" s="55" t="s">
        <v>153</v>
      </c>
      <c r="AF323" s="55" t="s">
        <v>153</v>
      </c>
      <c r="AG323" s="55"/>
      <c r="AH323" s="10386"/>
      <c r="AI323" s="819"/>
    </row>
    <row r="324" spans="1:35" ht="18" customHeight="1">
      <c r="A324" s="10425"/>
      <c r="B324" s="10366"/>
      <c r="C324" s="9134"/>
      <c r="D324" s="9091"/>
      <c r="E324" s="9091"/>
      <c r="F324" s="9091"/>
      <c r="G324" s="9091"/>
      <c r="H324" s="9091"/>
      <c r="I324" s="9091"/>
      <c r="J324" s="9091"/>
      <c r="K324" s="9091"/>
      <c r="L324" s="9091"/>
      <c r="M324" s="10353"/>
      <c r="N324" s="10353"/>
      <c r="O324" s="10353"/>
      <c r="P324" s="10356"/>
      <c r="Q324" s="10356"/>
      <c r="R324" s="10359"/>
      <c r="S324" s="869"/>
      <c r="T324" s="7270"/>
      <c r="U324" s="7176">
        <v>352605511</v>
      </c>
      <c r="V324" s="741" t="s">
        <v>3325</v>
      </c>
      <c r="W324" s="7291">
        <v>189</v>
      </c>
      <c r="X324" s="57" t="s">
        <v>180</v>
      </c>
      <c r="Y324" s="6686">
        <v>0.8</v>
      </c>
      <c r="Z324" s="6686">
        <f t="shared" si="10"/>
        <v>151.20000000000002</v>
      </c>
      <c r="AA324" s="6686">
        <f t="shared" si="11"/>
        <v>169.34400000000002</v>
      </c>
      <c r="AB324" s="7319"/>
      <c r="AC324" s="5965"/>
      <c r="AD324" s="906"/>
      <c r="AE324" s="55" t="s">
        <v>153</v>
      </c>
      <c r="AF324" s="55" t="s">
        <v>153</v>
      </c>
      <c r="AG324" s="55"/>
      <c r="AH324" s="10386"/>
      <c r="AI324" s="819"/>
    </row>
    <row r="325" spans="1:35" ht="18" customHeight="1">
      <c r="A325" s="10425"/>
      <c r="B325" s="10366"/>
      <c r="C325" s="9134"/>
      <c r="D325" s="9091"/>
      <c r="E325" s="9091"/>
      <c r="F325" s="9091"/>
      <c r="G325" s="9091"/>
      <c r="H325" s="9091"/>
      <c r="I325" s="9091"/>
      <c r="J325" s="9091"/>
      <c r="K325" s="9091"/>
      <c r="L325" s="9091"/>
      <c r="M325" s="10353"/>
      <c r="N325" s="10353"/>
      <c r="O325" s="10353"/>
      <c r="P325" s="10356"/>
      <c r="Q325" s="10356"/>
      <c r="R325" s="10359"/>
      <c r="S325" s="869"/>
      <c r="T325" s="7270"/>
      <c r="U325" s="7176">
        <v>321290516</v>
      </c>
      <c r="V325" s="741" t="s">
        <v>3326</v>
      </c>
      <c r="W325" s="7291">
        <v>100</v>
      </c>
      <c r="X325" s="57" t="s">
        <v>180</v>
      </c>
      <c r="Y325" s="6686">
        <v>7</v>
      </c>
      <c r="Z325" s="6686">
        <f t="shared" si="10"/>
        <v>700</v>
      </c>
      <c r="AA325" s="6686">
        <f t="shared" si="11"/>
        <v>784.00000000000011</v>
      </c>
      <c r="AB325" s="7319"/>
      <c r="AC325" s="5965"/>
      <c r="AD325" s="906"/>
      <c r="AE325" s="55" t="s">
        <v>153</v>
      </c>
      <c r="AF325" s="55" t="s">
        <v>153</v>
      </c>
      <c r="AG325" s="55"/>
      <c r="AH325" s="10386"/>
      <c r="AI325" s="819"/>
    </row>
    <row r="326" spans="1:35" ht="18" customHeight="1">
      <c r="A326" s="10425"/>
      <c r="B326" s="10366"/>
      <c r="C326" s="9134"/>
      <c r="D326" s="9091"/>
      <c r="E326" s="9091"/>
      <c r="F326" s="9091"/>
      <c r="G326" s="9091"/>
      <c r="H326" s="9091"/>
      <c r="I326" s="9091"/>
      <c r="J326" s="9091"/>
      <c r="K326" s="9091"/>
      <c r="L326" s="9091"/>
      <c r="M326" s="10353"/>
      <c r="N326" s="10353"/>
      <c r="O326" s="10353"/>
      <c r="P326" s="10356"/>
      <c r="Q326" s="10356"/>
      <c r="R326" s="10359"/>
      <c r="S326" s="869"/>
      <c r="T326" s="7270"/>
      <c r="U326" s="7176">
        <v>34620091</v>
      </c>
      <c r="V326" s="741" t="s">
        <v>3327</v>
      </c>
      <c r="W326" s="7291">
        <v>50</v>
      </c>
      <c r="X326" s="55" t="s">
        <v>858</v>
      </c>
      <c r="Y326" s="6686">
        <v>3.5</v>
      </c>
      <c r="Z326" s="6686">
        <f t="shared" si="10"/>
        <v>175</v>
      </c>
      <c r="AA326" s="6686">
        <f t="shared" si="11"/>
        <v>196.00000000000003</v>
      </c>
      <c r="AB326" s="7319"/>
      <c r="AC326" s="5965"/>
      <c r="AD326" s="906"/>
      <c r="AE326" s="55" t="s">
        <v>153</v>
      </c>
      <c r="AF326" s="55" t="s">
        <v>153</v>
      </c>
      <c r="AG326" s="55"/>
      <c r="AH326" s="10386"/>
      <c r="AI326" s="819"/>
    </row>
    <row r="327" spans="1:35" ht="18" customHeight="1">
      <c r="A327" s="10425"/>
      <c r="B327" s="10366"/>
      <c r="C327" s="9134"/>
      <c r="D327" s="9091"/>
      <c r="E327" s="9091"/>
      <c r="F327" s="9091"/>
      <c r="G327" s="9091"/>
      <c r="H327" s="9091"/>
      <c r="I327" s="9091"/>
      <c r="J327" s="9091"/>
      <c r="K327" s="9091"/>
      <c r="L327" s="9091"/>
      <c r="M327" s="10353"/>
      <c r="N327" s="10353"/>
      <c r="O327" s="10353"/>
      <c r="P327" s="10356"/>
      <c r="Q327" s="10356"/>
      <c r="R327" s="10359"/>
      <c r="S327" s="869"/>
      <c r="T327" s="7270"/>
      <c r="U327" s="7176">
        <v>35200000722</v>
      </c>
      <c r="V327" s="741" t="s">
        <v>3328</v>
      </c>
      <c r="W327" s="7291">
        <v>795</v>
      </c>
      <c r="X327" s="57" t="s">
        <v>180</v>
      </c>
      <c r="Y327" s="6686">
        <v>0.25</v>
      </c>
      <c r="Z327" s="6686">
        <f t="shared" si="10"/>
        <v>198.75</v>
      </c>
      <c r="AA327" s="6686">
        <f t="shared" si="11"/>
        <v>222.60000000000002</v>
      </c>
      <c r="AB327" s="7319"/>
      <c r="AC327" s="5965"/>
      <c r="AD327" s="906"/>
      <c r="AE327" s="55" t="s">
        <v>153</v>
      </c>
      <c r="AF327" s="55" t="s">
        <v>153</v>
      </c>
      <c r="AG327" s="55"/>
      <c r="AH327" s="10386"/>
      <c r="AI327" s="819"/>
    </row>
    <row r="328" spans="1:35" ht="18" customHeight="1">
      <c r="A328" s="10425"/>
      <c r="B328" s="10366"/>
      <c r="C328" s="9134"/>
      <c r="D328" s="9091"/>
      <c r="E328" s="9091"/>
      <c r="F328" s="9091"/>
      <c r="G328" s="9091"/>
      <c r="H328" s="9091"/>
      <c r="I328" s="9091"/>
      <c r="J328" s="9091"/>
      <c r="K328" s="9091"/>
      <c r="L328" s="9091"/>
      <c r="M328" s="10353"/>
      <c r="N328" s="10353"/>
      <c r="O328" s="10353"/>
      <c r="P328" s="10356"/>
      <c r="Q328" s="10356"/>
      <c r="R328" s="10359"/>
      <c r="S328" s="869"/>
      <c r="T328" s="7270"/>
      <c r="U328" s="7176">
        <v>352605711</v>
      </c>
      <c r="V328" s="741" t="s">
        <v>3329</v>
      </c>
      <c r="W328" s="7291">
        <v>502</v>
      </c>
      <c r="X328" s="57" t="s">
        <v>180</v>
      </c>
      <c r="Y328" s="6686">
        <v>1.57</v>
      </c>
      <c r="Z328" s="6686">
        <f t="shared" si="10"/>
        <v>788.14</v>
      </c>
      <c r="AA328" s="6686">
        <f t="shared" si="11"/>
        <v>882.71680000000003</v>
      </c>
      <c r="AB328" s="7319"/>
      <c r="AC328" s="5965"/>
      <c r="AD328" s="906"/>
      <c r="AE328" s="55" t="s">
        <v>153</v>
      </c>
      <c r="AF328" s="55" t="s">
        <v>153</v>
      </c>
      <c r="AG328" s="55"/>
      <c r="AH328" s="10386"/>
      <c r="AI328" s="819"/>
    </row>
    <row r="329" spans="1:35" ht="18" customHeight="1">
      <c r="A329" s="10425"/>
      <c r="B329" s="10366"/>
      <c r="C329" s="9141"/>
      <c r="D329" s="9102"/>
      <c r="E329" s="9102"/>
      <c r="F329" s="9102"/>
      <c r="G329" s="9102"/>
      <c r="H329" s="9102"/>
      <c r="I329" s="9102"/>
      <c r="J329" s="9102"/>
      <c r="K329" s="9102"/>
      <c r="L329" s="9102"/>
      <c r="M329" s="10354"/>
      <c r="N329" s="10354"/>
      <c r="O329" s="10354"/>
      <c r="P329" s="10357"/>
      <c r="Q329" s="10357"/>
      <c r="R329" s="10360"/>
      <c r="S329" s="872"/>
      <c r="T329" s="7280"/>
      <c r="U329" s="7255">
        <v>3525011412</v>
      </c>
      <c r="V329" s="745" t="s">
        <v>3330</v>
      </c>
      <c r="W329" s="7305">
        <v>2</v>
      </c>
      <c r="X329" s="61" t="s">
        <v>180</v>
      </c>
      <c r="Y329" s="7317">
        <v>2.2000000000000002</v>
      </c>
      <c r="Z329" s="7317">
        <f t="shared" si="10"/>
        <v>4.4000000000000004</v>
      </c>
      <c r="AA329" s="7317">
        <f t="shared" si="11"/>
        <v>4.9280000000000008</v>
      </c>
      <c r="AB329" s="7341"/>
      <c r="AC329" s="5985"/>
      <c r="AD329" s="907"/>
      <c r="AE329" s="59" t="s">
        <v>153</v>
      </c>
      <c r="AF329" s="59" t="s">
        <v>153</v>
      </c>
      <c r="AG329" s="59"/>
      <c r="AH329" s="10389"/>
      <c r="AI329" s="819"/>
    </row>
    <row r="330" spans="1:35" ht="28.5" customHeight="1">
      <c r="A330" s="10425"/>
      <c r="B330" s="10366"/>
      <c r="C330" s="9133" t="s">
        <v>127</v>
      </c>
      <c r="D330" s="9131" t="s">
        <v>128</v>
      </c>
      <c r="E330" s="9131" t="s">
        <v>140</v>
      </c>
      <c r="F330" s="9131" t="s">
        <v>284</v>
      </c>
      <c r="G330" s="9142" t="s">
        <v>131</v>
      </c>
      <c r="H330" s="9131" t="s">
        <v>132</v>
      </c>
      <c r="I330" s="9131" t="s">
        <v>159</v>
      </c>
      <c r="J330" s="9142" t="s">
        <v>3331</v>
      </c>
      <c r="K330" s="9131" t="s">
        <v>3332</v>
      </c>
      <c r="L330" s="9131" t="s">
        <v>3333</v>
      </c>
      <c r="M330" s="10372">
        <v>25</v>
      </c>
      <c r="N330" s="10372">
        <v>25</v>
      </c>
      <c r="O330" s="10372">
        <v>25</v>
      </c>
      <c r="P330" s="9130" t="s">
        <v>3334</v>
      </c>
      <c r="Q330" s="9130" t="s">
        <v>3335</v>
      </c>
      <c r="R330" s="9277" t="s">
        <v>3299</v>
      </c>
      <c r="S330" s="874"/>
      <c r="T330" s="7175"/>
      <c r="U330" s="7175"/>
      <c r="V330" s="743"/>
      <c r="W330" s="7182"/>
      <c r="X330" s="471"/>
      <c r="Y330" s="7186"/>
      <c r="Z330" s="7336"/>
      <c r="AA330" s="7336"/>
      <c r="AB330" s="5988"/>
      <c r="AC330" s="5989"/>
      <c r="AD330" s="1360"/>
      <c r="AE330" s="1173"/>
      <c r="AF330" s="1174"/>
      <c r="AG330" s="1174"/>
      <c r="AH330" s="10400"/>
      <c r="AI330" s="819"/>
    </row>
    <row r="331" spans="1:35" ht="28.5" customHeight="1">
      <c r="A331" s="10425"/>
      <c r="B331" s="10366"/>
      <c r="C331" s="9134"/>
      <c r="D331" s="9091"/>
      <c r="E331" s="9091"/>
      <c r="F331" s="9091"/>
      <c r="G331" s="9091"/>
      <c r="H331" s="9091"/>
      <c r="I331" s="9091"/>
      <c r="J331" s="9091"/>
      <c r="K331" s="9091"/>
      <c r="L331" s="9091"/>
      <c r="M331" s="10353"/>
      <c r="N331" s="10353"/>
      <c r="O331" s="10353"/>
      <c r="P331" s="10356"/>
      <c r="Q331" s="10356"/>
      <c r="R331" s="9263"/>
      <c r="S331" s="869"/>
      <c r="T331" s="7176"/>
      <c r="U331" s="7176"/>
      <c r="V331" s="741"/>
      <c r="W331" s="6618"/>
      <c r="X331" s="57"/>
      <c r="Y331" s="6686"/>
      <c r="Z331" s="7320"/>
      <c r="AA331" s="7320"/>
      <c r="AB331" s="5978"/>
      <c r="AC331" s="5979"/>
      <c r="AD331" s="1356"/>
      <c r="AE331" s="1151"/>
      <c r="AF331" s="1152"/>
      <c r="AG331" s="1152"/>
      <c r="AH331" s="10401"/>
      <c r="AI331" s="819"/>
    </row>
    <row r="332" spans="1:35" ht="28.5" customHeight="1">
      <c r="A332" s="10425"/>
      <c r="B332" s="10366"/>
      <c r="C332" s="9134"/>
      <c r="D332" s="9091"/>
      <c r="E332" s="9091"/>
      <c r="F332" s="9091"/>
      <c r="G332" s="9091"/>
      <c r="H332" s="9091"/>
      <c r="I332" s="9091"/>
      <c r="J332" s="9091"/>
      <c r="K332" s="9091"/>
      <c r="L332" s="9091"/>
      <c r="M332" s="10353"/>
      <c r="N332" s="10353"/>
      <c r="O332" s="10353"/>
      <c r="P332" s="10356"/>
      <c r="Q332" s="10356"/>
      <c r="R332" s="9263"/>
      <c r="S332" s="869"/>
      <c r="T332" s="7176"/>
      <c r="U332" s="7176"/>
      <c r="V332" s="741"/>
      <c r="W332" s="6618"/>
      <c r="X332" s="57"/>
      <c r="Y332" s="6686"/>
      <c r="Z332" s="7320"/>
      <c r="AA332" s="7320"/>
      <c r="AB332" s="5978"/>
      <c r="AC332" s="5979"/>
      <c r="AD332" s="1356"/>
      <c r="AE332" s="1151"/>
      <c r="AF332" s="1152"/>
      <c r="AG332" s="1152"/>
      <c r="AH332" s="10401"/>
      <c r="AI332" s="819"/>
    </row>
    <row r="333" spans="1:35" ht="28.5" customHeight="1">
      <c r="A333" s="10425"/>
      <c r="B333" s="10366"/>
      <c r="C333" s="9134"/>
      <c r="D333" s="9091"/>
      <c r="E333" s="9091"/>
      <c r="F333" s="9091"/>
      <c r="G333" s="9091"/>
      <c r="H333" s="9091"/>
      <c r="I333" s="9091"/>
      <c r="J333" s="9091"/>
      <c r="K333" s="9091"/>
      <c r="L333" s="9091"/>
      <c r="M333" s="10353"/>
      <c r="N333" s="10353"/>
      <c r="O333" s="10353"/>
      <c r="P333" s="10356"/>
      <c r="Q333" s="10356"/>
      <c r="R333" s="9263"/>
      <c r="S333" s="869"/>
      <c r="T333" s="7176"/>
      <c r="U333" s="7176"/>
      <c r="V333" s="741"/>
      <c r="W333" s="6618"/>
      <c r="X333" s="57"/>
      <c r="Y333" s="6686"/>
      <c r="Z333" s="7320"/>
      <c r="AA333" s="7320"/>
      <c r="AB333" s="5978"/>
      <c r="AC333" s="5979"/>
      <c r="AD333" s="1356"/>
      <c r="AE333" s="1151"/>
      <c r="AF333" s="1152"/>
      <c r="AG333" s="1152"/>
      <c r="AH333" s="10401"/>
      <c r="AI333" s="819"/>
    </row>
    <row r="334" spans="1:35" ht="28.5" customHeight="1">
      <c r="A334" s="10425"/>
      <c r="B334" s="10366"/>
      <c r="C334" s="9135"/>
      <c r="D334" s="9129"/>
      <c r="E334" s="9129"/>
      <c r="F334" s="9129"/>
      <c r="G334" s="9129"/>
      <c r="H334" s="9129"/>
      <c r="I334" s="9129"/>
      <c r="J334" s="9129"/>
      <c r="K334" s="9129"/>
      <c r="L334" s="9129"/>
      <c r="M334" s="10362"/>
      <c r="N334" s="10362"/>
      <c r="O334" s="10362"/>
      <c r="P334" s="10363"/>
      <c r="Q334" s="10363"/>
      <c r="R334" s="9338"/>
      <c r="S334" s="870"/>
      <c r="T334" s="7254"/>
      <c r="U334" s="7254"/>
      <c r="V334" s="860"/>
      <c r="W334" s="7288"/>
      <c r="X334" s="160"/>
      <c r="Y334" s="7315"/>
      <c r="Z334" s="7187"/>
      <c r="AA334" s="7187"/>
      <c r="AB334" s="7188"/>
      <c r="AC334" s="7194"/>
      <c r="AD334" s="1370"/>
      <c r="AE334" s="1158"/>
      <c r="AF334" s="1159"/>
      <c r="AG334" s="1159"/>
      <c r="AH334" s="10401"/>
      <c r="AI334" s="819"/>
    </row>
    <row r="335" spans="1:35" ht="18" customHeight="1">
      <c r="A335" s="10425"/>
      <c r="B335" s="10366"/>
      <c r="C335" s="9140" t="s">
        <v>127</v>
      </c>
      <c r="D335" s="9090" t="s">
        <v>128</v>
      </c>
      <c r="E335" s="9090" t="s">
        <v>140</v>
      </c>
      <c r="F335" s="9090" t="s">
        <v>284</v>
      </c>
      <c r="G335" s="9116" t="s">
        <v>131</v>
      </c>
      <c r="H335" s="9090" t="s">
        <v>132</v>
      </c>
      <c r="I335" s="9090" t="s">
        <v>159</v>
      </c>
      <c r="J335" s="9116" t="s">
        <v>3336</v>
      </c>
      <c r="K335" s="9090" t="s">
        <v>3337</v>
      </c>
      <c r="L335" s="9186" t="s">
        <v>3338</v>
      </c>
      <c r="M335" s="10376">
        <v>2</v>
      </c>
      <c r="N335" s="10376">
        <v>2</v>
      </c>
      <c r="O335" s="10376">
        <v>2</v>
      </c>
      <c r="P335" s="9186" t="s">
        <v>3339</v>
      </c>
      <c r="Q335" s="9186" t="s">
        <v>3340</v>
      </c>
      <c r="R335" s="10358" t="s">
        <v>3305</v>
      </c>
      <c r="S335" s="902" t="s">
        <v>15</v>
      </c>
      <c r="T335" s="6582">
        <v>530826</v>
      </c>
      <c r="U335" s="6582"/>
      <c r="V335" s="742" t="s">
        <v>3341</v>
      </c>
      <c r="W335" s="6617"/>
      <c r="X335" s="171"/>
      <c r="Y335" s="6677"/>
      <c r="Z335" s="6677"/>
      <c r="AA335" s="6677"/>
      <c r="AB335" s="5986">
        <f>SUM($AA$336:$AA$351)</f>
        <v>2869.12</v>
      </c>
      <c r="AC335" s="5969" t="s">
        <v>18</v>
      </c>
      <c r="AD335" s="1355"/>
      <c r="AE335" s="1164"/>
      <c r="AF335" s="1165"/>
      <c r="AG335" s="1165"/>
      <c r="AH335" s="10402"/>
      <c r="AI335" s="819"/>
    </row>
    <row r="336" spans="1:35" ht="18" customHeight="1">
      <c r="A336" s="10425"/>
      <c r="B336" s="10366"/>
      <c r="C336" s="9134"/>
      <c r="D336" s="9091"/>
      <c r="E336" s="9091"/>
      <c r="F336" s="9091"/>
      <c r="G336" s="9091"/>
      <c r="H336" s="9091"/>
      <c r="I336" s="9091"/>
      <c r="J336" s="9091"/>
      <c r="K336" s="9091"/>
      <c r="L336" s="9091"/>
      <c r="M336" s="10353"/>
      <c r="N336" s="10353"/>
      <c r="O336" s="10353"/>
      <c r="P336" s="10356"/>
      <c r="Q336" s="10356"/>
      <c r="R336" s="10359"/>
      <c r="S336" s="871"/>
      <c r="T336" s="6583"/>
      <c r="U336" s="7176">
        <v>35260</v>
      </c>
      <c r="V336" s="909" t="s">
        <v>3342</v>
      </c>
      <c r="W336" s="6618">
        <v>100</v>
      </c>
      <c r="X336" s="57" t="s">
        <v>3343</v>
      </c>
      <c r="Y336" s="6686">
        <v>0.15</v>
      </c>
      <c r="Z336" s="6686">
        <f t="shared" ref="Z336:Z355" si="12">+W336*Y336</f>
        <v>15</v>
      </c>
      <c r="AA336" s="6686">
        <f t="shared" ref="AA336:AA355" si="13">+Z336*1.12</f>
        <v>16.8</v>
      </c>
      <c r="AB336" s="5962"/>
      <c r="AC336" s="5963"/>
      <c r="AD336" s="1356"/>
      <c r="AE336" s="1151"/>
      <c r="AF336" s="1368" t="s">
        <v>153</v>
      </c>
      <c r="AG336" s="1152"/>
      <c r="AH336" s="10401"/>
      <c r="AI336" s="819"/>
    </row>
    <row r="337" spans="1:35" ht="18" customHeight="1">
      <c r="A337" s="10425"/>
      <c r="B337" s="10366"/>
      <c r="C337" s="9134"/>
      <c r="D337" s="9091"/>
      <c r="E337" s="9091"/>
      <c r="F337" s="9091"/>
      <c r="G337" s="9091"/>
      <c r="H337" s="9091"/>
      <c r="I337" s="9091"/>
      <c r="J337" s="9091"/>
      <c r="K337" s="9091"/>
      <c r="L337" s="9091"/>
      <c r="M337" s="10353"/>
      <c r="N337" s="10353"/>
      <c r="O337" s="10353"/>
      <c r="P337" s="10356"/>
      <c r="Q337" s="10356"/>
      <c r="R337" s="10359"/>
      <c r="S337" s="871"/>
      <c r="T337" s="6583"/>
      <c r="U337" s="7176">
        <v>35260</v>
      </c>
      <c r="V337" s="909" t="s">
        <v>3344</v>
      </c>
      <c r="W337" s="6618">
        <v>300</v>
      </c>
      <c r="X337" s="57" t="s">
        <v>3343</v>
      </c>
      <c r="Y337" s="6686">
        <v>0.18</v>
      </c>
      <c r="Z337" s="6686">
        <f t="shared" si="12"/>
        <v>54</v>
      </c>
      <c r="AA337" s="6686">
        <f t="shared" si="13"/>
        <v>60.480000000000004</v>
      </c>
      <c r="AB337" s="5962"/>
      <c r="AC337" s="5963"/>
      <c r="AD337" s="1356"/>
      <c r="AE337" s="1151"/>
      <c r="AF337" s="1368" t="s">
        <v>153</v>
      </c>
      <c r="AG337" s="1152"/>
      <c r="AH337" s="10401"/>
      <c r="AI337" s="819"/>
    </row>
    <row r="338" spans="1:35" ht="18" customHeight="1">
      <c r="A338" s="10425"/>
      <c r="B338" s="10366"/>
      <c r="C338" s="9134"/>
      <c r="D338" s="9091"/>
      <c r="E338" s="9091"/>
      <c r="F338" s="9091"/>
      <c r="G338" s="9091"/>
      <c r="H338" s="9091"/>
      <c r="I338" s="9091"/>
      <c r="J338" s="9091"/>
      <c r="K338" s="9091"/>
      <c r="L338" s="9091"/>
      <c r="M338" s="10353"/>
      <c r="N338" s="10353"/>
      <c r="O338" s="10353"/>
      <c r="P338" s="10356"/>
      <c r="Q338" s="10356"/>
      <c r="R338" s="10359"/>
      <c r="S338" s="871"/>
      <c r="T338" s="6583"/>
      <c r="U338" s="7176">
        <v>35260</v>
      </c>
      <c r="V338" s="909" t="s">
        <v>3345</v>
      </c>
      <c r="W338" s="6618">
        <v>100</v>
      </c>
      <c r="X338" s="57" t="s">
        <v>3343</v>
      </c>
      <c r="Y338" s="6686">
        <v>0.2</v>
      </c>
      <c r="Z338" s="6686">
        <f t="shared" si="12"/>
        <v>20</v>
      </c>
      <c r="AA338" s="6686">
        <f t="shared" si="13"/>
        <v>22.400000000000002</v>
      </c>
      <c r="AB338" s="5962"/>
      <c r="AC338" s="5963"/>
      <c r="AD338" s="1356"/>
      <c r="AE338" s="1151"/>
      <c r="AF338" s="1368" t="s">
        <v>153</v>
      </c>
      <c r="AG338" s="1152"/>
      <c r="AH338" s="10401"/>
      <c r="AI338" s="819"/>
    </row>
    <row r="339" spans="1:35" ht="18" customHeight="1">
      <c r="A339" s="10425"/>
      <c r="B339" s="10366"/>
      <c r="C339" s="9134"/>
      <c r="D339" s="9091"/>
      <c r="E339" s="9091"/>
      <c r="F339" s="9091"/>
      <c r="G339" s="9091"/>
      <c r="H339" s="9091"/>
      <c r="I339" s="9091"/>
      <c r="J339" s="9091"/>
      <c r="K339" s="9091"/>
      <c r="L339" s="9091"/>
      <c r="M339" s="10353"/>
      <c r="N339" s="10353"/>
      <c r="O339" s="10353"/>
      <c r="P339" s="10356"/>
      <c r="Q339" s="10356"/>
      <c r="R339" s="10359"/>
      <c r="S339" s="871"/>
      <c r="T339" s="6583"/>
      <c r="U339" s="7176">
        <v>352901091</v>
      </c>
      <c r="V339" s="909" t="s">
        <v>3346</v>
      </c>
      <c r="W339" s="6618">
        <v>2</v>
      </c>
      <c r="X339" s="57" t="s">
        <v>3347</v>
      </c>
      <c r="Y339" s="6686">
        <v>2</v>
      </c>
      <c r="Z339" s="6686">
        <f t="shared" si="12"/>
        <v>4</v>
      </c>
      <c r="AA339" s="6686">
        <f t="shared" si="13"/>
        <v>4.4800000000000004</v>
      </c>
      <c r="AB339" s="5962"/>
      <c r="AC339" s="5963"/>
      <c r="AD339" s="1356"/>
      <c r="AE339" s="1151"/>
      <c r="AF339" s="1368" t="s">
        <v>153</v>
      </c>
      <c r="AG339" s="1152"/>
      <c r="AH339" s="10401"/>
      <c r="AI339" s="819"/>
    </row>
    <row r="340" spans="1:35" ht="18" customHeight="1">
      <c r="A340" s="10425"/>
      <c r="B340" s="10366"/>
      <c r="C340" s="9134"/>
      <c r="D340" s="9091"/>
      <c r="E340" s="9091"/>
      <c r="F340" s="9091"/>
      <c r="G340" s="9091"/>
      <c r="H340" s="9091"/>
      <c r="I340" s="9091"/>
      <c r="J340" s="9091"/>
      <c r="K340" s="9091"/>
      <c r="L340" s="9091"/>
      <c r="M340" s="10353"/>
      <c r="N340" s="10353"/>
      <c r="O340" s="10353"/>
      <c r="P340" s="10356"/>
      <c r="Q340" s="10356"/>
      <c r="R340" s="10359"/>
      <c r="S340" s="871"/>
      <c r="T340" s="6583"/>
      <c r="U340" s="7176">
        <v>35260</v>
      </c>
      <c r="V340" s="909" t="s">
        <v>3348</v>
      </c>
      <c r="W340" s="6618">
        <v>10</v>
      </c>
      <c r="X340" s="57" t="s">
        <v>3343</v>
      </c>
      <c r="Y340" s="6686">
        <v>3</v>
      </c>
      <c r="Z340" s="6686">
        <f t="shared" si="12"/>
        <v>30</v>
      </c>
      <c r="AA340" s="6686">
        <f t="shared" si="13"/>
        <v>33.6</v>
      </c>
      <c r="AB340" s="5962"/>
      <c r="AC340" s="5963"/>
      <c r="AD340" s="1356"/>
      <c r="AE340" s="1151"/>
      <c r="AF340" s="1368" t="s">
        <v>153</v>
      </c>
      <c r="AG340" s="1152"/>
      <c r="AH340" s="10401"/>
      <c r="AI340" s="819"/>
    </row>
    <row r="341" spans="1:35" ht="18" customHeight="1">
      <c r="A341" s="10425"/>
      <c r="B341" s="10366"/>
      <c r="C341" s="9134"/>
      <c r="D341" s="9091"/>
      <c r="E341" s="9091"/>
      <c r="F341" s="9091"/>
      <c r="G341" s="9091"/>
      <c r="H341" s="9091"/>
      <c r="I341" s="9091"/>
      <c r="J341" s="9091"/>
      <c r="K341" s="9091"/>
      <c r="L341" s="9091"/>
      <c r="M341" s="10353"/>
      <c r="N341" s="10353"/>
      <c r="O341" s="10353"/>
      <c r="P341" s="10356"/>
      <c r="Q341" s="10356"/>
      <c r="R341" s="10359"/>
      <c r="S341" s="871"/>
      <c r="T341" s="6583"/>
      <c r="U341" s="7176">
        <v>35260</v>
      </c>
      <c r="V341" s="909" t="s">
        <v>3349</v>
      </c>
      <c r="W341" s="6618">
        <v>10</v>
      </c>
      <c r="X341" s="57" t="s">
        <v>3347</v>
      </c>
      <c r="Y341" s="6686">
        <v>10</v>
      </c>
      <c r="Z341" s="6686">
        <f t="shared" si="12"/>
        <v>100</v>
      </c>
      <c r="AA341" s="6686">
        <f t="shared" si="13"/>
        <v>112.00000000000001</v>
      </c>
      <c r="AB341" s="5962"/>
      <c r="AC341" s="5963"/>
      <c r="AD341" s="1356"/>
      <c r="AE341" s="1151"/>
      <c r="AF341" s="1368" t="s">
        <v>153</v>
      </c>
      <c r="AG341" s="1152"/>
      <c r="AH341" s="10401"/>
      <c r="AI341" s="819"/>
    </row>
    <row r="342" spans="1:35" ht="18" customHeight="1">
      <c r="A342" s="10425"/>
      <c r="B342" s="10366"/>
      <c r="C342" s="9134"/>
      <c r="D342" s="9091"/>
      <c r="E342" s="9091"/>
      <c r="F342" s="9091"/>
      <c r="G342" s="9091"/>
      <c r="H342" s="9091"/>
      <c r="I342" s="9091"/>
      <c r="J342" s="9091"/>
      <c r="K342" s="9091"/>
      <c r="L342" s="9091"/>
      <c r="M342" s="10353"/>
      <c r="N342" s="10353"/>
      <c r="O342" s="10353"/>
      <c r="P342" s="10356"/>
      <c r="Q342" s="10356"/>
      <c r="R342" s="10359"/>
      <c r="S342" s="871"/>
      <c r="T342" s="6583"/>
      <c r="U342" s="7176">
        <v>352701104</v>
      </c>
      <c r="V342" s="909" t="s">
        <v>3350</v>
      </c>
      <c r="W342" s="6618">
        <v>2</v>
      </c>
      <c r="X342" s="57" t="s">
        <v>3347</v>
      </c>
      <c r="Y342" s="6686">
        <v>9</v>
      </c>
      <c r="Z342" s="6686">
        <f t="shared" si="12"/>
        <v>18</v>
      </c>
      <c r="AA342" s="6686">
        <f t="shared" si="13"/>
        <v>20.160000000000004</v>
      </c>
      <c r="AB342" s="5962"/>
      <c r="AC342" s="5963"/>
      <c r="AD342" s="1356"/>
      <c r="AE342" s="1151"/>
      <c r="AF342" s="1368" t="s">
        <v>153</v>
      </c>
      <c r="AG342" s="1152"/>
      <c r="AH342" s="10401"/>
      <c r="AI342" s="819"/>
    </row>
    <row r="343" spans="1:35" ht="18" customHeight="1">
      <c r="A343" s="10425"/>
      <c r="B343" s="10366"/>
      <c r="C343" s="9134"/>
      <c r="D343" s="9091"/>
      <c r="E343" s="9091"/>
      <c r="F343" s="9091"/>
      <c r="G343" s="9091"/>
      <c r="H343" s="9091"/>
      <c r="I343" s="9091"/>
      <c r="J343" s="9091"/>
      <c r="K343" s="9091"/>
      <c r="L343" s="9091"/>
      <c r="M343" s="10353"/>
      <c r="N343" s="10353"/>
      <c r="O343" s="10353"/>
      <c r="P343" s="10356"/>
      <c r="Q343" s="10356"/>
      <c r="R343" s="10359"/>
      <c r="S343" s="871"/>
      <c r="T343" s="6583"/>
      <c r="U343" s="7176">
        <v>35260</v>
      </c>
      <c r="V343" s="909" t="s">
        <v>3351</v>
      </c>
      <c r="W343" s="6618">
        <v>2</v>
      </c>
      <c r="X343" s="57" t="s">
        <v>3352</v>
      </c>
      <c r="Y343" s="6686">
        <v>22</v>
      </c>
      <c r="Z343" s="6686">
        <f t="shared" si="12"/>
        <v>44</v>
      </c>
      <c r="AA343" s="6686">
        <f t="shared" si="13"/>
        <v>49.28</v>
      </c>
      <c r="AB343" s="5962"/>
      <c r="AC343" s="5963"/>
      <c r="AD343" s="1356"/>
      <c r="AE343" s="1151"/>
      <c r="AF343" s="1368" t="s">
        <v>153</v>
      </c>
      <c r="AG343" s="1152"/>
      <c r="AH343" s="10401"/>
      <c r="AI343" s="819"/>
    </row>
    <row r="344" spans="1:35" ht="18" customHeight="1">
      <c r="A344" s="10425"/>
      <c r="B344" s="10366"/>
      <c r="C344" s="9134"/>
      <c r="D344" s="9091"/>
      <c r="E344" s="9091"/>
      <c r="F344" s="9091"/>
      <c r="G344" s="9091"/>
      <c r="H344" s="9091"/>
      <c r="I344" s="9091"/>
      <c r="J344" s="9091"/>
      <c r="K344" s="9091"/>
      <c r="L344" s="9091"/>
      <c r="M344" s="10353"/>
      <c r="N344" s="10353"/>
      <c r="O344" s="10353"/>
      <c r="P344" s="10356"/>
      <c r="Q344" s="10356"/>
      <c r="R344" s="10359"/>
      <c r="S344" s="871"/>
      <c r="T344" s="6583"/>
      <c r="U344" s="7176">
        <v>35260</v>
      </c>
      <c r="V344" s="909" t="s">
        <v>3353</v>
      </c>
      <c r="W344" s="6618">
        <v>5</v>
      </c>
      <c r="X344" s="57" t="s">
        <v>3354</v>
      </c>
      <c r="Y344" s="6686">
        <v>8</v>
      </c>
      <c r="Z344" s="6686">
        <f t="shared" si="12"/>
        <v>40</v>
      </c>
      <c r="AA344" s="6686">
        <f t="shared" si="13"/>
        <v>44.800000000000004</v>
      </c>
      <c r="AB344" s="5962"/>
      <c r="AC344" s="5963"/>
      <c r="AD344" s="1356"/>
      <c r="AE344" s="1151"/>
      <c r="AF344" s="1368" t="s">
        <v>153</v>
      </c>
      <c r="AG344" s="1152"/>
      <c r="AH344" s="10401"/>
      <c r="AI344" s="819"/>
    </row>
    <row r="345" spans="1:35" ht="18" customHeight="1">
      <c r="A345" s="10425"/>
      <c r="B345" s="10366"/>
      <c r="C345" s="9134"/>
      <c r="D345" s="9091"/>
      <c r="E345" s="9091"/>
      <c r="F345" s="9091"/>
      <c r="G345" s="9091"/>
      <c r="H345" s="9091"/>
      <c r="I345" s="9091"/>
      <c r="J345" s="9091"/>
      <c r="K345" s="9091"/>
      <c r="L345" s="9091"/>
      <c r="M345" s="10353"/>
      <c r="N345" s="10353"/>
      <c r="O345" s="10353"/>
      <c r="P345" s="10356"/>
      <c r="Q345" s="10356"/>
      <c r="R345" s="10359"/>
      <c r="S345" s="871"/>
      <c r="T345" s="6583"/>
      <c r="U345" s="7176">
        <v>35260</v>
      </c>
      <c r="V345" s="909" t="s">
        <v>3355</v>
      </c>
      <c r="W345" s="6618">
        <v>2</v>
      </c>
      <c r="X345" s="57" t="s">
        <v>3354</v>
      </c>
      <c r="Y345" s="6686">
        <v>7</v>
      </c>
      <c r="Z345" s="6686">
        <f t="shared" si="12"/>
        <v>14</v>
      </c>
      <c r="AA345" s="6686">
        <f t="shared" si="13"/>
        <v>15.680000000000001</v>
      </c>
      <c r="AB345" s="5962"/>
      <c r="AC345" s="5963"/>
      <c r="AD345" s="1356"/>
      <c r="AE345" s="1151"/>
      <c r="AF345" s="1368" t="s">
        <v>153</v>
      </c>
      <c r="AG345" s="1152"/>
      <c r="AH345" s="10401"/>
      <c r="AI345" s="819"/>
    </row>
    <row r="346" spans="1:35" ht="18" customHeight="1">
      <c r="A346" s="10425"/>
      <c r="B346" s="10366"/>
      <c r="C346" s="9134"/>
      <c r="D346" s="9091"/>
      <c r="E346" s="9091"/>
      <c r="F346" s="9091"/>
      <c r="G346" s="9091"/>
      <c r="H346" s="9091"/>
      <c r="I346" s="9091"/>
      <c r="J346" s="9091"/>
      <c r="K346" s="9091"/>
      <c r="L346" s="9091"/>
      <c r="M346" s="10353"/>
      <c r="N346" s="10353"/>
      <c r="O346" s="10353"/>
      <c r="P346" s="10356"/>
      <c r="Q346" s="10356"/>
      <c r="R346" s="10359"/>
      <c r="S346" s="871"/>
      <c r="T346" s="6583"/>
      <c r="U346" s="7176">
        <v>35260</v>
      </c>
      <c r="V346" s="909" t="s">
        <v>3356</v>
      </c>
      <c r="W346" s="6618">
        <v>6</v>
      </c>
      <c r="X346" s="57" t="s">
        <v>3343</v>
      </c>
      <c r="Y346" s="6686">
        <v>3</v>
      </c>
      <c r="Z346" s="6686">
        <f t="shared" si="12"/>
        <v>18</v>
      </c>
      <c r="AA346" s="6686">
        <f t="shared" si="13"/>
        <v>20.160000000000004</v>
      </c>
      <c r="AB346" s="5962"/>
      <c r="AC346" s="5963"/>
      <c r="AD346" s="1356"/>
      <c r="AE346" s="1151"/>
      <c r="AF346" s="1368" t="s">
        <v>153</v>
      </c>
      <c r="AG346" s="1152"/>
      <c r="AH346" s="10401"/>
      <c r="AI346" s="819"/>
    </row>
    <row r="347" spans="1:35" ht="18" customHeight="1">
      <c r="A347" s="10425"/>
      <c r="B347" s="10366"/>
      <c r="C347" s="9134"/>
      <c r="D347" s="9091"/>
      <c r="E347" s="9091"/>
      <c r="F347" s="9091"/>
      <c r="G347" s="9091"/>
      <c r="H347" s="9091"/>
      <c r="I347" s="9091"/>
      <c r="J347" s="9091"/>
      <c r="K347" s="9091"/>
      <c r="L347" s="9091"/>
      <c r="M347" s="10353"/>
      <c r="N347" s="10353"/>
      <c r="O347" s="10353"/>
      <c r="P347" s="10356"/>
      <c r="Q347" s="10356"/>
      <c r="R347" s="10359"/>
      <c r="S347" s="869"/>
      <c r="T347" s="7176"/>
      <c r="U347" s="7176">
        <v>3529010924</v>
      </c>
      <c r="V347" s="909" t="s">
        <v>3357</v>
      </c>
      <c r="W347" s="6618">
        <v>5</v>
      </c>
      <c r="X347" s="57" t="s">
        <v>3347</v>
      </c>
      <c r="Y347" s="6686">
        <v>4</v>
      </c>
      <c r="Z347" s="6686">
        <f t="shared" si="12"/>
        <v>20</v>
      </c>
      <c r="AA347" s="6686">
        <f t="shared" si="13"/>
        <v>22.400000000000002</v>
      </c>
      <c r="AB347" s="5962"/>
      <c r="AC347" s="5963"/>
      <c r="AD347" s="1356"/>
      <c r="AE347" s="1151"/>
      <c r="AF347" s="1368" t="s">
        <v>153</v>
      </c>
      <c r="AG347" s="1152"/>
      <c r="AH347" s="10401"/>
      <c r="AI347" s="819"/>
    </row>
    <row r="348" spans="1:35" ht="18" customHeight="1">
      <c r="A348" s="10425"/>
      <c r="B348" s="10366"/>
      <c r="C348" s="9134"/>
      <c r="D348" s="9091"/>
      <c r="E348" s="9091"/>
      <c r="F348" s="9091"/>
      <c r="G348" s="9091"/>
      <c r="H348" s="9091"/>
      <c r="I348" s="9091"/>
      <c r="J348" s="9091"/>
      <c r="K348" s="9091"/>
      <c r="L348" s="9091"/>
      <c r="M348" s="10353"/>
      <c r="N348" s="10353"/>
      <c r="O348" s="10353"/>
      <c r="P348" s="10356"/>
      <c r="Q348" s="10356"/>
      <c r="R348" s="10359"/>
      <c r="S348" s="869"/>
      <c r="T348" s="7176"/>
      <c r="U348" s="7176">
        <v>35260</v>
      </c>
      <c r="V348" s="909" t="s">
        <v>3358</v>
      </c>
      <c r="W348" s="6618">
        <v>400</v>
      </c>
      <c r="X348" s="57" t="s">
        <v>3343</v>
      </c>
      <c r="Y348" s="6686">
        <v>0.9</v>
      </c>
      <c r="Z348" s="6686">
        <f t="shared" si="12"/>
        <v>360</v>
      </c>
      <c r="AA348" s="6686">
        <f t="shared" si="13"/>
        <v>403.20000000000005</v>
      </c>
      <c r="AB348" s="5962"/>
      <c r="AC348" s="5963"/>
      <c r="AD348" s="1356"/>
      <c r="AE348" s="1151"/>
      <c r="AF348" s="1368" t="s">
        <v>153</v>
      </c>
      <c r="AG348" s="1152"/>
      <c r="AH348" s="10401"/>
      <c r="AI348" s="819"/>
    </row>
    <row r="349" spans="1:35" ht="18" customHeight="1">
      <c r="A349" s="10425"/>
      <c r="B349" s="10366"/>
      <c r="C349" s="9134"/>
      <c r="D349" s="9091"/>
      <c r="E349" s="9091"/>
      <c r="F349" s="9091"/>
      <c r="G349" s="9091"/>
      <c r="H349" s="9091"/>
      <c r="I349" s="9091"/>
      <c r="J349" s="9091"/>
      <c r="K349" s="9091"/>
      <c r="L349" s="9091"/>
      <c r="M349" s="10353"/>
      <c r="N349" s="10353"/>
      <c r="O349" s="10353"/>
      <c r="P349" s="10356"/>
      <c r="Q349" s="10356"/>
      <c r="R349" s="10359"/>
      <c r="S349" s="869"/>
      <c r="T349" s="7176"/>
      <c r="U349" s="7176">
        <v>35260</v>
      </c>
      <c r="V349" s="909" t="s">
        <v>3359</v>
      </c>
      <c r="W349" s="6618">
        <v>2</v>
      </c>
      <c r="X349" s="57" t="s">
        <v>3352</v>
      </c>
      <c r="Y349" s="6686">
        <v>12</v>
      </c>
      <c r="Z349" s="6686">
        <f t="shared" si="12"/>
        <v>24</v>
      </c>
      <c r="AA349" s="6686">
        <f t="shared" si="13"/>
        <v>26.880000000000003</v>
      </c>
      <c r="AB349" s="5962"/>
      <c r="AC349" s="5963"/>
      <c r="AD349" s="1370"/>
      <c r="AE349" s="1151"/>
      <c r="AF349" s="1368" t="s">
        <v>153</v>
      </c>
      <c r="AG349" s="1152"/>
      <c r="AH349" s="10401"/>
      <c r="AI349" s="819"/>
    </row>
    <row r="350" spans="1:35" ht="18" customHeight="1">
      <c r="A350" s="10425"/>
      <c r="B350" s="10366"/>
      <c r="C350" s="9135"/>
      <c r="D350" s="9129"/>
      <c r="E350" s="9129"/>
      <c r="F350" s="9129"/>
      <c r="G350" s="9129"/>
      <c r="H350" s="9129"/>
      <c r="I350" s="9129"/>
      <c r="J350" s="9129"/>
      <c r="K350" s="9129"/>
      <c r="L350" s="9129"/>
      <c r="M350" s="10362"/>
      <c r="N350" s="10362"/>
      <c r="O350" s="10362"/>
      <c r="P350" s="10363"/>
      <c r="Q350" s="10363"/>
      <c r="R350" s="10365"/>
      <c r="S350" s="3534"/>
      <c r="T350" s="7281"/>
      <c r="U350" s="7281"/>
      <c r="V350" s="3535" t="s">
        <v>3360</v>
      </c>
      <c r="W350" s="7308">
        <v>1</v>
      </c>
      <c r="X350" s="3536" t="s">
        <v>3354</v>
      </c>
      <c r="Y350" s="7342">
        <v>15</v>
      </c>
      <c r="Z350" s="7342">
        <f t="shared" ref="Z350:Z351" si="14">+W350*Y350</f>
        <v>15</v>
      </c>
      <c r="AA350" s="7342">
        <f t="shared" ref="AA350:AA351" si="15">+Z350*1.12</f>
        <v>16.8</v>
      </c>
      <c r="AB350" s="7343"/>
      <c r="AC350" s="7352"/>
      <c r="AD350" s="3537"/>
      <c r="AE350" s="2722"/>
      <c r="AF350" s="2721" t="s">
        <v>153</v>
      </c>
      <c r="AG350" s="1159"/>
      <c r="AH350" s="10401"/>
      <c r="AI350" s="819"/>
    </row>
    <row r="351" spans="1:35" ht="38.25" customHeight="1">
      <c r="A351" s="10425"/>
      <c r="B351" s="10366"/>
      <c r="C351" s="9135"/>
      <c r="D351" s="9129"/>
      <c r="E351" s="9129"/>
      <c r="F351" s="9129"/>
      <c r="G351" s="9129"/>
      <c r="H351" s="9129"/>
      <c r="I351" s="9129"/>
      <c r="J351" s="9129"/>
      <c r="K351" s="9129"/>
      <c r="L351" s="9129"/>
      <c r="M351" s="10362"/>
      <c r="N351" s="10362"/>
      <c r="O351" s="10362"/>
      <c r="P351" s="10363"/>
      <c r="Q351" s="10363"/>
      <c r="R351" s="10407"/>
      <c r="S351" s="3538"/>
      <c r="T351" s="5681"/>
      <c r="U351" s="5681"/>
      <c r="V351" s="3539" t="s">
        <v>3361</v>
      </c>
      <c r="W351" s="5499">
        <v>1</v>
      </c>
      <c r="X351" s="3496" t="s">
        <v>479</v>
      </c>
      <c r="Y351" s="5552">
        <f>2000/1.12</f>
        <v>1785.7142857142856</v>
      </c>
      <c r="Z351" s="5552">
        <f t="shared" si="14"/>
        <v>1785.7142857142856</v>
      </c>
      <c r="AA351" s="5552">
        <f t="shared" si="15"/>
        <v>2000</v>
      </c>
      <c r="AB351" s="5553"/>
      <c r="AC351" s="5779"/>
      <c r="AD351" s="3540"/>
      <c r="AE351" s="2722"/>
      <c r="AF351" s="2721" t="s">
        <v>153</v>
      </c>
      <c r="AG351" s="1159"/>
      <c r="AH351" s="10401"/>
      <c r="AI351" s="819"/>
    </row>
    <row r="352" spans="1:35" ht="42.75" customHeight="1">
      <c r="A352" s="10425"/>
      <c r="B352" s="10366"/>
      <c r="C352" s="9135"/>
      <c r="D352" s="9129"/>
      <c r="E352" s="9129"/>
      <c r="F352" s="9129"/>
      <c r="G352" s="9129"/>
      <c r="H352" s="9129"/>
      <c r="I352" s="9129"/>
      <c r="J352" s="9129"/>
      <c r="K352" s="9129"/>
      <c r="L352" s="9129"/>
      <c r="M352" s="10362"/>
      <c r="N352" s="10362"/>
      <c r="O352" s="10362"/>
      <c r="P352" s="10363"/>
      <c r="Q352" s="10363"/>
      <c r="R352" s="10407"/>
      <c r="S352" s="3541" t="s">
        <v>15</v>
      </c>
      <c r="T352" s="5682">
        <v>530802</v>
      </c>
      <c r="U352" s="5682"/>
      <c r="V352" s="3542" t="s">
        <v>3362</v>
      </c>
      <c r="W352" s="5499"/>
      <c r="X352" s="3496"/>
      <c r="Y352" s="7797"/>
      <c r="Z352" s="7797"/>
      <c r="AA352" s="7797"/>
      <c r="AB352" s="7800">
        <f>AA353</f>
        <v>6854.4599999999982</v>
      </c>
      <c r="AC352" s="5779" t="s">
        <v>18</v>
      </c>
      <c r="AD352" s="3540"/>
      <c r="AE352" s="2722"/>
      <c r="AF352" s="2721"/>
      <c r="AG352" s="1159"/>
      <c r="AH352" s="10401"/>
      <c r="AI352" s="819"/>
    </row>
    <row r="353" spans="1:35" ht="34.5" customHeight="1">
      <c r="A353" s="10425"/>
      <c r="B353" s="10366"/>
      <c r="C353" s="9135"/>
      <c r="D353" s="9129"/>
      <c r="E353" s="9129"/>
      <c r="F353" s="9129"/>
      <c r="G353" s="9129"/>
      <c r="H353" s="9129"/>
      <c r="I353" s="9129"/>
      <c r="J353" s="9129"/>
      <c r="K353" s="9129"/>
      <c r="L353" s="9129"/>
      <c r="M353" s="10362"/>
      <c r="N353" s="10362"/>
      <c r="O353" s="10362"/>
      <c r="P353" s="10363"/>
      <c r="Q353" s="10363"/>
      <c r="R353" s="10407"/>
      <c r="S353" s="3538"/>
      <c r="T353" s="5681"/>
      <c r="U353" s="5681"/>
      <c r="V353" s="3539" t="s">
        <v>3363</v>
      </c>
      <c r="W353" s="5499">
        <v>1</v>
      </c>
      <c r="X353" s="3496" t="s">
        <v>479</v>
      </c>
      <c r="Y353" s="7797">
        <f>(8000-1541.77+396.23)/1.12</f>
        <v>6120.0535714285697</v>
      </c>
      <c r="Z353" s="7797">
        <f>Y353*12%</f>
        <v>734.40642857142836</v>
      </c>
      <c r="AA353" s="7797">
        <f>Y353+Z353</f>
        <v>6854.4599999999982</v>
      </c>
      <c r="AB353" s="7800"/>
      <c r="AC353" s="5779"/>
      <c r="AD353" s="3540"/>
      <c r="AE353" s="2722"/>
      <c r="AF353" s="2721" t="s">
        <v>153</v>
      </c>
      <c r="AG353" s="1159"/>
      <c r="AH353" s="10401"/>
      <c r="AI353" s="819"/>
    </row>
    <row r="354" spans="1:35" ht="18" customHeight="1">
      <c r="A354" s="10425"/>
      <c r="B354" s="10366"/>
      <c r="C354" s="9135"/>
      <c r="D354" s="9129"/>
      <c r="E354" s="9129"/>
      <c r="F354" s="9129"/>
      <c r="G354" s="9129"/>
      <c r="H354" s="9129"/>
      <c r="I354" s="9129"/>
      <c r="J354" s="9129"/>
      <c r="K354" s="9129"/>
      <c r="L354" s="9129"/>
      <c r="M354" s="10362"/>
      <c r="N354" s="10362"/>
      <c r="O354" s="10362"/>
      <c r="P354" s="10363"/>
      <c r="Q354" s="10363"/>
      <c r="R354" s="10407"/>
      <c r="S354" s="3541" t="s">
        <v>15</v>
      </c>
      <c r="T354" s="5682">
        <v>530829</v>
      </c>
      <c r="U354" s="5682"/>
      <c r="V354" s="3542" t="s">
        <v>3364</v>
      </c>
      <c r="W354" s="5499"/>
      <c r="X354" s="3496"/>
      <c r="Y354" s="5552"/>
      <c r="Z354" s="5552"/>
      <c r="AA354" s="5552"/>
      <c r="AB354" s="5553">
        <f>AA355</f>
        <v>5000</v>
      </c>
      <c r="AC354" s="5779" t="s">
        <v>18</v>
      </c>
      <c r="AD354" s="3540"/>
      <c r="AE354" s="2722"/>
      <c r="AF354" s="2721"/>
      <c r="AG354" s="1159"/>
      <c r="AH354" s="10401"/>
      <c r="AI354" s="819"/>
    </row>
    <row r="355" spans="1:35" ht="32.1" customHeight="1">
      <c r="A355" s="10425"/>
      <c r="B355" s="10366"/>
      <c r="C355" s="9141"/>
      <c r="D355" s="9102"/>
      <c r="E355" s="9102"/>
      <c r="F355" s="9102"/>
      <c r="G355" s="9102"/>
      <c r="H355" s="9102"/>
      <c r="I355" s="9102"/>
      <c r="J355" s="9102"/>
      <c r="K355" s="9102"/>
      <c r="L355" s="9102"/>
      <c r="M355" s="10354"/>
      <c r="N355" s="10354"/>
      <c r="O355" s="10354"/>
      <c r="P355" s="10357"/>
      <c r="Q355" s="10357"/>
      <c r="R355" s="10390"/>
      <c r="S355" s="3543"/>
      <c r="T355" s="5696"/>
      <c r="U355" s="5696"/>
      <c r="V355" s="3544" t="s">
        <v>3365</v>
      </c>
      <c r="W355" s="5503">
        <v>1</v>
      </c>
      <c r="X355" s="3545" t="s">
        <v>152</v>
      </c>
      <c r="Y355" s="5558">
        <f>5000/1.12</f>
        <v>4464.2857142857138</v>
      </c>
      <c r="Z355" s="5558">
        <f t="shared" si="12"/>
        <v>4464.2857142857138</v>
      </c>
      <c r="AA355" s="5558">
        <f t="shared" si="13"/>
        <v>5000</v>
      </c>
      <c r="AB355" s="5559"/>
      <c r="AC355" s="5828"/>
      <c r="AD355" s="3546"/>
      <c r="AE355" s="2807"/>
      <c r="AF355" s="1369" t="s">
        <v>153</v>
      </c>
      <c r="AG355" s="1169"/>
      <c r="AH355" s="10403"/>
      <c r="AI355" s="819"/>
    </row>
    <row r="356" spans="1:35" ht="27" customHeight="1">
      <c r="A356" s="10425"/>
      <c r="B356" s="10366"/>
      <c r="C356" s="9133" t="s">
        <v>127</v>
      </c>
      <c r="D356" s="9131" t="s">
        <v>128</v>
      </c>
      <c r="E356" s="9131" t="s">
        <v>140</v>
      </c>
      <c r="F356" s="9131" t="s">
        <v>284</v>
      </c>
      <c r="G356" s="9142" t="s">
        <v>131</v>
      </c>
      <c r="H356" s="9131" t="s">
        <v>132</v>
      </c>
      <c r="I356" s="9131" t="s">
        <v>159</v>
      </c>
      <c r="J356" s="9142" t="s">
        <v>3366</v>
      </c>
      <c r="K356" s="9131" t="s">
        <v>3367</v>
      </c>
      <c r="L356" s="9130" t="s">
        <v>3368</v>
      </c>
      <c r="M356" s="10361">
        <v>0</v>
      </c>
      <c r="N356" s="10361">
        <v>0</v>
      </c>
      <c r="O356" s="10361">
        <v>0</v>
      </c>
      <c r="P356" s="9130" t="s">
        <v>3369</v>
      </c>
      <c r="Q356" s="9130" t="s">
        <v>3370</v>
      </c>
      <c r="R356" s="10364" t="s">
        <v>3371</v>
      </c>
      <c r="S356" s="874"/>
      <c r="T356" s="7175"/>
      <c r="U356" s="7175"/>
      <c r="V356" s="743"/>
      <c r="W356" s="7182"/>
      <c r="X356" s="471"/>
      <c r="Y356" s="7186"/>
      <c r="Z356" s="7186"/>
      <c r="AA356" s="7186"/>
      <c r="AB356" s="5987"/>
      <c r="AC356" s="5973"/>
      <c r="AD356" s="904"/>
      <c r="AE356" s="471"/>
      <c r="AF356" s="475"/>
      <c r="AG356" s="475"/>
      <c r="AH356" s="10404"/>
      <c r="AI356" s="819"/>
    </row>
    <row r="357" spans="1:35" ht="27" customHeight="1">
      <c r="A357" s="10425"/>
      <c r="B357" s="10366"/>
      <c r="C357" s="9134"/>
      <c r="D357" s="9091"/>
      <c r="E357" s="9091"/>
      <c r="F357" s="9091"/>
      <c r="G357" s="9091"/>
      <c r="H357" s="9091"/>
      <c r="I357" s="9091"/>
      <c r="J357" s="9091"/>
      <c r="K357" s="9091"/>
      <c r="L357" s="9091"/>
      <c r="M357" s="10353"/>
      <c r="N357" s="10353"/>
      <c r="O357" s="10353"/>
      <c r="P357" s="10356"/>
      <c r="Q357" s="10356"/>
      <c r="R357" s="10359"/>
      <c r="S357" s="869"/>
      <c r="T357" s="7176"/>
      <c r="U357" s="7176"/>
      <c r="V357" s="741"/>
      <c r="W357" s="6618"/>
      <c r="X357" s="57"/>
      <c r="Y357" s="6686"/>
      <c r="Z357" s="6686"/>
      <c r="AA357" s="6686"/>
      <c r="AB357" s="5962"/>
      <c r="AC357" s="5963"/>
      <c r="AD357" s="905"/>
      <c r="AE357" s="57"/>
      <c r="AF357" s="151"/>
      <c r="AG357" s="151"/>
      <c r="AH357" s="10386"/>
      <c r="AI357" s="819"/>
    </row>
    <row r="358" spans="1:35" ht="27" customHeight="1">
      <c r="A358" s="10425"/>
      <c r="B358" s="10366"/>
      <c r="C358" s="9134"/>
      <c r="D358" s="9091"/>
      <c r="E358" s="9091"/>
      <c r="F358" s="9091"/>
      <c r="G358" s="9091"/>
      <c r="H358" s="9091"/>
      <c r="I358" s="9091"/>
      <c r="J358" s="9091"/>
      <c r="K358" s="9091"/>
      <c r="L358" s="9091"/>
      <c r="M358" s="10353"/>
      <c r="N358" s="10353"/>
      <c r="O358" s="10353"/>
      <c r="P358" s="10356"/>
      <c r="Q358" s="10356"/>
      <c r="R358" s="10359"/>
      <c r="S358" s="869"/>
      <c r="T358" s="7176"/>
      <c r="U358" s="7176"/>
      <c r="V358" s="741"/>
      <c r="W358" s="6618"/>
      <c r="X358" s="57"/>
      <c r="Y358" s="6686"/>
      <c r="Z358" s="6686"/>
      <c r="AA358" s="6686"/>
      <c r="AB358" s="5962"/>
      <c r="AC358" s="5963"/>
      <c r="AD358" s="905"/>
      <c r="AE358" s="57"/>
      <c r="AF358" s="151"/>
      <c r="AG358" s="151"/>
      <c r="AH358" s="10386"/>
      <c r="AI358" s="819"/>
    </row>
    <row r="359" spans="1:35" ht="27" customHeight="1">
      <c r="A359" s="10425"/>
      <c r="B359" s="10366"/>
      <c r="C359" s="9134"/>
      <c r="D359" s="9091"/>
      <c r="E359" s="9091"/>
      <c r="F359" s="9091"/>
      <c r="G359" s="9091"/>
      <c r="H359" s="9091"/>
      <c r="I359" s="9091"/>
      <c r="J359" s="9091"/>
      <c r="K359" s="9091"/>
      <c r="L359" s="9091"/>
      <c r="M359" s="10353"/>
      <c r="N359" s="10353"/>
      <c r="O359" s="10353"/>
      <c r="P359" s="10356"/>
      <c r="Q359" s="10356"/>
      <c r="R359" s="10359"/>
      <c r="S359" s="869"/>
      <c r="T359" s="7176"/>
      <c r="U359" s="7176"/>
      <c r="V359" s="741"/>
      <c r="W359" s="6618"/>
      <c r="X359" s="57"/>
      <c r="Y359" s="6686"/>
      <c r="Z359" s="6686"/>
      <c r="AA359" s="6686"/>
      <c r="AB359" s="5962"/>
      <c r="AC359" s="5963"/>
      <c r="AD359" s="905"/>
      <c r="AE359" s="57"/>
      <c r="AF359" s="151"/>
      <c r="AG359" s="151"/>
      <c r="AH359" s="10386"/>
      <c r="AI359" s="819"/>
    </row>
    <row r="360" spans="1:35" ht="27" customHeight="1">
      <c r="A360" s="10425"/>
      <c r="B360" s="10366"/>
      <c r="C360" s="9135"/>
      <c r="D360" s="9129"/>
      <c r="E360" s="9129"/>
      <c r="F360" s="9129"/>
      <c r="G360" s="9129"/>
      <c r="H360" s="9129"/>
      <c r="I360" s="9129"/>
      <c r="J360" s="9129"/>
      <c r="K360" s="9129"/>
      <c r="L360" s="9129"/>
      <c r="M360" s="10362"/>
      <c r="N360" s="10362"/>
      <c r="O360" s="10362"/>
      <c r="P360" s="10363"/>
      <c r="Q360" s="10363"/>
      <c r="R360" s="10365"/>
      <c r="S360" s="870"/>
      <c r="T360" s="7254"/>
      <c r="U360" s="7254"/>
      <c r="V360" s="860"/>
      <c r="W360" s="7302"/>
      <c r="X360" s="1158"/>
      <c r="Y360" s="7187"/>
      <c r="Z360" s="7187"/>
      <c r="AA360" s="7187"/>
      <c r="AB360" s="7188"/>
      <c r="AC360" s="7194"/>
      <c r="AD360" s="1370"/>
      <c r="AE360" s="1158"/>
      <c r="AF360" s="158"/>
      <c r="AG360" s="158"/>
      <c r="AH360" s="10386"/>
      <c r="AI360" s="819"/>
    </row>
    <row r="361" spans="1:35" ht="34.5" customHeight="1">
      <c r="A361" s="10425"/>
      <c r="B361" s="10366"/>
      <c r="C361" s="9140" t="s">
        <v>127</v>
      </c>
      <c r="D361" s="9090" t="s">
        <v>128</v>
      </c>
      <c r="E361" s="9090" t="s">
        <v>140</v>
      </c>
      <c r="F361" s="9090" t="s">
        <v>597</v>
      </c>
      <c r="G361" s="9116" t="s">
        <v>131</v>
      </c>
      <c r="H361" s="9090" t="s">
        <v>132</v>
      </c>
      <c r="I361" s="9090" t="s">
        <v>159</v>
      </c>
      <c r="J361" s="9116" t="s">
        <v>3372</v>
      </c>
      <c r="K361" s="9090" t="s">
        <v>3373</v>
      </c>
      <c r="L361" s="9186" t="s">
        <v>3374</v>
      </c>
      <c r="M361" s="10352">
        <v>1</v>
      </c>
      <c r="N361" s="10352">
        <v>2</v>
      </c>
      <c r="O361" s="10352">
        <v>1</v>
      </c>
      <c r="P361" s="9186" t="s">
        <v>3375</v>
      </c>
      <c r="Q361" s="9186" t="s">
        <v>3376</v>
      </c>
      <c r="R361" s="10358" t="s">
        <v>3299</v>
      </c>
      <c r="S361" s="902" t="s">
        <v>15</v>
      </c>
      <c r="T361" s="7282">
        <v>530203</v>
      </c>
      <c r="U361" s="6582"/>
      <c r="V361" s="742" t="s">
        <v>3377</v>
      </c>
      <c r="W361" s="7309"/>
      <c r="X361" s="1992"/>
      <c r="Y361" s="7344"/>
      <c r="Z361" s="7344"/>
      <c r="AA361" s="6677"/>
      <c r="AB361" s="7881">
        <f>SUM($AA$362:$AA$367)</f>
        <v>1300</v>
      </c>
      <c r="AC361" s="5969" t="s">
        <v>26</v>
      </c>
      <c r="AD361" s="1355"/>
      <c r="AE361" s="1164"/>
      <c r="AF361" s="166"/>
      <c r="AG361" s="166"/>
      <c r="AH361" s="10385"/>
      <c r="AI361" s="819"/>
    </row>
    <row r="362" spans="1:35" ht="24" customHeight="1">
      <c r="A362" s="10425"/>
      <c r="B362" s="10366"/>
      <c r="C362" s="9134"/>
      <c r="D362" s="9091"/>
      <c r="E362" s="9091"/>
      <c r="F362" s="9091"/>
      <c r="G362" s="9091"/>
      <c r="H362" s="9091"/>
      <c r="I362" s="9091"/>
      <c r="J362" s="9091"/>
      <c r="K362" s="9091"/>
      <c r="L362" s="9091"/>
      <c r="M362" s="10353"/>
      <c r="N362" s="10353"/>
      <c r="O362" s="10353"/>
      <c r="P362" s="10356"/>
      <c r="Q362" s="10356"/>
      <c r="R362" s="10359"/>
      <c r="S362" s="869"/>
      <c r="T362" s="7176"/>
      <c r="U362" s="7176">
        <v>439260011</v>
      </c>
      <c r="V362" s="741" t="s">
        <v>3378</v>
      </c>
      <c r="W362" s="6618">
        <v>216</v>
      </c>
      <c r="X362" s="57" t="s">
        <v>3343</v>
      </c>
      <c r="Y362" s="7815">
        <v>3.25</v>
      </c>
      <c r="Z362" s="7815">
        <f t="shared" ref="Z362:Z365" si="16">W362*Y362</f>
        <v>702</v>
      </c>
      <c r="AA362" s="7815">
        <f>Z362</f>
        <v>702</v>
      </c>
      <c r="AB362" s="5962"/>
      <c r="AC362" s="5963"/>
      <c r="AD362" s="1356"/>
      <c r="AE362" s="1151"/>
      <c r="AF362" s="325" t="s">
        <v>153</v>
      </c>
      <c r="AG362" s="151"/>
      <c r="AH362" s="10386"/>
      <c r="AI362" s="819"/>
    </row>
    <row r="363" spans="1:35" ht="24" customHeight="1">
      <c r="A363" s="10425"/>
      <c r="B363" s="10366"/>
      <c r="C363" s="9134"/>
      <c r="D363" s="9091"/>
      <c r="E363" s="9091"/>
      <c r="F363" s="9091"/>
      <c r="G363" s="9091"/>
      <c r="H363" s="9091"/>
      <c r="I363" s="9091"/>
      <c r="J363" s="9091"/>
      <c r="K363" s="9091"/>
      <c r="L363" s="9091"/>
      <c r="M363" s="10353"/>
      <c r="N363" s="10353"/>
      <c r="O363" s="10353"/>
      <c r="P363" s="10356"/>
      <c r="Q363" s="10356"/>
      <c r="R363" s="10359"/>
      <c r="S363" s="869"/>
      <c r="T363" s="7176"/>
      <c r="U363" s="7176">
        <v>439260011</v>
      </c>
      <c r="V363" s="741" t="s">
        <v>3379</v>
      </c>
      <c r="W363" s="6618">
        <v>13</v>
      </c>
      <c r="X363" s="57" t="s">
        <v>3343</v>
      </c>
      <c r="Y363" s="7815">
        <v>6.5</v>
      </c>
      <c r="Z363" s="7815">
        <f t="shared" si="16"/>
        <v>84.5</v>
      </c>
      <c r="AA363" s="7815">
        <f t="shared" ref="AA363:AA366" si="17">Z363</f>
        <v>84.5</v>
      </c>
      <c r="AB363" s="5962"/>
      <c r="AC363" s="5963"/>
      <c r="AD363" s="1356"/>
      <c r="AE363" s="1151"/>
      <c r="AF363" s="325" t="s">
        <v>153</v>
      </c>
      <c r="AG363" s="151"/>
      <c r="AH363" s="10386"/>
      <c r="AI363" s="819"/>
    </row>
    <row r="364" spans="1:35" ht="24" customHeight="1">
      <c r="A364" s="10425"/>
      <c r="B364" s="10366"/>
      <c r="C364" s="9134"/>
      <c r="D364" s="9091"/>
      <c r="E364" s="9091"/>
      <c r="F364" s="9091"/>
      <c r="G364" s="9091"/>
      <c r="H364" s="9091"/>
      <c r="I364" s="9091"/>
      <c r="J364" s="9091"/>
      <c r="K364" s="9091"/>
      <c r="L364" s="9091"/>
      <c r="M364" s="10353"/>
      <c r="N364" s="10353"/>
      <c r="O364" s="10353"/>
      <c r="P364" s="10356"/>
      <c r="Q364" s="10356"/>
      <c r="R364" s="10359"/>
      <c r="S364" s="871"/>
      <c r="T364" s="6583"/>
      <c r="U364" s="7176">
        <v>439260011</v>
      </c>
      <c r="V364" s="741" t="s">
        <v>3380</v>
      </c>
      <c r="W364" s="6618">
        <v>20</v>
      </c>
      <c r="X364" s="57" t="s">
        <v>3343</v>
      </c>
      <c r="Y364" s="7815">
        <v>3.25</v>
      </c>
      <c r="Z364" s="7815">
        <f t="shared" si="16"/>
        <v>65</v>
      </c>
      <c r="AA364" s="7815">
        <f t="shared" si="17"/>
        <v>65</v>
      </c>
      <c r="AB364" s="5962"/>
      <c r="AC364" s="5963"/>
      <c r="AD364" s="1356"/>
      <c r="AE364" s="1151"/>
      <c r="AF364" s="325" t="s">
        <v>153</v>
      </c>
      <c r="AG364" s="151"/>
      <c r="AH364" s="10386"/>
      <c r="AI364" s="819"/>
    </row>
    <row r="365" spans="1:35" ht="24" customHeight="1">
      <c r="A365" s="10425"/>
      <c r="B365" s="10366"/>
      <c r="C365" s="9134"/>
      <c r="D365" s="9091"/>
      <c r="E365" s="9091"/>
      <c r="F365" s="9091"/>
      <c r="G365" s="9091"/>
      <c r="H365" s="9091"/>
      <c r="I365" s="9091"/>
      <c r="J365" s="9091"/>
      <c r="K365" s="9091"/>
      <c r="L365" s="9091"/>
      <c r="M365" s="10353"/>
      <c r="N365" s="10353"/>
      <c r="O365" s="10353"/>
      <c r="P365" s="10356"/>
      <c r="Q365" s="10356"/>
      <c r="R365" s="10359"/>
      <c r="S365" s="3547"/>
      <c r="T365" s="7283"/>
      <c r="U365" s="7281">
        <v>439260011</v>
      </c>
      <c r="V365" s="3548" t="s">
        <v>3381</v>
      </c>
      <c r="W365" s="7308">
        <v>29</v>
      </c>
      <c r="X365" s="3536" t="s">
        <v>3343</v>
      </c>
      <c r="Y365" s="7880">
        <v>6.5</v>
      </c>
      <c r="Z365" s="7880">
        <f t="shared" si="16"/>
        <v>188.5</v>
      </c>
      <c r="AA365" s="7815">
        <f t="shared" si="17"/>
        <v>188.5</v>
      </c>
      <c r="AB365" s="7343"/>
      <c r="AC365" s="7352"/>
      <c r="AD365" s="3549"/>
      <c r="AE365" s="3550"/>
      <c r="AF365" s="3551" t="s">
        <v>153</v>
      </c>
      <c r="AG365" s="3552"/>
      <c r="AH365" s="10386"/>
      <c r="AI365" s="819"/>
    </row>
    <row r="366" spans="1:35" ht="24" customHeight="1">
      <c r="A366" s="10425"/>
      <c r="B366" s="10366"/>
      <c r="C366" s="9135"/>
      <c r="D366" s="9129"/>
      <c r="E366" s="9129"/>
      <c r="F366" s="9129"/>
      <c r="G366" s="9129"/>
      <c r="H366" s="9129"/>
      <c r="I366" s="9129"/>
      <c r="J366" s="9129"/>
      <c r="K366" s="9129"/>
      <c r="L366" s="9129"/>
      <c r="M366" s="10362"/>
      <c r="N366" s="10362"/>
      <c r="O366" s="10362"/>
      <c r="P366" s="10363"/>
      <c r="Q366" s="10363"/>
      <c r="R366" s="10365"/>
      <c r="S366" s="3541"/>
      <c r="T366" s="5682"/>
      <c r="U366" s="5681">
        <v>439260011</v>
      </c>
      <c r="V366" s="3495" t="s">
        <v>3382</v>
      </c>
      <c r="W366" s="5499">
        <v>20</v>
      </c>
      <c r="X366" s="3496" t="s">
        <v>3343</v>
      </c>
      <c r="Y366" s="7797">
        <v>13</v>
      </c>
      <c r="Z366" s="7797">
        <f>W366*Y366</f>
        <v>260</v>
      </c>
      <c r="AA366" s="7815">
        <f t="shared" si="17"/>
        <v>260</v>
      </c>
      <c r="AB366" s="5553"/>
      <c r="AC366" s="5779"/>
      <c r="AD366" s="3553"/>
      <c r="AE366" s="3496"/>
      <c r="AF366" s="3554" t="s">
        <v>153</v>
      </c>
      <c r="AG366" s="3555"/>
      <c r="AH366" s="10386"/>
      <c r="AI366" s="819"/>
    </row>
    <row r="367" spans="1:35" ht="24" customHeight="1">
      <c r="A367" s="10425"/>
      <c r="B367" s="10366"/>
      <c r="C367" s="9141"/>
      <c r="D367" s="9102"/>
      <c r="E367" s="9102"/>
      <c r="F367" s="9102"/>
      <c r="G367" s="9102"/>
      <c r="H367" s="9102"/>
      <c r="I367" s="9102"/>
      <c r="J367" s="9102"/>
      <c r="K367" s="9102"/>
      <c r="L367" s="9102"/>
      <c r="M367" s="10354"/>
      <c r="N367" s="10354"/>
      <c r="O367" s="10354"/>
      <c r="P367" s="10357"/>
      <c r="Q367" s="10357"/>
      <c r="R367" s="10390"/>
      <c r="S367" s="3556"/>
      <c r="T367" s="7284"/>
      <c r="U367" s="5696"/>
      <c r="V367" s="3557"/>
      <c r="W367" s="5503"/>
      <c r="X367" s="3545"/>
      <c r="Y367" s="5558"/>
      <c r="Z367" s="5558"/>
      <c r="AA367" s="5558"/>
      <c r="AB367" s="5559"/>
      <c r="AC367" s="5828"/>
      <c r="AD367" s="3558"/>
      <c r="AE367" s="3545"/>
      <c r="AF367" s="3559"/>
      <c r="AG367" s="3560"/>
      <c r="AH367" s="10387"/>
      <c r="AI367" s="819"/>
    </row>
    <row r="368" spans="1:35" ht="30" customHeight="1">
      <c r="A368" s="10425"/>
      <c r="B368" s="10366"/>
      <c r="C368" s="9133" t="s">
        <v>127</v>
      </c>
      <c r="D368" s="9131" t="s">
        <v>128</v>
      </c>
      <c r="E368" s="9131" t="s">
        <v>140</v>
      </c>
      <c r="F368" s="9131" t="s">
        <v>284</v>
      </c>
      <c r="G368" s="9142" t="s">
        <v>131</v>
      </c>
      <c r="H368" s="9131" t="s">
        <v>132</v>
      </c>
      <c r="I368" s="9131" t="s">
        <v>159</v>
      </c>
      <c r="J368" s="9131" t="s">
        <v>3383</v>
      </c>
      <c r="K368" s="9131" t="s">
        <v>3384</v>
      </c>
      <c r="L368" s="9130" t="s">
        <v>3385</v>
      </c>
      <c r="M368" s="10361">
        <v>0</v>
      </c>
      <c r="N368" s="10361">
        <v>1</v>
      </c>
      <c r="O368" s="10361">
        <v>5</v>
      </c>
      <c r="P368" s="9130" t="s">
        <v>3386</v>
      </c>
      <c r="Q368" s="9130" t="s">
        <v>3387</v>
      </c>
      <c r="R368" s="10364" t="s">
        <v>3299</v>
      </c>
      <c r="S368" s="874"/>
      <c r="T368" s="7175"/>
      <c r="U368" s="7175"/>
      <c r="V368" s="743"/>
      <c r="W368" s="7182"/>
      <c r="X368" s="471"/>
      <c r="Y368" s="7186"/>
      <c r="Z368" s="7186"/>
      <c r="AA368" s="7186"/>
      <c r="AB368" s="5987"/>
      <c r="AC368" s="5973"/>
      <c r="AD368" s="1360"/>
      <c r="AE368" s="1173"/>
      <c r="AF368" s="471"/>
      <c r="AG368" s="471"/>
      <c r="AH368" s="10388"/>
      <c r="AI368" s="819"/>
    </row>
    <row r="369" spans="1:35" ht="30" customHeight="1">
      <c r="A369" s="10425"/>
      <c r="B369" s="10366"/>
      <c r="C369" s="9134"/>
      <c r="D369" s="9091"/>
      <c r="E369" s="9091"/>
      <c r="F369" s="9091"/>
      <c r="G369" s="9091"/>
      <c r="H369" s="9091"/>
      <c r="I369" s="9091"/>
      <c r="J369" s="9091"/>
      <c r="K369" s="9091"/>
      <c r="L369" s="9091"/>
      <c r="M369" s="10353"/>
      <c r="N369" s="10353"/>
      <c r="O369" s="10353"/>
      <c r="P369" s="10356"/>
      <c r="Q369" s="10356"/>
      <c r="R369" s="10359"/>
      <c r="S369" s="869"/>
      <c r="T369" s="7176"/>
      <c r="U369" s="7176"/>
      <c r="V369" s="741"/>
      <c r="W369" s="7295"/>
      <c r="X369" s="1151"/>
      <c r="Y369" s="7320"/>
      <c r="Z369" s="7320"/>
      <c r="AA369" s="7320"/>
      <c r="AB369" s="5978"/>
      <c r="AC369" s="5979"/>
      <c r="AD369" s="1356"/>
      <c r="AE369" s="1151"/>
      <c r="AF369" s="57"/>
      <c r="AG369" s="57"/>
      <c r="AH369" s="10386"/>
      <c r="AI369" s="819"/>
    </row>
    <row r="370" spans="1:35" ht="30" customHeight="1">
      <c r="A370" s="10425"/>
      <c r="B370" s="10366"/>
      <c r="C370" s="9134"/>
      <c r="D370" s="9091"/>
      <c r="E370" s="9091"/>
      <c r="F370" s="9091"/>
      <c r="G370" s="9091"/>
      <c r="H370" s="9091"/>
      <c r="I370" s="9091"/>
      <c r="J370" s="9091"/>
      <c r="K370" s="9091"/>
      <c r="L370" s="9091"/>
      <c r="M370" s="10353"/>
      <c r="N370" s="10353"/>
      <c r="O370" s="10353"/>
      <c r="P370" s="10356"/>
      <c r="Q370" s="10356"/>
      <c r="R370" s="10359"/>
      <c r="S370" s="869"/>
      <c r="T370" s="7176"/>
      <c r="U370" s="7176"/>
      <c r="V370" s="741"/>
      <c r="W370" s="6618"/>
      <c r="X370" s="57"/>
      <c r="Y370" s="6686"/>
      <c r="Z370" s="6686"/>
      <c r="AA370" s="6686"/>
      <c r="AB370" s="5962"/>
      <c r="AC370" s="5963"/>
      <c r="AD370" s="905"/>
      <c r="AE370" s="57"/>
      <c r="AF370" s="57"/>
      <c r="AG370" s="151"/>
      <c r="AH370" s="10386"/>
      <c r="AI370" s="819"/>
    </row>
    <row r="371" spans="1:35" ht="30" customHeight="1">
      <c r="A371" s="10425"/>
      <c r="B371" s="10366"/>
      <c r="C371" s="9134"/>
      <c r="D371" s="9091"/>
      <c r="E371" s="9091"/>
      <c r="F371" s="9091"/>
      <c r="G371" s="9091"/>
      <c r="H371" s="9091"/>
      <c r="I371" s="9091"/>
      <c r="J371" s="9091"/>
      <c r="K371" s="9091"/>
      <c r="L371" s="9091"/>
      <c r="M371" s="10353"/>
      <c r="N371" s="10353"/>
      <c r="O371" s="10353"/>
      <c r="P371" s="10356"/>
      <c r="Q371" s="10356"/>
      <c r="R371" s="10359"/>
      <c r="S371" s="869"/>
      <c r="T371" s="7176"/>
      <c r="U371" s="7176"/>
      <c r="V371" s="741"/>
      <c r="W371" s="6618"/>
      <c r="X371" s="57"/>
      <c r="Y371" s="6686"/>
      <c r="Z371" s="6686"/>
      <c r="AA371" s="6686"/>
      <c r="AB371" s="5962"/>
      <c r="AC371" s="5963"/>
      <c r="AD371" s="905"/>
      <c r="AE371" s="57"/>
      <c r="AF371" s="57"/>
      <c r="AG371" s="151"/>
      <c r="AH371" s="10386"/>
      <c r="AI371" s="819"/>
    </row>
    <row r="372" spans="1:35" ht="30" customHeight="1">
      <c r="A372" s="10425"/>
      <c r="B372" s="10366"/>
      <c r="C372" s="9135"/>
      <c r="D372" s="9129"/>
      <c r="E372" s="9129"/>
      <c r="F372" s="9129"/>
      <c r="G372" s="9129"/>
      <c r="H372" s="9129"/>
      <c r="I372" s="9129"/>
      <c r="J372" s="9129"/>
      <c r="K372" s="9129"/>
      <c r="L372" s="9129"/>
      <c r="M372" s="10362"/>
      <c r="N372" s="10362"/>
      <c r="O372" s="10362"/>
      <c r="P372" s="10363"/>
      <c r="Q372" s="10363"/>
      <c r="R372" s="10365"/>
      <c r="S372" s="870"/>
      <c r="T372" s="7254"/>
      <c r="U372" s="7254"/>
      <c r="V372" s="860"/>
      <c r="W372" s="7288"/>
      <c r="X372" s="160"/>
      <c r="Y372" s="7315"/>
      <c r="Z372" s="7315"/>
      <c r="AA372" s="7315"/>
      <c r="AB372" s="7316"/>
      <c r="AC372" s="7348"/>
      <c r="AD372" s="914"/>
      <c r="AE372" s="160"/>
      <c r="AF372" s="160"/>
      <c r="AG372" s="158"/>
      <c r="AH372" s="10386"/>
      <c r="AI372" s="819"/>
    </row>
    <row r="373" spans="1:35" ht="30.75" customHeight="1">
      <c r="A373" s="10425"/>
      <c r="B373" s="10366"/>
      <c r="C373" s="9140" t="s">
        <v>127</v>
      </c>
      <c r="D373" s="9090" t="s">
        <v>128</v>
      </c>
      <c r="E373" s="9090" t="s">
        <v>140</v>
      </c>
      <c r="F373" s="9090" t="s">
        <v>284</v>
      </c>
      <c r="G373" s="9116" t="s">
        <v>131</v>
      </c>
      <c r="H373" s="9090" t="s">
        <v>132</v>
      </c>
      <c r="I373" s="9090" t="s">
        <v>159</v>
      </c>
      <c r="J373" s="9090" t="s">
        <v>3388</v>
      </c>
      <c r="K373" s="9090" t="s">
        <v>3389</v>
      </c>
      <c r="L373" s="9186" t="s">
        <v>3390</v>
      </c>
      <c r="M373" s="10352">
        <v>0</v>
      </c>
      <c r="N373" s="10352">
        <v>0</v>
      </c>
      <c r="O373" s="10352">
        <v>1</v>
      </c>
      <c r="P373" s="9186" t="s">
        <v>3391</v>
      </c>
      <c r="Q373" s="9186" t="s">
        <v>3392</v>
      </c>
      <c r="R373" s="10358" t="s">
        <v>3393</v>
      </c>
      <c r="S373" s="902"/>
      <c r="T373" s="6582"/>
      <c r="U373" s="6582"/>
      <c r="V373" s="742"/>
      <c r="W373" s="6617"/>
      <c r="X373" s="171"/>
      <c r="Y373" s="6677"/>
      <c r="Z373" s="6677"/>
      <c r="AA373" s="6677"/>
      <c r="AB373" s="5986"/>
      <c r="AC373" s="5969"/>
      <c r="AD373" s="915"/>
      <c r="AE373" s="171"/>
      <c r="AF373" s="166"/>
      <c r="AG373" s="166"/>
      <c r="AH373" s="10385"/>
      <c r="AI373" s="819"/>
    </row>
    <row r="374" spans="1:35" ht="30.75" customHeight="1">
      <c r="A374" s="10425"/>
      <c r="B374" s="10366"/>
      <c r="C374" s="9134"/>
      <c r="D374" s="9091"/>
      <c r="E374" s="9091"/>
      <c r="F374" s="9091"/>
      <c r="G374" s="9091"/>
      <c r="H374" s="9091"/>
      <c r="I374" s="9091"/>
      <c r="J374" s="9091"/>
      <c r="K374" s="9091"/>
      <c r="L374" s="9091"/>
      <c r="M374" s="10353"/>
      <c r="N374" s="10353"/>
      <c r="O374" s="10353"/>
      <c r="P374" s="10356"/>
      <c r="Q374" s="10356"/>
      <c r="R374" s="10359"/>
      <c r="S374" s="869"/>
      <c r="T374" s="7176"/>
      <c r="U374" s="7176"/>
      <c r="V374" s="741"/>
      <c r="W374" s="6618"/>
      <c r="X374" s="57"/>
      <c r="Y374" s="6686"/>
      <c r="Z374" s="6686"/>
      <c r="AA374" s="6686"/>
      <c r="AB374" s="5962"/>
      <c r="AC374" s="5963"/>
      <c r="AD374" s="905"/>
      <c r="AE374" s="57"/>
      <c r="AF374" s="151"/>
      <c r="AG374" s="151"/>
      <c r="AH374" s="10386"/>
      <c r="AI374" s="819"/>
    </row>
    <row r="375" spans="1:35" ht="30.75" customHeight="1">
      <c r="A375" s="10425"/>
      <c r="B375" s="10366"/>
      <c r="C375" s="9134"/>
      <c r="D375" s="9091"/>
      <c r="E375" s="9091"/>
      <c r="F375" s="9091"/>
      <c r="G375" s="9091"/>
      <c r="H375" s="9091"/>
      <c r="I375" s="9091"/>
      <c r="J375" s="9091"/>
      <c r="K375" s="9091"/>
      <c r="L375" s="9091"/>
      <c r="M375" s="10353"/>
      <c r="N375" s="10353"/>
      <c r="O375" s="10353"/>
      <c r="P375" s="10356"/>
      <c r="Q375" s="10356"/>
      <c r="R375" s="10359"/>
      <c r="S375" s="869"/>
      <c r="T375" s="7176"/>
      <c r="U375" s="7176"/>
      <c r="V375" s="741"/>
      <c r="W375" s="6618"/>
      <c r="X375" s="57"/>
      <c r="Y375" s="6686"/>
      <c r="Z375" s="6686"/>
      <c r="AA375" s="6686"/>
      <c r="AB375" s="5962"/>
      <c r="AC375" s="5963"/>
      <c r="AD375" s="905"/>
      <c r="AE375" s="57"/>
      <c r="AF375" s="151"/>
      <c r="AG375" s="151"/>
      <c r="AH375" s="10386"/>
      <c r="AI375" s="819"/>
    </row>
    <row r="376" spans="1:35" ht="30.75" customHeight="1">
      <c r="A376" s="10425"/>
      <c r="B376" s="10366"/>
      <c r="C376" s="9134"/>
      <c r="D376" s="9091"/>
      <c r="E376" s="9091"/>
      <c r="F376" s="9091"/>
      <c r="G376" s="9091"/>
      <c r="H376" s="9091"/>
      <c r="I376" s="9091"/>
      <c r="J376" s="9091"/>
      <c r="K376" s="9091"/>
      <c r="L376" s="9091"/>
      <c r="M376" s="10353"/>
      <c r="N376" s="10353"/>
      <c r="O376" s="10353"/>
      <c r="P376" s="10356"/>
      <c r="Q376" s="10356"/>
      <c r="R376" s="10359"/>
      <c r="S376" s="869"/>
      <c r="T376" s="7176"/>
      <c r="U376" s="7176"/>
      <c r="V376" s="741"/>
      <c r="W376" s="6618"/>
      <c r="X376" s="57"/>
      <c r="Y376" s="6686"/>
      <c r="Z376" s="6686"/>
      <c r="AA376" s="6686"/>
      <c r="AB376" s="5962"/>
      <c r="AC376" s="5963"/>
      <c r="AD376" s="905"/>
      <c r="AE376" s="57"/>
      <c r="AF376" s="151"/>
      <c r="AG376" s="151"/>
      <c r="AH376" s="10386"/>
      <c r="AI376" s="819"/>
    </row>
    <row r="377" spans="1:35" ht="30.75" customHeight="1">
      <c r="A377" s="10425"/>
      <c r="B377" s="10366"/>
      <c r="C377" s="9141"/>
      <c r="D377" s="9102"/>
      <c r="E377" s="9102"/>
      <c r="F377" s="9102"/>
      <c r="G377" s="9102"/>
      <c r="H377" s="9102"/>
      <c r="I377" s="9102"/>
      <c r="J377" s="9102"/>
      <c r="K377" s="9102"/>
      <c r="L377" s="9102"/>
      <c r="M377" s="10354"/>
      <c r="N377" s="10354"/>
      <c r="O377" s="10354"/>
      <c r="P377" s="10357"/>
      <c r="Q377" s="10357"/>
      <c r="R377" s="10360"/>
      <c r="S377" s="872"/>
      <c r="T377" s="7255"/>
      <c r="U377" s="7255"/>
      <c r="V377" s="745"/>
      <c r="W377" s="7289"/>
      <c r="X377" s="61"/>
      <c r="Y377" s="7317"/>
      <c r="Z377" s="7317"/>
      <c r="AA377" s="7317"/>
      <c r="AB377" s="5970"/>
      <c r="AC377" s="5971"/>
      <c r="AD377" s="916"/>
      <c r="AE377" s="61"/>
      <c r="AF377" s="177"/>
      <c r="AG377" s="177"/>
      <c r="AH377" s="10389"/>
      <c r="AI377" s="819"/>
    </row>
    <row r="378" spans="1:35" ht="29.25" customHeight="1">
      <c r="A378" s="10425"/>
      <c r="B378" s="10366"/>
      <c r="C378" s="9133" t="s">
        <v>127</v>
      </c>
      <c r="D378" s="9131" t="s">
        <v>128</v>
      </c>
      <c r="E378" s="9131" t="s">
        <v>140</v>
      </c>
      <c r="F378" s="9131" t="s">
        <v>284</v>
      </c>
      <c r="G378" s="9142" t="s">
        <v>131</v>
      </c>
      <c r="H378" s="9131" t="s">
        <v>132</v>
      </c>
      <c r="I378" s="9131" t="s">
        <v>159</v>
      </c>
      <c r="J378" s="9131" t="s">
        <v>3394</v>
      </c>
      <c r="K378" s="9131" t="s">
        <v>3395</v>
      </c>
      <c r="L378" s="9130" t="s">
        <v>3396</v>
      </c>
      <c r="M378" s="10361">
        <v>0</v>
      </c>
      <c r="N378" s="10361">
        <v>1</v>
      </c>
      <c r="O378" s="10361">
        <v>1</v>
      </c>
      <c r="P378" s="9130" t="s">
        <v>3397</v>
      </c>
      <c r="Q378" s="9130" t="s">
        <v>3398</v>
      </c>
      <c r="R378" s="10364" t="s">
        <v>3399</v>
      </c>
      <c r="S378" s="3561"/>
      <c r="T378" s="7285"/>
      <c r="U378" s="7285"/>
      <c r="V378" s="7660"/>
      <c r="W378" s="7310"/>
      <c r="X378" s="7660"/>
      <c r="Y378" s="5560"/>
      <c r="Z378" s="5560"/>
      <c r="AA378" s="5560"/>
      <c r="AB378" s="5560"/>
      <c r="AC378" s="7354"/>
      <c r="AD378" s="3562"/>
      <c r="AE378" s="3562"/>
      <c r="AF378" s="3563"/>
      <c r="AG378" s="475"/>
      <c r="AH378" s="10388"/>
      <c r="AI378" s="819"/>
    </row>
    <row r="379" spans="1:35" ht="29.25" customHeight="1">
      <c r="A379" s="10425"/>
      <c r="B379" s="10366"/>
      <c r="C379" s="9134"/>
      <c r="D379" s="9091"/>
      <c r="E379" s="9091"/>
      <c r="F379" s="9091"/>
      <c r="G379" s="9091"/>
      <c r="H379" s="9091"/>
      <c r="I379" s="9091"/>
      <c r="J379" s="9091"/>
      <c r="K379" s="9091"/>
      <c r="L379" s="9091"/>
      <c r="M379" s="10353"/>
      <c r="N379" s="10353"/>
      <c r="O379" s="10353"/>
      <c r="P379" s="10356"/>
      <c r="Q379" s="10356"/>
      <c r="R379" s="10359"/>
      <c r="S379" s="3564"/>
      <c r="T379" s="5711"/>
      <c r="U379" s="5711"/>
      <c r="V379" s="7661"/>
      <c r="W379" s="5781"/>
      <c r="X379" s="7661"/>
      <c r="Y379" s="5552"/>
      <c r="Z379" s="5552"/>
      <c r="AA379" s="5552"/>
      <c r="AB379" s="5552"/>
      <c r="AC379" s="7355"/>
      <c r="AD379" s="3565"/>
      <c r="AE379" s="3565"/>
      <c r="AF379" s="3566"/>
      <c r="AG379" s="151"/>
      <c r="AH379" s="10386"/>
      <c r="AI379" s="819"/>
    </row>
    <row r="380" spans="1:35" ht="29.25" customHeight="1">
      <c r="A380" s="10425"/>
      <c r="B380" s="10366"/>
      <c r="C380" s="9134"/>
      <c r="D380" s="9091"/>
      <c r="E380" s="9091"/>
      <c r="F380" s="9091"/>
      <c r="G380" s="9091"/>
      <c r="H380" s="9091"/>
      <c r="I380" s="9091"/>
      <c r="J380" s="9091"/>
      <c r="K380" s="9091"/>
      <c r="L380" s="9091"/>
      <c r="M380" s="10353"/>
      <c r="N380" s="10353"/>
      <c r="O380" s="10353"/>
      <c r="P380" s="10356"/>
      <c r="Q380" s="10356"/>
      <c r="R380" s="10359"/>
      <c r="S380" s="3567"/>
      <c r="T380" s="7286"/>
      <c r="U380" s="7286"/>
      <c r="V380" s="3568"/>
      <c r="W380" s="7311"/>
      <c r="X380" s="3569"/>
      <c r="Y380" s="7345"/>
      <c r="Z380" s="7346"/>
      <c r="AA380" s="7345"/>
      <c r="AB380" s="7347"/>
      <c r="AC380" s="7353"/>
      <c r="AD380" s="3570"/>
      <c r="AE380" s="3569"/>
      <c r="AF380" s="3571"/>
      <c r="AG380" s="151"/>
      <c r="AH380" s="10386"/>
      <c r="AI380" s="819"/>
    </row>
    <row r="381" spans="1:35" ht="29.25" customHeight="1">
      <c r="A381" s="10425"/>
      <c r="B381" s="10366"/>
      <c r="C381" s="9134"/>
      <c r="D381" s="9091"/>
      <c r="E381" s="9091"/>
      <c r="F381" s="9091"/>
      <c r="G381" s="9091"/>
      <c r="H381" s="9091"/>
      <c r="I381" s="9091"/>
      <c r="J381" s="9091"/>
      <c r="K381" s="9091"/>
      <c r="L381" s="9091"/>
      <c r="M381" s="10353"/>
      <c r="N381" s="10353"/>
      <c r="O381" s="10353"/>
      <c r="P381" s="10356"/>
      <c r="Q381" s="10356"/>
      <c r="R381" s="10359"/>
      <c r="S381" s="869"/>
      <c r="T381" s="7176"/>
      <c r="U381" s="7176"/>
      <c r="V381" s="741"/>
      <c r="W381" s="6618"/>
      <c r="X381" s="57"/>
      <c r="Y381" s="6686"/>
      <c r="Z381" s="6686"/>
      <c r="AA381" s="6686"/>
      <c r="AB381" s="5962"/>
      <c r="AC381" s="5963"/>
      <c r="AD381" s="905"/>
      <c r="AE381" s="57"/>
      <c r="AF381" s="151"/>
      <c r="AG381" s="151"/>
      <c r="AH381" s="10386"/>
      <c r="AI381" s="819"/>
    </row>
    <row r="382" spans="1:35" ht="29.25" customHeight="1">
      <c r="A382" s="10425"/>
      <c r="B382" s="10366"/>
      <c r="C382" s="9135"/>
      <c r="D382" s="9129"/>
      <c r="E382" s="9129"/>
      <c r="F382" s="9129"/>
      <c r="G382" s="9129"/>
      <c r="H382" s="9129"/>
      <c r="I382" s="9129"/>
      <c r="J382" s="9129"/>
      <c r="K382" s="9129"/>
      <c r="L382" s="9129"/>
      <c r="M382" s="10362"/>
      <c r="N382" s="10362"/>
      <c r="O382" s="10362"/>
      <c r="P382" s="10363"/>
      <c r="Q382" s="10363"/>
      <c r="R382" s="10365"/>
      <c r="S382" s="870"/>
      <c r="T382" s="7254"/>
      <c r="U382" s="7254"/>
      <c r="V382" s="860"/>
      <c r="W382" s="7288"/>
      <c r="X382" s="160"/>
      <c r="Y382" s="7315"/>
      <c r="Z382" s="7315"/>
      <c r="AA382" s="7315"/>
      <c r="AB382" s="7316"/>
      <c r="AC382" s="7348"/>
      <c r="AD382" s="914"/>
      <c r="AE382" s="160"/>
      <c r="AF382" s="158"/>
      <c r="AG382" s="158"/>
      <c r="AH382" s="10386"/>
      <c r="AI382" s="819"/>
    </row>
    <row r="383" spans="1:35" ht="30" customHeight="1">
      <c r="A383" s="10425"/>
      <c r="B383" s="10366"/>
      <c r="C383" s="9140" t="s">
        <v>127</v>
      </c>
      <c r="D383" s="9090" t="s">
        <v>128</v>
      </c>
      <c r="E383" s="9090" t="s">
        <v>140</v>
      </c>
      <c r="F383" s="9090" t="s">
        <v>284</v>
      </c>
      <c r="G383" s="9116" t="s">
        <v>131</v>
      </c>
      <c r="H383" s="9090" t="s">
        <v>132</v>
      </c>
      <c r="I383" s="9090" t="s">
        <v>159</v>
      </c>
      <c r="J383" s="9090" t="s">
        <v>3400</v>
      </c>
      <c r="K383" s="9090" t="s">
        <v>3401</v>
      </c>
      <c r="L383" s="9186" t="s">
        <v>3402</v>
      </c>
      <c r="M383" s="10352">
        <v>0</v>
      </c>
      <c r="N383" s="10352">
        <v>100</v>
      </c>
      <c r="O383" s="10352">
        <v>100</v>
      </c>
      <c r="P383" s="9186" t="s">
        <v>3403</v>
      </c>
      <c r="Q383" s="9186" t="s">
        <v>3404</v>
      </c>
      <c r="R383" s="10358" t="s">
        <v>3393</v>
      </c>
      <c r="S383" s="902"/>
      <c r="T383" s="6582"/>
      <c r="U383" s="6582"/>
      <c r="V383" s="742"/>
      <c r="W383" s="6617"/>
      <c r="X383" s="171"/>
      <c r="Y383" s="6677"/>
      <c r="Z383" s="6677"/>
      <c r="AA383" s="6677"/>
      <c r="AB383" s="5986"/>
      <c r="AC383" s="5969"/>
      <c r="AD383" s="915"/>
      <c r="AE383" s="171"/>
      <c r="AF383" s="166"/>
      <c r="AG383" s="166"/>
      <c r="AH383" s="10385"/>
      <c r="AI383" s="819"/>
    </row>
    <row r="384" spans="1:35" ht="30" customHeight="1">
      <c r="A384" s="10425"/>
      <c r="B384" s="10366"/>
      <c r="C384" s="9134"/>
      <c r="D384" s="9091"/>
      <c r="E384" s="9091"/>
      <c r="F384" s="9091"/>
      <c r="G384" s="9091"/>
      <c r="H384" s="9091"/>
      <c r="I384" s="9091"/>
      <c r="J384" s="9091"/>
      <c r="K384" s="9091"/>
      <c r="L384" s="9091"/>
      <c r="M384" s="10353"/>
      <c r="N384" s="10353"/>
      <c r="O384" s="10353"/>
      <c r="P384" s="10356"/>
      <c r="Q384" s="10356"/>
      <c r="R384" s="10359"/>
      <c r="S384" s="869"/>
      <c r="T384" s="7176"/>
      <c r="U384" s="7176"/>
      <c r="V384" s="741"/>
      <c r="W384" s="6618"/>
      <c r="X384" s="57"/>
      <c r="Y384" s="6686"/>
      <c r="Z384" s="6686"/>
      <c r="AA384" s="6686"/>
      <c r="AB384" s="5962"/>
      <c r="AC384" s="5963"/>
      <c r="AD384" s="905"/>
      <c r="AE384" s="57"/>
      <c r="AF384" s="151"/>
      <c r="AG384" s="151"/>
      <c r="AH384" s="10386"/>
      <c r="AI384" s="819"/>
    </row>
    <row r="385" spans="1:35" ht="30" customHeight="1">
      <c r="A385" s="10425"/>
      <c r="B385" s="10366"/>
      <c r="C385" s="9134"/>
      <c r="D385" s="9091"/>
      <c r="E385" s="9091"/>
      <c r="F385" s="9091"/>
      <c r="G385" s="9091"/>
      <c r="H385" s="9091"/>
      <c r="I385" s="9091"/>
      <c r="J385" s="9091"/>
      <c r="K385" s="9091"/>
      <c r="L385" s="9091"/>
      <c r="M385" s="10353"/>
      <c r="N385" s="10353"/>
      <c r="O385" s="10353"/>
      <c r="P385" s="10356"/>
      <c r="Q385" s="10356"/>
      <c r="R385" s="10359"/>
      <c r="S385" s="869"/>
      <c r="T385" s="7176"/>
      <c r="U385" s="7176"/>
      <c r="V385" s="741"/>
      <c r="W385" s="6618"/>
      <c r="X385" s="57"/>
      <c r="Y385" s="6686"/>
      <c r="Z385" s="6686"/>
      <c r="AA385" s="6686"/>
      <c r="AB385" s="5962"/>
      <c r="AC385" s="5963"/>
      <c r="AD385" s="905"/>
      <c r="AE385" s="57"/>
      <c r="AF385" s="151"/>
      <c r="AG385" s="151"/>
      <c r="AH385" s="10386"/>
      <c r="AI385" s="819"/>
    </row>
    <row r="386" spans="1:35" ht="30" customHeight="1">
      <c r="A386" s="10425"/>
      <c r="B386" s="10366"/>
      <c r="C386" s="9134"/>
      <c r="D386" s="9091"/>
      <c r="E386" s="9091"/>
      <c r="F386" s="9091"/>
      <c r="G386" s="9091"/>
      <c r="H386" s="9091"/>
      <c r="I386" s="9091"/>
      <c r="J386" s="9091"/>
      <c r="K386" s="9091"/>
      <c r="L386" s="9091"/>
      <c r="M386" s="10353"/>
      <c r="N386" s="10353"/>
      <c r="O386" s="10353"/>
      <c r="P386" s="10356"/>
      <c r="Q386" s="10356"/>
      <c r="R386" s="10359"/>
      <c r="S386" s="869"/>
      <c r="T386" s="7176"/>
      <c r="U386" s="7176"/>
      <c r="V386" s="741"/>
      <c r="W386" s="6618"/>
      <c r="X386" s="57"/>
      <c r="Y386" s="6686"/>
      <c r="Z386" s="6686"/>
      <c r="AA386" s="6686"/>
      <c r="AB386" s="5962"/>
      <c r="AC386" s="5963"/>
      <c r="AD386" s="905"/>
      <c r="AE386" s="57"/>
      <c r="AF386" s="151"/>
      <c r="AG386" s="151"/>
      <c r="AH386" s="10386"/>
      <c r="AI386" s="819"/>
    </row>
    <row r="387" spans="1:35" ht="30" customHeight="1">
      <c r="A387" s="10425"/>
      <c r="B387" s="10366"/>
      <c r="C387" s="9141"/>
      <c r="D387" s="9102"/>
      <c r="E387" s="9102"/>
      <c r="F387" s="9102"/>
      <c r="G387" s="9102"/>
      <c r="H387" s="9102"/>
      <c r="I387" s="9102"/>
      <c r="J387" s="9102"/>
      <c r="K387" s="9102"/>
      <c r="L387" s="9102"/>
      <c r="M387" s="10354"/>
      <c r="N387" s="10354"/>
      <c r="O387" s="10354"/>
      <c r="P387" s="10357"/>
      <c r="Q387" s="10357"/>
      <c r="R387" s="10360"/>
      <c r="S387" s="872"/>
      <c r="T387" s="7255"/>
      <c r="U387" s="7255"/>
      <c r="V387" s="745"/>
      <c r="W387" s="7289"/>
      <c r="X387" s="61"/>
      <c r="Y387" s="7317"/>
      <c r="Z387" s="7317"/>
      <c r="AA387" s="7317"/>
      <c r="AB387" s="5970"/>
      <c r="AC387" s="5971"/>
      <c r="AD387" s="916"/>
      <c r="AE387" s="61"/>
      <c r="AF387" s="177"/>
      <c r="AG387" s="177"/>
      <c r="AH387" s="10389"/>
      <c r="AI387" s="819"/>
    </row>
    <row r="388" spans="1:35" ht="28.5" customHeight="1">
      <c r="A388" s="10425"/>
      <c r="B388" s="10366"/>
      <c r="C388" s="9133" t="s">
        <v>127</v>
      </c>
      <c r="D388" s="9131" t="s">
        <v>128</v>
      </c>
      <c r="E388" s="9131" t="s">
        <v>140</v>
      </c>
      <c r="F388" s="9131" t="s">
        <v>284</v>
      </c>
      <c r="G388" s="9142" t="s">
        <v>131</v>
      </c>
      <c r="H388" s="9131" t="s">
        <v>132</v>
      </c>
      <c r="I388" s="9131" t="s">
        <v>159</v>
      </c>
      <c r="J388" s="9131" t="s">
        <v>3405</v>
      </c>
      <c r="K388" s="9131" t="s">
        <v>286</v>
      </c>
      <c r="L388" s="9130" t="s">
        <v>3406</v>
      </c>
      <c r="M388" s="10361">
        <v>0</v>
      </c>
      <c r="N388" s="10361">
        <v>1</v>
      </c>
      <c r="O388" s="10361">
        <v>1</v>
      </c>
      <c r="P388" s="10392" t="s">
        <v>3407</v>
      </c>
      <c r="Q388" s="10392" t="s">
        <v>3408</v>
      </c>
      <c r="R388" s="10364" t="s">
        <v>3393</v>
      </c>
      <c r="S388" s="874"/>
      <c r="T388" s="7175"/>
      <c r="U388" s="7175"/>
      <c r="V388" s="743"/>
      <c r="W388" s="7182"/>
      <c r="X388" s="471"/>
      <c r="Y388" s="7186"/>
      <c r="Z388" s="7186"/>
      <c r="AA388" s="7186"/>
      <c r="AB388" s="5987"/>
      <c r="AC388" s="5973"/>
      <c r="AD388" s="904"/>
      <c r="AE388" s="471"/>
      <c r="AF388" s="475"/>
      <c r="AG388" s="475"/>
      <c r="AH388" s="10388"/>
      <c r="AI388" s="819"/>
    </row>
    <row r="389" spans="1:35" ht="28.5" customHeight="1">
      <c r="A389" s="10425"/>
      <c r="B389" s="10366"/>
      <c r="C389" s="9134"/>
      <c r="D389" s="9091"/>
      <c r="E389" s="9091"/>
      <c r="F389" s="9091"/>
      <c r="G389" s="9091"/>
      <c r="H389" s="9091"/>
      <c r="I389" s="9091"/>
      <c r="J389" s="9091"/>
      <c r="K389" s="9091"/>
      <c r="L389" s="9091"/>
      <c r="M389" s="10353"/>
      <c r="N389" s="10353"/>
      <c r="O389" s="10353"/>
      <c r="P389" s="10356"/>
      <c r="Q389" s="10356"/>
      <c r="R389" s="10359"/>
      <c r="S389" s="869"/>
      <c r="T389" s="7176"/>
      <c r="U389" s="7176"/>
      <c r="V389" s="741"/>
      <c r="W389" s="6618"/>
      <c r="X389" s="57"/>
      <c r="Y389" s="6686"/>
      <c r="Z389" s="6686"/>
      <c r="AA389" s="6686"/>
      <c r="AB389" s="5962"/>
      <c r="AC389" s="5963"/>
      <c r="AD389" s="905"/>
      <c r="AE389" s="57"/>
      <c r="AF389" s="151"/>
      <c r="AG389" s="151"/>
      <c r="AH389" s="10386"/>
      <c r="AI389" s="819"/>
    </row>
    <row r="390" spans="1:35" ht="28.5" customHeight="1">
      <c r="A390" s="10425"/>
      <c r="B390" s="10366"/>
      <c r="C390" s="9134"/>
      <c r="D390" s="9091"/>
      <c r="E390" s="9091"/>
      <c r="F390" s="9091"/>
      <c r="G390" s="9091"/>
      <c r="H390" s="9091"/>
      <c r="I390" s="9091"/>
      <c r="J390" s="9091"/>
      <c r="K390" s="9091"/>
      <c r="L390" s="9091"/>
      <c r="M390" s="10353"/>
      <c r="N390" s="10353"/>
      <c r="O390" s="10353"/>
      <c r="P390" s="10356"/>
      <c r="Q390" s="10356"/>
      <c r="R390" s="10359"/>
      <c r="S390" s="869"/>
      <c r="T390" s="7176"/>
      <c r="U390" s="7176"/>
      <c r="V390" s="741"/>
      <c r="W390" s="6618"/>
      <c r="X390" s="57"/>
      <c r="Y390" s="6686"/>
      <c r="Z390" s="6686"/>
      <c r="AA390" s="6686"/>
      <c r="AB390" s="5962"/>
      <c r="AC390" s="5963"/>
      <c r="AD390" s="905"/>
      <c r="AE390" s="57"/>
      <c r="AF390" s="151"/>
      <c r="AG390" s="151"/>
      <c r="AH390" s="10386"/>
      <c r="AI390" s="819"/>
    </row>
    <row r="391" spans="1:35" ht="28.5" customHeight="1">
      <c r="A391" s="10425"/>
      <c r="B391" s="10366"/>
      <c r="C391" s="9134"/>
      <c r="D391" s="9091"/>
      <c r="E391" s="9091"/>
      <c r="F391" s="9091"/>
      <c r="G391" s="9091"/>
      <c r="H391" s="9091"/>
      <c r="I391" s="9091"/>
      <c r="J391" s="9091"/>
      <c r="K391" s="9091"/>
      <c r="L391" s="9091"/>
      <c r="M391" s="10353"/>
      <c r="N391" s="10353"/>
      <c r="O391" s="10353"/>
      <c r="P391" s="10356"/>
      <c r="Q391" s="10356"/>
      <c r="R391" s="10359"/>
      <c r="S391" s="869"/>
      <c r="T391" s="7176"/>
      <c r="U391" s="7176"/>
      <c r="V391" s="741"/>
      <c r="W391" s="6618"/>
      <c r="X391" s="57"/>
      <c r="Y391" s="6686"/>
      <c r="Z391" s="6686"/>
      <c r="AA391" s="6686"/>
      <c r="AB391" s="5962"/>
      <c r="AC391" s="5963"/>
      <c r="AD391" s="905"/>
      <c r="AE391" s="57"/>
      <c r="AF391" s="151"/>
      <c r="AG391" s="151"/>
      <c r="AH391" s="10386"/>
      <c r="AI391" s="819"/>
    </row>
    <row r="392" spans="1:35" ht="28.5" customHeight="1">
      <c r="A392" s="10425"/>
      <c r="B392" s="10366"/>
      <c r="C392" s="9135"/>
      <c r="D392" s="9129"/>
      <c r="E392" s="9129"/>
      <c r="F392" s="9129"/>
      <c r="G392" s="9129"/>
      <c r="H392" s="9129"/>
      <c r="I392" s="9129"/>
      <c r="J392" s="9129"/>
      <c r="K392" s="9129"/>
      <c r="L392" s="9129"/>
      <c r="M392" s="10362"/>
      <c r="N392" s="10362"/>
      <c r="O392" s="10362"/>
      <c r="P392" s="10363"/>
      <c r="Q392" s="10363"/>
      <c r="R392" s="10365"/>
      <c r="S392" s="870"/>
      <c r="T392" s="7254"/>
      <c r="U392" s="7254"/>
      <c r="V392" s="860"/>
      <c r="W392" s="7288"/>
      <c r="X392" s="160"/>
      <c r="Y392" s="7315"/>
      <c r="Z392" s="7315"/>
      <c r="AA392" s="7315"/>
      <c r="AB392" s="7316"/>
      <c r="AC392" s="7348"/>
      <c r="AD392" s="914"/>
      <c r="AE392" s="160"/>
      <c r="AF392" s="158"/>
      <c r="AG392" s="158"/>
      <c r="AH392" s="10386"/>
      <c r="AI392" s="819"/>
    </row>
    <row r="393" spans="1:35" ht="27" customHeight="1">
      <c r="A393" s="10425"/>
      <c r="B393" s="10366"/>
      <c r="C393" s="9140" t="s">
        <v>127</v>
      </c>
      <c r="D393" s="9090" t="s">
        <v>128</v>
      </c>
      <c r="E393" s="9090" t="s">
        <v>140</v>
      </c>
      <c r="F393" s="9090" t="s">
        <v>284</v>
      </c>
      <c r="G393" s="9116" t="s">
        <v>131</v>
      </c>
      <c r="H393" s="9090" t="s">
        <v>132</v>
      </c>
      <c r="I393" s="9090" t="s">
        <v>159</v>
      </c>
      <c r="J393" s="9090" t="s">
        <v>3179</v>
      </c>
      <c r="K393" s="9090" t="s">
        <v>1378</v>
      </c>
      <c r="L393" s="9186" t="s">
        <v>3409</v>
      </c>
      <c r="M393" s="10352">
        <v>2</v>
      </c>
      <c r="N393" s="10352">
        <v>2</v>
      </c>
      <c r="O393" s="10352">
        <v>2</v>
      </c>
      <c r="P393" s="10355" t="s">
        <v>3410</v>
      </c>
      <c r="Q393" s="10355" t="s">
        <v>3411</v>
      </c>
      <c r="R393" s="10358" t="s">
        <v>3412</v>
      </c>
      <c r="S393" s="902"/>
      <c r="T393" s="6582"/>
      <c r="U393" s="6582"/>
      <c r="V393" s="742"/>
      <c r="W393" s="6617"/>
      <c r="X393" s="171"/>
      <c r="Y393" s="6677"/>
      <c r="Z393" s="6677"/>
      <c r="AA393" s="6677"/>
      <c r="AB393" s="5986"/>
      <c r="AC393" s="5969"/>
      <c r="AD393" s="915"/>
      <c r="AE393" s="171"/>
      <c r="AF393" s="166"/>
      <c r="AG393" s="166"/>
      <c r="AH393" s="10385"/>
      <c r="AI393" s="819"/>
    </row>
    <row r="394" spans="1:35" ht="27" customHeight="1">
      <c r="A394" s="10425"/>
      <c r="B394" s="10366"/>
      <c r="C394" s="9134"/>
      <c r="D394" s="9091"/>
      <c r="E394" s="9091"/>
      <c r="F394" s="9091"/>
      <c r="G394" s="9091"/>
      <c r="H394" s="9091"/>
      <c r="I394" s="9091"/>
      <c r="J394" s="9091"/>
      <c r="K394" s="9091"/>
      <c r="L394" s="9091"/>
      <c r="M394" s="10353"/>
      <c r="N394" s="10353"/>
      <c r="O394" s="10353"/>
      <c r="P394" s="10356"/>
      <c r="Q394" s="10356"/>
      <c r="R394" s="10359"/>
      <c r="S394" s="869"/>
      <c r="T394" s="7176"/>
      <c r="U394" s="7176"/>
      <c r="V394" s="741"/>
      <c r="W394" s="6618"/>
      <c r="X394" s="57"/>
      <c r="Y394" s="6686"/>
      <c r="Z394" s="6686"/>
      <c r="AA394" s="6686"/>
      <c r="AB394" s="5962"/>
      <c r="AC394" s="5963"/>
      <c r="AD394" s="905"/>
      <c r="AE394" s="57"/>
      <c r="AF394" s="151"/>
      <c r="AG394" s="151"/>
      <c r="AH394" s="10386"/>
      <c r="AI394" s="819"/>
    </row>
    <row r="395" spans="1:35" ht="27" customHeight="1">
      <c r="A395" s="10425"/>
      <c r="B395" s="10366"/>
      <c r="C395" s="9134"/>
      <c r="D395" s="9091"/>
      <c r="E395" s="9091"/>
      <c r="F395" s="9091"/>
      <c r="G395" s="9091"/>
      <c r="H395" s="9091"/>
      <c r="I395" s="9091"/>
      <c r="J395" s="9091"/>
      <c r="K395" s="9091"/>
      <c r="L395" s="9091"/>
      <c r="M395" s="10353"/>
      <c r="N395" s="10353"/>
      <c r="O395" s="10353"/>
      <c r="P395" s="10356"/>
      <c r="Q395" s="10356"/>
      <c r="R395" s="10359"/>
      <c r="S395" s="869"/>
      <c r="T395" s="7176"/>
      <c r="U395" s="7176"/>
      <c r="V395" s="741"/>
      <c r="W395" s="6618"/>
      <c r="X395" s="57"/>
      <c r="Y395" s="6686"/>
      <c r="Z395" s="6686"/>
      <c r="AA395" s="6686"/>
      <c r="AB395" s="5962"/>
      <c r="AC395" s="5963"/>
      <c r="AD395" s="905"/>
      <c r="AE395" s="57"/>
      <c r="AF395" s="151"/>
      <c r="AG395" s="151"/>
      <c r="AH395" s="10386"/>
      <c r="AI395" s="819"/>
    </row>
    <row r="396" spans="1:35" ht="27" customHeight="1">
      <c r="A396" s="10425"/>
      <c r="B396" s="10366"/>
      <c r="C396" s="9134"/>
      <c r="D396" s="9091"/>
      <c r="E396" s="9091"/>
      <c r="F396" s="9091"/>
      <c r="G396" s="9091"/>
      <c r="H396" s="9091"/>
      <c r="I396" s="9091"/>
      <c r="J396" s="9091"/>
      <c r="K396" s="9091"/>
      <c r="L396" s="9091"/>
      <c r="M396" s="10353"/>
      <c r="N396" s="10353"/>
      <c r="O396" s="10353"/>
      <c r="P396" s="10356"/>
      <c r="Q396" s="10356"/>
      <c r="R396" s="10359"/>
      <c r="S396" s="869"/>
      <c r="T396" s="7176"/>
      <c r="U396" s="7176"/>
      <c r="V396" s="741"/>
      <c r="W396" s="6618"/>
      <c r="X396" s="57"/>
      <c r="Y396" s="6686"/>
      <c r="Z396" s="6686"/>
      <c r="AA396" s="6686"/>
      <c r="AB396" s="5962"/>
      <c r="AC396" s="5963"/>
      <c r="AD396" s="905"/>
      <c r="AE396" s="57"/>
      <c r="AF396" s="151"/>
      <c r="AG396" s="151"/>
      <c r="AH396" s="10386"/>
      <c r="AI396" s="819"/>
    </row>
    <row r="397" spans="1:35" ht="27" customHeight="1">
      <c r="A397" s="10425"/>
      <c r="B397" s="10366"/>
      <c r="C397" s="9141"/>
      <c r="D397" s="9102"/>
      <c r="E397" s="9102"/>
      <c r="F397" s="9102"/>
      <c r="G397" s="9102"/>
      <c r="H397" s="9102"/>
      <c r="I397" s="9102"/>
      <c r="J397" s="9102"/>
      <c r="K397" s="9102"/>
      <c r="L397" s="9102"/>
      <c r="M397" s="10354"/>
      <c r="N397" s="10354"/>
      <c r="O397" s="10354"/>
      <c r="P397" s="10357"/>
      <c r="Q397" s="10357"/>
      <c r="R397" s="10360"/>
      <c r="S397" s="872"/>
      <c r="T397" s="7255"/>
      <c r="U397" s="7255"/>
      <c r="V397" s="745"/>
      <c r="W397" s="7289"/>
      <c r="X397" s="61"/>
      <c r="Y397" s="7317"/>
      <c r="Z397" s="7317"/>
      <c r="AA397" s="7315"/>
      <c r="AB397" s="7316"/>
      <c r="AC397" s="7348"/>
      <c r="AD397" s="914"/>
      <c r="AE397" s="61"/>
      <c r="AF397" s="177"/>
      <c r="AG397" s="177"/>
      <c r="AH397" s="10389"/>
      <c r="AI397" s="819"/>
    </row>
    <row r="398" spans="1:35" s="6099" customFormat="1" ht="22.5" customHeight="1" thickBot="1">
      <c r="A398" s="10425"/>
      <c r="B398" s="10367"/>
      <c r="C398" s="10370"/>
      <c r="D398" s="10371"/>
      <c r="E398" s="10371"/>
      <c r="F398" s="10371"/>
      <c r="G398" s="10371"/>
      <c r="H398" s="10371"/>
      <c r="I398" s="10371"/>
      <c r="J398" s="10371"/>
      <c r="K398" s="10371"/>
      <c r="L398" s="10371"/>
      <c r="M398" s="10371"/>
      <c r="N398" s="10371"/>
      <c r="O398" s="10371"/>
      <c r="P398" s="10371"/>
      <c r="Q398" s="10371"/>
      <c r="R398" s="10371"/>
      <c r="S398" s="9326" t="s">
        <v>3413</v>
      </c>
      <c r="T398" s="10405"/>
      <c r="U398" s="10405"/>
      <c r="V398" s="10405"/>
      <c r="W398" s="10405"/>
      <c r="X398" s="10405"/>
      <c r="Y398" s="10405"/>
      <c r="Z398" s="10405"/>
      <c r="AA398" s="6096" t="s">
        <v>292</v>
      </c>
      <c r="AB398" s="7312">
        <f>SUM(AB300:AB397)</f>
        <v>21198.418799999999</v>
      </c>
      <c r="AC398" s="6097"/>
      <c r="AD398" s="6097"/>
      <c r="AE398" s="9677"/>
      <c r="AF398" s="10371"/>
      <c r="AG398" s="10371"/>
      <c r="AH398" s="10406"/>
      <c r="AI398" s="6098"/>
    </row>
    <row r="399" spans="1:35" ht="22.5" customHeight="1" thickBot="1">
      <c r="A399" s="10426"/>
      <c r="B399" s="6232"/>
      <c r="C399" s="893"/>
      <c r="D399" s="893"/>
      <c r="E399" s="893"/>
      <c r="F399" s="893"/>
      <c r="G399" s="893"/>
      <c r="H399" s="893"/>
      <c r="I399" s="893"/>
      <c r="J399" s="893"/>
      <c r="K399" s="893"/>
      <c r="L399" s="893"/>
      <c r="M399" s="893"/>
      <c r="N399" s="893"/>
      <c r="O399" s="893"/>
      <c r="P399" s="893"/>
      <c r="Q399" s="893"/>
      <c r="R399" s="893"/>
      <c r="S399" s="8897" t="s">
        <v>3108</v>
      </c>
      <c r="T399" s="8897"/>
      <c r="U399" s="8897"/>
      <c r="V399" s="8897"/>
      <c r="W399" s="8897"/>
      <c r="X399" s="8897"/>
      <c r="Y399" s="8897"/>
      <c r="Z399" s="8897"/>
      <c r="AA399" s="502" t="s">
        <v>292</v>
      </c>
      <c r="AB399" s="5869">
        <f>SUM(AB136,AB197,AB253,AB299,AB398)</f>
        <v>27593437.634000003</v>
      </c>
      <c r="AC399" s="360"/>
      <c r="AD399" s="360"/>
      <c r="AE399" s="9797"/>
      <c r="AF399" s="9798"/>
      <c r="AG399" s="9798"/>
      <c r="AH399" s="9799"/>
      <c r="AI399" s="819"/>
    </row>
    <row r="400" spans="1:35" ht="17.25" thickTop="1">
      <c r="A400" s="466"/>
      <c r="B400" s="495"/>
      <c r="C400" s="495" t="s">
        <v>656</v>
      </c>
      <c r="D400" s="466" t="s">
        <v>3414</v>
      </c>
      <c r="E400" s="466"/>
      <c r="F400" s="466"/>
      <c r="G400" s="466"/>
      <c r="H400" s="466"/>
      <c r="I400" s="466"/>
      <c r="J400" s="466"/>
      <c r="K400" s="466"/>
      <c r="L400" s="466"/>
      <c r="M400" s="466"/>
      <c r="N400" s="466"/>
      <c r="O400" s="466"/>
      <c r="P400" s="466"/>
      <c r="Q400" s="466"/>
      <c r="R400" s="466"/>
      <c r="S400" s="9424" t="s">
        <v>349</v>
      </c>
      <c r="T400" s="10391"/>
      <c r="U400" s="10391"/>
      <c r="V400" s="10391"/>
      <c r="W400" s="10391"/>
      <c r="X400" s="10391"/>
      <c r="Y400" s="10391"/>
      <c r="Z400" s="10391"/>
      <c r="AA400" s="10391"/>
      <c r="AB400" s="10391"/>
      <c r="AC400" s="10391"/>
      <c r="AD400" s="10391"/>
      <c r="AE400" s="10391"/>
      <c r="AF400" s="10391"/>
      <c r="AG400" s="10391"/>
      <c r="AH400" s="10391"/>
    </row>
    <row r="401" spans="1:33" ht="16.5">
      <c r="A401" s="100"/>
      <c r="B401" s="6"/>
      <c r="C401" s="6" t="s">
        <v>658</v>
      </c>
      <c r="D401" s="2191">
        <v>44817</v>
      </c>
      <c r="E401" s="100"/>
      <c r="F401" s="100"/>
      <c r="G401" s="100"/>
      <c r="H401" s="100"/>
      <c r="I401" s="100"/>
      <c r="J401" s="100"/>
      <c r="K401" s="100"/>
      <c r="L401" s="100"/>
      <c r="M401" s="100"/>
      <c r="N401" s="100"/>
      <c r="O401" s="100"/>
      <c r="P401" s="100"/>
      <c r="Q401" s="100"/>
      <c r="R401" s="100"/>
      <c r="S401" s="99"/>
      <c r="AB401" s="3572"/>
      <c r="AC401" s="434"/>
      <c r="AD401" s="434"/>
    </row>
    <row r="402" spans="1:33" ht="16.5" customHeight="1">
      <c r="A402" s="100"/>
      <c r="B402" s="6"/>
      <c r="E402" s="100"/>
      <c r="F402" s="100"/>
      <c r="G402" s="100"/>
      <c r="H402" s="100"/>
      <c r="I402" s="100"/>
      <c r="J402" s="100"/>
      <c r="K402" s="100"/>
      <c r="L402" s="100"/>
      <c r="M402" s="100"/>
      <c r="N402" s="100"/>
      <c r="O402" s="100"/>
      <c r="P402" s="100"/>
      <c r="Q402" s="100"/>
      <c r="R402" s="100"/>
      <c r="S402" s="100"/>
      <c r="T402" s="100"/>
      <c r="U402" s="8775" t="s">
        <v>3415</v>
      </c>
      <c r="V402" s="8953"/>
      <c r="W402" s="8953"/>
      <c r="X402" s="8953"/>
      <c r="Y402" s="8953"/>
      <c r="Z402" s="8953"/>
      <c r="AA402" s="100"/>
      <c r="AB402" s="363"/>
      <c r="AC402" s="363"/>
      <c r="AD402" s="100"/>
      <c r="AE402" s="100"/>
      <c r="AF402" s="100"/>
      <c r="AG402" s="100"/>
    </row>
    <row r="403" spans="1:33" ht="16.5">
      <c r="A403" s="100"/>
      <c r="B403" s="100"/>
      <c r="C403" s="100"/>
      <c r="D403" s="100"/>
      <c r="E403" s="100"/>
      <c r="F403" s="100"/>
      <c r="G403" s="100"/>
      <c r="H403" s="100"/>
      <c r="I403" s="100"/>
      <c r="J403" s="100"/>
      <c r="K403" s="100"/>
      <c r="L403" s="100"/>
      <c r="M403" s="100"/>
      <c r="N403" s="100"/>
      <c r="O403" s="100"/>
      <c r="P403" s="100"/>
      <c r="Q403" s="100"/>
      <c r="R403" s="100"/>
      <c r="S403" s="100"/>
      <c r="U403" s="100"/>
      <c r="V403" s="100"/>
      <c r="W403" s="100"/>
      <c r="X403" s="100"/>
      <c r="Y403" s="100"/>
      <c r="Z403" s="100"/>
      <c r="AA403" s="102"/>
      <c r="AB403" s="371"/>
      <c r="AC403" s="371"/>
      <c r="AD403" s="100"/>
      <c r="AE403" s="100"/>
      <c r="AF403" s="100"/>
      <c r="AG403" s="100"/>
    </row>
    <row r="404" spans="1:33" ht="18" customHeight="1">
      <c r="A404" s="100"/>
      <c r="B404" s="100"/>
      <c r="C404" s="100"/>
      <c r="D404" s="100"/>
      <c r="E404" s="100"/>
      <c r="F404" s="100"/>
      <c r="G404" s="100"/>
      <c r="H404" s="100"/>
      <c r="I404" s="100"/>
      <c r="J404" s="100"/>
      <c r="K404" s="100"/>
      <c r="L404" s="100"/>
      <c r="M404" s="100"/>
      <c r="N404" s="100"/>
      <c r="O404" s="100"/>
      <c r="P404" s="100"/>
      <c r="Q404" s="100"/>
      <c r="R404" s="100"/>
      <c r="S404" s="100"/>
      <c r="T404" s="100"/>
      <c r="U404" s="5882" t="s">
        <v>5</v>
      </c>
      <c r="V404" s="5883" t="s">
        <v>6</v>
      </c>
      <c r="W404" s="5884" t="s">
        <v>7</v>
      </c>
      <c r="X404" s="5885" t="s">
        <v>352</v>
      </c>
      <c r="Y404" s="5885" t="s">
        <v>9</v>
      </c>
      <c r="Z404" s="5894" t="s">
        <v>353</v>
      </c>
      <c r="AA404" s="100"/>
      <c r="AB404" s="363"/>
      <c r="AC404" s="363"/>
      <c r="AD404" s="100"/>
      <c r="AE404" s="100"/>
      <c r="AF404" s="100"/>
      <c r="AG404" s="100"/>
    </row>
    <row r="405" spans="1:33" ht="33">
      <c r="A405" s="100"/>
      <c r="B405" s="100"/>
      <c r="C405" s="100"/>
      <c r="D405" s="100"/>
      <c r="E405" s="100"/>
      <c r="F405" s="100"/>
      <c r="G405" s="100"/>
      <c r="H405" s="100"/>
      <c r="I405" s="100"/>
      <c r="J405" s="100"/>
      <c r="K405" s="100"/>
      <c r="L405" s="100"/>
      <c r="M405" s="100"/>
      <c r="N405" s="100"/>
      <c r="O405" s="100"/>
      <c r="P405" s="100"/>
      <c r="Q405" s="100"/>
      <c r="R405" s="100"/>
      <c r="S405" s="100"/>
      <c r="U405" s="639" t="s">
        <v>15</v>
      </c>
      <c r="V405" s="759" t="s">
        <v>3008</v>
      </c>
      <c r="W405" s="31" t="s">
        <v>3416</v>
      </c>
      <c r="X405" s="690" t="s">
        <v>3417</v>
      </c>
      <c r="Y405" s="690" t="s">
        <v>18</v>
      </c>
      <c r="Z405" s="8613">
        <f t="shared" ref="Z405:Z418" si="18">SUM(AB44)</f>
        <v>3549942.24</v>
      </c>
      <c r="AA405" s="100"/>
      <c r="AB405" s="363"/>
      <c r="AC405" s="363"/>
      <c r="AD405" s="100"/>
      <c r="AE405" s="100"/>
      <c r="AF405" s="100"/>
      <c r="AG405" s="100"/>
    </row>
    <row r="406" spans="1:33" ht="33">
      <c r="A406" s="100"/>
      <c r="B406" s="100"/>
      <c r="C406" s="100"/>
      <c r="D406" s="100"/>
      <c r="E406" s="100"/>
      <c r="F406" s="100"/>
      <c r="G406" s="100"/>
      <c r="H406" s="100"/>
      <c r="I406" s="100"/>
      <c r="J406" s="100"/>
      <c r="K406" s="100"/>
      <c r="L406" s="100"/>
      <c r="M406" s="100"/>
      <c r="N406" s="100"/>
      <c r="O406" s="100"/>
      <c r="P406" s="100"/>
      <c r="U406" s="639" t="s">
        <v>15</v>
      </c>
      <c r="V406" s="759" t="s">
        <v>3010</v>
      </c>
      <c r="W406" s="31" t="s">
        <v>3009</v>
      </c>
      <c r="X406" s="690" t="s">
        <v>3417</v>
      </c>
      <c r="Y406" s="690" t="s">
        <v>18</v>
      </c>
      <c r="Z406" s="8613">
        <f t="shared" si="18"/>
        <v>929212.08</v>
      </c>
      <c r="AA406" s="884"/>
      <c r="AB406" s="885"/>
      <c r="AC406" s="885"/>
      <c r="AD406" s="100"/>
      <c r="AE406" s="100"/>
      <c r="AF406" s="100"/>
      <c r="AG406" s="100"/>
    </row>
    <row r="407" spans="1:33" ht="49.5">
      <c r="A407" s="100"/>
      <c r="B407" s="100"/>
      <c r="C407" s="100"/>
      <c r="D407" s="100"/>
      <c r="E407" s="100"/>
      <c r="F407" s="100"/>
      <c r="G407" s="100"/>
      <c r="H407" s="100"/>
      <c r="I407" s="100"/>
      <c r="J407" s="100"/>
      <c r="K407" s="100"/>
      <c r="L407" s="100"/>
      <c r="M407" s="100"/>
      <c r="N407" s="100"/>
      <c r="O407" s="100"/>
      <c r="P407" s="100"/>
      <c r="U407" s="639" t="s">
        <v>15</v>
      </c>
      <c r="V407" s="759" t="s">
        <v>3012</v>
      </c>
      <c r="W407" s="31" t="s">
        <v>3011</v>
      </c>
      <c r="X407" s="690" t="s">
        <v>3417</v>
      </c>
      <c r="Y407" s="690" t="s">
        <v>18</v>
      </c>
      <c r="Z407" s="8613">
        <f t="shared" si="18"/>
        <v>828059.49</v>
      </c>
      <c r="AA407" s="884"/>
      <c r="AB407" s="885"/>
      <c r="AC407" s="885"/>
      <c r="AD407" s="100"/>
      <c r="AE407" s="100"/>
      <c r="AF407" s="100"/>
      <c r="AG407" s="100"/>
    </row>
    <row r="408" spans="1:33" ht="33">
      <c r="A408" s="100"/>
      <c r="B408" s="100"/>
      <c r="C408" s="100"/>
      <c r="D408" s="100"/>
      <c r="E408" s="100"/>
      <c r="F408" s="100"/>
      <c r="G408" s="100"/>
      <c r="H408" s="100"/>
      <c r="I408" s="100"/>
      <c r="J408" s="100"/>
      <c r="K408" s="100"/>
      <c r="L408" s="100"/>
      <c r="M408" s="100"/>
      <c r="N408" s="100"/>
      <c r="O408" s="100"/>
      <c r="P408" s="100"/>
      <c r="U408" s="639" t="s">
        <v>15</v>
      </c>
      <c r="V408" s="759" t="s">
        <v>3013</v>
      </c>
      <c r="W408" s="31" t="s">
        <v>3418</v>
      </c>
      <c r="X408" s="690" t="s">
        <v>3417</v>
      </c>
      <c r="Y408" s="690" t="s">
        <v>18</v>
      </c>
      <c r="Z408" s="8613">
        <f t="shared" si="18"/>
        <v>514670.12</v>
      </c>
      <c r="AA408" s="884"/>
      <c r="AB408" s="885"/>
      <c r="AC408" s="885"/>
      <c r="AD408" s="100"/>
      <c r="AE408" s="100"/>
      <c r="AF408" s="100"/>
      <c r="AG408" s="100"/>
    </row>
    <row r="409" spans="1:33" ht="33">
      <c r="A409" s="100"/>
      <c r="B409" s="100"/>
      <c r="C409" s="100"/>
      <c r="D409" s="100"/>
      <c r="E409" s="100"/>
      <c r="F409" s="100"/>
      <c r="G409" s="100"/>
      <c r="H409" s="100"/>
      <c r="I409" s="100"/>
      <c r="J409" s="100"/>
      <c r="K409" s="100"/>
      <c r="L409" s="100"/>
      <c r="M409" s="100"/>
      <c r="N409" s="100"/>
      <c r="O409" s="100"/>
      <c r="P409" s="100"/>
      <c r="U409" s="639" t="s">
        <v>15</v>
      </c>
      <c r="V409" s="759" t="s">
        <v>3014</v>
      </c>
      <c r="W409" s="31" t="s">
        <v>3419</v>
      </c>
      <c r="X409" s="690" t="s">
        <v>3417</v>
      </c>
      <c r="Y409" s="690" t="s">
        <v>18</v>
      </c>
      <c r="Z409" s="8613">
        <f t="shared" si="18"/>
        <v>181875.81</v>
      </c>
      <c r="AA409" s="884"/>
      <c r="AB409" s="885"/>
      <c r="AC409" s="885"/>
      <c r="AD409" s="100"/>
      <c r="AE409" s="100"/>
      <c r="AF409" s="100"/>
      <c r="AG409" s="100"/>
    </row>
    <row r="410" spans="1:33" ht="33">
      <c r="A410" s="100"/>
      <c r="B410" s="100"/>
      <c r="C410" s="100"/>
      <c r="D410" s="100"/>
      <c r="E410" s="100"/>
      <c r="F410" s="100"/>
      <c r="G410" s="100"/>
      <c r="H410" s="100"/>
      <c r="I410" s="100"/>
      <c r="J410" s="100"/>
      <c r="K410" s="100"/>
      <c r="L410" s="100"/>
      <c r="M410" s="100"/>
      <c r="N410" s="100"/>
      <c r="O410" s="100"/>
      <c r="P410" s="100"/>
      <c r="U410" s="639" t="s">
        <v>15</v>
      </c>
      <c r="V410" s="759" t="s">
        <v>3016</v>
      </c>
      <c r="W410" s="31" t="s">
        <v>3015</v>
      </c>
      <c r="X410" s="690" t="s">
        <v>3417</v>
      </c>
      <c r="Y410" s="690" t="s">
        <v>18</v>
      </c>
      <c r="Z410" s="8613">
        <f t="shared" si="18"/>
        <v>15000</v>
      </c>
      <c r="AA410" s="884"/>
      <c r="AB410" s="885"/>
      <c r="AC410" s="885"/>
      <c r="AD410" s="100"/>
      <c r="AE410" s="100"/>
      <c r="AF410" s="100"/>
      <c r="AG410" s="100"/>
    </row>
    <row r="411" spans="1:33" ht="33">
      <c r="A411" s="100"/>
      <c r="B411" s="100"/>
      <c r="C411" s="100"/>
      <c r="D411" s="100"/>
      <c r="E411" s="100"/>
      <c r="F411" s="100"/>
      <c r="G411" s="100"/>
      <c r="H411" s="100"/>
      <c r="I411" s="100"/>
      <c r="J411" s="100"/>
      <c r="K411" s="100"/>
      <c r="L411" s="100"/>
      <c r="M411" s="100"/>
      <c r="N411" s="100"/>
      <c r="O411" s="100"/>
      <c r="P411" s="100"/>
      <c r="U411" s="639" t="s">
        <v>15</v>
      </c>
      <c r="V411" s="759" t="s">
        <v>3018</v>
      </c>
      <c r="W411" s="31" t="s">
        <v>3017</v>
      </c>
      <c r="X411" s="690" t="s">
        <v>3417</v>
      </c>
      <c r="Y411" s="690" t="s">
        <v>18</v>
      </c>
      <c r="Z411" s="8613">
        <f t="shared" si="18"/>
        <v>95000</v>
      </c>
      <c r="AA411" s="884"/>
      <c r="AB411" s="885"/>
      <c r="AC411" s="885"/>
      <c r="AD411" s="100"/>
      <c r="AE411" s="100"/>
      <c r="AF411" s="100"/>
      <c r="AG411" s="100"/>
    </row>
    <row r="412" spans="1:33" ht="33">
      <c r="A412" s="100"/>
      <c r="B412" s="100"/>
      <c r="C412" s="100"/>
      <c r="D412" s="100"/>
      <c r="E412" s="100"/>
      <c r="F412" s="100"/>
      <c r="G412" s="100"/>
      <c r="H412" s="100"/>
      <c r="I412" s="100"/>
      <c r="J412" s="100"/>
      <c r="K412" s="100"/>
      <c r="L412" s="100"/>
      <c r="M412" s="100"/>
      <c r="N412" s="100"/>
      <c r="O412" s="100"/>
      <c r="P412" s="100"/>
      <c r="U412" s="639" t="s">
        <v>15</v>
      </c>
      <c r="V412" s="759" t="s">
        <v>3020</v>
      </c>
      <c r="W412" s="31" t="s">
        <v>3019</v>
      </c>
      <c r="X412" s="690" t="s">
        <v>3417</v>
      </c>
      <c r="Y412" s="690" t="s">
        <v>18</v>
      </c>
      <c r="Z412" s="8613">
        <f t="shared" si="18"/>
        <v>5000</v>
      </c>
      <c r="AA412" s="884"/>
      <c r="AB412" s="885"/>
      <c r="AC412" s="885"/>
      <c r="AD412" s="100"/>
      <c r="AE412" s="100"/>
      <c r="AF412" s="100"/>
      <c r="AG412" s="100"/>
    </row>
    <row r="413" spans="1:33" ht="33">
      <c r="A413" s="100"/>
      <c r="B413" s="100"/>
      <c r="C413" s="100"/>
      <c r="D413" s="100"/>
      <c r="E413" s="100"/>
      <c r="F413" s="100"/>
      <c r="G413" s="100"/>
      <c r="H413" s="100"/>
      <c r="I413" s="100"/>
      <c r="J413" s="100"/>
      <c r="K413" s="100"/>
      <c r="L413" s="100"/>
      <c r="M413" s="100"/>
      <c r="N413" s="100"/>
      <c r="O413" s="100"/>
      <c r="P413" s="100"/>
      <c r="U413" s="639" t="s">
        <v>15</v>
      </c>
      <c r="V413" s="759" t="s">
        <v>3022</v>
      </c>
      <c r="W413" s="31" t="s">
        <v>3021</v>
      </c>
      <c r="X413" s="690" t="s">
        <v>3417</v>
      </c>
      <c r="Y413" s="690" t="s">
        <v>18</v>
      </c>
      <c r="Z413" s="8613">
        <f t="shared" si="18"/>
        <v>24000</v>
      </c>
      <c r="AA413" s="884"/>
      <c r="AB413" s="885"/>
      <c r="AC413" s="885"/>
      <c r="AD413" s="100"/>
      <c r="AE413" s="100"/>
      <c r="AF413" s="100"/>
      <c r="AG413" s="100"/>
    </row>
    <row r="414" spans="1:33" ht="33">
      <c r="A414" s="100"/>
      <c r="B414" s="100"/>
      <c r="C414" s="100"/>
      <c r="D414" s="100"/>
      <c r="E414" s="100"/>
      <c r="F414" s="100"/>
      <c r="G414" s="100"/>
      <c r="H414" s="100"/>
      <c r="I414" s="100"/>
      <c r="J414" s="100"/>
      <c r="K414" s="100"/>
      <c r="L414" s="100"/>
      <c r="M414" s="100"/>
      <c r="N414" s="100"/>
      <c r="O414" s="100"/>
      <c r="P414" s="100"/>
      <c r="U414" s="639" t="s">
        <v>15</v>
      </c>
      <c r="V414" s="759" t="s">
        <v>3024</v>
      </c>
      <c r="W414" s="31" t="s">
        <v>3023</v>
      </c>
      <c r="X414" s="690" t="s">
        <v>3417</v>
      </c>
      <c r="Y414" s="690" t="s">
        <v>18</v>
      </c>
      <c r="Z414" s="8613">
        <f t="shared" si="18"/>
        <v>31000</v>
      </c>
      <c r="AA414" s="884"/>
      <c r="AB414" s="885"/>
      <c r="AC414" s="885"/>
      <c r="AD414" s="100"/>
      <c r="AE414" s="100"/>
      <c r="AF414" s="100"/>
      <c r="AG414" s="100"/>
    </row>
    <row r="415" spans="1:33" ht="33">
      <c r="A415" s="100"/>
      <c r="B415" s="100"/>
      <c r="C415" s="100"/>
      <c r="D415" s="100"/>
      <c r="E415" s="100"/>
      <c r="F415" s="100"/>
      <c r="G415" s="100"/>
      <c r="H415" s="100"/>
      <c r="I415" s="100"/>
      <c r="J415" s="100"/>
      <c r="K415" s="100"/>
      <c r="L415" s="100"/>
      <c r="M415" s="100"/>
      <c r="N415" s="100"/>
      <c r="O415" s="100"/>
      <c r="P415" s="100"/>
      <c r="U415" s="639" t="s">
        <v>15</v>
      </c>
      <c r="V415" s="759" t="s">
        <v>3026</v>
      </c>
      <c r="W415" s="31" t="s">
        <v>3025</v>
      </c>
      <c r="X415" s="690" t="s">
        <v>3417</v>
      </c>
      <c r="Y415" s="690" t="s">
        <v>18</v>
      </c>
      <c r="Z415" s="8613">
        <f t="shared" si="18"/>
        <v>665424</v>
      </c>
      <c r="AA415" s="884"/>
      <c r="AB415" s="885"/>
      <c r="AC415" s="885"/>
      <c r="AD415" s="100"/>
      <c r="AE415" s="100"/>
      <c r="AF415" s="100"/>
      <c r="AG415" s="100"/>
    </row>
    <row r="416" spans="1:33" ht="33">
      <c r="A416" s="100"/>
      <c r="B416" s="100"/>
      <c r="C416" s="100"/>
      <c r="D416" s="100"/>
      <c r="E416" s="100"/>
      <c r="F416" s="100"/>
      <c r="G416" s="100"/>
      <c r="H416" s="100"/>
      <c r="I416" s="100"/>
      <c r="J416" s="100"/>
      <c r="K416" s="100"/>
      <c r="L416" s="100"/>
      <c r="M416" s="100"/>
      <c r="N416" s="100"/>
      <c r="O416" s="100"/>
      <c r="P416" s="100"/>
      <c r="U416" s="639" t="s">
        <v>15</v>
      </c>
      <c r="V416" s="759" t="s">
        <v>3028</v>
      </c>
      <c r="W416" s="31" t="s">
        <v>3027</v>
      </c>
      <c r="X416" s="690" t="s">
        <v>3417</v>
      </c>
      <c r="Y416" s="690" t="s">
        <v>18</v>
      </c>
      <c r="Z416" s="8613">
        <f t="shared" si="18"/>
        <v>15000</v>
      </c>
      <c r="AA416" s="884"/>
      <c r="AB416" s="885"/>
      <c r="AC416" s="885"/>
      <c r="AD416" s="100"/>
      <c r="AE416" s="100"/>
      <c r="AF416" s="100"/>
      <c r="AG416" s="100"/>
    </row>
    <row r="417" spans="1:33" ht="33">
      <c r="A417" s="100"/>
      <c r="B417" s="100"/>
      <c r="C417" s="100"/>
      <c r="D417" s="100"/>
      <c r="E417" s="100"/>
      <c r="F417" s="100"/>
      <c r="G417" s="100"/>
      <c r="H417" s="100"/>
      <c r="I417" s="100"/>
      <c r="J417" s="100"/>
      <c r="K417" s="100"/>
      <c r="L417" s="100"/>
      <c r="M417" s="100"/>
      <c r="N417" s="100"/>
      <c r="O417" s="100"/>
      <c r="P417" s="100"/>
      <c r="U417" s="639" t="s">
        <v>15</v>
      </c>
      <c r="V417" s="759" t="s">
        <v>3030</v>
      </c>
      <c r="W417" s="31" t="s">
        <v>3029</v>
      </c>
      <c r="X417" s="690" t="s">
        <v>3417</v>
      </c>
      <c r="Y417" s="690" t="s">
        <v>18</v>
      </c>
      <c r="Z417" s="8613">
        <f t="shared" si="18"/>
        <v>4804</v>
      </c>
      <c r="AA417" s="884"/>
      <c r="AB417" s="885"/>
      <c r="AC417" s="885"/>
      <c r="AD417" s="100"/>
      <c r="AE417" s="100"/>
      <c r="AF417" s="100"/>
      <c r="AG417" s="100"/>
    </row>
    <row r="418" spans="1:33" ht="33">
      <c r="A418" s="100"/>
      <c r="B418" s="100"/>
      <c r="C418" s="100"/>
      <c r="D418" s="100"/>
      <c r="E418" s="100"/>
      <c r="F418" s="100"/>
      <c r="G418" s="100"/>
      <c r="H418" s="100"/>
      <c r="I418" s="100"/>
      <c r="J418" s="100"/>
      <c r="K418" s="100"/>
      <c r="L418" s="100"/>
      <c r="M418" s="100"/>
      <c r="N418" s="100"/>
      <c r="O418" s="100"/>
      <c r="P418" s="100"/>
      <c r="Q418" s="379"/>
      <c r="R418" s="886"/>
      <c r="S418" s="887"/>
      <c r="U418" s="639" t="s">
        <v>15</v>
      </c>
      <c r="V418" s="759" t="s">
        <v>3032</v>
      </c>
      <c r="W418" s="31" t="s">
        <v>3031</v>
      </c>
      <c r="X418" s="690" t="s">
        <v>3417</v>
      </c>
      <c r="Y418" s="690" t="s">
        <v>18</v>
      </c>
      <c r="Z418" s="8613">
        <f t="shared" si="18"/>
        <v>604823.06999999995</v>
      </c>
      <c r="AA418" s="884"/>
      <c r="AB418" s="885"/>
      <c r="AC418" s="885"/>
      <c r="AD418" s="100"/>
      <c r="AE418" s="100"/>
      <c r="AF418" s="100"/>
      <c r="AG418" s="100"/>
    </row>
    <row r="419" spans="1:33" ht="33">
      <c r="A419" s="100"/>
      <c r="B419" s="100"/>
      <c r="C419" s="100"/>
      <c r="D419" s="100"/>
      <c r="E419" s="100"/>
      <c r="F419" s="100"/>
      <c r="G419" s="100"/>
      <c r="H419" s="100"/>
      <c r="I419" s="100"/>
      <c r="J419" s="100"/>
      <c r="K419" s="100"/>
      <c r="L419" s="100"/>
      <c r="M419" s="100"/>
      <c r="N419" s="100"/>
      <c r="O419" s="100"/>
      <c r="P419" s="100"/>
      <c r="Q419" s="379"/>
      <c r="R419" s="886"/>
      <c r="S419" s="887"/>
      <c r="U419" s="639" t="s">
        <v>15</v>
      </c>
      <c r="V419" s="759" t="s">
        <v>3039</v>
      </c>
      <c r="W419" s="31" t="s">
        <v>3420</v>
      </c>
      <c r="X419" s="690" t="s">
        <v>3417</v>
      </c>
      <c r="Y419" s="690" t="s">
        <v>18</v>
      </c>
      <c r="Z419" s="8613">
        <f t="shared" ref="Z419" si="19">SUM(AB61)</f>
        <v>492782.5</v>
      </c>
      <c r="AA419" s="884"/>
      <c r="AB419" s="885"/>
      <c r="AC419" s="885"/>
      <c r="AD419" s="100"/>
      <c r="AE419" s="100"/>
      <c r="AF419" s="100"/>
      <c r="AG419" s="100"/>
    </row>
    <row r="420" spans="1:33" ht="33">
      <c r="A420" s="100"/>
      <c r="B420" s="100"/>
      <c r="C420" s="100"/>
      <c r="D420" s="100"/>
      <c r="E420" s="100"/>
      <c r="F420" s="100"/>
      <c r="G420" s="100"/>
      <c r="H420" s="100"/>
      <c r="I420" s="100"/>
      <c r="J420" s="100"/>
      <c r="K420" s="100"/>
      <c r="L420" s="100"/>
      <c r="M420" s="100"/>
      <c r="N420" s="100"/>
      <c r="O420" s="100"/>
      <c r="P420" s="100"/>
      <c r="Q420" s="379"/>
      <c r="R420" s="886"/>
      <c r="S420" s="887"/>
      <c r="U420" s="639" t="s">
        <v>15</v>
      </c>
      <c r="V420" s="759" t="s">
        <v>3034</v>
      </c>
      <c r="W420" s="31" t="s">
        <v>3033</v>
      </c>
      <c r="X420" s="690" t="s">
        <v>3417</v>
      </c>
      <c r="Y420" s="690" t="s">
        <v>18</v>
      </c>
      <c r="Z420" s="8613">
        <f>+AB58</f>
        <v>5750.25</v>
      </c>
      <c r="AA420" s="884"/>
      <c r="AB420" s="885"/>
      <c r="AC420" s="885"/>
      <c r="AD420" s="100"/>
      <c r="AE420" s="100"/>
      <c r="AF420" s="100"/>
      <c r="AG420" s="100"/>
    </row>
    <row r="421" spans="1:33" ht="33">
      <c r="A421" s="100"/>
      <c r="B421" s="100"/>
      <c r="C421" s="100"/>
      <c r="D421" s="100"/>
      <c r="E421" s="100"/>
      <c r="F421" s="100"/>
      <c r="G421" s="100"/>
      <c r="H421" s="100"/>
      <c r="I421" s="100"/>
      <c r="J421" s="100"/>
      <c r="K421" s="100"/>
      <c r="L421" s="100"/>
      <c r="M421" s="100"/>
      <c r="N421" s="100"/>
      <c r="O421" s="100"/>
      <c r="P421" s="100"/>
      <c r="Q421" s="379"/>
      <c r="R421" s="886"/>
      <c r="S421" s="887"/>
      <c r="U421" s="639" t="s">
        <v>15</v>
      </c>
      <c r="V421" s="759" t="s">
        <v>3036</v>
      </c>
      <c r="W421" s="31" t="s">
        <v>3035</v>
      </c>
      <c r="X421" s="690" t="s">
        <v>3417</v>
      </c>
      <c r="Y421" s="690" t="s">
        <v>18</v>
      </c>
      <c r="Z421" s="8613">
        <f>+AB59</f>
        <v>29000</v>
      </c>
      <c r="AA421" s="884"/>
      <c r="AB421" s="885"/>
      <c r="AC421" s="885"/>
      <c r="AD421" s="100"/>
      <c r="AE421" s="100"/>
      <c r="AF421" s="100"/>
      <c r="AG421" s="100"/>
    </row>
    <row r="422" spans="1:33" ht="33">
      <c r="A422" s="100"/>
      <c r="B422" s="100"/>
      <c r="C422" s="100"/>
      <c r="D422" s="100"/>
      <c r="E422" s="100"/>
      <c r="F422" s="100"/>
      <c r="G422" s="100"/>
      <c r="H422" s="100"/>
      <c r="I422" s="100"/>
      <c r="J422" s="100"/>
      <c r="K422" s="100"/>
      <c r="L422" s="100"/>
      <c r="M422" s="100"/>
      <c r="N422" s="100"/>
      <c r="O422" s="100"/>
      <c r="P422" s="100"/>
      <c r="Q422" s="379"/>
      <c r="R422" s="886"/>
      <c r="S422" s="887"/>
      <c r="U422" s="639" t="s">
        <v>15</v>
      </c>
      <c r="V422" s="759" t="s">
        <v>3038</v>
      </c>
      <c r="W422" s="31" t="s">
        <v>3037</v>
      </c>
      <c r="X422" s="690" t="s">
        <v>3417</v>
      </c>
      <c r="Y422" s="690" t="s">
        <v>18</v>
      </c>
      <c r="Z422" s="8613">
        <f>+AB60</f>
        <v>123900</v>
      </c>
      <c r="AA422" s="884"/>
      <c r="AB422" s="885"/>
      <c r="AC422" s="885"/>
      <c r="AD422" s="100"/>
      <c r="AE422" s="100"/>
      <c r="AF422" s="100"/>
      <c r="AG422" s="100"/>
    </row>
    <row r="423" spans="1:33" ht="33">
      <c r="A423" s="100"/>
      <c r="B423" s="100"/>
      <c r="C423" s="100"/>
      <c r="D423" s="100"/>
      <c r="E423" s="100"/>
      <c r="F423" s="100"/>
      <c r="G423" s="100"/>
      <c r="H423" s="100"/>
      <c r="I423" s="100"/>
      <c r="J423" s="100"/>
      <c r="K423" s="100"/>
      <c r="L423" s="100"/>
      <c r="M423" s="100"/>
      <c r="N423" s="100"/>
      <c r="O423" s="100"/>
      <c r="P423" s="100"/>
      <c r="Q423" s="379"/>
      <c r="R423" s="886"/>
      <c r="S423" s="887"/>
      <c r="U423" s="639" t="s">
        <v>15</v>
      </c>
      <c r="V423" s="759" t="s">
        <v>3041</v>
      </c>
      <c r="W423" s="31" t="s">
        <v>3040</v>
      </c>
      <c r="X423" s="690" t="s">
        <v>3417</v>
      </c>
      <c r="Y423" s="690" t="s">
        <v>18</v>
      </c>
      <c r="Z423" s="8613">
        <f>SUM(AB62)</f>
        <v>3000</v>
      </c>
      <c r="AB423" s="803"/>
      <c r="AD423" s="434"/>
      <c r="AE423" s="100"/>
      <c r="AF423" s="100"/>
      <c r="AG423" s="100"/>
    </row>
    <row r="424" spans="1:33" ht="33">
      <c r="A424" s="100"/>
      <c r="B424" s="100"/>
      <c r="C424" s="100"/>
      <c r="D424" s="100"/>
      <c r="E424" s="100"/>
      <c r="F424" s="100"/>
      <c r="G424" s="100"/>
      <c r="H424" s="100"/>
      <c r="I424" s="100"/>
      <c r="J424" s="100"/>
      <c r="K424" s="100"/>
      <c r="L424" s="100"/>
      <c r="M424" s="100"/>
      <c r="N424" s="100"/>
      <c r="O424" s="100"/>
      <c r="P424" s="100"/>
      <c r="Q424" s="379"/>
      <c r="R424" s="886"/>
      <c r="S424" s="887"/>
      <c r="U424" s="639" t="s">
        <v>15</v>
      </c>
      <c r="V424" s="759" t="s">
        <v>3377</v>
      </c>
      <c r="W424" s="144">
        <v>530203</v>
      </c>
      <c r="X424" s="690" t="s">
        <v>17</v>
      </c>
      <c r="Y424" s="690" t="s">
        <v>26</v>
      </c>
      <c r="Z424" s="8613">
        <f>SUM(AB361)</f>
        <v>1300</v>
      </c>
      <c r="AA424" s="884"/>
      <c r="AB424" s="885"/>
      <c r="AC424" s="885"/>
      <c r="AD424" s="100"/>
      <c r="AE424" s="100"/>
      <c r="AF424" s="100"/>
      <c r="AG424" s="100"/>
    </row>
    <row r="425" spans="1:33" ht="33">
      <c r="A425" s="100"/>
      <c r="B425" s="100"/>
      <c r="C425" s="100"/>
      <c r="D425" s="100"/>
      <c r="E425" s="100"/>
      <c r="F425" s="100"/>
      <c r="G425" s="100"/>
      <c r="H425" s="100"/>
      <c r="I425" s="100"/>
      <c r="J425" s="100"/>
      <c r="K425" s="100"/>
      <c r="L425" s="100"/>
      <c r="M425" s="100"/>
      <c r="N425" s="100"/>
      <c r="O425" s="100"/>
      <c r="P425" s="100"/>
      <c r="Q425" s="888"/>
      <c r="U425" s="639" t="s">
        <v>15</v>
      </c>
      <c r="V425" s="759" t="s">
        <v>2507</v>
      </c>
      <c r="W425" s="31" t="s">
        <v>3044</v>
      </c>
      <c r="X425" s="690" t="s">
        <v>17</v>
      </c>
      <c r="Y425" s="690" t="s">
        <v>18</v>
      </c>
      <c r="Z425" s="8613">
        <f>+AB72</f>
        <v>18873.099999999999</v>
      </c>
      <c r="AA425" s="100"/>
      <c r="AB425" s="363"/>
      <c r="AC425" s="363"/>
      <c r="AD425" s="100"/>
      <c r="AE425" s="886"/>
      <c r="AF425" s="886"/>
      <c r="AG425" s="100"/>
    </row>
    <row r="426" spans="1:33" ht="33">
      <c r="A426" s="100"/>
      <c r="B426" s="100"/>
      <c r="C426" s="100"/>
      <c r="D426" s="100"/>
      <c r="E426" s="100"/>
      <c r="F426" s="100"/>
      <c r="G426" s="100"/>
      <c r="H426" s="100"/>
      <c r="I426" s="100"/>
      <c r="J426" s="100"/>
      <c r="K426" s="100"/>
      <c r="L426" s="100"/>
      <c r="M426" s="100"/>
      <c r="N426" s="100"/>
      <c r="O426" s="100"/>
      <c r="P426" s="100"/>
      <c r="Q426" s="379"/>
      <c r="R426" s="886"/>
      <c r="S426" s="887"/>
      <c r="U426" s="639" t="s">
        <v>15</v>
      </c>
      <c r="V426" s="759" t="s">
        <v>1360</v>
      </c>
      <c r="W426" s="31" t="s">
        <v>3421</v>
      </c>
      <c r="X426" s="690" t="s">
        <v>17</v>
      </c>
      <c r="Y426" s="690" t="s">
        <v>18</v>
      </c>
      <c r="Z426" s="8613">
        <f>SUM(AB198)</f>
        <v>10999.996800000001</v>
      </c>
      <c r="AA426" s="100"/>
      <c r="AB426" s="363"/>
      <c r="AC426" s="363"/>
      <c r="AD426" s="100"/>
      <c r="AE426" s="100"/>
      <c r="AF426" s="100"/>
      <c r="AG426" s="100"/>
    </row>
    <row r="427" spans="1:33" ht="49.5">
      <c r="A427" s="100"/>
      <c r="B427" s="100"/>
      <c r="C427" s="100"/>
      <c r="D427" s="100"/>
      <c r="E427" s="100"/>
      <c r="F427" s="100"/>
      <c r="G427" s="100"/>
      <c r="H427" s="100"/>
      <c r="I427" s="100"/>
      <c r="J427" s="100"/>
      <c r="K427" s="100"/>
      <c r="L427" s="100"/>
      <c r="M427" s="100"/>
      <c r="N427" s="100"/>
      <c r="O427" s="100"/>
      <c r="P427" s="100"/>
      <c r="Q427" s="379"/>
      <c r="R427" s="886"/>
      <c r="S427" s="887"/>
      <c r="U427" s="639" t="s">
        <v>15</v>
      </c>
      <c r="V427" s="759" t="s">
        <v>2985</v>
      </c>
      <c r="W427" s="31" t="s">
        <v>3422</v>
      </c>
      <c r="X427" s="690" t="s">
        <v>17</v>
      </c>
      <c r="Y427" s="690" t="s">
        <v>18</v>
      </c>
      <c r="Z427" s="8613">
        <f>+AB29+AB352</f>
        <v>60396.23</v>
      </c>
      <c r="AA427" s="100"/>
      <c r="AB427" s="363"/>
      <c r="AC427" s="363"/>
      <c r="AD427" s="100"/>
      <c r="AE427" s="100"/>
      <c r="AF427" s="100"/>
      <c r="AG427" s="100"/>
    </row>
    <row r="428" spans="1:33" ht="33">
      <c r="A428" s="100"/>
      <c r="B428" s="100"/>
      <c r="C428" s="100"/>
      <c r="D428" s="100"/>
      <c r="E428" s="100"/>
      <c r="F428" s="100"/>
      <c r="G428" s="100"/>
      <c r="H428" s="100"/>
      <c r="I428" s="100"/>
      <c r="J428" s="100"/>
      <c r="K428" s="100"/>
      <c r="L428" s="100"/>
      <c r="M428" s="100"/>
      <c r="N428" s="100"/>
      <c r="O428" s="100"/>
      <c r="P428" s="100"/>
      <c r="Q428" s="379"/>
      <c r="R428" s="886"/>
      <c r="S428" s="887"/>
      <c r="U428" s="639" t="s">
        <v>15</v>
      </c>
      <c r="V428" s="759" t="s">
        <v>1006</v>
      </c>
      <c r="W428" s="31" t="s">
        <v>3423</v>
      </c>
      <c r="X428" s="690" t="s">
        <v>17</v>
      </c>
      <c r="Y428" s="690" t="s">
        <v>18</v>
      </c>
      <c r="Z428" s="8613">
        <f>SUM(AB162)</f>
        <v>426.72</v>
      </c>
      <c r="AA428" s="100"/>
      <c r="AB428" s="363"/>
      <c r="AC428" s="363"/>
      <c r="AD428" s="100"/>
      <c r="AE428" s="100"/>
      <c r="AF428" s="100"/>
      <c r="AG428" s="100"/>
    </row>
    <row r="429" spans="1:33" ht="33">
      <c r="A429" s="100"/>
      <c r="B429" s="100"/>
      <c r="C429" s="100"/>
      <c r="D429" s="100"/>
      <c r="E429" s="100"/>
      <c r="F429" s="100"/>
      <c r="G429" s="100"/>
      <c r="H429" s="100"/>
      <c r="I429" s="100"/>
      <c r="J429" s="100"/>
      <c r="K429" s="100"/>
      <c r="L429" s="100"/>
      <c r="M429" s="100"/>
      <c r="N429" s="100"/>
      <c r="O429" s="100"/>
      <c r="P429" s="100"/>
      <c r="Q429" s="379"/>
      <c r="R429" s="886"/>
      <c r="S429" s="887"/>
      <c r="U429" s="639" t="s">
        <v>15</v>
      </c>
      <c r="V429" s="613" t="s">
        <v>956</v>
      </c>
      <c r="W429" s="31" t="s">
        <v>3306</v>
      </c>
      <c r="X429" s="690" t="s">
        <v>17</v>
      </c>
      <c r="Y429" s="690" t="s">
        <v>18</v>
      </c>
      <c r="Z429" s="8613">
        <f>SUM(AB305)</f>
        <v>5174.8388000000014</v>
      </c>
      <c r="AA429" s="100"/>
      <c r="AB429" s="363"/>
      <c r="AC429" s="363"/>
      <c r="AD429" s="100"/>
      <c r="AE429" s="100"/>
      <c r="AF429" s="100"/>
      <c r="AG429" s="100"/>
    </row>
    <row r="430" spans="1:33" ht="33">
      <c r="A430" s="100"/>
      <c r="B430" s="100"/>
      <c r="C430" s="100"/>
      <c r="D430" s="100"/>
      <c r="E430" s="100"/>
      <c r="F430" s="100"/>
      <c r="G430" s="100"/>
      <c r="H430" s="100"/>
      <c r="I430" s="100"/>
      <c r="J430" s="100"/>
      <c r="K430" s="100"/>
      <c r="L430" s="100"/>
      <c r="M430" s="100"/>
      <c r="N430" s="100"/>
      <c r="O430" s="100"/>
      <c r="P430" s="100"/>
      <c r="Q430" s="379"/>
      <c r="R430" s="886"/>
      <c r="S430" s="887"/>
      <c r="U430" s="639" t="s">
        <v>15</v>
      </c>
      <c r="V430" s="759" t="s">
        <v>3341</v>
      </c>
      <c r="W430" s="30" t="s">
        <v>3424</v>
      </c>
      <c r="X430" s="690" t="s">
        <v>17</v>
      </c>
      <c r="Y430" s="690" t="s">
        <v>18</v>
      </c>
      <c r="Z430" s="8613">
        <f>SUM(AB335)</f>
        <v>2869.12</v>
      </c>
      <c r="AA430" s="100"/>
      <c r="AB430" s="363"/>
      <c r="AC430" s="363"/>
      <c r="AD430" s="100"/>
      <c r="AE430" s="100"/>
      <c r="AF430" s="100"/>
      <c r="AG430" s="100"/>
    </row>
    <row r="431" spans="1:33" ht="33">
      <c r="A431" s="100"/>
      <c r="B431" s="100"/>
      <c r="C431" s="100"/>
      <c r="D431" s="100"/>
      <c r="E431" s="100"/>
      <c r="F431" s="100"/>
      <c r="G431" s="100"/>
      <c r="H431" s="100"/>
      <c r="I431" s="100"/>
      <c r="J431" s="100"/>
      <c r="K431" s="100"/>
      <c r="L431" s="100"/>
      <c r="M431" s="100"/>
      <c r="N431" s="100"/>
      <c r="O431" s="100"/>
      <c r="P431" s="100"/>
      <c r="Q431" s="379"/>
      <c r="R431" s="886"/>
      <c r="S431" s="887"/>
      <c r="U431" s="639" t="s">
        <v>15</v>
      </c>
      <c r="V431" s="759" t="s">
        <v>3364</v>
      </c>
      <c r="W431" s="30">
        <v>530829</v>
      </c>
      <c r="X431" s="690" t="s">
        <v>17</v>
      </c>
      <c r="Y431" s="690" t="s">
        <v>18</v>
      </c>
      <c r="Z431" s="8613">
        <f>+AB354</f>
        <v>5000</v>
      </c>
      <c r="AA431" s="100"/>
      <c r="AB431" s="363"/>
      <c r="AC431" s="363"/>
      <c r="AD431" s="100"/>
      <c r="AE431" s="100"/>
      <c r="AF431" s="100"/>
      <c r="AG431" s="100"/>
    </row>
    <row r="432" spans="1:33" ht="33">
      <c r="A432" s="100"/>
      <c r="B432" s="100"/>
      <c r="C432" s="100"/>
      <c r="D432" s="100"/>
      <c r="E432" s="100"/>
      <c r="F432" s="100"/>
      <c r="G432" s="100"/>
      <c r="H432" s="100"/>
      <c r="I432" s="100"/>
      <c r="J432" s="100"/>
      <c r="K432" s="100"/>
      <c r="L432" s="100"/>
      <c r="M432" s="100"/>
      <c r="N432" s="100"/>
      <c r="O432" s="100"/>
      <c r="P432" s="100"/>
      <c r="U432" s="639" t="s">
        <v>15</v>
      </c>
      <c r="V432" s="613" t="s">
        <v>40</v>
      </c>
      <c r="W432" s="87">
        <v>531407</v>
      </c>
      <c r="X432" s="690" t="s">
        <v>17</v>
      </c>
      <c r="Y432" s="690" t="s">
        <v>18</v>
      </c>
      <c r="Z432" s="8613">
        <f>SUM(AB259)</f>
        <v>35</v>
      </c>
      <c r="AA432" s="100"/>
      <c r="AB432" s="363"/>
      <c r="AC432" s="363"/>
      <c r="AD432" s="100"/>
      <c r="AE432" s="100"/>
      <c r="AF432" s="100"/>
      <c r="AG432" s="100"/>
    </row>
    <row r="433" spans="1:33" ht="33">
      <c r="A433" s="100"/>
      <c r="B433" s="100"/>
      <c r="C433" s="100"/>
      <c r="D433" s="100"/>
      <c r="E433" s="100"/>
      <c r="F433" s="100"/>
      <c r="G433" s="100"/>
      <c r="H433" s="100"/>
      <c r="I433" s="100"/>
      <c r="J433" s="100"/>
      <c r="K433" s="100"/>
      <c r="L433" s="100"/>
      <c r="M433" s="100"/>
      <c r="N433" s="100"/>
      <c r="O433" s="100"/>
      <c r="P433" s="100"/>
      <c r="U433" s="639" t="s">
        <v>15</v>
      </c>
      <c r="V433" s="759" t="s">
        <v>894</v>
      </c>
      <c r="W433" s="31" t="s">
        <v>3425</v>
      </c>
      <c r="X433" s="690" t="s">
        <v>17</v>
      </c>
      <c r="Y433" s="690" t="s">
        <v>25</v>
      </c>
      <c r="Z433" s="8613">
        <f>SUM(AB32)</f>
        <v>1569.27</v>
      </c>
      <c r="AA433" s="100"/>
      <c r="AB433" s="363"/>
      <c r="AC433" s="363"/>
      <c r="AD433" s="100"/>
      <c r="AE433" s="100"/>
      <c r="AF433" s="100"/>
      <c r="AG433" s="100"/>
    </row>
    <row r="434" spans="1:33" ht="33">
      <c r="A434" s="100"/>
      <c r="B434" s="100"/>
      <c r="C434" s="100"/>
      <c r="D434" s="100"/>
      <c r="E434" s="100"/>
      <c r="F434" s="100"/>
      <c r="G434" s="100"/>
      <c r="H434" s="100"/>
      <c r="I434" s="100"/>
      <c r="J434" s="100"/>
      <c r="K434" s="100"/>
      <c r="L434" s="100"/>
      <c r="M434" s="100"/>
      <c r="N434" s="100"/>
      <c r="O434" s="100"/>
      <c r="P434" s="100"/>
      <c r="U434" s="639" t="s">
        <v>15</v>
      </c>
      <c r="V434" s="759" t="s">
        <v>38</v>
      </c>
      <c r="W434" s="31" t="s">
        <v>3426</v>
      </c>
      <c r="X434" s="690" t="s">
        <v>17</v>
      </c>
      <c r="Y434" s="690" t="s">
        <v>25</v>
      </c>
      <c r="Z434" s="8613">
        <f>SUM(AB208)</f>
        <v>4979.9984000000004</v>
      </c>
      <c r="AA434" s="328"/>
      <c r="AB434" s="363"/>
      <c r="AC434" s="363"/>
      <c r="AD434" s="100"/>
      <c r="AE434" s="100"/>
      <c r="AF434" s="100"/>
      <c r="AG434" s="100"/>
    </row>
    <row r="435" spans="1:33" ht="33">
      <c r="A435" s="100"/>
      <c r="B435" s="100"/>
      <c r="C435" s="100"/>
      <c r="D435" s="100"/>
      <c r="E435" s="100"/>
      <c r="F435" s="100"/>
      <c r="G435" s="100"/>
      <c r="H435" s="100"/>
      <c r="I435" s="100"/>
      <c r="J435" s="100"/>
      <c r="K435" s="100"/>
      <c r="L435" s="100"/>
      <c r="M435" s="100"/>
      <c r="N435" s="100"/>
      <c r="O435" s="100"/>
      <c r="P435" s="100"/>
      <c r="Q435" s="379"/>
      <c r="R435" s="886"/>
      <c r="S435" s="887"/>
      <c r="U435" s="639" t="s">
        <v>15</v>
      </c>
      <c r="V435" s="759" t="s">
        <v>3079</v>
      </c>
      <c r="W435" s="31" t="s">
        <v>3427</v>
      </c>
      <c r="X435" s="690" t="s">
        <v>17</v>
      </c>
      <c r="Y435" s="690" t="s">
        <v>25</v>
      </c>
      <c r="Z435" s="8613">
        <f>SUM(AB103)</f>
        <v>1109108.98</v>
      </c>
      <c r="AA435" s="100"/>
      <c r="AB435" s="363"/>
      <c r="AC435" s="363"/>
      <c r="AD435" s="100"/>
      <c r="AE435" s="100"/>
      <c r="AF435" s="100"/>
      <c r="AG435" s="100"/>
    </row>
    <row r="436" spans="1:33" ht="33">
      <c r="A436" s="100"/>
      <c r="B436" s="100"/>
      <c r="C436" s="100"/>
      <c r="D436" s="100"/>
      <c r="E436" s="100"/>
      <c r="F436" s="100"/>
      <c r="G436" s="100"/>
      <c r="H436" s="100"/>
      <c r="I436" s="100"/>
      <c r="J436" s="100"/>
      <c r="K436" s="100"/>
      <c r="L436" s="100"/>
      <c r="M436" s="100"/>
      <c r="N436" s="100"/>
      <c r="O436" s="100"/>
      <c r="P436" s="100"/>
      <c r="Q436" s="379"/>
      <c r="R436" s="886"/>
      <c r="S436" s="887"/>
      <c r="U436" s="761" t="s">
        <v>15</v>
      </c>
      <c r="V436" s="889" t="s">
        <v>3036</v>
      </c>
      <c r="W436" s="327" t="s">
        <v>3076</v>
      </c>
      <c r="X436" s="690" t="s">
        <v>3417</v>
      </c>
      <c r="Y436" s="690" t="s">
        <v>673</v>
      </c>
      <c r="Z436" s="8613">
        <f>SUM(AB99)</f>
        <v>412916.6</v>
      </c>
      <c r="AA436" s="884"/>
      <c r="AB436" s="885"/>
      <c r="AC436" s="885"/>
      <c r="AD436" s="100"/>
      <c r="AE436" s="100"/>
      <c r="AF436" s="100"/>
      <c r="AG436" s="100"/>
    </row>
    <row r="437" spans="1:33" ht="33">
      <c r="A437" s="100"/>
      <c r="B437" s="100"/>
      <c r="C437" s="100"/>
      <c r="D437" s="100"/>
      <c r="E437" s="100"/>
      <c r="F437" s="100"/>
      <c r="G437" s="100"/>
      <c r="H437" s="100"/>
      <c r="I437" s="100"/>
      <c r="J437" s="100"/>
      <c r="K437" s="100"/>
      <c r="L437" s="100"/>
      <c r="M437" s="100"/>
      <c r="N437" s="100"/>
      <c r="O437" s="100"/>
      <c r="P437" s="100"/>
      <c r="Q437" s="379"/>
      <c r="R437" s="886"/>
      <c r="S437" s="887"/>
      <c r="U437" s="761" t="s">
        <v>15</v>
      </c>
      <c r="V437" s="889" t="s">
        <v>3034</v>
      </c>
      <c r="W437" s="327" t="s">
        <v>3078</v>
      </c>
      <c r="X437" s="690" t="s">
        <v>17</v>
      </c>
      <c r="Y437" s="690" t="s">
        <v>673</v>
      </c>
      <c r="Z437" s="8613">
        <f>AB101</f>
        <v>10271.700000000001</v>
      </c>
      <c r="AA437" s="884"/>
      <c r="AB437" s="885"/>
      <c r="AC437" s="885"/>
      <c r="AD437" s="100"/>
      <c r="AE437" s="100"/>
      <c r="AF437" s="100"/>
      <c r="AG437" s="100"/>
    </row>
    <row r="438" spans="1:33" ht="33">
      <c r="A438" s="100"/>
      <c r="B438" s="100"/>
      <c r="C438" s="100"/>
      <c r="D438" s="100"/>
      <c r="E438" s="100"/>
      <c r="F438" s="100"/>
      <c r="G438" s="100"/>
      <c r="H438" s="100"/>
      <c r="I438" s="100"/>
      <c r="J438" s="100"/>
      <c r="K438" s="100"/>
      <c r="L438" s="100"/>
      <c r="M438" s="100"/>
      <c r="N438" s="100"/>
      <c r="O438" s="100"/>
      <c r="P438" s="100"/>
      <c r="Q438" s="379"/>
      <c r="R438" s="886"/>
      <c r="S438" s="887"/>
      <c r="U438" s="761" t="s">
        <v>15</v>
      </c>
      <c r="V438" s="889" t="s">
        <v>3261</v>
      </c>
      <c r="W438" s="327" t="s">
        <v>1129</v>
      </c>
      <c r="X438" s="690" t="s">
        <v>17</v>
      </c>
      <c r="Y438" s="690" t="s">
        <v>25</v>
      </c>
      <c r="Z438" s="8613">
        <f>+AB264</f>
        <v>1044.9000000000001</v>
      </c>
      <c r="AA438" s="884"/>
      <c r="AB438" s="885"/>
      <c r="AC438" s="885"/>
      <c r="AD438" s="100"/>
      <c r="AE438" s="100"/>
      <c r="AF438" s="100"/>
      <c r="AG438" s="100"/>
    </row>
    <row r="439" spans="1:33" ht="33">
      <c r="A439" s="100"/>
      <c r="B439" s="100"/>
      <c r="C439" s="100"/>
      <c r="D439" s="100"/>
      <c r="E439" s="100"/>
      <c r="F439" s="100"/>
      <c r="G439" s="100"/>
      <c r="H439" s="100"/>
      <c r="I439" s="100"/>
      <c r="J439" s="100"/>
      <c r="K439" s="100"/>
      <c r="L439" s="100"/>
      <c r="M439" s="100"/>
      <c r="N439" s="100"/>
      <c r="O439" s="100"/>
      <c r="P439" s="100"/>
      <c r="Q439" s="379"/>
      <c r="R439" s="886"/>
      <c r="S439" s="887"/>
      <c r="U439" s="761" t="s">
        <v>15</v>
      </c>
      <c r="V439" s="889" t="s">
        <v>3428</v>
      </c>
      <c r="W439" s="327" t="s">
        <v>3033</v>
      </c>
      <c r="X439" s="690" t="s">
        <v>17</v>
      </c>
      <c r="Y439" s="690" t="s">
        <v>18</v>
      </c>
      <c r="Z439" s="8613">
        <f>AA81</f>
        <v>6678.75</v>
      </c>
      <c r="AA439" s="884"/>
      <c r="AB439" s="885"/>
      <c r="AC439" s="885"/>
      <c r="AD439" s="100"/>
      <c r="AE439" s="100"/>
      <c r="AF439" s="100"/>
      <c r="AG439" s="100"/>
    </row>
    <row r="440" spans="1:33" ht="33">
      <c r="A440" s="100"/>
      <c r="B440" s="100"/>
      <c r="C440" s="100"/>
      <c r="D440" s="100"/>
      <c r="E440" s="100"/>
      <c r="F440" s="100"/>
      <c r="G440" s="100"/>
      <c r="H440" s="100"/>
      <c r="I440" s="100"/>
      <c r="J440" s="100"/>
      <c r="K440" s="100"/>
      <c r="L440" s="100"/>
      <c r="M440" s="100"/>
      <c r="N440" s="100"/>
      <c r="O440" s="100"/>
      <c r="P440" s="100"/>
      <c r="Q440" s="379"/>
      <c r="R440" s="886"/>
      <c r="S440" s="887"/>
      <c r="U440" s="761" t="s">
        <v>15</v>
      </c>
      <c r="V440" s="889" t="s">
        <v>3036</v>
      </c>
      <c r="W440" s="327" t="s">
        <v>3051</v>
      </c>
      <c r="X440" s="690" t="s">
        <v>17</v>
      </c>
      <c r="Y440" s="690" t="s">
        <v>673</v>
      </c>
      <c r="Z440" s="8613">
        <f>AA79</f>
        <v>95038.45</v>
      </c>
      <c r="AA440" s="884"/>
      <c r="AB440" s="885"/>
      <c r="AC440" s="885"/>
      <c r="AD440" s="100"/>
      <c r="AE440" s="100"/>
      <c r="AF440" s="100"/>
      <c r="AG440" s="100"/>
    </row>
    <row r="441" spans="1:33" ht="33">
      <c r="A441" s="100"/>
      <c r="B441" s="100"/>
      <c r="C441" s="100"/>
      <c r="D441" s="100"/>
      <c r="E441" s="100"/>
      <c r="F441" s="100"/>
      <c r="G441" s="100"/>
      <c r="H441" s="100"/>
      <c r="I441" s="100"/>
      <c r="J441" s="100"/>
      <c r="K441" s="100"/>
      <c r="L441" s="100"/>
      <c r="M441" s="100"/>
      <c r="N441" s="100"/>
      <c r="O441" s="100"/>
      <c r="P441" s="100"/>
      <c r="Q441" s="379"/>
      <c r="R441" s="886"/>
      <c r="S441" s="887"/>
      <c r="U441" s="761" t="s">
        <v>15</v>
      </c>
      <c r="V441" s="889" t="s">
        <v>3036</v>
      </c>
      <c r="W441" s="327" t="s">
        <v>3051</v>
      </c>
      <c r="X441" s="690" t="s">
        <v>17</v>
      </c>
      <c r="Y441" s="690" t="s">
        <v>25</v>
      </c>
      <c r="Z441" s="8613">
        <f t="shared" ref="Z441" si="20">AA80</f>
        <v>212400</v>
      </c>
      <c r="AA441" s="884"/>
      <c r="AB441" s="885"/>
      <c r="AC441" s="885"/>
      <c r="AD441" s="100"/>
      <c r="AE441" s="100"/>
      <c r="AF441" s="100"/>
      <c r="AG441" s="100"/>
    </row>
    <row r="442" spans="1:33" ht="33">
      <c r="A442" s="100"/>
      <c r="B442" s="100"/>
      <c r="C442" s="100"/>
      <c r="D442" s="100"/>
      <c r="E442" s="100"/>
      <c r="F442" s="100"/>
      <c r="G442" s="100"/>
      <c r="H442" s="100"/>
      <c r="I442" s="100"/>
      <c r="J442" s="100"/>
      <c r="K442" s="100"/>
      <c r="L442" s="100"/>
      <c r="M442" s="100"/>
      <c r="N442" s="100"/>
      <c r="O442" s="100"/>
      <c r="P442" s="100"/>
      <c r="Q442" s="379"/>
      <c r="R442" s="886"/>
      <c r="S442" s="887"/>
      <c r="U442" s="761" t="s">
        <v>15</v>
      </c>
      <c r="V442" s="889" t="s">
        <v>3036</v>
      </c>
      <c r="W442" s="327" t="s">
        <v>3035</v>
      </c>
      <c r="X442" s="690" t="s">
        <v>17</v>
      </c>
      <c r="Y442" s="690" t="s">
        <v>18</v>
      </c>
      <c r="Z442" s="8613">
        <f>AA82</f>
        <v>150174.87</v>
      </c>
      <c r="AA442" s="884"/>
      <c r="AB442" s="885"/>
      <c r="AC442" s="885"/>
      <c r="AD442" s="100"/>
      <c r="AE442" s="100"/>
      <c r="AF442" s="100"/>
      <c r="AG442" s="100"/>
    </row>
    <row r="443" spans="1:33" ht="33">
      <c r="A443" s="100"/>
      <c r="B443" s="100"/>
      <c r="C443" s="100"/>
      <c r="D443" s="100"/>
      <c r="E443" s="100"/>
      <c r="F443" s="100"/>
      <c r="G443" s="100"/>
      <c r="H443" s="100"/>
      <c r="I443" s="100"/>
      <c r="J443" s="100"/>
      <c r="K443" s="100"/>
      <c r="L443" s="100"/>
      <c r="M443" s="100"/>
      <c r="N443" s="100"/>
      <c r="O443" s="100"/>
      <c r="P443" s="100"/>
      <c r="Q443" s="379"/>
      <c r="R443" s="886"/>
      <c r="S443" s="887"/>
      <c r="U443" s="761" t="s">
        <v>15</v>
      </c>
      <c r="V443" s="889" t="s">
        <v>3429</v>
      </c>
      <c r="W443" s="327" t="s">
        <v>3052</v>
      </c>
      <c r="X443" s="690" t="s">
        <v>17</v>
      </c>
      <c r="Y443" s="690" t="s">
        <v>18</v>
      </c>
      <c r="Z443" s="8613">
        <f>AA83</f>
        <v>53100</v>
      </c>
      <c r="AA443" s="884"/>
      <c r="AB443" s="885"/>
      <c r="AC443" s="885"/>
      <c r="AD443" s="100"/>
      <c r="AE443" s="100"/>
      <c r="AF443" s="100"/>
      <c r="AG443" s="100"/>
    </row>
    <row r="444" spans="1:33" ht="49.5">
      <c r="A444" s="100"/>
      <c r="B444" s="100"/>
      <c r="C444" s="100"/>
      <c r="D444" s="100"/>
      <c r="E444" s="100"/>
      <c r="F444" s="100"/>
      <c r="G444" s="100"/>
      <c r="H444" s="100"/>
      <c r="I444" s="100"/>
      <c r="J444" s="100"/>
      <c r="K444" s="100"/>
      <c r="L444" s="100"/>
      <c r="M444" s="100"/>
      <c r="N444" s="100"/>
      <c r="O444" s="100"/>
      <c r="P444" s="100"/>
      <c r="Q444" s="888"/>
      <c r="U444" s="890" t="s">
        <v>79</v>
      </c>
      <c r="V444" s="759" t="s">
        <v>3012</v>
      </c>
      <c r="W444" s="31" t="s">
        <v>3011</v>
      </c>
      <c r="X444" s="690" t="s">
        <v>3417</v>
      </c>
      <c r="Y444" s="690" t="s">
        <v>18</v>
      </c>
      <c r="Z444" s="8613">
        <f t="shared" ref="Z444:Z451" si="21">SUM(AB63)</f>
        <v>8902539.5199999996</v>
      </c>
      <c r="AA444" s="100"/>
      <c r="AB444" s="363"/>
      <c r="AC444" s="363"/>
      <c r="AD444" s="100"/>
      <c r="AE444" s="100"/>
      <c r="AF444" s="100"/>
      <c r="AG444" s="100"/>
    </row>
    <row r="445" spans="1:33" ht="33">
      <c r="A445" s="100"/>
      <c r="B445" s="100"/>
      <c r="C445" s="100"/>
      <c r="D445" s="100"/>
      <c r="E445" s="100"/>
      <c r="F445" s="100"/>
      <c r="G445" s="100"/>
      <c r="H445" s="100"/>
      <c r="I445" s="100"/>
      <c r="J445" s="100"/>
      <c r="K445" s="100"/>
      <c r="L445" s="100"/>
      <c r="M445" s="100"/>
      <c r="N445" s="100"/>
      <c r="O445" s="100"/>
      <c r="P445" s="100"/>
      <c r="Q445" s="888"/>
      <c r="U445" s="890" t="s">
        <v>79</v>
      </c>
      <c r="V445" s="759" t="s">
        <v>3013</v>
      </c>
      <c r="W445" s="31" t="s">
        <v>3418</v>
      </c>
      <c r="X445" s="690" t="s">
        <v>3417</v>
      </c>
      <c r="Y445" s="690" t="s">
        <v>18</v>
      </c>
      <c r="Z445" s="8613">
        <f t="shared" si="21"/>
        <v>1135912.31</v>
      </c>
      <c r="AA445" s="100"/>
      <c r="AB445" s="363"/>
      <c r="AC445" s="363"/>
      <c r="AD445" s="100"/>
      <c r="AE445" s="100"/>
      <c r="AF445" s="100"/>
      <c r="AG445" s="100"/>
    </row>
    <row r="446" spans="1:33" ht="33">
      <c r="A446" s="100"/>
      <c r="B446" s="100"/>
      <c r="C446" s="100"/>
      <c r="D446" s="100"/>
      <c r="E446" s="100"/>
      <c r="F446" s="100"/>
      <c r="G446" s="100"/>
      <c r="H446" s="100"/>
      <c r="I446" s="100"/>
      <c r="J446" s="100"/>
      <c r="K446" s="100"/>
      <c r="L446" s="100"/>
      <c r="M446" s="100"/>
      <c r="N446" s="100"/>
      <c r="O446" s="100"/>
      <c r="P446" s="100"/>
      <c r="Q446" s="888"/>
      <c r="U446" s="890" t="s">
        <v>79</v>
      </c>
      <c r="V446" s="759" t="s">
        <v>3014</v>
      </c>
      <c r="W446" s="31" t="s">
        <v>3419</v>
      </c>
      <c r="X446" s="690" t="s">
        <v>3417</v>
      </c>
      <c r="Y446" s="690" t="s">
        <v>18</v>
      </c>
      <c r="Z446" s="8613">
        <f t="shared" si="21"/>
        <v>252300</v>
      </c>
      <c r="AA446" s="100"/>
      <c r="AB446" s="363"/>
      <c r="AC446" s="363"/>
      <c r="AD446" s="100"/>
      <c r="AE446" s="100"/>
      <c r="AF446" s="100"/>
      <c r="AG446" s="100"/>
    </row>
    <row r="447" spans="1:33" ht="49.5">
      <c r="A447" s="100"/>
      <c r="B447" s="100"/>
      <c r="C447" s="100"/>
      <c r="D447" s="100"/>
      <c r="E447" s="100"/>
      <c r="F447" s="100"/>
      <c r="G447" s="100"/>
      <c r="H447" s="100"/>
      <c r="I447" s="100"/>
      <c r="J447" s="100"/>
      <c r="K447" s="100"/>
      <c r="L447" s="100"/>
      <c r="M447" s="100"/>
      <c r="N447" s="100"/>
      <c r="O447" s="100"/>
      <c r="P447" s="100"/>
      <c r="Q447" s="888"/>
      <c r="U447" s="890" t="s">
        <v>79</v>
      </c>
      <c r="V447" s="759" t="s">
        <v>3043</v>
      </c>
      <c r="W447" s="31" t="s">
        <v>3042</v>
      </c>
      <c r="X447" s="690" t="s">
        <v>3417</v>
      </c>
      <c r="Y447" s="690" t="s">
        <v>18</v>
      </c>
      <c r="Z447" s="8613">
        <f t="shared" si="21"/>
        <v>4545677.5999999996</v>
      </c>
      <c r="AA447" s="100"/>
      <c r="AB447" s="363"/>
      <c r="AC447" s="363"/>
      <c r="AD447" s="100"/>
      <c r="AE447" s="100"/>
      <c r="AF447" s="100"/>
      <c r="AG447" s="100"/>
    </row>
    <row r="448" spans="1:33" ht="33">
      <c r="A448" s="100"/>
      <c r="B448" s="100"/>
      <c r="C448" s="100"/>
      <c r="D448" s="100"/>
      <c r="E448" s="100"/>
      <c r="F448" s="100"/>
      <c r="G448" s="100"/>
      <c r="H448" s="100"/>
      <c r="I448" s="100"/>
      <c r="J448" s="100"/>
      <c r="K448" s="100"/>
      <c r="L448" s="100"/>
      <c r="M448" s="100"/>
      <c r="N448" s="100"/>
      <c r="O448" s="100"/>
      <c r="P448" s="100"/>
      <c r="Q448" s="888"/>
      <c r="U448" s="890" t="s">
        <v>79</v>
      </c>
      <c r="V448" s="759" t="s">
        <v>3032</v>
      </c>
      <c r="W448" s="31" t="s">
        <v>3031</v>
      </c>
      <c r="X448" s="690" t="s">
        <v>3417</v>
      </c>
      <c r="Y448" s="690" t="s">
        <v>18</v>
      </c>
      <c r="Z448" s="8613">
        <f t="shared" si="21"/>
        <v>1236170.96</v>
      </c>
      <c r="AA448" s="100"/>
      <c r="AB448" s="363"/>
      <c r="AC448" s="363"/>
      <c r="AD448" s="100"/>
      <c r="AE448" s="100"/>
      <c r="AF448" s="100"/>
      <c r="AG448" s="100"/>
    </row>
    <row r="449" spans="1:33" ht="33">
      <c r="A449" s="100"/>
      <c r="B449" s="100"/>
      <c r="C449" s="100"/>
      <c r="D449" s="100"/>
      <c r="E449" s="100"/>
      <c r="F449" s="100"/>
      <c r="G449" s="100"/>
      <c r="H449" s="100"/>
      <c r="I449" s="100"/>
      <c r="J449" s="100"/>
      <c r="K449" s="100"/>
      <c r="L449" s="100"/>
      <c r="M449" s="100"/>
      <c r="N449" s="100"/>
      <c r="O449" s="100"/>
      <c r="P449" s="100"/>
      <c r="Q449" s="888"/>
      <c r="U449" s="890" t="s">
        <v>79</v>
      </c>
      <c r="V449" s="759" t="s">
        <v>3039</v>
      </c>
      <c r="W449" s="31" t="s">
        <v>3420</v>
      </c>
      <c r="X449" s="690" t="s">
        <v>3417</v>
      </c>
      <c r="Y449" s="690" t="s">
        <v>18</v>
      </c>
      <c r="Z449" s="8613">
        <f t="shared" si="21"/>
        <v>1098791.52</v>
      </c>
      <c r="AA449" s="100"/>
      <c r="AB449" s="363"/>
      <c r="AC449" s="363"/>
      <c r="AD449" s="100"/>
      <c r="AE449" s="100"/>
      <c r="AF449" s="100"/>
      <c r="AG449" s="100"/>
    </row>
    <row r="450" spans="1:33" ht="33">
      <c r="A450" s="100"/>
      <c r="B450" s="100"/>
      <c r="C450" s="100"/>
      <c r="D450" s="100"/>
      <c r="E450" s="100"/>
      <c r="F450" s="100"/>
      <c r="G450" s="100"/>
      <c r="H450" s="100"/>
      <c r="I450" s="100"/>
      <c r="J450" s="100"/>
      <c r="K450" s="100"/>
      <c r="L450" s="100"/>
      <c r="M450" s="100"/>
      <c r="N450" s="100"/>
      <c r="O450" s="100"/>
      <c r="P450" s="100"/>
      <c r="Q450" s="888"/>
      <c r="U450" s="890" t="s">
        <v>79</v>
      </c>
      <c r="V450" s="759" t="s">
        <v>3041</v>
      </c>
      <c r="W450" s="31" t="s">
        <v>3040</v>
      </c>
      <c r="X450" s="690" t="s">
        <v>3417</v>
      </c>
      <c r="Y450" s="690" t="s">
        <v>18</v>
      </c>
      <c r="Z450" s="8613">
        <f t="shared" si="21"/>
        <v>9500</v>
      </c>
      <c r="AA450" s="100"/>
      <c r="AB450" s="363"/>
      <c r="AC450" s="363"/>
      <c r="AD450" s="105"/>
      <c r="AE450" s="100"/>
      <c r="AF450" s="100"/>
      <c r="AG450" s="100"/>
    </row>
    <row r="451" spans="1:33" ht="33">
      <c r="A451" s="100"/>
      <c r="B451" s="100"/>
      <c r="C451" s="100"/>
      <c r="D451" s="100"/>
      <c r="E451" s="100"/>
      <c r="F451" s="100"/>
      <c r="G451" s="100"/>
      <c r="H451" s="100"/>
      <c r="I451" s="100"/>
      <c r="J451" s="100"/>
      <c r="K451" s="100"/>
      <c r="L451" s="100"/>
      <c r="M451" s="100"/>
      <c r="N451" s="100"/>
      <c r="O451" s="100"/>
      <c r="P451" s="100"/>
      <c r="Q451" s="888"/>
      <c r="U451" s="890" t="s">
        <v>79</v>
      </c>
      <c r="V451" s="759" t="s">
        <v>2507</v>
      </c>
      <c r="W451" s="31" t="s">
        <v>3044</v>
      </c>
      <c r="X451" s="690" t="s">
        <v>17</v>
      </c>
      <c r="Y451" s="690" t="s">
        <v>25</v>
      </c>
      <c r="Z451" s="8613">
        <f t="shared" si="21"/>
        <v>129543.64000000001</v>
      </c>
      <c r="AA451" s="100"/>
      <c r="AB451" s="363"/>
      <c r="AC451" s="363"/>
      <c r="AD451" s="100"/>
      <c r="AE451" s="886"/>
      <c r="AF451" s="886"/>
      <c r="AG451" s="100"/>
    </row>
    <row r="452" spans="1:33" ht="33">
      <c r="A452" s="100"/>
      <c r="B452" s="100"/>
      <c r="C452" s="100"/>
      <c r="D452" s="100"/>
      <c r="E452" s="100"/>
      <c r="F452" s="100"/>
      <c r="G452" s="100"/>
      <c r="H452" s="100"/>
      <c r="I452" s="100"/>
      <c r="J452" s="100"/>
      <c r="K452" s="100"/>
      <c r="L452" s="100"/>
      <c r="M452" s="100"/>
      <c r="N452" s="100"/>
      <c r="O452" s="100"/>
      <c r="P452" s="100"/>
      <c r="Q452" s="888"/>
      <c r="U452" s="890" t="s">
        <v>79</v>
      </c>
      <c r="V452" s="759" t="s">
        <v>39</v>
      </c>
      <c r="W452" s="31" t="s">
        <v>1107</v>
      </c>
      <c r="X452" s="690" t="s">
        <v>17</v>
      </c>
      <c r="Y452" s="690" t="s">
        <v>18</v>
      </c>
      <c r="Z452" s="8613">
        <f>AB80</f>
        <v>0</v>
      </c>
      <c r="AA452" s="100"/>
      <c r="AB452" s="363"/>
      <c r="AC452" s="363"/>
      <c r="AD452" s="100"/>
      <c r="AE452" s="886"/>
      <c r="AF452" s="886"/>
      <c r="AG452" s="100"/>
    </row>
    <row r="453" spans="1:33" ht="33">
      <c r="A453" s="100"/>
      <c r="B453" s="100"/>
      <c r="C453" s="100"/>
      <c r="D453" s="100"/>
      <c r="E453" s="100"/>
      <c r="F453" s="100"/>
      <c r="G453" s="100"/>
      <c r="H453" s="100"/>
      <c r="I453" s="100"/>
      <c r="J453" s="100"/>
      <c r="K453" s="100"/>
      <c r="L453" s="100"/>
      <c r="M453" s="100"/>
      <c r="N453" s="100"/>
      <c r="O453" s="100"/>
      <c r="P453" s="100"/>
      <c r="Q453" s="888"/>
      <c r="U453" s="639" t="s">
        <v>80</v>
      </c>
      <c r="V453" s="759" t="s">
        <v>2507</v>
      </c>
      <c r="W453" s="31" t="s">
        <v>3044</v>
      </c>
      <c r="X453" s="690" t="s">
        <v>17</v>
      </c>
      <c r="Y453" s="690" t="s">
        <v>26</v>
      </c>
      <c r="Z453" s="8613">
        <f>SUM(AB74)</f>
        <v>2400</v>
      </c>
      <c r="AA453" s="100"/>
      <c r="AB453" s="363"/>
      <c r="AC453" s="363"/>
      <c r="AD453" s="100"/>
      <c r="AE453" s="886"/>
      <c r="AF453" s="886"/>
      <c r="AG453" s="100"/>
    </row>
    <row r="454" spans="1:33" ht="18" customHeight="1" thickBot="1">
      <c r="A454" s="100"/>
      <c r="B454" s="100"/>
      <c r="C454" s="100"/>
      <c r="D454" s="100"/>
      <c r="E454" s="100"/>
      <c r="F454" s="100"/>
      <c r="G454" s="100"/>
      <c r="H454" s="100"/>
      <c r="I454" s="100"/>
      <c r="J454" s="100"/>
      <c r="K454" s="100"/>
      <c r="L454" s="100"/>
      <c r="M454" s="100"/>
      <c r="N454" s="100"/>
      <c r="O454" s="100"/>
      <c r="P454" s="100"/>
      <c r="Q454" s="379"/>
      <c r="U454" s="5930"/>
      <c r="V454" s="5931" t="s">
        <v>67</v>
      </c>
      <c r="W454" s="5932"/>
      <c r="X454" s="5932"/>
      <c r="Y454" s="5926" t="s">
        <v>292</v>
      </c>
      <c r="Z454" s="5939">
        <f>SUM(Z405:Z453)</f>
        <v>27593437.633999992</v>
      </c>
      <c r="AA454" s="100"/>
      <c r="AB454" s="363"/>
      <c r="AC454" s="363"/>
      <c r="AD454" s="100"/>
      <c r="AE454" s="886"/>
      <c r="AF454" s="886"/>
      <c r="AG454" s="100"/>
    </row>
    <row r="455" spans="1:33" ht="16.5" customHeight="1" thickTop="1">
      <c r="A455" s="100"/>
      <c r="B455" s="100"/>
      <c r="C455" s="100"/>
      <c r="D455" s="100"/>
      <c r="E455" s="100"/>
      <c r="F455" s="100"/>
      <c r="G455" s="100"/>
      <c r="H455" s="100"/>
      <c r="I455" s="100"/>
      <c r="J455" s="100"/>
      <c r="K455" s="100"/>
      <c r="L455" s="100"/>
      <c r="M455" s="100"/>
      <c r="N455" s="100"/>
      <c r="O455" s="100"/>
      <c r="P455" s="100"/>
      <c r="Q455" s="379"/>
      <c r="U455" s="100"/>
      <c r="V455" s="100"/>
      <c r="W455" s="105"/>
      <c r="X455" s="100"/>
      <c r="Y455" s="100"/>
      <c r="Z455" s="100"/>
      <c r="AA455" s="100"/>
      <c r="AB455" s="363"/>
      <c r="AC455" s="363"/>
      <c r="AD455" s="100"/>
      <c r="AE455" s="886"/>
      <c r="AF455" s="886"/>
      <c r="AG455" s="100"/>
    </row>
    <row r="456" spans="1:33" ht="16.5" customHeight="1">
      <c r="A456" s="100"/>
      <c r="B456" s="100"/>
      <c r="C456" s="100"/>
      <c r="D456" s="100"/>
      <c r="E456" s="100"/>
      <c r="F456" s="100"/>
      <c r="G456" s="100"/>
      <c r="H456" s="100"/>
      <c r="I456" s="100"/>
      <c r="J456" s="100"/>
      <c r="K456" s="100"/>
      <c r="L456" s="100"/>
      <c r="M456" s="100"/>
      <c r="N456" s="100"/>
      <c r="O456" s="100"/>
      <c r="P456" s="100"/>
      <c r="Q456" s="83"/>
      <c r="T456" s="100"/>
      <c r="U456" s="100"/>
      <c r="V456" s="100"/>
      <c r="W456" s="105"/>
      <c r="X456" s="100"/>
      <c r="Y456" s="100"/>
      <c r="Z456" s="100"/>
      <c r="AA456" s="100"/>
      <c r="AB456" s="363"/>
      <c r="AC456" s="363"/>
      <c r="AD456" s="100"/>
      <c r="AE456" s="886"/>
      <c r="AF456" s="886"/>
      <c r="AG456" s="100"/>
    </row>
    <row r="457" spans="1:33" ht="16.5" customHeight="1">
      <c r="A457" s="100"/>
      <c r="B457" s="100"/>
      <c r="C457" s="100"/>
      <c r="D457" s="100"/>
      <c r="E457" s="100"/>
      <c r="F457" s="100"/>
      <c r="G457" s="100"/>
      <c r="H457" s="100"/>
      <c r="I457" s="100"/>
      <c r="J457" s="100"/>
      <c r="K457" s="100"/>
      <c r="L457" s="100"/>
      <c r="M457" s="100"/>
      <c r="N457" s="100"/>
      <c r="O457" s="100"/>
      <c r="P457" s="100"/>
      <c r="Q457" s="83"/>
      <c r="T457" s="100"/>
      <c r="U457" s="8764" t="s">
        <v>356</v>
      </c>
      <c r="V457" s="10380"/>
      <c r="W457" s="10381"/>
      <c r="X457" s="105"/>
      <c r="Y457" s="107" t="s">
        <v>357</v>
      </c>
      <c r="Z457" s="101" t="str">
        <f>IF(Z454=AB399,"OK","NO")</f>
        <v>OK</v>
      </c>
      <c r="AA457" s="100"/>
      <c r="AB457" s="363"/>
      <c r="AC457" s="363"/>
      <c r="AD457" s="100"/>
      <c r="AE457" s="886"/>
      <c r="AF457" s="886"/>
      <c r="AG457" s="100"/>
    </row>
    <row r="458" spans="1:33" ht="16.5" customHeight="1">
      <c r="A458" s="100"/>
      <c r="B458" s="100"/>
      <c r="C458" s="100"/>
      <c r="D458" s="100"/>
      <c r="E458" s="100"/>
      <c r="F458" s="100"/>
      <c r="G458" s="100"/>
      <c r="H458" s="100"/>
      <c r="I458" s="100"/>
      <c r="J458" s="100"/>
      <c r="K458" s="100"/>
      <c r="L458" s="100"/>
      <c r="M458" s="100"/>
      <c r="N458" s="100"/>
      <c r="O458" s="100"/>
      <c r="P458" s="100"/>
      <c r="Q458" s="379"/>
      <c r="U458" s="8766" t="s">
        <v>3430</v>
      </c>
      <c r="V458" s="9193"/>
      <c r="W458" s="878">
        <f>+Z433+Z434+Z435+Z438+Z451+Z441</f>
        <v>1458646.7884</v>
      </c>
      <c r="X458" s="105"/>
      <c r="Y458" s="100"/>
      <c r="Z458" s="101" t="str">
        <f>IF(W462=AB399,"OK","NO")</f>
        <v>OK</v>
      </c>
      <c r="AA458" s="100"/>
      <c r="AB458" s="363"/>
      <c r="AC458" s="363"/>
      <c r="AD458" s="100"/>
      <c r="AE458" s="100"/>
      <c r="AF458" s="2190"/>
      <c r="AG458" s="886"/>
    </row>
    <row r="459" spans="1:33" ht="16.5" customHeight="1">
      <c r="A459" s="100"/>
      <c r="B459" s="100"/>
      <c r="C459" s="100"/>
      <c r="D459" s="100"/>
      <c r="E459" s="100"/>
      <c r="F459" s="100"/>
      <c r="G459" s="100"/>
      <c r="H459" s="100"/>
      <c r="I459" s="100"/>
      <c r="J459" s="100"/>
      <c r="K459" s="100"/>
      <c r="L459" s="100"/>
      <c r="M459" s="100"/>
      <c r="N459" s="100"/>
      <c r="O459" s="100"/>
      <c r="P459" s="100"/>
      <c r="Q459" s="83"/>
      <c r="U459" s="8755" t="s">
        <v>3431</v>
      </c>
      <c r="V459" s="9187"/>
      <c r="W459" s="879">
        <f>+Z424+Z453</f>
        <v>3700</v>
      </c>
      <c r="X459" s="108"/>
      <c r="Y459" s="100"/>
      <c r="Z459" s="101" t="str">
        <f>IF(W472=AB399,"OK","NO")</f>
        <v>OK</v>
      </c>
      <c r="AA459" s="329"/>
      <c r="AB459" s="372"/>
      <c r="AC459" s="372"/>
      <c r="AD459" s="100"/>
      <c r="AE459" s="100"/>
      <c r="AF459" s="886"/>
      <c r="AG459" s="886"/>
    </row>
    <row r="460" spans="1:33" ht="16.5" customHeight="1">
      <c r="A460" s="100"/>
      <c r="B460" s="100"/>
      <c r="C460" s="100"/>
      <c r="D460" s="100"/>
      <c r="E460" s="100"/>
      <c r="F460" s="100"/>
      <c r="G460" s="100"/>
      <c r="H460" s="100"/>
      <c r="I460" s="100"/>
      <c r="J460" s="100"/>
      <c r="K460" s="100"/>
      <c r="L460" s="100"/>
      <c r="M460" s="100"/>
      <c r="N460" s="100"/>
      <c r="O460" s="100"/>
      <c r="P460" s="100"/>
      <c r="Q460" s="83"/>
      <c r="R460" s="886"/>
      <c r="U460" s="8755" t="s">
        <v>3432</v>
      </c>
      <c r="V460" s="9187"/>
      <c r="W460" s="879">
        <f>+SUM(Z405:Z418)+SUM(Z420:Z423)+SUM(Z425:Z432)+SUM(Z444:Z450)+Z419+Z452+Z442+Z443+Z439</f>
        <v>25612864.095600002</v>
      </c>
      <c r="X460" s="105"/>
      <c r="Y460" s="100"/>
      <c r="Z460" s="101" t="str">
        <f>IF(Resumen!C418=AB399,"OK","NO")</f>
        <v>OK</v>
      </c>
      <c r="AA460" s="100"/>
      <c r="AB460" s="363"/>
      <c r="AC460" s="363"/>
      <c r="AD460" s="100"/>
      <c r="AE460" s="100"/>
      <c r="AF460" s="886"/>
      <c r="AG460" s="886"/>
    </row>
    <row r="461" spans="1:33" ht="16.5" customHeight="1">
      <c r="A461" s="100"/>
      <c r="B461" s="100"/>
      <c r="C461" s="100"/>
      <c r="D461" s="100"/>
      <c r="E461" s="100"/>
      <c r="F461" s="100"/>
      <c r="G461" s="100"/>
      <c r="H461" s="100"/>
      <c r="I461" s="100"/>
      <c r="J461" s="100"/>
      <c r="K461" s="100"/>
      <c r="L461" s="100"/>
      <c r="M461" s="100"/>
      <c r="N461" s="100"/>
      <c r="O461" s="100"/>
      <c r="P461" s="100"/>
      <c r="Q461" s="83"/>
      <c r="U461" s="8755" t="s">
        <v>661</v>
      </c>
      <c r="V461" s="9187"/>
      <c r="W461" s="880">
        <f>+Z436+Z437+Z440</f>
        <v>518226.75</v>
      </c>
      <c r="X461" s="105"/>
      <c r="Y461" s="100"/>
      <c r="Z461" s="100"/>
      <c r="AA461" s="329"/>
      <c r="AB461" s="372"/>
      <c r="AC461" s="372"/>
      <c r="AD461" s="100"/>
      <c r="AE461" s="100"/>
      <c r="AF461" s="886"/>
      <c r="AG461" s="886"/>
    </row>
    <row r="462" spans="1:33" ht="16.5" customHeight="1">
      <c r="A462" s="100"/>
      <c r="B462" s="100"/>
      <c r="C462" s="100"/>
      <c r="D462" s="100"/>
      <c r="E462" s="100"/>
      <c r="F462" s="100"/>
      <c r="G462" s="100"/>
      <c r="H462" s="100"/>
      <c r="I462" s="100"/>
      <c r="J462" s="100"/>
      <c r="K462" s="100"/>
      <c r="L462" s="100"/>
      <c r="M462" s="100"/>
      <c r="N462" s="100"/>
      <c r="O462" s="100"/>
      <c r="P462" s="100"/>
      <c r="Q462" s="379"/>
      <c r="U462" s="9371" t="s">
        <v>67</v>
      </c>
      <c r="V462" s="10382"/>
      <c r="W462" s="881">
        <f>SUM(W458:W461)</f>
        <v>27593437.634000003</v>
      </c>
      <c r="X462" s="105"/>
      <c r="Y462" s="100"/>
      <c r="Z462" s="100"/>
      <c r="AA462" s="100"/>
      <c r="AB462" s="363"/>
      <c r="AC462" s="363"/>
      <c r="AD462" s="100"/>
      <c r="AE462" s="100"/>
      <c r="AF462" s="886"/>
      <c r="AG462" s="886"/>
    </row>
    <row r="463" spans="1:33" ht="16.5" customHeight="1">
      <c r="A463" s="100"/>
      <c r="B463" s="100"/>
      <c r="C463" s="100"/>
      <c r="D463" s="100"/>
      <c r="E463" s="100"/>
      <c r="F463" s="100"/>
      <c r="G463" s="100"/>
      <c r="H463" s="100"/>
      <c r="I463" s="100"/>
      <c r="J463" s="100"/>
      <c r="K463" s="100"/>
      <c r="L463" s="100"/>
      <c r="M463" s="100"/>
      <c r="N463" s="100"/>
      <c r="O463" s="100"/>
      <c r="P463" s="100"/>
      <c r="Q463" s="83"/>
      <c r="U463" s="8758" t="s">
        <v>362</v>
      </c>
      <c r="V463" s="10383"/>
      <c r="W463" s="10384"/>
      <c r="X463" s="108"/>
      <c r="Y463" s="100"/>
      <c r="Z463" s="100"/>
      <c r="AA463" s="100"/>
      <c r="AB463" s="363"/>
      <c r="AC463" s="363"/>
      <c r="AD463" s="100"/>
      <c r="AE463" s="100"/>
      <c r="AF463" s="886"/>
      <c r="AG463" s="886"/>
    </row>
    <row r="464" spans="1:33" ht="16.5" customHeight="1">
      <c r="A464" s="100"/>
      <c r="B464" s="100"/>
      <c r="C464" s="100"/>
      <c r="D464" s="100"/>
      <c r="E464" s="100"/>
      <c r="F464" s="100"/>
      <c r="G464" s="100"/>
      <c r="H464" s="100"/>
      <c r="I464" s="100"/>
      <c r="J464" s="100"/>
      <c r="K464" s="100"/>
      <c r="L464" s="100"/>
      <c r="M464" s="100"/>
      <c r="N464" s="100"/>
      <c r="O464" s="100"/>
      <c r="P464" s="100"/>
      <c r="Q464" s="83"/>
      <c r="U464" s="8760" t="s">
        <v>363</v>
      </c>
      <c r="V464" s="9193"/>
      <c r="W464" s="878">
        <f>+SUM(Z405:Z423)+SUM(Z444:Z450)+Z442+Z443+Z439</f>
        <v>25509089.09</v>
      </c>
      <c r="X464" s="108"/>
      <c r="Y464" s="125"/>
      <c r="Z464" s="125"/>
      <c r="AA464" s="100"/>
      <c r="AB464" s="363"/>
      <c r="AC464" s="363"/>
      <c r="AD464" s="100"/>
      <c r="AE464" s="100"/>
      <c r="AF464" s="886"/>
      <c r="AG464" s="886"/>
    </row>
    <row r="465" spans="1:33" ht="16.5" customHeight="1">
      <c r="A465" s="100"/>
      <c r="B465" s="100"/>
      <c r="C465" s="100"/>
      <c r="D465" s="100"/>
      <c r="E465" s="100"/>
      <c r="F465" s="100"/>
      <c r="G465" s="100"/>
      <c r="H465" s="100"/>
      <c r="I465" s="100"/>
      <c r="J465" s="100"/>
      <c r="K465" s="100"/>
      <c r="L465" s="100"/>
      <c r="M465" s="100"/>
      <c r="N465" s="100"/>
      <c r="O465" s="100"/>
      <c r="P465" s="100"/>
      <c r="Q465" s="83"/>
      <c r="U465" s="8932" t="s">
        <v>3433</v>
      </c>
      <c r="V465" s="9187"/>
      <c r="W465" s="879">
        <f>+SUM(Z424:Z432)+Z451+Z453</f>
        <v>237018.64560000002</v>
      </c>
      <c r="X465" s="108"/>
      <c r="Y465" s="100"/>
      <c r="Z465" s="100"/>
      <c r="AA465" s="100"/>
      <c r="AB465" s="363"/>
      <c r="AC465" s="363"/>
      <c r="AD465" s="100"/>
      <c r="AE465" s="100"/>
      <c r="AF465" s="82"/>
      <c r="AG465" s="886"/>
    </row>
    <row r="466" spans="1:33" ht="16.5" customHeight="1">
      <c r="A466" s="100"/>
      <c r="B466" s="100"/>
      <c r="C466" s="100"/>
      <c r="D466" s="100"/>
      <c r="E466" s="100"/>
      <c r="F466" s="100"/>
      <c r="G466" s="100"/>
      <c r="H466" s="100"/>
      <c r="I466" s="100"/>
      <c r="J466" s="100"/>
      <c r="K466" s="100"/>
      <c r="L466" s="100"/>
      <c r="M466" s="100"/>
      <c r="N466" s="100"/>
      <c r="O466" s="100"/>
      <c r="P466" s="100"/>
      <c r="Q466" s="83"/>
      <c r="U466" s="8932" t="s">
        <v>3434</v>
      </c>
      <c r="V466" s="9187"/>
      <c r="W466" s="879">
        <f>+Z433</f>
        <v>1569.27</v>
      </c>
      <c r="X466" s="109"/>
      <c r="Y466" s="100"/>
      <c r="Z466" s="100"/>
      <c r="AA466" s="100"/>
      <c r="AB466" s="363"/>
      <c r="AC466" s="363"/>
      <c r="AD466" s="100"/>
      <c r="AE466" s="100"/>
      <c r="AF466" s="82"/>
      <c r="AG466" s="886"/>
    </row>
    <row r="467" spans="1:33" ht="16.5" customHeight="1">
      <c r="A467" s="100"/>
      <c r="B467" s="100"/>
      <c r="C467" s="100"/>
      <c r="D467" s="100"/>
      <c r="E467" s="100"/>
      <c r="F467" s="100"/>
      <c r="G467" s="100"/>
      <c r="H467" s="100"/>
      <c r="I467" s="100"/>
      <c r="J467" s="100"/>
      <c r="K467" s="100"/>
      <c r="L467" s="100"/>
      <c r="M467" s="100"/>
      <c r="N467" s="100"/>
      <c r="O467" s="100"/>
      <c r="P467" s="100"/>
      <c r="Q467" s="83"/>
      <c r="U467" s="8932" t="s">
        <v>3435</v>
      </c>
      <c r="V467" s="9187"/>
      <c r="W467" s="879">
        <f>+Z434+Z435</f>
        <v>1114088.9783999999</v>
      </c>
      <c r="X467" s="105"/>
      <c r="Y467" s="100"/>
      <c r="Z467" s="100"/>
      <c r="AA467" s="100"/>
      <c r="AB467" s="363"/>
      <c r="AC467" s="363"/>
      <c r="AD467" s="100"/>
      <c r="AE467" s="100"/>
      <c r="AF467" s="886"/>
      <c r="AG467" s="886"/>
    </row>
    <row r="468" spans="1:33" ht="16.5" customHeight="1">
      <c r="A468" s="100"/>
      <c r="B468" s="100"/>
      <c r="C468" s="100"/>
      <c r="D468" s="100"/>
      <c r="E468" s="100"/>
      <c r="F468" s="100"/>
      <c r="G468" s="100"/>
      <c r="H468" s="100"/>
      <c r="I468" s="100"/>
      <c r="J468" s="100"/>
      <c r="K468" s="100"/>
      <c r="L468" s="100"/>
      <c r="M468" s="100"/>
      <c r="N468" s="100"/>
      <c r="O468" s="100"/>
      <c r="P468" s="100"/>
      <c r="Q468" s="83"/>
      <c r="U468" s="8932" t="s">
        <v>3436</v>
      </c>
      <c r="V468" s="9187"/>
      <c r="W468" s="879">
        <f>+Z436+Z437+Z440+Z441</f>
        <v>730626.75</v>
      </c>
      <c r="X468" s="110"/>
      <c r="Y468" s="100"/>
      <c r="Z468" s="100"/>
      <c r="AA468" s="100"/>
      <c r="AB468" s="363"/>
      <c r="AC468" s="363"/>
      <c r="AD468" s="100"/>
      <c r="AE468" s="100"/>
      <c r="AF468" s="886"/>
      <c r="AG468" s="100"/>
    </row>
    <row r="469" spans="1:33" ht="16.5" customHeight="1">
      <c r="A469" s="100"/>
      <c r="B469" s="100"/>
      <c r="C469" s="100"/>
      <c r="D469" s="100"/>
      <c r="E469" s="100"/>
      <c r="F469" s="100"/>
      <c r="G469" s="100"/>
      <c r="H469" s="100"/>
      <c r="I469" s="100"/>
      <c r="J469" s="100"/>
      <c r="K469" s="100"/>
      <c r="L469" s="100"/>
      <c r="M469" s="100"/>
      <c r="N469" s="100"/>
      <c r="O469" s="100"/>
      <c r="P469" s="100"/>
      <c r="Q469" s="83"/>
      <c r="U469" s="8932" t="s">
        <v>3437</v>
      </c>
      <c r="V469" s="9187"/>
      <c r="W469" s="879">
        <v>0</v>
      </c>
      <c r="X469" s="110"/>
      <c r="Y469" s="100"/>
      <c r="Z469" s="100"/>
      <c r="AA469" s="100"/>
      <c r="AB469" s="363"/>
      <c r="AC469" s="363"/>
      <c r="AD469" s="100"/>
      <c r="AE469" s="100"/>
      <c r="AG469" s="100"/>
    </row>
    <row r="470" spans="1:33" ht="16.5" customHeight="1">
      <c r="A470" s="100"/>
      <c r="B470" s="100"/>
      <c r="C470" s="100"/>
      <c r="D470" s="100"/>
      <c r="E470" s="100"/>
      <c r="F470" s="100"/>
      <c r="G470" s="100"/>
      <c r="H470" s="100"/>
      <c r="I470" s="100"/>
      <c r="J470" s="100"/>
      <c r="K470" s="100"/>
      <c r="L470" s="100"/>
      <c r="M470" s="100"/>
      <c r="N470" s="100"/>
      <c r="O470" s="100"/>
      <c r="P470" s="100"/>
      <c r="Q470" s="83"/>
      <c r="U470" s="8932" t="s">
        <v>3438</v>
      </c>
      <c r="V470" s="9187"/>
      <c r="W470" s="879">
        <f>+Z438+Z452</f>
        <v>1044.9000000000001</v>
      </c>
      <c r="X470" s="110"/>
      <c r="Y470" s="100"/>
      <c r="Z470" s="100"/>
      <c r="AA470" s="100"/>
      <c r="AB470" s="363"/>
      <c r="AC470" s="363"/>
      <c r="AD470" s="100"/>
      <c r="AE470" s="100"/>
      <c r="AG470" s="100"/>
    </row>
    <row r="471" spans="1:33" ht="16.5" customHeight="1">
      <c r="A471" s="100"/>
      <c r="B471" s="100"/>
      <c r="C471" s="100"/>
      <c r="D471" s="100"/>
      <c r="E471" s="100"/>
      <c r="F471" s="100"/>
      <c r="G471" s="100"/>
      <c r="H471" s="100"/>
      <c r="I471" s="100"/>
      <c r="J471" s="100"/>
      <c r="K471" s="100"/>
      <c r="L471" s="100"/>
      <c r="M471" s="100"/>
      <c r="N471" s="100"/>
      <c r="O471" s="100"/>
      <c r="P471" s="100"/>
      <c r="Q471" s="83"/>
      <c r="U471" s="8932" t="s">
        <v>3439</v>
      </c>
      <c r="V471" s="9187"/>
      <c r="W471" s="880">
        <v>0</v>
      </c>
      <c r="X471" s="111"/>
      <c r="Y471" s="100"/>
      <c r="Z471" s="100"/>
      <c r="AA471" s="100"/>
      <c r="AB471" s="363"/>
      <c r="AC471" s="363"/>
      <c r="AD471" s="100"/>
      <c r="AE471" s="100"/>
      <c r="AG471" s="100"/>
    </row>
    <row r="472" spans="1:33" ht="16.5" customHeight="1">
      <c r="A472" s="100"/>
      <c r="B472" s="100"/>
      <c r="C472" s="100"/>
      <c r="D472" s="100"/>
      <c r="E472" s="100"/>
      <c r="F472" s="100"/>
      <c r="G472" s="100"/>
      <c r="H472" s="100"/>
      <c r="I472" s="100"/>
      <c r="J472" s="100"/>
      <c r="K472" s="100"/>
      <c r="L472" s="100"/>
      <c r="M472" s="100"/>
      <c r="N472" s="100"/>
      <c r="O472" s="100"/>
      <c r="P472" s="100"/>
      <c r="Q472" s="83"/>
      <c r="U472" s="8927" t="s">
        <v>67</v>
      </c>
      <c r="V472" s="9188"/>
      <c r="W472" s="790">
        <f>SUM(W464:W471)</f>
        <v>27593437.633999996</v>
      </c>
      <c r="X472" s="109">
        <f>W472-Z454</f>
        <v>0</v>
      </c>
      <c r="Y472" s="100"/>
      <c r="Z472" s="100"/>
      <c r="AA472" s="100"/>
      <c r="AB472" s="363"/>
      <c r="AC472" s="363"/>
      <c r="AD472" s="100"/>
      <c r="AE472" s="100"/>
      <c r="AG472" s="100"/>
    </row>
    <row r="473" spans="1:33" ht="16.5" customHeight="1">
      <c r="A473" s="100"/>
      <c r="B473" s="100"/>
      <c r="C473" s="100"/>
      <c r="D473" s="100"/>
      <c r="E473" s="100"/>
      <c r="F473" s="100"/>
      <c r="G473" s="100"/>
      <c r="H473" s="100"/>
      <c r="I473" s="100"/>
      <c r="J473" s="100"/>
      <c r="K473" s="100"/>
      <c r="L473" s="100"/>
      <c r="M473" s="100"/>
      <c r="N473" s="100"/>
      <c r="O473" s="100"/>
      <c r="P473" s="100"/>
      <c r="Q473" s="83"/>
      <c r="U473" s="100"/>
      <c r="V473" s="100"/>
      <c r="W473" s="109"/>
      <c r="X473" s="100"/>
      <c r="Y473" s="100"/>
      <c r="Z473" s="100"/>
      <c r="AA473" s="100"/>
      <c r="AB473" s="363"/>
      <c r="AC473" s="363"/>
      <c r="AD473" s="100"/>
      <c r="AE473" s="100"/>
      <c r="AG473" s="100"/>
    </row>
    <row r="474" spans="1:33" ht="16.5" customHeight="1">
      <c r="A474" s="100"/>
      <c r="B474" s="100"/>
      <c r="C474" s="100"/>
      <c r="D474" s="100"/>
      <c r="E474" s="100"/>
      <c r="F474" s="100"/>
      <c r="G474" s="100"/>
      <c r="H474" s="100"/>
      <c r="I474" s="100"/>
      <c r="J474" s="100"/>
      <c r="K474" s="100"/>
      <c r="L474" s="100"/>
      <c r="M474" s="100"/>
      <c r="N474" s="100"/>
      <c r="O474" s="100"/>
      <c r="P474" s="100"/>
      <c r="Q474" s="379"/>
      <c r="Z474" s="100"/>
      <c r="AA474" s="100"/>
      <c r="AB474" s="363"/>
      <c r="AC474" s="363"/>
      <c r="AD474" s="100"/>
      <c r="AE474" s="100"/>
      <c r="AG474" s="100"/>
    </row>
    <row r="475" spans="1:33" ht="15.75" customHeight="1">
      <c r="AB475" s="803"/>
      <c r="AD475" s="434"/>
    </row>
    <row r="476" spans="1:33" ht="15.75" customHeight="1">
      <c r="AB476" s="803"/>
      <c r="AD476" s="434"/>
    </row>
    <row r="477" spans="1:33" ht="15.75" customHeight="1">
      <c r="AB477" s="803"/>
      <c r="AD477" s="434"/>
    </row>
    <row r="478" spans="1:33" ht="15.75" customHeight="1">
      <c r="AB478" s="803"/>
      <c r="AD478" s="434"/>
    </row>
    <row r="479" spans="1:33" ht="15.75" customHeight="1">
      <c r="AB479" s="803"/>
      <c r="AD479" s="434"/>
    </row>
  </sheetData>
  <mergeCells count="1121">
    <mergeCell ref="K243:K247"/>
    <mergeCell ref="AH228:AH232"/>
    <mergeCell ref="J228:J232"/>
    <mergeCell ref="K228:K232"/>
    <mergeCell ref="L228:L232"/>
    <mergeCell ref="M228:M232"/>
    <mergeCell ref="N228:N232"/>
    <mergeCell ref="O228:O232"/>
    <mergeCell ref="P228:P232"/>
    <mergeCell ref="Q233:Q237"/>
    <mergeCell ref="R233:R237"/>
    <mergeCell ref="AH233:AH237"/>
    <mergeCell ref="J233:J237"/>
    <mergeCell ref="K233:K237"/>
    <mergeCell ref="L233:L237"/>
    <mergeCell ref="AH223:AH227"/>
    <mergeCell ref="J223:J227"/>
    <mergeCell ref="O223:O227"/>
    <mergeCell ref="P223:P227"/>
    <mergeCell ref="N223:N227"/>
    <mergeCell ref="J203:J207"/>
    <mergeCell ref="AH269:AH273"/>
    <mergeCell ref="M259:M263"/>
    <mergeCell ref="N259:N263"/>
    <mergeCell ref="O259:O263"/>
    <mergeCell ref="P259:P263"/>
    <mergeCell ref="Q238:Q242"/>
    <mergeCell ref="R238:R242"/>
    <mergeCell ref="AH238:AH242"/>
    <mergeCell ref="J238:J242"/>
    <mergeCell ref="K238:K242"/>
    <mergeCell ref="L238:L242"/>
    <mergeCell ref="M238:M242"/>
    <mergeCell ref="N238:N242"/>
    <mergeCell ref="O238:O242"/>
    <mergeCell ref="P238:P242"/>
    <mergeCell ref="N248:N252"/>
    <mergeCell ref="O248:O252"/>
    <mergeCell ref="P248:P252"/>
    <mergeCell ref="Q259:Q263"/>
    <mergeCell ref="R259:R263"/>
    <mergeCell ref="AH259:AH263"/>
    <mergeCell ref="L243:L247"/>
    <mergeCell ref="M243:M247"/>
    <mergeCell ref="N243:N247"/>
    <mergeCell ref="O243:O247"/>
    <mergeCell ref="P243:P247"/>
    <mergeCell ref="Q248:Q252"/>
    <mergeCell ref="M264:M268"/>
    <mergeCell ref="N264:N268"/>
    <mergeCell ref="O264:O268"/>
    <mergeCell ref="P264:P268"/>
    <mergeCell ref="N213:N217"/>
    <mergeCell ref="O213:O217"/>
    <mergeCell ref="P213:P217"/>
    <mergeCell ref="Q218:Q222"/>
    <mergeCell ref="R218:R222"/>
    <mergeCell ref="AH218:AH222"/>
    <mergeCell ref="Q289:Q293"/>
    <mergeCell ref="M233:M237"/>
    <mergeCell ref="N233:N237"/>
    <mergeCell ref="O233:O237"/>
    <mergeCell ref="P233:P237"/>
    <mergeCell ref="R182:R186"/>
    <mergeCell ref="AH182:AH186"/>
    <mergeCell ref="J182:J186"/>
    <mergeCell ref="K182:K186"/>
    <mergeCell ref="L182:L186"/>
    <mergeCell ref="M182:M186"/>
    <mergeCell ref="N182:N186"/>
    <mergeCell ref="K192:K196"/>
    <mergeCell ref="L192:L196"/>
    <mergeCell ref="M192:M196"/>
    <mergeCell ref="N192:N196"/>
    <mergeCell ref="O192:O196"/>
    <mergeCell ref="P192:P196"/>
    <mergeCell ref="O182:O186"/>
    <mergeCell ref="P182:P186"/>
    <mergeCell ref="Q187:Q191"/>
    <mergeCell ref="R187:R191"/>
    <mergeCell ref="AH187:AH191"/>
    <mergeCell ref="J187:J191"/>
    <mergeCell ref="K187:K191"/>
    <mergeCell ref="L187:L191"/>
    <mergeCell ref="P198:P202"/>
    <mergeCell ref="C197:R197"/>
    <mergeCell ref="S197:Z197"/>
    <mergeCell ref="AE197:AH197"/>
    <mergeCell ref="L213:L217"/>
    <mergeCell ref="K203:K207"/>
    <mergeCell ref="L203:L207"/>
    <mergeCell ref="M203:M207"/>
    <mergeCell ref="N203:N207"/>
    <mergeCell ref="O203:O207"/>
    <mergeCell ref="P203:P207"/>
    <mergeCell ref="Q254:Q258"/>
    <mergeCell ref="R254:R258"/>
    <mergeCell ref="AH254:AH258"/>
    <mergeCell ref="J254:J258"/>
    <mergeCell ref="K254:K258"/>
    <mergeCell ref="L254:L258"/>
    <mergeCell ref="M254:M258"/>
    <mergeCell ref="N254:N258"/>
    <mergeCell ref="O254:O258"/>
    <mergeCell ref="AH248:AH252"/>
    <mergeCell ref="J248:J252"/>
    <mergeCell ref="K248:K252"/>
    <mergeCell ref="L248:L252"/>
    <mergeCell ref="M248:M252"/>
    <mergeCell ref="Q243:Q247"/>
    <mergeCell ref="R243:R247"/>
    <mergeCell ref="AH243:AH247"/>
    <mergeCell ref="J243:J247"/>
    <mergeCell ref="K213:K217"/>
    <mergeCell ref="M213:M217"/>
    <mergeCell ref="Q203:Q207"/>
    <mergeCell ref="R203:R207"/>
    <mergeCell ref="AH203:AH207"/>
    <mergeCell ref="S253:Z253"/>
    <mergeCell ref="Q172:Q176"/>
    <mergeCell ref="Q111:Q115"/>
    <mergeCell ref="AH274:AH278"/>
    <mergeCell ref="J269:J273"/>
    <mergeCell ref="K269:K273"/>
    <mergeCell ref="AH172:AH176"/>
    <mergeCell ref="J172:J176"/>
    <mergeCell ref="K172:K176"/>
    <mergeCell ref="L172:L176"/>
    <mergeCell ref="M172:M176"/>
    <mergeCell ref="N172:N176"/>
    <mergeCell ref="O172:O176"/>
    <mergeCell ref="P172:P176"/>
    <mergeCell ref="Q177:Q181"/>
    <mergeCell ref="R177:R181"/>
    <mergeCell ref="AH177:AH181"/>
    <mergeCell ref="J177:J181"/>
    <mergeCell ref="K177:K181"/>
    <mergeCell ref="L177:L181"/>
    <mergeCell ref="M177:M181"/>
    <mergeCell ref="N177:N181"/>
    <mergeCell ref="O177:O181"/>
    <mergeCell ref="P177:P181"/>
    <mergeCell ref="AH264:AH268"/>
    <mergeCell ref="Q213:Q217"/>
    <mergeCell ref="R213:R217"/>
    <mergeCell ref="AH213:AH217"/>
    <mergeCell ref="J213:J217"/>
    <mergeCell ref="O187:O191"/>
    <mergeCell ref="P187:P191"/>
    <mergeCell ref="Q192:Q196"/>
    <mergeCell ref="R192:R196"/>
    <mergeCell ref="AH192:AH196"/>
    <mergeCell ref="J192:J196"/>
    <mergeCell ref="R106:R110"/>
    <mergeCell ref="O99:O105"/>
    <mergeCell ref="F34:F38"/>
    <mergeCell ref="G34:G38"/>
    <mergeCell ref="H34:H38"/>
    <mergeCell ref="I34:I38"/>
    <mergeCell ref="N94:N98"/>
    <mergeCell ref="O94:O98"/>
    <mergeCell ref="P94:P98"/>
    <mergeCell ref="Q94:Q98"/>
    <mergeCell ref="R94:R98"/>
    <mergeCell ref="L39:L43"/>
    <mergeCell ref="M39:M43"/>
    <mergeCell ref="F39:F43"/>
    <mergeCell ref="G39:G43"/>
    <mergeCell ref="H39:H43"/>
    <mergeCell ref="P44:P83"/>
    <mergeCell ref="L94:L98"/>
    <mergeCell ref="M187:M191"/>
    <mergeCell ref="N187:N191"/>
    <mergeCell ref="I116:I120"/>
    <mergeCell ref="J116:J120"/>
    <mergeCell ref="K116:K120"/>
    <mergeCell ref="M84:M88"/>
    <mergeCell ref="K162:K166"/>
    <mergeCell ref="L162:L166"/>
    <mergeCell ref="P142:P146"/>
    <mergeCell ref="J6:R6"/>
    <mergeCell ref="S6:AH6"/>
    <mergeCell ref="S7:Y7"/>
    <mergeCell ref="AE7:AG7"/>
    <mergeCell ref="AH7:AH8"/>
    <mergeCell ref="R7:R8"/>
    <mergeCell ref="L34:L38"/>
    <mergeCell ref="M34:M38"/>
    <mergeCell ref="N34:N38"/>
    <mergeCell ref="O34:O38"/>
    <mergeCell ref="P34:P38"/>
    <mergeCell ref="L29:L33"/>
    <mergeCell ref="M29:M33"/>
    <mergeCell ref="N29:N33"/>
    <mergeCell ref="O29:O33"/>
    <mergeCell ref="P29:P33"/>
    <mergeCell ref="J34:J38"/>
    <mergeCell ref="K34:K38"/>
    <mergeCell ref="Z7:AD7"/>
    <mergeCell ref="Q34:Q38"/>
    <mergeCell ref="R34:R38"/>
    <mergeCell ref="R24:R28"/>
    <mergeCell ref="P9:P13"/>
    <mergeCell ref="P7:P8"/>
    <mergeCell ref="K14:K18"/>
    <mergeCell ref="J19:J23"/>
    <mergeCell ref="K19:K23"/>
    <mergeCell ref="M19:M23"/>
    <mergeCell ref="N19:N23"/>
    <mergeCell ref="C7:C8"/>
    <mergeCell ref="D7:D8"/>
    <mergeCell ref="A9:A399"/>
    <mergeCell ref="N14:N18"/>
    <mergeCell ref="O14:O18"/>
    <mergeCell ref="P14:P18"/>
    <mergeCell ref="Q14:Q18"/>
    <mergeCell ref="R14:R18"/>
    <mergeCell ref="Q7:Q8"/>
    <mergeCell ref="E7:E8"/>
    <mergeCell ref="F7:F8"/>
    <mergeCell ref="E9:E13"/>
    <mergeCell ref="F9:F13"/>
    <mergeCell ref="G9:G13"/>
    <mergeCell ref="H9:H13"/>
    <mergeCell ref="I9:I13"/>
    <mergeCell ref="Q19:Q23"/>
    <mergeCell ref="R19:R23"/>
    <mergeCell ref="K7:K8"/>
    <mergeCell ref="I24:I28"/>
    <mergeCell ref="J24:J28"/>
    <mergeCell ref="K24:K28"/>
    <mergeCell ref="L7:L8"/>
    <mergeCell ref="L19:L23"/>
    <mergeCell ref="C84:C88"/>
    <mergeCell ref="Q264:Q268"/>
    <mergeCell ref="R172:R176"/>
    <mergeCell ref="Q182:Q186"/>
    <mergeCell ref="N198:N202"/>
    <mergeCell ref="O198:O202"/>
    <mergeCell ref="L264:L268"/>
    <mergeCell ref="R29:R33"/>
    <mergeCell ref="E29:E33"/>
    <mergeCell ref="F29:F33"/>
    <mergeCell ref="G29:G33"/>
    <mergeCell ref="H29:H33"/>
    <mergeCell ref="I29:I33"/>
    <mergeCell ref="J29:J33"/>
    <mergeCell ref="K29:K33"/>
    <mergeCell ref="E34:E38"/>
    <mergeCell ref="A1:AH1"/>
    <mergeCell ref="A2:AH2"/>
    <mergeCell ref="A3:AH3"/>
    <mergeCell ref="A4:AH4"/>
    <mergeCell ref="A6:B8"/>
    <mergeCell ref="C6:D6"/>
    <mergeCell ref="E6:I6"/>
    <mergeCell ref="Q9:Q13"/>
    <mergeCell ref="R9:R13"/>
    <mergeCell ref="AH9:AH13"/>
    <mergeCell ref="J9:J13"/>
    <mergeCell ref="K9:K13"/>
    <mergeCell ref="L9:L13"/>
    <mergeCell ref="M9:M13"/>
    <mergeCell ref="N9:N13"/>
    <mergeCell ref="O9:O13"/>
    <mergeCell ref="C14:C18"/>
    <mergeCell ref="B9:B136"/>
    <mergeCell ref="G7:G8"/>
    <mergeCell ref="H7:H8"/>
    <mergeCell ref="I7:I8"/>
    <mergeCell ref="J7:J8"/>
    <mergeCell ref="M7:O7"/>
    <mergeCell ref="J14:J18"/>
    <mergeCell ref="D19:D23"/>
    <mergeCell ref="C24:C28"/>
    <mergeCell ref="D24:D28"/>
    <mergeCell ref="C29:C33"/>
    <mergeCell ref="D29:D33"/>
    <mergeCell ref="D84:D88"/>
    <mergeCell ref="E24:E28"/>
    <mergeCell ref="F24:F28"/>
    <mergeCell ref="G24:G28"/>
    <mergeCell ref="H24:H28"/>
    <mergeCell ref="Q29:Q33"/>
    <mergeCell ref="Q116:Q120"/>
    <mergeCell ref="N106:N110"/>
    <mergeCell ref="O106:O110"/>
    <mergeCell ref="O111:O115"/>
    <mergeCell ref="N116:N120"/>
    <mergeCell ref="O116:O120"/>
    <mergeCell ref="P116:P120"/>
    <mergeCell ref="M94:M98"/>
    <mergeCell ref="N99:N105"/>
    <mergeCell ref="J89:J93"/>
    <mergeCell ref="K89:K93"/>
    <mergeCell ref="K84:K88"/>
    <mergeCell ref="C19:C23"/>
    <mergeCell ref="E19:E23"/>
    <mergeCell ref="F19:F23"/>
    <mergeCell ref="G19:G23"/>
    <mergeCell ref="H19:H23"/>
    <mergeCell ref="I19:I23"/>
    <mergeCell ref="L24:L28"/>
    <mergeCell ref="M24:M28"/>
    <mergeCell ref="C34:C38"/>
    <mergeCell ref="D34:D38"/>
    <mergeCell ref="N24:N28"/>
    <mergeCell ref="O24:O28"/>
    <mergeCell ref="P24:P28"/>
    <mergeCell ref="Q24:Q28"/>
    <mergeCell ref="O19:O23"/>
    <mergeCell ref="P19:P23"/>
    <mergeCell ref="J121:J125"/>
    <mergeCell ref="K121:K125"/>
    <mergeCell ref="L121:L125"/>
    <mergeCell ref="R111:R115"/>
    <mergeCell ref="N39:N43"/>
    <mergeCell ref="O39:O43"/>
    <mergeCell ref="P39:P43"/>
    <mergeCell ref="Q39:Q43"/>
    <mergeCell ref="R39:R43"/>
    <mergeCell ref="G84:G88"/>
    <mergeCell ref="H84:H88"/>
    <mergeCell ref="I84:I88"/>
    <mergeCell ref="I39:I43"/>
    <mergeCell ref="R116:R120"/>
    <mergeCell ref="M44:M83"/>
    <mergeCell ref="N44:N83"/>
    <mergeCell ref="O44:O83"/>
    <mergeCell ref="J39:J43"/>
    <mergeCell ref="K39:K43"/>
    <mergeCell ref="H106:H110"/>
    <mergeCell ref="I106:I110"/>
    <mergeCell ref="J106:J110"/>
    <mergeCell ref="K106:K110"/>
    <mergeCell ref="L106:L110"/>
    <mergeCell ref="M106:M110"/>
    <mergeCell ref="O131:O135"/>
    <mergeCell ref="AH142:AH146"/>
    <mergeCell ref="J142:J146"/>
    <mergeCell ref="K142:K146"/>
    <mergeCell ref="L147:L151"/>
    <mergeCell ref="M147:M151"/>
    <mergeCell ref="N147:N151"/>
    <mergeCell ref="O147:O151"/>
    <mergeCell ref="P147:P151"/>
    <mergeCell ref="Q147:Q151"/>
    <mergeCell ref="R147:R151"/>
    <mergeCell ref="AH147:AH151"/>
    <mergeCell ref="J147:J151"/>
    <mergeCell ref="K147:K151"/>
    <mergeCell ref="AH137:AH141"/>
    <mergeCell ref="K137:K141"/>
    <mergeCell ref="L137:L141"/>
    <mergeCell ref="M137:M141"/>
    <mergeCell ref="N137:N141"/>
    <mergeCell ref="O137:O141"/>
    <mergeCell ref="P137:P141"/>
    <mergeCell ref="Q137:Q141"/>
    <mergeCell ref="AH152:AH156"/>
    <mergeCell ref="J152:J156"/>
    <mergeCell ref="K152:K156"/>
    <mergeCell ref="C126:C130"/>
    <mergeCell ref="D126:D130"/>
    <mergeCell ref="C131:C135"/>
    <mergeCell ref="D131:D135"/>
    <mergeCell ref="P131:P135"/>
    <mergeCell ref="Q131:Q135"/>
    <mergeCell ref="AH131:AH135"/>
    <mergeCell ref="AE136:AH136"/>
    <mergeCell ref="I131:I135"/>
    <mergeCell ref="J131:J135"/>
    <mergeCell ref="K131:K135"/>
    <mergeCell ref="Q126:Q130"/>
    <mergeCell ref="R126:R130"/>
    <mergeCell ref="I126:I130"/>
    <mergeCell ref="J126:J130"/>
    <mergeCell ref="K126:K130"/>
    <mergeCell ref="F137:F141"/>
    <mergeCell ref="G137:G141"/>
    <mergeCell ref="H137:H141"/>
    <mergeCell ref="I137:I141"/>
    <mergeCell ref="J137:J141"/>
    <mergeCell ref="R131:R135"/>
    <mergeCell ref="S136:Z136"/>
    <mergeCell ref="L131:L135"/>
    <mergeCell ref="D137:D141"/>
    <mergeCell ref="D142:D146"/>
    <mergeCell ref="M131:M135"/>
    <mergeCell ref="Q142:Q146"/>
    <mergeCell ref="R142:R146"/>
    <mergeCell ref="C106:C110"/>
    <mergeCell ref="D106:D110"/>
    <mergeCell ref="D111:D115"/>
    <mergeCell ref="E126:E130"/>
    <mergeCell ref="F126:F130"/>
    <mergeCell ref="G126:G130"/>
    <mergeCell ref="H126:H130"/>
    <mergeCell ref="D162:D166"/>
    <mergeCell ref="E162:E166"/>
    <mergeCell ref="F162:F166"/>
    <mergeCell ref="G162:G166"/>
    <mergeCell ref="H162:H166"/>
    <mergeCell ref="C116:C120"/>
    <mergeCell ref="C121:C125"/>
    <mergeCell ref="G131:G135"/>
    <mergeCell ref="H131:H135"/>
    <mergeCell ref="C136:R136"/>
    <mergeCell ref="L152:L156"/>
    <mergeCell ref="M152:M156"/>
    <mergeCell ref="N152:N156"/>
    <mergeCell ref="O152:O156"/>
    <mergeCell ref="P152:P156"/>
    <mergeCell ref="Q157:Q161"/>
    <mergeCell ref="R157:R161"/>
    <mergeCell ref="Q121:Q125"/>
    <mergeCell ref="R121:R125"/>
    <mergeCell ref="J157:J161"/>
    <mergeCell ref="K157:K161"/>
    <mergeCell ref="L157:L161"/>
    <mergeCell ref="M157:M161"/>
    <mergeCell ref="N157:N161"/>
    <mergeCell ref="O157:O161"/>
    <mergeCell ref="E157:E161"/>
    <mergeCell ref="F157:F161"/>
    <mergeCell ref="G157:G161"/>
    <mergeCell ref="H157:H161"/>
    <mergeCell ref="I157:I161"/>
    <mergeCell ref="D147:D151"/>
    <mergeCell ref="D152:D156"/>
    <mergeCell ref="E152:E156"/>
    <mergeCell ref="F152:F156"/>
    <mergeCell ref="G152:G156"/>
    <mergeCell ref="H152:H156"/>
    <mergeCell ref="I152:I156"/>
    <mergeCell ref="D157:D161"/>
    <mergeCell ref="I89:I93"/>
    <mergeCell ref="E131:E135"/>
    <mergeCell ref="E137:E141"/>
    <mergeCell ref="E116:E120"/>
    <mergeCell ref="D116:D120"/>
    <mergeCell ref="D121:D125"/>
    <mergeCell ref="E121:E125"/>
    <mergeCell ref="F121:F125"/>
    <mergeCell ref="G121:G125"/>
    <mergeCell ref="E89:E93"/>
    <mergeCell ref="F89:F93"/>
    <mergeCell ref="G89:G93"/>
    <mergeCell ref="F131:F135"/>
    <mergeCell ref="D89:D93"/>
    <mergeCell ref="D94:D98"/>
    <mergeCell ref="D99:D105"/>
    <mergeCell ref="F116:F120"/>
    <mergeCell ref="G116:G120"/>
    <mergeCell ref="H116:H120"/>
    <mergeCell ref="I177:I181"/>
    <mergeCell ref="E182:E186"/>
    <mergeCell ref="F182:F186"/>
    <mergeCell ref="AH116:AH120"/>
    <mergeCell ref="AH121:AH125"/>
    <mergeCell ref="AH126:AH130"/>
    <mergeCell ref="L116:L120"/>
    <mergeCell ref="M116:M120"/>
    <mergeCell ref="Q167:Q171"/>
    <mergeCell ref="R167:R171"/>
    <mergeCell ref="AH167:AH171"/>
    <mergeCell ref="J167:J171"/>
    <mergeCell ref="K167:K171"/>
    <mergeCell ref="L167:L171"/>
    <mergeCell ref="M167:M171"/>
    <mergeCell ref="N167:N171"/>
    <mergeCell ref="O167:O171"/>
    <mergeCell ref="P167:P171"/>
    <mergeCell ref="L142:L146"/>
    <mergeCell ref="M142:M146"/>
    <mergeCell ref="N142:N146"/>
    <mergeCell ref="O142:O146"/>
    <mergeCell ref="E142:E146"/>
    <mergeCell ref="F142:F146"/>
    <mergeCell ref="G142:G146"/>
    <mergeCell ref="H142:H146"/>
    <mergeCell ref="I162:I166"/>
    <mergeCell ref="L126:L130"/>
    <mergeCell ref="AH157:AH161"/>
    <mergeCell ref="P157:P161"/>
    <mergeCell ref="AH162:AH166"/>
    <mergeCell ref="J162:J166"/>
    <mergeCell ref="C228:C232"/>
    <mergeCell ref="D228:D232"/>
    <mergeCell ref="E243:E247"/>
    <mergeCell ref="F243:F247"/>
    <mergeCell ref="C167:C171"/>
    <mergeCell ref="I167:I171"/>
    <mergeCell ref="E147:E151"/>
    <mergeCell ref="F147:F151"/>
    <mergeCell ref="G147:G151"/>
    <mergeCell ref="H147:H151"/>
    <mergeCell ref="I147:I151"/>
    <mergeCell ref="D167:D171"/>
    <mergeCell ref="D172:D176"/>
    <mergeCell ref="C177:C181"/>
    <mergeCell ref="C182:C186"/>
    <mergeCell ref="D177:D181"/>
    <mergeCell ref="D182:D186"/>
    <mergeCell ref="C187:C191"/>
    <mergeCell ref="C192:C196"/>
    <mergeCell ref="D187:D191"/>
    <mergeCell ref="D192:D196"/>
    <mergeCell ref="G172:G176"/>
    <mergeCell ref="H172:H176"/>
    <mergeCell ref="E167:E171"/>
    <mergeCell ref="F167:F171"/>
    <mergeCell ref="G167:G171"/>
    <mergeCell ref="F172:F176"/>
    <mergeCell ref="E172:E176"/>
    <mergeCell ref="E177:E181"/>
    <mergeCell ref="F177:F181"/>
    <mergeCell ref="G177:G181"/>
    <mergeCell ref="H177:H181"/>
    <mergeCell ref="H182:H186"/>
    <mergeCell ref="I182:I186"/>
    <mergeCell ref="H187:H191"/>
    <mergeCell ref="I187:I191"/>
    <mergeCell ref="H192:H196"/>
    <mergeCell ref="D238:D242"/>
    <mergeCell ref="I192:I196"/>
    <mergeCell ref="G238:G242"/>
    <mergeCell ref="H238:H242"/>
    <mergeCell ref="F238:F242"/>
    <mergeCell ref="I238:I242"/>
    <mergeCell ref="E238:E242"/>
    <mergeCell ref="H203:H207"/>
    <mergeCell ref="I203:I207"/>
    <mergeCell ref="H208:H212"/>
    <mergeCell ref="I208:I212"/>
    <mergeCell ref="H213:H217"/>
    <mergeCell ref="I213:I217"/>
    <mergeCell ref="F203:F207"/>
    <mergeCell ref="G203:G207"/>
    <mergeCell ref="E208:E212"/>
    <mergeCell ref="F208:F212"/>
    <mergeCell ref="G208:G212"/>
    <mergeCell ref="F213:F217"/>
    <mergeCell ref="G213:G217"/>
    <mergeCell ref="H223:H227"/>
    <mergeCell ref="E213:E217"/>
    <mergeCell ref="E218:E222"/>
    <mergeCell ref="F218:F222"/>
    <mergeCell ref="D218:D222"/>
    <mergeCell ref="D223:D227"/>
    <mergeCell ref="I223:I227"/>
    <mergeCell ref="G243:G247"/>
    <mergeCell ref="H243:H247"/>
    <mergeCell ref="I243:I247"/>
    <mergeCell ref="E248:E252"/>
    <mergeCell ref="F248:F252"/>
    <mergeCell ref="G248:G252"/>
    <mergeCell ref="E254:E258"/>
    <mergeCell ref="F254:F258"/>
    <mergeCell ref="G254:G258"/>
    <mergeCell ref="H254:H258"/>
    <mergeCell ref="I254:I258"/>
    <mergeCell ref="G264:G268"/>
    <mergeCell ref="H264:H268"/>
    <mergeCell ref="F274:F278"/>
    <mergeCell ref="G274:G278"/>
    <mergeCell ref="L99:L105"/>
    <mergeCell ref="M99:M105"/>
    <mergeCell ref="L198:L202"/>
    <mergeCell ref="M198:M202"/>
    <mergeCell ref="G218:G222"/>
    <mergeCell ref="H218:H222"/>
    <mergeCell ref="I218:I222"/>
    <mergeCell ref="E223:E227"/>
    <mergeCell ref="E203:E207"/>
    <mergeCell ref="F223:F227"/>
    <mergeCell ref="L218:L222"/>
    <mergeCell ref="M218:M222"/>
    <mergeCell ref="H274:H278"/>
    <mergeCell ref="I274:I278"/>
    <mergeCell ref="J274:J278"/>
    <mergeCell ref="K274:K278"/>
    <mergeCell ref="L274:L278"/>
    <mergeCell ref="C233:C237"/>
    <mergeCell ref="D233:D237"/>
    <mergeCell ref="G223:G227"/>
    <mergeCell ref="E228:E232"/>
    <mergeCell ref="F228:F232"/>
    <mergeCell ref="G228:G232"/>
    <mergeCell ref="H228:H232"/>
    <mergeCell ref="I228:I232"/>
    <mergeCell ref="D198:D202"/>
    <mergeCell ref="C203:C207"/>
    <mergeCell ref="D203:D207"/>
    <mergeCell ref="C208:C212"/>
    <mergeCell ref="D208:D212"/>
    <mergeCell ref="C213:C217"/>
    <mergeCell ref="D213:D217"/>
    <mergeCell ref="C218:C222"/>
    <mergeCell ref="N111:N115"/>
    <mergeCell ref="N131:N135"/>
    <mergeCell ref="E233:E237"/>
    <mergeCell ref="F233:F237"/>
    <mergeCell ref="G233:G237"/>
    <mergeCell ref="H233:H237"/>
    <mergeCell ref="I233:I237"/>
    <mergeCell ref="C172:C176"/>
    <mergeCell ref="G182:G186"/>
    <mergeCell ref="E187:E191"/>
    <mergeCell ref="F187:F191"/>
    <mergeCell ref="G187:G191"/>
    <mergeCell ref="F192:F196"/>
    <mergeCell ref="J198:J202"/>
    <mergeCell ref="K198:K202"/>
    <mergeCell ref="C111:C115"/>
    <mergeCell ref="M121:M125"/>
    <mergeCell ref="N121:N125"/>
    <mergeCell ref="O121:O125"/>
    <mergeCell ref="P121:P125"/>
    <mergeCell ref="H121:H125"/>
    <mergeCell ref="I121:I125"/>
    <mergeCell ref="H89:H93"/>
    <mergeCell ref="L111:L115"/>
    <mergeCell ref="M111:M115"/>
    <mergeCell ref="R137:R141"/>
    <mergeCell ref="N218:N222"/>
    <mergeCell ref="O218:O222"/>
    <mergeCell ref="P218:P222"/>
    <mergeCell ref="Q223:Q227"/>
    <mergeCell ref="R223:R227"/>
    <mergeCell ref="M274:M278"/>
    <mergeCell ref="I142:I146"/>
    <mergeCell ref="Q162:Q166"/>
    <mergeCell ref="R162:R166"/>
    <mergeCell ref="M162:M166"/>
    <mergeCell ref="N162:N166"/>
    <mergeCell ref="O162:O166"/>
    <mergeCell ref="P162:P166"/>
    <mergeCell ref="Q152:Q156"/>
    <mergeCell ref="R152:R156"/>
    <mergeCell ref="M126:M130"/>
    <mergeCell ref="N126:N130"/>
    <mergeCell ref="O126:O130"/>
    <mergeCell ref="P126:P130"/>
    <mergeCell ref="H198:H202"/>
    <mergeCell ref="I198:I202"/>
    <mergeCell ref="I172:I176"/>
    <mergeCell ref="E279:E283"/>
    <mergeCell ref="F279:F283"/>
    <mergeCell ref="G279:G283"/>
    <mergeCell ref="H279:H283"/>
    <mergeCell ref="I279:I283"/>
    <mergeCell ref="G289:G293"/>
    <mergeCell ref="H289:H293"/>
    <mergeCell ref="E284:E288"/>
    <mergeCell ref="F284:F288"/>
    <mergeCell ref="G284:G288"/>
    <mergeCell ref="H284:H288"/>
    <mergeCell ref="I284:I288"/>
    <mergeCell ref="F289:F293"/>
    <mergeCell ref="I289:I293"/>
    <mergeCell ref="H300:H304"/>
    <mergeCell ref="I300:I304"/>
    <mergeCell ref="E289:E293"/>
    <mergeCell ref="E294:E298"/>
    <mergeCell ref="F294:F298"/>
    <mergeCell ref="G294:G298"/>
    <mergeCell ref="H294:H298"/>
    <mergeCell ref="I294:I298"/>
    <mergeCell ref="E300:E304"/>
    <mergeCell ref="F300:F304"/>
    <mergeCell ref="G300:G304"/>
    <mergeCell ref="C299:R299"/>
    <mergeCell ref="P300:P304"/>
    <mergeCell ref="R300:R304"/>
    <mergeCell ref="J284:J288"/>
    <mergeCell ref="C39:C43"/>
    <mergeCell ref="D39:D43"/>
    <mergeCell ref="C44:C83"/>
    <mergeCell ref="D44:D83"/>
    <mergeCell ref="E44:E83"/>
    <mergeCell ref="F44:F83"/>
    <mergeCell ref="G44:G83"/>
    <mergeCell ref="H44:H83"/>
    <mergeCell ref="I44:I83"/>
    <mergeCell ref="Q44:Q83"/>
    <mergeCell ref="R44:R83"/>
    <mergeCell ref="J44:J83"/>
    <mergeCell ref="K44:K83"/>
    <mergeCell ref="L44:L83"/>
    <mergeCell ref="E39:E43"/>
    <mergeCell ref="I99:I105"/>
    <mergeCell ref="J99:J105"/>
    <mergeCell ref="K99:K105"/>
    <mergeCell ref="R89:R93"/>
    <mergeCell ref="L84:L88"/>
    <mergeCell ref="F84:F88"/>
    <mergeCell ref="C89:C93"/>
    <mergeCell ref="C94:C98"/>
    <mergeCell ref="C99:C105"/>
    <mergeCell ref="N84:N88"/>
    <mergeCell ref="O84:O88"/>
    <mergeCell ref="P84:P88"/>
    <mergeCell ref="L89:L93"/>
    <mergeCell ref="M89:M93"/>
    <mergeCell ref="N89:N93"/>
    <mergeCell ref="O89:O93"/>
    <mergeCell ref="P89:P93"/>
    <mergeCell ref="R99:R105"/>
    <mergeCell ref="P111:P115"/>
    <mergeCell ref="AH39:AH43"/>
    <mergeCell ref="AH44:AH83"/>
    <mergeCell ref="AH84:AH88"/>
    <mergeCell ref="L14:L18"/>
    <mergeCell ref="M14:M18"/>
    <mergeCell ref="AH14:AH18"/>
    <mergeCell ref="AH19:AH23"/>
    <mergeCell ref="AH24:AH28"/>
    <mergeCell ref="AH29:AH33"/>
    <mergeCell ref="AH34:AH38"/>
    <mergeCell ref="Q84:Q88"/>
    <mergeCell ref="R84:R88"/>
    <mergeCell ref="J84:J88"/>
    <mergeCell ref="E84:E88"/>
    <mergeCell ref="AH89:AH93"/>
    <mergeCell ref="AH94:AH98"/>
    <mergeCell ref="E94:E98"/>
    <mergeCell ref="F94:F98"/>
    <mergeCell ref="G94:G98"/>
    <mergeCell ref="H94:H98"/>
    <mergeCell ref="I94:I98"/>
    <mergeCell ref="J94:J98"/>
    <mergeCell ref="K94:K98"/>
    <mergeCell ref="Q106:Q110"/>
    <mergeCell ref="Q89:Q93"/>
    <mergeCell ref="E14:E18"/>
    <mergeCell ref="F14:F18"/>
    <mergeCell ref="G14:G18"/>
    <mergeCell ref="H14:H18"/>
    <mergeCell ref="I14:I18"/>
    <mergeCell ref="AH111:AH115"/>
    <mergeCell ref="E111:E115"/>
    <mergeCell ref="F111:F115"/>
    <mergeCell ref="G111:G115"/>
    <mergeCell ref="H111:H115"/>
    <mergeCell ref="I111:I115"/>
    <mergeCell ref="J111:J115"/>
    <mergeCell ref="K111:K115"/>
    <mergeCell ref="AH99:AH105"/>
    <mergeCell ref="E99:E105"/>
    <mergeCell ref="F99:F105"/>
    <mergeCell ref="G99:G105"/>
    <mergeCell ref="H99:H105"/>
    <mergeCell ref="Q208:Q212"/>
    <mergeCell ref="R208:R212"/>
    <mergeCell ref="AH208:AH212"/>
    <mergeCell ref="J208:J212"/>
    <mergeCell ref="K208:K212"/>
    <mergeCell ref="L208:L212"/>
    <mergeCell ref="M208:M212"/>
    <mergeCell ref="N208:N212"/>
    <mergeCell ref="O208:O212"/>
    <mergeCell ref="P208:P212"/>
    <mergeCell ref="H167:H171"/>
    <mergeCell ref="AH106:AH110"/>
    <mergeCell ref="E106:E110"/>
    <mergeCell ref="F106:F110"/>
    <mergeCell ref="G106:G110"/>
    <mergeCell ref="P106:P110"/>
    <mergeCell ref="P99:P105"/>
    <mergeCell ref="Q99:Q105"/>
    <mergeCell ref="G192:G196"/>
    <mergeCell ref="J218:J222"/>
    <mergeCell ref="K218:K222"/>
    <mergeCell ref="K223:K227"/>
    <mergeCell ref="E192:E196"/>
    <mergeCell ref="E198:E202"/>
    <mergeCell ref="F198:F202"/>
    <mergeCell ref="G198:G202"/>
    <mergeCell ref="C223:C227"/>
    <mergeCell ref="AH198:AH202"/>
    <mergeCell ref="L223:L227"/>
    <mergeCell ref="M223:M227"/>
    <mergeCell ref="N274:N278"/>
    <mergeCell ref="Q279:Q283"/>
    <mergeCell ref="R279:R283"/>
    <mergeCell ref="J279:J283"/>
    <mergeCell ref="K279:K283"/>
    <mergeCell ref="L279:L283"/>
    <mergeCell ref="M279:M283"/>
    <mergeCell ref="N279:N283"/>
    <mergeCell ref="O279:O283"/>
    <mergeCell ref="P279:P283"/>
    <mergeCell ref="Q198:Q202"/>
    <mergeCell ref="R198:R202"/>
    <mergeCell ref="H248:H252"/>
    <mergeCell ref="I248:I252"/>
    <mergeCell ref="R264:R268"/>
    <mergeCell ref="M269:M273"/>
    <mergeCell ref="N269:N273"/>
    <mergeCell ref="O269:O273"/>
    <mergeCell ref="P269:P273"/>
    <mergeCell ref="Q228:Q232"/>
    <mergeCell ref="R228:R232"/>
    <mergeCell ref="J259:J263"/>
    <mergeCell ref="K259:K263"/>
    <mergeCell ref="L259:L263"/>
    <mergeCell ref="R248:R252"/>
    <mergeCell ref="Q269:Q273"/>
    <mergeCell ref="R269:R273"/>
    <mergeCell ref="P254:P258"/>
    <mergeCell ref="J264:J268"/>
    <mergeCell ref="Q274:Q278"/>
    <mergeCell ref="R274:R278"/>
    <mergeCell ref="AH300:AH304"/>
    <mergeCell ref="AH305:AH329"/>
    <mergeCell ref="AH330:AH334"/>
    <mergeCell ref="AH335:AH355"/>
    <mergeCell ref="AH356:AH360"/>
    <mergeCell ref="S398:Z398"/>
    <mergeCell ref="AE398:AH398"/>
    <mergeCell ref="O305:O329"/>
    <mergeCell ref="P305:P329"/>
    <mergeCell ref="L335:L355"/>
    <mergeCell ref="M335:M355"/>
    <mergeCell ref="N335:N355"/>
    <mergeCell ref="O335:O355"/>
    <mergeCell ref="P335:P355"/>
    <mergeCell ref="Q335:Q355"/>
    <mergeCell ref="R335:R355"/>
    <mergeCell ref="N378:N382"/>
    <mergeCell ref="AH279:AH283"/>
    <mergeCell ref="L269:L273"/>
    <mergeCell ref="AH284:AH288"/>
    <mergeCell ref="AH289:AH293"/>
    <mergeCell ref="AE253:AH253"/>
    <mergeCell ref="AE399:AH399"/>
    <mergeCell ref="K264:K268"/>
    <mergeCell ref="E368:E372"/>
    <mergeCell ref="F368:F372"/>
    <mergeCell ref="G368:G372"/>
    <mergeCell ref="H368:H372"/>
    <mergeCell ref="I368:I372"/>
    <mergeCell ref="R289:R293"/>
    <mergeCell ref="J289:J293"/>
    <mergeCell ref="K289:K293"/>
    <mergeCell ref="L289:L293"/>
    <mergeCell ref="M289:M293"/>
    <mergeCell ref="N289:N293"/>
    <mergeCell ref="O289:O293"/>
    <mergeCell ref="P289:P293"/>
    <mergeCell ref="J294:J298"/>
    <mergeCell ref="K294:K298"/>
    <mergeCell ref="L294:L298"/>
    <mergeCell ref="M294:M298"/>
    <mergeCell ref="N294:N298"/>
    <mergeCell ref="O294:O298"/>
    <mergeCell ref="P294:P298"/>
    <mergeCell ref="Q294:Q298"/>
    <mergeCell ref="Q284:Q288"/>
    <mergeCell ref="R284:R288"/>
    <mergeCell ref="E378:E382"/>
    <mergeCell ref="F378:F382"/>
    <mergeCell ref="G378:G382"/>
    <mergeCell ref="H378:H382"/>
    <mergeCell ref="I378:I382"/>
    <mergeCell ref="J378:J382"/>
    <mergeCell ref="K378:K382"/>
    <mergeCell ref="S400:AH400"/>
    <mergeCell ref="P373:P377"/>
    <mergeCell ref="Q373:Q377"/>
    <mergeCell ref="R373:R377"/>
    <mergeCell ref="L388:L392"/>
    <mergeCell ref="M388:M392"/>
    <mergeCell ref="N388:N392"/>
    <mergeCell ref="O388:O392"/>
    <mergeCell ref="P388:P392"/>
    <mergeCell ref="Q388:Q392"/>
    <mergeCell ref="R388:R392"/>
    <mergeCell ref="K335:K355"/>
    <mergeCell ref="L305:L329"/>
    <mergeCell ref="K284:K288"/>
    <mergeCell ref="L284:L288"/>
    <mergeCell ref="M284:M288"/>
    <mergeCell ref="N284:N288"/>
    <mergeCell ref="O284:O288"/>
    <mergeCell ref="P284:P288"/>
    <mergeCell ref="R294:R298"/>
    <mergeCell ref="Q305:Q329"/>
    <mergeCell ref="R305:R329"/>
    <mergeCell ref="K305:K329"/>
    <mergeCell ref="AH294:AH298"/>
    <mergeCell ref="S299:Z299"/>
    <mergeCell ref="AE299:AH299"/>
    <mergeCell ref="R330:R334"/>
    <mergeCell ref="O378:O382"/>
    <mergeCell ref="P378:P382"/>
    <mergeCell ref="Q378:Q382"/>
    <mergeCell ref="R378:R382"/>
    <mergeCell ref="N305:N329"/>
    <mergeCell ref="U402:Z402"/>
    <mergeCell ref="AH361:AH367"/>
    <mergeCell ref="AH368:AH372"/>
    <mergeCell ref="AH373:AH377"/>
    <mergeCell ref="AH378:AH382"/>
    <mergeCell ref="AH383:AH387"/>
    <mergeCell ref="AH388:AH392"/>
    <mergeCell ref="AH393:AH397"/>
    <mergeCell ref="D356:D360"/>
    <mergeCell ref="C361:C367"/>
    <mergeCell ref="D361:D367"/>
    <mergeCell ref="C368:C372"/>
    <mergeCell ref="D368:D372"/>
    <mergeCell ref="L361:L367"/>
    <mergeCell ref="M361:M367"/>
    <mergeCell ref="N361:N367"/>
    <mergeCell ref="O361:O367"/>
    <mergeCell ref="P361:P367"/>
    <mergeCell ref="Q361:Q367"/>
    <mergeCell ref="R361:R367"/>
    <mergeCell ref="E361:E367"/>
    <mergeCell ref="F361:F367"/>
    <mergeCell ref="G361:G367"/>
    <mergeCell ref="H361:H367"/>
    <mergeCell ref="I361:I367"/>
    <mergeCell ref="J361:J367"/>
    <mergeCell ref="K361:K367"/>
    <mergeCell ref="L368:L372"/>
    <mergeCell ref="M368:M372"/>
    <mergeCell ref="N368:N372"/>
    <mergeCell ref="O368:O372"/>
    <mergeCell ref="O373:O377"/>
    <mergeCell ref="U457:W457"/>
    <mergeCell ref="U458:V458"/>
    <mergeCell ref="U459:V459"/>
    <mergeCell ref="U460:V460"/>
    <mergeCell ref="U461:V461"/>
    <mergeCell ref="U462:V462"/>
    <mergeCell ref="U463:W463"/>
    <mergeCell ref="U471:V471"/>
    <mergeCell ref="U472:V472"/>
    <mergeCell ref="U464:V464"/>
    <mergeCell ref="U465:V465"/>
    <mergeCell ref="U466:V466"/>
    <mergeCell ref="U467:V467"/>
    <mergeCell ref="U468:V468"/>
    <mergeCell ref="U469:V469"/>
    <mergeCell ref="U470:V470"/>
    <mergeCell ref="E259:E263"/>
    <mergeCell ref="F259:F263"/>
    <mergeCell ref="G259:G263"/>
    <mergeCell ref="H259:H263"/>
    <mergeCell ref="I259:I263"/>
    <mergeCell ref="F264:F268"/>
    <mergeCell ref="I264:I268"/>
    <mergeCell ref="E264:E268"/>
    <mergeCell ref="E269:E273"/>
    <mergeCell ref="F269:F273"/>
    <mergeCell ref="G269:G273"/>
    <mergeCell ref="H269:H273"/>
    <mergeCell ref="I269:I273"/>
    <mergeCell ref="E274:E278"/>
    <mergeCell ref="O274:O278"/>
    <mergeCell ref="P274:P278"/>
    <mergeCell ref="B137:B197"/>
    <mergeCell ref="C137:C141"/>
    <mergeCell ref="C142:C146"/>
    <mergeCell ref="C147:C151"/>
    <mergeCell ref="C152:C156"/>
    <mergeCell ref="C157:C161"/>
    <mergeCell ref="C162:C166"/>
    <mergeCell ref="D254:D258"/>
    <mergeCell ref="D259:D263"/>
    <mergeCell ref="D264:D268"/>
    <mergeCell ref="D269:D273"/>
    <mergeCell ref="D274:D278"/>
    <mergeCell ref="D279:D283"/>
    <mergeCell ref="C284:C288"/>
    <mergeCell ref="C289:C293"/>
    <mergeCell ref="B254:B299"/>
    <mergeCell ref="C254:C258"/>
    <mergeCell ref="C259:C263"/>
    <mergeCell ref="C264:C268"/>
    <mergeCell ref="C269:C273"/>
    <mergeCell ref="C274:C278"/>
    <mergeCell ref="C279:C283"/>
    <mergeCell ref="C294:C298"/>
    <mergeCell ref="D284:D288"/>
    <mergeCell ref="D289:D293"/>
    <mergeCell ref="D243:D247"/>
    <mergeCell ref="D248:D252"/>
    <mergeCell ref="B198:B253"/>
    <mergeCell ref="C198:C202"/>
    <mergeCell ref="C238:C242"/>
    <mergeCell ref="C243:C247"/>
    <mergeCell ref="C248:C252"/>
    <mergeCell ref="C9:C13"/>
    <mergeCell ref="D9:D13"/>
    <mergeCell ref="D14:D18"/>
    <mergeCell ref="D294:D298"/>
    <mergeCell ref="C300:C304"/>
    <mergeCell ref="D300:D304"/>
    <mergeCell ref="C305:C329"/>
    <mergeCell ref="D305:D329"/>
    <mergeCell ref="C330:C334"/>
    <mergeCell ref="D330:D334"/>
    <mergeCell ref="C335:C355"/>
    <mergeCell ref="D335:D355"/>
    <mergeCell ref="C356:C360"/>
    <mergeCell ref="C398:R398"/>
    <mergeCell ref="L330:L334"/>
    <mergeCell ref="M330:M334"/>
    <mergeCell ref="N330:N334"/>
    <mergeCell ref="O330:O334"/>
    <mergeCell ref="P330:P334"/>
    <mergeCell ref="Q330:Q334"/>
    <mergeCell ref="N373:N377"/>
    <mergeCell ref="J300:J304"/>
    <mergeCell ref="K300:K304"/>
    <mergeCell ref="L300:L304"/>
    <mergeCell ref="M300:M304"/>
    <mergeCell ref="N300:N304"/>
    <mergeCell ref="O300:O304"/>
    <mergeCell ref="Q300:Q304"/>
    <mergeCell ref="P368:P372"/>
    <mergeCell ref="Q368:Q372"/>
    <mergeCell ref="R368:R372"/>
    <mergeCell ref="M305:M329"/>
    <mergeCell ref="B300:B398"/>
    <mergeCell ref="C373:C377"/>
    <mergeCell ref="D373:D377"/>
    <mergeCell ref="C378:C382"/>
    <mergeCell ref="D378:D382"/>
    <mergeCell ref="C383:C387"/>
    <mergeCell ref="D383:D387"/>
    <mergeCell ref="C388:C392"/>
    <mergeCell ref="D388:D392"/>
    <mergeCell ref="C393:C397"/>
    <mergeCell ref="D393:D397"/>
    <mergeCell ref="G373:G377"/>
    <mergeCell ref="H373:H377"/>
    <mergeCell ref="I373:I377"/>
    <mergeCell ref="J373:J377"/>
    <mergeCell ref="K373:K377"/>
    <mergeCell ref="K383:K387"/>
    <mergeCell ref="J368:J372"/>
    <mergeCell ref="K368:K372"/>
    <mergeCell ref="E305:E329"/>
    <mergeCell ref="F305:F329"/>
    <mergeCell ref="G305:G329"/>
    <mergeCell ref="H305:H329"/>
    <mergeCell ref="I305:I329"/>
    <mergeCell ref="J305:J329"/>
    <mergeCell ref="E330:E334"/>
    <mergeCell ref="F330:F334"/>
    <mergeCell ref="G330:G334"/>
    <mergeCell ref="H330:H334"/>
    <mergeCell ref="I330:I334"/>
    <mergeCell ref="J330:J334"/>
    <mergeCell ref="K330:K334"/>
    <mergeCell ref="E335:E355"/>
    <mergeCell ref="F335:F355"/>
    <mergeCell ref="G335:G355"/>
    <mergeCell ref="H335:H355"/>
    <mergeCell ref="I335:I355"/>
    <mergeCell ref="J335:J355"/>
    <mergeCell ref="L373:L377"/>
    <mergeCell ref="M373:M377"/>
    <mergeCell ref="S399:Z399"/>
    <mergeCell ref="L356:L360"/>
    <mergeCell ref="M356:M360"/>
    <mergeCell ref="N356:N360"/>
    <mergeCell ref="O356:O360"/>
    <mergeCell ref="P356:P360"/>
    <mergeCell ref="Q356:Q360"/>
    <mergeCell ref="R356:R360"/>
    <mergeCell ref="E388:E392"/>
    <mergeCell ref="F388:F392"/>
    <mergeCell ref="G388:G392"/>
    <mergeCell ref="H388:H392"/>
    <mergeCell ref="I388:I392"/>
    <mergeCell ref="J388:J392"/>
    <mergeCell ref="K388:K392"/>
    <mergeCell ref="P383:P387"/>
    <mergeCell ref="Q383:Q387"/>
    <mergeCell ref="R383:R387"/>
    <mergeCell ref="E383:E387"/>
    <mergeCell ref="O383:O387"/>
    <mergeCell ref="E373:E377"/>
    <mergeCell ref="F373:F377"/>
    <mergeCell ref="L378:L382"/>
    <mergeCell ref="M378:M382"/>
    <mergeCell ref="E356:E360"/>
    <mergeCell ref="F356:F360"/>
    <mergeCell ref="G356:G360"/>
    <mergeCell ref="H356:H360"/>
    <mergeCell ref="I356:I360"/>
    <mergeCell ref="J356:J360"/>
    <mergeCell ref="K356:K360"/>
    <mergeCell ref="L393:L397"/>
    <mergeCell ref="M393:M397"/>
    <mergeCell ref="N393:N397"/>
    <mergeCell ref="O393:O397"/>
    <mergeCell ref="P393:P397"/>
    <mergeCell ref="Q393:Q397"/>
    <mergeCell ref="R393:R397"/>
    <mergeCell ref="E393:E397"/>
    <mergeCell ref="F393:F397"/>
    <mergeCell ref="G393:G397"/>
    <mergeCell ref="H393:H397"/>
    <mergeCell ref="I393:I397"/>
    <mergeCell ref="J393:J397"/>
    <mergeCell ref="K393:K397"/>
    <mergeCell ref="L383:L387"/>
    <mergeCell ref="M383:M387"/>
    <mergeCell ref="N383:N387"/>
    <mergeCell ref="F383:F387"/>
    <mergeCell ref="G383:G387"/>
    <mergeCell ref="H383:H387"/>
    <mergeCell ref="I383:I387"/>
    <mergeCell ref="J383:J387"/>
  </mergeCells>
  <dataValidations count="3">
    <dataValidation type="list" allowBlank="1" showErrorMessage="1" sqref="F9 F14 F19 F24 F29 F34 F39 F44 F84 F89 F94 F99 F106 F111 F116 F121 F126 F131 F137 F142 F147 F152 F157 F162 F167 F172 F177 F182 F187 F192 F198 F203 F208 F213 F218 F223 F228 F233 F238 F243 F248 F254 F259 F264 F269 F274 F284 F289 F294 F300 F305 F330 F335 F356 F361 F368 F373 F378 F383 F388 F393" xr:uid="{00000000-0002-0000-1200-000000000000}">
      <formula1>INDIRECT($E9)</formula1>
    </dataValidation>
    <dataValidation type="list" allowBlank="1" showErrorMessage="1" sqref="E9 E14 E19 E24 E29 E34 E39 E44 E84 E89 E94 E99 E106 E111 E116 E121 E126 E131 E137 E142 E147 E152 E157 E162 E167 E172 E177 E182 E187 E192 E198 E203 E208 E213 E218 E223 E228 E233 E238 E243 E248 E254 E259 E264 E269 E274 E279 E284 E289 E294 E300 E305 E330 E335 E356 E361 E368 E373 E378 E383 E388 E393" xr:uid="{00000000-0002-0000-1200-000001000000}">
      <formula1>INDIRECT($G9)</formula1>
    </dataValidation>
    <dataValidation type="decimal" allowBlank="1" showInputMessage="1" showErrorMessage="1" prompt="DPLAN - Sólo debe ingresar valores, NO porcentajes." sqref="M19:O19 M24:O24 M29:O29 M34:O34 M44:O44 M84:O84 M94:O94 M99:O99 M106:O106 M111:O111 M116:O116 M121:O121 M126:O126 M131:O131 M142 O142 M147 O147 M152 O152 M157 O157 M167 O167 M172 O172 M177 O177 M182 O182 M187 O187 M192 O192 M203:O203 M208:O208 M213:O213 M218:O218 M228:O228 M233:O233 M238:O238 M243:O243 M248:O248 M259:O259 M264:O264 M269:O269 M274:O274 M284:O284 M289:O289 M294:O294 M300:O300 M305:O305 M330:O330 M335:O335 M356:O356 M368:O368 M373:O373 M378:O378 M383:O383 M388:O388 M393:O393" xr:uid="{00000000-0002-0000-12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Talento Humano&amp;C&amp;P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1200-000003000000}">
          <x14:formula1>
            <xm:f>'https://utmachalaeduec-my.sharepoint.com/personal/planificacion_utmachala_edu_ec/Documents/Gestión 2023/G.06 EMISION DE INSUMOS PARA ELAB. DE LA PROF, PRESUPUESTARIA Y SUS REFORMAS/REFORMA N° 002-2023/[PND]PND'!#REF!</xm:f>
          </x14:formula1>
          <xm:sqref>C9:D9 C14:D14 C19:D19 C24:D24 C29:D29 C34:D34 C39:D39 C44:D44 C84:D84 C89:D89 C94:D94 C99:D99 C106:D106 C111:D111 C116:D116 C121:D121 C126:D126 C131:D131 C198:D198 C203:D203 C208:D208 C213:D213 C218:D218 C223:D223 C228:D228 C233:D233 C238:D238 C243:D243 C248:D248 C254:D254 C259:D259 C264:D264 C269:D269 C274:D274 C279:D279 C284:D284 C289:D289 C294:D294 C300:D300 C305:D305 C330:D330 C335:D335 C356:D356 C361:D361 C368:D368 C373:D373 C378:D378 C383:D383 C388:D388 C393:D393</xm:sqref>
        </x14:dataValidation>
        <x14:dataValidation type="list" allowBlank="1" showErrorMessage="1" xr:uid="{00000000-0002-0000-1200-000004000000}">
          <x14:formula1>
            <xm:f>('https://utmachalaeduec-my.sharepoint.com/personal/planificacion_utmachala_edu_ec/Documents/Gestión 2023/G.06 EMISION DE INSUMOS PARA ELAB. DE LA PROF, PRESUPUESTARIA Y SUS REFORMAS/REFORMA N° 002-2023/[PEDI]PEDI'!#REF!)</xm:f>
          </x14:formula1>
          <xm:sqref>H9 H14 H19 H24 H29 H34 H39 H44 H84 H89 H94 H99 H106 H111 H116 H121 H126 H131 H198 H203 H208 H213 H218 H223 H228 H233 H238 H243 H248 H254 H259 H264 H269 H274 H279 H284 H289 H294 H300 H305 H330 H335 H356 H361 H368 H373 H378 H383 H388 H393</xm:sqref>
        </x14:dataValidation>
        <x14:dataValidation type="list" allowBlank="1" showErrorMessage="1" xr:uid="{00000000-0002-0000-1200-000005000000}">
          <x14:formula1>
            <xm:f>'https://utmachalaeduec-my.sharepoint.com/personal/planificacion_utmachala_edu_ec/Documents/Gestión 2023/G.06 EMISION DE INSUMOS PARA ELAB. DE LA PROF, PRESUPUESTARIA Y SUS REFORMAS/REFORMA N° 002-2023/[PEDI]PEDI'!#REF!</xm:f>
          </x14:formula1>
          <xm:sqref>G9 G14 G19 G24 G29 G34 G39 G44 G84 G89 G94 G99 G106 G111 G116 G121 G126 G131 G198 G203 G208 G213 G218 G223 G228 G233 G238 G243 G248 G254 G259 G264 G269 G274 G284 G289 G294 G300 G305 G330 G335 G356 G361 G368 G373 G378 G383 G388 G393 F279:G279</xm:sqref>
        </x14:dataValidation>
        <x14:dataValidation type="list" allowBlank="1" showErrorMessage="1" xr:uid="{00000000-0002-0000-12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I34 I39 I44 I84 I89 I94 I99 I106 I111 I116 I121 I126 I131 I198 I203 I208 I213 I218 I223 I228 I233 I238 I243 I248 I254 I259 I264 I269 I274 I279 I284 I289 I294 I300 I305 I330 I335 I356 I361 I368 I373 I378 I383 I388 I393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46922"/>
  </sheetPr>
  <dimension ref="A1:AH204"/>
  <sheetViews>
    <sheetView showGridLines="0" topLeftCell="W146" zoomScaleNormal="100" workbookViewId="0">
      <selection activeCell="J100" sqref="J100:J104"/>
    </sheetView>
  </sheetViews>
  <sheetFormatPr baseColWidth="10" defaultColWidth="12.7109375" defaultRowHeight="15.75" customHeight="1"/>
  <cols>
    <col min="1" max="2" width="5" customWidth="1"/>
    <col min="3" max="6" width="25.7109375" customWidth="1"/>
    <col min="7" max="7" width="26.85546875" customWidth="1"/>
    <col min="8" max="12" width="25.7109375" customWidth="1"/>
    <col min="13" max="15" width="8.7109375" customWidth="1"/>
    <col min="16" max="18" width="25.7109375" customWidth="1"/>
    <col min="19" max="19" width="22.7109375" customWidth="1"/>
    <col min="20" max="21" width="18.7109375" customWidth="1"/>
    <col min="22" max="22" width="41.7109375" customWidth="1"/>
    <col min="23" max="23" width="19.85546875"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5"/>
      <c r="AE1" s="8824"/>
      <c r="AF1" s="8824"/>
      <c r="AG1" s="8824"/>
      <c r="AH1" s="8824"/>
    </row>
    <row r="2" spans="1:34" ht="30">
      <c r="A2" s="8826" t="s">
        <v>1</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7"/>
      <c r="AE2" s="8826"/>
      <c r="AF2" s="8826"/>
      <c r="AG2" s="8826"/>
      <c r="AH2" s="8826"/>
    </row>
    <row r="3" spans="1:34" ht="30.75">
      <c r="A3" s="8828" t="s">
        <v>87</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5"/>
      <c r="AE3" s="8828"/>
      <c r="AF3" s="8828"/>
      <c r="AG3" s="8828"/>
      <c r="AH3" s="8828"/>
    </row>
    <row r="4" spans="1:34"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5"/>
      <c r="AE4" s="8829"/>
      <c r="AF4" s="8829"/>
      <c r="AG4" s="8829"/>
      <c r="AH4" s="8829"/>
    </row>
    <row r="5" spans="1:34" ht="18.75" customHeight="1" thickBot="1">
      <c r="A5" s="2058"/>
      <c r="B5" s="2040"/>
      <c r="C5" s="2040"/>
      <c r="D5" s="2040"/>
      <c r="E5" s="2040"/>
      <c r="F5" s="2040"/>
      <c r="G5" s="2040"/>
      <c r="H5" s="2040"/>
      <c r="I5" s="2040"/>
      <c r="J5" s="2040"/>
      <c r="K5" s="2040"/>
      <c r="L5" s="2040"/>
      <c r="M5" s="2040"/>
      <c r="N5" s="2040"/>
      <c r="O5" s="2040"/>
      <c r="P5" s="2040"/>
      <c r="Q5" s="2040"/>
      <c r="R5" s="2040"/>
      <c r="S5" s="2040"/>
      <c r="T5" s="2040"/>
      <c r="U5" s="2043"/>
      <c r="V5" s="2040"/>
      <c r="W5" s="2040"/>
      <c r="X5" s="2040"/>
      <c r="Y5" s="2040"/>
      <c r="Z5" s="2040"/>
      <c r="AA5" s="2040"/>
      <c r="AB5" s="2040"/>
      <c r="AC5" s="2043"/>
      <c r="AD5" s="2043"/>
      <c r="AE5" s="2040"/>
      <c r="AF5" s="2040"/>
      <c r="AG5" s="2040"/>
      <c r="AH5" s="2040"/>
    </row>
    <row r="6" spans="1:34" ht="24.75" customHeight="1" thickTop="1" thickBot="1">
      <c r="A6" s="8830" t="s">
        <v>89</v>
      </c>
      <c r="B6" s="8830"/>
      <c r="C6" s="8832" t="s">
        <v>90</v>
      </c>
      <c r="D6" s="8832"/>
      <c r="E6" s="8833" t="s">
        <v>91</v>
      </c>
      <c r="F6" s="8833"/>
      <c r="G6" s="8833"/>
      <c r="H6" s="8833"/>
      <c r="I6" s="8833"/>
      <c r="J6" s="8846" t="s">
        <v>92</v>
      </c>
      <c r="K6" s="8846"/>
      <c r="L6" s="8846"/>
      <c r="M6" s="8846"/>
      <c r="N6" s="8846"/>
      <c r="O6" s="8846"/>
      <c r="P6" s="8846"/>
      <c r="Q6" s="8846"/>
      <c r="R6" s="8846"/>
      <c r="S6" s="8847" t="s">
        <v>93</v>
      </c>
      <c r="T6" s="8847"/>
      <c r="U6" s="8847"/>
      <c r="V6" s="8847"/>
      <c r="W6" s="8847"/>
      <c r="X6" s="8847"/>
      <c r="Y6" s="8847"/>
      <c r="Z6" s="8847"/>
      <c r="AA6" s="8847"/>
      <c r="AB6" s="8847"/>
      <c r="AC6" s="8847"/>
      <c r="AD6" s="8848"/>
      <c r="AE6" s="8847"/>
      <c r="AF6" s="8847"/>
      <c r="AG6" s="8847"/>
      <c r="AH6" s="8849"/>
    </row>
    <row r="7" spans="1:34" ht="39.75" customHeight="1" thickTop="1" thickBot="1">
      <c r="A7" s="8830"/>
      <c r="B7" s="8830"/>
      <c r="C7" s="8809" t="s">
        <v>94</v>
      </c>
      <c r="D7" s="8811" t="s">
        <v>95</v>
      </c>
      <c r="E7" s="8817" t="s">
        <v>96</v>
      </c>
      <c r="F7" s="8817" t="s">
        <v>97</v>
      </c>
      <c r="G7" s="8817" t="s">
        <v>98</v>
      </c>
      <c r="H7" s="8817" t="s">
        <v>99</v>
      </c>
      <c r="I7" s="8817" t="s">
        <v>100</v>
      </c>
      <c r="J7" s="8841" t="s">
        <v>101</v>
      </c>
      <c r="K7" s="8844" t="s">
        <v>102</v>
      </c>
      <c r="L7" s="8844" t="s">
        <v>103</v>
      </c>
      <c r="M7" s="8843" t="s">
        <v>104</v>
      </c>
      <c r="N7" s="8843"/>
      <c r="O7" s="8843"/>
      <c r="P7" s="8844" t="s">
        <v>105</v>
      </c>
      <c r="Q7" s="8844" t="s">
        <v>106</v>
      </c>
      <c r="R7" s="8858" t="s">
        <v>107</v>
      </c>
      <c r="S7" s="8850" t="s">
        <v>108</v>
      </c>
      <c r="T7" s="8850"/>
      <c r="U7" s="8850"/>
      <c r="V7" s="8850"/>
      <c r="W7" s="8850"/>
      <c r="X7" s="8850"/>
      <c r="Y7" s="8850"/>
      <c r="Z7" s="8861" t="s">
        <v>109</v>
      </c>
      <c r="AA7" s="8861"/>
      <c r="AB7" s="8861"/>
      <c r="AC7" s="8861"/>
      <c r="AD7" s="8862"/>
      <c r="AE7" s="8851" t="s">
        <v>110</v>
      </c>
      <c r="AF7" s="8852"/>
      <c r="AG7" s="8853"/>
      <c r="AH7" s="8854" t="s">
        <v>111</v>
      </c>
    </row>
    <row r="8" spans="1:34" ht="51.75" customHeight="1" thickTop="1" thickBot="1">
      <c r="A8" s="8831"/>
      <c r="B8" s="8831"/>
      <c r="C8" s="8810"/>
      <c r="D8" s="8812"/>
      <c r="E8" s="8818"/>
      <c r="F8" s="8818"/>
      <c r="G8" s="8818"/>
      <c r="H8" s="8818"/>
      <c r="I8" s="8818"/>
      <c r="J8" s="8842"/>
      <c r="K8" s="8845"/>
      <c r="L8" s="8845"/>
      <c r="M8" s="5083" t="s">
        <v>112</v>
      </c>
      <c r="N8" s="5083" t="s">
        <v>113</v>
      </c>
      <c r="O8" s="5083" t="s">
        <v>114</v>
      </c>
      <c r="P8" s="8845"/>
      <c r="Q8" s="8845"/>
      <c r="R8" s="8859"/>
      <c r="S8" s="5084" t="s">
        <v>115</v>
      </c>
      <c r="T8" s="5085" t="s">
        <v>116</v>
      </c>
      <c r="U8" s="5085" t="s">
        <v>117</v>
      </c>
      <c r="V8" s="5085" t="s">
        <v>118</v>
      </c>
      <c r="W8" s="5085" t="s">
        <v>119</v>
      </c>
      <c r="X8" s="5085" t="s">
        <v>120</v>
      </c>
      <c r="Y8" s="5085" t="s">
        <v>121</v>
      </c>
      <c r="Z8" s="5085" t="s">
        <v>122</v>
      </c>
      <c r="AA8" s="5085" t="s">
        <v>123</v>
      </c>
      <c r="AB8" s="5085" t="s">
        <v>124</v>
      </c>
      <c r="AC8" s="5085" t="s">
        <v>125</v>
      </c>
      <c r="AD8" s="5085" t="s">
        <v>126</v>
      </c>
      <c r="AE8" s="5085" t="s">
        <v>112</v>
      </c>
      <c r="AF8" s="5085" t="s">
        <v>113</v>
      </c>
      <c r="AG8" s="5085" t="s">
        <v>114</v>
      </c>
      <c r="AH8" s="8855"/>
    </row>
    <row r="9" spans="1:34" ht="39.75" customHeight="1" thickBot="1">
      <c r="A9" s="8919" t="s">
        <v>87</v>
      </c>
      <c r="B9" s="8920"/>
      <c r="C9" s="8803" t="s">
        <v>127</v>
      </c>
      <c r="D9" s="8805" t="s">
        <v>128</v>
      </c>
      <c r="E9" s="8805" t="s">
        <v>129</v>
      </c>
      <c r="F9" s="8805" t="s">
        <v>130</v>
      </c>
      <c r="G9" s="8820" t="s">
        <v>131</v>
      </c>
      <c r="H9" s="8805" t="s">
        <v>132</v>
      </c>
      <c r="I9" s="8805" t="s">
        <v>133</v>
      </c>
      <c r="J9" s="8805" t="s">
        <v>134</v>
      </c>
      <c r="K9" s="8805" t="s">
        <v>135</v>
      </c>
      <c r="L9" s="8805" t="s">
        <v>136</v>
      </c>
      <c r="M9" s="8838">
        <v>0</v>
      </c>
      <c r="N9" s="8838">
        <v>0.2</v>
      </c>
      <c r="O9" s="8838">
        <v>0.75</v>
      </c>
      <c r="P9" s="8834" t="s">
        <v>137</v>
      </c>
      <c r="Q9" s="8834" t="s">
        <v>138</v>
      </c>
      <c r="R9" s="8836" t="s">
        <v>139</v>
      </c>
      <c r="S9" s="786"/>
      <c r="T9" s="4682"/>
      <c r="U9" s="4683"/>
      <c r="V9" s="844"/>
      <c r="W9" s="770"/>
      <c r="X9" s="446"/>
      <c r="Y9" s="4732"/>
      <c r="Z9" s="4732"/>
      <c r="AA9" s="4732"/>
      <c r="AB9" s="4733"/>
      <c r="AC9" s="4734"/>
      <c r="AD9" s="393"/>
      <c r="AE9" s="446"/>
      <c r="AF9" s="766"/>
      <c r="AG9" s="766"/>
      <c r="AH9" s="8793"/>
    </row>
    <row r="10" spans="1:34" ht="39.75" customHeight="1" thickBot="1">
      <c r="A10" s="8918"/>
      <c r="B10" s="8921"/>
      <c r="C10" s="8804"/>
      <c r="D10" s="8806"/>
      <c r="E10" s="8806"/>
      <c r="F10" s="8806"/>
      <c r="G10" s="8821"/>
      <c r="H10" s="8806"/>
      <c r="I10" s="8806"/>
      <c r="J10" s="8806"/>
      <c r="K10" s="8806"/>
      <c r="L10" s="8806"/>
      <c r="M10" s="8839"/>
      <c r="N10" s="8839"/>
      <c r="O10" s="8839"/>
      <c r="P10" s="8835"/>
      <c r="Q10" s="8835"/>
      <c r="R10" s="8837"/>
      <c r="S10" s="780"/>
      <c r="T10" s="4684"/>
      <c r="U10" s="4685"/>
      <c r="V10" s="771"/>
      <c r="W10" s="767"/>
      <c r="X10" s="15"/>
      <c r="Y10" s="4735"/>
      <c r="Z10" s="4735"/>
      <c r="AA10" s="4735"/>
      <c r="AB10" s="4736"/>
      <c r="AC10" s="4737"/>
      <c r="AD10" s="390"/>
      <c r="AE10" s="15"/>
      <c r="AF10" s="14"/>
      <c r="AG10" s="14"/>
      <c r="AH10" s="8785"/>
    </row>
    <row r="11" spans="1:34" ht="39.75" customHeight="1" thickBot="1">
      <c r="A11" s="8918"/>
      <c r="B11" s="8921"/>
      <c r="C11" s="8804"/>
      <c r="D11" s="8806"/>
      <c r="E11" s="8806"/>
      <c r="F11" s="8806"/>
      <c r="G11" s="8821"/>
      <c r="H11" s="8806"/>
      <c r="I11" s="8806"/>
      <c r="J11" s="8806"/>
      <c r="K11" s="8806"/>
      <c r="L11" s="8806"/>
      <c r="M11" s="8839"/>
      <c r="N11" s="8839"/>
      <c r="O11" s="8839"/>
      <c r="P11" s="8835"/>
      <c r="Q11" s="8835"/>
      <c r="R11" s="8837"/>
      <c r="S11" s="780"/>
      <c r="T11" s="4684"/>
      <c r="U11" s="4685"/>
      <c r="V11" s="771"/>
      <c r="W11" s="767"/>
      <c r="X11" s="15"/>
      <c r="Y11" s="4735"/>
      <c r="Z11" s="4735"/>
      <c r="AA11" s="4735"/>
      <c r="AB11" s="4736"/>
      <c r="AC11" s="4737"/>
      <c r="AD11" s="390"/>
      <c r="AE11" s="15"/>
      <c r="AF11" s="14"/>
      <c r="AG11" s="14"/>
      <c r="AH11" s="8785"/>
    </row>
    <row r="12" spans="1:34" ht="39.75" customHeight="1" thickBot="1">
      <c r="A12" s="8918"/>
      <c r="B12" s="8921"/>
      <c r="C12" s="8804"/>
      <c r="D12" s="8806"/>
      <c r="E12" s="8806"/>
      <c r="F12" s="8806"/>
      <c r="G12" s="8821"/>
      <c r="H12" s="8806"/>
      <c r="I12" s="8806"/>
      <c r="J12" s="8806"/>
      <c r="K12" s="8806"/>
      <c r="L12" s="8806"/>
      <c r="M12" s="8839"/>
      <c r="N12" s="8839"/>
      <c r="O12" s="8839"/>
      <c r="P12" s="8835"/>
      <c r="Q12" s="8835"/>
      <c r="R12" s="8837"/>
      <c r="S12" s="781"/>
      <c r="T12" s="4686"/>
      <c r="U12" s="4687"/>
      <c r="V12" s="771"/>
      <c r="W12" s="767"/>
      <c r="X12" s="15"/>
      <c r="Y12" s="4735"/>
      <c r="Z12" s="4738"/>
      <c r="AA12" s="4738"/>
      <c r="AB12" s="4739"/>
      <c r="AC12" s="4740"/>
      <c r="AD12" s="973"/>
      <c r="AE12" s="15"/>
      <c r="AF12" s="14"/>
      <c r="AG12" s="14"/>
      <c r="AH12" s="8785"/>
    </row>
    <row r="13" spans="1:34" ht="39.75" customHeight="1">
      <c r="A13" s="8918"/>
      <c r="B13" s="8921"/>
      <c r="C13" s="8804"/>
      <c r="D13" s="8806"/>
      <c r="E13" s="8806"/>
      <c r="F13" s="8819"/>
      <c r="G13" s="8821"/>
      <c r="H13" s="8806"/>
      <c r="I13" s="8806"/>
      <c r="J13" s="8806"/>
      <c r="K13" s="8806"/>
      <c r="L13" s="8806"/>
      <c r="M13" s="8840"/>
      <c r="N13" s="8840"/>
      <c r="O13" s="8840"/>
      <c r="P13" s="8835"/>
      <c r="Q13" s="8835"/>
      <c r="R13" s="8837"/>
      <c r="S13" s="782"/>
      <c r="T13" s="4688"/>
      <c r="U13" s="4689"/>
      <c r="V13" s="772"/>
      <c r="W13" s="768"/>
      <c r="X13" s="17"/>
      <c r="Y13" s="4741"/>
      <c r="Z13" s="4742"/>
      <c r="AA13" s="4742"/>
      <c r="AB13" s="4743"/>
      <c r="AC13" s="4744"/>
      <c r="AD13" s="977"/>
      <c r="AE13" s="17"/>
      <c r="AF13" s="16"/>
      <c r="AG13" s="16"/>
      <c r="AH13" s="8794"/>
    </row>
    <row r="14" spans="1:34" ht="71.25" customHeight="1">
      <c r="A14" s="8918"/>
      <c r="B14" s="8921"/>
      <c r="C14" s="8807" t="s">
        <v>127</v>
      </c>
      <c r="D14" s="8808" t="s">
        <v>128</v>
      </c>
      <c r="E14" s="8808" t="s">
        <v>140</v>
      </c>
      <c r="F14" s="8805" t="s">
        <v>141</v>
      </c>
      <c r="G14" s="8813" t="s">
        <v>131</v>
      </c>
      <c r="H14" s="8808" t="s">
        <v>132</v>
      </c>
      <c r="I14" s="8808" t="s">
        <v>133</v>
      </c>
      <c r="J14" s="8808" t="s">
        <v>142</v>
      </c>
      <c r="K14" s="8808" t="s">
        <v>143</v>
      </c>
      <c r="L14" s="8808" t="s">
        <v>144</v>
      </c>
      <c r="M14" s="8856">
        <v>3</v>
      </c>
      <c r="N14" s="8856">
        <v>5</v>
      </c>
      <c r="O14" s="8856">
        <v>3</v>
      </c>
      <c r="P14" s="8860" t="s">
        <v>145</v>
      </c>
      <c r="Q14" s="8782" t="s">
        <v>146</v>
      </c>
      <c r="R14" s="8787" t="s">
        <v>147</v>
      </c>
      <c r="S14" s="3142" t="s">
        <v>15</v>
      </c>
      <c r="T14" s="4690">
        <v>530704</v>
      </c>
      <c r="U14" s="4691"/>
      <c r="V14" s="3143" t="s">
        <v>148</v>
      </c>
      <c r="W14" s="3144"/>
      <c r="X14" s="3145"/>
      <c r="Y14" s="4745"/>
      <c r="Z14" s="4745"/>
      <c r="AA14" s="4745"/>
      <c r="AB14" s="4746">
        <v>0</v>
      </c>
      <c r="AC14" s="4747" t="s">
        <v>18</v>
      </c>
      <c r="AD14" s="981"/>
      <c r="AE14" s="18"/>
      <c r="AF14" s="18"/>
      <c r="AG14" s="18"/>
      <c r="AH14" s="8857" t="s">
        <v>149</v>
      </c>
    </row>
    <row r="15" spans="1:34" ht="71.25" customHeight="1">
      <c r="A15" s="8918"/>
      <c r="B15" s="8921"/>
      <c r="C15" s="8807"/>
      <c r="D15" s="8808"/>
      <c r="E15" s="8808"/>
      <c r="F15" s="8805"/>
      <c r="G15" s="8813"/>
      <c r="H15" s="8808"/>
      <c r="I15" s="8808"/>
      <c r="J15" s="8808"/>
      <c r="K15" s="8808"/>
      <c r="L15" s="8808"/>
      <c r="M15" s="8856"/>
      <c r="N15" s="8856"/>
      <c r="O15" s="8856"/>
      <c r="P15" s="8860"/>
      <c r="Q15" s="8782"/>
      <c r="R15" s="8787"/>
      <c r="S15" s="3146"/>
      <c r="T15" s="4692"/>
      <c r="U15" s="4693" t="s">
        <v>150</v>
      </c>
      <c r="V15" s="3147" t="s">
        <v>151</v>
      </c>
      <c r="W15" s="3148">
        <v>2</v>
      </c>
      <c r="X15" s="3149" t="s">
        <v>152</v>
      </c>
      <c r="Y15" s="4748">
        <v>300</v>
      </c>
      <c r="Z15" s="4748">
        <f>W15*Y15</f>
        <v>600</v>
      </c>
      <c r="AA15" s="4748">
        <f>Z15*1.12</f>
        <v>672.00000000000011</v>
      </c>
      <c r="AB15" s="4749"/>
      <c r="AC15" s="4750"/>
      <c r="AD15" s="973"/>
      <c r="AE15" s="19"/>
      <c r="AF15" s="15" t="s">
        <v>153</v>
      </c>
      <c r="AG15" s="15"/>
      <c r="AH15" s="8785"/>
    </row>
    <row r="16" spans="1:34" ht="71.25" customHeight="1">
      <c r="A16" s="8918"/>
      <c r="B16" s="8921"/>
      <c r="C16" s="8807"/>
      <c r="D16" s="8808"/>
      <c r="E16" s="8808"/>
      <c r="F16" s="8805"/>
      <c r="G16" s="8813"/>
      <c r="H16" s="8808"/>
      <c r="I16" s="8808"/>
      <c r="J16" s="8808"/>
      <c r="K16" s="8808"/>
      <c r="L16" s="8808"/>
      <c r="M16" s="8856"/>
      <c r="N16" s="8856"/>
      <c r="O16" s="8856"/>
      <c r="P16" s="8860"/>
      <c r="Q16" s="8782"/>
      <c r="R16" s="8787"/>
      <c r="S16" s="3150" t="s">
        <v>15</v>
      </c>
      <c r="T16" s="4694">
        <v>530402</v>
      </c>
      <c r="U16" s="4695"/>
      <c r="V16" s="3151" t="s">
        <v>154</v>
      </c>
      <c r="W16" s="3148"/>
      <c r="X16" s="3152"/>
      <c r="Y16" s="4748"/>
      <c r="Z16" s="4748"/>
      <c r="AA16" s="4748"/>
      <c r="AB16" s="4749">
        <v>0</v>
      </c>
      <c r="AC16" s="4750" t="s">
        <v>18</v>
      </c>
      <c r="AD16" s="973"/>
      <c r="AE16" s="15"/>
      <c r="AF16" s="15"/>
      <c r="AG16" s="14"/>
      <c r="AH16" s="8785"/>
    </row>
    <row r="17" spans="1:34" ht="71.25" customHeight="1">
      <c r="A17" s="8922"/>
      <c r="B17" s="8923"/>
      <c r="C17" s="8807"/>
      <c r="D17" s="8808"/>
      <c r="E17" s="8808"/>
      <c r="F17" s="8805"/>
      <c r="G17" s="8813"/>
      <c r="H17" s="8808"/>
      <c r="I17" s="8808"/>
      <c r="J17" s="8808"/>
      <c r="K17" s="8808"/>
      <c r="L17" s="8808"/>
      <c r="M17" s="8856"/>
      <c r="N17" s="8856"/>
      <c r="O17" s="8856"/>
      <c r="P17" s="8860"/>
      <c r="Q17" s="8782"/>
      <c r="R17" s="8787"/>
      <c r="S17" s="3146"/>
      <c r="T17" s="4692"/>
      <c r="U17" s="4693" t="s">
        <v>155</v>
      </c>
      <c r="V17" s="3147" t="s">
        <v>156</v>
      </c>
      <c r="W17" s="3148">
        <v>1</v>
      </c>
      <c r="X17" s="3149" t="s">
        <v>152</v>
      </c>
      <c r="Y17" s="4748">
        <f>4393.87/1.12</f>
        <v>3923.0982142857138</v>
      </c>
      <c r="Z17" s="4748">
        <f>W17*Y17</f>
        <v>3923.0982142857138</v>
      </c>
      <c r="AA17" s="4748">
        <f>Z17*1.12</f>
        <v>4393.87</v>
      </c>
      <c r="AB17" s="4749"/>
      <c r="AC17" s="4750"/>
      <c r="AD17" s="973"/>
      <c r="AE17" s="15"/>
      <c r="AF17" s="19" t="s">
        <v>153</v>
      </c>
      <c r="AG17" s="14"/>
      <c r="AH17" s="8785"/>
    </row>
    <row r="18" spans="1:34" ht="71.25" customHeight="1">
      <c r="A18" s="8917" t="s">
        <v>87</v>
      </c>
      <c r="B18" s="8924"/>
      <c r="C18" s="8807"/>
      <c r="D18" s="8808"/>
      <c r="E18" s="8816"/>
      <c r="F18" s="8805"/>
      <c r="G18" s="8813"/>
      <c r="H18" s="8808"/>
      <c r="I18" s="8808"/>
      <c r="J18" s="8808"/>
      <c r="K18" s="8808"/>
      <c r="L18" s="8808"/>
      <c r="M18" s="8856"/>
      <c r="N18" s="8856"/>
      <c r="O18" s="8856"/>
      <c r="P18" s="8860"/>
      <c r="Q18" s="8782"/>
      <c r="R18" s="8787"/>
      <c r="S18" s="1867"/>
      <c r="T18" s="4688"/>
      <c r="U18" s="4696"/>
      <c r="V18" s="1857"/>
      <c r="W18" s="1858"/>
      <c r="X18" s="1868"/>
      <c r="Y18" s="4751"/>
      <c r="Z18" s="4751"/>
      <c r="AA18" s="4751"/>
      <c r="AB18" s="4752"/>
      <c r="AC18" s="4753"/>
      <c r="AD18" s="977"/>
      <c r="AE18" s="17"/>
      <c r="AF18" s="17"/>
      <c r="AG18" s="16"/>
      <c r="AH18" s="8794"/>
    </row>
    <row r="19" spans="1:34" ht="38.25" customHeight="1">
      <c r="A19" s="8918"/>
      <c r="B19" s="8921"/>
      <c r="C19" s="8807" t="s">
        <v>127</v>
      </c>
      <c r="D19" s="8808" t="s">
        <v>128</v>
      </c>
      <c r="E19" s="8805" t="s">
        <v>129</v>
      </c>
      <c r="F19" s="8808" t="s">
        <v>157</v>
      </c>
      <c r="G19" s="8813" t="s">
        <v>131</v>
      </c>
      <c r="H19" s="8808" t="s">
        <v>158</v>
      </c>
      <c r="I19" s="8808" t="s">
        <v>159</v>
      </c>
      <c r="J19" s="8808" t="s">
        <v>160</v>
      </c>
      <c r="K19" s="8808" t="s">
        <v>161</v>
      </c>
      <c r="L19" s="8808" t="s">
        <v>162</v>
      </c>
      <c r="M19" s="8823">
        <v>2</v>
      </c>
      <c r="N19" s="8823">
        <v>2</v>
      </c>
      <c r="O19" s="8823">
        <v>2</v>
      </c>
      <c r="P19" s="8782" t="s">
        <v>163</v>
      </c>
      <c r="Q19" s="8782" t="s">
        <v>164</v>
      </c>
      <c r="R19" s="8787" t="s">
        <v>165</v>
      </c>
      <c r="S19" s="784"/>
      <c r="T19" s="4697"/>
      <c r="U19" s="4698"/>
      <c r="V19" s="775"/>
      <c r="W19" s="769"/>
      <c r="X19" s="18"/>
      <c r="Y19" s="4754"/>
      <c r="Z19" s="4755"/>
      <c r="AA19" s="4755"/>
      <c r="AB19" s="4756"/>
      <c r="AC19" s="4757"/>
      <c r="AD19" s="981"/>
      <c r="AE19" s="18"/>
      <c r="AF19" s="20"/>
      <c r="AG19" s="20"/>
      <c r="AH19" s="8784"/>
    </row>
    <row r="20" spans="1:34" ht="38.25" customHeight="1">
      <c r="A20" s="8918"/>
      <c r="B20" s="8921"/>
      <c r="C20" s="8807"/>
      <c r="D20" s="8808"/>
      <c r="E20" s="8805"/>
      <c r="F20" s="8808"/>
      <c r="G20" s="8813"/>
      <c r="H20" s="8808"/>
      <c r="I20" s="8808"/>
      <c r="J20" s="8808"/>
      <c r="K20" s="8808"/>
      <c r="L20" s="8808"/>
      <c r="M20" s="8823"/>
      <c r="N20" s="8823"/>
      <c r="O20" s="8823"/>
      <c r="P20" s="8782"/>
      <c r="Q20" s="8782"/>
      <c r="R20" s="8787"/>
      <c r="S20" s="780"/>
      <c r="T20" s="4684"/>
      <c r="U20" s="4685"/>
      <c r="V20" s="771"/>
      <c r="W20" s="767"/>
      <c r="X20" s="15"/>
      <c r="Y20" s="4735"/>
      <c r="Z20" s="4738"/>
      <c r="AA20" s="4738"/>
      <c r="AB20" s="4739"/>
      <c r="AC20" s="4740"/>
      <c r="AD20" s="973"/>
      <c r="AE20" s="15"/>
      <c r="AF20" s="14"/>
      <c r="AG20" s="14"/>
      <c r="AH20" s="8785"/>
    </row>
    <row r="21" spans="1:34" ht="38.25" customHeight="1">
      <c r="A21" s="8918"/>
      <c r="B21" s="8921"/>
      <c r="C21" s="8807"/>
      <c r="D21" s="8808"/>
      <c r="E21" s="8805"/>
      <c r="F21" s="8808"/>
      <c r="G21" s="8813"/>
      <c r="H21" s="8808"/>
      <c r="I21" s="8808"/>
      <c r="J21" s="8808"/>
      <c r="K21" s="8808"/>
      <c r="L21" s="8808"/>
      <c r="M21" s="8823"/>
      <c r="N21" s="8823"/>
      <c r="O21" s="8823"/>
      <c r="P21" s="8782"/>
      <c r="Q21" s="8782"/>
      <c r="R21" s="8787"/>
      <c r="S21" s="780"/>
      <c r="T21" s="4684"/>
      <c r="U21" s="4685"/>
      <c r="V21" s="771"/>
      <c r="W21" s="767"/>
      <c r="X21" s="15"/>
      <c r="Y21" s="4735"/>
      <c r="Z21" s="4738"/>
      <c r="AA21" s="4738"/>
      <c r="AB21" s="4739"/>
      <c r="AC21" s="4740"/>
      <c r="AD21" s="973"/>
      <c r="AE21" s="15"/>
      <c r="AF21" s="14"/>
      <c r="AG21" s="14"/>
      <c r="AH21" s="8785"/>
    </row>
    <row r="22" spans="1:34" ht="38.25" customHeight="1">
      <c r="A22" s="8918"/>
      <c r="B22" s="8921"/>
      <c r="C22" s="8807"/>
      <c r="D22" s="8808"/>
      <c r="E22" s="8805"/>
      <c r="F22" s="8808"/>
      <c r="G22" s="8813"/>
      <c r="H22" s="8808"/>
      <c r="I22" s="8808"/>
      <c r="J22" s="8808"/>
      <c r="K22" s="8808"/>
      <c r="L22" s="8808"/>
      <c r="M22" s="8823"/>
      <c r="N22" s="8823"/>
      <c r="O22" s="8823"/>
      <c r="P22" s="8782"/>
      <c r="Q22" s="8782"/>
      <c r="R22" s="8787"/>
      <c r="S22" s="780"/>
      <c r="T22" s="4684"/>
      <c r="U22" s="4685"/>
      <c r="V22" s="771"/>
      <c r="W22" s="767"/>
      <c r="X22" s="15"/>
      <c r="Y22" s="4735"/>
      <c r="Z22" s="4735"/>
      <c r="AA22" s="4735"/>
      <c r="AB22" s="4736"/>
      <c r="AC22" s="4737"/>
      <c r="AD22" s="390"/>
      <c r="AE22" s="15"/>
      <c r="AF22" s="14"/>
      <c r="AG22" s="14"/>
      <c r="AH22" s="8785"/>
    </row>
    <row r="23" spans="1:34" ht="38.25" customHeight="1">
      <c r="A23" s="8918"/>
      <c r="B23" s="8921"/>
      <c r="C23" s="8807"/>
      <c r="D23" s="8808"/>
      <c r="E23" s="8805"/>
      <c r="F23" s="8808"/>
      <c r="G23" s="8813"/>
      <c r="H23" s="8808"/>
      <c r="I23" s="8808"/>
      <c r="J23" s="8808"/>
      <c r="K23" s="8808"/>
      <c r="L23" s="8808"/>
      <c r="M23" s="8823"/>
      <c r="N23" s="8823"/>
      <c r="O23" s="8823"/>
      <c r="P23" s="8782"/>
      <c r="Q23" s="8782"/>
      <c r="R23" s="8787"/>
      <c r="S23" s="782"/>
      <c r="T23" s="4688"/>
      <c r="U23" s="4689"/>
      <c r="V23" s="772"/>
      <c r="W23" s="768"/>
      <c r="X23" s="17"/>
      <c r="Y23" s="4741"/>
      <c r="Z23" s="4741"/>
      <c r="AA23" s="4741"/>
      <c r="AB23" s="4758"/>
      <c r="AC23" s="4759"/>
      <c r="AD23" s="391"/>
      <c r="AE23" s="17"/>
      <c r="AF23" s="16"/>
      <c r="AG23" s="16"/>
      <c r="AH23" s="8794"/>
    </row>
    <row r="24" spans="1:34" ht="43.5" customHeight="1">
      <c r="A24" s="8918"/>
      <c r="B24" s="8921"/>
      <c r="C24" s="8807" t="s">
        <v>127</v>
      </c>
      <c r="D24" s="8808" t="s">
        <v>128</v>
      </c>
      <c r="E24" s="8808" t="s">
        <v>140</v>
      </c>
      <c r="F24" s="8808" t="s">
        <v>141</v>
      </c>
      <c r="G24" s="8813" t="s">
        <v>131</v>
      </c>
      <c r="H24" s="8808" t="s">
        <v>158</v>
      </c>
      <c r="I24" s="8808" t="s">
        <v>159</v>
      </c>
      <c r="J24" s="8808" t="s">
        <v>166</v>
      </c>
      <c r="K24" s="8808" t="s">
        <v>167</v>
      </c>
      <c r="L24" s="8808" t="s">
        <v>168</v>
      </c>
      <c r="M24" s="8823">
        <v>2</v>
      </c>
      <c r="N24" s="8823">
        <v>2</v>
      </c>
      <c r="O24" s="8823">
        <v>1</v>
      </c>
      <c r="P24" s="8860" t="s">
        <v>169</v>
      </c>
      <c r="Q24" s="8782" t="s">
        <v>164</v>
      </c>
      <c r="R24" s="8787" t="s">
        <v>170</v>
      </c>
      <c r="S24" s="784"/>
      <c r="T24" s="4697"/>
      <c r="U24" s="4698"/>
      <c r="V24" s="775"/>
      <c r="W24" s="769"/>
      <c r="X24" s="18"/>
      <c r="Y24" s="4754"/>
      <c r="Z24" s="4754"/>
      <c r="AA24" s="4754"/>
      <c r="AB24" s="4760"/>
      <c r="AC24" s="4761"/>
      <c r="AD24" s="392"/>
      <c r="AE24" s="18"/>
      <c r="AF24" s="20"/>
      <c r="AG24" s="20"/>
      <c r="AH24" s="8784"/>
    </row>
    <row r="25" spans="1:34" ht="43.5" customHeight="1">
      <c r="A25" s="8918"/>
      <c r="B25" s="8921"/>
      <c r="C25" s="8807"/>
      <c r="D25" s="8808"/>
      <c r="E25" s="8808"/>
      <c r="F25" s="8808"/>
      <c r="G25" s="8813"/>
      <c r="H25" s="8808"/>
      <c r="I25" s="8808"/>
      <c r="J25" s="8808"/>
      <c r="K25" s="8808"/>
      <c r="L25" s="8808"/>
      <c r="M25" s="8823"/>
      <c r="N25" s="8823"/>
      <c r="O25" s="8823"/>
      <c r="P25" s="8860"/>
      <c r="Q25" s="8782"/>
      <c r="R25" s="8787"/>
      <c r="S25" s="780"/>
      <c r="T25" s="4684"/>
      <c r="U25" s="4685"/>
      <c r="V25" s="970"/>
      <c r="W25" s="971"/>
      <c r="X25" s="972"/>
      <c r="Y25" s="4738"/>
      <c r="Z25" s="4738"/>
      <c r="AA25" s="4738"/>
      <c r="AB25" s="4739"/>
      <c r="AC25" s="4740"/>
      <c r="AD25" s="973"/>
      <c r="AE25" s="15"/>
      <c r="AF25" s="14"/>
      <c r="AG25" s="14"/>
      <c r="AH25" s="8785"/>
    </row>
    <row r="26" spans="1:34" ht="43.5" customHeight="1">
      <c r="A26" s="8918"/>
      <c r="B26" s="8921"/>
      <c r="C26" s="8807"/>
      <c r="D26" s="8808"/>
      <c r="E26" s="8808"/>
      <c r="F26" s="8808"/>
      <c r="G26" s="8813"/>
      <c r="H26" s="8808"/>
      <c r="I26" s="8808"/>
      <c r="J26" s="8808"/>
      <c r="K26" s="8808"/>
      <c r="L26" s="8808"/>
      <c r="M26" s="8823"/>
      <c r="N26" s="8823"/>
      <c r="O26" s="8823"/>
      <c r="P26" s="8860"/>
      <c r="Q26" s="8782"/>
      <c r="R26" s="8787"/>
      <c r="S26" s="780"/>
      <c r="T26" s="4684"/>
      <c r="U26" s="4685"/>
      <c r="V26" s="970"/>
      <c r="W26" s="971"/>
      <c r="X26" s="972"/>
      <c r="Y26" s="4738"/>
      <c r="Z26" s="4738"/>
      <c r="AA26" s="4738"/>
      <c r="AB26" s="4739"/>
      <c r="AC26" s="4740"/>
      <c r="AD26" s="973"/>
      <c r="AE26" s="15"/>
      <c r="AF26" s="14"/>
      <c r="AG26" s="14"/>
      <c r="AH26" s="8785"/>
    </row>
    <row r="27" spans="1:34" ht="43.5" customHeight="1">
      <c r="A27" s="8918"/>
      <c r="B27" s="8921"/>
      <c r="C27" s="8807"/>
      <c r="D27" s="8808"/>
      <c r="E27" s="8808"/>
      <c r="F27" s="8808"/>
      <c r="G27" s="8813"/>
      <c r="H27" s="8808"/>
      <c r="I27" s="8808"/>
      <c r="J27" s="8808"/>
      <c r="K27" s="8808"/>
      <c r="L27" s="8808"/>
      <c r="M27" s="8823"/>
      <c r="N27" s="8823"/>
      <c r="O27" s="8823"/>
      <c r="P27" s="8860"/>
      <c r="Q27" s="8782"/>
      <c r="R27" s="8787"/>
      <c r="S27" s="780"/>
      <c r="T27" s="4684"/>
      <c r="U27" s="4685"/>
      <c r="V27" s="970"/>
      <c r="W27" s="971"/>
      <c r="X27" s="972"/>
      <c r="Y27" s="4738"/>
      <c r="Z27" s="4738"/>
      <c r="AA27" s="4738"/>
      <c r="AB27" s="4739"/>
      <c r="AC27" s="4740"/>
      <c r="AD27" s="973"/>
      <c r="AE27" s="15"/>
      <c r="AF27" s="14"/>
      <c r="AG27" s="14"/>
      <c r="AH27" s="8785"/>
    </row>
    <row r="28" spans="1:34" ht="43.5" customHeight="1">
      <c r="A28" s="8918"/>
      <c r="B28" s="8921"/>
      <c r="C28" s="8814"/>
      <c r="D28" s="8815"/>
      <c r="E28" s="8815"/>
      <c r="F28" s="8815"/>
      <c r="G28" s="8871"/>
      <c r="H28" s="8815"/>
      <c r="I28" s="8815"/>
      <c r="J28" s="8815"/>
      <c r="K28" s="8815"/>
      <c r="L28" s="8815"/>
      <c r="M28" s="8865"/>
      <c r="N28" s="8865"/>
      <c r="O28" s="8865"/>
      <c r="P28" s="8866"/>
      <c r="Q28" s="8867"/>
      <c r="R28" s="8868"/>
      <c r="S28" s="782"/>
      <c r="T28" s="4688"/>
      <c r="U28" s="4689"/>
      <c r="V28" s="974"/>
      <c r="W28" s="975"/>
      <c r="X28" s="976"/>
      <c r="Y28" s="4742"/>
      <c r="Z28" s="4742"/>
      <c r="AA28" s="4742"/>
      <c r="AB28" s="4743"/>
      <c r="AC28" s="4744"/>
      <c r="AD28" s="977"/>
      <c r="AE28" s="17"/>
      <c r="AF28" s="16"/>
      <c r="AG28" s="16"/>
      <c r="AH28" s="8794"/>
    </row>
    <row r="29" spans="1:34" ht="49.5" customHeight="1">
      <c r="A29" s="8918"/>
      <c r="B29" s="8921"/>
      <c r="C29" s="8803" t="s">
        <v>127</v>
      </c>
      <c r="D29" s="8805" t="s">
        <v>128</v>
      </c>
      <c r="E29" s="8805" t="s">
        <v>140</v>
      </c>
      <c r="F29" s="8805" t="s">
        <v>141</v>
      </c>
      <c r="G29" s="8820" t="s">
        <v>131</v>
      </c>
      <c r="H29" s="8805" t="s">
        <v>171</v>
      </c>
      <c r="I29" s="8805" t="s">
        <v>159</v>
      </c>
      <c r="J29" s="8805" t="s">
        <v>172</v>
      </c>
      <c r="K29" s="8805" t="s">
        <v>173</v>
      </c>
      <c r="L29" s="8805" t="s">
        <v>174</v>
      </c>
      <c r="M29" s="8856">
        <v>1</v>
      </c>
      <c r="N29" s="8856">
        <v>2</v>
      </c>
      <c r="O29" s="8856">
        <v>2</v>
      </c>
      <c r="P29" s="8834" t="s">
        <v>175</v>
      </c>
      <c r="Q29" s="8834" t="s">
        <v>176</v>
      </c>
      <c r="R29" s="8864" t="s">
        <v>177</v>
      </c>
      <c r="S29" s="1860"/>
      <c r="T29" s="4697"/>
      <c r="U29" s="4699"/>
      <c r="V29" s="1861"/>
      <c r="W29" s="1862"/>
      <c r="X29" s="882"/>
      <c r="Y29" s="4762"/>
      <c r="Z29" s="4762"/>
      <c r="AA29" s="4762"/>
      <c r="AB29" s="4763"/>
      <c r="AC29" s="4764"/>
      <c r="AD29" s="981"/>
      <c r="AE29" s="18"/>
      <c r="AF29" s="20"/>
      <c r="AG29" s="20"/>
      <c r="AH29" s="8784"/>
    </row>
    <row r="30" spans="1:34" ht="49.5" customHeight="1">
      <c r="A30" s="8918"/>
      <c r="B30" s="8921"/>
      <c r="C30" s="8807"/>
      <c r="D30" s="8808"/>
      <c r="E30" s="8808"/>
      <c r="F30" s="8808"/>
      <c r="G30" s="8813"/>
      <c r="H30" s="8808"/>
      <c r="I30" s="8808"/>
      <c r="J30" s="8808"/>
      <c r="K30" s="8808"/>
      <c r="L30" s="8808"/>
      <c r="M30" s="8823"/>
      <c r="N30" s="8823"/>
      <c r="O30" s="8823"/>
      <c r="P30" s="8782"/>
      <c r="Q30" s="8782"/>
      <c r="R30" s="8787"/>
      <c r="S30" s="1863"/>
      <c r="T30" s="4684"/>
      <c r="U30" s="4700"/>
      <c r="V30" s="1865"/>
      <c r="W30" s="1856"/>
      <c r="X30" s="1866"/>
      <c r="Y30" s="4765"/>
      <c r="Z30" s="4765"/>
      <c r="AA30" s="4765"/>
      <c r="AB30" s="4766"/>
      <c r="AC30" s="4767"/>
      <c r="AD30" s="973"/>
      <c r="AE30" s="19"/>
      <c r="AF30" s="14"/>
      <c r="AG30" s="14"/>
      <c r="AH30" s="8785"/>
    </row>
    <row r="31" spans="1:34" ht="49.5" customHeight="1">
      <c r="A31" s="8922"/>
      <c r="B31" s="8923"/>
      <c r="C31" s="8807"/>
      <c r="D31" s="8808"/>
      <c r="E31" s="8808"/>
      <c r="F31" s="8808"/>
      <c r="G31" s="8813"/>
      <c r="H31" s="8808"/>
      <c r="I31" s="8808"/>
      <c r="J31" s="8808"/>
      <c r="K31" s="8808"/>
      <c r="L31" s="8808"/>
      <c r="M31" s="8823"/>
      <c r="N31" s="8823"/>
      <c r="O31" s="8823"/>
      <c r="P31" s="8782"/>
      <c r="Q31" s="8782"/>
      <c r="R31" s="8787"/>
      <c r="S31" s="1869" t="s">
        <v>80</v>
      </c>
      <c r="T31" s="4682">
        <v>840104</v>
      </c>
      <c r="U31" s="4701"/>
      <c r="V31" s="1870" t="s">
        <v>39</v>
      </c>
      <c r="W31" s="1871"/>
      <c r="X31" s="1872"/>
      <c r="Y31" s="4768"/>
      <c r="Z31" s="4768">
        <f>250-Z32</f>
        <v>62.5</v>
      </c>
      <c r="AA31" s="4768"/>
      <c r="AB31" s="4768">
        <f>SUM($AA$32:$AA$33)</f>
        <v>187.5</v>
      </c>
      <c r="AC31" s="4769" t="s">
        <v>18</v>
      </c>
      <c r="AD31" s="999"/>
      <c r="AE31" s="446"/>
      <c r="AF31" s="766"/>
      <c r="AG31" s="766"/>
      <c r="AH31" s="8785"/>
    </row>
    <row r="32" spans="1:34" ht="49.5" customHeight="1">
      <c r="A32" s="8917" t="s">
        <v>87</v>
      </c>
      <c r="B32" s="8924"/>
      <c r="C32" s="8807"/>
      <c r="D32" s="8808"/>
      <c r="E32" s="8808"/>
      <c r="F32" s="8808"/>
      <c r="G32" s="8813"/>
      <c r="H32" s="8808"/>
      <c r="I32" s="8808"/>
      <c r="J32" s="8808"/>
      <c r="K32" s="8808"/>
      <c r="L32" s="8808"/>
      <c r="M32" s="8823"/>
      <c r="N32" s="8823"/>
      <c r="O32" s="8823"/>
      <c r="P32" s="8782"/>
      <c r="Q32" s="8782"/>
      <c r="R32" s="8787"/>
      <c r="S32" s="1863"/>
      <c r="T32" s="4684"/>
      <c r="U32" s="4693" t="s">
        <v>178</v>
      </c>
      <c r="V32" s="3147" t="s">
        <v>179</v>
      </c>
      <c r="W32" s="3148">
        <v>1</v>
      </c>
      <c r="X32" s="3149" t="s">
        <v>180</v>
      </c>
      <c r="Y32" s="4748">
        <f>187.5</f>
        <v>187.5</v>
      </c>
      <c r="Z32" s="4748">
        <f>Y32</f>
        <v>187.5</v>
      </c>
      <c r="AA32" s="4748">
        <f>Z32</f>
        <v>187.5</v>
      </c>
      <c r="AB32" s="4766"/>
      <c r="AC32" s="4767"/>
      <c r="AD32" s="973"/>
      <c r="AE32" s="14" t="s">
        <v>153</v>
      </c>
      <c r="AF32" s="14" t="s">
        <v>153</v>
      </c>
      <c r="AG32" s="14"/>
      <c r="AH32" s="8785"/>
    </row>
    <row r="33" spans="1:34" ht="49.5" customHeight="1">
      <c r="A33" s="8918"/>
      <c r="B33" s="8921"/>
      <c r="C33" s="8807"/>
      <c r="D33" s="8808"/>
      <c r="E33" s="8808"/>
      <c r="F33" s="8808"/>
      <c r="G33" s="8813"/>
      <c r="H33" s="8808"/>
      <c r="I33" s="8808"/>
      <c r="J33" s="8808"/>
      <c r="K33" s="8808"/>
      <c r="L33" s="8808"/>
      <c r="M33" s="8823"/>
      <c r="N33" s="8823"/>
      <c r="O33" s="8823"/>
      <c r="P33" s="8782"/>
      <c r="Q33" s="8782"/>
      <c r="R33" s="8787"/>
      <c r="S33" s="1873"/>
      <c r="T33" s="4702"/>
      <c r="U33" s="4703" t="s">
        <v>181</v>
      </c>
      <c r="V33" s="3153" t="s">
        <v>182</v>
      </c>
      <c r="W33" s="3154">
        <v>1</v>
      </c>
      <c r="X33" s="3155" t="s">
        <v>180</v>
      </c>
      <c r="Y33" s="4770">
        <f>120/1.12</f>
        <v>107.14285714285714</v>
      </c>
      <c r="Z33" s="4770">
        <f t="shared" ref="Z33" si="0">W33*Y33</f>
        <v>107.14285714285714</v>
      </c>
      <c r="AA33" s="4770">
        <v>0</v>
      </c>
      <c r="AB33" s="4771"/>
      <c r="AC33" s="4772"/>
      <c r="AD33" s="1000"/>
      <c r="AE33" s="21" t="s">
        <v>153</v>
      </c>
      <c r="AF33" s="21" t="s">
        <v>153</v>
      </c>
      <c r="AG33" s="22"/>
      <c r="AH33" s="8794"/>
    </row>
    <row r="34" spans="1:34" ht="81" customHeight="1">
      <c r="A34" s="8918"/>
      <c r="B34" s="8921"/>
      <c r="C34" s="8807" t="s">
        <v>183</v>
      </c>
      <c r="D34" s="8808" t="s">
        <v>184</v>
      </c>
      <c r="E34" s="8808" t="s">
        <v>185</v>
      </c>
      <c r="F34" s="8808" t="s">
        <v>186</v>
      </c>
      <c r="G34" s="8813" t="s">
        <v>187</v>
      </c>
      <c r="H34" s="8808" t="s">
        <v>188</v>
      </c>
      <c r="I34" s="8808" t="s">
        <v>189</v>
      </c>
      <c r="J34" s="8808" t="s">
        <v>190</v>
      </c>
      <c r="K34" s="8808" t="s">
        <v>191</v>
      </c>
      <c r="L34" s="8808" t="s">
        <v>192</v>
      </c>
      <c r="M34" s="8823">
        <v>1</v>
      </c>
      <c r="N34" s="8823">
        <v>0</v>
      </c>
      <c r="O34" s="8823">
        <v>0</v>
      </c>
      <c r="P34" s="8860" t="s">
        <v>193</v>
      </c>
      <c r="Q34" s="8782" t="s">
        <v>194</v>
      </c>
      <c r="R34" s="8787" t="s">
        <v>195</v>
      </c>
      <c r="S34" s="3168" t="s">
        <v>15</v>
      </c>
      <c r="T34" s="4704">
        <v>840107</v>
      </c>
      <c r="U34" s="4705"/>
      <c r="V34" s="3169" t="s">
        <v>40</v>
      </c>
      <c r="W34" s="3170"/>
      <c r="X34" s="3171"/>
      <c r="Y34" s="4773"/>
      <c r="Z34" s="4773"/>
      <c r="AA34" s="4773"/>
      <c r="AB34" s="4774">
        <f>SUM($AA$35:$AA$38)</f>
        <v>6548.3488000000007</v>
      </c>
      <c r="AC34" s="4775" t="s">
        <v>18</v>
      </c>
      <c r="AD34" s="981"/>
      <c r="AE34" s="18"/>
      <c r="AF34" s="20"/>
      <c r="AG34" s="20"/>
      <c r="AH34" s="8857" t="s">
        <v>196</v>
      </c>
    </row>
    <row r="35" spans="1:34" ht="81" customHeight="1">
      <c r="A35" s="8918"/>
      <c r="B35" s="8921"/>
      <c r="C35" s="8807"/>
      <c r="D35" s="8808"/>
      <c r="E35" s="8808"/>
      <c r="F35" s="8808"/>
      <c r="G35" s="8813"/>
      <c r="H35" s="8808"/>
      <c r="I35" s="8808"/>
      <c r="J35" s="8808"/>
      <c r="K35" s="8808"/>
      <c r="L35" s="8808"/>
      <c r="M35" s="8823"/>
      <c r="N35" s="8823"/>
      <c r="O35" s="8823"/>
      <c r="P35" s="8860"/>
      <c r="Q35" s="8782"/>
      <c r="R35" s="8787"/>
      <c r="S35" s="1863"/>
      <c r="T35" s="4684"/>
      <c r="U35" s="4700" t="s">
        <v>197</v>
      </c>
      <c r="V35" s="3156" t="s">
        <v>198</v>
      </c>
      <c r="W35" s="1856">
        <v>1</v>
      </c>
      <c r="X35" s="1866" t="s">
        <v>180</v>
      </c>
      <c r="Y35" s="4765">
        <v>1436.74</v>
      </c>
      <c r="Z35" s="4765">
        <f t="shared" ref="Z35:Z38" si="1">W35*Y35</f>
        <v>1436.74</v>
      </c>
      <c r="AA35" s="4765">
        <f t="shared" ref="AA35:AA38" si="2">Z35*1.12</f>
        <v>1609.1488000000002</v>
      </c>
      <c r="AB35" s="4766"/>
      <c r="AC35" s="4767"/>
      <c r="AD35" s="973"/>
      <c r="AE35" s="19"/>
      <c r="AF35" s="14" t="s">
        <v>153</v>
      </c>
      <c r="AG35" s="14"/>
      <c r="AH35" s="8785"/>
    </row>
    <row r="36" spans="1:34" ht="81" customHeight="1">
      <c r="A36" s="8918"/>
      <c r="B36" s="8921"/>
      <c r="C36" s="8807"/>
      <c r="D36" s="8808"/>
      <c r="E36" s="8808"/>
      <c r="F36" s="8808"/>
      <c r="G36" s="8813"/>
      <c r="H36" s="8808"/>
      <c r="I36" s="8808"/>
      <c r="J36" s="8808"/>
      <c r="K36" s="8808"/>
      <c r="L36" s="8808"/>
      <c r="M36" s="8823"/>
      <c r="N36" s="8823"/>
      <c r="O36" s="8823"/>
      <c r="P36" s="8860"/>
      <c r="Q36" s="8782"/>
      <c r="R36" s="8787"/>
      <c r="S36" s="1863"/>
      <c r="T36" s="4684"/>
      <c r="U36" s="4693" t="s">
        <v>199</v>
      </c>
      <c r="V36" s="3147" t="s">
        <v>200</v>
      </c>
      <c r="W36" s="3148">
        <v>2</v>
      </c>
      <c r="X36" s="3149" t="s">
        <v>180</v>
      </c>
      <c r="Y36" s="4748">
        <v>1650</v>
      </c>
      <c r="Z36" s="4748">
        <f t="shared" si="1"/>
        <v>3300</v>
      </c>
      <c r="AA36" s="4748">
        <f t="shared" si="2"/>
        <v>3696.0000000000005</v>
      </c>
      <c r="AB36" s="4766"/>
      <c r="AC36" s="4767"/>
      <c r="AD36" s="973"/>
      <c r="AE36" s="19"/>
      <c r="AF36" s="14" t="s">
        <v>153</v>
      </c>
      <c r="AG36" s="14"/>
      <c r="AH36" s="8785"/>
    </row>
    <row r="37" spans="1:34" ht="81" customHeight="1">
      <c r="A37" s="8918"/>
      <c r="B37" s="8921"/>
      <c r="C37" s="8807"/>
      <c r="D37" s="8808"/>
      <c r="E37" s="8808"/>
      <c r="F37" s="8808"/>
      <c r="G37" s="8813"/>
      <c r="H37" s="8808"/>
      <c r="I37" s="8808"/>
      <c r="J37" s="8808"/>
      <c r="K37" s="8808"/>
      <c r="L37" s="8808"/>
      <c r="M37" s="8823"/>
      <c r="N37" s="8823"/>
      <c r="O37" s="8823"/>
      <c r="P37" s="8860"/>
      <c r="Q37" s="8782"/>
      <c r="R37" s="8787"/>
      <c r="S37" s="1863"/>
      <c r="T37" s="4684"/>
      <c r="U37" s="4700" t="s">
        <v>201</v>
      </c>
      <c r="V37" s="1865" t="s">
        <v>202</v>
      </c>
      <c r="W37" s="1856">
        <v>5</v>
      </c>
      <c r="X37" s="1866" t="s">
        <v>180</v>
      </c>
      <c r="Y37" s="4765">
        <v>150</v>
      </c>
      <c r="Z37" s="4765">
        <f t="shared" si="1"/>
        <v>750</v>
      </c>
      <c r="AA37" s="4765">
        <f t="shared" si="2"/>
        <v>840.00000000000011</v>
      </c>
      <c r="AB37" s="4766"/>
      <c r="AC37" s="4767"/>
      <c r="AD37" s="973"/>
      <c r="AE37" s="19"/>
      <c r="AF37" s="14" t="s">
        <v>153</v>
      </c>
      <c r="AG37" s="14"/>
      <c r="AH37" s="8785"/>
    </row>
    <row r="38" spans="1:34" ht="81" customHeight="1">
      <c r="A38" s="8918"/>
      <c r="B38" s="8921"/>
      <c r="C38" s="8807"/>
      <c r="D38" s="8808"/>
      <c r="E38" s="8808"/>
      <c r="F38" s="8808"/>
      <c r="G38" s="8813"/>
      <c r="H38" s="8808"/>
      <c r="I38" s="8808"/>
      <c r="J38" s="8808"/>
      <c r="K38" s="8808"/>
      <c r="L38" s="8808"/>
      <c r="M38" s="8823"/>
      <c r="N38" s="8823"/>
      <c r="O38" s="8823"/>
      <c r="P38" s="8860"/>
      <c r="Q38" s="8782"/>
      <c r="R38" s="8787"/>
      <c r="S38" s="1863"/>
      <c r="T38" s="4684"/>
      <c r="U38" s="4700" t="s">
        <v>203</v>
      </c>
      <c r="V38" s="1865" t="s">
        <v>204</v>
      </c>
      <c r="W38" s="1856">
        <v>3</v>
      </c>
      <c r="X38" s="1866" t="s">
        <v>180</v>
      </c>
      <c r="Y38" s="4765">
        <v>120</v>
      </c>
      <c r="Z38" s="4765">
        <f t="shared" si="1"/>
        <v>360</v>
      </c>
      <c r="AA38" s="4765">
        <f t="shared" si="2"/>
        <v>403.20000000000005</v>
      </c>
      <c r="AB38" s="4766"/>
      <c r="AC38" s="4767"/>
      <c r="AD38" s="973"/>
      <c r="AE38" s="19"/>
      <c r="AF38" s="14" t="s">
        <v>153</v>
      </c>
      <c r="AG38" s="14"/>
      <c r="AH38" s="8794"/>
    </row>
    <row r="39" spans="1:34" ht="49.5" customHeight="1">
      <c r="A39" s="8918"/>
      <c r="B39" s="8921"/>
      <c r="C39" s="8807" t="s">
        <v>127</v>
      </c>
      <c r="D39" s="8808" t="s">
        <v>128</v>
      </c>
      <c r="E39" s="8808" t="s">
        <v>129</v>
      </c>
      <c r="F39" s="8808" t="s">
        <v>205</v>
      </c>
      <c r="G39" s="8813" t="s">
        <v>131</v>
      </c>
      <c r="H39" s="8808" t="s">
        <v>132</v>
      </c>
      <c r="I39" s="8808" t="s">
        <v>189</v>
      </c>
      <c r="J39" s="8813" t="s">
        <v>206</v>
      </c>
      <c r="K39" s="8808" t="s">
        <v>207</v>
      </c>
      <c r="L39" s="8808" t="s">
        <v>208</v>
      </c>
      <c r="M39" s="8823">
        <v>2</v>
      </c>
      <c r="N39" s="8823">
        <v>2</v>
      </c>
      <c r="O39" s="8823">
        <v>1</v>
      </c>
      <c r="P39" s="8782" t="s">
        <v>209</v>
      </c>
      <c r="Q39" s="8782" t="s">
        <v>210</v>
      </c>
      <c r="R39" s="8787" t="s">
        <v>211</v>
      </c>
      <c r="S39" s="1874"/>
      <c r="T39" s="4697"/>
      <c r="U39" s="4699"/>
      <c r="V39" s="1843"/>
      <c r="W39" s="1862"/>
      <c r="X39" s="882"/>
      <c r="Y39" s="4762"/>
      <c r="Z39" s="4762"/>
      <c r="AA39" s="4762"/>
      <c r="AB39" s="4763"/>
      <c r="AC39" s="4764"/>
      <c r="AD39" s="981"/>
      <c r="AE39" s="18"/>
      <c r="AF39" s="20"/>
      <c r="AG39" s="20"/>
      <c r="AH39" s="8784"/>
    </row>
    <row r="40" spans="1:34" ht="49.5" customHeight="1">
      <c r="A40" s="8922"/>
      <c r="B40" s="8923"/>
      <c r="C40" s="8807"/>
      <c r="D40" s="8808"/>
      <c r="E40" s="8808"/>
      <c r="F40" s="8808"/>
      <c r="G40" s="8813"/>
      <c r="H40" s="8808"/>
      <c r="I40" s="8808"/>
      <c r="J40" s="8813"/>
      <c r="K40" s="8808"/>
      <c r="L40" s="8808"/>
      <c r="M40" s="8823"/>
      <c r="N40" s="8823"/>
      <c r="O40" s="8823"/>
      <c r="P40" s="8782"/>
      <c r="Q40" s="8782"/>
      <c r="R40" s="8787"/>
      <c r="S40" s="780"/>
      <c r="T40" s="4684"/>
      <c r="U40" s="4685"/>
      <c r="V40" s="970"/>
      <c r="W40" s="971"/>
      <c r="X40" s="972"/>
      <c r="Y40" s="4738"/>
      <c r="Z40" s="4738"/>
      <c r="AA40" s="4738"/>
      <c r="AB40" s="4739"/>
      <c r="AC40" s="4740"/>
      <c r="AD40" s="973"/>
      <c r="AE40" s="15"/>
      <c r="AF40" s="14"/>
      <c r="AG40" s="14"/>
      <c r="AH40" s="8785"/>
    </row>
    <row r="41" spans="1:34" ht="49.5" customHeight="1">
      <c r="A41" s="8917" t="s">
        <v>87</v>
      </c>
      <c r="B41" s="8924"/>
      <c r="C41" s="8807"/>
      <c r="D41" s="8808"/>
      <c r="E41" s="8808"/>
      <c r="F41" s="8808"/>
      <c r="G41" s="8813"/>
      <c r="H41" s="8808"/>
      <c r="I41" s="8808"/>
      <c r="J41" s="8813"/>
      <c r="K41" s="8808"/>
      <c r="L41" s="8808"/>
      <c r="M41" s="8823"/>
      <c r="N41" s="8823"/>
      <c r="O41" s="8823"/>
      <c r="P41" s="8782"/>
      <c r="Q41" s="8782"/>
      <c r="R41" s="8787"/>
      <c r="S41" s="780"/>
      <c r="T41" s="4684"/>
      <c r="U41" s="4685"/>
      <c r="V41" s="970"/>
      <c r="W41" s="971"/>
      <c r="X41" s="972"/>
      <c r="Y41" s="4738"/>
      <c r="Z41" s="4738"/>
      <c r="AA41" s="4738"/>
      <c r="AB41" s="4739"/>
      <c r="AC41" s="4740"/>
      <c r="AD41" s="973"/>
      <c r="AE41" s="15"/>
      <c r="AF41" s="14"/>
      <c r="AG41" s="14"/>
      <c r="AH41" s="8785"/>
    </row>
    <row r="42" spans="1:34" ht="49.5" customHeight="1">
      <c r="A42" s="8918"/>
      <c r="B42" s="8921"/>
      <c r="C42" s="8807"/>
      <c r="D42" s="8808"/>
      <c r="E42" s="8808"/>
      <c r="F42" s="8808"/>
      <c r="G42" s="8813"/>
      <c r="H42" s="8808"/>
      <c r="I42" s="8808"/>
      <c r="J42" s="8813"/>
      <c r="K42" s="8808"/>
      <c r="L42" s="8808"/>
      <c r="M42" s="8823"/>
      <c r="N42" s="8823"/>
      <c r="O42" s="8823"/>
      <c r="P42" s="8782"/>
      <c r="Q42" s="8782"/>
      <c r="R42" s="8787"/>
      <c r="S42" s="780"/>
      <c r="T42" s="4684"/>
      <c r="U42" s="4685"/>
      <c r="V42" s="970"/>
      <c r="W42" s="971"/>
      <c r="X42" s="972"/>
      <c r="Y42" s="4738"/>
      <c r="Z42" s="4738"/>
      <c r="AA42" s="4738"/>
      <c r="AB42" s="4739"/>
      <c r="AC42" s="4740"/>
      <c r="AD42" s="973"/>
      <c r="AE42" s="15"/>
      <c r="AF42" s="14"/>
      <c r="AG42" s="14"/>
      <c r="AH42" s="8785"/>
    </row>
    <row r="43" spans="1:34" ht="49.5" customHeight="1">
      <c r="A43" s="8918"/>
      <c r="B43" s="8921"/>
      <c r="C43" s="8807"/>
      <c r="D43" s="8808"/>
      <c r="E43" s="8808"/>
      <c r="F43" s="8808"/>
      <c r="G43" s="8813"/>
      <c r="H43" s="8808"/>
      <c r="I43" s="8808"/>
      <c r="J43" s="8813"/>
      <c r="K43" s="8808"/>
      <c r="L43" s="8808"/>
      <c r="M43" s="8823"/>
      <c r="N43" s="8823"/>
      <c r="O43" s="8823"/>
      <c r="P43" s="8782"/>
      <c r="Q43" s="8782"/>
      <c r="R43" s="8787"/>
      <c r="S43" s="782"/>
      <c r="T43" s="4688"/>
      <c r="U43" s="4689"/>
      <c r="V43" s="974"/>
      <c r="W43" s="975"/>
      <c r="X43" s="976"/>
      <c r="Y43" s="4742"/>
      <c r="Z43" s="4742"/>
      <c r="AA43" s="4742"/>
      <c r="AB43" s="4743"/>
      <c r="AC43" s="4744"/>
      <c r="AD43" s="977"/>
      <c r="AE43" s="17"/>
      <c r="AF43" s="16"/>
      <c r="AG43" s="16"/>
      <c r="AH43" s="8794"/>
    </row>
    <row r="44" spans="1:34" ht="42.75" customHeight="1">
      <c r="A44" s="8918"/>
      <c r="B44" s="8921"/>
      <c r="C44" s="8807" t="s">
        <v>127</v>
      </c>
      <c r="D44" s="8808" t="s">
        <v>128</v>
      </c>
      <c r="E44" s="8808" t="s">
        <v>140</v>
      </c>
      <c r="F44" s="8808" t="s">
        <v>212</v>
      </c>
      <c r="G44" s="8813" t="s">
        <v>131</v>
      </c>
      <c r="H44" s="8808" t="s">
        <v>213</v>
      </c>
      <c r="I44" s="8808" t="s">
        <v>214</v>
      </c>
      <c r="J44" s="8808" t="s">
        <v>215</v>
      </c>
      <c r="K44" s="8808" t="s">
        <v>216</v>
      </c>
      <c r="L44" s="8808" t="s">
        <v>217</v>
      </c>
      <c r="M44" s="8823">
        <v>1</v>
      </c>
      <c r="N44" s="8823">
        <v>0</v>
      </c>
      <c r="O44" s="8823">
        <v>0</v>
      </c>
      <c r="P44" s="8782" t="s">
        <v>218</v>
      </c>
      <c r="Q44" s="8782" t="s">
        <v>219</v>
      </c>
      <c r="R44" s="8787" t="s">
        <v>220</v>
      </c>
      <c r="S44" s="1874"/>
      <c r="T44" s="4697"/>
      <c r="U44" s="4699"/>
      <c r="V44" s="1861"/>
      <c r="W44" s="1862"/>
      <c r="X44" s="882"/>
      <c r="Y44" s="4762"/>
      <c r="Z44" s="4762"/>
      <c r="AA44" s="4762"/>
      <c r="AB44" s="4763"/>
      <c r="AC44" s="4764"/>
      <c r="AD44" s="981"/>
      <c r="AE44" s="18"/>
      <c r="AF44" s="20"/>
      <c r="AG44" s="20"/>
      <c r="AH44" s="8784"/>
    </row>
    <row r="45" spans="1:34" ht="42.75" customHeight="1">
      <c r="A45" s="8918"/>
      <c r="B45" s="8921"/>
      <c r="C45" s="8807"/>
      <c r="D45" s="8808"/>
      <c r="E45" s="8808"/>
      <c r="F45" s="8808"/>
      <c r="G45" s="8813"/>
      <c r="H45" s="8808"/>
      <c r="I45" s="8808"/>
      <c r="J45" s="8808"/>
      <c r="K45" s="8808"/>
      <c r="L45" s="8808"/>
      <c r="M45" s="8823"/>
      <c r="N45" s="8823"/>
      <c r="O45" s="8823"/>
      <c r="P45" s="8782"/>
      <c r="Q45" s="8782"/>
      <c r="R45" s="8787"/>
      <c r="S45" s="1863"/>
      <c r="T45" s="4684"/>
      <c r="U45" s="4700"/>
      <c r="V45" s="1865"/>
      <c r="W45" s="1856"/>
      <c r="X45" s="1866"/>
      <c r="Y45" s="4765"/>
      <c r="Z45" s="4765"/>
      <c r="AA45" s="4765"/>
      <c r="AB45" s="4766"/>
      <c r="AC45" s="4767"/>
      <c r="AD45" s="973"/>
      <c r="AE45" s="19"/>
      <c r="AF45" s="14"/>
      <c r="AG45" s="14"/>
      <c r="AH45" s="8785"/>
    </row>
    <row r="46" spans="1:34" ht="42.75" customHeight="1">
      <c r="A46" s="8918"/>
      <c r="B46" s="8921"/>
      <c r="C46" s="8807"/>
      <c r="D46" s="8808"/>
      <c r="E46" s="8808"/>
      <c r="F46" s="8808"/>
      <c r="G46" s="8813"/>
      <c r="H46" s="8808"/>
      <c r="I46" s="8808"/>
      <c r="J46" s="8808"/>
      <c r="K46" s="8808"/>
      <c r="L46" s="8808"/>
      <c r="M46" s="8823"/>
      <c r="N46" s="8823"/>
      <c r="O46" s="8823"/>
      <c r="P46" s="8782"/>
      <c r="Q46" s="8782"/>
      <c r="R46" s="8787"/>
      <c r="S46" s="2687"/>
      <c r="T46" s="4682"/>
      <c r="U46" s="4706"/>
      <c r="V46" s="1870"/>
      <c r="W46" s="2688"/>
      <c r="X46" s="68"/>
      <c r="Y46" s="4776"/>
      <c r="Z46" s="4776"/>
      <c r="AA46" s="4776"/>
      <c r="AB46" s="4768"/>
      <c r="AC46" s="4769"/>
      <c r="AD46" s="393"/>
      <c r="AE46" s="446"/>
      <c r="AF46" s="766"/>
      <c r="AG46" s="766"/>
      <c r="AH46" s="8785"/>
    </row>
    <row r="47" spans="1:34" ht="42.75" customHeight="1">
      <c r="A47" s="8918"/>
      <c r="B47" s="8921"/>
      <c r="C47" s="8807"/>
      <c r="D47" s="8808"/>
      <c r="E47" s="8808"/>
      <c r="F47" s="8808"/>
      <c r="G47" s="8813"/>
      <c r="H47" s="8808"/>
      <c r="I47" s="8808"/>
      <c r="J47" s="8808"/>
      <c r="K47" s="8808"/>
      <c r="L47" s="8808"/>
      <c r="M47" s="8823"/>
      <c r="N47" s="8823"/>
      <c r="O47" s="8823"/>
      <c r="P47" s="8782"/>
      <c r="Q47" s="8782"/>
      <c r="R47" s="8787"/>
      <c r="S47" s="1863"/>
      <c r="T47" s="4684"/>
      <c r="U47" s="4700"/>
      <c r="V47" s="1865"/>
      <c r="W47" s="1856"/>
      <c r="X47" s="1866"/>
      <c r="Y47" s="4765"/>
      <c r="Z47" s="4765"/>
      <c r="AA47" s="4765"/>
      <c r="AB47" s="4766"/>
      <c r="AC47" s="4767"/>
      <c r="AD47" s="390"/>
      <c r="AE47" s="19"/>
      <c r="AF47" s="14"/>
      <c r="AG47" s="14"/>
      <c r="AH47" s="8785"/>
    </row>
    <row r="48" spans="1:34" ht="42.75" customHeight="1">
      <c r="A48" s="8918"/>
      <c r="B48" s="8921"/>
      <c r="C48" s="8807"/>
      <c r="D48" s="8808"/>
      <c r="E48" s="8808"/>
      <c r="F48" s="8808"/>
      <c r="G48" s="8813"/>
      <c r="H48" s="8808"/>
      <c r="I48" s="8808"/>
      <c r="J48" s="8808"/>
      <c r="K48" s="8808"/>
      <c r="L48" s="8808"/>
      <c r="M48" s="8823"/>
      <c r="N48" s="8823"/>
      <c r="O48" s="8823"/>
      <c r="P48" s="8782"/>
      <c r="Q48" s="8782"/>
      <c r="R48" s="8787"/>
      <c r="S48" s="1867"/>
      <c r="T48" s="4688"/>
      <c r="U48" s="4696"/>
      <c r="V48" s="1857"/>
      <c r="W48" s="1858"/>
      <c r="X48" s="1868"/>
      <c r="Y48" s="4751"/>
      <c r="Z48" s="4777"/>
      <c r="AA48" s="4777"/>
      <c r="AB48" s="4752"/>
      <c r="AC48" s="4753"/>
      <c r="AD48" s="391"/>
      <c r="AE48" s="17"/>
      <c r="AF48" s="16"/>
      <c r="AG48" s="16"/>
      <c r="AH48" s="8794"/>
    </row>
    <row r="49" spans="1:34" ht="33" customHeight="1">
      <c r="A49" s="8918"/>
      <c r="B49" s="8921"/>
      <c r="C49" s="8807" t="s">
        <v>127</v>
      </c>
      <c r="D49" s="8808" t="s">
        <v>128</v>
      </c>
      <c r="E49" s="8808" t="s">
        <v>129</v>
      </c>
      <c r="F49" s="8808" t="s">
        <v>157</v>
      </c>
      <c r="G49" s="8813" t="s">
        <v>131</v>
      </c>
      <c r="H49" s="8808" t="s">
        <v>132</v>
      </c>
      <c r="I49" s="8808" t="s">
        <v>189</v>
      </c>
      <c r="J49" s="8808" t="s">
        <v>221</v>
      </c>
      <c r="K49" s="8808" t="s">
        <v>222</v>
      </c>
      <c r="L49" s="8808" t="s">
        <v>223</v>
      </c>
      <c r="M49" s="8823">
        <v>0</v>
      </c>
      <c r="N49" s="8823">
        <v>1</v>
      </c>
      <c r="O49" s="8823">
        <v>1</v>
      </c>
      <c r="P49" s="8782" t="s">
        <v>224</v>
      </c>
      <c r="Q49" s="8782" t="s">
        <v>225</v>
      </c>
      <c r="R49" s="8787" t="s">
        <v>226</v>
      </c>
      <c r="S49" s="784"/>
      <c r="T49" s="4697"/>
      <c r="U49" s="4698"/>
      <c r="V49" s="775"/>
      <c r="W49" s="769"/>
      <c r="X49" s="18"/>
      <c r="Y49" s="4754"/>
      <c r="Z49" s="4754"/>
      <c r="AA49" s="4754"/>
      <c r="AB49" s="4760"/>
      <c r="AC49" s="4761"/>
      <c r="AD49" s="392"/>
      <c r="AE49" s="18"/>
      <c r="AF49" s="20"/>
      <c r="AG49" s="20"/>
      <c r="AH49" s="8784"/>
    </row>
    <row r="50" spans="1:34" ht="33" customHeight="1">
      <c r="A50" s="8918"/>
      <c r="B50" s="8921"/>
      <c r="C50" s="8807"/>
      <c r="D50" s="8808"/>
      <c r="E50" s="8808"/>
      <c r="F50" s="8808"/>
      <c r="G50" s="8813"/>
      <c r="H50" s="8808"/>
      <c r="I50" s="8808"/>
      <c r="J50" s="8808"/>
      <c r="K50" s="8808"/>
      <c r="L50" s="8808"/>
      <c r="M50" s="8823"/>
      <c r="N50" s="8823"/>
      <c r="O50" s="8823"/>
      <c r="P50" s="8782"/>
      <c r="Q50" s="8782"/>
      <c r="R50" s="8787"/>
      <c r="S50" s="780"/>
      <c r="T50" s="4684"/>
      <c r="U50" s="4685"/>
      <c r="V50" s="771"/>
      <c r="W50" s="767"/>
      <c r="X50" s="15"/>
      <c r="Y50" s="4735"/>
      <c r="Z50" s="4735"/>
      <c r="AA50" s="4735"/>
      <c r="AB50" s="4736"/>
      <c r="AC50" s="4737"/>
      <c r="AD50" s="390"/>
      <c r="AE50" s="15"/>
      <c r="AF50" s="14"/>
      <c r="AG50" s="14"/>
      <c r="AH50" s="8785"/>
    </row>
    <row r="51" spans="1:34" ht="33" customHeight="1">
      <c r="A51" s="8918"/>
      <c r="B51" s="8921"/>
      <c r="C51" s="8807"/>
      <c r="D51" s="8808"/>
      <c r="E51" s="8808"/>
      <c r="F51" s="8808"/>
      <c r="G51" s="8813"/>
      <c r="H51" s="8808"/>
      <c r="I51" s="8808"/>
      <c r="J51" s="8808"/>
      <c r="K51" s="8808"/>
      <c r="L51" s="8808"/>
      <c r="M51" s="8823"/>
      <c r="N51" s="8823"/>
      <c r="O51" s="8823"/>
      <c r="P51" s="8782"/>
      <c r="Q51" s="8782"/>
      <c r="R51" s="8787"/>
      <c r="S51" s="781"/>
      <c r="T51" s="4686"/>
      <c r="U51" s="4685"/>
      <c r="V51" s="776"/>
      <c r="W51" s="767"/>
      <c r="X51" s="15"/>
      <c r="Y51" s="4735"/>
      <c r="Z51" s="4735"/>
      <c r="AA51" s="4735"/>
      <c r="AB51" s="4736"/>
      <c r="AC51" s="4737"/>
      <c r="AD51" s="390"/>
      <c r="AE51" s="15"/>
      <c r="AF51" s="14"/>
      <c r="AG51" s="14"/>
      <c r="AH51" s="8785"/>
    </row>
    <row r="52" spans="1:34" ht="33" customHeight="1">
      <c r="A52" s="8918"/>
      <c r="B52" s="8921"/>
      <c r="C52" s="8807"/>
      <c r="D52" s="8808"/>
      <c r="E52" s="8808"/>
      <c r="F52" s="8808"/>
      <c r="G52" s="8813"/>
      <c r="H52" s="8808"/>
      <c r="I52" s="8808"/>
      <c r="J52" s="8808"/>
      <c r="K52" s="8808"/>
      <c r="L52" s="8808"/>
      <c r="M52" s="8823"/>
      <c r="N52" s="8823"/>
      <c r="O52" s="8823"/>
      <c r="P52" s="8782"/>
      <c r="Q52" s="8782"/>
      <c r="R52" s="8787"/>
      <c r="S52" s="780"/>
      <c r="T52" s="4684"/>
      <c r="U52" s="4685"/>
      <c r="V52" s="771"/>
      <c r="W52" s="767"/>
      <c r="X52" s="15"/>
      <c r="Y52" s="4735"/>
      <c r="Z52" s="4735"/>
      <c r="AA52" s="4735"/>
      <c r="AB52" s="4736"/>
      <c r="AC52" s="4737"/>
      <c r="AD52" s="390"/>
      <c r="AE52" s="15"/>
      <c r="AF52" s="14"/>
      <c r="AG52" s="14"/>
      <c r="AH52" s="8785"/>
    </row>
    <row r="53" spans="1:34" ht="33" customHeight="1">
      <c r="A53" s="8918"/>
      <c r="B53" s="8921"/>
      <c r="C53" s="8807"/>
      <c r="D53" s="8808"/>
      <c r="E53" s="8808"/>
      <c r="F53" s="8808"/>
      <c r="G53" s="8813"/>
      <c r="H53" s="8808"/>
      <c r="I53" s="8808"/>
      <c r="J53" s="8808"/>
      <c r="K53" s="8808"/>
      <c r="L53" s="8808"/>
      <c r="M53" s="8823"/>
      <c r="N53" s="8823"/>
      <c r="O53" s="8823"/>
      <c r="P53" s="8782"/>
      <c r="Q53" s="8782"/>
      <c r="R53" s="8787"/>
      <c r="S53" s="782"/>
      <c r="T53" s="4688"/>
      <c r="U53" s="4689"/>
      <c r="V53" s="772"/>
      <c r="W53" s="768"/>
      <c r="X53" s="17"/>
      <c r="Y53" s="4741"/>
      <c r="Z53" s="4741"/>
      <c r="AA53" s="4741"/>
      <c r="AB53" s="4758"/>
      <c r="AC53" s="4759"/>
      <c r="AD53" s="391"/>
      <c r="AE53" s="17"/>
      <c r="AF53" s="16"/>
      <c r="AG53" s="16"/>
      <c r="AH53" s="8794"/>
    </row>
    <row r="54" spans="1:34" ht="34.5" customHeight="1">
      <c r="A54" s="8918"/>
      <c r="B54" s="8921"/>
      <c r="C54" s="8807" t="s">
        <v>183</v>
      </c>
      <c r="D54" s="8808" t="s">
        <v>227</v>
      </c>
      <c r="E54" s="8808" t="s">
        <v>228</v>
      </c>
      <c r="F54" s="8808" t="s">
        <v>229</v>
      </c>
      <c r="G54" s="8813" t="s">
        <v>230</v>
      </c>
      <c r="H54" s="8808" t="s">
        <v>231</v>
      </c>
      <c r="I54" s="8808" t="s">
        <v>159</v>
      </c>
      <c r="J54" s="8808" t="s">
        <v>232</v>
      </c>
      <c r="K54" s="8808" t="s">
        <v>233</v>
      </c>
      <c r="L54" s="8808" t="s">
        <v>234</v>
      </c>
      <c r="M54" s="8823">
        <v>0</v>
      </c>
      <c r="N54" s="8823">
        <v>200</v>
      </c>
      <c r="O54" s="8823">
        <v>150</v>
      </c>
      <c r="P54" s="8782" t="s">
        <v>235</v>
      </c>
      <c r="Q54" s="8782" t="s">
        <v>236</v>
      </c>
      <c r="R54" s="8787" t="s">
        <v>237</v>
      </c>
      <c r="S54" s="786"/>
      <c r="T54" s="4682"/>
      <c r="U54" s="4683"/>
      <c r="V54" s="777"/>
      <c r="W54" s="770"/>
      <c r="X54" s="446"/>
      <c r="Y54" s="4732"/>
      <c r="Z54" s="4732"/>
      <c r="AA54" s="4754"/>
      <c r="AB54" s="4760"/>
      <c r="AC54" s="4761"/>
      <c r="AD54" s="392"/>
      <c r="AE54" s="18"/>
      <c r="AF54" s="20"/>
      <c r="AG54" s="20"/>
      <c r="AH54" s="8784"/>
    </row>
    <row r="55" spans="1:34" ht="34.5" customHeight="1">
      <c r="A55" s="8918"/>
      <c r="B55" s="8921"/>
      <c r="C55" s="8807"/>
      <c r="D55" s="8808"/>
      <c r="E55" s="8808"/>
      <c r="F55" s="8808"/>
      <c r="G55" s="8813"/>
      <c r="H55" s="8808"/>
      <c r="I55" s="8808"/>
      <c r="J55" s="8808"/>
      <c r="K55" s="8808"/>
      <c r="L55" s="8808"/>
      <c r="M55" s="8823"/>
      <c r="N55" s="8823"/>
      <c r="O55" s="8823"/>
      <c r="P55" s="8782"/>
      <c r="Q55" s="8782"/>
      <c r="R55" s="8787"/>
      <c r="S55" s="780"/>
      <c r="T55" s="4684"/>
      <c r="U55" s="4685"/>
      <c r="V55" s="771"/>
      <c r="W55" s="767"/>
      <c r="X55" s="15"/>
      <c r="Y55" s="4735"/>
      <c r="Z55" s="4735"/>
      <c r="AA55" s="4735"/>
      <c r="AB55" s="4736"/>
      <c r="AC55" s="4737"/>
      <c r="AD55" s="390"/>
      <c r="AE55" s="15"/>
      <c r="AF55" s="14"/>
      <c r="AG55" s="14"/>
      <c r="AH55" s="8785"/>
    </row>
    <row r="56" spans="1:34" ht="34.5" customHeight="1">
      <c r="A56" s="8918"/>
      <c r="B56" s="8921"/>
      <c r="C56" s="8807"/>
      <c r="D56" s="8808"/>
      <c r="E56" s="8808"/>
      <c r="F56" s="8808"/>
      <c r="G56" s="8813"/>
      <c r="H56" s="8808"/>
      <c r="I56" s="8808"/>
      <c r="J56" s="8808"/>
      <c r="K56" s="8808"/>
      <c r="L56" s="8808"/>
      <c r="M56" s="8823"/>
      <c r="N56" s="8823"/>
      <c r="O56" s="8823"/>
      <c r="P56" s="8782"/>
      <c r="Q56" s="8782"/>
      <c r="R56" s="8787"/>
      <c r="S56" s="780"/>
      <c r="T56" s="4684"/>
      <c r="U56" s="4685"/>
      <c r="V56" s="771"/>
      <c r="W56" s="767"/>
      <c r="X56" s="15"/>
      <c r="Y56" s="4735"/>
      <c r="Z56" s="4735"/>
      <c r="AA56" s="4735"/>
      <c r="AB56" s="4736"/>
      <c r="AC56" s="4737"/>
      <c r="AD56" s="390"/>
      <c r="AE56" s="15"/>
      <c r="AF56" s="14"/>
      <c r="AG56" s="14"/>
      <c r="AH56" s="8785"/>
    </row>
    <row r="57" spans="1:34" ht="34.5" customHeight="1">
      <c r="A57" s="8922"/>
      <c r="B57" s="8923"/>
      <c r="C57" s="8807"/>
      <c r="D57" s="8808"/>
      <c r="E57" s="8808"/>
      <c r="F57" s="8808"/>
      <c r="G57" s="8813"/>
      <c r="H57" s="8808"/>
      <c r="I57" s="8808"/>
      <c r="J57" s="8808"/>
      <c r="K57" s="8808"/>
      <c r="L57" s="8808"/>
      <c r="M57" s="8823"/>
      <c r="N57" s="8823"/>
      <c r="O57" s="8823"/>
      <c r="P57" s="8782"/>
      <c r="Q57" s="8782"/>
      <c r="R57" s="8787"/>
      <c r="S57" s="780"/>
      <c r="T57" s="4684"/>
      <c r="U57" s="4685"/>
      <c r="V57" s="771"/>
      <c r="W57" s="767"/>
      <c r="X57" s="15"/>
      <c r="Y57" s="4735"/>
      <c r="Z57" s="4735"/>
      <c r="AA57" s="4735"/>
      <c r="AB57" s="4736"/>
      <c r="AC57" s="4737"/>
      <c r="AD57" s="390"/>
      <c r="AE57" s="15"/>
      <c r="AF57" s="14"/>
      <c r="AG57" s="14"/>
      <c r="AH57" s="8785"/>
    </row>
    <row r="58" spans="1:34" ht="34.5" customHeight="1">
      <c r="A58" s="8917" t="s">
        <v>87</v>
      </c>
      <c r="B58" s="8924"/>
      <c r="C58" s="8807"/>
      <c r="D58" s="8808"/>
      <c r="E58" s="8808"/>
      <c r="F58" s="8808"/>
      <c r="G58" s="8813"/>
      <c r="H58" s="8808"/>
      <c r="I58" s="8808"/>
      <c r="J58" s="8808"/>
      <c r="K58" s="8808"/>
      <c r="L58" s="8808"/>
      <c r="M58" s="8823"/>
      <c r="N58" s="8823"/>
      <c r="O58" s="8823"/>
      <c r="P58" s="8782"/>
      <c r="Q58" s="8782"/>
      <c r="R58" s="8787"/>
      <c r="S58" s="782"/>
      <c r="T58" s="4688"/>
      <c r="U58" s="4689"/>
      <c r="V58" s="772"/>
      <c r="W58" s="768"/>
      <c r="X58" s="17"/>
      <c r="Y58" s="4741"/>
      <c r="Z58" s="4741"/>
      <c r="AA58" s="4741"/>
      <c r="AB58" s="4758"/>
      <c r="AC58" s="4759"/>
      <c r="AD58" s="391"/>
      <c r="AE58" s="17"/>
      <c r="AF58" s="16"/>
      <c r="AG58" s="16"/>
      <c r="AH58" s="8794"/>
    </row>
    <row r="59" spans="1:34" ht="37.5" customHeight="1">
      <c r="A59" s="8918"/>
      <c r="B59" s="8921"/>
      <c r="C59" s="8807" t="s">
        <v>127</v>
      </c>
      <c r="D59" s="8808" t="s">
        <v>128</v>
      </c>
      <c r="E59" s="8808" t="s">
        <v>140</v>
      </c>
      <c r="F59" s="8808" t="s">
        <v>238</v>
      </c>
      <c r="G59" s="8813" t="s">
        <v>131</v>
      </c>
      <c r="H59" s="8808" t="s">
        <v>132</v>
      </c>
      <c r="I59" s="8808" t="s">
        <v>189</v>
      </c>
      <c r="J59" s="8808" t="s">
        <v>239</v>
      </c>
      <c r="K59" s="8808" t="s">
        <v>240</v>
      </c>
      <c r="L59" s="8808" t="s">
        <v>241</v>
      </c>
      <c r="M59" s="8823">
        <v>10</v>
      </c>
      <c r="N59" s="8823">
        <v>20</v>
      </c>
      <c r="O59" s="8823">
        <v>12</v>
      </c>
      <c r="P59" s="8782" t="s">
        <v>242</v>
      </c>
      <c r="Q59" s="8782" t="s">
        <v>243</v>
      </c>
      <c r="R59" s="8787" t="s">
        <v>244</v>
      </c>
      <c r="S59" s="784"/>
      <c r="T59" s="4697"/>
      <c r="U59" s="4698"/>
      <c r="V59" s="775"/>
      <c r="W59" s="769"/>
      <c r="X59" s="18"/>
      <c r="Y59" s="4754"/>
      <c r="Z59" s="4732"/>
      <c r="AA59" s="4754"/>
      <c r="AB59" s="4760"/>
      <c r="AC59" s="4761"/>
      <c r="AD59" s="392"/>
      <c r="AE59" s="18"/>
      <c r="AF59" s="20"/>
      <c r="AG59" s="20"/>
      <c r="AH59" s="8784"/>
    </row>
    <row r="60" spans="1:34" ht="37.5" customHeight="1">
      <c r="A60" s="8918"/>
      <c r="B60" s="8921"/>
      <c r="C60" s="8807"/>
      <c r="D60" s="8808"/>
      <c r="E60" s="8808"/>
      <c r="F60" s="8808"/>
      <c r="G60" s="8813"/>
      <c r="H60" s="8808"/>
      <c r="I60" s="8808"/>
      <c r="J60" s="8808"/>
      <c r="K60" s="8808"/>
      <c r="L60" s="8808"/>
      <c r="M60" s="8823"/>
      <c r="N60" s="8823"/>
      <c r="O60" s="8823"/>
      <c r="P60" s="8782"/>
      <c r="Q60" s="8782"/>
      <c r="R60" s="8787"/>
      <c r="S60" s="780"/>
      <c r="T60" s="4684"/>
      <c r="U60" s="4685"/>
      <c r="V60" s="771"/>
      <c r="W60" s="767"/>
      <c r="X60" s="15"/>
      <c r="Y60" s="4735"/>
      <c r="Z60" s="4735"/>
      <c r="AA60" s="4735"/>
      <c r="AB60" s="4736"/>
      <c r="AC60" s="4737"/>
      <c r="AD60" s="390"/>
      <c r="AE60" s="15"/>
      <c r="AF60" s="14"/>
      <c r="AG60" s="14"/>
      <c r="AH60" s="8785"/>
    </row>
    <row r="61" spans="1:34" ht="37.5" customHeight="1">
      <c r="A61" s="8918"/>
      <c r="B61" s="8921"/>
      <c r="C61" s="8807"/>
      <c r="D61" s="8808"/>
      <c r="E61" s="8808"/>
      <c r="F61" s="8808"/>
      <c r="G61" s="8813"/>
      <c r="H61" s="8808"/>
      <c r="I61" s="8808"/>
      <c r="J61" s="8808"/>
      <c r="K61" s="8808"/>
      <c r="L61" s="8808"/>
      <c r="M61" s="8823"/>
      <c r="N61" s="8823"/>
      <c r="O61" s="8823"/>
      <c r="P61" s="8782"/>
      <c r="Q61" s="8782"/>
      <c r="R61" s="8787"/>
      <c r="S61" s="780"/>
      <c r="T61" s="4684"/>
      <c r="U61" s="4685"/>
      <c r="V61" s="970"/>
      <c r="W61" s="971"/>
      <c r="X61" s="972"/>
      <c r="Y61" s="4738"/>
      <c r="Z61" s="4738"/>
      <c r="AA61" s="4738"/>
      <c r="AB61" s="4739"/>
      <c r="AC61" s="4740"/>
      <c r="AD61" s="973"/>
      <c r="AE61" s="15"/>
      <c r="AF61" s="14"/>
      <c r="AG61" s="14"/>
      <c r="AH61" s="8785"/>
    </row>
    <row r="62" spans="1:34" ht="37.5" customHeight="1">
      <c r="A62" s="8918"/>
      <c r="B62" s="8921"/>
      <c r="C62" s="8807"/>
      <c r="D62" s="8808"/>
      <c r="E62" s="8808"/>
      <c r="F62" s="8808"/>
      <c r="G62" s="8813"/>
      <c r="H62" s="8808"/>
      <c r="I62" s="8808"/>
      <c r="J62" s="8808"/>
      <c r="K62" s="8808"/>
      <c r="L62" s="8808"/>
      <c r="M62" s="8823"/>
      <c r="N62" s="8823"/>
      <c r="O62" s="8823"/>
      <c r="P62" s="8782"/>
      <c r="Q62" s="8782"/>
      <c r="R62" s="8787"/>
      <c r="S62" s="780"/>
      <c r="T62" s="4684"/>
      <c r="U62" s="4685"/>
      <c r="V62" s="970"/>
      <c r="W62" s="971"/>
      <c r="X62" s="972"/>
      <c r="Y62" s="4738"/>
      <c r="Z62" s="4738"/>
      <c r="AA62" s="4738"/>
      <c r="AB62" s="4739"/>
      <c r="AC62" s="4740"/>
      <c r="AD62" s="973"/>
      <c r="AE62" s="15"/>
      <c r="AF62" s="14"/>
      <c r="AG62" s="14"/>
      <c r="AH62" s="8785"/>
    </row>
    <row r="63" spans="1:34" ht="37.5" customHeight="1">
      <c r="A63" s="8918"/>
      <c r="B63" s="8921"/>
      <c r="C63" s="8807"/>
      <c r="D63" s="8808"/>
      <c r="E63" s="8808"/>
      <c r="F63" s="8808"/>
      <c r="G63" s="8813"/>
      <c r="H63" s="8808"/>
      <c r="I63" s="8808"/>
      <c r="J63" s="8808"/>
      <c r="K63" s="8808"/>
      <c r="L63" s="8808"/>
      <c r="M63" s="8823"/>
      <c r="N63" s="8823"/>
      <c r="O63" s="8823"/>
      <c r="P63" s="8782"/>
      <c r="Q63" s="8782"/>
      <c r="R63" s="8787"/>
      <c r="S63" s="785"/>
      <c r="T63" s="4702"/>
      <c r="U63" s="4707"/>
      <c r="V63" s="996"/>
      <c r="W63" s="997"/>
      <c r="X63" s="998"/>
      <c r="Y63" s="4778"/>
      <c r="Z63" s="4778"/>
      <c r="AA63" s="4778"/>
      <c r="AB63" s="4743"/>
      <c r="AC63" s="4744"/>
      <c r="AD63" s="977"/>
      <c r="AE63" s="23"/>
      <c r="AF63" s="22"/>
      <c r="AG63" s="16"/>
      <c r="AH63" s="8794"/>
    </row>
    <row r="64" spans="1:34" ht="41.25" customHeight="1">
      <c r="A64" s="8918"/>
      <c r="B64" s="8921"/>
      <c r="C64" s="8807" t="s">
        <v>183</v>
      </c>
      <c r="D64" s="8808" t="s">
        <v>184</v>
      </c>
      <c r="E64" s="8808" t="s">
        <v>245</v>
      </c>
      <c r="F64" s="8808" t="s">
        <v>246</v>
      </c>
      <c r="G64" s="8813" t="s">
        <v>187</v>
      </c>
      <c r="H64" s="8808" t="s">
        <v>247</v>
      </c>
      <c r="I64" s="8808" t="s">
        <v>159</v>
      </c>
      <c r="J64" s="8808" t="s">
        <v>248</v>
      </c>
      <c r="K64" s="8808" t="s">
        <v>249</v>
      </c>
      <c r="L64" s="8808" t="s">
        <v>250</v>
      </c>
      <c r="M64" s="8823">
        <v>10</v>
      </c>
      <c r="N64" s="8823">
        <v>15</v>
      </c>
      <c r="O64" s="8823">
        <v>5</v>
      </c>
      <c r="P64" s="8782" t="s">
        <v>251</v>
      </c>
      <c r="Q64" s="8782" t="s">
        <v>252</v>
      </c>
      <c r="R64" s="8787" t="s">
        <v>253</v>
      </c>
      <c r="S64" s="1860" t="s">
        <v>15</v>
      </c>
      <c r="T64" s="4697">
        <v>530304</v>
      </c>
      <c r="U64" s="1875"/>
      <c r="V64" s="1861" t="s">
        <v>30</v>
      </c>
      <c r="W64" s="1862"/>
      <c r="X64" s="882"/>
      <c r="Y64" s="4762"/>
      <c r="Z64" s="4762"/>
      <c r="AA64" s="4762"/>
      <c r="AB64" s="4768">
        <f>SUM($AA$65)</f>
        <v>8400</v>
      </c>
      <c r="AC64" s="4769" t="s">
        <v>18</v>
      </c>
      <c r="AD64" s="999"/>
      <c r="AE64" s="18"/>
      <c r="AF64" s="20"/>
      <c r="AG64" s="20"/>
      <c r="AH64" s="8784"/>
    </row>
    <row r="65" spans="1:34" ht="41.25" customHeight="1">
      <c r="A65" s="8918"/>
      <c r="B65" s="8921"/>
      <c r="C65" s="8807"/>
      <c r="D65" s="8808"/>
      <c r="E65" s="8808"/>
      <c r="F65" s="8808"/>
      <c r="G65" s="8813"/>
      <c r="H65" s="8808"/>
      <c r="I65" s="8808"/>
      <c r="J65" s="8808"/>
      <c r="K65" s="8808"/>
      <c r="L65" s="8808"/>
      <c r="M65" s="8823"/>
      <c r="N65" s="8823"/>
      <c r="O65" s="8823"/>
      <c r="P65" s="8782"/>
      <c r="Q65" s="8782"/>
      <c r="R65" s="8787"/>
      <c r="S65" s="2665"/>
      <c r="T65" s="4708"/>
      <c r="U65" s="2666" t="s">
        <v>254</v>
      </c>
      <c r="V65" s="2667" t="s">
        <v>30</v>
      </c>
      <c r="W65" s="1856">
        <v>1</v>
      </c>
      <c r="X65" s="1866" t="s">
        <v>152</v>
      </c>
      <c r="Y65" s="4765">
        <v>7500</v>
      </c>
      <c r="Z65" s="4765">
        <f>W65*Y65</f>
        <v>7500</v>
      </c>
      <c r="AA65" s="4765">
        <f>Z65*1.12</f>
        <v>8400</v>
      </c>
      <c r="AB65" s="4766"/>
      <c r="AC65" s="4767"/>
      <c r="AD65" s="973"/>
      <c r="AE65" s="19" t="s">
        <v>153</v>
      </c>
      <c r="AF65" s="14" t="s">
        <v>153</v>
      </c>
      <c r="AG65" s="14" t="s">
        <v>153</v>
      </c>
      <c r="AH65" s="8785"/>
    </row>
    <row r="66" spans="1:34" ht="41.25" customHeight="1">
      <c r="A66" s="8918"/>
      <c r="B66" s="8921"/>
      <c r="C66" s="8807"/>
      <c r="D66" s="8808"/>
      <c r="E66" s="8808"/>
      <c r="F66" s="8808"/>
      <c r="G66" s="8813"/>
      <c r="H66" s="8808"/>
      <c r="I66" s="8808"/>
      <c r="J66" s="8808"/>
      <c r="K66" s="8808"/>
      <c r="L66" s="8808"/>
      <c r="M66" s="8823"/>
      <c r="N66" s="8823"/>
      <c r="O66" s="8823"/>
      <c r="P66" s="8782"/>
      <c r="Q66" s="8782"/>
      <c r="R66" s="8787"/>
      <c r="S66" s="1869" t="s">
        <v>15</v>
      </c>
      <c r="T66" s="4682">
        <v>530303</v>
      </c>
      <c r="U66" s="2664"/>
      <c r="V66" s="1870" t="s">
        <v>29</v>
      </c>
      <c r="W66" s="971"/>
      <c r="X66" s="972"/>
      <c r="Y66" s="4738"/>
      <c r="Z66" s="4738"/>
      <c r="AA66" s="4738"/>
      <c r="AB66" s="4739">
        <f>+AA67</f>
        <v>20000</v>
      </c>
      <c r="AC66" s="4740" t="s">
        <v>18</v>
      </c>
      <c r="AD66" s="973"/>
      <c r="AE66" s="15"/>
      <c r="AF66" s="14"/>
      <c r="AG66" s="14"/>
      <c r="AH66" s="8785"/>
    </row>
    <row r="67" spans="1:34" ht="41.25" customHeight="1">
      <c r="A67" s="8918"/>
      <c r="B67" s="8921"/>
      <c r="C67" s="8807"/>
      <c r="D67" s="8808"/>
      <c r="E67" s="8808"/>
      <c r="F67" s="8808"/>
      <c r="G67" s="8813"/>
      <c r="H67" s="8808"/>
      <c r="I67" s="8808"/>
      <c r="J67" s="8808"/>
      <c r="K67" s="8808"/>
      <c r="L67" s="8808"/>
      <c r="M67" s="8823"/>
      <c r="N67" s="8823"/>
      <c r="O67" s="8823"/>
      <c r="P67" s="8782"/>
      <c r="Q67" s="8782"/>
      <c r="R67" s="8787"/>
      <c r="S67" s="1863"/>
      <c r="T67" s="4686"/>
      <c r="U67" s="1864" t="s">
        <v>254</v>
      </c>
      <c r="V67" s="3156" t="s">
        <v>29</v>
      </c>
      <c r="W67" s="1683">
        <v>1</v>
      </c>
      <c r="X67" s="3157" t="s">
        <v>152</v>
      </c>
      <c r="Y67" s="4779">
        <f>20000/1.12</f>
        <v>17857.142857142855</v>
      </c>
      <c r="Z67" s="4779">
        <f>+W67*Y67</f>
        <v>17857.142857142855</v>
      </c>
      <c r="AA67" s="4779">
        <f>+Z67*1.12</f>
        <v>20000</v>
      </c>
      <c r="AB67" s="4739"/>
      <c r="AC67" s="4740"/>
      <c r="AD67" s="973"/>
      <c r="AE67" s="15" t="s">
        <v>153</v>
      </c>
      <c r="AF67" s="14" t="s">
        <v>153</v>
      </c>
      <c r="AG67" s="14" t="s">
        <v>153</v>
      </c>
      <c r="AH67" s="8785"/>
    </row>
    <row r="68" spans="1:34" ht="41.25" customHeight="1">
      <c r="A68" s="8918"/>
      <c r="B68" s="8921"/>
      <c r="C68" s="8807"/>
      <c r="D68" s="8808"/>
      <c r="E68" s="8808"/>
      <c r="F68" s="8808"/>
      <c r="G68" s="8813"/>
      <c r="H68" s="8808"/>
      <c r="I68" s="8808"/>
      <c r="J68" s="8808"/>
      <c r="K68" s="8808"/>
      <c r="L68" s="8808"/>
      <c r="M68" s="8823"/>
      <c r="N68" s="8823"/>
      <c r="O68" s="8823"/>
      <c r="P68" s="8782"/>
      <c r="Q68" s="8782"/>
      <c r="R68" s="8787"/>
      <c r="S68" s="782"/>
      <c r="T68" s="4709"/>
      <c r="U68" s="779"/>
      <c r="V68" s="974"/>
      <c r="W68" s="975"/>
      <c r="X68" s="976"/>
      <c r="Y68" s="4742"/>
      <c r="Z68" s="4742"/>
      <c r="AA68" s="4742"/>
      <c r="AB68" s="4743"/>
      <c r="AC68" s="4744"/>
      <c r="AD68" s="977"/>
      <c r="AE68" s="17"/>
      <c r="AF68" s="16"/>
      <c r="AG68" s="16"/>
      <c r="AH68" s="8794"/>
    </row>
    <row r="69" spans="1:34" ht="31.5" customHeight="1">
      <c r="A69" s="8918"/>
      <c r="B69" s="8921"/>
      <c r="C69" s="8807" t="s">
        <v>183</v>
      </c>
      <c r="D69" s="8808" t="s">
        <v>227</v>
      </c>
      <c r="E69" s="8863" t="s">
        <v>228</v>
      </c>
      <c r="F69" s="8863" t="s">
        <v>255</v>
      </c>
      <c r="G69" s="8813" t="s">
        <v>230</v>
      </c>
      <c r="H69" s="8808" t="s">
        <v>158</v>
      </c>
      <c r="I69" s="8808" t="s">
        <v>214</v>
      </c>
      <c r="J69" s="8808" t="s">
        <v>256</v>
      </c>
      <c r="K69" s="8808" t="s">
        <v>257</v>
      </c>
      <c r="L69" s="8782" t="s">
        <v>258</v>
      </c>
      <c r="M69" s="8823">
        <v>8</v>
      </c>
      <c r="N69" s="8823">
        <v>4</v>
      </c>
      <c r="O69" s="8823">
        <v>2</v>
      </c>
      <c r="P69" s="8782" t="s">
        <v>259</v>
      </c>
      <c r="Q69" s="8782" t="s">
        <v>260</v>
      </c>
      <c r="R69" s="8787" t="s">
        <v>165</v>
      </c>
      <c r="S69" s="3158" t="s">
        <v>15</v>
      </c>
      <c r="T69" s="4710" t="s">
        <v>261</v>
      </c>
      <c r="U69" s="3159"/>
      <c r="V69" s="3160" t="s">
        <v>40</v>
      </c>
      <c r="W69" s="3161"/>
      <c r="X69" s="3162"/>
      <c r="Y69" s="4780"/>
      <c r="Z69" s="4780"/>
      <c r="AA69" s="4780"/>
      <c r="AB69" s="4781">
        <v>0</v>
      </c>
      <c r="AC69" s="4782" t="s">
        <v>18</v>
      </c>
      <c r="AD69" s="999"/>
      <c r="AE69" s="18"/>
      <c r="AF69" s="20"/>
      <c r="AG69" s="20"/>
      <c r="AH69" s="8784"/>
    </row>
    <row r="70" spans="1:34" ht="31.5" customHeight="1">
      <c r="A70" s="8918"/>
      <c r="B70" s="8921"/>
      <c r="C70" s="8807"/>
      <c r="D70" s="8808"/>
      <c r="E70" s="8863"/>
      <c r="F70" s="8863"/>
      <c r="G70" s="8813"/>
      <c r="H70" s="8808"/>
      <c r="I70" s="8808"/>
      <c r="J70" s="8808"/>
      <c r="K70" s="8808"/>
      <c r="L70" s="8782"/>
      <c r="M70" s="8823"/>
      <c r="N70" s="8823"/>
      <c r="O70" s="8823"/>
      <c r="P70" s="8782"/>
      <c r="Q70" s="8782"/>
      <c r="R70" s="8787"/>
      <c r="S70" s="3163"/>
      <c r="T70" s="4711"/>
      <c r="U70" s="4718" t="s">
        <v>262</v>
      </c>
      <c r="V70" s="3164" t="s">
        <v>263</v>
      </c>
      <c r="W70" s="3165">
        <v>2</v>
      </c>
      <c r="X70" s="3166" t="s">
        <v>180</v>
      </c>
      <c r="Y70" s="4783">
        <v>87</v>
      </c>
      <c r="Z70" s="4783">
        <f t="shared" ref="Z70:Z72" si="3">W70*Y70</f>
        <v>174</v>
      </c>
      <c r="AA70" s="4783">
        <f t="shared" ref="AA70:AA72" si="4">Z70*1.12</f>
        <v>194.88000000000002</v>
      </c>
      <c r="AB70" s="4781"/>
      <c r="AC70" s="4784"/>
      <c r="AD70" s="973"/>
      <c r="AE70" s="19"/>
      <c r="AF70" s="14" t="s">
        <v>153</v>
      </c>
      <c r="AG70" s="14"/>
      <c r="AH70" s="8785"/>
    </row>
    <row r="71" spans="1:34" ht="31.5" customHeight="1">
      <c r="A71" s="8918"/>
      <c r="B71" s="8921"/>
      <c r="C71" s="8807"/>
      <c r="D71" s="8808"/>
      <c r="E71" s="8863"/>
      <c r="F71" s="8863"/>
      <c r="G71" s="8813"/>
      <c r="H71" s="8808"/>
      <c r="I71" s="8808"/>
      <c r="J71" s="8808"/>
      <c r="K71" s="8808"/>
      <c r="L71" s="8782"/>
      <c r="M71" s="8823"/>
      <c r="N71" s="8823"/>
      <c r="O71" s="8823"/>
      <c r="P71" s="8782"/>
      <c r="Q71" s="8782"/>
      <c r="R71" s="8787"/>
      <c r="S71" s="3163"/>
      <c r="T71" s="4711"/>
      <c r="U71" s="4718" t="s">
        <v>264</v>
      </c>
      <c r="V71" s="3164" t="s">
        <v>265</v>
      </c>
      <c r="W71" s="3165">
        <v>3</v>
      </c>
      <c r="X71" s="3166" t="s">
        <v>180</v>
      </c>
      <c r="Y71" s="4783">
        <v>60</v>
      </c>
      <c r="Z71" s="4783">
        <f t="shared" si="3"/>
        <v>180</v>
      </c>
      <c r="AA71" s="4783">
        <f t="shared" si="4"/>
        <v>201.60000000000002</v>
      </c>
      <c r="AB71" s="4781"/>
      <c r="AC71" s="4784"/>
      <c r="AD71" s="973"/>
      <c r="AE71" s="19"/>
      <c r="AF71" s="14" t="s">
        <v>153</v>
      </c>
      <c r="AG71" s="14"/>
      <c r="AH71" s="8785"/>
    </row>
    <row r="72" spans="1:34" ht="31.5" customHeight="1">
      <c r="A72" s="8918"/>
      <c r="B72" s="8921"/>
      <c r="C72" s="8807"/>
      <c r="D72" s="8808"/>
      <c r="E72" s="8863"/>
      <c r="F72" s="8863"/>
      <c r="G72" s="8813"/>
      <c r="H72" s="8808"/>
      <c r="I72" s="8808"/>
      <c r="J72" s="8808"/>
      <c r="K72" s="8808"/>
      <c r="L72" s="8782"/>
      <c r="M72" s="8823"/>
      <c r="N72" s="8823"/>
      <c r="O72" s="8823"/>
      <c r="P72" s="8782"/>
      <c r="Q72" s="8782"/>
      <c r="R72" s="8787"/>
      <c r="S72" s="3163"/>
      <c r="T72" s="4711"/>
      <c r="U72" s="4718" t="s">
        <v>266</v>
      </c>
      <c r="V72" s="3164" t="s">
        <v>267</v>
      </c>
      <c r="W72" s="3165">
        <v>3</v>
      </c>
      <c r="X72" s="3166" t="s">
        <v>180</v>
      </c>
      <c r="Y72" s="4783">
        <v>50</v>
      </c>
      <c r="Z72" s="4783">
        <f t="shared" si="3"/>
        <v>150</v>
      </c>
      <c r="AA72" s="4783">
        <f t="shared" si="4"/>
        <v>168.00000000000003</v>
      </c>
      <c r="AB72" s="4781"/>
      <c r="AC72" s="4784"/>
      <c r="AD72" s="390"/>
      <c r="AE72" s="19"/>
      <c r="AF72" s="14" t="s">
        <v>153</v>
      </c>
      <c r="AG72" s="14"/>
      <c r="AH72" s="8785"/>
    </row>
    <row r="73" spans="1:34" ht="31.5" customHeight="1">
      <c r="A73" s="8918"/>
      <c r="B73" s="8921"/>
      <c r="C73" s="8807"/>
      <c r="D73" s="8808"/>
      <c r="E73" s="8863"/>
      <c r="F73" s="8863"/>
      <c r="G73" s="8813"/>
      <c r="H73" s="8808"/>
      <c r="I73" s="8808"/>
      <c r="J73" s="8808"/>
      <c r="K73" s="8808"/>
      <c r="L73" s="8782"/>
      <c r="M73" s="8823"/>
      <c r="N73" s="8823"/>
      <c r="O73" s="8823"/>
      <c r="P73" s="8782"/>
      <c r="Q73" s="8782"/>
      <c r="R73" s="8787"/>
      <c r="S73" s="1867"/>
      <c r="T73" s="4688"/>
      <c r="U73" s="4696"/>
      <c r="V73" s="1857"/>
      <c r="W73" s="1858"/>
      <c r="X73" s="1868"/>
      <c r="Y73" s="4751"/>
      <c r="Z73" s="4751"/>
      <c r="AA73" s="4751"/>
      <c r="AB73" s="4752"/>
      <c r="AC73" s="4753"/>
      <c r="AD73" s="391"/>
      <c r="AE73" s="17"/>
      <c r="AF73" s="16"/>
      <c r="AG73" s="16"/>
      <c r="AH73" s="8794"/>
    </row>
    <row r="74" spans="1:34" ht="45" customHeight="1" thickBot="1">
      <c r="A74" s="8922"/>
      <c r="B74" s="8923"/>
      <c r="C74" s="8807" t="s">
        <v>127</v>
      </c>
      <c r="D74" s="8808" t="s">
        <v>128</v>
      </c>
      <c r="E74" s="8808" t="s">
        <v>129</v>
      </c>
      <c r="F74" s="8808" t="s">
        <v>268</v>
      </c>
      <c r="G74" s="8813" t="s">
        <v>131</v>
      </c>
      <c r="H74" s="8808" t="s">
        <v>132</v>
      </c>
      <c r="I74" s="8808" t="s">
        <v>214</v>
      </c>
      <c r="J74" s="8808" t="s">
        <v>269</v>
      </c>
      <c r="K74" s="8808" t="s">
        <v>270</v>
      </c>
      <c r="L74" s="8782" t="s">
        <v>271</v>
      </c>
      <c r="M74" s="8823">
        <v>10</v>
      </c>
      <c r="N74" s="8823">
        <v>15</v>
      </c>
      <c r="O74" s="8823">
        <v>20</v>
      </c>
      <c r="P74" s="8782" t="s">
        <v>272</v>
      </c>
      <c r="Q74" s="8782" t="s">
        <v>273</v>
      </c>
      <c r="R74" s="8787" t="s">
        <v>274</v>
      </c>
      <c r="S74" s="783"/>
      <c r="T74" s="4697"/>
      <c r="U74" s="4698"/>
      <c r="V74" s="773"/>
      <c r="W74" s="769"/>
      <c r="X74" s="18"/>
      <c r="Y74" s="4754"/>
      <c r="Z74" s="4754"/>
      <c r="AA74" s="4754"/>
      <c r="AB74" s="4736"/>
      <c r="AC74" s="4734"/>
      <c r="AD74" s="393"/>
      <c r="AE74" s="18"/>
      <c r="AF74" s="20"/>
      <c r="AG74" s="20"/>
      <c r="AH74" s="8784"/>
    </row>
    <row r="75" spans="1:34" ht="45" customHeight="1">
      <c r="A75" s="8919" t="s">
        <v>87</v>
      </c>
      <c r="B75" s="8920"/>
      <c r="C75" s="8807"/>
      <c r="D75" s="8808"/>
      <c r="E75" s="8808"/>
      <c r="F75" s="8808"/>
      <c r="G75" s="8813"/>
      <c r="H75" s="8808"/>
      <c r="I75" s="8808"/>
      <c r="J75" s="8808"/>
      <c r="K75" s="8808"/>
      <c r="L75" s="8782"/>
      <c r="M75" s="8823"/>
      <c r="N75" s="8823"/>
      <c r="O75" s="8823"/>
      <c r="P75" s="8782"/>
      <c r="Q75" s="8782"/>
      <c r="R75" s="8787"/>
      <c r="S75" s="780"/>
      <c r="T75" s="4684"/>
      <c r="U75" s="4685"/>
      <c r="V75" s="774"/>
      <c r="W75" s="767"/>
      <c r="X75" s="19"/>
      <c r="Y75" s="4735"/>
      <c r="Z75" s="4735"/>
      <c r="AA75" s="4735"/>
      <c r="AB75" s="4736"/>
      <c r="AC75" s="4737"/>
      <c r="AD75" s="390"/>
      <c r="AE75" s="19"/>
      <c r="AF75" s="14"/>
      <c r="AG75" s="14"/>
      <c r="AH75" s="8785"/>
    </row>
    <row r="76" spans="1:34" ht="45" customHeight="1">
      <c r="A76" s="8918"/>
      <c r="B76" s="8921"/>
      <c r="C76" s="8807"/>
      <c r="D76" s="8808"/>
      <c r="E76" s="8808"/>
      <c r="F76" s="8808"/>
      <c r="G76" s="8813"/>
      <c r="H76" s="8808"/>
      <c r="I76" s="8808"/>
      <c r="J76" s="8808"/>
      <c r="K76" s="8808"/>
      <c r="L76" s="8782"/>
      <c r="M76" s="8823"/>
      <c r="N76" s="8823"/>
      <c r="O76" s="8823"/>
      <c r="P76" s="8782"/>
      <c r="Q76" s="8782"/>
      <c r="R76" s="8787"/>
      <c r="S76" s="780"/>
      <c r="T76" s="4684"/>
      <c r="U76" s="4685"/>
      <c r="V76" s="774"/>
      <c r="W76" s="767"/>
      <c r="X76" s="19"/>
      <c r="Y76" s="4735"/>
      <c r="Z76" s="4735"/>
      <c r="AA76" s="4735"/>
      <c r="AB76" s="4736"/>
      <c r="AC76" s="4737"/>
      <c r="AD76" s="390"/>
      <c r="AE76" s="19"/>
      <c r="AF76" s="14"/>
      <c r="AG76" s="14"/>
      <c r="AH76" s="8785"/>
    </row>
    <row r="77" spans="1:34" ht="45" customHeight="1">
      <c r="A77" s="8918"/>
      <c r="B77" s="8921"/>
      <c r="C77" s="8807"/>
      <c r="D77" s="8808"/>
      <c r="E77" s="8808"/>
      <c r="F77" s="8808"/>
      <c r="G77" s="8813"/>
      <c r="H77" s="8808"/>
      <c r="I77" s="8808"/>
      <c r="J77" s="8808"/>
      <c r="K77" s="8808"/>
      <c r="L77" s="8782"/>
      <c r="M77" s="8823"/>
      <c r="N77" s="8823"/>
      <c r="O77" s="8823"/>
      <c r="P77" s="8782"/>
      <c r="Q77" s="8782"/>
      <c r="R77" s="8787"/>
      <c r="S77" s="780"/>
      <c r="T77" s="4684"/>
      <c r="U77" s="4685"/>
      <c r="V77" s="970"/>
      <c r="W77" s="971"/>
      <c r="X77" s="972"/>
      <c r="Y77" s="4738"/>
      <c r="Z77" s="4738"/>
      <c r="AA77" s="4738"/>
      <c r="AB77" s="4739"/>
      <c r="AC77" s="4740"/>
      <c r="AD77" s="973"/>
      <c r="AE77" s="15"/>
      <c r="AF77" s="14"/>
      <c r="AG77" s="14"/>
      <c r="AH77" s="8785"/>
    </row>
    <row r="78" spans="1:34" ht="45" customHeight="1">
      <c r="A78" s="8918"/>
      <c r="B78" s="8921"/>
      <c r="C78" s="8807"/>
      <c r="D78" s="8808"/>
      <c r="E78" s="8808"/>
      <c r="F78" s="8808"/>
      <c r="G78" s="8813"/>
      <c r="H78" s="8808"/>
      <c r="I78" s="8808"/>
      <c r="J78" s="8808"/>
      <c r="K78" s="8808"/>
      <c r="L78" s="8782"/>
      <c r="M78" s="8823"/>
      <c r="N78" s="8823"/>
      <c r="O78" s="8823"/>
      <c r="P78" s="8782"/>
      <c r="Q78" s="8782"/>
      <c r="R78" s="8787"/>
      <c r="S78" s="782"/>
      <c r="T78" s="4688"/>
      <c r="U78" s="4689"/>
      <c r="V78" s="974"/>
      <c r="W78" s="975"/>
      <c r="X78" s="976"/>
      <c r="Y78" s="4742"/>
      <c r="Z78" s="4742"/>
      <c r="AA78" s="4742"/>
      <c r="AB78" s="4743"/>
      <c r="AC78" s="4744"/>
      <c r="AD78" s="977"/>
      <c r="AE78" s="17"/>
      <c r="AF78" s="16"/>
      <c r="AG78" s="16"/>
      <c r="AH78" s="8794"/>
    </row>
    <row r="79" spans="1:34" ht="54" customHeight="1">
      <c r="A79" s="8918"/>
      <c r="B79" s="8921"/>
      <c r="C79" s="8807" t="s">
        <v>127</v>
      </c>
      <c r="D79" s="8808" t="s">
        <v>128</v>
      </c>
      <c r="E79" s="8808" t="s">
        <v>140</v>
      </c>
      <c r="F79" s="8808" t="s">
        <v>141</v>
      </c>
      <c r="G79" s="8813" t="s">
        <v>131</v>
      </c>
      <c r="H79" s="8808" t="s">
        <v>213</v>
      </c>
      <c r="I79" s="8808" t="s">
        <v>133</v>
      </c>
      <c r="J79" s="8808" t="s">
        <v>275</v>
      </c>
      <c r="K79" s="8808" t="s">
        <v>276</v>
      </c>
      <c r="L79" s="8808" t="s">
        <v>277</v>
      </c>
      <c r="M79" s="8823">
        <v>1</v>
      </c>
      <c r="N79" s="8823">
        <v>2</v>
      </c>
      <c r="O79" s="8823">
        <v>2</v>
      </c>
      <c r="P79" s="8860" t="s">
        <v>278</v>
      </c>
      <c r="Q79" s="8782" t="s">
        <v>279</v>
      </c>
      <c r="R79" s="8787" t="s">
        <v>280</v>
      </c>
      <c r="S79" s="783" t="s">
        <v>15</v>
      </c>
      <c r="T79" s="4682">
        <v>530402</v>
      </c>
      <c r="U79" s="4698"/>
      <c r="V79" s="978" t="s">
        <v>281</v>
      </c>
      <c r="W79" s="979"/>
      <c r="X79" s="980"/>
      <c r="Y79" s="4755"/>
      <c r="Z79" s="4755"/>
      <c r="AA79" s="4755"/>
      <c r="AB79" s="4756">
        <f>SUM(AA80)</f>
        <v>0</v>
      </c>
      <c r="AC79" s="4757" t="s">
        <v>18</v>
      </c>
      <c r="AD79" s="981"/>
      <c r="AE79" s="18"/>
      <c r="AF79" s="20"/>
      <c r="AG79" s="20"/>
      <c r="AH79" s="8784"/>
    </row>
    <row r="80" spans="1:34" ht="54" customHeight="1">
      <c r="A80" s="8918"/>
      <c r="B80" s="8921"/>
      <c r="C80" s="8807"/>
      <c r="D80" s="8808"/>
      <c r="E80" s="8808"/>
      <c r="F80" s="8808"/>
      <c r="G80" s="8813"/>
      <c r="H80" s="8808"/>
      <c r="I80" s="8808"/>
      <c r="J80" s="8808"/>
      <c r="K80" s="8808"/>
      <c r="L80" s="8808"/>
      <c r="M80" s="8823"/>
      <c r="N80" s="8823"/>
      <c r="O80" s="8823"/>
      <c r="P80" s="8860"/>
      <c r="Q80" s="8782"/>
      <c r="R80" s="8787"/>
      <c r="S80" s="780"/>
      <c r="T80" s="4712"/>
      <c r="U80" s="4719"/>
      <c r="V80" s="982" t="s">
        <v>282</v>
      </c>
      <c r="W80" s="971"/>
      <c r="X80" s="983" t="s">
        <v>152</v>
      </c>
      <c r="Y80" s="4738">
        <v>15000</v>
      </c>
      <c r="Z80" s="4738">
        <f>W80*Y80</f>
        <v>0</v>
      </c>
      <c r="AA80" s="4738">
        <f>Z80*1.12</f>
        <v>0</v>
      </c>
      <c r="AB80" s="4739"/>
      <c r="AC80" s="4740"/>
      <c r="AD80" s="973"/>
      <c r="AE80" s="15"/>
      <c r="AF80" s="14" t="s">
        <v>153</v>
      </c>
      <c r="AG80" s="14" t="s">
        <v>153</v>
      </c>
      <c r="AH80" s="8785"/>
    </row>
    <row r="81" spans="1:34" ht="54" customHeight="1">
      <c r="A81" s="8918"/>
      <c r="B81" s="8921"/>
      <c r="C81" s="8807"/>
      <c r="D81" s="8808"/>
      <c r="E81" s="8808"/>
      <c r="F81" s="8808"/>
      <c r="G81" s="8813"/>
      <c r="H81" s="8808"/>
      <c r="I81" s="8808"/>
      <c r="J81" s="8808"/>
      <c r="K81" s="8808"/>
      <c r="L81" s="8808"/>
      <c r="M81" s="8823"/>
      <c r="N81" s="8823"/>
      <c r="O81" s="8823"/>
      <c r="P81" s="8860"/>
      <c r="Q81" s="8782"/>
      <c r="R81" s="8787"/>
      <c r="S81" s="787"/>
      <c r="T81" s="4713"/>
      <c r="U81" s="4713">
        <v>547900411</v>
      </c>
      <c r="V81" s="984" t="s">
        <v>283</v>
      </c>
      <c r="W81" s="985"/>
      <c r="X81" s="986" t="s">
        <v>152</v>
      </c>
      <c r="Y81" s="4785">
        <v>16900</v>
      </c>
      <c r="Z81" s="4785">
        <f t="shared" ref="Z81:Z82" si="5">W81*Y81</f>
        <v>0</v>
      </c>
      <c r="AA81" s="4785">
        <f t="shared" ref="AA81:AA82" si="6">Z81*1.12</f>
        <v>0</v>
      </c>
      <c r="AB81" s="4786"/>
      <c r="AC81" s="4787"/>
      <c r="AD81" s="987"/>
      <c r="AE81" s="25"/>
      <c r="AF81" s="24" t="s">
        <v>153</v>
      </c>
      <c r="AG81" s="24" t="s">
        <v>153</v>
      </c>
      <c r="AH81" s="8785"/>
    </row>
    <row r="82" spans="1:34" ht="54" customHeight="1">
      <c r="A82" s="8918"/>
      <c r="B82" s="8921"/>
      <c r="C82" s="8807"/>
      <c r="D82" s="8808"/>
      <c r="E82" s="8808"/>
      <c r="F82" s="8808"/>
      <c r="G82" s="8813"/>
      <c r="H82" s="8808"/>
      <c r="I82" s="8808"/>
      <c r="J82" s="8808"/>
      <c r="K82" s="8808"/>
      <c r="L82" s="8808"/>
      <c r="M82" s="8823"/>
      <c r="N82" s="8823"/>
      <c r="O82" s="8823"/>
      <c r="P82" s="8860"/>
      <c r="Q82" s="8782"/>
      <c r="R82" s="8787"/>
      <c r="S82" s="788"/>
      <c r="T82" s="4714"/>
      <c r="U82" s="4720"/>
      <c r="V82" s="988"/>
      <c r="W82" s="989"/>
      <c r="X82" s="990"/>
      <c r="Y82" s="4788"/>
      <c r="Z82" s="4789">
        <f t="shared" si="5"/>
        <v>0</v>
      </c>
      <c r="AA82" s="4789">
        <f t="shared" si="6"/>
        <v>0</v>
      </c>
      <c r="AB82" s="4790"/>
      <c r="AC82" s="4791"/>
      <c r="AD82" s="991"/>
      <c r="AE82" s="448"/>
      <c r="AF82" s="447"/>
      <c r="AG82" s="447"/>
      <c r="AH82" s="8785"/>
    </row>
    <row r="83" spans="1:34" ht="54" customHeight="1">
      <c r="A83" s="8918"/>
      <c r="B83" s="8921"/>
      <c r="C83" s="8807"/>
      <c r="D83" s="8808"/>
      <c r="E83" s="8808"/>
      <c r="F83" s="8808"/>
      <c r="G83" s="8813"/>
      <c r="H83" s="8808"/>
      <c r="I83" s="8808"/>
      <c r="J83" s="8808"/>
      <c r="K83" s="8808"/>
      <c r="L83" s="8808"/>
      <c r="M83" s="8823"/>
      <c r="N83" s="8823"/>
      <c r="O83" s="8823"/>
      <c r="P83" s="8860"/>
      <c r="Q83" s="8782"/>
      <c r="R83" s="8787"/>
      <c r="S83" s="789"/>
      <c r="T83" s="4715"/>
      <c r="U83" s="4721"/>
      <c r="V83" s="992"/>
      <c r="W83" s="993"/>
      <c r="X83" s="994"/>
      <c r="Y83" s="4792"/>
      <c r="Z83" s="4793"/>
      <c r="AA83" s="4793"/>
      <c r="AB83" s="4794"/>
      <c r="AC83" s="4795"/>
      <c r="AD83" s="995"/>
      <c r="AE83" s="27"/>
      <c r="AF83" s="26"/>
      <c r="AG83" s="26"/>
      <c r="AH83" s="8794"/>
    </row>
    <row r="84" spans="1:34" ht="30" customHeight="1">
      <c r="A84" s="8918"/>
      <c r="B84" s="8921"/>
      <c r="C84" s="8768" t="s">
        <v>127</v>
      </c>
      <c r="D84" s="8770" t="s">
        <v>128</v>
      </c>
      <c r="E84" s="8808" t="s">
        <v>140</v>
      </c>
      <c r="F84" s="8770" t="s">
        <v>284</v>
      </c>
      <c r="G84" s="8813" t="s">
        <v>131</v>
      </c>
      <c r="H84" s="8770" t="s">
        <v>132</v>
      </c>
      <c r="I84" s="8808" t="s">
        <v>159</v>
      </c>
      <c r="J84" s="8770" t="s">
        <v>285</v>
      </c>
      <c r="K84" s="8808" t="s">
        <v>286</v>
      </c>
      <c r="L84" s="8770" t="s">
        <v>287</v>
      </c>
      <c r="M84" s="8776">
        <v>0</v>
      </c>
      <c r="N84" s="8778">
        <v>1</v>
      </c>
      <c r="O84" s="8776">
        <v>1</v>
      </c>
      <c r="P84" s="8780" t="s">
        <v>288</v>
      </c>
      <c r="Q84" s="8782" t="s">
        <v>289</v>
      </c>
      <c r="R84" s="8787" t="s">
        <v>290</v>
      </c>
      <c r="S84" s="784"/>
      <c r="T84" s="4716"/>
      <c r="U84" s="4698"/>
      <c r="V84" s="775"/>
      <c r="W84" s="769"/>
      <c r="X84" s="18"/>
      <c r="Y84" s="4754"/>
      <c r="Z84" s="4754"/>
      <c r="AA84" s="4754"/>
      <c r="AB84" s="4760"/>
      <c r="AC84" s="4761"/>
      <c r="AD84" s="392"/>
      <c r="AE84" s="18"/>
      <c r="AF84" s="20"/>
      <c r="AG84" s="20"/>
      <c r="AH84" s="8784"/>
    </row>
    <row r="85" spans="1:34" ht="30" customHeight="1">
      <c r="A85" s="8918"/>
      <c r="B85" s="8921"/>
      <c r="C85" s="8768"/>
      <c r="D85" s="8770"/>
      <c r="E85" s="8808"/>
      <c r="F85" s="8770"/>
      <c r="G85" s="8813"/>
      <c r="H85" s="8770"/>
      <c r="I85" s="8808"/>
      <c r="J85" s="8770"/>
      <c r="K85" s="8808"/>
      <c r="L85" s="8770"/>
      <c r="M85" s="8776"/>
      <c r="N85" s="8778"/>
      <c r="O85" s="8776"/>
      <c r="P85" s="8780"/>
      <c r="Q85" s="8782"/>
      <c r="R85" s="8787"/>
      <c r="S85" s="780"/>
      <c r="T85" s="4712"/>
      <c r="U85" s="4685"/>
      <c r="V85" s="771"/>
      <c r="W85" s="767"/>
      <c r="X85" s="15"/>
      <c r="Y85" s="4735"/>
      <c r="Z85" s="4735"/>
      <c r="AA85" s="4735"/>
      <c r="AB85" s="4736"/>
      <c r="AC85" s="4737"/>
      <c r="AD85" s="390"/>
      <c r="AE85" s="15"/>
      <c r="AF85" s="14"/>
      <c r="AG85" s="14"/>
      <c r="AH85" s="8785"/>
    </row>
    <row r="86" spans="1:34" ht="30" customHeight="1">
      <c r="A86" s="8918"/>
      <c r="B86" s="8921"/>
      <c r="C86" s="8768"/>
      <c r="D86" s="8770"/>
      <c r="E86" s="8808"/>
      <c r="F86" s="8770"/>
      <c r="G86" s="8813"/>
      <c r="H86" s="8770"/>
      <c r="I86" s="8808"/>
      <c r="J86" s="8770"/>
      <c r="K86" s="8808"/>
      <c r="L86" s="8770"/>
      <c r="M86" s="8776"/>
      <c r="N86" s="8778"/>
      <c r="O86" s="8776"/>
      <c r="P86" s="8780"/>
      <c r="Q86" s="8782"/>
      <c r="R86" s="8787"/>
      <c r="S86" s="780"/>
      <c r="T86" s="4712"/>
      <c r="U86" s="4685"/>
      <c r="V86" s="771"/>
      <c r="W86" s="767"/>
      <c r="X86" s="15"/>
      <c r="Y86" s="4735"/>
      <c r="Z86" s="4735"/>
      <c r="AA86" s="4735"/>
      <c r="AB86" s="4736"/>
      <c r="AC86" s="4737"/>
      <c r="AD86" s="390"/>
      <c r="AE86" s="15"/>
      <c r="AF86" s="14"/>
      <c r="AG86" s="14"/>
      <c r="AH86" s="8785"/>
    </row>
    <row r="87" spans="1:34" ht="30" customHeight="1">
      <c r="A87" s="8918"/>
      <c r="B87" s="8921"/>
      <c r="C87" s="8768"/>
      <c r="D87" s="8770"/>
      <c r="E87" s="8808"/>
      <c r="F87" s="8770"/>
      <c r="G87" s="8813"/>
      <c r="H87" s="8770"/>
      <c r="I87" s="8808"/>
      <c r="J87" s="8770"/>
      <c r="K87" s="8808"/>
      <c r="L87" s="8770"/>
      <c r="M87" s="8776"/>
      <c r="N87" s="8778"/>
      <c r="O87" s="8776"/>
      <c r="P87" s="8780"/>
      <c r="Q87" s="8782"/>
      <c r="R87" s="8787"/>
      <c r="S87" s="780"/>
      <c r="T87" s="4712"/>
      <c r="U87" s="4685"/>
      <c r="V87" s="771"/>
      <c r="W87" s="767"/>
      <c r="X87" s="15"/>
      <c r="Y87" s="4735"/>
      <c r="Z87" s="4735"/>
      <c r="AA87" s="4735"/>
      <c r="AB87" s="4736"/>
      <c r="AC87" s="4737"/>
      <c r="AD87" s="390"/>
      <c r="AE87" s="15"/>
      <c r="AF87" s="14"/>
      <c r="AG87" s="14"/>
      <c r="AH87" s="8785"/>
    </row>
    <row r="88" spans="1:34" ht="30" customHeight="1">
      <c r="A88" s="8918"/>
      <c r="B88" s="8921"/>
      <c r="C88" s="8769"/>
      <c r="D88" s="8771"/>
      <c r="E88" s="8816"/>
      <c r="F88" s="8771"/>
      <c r="G88" s="8822"/>
      <c r="H88" s="8771"/>
      <c r="I88" s="8816"/>
      <c r="J88" s="8771"/>
      <c r="K88" s="8816"/>
      <c r="L88" s="8771"/>
      <c r="M88" s="8777"/>
      <c r="N88" s="8779"/>
      <c r="O88" s="8777"/>
      <c r="P88" s="8781"/>
      <c r="Q88" s="8783"/>
      <c r="R88" s="8788"/>
      <c r="S88" s="2052"/>
      <c r="T88" s="4717"/>
      <c r="U88" s="4722"/>
      <c r="V88" s="2053"/>
      <c r="W88" s="2054"/>
      <c r="X88" s="2055"/>
      <c r="Y88" s="4796"/>
      <c r="Z88" s="4796"/>
      <c r="AA88" s="4796"/>
      <c r="AB88" s="4797"/>
      <c r="AC88" s="4798"/>
      <c r="AD88" s="2056"/>
      <c r="AE88" s="2055"/>
      <c r="AF88" s="2057"/>
      <c r="AG88" s="2057"/>
      <c r="AH88" s="8786"/>
    </row>
    <row r="89" spans="1:34" s="4835" customFormat="1" ht="18.75" customHeight="1" thickBot="1">
      <c r="A89" s="8925"/>
      <c r="B89" s="8926"/>
      <c r="C89" s="6249"/>
      <c r="D89" s="4831"/>
      <c r="E89" s="4831"/>
      <c r="F89" s="4831"/>
      <c r="G89" s="4831"/>
      <c r="H89" s="4831"/>
      <c r="I89" s="4831"/>
      <c r="J89" s="4831"/>
      <c r="K89" s="4831"/>
      <c r="L89" s="4831"/>
      <c r="M89" s="4831"/>
      <c r="N89" s="4831"/>
      <c r="O89" s="4831"/>
      <c r="P89" s="4831"/>
      <c r="Q89" s="4831"/>
      <c r="R89" s="4832"/>
      <c r="S89" s="8789" t="s">
        <v>291</v>
      </c>
      <c r="T89" s="8789"/>
      <c r="U89" s="8789"/>
      <c r="V89" s="8789"/>
      <c r="W89" s="8789"/>
      <c r="X89" s="8789"/>
      <c r="Y89" s="8789"/>
      <c r="Z89" s="8789"/>
      <c r="AA89" s="4833" t="s">
        <v>292</v>
      </c>
      <c r="AB89" s="4825">
        <f>SUM(AB9:AB88)</f>
        <v>35135.8488</v>
      </c>
      <c r="AC89" s="4834"/>
      <c r="AD89" s="4834"/>
      <c r="AE89" s="8772"/>
      <c r="AF89" s="8773"/>
      <c r="AG89" s="8773"/>
      <c r="AH89" s="8774"/>
    </row>
    <row r="90" spans="1:34" ht="29.25" customHeight="1">
      <c r="A90" s="8909" t="s">
        <v>87</v>
      </c>
      <c r="B90" s="8912" t="s">
        <v>293</v>
      </c>
      <c r="C90" s="8873" t="s">
        <v>183</v>
      </c>
      <c r="D90" s="8790" t="s">
        <v>294</v>
      </c>
      <c r="E90" s="8790" t="s">
        <v>129</v>
      </c>
      <c r="F90" s="8790" t="s">
        <v>295</v>
      </c>
      <c r="G90" s="8869" t="s">
        <v>131</v>
      </c>
      <c r="H90" s="8790" t="s">
        <v>132</v>
      </c>
      <c r="I90" s="8790" t="s">
        <v>159</v>
      </c>
      <c r="J90" s="8870" t="s">
        <v>296</v>
      </c>
      <c r="K90" s="8790" t="s">
        <v>297</v>
      </c>
      <c r="L90" s="8790" t="s">
        <v>298</v>
      </c>
      <c r="M90" s="8791">
        <v>0.3</v>
      </c>
      <c r="N90" s="8905">
        <v>0.7</v>
      </c>
      <c r="O90" s="8791">
        <v>1</v>
      </c>
      <c r="P90" s="8790" t="s">
        <v>299</v>
      </c>
      <c r="Q90" s="8790" t="s">
        <v>300</v>
      </c>
      <c r="R90" s="8792" t="s">
        <v>301</v>
      </c>
      <c r="S90" s="786"/>
      <c r="T90" s="4723"/>
      <c r="U90" s="4683"/>
      <c r="V90" s="844"/>
      <c r="W90" s="770"/>
      <c r="X90" s="446"/>
      <c r="Y90" s="4799"/>
      <c r="Z90" s="4800"/>
      <c r="AA90" s="4800"/>
      <c r="AB90" s="4801"/>
      <c r="AC90" s="4734"/>
      <c r="AD90" s="393"/>
      <c r="AE90" s="446"/>
      <c r="AF90" s="766"/>
      <c r="AG90" s="766"/>
      <c r="AH90" s="8793"/>
    </row>
    <row r="91" spans="1:34" ht="29.25" customHeight="1">
      <c r="A91" s="8910"/>
      <c r="B91" s="8913"/>
      <c r="C91" s="8873"/>
      <c r="D91" s="8790"/>
      <c r="E91" s="8790"/>
      <c r="F91" s="8790"/>
      <c r="G91" s="8869"/>
      <c r="H91" s="8790"/>
      <c r="I91" s="8790"/>
      <c r="J91" s="8870"/>
      <c r="K91" s="8790"/>
      <c r="L91" s="8790"/>
      <c r="M91" s="8791"/>
      <c r="N91" s="8906"/>
      <c r="O91" s="8791"/>
      <c r="P91" s="8790"/>
      <c r="Q91" s="8790"/>
      <c r="R91" s="8792"/>
      <c r="S91" s="780"/>
      <c r="T91" s="4712"/>
      <c r="U91" s="4685"/>
      <c r="V91" s="771"/>
      <c r="W91" s="767"/>
      <c r="X91" s="15"/>
      <c r="Y91" s="4802"/>
      <c r="Z91" s="4803"/>
      <c r="AA91" s="4803"/>
      <c r="AB91" s="4804"/>
      <c r="AC91" s="4737"/>
      <c r="AD91" s="390"/>
      <c r="AE91" s="15"/>
      <c r="AF91" s="14"/>
      <c r="AG91" s="14"/>
      <c r="AH91" s="8785"/>
    </row>
    <row r="92" spans="1:34" ht="29.25" customHeight="1">
      <c r="A92" s="8910"/>
      <c r="B92" s="8913"/>
      <c r="C92" s="8873"/>
      <c r="D92" s="8790"/>
      <c r="E92" s="8790"/>
      <c r="F92" s="8790"/>
      <c r="G92" s="8869"/>
      <c r="H92" s="8790"/>
      <c r="I92" s="8790"/>
      <c r="J92" s="8870"/>
      <c r="K92" s="8790"/>
      <c r="L92" s="8790"/>
      <c r="M92" s="8791"/>
      <c r="N92" s="8906"/>
      <c r="O92" s="8791"/>
      <c r="P92" s="8790"/>
      <c r="Q92" s="8790"/>
      <c r="R92" s="8792"/>
      <c r="S92" s="780"/>
      <c r="T92" s="4712"/>
      <c r="U92" s="4685"/>
      <c r="V92" s="771"/>
      <c r="W92" s="767"/>
      <c r="X92" s="15"/>
      <c r="Y92" s="4802"/>
      <c r="Z92" s="4803"/>
      <c r="AA92" s="4803"/>
      <c r="AB92" s="4804"/>
      <c r="AC92" s="4737"/>
      <c r="AD92" s="390"/>
      <c r="AE92" s="15"/>
      <c r="AF92" s="14"/>
      <c r="AG92" s="14"/>
      <c r="AH92" s="8785"/>
    </row>
    <row r="93" spans="1:34" ht="29.25" customHeight="1">
      <c r="A93" s="8910"/>
      <c r="B93" s="8913"/>
      <c r="C93" s="8873"/>
      <c r="D93" s="8790"/>
      <c r="E93" s="8790"/>
      <c r="F93" s="8790"/>
      <c r="G93" s="8869"/>
      <c r="H93" s="8790"/>
      <c r="I93" s="8790"/>
      <c r="J93" s="8870"/>
      <c r="K93" s="8790"/>
      <c r="L93" s="8790"/>
      <c r="M93" s="8791"/>
      <c r="N93" s="8906"/>
      <c r="O93" s="8791"/>
      <c r="P93" s="8790"/>
      <c r="Q93" s="8790"/>
      <c r="R93" s="8792"/>
      <c r="S93" s="780"/>
      <c r="T93" s="4712"/>
      <c r="U93" s="4685"/>
      <c r="V93" s="771"/>
      <c r="W93" s="767"/>
      <c r="X93" s="15"/>
      <c r="Y93" s="4802"/>
      <c r="Z93" s="4803"/>
      <c r="AA93" s="4803"/>
      <c r="AB93" s="4804"/>
      <c r="AC93" s="4737"/>
      <c r="AD93" s="390"/>
      <c r="AE93" s="15"/>
      <c r="AF93" s="14"/>
      <c r="AG93" s="14"/>
      <c r="AH93" s="8785"/>
    </row>
    <row r="94" spans="1:34" ht="29.25" customHeight="1">
      <c r="A94" s="8910"/>
      <c r="B94" s="8913"/>
      <c r="C94" s="8873"/>
      <c r="D94" s="8790"/>
      <c r="E94" s="8790"/>
      <c r="F94" s="8790"/>
      <c r="G94" s="8869"/>
      <c r="H94" s="8790"/>
      <c r="I94" s="8790"/>
      <c r="J94" s="8870"/>
      <c r="K94" s="8790"/>
      <c r="L94" s="8790"/>
      <c r="M94" s="8791"/>
      <c r="N94" s="8907"/>
      <c r="O94" s="8791"/>
      <c r="P94" s="8790"/>
      <c r="Q94" s="8790"/>
      <c r="R94" s="8792"/>
      <c r="S94" s="782"/>
      <c r="T94" s="4724"/>
      <c r="U94" s="4689"/>
      <c r="V94" s="772"/>
      <c r="W94" s="768"/>
      <c r="X94" s="17"/>
      <c r="Y94" s="4805"/>
      <c r="Z94" s="4806"/>
      <c r="AA94" s="4806"/>
      <c r="AB94" s="4807"/>
      <c r="AC94" s="4759"/>
      <c r="AD94" s="391"/>
      <c r="AE94" s="17"/>
      <c r="AF94" s="16"/>
      <c r="AG94" s="16"/>
      <c r="AH94" s="8794"/>
    </row>
    <row r="95" spans="1:34" ht="21" customHeight="1">
      <c r="A95" s="8910"/>
      <c r="B95" s="8913"/>
      <c r="C95" s="8872" t="s">
        <v>127</v>
      </c>
      <c r="D95" s="8795" t="s">
        <v>128</v>
      </c>
      <c r="E95" s="8795" t="s">
        <v>140</v>
      </c>
      <c r="F95" s="8795" t="s">
        <v>212</v>
      </c>
      <c r="G95" s="8876" t="s">
        <v>131</v>
      </c>
      <c r="H95" s="8795" t="s">
        <v>132</v>
      </c>
      <c r="I95" s="8795" t="s">
        <v>159</v>
      </c>
      <c r="J95" s="8880" t="s">
        <v>302</v>
      </c>
      <c r="K95" s="8795" t="s">
        <v>303</v>
      </c>
      <c r="L95" s="8795" t="s">
        <v>304</v>
      </c>
      <c r="M95" s="8797">
        <v>10</v>
      </c>
      <c r="N95" s="8908">
        <v>20</v>
      </c>
      <c r="O95" s="8797">
        <v>10</v>
      </c>
      <c r="P95" s="8795" t="s">
        <v>305</v>
      </c>
      <c r="Q95" s="8795" t="s">
        <v>306</v>
      </c>
      <c r="R95" s="8800" t="s">
        <v>301</v>
      </c>
      <c r="S95" s="4730" t="s">
        <v>15</v>
      </c>
      <c r="T95" s="4725">
        <v>530602</v>
      </c>
      <c r="U95" s="4726"/>
      <c r="V95" s="3160" t="s">
        <v>307</v>
      </c>
      <c r="W95" s="3161"/>
      <c r="X95" s="3162"/>
      <c r="Y95" s="4808"/>
      <c r="Z95" s="4809"/>
      <c r="AA95" s="4809"/>
      <c r="AB95" s="4810">
        <f>AA96</f>
        <v>6300</v>
      </c>
      <c r="AC95" s="4811" t="s">
        <v>18</v>
      </c>
      <c r="AD95" s="392"/>
      <c r="AE95" s="18"/>
      <c r="AF95" s="20"/>
      <c r="AG95" s="20"/>
      <c r="AH95" s="8784"/>
    </row>
    <row r="96" spans="1:34" ht="45" customHeight="1">
      <c r="A96" s="8910"/>
      <c r="B96" s="8913"/>
      <c r="C96" s="8873"/>
      <c r="D96" s="8795"/>
      <c r="E96" s="8790"/>
      <c r="F96" s="8790"/>
      <c r="G96" s="8869"/>
      <c r="H96" s="8790"/>
      <c r="I96" s="8790"/>
      <c r="J96" s="8879"/>
      <c r="K96" s="8790"/>
      <c r="L96" s="8790"/>
      <c r="M96" s="8798"/>
      <c r="N96" s="8906"/>
      <c r="O96" s="8798"/>
      <c r="P96" s="8790"/>
      <c r="Q96" s="8790"/>
      <c r="R96" s="8801"/>
      <c r="S96" s="3163"/>
      <c r="T96" s="4711"/>
      <c r="U96" s="4718" t="s">
        <v>308</v>
      </c>
      <c r="V96" s="3173" t="s">
        <v>309</v>
      </c>
      <c r="W96" s="3165">
        <v>1</v>
      </c>
      <c r="X96" s="3172" t="s">
        <v>152</v>
      </c>
      <c r="Y96" s="4812">
        <v>6300</v>
      </c>
      <c r="Z96" s="4783">
        <f>Y96</f>
        <v>6300</v>
      </c>
      <c r="AA96" s="4783">
        <f>Z96</f>
        <v>6300</v>
      </c>
      <c r="AB96" s="4813"/>
      <c r="AC96" s="4784"/>
      <c r="AD96" s="390"/>
      <c r="AE96" s="15"/>
      <c r="AF96" s="2802" t="s">
        <v>153</v>
      </c>
      <c r="AG96" s="14"/>
      <c r="AH96" s="8785"/>
    </row>
    <row r="97" spans="1:34" ht="21" customHeight="1">
      <c r="A97" s="8910"/>
      <c r="B97" s="8913"/>
      <c r="C97" s="8873"/>
      <c r="D97" s="8795"/>
      <c r="E97" s="8790"/>
      <c r="F97" s="8790"/>
      <c r="G97" s="8869"/>
      <c r="H97" s="8790"/>
      <c r="I97" s="8790"/>
      <c r="J97" s="8879"/>
      <c r="K97" s="8790"/>
      <c r="L97" s="8790"/>
      <c r="M97" s="8798"/>
      <c r="N97" s="8906"/>
      <c r="O97" s="8798"/>
      <c r="P97" s="8790"/>
      <c r="Q97" s="8790"/>
      <c r="R97" s="8801"/>
      <c r="S97" s="4453"/>
      <c r="T97" s="4727"/>
      <c r="U97" s="4728"/>
      <c r="V97" s="584"/>
      <c r="W97" s="1699"/>
      <c r="X97" s="185"/>
      <c r="Y97" s="4814"/>
      <c r="Z97" s="4815"/>
      <c r="AA97" s="4815"/>
      <c r="AB97" s="4816"/>
      <c r="AC97" s="4817"/>
      <c r="AD97" s="390"/>
      <c r="AE97" s="15"/>
      <c r="AF97" s="14"/>
      <c r="AG97" s="14"/>
      <c r="AH97" s="8785"/>
    </row>
    <row r="98" spans="1:34" ht="21" customHeight="1">
      <c r="A98" s="8910"/>
      <c r="B98" s="8913"/>
      <c r="C98" s="8873"/>
      <c r="D98" s="8795"/>
      <c r="E98" s="8790"/>
      <c r="F98" s="8790"/>
      <c r="G98" s="8869"/>
      <c r="H98" s="8790"/>
      <c r="I98" s="8790"/>
      <c r="J98" s="8879"/>
      <c r="K98" s="8790"/>
      <c r="L98" s="8790"/>
      <c r="M98" s="8798"/>
      <c r="N98" s="8906"/>
      <c r="O98" s="8798"/>
      <c r="P98" s="8790"/>
      <c r="Q98" s="8790"/>
      <c r="R98" s="8801"/>
      <c r="S98" s="780"/>
      <c r="T98" s="4712"/>
      <c r="U98" s="4685"/>
      <c r="V98" s="771"/>
      <c r="W98" s="767"/>
      <c r="X98" s="15"/>
      <c r="Y98" s="4802"/>
      <c r="Z98" s="4803"/>
      <c r="AA98" s="4803"/>
      <c r="AB98" s="4804"/>
      <c r="AC98" s="4737"/>
      <c r="AD98" s="390"/>
      <c r="AE98" s="15"/>
      <c r="AF98" s="14"/>
      <c r="AG98" s="14"/>
      <c r="AH98" s="8785"/>
    </row>
    <row r="99" spans="1:34" ht="21" customHeight="1">
      <c r="A99" s="8910"/>
      <c r="B99" s="8913"/>
      <c r="C99" s="8874"/>
      <c r="D99" s="8875"/>
      <c r="E99" s="8796"/>
      <c r="F99" s="8796"/>
      <c r="G99" s="8877"/>
      <c r="H99" s="8796"/>
      <c r="I99" s="8796"/>
      <c r="J99" s="8881"/>
      <c r="K99" s="8796"/>
      <c r="L99" s="8796"/>
      <c r="M99" s="8799"/>
      <c r="N99" s="8907"/>
      <c r="O99" s="8799"/>
      <c r="P99" s="8796"/>
      <c r="Q99" s="8796"/>
      <c r="R99" s="8802"/>
      <c r="S99" s="782"/>
      <c r="T99" s="4724"/>
      <c r="U99" s="4689"/>
      <c r="V99" s="772"/>
      <c r="W99" s="768"/>
      <c r="X99" s="17"/>
      <c r="Y99" s="4805"/>
      <c r="Z99" s="4806"/>
      <c r="AA99" s="4806"/>
      <c r="AB99" s="4807"/>
      <c r="AC99" s="4759"/>
      <c r="AD99" s="391"/>
      <c r="AE99" s="17"/>
      <c r="AF99" s="16"/>
      <c r="AG99" s="16"/>
      <c r="AH99" s="8794"/>
    </row>
    <row r="100" spans="1:34" ht="30" customHeight="1">
      <c r="A100" s="8910"/>
      <c r="B100" s="8913"/>
      <c r="C100" s="8873" t="s">
        <v>127</v>
      </c>
      <c r="D100" s="8790" t="s">
        <v>128</v>
      </c>
      <c r="E100" s="8790" t="s">
        <v>140</v>
      </c>
      <c r="F100" s="8790" t="s">
        <v>238</v>
      </c>
      <c r="G100" s="8869" t="s">
        <v>131</v>
      </c>
      <c r="H100" s="8790" t="s">
        <v>132</v>
      </c>
      <c r="I100" s="8790" t="s">
        <v>159</v>
      </c>
      <c r="J100" s="8878" t="s">
        <v>310</v>
      </c>
      <c r="K100" s="8790" t="s">
        <v>311</v>
      </c>
      <c r="L100" s="8790" t="s">
        <v>312</v>
      </c>
      <c r="M100" s="8883">
        <v>10</v>
      </c>
      <c r="N100" s="8888">
        <v>20</v>
      </c>
      <c r="O100" s="8883">
        <v>10</v>
      </c>
      <c r="P100" s="8790" t="s">
        <v>305</v>
      </c>
      <c r="Q100" s="8790" t="s">
        <v>306</v>
      </c>
      <c r="R100" s="8792" t="s">
        <v>301</v>
      </c>
      <c r="S100" s="784"/>
      <c r="T100" s="4716"/>
      <c r="U100" s="4698"/>
      <c r="V100" s="775"/>
      <c r="W100" s="769"/>
      <c r="X100" s="18"/>
      <c r="Y100" s="4818"/>
      <c r="Z100" s="4819"/>
      <c r="AA100" s="4819"/>
      <c r="AB100" s="4820"/>
      <c r="AC100" s="4761"/>
      <c r="AD100" s="392"/>
      <c r="AE100" s="18"/>
      <c r="AF100" s="20"/>
      <c r="AG100" s="20"/>
      <c r="AH100" s="8784"/>
    </row>
    <row r="101" spans="1:34" ht="30" customHeight="1">
      <c r="A101" s="8910"/>
      <c r="B101" s="8913"/>
      <c r="C101" s="8873"/>
      <c r="D101" s="8790"/>
      <c r="E101" s="8790"/>
      <c r="F101" s="8790"/>
      <c r="G101" s="8869"/>
      <c r="H101" s="8790"/>
      <c r="I101" s="8790"/>
      <c r="J101" s="8879"/>
      <c r="K101" s="8790"/>
      <c r="L101" s="8790"/>
      <c r="M101" s="8883"/>
      <c r="N101" s="8889"/>
      <c r="O101" s="8883"/>
      <c r="P101" s="8790"/>
      <c r="Q101" s="8790"/>
      <c r="R101" s="8792"/>
      <c r="S101" s="780"/>
      <c r="T101" s="4712"/>
      <c r="U101" s="4685"/>
      <c r="V101" s="771"/>
      <c r="W101" s="767"/>
      <c r="X101" s="15"/>
      <c r="Y101" s="4802"/>
      <c r="Z101" s="4803"/>
      <c r="AA101" s="4803"/>
      <c r="AB101" s="4804"/>
      <c r="AC101" s="4737"/>
      <c r="AD101" s="390"/>
      <c r="AE101" s="15"/>
      <c r="AF101" s="14"/>
      <c r="AG101" s="14"/>
      <c r="AH101" s="8785"/>
    </row>
    <row r="102" spans="1:34" ht="30" customHeight="1">
      <c r="A102" s="8910"/>
      <c r="B102" s="8913"/>
      <c r="C102" s="8873"/>
      <c r="D102" s="8790"/>
      <c r="E102" s="8790"/>
      <c r="F102" s="8790"/>
      <c r="G102" s="8869"/>
      <c r="H102" s="8790"/>
      <c r="I102" s="8790"/>
      <c r="J102" s="8879"/>
      <c r="K102" s="8790"/>
      <c r="L102" s="8790"/>
      <c r="M102" s="8883"/>
      <c r="N102" s="8889"/>
      <c r="O102" s="8883"/>
      <c r="P102" s="8790"/>
      <c r="Q102" s="8790"/>
      <c r="R102" s="8792"/>
      <c r="S102" s="780"/>
      <c r="T102" s="4712"/>
      <c r="U102" s="4685"/>
      <c r="V102" s="771"/>
      <c r="W102" s="767"/>
      <c r="X102" s="15"/>
      <c r="Y102" s="4802"/>
      <c r="Z102" s="4803"/>
      <c r="AA102" s="4803"/>
      <c r="AB102" s="4804"/>
      <c r="AC102" s="4737"/>
      <c r="AD102" s="390"/>
      <c r="AE102" s="15"/>
      <c r="AF102" s="14"/>
      <c r="AG102" s="14"/>
      <c r="AH102" s="8785"/>
    </row>
    <row r="103" spans="1:34" ht="30" customHeight="1">
      <c r="A103" s="8910"/>
      <c r="B103" s="8913"/>
      <c r="C103" s="8873"/>
      <c r="D103" s="8790"/>
      <c r="E103" s="8790"/>
      <c r="F103" s="8790"/>
      <c r="G103" s="8869"/>
      <c r="H103" s="8790"/>
      <c r="I103" s="8790"/>
      <c r="J103" s="8879"/>
      <c r="K103" s="8790"/>
      <c r="L103" s="8790"/>
      <c r="M103" s="8883"/>
      <c r="N103" s="8889"/>
      <c r="O103" s="8883"/>
      <c r="P103" s="8790"/>
      <c r="Q103" s="8790"/>
      <c r="R103" s="8792"/>
      <c r="S103" s="780"/>
      <c r="T103" s="4712"/>
      <c r="U103" s="4685"/>
      <c r="V103" s="771"/>
      <c r="W103" s="767"/>
      <c r="X103" s="15"/>
      <c r="Y103" s="4802"/>
      <c r="Z103" s="4803"/>
      <c r="AA103" s="4803"/>
      <c r="AB103" s="4804"/>
      <c r="AC103" s="4737"/>
      <c r="AD103" s="390"/>
      <c r="AE103" s="15"/>
      <c r="AF103" s="14"/>
      <c r="AG103" s="14"/>
      <c r="AH103" s="8785"/>
    </row>
    <row r="104" spans="1:34" ht="30" customHeight="1">
      <c r="A104" s="8910"/>
      <c r="B104" s="8913"/>
      <c r="C104" s="8873"/>
      <c r="D104" s="8790"/>
      <c r="E104" s="8790"/>
      <c r="F104" s="8790"/>
      <c r="G104" s="8869"/>
      <c r="H104" s="8790"/>
      <c r="I104" s="8790"/>
      <c r="J104" s="8879"/>
      <c r="K104" s="8790"/>
      <c r="L104" s="8790"/>
      <c r="M104" s="8883"/>
      <c r="N104" s="8890"/>
      <c r="O104" s="8883"/>
      <c r="P104" s="8790"/>
      <c r="Q104" s="8790"/>
      <c r="R104" s="8792"/>
      <c r="S104" s="782"/>
      <c r="T104" s="4724"/>
      <c r="U104" s="4689"/>
      <c r="V104" s="772"/>
      <c r="W104" s="768"/>
      <c r="X104" s="17"/>
      <c r="Y104" s="4805"/>
      <c r="Z104" s="4806"/>
      <c r="AA104" s="4806"/>
      <c r="AB104" s="4807"/>
      <c r="AC104" s="4759"/>
      <c r="AD104" s="391"/>
      <c r="AE104" s="17"/>
      <c r="AF104" s="16"/>
      <c r="AG104" s="16"/>
      <c r="AH104" s="8794"/>
    </row>
    <row r="105" spans="1:34" ht="26.1" customHeight="1">
      <c r="A105" s="8910"/>
      <c r="B105" s="8913"/>
      <c r="C105" s="8872" t="s">
        <v>127</v>
      </c>
      <c r="D105" s="8795" t="s">
        <v>128</v>
      </c>
      <c r="E105" s="8795" t="s">
        <v>129</v>
      </c>
      <c r="F105" s="8795" t="s">
        <v>268</v>
      </c>
      <c r="G105" s="8876" t="s">
        <v>131</v>
      </c>
      <c r="H105" s="8795" t="s">
        <v>132</v>
      </c>
      <c r="I105" s="8795" t="s">
        <v>189</v>
      </c>
      <c r="J105" s="8880" t="s">
        <v>313</v>
      </c>
      <c r="K105" s="8795" t="s">
        <v>314</v>
      </c>
      <c r="L105" s="8795" t="s">
        <v>315</v>
      </c>
      <c r="M105" s="8882">
        <v>10</v>
      </c>
      <c r="N105" s="8888">
        <v>10</v>
      </c>
      <c r="O105" s="8882">
        <v>5</v>
      </c>
      <c r="P105" s="8795" t="s">
        <v>305</v>
      </c>
      <c r="Q105" s="8795" t="s">
        <v>306</v>
      </c>
      <c r="R105" s="8800" t="s">
        <v>301</v>
      </c>
      <c r="S105" s="784"/>
      <c r="T105" s="4716"/>
      <c r="U105" s="4698"/>
      <c r="V105" s="775"/>
      <c r="W105" s="769"/>
      <c r="X105" s="18"/>
      <c r="Y105" s="4818"/>
      <c r="Z105" s="4819"/>
      <c r="AA105" s="4819"/>
      <c r="AB105" s="4820"/>
      <c r="AC105" s="4761"/>
      <c r="AD105" s="392"/>
      <c r="AE105" s="18"/>
      <c r="AF105" s="20"/>
      <c r="AG105" s="20"/>
      <c r="AH105" s="8784"/>
    </row>
    <row r="106" spans="1:34" ht="26.1" customHeight="1">
      <c r="A106" s="8910"/>
      <c r="B106" s="8913"/>
      <c r="C106" s="8873"/>
      <c r="D106" s="8790"/>
      <c r="E106" s="8790"/>
      <c r="F106" s="8790"/>
      <c r="G106" s="8869"/>
      <c r="H106" s="8790"/>
      <c r="I106" s="8790"/>
      <c r="J106" s="8879"/>
      <c r="K106" s="8790"/>
      <c r="L106" s="8790"/>
      <c r="M106" s="8883"/>
      <c r="N106" s="8889"/>
      <c r="O106" s="8883"/>
      <c r="P106" s="8790"/>
      <c r="Q106" s="8790"/>
      <c r="R106" s="8801"/>
      <c r="S106" s="780"/>
      <c r="T106" s="4712"/>
      <c r="U106" s="4685"/>
      <c r="V106" s="771"/>
      <c r="W106" s="767"/>
      <c r="X106" s="15"/>
      <c r="Y106" s="4802"/>
      <c r="Z106" s="4803"/>
      <c r="AA106" s="4803"/>
      <c r="AB106" s="4804"/>
      <c r="AC106" s="4737"/>
      <c r="AD106" s="390"/>
      <c r="AE106" s="15"/>
      <c r="AF106" s="14"/>
      <c r="AG106" s="14"/>
      <c r="AH106" s="8785"/>
    </row>
    <row r="107" spans="1:34" ht="26.1" customHeight="1">
      <c r="A107" s="8910"/>
      <c r="B107" s="8913"/>
      <c r="C107" s="8873"/>
      <c r="D107" s="8790"/>
      <c r="E107" s="8790"/>
      <c r="F107" s="8790"/>
      <c r="G107" s="8869"/>
      <c r="H107" s="8790"/>
      <c r="I107" s="8790"/>
      <c r="J107" s="8879"/>
      <c r="K107" s="8790"/>
      <c r="L107" s="8790"/>
      <c r="M107" s="8883"/>
      <c r="N107" s="8889"/>
      <c r="O107" s="8883"/>
      <c r="P107" s="8790"/>
      <c r="Q107" s="8790"/>
      <c r="R107" s="8801"/>
      <c r="S107" s="780"/>
      <c r="T107" s="4712"/>
      <c r="U107" s="4685"/>
      <c r="V107" s="771"/>
      <c r="W107" s="767"/>
      <c r="X107" s="15"/>
      <c r="Y107" s="4802"/>
      <c r="Z107" s="4803"/>
      <c r="AA107" s="4803"/>
      <c r="AB107" s="4804"/>
      <c r="AC107" s="4737"/>
      <c r="AD107" s="390"/>
      <c r="AE107" s="15"/>
      <c r="AF107" s="14"/>
      <c r="AG107" s="14"/>
      <c r="AH107" s="8785"/>
    </row>
    <row r="108" spans="1:34" ht="26.1" customHeight="1">
      <c r="A108" s="8910"/>
      <c r="B108" s="8913"/>
      <c r="C108" s="8873"/>
      <c r="D108" s="8790"/>
      <c r="E108" s="8790"/>
      <c r="F108" s="8790"/>
      <c r="G108" s="8869"/>
      <c r="H108" s="8790"/>
      <c r="I108" s="8790"/>
      <c r="J108" s="8879"/>
      <c r="K108" s="8790"/>
      <c r="L108" s="8790"/>
      <c r="M108" s="8883"/>
      <c r="N108" s="8889"/>
      <c r="O108" s="8883"/>
      <c r="P108" s="8790"/>
      <c r="Q108" s="8790"/>
      <c r="R108" s="8801"/>
      <c r="S108" s="780"/>
      <c r="T108" s="4712"/>
      <c r="U108" s="4685"/>
      <c r="V108" s="771"/>
      <c r="W108" s="767"/>
      <c r="X108" s="15"/>
      <c r="Y108" s="4802"/>
      <c r="Z108" s="4803"/>
      <c r="AA108" s="4803"/>
      <c r="AB108" s="4804"/>
      <c r="AC108" s="4737"/>
      <c r="AD108" s="390"/>
      <c r="AE108" s="15"/>
      <c r="AF108" s="14"/>
      <c r="AG108" s="14"/>
      <c r="AH108" s="8785"/>
    </row>
    <row r="109" spans="1:34" ht="26.1" customHeight="1">
      <c r="A109" s="8910"/>
      <c r="B109" s="8913"/>
      <c r="C109" s="8874"/>
      <c r="D109" s="8796"/>
      <c r="E109" s="8796"/>
      <c r="F109" s="8796"/>
      <c r="G109" s="8877"/>
      <c r="H109" s="8796"/>
      <c r="I109" s="8796"/>
      <c r="J109" s="8881"/>
      <c r="K109" s="8796"/>
      <c r="L109" s="8796"/>
      <c r="M109" s="8884"/>
      <c r="N109" s="8890"/>
      <c r="O109" s="8884"/>
      <c r="P109" s="8796"/>
      <c r="Q109" s="8796"/>
      <c r="R109" s="8802"/>
      <c r="S109" s="782"/>
      <c r="T109" s="4724"/>
      <c r="U109" s="4689"/>
      <c r="V109" s="772"/>
      <c r="W109" s="768"/>
      <c r="X109" s="17"/>
      <c r="Y109" s="4805"/>
      <c r="Z109" s="4806"/>
      <c r="AA109" s="4806"/>
      <c r="AB109" s="4807"/>
      <c r="AC109" s="4759"/>
      <c r="AD109" s="391"/>
      <c r="AE109" s="17"/>
      <c r="AF109" s="16"/>
      <c r="AG109" s="16"/>
      <c r="AH109" s="8794"/>
    </row>
    <row r="110" spans="1:34" ht="43.5" customHeight="1">
      <c r="A110" s="8910"/>
      <c r="B110" s="8913"/>
      <c r="C110" s="8873" t="s">
        <v>127</v>
      </c>
      <c r="D110" s="8790" t="s">
        <v>128</v>
      </c>
      <c r="E110" s="8790" t="s">
        <v>129</v>
      </c>
      <c r="F110" s="8790" t="s">
        <v>157</v>
      </c>
      <c r="G110" s="8869" t="s">
        <v>131</v>
      </c>
      <c r="H110" s="8790" t="s">
        <v>132</v>
      </c>
      <c r="I110" s="8790" t="s">
        <v>189</v>
      </c>
      <c r="J110" s="8879" t="s">
        <v>316</v>
      </c>
      <c r="K110" s="8790" t="s">
        <v>317</v>
      </c>
      <c r="L110" s="8790" t="s">
        <v>318</v>
      </c>
      <c r="M110" s="8883">
        <v>5</v>
      </c>
      <c r="N110" s="8888">
        <v>10</v>
      </c>
      <c r="O110" s="8883">
        <v>20</v>
      </c>
      <c r="P110" s="8790" t="s">
        <v>305</v>
      </c>
      <c r="Q110" s="8790" t="s">
        <v>306</v>
      </c>
      <c r="R110" s="8792" t="s">
        <v>301</v>
      </c>
      <c r="S110" s="4731" t="s">
        <v>15</v>
      </c>
      <c r="T110" s="4690">
        <v>530307</v>
      </c>
      <c r="U110" s="4729"/>
      <c r="V110" s="3143" t="s">
        <v>319</v>
      </c>
      <c r="W110" s="3144"/>
      <c r="X110" s="3145"/>
      <c r="Y110" s="4821"/>
      <c r="Z110" s="4745"/>
      <c r="AA110" s="4745"/>
      <c r="AB110" s="4746">
        <f>SUM(AA111)</f>
        <v>12000</v>
      </c>
      <c r="AC110" s="4747" t="s">
        <v>18</v>
      </c>
      <c r="AD110" s="392"/>
      <c r="AE110" s="18"/>
      <c r="AF110" s="20"/>
      <c r="AG110" s="20"/>
      <c r="AH110" s="8784"/>
    </row>
    <row r="111" spans="1:34" ht="34.5" customHeight="1">
      <c r="A111" s="8910"/>
      <c r="B111" s="8913"/>
      <c r="C111" s="8873"/>
      <c r="D111" s="8790"/>
      <c r="E111" s="8790"/>
      <c r="F111" s="8790"/>
      <c r="G111" s="8869"/>
      <c r="H111" s="8790"/>
      <c r="I111" s="8790"/>
      <c r="J111" s="8879"/>
      <c r="K111" s="8790"/>
      <c r="L111" s="8790"/>
      <c r="M111" s="8883"/>
      <c r="N111" s="8889"/>
      <c r="O111" s="8883"/>
      <c r="P111" s="8790"/>
      <c r="Q111" s="8790"/>
      <c r="R111" s="8792"/>
      <c r="S111" s="3146"/>
      <c r="T111" s="4692"/>
      <c r="U111" s="4693" t="s">
        <v>308</v>
      </c>
      <c r="V111" s="3264" t="s">
        <v>320</v>
      </c>
      <c r="W111" s="3148">
        <v>1</v>
      </c>
      <c r="X111" s="3152" t="s">
        <v>152</v>
      </c>
      <c r="Y111" s="4822">
        <f>12000/1.12</f>
        <v>10714.285714285714</v>
      </c>
      <c r="Z111" s="4748">
        <f>W111*Y111</f>
        <v>10714.285714285714</v>
      </c>
      <c r="AA111" s="4748">
        <f>Z111*1.12</f>
        <v>12000</v>
      </c>
      <c r="AB111" s="4749"/>
      <c r="AC111" s="4750"/>
      <c r="AD111" s="390"/>
      <c r="AE111" s="15"/>
      <c r="AF111" s="14" t="s">
        <v>153</v>
      </c>
      <c r="AG111" s="14" t="s">
        <v>153</v>
      </c>
      <c r="AH111" s="8785"/>
    </row>
    <row r="112" spans="1:34" ht="20.25" customHeight="1">
      <c r="A112" s="8910"/>
      <c r="B112" s="8913"/>
      <c r="C112" s="8873"/>
      <c r="D112" s="8790"/>
      <c r="E112" s="8790"/>
      <c r="F112" s="8790"/>
      <c r="G112" s="8869"/>
      <c r="H112" s="8790"/>
      <c r="I112" s="8790"/>
      <c r="J112" s="8879"/>
      <c r="K112" s="8790"/>
      <c r="L112" s="8790"/>
      <c r="M112" s="8883"/>
      <c r="N112" s="8889"/>
      <c r="O112" s="8883"/>
      <c r="P112" s="8790"/>
      <c r="Q112" s="8790"/>
      <c r="R112" s="8792"/>
      <c r="S112" s="780"/>
      <c r="T112" s="4712"/>
      <c r="U112" s="4685"/>
      <c r="V112" s="771"/>
      <c r="W112" s="767"/>
      <c r="X112" s="15"/>
      <c r="Y112" s="4802"/>
      <c r="Z112" s="4803"/>
      <c r="AA112" s="4803"/>
      <c r="AB112" s="4804"/>
      <c r="AC112" s="4737"/>
      <c r="AD112" s="390"/>
      <c r="AE112" s="15"/>
      <c r="AF112" s="14"/>
      <c r="AG112" s="14"/>
      <c r="AH112" s="8785"/>
    </row>
    <row r="113" spans="1:34" ht="20.25" customHeight="1">
      <c r="A113" s="8911"/>
      <c r="B113" s="8914"/>
      <c r="C113" s="8873"/>
      <c r="D113" s="8790"/>
      <c r="E113" s="8790"/>
      <c r="F113" s="8790"/>
      <c r="G113" s="8869"/>
      <c r="H113" s="8790"/>
      <c r="I113" s="8790"/>
      <c r="J113" s="8879"/>
      <c r="K113" s="8790"/>
      <c r="L113" s="8790"/>
      <c r="M113" s="8883"/>
      <c r="N113" s="8889"/>
      <c r="O113" s="8883"/>
      <c r="P113" s="8790"/>
      <c r="Q113" s="8790"/>
      <c r="R113" s="8792"/>
      <c r="S113" s="780"/>
      <c r="T113" s="4712"/>
      <c r="U113" s="4685"/>
      <c r="V113" s="771"/>
      <c r="W113" s="767"/>
      <c r="X113" s="15"/>
      <c r="Y113" s="4802"/>
      <c r="Z113" s="4803"/>
      <c r="AA113" s="4803"/>
      <c r="AB113" s="4804"/>
      <c r="AC113" s="4737"/>
      <c r="AD113" s="390"/>
      <c r="AE113" s="15"/>
      <c r="AF113" s="14"/>
      <c r="AG113" s="14"/>
      <c r="AH113" s="8785"/>
    </row>
    <row r="114" spans="1:34" ht="20.25" customHeight="1">
      <c r="A114" s="8916" t="s">
        <v>87</v>
      </c>
      <c r="B114" s="8915" t="s">
        <v>293</v>
      </c>
      <c r="C114" s="8873"/>
      <c r="D114" s="8790"/>
      <c r="E114" s="8790"/>
      <c r="F114" s="8790"/>
      <c r="G114" s="8869"/>
      <c r="H114" s="8790"/>
      <c r="I114" s="8790"/>
      <c r="J114" s="8879"/>
      <c r="K114" s="8790"/>
      <c r="L114" s="8790"/>
      <c r="M114" s="8883"/>
      <c r="N114" s="8890"/>
      <c r="O114" s="8883"/>
      <c r="P114" s="8790"/>
      <c r="Q114" s="8790"/>
      <c r="R114" s="8792"/>
      <c r="S114" s="782"/>
      <c r="T114" s="4724"/>
      <c r="U114" s="4689"/>
      <c r="V114" s="772"/>
      <c r="W114" s="768"/>
      <c r="X114" s="17"/>
      <c r="Y114" s="4805"/>
      <c r="Z114" s="4806"/>
      <c r="AA114" s="4806"/>
      <c r="AB114" s="4807"/>
      <c r="AC114" s="4759"/>
      <c r="AD114" s="391"/>
      <c r="AE114" s="17"/>
      <c r="AF114" s="16"/>
      <c r="AG114" s="16"/>
      <c r="AH114" s="8794"/>
    </row>
    <row r="115" spans="1:34" ht="26.1" customHeight="1">
      <c r="A115" s="8910"/>
      <c r="B115" s="8913"/>
      <c r="C115" s="8872" t="s">
        <v>127</v>
      </c>
      <c r="D115" s="8795" t="s">
        <v>128</v>
      </c>
      <c r="E115" s="8795" t="s">
        <v>140</v>
      </c>
      <c r="F115" s="8795" t="s">
        <v>141</v>
      </c>
      <c r="G115" s="8876" t="s">
        <v>131</v>
      </c>
      <c r="H115" s="8795" t="s">
        <v>213</v>
      </c>
      <c r="I115" s="8795" t="s">
        <v>189</v>
      </c>
      <c r="J115" s="8880" t="s">
        <v>321</v>
      </c>
      <c r="K115" s="8795" t="s">
        <v>322</v>
      </c>
      <c r="L115" s="8795" t="s">
        <v>323</v>
      </c>
      <c r="M115" s="8882">
        <v>10</v>
      </c>
      <c r="N115" s="8888">
        <v>10</v>
      </c>
      <c r="O115" s="8882">
        <v>20</v>
      </c>
      <c r="P115" s="8795" t="s">
        <v>305</v>
      </c>
      <c r="Q115" s="8795" t="s">
        <v>306</v>
      </c>
      <c r="R115" s="8800" t="s">
        <v>301</v>
      </c>
      <c r="S115" s="784"/>
      <c r="T115" s="4716"/>
      <c r="U115" s="4698"/>
      <c r="V115" s="775"/>
      <c r="W115" s="769"/>
      <c r="X115" s="18"/>
      <c r="Y115" s="4818"/>
      <c r="Z115" s="4819"/>
      <c r="AA115" s="4819"/>
      <c r="AB115" s="4820"/>
      <c r="AC115" s="4761"/>
      <c r="AD115" s="392"/>
      <c r="AE115" s="18"/>
      <c r="AF115" s="20"/>
      <c r="AG115" s="20"/>
      <c r="AH115" s="8784"/>
    </row>
    <row r="116" spans="1:34" ht="26.1" customHeight="1">
      <c r="A116" s="8910"/>
      <c r="B116" s="8913"/>
      <c r="C116" s="8873"/>
      <c r="D116" s="8790"/>
      <c r="E116" s="8790"/>
      <c r="F116" s="8790"/>
      <c r="G116" s="8869"/>
      <c r="H116" s="8790"/>
      <c r="I116" s="8790"/>
      <c r="J116" s="8879"/>
      <c r="K116" s="8790"/>
      <c r="L116" s="8790"/>
      <c r="M116" s="8883"/>
      <c r="N116" s="8889"/>
      <c r="O116" s="8883"/>
      <c r="P116" s="8790"/>
      <c r="Q116" s="8790"/>
      <c r="R116" s="8801"/>
      <c r="S116" s="780"/>
      <c r="T116" s="4712"/>
      <c r="U116" s="4685"/>
      <c r="V116" s="771"/>
      <c r="W116" s="767"/>
      <c r="X116" s="15"/>
      <c r="Y116" s="4802"/>
      <c r="Z116" s="4803"/>
      <c r="AA116" s="4803"/>
      <c r="AB116" s="4804"/>
      <c r="AC116" s="4737"/>
      <c r="AD116" s="390"/>
      <c r="AE116" s="15"/>
      <c r="AF116" s="14"/>
      <c r="AG116" s="14"/>
      <c r="AH116" s="8785"/>
    </row>
    <row r="117" spans="1:34" ht="26.1" customHeight="1">
      <c r="A117" s="8910"/>
      <c r="B117" s="8913"/>
      <c r="C117" s="8873"/>
      <c r="D117" s="8790"/>
      <c r="E117" s="8790"/>
      <c r="F117" s="8790"/>
      <c r="G117" s="8869"/>
      <c r="H117" s="8790"/>
      <c r="I117" s="8790"/>
      <c r="J117" s="8879"/>
      <c r="K117" s="8790"/>
      <c r="L117" s="8790"/>
      <c r="M117" s="8883"/>
      <c r="N117" s="8889"/>
      <c r="O117" s="8883"/>
      <c r="P117" s="8790"/>
      <c r="Q117" s="8790"/>
      <c r="R117" s="8801"/>
      <c r="S117" s="780"/>
      <c r="T117" s="4712"/>
      <c r="U117" s="4685"/>
      <c r="V117" s="771"/>
      <c r="W117" s="767"/>
      <c r="X117" s="15"/>
      <c r="Y117" s="4802"/>
      <c r="Z117" s="4803"/>
      <c r="AA117" s="4803"/>
      <c r="AB117" s="4804"/>
      <c r="AC117" s="4737"/>
      <c r="AD117" s="390"/>
      <c r="AE117" s="15"/>
      <c r="AF117" s="14"/>
      <c r="AG117" s="14"/>
      <c r="AH117" s="8785"/>
    </row>
    <row r="118" spans="1:34" ht="26.1" customHeight="1">
      <c r="A118" s="8910"/>
      <c r="B118" s="8913"/>
      <c r="C118" s="8873"/>
      <c r="D118" s="8790"/>
      <c r="E118" s="8790"/>
      <c r="F118" s="8790"/>
      <c r="G118" s="8869"/>
      <c r="H118" s="8790"/>
      <c r="I118" s="8790"/>
      <c r="J118" s="8879"/>
      <c r="K118" s="8790"/>
      <c r="L118" s="8790"/>
      <c r="M118" s="8883"/>
      <c r="N118" s="8889"/>
      <c r="O118" s="8883"/>
      <c r="P118" s="8790"/>
      <c r="Q118" s="8790"/>
      <c r="R118" s="8801"/>
      <c r="S118" s="780"/>
      <c r="T118" s="4712"/>
      <c r="U118" s="4685"/>
      <c r="V118" s="771"/>
      <c r="W118" s="767"/>
      <c r="X118" s="15"/>
      <c r="Y118" s="4802"/>
      <c r="Z118" s="4803"/>
      <c r="AA118" s="4803"/>
      <c r="AB118" s="4804"/>
      <c r="AC118" s="4737"/>
      <c r="AD118" s="390"/>
      <c r="AE118" s="15"/>
      <c r="AF118" s="14"/>
      <c r="AG118" s="14"/>
      <c r="AH118" s="8785"/>
    </row>
    <row r="119" spans="1:34" ht="26.1" customHeight="1">
      <c r="A119" s="8910"/>
      <c r="B119" s="8913"/>
      <c r="C119" s="8874"/>
      <c r="D119" s="8796"/>
      <c r="E119" s="8796"/>
      <c r="F119" s="8796"/>
      <c r="G119" s="8877"/>
      <c r="H119" s="8796"/>
      <c r="I119" s="8796"/>
      <c r="J119" s="8881"/>
      <c r="K119" s="8796"/>
      <c r="L119" s="8796"/>
      <c r="M119" s="8884"/>
      <c r="N119" s="8890"/>
      <c r="O119" s="8884"/>
      <c r="P119" s="8796"/>
      <c r="Q119" s="8796"/>
      <c r="R119" s="8802"/>
      <c r="S119" s="782"/>
      <c r="T119" s="4724"/>
      <c r="U119" s="4689"/>
      <c r="V119" s="772"/>
      <c r="W119" s="768"/>
      <c r="X119" s="17"/>
      <c r="Y119" s="4805"/>
      <c r="Z119" s="4806"/>
      <c r="AA119" s="4806"/>
      <c r="AB119" s="4807"/>
      <c r="AC119" s="4759"/>
      <c r="AD119" s="391"/>
      <c r="AE119" s="17"/>
      <c r="AF119" s="16"/>
      <c r="AG119" s="16"/>
      <c r="AH119" s="8794"/>
    </row>
    <row r="120" spans="1:34" ht="26.1" customHeight="1">
      <c r="A120" s="8910"/>
      <c r="B120" s="8913"/>
      <c r="C120" s="8873" t="s">
        <v>127</v>
      </c>
      <c r="D120" s="8790" t="s">
        <v>128</v>
      </c>
      <c r="E120" s="8790" t="s">
        <v>129</v>
      </c>
      <c r="F120" s="8790" t="s">
        <v>268</v>
      </c>
      <c r="G120" s="8869" t="s">
        <v>131</v>
      </c>
      <c r="H120" s="8790" t="s">
        <v>132</v>
      </c>
      <c r="I120" s="8790" t="s">
        <v>159</v>
      </c>
      <c r="J120" s="8879" t="s">
        <v>324</v>
      </c>
      <c r="K120" s="8790" t="s">
        <v>325</v>
      </c>
      <c r="L120" s="8790" t="s">
        <v>326</v>
      </c>
      <c r="M120" s="8883">
        <v>5</v>
      </c>
      <c r="N120" s="8888">
        <v>5</v>
      </c>
      <c r="O120" s="8883">
        <v>5</v>
      </c>
      <c r="P120" s="8790" t="s">
        <v>305</v>
      </c>
      <c r="Q120" s="8790" t="s">
        <v>306</v>
      </c>
      <c r="R120" s="8800" t="s">
        <v>301</v>
      </c>
      <c r="S120" s="784"/>
      <c r="T120" s="4716"/>
      <c r="U120" s="4698"/>
      <c r="V120" s="775"/>
      <c r="W120" s="769"/>
      <c r="X120" s="18"/>
      <c r="Y120" s="4818"/>
      <c r="Z120" s="4819"/>
      <c r="AA120" s="4819"/>
      <c r="AB120" s="4820"/>
      <c r="AC120" s="4761"/>
      <c r="AD120" s="392"/>
      <c r="AE120" s="18"/>
      <c r="AF120" s="20"/>
      <c r="AG120" s="20"/>
      <c r="AH120" s="8784"/>
    </row>
    <row r="121" spans="1:34" ht="26.1" customHeight="1">
      <c r="A121" s="8910"/>
      <c r="B121" s="8913"/>
      <c r="C121" s="8873"/>
      <c r="D121" s="8790"/>
      <c r="E121" s="8790"/>
      <c r="F121" s="8790"/>
      <c r="G121" s="8869"/>
      <c r="H121" s="8790"/>
      <c r="I121" s="8790"/>
      <c r="J121" s="8879"/>
      <c r="K121" s="8790"/>
      <c r="L121" s="8790"/>
      <c r="M121" s="8883"/>
      <c r="N121" s="8889"/>
      <c r="O121" s="8883"/>
      <c r="P121" s="8790"/>
      <c r="Q121" s="8790"/>
      <c r="R121" s="8801"/>
      <c r="S121" s="780"/>
      <c r="T121" s="4712"/>
      <c r="U121" s="4685"/>
      <c r="V121" s="771"/>
      <c r="W121" s="767"/>
      <c r="X121" s="15"/>
      <c r="Y121" s="4802"/>
      <c r="Z121" s="4803"/>
      <c r="AA121" s="4803"/>
      <c r="AB121" s="4804"/>
      <c r="AC121" s="4737"/>
      <c r="AD121" s="390"/>
      <c r="AE121" s="15"/>
      <c r="AF121" s="14"/>
      <c r="AG121" s="14"/>
      <c r="AH121" s="8785"/>
    </row>
    <row r="122" spans="1:34" ht="26.1" customHeight="1">
      <c r="A122" s="8910"/>
      <c r="B122" s="8913"/>
      <c r="C122" s="8873"/>
      <c r="D122" s="8790"/>
      <c r="E122" s="8790"/>
      <c r="F122" s="8790"/>
      <c r="G122" s="8869"/>
      <c r="H122" s="8790"/>
      <c r="I122" s="8790"/>
      <c r="J122" s="8879"/>
      <c r="K122" s="8790"/>
      <c r="L122" s="8790"/>
      <c r="M122" s="8883"/>
      <c r="N122" s="8889"/>
      <c r="O122" s="8883"/>
      <c r="P122" s="8790"/>
      <c r="Q122" s="8790"/>
      <c r="R122" s="8801"/>
      <c r="S122" s="780"/>
      <c r="T122" s="4712"/>
      <c r="U122" s="4685"/>
      <c r="V122" s="771"/>
      <c r="W122" s="767"/>
      <c r="X122" s="15"/>
      <c r="Y122" s="4802"/>
      <c r="Z122" s="4803"/>
      <c r="AA122" s="4803"/>
      <c r="AB122" s="4804"/>
      <c r="AC122" s="4737"/>
      <c r="AD122" s="390"/>
      <c r="AE122" s="15"/>
      <c r="AF122" s="14"/>
      <c r="AG122" s="14"/>
      <c r="AH122" s="8785"/>
    </row>
    <row r="123" spans="1:34" ht="26.1" customHeight="1">
      <c r="A123" s="8910"/>
      <c r="B123" s="8913"/>
      <c r="C123" s="8873"/>
      <c r="D123" s="8790"/>
      <c r="E123" s="8790"/>
      <c r="F123" s="8790"/>
      <c r="G123" s="8869"/>
      <c r="H123" s="8790"/>
      <c r="I123" s="8790"/>
      <c r="J123" s="8879"/>
      <c r="K123" s="8790"/>
      <c r="L123" s="8790"/>
      <c r="M123" s="8883"/>
      <c r="N123" s="8889"/>
      <c r="O123" s="8883"/>
      <c r="P123" s="8790"/>
      <c r="Q123" s="8790"/>
      <c r="R123" s="8801"/>
      <c r="S123" s="780"/>
      <c r="T123" s="4712"/>
      <c r="U123" s="4685"/>
      <c r="V123" s="771"/>
      <c r="W123" s="767"/>
      <c r="X123" s="15"/>
      <c r="Y123" s="4802"/>
      <c r="Z123" s="4803"/>
      <c r="AA123" s="4803"/>
      <c r="AB123" s="4804"/>
      <c r="AC123" s="4737"/>
      <c r="AD123" s="390"/>
      <c r="AE123" s="15"/>
      <c r="AF123" s="14"/>
      <c r="AG123" s="14"/>
      <c r="AH123" s="8785"/>
    </row>
    <row r="124" spans="1:34" ht="26.1" customHeight="1">
      <c r="A124" s="8910"/>
      <c r="B124" s="8913"/>
      <c r="C124" s="8873"/>
      <c r="D124" s="8790"/>
      <c r="E124" s="8790"/>
      <c r="F124" s="8790"/>
      <c r="G124" s="8869"/>
      <c r="H124" s="8790"/>
      <c r="I124" s="8790"/>
      <c r="J124" s="8879"/>
      <c r="K124" s="8790"/>
      <c r="L124" s="8790"/>
      <c r="M124" s="8883"/>
      <c r="N124" s="8890"/>
      <c r="O124" s="8883"/>
      <c r="P124" s="8790"/>
      <c r="Q124" s="8790"/>
      <c r="R124" s="8802"/>
      <c r="S124" s="782"/>
      <c r="T124" s="4724"/>
      <c r="U124" s="4689"/>
      <c r="V124" s="772"/>
      <c r="W124" s="768"/>
      <c r="X124" s="17"/>
      <c r="Y124" s="4805"/>
      <c r="Z124" s="4806"/>
      <c r="AA124" s="4806"/>
      <c r="AB124" s="4807"/>
      <c r="AC124" s="4759"/>
      <c r="AD124" s="391"/>
      <c r="AE124" s="17"/>
      <c r="AF124" s="16"/>
      <c r="AG124" s="16"/>
      <c r="AH124" s="8794"/>
    </row>
    <row r="125" spans="1:34" ht="24.75" customHeight="1">
      <c r="A125" s="8910"/>
      <c r="B125" s="8913"/>
      <c r="C125" s="8872" t="s">
        <v>183</v>
      </c>
      <c r="D125" s="8795" t="s">
        <v>128</v>
      </c>
      <c r="E125" s="8795" t="s">
        <v>129</v>
      </c>
      <c r="F125" s="8795" t="s">
        <v>327</v>
      </c>
      <c r="G125" s="8876" t="s">
        <v>131</v>
      </c>
      <c r="H125" s="8795" t="s">
        <v>213</v>
      </c>
      <c r="I125" s="8795" t="s">
        <v>159</v>
      </c>
      <c r="J125" s="8880" t="s">
        <v>328</v>
      </c>
      <c r="K125" s="8795" t="s">
        <v>329</v>
      </c>
      <c r="L125" s="8795" t="s">
        <v>330</v>
      </c>
      <c r="M125" s="8882">
        <v>10</v>
      </c>
      <c r="N125" s="8888">
        <v>10</v>
      </c>
      <c r="O125" s="8882">
        <v>10</v>
      </c>
      <c r="P125" s="8795" t="s">
        <v>305</v>
      </c>
      <c r="Q125" s="8795" t="s">
        <v>306</v>
      </c>
      <c r="R125" s="8792" t="s">
        <v>301</v>
      </c>
      <c r="S125" s="784"/>
      <c r="T125" s="4716"/>
      <c r="U125" s="4698"/>
      <c r="V125" s="775"/>
      <c r="W125" s="769"/>
      <c r="X125" s="18"/>
      <c r="Y125" s="4818"/>
      <c r="Z125" s="4819"/>
      <c r="AA125" s="4819"/>
      <c r="AB125" s="4820"/>
      <c r="AC125" s="4761"/>
      <c r="AD125" s="392"/>
      <c r="AE125" s="18"/>
      <c r="AF125" s="20"/>
      <c r="AG125" s="20"/>
      <c r="AH125" s="8784"/>
    </row>
    <row r="126" spans="1:34" ht="24.75" customHeight="1">
      <c r="A126" s="8910"/>
      <c r="B126" s="8913"/>
      <c r="C126" s="8873"/>
      <c r="D126" s="8790"/>
      <c r="E126" s="8790"/>
      <c r="F126" s="8790"/>
      <c r="G126" s="8869"/>
      <c r="H126" s="8790"/>
      <c r="I126" s="8790"/>
      <c r="J126" s="8879"/>
      <c r="K126" s="8790"/>
      <c r="L126" s="8790"/>
      <c r="M126" s="8883"/>
      <c r="N126" s="8889"/>
      <c r="O126" s="8883"/>
      <c r="P126" s="8790"/>
      <c r="Q126" s="8790"/>
      <c r="R126" s="8792"/>
      <c r="S126" s="780"/>
      <c r="T126" s="4712"/>
      <c r="U126" s="4685"/>
      <c r="V126" s="771"/>
      <c r="W126" s="767"/>
      <c r="X126" s="15"/>
      <c r="Y126" s="4802"/>
      <c r="Z126" s="4803"/>
      <c r="AA126" s="4803"/>
      <c r="AB126" s="4804"/>
      <c r="AC126" s="4737"/>
      <c r="AD126" s="390"/>
      <c r="AE126" s="15"/>
      <c r="AF126" s="14"/>
      <c r="AG126" s="14"/>
      <c r="AH126" s="8785"/>
    </row>
    <row r="127" spans="1:34" ht="24.75" customHeight="1">
      <c r="A127" s="8910"/>
      <c r="B127" s="8913"/>
      <c r="C127" s="8873"/>
      <c r="D127" s="8790"/>
      <c r="E127" s="8790"/>
      <c r="F127" s="8790"/>
      <c r="G127" s="8869"/>
      <c r="H127" s="8790"/>
      <c r="I127" s="8790"/>
      <c r="J127" s="8879"/>
      <c r="K127" s="8790"/>
      <c r="L127" s="8790"/>
      <c r="M127" s="8883"/>
      <c r="N127" s="8889"/>
      <c r="O127" s="8883"/>
      <c r="P127" s="8790"/>
      <c r="Q127" s="8790"/>
      <c r="R127" s="8792"/>
      <c r="S127" s="780"/>
      <c r="T127" s="4712"/>
      <c r="U127" s="4685"/>
      <c r="V127" s="771"/>
      <c r="W127" s="767"/>
      <c r="X127" s="15"/>
      <c r="Y127" s="4802"/>
      <c r="Z127" s="4803"/>
      <c r="AA127" s="4803"/>
      <c r="AB127" s="4804"/>
      <c r="AC127" s="4737"/>
      <c r="AD127" s="390"/>
      <c r="AE127" s="15"/>
      <c r="AF127" s="14"/>
      <c r="AG127" s="14"/>
      <c r="AH127" s="8785"/>
    </row>
    <row r="128" spans="1:34" ht="24.75" customHeight="1">
      <c r="A128" s="8910"/>
      <c r="B128" s="8913"/>
      <c r="C128" s="8873"/>
      <c r="D128" s="8790"/>
      <c r="E128" s="8790"/>
      <c r="F128" s="8790"/>
      <c r="G128" s="8869"/>
      <c r="H128" s="8790"/>
      <c r="I128" s="8790"/>
      <c r="J128" s="8879"/>
      <c r="K128" s="8790"/>
      <c r="L128" s="8790"/>
      <c r="M128" s="8883"/>
      <c r="N128" s="8889"/>
      <c r="O128" s="8883"/>
      <c r="P128" s="8790"/>
      <c r="Q128" s="8790"/>
      <c r="R128" s="8792"/>
      <c r="S128" s="780"/>
      <c r="T128" s="4712"/>
      <c r="U128" s="4685"/>
      <c r="V128" s="771"/>
      <c r="W128" s="767"/>
      <c r="X128" s="15"/>
      <c r="Y128" s="4802"/>
      <c r="Z128" s="4803"/>
      <c r="AA128" s="4803"/>
      <c r="AB128" s="4804"/>
      <c r="AC128" s="4737"/>
      <c r="AD128" s="390"/>
      <c r="AE128" s="15"/>
      <c r="AF128" s="14"/>
      <c r="AG128" s="14"/>
      <c r="AH128" s="8785"/>
    </row>
    <row r="129" spans="1:34" ht="24.75" customHeight="1">
      <c r="A129" s="8910"/>
      <c r="B129" s="8913"/>
      <c r="C129" s="8874"/>
      <c r="D129" s="8796"/>
      <c r="E129" s="8796"/>
      <c r="F129" s="8796"/>
      <c r="G129" s="8877"/>
      <c r="H129" s="8796"/>
      <c r="I129" s="8796"/>
      <c r="J129" s="8881"/>
      <c r="K129" s="8796"/>
      <c r="L129" s="8796"/>
      <c r="M129" s="8884"/>
      <c r="N129" s="8890"/>
      <c r="O129" s="8884"/>
      <c r="P129" s="8796"/>
      <c r="Q129" s="8796"/>
      <c r="R129" s="8792"/>
      <c r="S129" s="782"/>
      <c r="T129" s="4724"/>
      <c r="U129" s="4689"/>
      <c r="V129" s="772"/>
      <c r="W129" s="768"/>
      <c r="X129" s="17"/>
      <c r="Y129" s="4805"/>
      <c r="Z129" s="4806"/>
      <c r="AA129" s="4806"/>
      <c r="AB129" s="4807"/>
      <c r="AC129" s="4759"/>
      <c r="AD129" s="391"/>
      <c r="AE129" s="17"/>
      <c r="AF129" s="16"/>
      <c r="AG129" s="16"/>
      <c r="AH129" s="8794"/>
    </row>
    <row r="130" spans="1:34" ht="26.1" customHeight="1">
      <c r="A130" s="8910"/>
      <c r="B130" s="8913"/>
      <c r="C130" s="8873" t="s">
        <v>183</v>
      </c>
      <c r="D130" s="8790" t="s">
        <v>128</v>
      </c>
      <c r="E130" s="8790" t="s">
        <v>140</v>
      </c>
      <c r="F130" s="8790" t="s">
        <v>238</v>
      </c>
      <c r="G130" s="8869" t="s">
        <v>131</v>
      </c>
      <c r="H130" s="8790" t="s">
        <v>132</v>
      </c>
      <c r="I130" s="8790" t="s">
        <v>159</v>
      </c>
      <c r="J130" s="8879" t="s">
        <v>331</v>
      </c>
      <c r="K130" s="8790" t="s">
        <v>332</v>
      </c>
      <c r="L130" s="8790" t="s">
        <v>333</v>
      </c>
      <c r="M130" s="8883">
        <v>10</v>
      </c>
      <c r="N130" s="8888">
        <v>20</v>
      </c>
      <c r="O130" s="8883">
        <v>10</v>
      </c>
      <c r="P130" s="8790" t="s">
        <v>334</v>
      </c>
      <c r="Q130" s="8790" t="s">
        <v>335</v>
      </c>
      <c r="R130" s="8800" t="s">
        <v>301</v>
      </c>
      <c r="S130" s="784"/>
      <c r="T130" s="4716"/>
      <c r="U130" s="4698"/>
      <c r="V130" s="775"/>
      <c r="W130" s="769"/>
      <c r="X130" s="18"/>
      <c r="Y130" s="4818"/>
      <c r="Z130" s="4819"/>
      <c r="AA130" s="4819"/>
      <c r="AB130" s="4820"/>
      <c r="AC130" s="4761"/>
      <c r="AD130" s="392"/>
      <c r="AE130" s="18"/>
      <c r="AF130" s="20"/>
      <c r="AG130" s="20"/>
      <c r="AH130" s="8784"/>
    </row>
    <row r="131" spans="1:34" ht="26.1" customHeight="1">
      <c r="A131" s="8910"/>
      <c r="B131" s="8913"/>
      <c r="C131" s="8873"/>
      <c r="D131" s="8790"/>
      <c r="E131" s="8790"/>
      <c r="F131" s="8790"/>
      <c r="G131" s="8869"/>
      <c r="H131" s="8790"/>
      <c r="I131" s="8790"/>
      <c r="J131" s="8879"/>
      <c r="K131" s="8790"/>
      <c r="L131" s="8790"/>
      <c r="M131" s="8883"/>
      <c r="N131" s="8889"/>
      <c r="O131" s="8883"/>
      <c r="P131" s="8790"/>
      <c r="Q131" s="8790"/>
      <c r="R131" s="8801"/>
      <c r="S131" s="780"/>
      <c r="T131" s="4712"/>
      <c r="U131" s="4685"/>
      <c r="V131" s="771"/>
      <c r="W131" s="767"/>
      <c r="X131" s="15"/>
      <c r="Y131" s="4802"/>
      <c r="Z131" s="4803"/>
      <c r="AA131" s="4803"/>
      <c r="AB131" s="4804"/>
      <c r="AC131" s="4737"/>
      <c r="AD131" s="390"/>
      <c r="AE131" s="15"/>
      <c r="AF131" s="14"/>
      <c r="AG131" s="14"/>
      <c r="AH131" s="8785"/>
    </row>
    <row r="132" spans="1:34" ht="26.1" customHeight="1">
      <c r="A132" s="8910"/>
      <c r="B132" s="8913"/>
      <c r="C132" s="8873"/>
      <c r="D132" s="8790"/>
      <c r="E132" s="8790"/>
      <c r="F132" s="8790"/>
      <c r="G132" s="8869"/>
      <c r="H132" s="8790"/>
      <c r="I132" s="8790"/>
      <c r="J132" s="8879"/>
      <c r="K132" s="8790"/>
      <c r="L132" s="8790"/>
      <c r="M132" s="8883"/>
      <c r="N132" s="8889"/>
      <c r="O132" s="8883"/>
      <c r="P132" s="8790"/>
      <c r="Q132" s="8790"/>
      <c r="R132" s="8801"/>
      <c r="S132" s="780"/>
      <c r="T132" s="4712"/>
      <c r="U132" s="4685"/>
      <c r="V132" s="771"/>
      <c r="W132" s="767"/>
      <c r="X132" s="15"/>
      <c r="Y132" s="4802"/>
      <c r="Z132" s="4803"/>
      <c r="AA132" s="4803"/>
      <c r="AB132" s="4804"/>
      <c r="AC132" s="4737"/>
      <c r="AD132" s="390"/>
      <c r="AE132" s="15"/>
      <c r="AF132" s="14"/>
      <c r="AG132" s="14"/>
      <c r="AH132" s="8785"/>
    </row>
    <row r="133" spans="1:34" ht="26.1" customHeight="1">
      <c r="A133" s="8910"/>
      <c r="B133" s="8913"/>
      <c r="C133" s="8873"/>
      <c r="D133" s="8790"/>
      <c r="E133" s="8790"/>
      <c r="F133" s="8790"/>
      <c r="G133" s="8869"/>
      <c r="H133" s="8790"/>
      <c r="I133" s="8790"/>
      <c r="J133" s="8879"/>
      <c r="K133" s="8790"/>
      <c r="L133" s="8790"/>
      <c r="M133" s="8883"/>
      <c r="N133" s="8889"/>
      <c r="O133" s="8883"/>
      <c r="P133" s="8790"/>
      <c r="Q133" s="8790"/>
      <c r="R133" s="8801"/>
      <c r="S133" s="780"/>
      <c r="T133" s="4712"/>
      <c r="U133" s="4685"/>
      <c r="V133" s="771"/>
      <c r="W133" s="767"/>
      <c r="X133" s="15"/>
      <c r="Y133" s="4802"/>
      <c r="Z133" s="4803"/>
      <c r="AA133" s="4803"/>
      <c r="AB133" s="4804"/>
      <c r="AC133" s="4737"/>
      <c r="AD133" s="390"/>
      <c r="AE133" s="15"/>
      <c r="AF133" s="14"/>
      <c r="AG133" s="14"/>
      <c r="AH133" s="8785"/>
    </row>
    <row r="134" spans="1:34" ht="26.1" customHeight="1">
      <c r="A134" s="8910"/>
      <c r="B134" s="8913"/>
      <c r="C134" s="8873"/>
      <c r="D134" s="8790"/>
      <c r="E134" s="8790"/>
      <c r="F134" s="8790"/>
      <c r="G134" s="8869"/>
      <c r="H134" s="8790"/>
      <c r="I134" s="8790"/>
      <c r="J134" s="8879"/>
      <c r="K134" s="8790"/>
      <c r="L134" s="8790"/>
      <c r="M134" s="8883"/>
      <c r="N134" s="8890"/>
      <c r="O134" s="8883"/>
      <c r="P134" s="8790"/>
      <c r="Q134" s="8790"/>
      <c r="R134" s="8802"/>
      <c r="S134" s="782"/>
      <c r="T134" s="4724"/>
      <c r="U134" s="4689"/>
      <c r="V134" s="772"/>
      <c r="W134" s="768"/>
      <c r="X134" s="17"/>
      <c r="Y134" s="4805"/>
      <c r="Z134" s="4806"/>
      <c r="AA134" s="4806"/>
      <c r="AB134" s="4807"/>
      <c r="AC134" s="4759"/>
      <c r="AD134" s="391"/>
      <c r="AE134" s="17"/>
      <c r="AF134" s="16"/>
      <c r="AG134" s="16"/>
      <c r="AH134" s="8794"/>
    </row>
    <row r="135" spans="1:34" ht="26.1" customHeight="1">
      <c r="A135" s="8910"/>
      <c r="B135" s="8913"/>
      <c r="C135" s="8872" t="s">
        <v>127</v>
      </c>
      <c r="D135" s="8795" t="s">
        <v>128</v>
      </c>
      <c r="E135" s="8795" t="s">
        <v>129</v>
      </c>
      <c r="F135" s="8795" t="s">
        <v>336</v>
      </c>
      <c r="G135" s="8876" t="s">
        <v>131</v>
      </c>
      <c r="H135" s="8795" t="s">
        <v>158</v>
      </c>
      <c r="I135" s="8795" t="s">
        <v>189</v>
      </c>
      <c r="J135" s="8880" t="s">
        <v>337</v>
      </c>
      <c r="K135" s="8795" t="s">
        <v>338</v>
      </c>
      <c r="L135" s="8795" t="s">
        <v>339</v>
      </c>
      <c r="M135" s="8882">
        <v>3</v>
      </c>
      <c r="N135" s="8888">
        <v>3</v>
      </c>
      <c r="O135" s="8882">
        <v>3</v>
      </c>
      <c r="P135" s="8795" t="s">
        <v>340</v>
      </c>
      <c r="Q135" s="8795" t="s">
        <v>341</v>
      </c>
      <c r="R135" s="8792" t="s">
        <v>301</v>
      </c>
      <c r="S135" s="784"/>
      <c r="T135" s="4716"/>
      <c r="U135" s="4698"/>
      <c r="V135" s="775"/>
      <c r="W135" s="769"/>
      <c r="X135" s="18"/>
      <c r="Y135" s="4818"/>
      <c r="Z135" s="4819"/>
      <c r="AA135" s="4819"/>
      <c r="AB135" s="4820"/>
      <c r="AC135" s="4761"/>
      <c r="AD135" s="392"/>
      <c r="AE135" s="18"/>
      <c r="AF135" s="20"/>
      <c r="AG135" s="20"/>
      <c r="AH135" s="8784"/>
    </row>
    <row r="136" spans="1:34" ht="26.1" customHeight="1">
      <c r="A136" s="8910"/>
      <c r="B136" s="8913"/>
      <c r="C136" s="8873"/>
      <c r="D136" s="8790"/>
      <c r="E136" s="8790"/>
      <c r="F136" s="8790"/>
      <c r="G136" s="8869"/>
      <c r="H136" s="8790"/>
      <c r="I136" s="8790"/>
      <c r="J136" s="8879"/>
      <c r="K136" s="8790"/>
      <c r="L136" s="8790"/>
      <c r="M136" s="8883"/>
      <c r="N136" s="8889"/>
      <c r="O136" s="8883"/>
      <c r="P136" s="8790"/>
      <c r="Q136" s="8790"/>
      <c r="R136" s="8792"/>
      <c r="S136" s="780"/>
      <c r="T136" s="4712"/>
      <c r="U136" s="4685"/>
      <c r="V136" s="771"/>
      <c r="W136" s="767"/>
      <c r="X136" s="15"/>
      <c r="Y136" s="4802"/>
      <c r="Z136" s="4803"/>
      <c r="AA136" s="4803"/>
      <c r="AB136" s="4804"/>
      <c r="AC136" s="4737"/>
      <c r="AD136" s="390"/>
      <c r="AE136" s="15"/>
      <c r="AF136" s="14"/>
      <c r="AG136" s="14"/>
      <c r="AH136" s="8785"/>
    </row>
    <row r="137" spans="1:34" ht="26.1" customHeight="1">
      <c r="A137" s="8910"/>
      <c r="B137" s="8913"/>
      <c r="C137" s="8873"/>
      <c r="D137" s="8790"/>
      <c r="E137" s="8790"/>
      <c r="F137" s="8790"/>
      <c r="G137" s="8869"/>
      <c r="H137" s="8790"/>
      <c r="I137" s="8790"/>
      <c r="J137" s="8879"/>
      <c r="K137" s="8790"/>
      <c r="L137" s="8790"/>
      <c r="M137" s="8883"/>
      <c r="N137" s="8889"/>
      <c r="O137" s="8883"/>
      <c r="P137" s="8790"/>
      <c r="Q137" s="8790"/>
      <c r="R137" s="8792"/>
      <c r="S137" s="780"/>
      <c r="T137" s="4712"/>
      <c r="U137" s="4685"/>
      <c r="V137" s="771"/>
      <c r="W137" s="767"/>
      <c r="X137" s="15"/>
      <c r="Y137" s="4802"/>
      <c r="Z137" s="4803"/>
      <c r="AA137" s="4803"/>
      <c r="AB137" s="4804"/>
      <c r="AC137" s="4737"/>
      <c r="AD137" s="390"/>
      <c r="AE137" s="15"/>
      <c r="AF137" s="14"/>
      <c r="AG137" s="14"/>
      <c r="AH137" s="8785"/>
    </row>
    <row r="138" spans="1:34" ht="26.1" customHeight="1">
      <c r="A138" s="8911"/>
      <c r="B138" s="8914"/>
      <c r="C138" s="8873"/>
      <c r="D138" s="8790"/>
      <c r="E138" s="8790"/>
      <c r="F138" s="8790"/>
      <c r="G138" s="8869"/>
      <c r="H138" s="8790"/>
      <c r="I138" s="8790"/>
      <c r="J138" s="8879"/>
      <c r="K138" s="8790"/>
      <c r="L138" s="8790"/>
      <c r="M138" s="8883"/>
      <c r="N138" s="8889"/>
      <c r="O138" s="8883"/>
      <c r="P138" s="8790"/>
      <c r="Q138" s="8790"/>
      <c r="R138" s="8792"/>
      <c r="S138" s="780"/>
      <c r="T138" s="4712"/>
      <c r="U138" s="4685"/>
      <c r="V138" s="771"/>
      <c r="W138" s="767"/>
      <c r="X138" s="15"/>
      <c r="Y138" s="4802"/>
      <c r="Z138" s="4803"/>
      <c r="AA138" s="4803"/>
      <c r="AB138" s="4804"/>
      <c r="AC138" s="4737"/>
      <c r="AD138" s="390"/>
      <c r="AE138" s="15"/>
      <c r="AF138" s="14"/>
      <c r="AG138" s="14"/>
      <c r="AH138" s="8785"/>
    </row>
    <row r="139" spans="1:34" ht="26.1" customHeight="1">
      <c r="A139" s="8917" t="s">
        <v>87</v>
      </c>
      <c r="B139" s="8915" t="s">
        <v>293</v>
      </c>
      <c r="C139" s="8874"/>
      <c r="D139" s="8796"/>
      <c r="E139" s="8796"/>
      <c r="F139" s="8796"/>
      <c r="G139" s="8877"/>
      <c r="H139" s="8796"/>
      <c r="I139" s="8796"/>
      <c r="J139" s="8881"/>
      <c r="K139" s="8796"/>
      <c r="L139" s="8796"/>
      <c r="M139" s="8884"/>
      <c r="N139" s="8890"/>
      <c r="O139" s="8884"/>
      <c r="P139" s="8796"/>
      <c r="Q139" s="8796"/>
      <c r="R139" s="8792"/>
      <c r="S139" s="782"/>
      <c r="T139" s="4724"/>
      <c r="U139" s="4689"/>
      <c r="V139" s="772"/>
      <c r="W139" s="768"/>
      <c r="X139" s="17"/>
      <c r="Y139" s="4805"/>
      <c r="Z139" s="4806"/>
      <c r="AA139" s="4806"/>
      <c r="AB139" s="4807"/>
      <c r="AC139" s="4759"/>
      <c r="AD139" s="391"/>
      <c r="AE139" s="17"/>
      <c r="AF139" s="16"/>
      <c r="AG139" s="16"/>
      <c r="AH139" s="8794"/>
    </row>
    <row r="140" spans="1:34" ht="30.75" customHeight="1">
      <c r="A140" s="8918"/>
      <c r="B140" s="8913"/>
      <c r="C140" s="8901" t="s">
        <v>127</v>
      </c>
      <c r="D140" s="8790" t="s">
        <v>128</v>
      </c>
      <c r="E140" s="8790" t="s">
        <v>140</v>
      </c>
      <c r="F140" s="8790" t="s">
        <v>284</v>
      </c>
      <c r="G140" s="8869" t="s">
        <v>131</v>
      </c>
      <c r="H140" s="8790" t="s">
        <v>132</v>
      </c>
      <c r="I140" s="8790" t="s">
        <v>159</v>
      </c>
      <c r="J140" s="8879" t="s">
        <v>342</v>
      </c>
      <c r="K140" s="8790" t="s">
        <v>286</v>
      </c>
      <c r="L140" s="8790" t="s">
        <v>343</v>
      </c>
      <c r="M140" s="8883">
        <v>1</v>
      </c>
      <c r="N140" s="8888">
        <v>1</v>
      </c>
      <c r="O140" s="8883">
        <v>2</v>
      </c>
      <c r="P140" s="8790" t="s">
        <v>344</v>
      </c>
      <c r="Q140" s="8790" t="s">
        <v>345</v>
      </c>
      <c r="R140" s="8800" t="s">
        <v>301</v>
      </c>
      <c r="S140" s="784"/>
      <c r="T140" s="4716"/>
      <c r="U140" s="4698"/>
      <c r="V140" s="775"/>
      <c r="W140" s="769"/>
      <c r="X140" s="18"/>
      <c r="Y140" s="4818"/>
      <c r="Z140" s="4819"/>
      <c r="AA140" s="4819"/>
      <c r="AB140" s="4820"/>
      <c r="AC140" s="4761"/>
      <c r="AD140" s="392"/>
      <c r="AE140" s="18"/>
      <c r="AF140" s="20"/>
      <c r="AG140" s="20"/>
      <c r="AH140" s="8784"/>
    </row>
    <row r="141" spans="1:34" ht="30.75" customHeight="1">
      <c r="A141" s="8918"/>
      <c r="B141" s="8913"/>
      <c r="C141" s="8901"/>
      <c r="D141" s="8790"/>
      <c r="E141" s="8790"/>
      <c r="F141" s="8790"/>
      <c r="G141" s="8869"/>
      <c r="H141" s="8790"/>
      <c r="I141" s="8790"/>
      <c r="J141" s="8879"/>
      <c r="K141" s="8790"/>
      <c r="L141" s="8790"/>
      <c r="M141" s="8883"/>
      <c r="N141" s="8889"/>
      <c r="O141" s="8883"/>
      <c r="P141" s="8790"/>
      <c r="Q141" s="8790"/>
      <c r="R141" s="8801"/>
      <c r="S141" s="780"/>
      <c r="T141" s="4712"/>
      <c r="U141" s="4685"/>
      <c r="V141" s="771"/>
      <c r="W141" s="767"/>
      <c r="X141" s="15"/>
      <c r="Y141" s="4802"/>
      <c r="Z141" s="4803"/>
      <c r="AA141" s="4803"/>
      <c r="AB141" s="4804"/>
      <c r="AC141" s="4737"/>
      <c r="AD141" s="390"/>
      <c r="AE141" s="15"/>
      <c r="AF141" s="14"/>
      <c r="AG141" s="14"/>
      <c r="AH141" s="8785"/>
    </row>
    <row r="142" spans="1:34" ht="30.75" customHeight="1">
      <c r="A142" s="8918"/>
      <c r="B142" s="8913"/>
      <c r="C142" s="8901"/>
      <c r="D142" s="8790"/>
      <c r="E142" s="8790"/>
      <c r="F142" s="8790"/>
      <c r="G142" s="8869"/>
      <c r="H142" s="8790"/>
      <c r="I142" s="8790"/>
      <c r="J142" s="8879"/>
      <c r="K142" s="8790"/>
      <c r="L142" s="8790"/>
      <c r="M142" s="8883"/>
      <c r="N142" s="8889"/>
      <c r="O142" s="8883"/>
      <c r="P142" s="8790"/>
      <c r="Q142" s="8790"/>
      <c r="R142" s="8801"/>
      <c r="S142" s="780"/>
      <c r="T142" s="4712"/>
      <c r="U142" s="4685"/>
      <c r="V142" s="771"/>
      <c r="W142" s="767"/>
      <c r="X142" s="15"/>
      <c r="Y142" s="4802"/>
      <c r="Z142" s="4803"/>
      <c r="AA142" s="4803"/>
      <c r="AB142" s="4804"/>
      <c r="AC142" s="4737"/>
      <c r="AD142" s="390"/>
      <c r="AE142" s="15"/>
      <c r="AF142" s="14"/>
      <c r="AG142" s="14"/>
      <c r="AH142" s="8785"/>
    </row>
    <row r="143" spans="1:34" ht="30.75" customHeight="1">
      <c r="A143" s="8918"/>
      <c r="B143" s="8913"/>
      <c r="C143" s="8901"/>
      <c r="D143" s="8790"/>
      <c r="E143" s="8790"/>
      <c r="F143" s="8790"/>
      <c r="G143" s="8869"/>
      <c r="H143" s="8790"/>
      <c r="I143" s="8790"/>
      <c r="J143" s="8879"/>
      <c r="K143" s="8790"/>
      <c r="L143" s="8790"/>
      <c r="M143" s="8883"/>
      <c r="N143" s="8889"/>
      <c r="O143" s="8883"/>
      <c r="P143" s="8790"/>
      <c r="Q143" s="8790"/>
      <c r="R143" s="8801"/>
      <c r="S143" s="780"/>
      <c r="T143" s="4712"/>
      <c r="U143" s="4685"/>
      <c r="V143" s="771"/>
      <c r="W143" s="767"/>
      <c r="X143" s="15"/>
      <c r="Y143" s="4802"/>
      <c r="Z143" s="4803"/>
      <c r="AA143" s="4803"/>
      <c r="AB143" s="4804"/>
      <c r="AC143" s="4737"/>
      <c r="AD143" s="390"/>
      <c r="AE143" s="15"/>
      <c r="AF143" s="14"/>
      <c r="AG143" s="14"/>
      <c r="AH143" s="8785"/>
    </row>
    <row r="144" spans="1:34" ht="30.75" customHeight="1">
      <c r="A144" s="8918"/>
      <c r="B144" s="8913"/>
      <c r="C144" s="8902"/>
      <c r="D144" s="8886"/>
      <c r="E144" s="8886"/>
      <c r="F144" s="8886"/>
      <c r="G144" s="8903"/>
      <c r="H144" s="8886"/>
      <c r="I144" s="8886"/>
      <c r="J144" s="8904"/>
      <c r="K144" s="8886"/>
      <c r="L144" s="8886"/>
      <c r="M144" s="8885"/>
      <c r="N144" s="8891"/>
      <c r="O144" s="8885"/>
      <c r="P144" s="8886"/>
      <c r="Q144" s="8886"/>
      <c r="R144" s="8887"/>
      <c r="S144" s="782"/>
      <c r="T144" s="4724"/>
      <c r="U144" s="4689"/>
      <c r="V144" s="772"/>
      <c r="W144" s="768"/>
      <c r="X144" s="17"/>
      <c r="Y144" s="4805"/>
      <c r="Z144" s="4806"/>
      <c r="AA144" s="4806"/>
      <c r="AB144" s="4807"/>
      <c r="AC144" s="4759"/>
      <c r="AD144" s="391"/>
      <c r="AE144" s="17"/>
      <c r="AF144" s="16"/>
      <c r="AG144" s="16"/>
      <c r="AH144" s="8794"/>
    </row>
    <row r="145" spans="1:34" s="4835" customFormat="1" ht="18.75" customHeight="1" thickBot="1">
      <c r="A145" s="8918"/>
      <c r="B145" s="6175"/>
      <c r="C145" s="4836"/>
      <c r="D145" s="4836"/>
      <c r="E145" s="4836"/>
      <c r="F145" s="4836"/>
      <c r="G145" s="4836"/>
      <c r="H145" s="4836"/>
      <c r="I145" s="4836"/>
      <c r="J145" s="4836"/>
      <c r="K145" s="4836"/>
      <c r="L145" s="4836"/>
      <c r="M145" s="4836"/>
      <c r="N145" s="4836"/>
      <c r="O145" s="4836"/>
      <c r="P145" s="4836"/>
      <c r="Q145" s="4836"/>
      <c r="R145" s="4836"/>
      <c r="S145" s="8892" t="s">
        <v>346</v>
      </c>
      <c r="T145" s="8893"/>
      <c r="U145" s="8893"/>
      <c r="V145" s="8893"/>
      <c r="W145" s="8893"/>
      <c r="X145" s="8893"/>
      <c r="Y145" s="8893"/>
      <c r="Z145" s="8893"/>
      <c r="AA145" s="4828" t="s">
        <v>292</v>
      </c>
      <c r="AB145" s="4823">
        <f>SUM(AB90:AB144)</f>
        <v>18300</v>
      </c>
      <c r="AC145" s="4837"/>
      <c r="AD145" s="4837"/>
      <c r="AE145" s="8894"/>
      <c r="AF145" s="8895"/>
      <c r="AG145" s="8895"/>
      <c r="AH145" s="8896"/>
    </row>
    <row r="146" spans="1:34" s="4842" customFormat="1" ht="18.75" customHeight="1" thickBot="1">
      <c r="A146" s="6195"/>
      <c r="B146" s="6176"/>
      <c r="C146" s="4838"/>
      <c r="D146" s="4838"/>
      <c r="E146" s="4838"/>
      <c r="F146" s="4838"/>
      <c r="G146" s="4838"/>
      <c r="H146" s="4838"/>
      <c r="I146" s="4838"/>
      <c r="J146" s="4838"/>
      <c r="K146" s="4838"/>
      <c r="L146" s="4838"/>
      <c r="M146" s="4838"/>
      <c r="N146" s="4838"/>
      <c r="O146" s="4838"/>
      <c r="P146" s="4838"/>
      <c r="Q146" s="4838"/>
      <c r="R146" s="4839"/>
      <c r="S146" s="8897" t="s">
        <v>347</v>
      </c>
      <c r="T146" s="8897"/>
      <c r="U146" s="8897"/>
      <c r="V146" s="8897"/>
      <c r="W146" s="8897"/>
      <c r="X146" s="8897"/>
      <c r="Y146" s="8897"/>
      <c r="Z146" s="4829"/>
      <c r="AA146" s="4830" t="s">
        <v>292</v>
      </c>
      <c r="AB146" s="4824">
        <f>AB89+AB145</f>
        <v>53435.8488</v>
      </c>
      <c r="AC146" s="4840"/>
      <c r="AD146" s="4840"/>
      <c r="AE146" s="8898"/>
      <c r="AF146" s="8899"/>
      <c r="AG146" s="8899"/>
      <c r="AH146" s="8900"/>
    </row>
    <row r="147" spans="1:34" ht="18" customHeight="1" thickTop="1">
      <c r="A147" s="2065"/>
      <c r="B147" s="2038"/>
      <c r="C147" s="2039" t="s">
        <v>348</v>
      </c>
      <c r="D147" s="2040"/>
      <c r="E147" s="2040"/>
      <c r="F147" s="2040"/>
      <c r="G147" s="2040"/>
      <c r="H147" s="2040"/>
      <c r="I147" s="2040"/>
      <c r="J147" s="2040"/>
      <c r="K147" s="2040"/>
      <c r="L147" s="2040"/>
      <c r="M147" s="2040"/>
      <c r="N147" s="2040"/>
      <c r="O147" s="2040"/>
      <c r="P147" s="2040"/>
      <c r="Q147" s="2040"/>
      <c r="R147" s="2040"/>
      <c r="S147" s="4940" t="s">
        <v>349</v>
      </c>
      <c r="T147" s="2051"/>
      <c r="U147" s="2051"/>
      <c r="V147" s="2051"/>
      <c r="W147" s="2051"/>
      <c r="X147" s="2051"/>
      <c r="Y147" s="2051"/>
      <c r="Z147" s="2051"/>
      <c r="AA147" s="2051"/>
      <c r="AB147" s="2051"/>
      <c r="AC147" s="2051"/>
      <c r="AD147" s="2050"/>
      <c r="AE147" s="2051"/>
      <c r="AF147" s="2051"/>
      <c r="AG147" s="2051"/>
      <c r="AH147" s="2051"/>
    </row>
    <row r="148" spans="1:34" ht="18.75" customHeight="1">
      <c r="A148" s="2065"/>
      <c r="B148" s="2038"/>
      <c r="C148" s="2039" t="s">
        <v>350</v>
      </c>
      <c r="D148" s="2040"/>
      <c r="E148" s="2040"/>
      <c r="F148" s="2040"/>
      <c r="G148" s="2040"/>
      <c r="H148" s="2040"/>
      <c r="I148" s="2040"/>
      <c r="J148" s="2040"/>
      <c r="K148" s="2040"/>
      <c r="L148" s="2040"/>
      <c r="M148" s="2040"/>
      <c r="N148" s="2040"/>
      <c r="O148" s="2040"/>
      <c r="P148" s="2040"/>
      <c r="Q148" s="2040"/>
      <c r="R148" s="2040"/>
      <c r="S148" s="2040"/>
      <c r="T148" s="2040"/>
      <c r="U148" s="2040"/>
      <c r="V148" s="2041"/>
      <c r="W148" s="2041"/>
      <c r="X148" s="2041"/>
      <c r="Y148" s="2041"/>
      <c r="Z148" s="2041"/>
      <c r="AA148" s="2041"/>
      <c r="AB148" s="2042"/>
      <c r="AC148" s="2043"/>
      <c r="AD148" s="2043"/>
      <c r="AE148" s="2040"/>
      <c r="AF148" s="2040"/>
      <c r="AG148" s="2040"/>
      <c r="AH148" s="2040"/>
    </row>
    <row r="149" spans="1:34" ht="18.75" customHeight="1">
      <c r="A149" s="2065"/>
      <c r="B149" s="2038"/>
      <c r="D149" s="2040"/>
      <c r="E149" s="2040"/>
      <c r="F149" s="2040"/>
      <c r="G149" s="2040"/>
      <c r="H149" s="2040"/>
      <c r="I149" s="2040"/>
      <c r="J149" s="2040"/>
      <c r="K149" s="2040"/>
      <c r="L149" s="2040"/>
      <c r="M149" s="2040"/>
      <c r="N149" s="2040"/>
      <c r="O149" s="2040"/>
      <c r="P149" s="2040"/>
      <c r="Q149" s="2040"/>
      <c r="R149" s="2040"/>
      <c r="S149" s="2040"/>
      <c r="T149" s="2040"/>
      <c r="U149" s="8775" t="s">
        <v>351</v>
      </c>
      <c r="V149" s="8775"/>
      <c r="W149" s="8775"/>
      <c r="X149" s="8775"/>
      <c r="Y149" s="8775"/>
      <c r="Z149" s="8775"/>
      <c r="AA149" s="2042"/>
      <c r="AB149" s="2043"/>
      <c r="AC149" s="2043"/>
      <c r="AD149" s="2040"/>
      <c r="AE149" s="2040"/>
      <c r="AF149" s="2040"/>
      <c r="AG149" s="2040"/>
    </row>
    <row r="150" spans="1:34" ht="18.75" customHeight="1">
      <c r="A150" s="2065"/>
      <c r="B150" s="2038"/>
      <c r="C150" s="2040"/>
      <c r="D150" s="2040"/>
      <c r="E150" s="2040"/>
      <c r="F150" s="2040"/>
      <c r="G150" s="2040"/>
      <c r="H150" s="2040"/>
      <c r="I150" s="2040"/>
      <c r="J150" s="2040"/>
      <c r="K150" s="2040"/>
      <c r="L150" s="2040"/>
      <c r="M150" s="2040"/>
      <c r="N150" s="2040"/>
      <c r="O150" s="2040"/>
      <c r="P150" s="2040"/>
      <c r="Q150" s="2040"/>
      <c r="R150" s="2040"/>
      <c r="S150" s="2040"/>
      <c r="T150" s="2044"/>
      <c r="U150" s="28"/>
      <c r="V150" s="28"/>
      <c r="W150" s="28"/>
      <c r="X150" s="28"/>
      <c r="Y150" s="28"/>
      <c r="Z150" s="28"/>
      <c r="AA150" s="2040"/>
      <c r="AB150" s="2043"/>
      <c r="AC150" s="2043"/>
      <c r="AD150" s="2040"/>
      <c r="AE150" s="2040"/>
      <c r="AF150" s="2040"/>
      <c r="AG150" s="2040"/>
    </row>
    <row r="151" spans="1:34" ht="18.75" thickTop="1">
      <c r="A151" s="2065"/>
      <c r="B151" s="2038"/>
      <c r="C151" s="2040"/>
      <c r="D151" s="2040"/>
      <c r="E151" s="2040"/>
      <c r="F151" s="2040"/>
      <c r="G151" s="2040"/>
      <c r="H151" s="2040"/>
      <c r="I151" s="2040"/>
      <c r="J151" s="2040"/>
      <c r="K151" s="2040"/>
      <c r="L151" s="2040"/>
      <c r="M151" s="2040"/>
      <c r="N151" s="2040"/>
      <c r="O151" s="2040"/>
      <c r="P151" s="2040"/>
      <c r="Q151" s="2040"/>
      <c r="R151" s="2040"/>
      <c r="S151" s="2045"/>
      <c r="T151" s="2045"/>
      <c r="U151" s="5882" t="s">
        <v>5</v>
      </c>
      <c r="V151" s="5883" t="s">
        <v>6</v>
      </c>
      <c r="W151" s="5884" t="s">
        <v>7</v>
      </c>
      <c r="X151" s="5885" t="s">
        <v>352</v>
      </c>
      <c r="Y151" s="5885" t="s">
        <v>9</v>
      </c>
      <c r="Z151" s="5886" t="s">
        <v>353</v>
      </c>
      <c r="AA151" s="2046"/>
      <c r="AB151" s="2043"/>
      <c r="AC151" s="2043"/>
      <c r="AD151" s="2040"/>
      <c r="AE151" s="2042"/>
      <c r="AF151" s="2040"/>
      <c r="AG151" s="2040"/>
    </row>
    <row r="152" spans="1:34" ht="33">
      <c r="A152" s="2065"/>
      <c r="B152" s="2038"/>
      <c r="C152" s="2040"/>
      <c r="D152" s="2040"/>
      <c r="E152" s="2040"/>
      <c r="F152" s="2040"/>
      <c r="G152" s="2040"/>
      <c r="H152" s="2040"/>
      <c r="I152" s="2040"/>
      <c r="J152" s="2040"/>
      <c r="K152" s="2040"/>
      <c r="L152" s="2040"/>
      <c r="M152" s="2040"/>
      <c r="N152" s="2040"/>
      <c r="O152" s="2040"/>
      <c r="P152" s="2040"/>
      <c r="Q152" s="29"/>
      <c r="R152" s="29"/>
      <c r="S152" s="29"/>
      <c r="T152" s="29"/>
      <c r="U152" s="951" t="s">
        <v>15</v>
      </c>
      <c r="V152" s="952" t="s">
        <v>29</v>
      </c>
      <c r="W152" s="690" t="s">
        <v>354</v>
      </c>
      <c r="X152" s="690" t="s">
        <v>17</v>
      </c>
      <c r="Y152" s="1678" t="s">
        <v>18</v>
      </c>
      <c r="Z152" s="8142">
        <f>+$AB$66</f>
        <v>20000</v>
      </c>
      <c r="AA152" s="2040"/>
      <c r="AB152" s="2043"/>
      <c r="AC152" s="2043"/>
      <c r="AD152" s="2040"/>
      <c r="AE152" s="2042"/>
      <c r="AF152" s="2040"/>
      <c r="AG152" s="2040"/>
    </row>
    <row r="153" spans="1:34" ht="33">
      <c r="A153" s="2065"/>
      <c r="B153" s="2038"/>
      <c r="C153" s="2040"/>
      <c r="D153" s="2040"/>
      <c r="E153" s="2040"/>
      <c r="F153" s="2040"/>
      <c r="G153" s="2040"/>
      <c r="H153" s="2040"/>
      <c r="I153" s="2040"/>
      <c r="J153" s="2040"/>
      <c r="K153" s="2040"/>
      <c r="L153" s="2040"/>
      <c r="M153" s="2040"/>
      <c r="N153" s="2040"/>
      <c r="O153" s="2040"/>
      <c r="P153" s="2040"/>
      <c r="Q153" s="29"/>
      <c r="R153" s="29"/>
      <c r="S153" s="29"/>
      <c r="T153" s="29"/>
      <c r="U153" s="951" t="s">
        <v>15</v>
      </c>
      <c r="V153" s="952" t="s">
        <v>30</v>
      </c>
      <c r="W153" s="690">
        <v>530304</v>
      </c>
      <c r="X153" s="690" t="s">
        <v>17</v>
      </c>
      <c r="Y153" s="1678" t="s">
        <v>18</v>
      </c>
      <c r="Z153" s="8142">
        <f>$AB$64</f>
        <v>8400</v>
      </c>
      <c r="AA153" s="2040"/>
      <c r="AB153" s="2043"/>
      <c r="AC153" s="2043"/>
      <c r="AD153" s="2040"/>
      <c r="AE153" s="2042"/>
      <c r="AF153" s="2040"/>
      <c r="AG153" s="2040"/>
    </row>
    <row r="154" spans="1:34" ht="50.25" customHeight="1">
      <c r="A154" s="2065"/>
      <c r="B154" s="2038"/>
      <c r="C154" s="2040"/>
      <c r="D154" s="2040"/>
      <c r="E154" s="2040"/>
      <c r="F154" s="2040"/>
      <c r="G154" s="2040"/>
      <c r="H154" s="2040"/>
      <c r="I154" s="2040"/>
      <c r="J154" s="2040"/>
      <c r="K154" s="2040"/>
      <c r="L154" s="2040"/>
      <c r="M154" s="2040"/>
      <c r="N154" s="2040"/>
      <c r="O154" s="2040"/>
      <c r="P154" s="2040"/>
      <c r="Q154" s="29"/>
      <c r="R154" s="29"/>
      <c r="S154" s="29"/>
      <c r="T154" s="29"/>
      <c r="U154" s="951" t="s">
        <v>15</v>
      </c>
      <c r="V154" s="952" t="s">
        <v>319</v>
      </c>
      <c r="W154" s="690">
        <v>530307</v>
      </c>
      <c r="X154" s="690" t="s">
        <v>17</v>
      </c>
      <c r="Y154" s="1678" t="s">
        <v>18</v>
      </c>
      <c r="Z154" s="8142">
        <f>$AB$110</f>
        <v>12000</v>
      </c>
      <c r="AA154" s="2040"/>
      <c r="AB154" s="2047"/>
      <c r="AC154" s="2043"/>
      <c r="AD154" s="2040"/>
      <c r="AE154" s="2040"/>
      <c r="AF154" s="2040"/>
      <c r="AG154" s="2040"/>
    </row>
    <row r="155" spans="1:34" ht="33">
      <c r="A155" s="2065"/>
      <c r="B155" s="2038"/>
      <c r="C155" s="2040"/>
      <c r="D155" s="2040"/>
      <c r="E155" s="2040"/>
      <c r="F155" s="2040"/>
      <c r="G155" s="2040"/>
      <c r="H155" s="2040"/>
      <c r="I155" s="2040"/>
      <c r="J155" s="2040"/>
      <c r="K155" s="2040"/>
      <c r="L155" s="2040"/>
      <c r="M155" s="2040"/>
      <c r="N155" s="2040"/>
      <c r="O155" s="2040"/>
      <c r="P155" s="2040"/>
      <c r="Q155" s="29"/>
      <c r="R155" s="29"/>
      <c r="S155" s="29"/>
      <c r="T155" s="29"/>
      <c r="U155" s="951" t="s">
        <v>15</v>
      </c>
      <c r="V155" s="952" t="s">
        <v>307</v>
      </c>
      <c r="W155" s="690" t="s">
        <v>355</v>
      </c>
      <c r="X155" s="690" t="s">
        <v>17</v>
      </c>
      <c r="Y155" s="1678" t="s">
        <v>18</v>
      </c>
      <c r="Z155" s="8142">
        <f>$AB$95</f>
        <v>6300</v>
      </c>
      <c r="AA155" s="2048"/>
      <c r="AB155" s="2043"/>
      <c r="AC155" s="2043"/>
      <c r="AD155" s="2040"/>
      <c r="AE155" s="2042"/>
      <c r="AF155" s="2040"/>
      <c r="AG155" s="2040"/>
    </row>
    <row r="156" spans="1:34" ht="33">
      <c r="A156" s="2065"/>
      <c r="B156" s="2038"/>
      <c r="C156" s="2040"/>
      <c r="D156" s="2040"/>
      <c r="E156" s="2040"/>
      <c r="F156" s="2040"/>
      <c r="G156" s="2040"/>
      <c r="H156" s="2040"/>
      <c r="I156" s="2040"/>
      <c r="J156" s="2040"/>
      <c r="K156" s="2040"/>
      <c r="L156" s="2040"/>
      <c r="M156" s="2040"/>
      <c r="N156" s="2040"/>
      <c r="O156" s="2040"/>
      <c r="P156" s="2040"/>
      <c r="Q156" s="29"/>
      <c r="R156" s="29"/>
      <c r="S156" s="29"/>
      <c r="T156" s="29"/>
      <c r="U156" s="951" t="s">
        <v>15</v>
      </c>
      <c r="V156" s="952" t="s">
        <v>40</v>
      </c>
      <c r="W156" s="690">
        <v>840107</v>
      </c>
      <c r="X156" s="690" t="s">
        <v>17</v>
      </c>
      <c r="Y156" s="1678" t="s">
        <v>18</v>
      </c>
      <c r="Z156" s="8142">
        <f>$AB$34</f>
        <v>6548.3488000000007</v>
      </c>
      <c r="AA156" s="2040"/>
      <c r="AB156" s="2043"/>
      <c r="AC156" s="2043"/>
      <c r="AD156" s="2040"/>
      <c r="AE156" s="2040"/>
      <c r="AF156" s="2040"/>
      <c r="AG156" s="2040"/>
    </row>
    <row r="157" spans="1:34" ht="33">
      <c r="A157" s="2065"/>
      <c r="B157" s="2038"/>
      <c r="C157" s="2040"/>
      <c r="D157" s="2040"/>
      <c r="E157" s="2040"/>
      <c r="F157" s="2040"/>
      <c r="G157" s="2040"/>
      <c r="H157" s="2040"/>
      <c r="I157" s="2040"/>
      <c r="J157" s="2040"/>
      <c r="K157" s="2040"/>
      <c r="L157" s="2040"/>
      <c r="M157" s="2040"/>
      <c r="N157" s="2040"/>
      <c r="O157" s="2040"/>
      <c r="P157" s="2040"/>
      <c r="Q157" s="29"/>
      <c r="R157" s="29"/>
      <c r="S157" s="29"/>
      <c r="T157" s="29"/>
      <c r="U157" s="951" t="s">
        <v>80</v>
      </c>
      <c r="V157" s="952" t="s">
        <v>39</v>
      </c>
      <c r="W157" s="926">
        <v>840104</v>
      </c>
      <c r="X157" s="690" t="s">
        <v>17</v>
      </c>
      <c r="Y157" s="1678" t="s">
        <v>18</v>
      </c>
      <c r="Z157" s="8142">
        <f>$AB$31</f>
        <v>187.5</v>
      </c>
      <c r="AA157" s="2040"/>
      <c r="AB157" s="2043"/>
      <c r="AC157" s="2043"/>
      <c r="AD157" s="2040"/>
      <c r="AE157" s="2040"/>
      <c r="AF157" s="2040"/>
      <c r="AG157" s="2040"/>
    </row>
    <row r="158" spans="1:34" ht="18" customHeight="1" thickBot="1">
      <c r="A158" s="2065"/>
      <c r="B158" s="2038"/>
      <c r="C158" s="2040"/>
      <c r="D158" s="2040"/>
      <c r="E158" s="2040"/>
      <c r="F158" s="2040"/>
      <c r="G158" s="2040"/>
      <c r="H158" s="2040"/>
      <c r="I158" s="2040"/>
      <c r="J158" s="2040"/>
      <c r="K158" s="2040"/>
      <c r="L158" s="2040"/>
      <c r="M158" s="2040"/>
      <c r="N158" s="2040"/>
      <c r="O158" s="2040"/>
      <c r="P158" s="2040"/>
      <c r="Q158" s="2040"/>
      <c r="R158" s="29"/>
      <c r="S158" s="29"/>
      <c r="T158" s="29"/>
      <c r="U158" s="5942"/>
      <c r="V158" s="5943" t="s">
        <v>67</v>
      </c>
      <c r="W158" s="5944"/>
      <c r="X158" s="5944"/>
      <c r="Y158" s="5926" t="s">
        <v>292</v>
      </c>
      <c r="Z158" s="8143">
        <f>SUM(Z152:Z157)</f>
        <v>53435.8488</v>
      </c>
      <c r="AA158" s="2040"/>
      <c r="AB158" s="2043"/>
      <c r="AC158" s="2043"/>
      <c r="AD158" s="2040"/>
      <c r="AE158" s="2049"/>
      <c r="AF158" s="2040"/>
      <c r="AG158" s="2040"/>
    </row>
    <row r="159" spans="1:34" ht="18.75" customHeight="1" thickTop="1">
      <c r="A159" s="2065"/>
      <c r="B159" s="2038"/>
      <c r="C159" s="2040"/>
      <c r="D159" s="2040"/>
      <c r="E159" s="2040"/>
      <c r="F159" s="2040"/>
      <c r="G159" s="2040"/>
      <c r="H159" s="2040"/>
      <c r="I159" s="2040"/>
      <c r="J159" s="2040"/>
      <c r="K159" s="2040"/>
      <c r="L159" s="2040"/>
      <c r="M159" s="2040"/>
      <c r="N159" s="2040"/>
      <c r="O159" s="2040"/>
      <c r="P159" s="2040"/>
      <c r="Q159" s="2040"/>
      <c r="R159" s="29"/>
      <c r="S159" s="29"/>
      <c r="T159" s="29"/>
      <c r="U159" s="28"/>
      <c r="V159" s="28"/>
      <c r="W159" s="34"/>
      <c r="X159" s="35"/>
      <c r="Y159" s="28"/>
      <c r="Z159" s="28"/>
      <c r="AA159" s="2040"/>
      <c r="AB159" s="2043"/>
      <c r="AC159" s="2043"/>
      <c r="AD159" s="2040"/>
      <c r="AE159" s="2040"/>
      <c r="AF159" s="2040"/>
      <c r="AG159" s="2040"/>
    </row>
    <row r="160" spans="1:34" ht="18.75" customHeight="1">
      <c r="A160" s="2065"/>
      <c r="B160" s="2038"/>
      <c r="C160" s="2040"/>
      <c r="D160" s="2040"/>
      <c r="E160" s="2040"/>
      <c r="F160" s="2040"/>
      <c r="G160" s="2040"/>
      <c r="H160" s="2040"/>
      <c r="I160" s="2040"/>
      <c r="J160" s="2040"/>
      <c r="K160" s="2040"/>
      <c r="L160" s="2040"/>
      <c r="M160" s="2040"/>
      <c r="N160" s="2040"/>
      <c r="O160" s="2040"/>
      <c r="P160" s="2040"/>
      <c r="Q160" s="2040"/>
      <c r="R160" s="29"/>
      <c r="S160" s="29"/>
      <c r="T160" s="29"/>
      <c r="U160" s="28"/>
      <c r="V160" s="28"/>
      <c r="W160" s="28"/>
      <c r="X160" s="28"/>
      <c r="Y160" s="28"/>
      <c r="Z160" s="28"/>
      <c r="AA160" s="2040"/>
      <c r="AB160" s="2043"/>
      <c r="AC160" s="2043"/>
      <c r="AD160" s="2040"/>
      <c r="AE160" s="2040"/>
      <c r="AF160" s="2040"/>
      <c r="AG160" s="2040"/>
    </row>
    <row r="161" spans="1:33" ht="18.75" customHeight="1">
      <c r="A161" s="2065"/>
      <c r="B161" s="2038"/>
      <c r="C161" s="2040"/>
      <c r="D161" s="2040"/>
      <c r="E161" s="2040"/>
      <c r="F161" s="2040"/>
      <c r="G161" s="2040"/>
      <c r="H161" s="2040"/>
      <c r="I161" s="2040"/>
      <c r="J161" s="2040"/>
      <c r="K161" s="2040"/>
      <c r="L161" s="2040"/>
      <c r="M161" s="2040"/>
      <c r="N161" s="2040"/>
      <c r="O161" s="2040"/>
      <c r="P161" s="2040"/>
      <c r="Q161" s="2040"/>
      <c r="R161" s="29"/>
      <c r="S161" s="29"/>
      <c r="T161" s="29"/>
      <c r="U161" s="8764" t="s">
        <v>356</v>
      </c>
      <c r="V161" s="8764"/>
      <c r="W161" s="8765"/>
      <c r="X161" s="28"/>
      <c r="Y161" s="36" t="s">
        <v>357</v>
      </c>
      <c r="Z161" s="37" t="str">
        <f>IF(Z158=AB146,"OK","NO")</f>
        <v>OK</v>
      </c>
      <c r="AA161" s="2040"/>
      <c r="AB161" s="2043"/>
      <c r="AC161" s="2043"/>
      <c r="AD161" s="2040"/>
      <c r="AE161" s="2040"/>
      <c r="AF161" s="2040"/>
      <c r="AG161" s="2040"/>
    </row>
    <row r="162" spans="1:33" ht="18.75" customHeight="1">
      <c r="A162" s="2065"/>
      <c r="B162" s="2038"/>
      <c r="C162" s="2040"/>
      <c r="D162" s="2040"/>
      <c r="E162" s="2040"/>
      <c r="F162" s="2040"/>
      <c r="G162" s="2040"/>
      <c r="H162" s="2040"/>
      <c r="I162" s="2040"/>
      <c r="J162" s="2040"/>
      <c r="K162" s="2040"/>
      <c r="L162" s="2040"/>
      <c r="M162" s="2040"/>
      <c r="N162" s="2040"/>
      <c r="O162" s="2040"/>
      <c r="P162" s="2040"/>
      <c r="Q162" s="2040"/>
      <c r="R162" s="2040"/>
      <c r="S162" s="2040"/>
      <c r="T162" s="2040"/>
      <c r="U162" s="8766" t="s">
        <v>358</v>
      </c>
      <c r="V162" s="8767"/>
      <c r="W162" s="2034">
        <v>0</v>
      </c>
      <c r="X162" s="35"/>
      <c r="Y162" s="28"/>
      <c r="Z162" s="37" t="str">
        <f>IF(W166=AB146,"OK","NO")</f>
        <v>OK</v>
      </c>
      <c r="AA162" s="2040"/>
      <c r="AB162" s="2043"/>
      <c r="AC162" s="2043"/>
      <c r="AD162" s="2040"/>
      <c r="AE162" s="2040"/>
      <c r="AF162" s="2040"/>
      <c r="AG162" s="2040"/>
    </row>
    <row r="163" spans="1:33" ht="18.75" customHeight="1">
      <c r="A163" s="2065"/>
      <c r="B163" s="2038"/>
      <c r="C163" s="2040"/>
      <c r="D163" s="2040"/>
      <c r="E163" s="2040"/>
      <c r="F163" s="2040"/>
      <c r="G163" s="2040"/>
      <c r="H163" s="2040"/>
      <c r="I163" s="2040"/>
      <c r="J163" s="2040"/>
      <c r="K163" s="2040"/>
      <c r="L163" s="2040"/>
      <c r="M163" s="2040"/>
      <c r="N163" s="2040"/>
      <c r="O163" s="2040"/>
      <c r="P163" s="2040"/>
      <c r="Q163" s="2040"/>
      <c r="R163" s="2040"/>
      <c r="S163" s="2040"/>
      <c r="T163" s="2040"/>
      <c r="U163" s="8755" t="s">
        <v>359</v>
      </c>
      <c r="V163" s="8756"/>
      <c r="W163" s="2035">
        <v>0</v>
      </c>
      <c r="X163" s="35"/>
      <c r="Y163" s="28"/>
      <c r="Z163" s="37" t="str">
        <f>IF(W176=AB146,"OK","NO")</f>
        <v>OK</v>
      </c>
      <c r="AA163" s="2040"/>
      <c r="AB163" s="2043"/>
      <c r="AC163" s="2043"/>
      <c r="AD163" s="2040"/>
      <c r="AE163" s="2040"/>
      <c r="AF163" s="2040"/>
      <c r="AG163" s="2040"/>
    </row>
    <row r="164" spans="1:33" ht="18.75" customHeight="1">
      <c r="A164" s="2065"/>
      <c r="B164" s="2038"/>
      <c r="C164" s="2040"/>
      <c r="D164" s="2040"/>
      <c r="E164" s="2040"/>
      <c r="F164" s="2040"/>
      <c r="G164" s="2040"/>
      <c r="H164" s="2040"/>
      <c r="I164" s="2040"/>
      <c r="J164" s="2040"/>
      <c r="K164" s="2040"/>
      <c r="L164" s="2040"/>
      <c r="M164" s="2040"/>
      <c r="N164" s="2040"/>
      <c r="O164" s="2040"/>
      <c r="P164" s="2040"/>
      <c r="Q164" s="2040"/>
      <c r="R164" s="2040"/>
      <c r="S164" s="2040"/>
      <c r="T164" s="2040"/>
      <c r="U164" s="8755" t="s">
        <v>360</v>
      </c>
      <c r="V164" s="8756"/>
      <c r="W164" s="2035">
        <f>+Z152+Z153+Z154+Z156+Z157+Z155</f>
        <v>53435.8488</v>
      </c>
      <c r="X164" s="35"/>
      <c r="Y164" s="35"/>
      <c r="Z164" s="37" t="str">
        <f>IF(AB146=Resumen!C401,"OK","NO")</f>
        <v>OK</v>
      </c>
      <c r="AA164" s="2040"/>
      <c r="AB164" s="2043"/>
      <c r="AC164" s="2043"/>
      <c r="AD164" s="2040"/>
      <c r="AE164" s="2040"/>
      <c r="AF164" s="2040"/>
      <c r="AG164" s="2040"/>
    </row>
    <row r="165" spans="1:33" ht="18.75" customHeight="1">
      <c r="A165" s="2065"/>
      <c r="B165" s="2038"/>
      <c r="C165" s="2040"/>
      <c r="D165" s="2040"/>
      <c r="E165" s="2040"/>
      <c r="F165" s="2040"/>
      <c r="G165" s="2040"/>
      <c r="H165" s="2040"/>
      <c r="I165" s="2040"/>
      <c r="J165" s="2040"/>
      <c r="K165" s="2040"/>
      <c r="L165" s="2040"/>
      <c r="M165" s="2040"/>
      <c r="N165" s="2040"/>
      <c r="O165" s="2040"/>
      <c r="P165" s="2040"/>
      <c r="Q165" s="2040"/>
      <c r="R165" s="2040"/>
      <c r="S165" s="2040"/>
      <c r="T165" s="2040"/>
      <c r="U165" s="8755" t="s">
        <v>361</v>
      </c>
      <c r="V165" s="8756"/>
      <c r="W165" s="2036">
        <v>0</v>
      </c>
      <c r="X165" s="35"/>
      <c r="Y165" s="35"/>
      <c r="Z165" s="28"/>
      <c r="AA165" s="2040"/>
      <c r="AB165" s="2043"/>
      <c r="AC165" s="2043"/>
      <c r="AD165" s="2040"/>
      <c r="AE165" s="2040"/>
      <c r="AF165" s="2040"/>
      <c r="AG165" s="2040"/>
    </row>
    <row r="166" spans="1:33" ht="18.75" customHeight="1">
      <c r="A166" s="2065"/>
      <c r="B166" s="2038"/>
      <c r="C166" s="2040"/>
      <c r="D166" s="2040"/>
      <c r="E166" s="2040"/>
      <c r="F166" s="2040"/>
      <c r="G166" s="2040"/>
      <c r="H166" s="2040"/>
      <c r="I166" s="2040"/>
      <c r="J166" s="2040"/>
      <c r="K166" s="2040"/>
      <c r="L166" s="2040"/>
      <c r="M166" s="2040"/>
      <c r="N166" s="2040"/>
      <c r="O166" s="2040"/>
      <c r="P166" s="2040"/>
      <c r="Q166" s="2040"/>
      <c r="R166" s="2040"/>
      <c r="S166" s="2040"/>
      <c r="T166" s="2040"/>
      <c r="U166" s="8757" t="s">
        <v>67</v>
      </c>
      <c r="V166" s="8757"/>
      <c r="W166" s="2037">
        <f>SUM(W162:W165)</f>
        <v>53435.8488</v>
      </c>
      <c r="X166" s="35"/>
      <c r="Y166" s="35"/>
      <c r="Z166" s="28"/>
      <c r="AA166" s="2040"/>
      <c r="AB166" s="2043"/>
      <c r="AC166" s="2043"/>
      <c r="AD166" s="2040"/>
      <c r="AE166" s="2040"/>
      <c r="AF166" s="2040"/>
      <c r="AG166" s="2040"/>
    </row>
    <row r="167" spans="1:33" ht="18.75" customHeight="1">
      <c r="A167" s="2065"/>
      <c r="B167" s="2038"/>
      <c r="C167" s="2040"/>
      <c r="D167" s="2040"/>
      <c r="E167" s="2040"/>
      <c r="F167" s="2040"/>
      <c r="G167" s="2040"/>
      <c r="H167" s="2040"/>
      <c r="I167" s="2040"/>
      <c r="J167" s="2040"/>
      <c r="K167" s="2040"/>
      <c r="L167" s="2040"/>
      <c r="M167" s="2040"/>
      <c r="N167" s="2040"/>
      <c r="O167" s="2040"/>
      <c r="P167" s="2040"/>
      <c r="Q167" s="2040"/>
      <c r="R167" s="2040"/>
      <c r="S167" s="2040"/>
      <c r="T167" s="2040"/>
      <c r="U167" s="8758" t="s">
        <v>362</v>
      </c>
      <c r="V167" s="8758"/>
      <c r="W167" s="8759"/>
      <c r="X167" s="38"/>
      <c r="Y167" s="38"/>
      <c r="Z167" s="28"/>
      <c r="AA167" s="2040"/>
      <c r="AB167" s="2043"/>
      <c r="AC167" s="2043"/>
      <c r="AD167" s="2040"/>
      <c r="AE167" s="2040"/>
      <c r="AF167" s="2040"/>
      <c r="AG167" s="2040"/>
    </row>
    <row r="168" spans="1:33" ht="18.75" customHeight="1">
      <c r="A168" s="2065"/>
      <c r="B168" s="2038"/>
      <c r="C168" s="2040"/>
      <c r="D168" s="2040"/>
      <c r="E168" s="2040"/>
      <c r="F168" s="2040"/>
      <c r="G168" s="2040"/>
      <c r="H168" s="2040"/>
      <c r="I168" s="2040"/>
      <c r="J168" s="2040"/>
      <c r="K168" s="2040"/>
      <c r="L168" s="2040"/>
      <c r="M168" s="2040"/>
      <c r="N168" s="2040"/>
      <c r="O168" s="2040"/>
      <c r="P168" s="2040"/>
      <c r="Q168" s="2040"/>
      <c r="R168" s="2040"/>
      <c r="S168" s="2040"/>
      <c r="T168" s="2040"/>
      <c r="U168" s="8760" t="s">
        <v>363</v>
      </c>
      <c r="V168" s="8761"/>
      <c r="W168" s="2034">
        <v>0</v>
      </c>
      <c r="X168" s="38"/>
      <c r="Y168" s="38"/>
      <c r="Z168" s="28"/>
      <c r="AA168" s="2040"/>
      <c r="AB168" s="2043"/>
      <c r="AC168" s="2043"/>
      <c r="AD168" s="2040"/>
      <c r="AE168" s="2040"/>
      <c r="AF168" s="2040"/>
      <c r="AG168" s="2040"/>
    </row>
    <row r="169" spans="1:33" ht="18.75" customHeight="1">
      <c r="A169" s="2065"/>
      <c r="B169" s="2038"/>
      <c r="C169" s="2040"/>
      <c r="D169" s="2040"/>
      <c r="E169" s="2040"/>
      <c r="F169" s="2040"/>
      <c r="G169" s="2040"/>
      <c r="H169" s="2040"/>
      <c r="I169" s="2040"/>
      <c r="J169" s="2040"/>
      <c r="K169" s="2040"/>
      <c r="L169" s="2040"/>
      <c r="M169" s="2040"/>
      <c r="N169" s="2040"/>
      <c r="O169" s="2040"/>
      <c r="P169" s="2040"/>
      <c r="Q169" s="2040"/>
      <c r="R169" s="2040"/>
      <c r="S169" s="2040"/>
      <c r="T169" s="2040"/>
      <c r="U169" s="8762" t="s">
        <v>364</v>
      </c>
      <c r="V169" s="8763"/>
      <c r="W169" s="2035">
        <f>SUM(+Z152+Z153+Z154+Z155)</f>
        <v>46700</v>
      </c>
      <c r="X169" s="38"/>
      <c r="Y169" s="38"/>
      <c r="Z169" s="28"/>
      <c r="AA169" s="2040"/>
      <c r="AB169" s="2043"/>
      <c r="AC169" s="2043"/>
      <c r="AD169" s="2040"/>
      <c r="AE169" s="2040"/>
      <c r="AF169" s="2040"/>
      <c r="AG169" s="2040"/>
    </row>
    <row r="170" spans="1:33" ht="18.75" customHeight="1">
      <c r="A170" s="2065"/>
      <c r="B170" s="2065"/>
      <c r="C170" s="2040"/>
      <c r="D170" s="2040"/>
      <c r="E170" s="2040"/>
      <c r="F170" s="2040"/>
      <c r="G170" s="2040"/>
      <c r="H170" s="2040"/>
      <c r="I170" s="2040"/>
      <c r="J170" s="2040"/>
      <c r="K170" s="2040"/>
      <c r="L170" s="2040"/>
      <c r="M170" s="2040"/>
      <c r="N170" s="2040"/>
      <c r="O170" s="2040"/>
      <c r="P170" s="2040"/>
      <c r="Q170" s="2040"/>
      <c r="R170" s="2040"/>
      <c r="S170" s="2040"/>
      <c r="T170" s="2040"/>
      <c r="U170" s="8762" t="s">
        <v>365</v>
      </c>
      <c r="V170" s="8763"/>
      <c r="W170" s="2035">
        <v>0</v>
      </c>
      <c r="X170" s="39"/>
      <c r="Y170" s="39"/>
      <c r="Z170" s="28"/>
      <c r="AA170" s="2040"/>
      <c r="AB170" s="2043"/>
      <c r="AC170" s="2043"/>
      <c r="AD170" s="2040"/>
      <c r="AE170" s="2040"/>
      <c r="AF170" s="2040"/>
      <c r="AG170" s="2040"/>
    </row>
    <row r="171" spans="1:33" ht="18.75" customHeight="1">
      <c r="A171" s="1785"/>
      <c r="B171" s="2040"/>
      <c r="C171" s="2040"/>
      <c r="D171" s="2040"/>
      <c r="E171" s="2040"/>
      <c r="F171" s="2040"/>
      <c r="G171" s="2040"/>
      <c r="H171" s="2040"/>
      <c r="I171" s="2040"/>
      <c r="J171" s="2040"/>
      <c r="K171" s="2040"/>
      <c r="L171" s="2040"/>
      <c r="M171" s="2040"/>
      <c r="N171" s="2040"/>
      <c r="O171" s="2040"/>
      <c r="P171" s="2040"/>
      <c r="Q171" s="2040"/>
      <c r="R171" s="2040"/>
      <c r="S171" s="2040"/>
      <c r="T171" s="2040"/>
      <c r="U171" s="8762" t="s">
        <v>366</v>
      </c>
      <c r="V171" s="8763"/>
      <c r="W171" s="2035">
        <v>0</v>
      </c>
      <c r="X171" s="35"/>
      <c r="Y171" s="35"/>
      <c r="Z171" s="28"/>
      <c r="AA171" s="2040"/>
      <c r="AB171" s="2043"/>
      <c r="AC171" s="2043"/>
      <c r="AD171" s="2040"/>
      <c r="AE171" s="2040"/>
      <c r="AF171" s="2040"/>
      <c r="AG171" s="2040"/>
    </row>
    <row r="172" spans="1:33" ht="18.75" customHeight="1">
      <c r="A172" s="1785"/>
      <c r="B172" s="2040"/>
      <c r="C172" s="2040"/>
      <c r="D172" s="2040"/>
      <c r="E172" s="2040"/>
      <c r="F172" s="2040"/>
      <c r="G172" s="2040"/>
      <c r="H172" s="2040"/>
      <c r="I172" s="2040"/>
      <c r="J172" s="2040"/>
      <c r="K172" s="2040"/>
      <c r="L172" s="2040"/>
      <c r="M172" s="2040"/>
      <c r="N172" s="2040"/>
      <c r="O172" s="2040"/>
      <c r="P172" s="2040"/>
      <c r="Q172" s="2040"/>
      <c r="R172" s="2040"/>
      <c r="S172" s="2040"/>
      <c r="T172" s="2040"/>
      <c r="U172" s="8762" t="s">
        <v>367</v>
      </c>
      <c r="V172" s="8763"/>
      <c r="W172" s="2035">
        <v>0</v>
      </c>
      <c r="X172" s="40"/>
      <c r="Y172" s="40"/>
      <c r="Z172" s="28"/>
      <c r="AA172" s="2040"/>
      <c r="AB172" s="2043"/>
      <c r="AC172" s="2043"/>
      <c r="AD172" s="2040"/>
      <c r="AE172" s="2040"/>
      <c r="AF172" s="2040"/>
      <c r="AG172" s="2040"/>
    </row>
    <row r="173" spans="1:33" ht="18.75" customHeight="1">
      <c r="A173" s="1785"/>
      <c r="B173" s="2040"/>
      <c r="C173" s="2040"/>
      <c r="D173" s="2040"/>
      <c r="E173" s="2040"/>
      <c r="F173" s="2040"/>
      <c r="G173" s="2040"/>
      <c r="H173" s="2040"/>
      <c r="I173" s="2040"/>
      <c r="J173" s="2040"/>
      <c r="K173" s="2040"/>
      <c r="L173" s="2040"/>
      <c r="M173" s="2040"/>
      <c r="N173" s="2040"/>
      <c r="O173" s="2040"/>
      <c r="P173" s="2040"/>
      <c r="Q173" s="2040"/>
      <c r="R173" s="2040"/>
      <c r="S173" s="2040"/>
      <c r="T173" s="2040"/>
      <c r="U173" s="8762" t="s">
        <v>368</v>
      </c>
      <c r="V173" s="8763"/>
      <c r="W173" s="2035">
        <v>0</v>
      </c>
      <c r="X173" s="40"/>
      <c r="Y173" s="40"/>
      <c r="Z173" s="28"/>
      <c r="AA173" s="2040"/>
      <c r="AB173" s="2043"/>
      <c r="AC173" s="2043"/>
      <c r="AD173" s="2040"/>
      <c r="AE173" s="2040"/>
      <c r="AF173" s="2040"/>
      <c r="AG173" s="2040"/>
    </row>
    <row r="174" spans="1:33" ht="18.75" customHeight="1">
      <c r="A174" s="1785"/>
      <c r="B174" s="2040"/>
      <c r="C174" s="2040"/>
      <c r="D174" s="2040"/>
      <c r="E174" s="2040"/>
      <c r="F174" s="2040"/>
      <c r="G174" s="2040"/>
      <c r="H174" s="2040"/>
      <c r="I174" s="2040"/>
      <c r="J174" s="2040"/>
      <c r="K174" s="2040"/>
      <c r="L174" s="2040"/>
      <c r="M174" s="2040"/>
      <c r="N174" s="2040"/>
      <c r="O174" s="2040"/>
      <c r="P174" s="2040"/>
      <c r="Q174" s="2040"/>
      <c r="R174" s="2040"/>
      <c r="S174" s="2040"/>
      <c r="T174" s="2040"/>
      <c r="U174" s="8762" t="s">
        <v>369</v>
      </c>
      <c r="V174" s="8763"/>
      <c r="W174" s="2035">
        <f>SUM(Z156+Z157)</f>
        <v>6735.8488000000007</v>
      </c>
      <c r="X174" s="40"/>
      <c r="Y174" s="40"/>
      <c r="Z174" s="28"/>
      <c r="AA174" s="2040"/>
      <c r="AB174" s="2043"/>
      <c r="AC174" s="2043"/>
      <c r="AD174" s="2040"/>
      <c r="AE174" s="2040"/>
      <c r="AF174" s="2040"/>
      <c r="AG174" s="2040"/>
    </row>
    <row r="175" spans="1:33" ht="18.75" customHeight="1">
      <c r="A175" s="1785"/>
      <c r="B175" s="2040"/>
      <c r="C175" s="2040"/>
      <c r="D175" s="2040"/>
      <c r="E175" s="2040"/>
      <c r="F175" s="2040"/>
      <c r="G175" s="2040"/>
      <c r="H175" s="2040"/>
      <c r="I175" s="2040"/>
      <c r="J175" s="2040"/>
      <c r="K175" s="2040"/>
      <c r="L175" s="2040"/>
      <c r="M175" s="2040"/>
      <c r="N175" s="2040"/>
      <c r="O175" s="2040"/>
      <c r="P175" s="2040"/>
      <c r="Q175" s="2040"/>
      <c r="R175" s="2040"/>
      <c r="S175" s="2040"/>
      <c r="T175" s="2040"/>
      <c r="U175" s="8762" t="s">
        <v>370</v>
      </c>
      <c r="V175" s="8763"/>
      <c r="W175" s="2036">
        <v>0</v>
      </c>
      <c r="X175" s="41"/>
      <c r="Y175" s="41"/>
      <c r="Z175" s="28"/>
      <c r="AA175" s="2040"/>
      <c r="AB175" s="2043"/>
      <c r="AC175" s="2043"/>
      <c r="AD175" s="2040"/>
      <c r="AE175" s="2040"/>
      <c r="AF175" s="2040"/>
      <c r="AG175" s="2040"/>
    </row>
    <row r="176" spans="1:33" ht="18.75" customHeight="1" thickBot="1">
      <c r="A176" s="1785"/>
      <c r="B176" s="2040"/>
      <c r="C176" s="2040"/>
      <c r="D176" s="2040"/>
      <c r="E176" s="2040"/>
      <c r="F176" s="2040"/>
      <c r="G176" s="2040"/>
      <c r="H176" s="2040"/>
      <c r="I176" s="2040"/>
      <c r="J176" s="2040"/>
      <c r="K176" s="2040"/>
      <c r="L176" s="2040"/>
      <c r="M176" s="2040"/>
      <c r="N176" s="2040"/>
      <c r="O176" s="2040"/>
      <c r="P176" s="2040"/>
      <c r="Q176" s="2040"/>
      <c r="R176" s="2040"/>
      <c r="S176" s="2040"/>
      <c r="T176" s="2040"/>
      <c r="U176" s="8754" t="s">
        <v>67</v>
      </c>
      <c r="V176" s="8754"/>
      <c r="W176" s="4938">
        <f>SUM(W168:W175)</f>
        <v>53435.8488</v>
      </c>
      <c r="X176" s="39"/>
      <c r="Y176" s="39"/>
      <c r="Z176" s="28"/>
      <c r="AA176" s="2040"/>
      <c r="AB176" s="2043"/>
      <c r="AC176" s="2043"/>
      <c r="AD176" s="2040"/>
      <c r="AE176" s="2040"/>
      <c r="AF176" s="2040"/>
      <c r="AG176" s="2040"/>
    </row>
    <row r="177" spans="1:30" ht="15.75" customHeight="1" thickTop="1">
      <c r="A177" s="559"/>
      <c r="AB177" s="365"/>
      <c r="AD177"/>
    </row>
    <row r="178" spans="1:30" ht="15.75" customHeight="1">
      <c r="A178" s="559"/>
      <c r="AB178" s="365"/>
      <c r="AD178"/>
    </row>
    <row r="179" spans="1:30" ht="15.75" customHeight="1">
      <c r="A179" s="559"/>
      <c r="AB179" s="365"/>
      <c r="AD179"/>
    </row>
    <row r="180" spans="1:30" ht="15.75" customHeight="1">
      <c r="A180" s="559"/>
      <c r="AB180" s="365"/>
      <c r="AD180"/>
    </row>
    <row r="181" spans="1:30" ht="15.75" customHeight="1">
      <c r="A181" s="559"/>
      <c r="AB181" s="365"/>
      <c r="AD181"/>
    </row>
    <row r="182" spans="1:30" ht="15.75" customHeight="1">
      <c r="A182" s="559"/>
      <c r="AB182" s="365"/>
      <c r="AD182"/>
    </row>
    <row r="183" spans="1:30" ht="15.75" customHeight="1">
      <c r="A183" s="559"/>
      <c r="AB183" s="365"/>
      <c r="AD183"/>
    </row>
    <row r="184" spans="1:30" ht="15.75" customHeight="1">
      <c r="A184" s="559"/>
      <c r="AB184" s="365"/>
      <c r="AD184"/>
    </row>
    <row r="185" spans="1:30" ht="15.75" customHeight="1">
      <c r="A185" s="559"/>
      <c r="AB185" s="365"/>
      <c r="AD185"/>
    </row>
    <row r="186" spans="1:30" ht="15.75" customHeight="1">
      <c r="A186" s="559"/>
      <c r="AB186" s="365"/>
      <c r="AD186"/>
    </row>
    <row r="187" spans="1:30" ht="15.75" customHeight="1">
      <c r="A187" s="559"/>
    </row>
    <row r="188" spans="1:30" ht="15.75" customHeight="1">
      <c r="A188" s="559"/>
    </row>
    <row r="189" spans="1:30" ht="15.75" customHeight="1">
      <c r="A189" s="559"/>
    </row>
    <row r="190" spans="1:30" ht="15.75" customHeight="1">
      <c r="A190" s="559"/>
    </row>
    <row r="191" spans="1:30" ht="15.75" customHeight="1">
      <c r="A191" s="559"/>
    </row>
    <row r="192" spans="1:30" ht="15.75" customHeight="1">
      <c r="A192" s="559"/>
    </row>
    <row r="193" spans="1:1" ht="15.75" customHeight="1">
      <c r="A193" s="559"/>
    </row>
    <row r="194" spans="1:1" ht="15.75" customHeight="1">
      <c r="A194" s="559"/>
    </row>
    <row r="195" spans="1:1" ht="15.75" customHeight="1">
      <c r="A195" s="559"/>
    </row>
    <row r="196" spans="1:1" ht="15.75" customHeight="1">
      <c r="A196" s="559"/>
    </row>
    <row r="197" spans="1:1" ht="15.75" customHeight="1">
      <c r="A197" s="559"/>
    </row>
    <row r="198" spans="1:1" ht="15.75" customHeight="1">
      <c r="A198" s="559"/>
    </row>
    <row r="199" spans="1:1" ht="15.75" customHeight="1">
      <c r="A199" s="559"/>
    </row>
    <row r="200" spans="1:1" ht="15.75" customHeight="1">
      <c r="A200" s="559"/>
    </row>
    <row r="201" spans="1:1" ht="15.75" customHeight="1">
      <c r="A201" s="559"/>
    </row>
    <row r="202" spans="1:1" ht="15.75" customHeight="1">
      <c r="A202" s="559"/>
    </row>
    <row r="203" spans="1:1" ht="15.75" customHeight="1">
      <c r="A203" s="559"/>
    </row>
    <row r="204" spans="1:1" ht="15.75" customHeight="1">
      <c r="A204" s="559"/>
    </row>
  </sheetData>
  <mergeCells count="521">
    <mergeCell ref="A90:A113"/>
    <mergeCell ref="B90:B113"/>
    <mergeCell ref="B114:B138"/>
    <mergeCell ref="A114:A138"/>
    <mergeCell ref="B139:B144"/>
    <mergeCell ref="A139:A145"/>
    <mergeCell ref="A9:B17"/>
    <mergeCell ref="A18:B31"/>
    <mergeCell ref="A32:B40"/>
    <mergeCell ref="A41:B57"/>
    <mergeCell ref="A58:B74"/>
    <mergeCell ref="A75:B89"/>
    <mergeCell ref="N90:N94"/>
    <mergeCell ref="N95:N99"/>
    <mergeCell ref="N100:N104"/>
    <mergeCell ref="N105:N109"/>
    <mergeCell ref="N110:N114"/>
    <mergeCell ref="N115:N119"/>
    <mergeCell ref="N120:N124"/>
    <mergeCell ref="N125:N129"/>
    <mergeCell ref="N130:N134"/>
    <mergeCell ref="L120:L124"/>
    <mergeCell ref="M120:M124"/>
    <mergeCell ref="G120:G124"/>
    <mergeCell ref="H120:H124"/>
    <mergeCell ref="I120:I124"/>
    <mergeCell ref="J120:J124"/>
    <mergeCell ref="K120:K124"/>
    <mergeCell ref="J140:J144"/>
    <mergeCell ref="K140:K144"/>
    <mergeCell ref="L140:L144"/>
    <mergeCell ref="M140:M144"/>
    <mergeCell ref="J105:J109"/>
    <mergeCell ref="K105:K109"/>
    <mergeCell ref="C90:C94"/>
    <mergeCell ref="D90:D94"/>
    <mergeCell ref="E90:E94"/>
    <mergeCell ref="AH140:AH144"/>
    <mergeCell ref="S145:Z145"/>
    <mergeCell ref="AE145:AH145"/>
    <mergeCell ref="S146:Y146"/>
    <mergeCell ref="AE146:AH146"/>
    <mergeCell ref="L135:L139"/>
    <mergeCell ref="M135:M139"/>
    <mergeCell ref="O135:O139"/>
    <mergeCell ref="P135:P139"/>
    <mergeCell ref="Q135:Q139"/>
    <mergeCell ref="R135:R139"/>
    <mergeCell ref="AH135:AH139"/>
    <mergeCell ref="C140:C144"/>
    <mergeCell ref="D140:D144"/>
    <mergeCell ref="E140:E144"/>
    <mergeCell ref="F140:F144"/>
    <mergeCell ref="G140:G144"/>
    <mergeCell ref="H140:H144"/>
    <mergeCell ref="I140:I144"/>
    <mergeCell ref="O140:O144"/>
    <mergeCell ref="P140:P144"/>
    <mergeCell ref="Q140:Q144"/>
    <mergeCell ref="R140:R144"/>
    <mergeCell ref="C135:C139"/>
    <mergeCell ref="D135:D139"/>
    <mergeCell ref="E135:E139"/>
    <mergeCell ref="F135:F139"/>
    <mergeCell ref="G135:G139"/>
    <mergeCell ref="H135:H139"/>
    <mergeCell ref="I135:I139"/>
    <mergeCell ref="J135:J139"/>
    <mergeCell ref="K135:K139"/>
    <mergeCell ref="N135:N139"/>
    <mergeCell ref="N140:N144"/>
    <mergeCell ref="AH125:AH129"/>
    <mergeCell ref="C130:C134"/>
    <mergeCell ref="D130:D134"/>
    <mergeCell ref="E130:E134"/>
    <mergeCell ref="F130:F134"/>
    <mergeCell ref="G130:G134"/>
    <mergeCell ref="H130:H134"/>
    <mergeCell ref="I130:I134"/>
    <mergeCell ref="J130:J134"/>
    <mergeCell ref="K130:K134"/>
    <mergeCell ref="L130:L134"/>
    <mergeCell ref="M130:M134"/>
    <mergeCell ref="O130:O134"/>
    <mergeCell ref="P130:P134"/>
    <mergeCell ref="Q130:Q134"/>
    <mergeCell ref="R130:R134"/>
    <mergeCell ref="AH130:AH134"/>
    <mergeCell ref="O120:O124"/>
    <mergeCell ref="P120:P124"/>
    <mergeCell ref="Q120:Q124"/>
    <mergeCell ref="R120:R124"/>
    <mergeCell ref="AH120:AH124"/>
    <mergeCell ref="C125:C129"/>
    <mergeCell ref="D125:D129"/>
    <mergeCell ref="E125:E129"/>
    <mergeCell ref="F125:F129"/>
    <mergeCell ref="G125:G129"/>
    <mergeCell ref="H125:H129"/>
    <mergeCell ref="I125:I129"/>
    <mergeCell ref="J125:J129"/>
    <mergeCell ref="K125:K129"/>
    <mergeCell ref="L125:L129"/>
    <mergeCell ref="M125:M129"/>
    <mergeCell ref="O125:O129"/>
    <mergeCell ref="P125:P129"/>
    <mergeCell ref="Q125:Q129"/>
    <mergeCell ref="R125:R129"/>
    <mergeCell ref="C120:C124"/>
    <mergeCell ref="D120:D124"/>
    <mergeCell ref="E120:E124"/>
    <mergeCell ref="F120:F124"/>
    <mergeCell ref="AH110:AH114"/>
    <mergeCell ref="C115:C119"/>
    <mergeCell ref="D115:D119"/>
    <mergeCell ref="E115:E119"/>
    <mergeCell ref="F115:F119"/>
    <mergeCell ref="G115:G119"/>
    <mergeCell ref="H115:H119"/>
    <mergeCell ref="I115:I119"/>
    <mergeCell ref="J115:J119"/>
    <mergeCell ref="K115:K119"/>
    <mergeCell ref="L115:L119"/>
    <mergeCell ref="M115:M119"/>
    <mergeCell ref="O115:O119"/>
    <mergeCell ref="P115:P119"/>
    <mergeCell ref="Q115:Q119"/>
    <mergeCell ref="R115:R119"/>
    <mergeCell ref="AH115:AH119"/>
    <mergeCell ref="R105:R109"/>
    <mergeCell ref="AH105:AH109"/>
    <mergeCell ref="C110:C114"/>
    <mergeCell ref="D110:D114"/>
    <mergeCell ref="E110:E114"/>
    <mergeCell ref="F110:F114"/>
    <mergeCell ref="G110:G114"/>
    <mergeCell ref="H110:H114"/>
    <mergeCell ref="I110:I114"/>
    <mergeCell ref="J110:J114"/>
    <mergeCell ref="K110:K114"/>
    <mergeCell ref="L110:L114"/>
    <mergeCell ref="M110:M114"/>
    <mergeCell ref="O110:O114"/>
    <mergeCell ref="P110:P114"/>
    <mergeCell ref="Q110:Q114"/>
    <mergeCell ref="R110:R114"/>
    <mergeCell ref="C105:C109"/>
    <mergeCell ref="D105:D109"/>
    <mergeCell ref="E105:E109"/>
    <mergeCell ref="F105:F109"/>
    <mergeCell ref="G105:G109"/>
    <mergeCell ref="H105:H109"/>
    <mergeCell ref="I105:I109"/>
    <mergeCell ref="L105:L109"/>
    <mergeCell ref="M105:M109"/>
    <mergeCell ref="O105:O109"/>
    <mergeCell ref="P105:P109"/>
    <mergeCell ref="Q105:Q109"/>
    <mergeCell ref="L100:L104"/>
    <mergeCell ref="M100:M104"/>
    <mergeCell ref="O100:O104"/>
    <mergeCell ref="P100:P104"/>
    <mergeCell ref="Q100:Q104"/>
    <mergeCell ref="AH100:AH104"/>
    <mergeCell ref="C95:C99"/>
    <mergeCell ref="D95:D99"/>
    <mergeCell ref="E95:E99"/>
    <mergeCell ref="F95:F99"/>
    <mergeCell ref="G95:G99"/>
    <mergeCell ref="H95:H99"/>
    <mergeCell ref="C100:C104"/>
    <mergeCell ref="D100:D104"/>
    <mergeCell ref="E100:E104"/>
    <mergeCell ref="F100:F104"/>
    <mergeCell ref="G100:G104"/>
    <mergeCell ref="H100:H104"/>
    <mergeCell ref="I100:I104"/>
    <mergeCell ref="J100:J104"/>
    <mergeCell ref="K100:K104"/>
    <mergeCell ref="P95:P99"/>
    <mergeCell ref="Q95:Q99"/>
    <mergeCell ref="I95:I99"/>
    <mergeCell ref="J95:J99"/>
    <mergeCell ref="K95:K99"/>
    <mergeCell ref="AH95:AH99"/>
    <mergeCell ref="R100:R104"/>
    <mergeCell ref="F90:F94"/>
    <mergeCell ref="G90:G94"/>
    <mergeCell ref="H90:H94"/>
    <mergeCell ref="I90:I94"/>
    <mergeCell ref="J90:J94"/>
    <mergeCell ref="K90:K94"/>
    <mergeCell ref="E24:E28"/>
    <mergeCell ref="F24:F28"/>
    <mergeCell ref="G24:G28"/>
    <mergeCell ref="H24:H28"/>
    <mergeCell ref="I24:I28"/>
    <mergeCell ref="J24:J28"/>
    <mergeCell ref="K24:K28"/>
    <mergeCell ref="J44:J48"/>
    <mergeCell ref="K79:K83"/>
    <mergeCell ref="K54:K58"/>
    <mergeCell ref="E49:E53"/>
    <mergeCell ref="F49:F53"/>
    <mergeCell ref="G49:G53"/>
    <mergeCell ref="H49:H53"/>
    <mergeCell ref="I49:I53"/>
    <mergeCell ref="E64:E68"/>
    <mergeCell ref="F64:F68"/>
    <mergeCell ref="G64:G68"/>
    <mergeCell ref="AH39:AH43"/>
    <mergeCell ref="AH24:AH28"/>
    <mergeCell ref="AH29:AH33"/>
    <mergeCell ref="O29:O33"/>
    <mergeCell ref="P29:P33"/>
    <mergeCell ref="G29:G33"/>
    <mergeCell ref="H29:H33"/>
    <mergeCell ref="I29:I33"/>
    <mergeCell ref="Q29:Q33"/>
    <mergeCell ref="R29:R33"/>
    <mergeCell ref="J29:J33"/>
    <mergeCell ref="K29:K33"/>
    <mergeCell ref="L29:L33"/>
    <mergeCell ref="M29:M33"/>
    <mergeCell ref="N29:N33"/>
    <mergeCell ref="L24:L28"/>
    <mergeCell ref="M24:M28"/>
    <mergeCell ref="N24:N28"/>
    <mergeCell ref="O24:O28"/>
    <mergeCell ref="P24:P28"/>
    <mergeCell ref="Q24:Q28"/>
    <mergeCell ref="R24:R28"/>
    <mergeCell ref="L44:L48"/>
    <mergeCell ref="M44:M48"/>
    <mergeCell ref="Q34:Q38"/>
    <mergeCell ref="R34:R38"/>
    <mergeCell ref="K34:K38"/>
    <mergeCell ref="L34:L38"/>
    <mergeCell ref="M34:M38"/>
    <mergeCell ref="N34:N38"/>
    <mergeCell ref="O34:O38"/>
    <mergeCell ref="P34:P38"/>
    <mergeCell ref="P59:P63"/>
    <mergeCell ref="L59:L63"/>
    <mergeCell ref="AH44:AH48"/>
    <mergeCell ref="K39:K43"/>
    <mergeCell ref="AH34:AH38"/>
    <mergeCell ref="AH49:AH53"/>
    <mergeCell ref="L39:L43"/>
    <mergeCell ref="M39:M43"/>
    <mergeCell ref="N39:N43"/>
    <mergeCell ref="O39:O43"/>
    <mergeCell ref="P39:P43"/>
    <mergeCell ref="Q39:Q43"/>
    <mergeCell ref="R39:R43"/>
    <mergeCell ref="Q49:Q53"/>
    <mergeCell ref="R49:R53"/>
    <mergeCell ref="K49:K53"/>
    <mergeCell ref="L49:L53"/>
    <mergeCell ref="M49:M53"/>
    <mergeCell ref="N49:N53"/>
    <mergeCell ref="O49:O53"/>
    <mergeCell ref="P49:P53"/>
    <mergeCell ref="Q44:Q48"/>
    <mergeCell ref="R44:R48"/>
    <mergeCell ref="K44:K48"/>
    <mergeCell ref="J74:J78"/>
    <mergeCell ref="K74:K78"/>
    <mergeCell ref="N44:N48"/>
    <mergeCell ref="O44:O48"/>
    <mergeCell ref="P44:P48"/>
    <mergeCell ref="AH59:AH63"/>
    <mergeCell ref="AH64:AH68"/>
    <mergeCell ref="L54:L58"/>
    <mergeCell ref="M54:M58"/>
    <mergeCell ref="N54:N58"/>
    <mergeCell ref="O54:O58"/>
    <mergeCell ref="P54:P58"/>
    <mergeCell ref="Q54:Q58"/>
    <mergeCell ref="R54:R58"/>
    <mergeCell ref="Q64:Q68"/>
    <mergeCell ref="R64:R68"/>
    <mergeCell ref="L64:L68"/>
    <mergeCell ref="M64:M68"/>
    <mergeCell ref="N64:N68"/>
    <mergeCell ref="O64:O68"/>
    <mergeCell ref="P64:P68"/>
    <mergeCell ref="Q59:Q63"/>
    <mergeCell ref="R59:R63"/>
    <mergeCell ref="O59:O63"/>
    <mergeCell ref="AH79:AH83"/>
    <mergeCell ref="L69:L73"/>
    <mergeCell ref="M69:M73"/>
    <mergeCell ref="N69:N73"/>
    <mergeCell ref="O69:O73"/>
    <mergeCell ref="P69:P73"/>
    <mergeCell ref="Q69:Q73"/>
    <mergeCell ref="R69:R73"/>
    <mergeCell ref="Q79:Q83"/>
    <mergeCell ref="R79:R83"/>
    <mergeCell ref="Q74:Q78"/>
    <mergeCell ref="R74:R78"/>
    <mergeCell ref="L74:L78"/>
    <mergeCell ref="M74:M78"/>
    <mergeCell ref="N74:N78"/>
    <mergeCell ref="O74:O78"/>
    <mergeCell ref="P74:P78"/>
    <mergeCell ref="AH69:AH73"/>
    <mergeCell ref="AH74:AH78"/>
    <mergeCell ref="L79:L83"/>
    <mergeCell ref="M79:M83"/>
    <mergeCell ref="N79:N83"/>
    <mergeCell ref="O79:O83"/>
    <mergeCell ref="P79:P83"/>
    <mergeCell ref="H64:H68"/>
    <mergeCell ref="I64:I68"/>
    <mergeCell ref="E69:E73"/>
    <mergeCell ref="F69:F73"/>
    <mergeCell ref="G69:G73"/>
    <mergeCell ref="H69:H73"/>
    <mergeCell ref="I69:I73"/>
    <mergeCell ref="J59:J63"/>
    <mergeCell ref="K59:K63"/>
    <mergeCell ref="J64:J68"/>
    <mergeCell ref="K64:K68"/>
    <mergeCell ref="M59:M63"/>
    <mergeCell ref="N59:N63"/>
    <mergeCell ref="AH54:AH58"/>
    <mergeCell ref="J6:R6"/>
    <mergeCell ref="S6:AH6"/>
    <mergeCell ref="S7:Y7"/>
    <mergeCell ref="AE7:AG7"/>
    <mergeCell ref="AH7:AH8"/>
    <mergeCell ref="L14:L18"/>
    <mergeCell ref="M14:M18"/>
    <mergeCell ref="AH14:AH18"/>
    <mergeCell ref="Q14:Q18"/>
    <mergeCell ref="R14:R18"/>
    <mergeCell ref="Q7:Q8"/>
    <mergeCell ref="R7:R8"/>
    <mergeCell ref="L7:L8"/>
    <mergeCell ref="P14:P18"/>
    <mergeCell ref="J14:J18"/>
    <mergeCell ref="K14:K18"/>
    <mergeCell ref="N14:N18"/>
    <mergeCell ref="O14:O18"/>
    <mergeCell ref="Z7:AD7"/>
    <mergeCell ref="Q19:Q23"/>
    <mergeCell ref="R19:R23"/>
    <mergeCell ref="A1:AH1"/>
    <mergeCell ref="A2:AH2"/>
    <mergeCell ref="A3:AH3"/>
    <mergeCell ref="A4:AH4"/>
    <mergeCell ref="A6:B8"/>
    <mergeCell ref="C6:D6"/>
    <mergeCell ref="E6:I6"/>
    <mergeCell ref="Q9:Q13"/>
    <mergeCell ref="R9:R13"/>
    <mergeCell ref="AH9:AH13"/>
    <mergeCell ref="J9:J13"/>
    <mergeCell ref="K9:K13"/>
    <mergeCell ref="L9:L13"/>
    <mergeCell ref="M9:M13"/>
    <mergeCell ref="N9:N13"/>
    <mergeCell ref="O9:O13"/>
    <mergeCell ref="P9:P13"/>
    <mergeCell ref="G7:G8"/>
    <mergeCell ref="H7:H8"/>
    <mergeCell ref="I7:I8"/>
    <mergeCell ref="J7:J8"/>
    <mergeCell ref="M7:O7"/>
    <mergeCell ref="P7:P8"/>
    <mergeCell ref="K7:K8"/>
    <mergeCell ref="K19:K23"/>
    <mergeCell ref="AH19:AH23"/>
    <mergeCell ref="C19:C23"/>
    <mergeCell ref="D19:D23"/>
    <mergeCell ref="E19:E23"/>
    <mergeCell ref="F19:F23"/>
    <mergeCell ref="G19:G23"/>
    <mergeCell ref="H19:H23"/>
    <mergeCell ref="I19:I23"/>
    <mergeCell ref="L19:L23"/>
    <mergeCell ref="M19:M23"/>
    <mergeCell ref="N19:N23"/>
    <mergeCell ref="O19:O23"/>
    <mergeCell ref="P19:P23"/>
    <mergeCell ref="J19:J23"/>
    <mergeCell ref="E84:E88"/>
    <mergeCell ref="F84:F88"/>
    <mergeCell ref="G84:G88"/>
    <mergeCell ref="H84:H88"/>
    <mergeCell ref="I84:I88"/>
    <mergeCell ref="J84:J88"/>
    <mergeCell ref="F14:F18"/>
    <mergeCell ref="G14:G18"/>
    <mergeCell ref="J54:J58"/>
    <mergeCell ref="J79:J83"/>
    <mergeCell ref="J49:J53"/>
    <mergeCell ref="E34:E38"/>
    <mergeCell ref="F34:F38"/>
    <mergeCell ref="G34:G38"/>
    <mergeCell ref="H34:H38"/>
    <mergeCell ref="I34:I38"/>
    <mergeCell ref="E39:E43"/>
    <mergeCell ref="F39:F43"/>
    <mergeCell ref="G39:G43"/>
    <mergeCell ref="H39:H43"/>
    <mergeCell ref="I39:I43"/>
    <mergeCell ref="J39:J43"/>
    <mergeCell ref="E29:E33"/>
    <mergeCell ref="J34:J38"/>
    <mergeCell ref="K84:K88"/>
    <mergeCell ref="E7:E8"/>
    <mergeCell ref="F7:F8"/>
    <mergeCell ref="E9:E13"/>
    <mergeCell ref="F9:F13"/>
    <mergeCell ref="G9:G13"/>
    <mergeCell ref="H9:H13"/>
    <mergeCell ref="I9:I13"/>
    <mergeCell ref="E74:E78"/>
    <mergeCell ref="F74:F78"/>
    <mergeCell ref="G74:G78"/>
    <mergeCell ref="H74:H78"/>
    <mergeCell ref="I74:I78"/>
    <mergeCell ref="J69:J73"/>
    <mergeCell ref="K69:K73"/>
    <mergeCell ref="E59:E63"/>
    <mergeCell ref="F59:F63"/>
    <mergeCell ref="G59:G63"/>
    <mergeCell ref="E79:E83"/>
    <mergeCell ref="F79:F83"/>
    <mergeCell ref="G79:G83"/>
    <mergeCell ref="H79:H83"/>
    <mergeCell ref="I79:I83"/>
    <mergeCell ref="E14:E18"/>
    <mergeCell ref="C7:C8"/>
    <mergeCell ref="D7:D8"/>
    <mergeCell ref="H59:H63"/>
    <mergeCell ref="I59:I63"/>
    <mergeCell ref="E54:E58"/>
    <mergeCell ref="F54:F58"/>
    <mergeCell ref="G54:G58"/>
    <mergeCell ref="H54:H58"/>
    <mergeCell ref="I54:I58"/>
    <mergeCell ref="D44:D48"/>
    <mergeCell ref="E44:E48"/>
    <mergeCell ref="F44:F48"/>
    <mergeCell ref="G44:G48"/>
    <mergeCell ref="H44:H48"/>
    <mergeCell ref="I44:I48"/>
    <mergeCell ref="C39:C43"/>
    <mergeCell ref="H14:H18"/>
    <mergeCell ref="I14:I18"/>
    <mergeCell ref="D39:D43"/>
    <mergeCell ref="C24:C28"/>
    <mergeCell ref="D24:D28"/>
    <mergeCell ref="C29:C33"/>
    <mergeCell ref="D29:D33"/>
    <mergeCell ref="F29:F33"/>
    <mergeCell ref="C9:C13"/>
    <mergeCell ref="D9:D13"/>
    <mergeCell ref="C14:C18"/>
    <mergeCell ref="D14:D18"/>
    <mergeCell ref="C79:C83"/>
    <mergeCell ref="D79:D83"/>
    <mergeCell ref="C74:C78"/>
    <mergeCell ref="D74:D78"/>
    <mergeCell ref="C64:C68"/>
    <mergeCell ref="D64:D68"/>
    <mergeCell ref="C69:C73"/>
    <mergeCell ref="D69:D73"/>
    <mergeCell ref="C59:C63"/>
    <mergeCell ref="D59:D63"/>
    <mergeCell ref="C49:C53"/>
    <mergeCell ref="D49:D53"/>
    <mergeCell ref="C54:C58"/>
    <mergeCell ref="D54:D58"/>
    <mergeCell ref="C44:C48"/>
    <mergeCell ref="C34:C38"/>
    <mergeCell ref="D34:D38"/>
    <mergeCell ref="C84:C88"/>
    <mergeCell ref="D84:D88"/>
    <mergeCell ref="AE89:AH89"/>
    <mergeCell ref="U149:Z149"/>
    <mergeCell ref="L84:L88"/>
    <mergeCell ref="M84:M88"/>
    <mergeCell ref="N84:N88"/>
    <mergeCell ref="O84:O88"/>
    <mergeCell ref="P84:P88"/>
    <mergeCell ref="Q84:Q88"/>
    <mergeCell ref="AH84:AH88"/>
    <mergeCell ref="R84:R88"/>
    <mergeCell ref="S89:Z89"/>
    <mergeCell ref="L90:L94"/>
    <mergeCell ref="M90:M94"/>
    <mergeCell ref="O90:O94"/>
    <mergeCell ref="P90:P94"/>
    <mergeCell ref="Q90:Q94"/>
    <mergeCell ref="R90:R94"/>
    <mergeCell ref="AH90:AH94"/>
    <mergeCell ref="L95:L99"/>
    <mergeCell ref="M95:M99"/>
    <mergeCell ref="O95:O99"/>
    <mergeCell ref="R95:R99"/>
    <mergeCell ref="U176:V176"/>
    <mergeCell ref="U165:V165"/>
    <mergeCell ref="U166:V166"/>
    <mergeCell ref="U167:W167"/>
    <mergeCell ref="U168:V168"/>
    <mergeCell ref="U169:V169"/>
    <mergeCell ref="U170:V170"/>
    <mergeCell ref="U171:V171"/>
    <mergeCell ref="U161:W161"/>
    <mergeCell ref="U162:V162"/>
    <mergeCell ref="U163:V163"/>
    <mergeCell ref="U164:V164"/>
    <mergeCell ref="U172:V172"/>
    <mergeCell ref="U173:V173"/>
    <mergeCell ref="U174:V174"/>
    <mergeCell ref="U175:V175"/>
  </mergeCells>
  <dataValidations count="4">
    <dataValidation type="list" allowBlank="1" showErrorMessage="1" sqref="D9 D14 D19 D24 D29 D34 D39 D44 D49 D54 D59 D64 D69 D74 D79 D84" xr:uid="{00000000-0002-0000-0100-000000000000}">
      <formula1>"M.7.4.1. Incrementar los artículos publicados por las universidades y escuelas politécnicas en revistas indexadas de 6.624 a 12.423."</formula1>
    </dataValidation>
    <dataValidation type="list" allowBlank="1" showErrorMessage="1" sqref="H9 H14 H19 H24 H29 H34 H39 H44 H49 H54 H59 H64 H69 H74 H79 H84" xr:uid="{00000000-0002-0000-0100-000001000000}">
      <formula1>"FORTALECIMIENTO INSTITUCIONAL,ASEGURAMIENTO DE LA CALIDAD,TALENTO HUMANO FORTALECIDO,OFERTA ACADÉMICA,MATRICULADOS SEGÚN AUTOIDENTIFICACIÓN ÉTINICA,EJES SUSTANTIVOS INTEGRADOS,INTERCULTURALIDAD E IGUALDAD DE CONDICIONES FOMENTADA,INVESTIGACIONES"</formula1>
    </dataValidation>
    <dataValidation type="list" allowBlank="1" showErrorMessage="1" sqref="G9 G14 G19 G24 G29 G34 G39 G44 G49 G54 G59 G64 G69 G74 G79 G84" xr:uid="{00000000-0002-0000-0100-000002000000}">
      <formula1>"OEI_1_FORTALECER_LAS_CAPACIDADES_INSTITUCIONALES.,OEI_2_INCREMENTAR_LA_FORMACIÓN_DE_PROFESIONALES_CON_EXCELENCIA.,OEI_3_INCREMENTAR_LA_PRODUCCIÓN_CIENTÍFICA_Y_TECNOLÓGICA.,OEI_4_INCREMENTAR_LA_VINCULACIÓN_CON_LA_COLECTIVIDAD."</formula1>
    </dataValidation>
    <dataValidation type="decimal" allowBlank="1" showInputMessage="1" showErrorMessage="1" prompt="DPLAN - Sólo debe ingresar valores, NO porcentajes." sqref="M14:O14 M19:O19 M24:O24 M29:O29 M34:O34 M39:O39 M44:O44 M49:O49 M54:O54 M59:O59 M64:O64 M69:O69 M74:O74 M79:O79" xr:uid="{00000000-0002-0000-0100-000003000000}">
      <formula1>0</formula1>
      <formula2>1000000</formula2>
    </dataValidation>
  </dataValidations>
  <pageMargins left="0.23622047244094491" right="0.23622047244094491" top="0.74803149606299213" bottom="0.74803149606299213" header="0" footer="0"/>
  <pageSetup paperSize="9" scale="65" fitToHeight="0" pageOrder="overThenDown" orientation="landscape" horizontalDpi="300" verticalDpi="300" r:id="rId1"/>
  <headerFooter>
    <oddHeader>&amp;LRectorado&amp;C&amp;P</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36C09"/>
  </sheetPr>
  <dimension ref="A1:AH335"/>
  <sheetViews>
    <sheetView showGridLines="0" topLeftCell="S304" zoomScaleNormal="100" workbookViewId="0">
      <selection activeCell="W321" sqref="W321"/>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16.7109375" customWidth="1"/>
    <col min="24" max="25" width="12.7109375" customWidth="1"/>
    <col min="26" max="26" width="13.7109375" bestFit="1" customWidth="1"/>
    <col min="27" max="27" width="12.7109375" customWidth="1"/>
    <col min="28" max="28" width="14.85546875" bestFit="1"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8825"/>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9350"/>
    </row>
    <row r="3" spans="1:34" ht="30.75">
      <c r="A3" s="8828" t="s">
        <v>3440</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8825"/>
    </row>
    <row r="4" spans="1:34"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8825"/>
    </row>
    <row r="5" spans="1:34" s="1001" customFormat="1" ht="16.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378"/>
      <c r="AD5" s="1378"/>
      <c r="AE5" s="1002"/>
      <c r="AF5" s="1002"/>
      <c r="AG5" s="1002"/>
      <c r="AH5" s="1002"/>
    </row>
    <row r="6" spans="1:34" s="1001" customFormat="1" ht="24.75" customHeight="1">
      <c r="A6" s="9002" t="s">
        <v>89</v>
      </c>
      <c r="B6" s="9351"/>
      <c r="C6" s="8832" t="s">
        <v>90</v>
      </c>
      <c r="D6" s="9356"/>
      <c r="E6" s="9010" t="s">
        <v>91</v>
      </c>
      <c r="F6" s="9357"/>
      <c r="G6" s="9357"/>
      <c r="H6" s="9357"/>
      <c r="I6" s="9357"/>
      <c r="J6" s="8988" t="s">
        <v>92</v>
      </c>
      <c r="K6" s="9343"/>
      <c r="L6" s="9343"/>
      <c r="M6" s="9343"/>
      <c r="N6" s="9343"/>
      <c r="O6" s="9343"/>
      <c r="P6" s="9343"/>
      <c r="Q6" s="9343"/>
      <c r="R6" s="9344"/>
      <c r="S6" s="9150" t="s">
        <v>93</v>
      </c>
      <c r="T6" s="9345"/>
      <c r="U6" s="9345"/>
      <c r="V6" s="9345"/>
      <c r="W6" s="9345"/>
      <c r="X6" s="9345"/>
      <c r="Y6" s="9345"/>
      <c r="Z6" s="9345"/>
      <c r="AA6" s="9345"/>
      <c r="AB6" s="9345"/>
      <c r="AC6" s="9345"/>
      <c r="AD6" s="9345"/>
      <c r="AE6" s="9345"/>
      <c r="AF6" s="9345"/>
      <c r="AG6" s="9345"/>
      <c r="AH6" s="9346"/>
    </row>
    <row r="7" spans="1:34" s="1001" customFormat="1" ht="39.75" customHeight="1">
      <c r="A7" s="9352"/>
      <c r="B7" s="9353"/>
      <c r="C7" s="9146" t="s">
        <v>94</v>
      </c>
      <c r="D7" s="9147"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019" t="s">
        <v>107</v>
      </c>
      <c r="S7" s="9153" t="s">
        <v>108</v>
      </c>
      <c r="T7" s="9347"/>
      <c r="U7" s="9347"/>
      <c r="V7" s="9347"/>
      <c r="W7" s="9347"/>
      <c r="X7" s="9347"/>
      <c r="Y7" s="9348"/>
      <c r="Z7" s="9156" t="s">
        <v>109</v>
      </c>
      <c r="AA7" s="9812"/>
      <c r="AB7" s="9812"/>
      <c r="AC7" s="9812"/>
      <c r="AD7" s="9813"/>
      <c r="AE7" s="9156" t="s">
        <v>110</v>
      </c>
      <c r="AF7" s="9347"/>
      <c r="AG7" s="9348"/>
      <c r="AH7" s="9157" t="s">
        <v>111</v>
      </c>
    </row>
    <row r="8" spans="1:34" s="1001" customFormat="1" ht="51.75" customHeight="1" thickBot="1">
      <c r="A8" s="9354"/>
      <c r="B8" s="9355"/>
      <c r="C8" s="9414"/>
      <c r="D8" s="9415"/>
      <c r="E8" s="9358"/>
      <c r="F8" s="9358"/>
      <c r="G8" s="9358"/>
      <c r="H8" s="9358"/>
      <c r="I8" s="9358"/>
      <c r="J8" s="9359"/>
      <c r="K8" s="9360"/>
      <c r="L8" s="9360"/>
      <c r="M8" s="5094" t="s">
        <v>112</v>
      </c>
      <c r="N8" s="5094" t="s">
        <v>113</v>
      </c>
      <c r="O8" s="5094" t="s">
        <v>114</v>
      </c>
      <c r="P8" s="9360"/>
      <c r="Q8" s="9360"/>
      <c r="R8" s="9362"/>
      <c r="S8" s="5091" t="s">
        <v>115</v>
      </c>
      <c r="T8" s="5092" t="s">
        <v>116</v>
      </c>
      <c r="U8" s="5095" t="s">
        <v>117</v>
      </c>
      <c r="V8" s="5092" t="s">
        <v>118</v>
      </c>
      <c r="W8" s="5092" t="s">
        <v>119</v>
      </c>
      <c r="X8" s="5092" t="s">
        <v>372</v>
      </c>
      <c r="Y8" s="5093" t="s">
        <v>121</v>
      </c>
      <c r="Z8" s="5092" t="s">
        <v>122</v>
      </c>
      <c r="AA8" s="5092" t="s">
        <v>123</v>
      </c>
      <c r="AB8" s="5092" t="s">
        <v>124</v>
      </c>
      <c r="AC8" s="5090" t="s">
        <v>125</v>
      </c>
      <c r="AD8" s="5090" t="s">
        <v>1100</v>
      </c>
      <c r="AE8" s="5092" t="s">
        <v>112</v>
      </c>
      <c r="AF8" s="5092" t="s">
        <v>113</v>
      </c>
      <c r="AG8" s="5092" t="s">
        <v>114</v>
      </c>
      <c r="AH8" s="9349"/>
    </row>
    <row r="9" spans="1:34" s="1001" customFormat="1" ht="27" customHeight="1">
      <c r="A9" s="9244"/>
      <c r="B9" s="9235" t="s">
        <v>3441</v>
      </c>
      <c r="C9" s="10518" t="s">
        <v>127</v>
      </c>
      <c r="D9" s="10452" t="s">
        <v>128</v>
      </c>
      <c r="E9" s="10452" t="s">
        <v>129</v>
      </c>
      <c r="F9" s="10452" t="s">
        <v>268</v>
      </c>
      <c r="G9" s="10454" t="s">
        <v>131</v>
      </c>
      <c r="H9" s="10452" t="s">
        <v>132</v>
      </c>
      <c r="I9" s="10452" t="s">
        <v>214</v>
      </c>
      <c r="J9" s="10452" t="s">
        <v>3442</v>
      </c>
      <c r="K9" s="10452" t="s">
        <v>3443</v>
      </c>
      <c r="L9" s="10452" t="s">
        <v>3444</v>
      </c>
      <c r="M9" s="10488">
        <v>2</v>
      </c>
      <c r="N9" s="10510">
        <v>3</v>
      </c>
      <c r="O9" s="10488">
        <v>3</v>
      </c>
      <c r="P9" s="10477" t="s">
        <v>3445</v>
      </c>
      <c r="Q9" s="10452" t="s">
        <v>3446</v>
      </c>
      <c r="R9" s="10453" t="s">
        <v>3447</v>
      </c>
      <c r="S9" s="5642"/>
      <c r="T9" s="5679"/>
      <c r="U9" s="5680"/>
      <c r="V9" s="3764"/>
      <c r="W9" s="5498"/>
      <c r="X9" s="3683"/>
      <c r="Y9" s="5550"/>
      <c r="Z9" s="5550"/>
      <c r="AA9" s="5550"/>
      <c r="AB9" s="5551"/>
      <c r="AC9" s="5816"/>
      <c r="AD9" s="3575"/>
      <c r="AE9" s="3574"/>
      <c r="AF9" s="3576"/>
      <c r="AG9" s="3577"/>
      <c r="AH9" s="10466"/>
    </row>
    <row r="10" spans="1:34" s="1001" customFormat="1" ht="27" customHeight="1">
      <c r="A10" s="9392"/>
      <c r="B10" s="10511"/>
      <c r="C10" s="10513"/>
      <c r="D10" s="10434"/>
      <c r="E10" s="10434"/>
      <c r="F10" s="10434"/>
      <c r="G10" s="10434"/>
      <c r="H10" s="10434"/>
      <c r="I10" s="10434"/>
      <c r="J10" s="10434"/>
      <c r="K10" s="10434"/>
      <c r="L10" s="10434"/>
      <c r="M10" s="10437"/>
      <c r="N10" s="10437"/>
      <c r="O10" s="10437"/>
      <c r="P10" s="10434"/>
      <c r="Q10" s="10434"/>
      <c r="R10" s="10440"/>
      <c r="S10" s="5643"/>
      <c r="T10" s="5681"/>
      <c r="U10" s="5681"/>
      <c r="V10" s="3495"/>
      <c r="W10" s="5499"/>
      <c r="X10" s="3496"/>
      <c r="Y10" s="5552"/>
      <c r="Z10" s="5552"/>
      <c r="AA10" s="5552"/>
      <c r="AB10" s="5553"/>
      <c r="AC10" s="5817"/>
      <c r="AD10" s="3581"/>
      <c r="AE10" s="3579"/>
      <c r="AF10" s="3582"/>
      <c r="AG10" s="3583"/>
      <c r="AH10" s="10462"/>
    </row>
    <row r="11" spans="1:34" s="1001" customFormat="1" ht="27" customHeight="1">
      <c r="A11" s="9392"/>
      <c r="B11" s="10511"/>
      <c r="C11" s="10513"/>
      <c r="D11" s="10434"/>
      <c r="E11" s="10434"/>
      <c r="F11" s="10434"/>
      <c r="G11" s="10434"/>
      <c r="H11" s="10434"/>
      <c r="I11" s="10434"/>
      <c r="J11" s="10434"/>
      <c r="K11" s="10434"/>
      <c r="L11" s="10434"/>
      <c r="M11" s="10437"/>
      <c r="N11" s="10437"/>
      <c r="O11" s="10437"/>
      <c r="P11" s="10434"/>
      <c r="Q11" s="10434"/>
      <c r="R11" s="10440"/>
      <c r="S11" s="5644"/>
      <c r="T11" s="5682"/>
      <c r="U11" s="5681"/>
      <c r="V11" s="3542"/>
      <c r="W11" s="5499"/>
      <c r="X11" s="3496"/>
      <c r="Y11" s="5552"/>
      <c r="Z11" s="5552"/>
      <c r="AA11" s="5552"/>
      <c r="AB11" s="5553"/>
      <c r="AC11" s="5817"/>
      <c r="AD11" s="3581"/>
      <c r="AE11" s="3579"/>
      <c r="AF11" s="3582"/>
      <c r="AG11" s="3583"/>
      <c r="AH11" s="10462"/>
    </row>
    <row r="12" spans="1:34" s="1001" customFormat="1" ht="27" customHeight="1">
      <c r="A12" s="9392"/>
      <c r="B12" s="10511"/>
      <c r="C12" s="10513"/>
      <c r="D12" s="10434"/>
      <c r="E12" s="10434"/>
      <c r="F12" s="10434"/>
      <c r="G12" s="10434"/>
      <c r="H12" s="10434"/>
      <c r="I12" s="10434"/>
      <c r="J12" s="10434"/>
      <c r="K12" s="10434"/>
      <c r="L12" s="10434"/>
      <c r="M12" s="10437"/>
      <c r="N12" s="10437"/>
      <c r="O12" s="10437"/>
      <c r="P12" s="10434"/>
      <c r="Q12" s="10434"/>
      <c r="R12" s="10440"/>
      <c r="S12" s="5645"/>
      <c r="T12" s="5682"/>
      <c r="U12" s="5681"/>
      <c r="V12" s="3495"/>
      <c r="W12" s="5499"/>
      <c r="X12" s="3496"/>
      <c r="Y12" s="5552"/>
      <c r="Z12" s="5552"/>
      <c r="AA12" s="5552"/>
      <c r="AB12" s="5553"/>
      <c r="AC12" s="5817"/>
      <c r="AD12" s="3581"/>
      <c r="AE12" s="3579"/>
      <c r="AF12" s="3582"/>
      <c r="AG12" s="3583"/>
      <c r="AH12" s="10462"/>
    </row>
    <row r="13" spans="1:34" s="1001" customFormat="1" ht="27" customHeight="1">
      <c r="A13" s="9392"/>
      <c r="B13" s="10511"/>
      <c r="C13" s="10515"/>
      <c r="D13" s="10445"/>
      <c r="E13" s="10445"/>
      <c r="F13" s="10445"/>
      <c r="G13" s="10445"/>
      <c r="H13" s="10445"/>
      <c r="I13" s="10445"/>
      <c r="J13" s="10445"/>
      <c r="K13" s="10445"/>
      <c r="L13" s="10445"/>
      <c r="M13" s="10447"/>
      <c r="N13" s="10447"/>
      <c r="O13" s="10447"/>
      <c r="P13" s="10445"/>
      <c r="Q13" s="10445"/>
      <c r="R13" s="10450"/>
      <c r="S13" s="5646"/>
      <c r="T13" s="5683"/>
      <c r="U13" s="5683"/>
      <c r="V13" s="3759"/>
      <c r="W13" s="5509"/>
      <c r="X13" s="3714"/>
      <c r="Y13" s="5554"/>
      <c r="Z13" s="5554"/>
      <c r="AA13" s="5554"/>
      <c r="AB13" s="5555"/>
      <c r="AC13" s="5818"/>
      <c r="AD13" s="3619"/>
      <c r="AE13" s="3617"/>
      <c r="AF13" s="3620"/>
      <c r="AG13" s="3621"/>
      <c r="AH13" s="10463"/>
    </row>
    <row r="14" spans="1:34" s="1001" customFormat="1" ht="30" customHeight="1">
      <c r="A14" s="9392"/>
      <c r="B14" s="10511"/>
      <c r="C14" s="10516" t="s">
        <v>127</v>
      </c>
      <c r="D14" s="10433" t="s">
        <v>128</v>
      </c>
      <c r="E14" s="10433" t="s">
        <v>129</v>
      </c>
      <c r="F14" s="10433" t="s">
        <v>268</v>
      </c>
      <c r="G14" s="10442" t="s">
        <v>131</v>
      </c>
      <c r="H14" s="10433" t="s">
        <v>132</v>
      </c>
      <c r="I14" s="10433" t="s">
        <v>214</v>
      </c>
      <c r="J14" s="10433" t="s">
        <v>3448</v>
      </c>
      <c r="K14" s="10433" t="s">
        <v>3449</v>
      </c>
      <c r="L14" s="10433" t="s">
        <v>3450</v>
      </c>
      <c r="M14" s="10470">
        <v>1</v>
      </c>
      <c r="N14" s="10470">
        <v>2</v>
      </c>
      <c r="O14" s="10470">
        <v>2</v>
      </c>
      <c r="P14" s="10443" t="s">
        <v>3451</v>
      </c>
      <c r="Q14" s="10433" t="s">
        <v>3452</v>
      </c>
      <c r="R14" s="10439" t="s">
        <v>3453</v>
      </c>
      <c r="S14" s="3885"/>
      <c r="T14" s="5684"/>
      <c r="U14" s="5685"/>
      <c r="V14" s="3762"/>
      <c r="W14" s="5502"/>
      <c r="X14" s="3709"/>
      <c r="Y14" s="5556"/>
      <c r="Z14" s="5556"/>
      <c r="AA14" s="5556"/>
      <c r="AB14" s="5557"/>
      <c r="AC14" s="5819"/>
      <c r="AD14" s="3599"/>
      <c r="AE14" s="3598"/>
      <c r="AF14" s="3612"/>
      <c r="AG14" s="3613"/>
      <c r="AH14" s="10525"/>
    </row>
    <row r="15" spans="1:34" s="1001" customFormat="1" ht="30" customHeight="1">
      <c r="A15" s="9392"/>
      <c r="B15" s="10511"/>
      <c r="C15" s="10513"/>
      <c r="D15" s="10434"/>
      <c r="E15" s="10434"/>
      <c r="F15" s="10434"/>
      <c r="G15" s="10434"/>
      <c r="H15" s="10434"/>
      <c r="I15" s="10434"/>
      <c r="J15" s="10434"/>
      <c r="K15" s="10434"/>
      <c r="L15" s="10434"/>
      <c r="M15" s="10437"/>
      <c r="N15" s="10437"/>
      <c r="O15" s="10437"/>
      <c r="P15" s="10434"/>
      <c r="Q15" s="10434"/>
      <c r="R15" s="10440"/>
      <c r="S15" s="3871"/>
      <c r="T15" s="5686"/>
      <c r="U15" s="5686"/>
      <c r="V15" s="3813"/>
      <c r="W15" s="5500"/>
      <c r="X15" s="3504"/>
      <c r="Y15" s="5790"/>
      <c r="Z15" s="5790"/>
      <c r="AA15" s="5790"/>
      <c r="AB15" s="5791"/>
      <c r="AC15" s="5820"/>
      <c r="AD15" s="3589"/>
      <c r="AE15" s="3587"/>
      <c r="AF15" s="3587"/>
      <c r="AG15" s="3585"/>
      <c r="AH15" s="10462"/>
    </row>
    <row r="16" spans="1:34" s="1001" customFormat="1" ht="30" customHeight="1">
      <c r="A16" s="9392"/>
      <c r="B16" s="10511"/>
      <c r="C16" s="10513"/>
      <c r="D16" s="10434"/>
      <c r="E16" s="10434"/>
      <c r="F16" s="10434"/>
      <c r="G16" s="10434"/>
      <c r="H16" s="10434"/>
      <c r="I16" s="10434"/>
      <c r="J16" s="10434"/>
      <c r="K16" s="10434"/>
      <c r="L16" s="10434"/>
      <c r="M16" s="10437"/>
      <c r="N16" s="10437"/>
      <c r="O16" s="10437"/>
      <c r="P16" s="10434"/>
      <c r="Q16" s="10434"/>
      <c r="R16" s="10440"/>
      <c r="S16" s="3869"/>
      <c r="T16" s="5687"/>
      <c r="U16" s="5686"/>
      <c r="V16" s="3864"/>
      <c r="W16" s="5500"/>
      <c r="X16" s="3504"/>
      <c r="Y16" s="5790"/>
      <c r="Z16" s="5790"/>
      <c r="AA16" s="5790"/>
      <c r="AB16" s="5791"/>
      <c r="AC16" s="5820"/>
      <c r="AD16" s="3589"/>
      <c r="AE16" s="3587"/>
      <c r="AF16" s="3587"/>
      <c r="AG16" s="3583"/>
      <c r="AH16" s="10462"/>
    </row>
    <row r="17" spans="1:34" s="1001" customFormat="1" ht="30" customHeight="1">
      <c r="A17" s="9392"/>
      <c r="B17" s="10511"/>
      <c r="C17" s="10513"/>
      <c r="D17" s="10434"/>
      <c r="E17" s="10434"/>
      <c r="F17" s="10434"/>
      <c r="G17" s="10434"/>
      <c r="H17" s="10434"/>
      <c r="I17" s="10434"/>
      <c r="J17" s="10434"/>
      <c r="K17" s="10434"/>
      <c r="L17" s="10434"/>
      <c r="M17" s="10437"/>
      <c r="N17" s="10437"/>
      <c r="O17" s="10437"/>
      <c r="P17" s="10434"/>
      <c r="Q17" s="10434"/>
      <c r="R17" s="10440"/>
      <c r="S17" s="3869"/>
      <c r="T17" s="5687"/>
      <c r="U17" s="5686"/>
      <c r="V17" s="3813"/>
      <c r="W17" s="5500"/>
      <c r="X17" s="3504"/>
      <c r="Y17" s="5790"/>
      <c r="Z17" s="5790"/>
      <c r="AA17" s="5790"/>
      <c r="AB17" s="5791"/>
      <c r="AC17" s="5820"/>
      <c r="AD17" s="3589"/>
      <c r="AE17" s="3587"/>
      <c r="AF17" s="3587"/>
      <c r="AG17" s="3583"/>
      <c r="AH17" s="10462"/>
    </row>
    <row r="18" spans="1:34" s="1001" customFormat="1" ht="30" customHeight="1">
      <c r="A18" s="9392"/>
      <c r="B18" s="10511"/>
      <c r="C18" s="10513"/>
      <c r="D18" s="10434"/>
      <c r="E18" s="10434"/>
      <c r="F18" s="10434"/>
      <c r="G18" s="10434"/>
      <c r="H18" s="10434"/>
      <c r="I18" s="10434"/>
      <c r="J18" s="10434"/>
      <c r="K18" s="10434"/>
      <c r="L18" s="10434"/>
      <c r="M18" s="10437"/>
      <c r="N18" s="10437"/>
      <c r="O18" s="10437"/>
      <c r="P18" s="10434"/>
      <c r="Q18" s="10434"/>
      <c r="R18" s="10440"/>
      <c r="S18" s="3869"/>
      <c r="T18" s="5687"/>
      <c r="U18" s="5686"/>
      <c r="V18" s="3864"/>
      <c r="W18" s="5500"/>
      <c r="X18" s="3504"/>
      <c r="Y18" s="5790"/>
      <c r="Z18" s="5790"/>
      <c r="AA18" s="5790"/>
      <c r="AB18" s="5791"/>
      <c r="AC18" s="5820"/>
      <c r="AD18" s="3589"/>
      <c r="AE18" s="3587"/>
      <c r="AF18" s="3587"/>
      <c r="AG18" s="3583"/>
      <c r="AH18" s="10462"/>
    </row>
    <row r="19" spans="1:34" s="1001" customFormat="1" ht="30" customHeight="1">
      <c r="A19" s="9392"/>
      <c r="B19" s="10511"/>
      <c r="C19" s="10513"/>
      <c r="D19" s="10434"/>
      <c r="E19" s="10434"/>
      <c r="F19" s="10434"/>
      <c r="G19" s="10434"/>
      <c r="H19" s="10434"/>
      <c r="I19" s="10434"/>
      <c r="J19" s="10434"/>
      <c r="K19" s="10434"/>
      <c r="L19" s="10434"/>
      <c r="M19" s="10437"/>
      <c r="N19" s="10437"/>
      <c r="O19" s="10437"/>
      <c r="P19" s="10434"/>
      <c r="Q19" s="10434"/>
      <c r="R19" s="10440"/>
      <c r="S19" s="3871"/>
      <c r="T19" s="5686"/>
      <c r="U19" s="5686"/>
      <c r="V19" s="3813"/>
      <c r="W19" s="5500"/>
      <c r="X19" s="3504"/>
      <c r="Y19" s="5790"/>
      <c r="Z19" s="5790"/>
      <c r="AA19" s="5790"/>
      <c r="AB19" s="5791"/>
      <c r="AC19" s="5820"/>
      <c r="AD19" s="3589"/>
      <c r="AE19" s="3587"/>
      <c r="AF19" s="3587"/>
      <c r="AG19" s="3583"/>
      <c r="AH19" s="10462"/>
    </row>
    <row r="20" spans="1:34" s="1001" customFormat="1" ht="30" customHeight="1">
      <c r="A20" s="9392"/>
      <c r="B20" s="10511"/>
      <c r="C20" s="10513"/>
      <c r="D20" s="10434"/>
      <c r="E20" s="10434"/>
      <c r="F20" s="10434"/>
      <c r="G20" s="10434"/>
      <c r="H20" s="10434"/>
      <c r="I20" s="10434"/>
      <c r="J20" s="10434"/>
      <c r="K20" s="10434"/>
      <c r="L20" s="10434"/>
      <c r="M20" s="10437"/>
      <c r="N20" s="10437"/>
      <c r="O20" s="10437"/>
      <c r="P20" s="10434"/>
      <c r="Q20" s="10434"/>
      <c r="R20" s="10440"/>
      <c r="S20" s="3869"/>
      <c r="T20" s="5687"/>
      <c r="U20" s="5686"/>
      <c r="V20" s="3813"/>
      <c r="W20" s="5500"/>
      <c r="X20" s="3504"/>
      <c r="Y20" s="5790"/>
      <c r="Z20" s="5790"/>
      <c r="AA20" s="5790"/>
      <c r="AB20" s="5791"/>
      <c r="AC20" s="5820"/>
      <c r="AD20" s="3589"/>
      <c r="AE20" s="3587"/>
      <c r="AF20" s="3587"/>
      <c r="AG20" s="3583"/>
      <c r="AH20" s="10462"/>
    </row>
    <row r="21" spans="1:34" s="1001" customFormat="1" ht="30" customHeight="1">
      <c r="A21" s="9392"/>
      <c r="B21" s="10511"/>
      <c r="C21" s="10513"/>
      <c r="D21" s="10434"/>
      <c r="E21" s="10434"/>
      <c r="F21" s="10434"/>
      <c r="G21" s="10434"/>
      <c r="H21" s="10434"/>
      <c r="I21" s="10434"/>
      <c r="J21" s="10434"/>
      <c r="K21" s="10434"/>
      <c r="L21" s="10434"/>
      <c r="M21" s="10437"/>
      <c r="N21" s="10437"/>
      <c r="O21" s="10437"/>
      <c r="P21" s="10434"/>
      <c r="Q21" s="10434"/>
      <c r="R21" s="10440"/>
      <c r="S21" s="3869"/>
      <c r="T21" s="5687"/>
      <c r="U21" s="5686"/>
      <c r="V21" s="3864"/>
      <c r="W21" s="5500"/>
      <c r="X21" s="3504"/>
      <c r="Y21" s="5790"/>
      <c r="Z21" s="5790"/>
      <c r="AA21" s="5790"/>
      <c r="AB21" s="5791"/>
      <c r="AC21" s="5820"/>
      <c r="AD21" s="3589"/>
      <c r="AE21" s="3587"/>
      <c r="AF21" s="3587"/>
      <c r="AG21" s="3583"/>
      <c r="AH21" s="10462"/>
    </row>
    <row r="22" spans="1:34" s="1001" customFormat="1" ht="30" customHeight="1">
      <c r="A22" s="9392"/>
      <c r="B22" s="10511"/>
      <c r="C22" s="10513"/>
      <c r="D22" s="10434"/>
      <c r="E22" s="10434"/>
      <c r="F22" s="10434"/>
      <c r="G22" s="10434"/>
      <c r="H22" s="10434"/>
      <c r="I22" s="10434"/>
      <c r="J22" s="10434"/>
      <c r="K22" s="10434"/>
      <c r="L22" s="10434"/>
      <c r="M22" s="10437"/>
      <c r="N22" s="10437"/>
      <c r="O22" s="10437"/>
      <c r="P22" s="10434"/>
      <c r="Q22" s="10434"/>
      <c r="R22" s="10440"/>
      <c r="S22" s="3869"/>
      <c r="T22" s="5687"/>
      <c r="U22" s="5686"/>
      <c r="V22" s="3813"/>
      <c r="W22" s="5500"/>
      <c r="X22" s="3504"/>
      <c r="Y22" s="5790"/>
      <c r="Z22" s="5790"/>
      <c r="AA22" s="5790"/>
      <c r="AB22" s="5791"/>
      <c r="AC22" s="5820"/>
      <c r="AD22" s="3589"/>
      <c r="AE22" s="3587"/>
      <c r="AF22" s="3587"/>
      <c r="AG22" s="3583"/>
      <c r="AH22" s="10462"/>
    </row>
    <row r="23" spans="1:34" s="1001" customFormat="1" ht="30" customHeight="1">
      <c r="A23" s="9392"/>
      <c r="B23" s="10511"/>
      <c r="C23" s="10514"/>
      <c r="D23" s="10435"/>
      <c r="E23" s="10435"/>
      <c r="F23" s="10435"/>
      <c r="G23" s="10435"/>
      <c r="H23" s="10435"/>
      <c r="I23" s="10435"/>
      <c r="J23" s="10435"/>
      <c r="K23" s="10435"/>
      <c r="L23" s="10435"/>
      <c r="M23" s="10438"/>
      <c r="N23" s="10438"/>
      <c r="O23" s="10438"/>
      <c r="P23" s="10435"/>
      <c r="Q23" s="10435"/>
      <c r="R23" s="10441"/>
      <c r="S23" s="3877"/>
      <c r="T23" s="5688"/>
      <c r="U23" s="5688"/>
      <c r="V23" s="2932"/>
      <c r="W23" s="5506"/>
      <c r="X23" s="2933"/>
      <c r="Y23" s="5792"/>
      <c r="Z23" s="5792"/>
      <c r="AA23" s="5792"/>
      <c r="AB23" s="5793"/>
      <c r="AC23" s="5821"/>
      <c r="AD23" s="3615"/>
      <c r="AE23" s="3614"/>
      <c r="AF23" s="3614"/>
      <c r="AG23" s="3608"/>
      <c r="AH23" s="10465"/>
    </row>
    <row r="24" spans="1:34" s="1001" customFormat="1" ht="29.25" customHeight="1">
      <c r="A24" s="9392"/>
      <c r="B24" s="10511"/>
      <c r="C24" s="10522" t="s">
        <v>127</v>
      </c>
      <c r="D24" s="10444" t="s">
        <v>128</v>
      </c>
      <c r="E24" s="10444" t="s">
        <v>129</v>
      </c>
      <c r="F24" s="10444" t="s">
        <v>268</v>
      </c>
      <c r="G24" s="10451" t="s">
        <v>131</v>
      </c>
      <c r="H24" s="10444" t="s">
        <v>132</v>
      </c>
      <c r="I24" s="10444" t="s">
        <v>214</v>
      </c>
      <c r="J24" s="10444" t="s">
        <v>3454</v>
      </c>
      <c r="K24" s="10444" t="s">
        <v>3455</v>
      </c>
      <c r="L24" s="10444" t="s">
        <v>3456</v>
      </c>
      <c r="M24" s="10455">
        <v>1</v>
      </c>
      <c r="N24" s="10455">
        <v>6</v>
      </c>
      <c r="O24" s="10455">
        <v>6</v>
      </c>
      <c r="P24" s="10448" t="s">
        <v>3457</v>
      </c>
      <c r="Q24" s="10444" t="s">
        <v>3458</v>
      </c>
      <c r="R24" s="10449" t="s">
        <v>3459</v>
      </c>
      <c r="S24" s="3767" t="s">
        <v>15</v>
      </c>
      <c r="T24" s="5689">
        <v>990101</v>
      </c>
      <c r="U24" s="5690"/>
      <c r="V24" s="3758" t="s">
        <v>3460</v>
      </c>
      <c r="W24" s="5504"/>
      <c r="X24" s="3658"/>
      <c r="Y24" s="5560"/>
      <c r="Z24" s="8011"/>
      <c r="AA24" s="8011"/>
      <c r="AB24" s="7963">
        <f>SUM(AA25:AA25)</f>
        <v>23000</v>
      </c>
      <c r="AC24" s="5822" t="s">
        <v>18</v>
      </c>
      <c r="AD24" s="3624"/>
      <c r="AE24" s="3625"/>
      <c r="AF24" s="3626"/>
      <c r="AG24" s="3627"/>
      <c r="AH24" s="10464" t="s">
        <v>3461</v>
      </c>
    </row>
    <row r="25" spans="1:34" s="1001" customFormat="1" ht="29.25" customHeight="1">
      <c r="A25" s="9392"/>
      <c r="B25" s="10511"/>
      <c r="C25" s="10523"/>
      <c r="D25" s="10500"/>
      <c r="E25" s="10500"/>
      <c r="F25" s="10500"/>
      <c r="G25" s="10502"/>
      <c r="H25" s="10500"/>
      <c r="I25" s="10500"/>
      <c r="J25" s="10500"/>
      <c r="K25" s="10500"/>
      <c r="L25" s="10500"/>
      <c r="M25" s="10504"/>
      <c r="N25" s="10504"/>
      <c r="O25" s="10504"/>
      <c r="P25" s="10506"/>
      <c r="Q25" s="10500"/>
      <c r="R25" s="10508"/>
      <c r="S25" s="3867"/>
      <c r="T25" s="5682"/>
      <c r="U25" s="5681"/>
      <c r="V25" s="3804" t="s">
        <v>3460</v>
      </c>
      <c r="W25" s="5507"/>
      <c r="X25" s="3670"/>
      <c r="Y25" s="5795"/>
      <c r="Z25" s="7964">
        <f>22000+1000</f>
        <v>23000</v>
      </c>
      <c r="AA25" s="7964">
        <f>+Z25</f>
        <v>23000</v>
      </c>
      <c r="AB25" s="7962"/>
      <c r="AC25" s="5779"/>
      <c r="AD25" s="3589"/>
      <c r="AE25" s="3587"/>
      <c r="AF25" s="3590" t="s">
        <v>153</v>
      </c>
      <c r="AG25" s="3583"/>
      <c r="AH25" s="10462"/>
    </row>
    <row r="26" spans="1:34" s="1001" customFormat="1" ht="18" customHeight="1">
      <c r="A26" s="9392"/>
      <c r="B26" s="10511"/>
      <c r="C26" s="10523"/>
      <c r="D26" s="10500"/>
      <c r="E26" s="10500"/>
      <c r="F26" s="10500"/>
      <c r="G26" s="10502"/>
      <c r="H26" s="10500"/>
      <c r="I26" s="10500"/>
      <c r="J26" s="10500"/>
      <c r="K26" s="10500"/>
      <c r="L26" s="10500"/>
      <c r="M26" s="10504"/>
      <c r="N26" s="10504"/>
      <c r="O26" s="10504"/>
      <c r="P26" s="10506"/>
      <c r="Q26" s="10500"/>
      <c r="R26" s="10508"/>
      <c r="S26" s="3868" t="s">
        <v>15</v>
      </c>
      <c r="T26" s="5682">
        <v>580204</v>
      </c>
      <c r="U26" s="5681"/>
      <c r="V26" s="3542" t="s">
        <v>3462</v>
      </c>
      <c r="W26" s="5499"/>
      <c r="X26" s="3496"/>
      <c r="Y26" s="5552"/>
      <c r="Z26" s="7960"/>
      <c r="AA26" s="7960"/>
      <c r="AB26" s="7991">
        <f>SUM(AA27:AA28)</f>
        <v>1500</v>
      </c>
      <c r="AC26" s="5779" t="s">
        <v>18</v>
      </c>
      <c r="AD26" s="3589"/>
      <c r="AE26" s="3587"/>
      <c r="AF26" s="3590"/>
      <c r="AG26" s="3583"/>
      <c r="AH26" s="10462"/>
    </row>
    <row r="27" spans="1:34" s="1001" customFormat="1" ht="18" customHeight="1">
      <c r="A27" s="9392"/>
      <c r="B27" s="10511"/>
      <c r="C27" s="10523"/>
      <c r="D27" s="10500"/>
      <c r="E27" s="10500"/>
      <c r="F27" s="10500"/>
      <c r="G27" s="10502"/>
      <c r="H27" s="10500"/>
      <c r="I27" s="10500"/>
      <c r="J27" s="10500"/>
      <c r="K27" s="10500"/>
      <c r="L27" s="10500"/>
      <c r="M27" s="10504"/>
      <c r="N27" s="10504"/>
      <c r="O27" s="10504"/>
      <c r="P27" s="10506"/>
      <c r="Q27" s="10500"/>
      <c r="R27" s="10508"/>
      <c r="S27" s="5672"/>
      <c r="T27" s="5682"/>
      <c r="U27" s="5681"/>
      <c r="V27" s="3804" t="s">
        <v>3463</v>
      </c>
      <c r="W27" s="5507"/>
      <c r="X27" s="3670"/>
      <c r="Y27" s="5795"/>
      <c r="Z27" s="7964">
        <v>1500</v>
      </c>
      <c r="AA27" s="7964">
        <f>+Z27</f>
        <v>1500</v>
      </c>
      <c r="AB27" s="7962"/>
      <c r="AC27" s="5779"/>
      <c r="AD27" s="3589"/>
      <c r="AE27" s="3587"/>
      <c r="AF27" s="3590" t="s">
        <v>153</v>
      </c>
      <c r="AG27" s="3583"/>
      <c r="AH27" s="10462"/>
    </row>
    <row r="28" spans="1:34" s="1001" customFormat="1" ht="32.25" customHeight="1">
      <c r="A28" s="9392"/>
      <c r="B28" s="10511"/>
      <c r="C28" s="10523"/>
      <c r="D28" s="10500"/>
      <c r="E28" s="10500"/>
      <c r="F28" s="10500"/>
      <c r="G28" s="10502"/>
      <c r="H28" s="10500"/>
      <c r="I28" s="10500"/>
      <c r="J28" s="10500"/>
      <c r="K28" s="10500"/>
      <c r="L28" s="10500"/>
      <c r="M28" s="10504"/>
      <c r="N28" s="10504"/>
      <c r="O28" s="10504"/>
      <c r="P28" s="10506"/>
      <c r="Q28" s="10500"/>
      <c r="R28" s="10508"/>
      <c r="S28" s="3541" t="s">
        <v>79</v>
      </c>
      <c r="T28" s="5682">
        <v>990101</v>
      </c>
      <c r="U28" s="5681"/>
      <c r="V28" s="3542" t="s">
        <v>3460</v>
      </c>
      <c r="W28" s="5499"/>
      <c r="X28" s="3496"/>
      <c r="Y28" s="5552"/>
      <c r="Z28" s="5552"/>
      <c r="AA28" s="5552"/>
      <c r="AB28" s="7991">
        <f>SUM(AA29:AA31)</f>
        <v>249601.11</v>
      </c>
      <c r="AC28" s="5779" t="s">
        <v>18</v>
      </c>
      <c r="AD28" s="3589"/>
      <c r="AE28" s="3587"/>
      <c r="AF28" s="3590"/>
      <c r="AG28" s="3583"/>
      <c r="AH28" s="10462"/>
    </row>
    <row r="29" spans="1:34" s="1001" customFormat="1" ht="45" customHeight="1">
      <c r="A29" s="9392"/>
      <c r="B29" s="10511"/>
      <c r="C29" s="10523"/>
      <c r="D29" s="10500"/>
      <c r="E29" s="10500"/>
      <c r="F29" s="10500"/>
      <c r="G29" s="10502"/>
      <c r="H29" s="10500"/>
      <c r="I29" s="10500"/>
      <c r="J29" s="10500"/>
      <c r="K29" s="10500"/>
      <c r="L29" s="10500"/>
      <c r="M29" s="10504"/>
      <c r="N29" s="10504"/>
      <c r="O29" s="10504"/>
      <c r="P29" s="10506"/>
      <c r="Q29" s="10500"/>
      <c r="R29" s="10508"/>
      <c r="S29" s="3541"/>
      <c r="T29" s="5682"/>
      <c r="U29" s="5681"/>
      <c r="V29" s="3495" t="s">
        <v>3464</v>
      </c>
      <c r="W29" s="5499"/>
      <c r="X29" s="3496"/>
      <c r="Y29" s="5552"/>
      <c r="Z29" s="5552">
        <v>135610.10999999999</v>
      </c>
      <c r="AA29" s="5552">
        <f>+Z29</f>
        <v>135610.10999999999</v>
      </c>
      <c r="AB29" s="5553"/>
      <c r="AC29" s="5779"/>
      <c r="AD29" s="3589"/>
      <c r="AE29" s="3587"/>
      <c r="AF29" s="3590" t="s">
        <v>153</v>
      </c>
      <c r="AG29" s="3583" t="s">
        <v>153</v>
      </c>
      <c r="AH29" s="10462"/>
    </row>
    <row r="30" spans="1:34" s="1001" customFormat="1" ht="45" customHeight="1">
      <c r="A30" s="9392"/>
      <c r="B30" s="10511"/>
      <c r="C30" s="10523"/>
      <c r="D30" s="10500"/>
      <c r="E30" s="10500"/>
      <c r="F30" s="10500"/>
      <c r="G30" s="10502"/>
      <c r="H30" s="10500"/>
      <c r="I30" s="10500"/>
      <c r="J30" s="10500"/>
      <c r="K30" s="10500"/>
      <c r="L30" s="10500"/>
      <c r="M30" s="10504"/>
      <c r="N30" s="10504"/>
      <c r="O30" s="10504"/>
      <c r="P30" s="10506"/>
      <c r="Q30" s="10500"/>
      <c r="R30" s="10508"/>
      <c r="S30" s="5647"/>
      <c r="T30" s="5682"/>
      <c r="U30" s="5681"/>
      <c r="V30" s="3495" t="s">
        <v>3460</v>
      </c>
      <c r="W30" s="5499"/>
      <c r="X30" s="3496"/>
      <c r="Y30" s="5552"/>
      <c r="Z30" s="7960">
        <f>20000+4740+23000+13152</f>
        <v>60892</v>
      </c>
      <c r="AA30" s="7960">
        <f t="shared" ref="AA30:AA31" si="0">+Z30</f>
        <v>60892</v>
      </c>
      <c r="AB30" s="5553"/>
      <c r="AC30" s="5779"/>
      <c r="AD30" s="3589"/>
      <c r="AE30" s="3587"/>
      <c r="AF30" s="3590" t="s">
        <v>153</v>
      </c>
      <c r="AG30" s="3583" t="s">
        <v>153</v>
      </c>
      <c r="AH30" s="10462"/>
    </row>
    <row r="31" spans="1:34" s="1001" customFormat="1" ht="32.25" customHeight="1">
      <c r="A31" s="9392"/>
      <c r="B31" s="10511"/>
      <c r="C31" s="10524"/>
      <c r="D31" s="10501"/>
      <c r="E31" s="10501"/>
      <c r="F31" s="10501"/>
      <c r="G31" s="10503"/>
      <c r="H31" s="10501"/>
      <c r="I31" s="10501"/>
      <c r="J31" s="10501"/>
      <c r="K31" s="10501"/>
      <c r="L31" s="10501"/>
      <c r="M31" s="10505"/>
      <c r="N31" s="10505"/>
      <c r="O31" s="10505"/>
      <c r="P31" s="10507"/>
      <c r="Q31" s="10501"/>
      <c r="R31" s="10509"/>
      <c r="S31" s="5648"/>
      <c r="T31" s="5691"/>
      <c r="U31" s="5683"/>
      <c r="V31" s="3759" t="s">
        <v>3460</v>
      </c>
      <c r="W31" s="5501"/>
      <c r="X31" s="3727"/>
      <c r="Y31" s="5797"/>
      <c r="Z31" s="5797">
        <f>50000+3099</f>
        <v>53099</v>
      </c>
      <c r="AA31" s="5554">
        <f t="shared" si="0"/>
        <v>53099</v>
      </c>
      <c r="AB31" s="5555"/>
      <c r="AC31" s="5823"/>
      <c r="AD31" s="3633"/>
      <c r="AE31" s="3632"/>
      <c r="AF31" s="3634" t="s">
        <v>153</v>
      </c>
      <c r="AG31" s="3621" t="s">
        <v>153</v>
      </c>
      <c r="AH31" s="10463"/>
    </row>
    <row r="32" spans="1:34" s="1001" customFormat="1" ht="32.25" customHeight="1">
      <c r="A32" s="9392"/>
      <c r="B32" s="10511"/>
      <c r="C32" s="8363"/>
      <c r="D32" s="8334"/>
      <c r="E32" s="8334"/>
      <c r="F32" s="8334"/>
      <c r="G32" s="8335"/>
      <c r="H32" s="8334"/>
      <c r="I32" s="8334"/>
      <c r="J32" s="8334"/>
      <c r="K32" s="8334"/>
      <c r="L32" s="8334"/>
      <c r="M32" s="8364"/>
      <c r="N32" s="8364"/>
      <c r="O32" s="8364"/>
      <c r="P32" s="8336"/>
      <c r="Q32" s="8334"/>
      <c r="R32" s="8365"/>
      <c r="S32" s="8366"/>
      <c r="T32" s="8367"/>
      <c r="U32" s="8368"/>
      <c r="V32" s="8334"/>
      <c r="W32" s="8369"/>
      <c r="X32" s="8370"/>
      <c r="Y32" s="8371"/>
      <c r="Z32" s="8371"/>
      <c r="AA32" s="8372"/>
      <c r="AB32" s="8373"/>
      <c r="AC32" s="8374"/>
      <c r="AD32" s="8375"/>
      <c r="AE32" s="8376"/>
      <c r="AF32" s="8377"/>
      <c r="AG32" s="8378"/>
      <c r="AH32" s="8379"/>
    </row>
    <row r="33" spans="1:34" s="1001" customFormat="1" ht="32.25" customHeight="1">
      <c r="A33" s="9392"/>
      <c r="B33" s="10511"/>
      <c r="C33" s="8363"/>
      <c r="D33" s="8334"/>
      <c r="E33" s="8334"/>
      <c r="F33" s="8334"/>
      <c r="G33" s="8335"/>
      <c r="H33" s="8334"/>
      <c r="I33" s="8334"/>
      <c r="J33" s="8334"/>
      <c r="K33" s="8334"/>
      <c r="L33" s="8334"/>
      <c r="M33" s="8364"/>
      <c r="N33" s="8364"/>
      <c r="O33" s="8364"/>
      <c r="P33" s="8336"/>
      <c r="Q33" s="8334"/>
      <c r="R33" s="8365"/>
      <c r="S33" s="8380" t="s">
        <v>15</v>
      </c>
      <c r="T33" s="8381">
        <v>570218</v>
      </c>
      <c r="U33" s="8382"/>
      <c r="V33" s="8390" t="s">
        <v>3465</v>
      </c>
      <c r="W33" s="8384"/>
      <c r="X33" s="8385"/>
      <c r="Y33" s="8386"/>
      <c r="Z33" s="8386"/>
      <c r="AA33" s="8387"/>
      <c r="AB33" s="8388"/>
      <c r="AC33" s="8389" t="s">
        <v>18</v>
      </c>
      <c r="AD33" s="8375"/>
      <c r="AE33" s="8376"/>
      <c r="AF33" s="8377"/>
      <c r="AG33" s="8378"/>
      <c r="AH33" s="8379"/>
    </row>
    <row r="34" spans="1:34" s="1001" customFormat="1" ht="32.25" customHeight="1">
      <c r="A34" s="9392"/>
      <c r="B34" s="10511"/>
      <c r="C34" s="8363"/>
      <c r="D34" s="8334"/>
      <c r="E34" s="8334"/>
      <c r="F34" s="8334"/>
      <c r="G34" s="8335"/>
      <c r="H34" s="8334"/>
      <c r="I34" s="8334"/>
      <c r="J34" s="8334"/>
      <c r="K34" s="8334"/>
      <c r="L34" s="8334"/>
      <c r="M34" s="8364"/>
      <c r="N34" s="8364"/>
      <c r="O34" s="8364"/>
      <c r="P34" s="8336"/>
      <c r="Q34" s="8334"/>
      <c r="R34" s="8365"/>
      <c r="S34" s="8380"/>
      <c r="T34" s="8381"/>
      <c r="U34" s="8382"/>
      <c r="V34" s="8383"/>
      <c r="W34" s="8384"/>
      <c r="X34" s="8385"/>
      <c r="Y34" s="8386"/>
      <c r="Z34" s="8386"/>
      <c r="AA34" s="8387"/>
      <c r="AB34" s="8388"/>
      <c r="AC34" s="8389"/>
      <c r="AD34" s="8375"/>
      <c r="AE34" s="8376"/>
      <c r="AF34" s="8377"/>
      <c r="AG34" s="8378"/>
      <c r="AH34" s="8379"/>
    </row>
    <row r="35" spans="1:34" s="1001" customFormat="1" ht="25.5" customHeight="1">
      <c r="A35" s="9392"/>
      <c r="B35" s="10511"/>
      <c r="C35" s="10516" t="s">
        <v>127</v>
      </c>
      <c r="D35" s="10433" t="s">
        <v>128</v>
      </c>
      <c r="E35" s="10433" t="s">
        <v>129</v>
      </c>
      <c r="F35" s="10433" t="s">
        <v>268</v>
      </c>
      <c r="G35" s="10442" t="s">
        <v>131</v>
      </c>
      <c r="H35" s="10433" t="s">
        <v>132</v>
      </c>
      <c r="I35" s="10443" t="s">
        <v>159</v>
      </c>
      <c r="J35" s="10433" t="s">
        <v>3466</v>
      </c>
      <c r="K35" s="10433" t="s">
        <v>3467</v>
      </c>
      <c r="L35" s="10433" t="s">
        <v>3468</v>
      </c>
      <c r="M35" s="10470">
        <v>0</v>
      </c>
      <c r="N35" s="10470">
        <v>1</v>
      </c>
      <c r="O35" s="10470">
        <v>1</v>
      </c>
      <c r="P35" s="10443" t="s">
        <v>3469</v>
      </c>
      <c r="Q35" s="10443" t="s">
        <v>3470</v>
      </c>
      <c r="R35" s="10439" t="s">
        <v>3471</v>
      </c>
      <c r="S35" s="5649"/>
      <c r="T35" s="5692"/>
      <c r="U35" s="5693"/>
      <c r="V35" s="3761"/>
      <c r="W35" s="5505"/>
      <c r="X35" s="2930"/>
      <c r="Y35" s="5798"/>
      <c r="Z35" s="5798"/>
      <c r="AA35" s="5556"/>
      <c r="AB35" s="5799"/>
      <c r="AC35" s="5824"/>
      <c r="AD35" s="3628"/>
      <c r="AE35" s="3600"/>
      <c r="AF35" s="3629"/>
      <c r="AG35" s="3630"/>
      <c r="AH35" s="10525"/>
    </row>
    <row r="36" spans="1:34" s="1001" customFormat="1" ht="25.5" customHeight="1">
      <c r="A36" s="9392"/>
      <c r="B36" s="10511"/>
      <c r="C36" s="10513"/>
      <c r="D36" s="10434"/>
      <c r="E36" s="10434"/>
      <c r="F36" s="10434"/>
      <c r="G36" s="10434"/>
      <c r="H36" s="10434"/>
      <c r="I36" s="10434"/>
      <c r="J36" s="10434"/>
      <c r="K36" s="10434"/>
      <c r="L36" s="10434"/>
      <c r="M36" s="10437"/>
      <c r="N36" s="10437"/>
      <c r="O36" s="10437"/>
      <c r="P36" s="10434"/>
      <c r="Q36" s="10434"/>
      <c r="R36" s="10440"/>
      <c r="S36" s="5650"/>
      <c r="T36" s="5686"/>
      <c r="U36" s="5686"/>
      <c r="V36" s="3813"/>
      <c r="W36" s="5500"/>
      <c r="X36" s="3504"/>
      <c r="Y36" s="5790"/>
      <c r="Z36" s="5790"/>
      <c r="AA36" s="5790"/>
      <c r="AB36" s="5791"/>
      <c r="AC36" s="5825"/>
      <c r="AD36" s="3589"/>
      <c r="AE36" s="3587"/>
      <c r="AF36" s="3590"/>
      <c r="AG36" s="3583"/>
      <c r="AH36" s="10462"/>
    </row>
    <row r="37" spans="1:34" s="1001" customFormat="1" ht="25.5" customHeight="1">
      <c r="A37" s="9392"/>
      <c r="B37" s="10511"/>
      <c r="C37" s="10513"/>
      <c r="D37" s="10434"/>
      <c r="E37" s="10434"/>
      <c r="F37" s="10434"/>
      <c r="G37" s="10434"/>
      <c r="H37" s="10434"/>
      <c r="I37" s="10434"/>
      <c r="J37" s="10434"/>
      <c r="K37" s="10434"/>
      <c r="L37" s="10434"/>
      <c r="M37" s="10437"/>
      <c r="N37" s="10437"/>
      <c r="O37" s="10437"/>
      <c r="P37" s="10434"/>
      <c r="Q37" s="10434"/>
      <c r="R37" s="10440"/>
      <c r="S37" s="5650"/>
      <c r="T37" s="5686"/>
      <c r="U37" s="5686"/>
      <c r="V37" s="3813"/>
      <c r="W37" s="5500"/>
      <c r="X37" s="3504"/>
      <c r="Y37" s="5790"/>
      <c r="Z37" s="5790"/>
      <c r="AA37" s="5790"/>
      <c r="AB37" s="5791"/>
      <c r="AC37" s="5825"/>
      <c r="AD37" s="3589"/>
      <c r="AE37" s="3587"/>
      <c r="AF37" s="3590"/>
      <c r="AG37" s="3583"/>
      <c r="AH37" s="10462"/>
    </row>
    <row r="38" spans="1:34" s="1001" customFormat="1" ht="25.5" customHeight="1">
      <c r="A38" s="9392"/>
      <c r="B38" s="10511"/>
      <c r="C38" s="10513"/>
      <c r="D38" s="10434"/>
      <c r="E38" s="10434"/>
      <c r="F38" s="10434"/>
      <c r="G38" s="10434"/>
      <c r="H38" s="10434"/>
      <c r="I38" s="10434"/>
      <c r="J38" s="10434"/>
      <c r="K38" s="10434"/>
      <c r="L38" s="10434"/>
      <c r="M38" s="10437"/>
      <c r="N38" s="10437"/>
      <c r="O38" s="10437"/>
      <c r="P38" s="10434"/>
      <c r="Q38" s="10434"/>
      <c r="R38" s="10440"/>
      <c r="S38" s="5650"/>
      <c r="T38" s="5686"/>
      <c r="U38" s="5686"/>
      <c r="V38" s="3813"/>
      <c r="W38" s="5500"/>
      <c r="X38" s="3504"/>
      <c r="Y38" s="5790"/>
      <c r="Z38" s="5790"/>
      <c r="AA38" s="5790"/>
      <c r="AB38" s="5791"/>
      <c r="AC38" s="5825"/>
      <c r="AD38" s="3589"/>
      <c r="AE38" s="3587"/>
      <c r="AF38" s="3590"/>
      <c r="AG38" s="3583"/>
      <c r="AH38" s="10462"/>
    </row>
    <row r="39" spans="1:34" s="1001" customFormat="1" ht="25.5" customHeight="1">
      <c r="A39" s="9392"/>
      <c r="B39" s="10511"/>
      <c r="C39" s="10514"/>
      <c r="D39" s="10435"/>
      <c r="E39" s="10435"/>
      <c r="F39" s="10435"/>
      <c r="G39" s="10435"/>
      <c r="H39" s="10435"/>
      <c r="I39" s="10435"/>
      <c r="J39" s="10435"/>
      <c r="K39" s="10435"/>
      <c r="L39" s="10435"/>
      <c r="M39" s="10438"/>
      <c r="N39" s="10438"/>
      <c r="O39" s="10438"/>
      <c r="P39" s="10435"/>
      <c r="Q39" s="10435"/>
      <c r="R39" s="10441"/>
      <c r="S39" s="5651"/>
      <c r="T39" s="5688"/>
      <c r="U39" s="5688"/>
      <c r="V39" s="2932"/>
      <c r="W39" s="5506"/>
      <c r="X39" s="2933"/>
      <c r="Y39" s="5792"/>
      <c r="Z39" s="5792"/>
      <c r="AA39" s="5792"/>
      <c r="AB39" s="5793"/>
      <c r="AC39" s="5826"/>
      <c r="AD39" s="3615"/>
      <c r="AE39" s="3614"/>
      <c r="AF39" s="3631"/>
      <c r="AG39" s="3608"/>
      <c r="AH39" s="10465"/>
    </row>
    <row r="40" spans="1:34" s="1001" customFormat="1" ht="30" customHeight="1">
      <c r="A40" s="9392"/>
      <c r="B40" s="10511"/>
      <c r="C40" s="10512" t="s">
        <v>127</v>
      </c>
      <c r="D40" s="10444" t="s">
        <v>128</v>
      </c>
      <c r="E40" s="10444" t="s">
        <v>129</v>
      </c>
      <c r="F40" s="10444" t="s">
        <v>268</v>
      </c>
      <c r="G40" s="10451" t="s">
        <v>131</v>
      </c>
      <c r="H40" s="10444" t="s">
        <v>132</v>
      </c>
      <c r="I40" s="10448" t="s">
        <v>159</v>
      </c>
      <c r="J40" s="10444" t="s">
        <v>3472</v>
      </c>
      <c r="K40" s="10444" t="s">
        <v>338</v>
      </c>
      <c r="L40" s="10444" t="s">
        <v>3473</v>
      </c>
      <c r="M40" s="10455">
        <v>0</v>
      </c>
      <c r="N40" s="10455">
        <v>2</v>
      </c>
      <c r="O40" s="10455">
        <v>3</v>
      </c>
      <c r="P40" s="10448" t="s">
        <v>3474</v>
      </c>
      <c r="Q40" s="10444" t="s">
        <v>3475</v>
      </c>
      <c r="R40" s="10449" t="s">
        <v>3476</v>
      </c>
      <c r="S40" s="5652" t="s">
        <v>15</v>
      </c>
      <c r="T40" s="5694">
        <v>531407</v>
      </c>
      <c r="U40" s="5695"/>
      <c r="V40" s="3825" t="s">
        <v>40</v>
      </c>
      <c r="W40" s="5516"/>
      <c r="X40" s="3721"/>
      <c r="Y40" s="5800"/>
      <c r="Z40" s="5800"/>
      <c r="AA40" s="5800"/>
      <c r="AB40" s="5801">
        <f>SUM(AA41:AA43)</f>
        <v>95.2</v>
      </c>
      <c r="AC40" s="5827" t="s">
        <v>18</v>
      </c>
      <c r="AD40" s="3624"/>
      <c r="AE40" s="3625"/>
      <c r="AF40" s="3626"/>
      <c r="AG40" s="3627"/>
      <c r="AH40" s="10464"/>
    </row>
    <row r="41" spans="1:34" s="1001" customFormat="1" ht="30" customHeight="1">
      <c r="A41" s="9392"/>
      <c r="B41" s="10511"/>
      <c r="C41" s="10513"/>
      <c r="D41" s="10434"/>
      <c r="E41" s="10434"/>
      <c r="F41" s="10434"/>
      <c r="G41" s="10434"/>
      <c r="H41" s="10434"/>
      <c r="I41" s="10434"/>
      <c r="J41" s="10434"/>
      <c r="K41" s="10434"/>
      <c r="L41" s="10434"/>
      <c r="M41" s="10437"/>
      <c r="N41" s="10437"/>
      <c r="O41" s="10437"/>
      <c r="P41" s="10434"/>
      <c r="Q41" s="10434"/>
      <c r="R41" s="10440"/>
      <c r="S41" s="5650"/>
      <c r="T41" s="5686"/>
      <c r="U41" s="5686">
        <v>461220011</v>
      </c>
      <c r="V41" s="3813" t="s">
        <v>574</v>
      </c>
      <c r="W41" s="5500">
        <v>1</v>
      </c>
      <c r="X41" s="3504" t="s">
        <v>180</v>
      </c>
      <c r="Y41" s="5790">
        <v>85</v>
      </c>
      <c r="Z41" s="5790">
        <f t="shared" ref="Z41" si="1">W41*Y41</f>
        <v>85</v>
      </c>
      <c r="AA41" s="5790">
        <f t="shared" ref="AA41" si="2">+Z41*1.12</f>
        <v>95.2</v>
      </c>
      <c r="AB41" s="5791"/>
      <c r="AC41" s="5825"/>
      <c r="AD41" s="3589"/>
      <c r="AE41" s="3587"/>
      <c r="AF41" s="3590" t="s">
        <v>153</v>
      </c>
      <c r="AG41" s="3583"/>
      <c r="AH41" s="10462"/>
    </row>
    <row r="42" spans="1:34" s="1001" customFormat="1" ht="30" customHeight="1">
      <c r="A42" s="9392"/>
      <c r="B42" s="10511"/>
      <c r="C42" s="10513"/>
      <c r="D42" s="10434"/>
      <c r="E42" s="10434"/>
      <c r="F42" s="10434"/>
      <c r="G42" s="10434"/>
      <c r="H42" s="10434"/>
      <c r="I42" s="10434"/>
      <c r="J42" s="10434"/>
      <c r="K42" s="10434"/>
      <c r="L42" s="10434"/>
      <c r="M42" s="10437"/>
      <c r="N42" s="10437"/>
      <c r="O42" s="10437"/>
      <c r="P42" s="10434"/>
      <c r="Q42" s="10434"/>
      <c r="R42" s="10440"/>
      <c r="S42" s="5650"/>
      <c r="T42" s="5686"/>
      <c r="U42" s="5686"/>
      <c r="V42" s="3813"/>
      <c r="W42" s="5500"/>
      <c r="X42" s="3504"/>
      <c r="Y42" s="5790"/>
      <c r="Z42" s="5790"/>
      <c r="AA42" s="5790"/>
      <c r="AB42" s="5791"/>
      <c r="AC42" s="5825"/>
      <c r="AD42" s="3589"/>
      <c r="AE42" s="3587"/>
      <c r="AF42" s="3590"/>
      <c r="AG42" s="3583"/>
      <c r="AH42" s="10462"/>
    </row>
    <row r="43" spans="1:34" s="1001" customFormat="1" ht="30" customHeight="1">
      <c r="A43" s="9392"/>
      <c r="B43" s="10511"/>
      <c r="C43" s="10513"/>
      <c r="D43" s="10434"/>
      <c r="E43" s="10434"/>
      <c r="F43" s="10434"/>
      <c r="G43" s="10434"/>
      <c r="H43" s="10434"/>
      <c r="I43" s="10434"/>
      <c r="J43" s="10434"/>
      <c r="K43" s="10434"/>
      <c r="L43" s="10434"/>
      <c r="M43" s="10437"/>
      <c r="N43" s="10437"/>
      <c r="O43" s="10437"/>
      <c r="P43" s="10434"/>
      <c r="Q43" s="10434"/>
      <c r="R43" s="10440"/>
      <c r="S43" s="5650"/>
      <c r="T43" s="5686"/>
      <c r="U43" s="5686"/>
      <c r="V43" s="3813"/>
      <c r="W43" s="5500"/>
      <c r="X43" s="3504"/>
      <c r="Y43" s="5790"/>
      <c r="Z43" s="5790"/>
      <c r="AA43" s="5790"/>
      <c r="AB43" s="5791"/>
      <c r="AC43" s="5825"/>
      <c r="AD43" s="3589"/>
      <c r="AE43" s="3587"/>
      <c r="AF43" s="3590"/>
      <c r="AG43" s="3583"/>
      <c r="AH43" s="10462"/>
    </row>
    <row r="44" spans="1:34" s="1001" customFormat="1" ht="30" customHeight="1">
      <c r="A44" s="9392"/>
      <c r="B44" s="10511"/>
      <c r="C44" s="10514"/>
      <c r="D44" s="10435"/>
      <c r="E44" s="10435"/>
      <c r="F44" s="10435"/>
      <c r="G44" s="10435"/>
      <c r="H44" s="10435"/>
      <c r="I44" s="10435"/>
      <c r="J44" s="10435"/>
      <c r="K44" s="10435"/>
      <c r="L44" s="10435"/>
      <c r="M44" s="10438"/>
      <c r="N44" s="10438"/>
      <c r="O44" s="10438"/>
      <c r="P44" s="10435"/>
      <c r="Q44" s="10435"/>
      <c r="R44" s="10441"/>
      <c r="S44" s="5653"/>
      <c r="T44" s="5696"/>
      <c r="U44" s="5696"/>
      <c r="V44" s="3557"/>
      <c r="W44" s="5503"/>
      <c r="X44" s="3545"/>
      <c r="Y44" s="5558"/>
      <c r="Z44" s="5558"/>
      <c r="AA44" s="5558"/>
      <c r="AB44" s="5559"/>
      <c r="AC44" s="5828"/>
      <c r="AD44" s="3607"/>
      <c r="AE44" s="3606"/>
      <c r="AF44" s="3608"/>
      <c r="AG44" s="3608"/>
      <c r="AH44" s="10465"/>
    </row>
    <row r="45" spans="1:34" s="1001" customFormat="1" ht="22.5" customHeight="1" thickBot="1">
      <c r="A45" s="9392"/>
      <c r="B45" s="9399"/>
      <c r="C45" s="10529"/>
      <c r="D45" s="10529"/>
      <c r="E45" s="10529"/>
      <c r="F45" s="10529"/>
      <c r="G45" s="10529"/>
      <c r="H45" s="10529"/>
      <c r="I45" s="10529"/>
      <c r="J45" s="10529"/>
      <c r="K45" s="10529"/>
      <c r="L45" s="10529"/>
      <c r="M45" s="10529"/>
      <c r="N45" s="10529"/>
      <c r="O45" s="10529"/>
      <c r="P45" s="10529"/>
      <c r="Q45" s="10529"/>
      <c r="R45" s="10530"/>
      <c r="S45" s="10526" t="s">
        <v>3477</v>
      </c>
      <c r="T45" s="10527"/>
      <c r="U45" s="10527"/>
      <c r="V45" s="10527"/>
      <c r="W45" s="10527"/>
      <c r="X45" s="10527"/>
      <c r="Y45" s="10527"/>
      <c r="Z45" s="10528"/>
      <c r="AA45" s="2939" t="s">
        <v>292</v>
      </c>
      <c r="AB45" s="7356">
        <f>SUM(AB9:AB44)</f>
        <v>274196.31</v>
      </c>
      <c r="AC45" s="5829"/>
      <c r="AD45" s="1740"/>
      <c r="AE45" s="10474"/>
      <c r="AF45" s="10475"/>
      <c r="AG45" s="10475"/>
      <c r="AH45" s="9712"/>
    </row>
    <row r="46" spans="1:34" s="1001" customFormat="1" ht="32.25" customHeight="1">
      <c r="A46" s="9392"/>
      <c r="B46" s="9246" t="s">
        <v>3478</v>
      </c>
      <c r="C46" s="10518" t="s">
        <v>127</v>
      </c>
      <c r="D46" s="10452" t="s">
        <v>128</v>
      </c>
      <c r="E46" s="10452" t="s">
        <v>129</v>
      </c>
      <c r="F46" s="10452" t="s">
        <v>268</v>
      </c>
      <c r="G46" s="10454" t="s">
        <v>131</v>
      </c>
      <c r="H46" s="10452" t="s">
        <v>132</v>
      </c>
      <c r="I46" s="10452" t="s">
        <v>214</v>
      </c>
      <c r="J46" s="10477" t="s">
        <v>3479</v>
      </c>
      <c r="K46" s="10452" t="s">
        <v>3480</v>
      </c>
      <c r="L46" s="10452" t="s">
        <v>3481</v>
      </c>
      <c r="M46" s="10488">
        <v>0</v>
      </c>
      <c r="N46" s="10488">
        <v>1</v>
      </c>
      <c r="O46" s="10488">
        <v>0</v>
      </c>
      <c r="P46" s="10452" t="s">
        <v>3482</v>
      </c>
      <c r="Q46" s="10477" t="s">
        <v>3483</v>
      </c>
      <c r="R46" s="10453" t="s">
        <v>3484</v>
      </c>
      <c r="S46" s="5642"/>
      <c r="T46" s="5744"/>
      <c r="U46" s="5680"/>
      <c r="V46" s="5745"/>
      <c r="W46" s="5498"/>
      <c r="X46" s="3683"/>
      <c r="Y46" s="5550"/>
      <c r="Z46" s="5550"/>
      <c r="AA46" s="5550"/>
      <c r="AB46" s="5551"/>
      <c r="AC46" s="5816"/>
      <c r="AD46" s="3575"/>
      <c r="AE46" s="3574"/>
      <c r="AF46" s="3577"/>
      <c r="AG46" s="3577"/>
      <c r="AH46" s="10531"/>
    </row>
    <row r="47" spans="1:34" s="1001" customFormat="1" ht="32.25" customHeight="1">
      <c r="A47" s="9392"/>
      <c r="B47" s="10511"/>
      <c r="C47" s="10513"/>
      <c r="D47" s="10434"/>
      <c r="E47" s="10434"/>
      <c r="F47" s="10434"/>
      <c r="G47" s="10434"/>
      <c r="H47" s="10434"/>
      <c r="I47" s="10434"/>
      <c r="J47" s="10434"/>
      <c r="K47" s="10434"/>
      <c r="L47" s="10434"/>
      <c r="M47" s="10437"/>
      <c r="N47" s="10437"/>
      <c r="O47" s="10437"/>
      <c r="P47" s="10434"/>
      <c r="Q47" s="10434"/>
      <c r="R47" s="10440"/>
      <c r="S47" s="5643"/>
      <c r="T47" s="5697"/>
      <c r="U47" s="5681"/>
      <c r="V47" s="5627"/>
      <c r="W47" s="5499"/>
      <c r="X47" s="3496"/>
      <c r="Y47" s="5552"/>
      <c r="Z47" s="5552"/>
      <c r="AA47" s="5552"/>
      <c r="AB47" s="5553"/>
      <c r="AC47" s="5817"/>
      <c r="AD47" s="3581"/>
      <c r="AE47" s="3579"/>
      <c r="AF47" s="3582"/>
      <c r="AG47" s="3583"/>
      <c r="AH47" s="10479"/>
    </row>
    <row r="48" spans="1:34" s="1001" customFormat="1" ht="32.25" customHeight="1">
      <c r="A48" s="9392"/>
      <c r="B48" s="10511"/>
      <c r="C48" s="10513"/>
      <c r="D48" s="10434"/>
      <c r="E48" s="10434"/>
      <c r="F48" s="10434"/>
      <c r="G48" s="10434"/>
      <c r="H48" s="10434"/>
      <c r="I48" s="10434"/>
      <c r="J48" s="10434"/>
      <c r="K48" s="10434"/>
      <c r="L48" s="10434"/>
      <c r="M48" s="10437"/>
      <c r="N48" s="10437"/>
      <c r="O48" s="10437"/>
      <c r="P48" s="10434"/>
      <c r="Q48" s="10434"/>
      <c r="R48" s="10440"/>
      <c r="S48" s="5643"/>
      <c r="T48" s="5697"/>
      <c r="U48" s="5681"/>
      <c r="V48" s="5627"/>
      <c r="W48" s="5499"/>
      <c r="X48" s="3496"/>
      <c r="Y48" s="5552"/>
      <c r="Z48" s="5552"/>
      <c r="AA48" s="5552"/>
      <c r="AB48" s="5553"/>
      <c r="AC48" s="5817"/>
      <c r="AD48" s="3581"/>
      <c r="AE48" s="3579"/>
      <c r="AF48" s="3583"/>
      <c r="AG48" s="3583"/>
      <c r="AH48" s="10479"/>
    </row>
    <row r="49" spans="1:34" s="1001" customFormat="1" ht="32.25" customHeight="1">
      <c r="A49" s="9392"/>
      <c r="B49" s="10511"/>
      <c r="C49" s="10513"/>
      <c r="D49" s="10434"/>
      <c r="E49" s="10434"/>
      <c r="F49" s="10434"/>
      <c r="G49" s="10434"/>
      <c r="H49" s="10434"/>
      <c r="I49" s="10434"/>
      <c r="J49" s="10434"/>
      <c r="K49" s="10434"/>
      <c r="L49" s="10434"/>
      <c r="M49" s="10437"/>
      <c r="N49" s="10437"/>
      <c r="O49" s="10437"/>
      <c r="P49" s="10434"/>
      <c r="Q49" s="10434"/>
      <c r="R49" s="10440"/>
      <c r="S49" s="5645"/>
      <c r="T49" s="5698"/>
      <c r="U49" s="5681"/>
      <c r="V49" s="5627"/>
      <c r="W49" s="5499"/>
      <c r="X49" s="3496"/>
      <c r="Y49" s="5552"/>
      <c r="Z49" s="5552"/>
      <c r="AA49" s="5552"/>
      <c r="AB49" s="5553"/>
      <c r="AC49" s="5817"/>
      <c r="AD49" s="3581"/>
      <c r="AE49" s="3579"/>
      <c r="AF49" s="3583"/>
      <c r="AG49" s="3583"/>
      <c r="AH49" s="10479"/>
    </row>
    <row r="50" spans="1:34" s="1001" customFormat="1" ht="32.25" customHeight="1">
      <c r="A50" s="9392"/>
      <c r="B50" s="10511"/>
      <c r="C50" s="10515"/>
      <c r="D50" s="10445"/>
      <c r="E50" s="10445"/>
      <c r="F50" s="10445"/>
      <c r="G50" s="10445"/>
      <c r="H50" s="10445"/>
      <c r="I50" s="10445"/>
      <c r="J50" s="10445"/>
      <c r="K50" s="10445"/>
      <c r="L50" s="10445"/>
      <c r="M50" s="10447"/>
      <c r="N50" s="10447"/>
      <c r="O50" s="10447"/>
      <c r="P50" s="10445"/>
      <c r="Q50" s="10445"/>
      <c r="R50" s="10450"/>
      <c r="S50" s="5646"/>
      <c r="T50" s="5699"/>
      <c r="U50" s="5683"/>
      <c r="V50" s="5628"/>
      <c r="W50" s="5509"/>
      <c r="X50" s="3714"/>
      <c r="Y50" s="5554"/>
      <c r="Z50" s="5554"/>
      <c r="AA50" s="5554"/>
      <c r="AB50" s="5555"/>
      <c r="AC50" s="5818"/>
      <c r="AD50" s="3619"/>
      <c r="AE50" s="3617"/>
      <c r="AF50" s="3621"/>
      <c r="AG50" s="3621"/>
      <c r="AH50" s="10480"/>
    </row>
    <row r="51" spans="1:34" s="1001" customFormat="1" ht="22.5" customHeight="1">
      <c r="A51" s="9392"/>
      <c r="B51" s="10511"/>
      <c r="C51" s="10516" t="s">
        <v>127</v>
      </c>
      <c r="D51" s="10433" t="s">
        <v>128</v>
      </c>
      <c r="E51" s="10433" t="s">
        <v>129</v>
      </c>
      <c r="F51" s="10433" t="s">
        <v>268</v>
      </c>
      <c r="G51" s="10442" t="s">
        <v>131</v>
      </c>
      <c r="H51" s="10433" t="s">
        <v>132</v>
      </c>
      <c r="I51" s="10433" t="s">
        <v>214</v>
      </c>
      <c r="J51" s="10433" t="s">
        <v>3485</v>
      </c>
      <c r="K51" s="10433" t="s">
        <v>3486</v>
      </c>
      <c r="L51" s="10433" t="s">
        <v>3487</v>
      </c>
      <c r="M51" s="10470">
        <v>10</v>
      </c>
      <c r="N51" s="10470">
        <v>10</v>
      </c>
      <c r="O51" s="10470">
        <v>5</v>
      </c>
      <c r="P51" s="10433" t="s">
        <v>3488</v>
      </c>
      <c r="Q51" s="10443" t="s">
        <v>3489</v>
      </c>
      <c r="R51" s="10439" t="s">
        <v>3484</v>
      </c>
      <c r="S51" s="5654"/>
      <c r="T51" s="5700"/>
      <c r="U51" s="5685"/>
      <c r="V51" s="5746"/>
      <c r="W51" s="5502"/>
      <c r="X51" s="3709"/>
      <c r="Y51" s="5556"/>
      <c r="Z51" s="5556"/>
      <c r="AA51" s="5556"/>
      <c r="AB51" s="5557"/>
      <c r="AC51" s="5819"/>
      <c r="AD51" s="3599"/>
      <c r="AE51" s="3598"/>
      <c r="AF51" s="3613"/>
      <c r="AG51" s="3613"/>
      <c r="AH51" s="10481"/>
    </row>
    <row r="52" spans="1:34" s="1001" customFormat="1" ht="22.5" customHeight="1">
      <c r="A52" s="9392"/>
      <c r="B52" s="10511"/>
      <c r="C52" s="10513"/>
      <c r="D52" s="10434"/>
      <c r="E52" s="10434"/>
      <c r="F52" s="10434"/>
      <c r="G52" s="10434"/>
      <c r="H52" s="10434"/>
      <c r="I52" s="10434"/>
      <c r="J52" s="10434"/>
      <c r="K52" s="10434"/>
      <c r="L52" s="10434"/>
      <c r="M52" s="10437"/>
      <c r="N52" s="10437"/>
      <c r="O52" s="10437"/>
      <c r="P52" s="10434"/>
      <c r="Q52" s="10434"/>
      <c r="R52" s="10440"/>
      <c r="S52" s="5643"/>
      <c r="T52" s="5697"/>
      <c r="U52" s="5681"/>
      <c r="V52" s="5627"/>
      <c r="W52" s="5499"/>
      <c r="X52" s="3496"/>
      <c r="Y52" s="5552"/>
      <c r="Z52" s="5552"/>
      <c r="AA52" s="5552"/>
      <c r="AB52" s="5553"/>
      <c r="AC52" s="5817"/>
      <c r="AD52" s="3581"/>
      <c r="AE52" s="3579"/>
      <c r="AF52" s="3579"/>
      <c r="AG52" s="3585"/>
      <c r="AH52" s="10479"/>
    </row>
    <row r="53" spans="1:34" s="1001" customFormat="1" ht="22.5" customHeight="1">
      <c r="A53" s="9392"/>
      <c r="B53" s="10511"/>
      <c r="C53" s="10513"/>
      <c r="D53" s="10434"/>
      <c r="E53" s="10434"/>
      <c r="F53" s="10434"/>
      <c r="G53" s="10434"/>
      <c r="H53" s="10434"/>
      <c r="I53" s="10434"/>
      <c r="J53" s="10434"/>
      <c r="K53" s="10434"/>
      <c r="L53" s="10434"/>
      <c r="M53" s="10437"/>
      <c r="N53" s="10437"/>
      <c r="O53" s="10437"/>
      <c r="P53" s="10434"/>
      <c r="Q53" s="10434"/>
      <c r="R53" s="10440"/>
      <c r="S53" s="5643"/>
      <c r="T53" s="5697"/>
      <c r="U53" s="5681"/>
      <c r="V53" s="5627"/>
      <c r="W53" s="5499"/>
      <c r="X53" s="3496"/>
      <c r="Y53" s="5552"/>
      <c r="Z53" s="5552"/>
      <c r="AA53" s="5552"/>
      <c r="AB53" s="5553"/>
      <c r="AC53" s="5817"/>
      <c r="AD53" s="3581"/>
      <c r="AE53" s="3579"/>
      <c r="AF53" s="3579"/>
      <c r="AG53" s="3583"/>
      <c r="AH53" s="10479"/>
    </row>
    <row r="54" spans="1:34" s="1001" customFormat="1" ht="22.5" customHeight="1">
      <c r="A54" s="9392"/>
      <c r="B54" s="10511"/>
      <c r="C54" s="10513"/>
      <c r="D54" s="10434"/>
      <c r="E54" s="10434"/>
      <c r="F54" s="10434"/>
      <c r="G54" s="10434"/>
      <c r="H54" s="10434"/>
      <c r="I54" s="10434"/>
      <c r="J54" s="10434"/>
      <c r="K54" s="10434"/>
      <c r="L54" s="10434"/>
      <c r="M54" s="10437"/>
      <c r="N54" s="10437"/>
      <c r="O54" s="10437"/>
      <c r="P54" s="10434"/>
      <c r="Q54" s="10434"/>
      <c r="R54" s="10440"/>
      <c r="S54" s="5643"/>
      <c r="T54" s="5697"/>
      <c r="U54" s="5681"/>
      <c r="V54" s="5627"/>
      <c r="W54" s="5499"/>
      <c r="X54" s="3496"/>
      <c r="Y54" s="5552"/>
      <c r="Z54" s="5552"/>
      <c r="AA54" s="5552"/>
      <c r="AB54" s="5553"/>
      <c r="AC54" s="5817"/>
      <c r="AD54" s="3581"/>
      <c r="AE54" s="3579"/>
      <c r="AF54" s="3579"/>
      <c r="AG54" s="3583"/>
      <c r="AH54" s="10479"/>
    </row>
    <row r="55" spans="1:34" s="1001" customFormat="1" ht="22.5" customHeight="1">
      <c r="A55" s="9392"/>
      <c r="B55" s="10511"/>
      <c r="C55" s="10514"/>
      <c r="D55" s="10435"/>
      <c r="E55" s="10435"/>
      <c r="F55" s="10435"/>
      <c r="G55" s="10435"/>
      <c r="H55" s="10435"/>
      <c r="I55" s="10435"/>
      <c r="J55" s="10435"/>
      <c r="K55" s="10435"/>
      <c r="L55" s="10435"/>
      <c r="M55" s="10438"/>
      <c r="N55" s="10438"/>
      <c r="O55" s="10438"/>
      <c r="P55" s="10435"/>
      <c r="Q55" s="10435"/>
      <c r="R55" s="10441"/>
      <c r="S55" s="5653"/>
      <c r="T55" s="5701"/>
      <c r="U55" s="5696"/>
      <c r="V55" s="5630"/>
      <c r="W55" s="5503"/>
      <c r="X55" s="3545"/>
      <c r="Y55" s="5558"/>
      <c r="Z55" s="5558"/>
      <c r="AA55" s="5558"/>
      <c r="AB55" s="5559"/>
      <c r="AC55" s="5830"/>
      <c r="AD55" s="3607"/>
      <c r="AE55" s="3606"/>
      <c r="AF55" s="3606"/>
      <c r="AG55" s="3608"/>
      <c r="AH55" s="10482"/>
    </row>
    <row r="56" spans="1:34" s="1001" customFormat="1" ht="24" customHeight="1">
      <c r="A56" s="9392"/>
      <c r="B56" s="10511"/>
      <c r="C56" s="10512" t="s">
        <v>127</v>
      </c>
      <c r="D56" s="10444" t="s">
        <v>128</v>
      </c>
      <c r="E56" s="10444" t="s">
        <v>129</v>
      </c>
      <c r="F56" s="10444" t="s">
        <v>268</v>
      </c>
      <c r="G56" s="10451" t="s">
        <v>131</v>
      </c>
      <c r="H56" s="10444" t="s">
        <v>132</v>
      </c>
      <c r="I56" s="10444" t="s">
        <v>214</v>
      </c>
      <c r="J56" s="10444" t="s">
        <v>3490</v>
      </c>
      <c r="K56" s="10444" t="s">
        <v>3491</v>
      </c>
      <c r="L56" s="10444" t="s">
        <v>3492</v>
      </c>
      <c r="M56" s="10455">
        <v>20</v>
      </c>
      <c r="N56" s="10455">
        <v>50</v>
      </c>
      <c r="O56" s="10455">
        <v>40</v>
      </c>
      <c r="P56" s="10444" t="s">
        <v>3493</v>
      </c>
      <c r="Q56" s="10448" t="s">
        <v>3494</v>
      </c>
      <c r="R56" s="10449" t="s">
        <v>3495</v>
      </c>
      <c r="S56" s="5655"/>
      <c r="T56" s="5702"/>
      <c r="U56" s="5690"/>
      <c r="V56" s="5747"/>
      <c r="W56" s="5504"/>
      <c r="X56" s="3658"/>
      <c r="Y56" s="5560"/>
      <c r="Z56" s="5560"/>
      <c r="AA56" s="5560"/>
      <c r="AB56" s="5561"/>
      <c r="AC56" s="5831"/>
      <c r="AD56" s="3636"/>
      <c r="AE56" s="3623"/>
      <c r="AF56" s="3627"/>
      <c r="AG56" s="3627"/>
      <c r="AH56" s="10478"/>
    </row>
    <row r="57" spans="1:34" s="1001" customFormat="1" ht="24" customHeight="1">
      <c r="A57" s="9392"/>
      <c r="B57" s="10511"/>
      <c r="C57" s="10513"/>
      <c r="D57" s="10434"/>
      <c r="E57" s="10434"/>
      <c r="F57" s="10434"/>
      <c r="G57" s="10434"/>
      <c r="H57" s="10434"/>
      <c r="I57" s="10434"/>
      <c r="J57" s="10434"/>
      <c r="K57" s="10434"/>
      <c r="L57" s="10434"/>
      <c r="M57" s="10437"/>
      <c r="N57" s="10437"/>
      <c r="O57" s="10437"/>
      <c r="P57" s="10434"/>
      <c r="Q57" s="10434"/>
      <c r="R57" s="10440"/>
      <c r="S57" s="5643"/>
      <c r="T57" s="5697"/>
      <c r="U57" s="5681"/>
      <c r="V57" s="5627"/>
      <c r="W57" s="5499"/>
      <c r="X57" s="3496"/>
      <c r="Y57" s="5552"/>
      <c r="Z57" s="5552"/>
      <c r="AA57" s="5552"/>
      <c r="AB57" s="5553"/>
      <c r="AC57" s="5817"/>
      <c r="AD57" s="3581"/>
      <c r="AE57" s="3579"/>
      <c r="AF57" s="3583"/>
      <c r="AG57" s="3583"/>
      <c r="AH57" s="10479"/>
    </row>
    <row r="58" spans="1:34" s="1001" customFormat="1" ht="24" customHeight="1">
      <c r="A58" s="9392"/>
      <c r="B58" s="10511"/>
      <c r="C58" s="10513"/>
      <c r="D58" s="10434"/>
      <c r="E58" s="10434"/>
      <c r="F58" s="10434"/>
      <c r="G58" s="10434"/>
      <c r="H58" s="10434"/>
      <c r="I58" s="10434"/>
      <c r="J58" s="10434"/>
      <c r="K58" s="10434"/>
      <c r="L58" s="10434"/>
      <c r="M58" s="10437"/>
      <c r="N58" s="10437"/>
      <c r="O58" s="10437"/>
      <c r="P58" s="10434"/>
      <c r="Q58" s="10434"/>
      <c r="R58" s="10440"/>
      <c r="S58" s="5643"/>
      <c r="T58" s="5697"/>
      <c r="U58" s="5681"/>
      <c r="V58" s="5627"/>
      <c r="W58" s="5499"/>
      <c r="X58" s="3496"/>
      <c r="Y58" s="5552"/>
      <c r="Z58" s="5552"/>
      <c r="AA58" s="5552"/>
      <c r="AB58" s="5553"/>
      <c r="AC58" s="5817"/>
      <c r="AD58" s="3581"/>
      <c r="AE58" s="3579"/>
      <c r="AF58" s="3583"/>
      <c r="AG58" s="3583"/>
      <c r="AH58" s="10479"/>
    </row>
    <row r="59" spans="1:34" s="1001" customFormat="1" ht="24" customHeight="1">
      <c r="A59" s="9392"/>
      <c r="B59" s="10511"/>
      <c r="C59" s="10513"/>
      <c r="D59" s="10434"/>
      <c r="E59" s="10434"/>
      <c r="F59" s="10434"/>
      <c r="G59" s="10434"/>
      <c r="H59" s="10434"/>
      <c r="I59" s="10434"/>
      <c r="J59" s="10434"/>
      <c r="K59" s="10434"/>
      <c r="L59" s="10434"/>
      <c r="M59" s="10437"/>
      <c r="N59" s="10437"/>
      <c r="O59" s="10437"/>
      <c r="P59" s="10434"/>
      <c r="Q59" s="10434"/>
      <c r="R59" s="10440"/>
      <c r="S59" s="5643"/>
      <c r="T59" s="5697"/>
      <c r="U59" s="5681"/>
      <c r="V59" s="5627"/>
      <c r="W59" s="5499"/>
      <c r="X59" s="3496"/>
      <c r="Y59" s="5552"/>
      <c r="Z59" s="5552"/>
      <c r="AA59" s="5552"/>
      <c r="AB59" s="5553"/>
      <c r="AC59" s="5817"/>
      <c r="AD59" s="3581"/>
      <c r="AE59" s="3579"/>
      <c r="AF59" s="3583"/>
      <c r="AG59" s="3583"/>
      <c r="AH59" s="10479"/>
    </row>
    <row r="60" spans="1:34" s="1001" customFormat="1" ht="24" customHeight="1">
      <c r="A60" s="9392"/>
      <c r="B60" s="10511"/>
      <c r="C60" s="10515"/>
      <c r="D60" s="10445"/>
      <c r="E60" s="10445"/>
      <c r="F60" s="10445"/>
      <c r="G60" s="10445"/>
      <c r="H60" s="10445"/>
      <c r="I60" s="10445"/>
      <c r="J60" s="10445"/>
      <c r="K60" s="10445"/>
      <c r="L60" s="10445"/>
      <c r="M60" s="10447"/>
      <c r="N60" s="10447"/>
      <c r="O60" s="10447"/>
      <c r="P60" s="10445"/>
      <c r="Q60" s="10445"/>
      <c r="R60" s="10450"/>
      <c r="S60" s="5646"/>
      <c r="T60" s="5699"/>
      <c r="U60" s="5683"/>
      <c r="V60" s="5628"/>
      <c r="W60" s="5509"/>
      <c r="X60" s="3714"/>
      <c r="Y60" s="5554"/>
      <c r="Z60" s="5554"/>
      <c r="AA60" s="5554"/>
      <c r="AB60" s="5555"/>
      <c r="AC60" s="5818"/>
      <c r="AD60" s="3619"/>
      <c r="AE60" s="3617"/>
      <c r="AF60" s="3621"/>
      <c r="AG60" s="3621"/>
      <c r="AH60" s="10480"/>
    </row>
    <row r="61" spans="1:34" s="1001" customFormat="1" ht="24" customHeight="1">
      <c r="A61" s="9392"/>
      <c r="B61" s="10511"/>
      <c r="C61" s="10516" t="s">
        <v>127</v>
      </c>
      <c r="D61" s="10433" t="s">
        <v>128</v>
      </c>
      <c r="E61" s="10433" t="s">
        <v>129</v>
      </c>
      <c r="F61" s="10433" t="s">
        <v>268</v>
      </c>
      <c r="G61" s="10442" t="s">
        <v>131</v>
      </c>
      <c r="H61" s="10433" t="s">
        <v>132</v>
      </c>
      <c r="I61" s="10433" t="s">
        <v>214</v>
      </c>
      <c r="J61" s="10433" t="s">
        <v>3496</v>
      </c>
      <c r="K61" s="10433" t="s">
        <v>3497</v>
      </c>
      <c r="L61" s="10433" t="s">
        <v>3498</v>
      </c>
      <c r="M61" s="10470">
        <v>1</v>
      </c>
      <c r="N61" s="10470">
        <v>1</v>
      </c>
      <c r="O61" s="10470">
        <v>1</v>
      </c>
      <c r="P61" s="10433" t="s">
        <v>3499</v>
      </c>
      <c r="Q61" s="10443" t="s">
        <v>3500</v>
      </c>
      <c r="R61" s="10439" t="s">
        <v>3501</v>
      </c>
      <c r="S61" s="5654"/>
      <c r="T61" s="5700"/>
      <c r="U61" s="5685"/>
      <c r="V61" s="5746"/>
      <c r="W61" s="5502"/>
      <c r="X61" s="3709"/>
      <c r="Y61" s="5556"/>
      <c r="Z61" s="5556"/>
      <c r="AA61" s="5556"/>
      <c r="AB61" s="5557"/>
      <c r="AC61" s="5819"/>
      <c r="AD61" s="3599"/>
      <c r="AE61" s="3598"/>
      <c r="AF61" s="3630"/>
      <c r="AG61" s="3630"/>
      <c r="AH61" s="10481"/>
    </row>
    <row r="62" spans="1:34" s="1001" customFormat="1" ht="24" customHeight="1">
      <c r="A62" s="9392"/>
      <c r="B62" s="10511"/>
      <c r="C62" s="10513"/>
      <c r="D62" s="10434"/>
      <c r="E62" s="10434"/>
      <c r="F62" s="10434"/>
      <c r="G62" s="10434"/>
      <c r="H62" s="10434"/>
      <c r="I62" s="10434"/>
      <c r="J62" s="10434"/>
      <c r="K62" s="10434"/>
      <c r="L62" s="10434"/>
      <c r="M62" s="10437"/>
      <c r="N62" s="10437"/>
      <c r="O62" s="10437"/>
      <c r="P62" s="10434"/>
      <c r="Q62" s="10434"/>
      <c r="R62" s="10440"/>
      <c r="S62" s="5643"/>
      <c r="T62" s="5697"/>
      <c r="U62" s="5681"/>
      <c r="V62" s="5627"/>
      <c r="W62" s="5499"/>
      <c r="X62" s="3496"/>
      <c r="Y62" s="5552"/>
      <c r="Z62" s="5552"/>
      <c r="AA62" s="5552"/>
      <c r="AB62" s="5553"/>
      <c r="AC62" s="5817"/>
      <c r="AD62" s="3581"/>
      <c r="AE62" s="3579"/>
      <c r="AF62" s="3583"/>
      <c r="AG62" s="3583"/>
      <c r="AH62" s="10479"/>
    </row>
    <row r="63" spans="1:34" s="1001" customFormat="1" ht="24" customHeight="1">
      <c r="A63" s="9392"/>
      <c r="B63" s="10511"/>
      <c r="C63" s="10513"/>
      <c r="D63" s="10434"/>
      <c r="E63" s="10434"/>
      <c r="F63" s="10434"/>
      <c r="G63" s="10434"/>
      <c r="H63" s="10434"/>
      <c r="I63" s="10434"/>
      <c r="J63" s="10434"/>
      <c r="K63" s="10434"/>
      <c r="L63" s="10434"/>
      <c r="M63" s="10437"/>
      <c r="N63" s="10437"/>
      <c r="O63" s="10437"/>
      <c r="P63" s="10434"/>
      <c r="Q63" s="10434"/>
      <c r="R63" s="10440"/>
      <c r="S63" s="5643"/>
      <c r="T63" s="5697"/>
      <c r="U63" s="5681"/>
      <c r="V63" s="5627"/>
      <c r="W63" s="5499"/>
      <c r="X63" s="3496"/>
      <c r="Y63" s="5552"/>
      <c r="Z63" s="5552"/>
      <c r="AA63" s="5552"/>
      <c r="AB63" s="5553"/>
      <c r="AC63" s="5817"/>
      <c r="AD63" s="3581"/>
      <c r="AE63" s="3579"/>
      <c r="AF63" s="3583"/>
      <c r="AG63" s="3583"/>
      <c r="AH63" s="10479"/>
    </row>
    <row r="64" spans="1:34" s="1001" customFormat="1" ht="24" customHeight="1">
      <c r="A64" s="9392"/>
      <c r="B64" s="10511"/>
      <c r="C64" s="10513"/>
      <c r="D64" s="10434"/>
      <c r="E64" s="10434"/>
      <c r="F64" s="10434"/>
      <c r="G64" s="10434"/>
      <c r="H64" s="10434"/>
      <c r="I64" s="10434"/>
      <c r="J64" s="10434"/>
      <c r="K64" s="10434"/>
      <c r="L64" s="10434"/>
      <c r="M64" s="10437"/>
      <c r="N64" s="10437"/>
      <c r="O64" s="10437"/>
      <c r="P64" s="10434"/>
      <c r="Q64" s="10434"/>
      <c r="R64" s="10440"/>
      <c r="S64" s="5643"/>
      <c r="T64" s="5697"/>
      <c r="U64" s="5681"/>
      <c r="V64" s="5627"/>
      <c r="W64" s="5499"/>
      <c r="X64" s="3496"/>
      <c r="Y64" s="5552"/>
      <c r="Z64" s="5552"/>
      <c r="AA64" s="5552"/>
      <c r="AB64" s="5553"/>
      <c r="AC64" s="5817"/>
      <c r="AD64" s="3581"/>
      <c r="AE64" s="3579"/>
      <c r="AF64" s="3583"/>
      <c r="AG64" s="3583"/>
      <c r="AH64" s="10479"/>
    </row>
    <row r="65" spans="1:34" s="1001" customFormat="1" ht="24" customHeight="1">
      <c r="A65" s="9392"/>
      <c r="B65" s="10511"/>
      <c r="C65" s="10514"/>
      <c r="D65" s="10435"/>
      <c r="E65" s="10435"/>
      <c r="F65" s="10435"/>
      <c r="G65" s="10435"/>
      <c r="H65" s="10435"/>
      <c r="I65" s="10435"/>
      <c r="J65" s="10435"/>
      <c r="K65" s="10435"/>
      <c r="L65" s="10435"/>
      <c r="M65" s="10438"/>
      <c r="N65" s="10438"/>
      <c r="O65" s="10438"/>
      <c r="P65" s="10435"/>
      <c r="Q65" s="10435"/>
      <c r="R65" s="10441"/>
      <c r="S65" s="5653"/>
      <c r="T65" s="5701"/>
      <c r="U65" s="5696"/>
      <c r="V65" s="5630"/>
      <c r="W65" s="5503"/>
      <c r="X65" s="3545"/>
      <c r="Y65" s="5558"/>
      <c r="Z65" s="5558"/>
      <c r="AA65" s="5558"/>
      <c r="AB65" s="5559"/>
      <c r="AC65" s="5830"/>
      <c r="AD65" s="3607"/>
      <c r="AE65" s="3606"/>
      <c r="AF65" s="3608"/>
      <c r="AG65" s="3608"/>
      <c r="AH65" s="10482"/>
    </row>
    <row r="66" spans="1:34" s="1001" customFormat="1" ht="24" customHeight="1">
      <c r="A66" s="9392"/>
      <c r="B66" s="10511"/>
      <c r="C66" s="10512" t="s">
        <v>127</v>
      </c>
      <c r="D66" s="10444" t="s">
        <v>128</v>
      </c>
      <c r="E66" s="10444" t="s">
        <v>129</v>
      </c>
      <c r="F66" s="10444" t="s">
        <v>268</v>
      </c>
      <c r="G66" s="10451" t="s">
        <v>131</v>
      </c>
      <c r="H66" s="10444" t="s">
        <v>132</v>
      </c>
      <c r="I66" s="10444" t="s">
        <v>214</v>
      </c>
      <c r="J66" s="10444" t="s">
        <v>3502</v>
      </c>
      <c r="K66" s="10444" t="s">
        <v>3503</v>
      </c>
      <c r="L66" s="10444" t="s">
        <v>3504</v>
      </c>
      <c r="M66" s="10455">
        <v>200</v>
      </c>
      <c r="N66" s="10455">
        <v>200</v>
      </c>
      <c r="O66" s="10455">
        <v>300</v>
      </c>
      <c r="P66" s="10444" t="s">
        <v>3505</v>
      </c>
      <c r="Q66" s="10448" t="s">
        <v>3506</v>
      </c>
      <c r="R66" s="10449" t="s">
        <v>3495</v>
      </c>
      <c r="S66" s="5655"/>
      <c r="T66" s="5702"/>
      <c r="U66" s="5690"/>
      <c r="V66" s="5747"/>
      <c r="W66" s="5504"/>
      <c r="X66" s="3658"/>
      <c r="Y66" s="5560"/>
      <c r="Z66" s="5560"/>
      <c r="AA66" s="5560"/>
      <c r="AB66" s="5561"/>
      <c r="AC66" s="5831"/>
      <c r="AD66" s="3636"/>
      <c r="AE66" s="3623"/>
      <c r="AF66" s="3627"/>
      <c r="AG66" s="3627"/>
      <c r="AH66" s="10478"/>
    </row>
    <row r="67" spans="1:34" s="1001" customFormat="1" ht="24" customHeight="1">
      <c r="A67" s="9392"/>
      <c r="B67" s="10511"/>
      <c r="C67" s="10513"/>
      <c r="D67" s="10434"/>
      <c r="E67" s="10434"/>
      <c r="F67" s="10434"/>
      <c r="G67" s="10434"/>
      <c r="H67" s="10434"/>
      <c r="I67" s="10434"/>
      <c r="J67" s="10434"/>
      <c r="K67" s="10434"/>
      <c r="L67" s="10434"/>
      <c r="M67" s="10437"/>
      <c r="N67" s="10437"/>
      <c r="O67" s="10437"/>
      <c r="P67" s="10434"/>
      <c r="Q67" s="10434"/>
      <c r="R67" s="10440"/>
      <c r="S67" s="5643"/>
      <c r="T67" s="5697"/>
      <c r="U67" s="5681"/>
      <c r="V67" s="5627"/>
      <c r="W67" s="5499"/>
      <c r="X67" s="3496"/>
      <c r="Y67" s="5552"/>
      <c r="Z67" s="5552"/>
      <c r="AA67" s="5552"/>
      <c r="AB67" s="5553"/>
      <c r="AC67" s="5817"/>
      <c r="AD67" s="3581"/>
      <c r="AE67" s="3579"/>
      <c r="AF67" s="3583"/>
      <c r="AG67" s="3583"/>
      <c r="AH67" s="10479"/>
    </row>
    <row r="68" spans="1:34" s="1001" customFormat="1" ht="24" customHeight="1">
      <c r="A68" s="9392"/>
      <c r="B68" s="10511"/>
      <c r="C68" s="10513"/>
      <c r="D68" s="10434"/>
      <c r="E68" s="10434"/>
      <c r="F68" s="10434"/>
      <c r="G68" s="10434"/>
      <c r="H68" s="10434"/>
      <c r="I68" s="10434"/>
      <c r="J68" s="10434"/>
      <c r="K68" s="10434"/>
      <c r="L68" s="10434"/>
      <c r="M68" s="10437"/>
      <c r="N68" s="10437"/>
      <c r="O68" s="10437"/>
      <c r="P68" s="10434"/>
      <c r="Q68" s="10434"/>
      <c r="R68" s="10440"/>
      <c r="S68" s="5643"/>
      <c r="T68" s="5697"/>
      <c r="U68" s="5681"/>
      <c r="V68" s="5627"/>
      <c r="W68" s="5499"/>
      <c r="X68" s="3496"/>
      <c r="Y68" s="5552"/>
      <c r="Z68" s="5552"/>
      <c r="AA68" s="5552"/>
      <c r="AB68" s="5553"/>
      <c r="AC68" s="5817"/>
      <c r="AD68" s="3581"/>
      <c r="AE68" s="3579"/>
      <c r="AF68" s="3583"/>
      <c r="AG68" s="3583"/>
      <c r="AH68" s="10479"/>
    </row>
    <row r="69" spans="1:34" s="1001" customFormat="1" ht="24" customHeight="1">
      <c r="A69" s="9392"/>
      <c r="B69" s="10511"/>
      <c r="C69" s="10513"/>
      <c r="D69" s="10434"/>
      <c r="E69" s="10434"/>
      <c r="F69" s="10434"/>
      <c r="G69" s="10434"/>
      <c r="H69" s="10434"/>
      <c r="I69" s="10434"/>
      <c r="J69" s="10434"/>
      <c r="K69" s="10434"/>
      <c r="L69" s="10434"/>
      <c r="M69" s="10437"/>
      <c r="N69" s="10437"/>
      <c r="O69" s="10437"/>
      <c r="P69" s="10434"/>
      <c r="Q69" s="10434"/>
      <c r="R69" s="10440"/>
      <c r="S69" s="5643"/>
      <c r="T69" s="5697"/>
      <c r="U69" s="5681"/>
      <c r="V69" s="5627"/>
      <c r="W69" s="5499"/>
      <c r="X69" s="3496"/>
      <c r="Y69" s="5552"/>
      <c r="Z69" s="5552"/>
      <c r="AA69" s="5552"/>
      <c r="AB69" s="5553"/>
      <c r="AC69" s="5817"/>
      <c r="AD69" s="3581"/>
      <c r="AE69" s="3579"/>
      <c r="AF69" s="3583"/>
      <c r="AG69" s="3583"/>
      <c r="AH69" s="10479"/>
    </row>
    <row r="70" spans="1:34" s="1001" customFormat="1" ht="24" customHeight="1">
      <c r="A70" s="9392"/>
      <c r="B70" s="10511"/>
      <c r="C70" s="10515"/>
      <c r="D70" s="10445"/>
      <c r="E70" s="10445"/>
      <c r="F70" s="10445"/>
      <c r="G70" s="10445"/>
      <c r="H70" s="10445"/>
      <c r="I70" s="10445"/>
      <c r="J70" s="10445"/>
      <c r="K70" s="10445"/>
      <c r="L70" s="10445"/>
      <c r="M70" s="10447"/>
      <c r="N70" s="10447"/>
      <c r="O70" s="10447"/>
      <c r="P70" s="10445"/>
      <c r="Q70" s="10445"/>
      <c r="R70" s="10450"/>
      <c r="S70" s="5646"/>
      <c r="T70" s="5699"/>
      <c r="U70" s="5683"/>
      <c r="V70" s="5628"/>
      <c r="W70" s="5509"/>
      <c r="X70" s="3714"/>
      <c r="Y70" s="5554"/>
      <c r="Z70" s="5554"/>
      <c r="AA70" s="5554"/>
      <c r="AB70" s="5555"/>
      <c r="AC70" s="5818"/>
      <c r="AD70" s="3619"/>
      <c r="AE70" s="3617"/>
      <c r="AF70" s="3621"/>
      <c r="AG70" s="3621"/>
      <c r="AH70" s="10480"/>
    </row>
    <row r="71" spans="1:34" s="1001" customFormat="1" ht="25.5" customHeight="1">
      <c r="A71" s="9392"/>
      <c r="B71" s="10511"/>
      <c r="C71" s="10516" t="s">
        <v>127</v>
      </c>
      <c r="D71" s="10433" t="s">
        <v>128</v>
      </c>
      <c r="E71" s="10433" t="s">
        <v>129</v>
      </c>
      <c r="F71" s="10433" t="s">
        <v>268</v>
      </c>
      <c r="G71" s="10442" t="s">
        <v>131</v>
      </c>
      <c r="H71" s="10433" t="s">
        <v>132</v>
      </c>
      <c r="I71" s="10433" t="s">
        <v>159</v>
      </c>
      <c r="J71" s="10433" t="s">
        <v>3507</v>
      </c>
      <c r="K71" s="10433" t="s">
        <v>3508</v>
      </c>
      <c r="L71" s="10433" t="s">
        <v>3509</v>
      </c>
      <c r="M71" s="10470">
        <v>2</v>
      </c>
      <c r="N71" s="10470">
        <v>2</v>
      </c>
      <c r="O71" s="10470">
        <v>1</v>
      </c>
      <c r="P71" s="10433" t="s">
        <v>3510</v>
      </c>
      <c r="Q71" s="10443" t="s">
        <v>3511</v>
      </c>
      <c r="R71" s="10439" t="s">
        <v>3484</v>
      </c>
      <c r="S71" s="5654"/>
      <c r="T71" s="5700"/>
      <c r="U71" s="5685"/>
      <c r="V71" s="5746"/>
      <c r="W71" s="5502"/>
      <c r="X71" s="3709"/>
      <c r="Y71" s="5556"/>
      <c r="Z71" s="5556"/>
      <c r="AA71" s="5556"/>
      <c r="AB71" s="5557"/>
      <c r="AC71" s="5819"/>
      <c r="AD71" s="3599"/>
      <c r="AE71" s="3598"/>
      <c r="AF71" s="3630"/>
      <c r="AG71" s="3630"/>
      <c r="AH71" s="10481"/>
    </row>
    <row r="72" spans="1:34" s="1001" customFormat="1" ht="25.5" customHeight="1">
      <c r="A72" s="9392"/>
      <c r="B72" s="10511"/>
      <c r="C72" s="10513"/>
      <c r="D72" s="10434"/>
      <c r="E72" s="10434"/>
      <c r="F72" s="10434"/>
      <c r="G72" s="10434"/>
      <c r="H72" s="10434"/>
      <c r="I72" s="10434"/>
      <c r="J72" s="10434"/>
      <c r="K72" s="10434"/>
      <c r="L72" s="10434"/>
      <c r="M72" s="10437"/>
      <c r="N72" s="10437"/>
      <c r="O72" s="10437"/>
      <c r="P72" s="10434"/>
      <c r="Q72" s="10434"/>
      <c r="R72" s="10440"/>
      <c r="S72" s="5643"/>
      <c r="T72" s="5697"/>
      <c r="U72" s="5681"/>
      <c r="V72" s="5627"/>
      <c r="W72" s="5499"/>
      <c r="X72" s="3496"/>
      <c r="Y72" s="5552"/>
      <c r="Z72" s="5552"/>
      <c r="AA72" s="5552"/>
      <c r="AB72" s="5553"/>
      <c r="AC72" s="5817"/>
      <c r="AD72" s="3581"/>
      <c r="AE72" s="3579"/>
      <c r="AF72" s="3583"/>
      <c r="AG72" s="3583"/>
      <c r="AH72" s="10479"/>
    </row>
    <row r="73" spans="1:34" s="1001" customFormat="1" ht="25.5" customHeight="1">
      <c r="A73" s="9392"/>
      <c r="B73" s="10511"/>
      <c r="C73" s="10513"/>
      <c r="D73" s="10434"/>
      <c r="E73" s="10434"/>
      <c r="F73" s="10434"/>
      <c r="G73" s="10434"/>
      <c r="H73" s="10434"/>
      <c r="I73" s="10434"/>
      <c r="J73" s="10434"/>
      <c r="K73" s="10434"/>
      <c r="L73" s="10434"/>
      <c r="M73" s="10437"/>
      <c r="N73" s="10437"/>
      <c r="O73" s="10437"/>
      <c r="P73" s="10434"/>
      <c r="Q73" s="10434"/>
      <c r="R73" s="10440"/>
      <c r="S73" s="5643"/>
      <c r="T73" s="5697"/>
      <c r="U73" s="5681"/>
      <c r="V73" s="5627"/>
      <c r="W73" s="5499"/>
      <c r="X73" s="3496"/>
      <c r="Y73" s="5552"/>
      <c r="Z73" s="5552"/>
      <c r="AA73" s="5552"/>
      <c r="AB73" s="5553"/>
      <c r="AC73" s="5817"/>
      <c r="AD73" s="3581"/>
      <c r="AE73" s="3579"/>
      <c r="AF73" s="3583"/>
      <c r="AG73" s="3583"/>
      <c r="AH73" s="10479"/>
    </row>
    <row r="74" spans="1:34" s="1001" customFormat="1" ht="25.5" customHeight="1">
      <c r="A74" s="9392"/>
      <c r="B74" s="10511"/>
      <c r="C74" s="10513"/>
      <c r="D74" s="10434"/>
      <c r="E74" s="10434"/>
      <c r="F74" s="10434"/>
      <c r="G74" s="10434"/>
      <c r="H74" s="10434"/>
      <c r="I74" s="10434"/>
      <c r="J74" s="10434"/>
      <c r="K74" s="10434"/>
      <c r="L74" s="10434"/>
      <c r="M74" s="10437"/>
      <c r="N74" s="10437"/>
      <c r="O74" s="10437"/>
      <c r="P74" s="10434"/>
      <c r="Q74" s="10434"/>
      <c r="R74" s="10440"/>
      <c r="S74" s="5645"/>
      <c r="T74" s="5698"/>
      <c r="U74" s="5681"/>
      <c r="V74" s="5627"/>
      <c r="W74" s="5499"/>
      <c r="X74" s="3496"/>
      <c r="Y74" s="5552"/>
      <c r="Z74" s="5552"/>
      <c r="AA74" s="5552"/>
      <c r="AB74" s="5553"/>
      <c r="AC74" s="5817"/>
      <c r="AD74" s="3581"/>
      <c r="AE74" s="3579"/>
      <c r="AF74" s="3583"/>
      <c r="AG74" s="3583"/>
      <c r="AH74" s="10479"/>
    </row>
    <row r="75" spans="1:34" s="1001" customFormat="1" ht="25.5" customHeight="1">
      <c r="A75" s="9392"/>
      <c r="B75" s="10511"/>
      <c r="C75" s="10514"/>
      <c r="D75" s="10435"/>
      <c r="E75" s="10435"/>
      <c r="F75" s="10435"/>
      <c r="G75" s="10435"/>
      <c r="H75" s="10435"/>
      <c r="I75" s="10435"/>
      <c r="J75" s="10435"/>
      <c r="K75" s="10435"/>
      <c r="L75" s="10435"/>
      <c r="M75" s="10438"/>
      <c r="N75" s="10438"/>
      <c r="O75" s="10438"/>
      <c r="P75" s="10435"/>
      <c r="Q75" s="10435"/>
      <c r="R75" s="10441"/>
      <c r="S75" s="5653"/>
      <c r="T75" s="5701"/>
      <c r="U75" s="5696"/>
      <c r="V75" s="5630"/>
      <c r="W75" s="5503"/>
      <c r="X75" s="3545"/>
      <c r="Y75" s="5558"/>
      <c r="Z75" s="5558"/>
      <c r="AA75" s="5558"/>
      <c r="AB75" s="5559"/>
      <c r="AC75" s="5830"/>
      <c r="AD75" s="3607"/>
      <c r="AE75" s="3606"/>
      <c r="AF75" s="3608"/>
      <c r="AG75" s="3608"/>
      <c r="AH75" s="10482"/>
    </row>
    <row r="76" spans="1:34" s="1001" customFormat="1" ht="25.5" customHeight="1">
      <c r="A76" s="9392"/>
      <c r="B76" s="10511"/>
      <c r="C76" s="10512" t="s">
        <v>127</v>
      </c>
      <c r="D76" s="10444" t="s">
        <v>128</v>
      </c>
      <c r="E76" s="10444" t="s">
        <v>129</v>
      </c>
      <c r="F76" s="10444" t="s">
        <v>268</v>
      </c>
      <c r="G76" s="10451" t="s">
        <v>131</v>
      </c>
      <c r="H76" s="10444" t="s">
        <v>132</v>
      </c>
      <c r="I76" s="10444" t="s">
        <v>214</v>
      </c>
      <c r="J76" s="10444" t="s">
        <v>3512</v>
      </c>
      <c r="K76" s="10444" t="s">
        <v>3513</v>
      </c>
      <c r="L76" s="10444" t="s">
        <v>3514</v>
      </c>
      <c r="M76" s="10455">
        <v>3</v>
      </c>
      <c r="N76" s="10455">
        <v>3</v>
      </c>
      <c r="O76" s="10455">
        <v>3</v>
      </c>
      <c r="P76" s="10444" t="s">
        <v>3515</v>
      </c>
      <c r="Q76" s="10448" t="s">
        <v>3516</v>
      </c>
      <c r="R76" s="10449" t="s">
        <v>3484</v>
      </c>
      <c r="S76" s="5655"/>
      <c r="T76" s="5702"/>
      <c r="U76" s="5690"/>
      <c r="V76" s="5747"/>
      <c r="W76" s="5504"/>
      <c r="X76" s="3658"/>
      <c r="Y76" s="5560"/>
      <c r="Z76" s="5560"/>
      <c r="AA76" s="5560"/>
      <c r="AB76" s="5561"/>
      <c r="AC76" s="5831"/>
      <c r="AD76" s="3636"/>
      <c r="AE76" s="3623"/>
      <c r="AF76" s="3637"/>
      <c r="AG76" s="3637"/>
      <c r="AH76" s="10478"/>
    </row>
    <row r="77" spans="1:34" s="1001" customFormat="1" ht="25.5" customHeight="1">
      <c r="A77" s="9392"/>
      <c r="B77" s="10511"/>
      <c r="C77" s="10513"/>
      <c r="D77" s="10434"/>
      <c r="E77" s="10434"/>
      <c r="F77" s="10434"/>
      <c r="G77" s="10434"/>
      <c r="H77" s="10434"/>
      <c r="I77" s="10434"/>
      <c r="J77" s="10434"/>
      <c r="K77" s="10434"/>
      <c r="L77" s="10434"/>
      <c r="M77" s="10437"/>
      <c r="N77" s="10437"/>
      <c r="O77" s="10437"/>
      <c r="P77" s="10434"/>
      <c r="Q77" s="10434"/>
      <c r="R77" s="10440"/>
      <c r="S77" s="5643"/>
      <c r="T77" s="5697"/>
      <c r="U77" s="5681"/>
      <c r="V77" s="5627"/>
      <c r="W77" s="5499"/>
      <c r="X77" s="3496"/>
      <c r="Y77" s="5552"/>
      <c r="Z77" s="5552"/>
      <c r="AA77" s="5552"/>
      <c r="AB77" s="5553"/>
      <c r="AC77" s="5817"/>
      <c r="AD77" s="3581"/>
      <c r="AE77" s="3579"/>
      <c r="AF77" s="3579"/>
      <c r="AG77" s="3585"/>
      <c r="AH77" s="10479"/>
    </row>
    <row r="78" spans="1:34" s="1001" customFormat="1" ht="25.5" customHeight="1">
      <c r="A78" s="9392"/>
      <c r="B78" s="10511"/>
      <c r="C78" s="10513"/>
      <c r="D78" s="10434"/>
      <c r="E78" s="10434"/>
      <c r="F78" s="10434"/>
      <c r="G78" s="10434"/>
      <c r="H78" s="10434"/>
      <c r="I78" s="10434"/>
      <c r="J78" s="10434"/>
      <c r="K78" s="10434"/>
      <c r="L78" s="10434"/>
      <c r="M78" s="10437"/>
      <c r="N78" s="10437"/>
      <c r="O78" s="10437"/>
      <c r="P78" s="10434"/>
      <c r="Q78" s="10434"/>
      <c r="R78" s="10440"/>
      <c r="S78" s="5643"/>
      <c r="T78" s="5697"/>
      <c r="U78" s="5681"/>
      <c r="V78" s="5627"/>
      <c r="W78" s="5499"/>
      <c r="X78" s="3496"/>
      <c r="Y78" s="5552"/>
      <c r="Z78" s="5552"/>
      <c r="AA78" s="5552"/>
      <c r="AB78" s="5553"/>
      <c r="AC78" s="5817"/>
      <c r="AD78" s="3581"/>
      <c r="AE78" s="3579"/>
      <c r="AF78" s="3579"/>
      <c r="AG78" s="3583"/>
      <c r="AH78" s="10479"/>
    </row>
    <row r="79" spans="1:34" s="1001" customFormat="1" ht="25.5" customHeight="1">
      <c r="A79" s="9392"/>
      <c r="B79" s="10511"/>
      <c r="C79" s="10513"/>
      <c r="D79" s="10434"/>
      <c r="E79" s="10434"/>
      <c r="F79" s="10434"/>
      <c r="G79" s="10434"/>
      <c r="H79" s="10434"/>
      <c r="I79" s="10434"/>
      <c r="J79" s="10434"/>
      <c r="K79" s="10434"/>
      <c r="L79" s="10434"/>
      <c r="M79" s="10437"/>
      <c r="N79" s="10437"/>
      <c r="O79" s="10437"/>
      <c r="P79" s="10434"/>
      <c r="Q79" s="10434"/>
      <c r="R79" s="10440"/>
      <c r="S79" s="5643"/>
      <c r="T79" s="5697"/>
      <c r="U79" s="5681"/>
      <c r="V79" s="5627"/>
      <c r="W79" s="5499"/>
      <c r="X79" s="3496"/>
      <c r="Y79" s="5552"/>
      <c r="Z79" s="5552"/>
      <c r="AA79" s="5552"/>
      <c r="AB79" s="5553"/>
      <c r="AC79" s="5817"/>
      <c r="AD79" s="3581"/>
      <c r="AE79" s="3579"/>
      <c r="AF79" s="3579"/>
      <c r="AG79" s="3583"/>
      <c r="AH79" s="10479"/>
    </row>
    <row r="80" spans="1:34" s="1001" customFormat="1" ht="25.5" customHeight="1">
      <c r="A80" s="9392"/>
      <c r="B80" s="10511"/>
      <c r="C80" s="10515"/>
      <c r="D80" s="10445"/>
      <c r="E80" s="10445"/>
      <c r="F80" s="10445"/>
      <c r="G80" s="10445"/>
      <c r="H80" s="10445"/>
      <c r="I80" s="10445"/>
      <c r="J80" s="10445"/>
      <c r="K80" s="10445"/>
      <c r="L80" s="10445"/>
      <c r="M80" s="10447"/>
      <c r="N80" s="10447"/>
      <c r="O80" s="10447"/>
      <c r="P80" s="10445"/>
      <c r="Q80" s="10445"/>
      <c r="R80" s="10450"/>
      <c r="S80" s="5646"/>
      <c r="T80" s="5699"/>
      <c r="U80" s="5683"/>
      <c r="V80" s="5628"/>
      <c r="W80" s="5509"/>
      <c r="X80" s="3714"/>
      <c r="Y80" s="5554"/>
      <c r="Z80" s="5554"/>
      <c r="AA80" s="5554"/>
      <c r="AB80" s="5555"/>
      <c r="AC80" s="5818"/>
      <c r="AD80" s="3619"/>
      <c r="AE80" s="3617"/>
      <c r="AF80" s="3617"/>
      <c r="AG80" s="3621"/>
      <c r="AH80" s="10480"/>
    </row>
    <row r="81" spans="1:34" s="1001" customFormat="1" ht="25.5" customHeight="1">
      <c r="A81" s="9392"/>
      <c r="B81" s="10511"/>
      <c r="C81" s="10516" t="s">
        <v>127</v>
      </c>
      <c r="D81" s="10433" t="s">
        <v>128</v>
      </c>
      <c r="E81" s="10433" t="s">
        <v>129</v>
      </c>
      <c r="F81" s="10433" t="s">
        <v>268</v>
      </c>
      <c r="G81" s="10442" t="s">
        <v>131</v>
      </c>
      <c r="H81" s="10433" t="s">
        <v>132</v>
      </c>
      <c r="I81" s="10433" t="s">
        <v>159</v>
      </c>
      <c r="J81" s="10433" t="s">
        <v>3517</v>
      </c>
      <c r="K81" s="10443" t="s">
        <v>3518</v>
      </c>
      <c r="L81" s="10433" t="s">
        <v>3519</v>
      </c>
      <c r="M81" s="10470">
        <v>4</v>
      </c>
      <c r="N81" s="10470">
        <v>4</v>
      </c>
      <c r="O81" s="10470">
        <v>4</v>
      </c>
      <c r="P81" s="10433" t="s">
        <v>3520</v>
      </c>
      <c r="Q81" s="10443" t="s">
        <v>3521</v>
      </c>
      <c r="R81" s="10439" t="s">
        <v>3501</v>
      </c>
      <c r="S81" s="5654"/>
      <c r="T81" s="5700"/>
      <c r="U81" s="5685"/>
      <c r="V81" s="5746"/>
      <c r="W81" s="5502"/>
      <c r="X81" s="3709"/>
      <c r="Y81" s="5556"/>
      <c r="Z81" s="5556"/>
      <c r="AA81" s="5556"/>
      <c r="AB81" s="5557"/>
      <c r="AC81" s="5819"/>
      <c r="AD81" s="3599"/>
      <c r="AE81" s="3598"/>
      <c r="AF81" s="3630"/>
      <c r="AG81" s="3630"/>
      <c r="AH81" s="10481"/>
    </row>
    <row r="82" spans="1:34" s="1001" customFormat="1" ht="25.5" customHeight="1">
      <c r="A82" s="9392"/>
      <c r="B82" s="10511"/>
      <c r="C82" s="10513"/>
      <c r="D82" s="10434"/>
      <c r="E82" s="10434"/>
      <c r="F82" s="10434"/>
      <c r="G82" s="10434"/>
      <c r="H82" s="10434"/>
      <c r="I82" s="10434"/>
      <c r="J82" s="10434"/>
      <c r="K82" s="10434"/>
      <c r="L82" s="10434"/>
      <c r="M82" s="10437"/>
      <c r="N82" s="10437"/>
      <c r="O82" s="10437"/>
      <c r="P82" s="10434"/>
      <c r="Q82" s="10434"/>
      <c r="R82" s="10440"/>
      <c r="S82" s="5643"/>
      <c r="T82" s="5697"/>
      <c r="U82" s="5681"/>
      <c r="V82" s="5627"/>
      <c r="W82" s="5499"/>
      <c r="X82" s="3496"/>
      <c r="Y82" s="5552"/>
      <c r="Z82" s="5552"/>
      <c r="AA82" s="5552"/>
      <c r="AB82" s="5553"/>
      <c r="AC82" s="5817"/>
      <c r="AD82" s="3581"/>
      <c r="AE82" s="3579"/>
      <c r="AF82" s="3583"/>
      <c r="AG82" s="3583"/>
      <c r="AH82" s="10479"/>
    </row>
    <row r="83" spans="1:34" s="1001" customFormat="1" ht="25.5" customHeight="1">
      <c r="A83" s="9392"/>
      <c r="B83" s="10511"/>
      <c r="C83" s="10513"/>
      <c r="D83" s="10434"/>
      <c r="E83" s="10434"/>
      <c r="F83" s="10434"/>
      <c r="G83" s="10434"/>
      <c r="H83" s="10434"/>
      <c r="I83" s="10434"/>
      <c r="J83" s="10434"/>
      <c r="K83" s="10434"/>
      <c r="L83" s="10434"/>
      <c r="M83" s="10437"/>
      <c r="N83" s="10437"/>
      <c r="O83" s="10437"/>
      <c r="P83" s="10434"/>
      <c r="Q83" s="10434"/>
      <c r="R83" s="10440"/>
      <c r="S83" s="5643"/>
      <c r="T83" s="5697"/>
      <c r="U83" s="5681"/>
      <c r="V83" s="5627"/>
      <c r="W83" s="5499"/>
      <c r="X83" s="3496"/>
      <c r="Y83" s="5552"/>
      <c r="Z83" s="5552"/>
      <c r="AA83" s="5552"/>
      <c r="AB83" s="5553"/>
      <c r="AC83" s="5817"/>
      <c r="AD83" s="3581"/>
      <c r="AE83" s="3579"/>
      <c r="AF83" s="3583"/>
      <c r="AG83" s="3583"/>
      <c r="AH83" s="10479"/>
    </row>
    <row r="84" spans="1:34" s="1001" customFormat="1" ht="25.5" customHeight="1">
      <c r="A84" s="9392"/>
      <c r="B84" s="10511"/>
      <c r="C84" s="10513"/>
      <c r="D84" s="10434"/>
      <c r="E84" s="10434"/>
      <c r="F84" s="10434"/>
      <c r="G84" s="10434"/>
      <c r="H84" s="10434"/>
      <c r="I84" s="10434"/>
      <c r="J84" s="10434"/>
      <c r="K84" s="10434"/>
      <c r="L84" s="10434"/>
      <c r="M84" s="10437"/>
      <c r="N84" s="10437"/>
      <c r="O84" s="10437"/>
      <c r="P84" s="10434"/>
      <c r="Q84" s="10434"/>
      <c r="R84" s="10440"/>
      <c r="S84" s="5643"/>
      <c r="T84" s="5697"/>
      <c r="U84" s="5681"/>
      <c r="V84" s="5627"/>
      <c r="W84" s="5499"/>
      <c r="X84" s="3496"/>
      <c r="Y84" s="5552"/>
      <c r="Z84" s="5552"/>
      <c r="AA84" s="5552"/>
      <c r="AB84" s="5553"/>
      <c r="AC84" s="5817"/>
      <c r="AD84" s="3581"/>
      <c r="AE84" s="3579"/>
      <c r="AF84" s="3583"/>
      <c r="AG84" s="3583"/>
      <c r="AH84" s="10479"/>
    </row>
    <row r="85" spans="1:34" s="1001" customFormat="1" ht="25.5" customHeight="1">
      <c r="A85" s="9392"/>
      <c r="B85" s="10511"/>
      <c r="C85" s="10515"/>
      <c r="D85" s="10445"/>
      <c r="E85" s="10445"/>
      <c r="F85" s="10445"/>
      <c r="G85" s="10445"/>
      <c r="H85" s="10445"/>
      <c r="I85" s="10445"/>
      <c r="J85" s="10445"/>
      <c r="K85" s="10445"/>
      <c r="L85" s="10445"/>
      <c r="M85" s="10447"/>
      <c r="N85" s="10447"/>
      <c r="O85" s="10447"/>
      <c r="P85" s="10445"/>
      <c r="Q85" s="10445"/>
      <c r="R85" s="10450"/>
      <c r="S85" s="5646"/>
      <c r="T85" s="5699"/>
      <c r="U85" s="5683"/>
      <c r="V85" s="5628"/>
      <c r="W85" s="5509"/>
      <c r="X85" s="3714"/>
      <c r="Y85" s="5554"/>
      <c r="Z85" s="5554"/>
      <c r="AA85" s="5554"/>
      <c r="AB85" s="5555"/>
      <c r="AC85" s="5818"/>
      <c r="AD85" s="3619"/>
      <c r="AE85" s="3617"/>
      <c r="AF85" s="3621"/>
      <c r="AG85" s="3621"/>
      <c r="AH85" s="10480"/>
    </row>
    <row r="86" spans="1:34" s="1001" customFormat="1" ht="24" customHeight="1">
      <c r="A86" s="9392"/>
      <c r="B86" s="10511"/>
      <c r="C86" s="10516" t="s">
        <v>127</v>
      </c>
      <c r="D86" s="10433" t="s">
        <v>128</v>
      </c>
      <c r="E86" s="10433" t="s">
        <v>129</v>
      </c>
      <c r="F86" s="10433" t="s">
        <v>268</v>
      </c>
      <c r="G86" s="10442" t="s">
        <v>131</v>
      </c>
      <c r="H86" s="10433" t="s">
        <v>132</v>
      </c>
      <c r="I86" s="10433" t="s">
        <v>159</v>
      </c>
      <c r="J86" s="10433" t="s">
        <v>3522</v>
      </c>
      <c r="K86" s="10433" t="s">
        <v>286</v>
      </c>
      <c r="L86" s="10433" t="s">
        <v>3523</v>
      </c>
      <c r="M86" s="10470">
        <v>0</v>
      </c>
      <c r="N86" s="10470">
        <v>1</v>
      </c>
      <c r="O86" s="10470">
        <v>1</v>
      </c>
      <c r="P86" s="10433" t="s">
        <v>3524</v>
      </c>
      <c r="Q86" s="10433" t="s">
        <v>3525</v>
      </c>
      <c r="R86" s="10439" t="s">
        <v>3526</v>
      </c>
      <c r="S86" s="5654"/>
      <c r="T86" s="5700"/>
      <c r="U86" s="5685"/>
      <c r="V86" s="5746"/>
      <c r="W86" s="5502"/>
      <c r="X86" s="3709"/>
      <c r="Y86" s="5556"/>
      <c r="Z86" s="5556"/>
      <c r="AA86" s="5556"/>
      <c r="AB86" s="5557"/>
      <c r="AC86" s="5819"/>
      <c r="AD86" s="3599"/>
      <c r="AE86" s="3598"/>
      <c r="AF86" s="3630"/>
      <c r="AG86" s="3630"/>
      <c r="AH86" s="10481"/>
    </row>
    <row r="87" spans="1:34" s="1001" customFormat="1" ht="24" customHeight="1">
      <c r="A87" s="9392"/>
      <c r="B87" s="10511"/>
      <c r="C87" s="10513"/>
      <c r="D87" s="10434"/>
      <c r="E87" s="10434"/>
      <c r="F87" s="10434"/>
      <c r="G87" s="10434"/>
      <c r="H87" s="10434"/>
      <c r="I87" s="10434"/>
      <c r="J87" s="10434"/>
      <c r="K87" s="10434"/>
      <c r="L87" s="10434"/>
      <c r="M87" s="10437"/>
      <c r="N87" s="10437"/>
      <c r="O87" s="10437"/>
      <c r="P87" s="10434"/>
      <c r="Q87" s="10434"/>
      <c r="R87" s="10440"/>
      <c r="S87" s="5643"/>
      <c r="T87" s="5697"/>
      <c r="U87" s="5681"/>
      <c r="V87" s="5627"/>
      <c r="W87" s="5499"/>
      <c r="X87" s="3496"/>
      <c r="Y87" s="5552"/>
      <c r="Z87" s="5552"/>
      <c r="AA87" s="5552"/>
      <c r="AB87" s="5553"/>
      <c r="AC87" s="5817"/>
      <c r="AD87" s="3581"/>
      <c r="AE87" s="3579"/>
      <c r="AF87" s="3583"/>
      <c r="AG87" s="3583"/>
      <c r="AH87" s="10479"/>
    </row>
    <row r="88" spans="1:34" s="1001" customFormat="1" ht="24" customHeight="1">
      <c r="A88" s="9392"/>
      <c r="B88" s="10511"/>
      <c r="C88" s="10513"/>
      <c r="D88" s="10434"/>
      <c r="E88" s="10434"/>
      <c r="F88" s="10434"/>
      <c r="G88" s="10434"/>
      <c r="H88" s="10434"/>
      <c r="I88" s="10434"/>
      <c r="J88" s="10434"/>
      <c r="K88" s="10434"/>
      <c r="L88" s="10434"/>
      <c r="M88" s="10437"/>
      <c r="N88" s="10437"/>
      <c r="O88" s="10437"/>
      <c r="P88" s="10434"/>
      <c r="Q88" s="10434"/>
      <c r="R88" s="10440"/>
      <c r="S88" s="5643"/>
      <c r="T88" s="5697"/>
      <c r="U88" s="5681"/>
      <c r="V88" s="5627"/>
      <c r="W88" s="5499"/>
      <c r="X88" s="3496"/>
      <c r="Y88" s="5552"/>
      <c r="Z88" s="5552"/>
      <c r="AA88" s="5552"/>
      <c r="AB88" s="5553"/>
      <c r="AC88" s="5817"/>
      <c r="AD88" s="3581"/>
      <c r="AE88" s="3579"/>
      <c r="AF88" s="3583"/>
      <c r="AG88" s="3583"/>
      <c r="AH88" s="10479"/>
    </row>
    <row r="89" spans="1:34" s="1001" customFormat="1" ht="24" customHeight="1">
      <c r="A89" s="9392"/>
      <c r="B89" s="10511"/>
      <c r="C89" s="10513"/>
      <c r="D89" s="10434"/>
      <c r="E89" s="10434"/>
      <c r="F89" s="10434"/>
      <c r="G89" s="10434"/>
      <c r="H89" s="10434"/>
      <c r="I89" s="10434"/>
      <c r="J89" s="10434"/>
      <c r="K89" s="10434"/>
      <c r="L89" s="10434"/>
      <c r="M89" s="10437"/>
      <c r="N89" s="10437"/>
      <c r="O89" s="10437"/>
      <c r="P89" s="10434"/>
      <c r="Q89" s="10434"/>
      <c r="R89" s="10440"/>
      <c r="S89" s="5643"/>
      <c r="T89" s="5697"/>
      <c r="U89" s="5681"/>
      <c r="V89" s="5627"/>
      <c r="W89" s="5499"/>
      <c r="X89" s="3496"/>
      <c r="Y89" s="5552"/>
      <c r="Z89" s="5552"/>
      <c r="AA89" s="5552"/>
      <c r="AB89" s="5553"/>
      <c r="AC89" s="5817"/>
      <c r="AD89" s="3581"/>
      <c r="AE89" s="3579"/>
      <c r="AF89" s="3583"/>
      <c r="AG89" s="3583"/>
      <c r="AH89" s="10479"/>
    </row>
    <row r="90" spans="1:34" s="1001" customFormat="1" ht="24" customHeight="1">
      <c r="A90" s="9392"/>
      <c r="B90" s="10511"/>
      <c r="C90" s="10514"/>
      <c r="D90" s="10435"/>
      <c r="E90" s="10435"/>
      <c r="F90" s="10435"/>
      <c r="G90" s="10435"/>
      <c r="H90" s="10435"/>
      <c r="I90" s="10435"/>
      <c r="J90" s="10435"/>
      <c r="K90" s="10435"/>
      <c r="L90" s="10435"/>
      <c r="M90" s="10438"/>
      <c r="N90" s="10438"/>
      <c r="O90" s="10438"/>
      <c r="P90" s="10435"/>
      <c r="Q90" s="10435"/>
      <c r="R90" s="10441"/>
      <c r="S90" s="5653"/>
      <c r="T90" s="5701"/>
      <c r="U90" s="5696"/>
      <c r="V90" s="5630"/>
      <c r="W90" s="5503"/>
      <c r="X90" s="3545"/>
      <c r="Y90" s="5558"/>
      <c r="Z90" s="5558"/>
      <c r="AA90" s="5558"/>
      <c r="AB90" s="5559"/>
      <c r="AC90" s="5830"/>
      <c r="AD90" s="3607"/>
      <c r="AE90" s="3606"/>
      <c r="AF90" s="3608"/>
      <c r="AG90" s="3608"/>
      <c r="AH90" s="10482"/>
    </row>
    <row r="91" spans="1:34" s="1001" customFormat="1" ht="24" customHeight="1">
      <c r="A91" s="9392"/>
      <c r="B91" s="10511"/>
      <c r="C91" s="10512" t="s">
        <v>127</v>
      </c>
      <c r="D91" s="10444" t="s">
        <v>128</v>
      </c>
      <c r="E91" s="10444" t="s">
        <v>129</v>
      </c>
      <c r="F91" s="10444" t="s">
        <v>268</v>
      </c>
      <c r="G91" s="10451" t="s">
        <v>131</v>
      </c>
      <c r="H91" s="10444" t="s">
        <v>132</v>
      </c>
      <c r="I91" s="10444" t="s">
        <v>159</v>
      </c>
      <c r="J91" s="10444" t="s">
        <v>2307</v>
      </c>
      <c r="K91" s="10444" t="s">
        <v>338</v>
      </c>
      <c r="L91" s="10444" t="s">
        <v>3527</v>
      </c>
      <c r="M91" s="10455">
        <v>3</v>
      </c>
      <c r="N91" s="10455">
        <v>3</v>
      </c>
      <c r="O91" s="10455">
        <v>4</v>
      </c>
      <c r="P91" s="10444" t="s">
        <v>3528</v>
      </c>
      <c r="Q91" s="10448" t="s">
        <v>1381</v>
      </c>
      <c r="R91" s="10449" t="s">
        <v>3501</v>
      </c>
      <c r="S91" s="5655"/>
      <c r="T91" s="5702"/>
      <c r="U91" s="5690"/>
      <c r="V91" s="5747"/>
      <c r="W91" s="5504"/>
      <c r="X91" s="3658"/>
      <c r="Y91" s="5560"/>
      <c r="Z91" s="5560"/>
      <c r="AA91" s="5560"/>
      <c r="AB91" s="5561"/>
      <c r="AC91" s="5831"/>
      <c r="AD91" s="3636"/>
      <c r="AE91" s="3623"/>
      <c r="AF91" s="3627"/>
      <c r="AG91" s="3627"/>
      <c r="AH91" s="10478"/>
    </row>
    <row r="92" spans="1:34" s="1001" customFormat="1" ht="24" customHeight="1">
      <c r="A92" s="9392"/>
      <c r="B92" s="10511"/>
      <c r="C92" s="10513"/>
      <c r="D92" s="10434"/>
      <c r="E92" s="10434"/>
      <c r="F92" s="10434"/>
      <c r="G92" s="10434"/>
      <c r="H92" s="10434"/>
      <c r="I92" s="10434"/>
      <c r="J92" s="10434"/>
      <c r="K92" s="10434"/>
      <c r="L92" s="10434"/>
      <c r="M92" s="10532"/>
      <c r="N92" s="10532"/>
      <c r="O92" s="10532"/>
      <c r="P92" s="10434"/>
      <c r="Q92" s="10434"/>
      <c r="R92" s="10440"/>
      <c r="S92" s="5643"/>
      <c r="T92" s="5697"/>
      <c r="U92" s="5681"/>
      <c r="V92" s="5627"/>
      <c r="W92" s="5499"/>
      <c r="X92" s="3496"/>
      <c r="Y92" s="5552"/>
      <c r="Z92" s="5552"/>
      <c r="AA92" s="5552"/>
      <c r="AB92" s="5553"/>
      <c r="AC92" s="5817"/>
      <c r="AD92" s="3581"/>
      <c r="AE92" s="3579"/>
      <c r="AF92" s="3583"/>
      <c r="AG92" s="3583"/>
      <c r="AH92" s="10479"/>
    </row>
    <row r="93" spans="1:34" s="1001" customFormat="1" ht="24" customHeight="1">
      <c r="A93" s="9392"/>
      <c r="B93" s="10511"/>
      <c r="C93" s="10513"/>
      <c r="D93" s="10434"/>
      <c r="E93" s="10434"/>
      <c r="F93" s="10434"/>
      <c r="G93" s="10434"/>
      <c r="H93" s="10434"/>
      <c r="I93" s="10434"/>
      <c r="J93" s="10434"/>
      <c r="K93" s="10434"/>
      <c r="L93" s="10434"/>
      <c r="M93" s="10532"/>
      <c r="N93" s="10532"/>
      <c r="O93" s="10532"/>
      <c r="P93" s="10434"/>
      <c r="Q93" s="10434"/>
      <c r="R93" s="10440"/>
      <c r="S93" s="5643"/>
      <c r="T93" s="5697"/>
      <c r="U93" s="5681"/>
      <c r="V93" s="5627"/>
      <c r="W93" s="5499"/>
      <c r="X93" s="3496"/>
      <c r="Y93" s="5552"/>
      <c r="Z93" s="5552"/>
      <c r="AA93" s="5552"/>
      <c r="AB93" s="5553"/>
      <c r="AC93" s="5817"/>
      <c r="AD93" s="3581"/>
      <c r="AE93" s="3579"/>
      <c r="AF93" s="3583"/>
      <c r="AG93" s="3583"/>
      <c r="AH93" s="10479"/>
    </row>
    <row r="94" spans="1:34" s="1001" customFormat="1" ht="24" customHeight="1">
      <c r="A94" s="9392"/>
      <c r="B94" s="10511"/>
      <c r="C94" s="10513"/>
      <c r="D94" s="10434"/>
      <c r="E94" s="10434"/>
      <c r="F94" s="10434"/>
      <c r="G94" s="10434"/>
      <c r="H94" s="10434"/>
      <c r="I94" s="10434"/>
      <c r="J94" s="10434"/>
      <c r="K94" s="10434"/>
      <c r="L94" s="10434"/>
      <c r="M94" s="10532"/>
      <c r="N94" s="10532"/>
      <c r="O94" s="10532"/>
      <c r="P94" s="10434"/>
      <c r="Q94" s="10434"/>
      <c r="R94" s="10440"/>
      <c r="S94" s="5643"/>
      <c r="T94" s="5697"/>
      <c r="U94" s="5681"/>
      <c r="V94" s="5627"/>
      <c r="W94" s="5499"/>
      <c r="X94" s="3496"/>
      <c r="Y94" s="5552"/>
      <c r="Z94" s="5552"/>
      <c r="AA94" s="5552"/>
      <c r="AB94" s="5553"/>
      <c r="AC94" s="5817"/>
      <c r="AD94" s="3581"/>
      <c r="AE94" s="3579"/>
      <c r="AF94" s="3583"/>
      <c r="AG94" s="3583"/>
      <c r="AH94" s="10479"/>
    </row>
    <row r="95" spans="1:34" s="1001" customFormat="1" ht="24" customHeight="1">
      <c r="A95" s="9392"/>
      <c r="B95" s="10511"/>
      <c r="C95" s="10514"/>
      <c r="D95" s="10435"/>
      <c r="E95" s="10435"/>
      <c r="F95" s="10435"/>
      <c r="G95" s="10435"/>
      <c r="H95" s="10435"/>
      <c r="I95" s="10435"/>
      <c r="J95" s="10435"/>
      <c r="K95" s="10435"/>
      <c r="L95" s="10435"/>
      <c r="M95" s="10533"/>
      <c r="N95" s="10533"/>
      <c r="O95" s="10533"/>
      <c r="P95" s="10435"/>
      <c r="Q95" s="10435"/>
      <c r="R95" s="10441"/>
      <c r="S95" s="5653"/>
      <c r="T95" s="5701"/>
      <c r="U95" s="5696"/>
      <c r="V95" s="5630"/>
      <c r="W95" s="5503"/>
      <c r="X95" s="3545"/>
      <c r="Y95" s="5558"/>
      <c r="Z95" s="5558"/>
      <c r="AA95" s="5558"/>
      <c r="AB95" s="5559"/>
      <c r="AC95" s="5830"/>
      <c r="AD95" s="3607"/>
      <c r="AE95" s="3606"/>
      <c r="AF95" s="3608"/>
      <c r="AG95" s="3608"/>
      <c r="AH95" s="10482"/>
    </row>
    <row r="96" spans="1:34" s="1001" customFormat="1" ht="22.5" customHeight="1">
      <c r="A96" s="9392"/>
      <c r="B96" s="9399"/>
      <c r="C96" s="10520"/>
      <c r="D96" s="10475"/>
      <c r="E96" s="10475"/>
      <c r="F96" s="10475"/>
      <c r="G96" s="10475"/>
      <c r="H96" s="10475"/>
      <c r="I96" s="10475"/>
      <c r="J96" s="10475"/>
      <c r="K96" s="10475"/>
      <c r="L96" s="10475"/>
      <c r="M96" s="10475"/>
      <c r="N96" s="10475"/>
      <c r="O96" s="10475"/>
      <c r="P96" s="10475"/>
      <c r="Q96" s="10475"/>
      <c r="R96" s="10521"/>
      <c r="S96" s="10491" t="s">
        <v>3529</v>
      </c>
      <c r="T96" s="10492"/>
      <c r="U96" s="10492"/>
      <c r="V96" s="10492"/>
      <c r="W96" s="10492"/>
      <c r="X96" s="10492"/>
      <c r="Y96" s="10492"/>
      <c r="Z96" s="10534"/>
      <c r="AA96" s="2939" t="s">
        <v>292</v>
      </c>
      <c r="AB96" s="7356">
        <f>SUM(AB46:AB95)</f>
        <v>0</v>
      </c>
      <c r="AC96" s="5829"/>
      <c r="AD96" s="1740"/>
      <c r="AE96" s="10474"/>
      <c r="AF96" s="10475"/>
      <c r="AG96" s="10475"/>
      <c r="AH96" s="9712"/>
    </row>
    <row r="97" spans="1:34" s="1001" customFormat="1" ht="46.5" customHeight="1">
      <c r="A97" s="9392"/>
      <c r="B97" s="9246" t="s">
        <v>3530</v>
      </c>
      <c r="C97" s="10518" t="s">
        <v>127</v>
      </c>
      <c r="D97" s="10452" t="s">
        <v>128</v>
      </c>
      <c r="E97" s="10452" t="s">
        <v>129</v>
      </c>
      <c r="F97" s="10452" t="s">
        <v>268</v>
      </c>
      <c r="G97" s="10454" t="s">
        <v>131</v>
      </c>
      <c r="H97" s="10452" t="s">
        <v>132</v>
      </c>
      <c r="I97" s="10452" t="s">
        <v>159</v>
      </c>
      <c r="J97" s="10452" t="s">
        <v>3531</v>
      </c>
      <c r="K97" s="10452" t="s">
        <v>3532</v>
      </c>
      <c r="L97" s="10477" t="s">
        <v>3533</v>
      </c>
      <c r="M97" s="10488">
        <v>700</v>
      </c>
      <c r="N97" s="10488">
        <v>1500</v>
      </c>
      <c r="O97" s="10488">
        <v>1800</v>
      </c>
      <c r="P97" s="10452" t="s">
        <v>3534</v>
      </c>
      <c r="Q97" s="10477" t="s">
        <v>3535</v>
      </c>
      <c r="R97" s="10453" t="s">
        <v>3536</v>
      </c>
      <c r="S97" s="5656" t="s">
        <v>15</v>
      </c>
      <c r="T97" s="5703">
        <v>530204</v>
      </c>
      <c r="U97" s="5704"/>
      <c r="V97" s="5748" t="s">
        <v>16</v>
      </c>
      <c r="W97" s="5498"/>
      <c r="X97" s="3683"/>
      <c r="Y97" s="5550"/>
      <c r="Z97" s="5550"/>
      <c r="AA97" s="5550"/>
      <c r="AB97" s="5551">
        <f>AA98</f>
        <v>30.004800000000003</v>
      </c>
      <c r="AC97" s="5832" t="s">
        <v>18</v>
      </c>
      <c r="AD97" s="3575"/>
      <c r="AE97" s="3592"/>
      <c r="AF97" s="3592"/>
      <c r="AG97" s="3592"/>
      <c r="AH97" s="10495" t="s">
        <v>3537</v>
      </c>
    </row>
    <row r="98" spans="1:34" s="1001" customFormat="1" ht="18" customHeight="1">
      <c r="A98" s="9392"/>
      <c r="B98" s="10511"/>
      <c r="C98" s="10513"/>
      <c r="D98" s="10434"/>
      <c r="E98" s="10434"/>
      <c r="F98" s="10434"/>
      <c r="G98" s="10434"/>
      <c r="H98" s="10434"/>
      <c r="I98" s="10434"/>
      <c r="J98" s="10434"/>
      <c r="K98" s="10434"/>
      <c r="L98" s="10434"/>
      <c r="M98" s="10437"/>
      <c r="N98" s="10437"/>
      <c r="O98" s="10437"/>
      <c r="P98" s="10434"/>
      <c r="Q98" s="10434"/>
      <c r="R98" s="10440"/>
      <c r="S98" s="5657"/>
      <c r="T98" s="5705"/>
      <c r="U98" s="5706">
        <v>838200112</v>
      </c>
      <c r="V98" s="5749" t="s">
        <v>3538</v>
      </c>
      <c r="W98" s="5499">
        <v>1</v>
      </c>
      <c r="X98" s="3496" t="s">
        <v>3539</v>
      </c>
      <c r="Y98" s="5552">
        <v>26.79</v>
      </c>
      <c r="Z98" s="5552">
        <f>+W98*Y98</f>
        <v>26.79</v>
      </c>
      <c r="AA98" s="5552">
        <f>+Z98*1.12</f>
        <v>30.004800000000003</v>
      </c>
      <c r="AB98" s="5553"/>
      <c r="AC98" s="5779"/>
      <c r="AD98" s="3581"/>
      <c r="AE98" s="3587"/>
      <c r="AF98" s="3590" t="s">
        <v>153</v>
      </c>
      <c r="AG98" s="3590"/>
      <c r="AH98" s="10496"/>
    </row>
    <row r="99" spans="1:34" s="1001" customFormat="1" ht="18" customHeight="1">
      <c r="A99" s="9392"/>
      <c r="B99" s="10511"/>
      <c r="C99" s="10513"/>
      <c r="D99" s="10434"/>
      <c r="E99" s="10434"/>
      <c r="F99" s="10434"/>
      <c r="G99" s="10434"/>
      <c r="H99" s="10434"/>
      <c r="I99" s="10434"/>
      <c r="J99" s="10434"/>
      <c r="K99" s="10434"/>
      <c r="L99" s="10434"/>
      <c r="M99" s="10437"/>
      <c r="N99" s="10437"/>
      <c r="O99" s="10437"/>
      <c r="P99" s="10434"/>
      <c r="Q99" s="10434"/>
      <c r="R99" s="10440"/>
      <c r="S99" s="5657" t="s">
        <v>15</v>
      </c>
      <c r="T99" s="5682">
        <v>531407</v>
      </c>
      <c r="U99" s="5707"/>
      <c r="V99" s="5750" t="s">
        <v>40</v>
      </c>
      <c r="W99" s="5499"/>
      <c r="X99" s="3690"/>
      <c r="Y99" s="5523"/>
      <c r="Z99" s="5552"/>
      <c r="AA99" s="5552"/>
      <c r="AB99" s="5553">
        <f>AA100</f>
        <v>537.6</v>
      </c>
      <c r="AC99" s="5779" t="s">
        <v>18</v>
      </c>
      <c r="AD99" s="3581"/>
      <c r="AE99" s="3587"/>
      <c r="AF99" s="3587"/>
      <c r="AG99" s="3587"/>
      <c r="AH99" s="10496"/>
    </row>
    <row r="100" spans="1:34" s="1001" customFormat="1" ht="18" customHeight="1">
      <c r="A100" s="9392"/>
      <c r="B100" s="10511"/>
      <c r="C100" s="10513"/>
      <c r="D100" s="10434"/>
      <c r="E100" s="10434"/>
      <c r="F100" s="10434"/>
      <c r="G100" s="10434"/>
      <c r="H100" s="10434"/>
      <c r="I100" s="10434"/>
      <c r="J100" s="10434"/>
      <c r="K100" s="10434"/>
      <c r="L100" s="10434"/>
      <c r="M100" s="10437"/>
      <c r="N100" s="10437"/>
      <c r="O100" s="10437"/>
      <c r="P100" s="10434"/>
      <c r="Q100" s="10434"/>
      <c r="R100" s="10440"/>
      <c r="S100" s="3868"/>
      <c r="T100" s="5705"/>
      <c r="U100" s="5681">
        <v>461220011</v>
      </c>
      <c r="V100" s="5751" t="s">
        <v>574</v>
      </c>
      <c r="W100" s="5772">
        <v>6</v>
      </c>
      <c r="X100" s="3496" t="s">
        <v>180</v>
      </c>
      <c r="Y100" s="5523">
        <v>80</v>
      </c>
      <c r="Z100" s="5552">
        <f>Y100*W100</f>
        <v>480</v>
      </c>
      <c r="AA100" s="5552">
        <f>+Z100*1.12</f>
        <v>537.6</v>
      </c>
      <c r="AB100" s="5553"/>
      <c r="AC100" s="5779"/>
      <c r="AD100" s="3581"/>
      <c r="AE100" s="3587"/>
      <c r="AF100" s="3590" t="s">
        <v>153</v>
      </c>
      <c r="AG100" s="3590"/>
      <c r="AH100" s="10496"/>
    </row>
    <row r="101" spans="1:34" s="1001" customFormat="1" ht="18" customHeight="1">
      <c r="A101" s="9392"/>
      <c r="B101" s="10511"/>
      <c r="C101" s="10513"/>
      <c r="D101" s="10434"/>
      <c r="E101" s="10434"/>
      <c r="F101" s="10434"/>
      <c r="G101" s="10434"/>
      <c r="H101" s="10434"/>
      <c r="I101" s="10434"/>
      <c r="J101" s="10434"/>
      <c r="K101" s="10434"/>
      <c r="L101" s="10434"/>
      <c r="M101" s="10437"/>
      <c r="N101" s="10437"/>
      <c r="O101" s="10437"/>
      <c r="P101" s="10434"/>
      <c r="Q101" s="10434"/>
      <c r="R101" s="10440"/>
      <c r="S101" s="3868"/>
      <c r="T101" s="5705"/>
      <c r="U101" s="5681"/>
      <c r="V101" s="5751"/>
      <c r="W101" s="5772"/>
      <c r="X101" s="3496"/>
      <c r="Y101" s="5523"/>
      <c r="Z101" s="5552"/>
      <c r="AA101" s="5552"/>
      <c r="AB101" s="5553"/>
      <c r="AC101" s="5779"/>
      <c r="AD101" s="3581"/>
      <c r="AE101" s="3587"/>
      <c r="AF101" s="3590"/>
      <c r="AG101" s="3590"/>
      <c r="AH101" s="10496"/>
    </row>
    <row r="102" spans="1:34" s="1001" customFormat="1" ht="25.5" customHeight="1">
      <c r="A102" s="9392"/>
      <c r="B102" s="10511"/>
      <c r="C102" s="10513"/>
      <c r="D102" s="10434"/>
      <c r="E102" s="10434"/>
      <c r="F102" s="10434"/>
      <c r="G102" s="10434"/>
      <c r="H102" s="10434"/>
      <c r="I102" s="10434"/>
      <c r="J102" s="10434"/>
      <c r="K102" s="10434"/>
      <c r="L102" s="10434"/>
      <c r="M102" s="10437"/>
      <c r="N102" s="10437"/>
      <c r="O102" s="10437"/>
      <c r="P102" s="10434"/>
      <c r="Q102" s="10434"/>
      <c r="R102" s="10440"/>
      <c r="S102" s="3872" t="s">
        <v>15</v>
      </c>
      <c r="T102" s="5708">
        <v>530228</v>
      </c>
      <c r="U102" s="5709"/>
      <c r="V102" s="5752" t="s">
        <v>3540</v>
      </c>
      <c r="W102" s="5507"/>
      <c r="X102" s="3862"/>
      <c r="Y102" s="5542"/>
      <c r="Z102" s="5795"/>
      <c r="AA102" s="5795"/>
      <c r="AB102" s="5796">
        <f>AA103</f>
        <v>20.160000000000004</v>
      </c>
      <c r="AC102" s="5833" t="s">
        <v>18</v>
      </c>
      <c r="AD102" s="3581"/>
      <c r="AE102" s="3587"/>
      <c r="AF102" s="3590"/>
      <c r="AG102" s="3590"/>
      <c r="AH102" s="10496"/>
    </row>
    <row r="103" spans="1:34" s="1001" customFormat="1" ht="24" customHeight="1">
      <c r="A103" s="9392"/>
      <c r="B103" s="10511"/>
      <c r="C103" s="10513"/>
      <c r="D103" s="10434"/>
      <c r="E103" s="10434"/>
      <c r="F103" s="10434"/>
      <c r="G103" s="10434"/>
      <c r="H103" s="10434"/>
      <c r="I103" s="10434"/>
      <c r="J103" s="10434"/>
      <c r="K103" s="10434"/>
      <c r="L103" s="10434"/>
      <c r="M103" s="10437"/>
      <c r="N103" s="10437"/>
      <c r="O103" s="10437"/>
      <c r="P103" s="10434"/>
      <c r="Q103" s="10434"/>
      <c r="R103" s="10440"/>
      <c r="S103" s="3872"/>
      <c r="T103" s="5710"/>
      <c r="U103" s="5709"/>
      <c r="V103" s="5753" t="s">
        <v>3541</v>
      </c>
      <c r="W103" s="5773">
        <v>1</v>
      </c>
      <c r="X103" s="3670" t="s">
        <v>180</v>
      </c>
      <c r="Y103" s="5542">
        <f>20.16/1.12</f>
        <v>18</v>
      </c>
      <c r="Z103" s="5795">
        <f>Y103*W103</f>
        <v>18</v>
      </c>
      <c r="AA103" s="5795">
        <f>+Z103*1.12</f>
        <v>20.160000000000004</v>
      </c>
      <c r="AB103" s="5796"/>
      <c r="AC103" s="5833"/>
      <c r="AD103" s="3581"/>
      <c r="AE103" s="3587"/>
      <c r="AF103" s="3590"/>
      <c r="AG103" s="3590" t="s">
        <v>153</v>
      </c>
      <c r="AH103" s="10496"/>
    </row>
    <row r="104" spans="1:34" s="1001" customFormat="1" ht="18" customHeight="1">
      <c r="A104" s="9392"/>
      <c r="B104" s="10511"/>
      <c r="C104" s="10513"/>
      <c r="D104" s="10434"/>
      <c r="E104" s="10434"/>
      <c r="F104" s="10434"/>
      <c r="G104" s="10434"/>
      <c r="H104" s="10434"/>
      <c r="I104" s="10434"/>
      <c r="J104" s="10434"/>
      <c r="K104" s="10434"/>
      <c r="L104" s="10434"/>
      <c r="M104" s="10437"/>
      <c r="N104" s="10437"/>
      <c r="O104" s="10437"/>
      <c r="P104" s="10434"/>
      <c r="Q104" s="10434"/>
      <c r="R104" s="10440"/>
      <c r="S104" s="5657" t="s">
        <v>15</v>
      </c>
      <c r="T104" s="5682">
        <v>570203</v>
      </c>
      <c r="U104" s="5711"/>
      <c r="V104" s="5750" t="s">
        <v>3542</v>
      </c>
      <c r="W104" s="5499"/>
      <c r="X104" s="3690"/>
      <c r="Y104" s="5523"/>
      <c r="Z104" s="5552"/>
      <c r="AA104" s="5552"/>
      <c r="AB104" s="7962">
        <f>+AA105</f>
        <v>89.04</v>
      </c>
      <c r="AC104" s="5779" t="s">
        <v>26</v>
      </c>
      <c r="AD104" s="3581"/>
      <c r="AE104" s="3586"/>
      <c r="AF104" s="3586"/>
      <c r="AG104" s="3586"/>
      <c r="AH104" s="10496"/>
    </row>
    <row r="105" spans="1:34" s="1001" customFormat="1" ht="18" customHeight="1">
      <c r="A105" s="9392"/>
      <c r="B105" s="10511"/>
      <c r="C105" s="10513"/>
      <c r="D105" s="10434"/>
      <c r="E105" s="10434"/>
      <c r="F105" s="10434"/>
      <c r="G105" s="10434"/>
      <c r="H105" s="10434"/>
      <c r="I105" s="10434"/>
      <c r="J105" s="10434"/>
      <c r="K105" s="10434"/>
      <c r="L105" s="10434"/>
      <c r="M105" s="10437"/>
      <c r="N105" s="10437"/>
      <c r="O105" s="10437"/>
      <c r="P105" s="10434"/>
      <c r="Q105" s="10434"/>
      <c r="R105" s="10440"/>
      <c r="S105" s="5658"/>
      <c r="T105" s="5705"/>
      <c r="U105" s="5681"/>
      <c r="V105" s="5749" t="s">
        <v>3542</v>
      </c>
      <c r="W105" s="5772">
        <v>12</v>
      </c>
      <c r="X105" s="3661" t="s">
        <v>3543</v>
      </c>
      <c r="Y105" s="5523">
        <f>89.04/12</f>
        <v>7.4200000000000008</v>
      </c>
      <c r="Z105" s="5552">
        <f>Y105*W105</f>
        <v>89.04</v>
      </c>
      <c r="AA105" s="7960">
        <f>Z105</f>
        <v>89.04</v>
      </c>
      <c r="AB105" s="5553"/>
      <c r="AC105" s="5779"/>
      <c r="AD105" s="3581"/>
      <c r="AE105" s="3587" t="s">
        <v>153</v>
      </c>
      <c r="AF105" s="3590" t="s">
        <v>153</v>
      </c>
      <c r="AG105" s="3590" t="s">
        <v>153</v>
      </c>
      <c r="AH105" s="10496"/>
    </row>
    <row r="106" spans="1:34" s="1001" customFormat="1" ht="17.25" customHeight="1">
      <c r="A106" s="9392"/>
      <c r="B106" s="10511"/>
      <c r="C106" s="10513"/>
      <c r="D106" s="10434"/>
      <c r="E106" s="10434"/>
      <c r="F106" s="10434"/>
      <c r="G106" s="10434"/>
      <c r="H106" s="10434"/>
      <c r="I106" s="10434"/>
      <c r="J106" s="10434"/>
      <c r="K106" s="10434"/>
      <c r="L106" s="10434"/>
      <c r="M106" s="10437"/>
      <c r="N106" s="10437"/>
      <c r="O106" s="10437"/>
      <c r="P106" s="10434"/>
      <c r="Q106" s="10434"/>
      <c r="R106" s="10440"/>
      <c r="S106" s="5657" t="s">
        <v>15</v>
      </c>
      <c r="T106" s="5682">
        <v>840104</v>
      </c>
      <c r="U106" s="5681"/>
      <c r="V106" s="3803" t="s">
        <v>660</v>
      </c>
      <c r="W106" s="5772"/>
      <c r="X106" s="3690"/>
      <c r="Y106" s="5523"/>
      <c r="Z106" s="5552"/>
      <c r="AA106" s="5553"/>
      <c r="AB106" s="5553">
        <f>AA107</f>
        <v>360.00384000000003</v>
      </c>
      <c r="AC106" s="5779" t="s">
        <v>18</v>
      </c>
      <c r="AD106" s="3581"/>
      <c r="AE106" s="3587"/>
      <c r="AF106" s="3593"/>
      <c r="AG106" s="3590"/>
      <c r="AH106" s="10496"/>
    </row>
    <row r="107" spans="1:34" s="1001" customFormat="1" ht="18" customHeight="1">
      <c r="A107" s="9392"/>
      <c r="B107" s="10511"/>
      <c r="C107" s="10515"/>
      <c r="D107" s="10445"/>
      <c r="E107" s="10445"/>
      <c r="F107" s="10445"/>
      <c r="G107" s="10445"/>
      <c r="H107" s="10445"/>
      <c r="I107" s="10445"/>
      <c r="J107" s="10445"/>
      <c r="K107" s="10445"/>
      <c r="L107" s="10445"/>
      <c r="M107" s="10447"/>
      <c r="N107" s="10447"/>
      <c r="O107" s="10447"/>
      <c r="P107" s="10445"/>
      <c r="Q107" s="10445"/>
      <c r="R107" s="10450"/>
      <c r="S107" s="3899"/>
      <c r="T107" s="5683"/>
      <c r="U107" s="5683">
        <v>451300018</v>
      </c>
      <c r="V107" s="5754" t="s">
        <v>3544</v>
      </c>
      <c r="W107" s="5774">
        <v>3</v>
      </c>
      <c r="X107" s="3714" t="s">
        <v>180</v>
      </c>
      <c r="Y107" s="5554">
        <v>107.14400000000001</v>
      </c>
      <c r="Z107" s="5554">
        <f>Y107*W107</f>
        <v>321.43200000000002</v>
      </c>
      <c r="AA107" s="5554">
        <f>+Z107*1.12</f>
        <v>360.00384000000003</v>
      </c>
      <c r="AB107" s="5555"/>
      <c r="AC107" s="5823"/>
      <c r="AD107" s="3619"/>
      <c r="AE107" s="3632"/>
      <c r="AF107" s="3634" t="s">
        <v>153</v>
      </c>
      <c r="AG107" s="3634"/>
      <c r="AH107" s="10497"/>
    </row>
    <row r="108" spans="1:34" s="1001" customFormat="1" ht="24" customHeight="1">
      <c r="A108" s="9392"/>
      <c r="B108" s="10511"/>
      <c r="C108" s="10516" t="s">
        <v>127</v>
      </c>
      <c r="D108" s="10433" t="s">
        <v>128</v>
      </c>
      <c r="E108" s="10433" t="s">
        <v>129</v>
      </c>
      <c r="F108" s="10433" t="s">
        <v>268</v>
      </c>
      <c r="G108" s="10442" t="s">
        <v>131</v>
      </c>
      <c r="H108" s="10433" t="s">
        <v>132</v>
      </c>
      <c r="I108" s="10433" t="s">
        <v>159</v>
      </c>
      <c r="J108" s="10433" t="s">
        <v>3545</v>
      </c>
      <c r="K108" s="10433" t="s">
        <v>3546</v>
      </c>
      <c r="L108" s="10443" t="s">
        <v>3547</v>
      </c>
      <c r="M108" s="10470">
        <v>0</v>
      </c>
      <c r="N108" s="10470">
        <v>5</v>
      </c>
      <c r="O108" s="10470">
        <v>5</v>
      </c>
      <c r="P108" s="10433" t="s">
        <v>3548</v>
      </c>
      <c r="Q108" s="10443" t="s">
        <v>3549</v>
      </c>
      <c r="R108" s="10439" t="s">
        <v>3550</v>
      </c>
      <c r="S108" s="5654"/>
      <c r="T108" s="5712"/>
      <c r="U108" s="5713"/>
      <c r="V108" s="5755"/>
      <c r="W108" s="5502"/>
      <c r="X108" s="3709" t="s">
        <v>3551</v>
      </c>
      <c r="Y108" s="5556"/>
      <c r="Z108" s="5556"/>
      <c r="AA108" s="5556"/>
      <c r="AB108" s="5557"/>
      <c r="AC108" s="5780"/>
      <c r="AD108" s="3599"/>
      <c r="AE108" s="3600"/>
      <c r="AF108" s="3600"/>
      <c r="AG108" s="3638"/>
      <c r="AH108" s="10498"/>
    </row>
    <row r="109" spans="1:34" s="1001" customFormat="1" ht="24" customHeight="1">
      <c r="A109" s="9392"/>
      <c r="B109" s="10511"/>
      <c r="C109" s="10513"/>
      <c r="D109" s="10434"/>
      <c r="E109" s="10434"/>
      <c r="F109" s="10434"/>
      <c r="G109" s="10434"/>
      <c r="H109" s="10434"/>
      <c r="I109" s="10434"/>
      <c r="J109" s="10434"/>
      <c r="K109" s="10434"/>
      <c r="L109" s="10434"/>
      <c r="M109" s="10437"/>
      <c r="N109" s="10437"/>
      <c r="O109" s="10437"/>
      <c r="P109" s="10434"/>
      <c r="Q109" s="10434"/>
      <c r="R109" s="10440"/>
      <c r="S109" s="5659"/>
      <c r="T109" s="5714"/>
      <c r="U109" s="5715"/>
      <c r="V109" s="5756"/>
      <c r="W109" s="5500"/>
      <c r="X109" s="3504" t="s">
        <v>3552</v>
      </c>
      <c r="Y109" s="5790"/>
      <c r="Z109" s="5790"/>
      <c r="AA109" s="5790"/>
      <c r="AB109" s="5791"/>
      <c r="AC109" s="5825"/>
      <c r="AD109" s="3589"/>
      <c r="AE109" s="3587"/>
      <c r="AF109" s="3587"/>
      <c r="AG109" s="3590"/>
      <c r="AH109" s="10496"/>
    </row>
    <row r="110" spans="1:34" s="1001" customFormat="1" ht="24" customHeight="1">
      <c r="A110" s="9392"/>
      <c r="B110" s="10511"/>
      <c r="C110" s="10513"/>
      <c r="D110" s="10434"/>
      <c r="E110" s="10434"/>
      <c r="F110" s="10434"/>
      <c r="G110" s="10434"/>
      <c r="H110" s="10434"/>
      <c r="I110" s="10434"/>
      <c r="J110" s="10434"/>
      <c r="K110" s="10434"/>
      <c r="L110" s="10434"/>
      <c r="M110" s="10437"/>
      <c r="N110" s="10437"/>
      <c r="O110" s="10437"/>
      <c r="P110" s="10434"/>
      <c r="Q110" s="10434"/>
      <c r="R110" s="10440"/>
      <c r="S110" s="5659"/>
      <c r="T110" s="5714"/>
      <c r="U110" s="5715"/>
      <c r="V110" s="5756" t="s">
        <v>3553</v>
      </c>
      <c r="W110" s="5500"/>
      <c r="X110" s="3504"/>
      <c r="Y110" s="5790"/>
      <c r="Z110" s="5790"/>
      <c r="AA110" s="5790"/>
      <c r="AB110" s="5791"/>
      <c r="AC110" s="5825"/>
      <c r="AD110" s="3589"/>
      <c r="AE110" s="3587"/>
      <c r="AF110" s="3587"/>
      <c r="AG110" s="3590"/>
      <c r="AH110" s="10496"/>
    </row>
    <row r="111" spans="1:34" s="1001" customFormat="1" ht="24" customHeight="1">
      <c r="A111" s="9392"/>
      <c r="B111" s="10511"/>
      <c r="C111" s="10513"/>
      <c r="D111" s="10434"/>
      <c r="E111" s="10434"/>
      <c r="F111" s="10434"/>
      <c r="G111" s="10434"/>
      <c r="H111" s="10434"/>
      <c r="I111" s="10434"/>
      <c r="J111" s="10434"/>
      <c r="K111" s="10434"/>
      <c r="L111" s="10434"/>
      <c r="M111" s="10437"/>
      <c r="N111" s="10437"/>
      <c r="O111" s="10437"/>
      <c r="P111" s="10434"/>
      <c r="Q111" s="10434"/>
      <c r="R111" s="10440"/>
      <c r="S111" s="5659"/>
      <c r="T111" s="5714"/>
      <c r="U111" s="5715"/>
      <c r="V111" s="5756"/>
      <c r="W111" s="5500"/>
      <c r="X111" s="3504"/>
      <c r="Y111" s="5790"/>
      <c r="Z111" s="5790"/>
      <c r="AA111" s="5790"/>
      <c r="AB111" s="5791"/>
      <c r="AC111" s="5825"/>
      <c r="AD111" s="3589"/>
      <c r="AE111" s="3587"/>
      <c r="AF111" s="3587"/>
      <c r="AG111" s="3590"/>
      <c r="AH111" s="10496"/>
    </row>
    <row r="112" spans="1:34" s="1001" customFormat="1" ht="24" customHeight="1">
      <c r="A112" s="9392"/>
      <c r="B112" s="10511"/>
      <c r="C112" s="10514"/>
      <c r="D112" s="10435"/>
      <c r="E112" s="10435"/>
      <c r="F112" s="10435"/>
      <c r="G112" s="10435"/>
      <c r="H112" s="10435"/>
      <c r="I112" s="10435"/>
      <c r="J112" s="10435"/>
      <c r="K112" s="10435"/>
      <c r="L112" s="10435"/>
      <c r="M112" s="10438"/>
      <c r="N112" s="10438"/>
      <c r="O112" s="10438"/>
      <c r="P112" s="10435"/>
      <c r="Q112" s="10435"/>
      <c r="R112" s="10441"/>
      <c r="S112" s="5660"/>
      <c r="T112" s="5716"/>
      <c r="U112" s="5717"/>
      <c r="V112" s="5757"/>
      <c r="W112" s="5506"/>
      <c r="X112" s="2933"/>
      <c r="Y112" s="5792"/>
      <c r="Z112" s="5792"/>
      <c r="AA112" s="5792"/>
      <c r="AB112" s="5793"/>
      <c r="AC112" s="5826"/>
      <c r="AD112" s="3615"/>
      <c r="AE112" s="3614"/>
      <c r="AF112" s="3614"/>
      <c r="AG112" s="3631"/>
      <c r="AH112" s="10499"/>
    </row>
    <row r="113" spans="1:34" s="1001" customFormat="1" ht="25.5" customHeight="1">
      <c r="A113" s="9392"/>
      <c r="B113" s="10511"/>
      <c r="C113" s="10512" t="s">
        <v>127</v>
      </c>
      <c r="D113" s="10444" t="s">
        <v>128</v>
      </c>
      <c r="E113" s="10444" t="s">
        <v>129</v>
      </c>
      <c r="F113" s="10444" t="s">
        <v>268</v>
      </c>
      <c r="G113" s="10451" t="s">
        <v>131</v>
      </c>
      <c r="H113" s="10444" t="s">
        <v>132</v>
      </c>
      <c r="I113" s="10444" t="s">
        <v>159</v>
      </c>
      <c r="J113" s="10444" t="s">
        <v>3554</v>
      </c>
      <c r="K113" s="10444" t="s">
        <v>3555</v>
      </c>
      <c r="L113" s="10448" t="s">
        <v>3556</v>
      </c>
      <c r="M113" s="10455">
        <v>12</v>
      </c>
      <c r="N113" s="10455">
        <v>12</v>
      </c>
      <c r="O113" s="10455">
        <v>12</v>
      </c>
      <c r="P113" s="10444" t="s">
        <v>3557</v>
      </c>
      <c r="Q113" s="10448" t="s">
        <v>3558</v>
      </c>
      <c r="R113" s="10449" t="s">
        <v>3559</v>
      </c>
      <c r="S113" s="5661"/>
      <c r="T113" s="5718"/>
      <c r="U113" s="5719"/>
      <c r="V113" s="5758"/>
      <c r="W113" s="5520"/>
      <c r="X113" s="3729"/>
      <c r="Y113" s="5802"/>
      <c r="Z113" s="5560"/>
      <c r="AA113" s="5560"/>
      <c r="AB113" s="5561"/>
      <c r="AC113" s="5822"/>
      <c r="AD113" s="3636"/>
      <c r="AE113" s="3641"/>
      <c r="AF113" s="3642"/>
      <c r="AG113" s="3642"/>
      <c r="AH113" s="10489"/>
    </row>
    <row r="114" spans="1:34" s="1001" customFormat="1" ht="25.5" customHeight="1">
      <c r="A114" s="9392"/>
      <c r="B114" s="10511"/>
      <c r="C114" s="10513"/>
      <c r="D114" s="10434"/>
      <c r="E114" s="10434"/>
      <c r="F114" s="10434"/>
      <c r="G114" s="10434"/>
      <c r="H114" s="10434"/>
      <c r="I114" s="10434"/>
      <c r="J114" s="10434"/>
      <c r="K114" s="10434"/>
      <c r="L114" s="10434"/>
      <c r="M114" s="10437"/>
      <c r="N114" s="10437"/>
      <c r="O114" s="10437"/>
      <c r="P114" s="10434"/>
      <c r="Q114" s="10434"/>
      <c r="R114" s="10440"/>
      <c r="S114" s="5659"/>
      <c r="T114" s="5720"/>
      <c r="U114" s="5721"/>
      <c r="V114" s="5759"/>
      <c r="W114" s="5510"/>
      <c r="X114" s="3678"/>
      <c r="Y114" s="5803"/>
      <c r="Z114" s="5552"/>
      <c r="AA114" s="5552"/>
      <c r="AB114" s="5553"/>
      <c r="AC114" s="5779"/>
      <c r="AD114" s="3581"/>
      <c r="AE114" s="3595"/>
      <c r="AF114" s="3582"/>
      <c r="AG114" s="3582"/>
      <c r="AH114" s="10462"/>
    </row>
    <row r="115" spans="1:34" s="1001" customFormat="1" ht="25.5" customHeight="1">
      <c r="A115" s="9392"/>
      <c r="B115" s="10511"/>
      <c r="C115" s="10513"/>
      <c r="D115" s="10434"/>
      <c r="E115" s="10434"/>
      <c r="F115" s="10434"/>
      <c r="G115" s="10434"/>
      <c r="H115" s="10434"/>
      <c r="I115" s="10434"/>
      <c r="J115" s="10434"/>
      <c r="K115" s="10434"/>
      <c r="L115" s="10434"/>
      <c r="M115" s="10437"/>
      <c r="N115" s="10437"/>
      <c r="O115" s="10437"/>
      <c r="P115" s="10434"/>
      <c r="Q115" s="10434"/>
      <c r="R115" s="10440"/>
      <c r="S115" s="5659"/>
      <c r="T115" s="5720"/>
      <c r="U115" s="5721"/>
      <c r="V115" s="5759"/>
      <c r="W115" s="5510"/>
      <c r="X115" s="3678"/>
      <c r="Y115" s="5803"/>
      <c r="Z115" s="5552"/>
      <c r="AA115" s="5552"/>
      <c r="AB115" s="5553"/>
      <c r="AC115" s="5779"/>
      <c r="AD115" s="3581"/>
      <c r="AE115" s="3595"/>
      <c r="AF115" s="3582"/>
      <c r="AG115" s="3582"/>
      <c r="AH115" s="10462"/>
    </row>
    <row r="116" spans="1:34" s="1001" customFormat="1" ht="25.5" customHeight="1">
      <c r="A116" s="9392"/>
      <c r="B116" s="10511"/>
      <c r="C116" s="10513"/>
      <c r="D116" s="10434"/>
      <c r="E116" s="10434"/>
      <c r="F116" s="10434"/>
      <c r="G116" s="10434"/>
      <c r="H116" s="10434"/>
      <c r="I116" s="10434"/>
      <c r="J116" s="10434"/>
      <c r="K116" s="10434"/>
      <c r="L116" s="10434"/>
      <c r="M116" s="10437"/>
      <c r="N116" s="10437"/>
      <c r="O116" s="10437"/>
      <c r="P116" s="10434"/>
      <c r="Q116" s="10434"/>
      <c r="R116" s="10440"/>
      <c r="S116" s="5659"/>
      <c r="T116" s="5720"/>
      <c r="U116" s="5721"/>
      <c r="V116" s="5759"/>
      <c r="W116" s="5510"/>
      <c r="X116" s="3678"/>
      <c r="Y116" s="5803"/>
      <c r="Z116" s="5552"/>
      <c r="AA116" s="5552"/>
      <c r="AB116" s="5553"/>
      <c r="AC116" s="5779"/>
      <c r="AD116" s="3581"/>
      <c r="AE116" s="3595"/>
      <c r="AF116" s="3582"/>
      <c r="AG116" s="3582"/>
      <c r="AH116" s="10462"/>
    </row>
    <row r="117" spans="1:34" s="1001" customFormat="1" ht="25.5" customHeight="1">
      <c r="A117" s="9392"/>
      <c r="B117" s="10511"/>
      <c r="C117" s="10515"/>
      <c r="D117" s="10445"/>
      <c r="E117" s="10445"/>
      <c r="F117" s="10445"/>
      <c r="G117" s="10445"/>
      <c r="H117" s="10445"/>
      <c r="I117" s="10445"/>
      <c r="J117" s="10445"/>
      <c r="K117" s="10445"/>
      <c r="L117" s="10445"/>
      <c r="M117" s="10447"/>
      <c r="N117" s="10447"/>
      <c r="O117" s="10447"/>
      <c r="P117" s="10445"/>
      <c r="Q117" s="10445"/>
      <c r="R117" s="10450"/>
      <c r="S117" s="5662"/>
      <c r="T117" s="5722"/>
      <c r="U117" s="5723"/>
      <c r="V117" s="5760"/>
      <c r="W117" s="5514"/>
      <c r="X117" s="3747"/>
      <c r="Y117" s="5804"/>
      <c r="Z117" s="5804"/>
      <c r="AA117" s="5804"/>
      <c r="AB117" s="5805"/>
      <c r="AC117" s="5834"/>
      <c r="AD117" s="3646"/>
      <c r="AE117" s="3645"/>
      <c r="AF117" s="3620"/>
      <c r="AG117" s="3620"/>
      <c r="AH117" s="10463"/>
    </row>
    <row r="118" spans="1:34" s="1001" customFormat="1" ht="24" customHeight="1">
      <c r="A118" s="9392"/>
      <c r="B118" s="10511"/>
      <c r="C118" s="10516" t="s">
        <v>127</v>
      </c>
      <c r="D118" s="10433" t="s">
        <v>128</v>
      </c>
      <c r="E118" s="10433" t="s">
        <v>129</v>
      </c>
      <c r="F118" s="10433" t="s">
        <v>268</v>
      </c>
      <c r="G118" s="10442" t="s">
        <v>131</v>
      </c>
      <c r="H118" s="10433" t="s">
        <v>132</v>
      </c>
      <c r="I118" s="10433" t="s">
        <v>159</v>
      </c>
      <c r="J118" s="10433" t="s">
        <v>3560</v>
      </c>
      <c r="K118" s="10433" t="s">
        <v>3561</v>
      </c>
      <c r="L118" s="10443" t="s">
        <v>3562</v>
      </c>
      <c r="M118" s="10470">
        <v>10</v>
      </c>
      <c r="N118" s="10470">
        <v>25</v>
      </c>
      <c r="O118" s="10470">
        <v>25</v>
      </c>
      <c r="P118" s="10433" t="s">
        <v>3563</v>
      </c>
      <c r="Q118" s="10443" t="s">
        <v>3564</v>
      </c>
      <c r="R118" s="10439" t="s">
        <v>3565</v>
      </c>
      <c r="S118" s="5663"/>
      <c r="T118" s="5724"/>
      <c r="U118" s="5725"/>
      <c r="V118" s="5761"/>
      <c r="W118" s="5502"/>
      <c r="X118" s="3746"/>
      <c r="Y118" s="5529"/>
      <c r="Z118" s="5556"/>
      <c r="AA118" s="5556"/>
      <c r="AB118" s="5557"/>
      <c r="AC118" s="5780"/>
      <c r="AD118" s="3599"/>
      <c r="AE118" s="3643"/>
      <c r="AF118" s="3644"/>
      <c r="AG118" s="3644"/>
      <c r="AH118" s="10490"/>
    </row>
    <row r="119" spans="1:34" s="1001" customFormat="1" ht="24" customHeight="1">
      <c r="A119" s="9392"/>
      <c r="B119" s="10511"/>
      <c r="C119" s="10513"/>
      <c r="D119" s="10434"/>
      <c r="E119" s="10434"/>
      <c r="F119" s="10434"/>
      <c r="G119" s="10434"/>
      <c r="H119" s="10434"/>
      <c r="I119" s="10434"/>
      <c r="J119" s="10434"/>
      <c r="K119" s="10434"/>
      <c r="L119" s="10434"/>
      <c r="M119" s="10437"/>
      <c r="N119" s="10437"/>
      <c r="O119" s="10437"/>
      <c r="P119" s="10434"/>
      <c r="Q119" s="10434"/>
      <c r="R119" s="10440"/>
      <c r="S119" s="5659"/>
      <c r="T119" s="5720"/>
      <c r="U119" s="5721"/>
      <c r="V119" s="5759"/>
      <c r="W119" s="5772"/>
      <c r="X119" s="3496"/>
      <c r="Y119" s="5523"/>
      <c r="Z119" s="5552"/>
      <c r="AA119" s="5552"/>
      <c r="AB119" s="5553"/>
      <c r="AC119" s="5779"/>
      <c r="AD119" s="3581"/>
      <c r="AE119" s="3595"/>
      <c r="AF119" s="3582"/>
      <c r="AG119" s="3582"/>
      <c r="AH119" s="10462"/>
    </row>
    <row r="120" spans="1:34" s="1001" customFormat="1" ht="24" customHeight="1">
      <c r="A120" s="9392"/>
      <c r="B120" s="10511"/>
      <c r="C120" s="10513"/>
      <c r="D120" s="10434"/>
      <c r="E120" s="10434"/>
      <c r="F120" s="10434"/>
      <c r="G120" s="10434"/>
      <c r="H120" s="10434"/>
      <c r="I120" s="10434"/>
      <c r="J120" s="10434"/>
      <c r="K120" s="10434"/>
      <c r="L120" s="10434"/>
      <c r="M120" s="10437"/>
      <c r="N120" s="10437"/>
      <c r="O120" s="10437"/>
      <c r="P120" s="10434"/>
      <c r="Q120" s="10434"/>
      <c r="R120" s="10440"/>
      <c r="S120" s="5659"/>
      <c r="T120" s="5720"/>
      <c r="U120" s="5721"/>
      <c r="V120" s="5759"/>
      <c r="W120" s="5510"/>
      <c r="X120" s="3678"/>
      <c r="Y120" s="5803"/>
      <c r="Z120" s="5552"/>
      <c r="AA120" s="5552"/>
      <c r="AB120" s="5553"/>
      <c r="AC120" s="5779"/>
      <c r="AD120" s="3581"/>
      <c r="AE120" s="3595"/>
      <c r="AF120" s="3582"/>
      <c r="AG120" s="3582"/>
      <c r="AH120" s="10462"/>
    </row>
    <row r="121" spans="1:34" s="1001" customFormat="1" ht="24" customHeight="1">
      <c r="A121" s="9392"/>
      <c r="B121" s="10511"/>
      <c r="C121" s="10513"/>
      <c r="D121" s="10434"/>
      <c r="E121" s="10434"/>
      <c r="F121" s="10434"/>
      <c r="G121" s="10434"/>
      <c r="H121" s="10434"/>
      <c r="I121" s="10434"/>
      <c r="J121" s="10434"/>
      <c r="K121" s="10434"/>
      <c r="L121" s="10434"/>
      <c r="M121" s="10437"/>
      <c r="N121" s="10437"/>
      <c r="O121" s="10437"/>
      <c r="P121" s="10434"/>
      <c r="Q121" s="10434"/>
      <c r="R121" s="10440"/>
      <c r="S121" s="5664"/>
      <c r="T121" s="5720"/>
      <c r="U121" s="5721"/>
      <c r="V121" s="5759"/>
      <c r="W121" s="5510"/>
      <c r="X121" s="3678"/>
      <c r="Y121" s="5803"/>
      <c r="Z121" s="5552"/>
      <c r="AA121" s="5552"/>
      <c r="AB121" s="5553"/>
      <c r="AC121" s="5779"/>
      <c r="AD121" s="3581"/>
      <c r="AE121" s="3595"/>
      <c r="AF121" s="3582"/>
      <c r="AG121" s="3582"/>
      <c r="AH121" s="10462"/>
    </row>
    <row r="122" spans="1:34" s="1001" customFormat="1" ht="24" customHeight="1">
      <c r="A122" s="9392"/>
      <c r="B122" s="10511"/>
      <c r="C122" s="10514"/>
      <c r="D122" s="10435"/>
      <c r="E122" s="10435"/>
      <c r="F122" s="10435"/>
      <c r="G122" s="10435"/>
      <c r="H122" s="10435"/>
      <c r="I122" s="10435"/>
      <c r="J122" s="10435"/>
      <c r="K122" s="10435"/>
      <c r="L122" s="10435"/>
      <c r="M122" s="10438"/>
      <c r="N122" s="10438"/>
      <c r="O122" s="10438"/>
      <c r="P122" s="10435"/>
      <c r="Q122" s="10435"/>
      <c r="R122" s="10441"/>
      <c r="S122" s="5665"/>
      <c r="T122" s="5726"/>
      <c r="U122" s="5727"/>
      <c r="V122" s="3766"/>
      <c r="W122" s="5511"/>
      <c r="X122" s="3701"/>
      <c r="Y122" s="5806"/>
      <c r="Z122" s="5806"/>
      <c r="AA122" s="5806"/>
      <c r="AB122" s="5807"/>
      <c r="AC122" s="5835"/>
      <c r="AD122" s="3610"/>
      <c r="AE122" s="3609"/>
      <c r="AF122" s="3611"/>
      <c r="AG122" s="3611"/>
      <c r="AH122" s="10465"/>
    </row>
    <row r="123" spans="1:34" s="1001" customFormat="1" ht="25.5" customHeight="1">
      <c r="A123" s="9392"/>
      <c r="B123" s="10511"/>
      <c r="C123" s="10512" t="s">
        <v>127</v>
      </c>
      <c r="D123" s="10444" t="s">
        <v>128</v>
      </c>
      <c r="E123" s="10444" t="s">
        <v>129</v>
      </c>
      <c r="F123" s="10444" t="s">
        <v>268</v>
      </c>
      <c r="G123" s="10451" t="s">
        <v>131</v>
      </c>
      <c r="H123" s="10444" t="s">
        <v>132</v>
      </c>
      <c r="I123" s="10444" t="s">
        <v>159</v>
      </c>
      <c r="J123" s="10444" t="s">
        <v>3566</v>
      </c>
      <c r="K123" s="10444" t="s">
        <v>3567</v>
      </c>
      <c r="L123" s="10448" t="s">
        <v>3568</v>
      </c>
      <c r="M123" s="10455">
        <v>0</v>
      </c>
      <c r="N123" s="10455">
        <v>5</v>
      </c>
      <c r="O123" s="10455">
        <v>25</v>
      </c>
      <c r="P123" s="10448" t="s">
        <v>3569</v>
      </c>
      <c r="Q123" s="10448" t="s">
        <v>3570</v>
      </c>
      <c r="R123" s="10449" t="s">
        <v>3571</v>
      </c>
      <c r="S123" s="5661"/>
      <c r="T123" s="5728"/>
      <c r="U123" s="5729"/>
      <c r="V123" s="5762"/>
      <c r="W123" s="5775"/>
      <c r="X123" s="5784"/>
      <c r="Y123" s="5577"/>
      <c r="Z123" s="5560"/>
      <c r="AA123" s="5560"/>
      <c r="AB123" s="5561"/>
      <c r="AC123" s="5822"/>
      <c r="AD123" s="3636"/>
      <c r="AE123" s="3641"/>
      <c r="AF123" s="3642"/>
      <c r="AG123" s="3642"/>
      <c r="AH123" s="10489"/>
    </row>
    <row r="124" spans="1:34" s="1001" customFormat="1" ht="25.5" customHeight="1">
      <c r="A124" s="9392"/>
      <c r="B124" s="10511"/>
      <c r="C124" s="10513"/>
      <c r="D124" s="10434"/>
      <c r="E124" s="10434"/>
      <c r="F124" s="10434"/>
      <c r="G124" s="10434"/>
      <c r="H124" s="10434"/>
      <c r="I124" s="10434"/>
      <c r="J124" s="10434"/>
      <c r="K124" s="10434"/>
      <c r="L124" s="10434"/>
      <c r="M124" s="10437"/>
      <c r="N124" s="10437"/>
      <c r="O124" s="10437"/>
      <c r="P124" s="10434"/>
      <c r="Q124" s="10434"/>
      <c r="R124" s="10440"/>
      <c r="S124" s="5659"/>
      <c r="T124" s="5730"/>
      <c r="U124" s="5731"/>
      <c r="V124" s="5763"/>
      <c r="W124" s="5776"/>
      <c r="X124" s="5785"/>
      <c r="Y124" s="5546"/>
      <c r="Z124" s="5552"/>
      <c r="AA124" s="5552"/>
      <c r="AB124" s="5553"/>
      <c r="AC124" s="5779"/>
      <c r="AD124" s="3581"/>
      <c r="AE124" s="3595"/>
      <c r="AF124" s="3582"/>
      <c r="AG124" s="3582"/>
      <c r="AH124" s="10462"/>
    </row>
    <row r="125" spans="1:34" s="1001" customFormat="1" ht="25.5" customHeight="1">
      <c r="A125" s="9392"/>
      <c r="B125" s="10511"/>
      <c r="C125" s="10513"/>
      <c r="D125" s="10434"/>
      <c r="E125" s="10434"/>
      <c r="F125" s="10434"/>
      <c r="G125" s="10434"/>
      <c r="H125" s="10434"/>
      <c r="I125" s="10434"/>
      <c r="J125" s="10434"/>
      <c r="K125" s="10434"/>
      <c r="L125" s="10434"/>
      <c r="M125" s="10437"/>
      <c r="N125" s="10437"/>
      <c r="O125" s="10437"/>
      <c r="P125" s="10434"/>
      <c r="Q125" s="10434"/>
      <c r="R125" s="10440"/>
      <c r="S125" s="5659"/>
      <c r="T125" s="5730"/>
      <c r="U125" s="5731"/>
      <c r="V125" s="5763"/>
      <c r="W125" s="5776"/>
      <c r="X125" s="5785"/>
      <c r="Y125" s="5546"/>
      <c r="Z125" s="5552"/>
      <c r="AA125" s="5552"/>
      <c r="AB125" s="5553"/>
      <c r="AC125" s="5779"/>
      <c r="AD125" s="3581"/>
      <c r="AE125" s="3595"/>
      <c r="AF125" s="3582"/>
      <c r="AG125" s="3582"/>
      <c r="AH125" s="10462"/>
    </row>
    <row r="126" spans="1:34" s="1001" customFormat="1" ht="25.5" customHeight="1">
      <c r="A126" s="9392"/>
      <c r="B126" s="10511"/>
      <c r="C126" s="10513"/>
      <c r="D126" s="10434"/>
      <c r="E126" s="10434"/>
      <c r="F126" s="10434"/>
      <c r="G126" s="10434"/>
      <c r="H126" s="10434"/>
      <c r="I126" s="10434"/>
      <c r="J126" s="10434"/>
      <c r="K126" s="10434"/>
      <c r="L126" s="10434"/>
      <c r="M126" s="10437"/>
      <c r="N126" s="10437"/>
      <c r="O126" s="10437"/>
      <c r="P126" s="10434"/>
      <c r="Q126" s="10434"/>
      <c r="R126" s="10440"/>
      <c r="S126" s="5664"/>
      <c r="T126" s="5732"/>
      <c r="U126" s="5731"/>
      <c r="V126" s="3765"/>
      <c r="W126" s="5510"/>
      <c r="X126" s="3678"/>
      <c r="Y126" s="5803"/>
      <c r="Z126" s="5552"/>
      <c r="AA126" s="5552"/>
      <c r="AB126" s="5553"/>
      <c r="AC126" s="5779"/>
      <c r="AD126" s="3581"/>
      <c r="AE126" s="3595"/>
      <c r="AF126" s="3582"/>
      <c r="AG126" s="3582"/>
      <c r="AH126" s="10462"/>
    </row>
    <row r="127" spans="1:34" s="1001" customFormat="1" ht="25.5" customHeight="1">
      <c r="A127" s="9392"/>
      <c r="B127" s="10511"/>
      <c r="C127" s="10515"/>
      <c r="D127" s="10445"/>
      <c r="E127" s="10445"/>
      <c r="F127" s="10445"/>
      <c r="G127" s="10445"/>
      <c r="H127" s="10445"/>
      <c r="I127" s="10445"/>
      <c r="J127" s="10445"/>
      <c r="K127" s="10445"/>
      <c r="L127" s="10445"/>
      <c r="M127" s="10447"/>
      <c r="N127" s="10447"/>
      <c r="O127" s="10447"/>
      <c r="P127" s="10445"/>
      <c r="Q127" s="10445"/>
      <c r="R127" s="10450"/>
      <c r="S127" s="5666"/>
      <c r="T127" s="5733"/>
      <c r="U127" s="5734"/>
      <c r="V127" s="4662"/>
      <c r="W127" s="5514"/>
      <c r="X127" s="3747"/>
      <c r="Y127" s="5804"/>
      <c r="Z127" s="5804"/>
      <c r="AA127" s="5804"/>
      <c r="AB127" s="5805"/>
      <c r="AC127" s="5834"/>
      <c r="AD127" s="3646"/>
      <c r="AE127" s="3645"/>
      <c r="AF127" s="3620"/>
      <c r="AG127" s="3620"/>
      <c r="AH127" s="10463"/>
    </row>
    <row r="128" spans="1:34" s="1001" customFormat="1" ht="24" customHeight="1">
      <c r="A128" s="9392"/>
      <c r="B128" s="10511"/>
      <c r="C128" s="10516" t="s">
        <v>127</v>
      </c>
      <c r="D128" s="10433" t="s">
        <v>128</v>
      </c>
      <c r="E128" s="10433" t="s">
        <v>129</v>
      </c>
      <c r="F128" s="10433" t="s">
        <v>268</v>
      </c>
      <c r="G128" s="10442" t="s">
        <v>131</v>
      </c>
      <c r="H128" s="10433" t="s">
        <v>132</v>
      </c>
      <c r="I128" s="10433" t="s">
        <v>159</v>
      </c>
      <c r="J128" s="10433" t="s">
        <v>3572</v>
      </c>
      <c r="K128" s="10433" t="s">
        <v>3573</v>
      </c>
      <c r="L128" s="10443" t="s">
        <v>3574</v>
      </c>
      <c r="M128" s="10470">
        <v>0</v>
      </c>
      <c r="N128" s="10470">
        <v>0</v>
      </c>
      <c r="O128" s="10470">
        <v>10</v>
      </c>
      <c r="P128" s="10433" t="s">
        <v>3575</v>
      </c>
      <c r="Q128" s="10443" t="s">
        <v>3576</v>
      </c>
      <c r="R128" s="10439" t="s">
        <v>3565</v>
      </c>
      <c r="S128" s="5667"/>
      <c r="T128" s="5700"/>
      <c r="U128" s="5685"/>
      <c r="V128" s="5764"/>
      <c r="W128" s="5777"/>
      <c r="X128" s="3746"/>
      <c r="Y128" s="5529"/>
      <c r="Z128" s="5556"/>
      <c r="AA128" s="5808"/>
      <c r="AB128" s="5557"/>
      <c r="AC128" s="5780"/>
      <c r="AD128" s="3599"/>
      <c r="AE128" s="3647"/>
      <c r="AF128" s="3647"/>
      <c r="AG128" s="3647"/>
      <c r="AH128" s="10490"/>
    </row>
    <row r="129" spans="1:34" s="1001" customFormat="1" ht="24" customHeight="1">
      <c r="A129" s="9392"/>
      <c r="B129" s="10511"/>
      <c r="C129" s="10513"/>
      <c r="D129" s="10434"/>
      <c r="E129" s="10434"/>
      <c r="F129" s="10434"/>
      <c r="G129" s="10434"/>
      <c r="H129" s="10434"/>
      <c r="I129" s="10434"/>
      <c r="J129" s="10434"/>
      <c r="K129" s="10434"/>
      <c r="L129" s="10434"/>
      <c r="M129" s="10437"/>
      <c r="N129" s="10437"/>
      <c r="O129" s="10437"/>
      <c r="P129" s="10434"/>
      <c r="Q129" s="10434"/>
      <c r="R129" s="10440"/>
      <c r="S129" s="5645"/>
      <c r="T129" s="5735"/>
      <c r="U129" s="5681"/>
      <c r="V129" s="5749"/>
      <c r="W129" s="5772"/>
      <c r="X129" s="3690"/>
      <c r="Y129" s="5523"/>
      <c r="Z129" s="5552"/>
      <c r="AA129" s="5552"/>
      <c r="AB129" s="5553"/>
      <c r="AC129" s="5779"/>
      <c r="AD129" s="3581"/>
      <c r="AE129" s="3579"/>
      <c r="AF129" s="3582"/>
      <c r="AG129" s="3583"/>
      <c r="AH129" s="10462"/>
    </row>
    <row r="130" spans="1:34" s="1001" customFormat="1" ht="24" customHeight="1">
      <c r="A130" s="9392"/>
      <c r="B130" s="10511"/>
      <c r="C130" s="10513"/>
      <c r="D130" s="10434"/>
      <c r="E130" s="10434"/>
      <c r="F130" s="10434"/>
      <c r="G130" s="10434"/>
      <c r="H130" s="10434"/>
      <c r="I130" s="10434"/>
      <c r="J130" s="10434"/>
      <c r="K130" s="10434"/>
      <c r="L130" s="10434"/>
      <c r="M130" s="10437"/>
      <c r="N130" s="10437"/>
      <c r="O130" s="10437"/>
      <c r="P130" s="10434"/>
      <c r="Q130" s="10434"/>
      <c r="R130" s="10440"/>
      <c r="S130" s="5664"/>
      <c r="T130" s="5732"/>
      <c r="U130" s="5731"/>
      <c r="V130" s="3765"/>
      <c r="W130" s="5510"/>
      <c r="X130" s="3678"/>
      <c r="Y130" s="5803"/>
      <c r="Z130" s="5803"/>
      <c r="AA130" s="5803"/>
      <c r="AB130" s="5809"/>
      <c r="AC130" s="5836"/>
      <c r="AD130" s="3596"/>
      <c r="AE130" s="3595"/>
      <c r="AF130" s="3582"/>
      <c r="AG130" s="3582"/>
      <c r="AH130" s="10462"/>
    </row>
    <row r="131" spans="1:34" s="1001" customFormat="1" ht="24" customHeight="1">
      <c r="A131" s="9392"/>
      <c r="B131" s="10511"/>
      <c r="C131" s="10513"/>
      <c r="D131" s="10434"/>
      <c r="E131" s="10434"/>
      <c r="F131" s="10434"/>
      <c r="G131" s="10434"/>
      <c r="H131" s="10434"/>
      <c r="I131" s="10434"/>
      <c r="J131" s="10434"/>
      <c r="K131" s="10434"/>
      <c r="L131" s="10434"/>
      <c r="M131" s="10437"/>
      <c r="N131" s="10437"/>
      <c r="O131" s="10437"/>
      <c r="P131" s="10434"/>
      <c r="Q131" s="10434"/>
      <c r="R131" s="10440"/>
      <c r="S131" s="5659"/>
      <c r="T131" s="5730"/>
      <c r="U131" s="5731"/>
      <c r="V131" s="3765"/>
      <c r="W131" s="5510"/>
      <c r="X131" s="3678"/>
      <c r="Y131" s="5803"/>
      <c r="Z131" s="5803"/>
      <c r="AA131" s="5803"/>
      <c r="AB131" s="5809"/>
      <c r="AC131" s="5836"/>
      <c r="AD131" s="3596"/>
      <c r="AE131" s="3595"/>
      <c r="AF131" s="3582"/>
      <c r="AG131" s="3582"/>
      <c r="AH131" s="10462"/>
    </row>
    <row r="132" spans="1:34" s="1001" customFormat="1" ht="24" customHeight="1">
      <c r="A132" s="9392"/>
      <c r="B132" s="10511"/>
      <c r="C132" s="10514"/>
      <c r="D132" s="10435"/>
      <c r="E132" s="10435"/>
      <c r="F132" s="10435"/>
      <c r="G132" s="10435"/>
      <c r="H132" s="10435"/>
      <c r="I132" s="10435"/>
      <c r="J132" s="10435"/>
      <c r="K132" s="10435"/>
      <c r="L132" s="10435"/>
      <c r="M132" s="10438"/>
      <c r="N132" s="10438"/>
      <c r="O132" s="10438"/>
      <c r="P132" s="10435"/>
      <c r="Q132" s="10435"/>
      <c r="R132" s="10441"/>
      <c r="S132" s="5665"/>
      <c r="T132" s="5726"/>
      <c r="U132" s="5727"/>
      <c r="V132" s="3766"/>
      <c r="W132" s="5511"/>
      <c r="X132" s="3701"/>
      <c r="Y132" s="5806"/>
      <c r="Z132" s="5806"/>
      <c r="AA132" s="5806"/>
      <c r="AB132" s="5807"/>
      <c r="AC132" s="5835"/>
      <c r="AD132" s="3610"/>
      <c r="AE132" s="3609"/>
      <c r="AF132" s="3611"/>
      <c r="AG132" s="3611"/>
      <c r="AH132" s="10465"/>
    </row>
    <row r="133" spans="1:34" s="1001" customFormat="1" ht="24" customHeight="1">
      <c r="A133" s="9392"/>
      <c r="B133" s="10511"/>
      <c r="C133" s="10512" t="s">
        <v>127</v>
      </c>
      <c r="D133" s="10444" t="s">
        <v>128</v>
      </c>
      <c r="E133" s="10444" t="s">
        <v>129</v>
      </c>
      <c r="F133" s="10444" t="s">
        <v>268</v>
      </c>
      <c r="G133" s="10451" t="s">
        <v>131</v>
      </c>
      <c r="H133" s="10444" t="s">
        <v>132</v>
      </c>
      <c r="I133" s="10444" t="s">
        <v>159</v>
      </c>
      <c r="J133" s="10444" t="s">
        <v>3577</v>
      </c>
      <c r="K133" s="10444" t="s">
        <v>3578</v>
      </c>
      <c r="L133" s="10448"/>
      <c r="M133" s="10455"/>
      <c r="N133" s="10455"/>
      <c r="O133" s="10455"/>
      <c r="P133" s="10444"/>
      <c r="Q133" s="10448"/>
      <c r="R133" s="10449"/>
      <c r="S133" s="5661"/>
      <c r="T133" s="5728"/>
      <c r="U133" s="5729"/>
      <c r="V133" s="3819"/>
      <c r="W133" s="5520"/>
      <c r="X133" s="3729"/>
      <c r="Y133" s="5802"/>
      <c r="Z133" s="5560"/>
      <c r="AA133" s="5560"/>
      <c r="AB133" s="5561"/>
      <c r="AC133" s="5822"/>
      <c r="AD133" s="3636"/>
      <c r="AE133" s="3641"/>
      <c r="AF133" s="3640"/>
      <c r="AG133" s="3640"/>
      <c r="AH133" s="10464" t="s">
        <v>3579</v>
      </c>
    </row>
    <row r="134" spans="1:34" s="1001" customFormat="1" ht="24" customHeight="1">
      <c r="A134" s="9392"/>
      <c r="B134" s="10511"/>
      <c r="C134" s="10513"/>
      <c r="D134" s="10434"/>
      <c r="E134" s="10434"/>
      <c r="F134" s="10434"/>
      <c r="G134" s="10434"/>
      <c r="H134" s="10434"/>
      <c r="I134" s="10434"/>
      <c r="J134" s="10434"/>
      <c r="K134" s="10434"/>
      <c r="L134" s="10434"/>
      <c r="M134" s="10437"/>
      <c r="N134" s="10437"/>
      <c r="O134" s="10437"/>
      <c r="P134" s="10434"/>
      <c r="Q134" s="10434"/>
      <c r="R134" s="10440"/>
      <c r="S134" s="5664"/>
      <c r="T134" s="5732"/>
      <c r="U134" s="5731"/>
      <c r="V134" s="3765"/>
      <c r="W134" s="5510"/>
      <c r="X134" s="3678"/>
      <c r="Y134" s="5803"/>
      <c r="Z134" s="5552"/>
      <c r="AA134" s="5552"/>
      <c r="AB134" s="5553"/>
      <c r="AC134" s="5779"/>
      <c r="AD134" s="3581"/>
      <c r="AE134" s="3595"/>
      <c r="AF134" s="3595"/>
      <c r="AG134" s="3584"/>
      <c r="AH134" s="10462"/>
    </row>
    <row r="135" spans="1:34" s="1001" customFormat="1" ht="24" customHeight="1">
      <c r="A135" s="9392"/>
      <c r="B135" s="10511"/>
      <c r="C135" s="10513"/>
      <c r="D135" s="10434"/>
      <c r="E135" s="10434"/>
      <c r="F135" s="10434"/>
      <c r="G135" s="10434"/>
      <c r="H135" s="10434"/>
      <c r="I135" s="10434"/>
      <c r="J135" s="10434"/>
      <c r="K135" s="10434"/>
      <c r="L135" s="10434"/>
      <c r="M135" s="10437"/>
      <c r="N135" s="10437"/>
      <c r="O135" s="10437"/>
      <c r="P135" s="10434"/>
      <c r="Q135" s="10434"/>
      <c r="R135" s="10440"/>
      <c r="S135" s="5664"/>
      <c r="T135" s="5732"/>
      <c r="U135" s="5731"/>
      <c r="V135" s="3765"/>
      <c r="W135" s="5510"/>
      <c r="X135" s="3678"/>
      <c r="Y135" s="5803"/>
      <c r="Z135" s="5552"/>
      <c r="AA135" s="5552"/>
      <c r="AB135" s="5553"/>
      <c r="AC135" s="5779"/>
      <c r="AD135" s="3581"/>
      <c r="AE135" s="3595"/>
      <c r="AF135" s="3595"/>
      <c r="AG135" s="3582"/>
      <c r="AH135" s="10462"/>
    </row>
    <row r="136" spans="1:34" s="1001" customFormat="1" ht="24" customHeight="1">
      <c r="A136" s="9392"/>
      <c r="B136" s="10511"/>
      <c r="C136" s="10513"/>
      <c r="D136" s="10434"/>
      <c r="E136" s="10434"/>
      <c r="F136" s="10434"/>
      <c r="G136" s="10434"/>
      <c r="H136" s="10434"/>
      <c r="I136" s="10434"/>
      <c r="J136" s="10434"/>
      <c r="K136" s="10434"/>
      <c r="L136" s="10434"/>
      <c r="M136" s="10437"/>
      <c r="N136" s="10437"/>
      <c r="O136" s="10437"/>
      <c r="P136" s="10434"/>
      <c r="Q136" s="10434"/>
      <c r="R136" s="10440"/>
      <c r="S136" s="5664"/>
      <c r="T136" s="5732"/>
      <c r="U136" s="5731"/>
      <c r="V136" s="3765"/>
      <c r="W136" s="5510"/>
      <c r="X136" s="3678"/>
      <c r="Y136" s="5803"/>
      <c r="Z136" s="5552"/>
      <c r="AA136" s="5552"/>
      <c r="AB136" s="5553"/>
      <c r="AC136" s="5779"/>
      <c r="AD136" s="3581"/>
      <c r="AE136" s="3595"/>
      <c r="AF136" s="3595"/>
      <c r="AG136" s="3582"/>
      <c r="AH136" s="10462"/>
    </row>
    <row r="137" spans="1:34" s="1001" customFormat="1" ht="24" customHeight="1">
      <c r="A137" s="9392"/>
      <c r="B137" s="10511"/>
      <c r="C137" s="10515"/>
      <c r="D137" s="10445"/>
      <c r="E137" s="10445"/>
      <c r="F137" s="10445"/>
      <c r="G137" s="10445"/>
      <c r="H137" s="10445"/>
      <c r="I137" s="10445"/>
      <c r="J137" s="10445"/>
      <c r="K137" s="10445"/>
      <c r="L137" s="10445"/>
      <c r="M137" s="10447"/>
      <c r="N137" s="10447"/>
      <c r="O137" s="10447"/>
      <c r="P137" s="10445"/>
      <c r="Q137" s="10445"/>
      <c r="R137" s="10450"/>
      <c r="S137" s="5666"/>
      <c r="T137" s="5733"/>
      <c r="U137" s="5734"/>
      <c r="V137" s="4662"/>
      <c r="W137" s="5514"/>
      <c r="X137" s="3747"/>
      <c r="Y137" s="5804"/>
      <c r="Z137" s="5804"/>
      <c r="AA137" s="5804"/>
      <c r="AB137" s="5805"/>
      <c r="AC137" s="5834"/>
      <c r="AD137" s="3646"/>
      <c r="AE137" s="3645"/>
      <c r="AF137" s="3645"/>
      <c r="AG137" s="3620"/>
      <c r="AH137" s="10463"/>
    </row>
    <row r="138" spans="1:34" s="1001" customFormat="1" ht="27" customHeight="1">
      <c r="A138" s="9392"/>
      <c r="B138" s="10511"/>
      <c r="C138" s="10516" t="s">
        <v>127</v>
      </c>
      <c r="D138" s="10433" t="s">
        <v>128</v>
      </c>
      <c r="E138" s="10433" t="s">
        <v>129</v>
      </c>
      <c r="F138" s="10433" t="s">
        <v>268</v>
      </c>
      <c r="G138" s="10442" t="s">
        <v>131</v>
      </c>
      <c r="H138" s="10433" t="s">
        <v>132</v>
      </c>
      <c r="I138" s="10433" t="s">
        <v>159</v>
      </c>
      <c r="J138" s="10433" t="s">
        <v>3580</v>
      </c>
      <c r="K138" s="10443" t="s">
        <v>3581</v>
      </c>
      <c r="L138" s="10443" t="s">
        <v>3582</v>
      </c>
      <c r="M138" s="10470">
        <v>80</v>
      </c>
      <c r="N138" s="10470">
        <v>120</v>
      </c>
      <c r="O138" s="10470">
        <v>200</v>
      </c>
      <c r="P138" s="10433" t="s">
        <v>3583</v>
      </c>
      <c r="Q138" s="10443" t="s">
        <v>3584</v>
      </c>
      <c r="R138" s="10439" t="s">
        <v>3585</v>
      </c>
      <c r="S138" s="5663"/>
      <c r="T138" s="5736"/>
      <c r="U138" s="5737"/>
      <c r="V138" s="5496"/>
      <c r="W138" s="5515"/>
      <c r="X138" s="3731"/>
      <c r="Y138" s="5810"/>
      <c r="Z138" s="5556"/>
      <c r="AA138" s="5556"/>
      <c r="AB138" s="5557"/>
      <c r="AC138" s="5780"/>
      <c r="AD138" s="3599"/>
      <c r="AE138" s="3643"/>
      <c r="AF138" s="3644"/>
      <c r="AG138" s="3644"/>
      <c r="AH138" s="10490"/>
    </row>
    <row r="139" spans="1:34" s="1001" customFormat="1" ht="27" customHeight="1">
      <c r="A139" s="9392"/>
      <c r="B139" s="10511"/>
      <c r="C139" s="10513"/>
      <c r="D139" s="10434"/>
      <c r="E139" s="10434"/>
      <c r="F139" s="10434"/>
      <c r="G139" s="10434"/>
      <c r="H139" s="10434"/>
      <c r="I139" s="10434"/>
      <c r="J139" s="10434"/>
      <c r="K139" s="10434"/>
      <c r="L139" s="10434"/>
      <c r="M139" s="10437"/>
      <c r="N139" s="10437"/>
      <c r="O139" s="10437"/>
      <c r="P139" s="10434"/>
      <c r="Q139" s="10434"/>
      <c r="R139" s="10440"/>
      <c r="S139" s="5664"/>
      <c r="T139" s="5732"/>
      <c r="U139" s="5731"/>
      <c r="V139" s="3765"/>
      <c r="W139" s="5510"/>
      <c r="X139" s="3678"/>
      <c r="Y139" s="5803"/>
      <c r="Z139" s="5552"/>
      <c r="AA139" s="5552"/>
      <c r="AB139" s="5553"/>
      <c r="AC139" s="5779"/>
      <c r="AD139" s="3581"/>
      <c r="AE139" s="3595"/>
      <c r="AF139" s="3582"/>
      <c r="AG139" s="3582"/>
      <c r="AH139" s="10462"/>
    </row>
    <row r="140" spans="1:34" s="1001" customFormat="1" ht="27" customHeight="1">
      <c r="A140" s="9392"/>
      <c r="B140" s="10511"/>
      <c r="C140" s="10513"/>
      <c r="D140" s="10434"/>
      <c r="E140" s="10434"/>
      <c r="F140" s="10434"/>
      <c r="G140" s="10434"/>
      <c r="H140" s="10434"/>
      <c r="I140" s="10434"/>
      <c r="J140" s="10434"/>
      <c r="K140" s="10434"/>
      <c r="L140" s="10434"/>
      <c r="M140" s="10437"/>
      <c r="N140" s="10437"/>
      <c r="O140" s="10437"/>
      <c r="P140" s="10434"/>
      <c r="Q140" s="10434"/>
      <c r="R140" s="10440"/>
      <c r="S140" s="5664"/>
      <c r="T140" s="5732"/>
      <c r="U140" s="5731"/>
      <c r="V140" s="3765"/>
      <c r="W140" s="5510"/>
      <c r="X140" s="3678"/>
      <c r="Y140" s="5803"/>
      <c r="Z140" s="5552"/>
      <c r="AA140" s="5552"/>
      <c r="AB140" s="5553"/>
      <c r="AC140" s="5779"/>
      <c r="AD140" s="3581"/>
      <c r="AE140" s="3595"/>
      <c r="AF140" s="3582"/>
      <c r="AG140" s="3582"/>
      <c r="AH140" s="10462"/>
    </row>
    <row r="141" spans="1:34" s="1001" customFormat="1" ht="27" customHeight="1">
      <c r="A141" s="9392"/>
      <c r="B141" s="10511"/>
      <c r="C141" s="10513"/>
      <c r="D141" s="10434"/>
      <c r="E141" s="10434"/>
      <c r="F141" s="10434"/>
      <c r="G141" s="10434"/>
      <c r="H141" s="10434"/>
      <c r="I141" s="10434"/>
      <c r="J141" s="10434"/>
      <c r="K141" s="10434"/>
      <c r="L141" s="10434"/>
      <c r="M141" s="10437"/>
      <c r="N141" s="10437"/>
      <c r="O141" s="10437"/>
      <c r="P141" s="10434"/>
      <c r="Q141" s="10434"/>
      <c r="R141" s="10440"/>
      <c r="S141" s="5664"/>
      <c r="T141" s="5732"/>
      <c r="U141" s="5731"/>
      <c r="V141" s="3765"/>
      <c r="W141" s="5510"/>
      <c r="X141" s="3678"/>
      <c r="Y141" s="5803"/>
      <c r="Z141" s="5552"/>
      <c r="AA141" s="5552"/>
      <c r="AB141" s="5553"/>
      <c r="AC141" s="5779"/>
      <c r="AD141" s="3581"/>
      <c r="AE141" s="3595"/>
      <c r="AF141" s="3582"/>
      <c r="AG141" s="3582"/>
      <c r="AH141" s="10462"/>
    </row>
    <row r="142" spans="1:34" s="1001" customFormat="1" ht="27" customHeight="1">
      <c r="A142" s="9392"/>
      <c r="B142" s="10511"/>
      <c r="C142" s="10514"/>
      <c r="D142" s="10435"/>
      <c r="E142" s="10435"/>
      <c r="F142" s="10435"/>
      <c r="G142" s="10435"/>
      <c r="H142" s="10435"/>
      <c r="I142" s="10435"/>
      <c r="J142" s="10435"/>
      <c r="K142" s="10435"/>
      <c r="L142" s="10435"/>
      <c r="M142" s="10438"/>
      <c r="N142" s="10438"/>
      <c r="O142" s="10438"/>
      <c r="P142" s="10435"/>
      <c r="Q142" s="10435"/>
      <c r="R142" s="10441"/>
      <c r="S142" s="5665"/>
      <c r="T142" s="5726"/>
      <c r="U142" s="5727"/>
      <c r="V142" s="3766"/>
      <c r="W142" s="5511"/>
      <c r="X142" s="3701"/>
      <c r="Y142" s="5806"/>
      <c r="Z142" s="5806"/>
      <c r="AA142" s="5806"/>
      <c r="AB142" s="5807"/>
      <c r="AC142" s="5835"/>
      <c r="AD142" s="3610"/>
      <c r="AE142" s="3609"/>
      <c r="AF142" s="3611"/>
      <c r="AG142" s="3611"/>
      <c r="AH142" s="10465"/>
    </row>
    <row r="143" spans="1:34" s="1001" customFormat="1" ht="24" customHeight="1">
      <c r="A143" s="9392"/>
      <c r="B143" s="10511"/>
      <c r="C143" s="10512" t="s">
        <v>127</v>
      </c>
      <c r="D143" s="10444" t="s">
        <v>128</v>
      </c>
      <c r="E143" s="10444" t="s">
        <v>129</v>
      </c>
      <c r="F143" s="10444" t="s">
        <v>268</v>
      </c>
      <c r="G143" s="10451" t="s">
        <v>131</v>
      </c>
      <c r="H143" s="10444" t="s">
        <v>132</v>
      </c>
      <c r="I143" s="10444" t="s">
        <v>159</v>
      </c>
      <c r="J143" s="10444" t="s">
        <v>3586</v>
      </c>
      <c r="K143" s="10444" t="s">
        <v>3587</v>
      </c>
      <c r="L143" s="10448" t="s">
        <v>3588</v>
      </c>
      <c r="M143" s="10455">
        <v>8</v>
      </c>
      <c r="N143" s="10455">
        <v>8</v>
      </c>
      <c r="O143" s="10455">
        <v>8</v>
      </c>
      <c r="P143" s="10444" t="s">
        <v>3589</v>
      </c>
      <c r="Q143" s="10448" t="s">
        <v>3590</v>
      </c>
      <c r="R143" s="10449" t="s">
        <v>3591</v>
      </c>
      <c r="S143" s="5661"/>
      <c r="T143" s="5728"/>
      <c r="U143" s="5729"/>
      <c r="V143" s="3819"/>
      <c r="W143" s="5520"/>
      <c r="X143" s="3729"/>
      <c r="Y143" s="5802"/>
      <c r="Z143" s="5560"/>
      <c r="AA143" s="5560"/>
      <c r="AB143" s="5561"/>
      <c r="AC143" s="5822"/>
      <c r="AD143" s="3636"/>
      <c r="AE143" s="3641"/>
      <c r="AF143" s="3642"/>
      <c r="AG143" s="3642"/>
      <c r="AH143" s="10489"/>
    </row>
    <row r="144" spans="1:34" s="1001" customFormat="1" ht="24" customHeight="1">
      <c r="A144" s="9392"/>
      <c r="B144" s="10511"/>
      <c r="C144" s="10513"/>
      <c r="D144" s="10434"/>
      <c r="E144" s="10434"/>
      <c r="F144" s="10434"/>
      <c r="G144" s="10434"/>
      <c r="H144" s="10434"/>
      <c r="I144" s="10434"/>
      <c r="J144" s="10434"/>
      <c r="K144" s="10434"/>
      <c r="L144" s="10434"/>
      <c r="M144" s="10437"/>
      <c r="N144" s="10437"/>
      <c r="O144" s="10437"/>
      <c r="P144" s="10434"/>
      <c r="Q144" s="10434"/>
      <c r="R144" s="10440"/>
      <c r="S144" s="5664"/>
      <c r="T144" s="5732"/>
      <c r="U144" s="5731"/>
      <c r="V144" s="3765"/>
      <c r="W144" s="5510"/>
      <c r="X144" s="3678"/>
      <c r="Y144" s="5803"/>
      <c r="Z144" s="5552"/>
      <c r="AA144" s="5552"/>
      <c r="AB144" s="5553"/>
      <c r="AC144" s="5779"/>
      <c r="AD144" s="3581"/>
      <c r="AE144" s="3595"/>
      <c r="AF144" s="3582"/>
      <c r="AG144" s="3582"/>
      <c r="AH144" s="10462"/>
    </row>
    <row r="145" spans="1:34" s="1001" customFormat="1" ht="24" customHeight="1">
      <c r="A145" s="9392"/>
      <c r="B145" s="10511"/>
      <c r="C145" s="10513"/>
      <c r="D145" s="10434"/>
      <c r="E145" s="10434"/>
      <c r="F145" s="10434"/>
      <c r="G145" s="10434"/>
      <c r="H145" s="10434"/>
      <c r="I145" s="10434"/>
      <c r="J145" s="10434"/>
      <c r="K145" s="10434"/>
      <c r="L145" s="10434"/>
      <c r="M145" s="10437"/>
      <c r="N145" s="10437"/>
      <c r="O145" s="10437"/>
      <c r="P145" s="10434"/>
      <c r="Q145" s="10434"/>
      <c r="R145" s="10440"/>
      <c r="S145" s="5664"/>
      <c r="T145" s="5732"/>
      <c r="U145" s="5731"/>
      <c r="V145" s="3765"/>
      <c r="W145" s="5510"/>
      <c r="X145" s="3678"/>
      <c r="Y145" s="5803"/>
      <c r="Z145" s="5552"/>
      <c r="AA145" s="5552"/>
      <c r="AB145" s="5553"/>
      <c r="AC145" s="5779"/>
      <c r="AD145" s="3581"/>
      <c r="AE145" s="3595"/>
      <c r="AF145" s="3582"/>
      <c r="AG145" s="3582"/>
      <c r="AH145" s="10462"/>
    </row>
    <row r="146" spans="1:34" s="1001" customFormat="1" ht="24" customHeight="1">
      <c r="A146" s="9392"/>
      <c r="B146" s="10511"/>
      <c r="C146" s="10513"/>
      <c r="D146" s="10434"/>
      <c r="E146" s="10434"/>
      <c r="F146" s="10434"/>
      <c r="G146" s="10434"/>
      <c r="H146" s="10434"/>
      <c r="I146" s="10434"/>
      <c r="J146" s="10434"/>
      <c r="K146" s="10434"/>
      <c r="L146" s="10434"/>
      <c r="M146" s="10437"/>
      <c r="N146" s="10437"/>
      <c r="O146" s="10437"/>
      <c r="P146" s="10434"/>
      <c r="Q146" s="10434"/>
      <c r="R146" s="10440"/>
      <c r="S146" s="5664"/>
      <c r="T146" s="5732"/>
      <c r="U146" s="5731"/>
      <c r="V146" s="3765"/>
      <c r="W146" s="5510"/>
      <c r="X146" s="3678"/>
      <c r="Y146" s="5803"/>
      <c r="Z146" s="5552"/>
      <c r="AA146" s="5552"/>
      <c r="AB146" s="5553"/>
      <c r="AC146" s="5779"/>
      <c r="AD146" s="3581"/>
      <c r="AE146" s="3595"/>
      <c r="AF146" s="3582"/>
      <c r="AG146" s="3582"/>
      <c r="AH146" s="10462"/>
    </row>
    <row r="147" spans="1:34" s="1001" customFormat="1" ht="24" customHeight="1">
      <c r="A147" s="9392"/>
      <c r="B147" s="10511"/>
      <c r="C147" s="10515"/>
      <c r="D147" s="10445"/>
      <c r="E147" s="10445"/>
      <c r="F147" s="10445"/>
      <c r="G147" s="10445"/>
      <c r="H147" s="10445"/>
      <c r="I147" s="10445"/>
      <c r="J147" s="10445"/>
      <c r="K147" s="10445"/>
      <c r="L147" s="10445"/>
      <c r="M147" s="10447"/>
      <c r="N147" s="10447"/>
      <c r="O147" s="10447"/>
      <c r="P147" s="10445"/>
      <c r="Q147" s="10445"/>
      <c r="R147" s="10450"/>
      <c r="S147" s="5666"/>
      <c r="T147" s="5733"/>
      <c r="U147" s="5734"/>
      <c r="V147" s="4662"/>
      <c r="W147" s="5514"/>
      <c r="X147" s="3747"/>
      <c r="Y147" s="5804"/>
      <c r="Z147" s="5804"/>
      <c r="AA147" s="5804"/>
      <c r="AB147" s="5805"/>
      <c r="AC147" s="5834"/>
      <c r="AD147" s="3646"/>
      <c r="AE147" s="3645"/>
      <c r="AF147" s="3620"/>
      <c r="AG147" s="3620"/>
      <c r="AH147" s="10463"/>
    </row>
    <row r="148" spans="1:34" s="1001" customFormat="1" ht="24" customHeight="1">
      <c r="A148" s="9392"/>
      <c r="B148" s="10511"/>
      <c r="C148" s="10516" t="s">
        <v>127</v>
      </c>
      <c r="D148" s="10433" t="s">
        <v>128</v>
      </c>
      <c r="E148" s="10433" t="s">
        <v>129</v>
      </c>
      <c r="F148" s="10433" t="s">
        <v>268</v>
      </c>
      <c r="G148" s="10442" t="s">
        <v>131</v>
      </c>
      <c r="H148" s="10433" t="s">
        <v>132</v>
      </c>
      <c r="I148" s="10433" t="s">
        <v>159</v>
      </c>
      <c r="J148" s="10433" t="s">
        <v>3592</v>
      </c>
      <c r="K148" s="10433" t="s">
        <v>286</v>
      </c>
      <c r="L148" s="10443" t="s">
        <v>3593</v>
      </c>
      <c r="M148" s="10470">
        <v>0</v>
      </c>
      <c r="N148" s="10470">
        <v>1</v>
      </c>
      <c r="O148" s="10470">
        <v>1</v>
      </c>
      <c r="P148" s="10443" t="s">
        <v>3594</v>
      </c>
      <c r="Q148" s="10443" t="s">
        <v>3595</v>
      </c>
      <c r="R148" s="10439" t="s">
        <v>3565</v>
      </c>
      <c r="S148" s="5663"/>
      <c r="T148" s="5736"/>
      <c r="U148" s="5737"/>
      <c r="V148" s="5496"/>
      <c r="W148" s="5515"/>
      <c r="X148" s="3731"/>
      <c r="Y148" s="5810"/>
      <c r="Z148" s="5556"/>
      <c r="AA148" s="5556"/>
      <c r="AB148" s="5557"/>
      <c r="AC148" s="5780"/>
      <c r="AD148" s="3599"/>
      <c r="AE148" s="3643"/>
      <c r="AF148" s="3644"/>
      <c r="AG148" s="3644"/>
      <c r="AH148" s="10490"/>
    </row>
    <row r="149" spans="1:34" s="1001" customFormat="1" ht="24" customHeight="1">
      <c r="A149" s="9392"/>
      <c r="B149" s="10511"/>
      <c r="C149" s="10513"/>
      <c r="D149" s="10434"/>
      <c r="E149" s="10434"/>
      <c r="F149" s="10434"/>
      <c r="G149" s="10434"/>
      <c r="H149" s="10434"/>
      <c r="I149" s="10434"/>
      <c r="J149" s="10434"/>
      <c r="K149" s="10434"/>
      <c r="L149" s="10434"/>
      <c r="M149" s="10437"/>
      <c r="N149" s="10437"/>
      <c r="O149" s="10437"/>
      <c r="P149" s="10434"/>
      <c r="Q149" s="10434"/>
      <c r="R149" s="10440"/>
      <c r="S149" s="5664"/>
      <c r="T149" s="5732"/>
      <c r="U149" s="5731"/>
      <c r="V149" s="3765"/>
      <c r="W149" s="5510"/>
      <c r="X149" s="3678"/>
      <c r="Y149" s="5803"/>
      <c r="Z149" s="5552"/>
      <c r="AA149" s="5552"/>
      <c r="AB149" s="5553"/>
      <c r="AC149" s="5779"/>
      <c r="AD149" s="3581"/>
      <c r="AE149" s="3595"/>
      <c r="AF149" s="3582"/>
      <c r="AG149" s="3582"/>
      <c r="AH149" s="10462"/>
    </row>
    <row r="150" spans="1:34" s="1001" customFormat="1" ht="24" customHeight="1">
      <c r="A150" s="9392"/>
      <c r="B150" s="10511"/>
      <c r="C150" s="10513"/>
      <c r="D150" s="10434"/>
      <c r="E150" s="10434"/>
      <c r="F150" s="10434"/>
      <c r="G150" s="10434"/>
      <c r="H150" s="10434"/>
      <c r="I150" s="10434"/>
      <c r="J150" s="10434"/>
      <c r="K150" s="10434"/>
      <c r="L150" s="10434"/>
      <c r="M150" s="10437"/>
      <c r="N150" s="10437"/>
      <c r="O150" s="10437"/>
      <c r="P150" s="10434"/>
      <c r="Q150" s="10434"/>
      <c r="R150" s="10440"/>
      <c r="S150" s="5664"/>
      <c r="T150" s="5732"/>
      <c r="U150" s="5731"/>
      <c r="V150" s="3765"/>
      <c r="W150" s="5510"/>
      <c r="X150" s="3678"/>
      <c r="Y150" s="5803"/>
      <c r="Z150" s="5552"/>
      <c r="AA150" s="5552"/>
      <c r="AB150" s="5553"/>
      <c r="AC150" s="5779"/>
      <c r="AD150" s="3581"/>
      <c r="AE150" s="3595"/>
      <c r="AF150" s="3582"/>
      <c r="AG150" s="3582"/>
      <c r="AH150" s="10462"/>
    </row>
    <row r="151" spans="1:34" s="1001" customFormat="1" ht="24" customHeight="1">
      <c r="A151" s="9392"/>
      <c r="B151" s="10511"/>
      <c r="C151" s="10513"/>
      <c r="D151" s="10434"/>
      <c r="E151" s="10434"/>
      <c r="F151" s="10434"/>
      <c r="G151" s="10434"/>
      <c r="H151" s="10434"/>
      <c r="I151" s="10434"/>
      <c r="J151" s="10434"/>
      <c r="K151" s="10434"/>
      <c r="L151" s="10434"/>
      <c r="M151" s="10437"/>
      <c r="N151" s="10437"/>
      <c r="O151" s="10437"/>
      <c r="P151" s="10434"/>
      <c r="Q151" s="10434"/>
      <c r="R151" s="10440"/>
      <c r="S151" s="5664"/>
      <c r="T151" s="5732"/>
      <c r="U151" s="5731"/>
      <c r="V151" s="3765"/>
      <c r="W151" s="5510"/>
      <c r="X151" s="3678"/>
      <c r="Y151" s="5803"/>
      <c r="Z151" s="5552"/>
      <c r="AA151" s="5552"/>
      <c r="AB151" s="5553"/>
      <c r="AC151" s="5779"/>
      <c r="AD151" s="3581"/>
      <c r="AE151" s="3595"/>
      <c r="AF151" s="3582"/>
      <c r="AG151" s="3582"/>
      <c r="AH151" s="10462"/>
    </row>
    <row r="152" spans="1:34" s="1001" customFormat="1" ht="24" customHeight="1">
      <c r="A152" s="9392"/>
      <c r="B152" s="10511"/>
      <c r="C152" s="10514"/>
      <c r="D152" s="10435"/>
      <c r="E152" s="10435"/>
      <c r="F152" s="10435"/>
      <c r="G152" s="10435"/>
      <c r="H152" s="10435"/>
      <c r="I152" s="10435"/>
      <c r="J152" s="10435"/>
      <c r="K152" s="10435"/>
      <c r="L152" s="10435"/>
      <c r="M152" s="10438"/>
      <c r="N152" s="10438"/>
      <c r="O152" s="10438"/>
      <c r="P152" s="10435"/>
      <c r="Q152" s="10435"/>
      <c r="R152" s="10441"/>
      <c r="S152" s="5665"/>
      <c r="T152" s="5726"/>
      <c r="U152" s="5727"/>
      <c r="V152" s="3766"/>
      <c r="W152" s="5511"/>
      <c r="X152" s="3701"/>
      <c r="Y152" s="5806"/>
      <c r="Z152" s="5806"/>
      <c r="AA152" s="5806"/>
      <c r="AB152" s="5807"/>
      <c r="AC152" s="5835"/>
      <c r="AD152" s="3610"/>
      <c r="AE152" s="3609"/>
      <c r="AF152" s="3611"/>
      <c r="AG152" s="3611"/>
      <c r="AH152" s="10465"/>
    </row>
    <row r="153" spans="1:34" s="1001" customFormat="1" ht="25.5" customHeight="1">
      <c r="A153" s="9392"/>
      <c r="B153" s="10511"/>
      <c r="C153" s="10512" t="s">
        <v>127</v>
      </c>
      <c r="D153" s="10444" t="s">
        <v>128</v>
      </c>
      <c r="E153" s="10444" t="s">
        <v>129</v>
      </c>
      <c r="F153" s="10444" t="s">
        <v>268</v>
      </c>
      <c r="G153" s="10451" t="s">
        <v>131</v>
      </c>
      <c r="H153" s="10444" t="s">
        <v>132</v>
      </c>
      <c r="I153" s="10444" t="s">
        <v>159</v>
      </c>
      <c r="J153" s="10444" t="s">
        <v>3596</v>
      </c>
      <c r="K153" s="10444" t="s">
        <v>338</v>
      </c>
      <c r="L153" s="10448" t="s">
        <v>3597</v>
      </c>
      <c r="M153" s="10455">
        <v>0</v>
      </c>
      <c r="N153" s="10455">
        <v>10</v>
      </c>
      <c r="O153" s="10455">
        <v>20</v>
      </c>
      <c r="P153" s="10444" t="s">
        <v>3598</v>
      </c>
      <c r="Q153" s="10448" t="s">
        <v>3599</v>
      </c>
      <c r="R153" s="10449" t="s">
        <v>3600</v>
      </c>
      <c r="S153" s="5661"/>
      <c r="T153" s="5728"/>
      <c r="U153" s="5729"/>
      <c r="V153" s="3819"/>
      <c r="W153" s="5520"/>
      <c r="X153" s="3729"/>
      <c r="Y153" s="5802"/>
      <c r="Z153" s="5560"/>
      <c r="AA153" s="5560"/>
      <c r="AB153" s="5561"/>
      <c r="AC153" s="5822"/>
      <c r="AD153" s="3636"/>
      <c r="AE153" s="3641"/>
      <c r="AF153" s="3642"/>
      <c r="AG153" s="3642"/>
      <c r="AH153" s="10489"/>
    </row>
    <row r="154" spans="1:34" s="1001" customFormat="1" ht="25.5" customHeight="1">
      <c r="A154" s="9392"/>
      <c r="B154" s="10511"/>
      <c r="C154" s="10513"/>
      <c r="D154" s="10434"/>
      <c r="E154" s="10434"/>
      <c r="F154" s="10434"/>
      <c r="G154" s="10434"/>
      <c r="H154" s="10434"/>
      <c r="I154" s="10434"/>
      <c r="J154" s="10434"/>
      <c r="K154" s="10434"/>
      <c r="L154" s="10434"/>
      <c r="M154" s="10437"/>
      <c r="N154" s="10437"/>
      <c r="O154" s="10437"/>
      <c r="P154" s="10434"/>
      <c r="Q154" s="10434"/>
      <c r="R154" s="10440"/>
      <c r="S154" s="5664"/>
      <c r="T154" s="5732"/>
      <c r="U154" s="5731"/>
      <c r="V154" s="3765"/>
      <c r="W154" s="5510"/>
      <c r="X154" s="3678"/>
      <c r="Y154" s="5803"/>
      <c r="Z154" s="5552"/>
      <c r="AA154" s="5552"/>
      <c r="AB154" s="5553"/>
      <c r="AC154" s="5779"/>
      <c r="AD154" s="3581"/>
      <c r="AE154" s="3595"/>
      <c r="AF154" s="3582"/>
      <c r="AG154" s="3582"/>
      <c r="AH154" s="10462"/>
    </row>
    <row r="155" spans="1:34" s="1001" customFormat="1" ht="25.5" customHeight="1">
      <c r="A155" s="9392"/>
      <c r="B155" s="10511"/>
      <c r="C155" s="10513"/>
      <c r="D155" s="10434"/>
      <c r="E155" s="10434"/>
      <c r="F155" s="10434"/>
      <c r="G155" s="10434"/>
      <c r="H155" s="10434"/>
      <c r="I155" s="10434"/>
      <c r="J155" s="10434"/>
      <c r="K155" s="10434"/>
      <c r="L155" s="10434"/>
      <c r="M155" s="10437"/>
      <c r="N155" s="10437"/>
      <c r="O155" s="10437"/>
      <c r="P155" s="10434"/>
      <c r="Q155" s="10434"/>
      <c r="R155" s="10440"/>
      <c r="S155" s="5664"/>
      <c r="T155" s="5732"/>
      <c r="U155" s="5731"/>
      <c r="V155" s="3765"/>
      <c r="W155" s="5510"/>
      <c r="X155" s="3678"/>
      <c r="Y155" s="5803"/>
      <c r="Z155" s="5552"/>
      <c r="AA155" s="5552"/>
      <c r="AB155" s="5553"/>
      <c r="AC155" s="5779"/>
      <c r="AD155" s="3581"/>
      <c r="AE155" s="3595"/>
      <c r="AF155" s="3582"/>
      <c r="AG155" s="3582"/>
      <c r="AH155" s="10462"/>
    </row>
    <row r="156" spans="1:34" s="1001" customFormat="1" ht="25.5" customHeight="1">
      <c r="A156" s="9392"/>
      <c r="B156" s="10511"/>
      <c r="C156" s="10513"/>
      <c r="D156" s="10434"/>
      <c r="E156" s="10434"/>
      <c r="F156" s="10434"/>
      <c r="G156" s="10434"/>
      <c r="H156" s="10434"/>
      <c r="I156" s="10434"/>
      <c r="J156" s="10434"/>
      <c r="K156" s="10434"/>
      <c r="L156" s="10434"/>
      <c r="M156" s="10437"/>
      <c r="N156" s="10437"/>
      <c r="O156" s="10437"/>
      <c r="P156" s="10434"/>
      <c r="Q156" s="10434"/>
      <c r="R156" s="10440"/>
      <c r="S156" s="5664"/>
      <c r="T156" s="5732"/>
      <c r="U156" s="5731"/>
      <c r="V156" s="3765"/>
      <c r="W156" s="5510"/>
      <c r="X156" s="3678"/>
      <c r="Y156" s="5803"/>
      <c r="Z156" s="5552"/>
      <c r="AA156" s="5552"/>
      <c r="AB156" s="5553"/>
      <c r="AC156" s="5779"/>
      <c r="AD156" s="3581"/>
      <c r="AE156" s="3595"/>
      <c r="AF156" s="3582"/>
      <c r="AG156" s="3582"/>
      <c r="AH156" s="10462"/>
    </row>
    <row r="157" spans="1:34" s="1001" customFormat="1" ht="25.5" customHeight="1">
      <c r="A157" s="9392"/>
      <c r="B157" s="10511"/>
      <c r="C157" s="10514"/>
      <c r="D157" s="10435"/>
      <c r="E157" s="10435"/>
      <c r="F157" s="10435"/>
      <c r="G157" s="10435"/>
      <c r="H157" s="10435"/>
      <c r="I157" s="10435"/>
      <c r="J157" s="10435"/>
      <c r="K157" s="10435"/>
      <c r="L157" s="10435"/>
      <c r="M157" s="10438"/>
      <c r="N157" s="10438"/>
      <c r="O157" s="10438"/>
      <c r="P157" s="10435"/>
      <c r="Q157" s="10435"/>
      <c r="R157" s="10441"/>
      <c r="S157" s="5665"/>
      <c r="T157" s="5726"/>
      <c r="U157" s="5727"/>
      <c r="V157" s="3766"/>
      <c r="W157" s="5511"/>
      <c r="X157" s="3701"/>
      <c r="Y157" s="5806"/>
      <c r="Z157" s="5806"/>
      <c r="AA157" s="5806"/>
      <c r="AB157" s="5807"/>
      <c r="AC157" s="5835"/>
      <c r="AD157" s="3610"/>
      <c r="AE157" s="3609"/>
      <c r="AF157" s="3611"/>
      <c r="AG157" s="3611"/>
      <c r="AH157" s="10465"/>
    </row>
    <row r="158" spans="1:34" s="1001" customFormat="1" ht="22.5" customHeight="1" thickBot="1">
      <c r="A158" s="9392"/>
      <c r="B158" s="9399"/>
      <c r="C158" s="10529"/>
      <c r="D158" s="10541"/>
      <c r="E158" s="10541"/>
      <c r="F158" s="10541"/>
      <c r="G158" s="10541"/>
      <c r="H158" s="10541"/>
      <c r="I158" s="10541"/>
      <c r="J158" s="10541"/>
      <c r="K158" s="10541"/>
      <c r="L158" s="10541"/>
      <c r="M158" s="10541"/>
      <c r="N158" s="10541"/>
      <c r="O158" s="10541"/>
      <c r="P158" s="10541"/>
      <c r="Q158" s="10541"/>
      <c r="R158" s="10542"/>
      <c r="S158" s="10491" t="s">
        <v>3601</v>
      </c>
      <c r="T158" s="10492"/>
      <c r="U158" s="10492"/>
      <c r="V158" s="10492"/>
      <c r="W158" s="10492"/>
      <c r="X158" s="10492"/>
      <c r="Y158" s="10492"/>
      <c r="Z158" s="10493"/>
      <c r="AA158" s="2940" t="s">
        <v>292</v>
      </c>
      <c r="AB158" s="7357">
        <f>SUM(AB97:AB157)</f>
        <v>1036.80864</v>
      </c>
      <c r="AC158" s="5837"/>
      <c r="AD158" s="1741"/>
      <c r="AE158" s="10494"/>
      <c r="AF158" s="10475"/>
      <c r="AG158" s="10475"/>
      <c r="AH158" s="9712"/>
    </row>
    <row r="159" spans="1:34" s="1001" customFormat="1" ht="28.5" customHeight="1">
      <c r="A159" s="9392"/>
      <c r="B159" s="9246" t="s">
        <v>3602</v>
      </c>
      <c r="C159" s="10518" t="s">
        <v>127</v>
      </c>
      <c r="D159" s="10452" t="s">
        <v>128</v>
      </c>
      <c r="E159" s="10452" t="s">
        <v>129</v>
      </c>
      <c r="F159" s="10452" t="s">
        <v>130</v>
      </c>
      <c r="G159" s="10454" t="s">
        <v>131</v>
      </c>
      <c r="H159" s="10452" t="s">
        <v>132</v>
      </c>
      <c r="I159" s="10452" t="s">
        <v>159</v>
      </c>
      <c r="J159" s="10452" t="s">
        <v>3603</v>
      </c>
      <c r="K159" s="10477" t="s">
        <v>3604</v>
      </c>
      <c r="L159" s="10452" t="s">
        <v>3605</v>
      </c>
      <c r="M159" s="10488">
        <v>2000</v>
      </c>
      <c r="N159" s="10488">
        <v>3000</v>
      </c>
      <c r="O159" s="10488">
        <v>2600</v>
      </c>
      <c r="P159" s="10452" t="s">
        <v>3606</v>
      </c>
      <c r="Q159" s="10452" t="s">
        <v>3607</v>
      </c>
      <c r="R159" s="10453" t="s">
        <v>3608</v>
      </c>
      <c r="S159" s="5642"/>
      <c r="T159" s="5744"/>
      <c r="U159" s="5680"/>
      <c r="V159" s="3764"/>
      <c r="W159" s="5498"/>
      <c r="X159" s="3683"/>
      <c r="Y159" s="5550"/>
      <c r="Z159" s="5550"/>
      <c r="AA159" s="5550"/>
      <c r="AB159" s="5551"/>
      <c r="AC159" s="5816"/>
      <c r="AD159" s="3575"/>
      <c r="AE159" s="3574"/>
      <c r="AF159" s="3577"/>
      <c r="AG159" s="3577"/>
      <c r="AH159" s="10531"/>
    </row>
    <row r="160" spans="1:34" s="1001" customFormat="1" ht="28.5" customHeight="1">
      <c r="A160" s="9392"/>
      <c r="B160" s="10511"/>
      <c r="C160" s="10513"/>
      <c r="D160" s="10434"/>
      <c r="E160" s="10434"/>
      <c r="F160" s="10434"/>
      <c r="G160" s="10434"/>
      <c r="H160" s="10434"/>
      <c r="I160" s="10434"/>
      <c r="J160" s="10434"/>
      <c r="K160" s="10434"/>
      <c r="L160" s="10434"/>
      <c r="M160" s="10437"/>
      <c r="N160" s="10437"/>
      <c r="O160" s="10437"/>
      <c r="P160" s="10434"/>
      <c r="Q160" s="10434"/>
      <c r="R160" s="10440"/>
      <c r="S160" s="5643"/>
      <c r="T160" s="5697"/>
      <c r="U160" s="5681"/>
      <c r="V160" s="3495"/>
      <c r="W160" s="5499"/>
      <c r="X160" s="3496"/>
      <c r="Y160" s="5552"/>
      <c r="Z160" s="5552"/>
      <c r="AA160" s="5552"/>
      <c r="AB160" s="5553"/>
      <c r="AC160" s="5817"/>
      <c r="AD160" s="3581"/>
      <c r="AE160" s="3579"/>
      <c r="AF160" s="3583"/>
      <c r="AG160" s="3583"/>
      <c r="AH160" s="10479"/>
    </row>
    <row r="161" spans="1:34" s="1001" customFormat="1" ht="28.5" customHeight="1">
      <c r="A161" s="9392"/>
      <c r="B161" s="10511"/>
      <c r="C161" s="10513"/>
      <c r="D161" s="10434"/>
      <c r="E161" s="10434"/>
      <c r="F161" s="10434"/>
      <c r="G161" s="10434"/>
      <c r="H161" s="10434"/>
      <c r="I161" s="10434"/>
      <c r="J161" s="10434"/>
      <c r="K161" s="10434"/>
      <c r="L161" s="10434"/>
      <c r="M161" s="10437"/>
      <c r="N161" s="10437"/>
      <c r="O161" s="10437"/>
      <c r="P161" s="10434"/>
      <c r="Q161" s="10434"/>
      <c r="R161" s="10440"/>
      <c r="S161" s="5644"/>
      <c r="T161" s="5698"/>
      <c r="U161" s="5681"/>
      <c r="V161" s="3542"/>
      <c r="W161" s="5499"/>
      <c r="X161" s="3496"/>
      <c r="Y161" s="5552"/>
      <c r="Z161" s="5552"/>
      <c r="AA161" s="5552"/>
      <c r="AB161" s="5553"/>
      <c r="AC161" s="5817"/>
      <c r="AD161" s="3581"/>
      <c r="AE161" s="3579"/>
      <c r="AF161" s="3583"/>
      <c r="AG161" s="3583"/>
      <c r="AH161" s="10479"/>
    </row>
    <row r="162" spans="1:34" s="1001" customFormat="1" ht="28.5" customHeight="1">
      <c r="A162" s="9392"/>
      <c r="B162" s="10511"/>
      <c r="C162" s="10513"/>
      <c r="D162" s="10434"/>
      <c r="E162" s="10434"/>
      <c r="F162" s="10434"/>
      <c r="G162" s="10434"/>
      <c r="H162" s="10434"/>
      <c r="I162" s="10434"/>
      <c r="J162" s="10434"/>
      <c r="K162" s="10434"/>
      <c r="L162" s="10434"/>
      <c r="M162" s="10437"/>
      <c r="N162" s="10437"/>
      <c r="O162" s="10437"/>
      <c r="P162" s="10434"/>
      <c r="Q162" s="10434"/>
      <c r="R162" s="10440"/>
      <c r="S162" s="5643"/>
      <c r="T162" s="5697"/>
      <c r="U162" s="5681"/>
      <c r="V162" s="3495"/>
      <c r="W162" s="5499"/>
      <c r="X162" s="3496"/>
      <c r="Y162" s="5552"/>
      <c r="Z162" s="5552"/>
      <c r="AA162" s="5552"/>
      <c r="AB162" s="5553"/>
      <c r="AC162" s="5817"/>
      <c r="AD162" s="3581"/>
      <c r="AE162" s="3587"/>
      <c r="AF162" s="3583"/>
      <c r="AG162" s="3583"/>
      <c r="AH162" s="10479"/>
    </row>
    <row r="163" spans="1:34" s="1001" customFormat="1" ht="28.5" customHeight="1">
      <c r="A163" s="9392"/>
      <c r="B163" s="10511"/>
      <c r="C163" s="10515"/>
      <c r="D163" s="10445"/>
      <c r="E163" s="10445"/>
      <c r="F163" s="10445"/>
      <c r="G163" s="10445"/>
      <c r="H163" s="10445"/>
      <c r="I163" s="10445"/>
      <c r="J163" s="10445"/>
      <c r="K163" s="10445"/>
      <c r="L163" s="10445"/>
      <c r="M163" s="10447"/>
      <c r="N163" s="10447"/>
      <c r="O163" s="10447"/>
      <c r="P163" s="10445"/>
      <c r="Q163" s="10445"/>
      <c r="R163" s="10450"/>
      <c r="S163" s="5646"/>
      <c r="T163" s="5699"/>
      <c r="U163" s="5683"/>
      <c r="V163" s="3759"/>
      <c r="W163" s="5509"/>
      <c r="X163" s="3714"/>
      <c r="Y163" s="5554"/>
      <c r="Z163" s="5554"/>
      <c r="AA163" s="5554"/>
      <c r="AB163" s="5555"/>
      <c r="AC163" s="5818"/>
      <c r="AD163" s="3619"/>
      <c r="AE163" s="3632"/>
      <c r="AF163" s="3621"/>
      <c r="AG163" s="3621"/>
      <c r="AH163" s="10480"/>
    </row>
    <row r="164" spans="1:34" s="1001" customFormat="1" ht="28.5" customHeight="1">
      <c r="A164" s="9392"/>
      <c r="B164" s="10511"/>
      <c r="C164" s="10516" t="s">
        <v>127</v>
      </c>
      <c r="D164" s="10433" t="s">
        <v>128</v>
      </c>
      <c r="E164" s="10433" t="s">
        <v>129</v>
      </c>
      <c r="F164" s="10433" t="s">
        <v>268</v>
      </c>
      <c r="G164" s="10442" t="s">
        <v>131</v>
      </c>
      <c r="H164" s="10433" t="s">
        <v>132</v>
      </c>
      <c r="I164" s="10433" t="s">
        <v>159</v>
      </c>
      <c r="J164" s="10433" t="s">
        <v>3609</v>
      </c>
      <c r="K164" s="10443" t="s">
        <v>3610</v>
      </c>
      <c r="L164" s="10433" t="s">
        <v>3611</v>
      </c>
      <c r="M164" s="10470">
        <v>20</v>
      </c>
      <c r="N164" s="10470">
        <v>26</v>
      </c>
      <c r="O164" s="10470">
        <v>24</v>
      </c>
      <c r="P164" s="10433" t="s">
        <v>3612</v>
      </c>
      <c r="Q164" s="10433" t="s">
        <v>3613</v>
      </c>
      <c r="R164" s="10439" t="s">
        <v>3614</v>
      </c>
      <c r="S164" s="5668" t="s">
        <v>15</v>
      </c>
      <c r="T164" s="5684">
        <v>531407</v>
      </c>
      <c r="U164" s="5685"/>
      <c r="V164" s="3762" t="s">
        <v>40</v>
      </c>
      <c r="W164" s="5502"/>
      <c r="X164" s="3709"/>
      <c r="Y164" s="5556"/>
      <c r="Z164" s="5556"/>
      <c r="AA164" s="5556"/>
      <c r="AB164" s="5557">
        <f>AA165</f>
        <v>14.502880000000001</v>
      </c>
      <c r="AC164" s="5780" t="s">
        <v>18</v>
      </c>
      <c r="AD164" s="3599"/>
      <c r="AE164" s="3600"/>
      <c r="AF164" s="3630"/>
      <c r="AG164" s="3630"/>
      <c r="AH164" s="10481"/>
    </row>
    <row r="165" spans="1:34" s="1001" customFormat="1" ht="28.5" customHeight="1">
      <c r="A165" s="9392"/>
      <c r="B165" s="10511"/>
      <c r="C165" s="10513"/>
      <c r="D165" s="10434"/>
      <c r="E165" s="10434"/>
      <c r="F165" s="10434"/>
      <c r="G165" s="10434"/>
      <c r="H165" s="10434"/>
      <c r="I165" s="10434"/>
      <c r="J165" s="10434"/>
      <c r="K165" s="10434"/>
      <c r="L165" s="10434"/>
      <c r="M165" s="10437"/>
      <c r="N165" s="10437"/>
      <c r="O165" s="10437"/>
      <c r="P165" s="10434"/>
      <c r="Q165" s="10434"/>
      <c r="R165" s="10440"/>
      <c r="S165" s="3867"/>
      <c r="T165" s="5681"/>
      <c r="U165" s="5681">
        <v>452900012</v>
      </c>
      <c r="V165" s="3495" t="s">
        <v>3615</v>
      </c>
      <c r="W165" s="5499">
        <v>1</v>
      </c>
      <c r="X165" s="3496" t="s">
        <v>180</v>
      </c>
      <c r="Y165" s="5552">
        <v>12.949</v>
      </c>
      <c r="Z165" s="5552">
        <f>+W165*Y165</f>
        <v>12.949</v>
      </c>
      <c r="AA165" s="5552">
        <f>+Z165*1.12</f>
        <v>14.502880000000001</v>
      </c>
      <c r="AB165" s="5553"/>
      <c r="AC165" s="5779"/>
      <c r="AD165" s="3581"/>
      <c r="AE165" s="3587"/>
      <c r="AF165" s="3583" t="s">
        <v>153</v>
      </c>
      <c r="AG165" s="3583"/>
      <c r="AH165" s="10479"/>
    </row>
    <row r="166" spans="1:34" s="1001" customFormat="1" ht="57" customHeight="1">
      <c r="A166" s="9392"/>
      <c r="B166" s="10511"/>
      <c r="C166" s="10513"/>
      <c r="D166" s="10434"/>
      <c r="E166" s="10434"/>
      <c r="F166" s="10434"/>
      <c r="G166" s="10434"/>
      <c r="H166" s="10434"/>
      <c r="I166" s="10434"/>
      <c r="J166" s="10434"/>
      <c r="K166" s="10434"/>
      <c r="L166" s="10434"/>
      <c r="M166" s="10437"/>
      <c r="N166" s="10437"/>
      <c r="O166" s="10437"/>
      <c r="P166" s="10434"/>
      <c r="Q166" s="10434"/>
      <c r="R166" s="10440"/>
      <c r="S166" s="3868" t="s">
        <v>15</v>
      </c>
      <c r="T166" s="5682">
        <v>530204</v>
      </c>
      <c r="U166" s="5681"/>
      <c r="V166" s="3542" t="s">
        <v>16</v>
      </c>
      <c r="W166" s="5499"/>
      <c r="X166" s="3496"/>
      <c r="Y166" s="5552"/>
      <c r="Z166" s="5552"/>
      <c r="AA166" s="5552"/>
      <c r="AB166" s="5553">
        <f>AA167</f>
        <v>3144.06</v>
      </c>
      <c r="AC166" s="5779" t="s">
        <v>18</v>
      </c>
      <c r="AD166" s="3581"/>
      <c r="AE166" s="3587"/>
      <c r="AF166" s="3583"/>
      <c r="AG166" s="3583"/>
      <c r="AH166" s="10479"/>
    </row>
    <row r="167" spans="1:34" s="1001" customFormat="1" ht="28.5" customHeight="1">
      <c r="A167" s="9392"/>
      <c r="B167" s="10511"/>
      <c r="C167" s="10513"/>
      <c r="D167" s="10434"/>
      <c r="E167" s="10434"/>
      <c r="F167" s="10434"/>
      <c r="G167" s="10434"/>
      <c r="H167" s="10434"/>
      <c r="I167" s="10434"/>
      <c r="J167" s="10434"/>
      <c r="K167" s="10434"/>
      <c r="L167" s="10434"/>
      <c r="M167" s="10437"/>
      <c r="N167" s="10437"/>
      <c r="O167" s="10437"/>
      <c r="P167" s="10434"/>
      <c r="Q167" s="10434"/>
      <c r="R167" s="10440"/>
      <c r="S167" s="3868"/>
      <c r="T167" s="5682"/>
      <c r="U167" s="5463"/>
      <c r="V167" s="3495" t="s">
        <v>3616</v>
      </c>
      <c r="W167" s="7358">
        <v>10000</v>
      </c>
      <c r="X167" s="3496" t="s">
        <v>180</v>
      </c>
      <c r="Y167" s="5552">
        <f>(3144.06/1.12)/W167</f>
        <v>0.28071964285714285</v>
      </c>
      <c r="Z167" s="5552">
        <f>+W167*Y167</f>
        <v>2807.1964285714284</v>
      </c>
      <c r="AA167" s="5552">
        <f>+Z167*1.12</f>
        <v>3144.06</v>
      </c>
      <c r="AB167" s="5553"/>
      <c r="AC167" s="5779"/>
      <c r="AD167" s="3581"/>
      <c r="AE167" s="3587"/>
      <c r="AF167" s="3583" t="s">
        <v>153</v>
      </c>
      <c r="AG167" s="3583" t="s">
        <v>153</v>
      </c>
      <c r="AH167" s="10479"/>
    </row>
    <row r="168" spans="1:34" s="1001" customFormat="1" ht="28.5" customHeight="1">
      <c r="A168" s="9392"/>
      <c r="B168" s="10511"/>
      <c r="C168" s="10514"/>
      <c r="D168" s="10435"/>
      <c r="E168" s="10435"/>
      <c r="F168" s="10435"/>
      <c r="G168" s="10435"/>
      <c r="H168" s="10435"/>
      <c r="I168" s="10435"/>
      <c r="J168" s="10435"/>
      <c r="K168" s="10435"/>
      <c r="L168" s="10435"/>
      <c r="M168" s="10438"/>
      <c r="N168" s="10438"/>
      <c r="O168" s="10438"/>
      <c r="P168" s="10435"/>
      <c r="Q168" s="10435"/>
      <c r="R168" s="10441"/>
      <c r="S168" s="3887"/>
      <c r="T168" s="5696"/>
      <c r="U168" s="5696"/>
      <c r="V168" s="3557"/>
      <c r="W168" s="5503"/>
      <c r="X168" s="3545"/>
      <c r="Y168" s="5558"/>
      <c r="Z168" s="5558"/>
      <c r="AA168" s="5558"/>
      <c r="AB168" s="5559"/>
      <c r="AC168" s="5828"/>
      <c r="AD168" s="3607"/>
      <c r="AE168" s="3614"/>
      <c r="AF168" s="3608"/>
      <c r="AG168" s="3608"/>
      <c r="AH168" s="10482"/>
    </row>
    <row r="169" spans="1:34" s="1001" customFormat="1" ht="28.5" customHeight="1">
      <c r="A169" s="9392"/>
      <c r="B169" s="10511"/>
      <c r="C169" s="10512" t="s">
        <v>127</v>
      </c>
      <c r="D169" s="10444" t="s">
        <v>128</v>
      </c>
      <c r="E169" s="10444" t="s">
        <v>129</v>
      </c>
      <c r="F169" s="10444" t="s">
        <v>130</v>
      </c>
      <c r="G169" s="10451" t="s">
        <v>131</v>
      </c>
      <c r="H169" s="10444" t="s">
        <v>132</v>
      </c>
      <c r="I169" s="10444" t="s">
        <v>159</v>
      </c>
      <c r="J169" s="10444" t="s">
        <v>3617</v>
      </c>
      <c r="K169" s="10448" t="s">
        <v>3618</v>
      </c>
      <c r="L169" s="10444" t="s">
        <v>3619</v>
      </c>
      <c r="M169" s="10455">
        <v>180</v>
      </c>
      <c r="N169" s="10455">
        <v>250</v>
      </c>
      <c r="O169" s="10455">
        <v>200</v>
      </c>
      <c r="P169" s="10444" t="s">
        <v>3620</v>
      </c>
      <c r="Q169" s="10444" t="s">
        <v>3621</v>
      </c>
      <c r="R169" s="10449" t="s">
        <v>3622</v>
      </c>
      <c r="S169" s="5669" t="s">
        <v>15</v>
      </c>
      <c r="T169" s="5689">
        <v>531407</v>
      </c>
      <c r="U169" s="5690"/>
      <c r="V169" s="3758" t="s">
        <v>40</v>
      </c>
      <c r="W169" s="5504"/>
      <c r="X169" s="3658"/>
      <c r="Y169" s="5560"/>
      <c r="Z169" s="5560"/>
      <c r="AA169" s="5560"/>
      <c r="AB169" s="5561">
        <f>AA170</f>
        <v>14.492800000000001</v>
      </c>
      <c r="AC169" s="5822" t="s">
        <v>18</v>
      </c>
      <c r="AD169" s="3636"/>
      <c r="AE169" s="3625"/>
      <c r="AF169" s="3627"/>
      <c r="AG169" s="3627"/>
      <c r="AH169" s="10478"/>
    </row>
    <row r="170" spans="1:34" s="1001" customFormat="1" ht="28.5" customHeight="1">
      <c r="A170" s="9392"/>
      <c r="B170" s="10511"/>
      <c r="C170" s="10513"/>
      <c r="D170" s="10434"/>
      <c r="E170" s="10434"/>
      <c r="F170" s="10434"/>
      <c r="G170" s="10434"/>
      <c r="H170" s="10434"/>
      <c r="I170" s="10434"/>
      <c r="J170" s="10434"/>
      <c r="K170" s="10434"/>
      <c r="L170" s="10434"/>
      <c r="M170" s="10437"/>
      <c r="N170" s="10437"/>
      <c r="O170" s="10437"/>
      <c r="P170" s="10434"/>
      <c r="Q170" s="10434"/>
      <c r="R170" s="10440"/>
      <c r="S170" s="3867"/>
      <c r="T170" s="5681"/>
      <c r="U170" s="5681">
        <v>452900012</v>
      </c>
      <c r="V170" s="3495" t="s">
        <v>3615</v>
      </c>
      <c r="W170" s="5499">
        <v>1</v>
      </c>
      <c r="X170" s="3496" t="s">
        <v>180</v>
      </c>
      <c r="Y170" s="5552">
        <v>12.94</v>
      </c>
      <c r="Z170" s="5552">
        <f>+W170*Y170</f>
        <v>12.94</v>
      </c>
      <c r="AA170" s="5552">
        <f>+Z170*1.12</f>
        <v>14.492800000000001</v>
      </c>
      <c r="AB170" s="5553"/>
      <c r="AC170" s="5779"/>
      <c r="AD170" s="3581"/>
      <c r="AE170" s="3587"/>
      <c r="AF170" s="3583" t="s">
        <v>153</v>
      </c>
      <c r="AG170" s="3583"/>
      <c r="AH170" s="10479"/>
    </row>
    <row r="171" spans="1:34" s="1001" customFormat="1" ht="28.5" customHeight="1">
      <c r="A171" s="9392"/>
      <c r="B171" s="10511"/>
      <c r="C171" s="10513"/>
      <c r="D171" s="10434"/>
      <c r="E171" s="10434"/>
      <c r="F171" s="10434"/>
      <c r="G171" s="10434"/>
      <c r="H171" s="10434"/>
      <c r="I171" s="10434"/>
      <c r="J171" s="10434"/>
      <c r="K171" s="10434"/>
      <c r="L171" s="10434"/>
      <c r="M171" s="10437"/>
      <c r="N171" s="10437"/>
      <c r="O171" s="10437"/>
      <c r="P171" s="10434"/>
      <c r="Q171" s="10434"/>
      <c r="R171" s="10440"/>
      <c r="S171" s="3867"/>
      <c r="T171" s="5681"/>
      <c r="U171" s="5681"/>
      <c r="V171" s="3495"/>
      <c r="W171" s="5499"/>
      <c r="X171" s="3496"/>
      <c r="Y171" s="5552"/>
      <c r="Z171" s="5552"/>
      <c r="AA171" s="5552"/>
      <c r="AB171" s="5553"/>
      <c r="AC171" s="5779"/>
      <c r="AD171" s="3581"/>
      <c r="AE171" s="3587"/>
      <c r="AF171" s="3583"/>
      <c r="AG171" s="3583"/>
      <c r="AH171" s="10479"/>
    </row>
    <row r="172" spans="1:34" s="1001" customFormat="1" ht="28.5" customHeight="1">
      <c r="A172" s="9392"/>
      <c r="B172" s="10511"/>
      <c r="C172" s="10513"/>
      <c r="D172" s="10434"/>
      <c r="E172" s="10434"/>
      <c r="F172" s="10434"/>
      <c r="G172" s="10434"/>
      <c r="H172" s="10434"/>
      <c r="I172" s="10434"/>
      <c r="J172" s="10434"/>
      <c r="K172" s="10434"/>
      <c r="L172" s="10434"/>
      <c r="M172" s="10437"/>
      <c r="N172" s="10437"/>
      <c r="O172" s="10437"/>
      <c r="P172" s="10434"/>
      <c r="Q172" s="10434"/>
      <c r="R172" s="10440"/>
      <c r="S172" s="3867"/>
      <c r="T172" s="5681"/>
      <c r="U172" s="5681"/>
      <c r="V172" s="3495"/>
      <c r="W172" s="5499"/>
      <c r="X172" s="3496"/>
      <c r="Y172" s="5552"/>
      <c r="Z172" s="5552"/>
      <c r="AA172" s="5552"/>
      <c r="AB172" s="5553"/>
      <c r="AC172" s="5779"/>
      <c r="AD172" s="3581"/>
      <c r="AE172" s="3587"/>
      <c r="AF172" s="3583"/>
      <c r="AG172" s="3583"/>
      <c r="AH172" s="10479"/>
    </row>
    <row r="173" spans="1:34" s="1001" customFormat="1" ht="28.5" customHeight="1">
      <c r="A173" s="9392"/>
      <c r="B173" s="10511"/>
      <c r="C173" s="10515"/>
      <c r="D173" s="10445"/>
      <c r="E173" s="10445"/>
      <c r="F173" s="10445"/>
      <c r="G173" s="10445"/>
      <c r="H173" s="10445"/>
      <c r="I173" s="10445"/>
      <c r="J173" s="10445"/>
      <c r="K173" s="10445"/>
      <c r="L173" s="10445"/>
      <c r="M173" s="10447"/>
      <c r="N173" s="10447"/>
      <c r="O173" s="10447"/>
      <c r="P173" s="10445"/>
      <c r="Q173" s="10445"/>
      <c r="R173" s="10450"/>
      <c r="S173" s="3879"/>
      <c r="T173" s="5683"/>
      <c r="U173" s="5683"/>
      <c r="V173" s="3808"/>
      <c r="W173" s="5501"/>
      <c r="X173" s="3727"/>
      <c r="Y173" s="5797"/>
      <c r="Z173" s="5797"/>
      <c r="AA173" s="5797"/>
      <c r="AB173" s="5811"/>
      <c r="AC173" s="5838"/>
      <c r="AD173" s="3633"/>
      <c r="AE173" s="3632"/>
      <c r="AF173" s="3621"/>
      <c r="AG173" s="3621"/>
      <c r="AH173" s="10480"/>
    </row>
    <row r="174" spans="1:34" s="1001" customFormat="1" ht="18" customHeight="1">
      <c r="A174" s="9392"/>
      <c r="B174" s="10511"/>
      <c r="C174" s="10516" t="s">
        <v>127</v>
      </c>
      <c r="D174" s="10433" t="s">
        <v>128</v>
      </c>
      <c r="E174" s="10433" t="s">
        <v>129</v>
      </c>
      <c r="F174" s="10433" t="s">
        <v>268</v>
      </c>
      <c r="G174" s="10442" t="s">
        <v>131</v>
      </c>
      <c r="H174" s="10433" t="s">
        <v>132</v>
      </c>
      <c r="I174" s="10433" t="s">
        <v>214</v>
      </c>
      <c r="J174" s="10433" t="s">
        <v>3623</v>
      </c>
      <c r="K174" s="10443" t="s">
        <v>3624</v>
      </c>
      <c r="L174" s="10433" t="s">
        <v>3625</v>
      </c>
      <c r="M174" s="10470">
        <v>100</v>
      </c>
      <c r="N174" s="10470">
        <v>150</v>
      </c>
      <c r="O174" s="10470">
        <v>100</v>
      </c>
      <c r="P174" s="10433" t="s">
        <v>3626</v>
      </c>
      <c r="Q174" s="10433" t="s">
        <v>3627</v>
      </c>
      <c r="R174" s="10439" t="s">
        <v>3628</v>
      </c>
      <c r="S174" s="5654"/>
      <c r="T174" s="5700"/>
      <c r="U174" s="5685"/>
      <c r="V174" s="2929"/>
      <c r="W174" s="5505"/>
      <c r="X174" s="2930"/>
      <c r="Y174" s="5798"/>
      <c r="Z174" s="5798"/>
      <c r="AA174" s="5798"/>
      <c r="AB174" s="5799"/>
      <c r="AC174" s="5839"/>
      <c r="AD174" s="3628"/>
      <c r="AE174" s="3600"/>
      <c r="AF174" s="3630"/>
      <c r="AG174" s="3630"/>
      <c r="AH174" s="10481"/>
    </row>
    <row r="175" spans="1:34" s="1001" customFormat="1" ht="18" customHeight="1">
      <c r="A175" s="9392"/>
      <c r="B175" s="10511"/>
      <c r="C175" s="10513"/>
      <c r="D175" s="10434"/>
      <c r="E175" s="10434"/>
      <c r="F175" s="10434"/>
      <c r="G175" s="10434"/>
      <c r="H175" s="10434"/>
      <c r="I175" s="10434"/>
      <c r="J175" s="10434"/>
      <c r="K175" s="10434"/>
      <c r="L175" s="10434"/>
      <c r="M175" s="10437"/>
      <c r="N175" s="10437"/>
      <c r="O175" s="10437"/>
      <c r="P175" s="10434"/>
      <c r="Q175" s="10434"/>
      <c r="R175" s="10440"/>
      <c r="S175" s="5643"/>
      <c r="T175" s="5697"/>
      <c r="U175" s="5681"/>
      <c r="V175" s="3813"/>
      <c r="W175" s="5500"/>
      <c r="X175" s="3504"/>
      <c r="Y175" s="5790"/>
      <c r="Z175" s="5790"/>
      <c r="AA175" s="5790"/>
      <c r="AB175" s="5791"/>
      <c r="AC175" s="5820"/>
      <c r="AD175" s="3589"/>
      <c r="AE175" s="3587"/>
      <c r="AF175" s="3583"/>
      <c r="AG175" s="3583"/>
      <c r="AH175" s="10479"/>
    </row>
    <row r="176" spans="1:34" s="1001" customFormat="1" ht="18" customHeight="1">
      <c r="A176" s="9392"/>
      <c r="B176" s="10511"/>
      <c r="C176" s="10513"/>
      <c r="D176" s="10434"/>
      <c r="E176" s="10434"/>
      <c r="F176" s="10434"/>
      <c r="G176" s="10434"/>
      <c r="H176" s="10434"/>
      <c r="I176" s="10434"/>
      <c r="J176" s="10434"/>
      <c r="K176" s="10434"/>
      <c r="L176" s="10434"/>
      <c r="M176" s="10437"/>
      <c r="N176" s="10437"/>
      <c r="O176" s="10437"/>
      <c r="P176" s="10434"/>
      <c r="Q176" s="10434"/>
      <c r="R176" s="10440"/>
      <c r="S176" s="5643"/>
      <c r="T176" s="5697"/>
      <c r="U176" s="5681"/>
      <c r="V176" s="3813"/>
      <c r="W176" s="5500"/>
      <c r="X176" s="3504"/>
      <c r="Y176" s="5790"/>
      <c r="Z176" s="5790"/>
      <c r="AA176" s="5790"/>
      <c r="AB176" s="5791"/>
      <c r="AC176" s="5820"/>
      <c r="AD176" s="3589"/>
      <c r="AE176" s="3587"/>
      <c r="AF176" s="3583"/>
      <c r="AG176" s="3583"/>
      <c r="AH176" s="10479"/>
    </row>
    <row r="177" spans="1:34" s="1001" customFormat="1" ht="18" customHeight="1">
      <c r="A177" s="9392"/>
      <c r="B177" s="10511"/>
      <c r="C177" s="10513"/>
      <c r="D177" s="10434"/>
      <c r="E177" s="10434"/>
      <c r="F177" s="10434"/>
      <c r="G177" s="10434"/>
      <c r="H177" s="10434"/>
      <c r="I177" s="10434"/>
      <c r="J177" s="10434"/>
      <c r="K177" s="10434"/>
      <c r="L177" s="10434"/>
      <c r="M177" s="10437"/>
      <c r="N177" s="10437"/>
      <c r="O177" s="10437"/>
      <c r="P177" s="10434"/>
      <c r="Q177" s="10434"/>
      <c r="R177" s="10440"/>
      <c r="S177" s="5645"/>
      <c r="T177" s="5698"/>
      <c r="U177" s="5681"/>
      <c r="V177" s="3813"/>
      <c r="W177" s="5500"/>
      <c r="X177" s="3504"/>
      <c r="Y177" s="5790"/>
      <c r="Z177" s="5790"/>
      <c r="AA177" s="5790"/>
      <c r="AB177" s="5791"/>
      <c r="AC177" s="5820"/>
      <c r="AD177" s="3589"/>
      <c r="AE177" s="3587"/>
      <c r="AF177" s="3583"/>
      <c r="AG177" s="3583"/>
      <c r="AH177" s="10479"/>
    </row>
    <row r="178" spans="1:34" s="1001" customFormat="1" ht="50.25" customHeight="1">
      <c r="A178" s="9392"/>
      <c r="B178" s="10511"/>
      <c r="C178" s="10514"/>
      <c r="D178" s="10435"/>
      <c r="E178" s="10435"/>
      <c r="F178" s="10435"/>
      <c r="G178" s="10435"/>
      <c r="H178" s="10435"/>
      <c r="I178" s="10435"/>
      <c r="J178" s="10435"/>
      <c r="K178" s="10435"/>
      <c r="L178" s="10435"/>
      <c r="M178" s="10438"/>
      <c r="N178" s="10438"/>
      <c r="O178" s="10438"/>
      <c r="P178" s="10435"/>
      <c r="Q178" s="10435"/>
      <c r="R178" s="10441"/>
      <c r="S178" s="5653"/>
      <c r="T178" s="5701"/>
      <c r="U178" s="5696"/>
      <c r="V178" s="2932"/>
      <c r="W178" s="5506"/>
      <c r="X178" s="2933"/>
      <c r="Y178" s="5792"/>
      <c r="Z178" s="5792"/>
      <c r="AA178" s="5792"/>
      <c r="AB178" s="5793"/>
      <c r="AC178" s="5821"/>
      <c r="AD178" s="3615"/>
      <c r="AE178" s="3614"/>
      <c r="AF178" s="3608"/>
      <c r="AG178" s="3608"/>
      <c r="AH178" s="10482"/>
    </row>
    <row r="179" spans="1:34" s="1001" customFormat="1" ht="18" customHeight="1">
      <c r="A179" s="9392"/>
      <c r="B179" s="10511"/>
      <c r="C179" s="10512" t="s">
        <v>127</v>
      </c>
      <c r="D179" s="10444" t="s">
        <v>128</v>
      </c>
      <c r="E179" s="10444" t="s">
        <v>129</v>
      </c>
      <c r="F179" s="10444" t="s">
        <v>130</v>
      </c>
      <c r="G179" s="10451" t="s">
        <v>131</v>
      </c>
      <c r="H179" s="10444" t="s">
        <v>132</v>
      </c>
      <c r="I179" s="10444" t="s">
        <v>214</v>
      </c>
      <c r="J179" s="10444" t="s">
        <v>3629</v>
      </c>
      <c r="K179" s="10448" t="s">
        <v>3630</v>
      </c>
      <c r="L179" s="10444" t="s">
        <v>3631</v>
      </c>
      <c r="M179" s="10455">
        <v>4</v>
      </c>
      <c r="N179" s="10455">
        <v>4</v>
      </c>
      <c r="O179" s="10455">
        <v>3</v>
      </c>
      <c r="P179" s="10444" t="s">
        <v>3632</v>
      </c>
      <c r="Q179" s="10444" t="s">
        <v>3633</v>
      </c>
      <c r="R179" s="10449" t="s">
        <v>3628</v>
      </c>
      <c r="S179" s="5655"/>
      <c r="T179" s="5702"/>
      <c r="U179" s="5690"/>
      <c r="V179" s="3825"/>
      <c r="W179" s="5516"/>
      <c r="X179" s="3721"/>
      <c r="Y179" s="5800"/>
      <c r="Z179" s="5800"/>
      <c r="AA179" s="5800"/>
      <c r="AB179" s="5801"/>
      <c r="AC179" s="5840"/>
      <c r="AD179" s="3624"/>
      <c r="AE179" s="3625"/>
      <c r="AF179" s="3637"/>
      <c r="AG179" s="3637"/>
      <c r="AH179" s="10478"/>
    </row>
    <row r="180" spans="1:34" s="1001" customFormat="1" ht="18" customHeight="1">
      <c r="A180" s="9392"/>
      <c r="B180" s="10511"/>
      <c r="C180" s="10513"/>
      <c r="D180" s="10434"/>
      <c r="E180" s="10434"/>
      <c r="F180" s="10434"/>
      <c r="G180" s="10434"/>
      <c r="H180" s="10434"/>
      <c r="I180" s="10434"/>
      <c r="J180" s="10434"/>
      <c r="K180" s="10434"/>
      <c r="L180" s="10434"/>
      <c r="M180" s="10437"/>
      <c r="N180" s="10437"/>
      <c r="O180" s="10437"/>
      <c r="P180" s="10434"/>
      <c r="Q180" s="10434"/>
      <c r="R180" s="10440"/>
      <c r="S180" s="5643"/>
      <c r="T180" s="5697"/>
      <c r="U180" s="5681"/>
      <c r="V180" s="3495"/>
      <c r="W180" s="5499"/>
      <c r="X180" s="3496"/>
      <c r="Y180" s="5552"/>
      <c r="Z180" s="5552"/>
      <c r="AA180" s="5552"/>
      <c r="AB180" s="5553"/>
      <c r="AC180" s="5817"/>
      <c r="AD180" s="3581"/>
      <c r="AE180" s="3579"/>
      <c r="AF180" s="3579"/>
      <c r="AG180" s="3585"/>
      <c r="AH180" s="10479"/>
    </row>
    <row r="181" spans="1:34" s="1001" customFormat="1" ht="18" customHeight="1">
      <c r="A181" s="9392"/>
      <c r="B181" s="10511"/>
      <c r="C181" s="10513"/>
      <c r="D181" s="10434"/>
      <c r="E181" s="10434"/>
      <c r="F181" s="10434"/>
      <c r="G181" s="10434"/>
      <c r="H181" s="10434"/>
      <c r="I181" s="10434"/>
      <c r="J181" s="10434"/>
      <c r="K181" s="10434"/>
      <c r="L181" s="10434"/>
      <c r="M181" s="10437"/>
      <c r="N181" s="10437"/>
      <c r="O181" s="10437"/>
      <c r="P181" s="10434"/>
      <c r="Q181" s="10434"/>
      <c r="R181" s="10440"/>
      <c r="S181" s="5643"/>
      <c r="T181" s="5697"/>
      <c r="U181" s="5681"/>
      <c r="V181" s="3495"/>
      <c r="W181" s="5499"/>
      <c r="X181" s="3496"/>
      <c r="Y181" s="5552"/>
      <c r="Z181" s="5552"/>
      <c r="AA181" s="5552"/>
      <c r="AB181" s="5553"/>
      <c r="AC181" s="5817"/>
      <c r="AD181" s="3581"/>
      <c r="AE181" s="3579"/>
      <c r="AF181" s="3579"/>
      <c r="AG181" s="3583"/>
      <c r="AH181" s="10479"/>
    </row>
    <row r="182" spans="1:34" s="1001" customFormat="1" ht="18" customHeight="1">
      <c r="A182" s="9392"/>
      <c r="B182" s="10511"/>
      <c r="C182" s="10513"/>
      <c r="D182" s="10434"/>
      <c r="E182" s="10434"/>
      <c r="F182" s="10434"/>
      <c r="G182" s="10434"/>
      <c r="H182" s="10434"/>
      <c r="I182" s="10434"/>
      <c r="J182" s="10434"/>
      <c r="K182" s="10434"/>
      <c r="L182" s="10434"/>
      <c r="M182" s="10437"/>
      <c r="N182" s="10437"/>
      <c r="O182" s="10437"/>
      <c r="P182" s="10434"/>
      <c r="Q182" s="10434"/>
      <c r="R182" s="10440"/>
      <c r="S182" s="5643"/>
      <c r="T182" s="5697"/>
      <c r="U182" s="5681"/>
      <c r="V182" s="3495"/>
      <c r="W182" s="5499"/>
      <c r="X182" s="3496"/>
      <c r="Y182" s="5552"/>
      <c r="Z182" s="5552"/>
      <c r="AA182" s="5552"/>
      <c r="AB182" s="5553"/>
      <c r="AC182" s="5817"/>
      <c r="AD182" s="3581"/>
      <c r="AE182" s="3579"/>
      <c r="AF182" s="3579"/>
      <c r="AG182" s="3583"/>
      <c r="AH182" s="10479"/>
    </row>
    <row r="183" spans="1:34" s="1001" customFormat="1" ht="49.5" customHeight="1">
      <c r="A183" s="9392"/>
      <c r="B183" s="10511"/>
      <c r="C183" s="10515"/>
      <c r="D183" s="10445"/>
      <c r="E183" s="10445"/>
      <c r="F183" s="10445"/>
      <c r="G183" s="10445"/>
      <c r="H183" s="10445"/>
      <c r="I183" s="10445"/>
      <c r="J183" s="10445"/>
      <c r="K183" s="10445"/>
      <c r="L183" s="10445"/>
      <c r="M183" s="10447"/>
      <c r="N183" s="10447"/>
      <c r="O183" s="10447"/>
      <c r="P183" s="10445"/>
      <c r="Q183" s="10445"/>
      <c r="R183" s="10450"/>
      <c r="S183" s="5646"/>
      <c r="T183" s="5699"/>
      <c r="U183" s="5683"/>
      <c r="V183" s="3759"/>
      <c r="W183" s="5509"/>
      <c r="X183" s="3714"/>
      <c r="Y183" s="5554"/>
      <c r="Z183" s="5554"/>
      <c r="AA183" s="5554"/>
      <c r="AB183" s="5555"/>
      <c r="AC183" s="5818"/>
      <c r="AD183" s="3619"/>
      <c r="AE183" s="3617"/>
      <c r="AF183" s="3617"/>
      <c r="AG183" s="3621"/>
      <c r="AH183" s="10480"/>
    </row>
    <row r="184" spans="1:34" s="1001" customFormat="1" ht="34.5" customHeight="1">
      <c r="A184" s="9392"/>
      <c r="B184" s="10511"/>
      <c r="C184" s="10516" t="s">
        <v>127</v>
      </c>
      <c r="D184" s="10433" t="s">
        <v>128</v>
      </c>
      <c r="E184" s="10433" t="s">
        <v>129</v>
      </c>
      <c r="F184" s="10433" t="s">
        <v>130</v>
      </c>
      <c r="G184" s="10442" t="s">
        <v>131</v>
      </c>
      <c r="H184" s="10433" t="s">
        <v>132</v>
      </c>
      <c r="I184" s="10433" t="s">
        <v>159</v>
      </c>
      <c r="J184" s="10433" t="s">
        <v>3634</v>
      </c>
      <c r="K184" s="10433" t="s">
        <v>3635</v>
      </c>
      <c r="L184" s="10433" t="s">
        <v>3636</v>
      </c>
      <c r="M184" s="10470">
        <v>4</v>
      </c>
      <c r="N184" s="10470">
        <v>4</v>
      </c>
      <c r="O184" s="10470">
        <v>3</v>
      </c>
      <c r="P184" s="10433" t="s">
        <v>3637</v>
      </c>
      <c r="Q184" s="10433" t="s">
        <v>3638</v>
      </c>
      <c r="R184" s="10439" t="s">
        <v>3639</v>
      </c>
      <c r="S184" s="5654"/>
      <c r="T184" s="5700"/>
      <c r="U184" s="5685"/>
      <c r="V184" s="3762"/>
      <c r="W184" s="5502"/>
      <c r="X184" s="3709"/>
      <c r="Y184" s="5556"/>
      <c r="Z184" s="5556"/>
      <c r="AA184" s="5556"/>
      <c r="AB184" s="5557"/>
      <c r="AC184" s="5819"/>
      <c r="AD184" s="3599"/>
      <c r="AE184" s="3598"/>
      <c r="AF184" s="3630"/>
      <c r="AG184" s="3630"/>
      <c r="AH184" s="10481"/>
    </row>
    <row r="185" spans="1:34" s="1001" customFormat="1" ht="34.5" customHeight="1">
      <c r="A185" s="9392"/>
      <c r="B185" s="10511"/>
      <c r="C185" s="10513"/>
      <c r="D185" s="10434"/>
      <c r="E185" s="10434"/>
      <c r="F185" s="10434"/>
      <c r="G185" s="10434"/>
      <c r="H185" s="10434"/>
      <c r="I185" s="10434"/>
      <c r="J185" s="10434"/>
      <c r="K185" s="10434"/>
      <c r="L185" s="10434"/>
      <c r="M185" s="10437"/>
      <c r="N185" s="10437"/>
      <c r="O185" s="10437"/>
      <c r="P185" s="10434"/>
      <c r="Q185" s="10434"/>
      <c r="R185" s="10440"/>
      <c r="S185" s="5643"/>
      <c r="T185" s="5697"/>
      <c r="U185" s="5681"/>
      <c r="V185" s="3495"/>
      <c r="W185" s="5499"/>
      <c r="X185" s="3496"/>
      <c r="Y185" s="5552"/>
      <c r="Z185" s="5552"/>
      <c r="AA185" s="5552"/>
      <c r="AB185" s="5553"/>
      <c r="AC185" s="5817"/>
      <c r="AD185" s="3581"/>
      <c r="AE185" s="3579"/>
      <c r="AF185" s="3583"/>
      <c r="AG185" s="3583"/>
      <c r="AH185" s="10479"/>
    </row>
    <row r="186" spans="1:34" s="1001" customFormat="1" ht="34.5" customHeight="1">
      <c r="A186" s="9392"/>
      <c r="B186" s="10511"/>
      <c r="C186" s="10513"/>
      <c r="D186" s="10434"/>
      <c r="E186" s="10434"/>
      <c r="F186" s="10434"/>
      <c r="G186" s="10434"/>
      <c r="H186" s="10434"/>
      <c r="I186" s="10434"/>
      <c r="J186" s="10434"/>
      <c r="K186" s="10434"/>
      <c r="L186" s="10434"/>
      <c r="M186" s="10437"/>
      <c r="N186" s="10437"/>
      <c r="O186" s="10437"/>
      <c r="P186" s="10434"/>
      <c r="Q186" s="10434"/>
      <c r="R186" s="10440"/>
      <c r="S186" s="5643"/>
      <c r="T186" s="5697"/>
      <c r="U186" s="5681"/>
      <c r="V186" s="3495"/>
      <c r="W186" s="5499"/>
      <c r="X186" s="3496"/>
      <c r="Y186" s="5552"/>
      <c r="Z186" s="5552"/>
      <c r="AA186" s="5552"/>
      <c r="AB186" s="5553"/>
      <c r="AC186" s="5817"/>
      <c r="AD186" s="3581"/>
      <c r="AE186" s="3579"/>
      <c r="AF186" s="3583"/>
      <c r="AG186" s="3583"/>
      <c r="AH186" s="10479"/>
    </row>
    <row r="187" spans="1:34" s="1001" customFormat="1" ht="34.5" customHeight="1">
      <c r="A187" s="9392"/>
      <c r="B187" s="10511"/>
      <c r="C187" s="10513"/>
      <c r="D187" s="10434"/>
      <c r="E187" s="10434"/>
      <c r="F187" s="10434"/>
      <c r="G187" s="10434"/>
      <c r="H187" s="10434"/>
      <c r="I187" s="10434"/>
      <c r="J187" s="10434"/>
      <c r="K187" s="10434"/>
      <c r="L187" s="10434"/>
      <c r="M187" s="10437"/>
      <c r="N187" s="10437"/>
      <c r="O187" s="10437"/>
      <c r="P187" s="10434"/>
      <c r="Q187" s="10434"/>
      <c r="R187" s="10440"/>
      <c r="S187" s="5643"/>
      <c r="T187" s="5697"/>
      <c r="U187" s="5681"/>
      <c r="V187" s="3495"/>
      <c r="W187" s="5499"/>
      <c r="X187" s="3496"/>
      <c r="Y187" s="5552"/>
      <c r="Z187" s="5552"/>
      <c r="AA187" s="5552"/>
      <c r="AB187" s="5553"/>
      <c r="AC187" s="5817"/>
      <c r="AD187" s="3581"/>
      <c r="AE187" s="3579"/>
      <c r="AF187" s="3583"/>
      <c r="AG187" s="3583"/>
      <c r="AH187" s="10479"/>
    </row>
    <row r="188" spans="1:34" s="1001" customFormat="1" ht="34.5" customHeight="1">
      <c r="A188" s="9392"/>
      <c r="B188" s="10511"/>
      <c r="C188" s="10514"/>
      <c r="D188" s="10435"/>
      <c r="E188" s="10435"/>
      <c r="F188" s="10435"/>
      <c r="G188" s="10435"/>
      <c r="H188" s="10435"/>
      <c r="I188" s="10435"/>
      <c r="J188" s="10435"/>
      <c r="K188" s="10435"/>
      <c r="L188" s="10435"/>
      <c r="M188" s="10438"/>
      <c r="N188" s="10438"/>
      <c r="O188" s="10438"/>
      <c r="P188" s="10435"/>
      <c r="Q188" s="10435"/>
      <c r="R188" s="10441"/>
      <c r="S188" s="5653"/>
      <c r="T188" s="5701"/>
      <c r="U188" s="5696"/>
      <c r="V188" s="3557"/>
      <c r="W188" s="5503"/>
      <c r="X188" s="3545"/>
      <c r="Y188" s="5558"/>
      <c r="Z188" s="5558"/>
      <c r="AA188" s="5558"/>
      <c r="AB188" s="5559"/>
      <c r="AC188" s="5830"/>
      <c r="AD188" s="3607"/>
      <c r="AE188" s="3606"/>
      <c r="AF188" s="3608"/>
      <c r="AG188" s="3608"/>
      <c r="AH188" s="10482"/>
    </row>
    <row r="189" spans="1:34" s="1001" customFormat="1" ht="34.5" customHeight="1">
      <c r="A189" s="9392"/>
      <c r="B189" s="10511"/>
      <c r="C189" s="10512" t="s">
        <v>127</v>
      </c>
      <c r="D189" s="10444" t="s">
        <v>128</v>
      </c>
      <c r="E189" s="10444" t="s">
        <v>129</v>
      </c>
      <c r="F189" s="10444" t="s">
        <v>130</v>
      </c>
      <c r="G189" s="10451" t="s">
        <v>131</v>
      </c>
      <c r="H189" s="10444" t="s">
        <v>132</v>
      </c>
      <c r="I189" s="10444" t="s">
        <v>189</v>
      </c>
      <c r="J189" s="10444" t="s">
        <v>3640</v>
      </c>
      <c r="K189" s="10448" t="s">
        <v>3641</v>
      </c>
      <c r="L189" s="10444" t="s">
        <v>3642</v>
      </c>
      <c r="M189" s="10455">
        <v>600</v>
      </c>
      <c r="N189" s="10455">
        <v>2000</v>
      </c>
      <c r="O189" s="10455">
        <v>2500</v>
      </c>
      <c r="P189" s="10444" t="s">
        <v>3643</v>
      </c>
      <c r="Q189" s="10444" t="s">
        <v>3644</v>
      </c>
      <c r="R189" s="10449" t="s">
        <v>3645</v>
      </c>
      <c r="S189" s="5670"/>
      <c r="T189" s="5702"/>
      <c r="U189" s="5690"/>
      <c r="V189" s="3758"/>
      <c r="W189" s="5504"/>
      <c r="X189" s="3658"/>
      <c r="Y189" s="5560"/>
      <c r="Z189" s="5560"/>
      <c r="AA189" s="5560"/>
      <c r="AB189" s="5561"/>
      <c r="AC189" s="5831"/>
      <c r="AD189" s="3636"/>
      <c r="AE189" s="3623"/>
      <c r="AF189" s="3627"/>
      <c r="AG189" s="3627"/>
      <c r="AH189" s="10478"/>
    </row>
    <row r="190" spans="1:34" s="1001" customFormat="1" ht="34.5" customHeight="1">
      <c r="A190" s="9392"/>
      <c r="B190" s="10511"/>
      <c r="C190" s="10513"/>
      <c r="D190" s="10434"/>
      <c r="E190" s="10434"/>
      <c r="F190" s="10434"/>
      <c r="G190" s="10434"/>
      <c r="H190" s="10434"/>
      <c r="I190" s="10434"/>
      <c r="J190" s="10434"/>
      <c r="K190" s="10434"/>
      <c r="L190" s="10434"/>
      <c r="M190" s="10437"/>
      <c r="N190" s="10437"/>
      <c r="O190" s="10437"/>
      <c r="P190" s="10434"/>
      <c r="Q190" s="10434"/>
      <c r="R190" s="10440"/>
      <c r="S190" s="5643"/>
      <c r="T190" s="5697"/>
      <c r="U190" s="5681"/>
      <c r="V190" s="3495"/>
      <c r="W190" s="5499"/>
      <c r="X190" s="3496"/>
      <c r="Y190" s="5552"/>
      <c r="Z190" s="5552"/>
      <c r="AA190" s="5552"/>
      <c r="AB190" s="5553"/>
      <c r="AC190" s="5817"/>
      <c r="AD190" s="3581"/>
      <c r="AE190" s="3579"/>
      <c r="AF190" s="3583"/>
      <c r="AG190" s="3583"/>
      <c r="AH190" s="10479"/>
    </row>
    <row r="191" spans="1:34" s="1001" customFormat="1" ht="34.5" customHeight="1">
      <c r="A191" s="9392"/>
      <c r="B191" s="10511"/>
      <c r="C191" s="10513"/>
      <c r="D191" s="10434"/>
      <c r="E191" s="10434"/>
      <c r="F191" s="10434"/>
      <c r="G191" s="10434"/>
      <c r="H191" s="10434"/>
      <c r="I191" s="10434"/>
      <c r="J191" s="10434"/>
      <c r="K191" s="10434"/>
      <c r="L191" s="10434"/>
      <c r="M191" s="10437"/>
      <c r="N191" s="10437"/>
      <c r="O191" s="10437"/>
      <c r="P191" s="10434"/>
      <c r="Q191" s="10434"/>
      <c r="R191" s="10440"/>
      <c r="S191" s="5643"/>
      <c r="T191" s="5697"/>
      <c r="U191" s="5681"/>
      <c r="V191" s="3495"/>
      <c r="W191" s="5499"/>
      <c r="X191" s="3496"/>
      <c r="Y191" s="5552"/>
      <c r="Z191" s="5552"/>
      <c r="AA191" s="5552"/>
      <c r="AB191" s="5553"/>
      <c r="AC191" s="5817"/>
      <c r="AD191" s="3581"/>
      <c r="AE191" s="3579"/>
      <c r="AF191" s="3583"/>
      <c r="AG191" s="3583"/>
      <c r="AH191" s="10479"/>
    </row>
    <row r="192" spans="1:34" s="1001" customFormat="1" ht="34.5" customHeight="1">
      <c r="A192" s="9392"/>
      <c r="B192" s="10511"/>
      <c r="C192" s="10513"/>
      <c r="D192" s="10434"/>
      <c r="E192" s="10434"/>
      <c r="F192" s="10434"/>
      <c r="G192" s="10434"/>
      <c r="H192" s="10434"/>
      <c r="I192" s="10434"/>
      <c r="J192" s="10434"/>
      <c r="K192" s="10434"/>
      <c r="L192" s="10434"/>
      <c r="M192" s="10437"/>
      <c r="N192" s="10437"/>
      <c r="O192" s="10437"/>
      <c r="P192" s="10434"/>
      <c r="Q192" s="10434"/>
      <c r="R192" s="10440"/>
      <c r="S192" s="5643"/>
      <c r="T192" s="5697"/>
      <c r="U192" s="5681"/>
      <c r="V192" s="3495"/>
      <c r="W192" s="5499"/>
      <c r="X192" s="3496"/>
      <c r="Y192" s="5552"/>
      <c r="Z192" s="5552"/>
      <c r="AA192" s="5552"/>
      <c r="AB192" s="5553"/>
      <c r="AC192" s="5817"/>
      <c r="AD192" s="3581"/>
      <c r="AE192" s="3579"/>
      <c r="AF192" s="3583"/>
      <c r="AG192" s="3583"/>
      <c r="AH192" s="10479"/>
    </row>
    <row r="193" spans="1:34" s="1001" customFormat="1" ht="34.5" customHeight="1">
      <c r="A193" s="9392"/>
      <c r="B193" s="10511"/>
      <c r="C193" s="10515"/>
      <c r="D193" s="10445"/>
      <c r="E193" s="10445"/>
      <c r="F193" s="10445"/>
      <c r="G193" s="10445"/>
      <c r="H193" s="10445"/>
      <c r="I193" s="10445"/>
      <c r="J193" s="10445"/>
      <c r="K193" s="10445"/>
      <c r="L193" s="10445"/>
      <c r="M193" s="10447"/>
      <c r="N193" s="10447"/>
      <c r="O193" s="10447"/>
      <c r="P193" s="10445"/>
      <c r="Q193" s="10445"/>
      <c r="R193" s="10450"/>
      <c r="S193" s="5646"/>
      <c r="T193" s="5699"/>
      <c r="U193" s="5683"/>
      <c r="V193" s="3759"/>
      <c r="W193" s="5509"/>
      <c r="X193" s="3714"/>
      <c r="Y193" s="5554"/>
      <c r="Z193" s="5554"/>
      <c r="AA193" s="5554"/>
      <c r="AB193" s="5555"/>
      <c r="AC193" s="5818"/>
      <c r="AD193" s="3619"/>
      <c r="AE193" s="3617"/>
      <c r="AF193" s="3621"/>
      <c r="AG193" s="3621"/>
      <c r="AH193" s="10480"/>
    </row>
    <row r="194" spans="1:34" s="1001" customFormat="1" ht="48" customHeight="1">
      <c r="A194" s="9392"/>
      <c r="B194" s="10511"/>
      <c r="C194" s="10516" t="s">
        <v>127</v>
      </c>
      <c r="D194" s="10433" t="s">
        <v>128</v>
      </c>
      <c r="E194" s="10433" t="s">
        <v>129</v>
      </c>
      <c r="F194" s="10433" t="s">
        <v>268</v>
      </c>
      <c r="G194" s="10442" t="s">
        <v>131</v>
      </c>
      <c r="H194" s="10433" t="s">
        <v>132</v>
      </c>
      <c r="I194" s="10433" t="s">
        <v>189</v>
      </c>
      <c r="J194" s="10433" t="s">
        <v>3646</v>
      </c>
      <c r="K194" s="10443" t="s">
        <v>3647</v>
      </c>
      <c r="L194" s="10433" t="s">
        <v>3648</v>
      </c>
      <c r="M194" s="10470">
        <v>510</v>
      </c>
      <c r="N194" s="10470">
        <v>550</v>
      </c>
      <c r="O194" s="10470">
        <v>400</v>
      </c>
      <c r="P194" s="10433" t="s">
        <v>3649</v>
      </c>
      <c r="Q194" s="10433" t="s">
        <v>3650</v>
      </c>
      <c r="R194" s="10439" t="s">
        <v>3651</v>
      </c>
      <c r="S194" s="5654"/>
      <c r="T194" s="5700"/>
      <c r="U194" s="5685"/>
      <c r="V194" s="2929"/>
      <c r="W194" s="5505"/>
      <c r="X194" s="2930"/>
      <c r="Y194" s="5798"/>
      <c r="Z194" s="5798"/>
      <c r="AA194" s="5798"/>
      <c r="AB194" s="5799"/>
      <c r="AC194" s="5839"/>
      <c r="AD194" s="3628"/>
      <c r="AE194" s="3600"/>
      <c r="AF194" s="3629"/>
      <c r="AG194" s="3629"/>
      <c r="AH194" s="10481"/>
    </row>
    <row r="195" spans="1:34" s="1001" customFormat="1" ht="48" customHeight="1">
      <c r="A195" s="9392"/>
      <c r="B195" s="10511"/>
      <c r="C195" s="10513"/>
      <c r="D195" s="10434"/>
      <c r="E195" s="10434"/>
      <c r="F195" s="10434"/>
      <c r="G195" s="10434"/>
      <c r="H195" s="10434"/>
      <c r="I195" s="10434"/>
      <c r="J195" s="10434"/>
      <c r="K195" s="10434"/>
      <c r="L195" s="10434"/>
      <c r="M195" s="10437"/>
      <c r="N195" s="10437"/>
      <c r="O195" s="10437"/>
      <c r="P195" s="10434"/>
      <c r="Q195" s="10434"/>
      <c r="R195" s="10440"/>
      <c r="S195" s="5643"/>
      <c r="T195" s="5697"/>
      <c r="U195" s="5681"/>
      <c r="V195" s="3813"/>
      <c r="W195" s="5500"/>
      <c r="X195" s="3504"/>
      <c r="Y195" s="5790"/>
      <c r="Z195" s="5790"/>
      <c r="AA195" s="5790"/>
      <c r="AB195" s="5791"/>
      <c r="AC195" s="5820"/>
      <c r="AD195" s="3589"/>
      <c r="AE195" s="3587"/>
      <c r="AF195" s="3590"/>
      <c r="AG195" s="3590"/>
      <c r="AH195" s="10479"/>
    </row>
    <row r="196" spans="1:34" s="1001" customFormat="1" ht="48" customHeight="1">
      <c r="A196" s="9392"/>
      <c r="B196" s="10511"/>
      <c r="C196" s="10513"/>
      <c r="D196" s="10434"/>
      <c r="E196" s="10434"/>
      <c r="F196" s="10434"/>
      <c r="G196" s="10434"/>
      <c r="H196" s="10434"/>
      <c r="I196" s="10434"/>
      <c r="J196" s="10434"/>
      <c r="K196" s="10434"/>
      <c r="L196" s="10434"/>
      <c r="M196" s="10437"/>
      <c r="N196" s="10437"/>
      <c r="O196" s="10437"/>
      <c r="P196" s="10434"/>
      <c r="Q196" s="10434"/>
      <c r="R196" s="10440"/>
      <c r="S196" s="5643"/>
      <c r="T196" s="5697"/>
      <c r="U196" s="5681"/>
      <c r="V196" s="3813"/>
      <c r="W196" s="5500"/>
      <c r="X196" s="3504"/>
      <c r="Y196" s="5790"/>
      <c r="Z196" s="5790"/>
      <c r="AA196" s="5790"/>
      <c r="AB196" s="5791"/>
      <c r="AC196" s="5820"/>
      <c r="AD196" s="3589"/>
      <c r="AE196" s="3587"/>
      <c r="AF196" s="3590"/>
      <c r="AG196" s="3590"/>
      <c r="AH196" s="10479"/>
    </row>
    <row r="197" spans="1:34" s="1001" customFormat="1" ht="48" customHeight="1">
      <c r="A197" s="9392"/>
      <c r="B197" s="10511"/>
      <c r="C197" s="10513"/>
      <c r="D197" s="10434"/>
      <c r="E197" s="10434"/>
      <c r="F197" s="10434"/>
      <c r="G197" s="10434"/>
      <c r="H197" s="10434"/>
      <c r="I197" s="10434"/>
      <c r="J197" s="10434"/>
      <c r="K197" s="10434"/>
      <c r="L197" s="10434"/>
      <c r="M197" s="10437"/>
      <c r="N197" s="10437"/>
      <c r="O197" s="10437"/>
      <c r="P197" s="10434"/>
      <c r="Q197" s="10434"/>
      <c r="R197" s="10440"/>
      <c r="S197" s="5643"/>
      <c r="T197" s="5697"/>
      <c r="U197" s="5681"/>
      <c r="V197" s="3813"/>
      <c r="W197" s="5500"/>
      <c r="X197" s="3504"/>
      <c r="Y197" s="5790"/>
      <c r="Z197" s="5790"/>
      <c r="AA197" s="5790"/>
      <c r="AB197" s="5791"/>
      <c r="AC197" s="5820"/>
      <c r="AD197" s="3589"/>
      <c r="AE197" s="3587"/>
      <c r="AF197" s="3590"/>
      <c r="AG197" s="3590"/>
      <c r="AH197" s="10479"/>
    </row>
    <row r="198" spans="1:34" s="1001" customFormat="1" ht="48" customHeight="1">
      <c r="A198" s="9392"/>
      <c r="B198" s="10511"/>
      <c r="C198" s="10514"/>
      <c r="D198" s="10435"/>
      <c r="E198" s="10435"/>
      <c r="F198" s="10435"/>
      <c r="G198" s="10435"/>
      <c r="H198" s="10435"/>
      <c r="I198" s="10435"/>
      <c r="J198" s="10435"/>
      <c r="K198" s="10435"/>
      <c r="L198" s="10435"/>
      <c r="M198" s="10438"/>
      <c r="N198" s="10438"/>
      <c r="O198" s="10438"/>
      <c r="P198" s="10435"/>
      <c r="Q198" s="10435"/>
      <c r="R198" s="10441"/>
      <c r="S198" s="5653"/>
      <c r="T198" s="5701"/>
      <c r="U198" s="5696"/>
      <c r="V198" s="3557"/>
      <c r="W198" s="5503"/>
      <c r="X198" s="3545"/>
      <c r="Y198" s="5558"/>
      <c r="Z198" s="5558"/>
      <c r="AA198" s="5558"/>
      <c r="AB198" s="5559"/>
      <c r="AC198" s="5830"/>
      <c r="AD198" s="3607"/>
      <c r="AE198" s="3606"/>
      <c r="AF198" s="3631"/>
      <c r="AG198" s="3631"/>
      <c r="AH198" s="10482"/>
    </row>
    <row r="199" spans="1:34" s="1001" customFormat="1" ht="51" customHeight="1">
      <c r="A199" s="9392"/>
      <c r="B199" s="10511"/>
      <c r="C199" s="10512" t="s">
        <v>127</v>
      </c>
      <c r="D199" s="10444" t="s">
        <v>128</v>
      </c>
      <c r="E199" s="10444" t="s">
        <v>129</v>
      </c>
      <c r="F199" s="10444" t="s">
        <v>130</v>
      </c>
      <c r="G199" s="10451" t="s">
        <v>131</v>
      </c>
      <c r="H199" s="10444" t="s">
        <v>132</v>
      </c>
      <c r="I199" s="10444" t="s">
        <v>214</v>
      </c>
      <c r="J199" s="10444" t="s">
        <v>3652</v>
      </c>
      <c r="K199" s="10448" t="s">
        <v>3653</v>
      </c>
      <c r="L199" s="10444" t="s">
        <v>3654</v>
      </c>
      <c r="M199" s="10455">
        <v>4</v>
      </c>
      <c r="N199" s="10455">
        <v>4</v>
      </c>
      <c r="O199" s="10455">
        <v>3</v>
      </c>
      <c r="P199" s="10444" t="s">
        <v>3655</v>
      </c>
      <c r="Q199" s="10444" t="s">
        <v>3656</v>
      </c>
      <c r="R199" s="10449" t="s">
        <v>3657</v>
      </c>
      <c r="S199" s="5669" t="s">
        <v>15</v>
      </c>
      <c r="T199" s="5689">
        <v>531407</v>
      </c>
      <c r="U199" s="5690"/>
      <c r="V199" s="3758" t="s">
        <v>40</v>
      </c>
      <c r="W199" s="5504"/>
      <c r="X199" s="3658"/>
      <c r="Y199" s="5560"/>
      <c r="Z199" s="5560"/>
      <c r="AA199" s="5560"/>
      <c r="AB199" s="5561">
        <f>AA200</f>
        <v>14.498400000000002</v>
      </c>
      <c r="AC199" s="5822" t="s">
        <v>18</v>
      </c>
      <c r="AD199" s="3636"/>
      <c r="AE199" s="3623"/>
      <c r="AF199" s="3626"/>
      <c r="AG199" s="3626"/>
      <c r="AH199" s="10478"/>
    </row>
    <row r="200" spans="1:34" s="1001" customFormat="1" ht="51" customHeight="1">
      <c r="A200" s="9392"/>
      <c r="B200" s="10511"/>
      <c r="C200" s="10513"/>
      <c r="D200" s="10434"/>
      <c r="E200" s="10434"/>
      <c r="F200" s="10434"/>
      <c r="G200" s="10434"/>
      <c r="H200" s="10434"/>
      <c r="I200" s="10434"/>
      <c r="J200" s="10434"/>
      <c r="K200" s="10434"/>
      <c r="L200" s="10434"/>
      <c r="M200" s="10437"/>
      <c r="N200" s="10437"/>
      <c r="O200" s="10437"/>
      <c r="P200" s="10434"/>
      <c r="Q200" s="10434"/>
      <c r="R200" s="10440"/>
      <c r="S200" s="5643"/>
      <c r="T200" s="5697"/>
      <c r="U200" s="5681">
        <v>452900012</v>
      </c>
      <c r="V200" s="3495" t="s">
        <v>3615</v>
      </c>
      <c r="W200" s="5499">
        <v>1</v>
      </c>
      <c r="X200" s="3496" t="s">
        <v>180</v>
      </c>
      <c r="Y200" s="5552">
        <v>12.945</v>
      </c>
      <c r="Z200" s="5552">
        <f>+W200*Y200</f>
        <v>12.945</v>
      </c>
      <c r="AA200" s="5552">
        <f>+Z200*1.12</f>
        <v>14.498400000000002</v>
      </c>
      <c r="AB200" s="5553"/>
      <c r="AC200" s="5817"/>
      <c r="AD200" s="3581"/>
      <c r="AE200" s="3579"/>
      <c r="AF200" s="3590" t="s">
        <v>153</v>
      </c>
      <c r="AG200" s="3590"/>
      <c r="AH200" s="10479"/>
    </row>
    <row r="201" spans="1:34" s="1001" customFormat="1" ht="51" customHeight="1">
      <c r="A201" s="9392"/>
      <c r="B201" s="10511"/>
      <c r="C201" s="10513"/>
      <c r="D201" s="10434"/>
      <c r="E201" s="10434"/>
      <c r="F201" s="10434"/>
      <c r="G201" s="10434"/>
      <c r="H201" s="10434"/>
      <c r="I201" s="10434"/>
      <c r="J201" s="10434"/>
      <c r="K201" s="10434"/>
      <c r="L201" s="10434"/>
      <c r="M201" s="10437"/>
      <c r="N201" s="10437"/>
      <c r="O201" s="10437"/>
      <c r="P201" s="10434"/>
      <c r="Q201" s="10434"/>
      <c r="R201" s="10440"/>
      <c r="S201" s="5643"/>
      <c r="T201" s="5697"/>
      <c r="U201" s="5681"/>
      <c r="V201" s="3495"/>
      <c r="W201" s="5499"/>
      <c r="X201" s="3496"/>
      <c r="Y201" s="5552"/>
      <c r="Z201" s="5552"/>
      <c r="AA201" s="5552"/>
      <c r="AB201" s="5553"/>
      <c r="AC201" s="5817"/>
      <c r="AD201" s="3581"/>
      <c r="AE201" s="3579"/>
      <c r="AF201" s="3590"/>
      <c r="AG201" s="3590"/>
      <c r="AH201" s="10479"/>
    </row>
    <row r="202" spans="1:34" s="1001" customFormat="1" ht="37.5" customHeight="1">
      <c r="A202" s="9392"/>
      <c r="B202" s="10511"/>
      <c r="C202" s="10513"/>
      <c r="D202" s="10434"/>
      <c r="E202" s="10434"/>
      <c r="F202" s="10434"/>
      <c r="G202" s="10434"/>
      <c r="H202" s="10434"/>
      <c r="I202" s="10434"/>
      <c r="J202" s="10434"/>
      <c r="K202" s="10434"/>
      <c r="L202" s="10434"/>
      <c r="M202" s="10437"/>
      <c r="N202" s="10437"/>
      <c r="O202" s="10437"/>
      <c r="P202" s="10434"/>
      <c r="Q202" s="10434"/>
      <c r="R202" s="10440"/>
      <c r="S202" s="5643"/>
      <c r="T202" s="5697"/>
      <c r="U202" s="5681"/>
      <c r="V202" s="3495"/>
      <c r="W202" s="5499"/>
      <c r="X202" s="3496"/>
      <c r="Y202" s="5552"/>
      <c r="Z202" s="5552"/>
      <c r="AA202" s="5552"/>
      <c r="AB202" s="5553"/>
      <c r="AC202" s="5817"/>
      <c r="AD202" s="3581"/>
      <c r="AE202" s="3579"/>
      <c r="AF202" s="3590"/>
      <c r="AG202" s="3590"/>
      <c r="AH202" s="10479"/>
    </row>
    <row r="203" spans="1:34" s="1001" customFormat="1" ht="37.5" customHeight="1">
      <c r="A203" s="9392"/>
      <c r="B203" s="10511"/>
      <c r="C203" s="10515"/>
      <c r="D203" s="10445"/>
      <c r="E203" s="10445"/>
      <c r="F203" s="10445"/>
      <c r="G203" s="10445"/>
      <c r="H203" s="10445"/>
      <c r="I203" s="10445"/>
      <c r="J203" s="10445"/>
      <c r="K203" s="10445"/>
      <c r="L203" s="10445"/>
      <c r="M203" s="10447"/>
      <c r="N203" s="10447"/>
      <c r="O203" s="10447"/>
      <c r="P203" s="10445"/>
      <c r="Q203" s="10445"/>
      <c r="R203" s="10450"/>
      <c r="S203" s="5646"/>
      <c r="T203" s="5699"/>
      <c r="U203" s="5683"/>
      <c r="V203" s="3808"/>
      <c r="W203" s="5501"/>
      <c r="X203" s="3727"/>
      <c r="Y203" s="5797"/>
      <c r="Z203" s="5797"/>
      <c r="AA203" s="5797"/>
      <c r="AB203" s="5811"/>
      <c r="AC203" s="5841"/>
      <c r="AD203" s="3633"/>
      <c r="AE203" s="3632"/>
      <c r="AF203" s="3634"/>
      <c r="AG203" s="3634"/>
      <c r="AH203" s="10480"/>
    </row>
    <row r="204" spans="1:34" s="1001" customFormat="1" ht="37.5" customHeight="1">
      <c r="A204" s="9392"/>
      <c r="B204" s="10511"/>
      <c r="C204" s="10516" t="s">
        <v>127</v>
      </c>
      <c r="D204" s="10433" t="s">
        <v>128</v>
      </c>
      <c r="E204" s="10433" t="s">
        <v>129</v>
      </c>
      <c r="F204" s="10433" t="s">
        <v>130</v>
      </c>
      <c r="G204" s="10442" t="s">
        <v>131</v>
      </c>
      <c r="H204" s="10433" t="s">
        <v>132</v>
      </c>
      <c r="I204" s="10433" t="s">
        <v>189</v>
      </c>
      <c r="J204" s="10442" t="s">
        <v>3658</v>
      </c>
      <c r="K204" s="10443" t="s">
        <v>3659</v>
      </c>
      <c r="L204" s="10433" t="s">
        <v>3660</v>
      </c>
      <c r="M204" s="10470">
        <v>0</v>
      </c>
      <c r="N204" s="10470">
        <v>0</v>
      </c>
      <c r="O204" s="10470">
        <v>0</v>
      </c>
      <c r="P204" s="10433" t="s">
        <v>3661</v>
      </c>
      <c r="Q204" s="10433" t="s">
        <v>3661</v>
      </c>
      <c r="R204" s="10439" t="s">
        <v>3661</v>
      </c>
      <c r="S204" s="5654"/>
      <c r="T204" s="5700"/>
      <c r="U204" s="5685"/>
      <c r="V204" s="2929"/>
      <c r="W204" s="5505"/>
      <c r="X204" s="2930"/>
      <c r="Y204" s="5798"/>
      <c r="Z204" s="5798"/>
      <c r="AA204" s="5798"/>
      <c r="AB204" s="5799"/>
      <c r="AC204" s="5839"/>
      <c r="AD204" s="3628"/>
      <c r="AE204" s="3600"/>
      <c r="AF204" s="3629"/>
      <c r="AG204" s="3629"/>
      <c r="AH204" s="10525" t="s">
        <v>3662</v>
      </c>
    </row>
    <row r="205" spans="1:34" s="1001" customFormat="1" ht="34.5" customHeight="1">
      <c r="A205" s="9392"/>
      <c r="B205" s="10511"/>
      <c r="C205" s="10513"/>
      <c r="D205" s="10434"/>
      <c r="E205" s="10434"/>
      <c r="F205" s="10434"/>
      <c r="G205" s="10434"/>
      <c r="H205" s="10434"/>
      <c r="I205" s="10434"/>
      <c r="J205" s="10434"/>
      <c r="K205" s="10434"/>
      <c r="L205" s="10434"/>
      <c r="M205" s="10437"/>
      <c r="N205" s="10437"/>
      <c r="O205" s="10437"/>
      <c r="P205" s="10434"/>
      <c r="Q205" s="10434"/>
      <c r="R205" s="10440"/>
      <c r="S205" s="5643"/>
      <c r="T205" s="5697"/>
      <c r="U205" s="5681"/>
      <c r="V205" s="3813"/>
      <c r="W205" s="5500"/>
      <c r="X205" s="3504"/>
      <c r="Y205" s="5790"/>
      <c r="Z205" s="5790"/>
      <c r="AA205" s="5790"/>
      <c r="AB205" s="5791"/>
      <c r="AC205" s="5820"/>
      <c r="AD205" s="3589"/>
      <c r="AE205" s="3587"/>
      <c r="AF205" s="3590"/>
      <c r="AG205" s="3590"/>
      <c r="AH205" s="10462"/>
    </row>
    <row r="206" spans="1:34" s="1001" customFormat="1" ht="34.5" customHeight="1">
      <c r="A206" s="9392"/>
      <c r="B206" s="10511"/>
      <c r="C206" s="10513"/>
      <c r="D206" s="10434"/>
      <c r="E206" s="10434"/>
      <c r="F206" s="10434"/>
      <c r="G206" s="10434"/>
      <c r="H206" s="10434"/>
      <c r="I206" s="10434"/>
      <c r="J206" s="10434"/>
      <c r="K206" s="10434"/>
      <c r="L206" s="10434"/>
      <c r="M206" s="10437"/>
      <c r="N206" s="10437"/>
      <c r="O206" s="10437"/>
      <c r="P206" s="10434"/>
      <c r="Q206" s="10434"/>
      <c r="R206" s="10440"/>
      <c r="S206" s="5643"/>
      <c r="T206" s="5697"/>
      <c r="U206" s="5681"/>
      <c r="V206" s="3813"/>
      <c r="W206" s="5500"/>
      <c r="X206" s="3504"/>
      <c r="Y206" s="5790"/>
      <c r="Z206" s="5790"/>
      <c r="AA206" s="5790"/>
      <c r="AB206" s="5791"/>
      <c r="AC206" s="5820"/>
      <c r="AD206" s="3589"/>
      <c r="AE206" s="3587"/>
      <c r="AF206" s="3590"/>
      <c r="AG206" s="3590"/>
      <c r="AH206" s="10462"/>
    </row>
    <row r="207" spans="1:34" s="1001" customFormat="1" ht="28.5" customHeight="1">
      <c r="A207" s="9392"/>
      <c r="B207" s="10511"/>
      <c r="C207" s="10513"/>
      <c r="D207" s="10434"/>
      <c r="E207" s="10434"/>
      <c r="F207" s="10434"/>
      <c r="G207" s="10434"/>
      <c r="H207" s="10434"/>
      <c r="I207" s="10434"/>
      <c r="J207" s="10434"/>
      <c r="K207" s="10434"/>
      <c r="L207" s="10434"/>
      <c r="M207" s="10437"/>
      <c r="N207" s="10437"/>
      <c r="O207" s="10437"/>
      <c r="P207" s="10434"/>
      <c r="Q207" s="10434"/>
      <c r="R207" s="10440"/>
      <c r="S207" s="5643"/>
      <c r="T207" s="5697"/>
      <c r="U207" s="5681"/>
      <c r="V207" s="3813"/>
      <c r="W207" s="5500"/>
      <c r="X207" s="3504"/>
      <c r="Y207" s="5790"/>
      <c r="Z207" s="5790"/>
      <c r="AA207" s="5790"/>
      <c r="AB207" s="5791"/>
      <c r="AC207" s="5820"/>
      <c r="AD207" s="3589"/>
      <c r="AE207" s="3587"/>
      <c r="AF207" s="3590"/>
      <c r="AG207" s="3590"/>
      <c r="AH207" s="10462"/>
    </row>
    <row r="208" spans="1:34" s="1001" customFormat="1" ht="28.5" customHeight="1">
      <c r="A208" s="9392"/>
      <c r="B208" s="10511"/>
      <c r="C208" s="10515"/>
      <c r="D208" s="10445"/>
      <c r="E208" s="10445"/>
      <c r="F208" s="10445"/>
      <c r="G208" s="10445"/>
      <c r="H208" s="10445"/>
      <c r="I208" s="10445"/>
      <c r="J208" s="10445"/>
      <c r="K208" s="10445"/>
      <c r="L208" s="10445"/>
      <c r="M208" s="10447"/>
      <c r="N208" s="10447"/>
      <c r="O208" s="10447"/>
      <c r="P208" s="10445"/>
      <c r="Q208" s="10445"/>
      <c r="R208" s="10450"/>
      <c r="S208" s="5646"/>
      <c r="T208" s="5699"/>
      <c r="U208" s="5683"/>
      <c r="V208" s="3808"/>
      <c r="W208" s="5501"/>
      <c r="X208" s="3727"/>
      <c r="Y208" s="5797"/>
      <c r="Z208" s="5797"/>
      <c r="AA208" s="5797"/>
      <c r="AB208" s="5811"/>
      <c r="AC208" s="5841"/>
      <c r="AD208" s="3633"/>
      <c r="AE208" s="3632"/>
      <c r="AF208" s="3634"/>
      <c r="AG208" s="3634"/>
      <c r="AH208" s="10463"/>
    </row>
    <row r="209" spans="1:34" s="1001" customFormat="1" ht="30.75" customHeight="1">
      <c r="A209" s="9392"/>
      <c r="B209" s="10511"/>
      <c r="C209" s="10516" t="s">
        <v>127</v>
      </c>
      <c r="D209" s="10433" t="s">
        <v>128</v>
      </c>
      <c r="E209" s="10433" t="s">
        <v>129</v>
      </c>
      <c r="F209" s="10433" t="s">
        <v>130</v>
      </c>
      <c r="G209" s="10442" t="s">
        <v>131</v>
      </c>
      <c r="H209" s="10433" t="s">
        <v>132</v>
      </c>
      <c r="I209" s="10433" t="s">
        <v>159</v>
      </c>
      <c r="J209" s="10433" t="s">
        <v>3663</v>
      </c>
      <c r="K209" s="10443" t="s">
        <v>286</v>
      </c>
      <c r="L209" s="10433" t="s">
        <v>3664</v>
      </c>
      <c r="M209" s="10470">
        <v>0</v>
      </c>
      <c r="N209" s="10470">
        <v>1</v>
      </c>
      <c r="O209" s="10470">
        <v>1</v>
      </c>
      <c r="P209" s="10433" t="s">
        <v>3665</v>
      </c>
      <c r="Q209" s="10433" t="s">
        <v>3666</v>
      </c>
      <c r="R209" s="10439" t="s">
        <v>3667</v>
      </c>
      <c r="S209" s="5654"/>
      <c r="T209" s="5700"/>
      <c r="U209" s="5685"/>
      <c r="V209" s="2929"/>
      <c r="W209" s="5505"/>
      <c r="X209" s="2930"/>
      <c r="Y209" s="5798"/>
      <c r="Z209" s="5798"/>
      <c r="AA209" s="5798"/>
      <c r="AB209" s="5799"/>
      <c r="AC209" s="5839"/>
      <c r="AD209" s="3628"/>
      <c r="AE209" s="3600"/>
      <c r="AF209" s="3629"/>
      <c r="AG209" s="3629"/>
      <c r="AH209" s="10481"/>
    </row>
    <row r="210" spans="1:34" s="1001" customFormat="1" ht="30.75" customHeight="1">
      <c r="A210" s="9392"/>
      <c r="B210" s="10511"/>
      <c r="C210" s="10513"/>
      <c r="D210" s="10434"/>
      <c r="E210" s="10434"/>
      <c r="F210" s="10434"/>
      <c r="G210" s="10434"/>
      <c r="H210" s="10434"/>
      <c r="I210" s="10434"/>
      <c r="J210" s="10434"/>
      <c r="K210" s="10434"/>
      <c r="L210" s="10434"/>
      <c r="M210" s="10437"/>
      <c r="N210" s="10437"/>
      <c r="O210" s="10437"/>
      <c r="P210" s="10434"/>
      <c r="Q210" s="10434"/>
      <c r="R210" s="10440"/>
      <c r="S210" s="5643"/>
      <c r="T210" s="5697"/>
      <c r="U210" s="5681"/>
      <c r="V210" s="3813"/>
      <c r="W210" s="5500"/>
      <c r="X210" s="3504"/>
      <c r="Y210" s="5790"/>
      <c r="Z210" s="5790"/>
      <c r="AA210" s="5790"/>
      <c r="AB210" s="5791"/>
      <c r="AC210" s="5820"/>
      <c r="AD210" s="3589"/>
      <c r="AE210" s="3587"/>
      <c r="AF210" s="3590"/>
      <c r="AG210" s="3590"/>
      <c r="AH210" s="10479"/>
    </row>
    <row r="211" spans="1:34" s="1001" customFormat="1" ht="30.75" customHeight="1">
      <c r="A211" s="9392"/>
      <c r="B211" s="10511"/>
      <c r="C211" s="10513"/>
      <c r="D211" s="10434"/>
      <c r="E211" s="10434"/>
      <c r="F211" s="10434"/>
      <c r="G211" s="10434"/>
      <c r="H211" s="10434"/>
      <c r="I211" s="10434"/>
      <c r="J211" s="10434"/>
      <c r="K211" s="10434"/>
      <c r="L211" s="10434"/>
      <c r="M211" s="10437"/>
      <c r="N211" s="10437"/>
      <c r="O211" s="10437"/>
      <c r="P211" s="10434"/>
      <c r="Q211" s="10434"/>
      <c r="R211" s="10440"/>
      <c r="S211" s="5643"/>
      <c r="T211" s="5697"/>
      <c r="U211" s="5681"/>
      <c r="V211" s="3813"/>
      <c r="W211" s="5500"/>
      <c r="X211" s="3504"/>
      <c r="Y211" s="5790"/>
      <c r="Z211" s="5790"/>
      <c r="AA211" s="5790"/>
      <c r="AB211" s="5791"/>
      <c r="AC211" s="5820"/>
      <c r="AD211" s="3589"/>
      <c r="AE211" s="3587"/>
      <c r="AF211" s="3590"/>
      <c r="AG211" s="3590"/>
      <c r="AH211" s="10479"/>
    </row>
    <row r="212" spans="1:34" s="1001" customFormat="1" ht="30.75" customHeight="1">
      <c r="A212" s="9392"/>
      <c r="B212" s="10511"/>
      <c r="C212" s="10513"/>
      <c r="D212" s="10434"/>
      <c r="E212" s="10434"/>
      <c r="F212" s="10434"/>
      <c r="G212" s="10434"/>
      <c r="H212" s="10434"/>
      <c r="I212" s="10434"/>
      <c r="J212" s="10434"/>
      <c r="K212" s="10434"/>
      <c r="L212" s="10434"/>
      <c r="M212" s="10437"/>
      <c r="N212" s="10437"/>
      <c r="O212" s="10437"/>
      <c r="P212" s="10434"/>
      <c r="Q212" s="10434"/>
      <c r="R212" s="10440"/>
      <c r="S212" s="5643"/>
      <c r="T212" s="5697"/>
      <c r="U212" s="5681"/>
      <c r="V212" s="3813"/>
      <c r="W212" s="5500"/>
      <c r="X212" s="3504"/>
      <c r="Y212" s="5790"/>
      <c r="Z212" s="5790"/>
      <c r="AA212" s="5790"/>
      <c r="AB212" s="5791"/>
      <c r="AC212" s="5820"/>
      <c r="AD212" s="3589"/>
      <c r="AE212" s="3587"/>
      <c r="AF212" s="3590"/>
      <c r="AG212" s="3590"/>
      <c r="AH212" s="10479"/>
    </row>
    <row r="213" spans="1:34" s="1001" customFormat="1" ht="30.75" customHeight="1">
      <c r="A213" s="9392"/>
      <c r="B213" s="10511"/>
      <c r="C213" s="10514"/>
      <c r="D213" s="10435"/>
      <c r="E213" s="10435"/>
      <c r="F213" s="10435"/>
      <c r="G213" s="10435"/>
      <c r="H213" s="10435"/>
      <c r="I213" s="10435"/>
      <c r="J213" s="10435"/>
      <c r="K213" s="10435"/>
      <c r="L213" s="10435"/>
      <c r="M213" s="10438"/>
      <c r="N213" s="10438"/>
      <c r="O213" s="10438"/>
      <c r="P213" s="10435"/>
      <c r="Q213" s="10435"/>
      <c r="R213" s="10441"/>
      <c r="S213" s="5653"/>
      <c r="T213" s="5701"/>
      <c r="U213" s="5696"/>
      <c r="V213" s="2932"/>
      <c r="W213" s="5506"/>
      <c r="X213" s="2933"/>
      <c r="Y213" s="5792"/>
      <c r="Z213" s="5792"/>
      <c r="AA213" s="5792"/>
      <c r="AB213" s="5793"/>
      <c r="AC213" s="5821"/>
      <c r="AD213" s="3615"/>
      <c r="AE213" s="3614"/>
      <c r="AF213" s="3631"/>
      <c r="AG213" s="3631"/>
      <c r="AH213" s="10482"/>
    </row>
    <row r="214" spans="1:34" s="1001" customFormat="1" ht="30.75" customHeight="1">
      <c r="A214" s="9392"/>
      <c r="B214" s="10511"/>
      <c r="C214" s="10512" t="s">
        <v>127</v>
      </c>
      <c r="D214" s="10444" t="s">
        <v>128</v>
      </c>
      <c r="E214" s="10444" t="s">
        <v>129</v>
      </c>
      <c r="F214" s="10444" t="s">
        <v>130</v>
      </c>
      <c r="G214" s="10451" t="s">
        <v>131</v>
      </c>
      <c r="H214" s="10444" t="s">
        <v>132</v>
      </c>
      <c r="I214" s="10444" t="s">
        <v>189</v>
      </c>
      <c r="J214" s="10444" t="s">
        <v>1578</v>
      </c>
      <c r="K214" s="10448" t="s">
        <v>338</v>
      </c>
      <c r="L214" s="10444" t="s">
        <v>3668</v>
      </c>
      <c r="M214" s="10455">
        <v>1</v>
      </c>
      <c r="N214" s="10455">
        <v>1</v>
      </c>
      <c r="O214" s="10455">
        <v>1</v>
      </c>
      <c r="P214" s="10444" t="s">
        <v>3669</v>
      </c>
      <c r="Q214" s="10444" t="s">
        <v>3670</v>
      </c>
      <c r="R214" s="10449" t="s">
        <v>3671</v>
      </c>
      <c r="S214" s="5655"/>
      <c r="T214" s="5702"/>
      <c r="U214" s="5690"/>
      <c r="V214" s="3825"/>
      <c r="W214" s="5516"/>
      <c r="X214" s="3721"/>
      <c r="Y214" s="5800"/>
      <c r="Z214" s="5800"/>
      <c r="AA214" s="5800"/>
      <c r="AB214" s="5801"/>
      <c r="AC214" s="5840"/>
      <c r="AD214" s="3624"/>
      <c r="AE214" s="3625"/>
      <c r="AF214" s="3626"/>
      <c r="AG214" s="3626"/>
      <c r="AH214" s="10478"/>
    </row>
    <row r="215" spans="1:34" s="1001" customFormat="1" ht="36" customHeight="1">
      <c r="A215" s="9392"/>
      <c r="B215" s="10511"/>
      <c r="C215" s="10513"/>
      <c r="D215" s="10434"/>
      <c r="E215" s="10434"/>
      <c r="F215" s="10434"/>
      <c r="G215" s="10434"/>
      <c r="H215" s="10434"/>
      <c r="I215" s="10434"/>
      <c r="J215" s="10434"/>
      <c r="K215" s="10434"/>
      <c r="L215" s="10434"/>
      <c r="M215" s="10532"/>
      <c r="N215" s="10532"/>
      <c r="O215" s="10532"/>
      <c r="P215" s="10434"/>
      <c r="Q215" s="10434"/>
      <c r="R215" s="10440"/>
      <c r="S215" s="5643"/>
      <c r="T215" s="5697"/>
      <c r="U215" s="5681"/>
      <c r="V215" s="3495"/>
      <c r="W215" s="5499"/>
      <c r="X215" s="3496"/>
      <c r="Y215" s="5552"/>
      <c r="Z215" s="5552"/>
      <c r="AA215" s="5552"/>
      <c r="AB215" s="5553"/>
      <c r="AC215" s="5817"/>
      <c r="AD215" s="3581"/>
      <c r="AE215" s="3579"/>
      <c r="AF215" s="3583"/>
      <c r="AG215" s="3583"/>
      <c r="AH215" s="10479"/>
    </row>
    <row r="216" spans="1:34" s="1001" customFormat="1" ht="36" customHeight="1">
      <c r="A216" s="9392"/>
      <c r="B216" s="10511"/>
      <c r="C216" s="10513"/>
      <c r="D216" s="10434"/>
      <c r="E216" s="10434"/>
      <c r="F216" s="10434"/>
      <c r="G216" s="10434"/>
      <c r="H216" s="10434"/>
      <c r="I216" s="10434"/>
      <c r="J216" s="10434"/>
      <c r="K216" s="10434"/>
      <c r="L216" s="10434"/>
      <c r="M216" s="10532"/>
      <c r="N216" s="10532"/>
      <c r="O216" s="10532"/>
      <c r="P216" s="10434"/>
      <c r="Q216" s="10434"/>
      <c r="R216" s="10440"/>
      <c r="S216" s="5643"/>
      <c r="T216" s="5697"/>
      <c r="U216" s="5681"/>
      <c r="V216" s="3495"/>
      <c r="W216" s="5499"/>
      <c r="X216" s="3496"/>
      <c r="Y216" s="5552"/>
      <c r="Z216" s="5552"/>
      <c r="AA216" s="5552"/>
      <c r="AB216" s="5553"/>
      <c r="AC216" s="5817"/>
      <c r="AD216" s="3581"/>
      <c r="AE216" s="3579"/>
      <c r="AF216" s="3583"/>
      <c r="AG216" s="3583"/>
      <c r="AH216" s="10479"/>
    </row>
    <row r="217" spans="1:34" s="1001" customFormat="1" ht="36" customHeight="1">
      <c r="A217" s="9392"/>
      <c r="B217" s="10511"/>
      <c r="C217" s="10513"/>
      <c r="D217" s="10434"/>
      <c r="E217" s="10434"/>
      <c r="F217" s="10434"/>
      <c r="G217" s="10434"/>
      <c r="H217" s="10434"/>
      <c r="I217" s="10434"/>
      <c r="J217" s="10434"/>
      <c r="K217" s="10434"/>
      <c r="L217" s="10434"/>
      <c r="M217" s="10532"/>
      <c r="N217" s="10532"/>
      <c r="O217" s="10532"/>
      <c r="P217" s="10434"/>
      <c r="Q217" s="10434"/>
      <c r="R217" s="10440"/>
      <c r="S217" s="5643"/>
      <c r="T217" s="5697"/>
      <c r="U217" s="5681"/>
      <c r="V217" s="3495"/>
      <c r="W217" s="5499"/>
      <c r="X217" s="3496"/>
      <c r="Y217" s="5552"/>
      <c r="Z217" s="5552"/>
      <c r="AA217" s="5552"/>
      <c r="AB217" s="5553"/>
      <c r="AC217" s="5817"/>
      <c r="AD217" s="3581"/>
      <c r="AE217" s="3579"/>
      <c r="AF217" s="3583"/>
      <c r="AG217" s="3583"/>
      <c r="AH217" s="10479"/>
    </row>
    <row r="218" spans="1:34" s="1001" customFormat="1" ht="36" customHeight="1">
      <c r="A218" s="9392"/>
      <c r="B218" s="10511"/>
      <c r="C218" s="10514"/>
      <c r="D218" s="10435"/>
      <c r="E218" s="10435"/>
      <c r="F218" s="10435"/>
      <c r="G218" s="10435"/>
      <c r="H218" s="10435"/>
      <c r="I218" s="10435"/>
      <c r="J218" s="10435"/>
      <c r="K218" s="10435"/>
      <c r="L218" s="10435"/>
      <c r="M218" s="10533"/>
      <c r="N218" s="10533"/>
      <c r="O218" s="10533"/>
      <c r="P218" s="10435"/>
      <c r="Q218" s="10435"/>
      <c r="R218" s="10441"/>
      <c r="S218" s="5653"/>
      <c r="T218" s="5701"/>
      <c r="U218" s="5696"/>
      <c r="V218" s="3557"/>
      <c r="W218" s="5503"/>
      <c r="X218" s="3545"/>
      <c r="Y218" s="5558"/>
      <c r="Z218" s="5558"/>
      <c r="AA218" s="5558"/>
      <c r="AB218" s="5559"/>
      <c r="AC218" s="5830"/>
      <c r="AD218" s="3607"/>
      <c r="AE218" s="3606"/>
      <c r="AF218" s="3608"/>
      <c r="AG218" s="3608"/>
      <c r="AH218" s="10482"/>
    </row>
    <row r="219" spans="1:34" s="1001" customFormat="1" ht="22.5" customHeight="1">
      <c r="A219" s="9392"/>
      <c r="B219" s="9399"/>
      <c r="C219" s="10520"/>
      <c r="D219" s="10475"/>
      <c r="E219" s="10475"/>
      <c r="F219" s="10475"/>
      <c r="G219" s="10475"/>
      <c r="H219" s="10475"/>
      <c r="I219" s="10475"/>
      <c r="J219" s="10475"/>
      <c r="K219" s="10475"/>
      <c r="L219" s="10475"/>
      <c r="M219" s="10475"/>
      <c r="N219" s="10475"/>
      <c r="O219" s="10475"/>
      <c r="P219" s="10475"/>
      <c r="Q219" s="10475"/>
      <c r="R219" s="10521"/>
      <c r="S219" s="10471" t="s">
        <v>3672</v>
      </c>
      <c r="T219" s="10472"/>
      <c r="U219" s="10472"/>
      <c r="V219" s="10472"/>
      <c r="W219" s="10472"/>
      <c r="X219" s="10472"/>
      <c r="Y219" s="10472"/>
      <c r="Z219" s="10473"/>
      <c r="AA219" s="2941" t="s">
        <v>292</v>
      </c>
      <c r="AB219" s="5018">
        <f>SUM(AB159:AB218)</f>
        <v>3187.5540799999999</v>
      </c>
      <c r="AC219" s="5842"/>
      <c r="AD219" s="1742"/>
      <c r="AE219" s="10456"/>
      <c r="AF219" s="10540"/>
      <c r="AG219" s="10540"/>
      <c r="AH219" s="10457"/>
    </row>
    <row r="220" spans="1:34" s="1001" customFormat="1" ht="27" customHeight="1">
      <c r="A220" s="9392"/>
      <c r="B220" s="10519" t="s">
        <v>3673</v>
      </c>
      <c r="C220" s="10518" t="s">
        <v>127</v>
      </c>
      <c r="D220" s="10452" t="s">
        <v>128</v>
      </c>
      <c r="E220" s="10452" t="s">
        <v>129</v>
      </c>
      <c r="F220" s="10452" t="s">
        <v>268</v>
      </c>
      <c r="G220" s="10454" t="s">
        <v>131</v>
      </c>
      <c r="H220" s="10452" t="s">
        <v>132</v>
      </c>
      <c r="I220" s="10452" t="s">
        <v>214</v>
      </c>
      <c r="J220" s="10452" t="s">
        <v>3674</v>
      </c>
      <c r="K220" s="10452" t="s">
        <v>3675</v>
      </c>
      <c r="L220" s="10452" t="s">
        <v>3676</v>
      </c>
      <c r="M220" s="10488">
        <v>102</v>
      </c>
      <c r="N220" s="10488">
        <v>103</v>
      </c>
      <c r="O220" s="10488">
        <v>109</v>
      </c>
      <c r="P220" s="10452" t="s">
        <v>3677</v>
      </c>
      <c r="Q220" s="10477" t="s">
        <v>3678</v>
      </c>
      <c r="R220" s="10453" t="s">
        <v>3679</v>
      </c>
      <c r="S220" s="5669" t="s">
        <v>15</v>
      </c>
      <c r="T220" s="5689">
        <v>531407</v>
      </c>
      <c r="U220" s="5690"/>
      <c r="V220" s="3758" t="s">
        <v>1993</v>
      </c>
      <c r="W220" s="5504"/>
      <c r="X220" s="3658"/>
      <c r="Y220" s="5560"/>
      <c r="Z220" s="5560"/>
      <c r="AA220" s="5560"/>
      <c r="AB220" s="5561">
        <f>SUM(AA221)</f>
        <v>504.00000000000006</v>
      </c>
      <c r="AC220" s="5822" t="s">
        <v>18</v>
      </c>
      <c r="AD220" s="3636"/>
      <c r="AE220" s="3625"/>
      <c r="AF220" s="3626"/>
      <c r="AG220" s="3626"/>
      <c r="AH220" s="10535"/>
    </row>
    <row r="221" spans="1:34" s="1001" customFormat="1" ht="27" customHeight="1">
      <c r="A221" s="9392"/>
      <c r="B221" s="10511"/>
      <c r="C221" s="10513"/>
      <c r="D221" s="10434"/>
      <c r="E221" s="10434"/>
      <c r="F221" s="10434"/>
      <c r="G221" s="10434"/>
      <c r="H221" s="10434"/>
      <c r="I221" s="10434"/>
      <c r="J221" s="10434"/>
      <c r="K221" s="10434"/>
      <c r="L221" s="10434"/>
      <c r="M221" s="10437"/>
      <c r="N221" s="10437"/>
      <c r="O221" s="10437"/>
      <c r="P221" s="10434"/>
      <c r="Q221" s="10434"/>
      <c r="R221" s="10440"/>
      <c r="S221" s="5643"/>
      <c r="T221" s="5697"/>
      <c r="U221" s="5681">
        <v>461220011</v>
      </c>
      <c r="V221" s="3495" t="s">
        <v>574</v>
      </c>
      <c r="W221" s="5499">
        <v>5</v>
      </c>
      <c r="X221" s="3496" t="s">
        <v>180</v>
      </c>
      <c r="Y221" s="5552">
        <v>90</v>
      </c>
      <c r="Z221" s="5552">
        <f>+W221*Y221</f>
        <v>450</v>
      </c>
      <c r="AA221" s="5552">
        <f>+Z221*1.12</f>
        <v>504.00000000000006</v>
      </c>
      <c r="AB221" s="5553"/>
      <c r="AC221" s="5817"/>
      <c r="AD221" s="3581"/>
      <c r="AE221" s="3587" t="s">
        <v>153</v>
      </c>
      <c r="AF221" s="3590"/>
      <c r="AG221" s="3590"/>
      <c r="AH221" s="10536"/>
    </row>
    <row r="222" spans="1:34" s="1001" customFormat="1" ht="27" customHeight="1">
      <c r="A222" s="9392"/>
      <c r="B222" s="10511"/>
      <c r="C222" s="10513"/>
      <c r="D222" s="10434"/>
      <c r="E222" s="10434"/>
      <c r="F222" s="10434"/>
      <c r="G222" s="10434"/>
      <c r="H222" s="10434"/>
      <c r="I222" s="10434"/>
      <c r="J222" s="10434"/>
      <c r="K222" s="10434"/>
      <c r="L222" s="10434"/>
      <c r="M222" s="10437"/>
      <c r="N222" s="10437"/>
      <c r="O222" s="10437"/>
      <c r="P222" s="10434"/>
      <c r="Q222" s="10434"/>
      <c r="R222" s="10440"/>
      <c r="S222" s="5643"/>
      <c r="T222" s="5697"/>
      <c r="U222" s="5681"/>
      <c r="V222" s="3495"/>
      <c r="W222" s="5499"/>
      <c r="X222" s="3496"/>
      <c r="Y222" s="5552"/>
      <c r="Z222" s="5552"/>
      <c r="AA222" s="5552"/>
      <c r="AB222" s="5553"/>
      <c r="AC222" s="5817"/>
      <c r="AD222" s="3581"/>
      <c r="AE222" s="3587"/>
      <c r="AF222" s="3590"/>
      <c r="AG222" s="3590"/>
      <c r="AH222" s="10536"/>
    </row>
    <row r="223" spans="1:34" s="1001" customFormat="1" ht="27" customHeight="1">
      <c r="A223" s="9392"/>
      <c r="B223" s="10511"/>
      <c r="C223" s="10513"/>
      <c r="D223" s="10434"/>
      <c r="E223" s="10434"/>
      <c r="F223" s="10434"/>
      <c r="G223" s="10434"/>
      <c r="H223" s="10434"/>
      <c r="I223" s="10434"/>
      <c r="J223" s="10434"/>
      <c r="K223" s="10434"/>
      <c r="L223" s="10434"/>
      <c r="M223" s="10437"/>
      <c r="N223" s="10437"/>
      <c r="O223" s="10437"/>
      <c r="P223" s="10434"/>
      <c r="Q223" s="10434"/>
      <c r="R223" s="10440"/>
      <c r="S223" s="8035" t="s">
        <v>15</v>
      </c>
      <c r="T223" s="8036">
        <v>570218</v>
      </c>
      <c r="U223" s="8037"/>
      <c r="V223" s="8038" t="s">
        <v>3465</v>
      </c>
      <c r="W223" s="8039"/>
      <c r="X223" s="8040"/>
      <c r="Y223" s="8027"/>
      <c r="Z223" s="8027"/>
      <c r="AA223" s="8027"/>
      <c r="AB223" s="8041">
        <f>AA224</f>
        <v>5000</v>
      </c>
      <c r="AC223" s="8042" t="s">
        <v>18</v>
      </c>
      <c r="AD223" s="3581"/>
      <c r="AE223" s="3587"/>
      <c r="AF223" s="3590"/>
      <c r="AG223" s="3590"/>
      <c r="AH223" s="10536"/>
    </row>
    <row r="224" spans="1:34" s="1001" customFormat="1" ht="27" customHeight="1">
      <c r="A224" s="9392"/>
      <c r="B224" s="10511"/>
      <c r="C224" s="10515"/>
      <c r="D224" s="10445"/>
      <c r="E224" s="10445"/>
      <c r="F224" s="10445"/>
      <c r="G224" s="10445"/>
      <c r="H224" s="10445"/>
      <c r="I224" s="10445"/>
      <c r="J224" s="10445"/>
      <c r="K224" s="10445"/>
      <c r="L224" s="10445"/>
      <c r="M224" s="10447"/>
      <c r="N224" s="10447"/>
      <c r="O224" s="10447"/>
      <c r="P224" s="10445"/>
      <c r="Q224" s="10445"/>
      <c r="R224" s="10450"/>
      <c r="S224" s="8043"/>
      <c r="T224" s="8044"/>
      <c r="U224" s="8045"/>
      <c r="V224" s="8046"/>
      <c r="W224" s="8047">
        <v>1</v>
      </c>
      <c r="X224" s="8048" t="s">
        <v>1288</v>
      </c>
      <c r="Y224" s="8049">
        <f>3440+1560</f>
        <v>5000</v>
      </c>
      <c r="Z224" s="8049">
        <f>Y224</f>
        <v>5000</v>
      </c>
      <c r="AA224" s="8049">
        <f>Z224</f>
        <v>5000</v>
      </c>
      <c r="AB224" s="8050"/>
      <c r="AC224" s="8051"/>
      <c r="AD224" s="3619"/>
      <c r="AE224" s="3632"/>
      <c r="AF224" s="3634"/>
      <c r="AG224" s="3634" t="s">
        <v>153</v>
      </c>
      <c r="AH224" s="10537"/>
    </row>
    <row r="225" spans="1:34" s="1001" customFormat="1" ht="27" customHeight="1">
      <c r="A225" s="9392"/>
      <c r="B225" s="10511"/>
      <c r="C225" s="10516" t="s">
        <v>127</v>
      </c>
      <c r="D225" s="10433" t="s">
        <v>128</v>
      </c>
      <c r="E225" s="10433" t="s">
        <v>129</v>
      </c>
      <c r="F225" s="10433" t="s">
        <v>268</v>
      </c>
      <c r="G225" s="10442" t="s">
        <v>131</v>
      </c>
      <c r="H225" s="10433" t="s">
        <v>132</v>
      </c>
      <c r="I225" s="10433" t="s">
        <v>214</v>
      </c>
      <c r="J225" s="10433" t="s">
        <v>3680</v>
      </c>
      <c r="K225" s="10433" t="s">
        <v>3681</v>
      </c>
      <c r="L225" s="10433" t="s">
        <v>3682</v>
      </c>
      <c r="M225" s="10470">
        <v>7</v>
      </c>
      <c r="N225" s="10470">
        <v>16</v>
      </c>
      <c r="O225" s="10470">
        <v>18</v>
      </c>
      <c r="P225" s="10433" t="s">
        <v>3683</v>
      </c>
      <c r="Q225" s="10443" t="s">
        <v>3684</v>
      </c>
      <c r="R225" s="10439" t="s">
        <v>3685</v>
      </c>
      <c r="S225" s="5671"/>
      <c r="T225" s="5700"/>
      <c r="U225" s="5685"/>
      <c r="V225" s="5765"/>
      <c r="W225" s="5505"/>
      <c r="X225" s="2930"/>
      <c r="Y225" s="5798"/>
      <c r="Z225" s="5798"/>
      <c r="AA225" s="5798"/>
      <c r="AB225" s="5799"/>
      <c r="AC225" s="5839"/>
      <c r="AD225" s="3628"/>
      <c r="AE225" s="3600"/>
      <c r="AF225" s="3638"/>
      <c r="AG225" s="3638"/>
      <c r="AH225" s="10538"/>
    </row>
    <row r="226" spans="1:34" s="1001" customFormat="1" ht="27" customHeight="1">
      <c r="A226" s="9392"/>
      <c r="B226" s="10511"/>
      <c r="C226" s="10513"/>
      <c r="D226" s="10434"/>
      <c r="E226" s="10434"/>
      <c r="F226" s="10434"/>
      <c r="G226" s="10434"/>
      <c r="H226" s="10434"/>
      <c r="I226" s="10434"/>
      <c r="J226" s="10434"/>
      <c r="K226" s="10434"/>
      <c r="L226" s="10434"/>
      <c r="M226" s="10437"/>
      <c r="N226" s="10437"/>
      <c r="O226" s="10437"/>
      <c r="P226" s="10434"/>
      <c r="Q226" s="10434"/>
      <c r="R226" s="10440"/>
      <c r="S226" s="5643"/>
      <c r="T226" s="5697"/>
      <c r="U226" s="5681"/>
      <c r="V226" s="3495"/>
      <c r="W226" s="5500"/>
      <c r="X226" s="3504"/>
      <c r="Y226" s="5790"/>
      <c r="Z226" s="5790"/>
      <c r="AA226" s="5790"/>
      <c r="AB226" s="5791"/>
      <c r="AC226" s="5820"/>
      <c r="AD226" s="3589"/>
      <c r="AE226" s="3587"/>
      <c r="AF226" s="3587"/>
      <c r="AG226" s="3594"/>
      <c r="AH226" s="10536"/>
    </row>
    <row r="227" spans="1:34" s="1001" customFormat="1" ht="27" customHeight="1">
      <c r="A227" s="9392"/>
      <c r="B227" s="10511"/>
      <c r="C227" s="10513"/>
      <c r="D227" s="10434"/>
      <c r="E227" s="10434"/>
      <c r="F227" s="10434"/>
      <c r="G227" s="10434"/>
      <c r="H227" s="10434"/>
      <c r="I227" s="10434"/>
      <c r="J227" s="10434"/>
      <c r="K227" s="10434"/>
      <c r="L227" s="10434"/>
      <c r="M227" s="10437"/>
      <c r="N227" s="10437"/>
      <c r="O227" s="10437"/>
      <c r="P227" s="10434"/>
      <c r="Q227" s="10434"/>
      <c r="R227" s="10440"/>
      <c r="S227" s="5643"/>
      <c r="T227" s="5697"/>
      <c r="U227" s="5681"/>
      <c r="V227" s="3495"/>
      <c r="W227" s="5500"/>
      <c r="X227" s="3504"/>
      <c r="Y227" s="5790"/>
      <c r="Z227" s="5790"/>
      <c r="AA227" s="5790"/>
      <c r="AB227" s="5791"/>
      <c r="AC227" s="5820"/>
      <c r="AD227" s="3589"/>
      <c r="AE227" s="3587"/>
      <c r="AF227" s="3587"/>
      <c r="AG227" s="3590"/>
      <c r="AH227" s="10536"/>
    </row>
    <row r="228" spans="1:34" s="1001" customFormat="1" ht="27" customHeight="1">
      <c r="A228" s="9392"/>
      <c r="B228" s="10511"/>
      <c r="C228" s="10513"/>
      <c r="D228" s="10434"/>
      <c r="E228" s="10434"/>
      <c r="F228" s="10434"/>
      <c r="G228" s="10434"/>
      <c r="H228" s="10434"/>
      <c r="I228" s="10434"/>
      <c r="J228" s="10434"/>
      <c r="K228" s="10434"/>
      <c r="L228" s="10434"/>
      <c r="M228" s="10437"/>
      <c r="N228" s="10437"/>
      <c r="O228" s="10437"/>
      <c r="P228" s="10434"/>
      <c r="Q228" s="10434"/>
      <c r="R228" s="10440"/>
      <c r="S228" s="5644"/>
      <c r="T228" s="5698"/>
      <c r="U228" s="5681"/>
      <c r="V228" s="3542"/>
      <c r="W228" s="5500"/>
      <c r="X228" s="3504"/>
      <c r="Y228" s="5790"/>
      <c r="Z228" s="5790"/>
      <c r="AA228" s="5790"/>
      <c r="AB228" s="5791"/>
      <c r="AC228" s="5820"/>
      <c r="AD228" s="3589"/>
      <c r="AE228" s="3587"/>
      <c r="AF228" s="3587"/>
      <c r="AG228" s="3590"/>
      <c r="AH228" s="10536"/>
    </row>
    <row r="229" spans="1:34" s="1001" customFormat="1" ht="27" customHeight="1">
      <c r="A229" s="9392"/>
      <c r="B229" s="10511"/>
      <c r="C229" s="10514"/>
      <c r="D229" s="10435"/>
      <c r="E229" s="10435"/>
      <c r="F229" s="10435"/>
      <c r="G229" s="10435"/>
      <c r="H229" s="10435"/>
      <c r="I229" s="10435"/>
      <c r="J229" s="10435"/>
      <c r="K229" s="10435"/>
      <c r="L229" s="10435"/>
      <c r="M229" s="10438"/>
      <c r="N229" s="10438"/>
      <c r="O229" s="10438"/>
      <c r="P229" s="10435"/>
      <c r="Q229" s="10435"/>
      <c r="R229" s="10441"/>
      <c r="S229" s="5653"/>
      <c r="T229" s="5701"/>
      <c r="U229" s="5696"/>
      <c r="V229" s="3557"/>
      <c r="W229" s="5506"/>
      <c r="X229" s="2933"/>
      <c r="Y229" s="5792"/>
      <c r="Z229" s="5792"/>
      <c r="AA229" s="5792"/>
      <c r="AB229" s="5793"/>
      <c r="AC229" s="5821"/>
      <c r="AD229" s="3615"/>
      <c r="AE229" s="3614"/>
      <c r="AF229" s="3614"/>
      <c r="AG229" s="3631"/>
      <c r="AH229" s="10539"/>
    </row>
    <row r="230" spans="1:34" s="1001" customFormat="1" ht="27" customHeight="1">
      <c r="A230" s="9392"/>
      <c r="B230" s="10511"/>
      <c r="C230" s="10512" t="s">
        <v>127</v>
      </c>
      <c r="D230" s="10444" t="s">
        <v>128</v>
      </c>
      <c r="E230" s="10444" t="s">
        <v>129</v>
      </c>
      <c r="F230" s="10444" t="s">
        <v>268</v>
      </c>
      <c r="G230" s="10451" t="s">
        <v>131</v>
      </c>
      <c r="H230" s="10444" t="s">
        <v>132</v>
      </c>
      <c r="I230" s="10444" t="s">
        <v>214</v>
      </c>
      <c r="J230" s="10444" t="s">
        <v>3686</v>
      </c>
      <c r="K230" s="10444" t="s">
        <v>3687</v>
      </c>
      <c r="L230" s="10444" t="s">
        <v>3688</v>
      </c>
      <c r="M230" s="10455">
        <v>10</v>
      </c>
      <c r="N230" s="10455">
        <v>10</v>
      </c>
      <c r="O230" s="10455">
        <v>10</v>
      </c>
      <c r="P230" s="10444" t="s">
        <v>3689</v>
      </c>
      <c r="Q230" s="10448" t="s">
        <v>3690</v>
      </c>
      <c r="R230" s="10449" t="s">
        <v>3691</v>
      </c>
      <c r="S230" s="5670"/>
      <c r="T230" s="5702"/>
      <c r="U230" s="5690"/>
      <c r="V230" s="3758"/>
      <c r="W230" s="5504"/>
      <c r="X230" s="3658"/>
      <c r="Y230" s="5560"/>
      <c r="Z230" s="5560"/>
      <c r="AA230" s="5560"/>
      <c r="AB230" s="5561"/>
      <c r="AC230" s="5831"/>
      <c r="AD230" s="3636"/>
      <c r="AE230" s="3623"/>
      <c r="AF230" s="3627"/>
      <c r="AG230" s="3627"/>
      <c r="AH230" s="10478"/>
    </row>
    <row r="231" spans="1:34" s="1001" customFormat="1" ht="27" customHeight="1">
      <c r="A231" s="9392"/>
      <c r="B231" s="10511"/>
      <c r="C231" s="10513"/>
      <c r="D231" s="10434"/>
      <c r="E231" s="10434"/>
      <c r="F231" s="10434"/>
      <c r="G231" s="10434"/>
      <c r="H231" s="10434"/>
      <c r="I231" s="10434"/>
      <c r="J231" s="10434"/>
      <c r="K231" s="10434"/>
      <c r="L231" s="10434"/>
      <c r="M231" s="10437"/>
      <c r="N231" s="10437"/>
      <c r="O231" s="10437"/>
      <c r="P231" s="10434"/>
      <c r="Q231" s="10434"/>
      <c r="R231" s="10440"/>
      <c r="S231" s="5643"/>
      <c r="T231" s="5697"/>
      <c r="U231" s="5681"/>
      <c r="V231" s="3495"/>
      <c r="W231" s="5499"/>
      <c r="X231" s="3496"/>
      <c r="Y231" s="5552"/>
      <c r="Z231" s="5552"/>
      <c r="AA231" s="5552"/>
      <c r="AB231" s="5553"/>
      <c r="AC231" s="5817"/>
      <c r="AD231" s="3581"/>
      <c r="AE231" s="3579"/>
      <c r="AF231" s="3583"/>
      <c r="AG231" s="3583"/>
      <c r="AH231" s="10479"/>
    </row>
    <row r="232" spans="1:34" s="1001" customFormat="1" ht="27" customHeight="1">
      <c r="A232" s="9392"/>
      <c r="B232" s="10511"/>
      <c r="C232" s="10513"/>
      <c r="D232" s="10434"/>
      <c r="E232" s="10434"/>
      <c r="F232" s="10434"/>
      <c r="G232" s="10434"/>
      <c r="H232" s="10434"/>
      <c r="I232" s="10434"/>
      <c r="J232" s="10434"/>
      <c r="K232" s="10434"/>
      <c r="L232" s="10434"/>
      <c r="M232" s="10437"/>
      <c r="N232" s="10437"/>
      <c r="O232" s="10437"/>
      <c r="P232" s="10434"/>
      <c r="Q232" s="10434"/>
      <c r="R232" s="10440"/>
      <c r="S232" s="5643"/>
      <c r="T232" s="5697"/>
      <c r="U232" s="5681"/>
      <c r="V232" s="3495"/>
      <c r="W232" s="5499"/>
      <c r="X232" s="3496"/>
      <c r="Y232" s="5552"/>
      <c r="Z232" s="5552"/>
      <c r="AA232" s="5552"/>
      <c r="AB232" s="5553"/>
      <c r="AC232" s="5817"/>
      <c r="AD232" s="3581"/>
      <c r="AE232" s="3579"/>
      <c r="AF232" s="3583"/>
      <c r="AG232" s="3583"/>
      <c r="AH232" s="10479"/>
    </row>
    <row r="233" spans="1:34" s="1001" customFormat="1" ht="27" customHeight="1">
      <c r="A233" s="9392"/>
      <c r="B233" s="10511"/>
      <c r="C233" s="10513"/>
      <c r="D233" s="10434"/>
      <c r="E233" s="10434"/>
      <c r="F233" s="10434"/>
      <c r="G233" s="10434"/>
      <c r="H233" s="10434"/>
      <c r="I233" s="10434"/>
      <c r="J233" s="10434"/>
      <c r="K233" s="10434"/>
      <c r="L233" s="10434"/>
      <c r="M233" s="10437"/>
      <c r="N233" s="10437"/>
      <c r="O233" s="10437"/>
      <c r="P233" s="10434"/>
      <c r="Q233" s="10434"/>
      <c r="R233" s="10440"/>
      <c r="S233" s="5643"/>
      <c r="T233" s="5697"/>
      <c r="U233" s="5681"/>
      <c r="V233" s="3495"/>
      <c r="W233" s="5499"/>
      <c r="X233" s="3496"/>
      <c r="Y233" s="5552"/>
      <c r="Z233" s="5552"/>
      <c r="AA233" s="5552"/>
      <c r="AB233" s="5553"/>
      <c r="AC233" s="5817"/>
      <c r="AD233" s="3581"/>
      <c r="AE233" s="3579"/>
      <c r="AF233" s="3583"/>
      <c r="AG233" s="3583"/>
      <c r="AH233" s="10479"/>
    </row>
    <row r="234" spans="1:34" s="1001" customFormat="1" ht="27" customHeight="1">
      <c r="A234" s="9392"/>
      <c r="B234" s="10511"/>
      <c r="C234" s="10515"/>
      <c r="D234" s="10445"/>
      <c r="E234" s="10445"/>
      <c r="F234" s="10445"/>
      <c r="G234" s="10445"/>
      <c r="H234" s="10445"/>
      <c r="I234" s="10445"/>
      <c r="J234" s="10445"/>
      <c r="K234" s="10445"/>
      <c r="L234" s="10445"/>
      <c r="M234" s="10447"/>
      <c r="N234" s="10447"/>
      <c r="O234" s="10447"/>
      <c r="P234" s="10445"/>
      <c r="Q234" s="10445"/>
      <c r="R234" s="10450"/>
      <c r="S234" s="5646"/>
      <c r="T234" s="5699"/>
      <c r="U234" s="5683"/>
      <c r="V234" s="3759"/>
      <c r="W234" s="5509"/>
      <c r="X234" s="3714"/>
      <c r="Y234" s="5554"/>
      <c r="Z234" s="5554"/>
      <c r="AA234" s="5554"/>
      <c r="AB234" s="5555"/>
      <c r="AC234" s="5818"/>
      <c r="AD234" s="3619"/>
      <c r="AE234" s="3617"/>
      <c r="AF234" s="3621"/>
      <c r="AG234" s="3621"/>
      <c r="AH234" s="10480"/>
    </row>
    <row r="235" spans="1:34" s="1001" customFormat="1" ht="27" customHeight="1">
      <c r="A235" s="9392"/>
      <c r="B235" s="10511"/>
      <c r="C235" s="10516" t="s">
        <v>127</v>
      </c>
      <c r="D235" s="10433" t="s">
        <v>128</v>
      </c>
      <c r="E235" s="10433" t="s">
        <v>129</v>
      </c>
      <c r="F235" s="10433" t="s">
        <v>268</v>
      </c>
      <c r="G235" s="10442" t="s">
        <v>131</v>
      </c>
      <c r="H235" s="10433" t="s">
        <v>132</v>
      </c>
      <c r="I235" s="10433" t="s">
        <v>214</v>
      </c>
      <c r="J235" s="10433" t="s">
        <v>3692</v>
      </c>
      <c r="K235" s="10433" t="s">
        <v>3693</v>
      </c>
      <c r="L235" s="10433" t="s">
        <v>3694</v>
      </c>
      <c r="M235" s="10470">
        <v>40</v>
      </c>
      <c r="N235" s="10470">
        <v>40</v>
      </c>
      <c r="O235" s="10470">
        <v>40</v>
      </c>
      <c r="P235" s="10433" t="s">
        <v>3695</v>
      </c>
      <c r="Q235" s="10443" t="s">
        <v>3696</v>
      </c>
      <c r="R235" s="10439" t="s">
        <v>3697</v>
      </c>
      <c r="S235" s="5671"/>
      <c r="T235" s="5700"/>
      <c r="U235" s="5685"/>
      <c r="V235" s="5765"/>
      <c r="W235" s="5502"/>
      <c r="X235" s="3709"/>
      <c r="Y235" s="5556"/>
      <c r="Z235" s="5556"/>
      <c r="AA235" s="5556"/>
      <c r="AB235" s="5557"/>
      <c r="AC235" s="5819"/>
      <c r="AD235" s="3599"/>
      <c r="AE235" s="3598"/>
      <c r="AF235" s="3630"/>
      <c r="AG235" s="3630"/>
      <c r="AH235" s="10481"/>
    </row>
    <row r="236" spans="1:34" s="1001" customFormat="1" ht="27" customHeight="1">
      <c r="A236" s="9392"/>
      <c r="B236" s="10511"/>
      <c r="C236" s="10513"/>
      <c r="D236" s="10434"/>
      <c r="E236" s="10434"/>
      <c r="F236" s="10434"/>
      <c r="G236" s="10434"/>
      <c r="H236" s="10434"/>
      <c r="I236" s="10434"/>
      <c r="J236" s="10434"/>
      <c r="K236" s="10434"/>
      <c r="L236" s="10434"/>
      <c r="M236" s="10437"/>
      <c r="N236" s="10437"/>
      <c r="O236" s="10437"/>
      <c r="P236" s="10434"/>
      <c r="Q236" s="10434"/>
      <c r="R236" s="10440"/>
      <c r="S236" s="5643"/>
      <c r="T236" s="5697"/>
      <c r="U236" s="5681"/>
      <c r="V236" s="3495"/>
      <c r="W236" s="5499"/>
      <c r="X236" s="3496"/>
      <c r="Y236" s="5552"/>
      <c r="Z236" s="5552"/>
      <c r="AA236" s="5552"/>
      <c r="AB236" s="5553"/>
      <c r="AC236" s="5817"/>
      <c r="AD236" s="3581"/>
      <c r="AE236" s="3579"/>
      <c r="AF236" s="3583"/>
      <c r="AG236" s="3583"/>
      <c r="AH236" s="10479"/>
    </row>
    <row r="237" spans="1:34" s="1001" customFormat="1" ht="27" customHeight="1">
      <c r="A237" s="9392"/>
      <c r="B237" s="10511"/>
      <c r="C237" s="10513"/>
      <c r="D237" s="10434"/>
      <c r="E237" s="10434"/>
      <c r="F237" s="10434"/>
      <c r="G237" s="10434"/>
      <c r="H237" s="10434"/>
      <c r="I237" s="10434"/>
      <c r="J237" s="10434"/>
      <c r="K237" s="10434"/>
      <c r="L237" s="10434"/>
      <c r="M237" s="10437"/>
      <c r="N237" s="10437"/>
      <c r="O237" s="10437"/>
      <c r="P237" s="10434"/>
      <c r="Q237" s="10434"/>
      <c r="R237" s="10440"/>
      <c r="S237" s="5644"/>
      <c r="T237" s="5698"/>
      <c r="U237" s="5681"/>
      <c r="V237" s="3542"/>
      <c r="W237" s="5499"/>
      <c r="X237" s="3496"/>
      <c r="Y237" s="5552"/>
      <c r="Z237" s="5552"/>
      <c r="AA237" s="5552"/>
      <c r="AB237" s="5553"/>
      <c r="AC237" s="5817"/>
      <c r="AD237" s="3581"/>
      <c r="AE237" s="3579"/>
      <c r="AF237" s="3583"/>
      <c r="AG237" s="3583"/>
      <c r="AH237" s="10479"/>
    </row>
    <row r="238" spans="1:34" s="1001" customFormat="1" ht="27" customHeight="1">
      <c r="A238" s="9392"/>
      <c r="B238" s="10511"/>
      <c r="C238" s="10513"/>
      <c r="D238" s="10434"/>
      <c r="E238" s="10434"/>
      <c r="F238" s="10434"/>
      <c r="G238" s="10434"/>
      <c r="H238" s="10434"/>
      <c r="I238" s="10434"/>
      <c r="J238" s="10434"/>
      <c r="K238" s="10434"/>
      <c r="L238" s="10434"/>
      <c r="M238" s="10437"/>
      <c r="N238" s="10437"/>
      <c r="O238" s="10437"/>
      <c r="P238" s="10434"/>
      <c r="Q238" s="10434"/>
      <c r="R238" s="10440"/>
      <c r="S238" s="5643"/>
      <c r="T238" s="5697"/>
      <c r="U238" s="5681"/>
      <c r="V238" s="3495"/>
      <c r="W238" s="5499"/>
      <c r="X238" s="3496"/>
      <c r="Y238" s="5552"/>
      <c r="Z238" s="5552"/>
      <c r="AA238" s="5552"/>
      <c r="AB238" s="5553"/>
      <c r="AC238" s="5817"/>
      <c r="AD238" s="3581"/>
      <c r="AE238" s="3579"/>
      <c r="AF238" s="3583"/>
      <c r="AG238" s="3583"/>
      <c r="AH238" s="10479"/>
    </row>
    <row r="239" spans="1:34" s="1001" customFormat="1" ht="27" customHeight="1">
      <c r="A239" s="9392"/>
      <c r="B239" s="10511"/>
      <c r="C239" s="10514"/>
      <c r="D239" s="10435"/>
      <c r="E239" s="10435"/>
      <c r="F239" s="10435"/>
      <c r="G239" s="10435"/>
      <c r="H239" s="10435"/>
      <c r="I239" s="10435"/>
      <c r="J239" s="10435"/>
      <c r="K239" s="10435"/>
      <c r="L239" s="10435"/>
      <c r="M239" s="10438"/>
      <c r="N239" s="10438"/>
      <c r="O239" s="10438"/>
      <c r="P239" s="10435"/>
      <c r="Q239" s="10435"/>
      <c r="R239" s="10441"/>
      <c r="S239" s="5653"/>
      <c r="T239" s="5701"/>
      <c r="U239" s="5696"/>
      <c r="V239" s="3557"/>
      <c r="W239" s="5503"/>
      <c r="X239" s="3545"/>
      <c r="Y239" s="5558"/>
      <c r="Z239" s="5558"/>
      <c r="AA239" s="5558"/>
      <c r="AB239" s="5559"/>
      <c r="AC239" s="5830"/>
      <c r="AD239" s="3607"/>
      <c r="AE239" s="3606"/>
      <c r="AF239" s="3608"/>
      <c r="AG239" s="3608"/>
      <c r="AH239" s="10482"/>
    </row>
    <row r="240" spans="1:34" s="1001" customFormat="1" ht="27" customHeight="1">
      <c r="A240" s="9392"/>
      <c r="B240" s="10511"/>
      <c r="C240" s="10512" t="s">
        <v>127</v>
      </c>
      <c r="D240" s="10444" t="s">
        <v>128</v>
      </c>
      <c r="E240" s="10444" t="s">
        <v>129</v>
      </c>
      <c r="F240" s="10444" t="s">
        <v>268</v>
      </c>
      <c r="G240" s="10451" t="s">
        <v>131</v>
      </c>
      <c r="H240" s="10444" t="s">
        <v>132</v>
      </c>
      <c r="I240" s="10444" t="s">
        <v>214</v>
      </c>
      <c r="J240" s="10444" t="s">
        <v>3698</v>
      </c>
      <c r="K240" s="10448" t="s">
        <v>3518</v>
      </c>
      <c r="L240" s="10444" t="s">
        <v>3699</v>
      </c>
      <c r="M240" s="10455">
        <v>3</v>
      </c>
      <c r="N240" s="10455">
        <v>4</v>
      </c>
      <c r="O240" s="10455">
        <v>4</v>
      </c>
      <c r="P240" s="10444" t="s">
        <v>3700</v>
      </c>
      <c r="Q240" s="10448" t="s">
        <v>3701</v>
      </c>
      <c r="R240" s="10449" t="s">
        <v>3702</v>
      </c>
      <c r="S240" s="5670"/>
      <c r="T240" s="5702"/>
      <c r="U240" s="5690"/>
      <c r="V240" s="3758"/>
      <c r="W240" s="5504"/>
      <c r="X240" s="3658"/>
      <c r="Y240" s="5560"/>
      <c r="Z240" s="5560"/>
      <c r="AA240" s="5560"/>
      <c r="AB240" s="5561"/>
      <c r="AC240" s="5831"/>
      <c r="AD240" s="3636"/>
      <c r="AE240" s="3623"/>
      <c r="AF240" s="3627"/>
      <c r="AG240" s="3627"/>
      <c r="AH240" s="10478"/>
    </row>
    <row r="241" spans="1:34" s="1001" customFormat="1" ht="27" customHeight="1">
      <c r="A241" s="9392"/>
      <c r="B241" s="10511"/>
      <c r="C241" s="10513"/>
      <c r="D241" s="10434"/>
      <c r="E241" s="10434"/>
      <c r="F241" s="10434"/>
      <c r="G241" s="10434"/>
      <c r="H241" s="10434"/>
      <c r="I241" s="10434"/>
      <c r="J241" s="10434"/>
      <c r="K241" s="10434"/>
      <c r="L241" s="10434"/>
      <c r="M241" s="10437"/>
      <c r="N241" s="10437"/>
      <c r="O241" s="10437"/>
      <c r="P241" s="10434"/>
      <c r="Q241" s="10434"/>
      <c r="R241" s="10440"/>
      <c r="S241" s="5643"/>
      <c r="T241" s="5697"/>
      <c r="U241" s="5681"/>
      <c r="V241" s="3495"/>
      <c r="W241" s="5499"/>
      <c r="X241" s="3496"/>
      <c r="Y241" s="5552"/>
      <c r="Z241" s="5552"/>
      <c r="AA241" s="5552"/>
      <c r="AB241" s="5553"/>
      <c r="AC241" s="5817"/>
      <c r="AD241" s="3581"/>
      <c r="AE241" s="3579"/>
      <c r="AF241" s="3583"/>
      <c r="AG241" s="3583"/>
      <c r="AH241" s="10479"/>
    </row>
    <row r="242" spans="1:34" s="1001" customFormat="1" ht="27" customHeight="1">
      <c r="A242" s="9392"/>
      <c r="B242" s="10511"/>
      <c r="C242" s="10513"/>
      <c r="D242" s="10434"/>
      <c r="E242" s="10434"/>
      <c r="F242" s="10434"/>
      <c r="G242" s="10434"/>
      <c r="H242" s="10434"/>
      <c r="I242" s="10434"/>
      <c r="J242" s="10434"/>
      <c r="K242" s="10434"/>
      <c r="L242" s="10434"/>
      <c r="M242" s="10437"/>
      <c r="N242" s="10437"/>
      <c r="O242" s="10437"/>
      <c r="P242" s="10434"/>
      <c r="Q242" s="10434"/>
      <c r="R242" s="10440"/>
      <c r="S242" s="5644"/>
      <c r="T242" s="5698"/>
      <c r="U242" s="5681"/>
      <c r="V242" s="5766"/>
      <c r="W242" s="5499"/>
      <c r="X242" s="3496"/>
      <c r="Y242" s="5552"/>
      <c r="Z242" s="5552"/>
      <c r="AA242" s="5552"/>
      <c r="AB242" s="5553"/>
      <c r="AC242" s="5817"/>
      <c r="AD242" s="3581"/>
      <c r="AE242" s="3579"/>
      <c r="AF242" s="3583"/>
      <c r="AG242" s="3583"/>
      <c r="AH242" s="10479"/>
    </row>
    <row r="243" spans="1:34" s="1001" customFormat="1" ht="27" customHeight="1">
      <c r="A243" s="9392"/>
      <c r="B243" s="10511"/>
      <c r="C243" s="10513"/>
      <c r="D243" s="10434"/>
      <c r="E243" s="10434"/>
      <c r="F243" s="10434"/>
      <c r="G243" s="10434"/>
      <c r="H243" s="10434"/>
      <c r="I243" s="10434"/>
      <c r="J243" s="10434"/>
      <c r="K243" s="10434"/>
      <c r="L243" s="10434"/>
      <c r="M243" s="10437"/>
      <c r="N243" s="10437"/>
      <c r="O243" s="10437"/>
      <c r="P243" s="10434"/>
      <c r="Q243" s="10434"/>
      <c r="R243" s="10440"/>
      <c r="S243" s="5643"/>
      <c r="T243" s="5697"/>
      <c r="U243" s="5681"/>
      <c r="V243" s="3495"/>
      <c r="W243" s="5499"/>
      <c r="X243" s="3496"/>
      <c r="Y243" s="5552"/>
      <c r="Z243" s="5552"/>
      <c r="AA243" s="5552"/>
      <c r="AB243" s="5553"/>
      <c r="AC243" s="5817"/>
      <c r="AD243" s="3581"/>
      <c r="AE243" s="3579"/>
      <c r="AF243" s="3583"/>
      <c r="AG243" s="3583"/>
      <c r="AH243" s="10479"/>
    </row>
    <row r="244" spans="1:34" s="1001" customFormat="1" ht="27" customHeight="1">
      <c r="A244" s="9392"/>
      <c r="B244" s="10511"/>
      <c r="C244" s="10515"/>
      <c r="D244" s="10445"/>
      <c r="E244" s="10445"/>
      <c r="F244" s="10445"/>
      <c r="G244" s="10445"/>
      <c r="H244" s="10445"/>
      <c r="I244" s="10445"/>
      <c r="J244" s="10445"/>
      <c r="K244" s="10445"/>
      <c r="L244" s="10445"/>
      <c r="M244" s="10447"/>
      <c r="N244" s="10447"/>
      <c r="O244" s="10447"/>
      <c r="P244" s="10445"/>
      <c r="Q244" s="10445"/>
      <c r="R244" s="10450"/>
      <c r="S244" s="5646"/>
      <c r="T244" s="5699"/>
      <c r="U244" s="5683"/>
      <c r="V244" s="3759"/>
      <c r="W244" s="5509"/>
      <c r="X244" s="3714"/>
      <c r="Y244" s="5554"/>
      <c r="Z244" s="5554"/>
      <c r="AA244" s="5554"/>
      <c r="AB244" s="5555"/>
      <c r="AC244" s="5818"/>
      <c r="AD244" s="3619"/>
      <c r="AE244" s="3617"/>
      <c r="AF244" s="3621"/>
      <c r="AG244" s="3621"/>
      <c r="AH244" s="10480"/>
    </row>
    <row r="245" spans="1:34" s="1001" customFormat="1" ht="28.5" customHeight="1">
      <c r="A245" s="9392"/>
      <c r="B245" s="10511"/>
      <c r="C245" s="10516" t="s">
        <v>127</v>
      </c>
      <c r="D245" s="10433" t="s">
        <v>128</v>
      </c>
      <c r="E245" s="10433" t="s">
        <v>129</v>
      </c>
      <c r="F245" s="10433" t="s">
        <v>268</v>
      </c>
      <c r="G245" s="10442" t="s">
        <v>131</v>
      </c>
      <c r="H245" s="10433" t="s">
        <v>132</v>
      </c>
      <c r="I245" s="10433" t="s">
        <v>214</v>
      </c>
      <c r="J245" s="10433" t="s">
        <v>3703</v>
      </c>
      <c r="K245" s="10433" t="s">
        <v>3467</v>
      </c>
      <c r="L245" s="10433" t="s">
        <v>3704</v>
      </c>
      <c r="M245" s="10470">
        <v>0</v>
      </c>
      <c r="N245" s="10470">
        <v>1</v>
      </c>
      <c r="O245" s="10470">
        <v>1</v>
      </c>
      <c r="P245" s="10433" t="s">
        <v>3705</v>
      </c>
      <c r="Q245" s="10443" t="s">
        <v>3706</v>
      </c>
      <c r="R245" s="10439" t="s">
        <v>3707</v>
      </c>
      <c r="S245" s="5671"/>
      <c r="T245" s="5700"/>
      <c r="U245" s="5685"/>
      <c r="V245" s="3762"/>
      <c r="W245" s="5502"/>
      <c r="X245" s="3709"/>
      <c r="Y245" s="5556"/>
      <c r="Z245" s="5556"/>
      <c r="AA245" s="5556"/>
      <c r="AB245" s="5557"/>
      <c r="AC245" s="5819"/>
      <c r="AD245" s="3599"/>
      <c r="AE245" s="3598"/>
      <c r="AF245" s="3630"/>
      <c r="AG245" s="3630"/>
      <c r="AH245" s="10481"/>
    </row>
    <row r="246" spans="1:34" s="1001" customFormat="1" ht="28.5" customHeight="1">
      <c r="A246" s="9392"/>
      <c r="B246" s="10511"/>
      <c r="C246" s="10513"/>
      <c r="D246" s="10434"/>
      <c r="E246" s="10434"/>
      <c r="F246" s="10434"/>
      <c r="G246" s="10434"/>
      <c r="H246" s="10434"/>
      <c r="I246" s="10434"/>
      <c r="J246" s="10434"/>
      <c r="K246" s="10434"/>
      <c r="L246" s="10434"/>
      <c r="M246" s="10437"/>
      <c r="N246" s="10437"/>
      <c r="O246" s="10437"/>
      <c r="P246" s="10434"/>
      <c r="Q246" s="10434"/>
      <c r="R246" s="10440"/>
      <c r="S246" s="5643"/>
      <c r="T246" s="5697"/>
      <c r="U246" s="5681"/>
      <c r="V246" s="3495"/>
      <c r="W246" s="5499"/>
      <c r="X246" s="3496"/>
      <c r="Y246" s="5552"/>
      <c r="Z246" s="5552"/>
      <c r="AA246" s="5552"/>
      <c r="AB246" s="5553"/>
      <c r="AC246" s="5817"/>
      <c r="AD246" s="3581"/>
      <c r="AE246" s="3579"/>
      <c r="AF246" s="3583"/>
      <c r="AG246" s="3583"/>
      <c r="AH246" s="10479"/>
    </row>
    <row r="247" spans="1:34" s="1001" customFormat="1" ht="28.5" customHeight="1">
      <c r="A247" s="9392"/>
      <c r="B247" s="10511"/>
      <c r="C247" s="10513"/>
      <c r="D247" s="10434"/>
      <c r="E247" s="10434"/>
      <c r="F247" s="10434"/>
      <c r="G247" s="10434"/>
      <c r="H247" s="10434"/>
      <c r="I247" s="10434"/>
      <c r="J247" s="10434"/>
      <c r="K247" s="10434"/>
      <c r="L247" s="10434"/>
      <c r="M247" s="10437"/>
      <c r="N247" s="10437"/>
      <c r="O247" s="10437"/>
      <c r="P247" s="10434"/>
      <c r="Q247" s="10434"/>
      <c r="R247" s="10440"/>
      <c r="S247" s="5644"/>
      <c r="T247" s="5698"/>
      <c r="U247" s="5681"/>
      <c r="V247" s="3542"/>
      <c r="W247" s="5499"/>
      <c r="X247" s="3496"/>
      <c r="Y247" s="5552"/>
      <c r="Z247" s="5552"/>
      <c r="AA247" s="5552"/>
      <c r="AB247" s="5553"/>
      <c r="AC247" s="5817"/>
      <c r="AD247" s="3581"/>
      <c r="AE247" s="3579"/>
      <c r="AF247" s="3583"/>
      <c r="AG247" s="3583"/>
      <c r="AH247" s="10479"/>
    </row>
    <row r="248" spans="1:34" s="1001" customFormat="1" ht="28.5" customHeight="1">
      <c r="A248" s="9392"/>
      <c r="B248" s="10511"/>
      <c r="C248" s="10513"/>
      <c r="D248" s="10434"/>
      <c r="E248" s="10434"/>
      <c r="F248" s="10434"/>
      <c r="G248" s="10434"/>
      <c r="H248" s="10434"/>
      <c r="I248" s="10434"/>
      <c r="J248" s="10434"/>
      <c r="K248" s="10434"/>
      <c r="L248" s="10434"/>
      <c r="M248" s="10437"/>
      <c r="N248" s="10437"/>
      <c r="O248" s="10437"/>
      <c r="P248" s="10434"/>
      <c r="Q248" s="10434"/>
      <c r="R248" s="10440"/>
      <c r="S248" s="5645"/>
      <c r="T248" s="5698"/>
      <c r="U248" s="5681"/>
      <c r="V248" s="3495"/>
      <c r="W248" s="5499"/>
      <c r="X248" s="3496"/>
      <c r="Y248" s="5552"/>
      <c r="Z248" s="5552"/>
      <c r="AA248" s="5552"/>
      <c r="AB248" s="5553"/>
      <c r="AC248" s="5817"/>
      <c r="AD248" s="3581"/>
      <c r="AE248" s="3579"/>
      <c r="AF248" s="3583"/>
      <c r="AG248" s="3583"/>
      <c r="AH248" s="10479"/>
    </row>
    <row r="249" spans="1:34" s="1001" customFormat="1" ht="28.5" customHeight="1">
      <c r="A249" s="9392"/>
      <c r="B249" s="10511"/>
      <c r="C249" s="10514"/>
      <c r="D249" s="10435"/>
      <c r="E249" s="10435"/>
      <c r="F249" s="10435"/>
      <c r="G249" s="10435"/>
      <c r="H249" s="10435"/>
      <c r="I249" s="10435"/>
      <c r="J249" s="10435"/>
      <c r="K249" s="10435"/>
      <c r="L249" s="10435"/>
      <c r="M249" s="10438"/>
      <c r="N249" s="10438"/>
      <c r="O249" s="10438"/>
      <c r="P249" s="10435"/>
      <c r="Q249" s="10435"/>
      <c r="R249" s="10441"/>
      <c r="S249" s="5653"/>
      <c r="T249" s="5701"/>
      <c r="U249" s="5696"/>
      <c r="V249" s="3557"/>
      <c r="W249" s="5503"/>
      <c r="X249" s="3545"/>
      <c r="Y249" s="5558"/>
      <c r="Z249" s="5558"/>
      <c r="AA249" s="5558"/>
      <c r="AB249" s="5559"/>
      <c r="AC249" s="5830"/>
      <c r="AD249" s="3607"/>
      <c r="AE249" s="3606"/>
      <c r="AF249" s="3608"/>
      <c r="AG249" s="3608"/>
      <c r="AH249" s="10482"/>
    </row>
    <row r="250" spans="1:34" s="1001" customFormat="1" ht="28.5" customHeight="1">
      <c r="A250" s="9392"/>
      <c r="B250" s="10511"/>
      <c r="C250" s="10512" t="s">
        <v>127</v>
      </c>
      <c r="D250" s="10444" t="s">
        <v>128</v>
      </c>
      <c r="E250" s="10444" t="s">
        <v>129</v>
      </c>
      <c r="F250" s="10444" t="s">
        <v>268</v>
      </c>
      <c r="G250" s="10451" t="s">
        <v>131</v>
      </c>
      <c r="H250" s="10444" t="s">
        <v>132</v>
      </c>
      <c r="I250" s="10444" t="s">
        <v>214</v>
      </c>
      <c r="J250" s="10444" t="s">
        <v>1859</v>
      </c>
      <c r="K250" s="10444" t="s">
        <v>338</v>
      </c>
      <c r="L250" s="10444" t="s">
        <v>3708</v>
      </c>
      <c r="M250" s="10455">
        <v>6</v>
      </c>
      <c r="N250" s="10455">
        <v>6</v>
      </c>
      <c r="O250" s="10455">
        <v>6</v>
      </c>
      <c r="P250" s="10444" t="s">
        <v>3709</v>
      </c>
      <c r="Q250" s="10448" t="s">
        <v>1381</v>
      </c>
      <c r="R250" s="10449" t="s">
        <v>3679</v>
      </c>
      <c r="S250" s="5670"/>
      <c r="T250" s="5702"/>
      <c r="U250" s="5690"/>
      <c r="V250" s="3758"/>
      <c r="W250" s="5504"/>
      <c r="X250" s="3658"/>
      <c r="Y250" s="5560"/>
      <c r="Z250" s="5560"/>
      <c r="AA250" s="5560"/>
      <c r="AB250" s="5561"/>
      <c r="AC250" s="5831"/>
      <c r="AD250" s="3636"/>
      <c r="AE250" s="3623"/>
      <c r="AF250" s="3637"/>
      <c r="AG250" s="3637"/>
      <c r="AH250" s="10478"/>
    </row>
    <row r="251" spans="1:34" s="1001" customFormat="1" ht="28.5" customHeight="1">
      <c r="A251" s="9392"/>
      <c r="B251" s="10511"/>
      <c r="C251" s="10513"/>
      <c r="D251" s="10434"/>
      <c r="E251" s="10434"/>
      <c r="F251" s="10434"/>
      <c r="G251" s="10434"/>
      <c r="H251" s="10434"/>
      <c r="I251" s="10434"/>
      <c r="J251" s="10434"/>
      <c r="K251" s="10434"/>
      <c r="L251" s="10434"/>
      <c r="M251" s="10437"/>
      <c r="N251" s="10437"/>
      <c r="O251" s="10437"/>
      <c r="P251" s="10434"/>
      <c r="Q251" s="10434"/>
      <c r="R251" s="10440"/>
      <c r="S251" s="5643"/>
      <c r="T251" s="5697"/>
      <c r="U251" s="5681"/>
      <c r="V251" s="3495"/>
      <c r="W251" s="5499"/>
      <c r="X251" s="3496"/>
      <c r="Y251" s="5552"/>
      <c r="Z251" s="5552"/>
      <c r="AA251" s="5552"/>
      <c r="AB251" s="5553"/>
      <c r="AC251" s="5817"/>
      <c r="AD251" s="3581"/>
      <c r="AE251" s="3579"/>
      <c r="AF251" s="3579"/>
      <c r="AG251" s="3585"/>
      <c r="AH251" s="10479"/>
    </row>
    <row r="252" spans="1:34" s="1001" customFormat="1" ht="28.5" customHeight="1">
      <c r="A252" s="9392"/>
      <c r="B252" s="10511"/>
      <c r="C252" s="10513"/>
      <c r="D252" s="10434"/>
      <c r="E252" s="10434"/>
      <c r="F252" s="10434"/>
      <c r="G252" s="10434"/>
      <c r="H252" s="10434"/>
      <c r="I252" s="10434"/>
      <c r="J252" s="10434"/>
      <c r="K252" s="10434"/>
      <c r="L252" s="10434"/>
      <c r="M252" s="10437"/>
      <c r="N252" s="10437"/>
      <c r="O252" s="10437"/>
      <c r="P252" s="10434"/>
      <c r="Q252" s="10434"/>
      <c r="R252" s="10440"/>
      <c r="S252" s="5643"/>
      <c r="T252" s="5697"/>
      <c r="U252" s="5681"/>
      <c r="V252" s="3495"/>
      <c r="W252" s="5499"/>
      <c r="X252" s="3496"/>
      <c r="Y252" s="5552"/>
      <c r="Z252" s="5552"/>
      <c r="AA252" s="5552"/>
      <c r="AB252" s="5553"/>
      <c r="AC252" s="5817"/>
      <c r="AD252" s="3581"/>
      <c r="AE252" s="3579"/>
      <c r="AF252" s="3579"/>
      <c r="AG252" s="3583"/>
      <c r="AH252" s="10479"/>
    </row>
    <row r="253" spans="1:34" s="1001" customFormat="1" ht="28.5" customHeight="1">
      <c r="A253" s="9392"/>
      <c r="B253" s="10511"/>
      <c r="C253" s="10513"/>
      <c r="D253" s="10434"/>
      <c r="E253" s="10434"/>
      <c r="F253" s="10434"/>
      <c r="G253" s="10434"/>
      <c r="H253" s="10434"/>
      <c r="I253" s="10434"/>
      <c r="J253" s="10434"/>
      <c r="K253" s="10434"/>
      <c r="L253" s="10434"/>
      <c r="M253" s="10437"/>
      <c r="N253" s="10437"/>
      <c r="O253" s="10437"/>
      <c r="P253" s="10434"/>
      <c r="Q253" s="10434"/>
      <c r="R253" s="10440"/>
      <c r="S253" s="5644"/>
      <c r="T253" s="5698"/>
      <c r="U253" s="5681"/>
      <c r="V253" s="3542"/>
      <c r="W253" s="5499"/>
      <c r="X253" s="3496"/>
      <c r="Y253" s="5552"/>
      <c r="Z253" s="5552"/>
      <c r="AA253" s="5552"/>
      <c r="AB253" s="5553"/>
      <c r="AC253" s="5817"/>
      <c r="AD253" s="3581"/>
      <c r="AE253" s="3579"/>
      <c r="AF253" s="3579"/>
      <c r="AG253" s="3583"/>
      <c r="AH253" s="10479"/>
    </row>
    <row r="254" spans="1:34" s="1001" customFormat="1" ht="28.5" customHeight="1">
      <c r="A254" s="9392"/>
      <c r="B254" s="10511"/>
      <c r="C254" s="10514"/>
      <c r="D254" s="10435"/>
      <c r="E254" s="10435"/>
      <c r="F254" s="10435"/>
      <c r="G254" s="10435"/>
      <c r="H254" s="10435"/>
      <c r="I254" s="10435"/>
      <c r="J254" s="10435"/>
      <c r="K254" s="10435"/>
      <c r="L254" s="10435"/>
      <c r="M254" s="10438"/>
      <c r="N254" s="10438"/>
      <c r="O254" s="10438"/>
      <c r="P254" s="10435"/>
      <c r="Q254" s="10435"/>
      <c r="R254" s="10441"/>
      <c r="S254" s="5653"/>
      <c r="T254" s="5701"/>
      <c r="U254" s="5696"/>
      <c r="V254" s="3557"/>
      <c r="W254" s="5503"/>
      <c r="X254" s="3545"/>
      <c r="Y254" s="5558"/>
      <c r="Z254" s="5558"/>
      <c r="AA254" s="5558"/>
      <c r="AB254" s="5559"/>
      <c r="AC254" s="5830"/>
      <c r="AD254" s="3607"/>
      <c r="AE254" s="3606"/>
      <c r="AF254" s="3606"/>
      <c r="AG254" s="3608"/>
      <c r="AH254" s="10482"/>
    </row>
    <row r="255" spans="1:34" s="1001" customFormat="1" ht="22.5" customHeight="1" thickBot="1">
      <c r="A255" s="9392"/>
      <c r="B255" s="9399"/>
      <c r="C255" s="10520"/>
      <c r="D255" s="10475"/>
      <c r="E255" s="10475"/>
      <c r="F255" s="10475"/>
      <c r="G255" s="10475"/>
      <c r="H255" s="10475"/>
      <c r="I255" s="10475"/>
      <c r="J255" s="10475"/>
      <c r="K255" s="10475"/>
      <c r="L255" s="10475"/>
      <c r="M255" s="10475"/>
      <c r="N255" s="10475"/>
      <c r="O255" s="10475"/>
      <c r="P255" s="10475"/>
      <c r="Q255" s="10475"/>
      <c r="R255" s="10521"/>
      <c r="S255" s="10471" t="s">
        <v>3710</v>
      </c>
      <c r="T255" s="10472"/>
      <c r="U255" s="10472"/>
      <c r="V255" s="10472"/>
      <c r="W255" s="10472"/>
      <c r="X255" s="10472"/>
      <c r="Y255" s="10472"/>
      <c r="Z255" s="10473"/>
      <c r="AA255" s="2939" t="s">
        <v>292</v>
      </c>
      <c r="AB255" s="7356">
        <f>SUM(AB220:AB254)</f>
        <v>5504</v>
      </c>
      <c r="AC255" s="5829"/>
      <c r="AD255" s="1740"/>
      <c r="AE255" s="10474"/>
      <c r="AF255" s="10475"/>
      <c r="AG255" s="10475"/>
      <c r="AH255" s="9712"/>
    </row>
    <row r="256" spans="1:34" s="1001" customFormat="1" ht="18" customHeight="1">
      <c r="A256" s="9392"/>
      <c r="B256" s="9246" t="s">
        <v>3711</v>
      </c>
      <c r="C256" s="10518" t="s">
        <v>127</v>
      </c>
      <c r="D256" s="10452" t="s">
        <v>128</v>
      </c>
      <c r="E256" s="10452" t="s">
        <v>129</v>
      </c>
      <c r="F256" s="10452" t="s">
        <v>268</v>
      </c>
      <c r="G256" s="10454" t="s">
        <v>131</v>
      </c>
      <c r="H256" s="10452" t="s">
        <v>132</v>
      </c>
      <c r="I256" s="10452" t="s">
        <v>159</v>
      </c>
      <c r="J256" s="10452" t="s">
        <v>3712</v>
      </c>
      <c r="K256" s="10452" t="s">
        <v>3713</v>
      </c>
      <c r="L256" s="10452" t="s">
        <v>3714</v>
      </c>
      <c r="M256" s="10476">
        <v>0</v>
      </c>
      <c r="N256" s="10476">
        <v>0</v>
      </c>
      <c r="O256" s="10476">
        <v>1</v>
      </c>
      <c r="P256" s="10477" t="s">
        <v>3715</v>
      </c>
      <c r="Q256" s="10452" t="s">
        <v>3716</v>
      </c>
      <c r="R256" s="10453" t="s">
        <v>3717</v>
      </c>
      <c r="S256" s="5669" t="s">
        <v>15</v>
      </c>
      <c r="T256" s="5689">
        <v>531407</v>
      </c>
      <c r="U256" s="5690"/>
      <c r="V256" s="3758" t="s">
        <v>40</v>
      </c>
      <c r="W256" s="5778"/>
      <c r="X256" s="3657"/>
      <c r="Y256" s="5561"/>
      <c r="Z256" s="5801"/>
      <c r="AA256" s="5812"/>
      <c r="AB256" s="5813">
        <f>SUM(AA257)</f>
        <v>94.998400000000004</v>
      </c>
      <c r="AC256" s="5843" t="s">
        <v>18</v>
      </c>
      <c r="AD256" s="3601"/>
      <c r="AE256" s="3602"/>
      <c r="AF256" s="3577"/>
      <c r="AG256" s="3577"/>
      <c r="AH256" s="10466" t="s">
        <v>3718</v>
      </c>
    </row>
    <row r="257" spans="1:34" s="1001" customFormat="1" ht="18" customHeight="1">
      <c r="A257" s="9392"/>
      <c r="B257" s="10511"/>
      <c r="C257" s="10513"/>
      <c r="D257" s="10434"/>
      <c r="E257" s="10434"/>
      <c r="F257" s="10434"/>
      <c r="G257" s="10434"/>
      <c r="H257" s="10434"/>
      <c r="I257" s="10434"/>
      <c r="J257" s="10434"/>
      <c r="K257" s="10434"/>
      <c r="L257" s="10434"/>
      <c r="M257" s="10437"/>
      <c r="N257" s="10437"/>
      <c r="O257" s="10437"/>
      <c r="P257" s="10434"/>
      <c r="Q257" s="10434"/>
      <c r="R257" s="10440"/>
      <c r="S257" s="5672"/>
      <c r="T257" s="5682"/>
      <c r="U257" s="5681" t="s">
        <v>201</v>
      </c>
      <c r="V257" s="3495" t="s">
        <v>2739</v>
      </c>
      <c r="W257" s="5499">
        <v>1</v>
      </c>
      <c r="X257" s="3496" t="s">
        <v>180</v>
      </c>
      <c r="Y257" s="5525">
        <v>84.82</v>
      </c>
      <c r="Z257" s="5525">
        <f>+W257*Y257</f>
        <v>84.82</v>
      </c>
      <c r="AA257" s="5525">
        <f>+Z257*1.12</f>
        <v>94.998400000000004</v>
      </c>
      <c r="AB257" s="5526"/>
      <c r="AC257" s="5844"/>
      <c r="AD257" s="3591"/>
      <c r="AE257" s="3587" t="s">
        <v>153</v>
      </c>
      <c r="AF257" s="3590"/>
      <c r="AG257" s="3590"/>
      <c r="AH257" s="10462"/>
    </row>
    <row r="258" spans="1:34" s="1001" customFormat="1" ht="18" customHeight="1">
      <c r="A258" s="9392"/>
      <c r="B258" s="10511"/>
      <c r="C258" s="10513"/>
      <c r="D258" s="10434"/>
      <c r="E258" s="10434"/>
      <c r="F258" s="10434"/>
      <c r="G258" s="10434"/>
      <c r="H258" s="10434"/>
      <c r="I258" s="10434"/>
      <c r="J258" s="10434"/>
      <c r="K258" s="10434"/>
      <c r="L258" s="10434"/>
      <c r="M258" s="10437"/>
      <c r="N258" s="10437"/>
      <c r="O258" s="10437"/>
      <c r="P258" s="10434"/>
      <c r="Q258" s="10434"/>
      <c r="R258" s="10440"/>
      <c r="S258" s="5672"/>
      <c r="T258" s="5682"/>
      <c r="U258" s="5738"/>
      <c r="V258" s="5767"/>
      <c r="W258" s="5779"/>
      <c r="X258" s="3664"/>
      <c r="Y258" s="5791"/>
      <c r="Z258" s="5791"/>
      <c r="AA258" s="5791"/>
      <c r="AB258" s="5526"/>
      <c r="AC258" s="5844"/>
      <c r="AD258" s="3591"/>
      <c r="AE258" s="3589"/>
      <c r="AF258" s="3589"/>
      <c r="AG258" s="3590"/>
      <c r="AH258" s="10462"/>
    </row>
    <row r="259" spans="1:34" s="1001" customFormat="1" ht="18" customHeight="1">
      <c r="A259" s="9392"/>
      <c r="B259" s="10511"/>
      <c r="C259" s="10513"/>
      <c r="D259" s="10434"/>
      <c r="E259" s="10434"/>
      <c r="F259" s="10434"/>
      <c r="G259" s="10434"/>
      <c r="H259" s="10434"/>
      <c r="I259" s="10434"/>
      <c r="J259" s="10434"/>
      <c r="K259" s="10434"/>
      <c r="L259" s="10434"/>
      <c r="M259" s="10437"/>
      <c r="N259" s="10437"/>
      <c r="O259" s="10437"/>
      <c r="P259" s="10434"/>
      <c r="Q259" s="10434"/>
      <c r="R259" s="10440"/>
      <c r="S259" s="5672"/>
      <c r="T259" s="5682"/>
      <c r="U259" s="5738"/>
      <c r="V259" s="5767"/>
      <c r="W259" s="5779"/>
      <c r="X259" s="3664"/>
      <c r="Y259" s="5791"/>
      <c r="Z259" s="5791"/>
      <c r="AA259" s="5791"/>
      <c r="AB259" s="5526"/>
      <c r="AC259" s="5844"/>
      <c r="AD259" s="3591"/>
      <c r="AE259" s="3589"/>
      <c r="AF259" s="3589"/>
      <c r="AG259" s="3590"/>
      <c r="AH259" s="10462"/>
    </row>
    <row r="260" spans="1:34" s="1001" customFormat="1" ht="18" customHeight="1">
      <c r="A260" s="9392"/>
      <c r="B260" s="10511"/>
      <c r="C260" s="10515"/>
      <c r="D260" s="10445"/>
      <c r="E260" s="10445"/>
      <c r="F260" s="10445"/>
      <c r="G260" s="10445"/>
      <c r="H260" s="10445"/>
      <c r="I260" s="10445"/>
      <c r="J260" s="10445"/>
      <c r="K260" s="10445"/>
      <c r="L260" s="10445"/>
      <c r="M260" s="10447"/>
      <c r="N260" s="10447"/>
      <c r="O260" s="10447"/>
      <c r="P260" s="10445"/>
      <c r="Q260" s="10445"/>
      <c r="R260" s="10450"/>
      <c r="S260" s="5673"/>
      <c r="T260" s="5691"/>
      <c r="U260" s="5683"/>
      <c r="V260" s="3759"/>
      <c r="W260" s="5509"/>
      <c r="X260" s="3714"/>
      <c r="Y260" s="5544"/>
      <c r="Z260" s="5544"/>
      <c r="AA260" s="5544"/>
      <c r="AB260" s="5555"/>
      <c r="AC260" s="5818"/>
      <c r="AD260" s="3619"/>
      <c r="AE260" s="3632"/>
      <c r="AF260" s="3634"/>
      <c r="AG260" s="3634"/>
      <c r="AH260" s="10463"/>
    </row>
    <row r="261" spans="1:34" s="1001" customFormat="1" ht="34.5" customHeight="1">
      <c r="A261" s="9392"/>
      <c r="B261" s="10511"/>
      <c r="C261" s="10516" t="s">
        <v>127</v>
      </c>
      <c r="D261" s="10433" t="s">
        <v>128</v>
      </c>
      <c r="E261" s="10433" t="s">
        <v>129</v>
      </c>
      <c r="F261" s="10433" t="s">
        <v>268</v>
      </c>
      <c r="G261" s="10442" t="s">
        <v>131</v>
      </c>
      <c r="H261" s="10433" t="s">
        <v>132</v>
      </c>
      <c r="I261" s="10433" t="s">
        <v>159</v>
      </c>
      <c r="J261" s="10433" t="s">
        <v>3719</v>
      </c>
      <c r="K261" s="10433" t="s">
        <v>3720</v>
      </c>
      <c r="L261" s="10433" t="s">
        <v>3721</v>
      </c>
      <c r="M261" s="10436">
        <v>0</v>
      </c>
      <c r="N261" s="10436">
        <v>0</v>
      </c>
      <c r="O261" s="10436">
        <v>1</v>
      </c>
      <c r="P261" s="10433" t="s">
        <v>3722</v>
      </c>
      <c r="Q261" s="10433" t="s">
        <v>3723</v>
      </c>
      <c r="R261" s="10439" t="s">
        <v>3724</v>
      </c>
      <c r="S261" s="5668" t="s">
        <v>15</v>
      </c>
      <c r="T261" s="5684">
        <v>530207</v>
      </c>
      <c r="U261" s="5739"/>
      <c r="V261" s="5768" t="s">
        <v>471</v>
      </c>
      <c r="W261" s="5780"/>
      <c r="X261" s="5786"/>
      <c r="Y261" s="7888"/>
      <c r="Z261" s="7888"/>
      <c r="AA261" s="7911"/>
      <c r="AB261" s="7888">
        <f>SUM(AA262)</f>
        <v>0</v>
      </c>
      <c r="AC261" s="5780" t="s">
        <v>18</v>
      </c>
      <c r="AD261" s="3599"/>
      <c r="AE261" s="3600"/>
      <c r="AF261" s="3629"/>
      <c r="AG261" s="3629"/>
      <c r="AH261" s="10467"/>
    </row>
    <row r="262" spans="1:34" s="1001" customFormat="1" ht="34.5" customHeight="1">
      <c r="A262" s="9392"/>
      <c r="B262" s="10511"/>
      <c r="C262" s="10513"/>
      <c r="D262" s="10434"/>
      <c r="E262" s="10434"/>
      <c r="F262" s="10434"/>
      <c r="G262" s="10434"/>
      <c r="H262" s="10434"/>
      <c r="I262" s="10434"/>
      <c r="J262" s="10434"/>
      <c r="K262" s="10434"/>
      <c r="L262" s="10434"/>
      <c r="M262" s="10437"/>
      <c r="N262" s="10437"/>
      <c r="O262" s="10437"/>
      <c r="P262" s="10434"/>
      <c r="Q262" s="10434"/>
      <c r="R262" s="10440"/>
      <c r="S262" s="5672"/>
      <c r="T262" s="5698"/>
      <c r="U262" s="5681" t="s">
        <v>3725</v>
      </c>
      <c r="V262" s="3495" t="s">
        <v>3726</v>
      </c>
      <c r="W262" s="7912">
        <v>0</v>
      </c>
      <c r="X262" s="3496" t="s">
        <v>180</v>
      </c>
      <c r="Y262" s="7821">
        <v>53.570999999999998</v>
      </c>
      <c r="Z262" s="7821">
        <f>+W262*Y262</f>
        <v>0</v>
      </c>
      <c r="AA262" s="7821">
        <f>(Z262*12%)+Z262</f>
        <v>0</v>
      </c>
      <c r="AB262" s="7800"/>
      <c r="AC262" s="5817"/>
      <c r="AD262" s="3581"/>
      <c r="AE262" s="3587" t="s">
        <v>153</v>
      </c>
      <c r="AF262" s="3594"/>
      <c r="AG262" s="3594"/>
      <c r="AH262" s="10462"/>
    </row>
    <row r="263" spans="1:34" s="1001" customFormat="1" ht="34.5" customHeight="1">
      <c r="A263" s="9392"/>
      <c r="B263" s="10511"/>
      <c r="C263" s="10513"/>
      <c r="D263" s="10434"/>
      <c r="E263" s="10434"/>
      <c r="F263" s="10434"/>
      <c r="G263" s="10434"/>
      <c r="H263" s="10434"/>
      <c r="I263" s="10434"/>
      <c r="J263" s="10434"/>
      <c r="K263" s="10434"/>
      <c r="L263" s="10434"/>
      <c r="M263" s="10437"/>
      <c r="N263" s="10437"/>
      <c r="O263" s="10437"/>
      <c r="P263" s="10434"/>
      <c r="Q263" s="10434"/>
      <c r="R263" s="10440"/>
      <c r="S263" s="5672"/>
      <c r="T263" s="5698"/>
      <c r="U263" s="5681"/>
      <c r="V263" s="3495"/>
      <c r="W263" s="5499"/>
      <c r="X263" s="3496"/>
      <c r="Y263" s="5523"/>
      <c r="Z263" s="5523"/>
      <c r="AA263" s="5523"/>
      <c r="AB263" s="5553"/>
      <c r="AC263" s="5817"/>
      <c r="AD263" s="3581"/>
      <c r="AE263" s="3587"/>
      <c r="AF263" s="3594"/>
      <c r="AG263" s="3594"/>
      <c r="AH263" s="10462"/>
    </row>
    <row r="264" spans="1:34" s="1001" customFormat="1" ht="34.5" customHeight="1">
      <c r="A264" s="9392"/>
      <c r="B264" s="10511"/>
      <c r="C264" s="10513"/>
      <c r="D264" s="10434"/>
      <c r="E264" s="10434"/>
      <c r="F264" s="10434"/>
      <c r="G264" s="10434"/>
      <c r="H264" s="10434"/>
      <c r="I264" s="10434"/>
      <c r="J264" s="10434"/>
      <c r="K264" s="10434"/>
      <c r="L264" s="10434"/>
      <c r="M264" s="10437"/>
      <c r="N264" s="10437"/>
      <c r="O264" s="10437"/>
      <c r="P264" s="10434"/>
      <c r="Q264" s="10434"/>
      <c r="R264" s="10440"/>
      <c r="S264" s="5658"/>
      <c r="T264" s="5697"/>
      <c r="U264" s="5711"/>
      <c r="V264" s="5769"/>
      <c r="W264" s="5781"/>
      <c r="X264" s="5787"/>
      <c r="Y264" s="5552"/>
      <c r="Z264" s="5552"/>
      <c r="AA264" s="5552"/>
      <c r="AB264" s="5552"/>
      <c r="AC264" s="5845"/>
      <c r="AD264" s="3603"/>
      <c r="AE264" s="3593"/>
      <c r="AF264" s="3587"/>
      <c r="AG264" s="3594"/>
      <c r="AH264" s="10462"/>
    </row>
    <row r="265" spans="1:34" s="1001" customFormat="1" ht="34.5" customHeight="1">
      <c r="A265" s="9392"/>
      <c r="B265" s="10511"/>
      <c r="C265" s="10514"/>
      <c r="D265" s="10435"/>
      <c r="E265" s="10435"/>
      <c r="F265" s="10435"/>
      <c r="G265" s="10435"/>
      <c r="H265" s="10435"/>
      <c r="I265" s="10435"/>
      <c r="J265" s="10435"/>
      <c r="K265" s="10435"/>
      <c r="L265" s="10435"/>
      <c r="M265" s="10438"/>
      <c r="N265" s="10438"/>
      <c r="O265" s="10438"/>
      <c r="P265" s="10435"/>
      <c r="Q265" s="10435"/>
      <c r="R265" s="10441"/>
      <c r="S265" s="5674"/>
      <c r="T265" s="5701"/>
      <c r="U265" s="5740"/>
      <c r="V265" s="5770"/>
      <c r="W265" s="5782"/>
      <c r="X265" s="5788"/>
      <c r="Y265" s="5558"/>
      <c r="Z265" s="5558"/>
      <c r="AA265" s="5558"/>
      <c r="AB265" s="5558"/>
      <c r="AC265" s="5846"/>
      <c r="AD265" s="3648"/>
      <c r="AE265" s="3649"/>
      <c r="AF265" s="3614"/>
      <c r="AG265" s="3639"/>
      <c r="AH265" s="10465"/>
    </row>
    <row r="266" spans="1:34" s="1001" customFormat="1" ht="37.5" customHeight="1">
      <c r="A266" s="9392"/>
      <c r="B266" s="10511"/>
      <c r="C266" s="10512" t="s">
        <v>127</v>
      </c>
      <c r="D266" s="10444" t="s">
        <v>128</v>
      </c>
      <c r="E266" s="10444" t="s">
        <v>129</v>
      </c>
      <c r="F266" s="10444" t="s">
        <v>268</v>
      </c>
      <c r="G266" s="10451" t="s">
        <v>131</v>
      </c>
      <c r="H266" s="10444" t="s">
        <v>132</v>
      </c>
      <c r="I266" s="10444" t="s">
        <v>159</v>
      </c>
      <c r="J266" s="10448" t="s">
        <v>3727</v>
      </c>
      <c r="K266" s="10444" t="s">
        <v>3728</v>
      </c>
      <c r="L266" s="10444" t="s">
        <v>3729</v>
      </c>
      <c r="M266" s="10446">
        <v>0</v>
      </c>
      <c r="N266" s="10446">
        <v>1</v>
      </c>
      <c r="O266" s="10446">
        <v>1</v>
      </c>
      <c r="P266" s="10448" t="s">
        <v>3730</v>
      </c>
      <c r="Q266" s="10448" t="s">
        <v>3731</v>
      </c>
      <c r="R266" s="10449" t="s">
        <v>3717</v>
      </c>
      <c r="S266" s="5670"/>
      <c r="T266" s="5702"/>
      <c r="U266" s="5482"/>
      <c r="V266" s="3758"/>
      <c r="W266" s="5783"/>
      <c r="X266" s="3719"/>
      <c r="Y266" s="5801"/>
      <c r="Z266" s="5801"/>
      <c r="AA266" s="5800"/>
      <c r="AB266" s="5800"/>
      <c r="AC266" s="5847"/>
      <c r="AD266" s="3651"/>
      <c r="AE266" s="3635"/>
      <c r="AF266" s="3626"/>
      <c r="AG266" s="3626"/>
      <c r="AH266" s="10468" t="s">
        <v>3732</v>
      </c>
    </row>
    <row r="267" spans="1:34" s="1001" customFormat="1" ht="37.5" customHeight="1">
      <c r="A267" s="9392"/>
      <c r="B267" s="10511"/>
      <c r="C267" s="10513"/>
      <c r="D267" s="10434"/>
      <c r="E267" s="10434"/>
      <c r="F267" s="10434"/>
      <c r="G267" s="10434"/>
      <c r="H267" s="10434"/>
      <c r="I267" s="10434"/>
      <c r="J267" s="10434"/>
      <c r="K267" s="10434"/>
      <c r="L267" s="10434"/>
      <c r="M267" s="10437"/>
      <c r="N267" s="10437"/>
      <c r="O267" s="10437"/>
      <c r="P267" s="10434"/>
      <c r="Q267" s="10434"/>
      <c r="R267" s="10440"/>
      <c r="S267" s="5644"/>
      <c r="T267" s="5697"/>
      <c r="U267" s="5681"/>
      <c r="V267" s="3495"/>
      <c r="W267" s="5499"/>
      <c r="X267" s="3496"/>
      <c r="Y267" s="5525"/>
      <c r="Z267" s="5525"/>
      <c r="AA267" s="5790"/>
      <c r="AB267" s="5790"/>
      <c r="AC267" s="5848"/>
      <c r="AD267" s="3604"/>
      <c r="AE267" s="3588"/>
      <c r="AF267" s="3590"/>
      <c r="AG267" s="3590"/>
      <c r="AH267" s="10462"/>
    </row>
    <row r="268" spans="1:34" s="1001" customFormat="1" ht="37.5" customHeight="1">
      <c r="A268" s="9392"/>
      <c r="B268" s="10511"/>
      <c r="C268" s="10513"/>
      <c r="D268" s="10434"/>
      <c r="E268" s="10434"/>
      <c r="F268" s="10434"/>
      <c r="G268" s="10434"/>
      <c r="H268" s="10434"/>
      <c r="I268" s="10434"/>
      <c r="J268" s="10434"/>
      <c r="K268" s="10434"/>
      <c r="L268" s="10434"/>
      <c r="M268" s="10437"/>
      <c r="N268" s="10437"/>
      <c r="O268" s="10437"/>
      <c r="P268" s="10434"/>
      <c r="Q268" s="10434"/>
      <c r="R268" s="10440"/>
      <c r="S268" s="5643"/>
      <c r="T268" s="5697"/>
      <c r="U268" s="5681"/>
      <c r="V268" s="3495"/>
      <c r="W268" s="5499"/>
      <c r="X268" s="3496"/>
      <c r="Y268" s="5552"/>
      <c r="Z268" s="5552"/>
      <c r="AA268" s="5552"/>
      <c r="AB268" s="5552"/>
      <c r="AC268" s="5845"/>
      <c r="AD268" s="3603"/>
      <c r="AE268" s="3580"/>
      <c r="AF268" s="3583"/>
      <c r="AG268" s="3583"/>
      <c r="AH268" s="10462"/>
    </row>
    <row r="269" spans="1:34" s="1001" customFormat="1" ht="37.5" customHeight="1">
      <c r="A269" s="9392"/>
      <c r="B269" s="10511"/>
      <c r="C269" s="10515"/>
      <c r="D269" s="10445"/>
      <c r="E269" s="10445"/>
      <c r="F269" s="10445"/>
      <c r="G269" s="10445"/>
      <c r="H269" s="10445"/>
      <c r="I269" s="10445"/>
      <c r="J269" s="10445"/>
      <c r="K269" s="10445"/>
      <c r="L269" s="10445"/>
      <c r="M269" s="10447"/>
      <c r="N269" s="10447"/>
      <c r="O269" s="10447"/>
      <c r="P269" s="10445"/>
      <c r="Q269" s="10445"/>
      <c r="R269" s="10450"/>
      <c r="S269" s="5675"/>
      <c r="T269" s="5699"/>
      <c r="U269" s="5683"/>
      <c r="V269" s="3759"/>
      <c r="W269" s="5509"/>
      <c r="X269" s="3714"/>
      <c r="Y269" s="5554"/>
      <c r="Z269" s="5554"/>
      <c r="AA269" s="5554"/>
      <c r="AB269" s="5554"/>
      <c r="AC269" s="5849"/>
      <c r="AD269" s="3652"/>
      <c r="AE269" s="3618"/>
      <c r="AF269" s="3621"/>
      <c r="AG269" s="3621"/>
      <c r="AH269" s="10462"/>
    </row>
    <row r="270" spans="1:34" s="1001" customFormat="1" ht="25.5" customHeight="1">
      <c r="A270" s="9392"/>
      <c r="B270" s="10511"/>
      <c r="C270" s="10516" t="s">
        <v>127</v>
      </c>
      <c r="D270" s="10433" t="s">
        <v>128</v>
      </c>
      <c r="E270" s="10433" t="s">
        <v>129</v>
      </c>
      <c r="F270" s="10433" t="s">
        <v>268</v>
      </c>
      <c r="G270" s="10442" t="s">
        <v>131</v>
      </c>
      <c r="H270" s="10433" t="s">
        <v>132</v>
      </c>
      <c r="I270" s="10433" t="s">
        <v>159</v>
      </c>
      <c r="J270" s="10443" t="s">
        <v>3733</v>
      </c>
      <c r="K270" s="10433" t="s">
        <v>3734</v>
      </c>
      <c r="L270" s="10433" t="s">
        <v>3735</v>
      </c>
      <c r="M270" s="10436">
        <v>0</v>
      </c>
      <c r="N270" s="10436">
        <v>0</v>
      </c>
      <c r="O270" s="10436">
        <v>0</v>
      </c>
      <c r="P270" s="10433" t="s">
        <v>3736</v>
      </c>
      <c r="Q270" s="10433" t="s">
        <v>3737</v>
      </c>
      <c r="R270" s="10439" t="s">
        <v>3717</v>
      </c>
      <c r="S270" s="5654"/>
      <c r="T270" s="5700"/>
      <c r="U270" s="5685"/>
      <c r="V270" s="3762"/>
      <c r="W270" s="5502"/>
      <c r="X270" s="3709"/>
      <c r="Y270" s="5556"/>
      <c r="Z270" s="5556"/>
      <c r="AA270" s="5556"/>
      <c r="AB270" s="5557"/>
      <c r="AC270" s="5819"/>
      <c r="AD270" s="3599"/>
      <c r="AE270" s="3598"/>
      <c r="AF270" s="3630"/>
      <c r="AG270" s="3630"/>
      <c r="AH270" s="10469" t="s">
        <v>3738</v>
      </c>
    </row>
    <row r="271" spans="1:34" s="1001" customFormat="1" ht="25.5" customHeight="1">
      <c r="A271" s="9392"/>
      <c r="B271" s="10511"/>
      <c r="C271" s="10513"/>
      <c r="D271" s="10434"/>
      <c r="E271" s="10434"/>
      <c r="F271" s="10434"/>
      <c r="G271" s="10434"/>
      <c r="H271" s="10434"/>
      <c r="I271" s="10434"/>
      <c r="J271" s="10434"/>
      <c r="K271" s="10434"/>
      <c r="L271" s="10434"/>
      <c r="M271" s="10437"/>
      <c r="N271" s="10437"/>
      <c r="O271" s="10437"/>
      <c r="P271" s="10434"/>
      <c r="Q271" s="10434"/>
      <c r="R271" s="10440"/>
      <c r="S271" s="5643"/>
      <c r="T271" s="5697"/>
      <c r="U271" s="5681"/>
      <c r="V271" s="3495"/>
      <c r="W271" s="5499"/>
      <c r="X271" s="3496"/>
      <c r="Y271" s="5552"/>
      <c r="Z271" s="5552"/>
      <c r="AA271" s="5552"/>
      <c r="AB271" s="5553"/>
      <c r="AC271" s="5817"/>
      <c r="AD271" s="3581"/>
      <c r="AE271" s="3579"/>
      <c r="AF271" s="3583"/>
      <c r="AG271" s="3583"/>
      <c r="AH271" s="10462"/>
    </row>
    <row r="272" spans="1:34" s="1001" customFormat="1" ht="25.5" customHeight="1">
      <c r="A272" s="9392"/>
      <c r="B272" s="10511"/>
      <c r="C272" s="10513"/>
      <c r="D272" s="10434"/>
      <c r="E272" s="10434"/>
      <c r="F272" s="10434"/>
      <c r="G272" s="10434"/>
      <c r="H272" s="10434"/>
      <c r="I272" s="10434"/>
      <c r="J272" s="10434"/>
      <c r="K272" s="10434"/>
      <c r="L272" s="10434"/>
      <c r="M272" s="10437"/>
      <c r="N272" s="10437"/>
      <c r="O272" s="10437"/>
      <c r="P272" s="10434"/>
      <c r="Q272" s="10434"/>
      <c r="R272" s="10440"/>
      <c r="S272" s="5643"/>
      <c r="T272" s="5697"/>
      <c r="U272" s="5681"/>
      <c r="V272" s="3495"/>
      <c r="W272" s="5499"/>
      <c r="X272" s="3496"/>
      <c r="Y272" s="5552"/>
      <c r="Z272" s="5552"/>
      <c r="AA272" s="5552"/>
      <c r="AB272" s="5553"/>
      <c r="AC272" s="5817"/>
      <c r="AD272" s="3581"/>
      <c r="AE272" s="3579"/>
      <c r="AF272" s="3583"/>
      <c r="AG272" s="3583"/>
      <c r="AH272" s="10462"/>
    </row>
    <row r="273" spans="1:34" s="1001" customFormat="1" ht="25.5" customHeight="1">
      <c r="A273" s="9392"/>
      <c r="B273" s="10511"/>
      <c r="C273" s="10513"/>
      <c r="D273" s="10434"/>
      <c r="E273" s="10434"/>
      <c r="F273" s="10434"/>
      <c r="G273" s="10434"/>
      <c r="H273" s="10434"/>
      <c r="I273" s="10434"/>
      <c r="J273" s="10434"/>
      <c r="K273" s="10434"/>
      <c r="L273" s="10434"/>
      <c r="M273" s="10437"/>
      <c r="N273" s="10437"/>
      <c r="O273" s="10437"/>
      <c r="P273" s="10434"/>
      <c r="Q273" s="10434"/>
      <c r="R273" s="10440"/>
      <c r="S273" s="5643"/>
      <c r="T273" s="5697"/>
      <c r="U273" s="5681"/>
      <c r="V273" s="3495"/>
      <c r="W273" s="5499"/>
      <c r="X273" s="3496"/>
      <c r="Y273" s="5552"/>
      <c r="Z273" s="5552"/>
      <c r="AA273" s="5552"/>
      <c r="AB273" s="5553"/>
      <c r="AC273" s="5817"/>
      <c r="AD273" s="3581"/>
      <c r="AE273" s="3579"/>
      <c r="AF273" s="3583"/>
      <c r="AG273" s="3583"/>
      <c r="AH273" s="10462"/>
    </row>
    <row r="274" spans="1:34" s="1001" customFormat="1" ht="25.5" customHeight="1">
      <c r="A274" s="9392"/>
      <c r="B274" s="10511"/>
      <c r="C274" s="10514"/>
      <c r="D274" s="10435"/>
      <c r="E274" s="10435"/>
      <c r="F274" s="10435"/>
      <c r="G274" s="10435"/>
      <c r="H274" s="10435"/>
      <c r="I274" s="10435"/>
      <c r="J274" s="10435"/>
      <c r="K274" s="10435"/>
      <c r="L274" s="10435"/>
      <c r="M274" s="10438"/>
      <c r="N274" s="10438"/>
      <c r="O274" s="10438"/>
      <c r="P274" s="10435"/>
      <c r="Q274" s="10435"/>
      <c r="R274" s="10441"/>
      <c r="S274" s="5653"/>
      <c r="T274" s="5701"/>
      <c r="U274" s="5696"/>
      <c r="V274" s="3557"/>
      <c r="W274" s="5503"/>
      <c r="X274" s="3545"/>
      <c r="Y274" s="5558"/>
      <c r="Z274" s="5558"/>
      <c r="AA274" s="5558"/>
      <c r="AB274" s="5559"/>
      <c r="AC274" s="5830"/>
      <c r="AD274" s="3607"/>
      <c r="AE274" s="3606"/>
      <c r="AF274" s="3608"/>
      <c r="AG274" s="3608"/>
      <c r="AH274" s="10462"/>
    </row>
    <row r="275" spans="1:34" s="1001" customFormat="1" ht="25.5" customHeight="1">
      <c r="A275" s="9392"/>
      <c r="B275" s="10511"/>
      <c r="C275" s="10512" t="s">
        <v>127</v>
      </c>
      <c r="D275" s="10444" t="s">
        <v>128</v>
      </c>
      <c r="E275" s="10444" t="s">
        <v>129</v>
      </c>
      <c r="F275" s="10444" t="s">
        <v>268</v>
      </c>
      <c r="G275" s="10451" t="s">
        <v>131</v>
      </c>
      <c r="H275" s="10444" t="s">
        <v>132</v>
      </c>
      <c r="I275" s="10444" t="s">
        <v>159</v>
      </c>
      <c r="J275" s="10448" t="s">
        <v>3739</v>
      </c>
      <c r="K275" s="10444" t="s">
        <v>3740</v>
      </c>
      <c r="L275" s="10444" t="s">
        <v>3741</v>
      </c>
      <c r="M275" s="10446">
        <v>0</v>
      </c>
      <c r="N275" s="10446">
        <v>0</v>
      </c>
      <c r="O275" s="10446">
        <v>0</v>
      </c>
      <c r="P275" s="10444" t="s">
        <v>3742</v>
      </c>
      <c r="Q275" s="10444" t="s">
        <v>3743</v>
      </c>
      <c r="R275" s="10449" t="s">
        <v>3717</v>
      </c>
      <c r="S275" s="5676"/>
      <c r="T275" s="5741"/>
      <c r="U275" s="5690"/>
      <c r="V275" s="4659"/>
      <c r="W275" s="5504"/>
      <c r="X275" s="3658"/>
      <c r="Y275" s="5560"/>
      <c r="Z275" s="5560"/>
      <c r="AA275" s="5560"/>
      <c r="AB275" s="5561"/>
      <c r="AC275" s="5831"/>
      <c r="AD275" s="3636"/>
      <c r="AE275" s="3623"/>
      <c r="AF275" s="3627"/>
      <c r="AG275" s="3627"/>
      <c r="AH275" s="10462"/>
    </row>
    <row r="276" spans="1:34" s="1001" customFormat="1" ht="25.5" customHeight="1">
      <c r="A276" s="9392"/>
      <c r="B276" s="10511"/>
      <c r="C276" s="10513"/>
      <c r="D276" s="10434"/>
      <c r="E276" s="10434"/>
      <c r="F276" s="10434"/>
      <c r="G276" s="10434"/>
      <c r="H276" s="10434"/>
      <c r="I276" s="10434"/>
      <c r="J276" s="10434"/>
      <c r="K276" s="10434"/>
      <c r="L276" s="10434"/>
      <c r="M276" s="10437"/>
      <c r="N276" s="10437"/>
      <c r="O276" s="10437"/>
      <c r="P276" s="10434"/>
      <c r="Q276" s="10434"/>
      <c r="R276" s="10440"/>
      <c r="S276" s="5643"/>
      <c r="T276" s="5697"/>
      <c r="U276" s="5681"/>
      <c r="V276" s="3495"/>
      <c r="W276" s="5499"/>
      <c r="X276" s="3496"/>
      <c r="Y276" s="5552"/>
      <c r="Z276" s="5552"/>
      <c r="AA276" s="5552"/>
      <c r="AB276" s="5553"/>
      <c r="AC276" s="5817"/>
      <c r="AD276" s="3581"/>
      <c r="AE276" s="3579"/>
      <c r="AF276" s="3583"/>
      <c r="AG276" s="3583"/>
      <c r="AH276" s="10462"/>
    </row>
    <row r="277" spans="1:34" s="1001" customFormat="1" ht="25.5" customHeight="1">
      <c r="A277" s="9392"/>
      <c r="B277" s="10511"/>
      <c r="C277" s="10513"/>
      <c r="D277" s="10434"/>
      <c r="E277" s="10434"/>
      <c r="F277" s="10434"/>
      <c r="G277" s="10434"/>
      <c r="H277" s="10434"/>
      <c r="I277" s="10434"/>
      <c r="J277" s="10434"/>
      <c r="K277" s="10434"/>
      <c r="L277" s="10434"/>
      <c r="M277" s="10437"/>
      <c r="N277" s="10437"/>
      <c r="O277" s="10437"/>
      <c r="P277" s="10434"/>
      <c r="Q277" s="10434"/>
      <c r="R277" s="10440"/>
      <c r="S277" s="5643"/>
      <c r="T277" s="5697"/>
      <c r="U277" s="5681"/>
      <c r="V277" s="3495"/>
      <c r="W277" s="5499"/>
      <c r="X277" s="3496"/>
      <c r="Y277" s="5552"/>
      <c r="Z277" s="5552"/>
      <c r="AA277" s="5552"/>
      <c r="AB277" s="5553"/>
      <c r="AC277" s="5817"/>
      <c r="AD277" s="3581"/>
      <c r="AE277" s="3579"/>
      <c r="AF277" s="3583"/>
      <c r="AG277" s="3583"/>
      <c r="AH277" s="10462"/>
    </row>
    <row r="278" spans="1:34" s="1001" customFormat="1" ht="25.5" customHeight="1">
      <c r="A278" s="9392"/>
      <c r="B278" s="10511"/>
      <c r="C278" s="10513"/>
      <c r="D278" s="10434"/>
      <c r="E278" s="10434"/>
      <c r="F278" s="10434"/>
      <c r="G278" s="10434"/>
      <c r="H278" s="10434"/>
      <c r="I278" s="10434"/>
      <c r="J278" s="10434"/>
      <c r="K278" s="10434"/>
      <c r="L278" s="10434"/>
      <c r="M278" s="10437"/>
      <c r="N278" s="10437"/>
      <c r="O278" s="10437"/>
      <c r="P278" s="10434"/>
      <c r="Q278" s="10434"/>
      <c r="R278" s="10440"/>
      <c r="S278" s="5643"/>
      <c r="T278" s="5697"/>
      <c r="U278" s="5681"/>
      <c r="V278" s="3495"/>
      <c r="W278" s="5499"/>
      <c r="X278" s="3496"/>
      <c r="Y278" s="5552"/>
      <c r="Z278" s="5552"/>
      <c r="AA278" s="5552"/>
      <c r="AB278" s="5553"/>
      <c r="AC278" s="5817"/>
      <c r="AD278" s="3581"/>
      <c r="AE278" s="3579"/>
      <c r="AF278" s="3583"/>
      <c r="AG278" s="3583"/>
      <c r="AH278" s="10462"/>
    </row>
    <row r="279" spans="1:34" s="1001" customFormat="1" ht="25.5" customHeight="1">
      <c r="A279" s="9392"/>
      <c r="B279" s="10511"/>
      <c r="C279" s="10515"/>
      <c r="D279" s="10445"/>
      <c r="E279" s="10445"/>
      <c r="F279" s="10445"/>
      <c r="G279" s="10445"/>
      <c r="H279" s="10445"/>
      <c r="I279" s="10445"/>
      <c r="J279" s="10445"/>
      <c r="K279" s="10445"/>
      <c r="L279" s="10445"/>
      <c r="M279" s="10447"/>
      <c r="N279" s="10447"/>
      <c r="O279" s="10447"/>
      <c r="P279" s="10445"/>
      <c r="Q279" s="10445"/>
      <c r="R279" s="10450"/>
      <c r="S279" s="5646"/>
      <c r="T279" s="5699"/>
      <c r="U279" s="5683"/>
      <c r="V279" s="3759"/>
      <c r="W279" s="5509"/>
      <c r="X279" s="3714"/>
      <c r="Y279" s="5554"/>
      <c r="Z279" s="5554"/>
      <c r="AA279" s="5554"/>
      <c r="AB279" s="5555"/>
      <c r="AC279" s="5818"/>
      <c r="AD279" s="3619"/>
      <c r="AE279" s="3617"/>
      <c r="AF279" s="3621"/>
      <c r="AG279" s="3621"/>
      <c r="AH279" s="10463"/>
    </row>
    <row r="280" spans="1:34" s="1001" customFormat="1" ht="25.5" customHeight="1">
      <c r="A280" s="9392"/>
      <c r="B280" s="10511"/>
      <c r="C280" s="10516" t="s">
        <v>127</v>
      </c>
      <c r="D280" s="10433" t="s">
        <v>128</v>
      </c>
      <c r="E280" s="10433" t="s">
        <v>129</v>
      </c>
      <c r="F280" s="10433" t="s">
        <v>268</v>
      </c>
      <c r="G280" s="10442" t="s">
        <v>131</v>
      </c>
      <c r="H280" s="10433" t="s">
        <v>132</v>
      </c>
      <c r="I280" s="10433" t="s">
        <v>159</v>
      </c>
      <c r="J280" s="10443" t="s">
        <v>3744</v>
      </c>
      <c r="K280" s="10433" t="s">
        <v>3745</v>
      </c>
      <c r="L280" s="10433" t="s">
        <v>3746</v>
      </c>
      <c r="M280" s="10436">
        <v>0</v>
      </c>
      <c r="N280" s="10436">
        <v>0</v>
      </c>
      <c r="O280" s="10436">
        <v>0</v>
      </c>
      <c r="P280" s="10433" t="s">
        <v>3747</v>
      </c>
      <c r="Q280" s="10443" t="s">
        <v>3748</v>
      </c>
      <c r="R280" s="10439" t="s">
        <v>3717</v>
      </c>
      <c r="S280" s="5654"/>
      <c r="T280" s="5700"/>
      <c r="U280" s="5685"/>
      <c r="V280" s="3762"/>
      <c r="W280" s="5502"/>
      <c r="X280" s="3709"/>
      <c r="Y280" s="5556"/>
      <c r="Z280" s="5556"/>
      <c r="AA280" s="5556"/>
      <c r="AB280" s="5557"/>
      <c r="AC280" s="5819"/>
      <c r="AD280" s="3599"/>
      <c r="AE280" s="3598"/>
      <c r="AF280" s="3630"/>
      <c r="AG280" s="3630"/>
      <c r="AH280" s="10461" t="s">
        <v>3749</v>
      </c>
    </row>
    <row r="281" spans="1:34" s="1001" customFormat="1" ht="25.5" customHeight="1">
      <c r="A281" s="9392"/>
      <c r="B281" s="10511"/>
      <c r="C281" s="10513"/>
      <c r="D281" s="10434"/>
      <c r="E281" s="10434"/>
      <c r="F281" s="10434"/>
      <c r="G281" s="10434"/>
      <c r="H281" s="10434"/>
      <c r="I281" s="10434"/>
      <c r="J281" s="10434"/>
      <c r="K281" s="10434"/>
      <c r="L281" s="10434"/>
      <c r="M281" s="10437"/>
      <c r="N281" s="10437"/>
      <c r="O281" s="10437"/>
      <c r="P281" s="10434"/>
      <c r="Q281" s="10434"/>
      <c r="R281" s="10440"/>
      <c r="S281" s="5643"/>
      <c r="T281" s="5697"/>
      <c r="U281" s="5681"/>
      <c r="V281" s="3495"/>
      <c r="W281" s="5499"/>
      <c r="X281" s="3496"/>
      <c r="Y281" s="5552"/>
      <c r="Z281" s="5552"/>
      <c r="AA281" s="5552"/>
      <c r="AB281" s="5553"/>
      <c r="AC281" s="5817"/>
      <c r="AD281" s="3581"/>
      <c r="AE281" s="3579"/>
      <c r="AF281" s="3583"/>
      <c r="AG281" s="3583"/>
      <c r="AH281" s="10462"/>
    </row>
    <row r="282" spans="1:34" s="1001" customFormat="1" ht="25.5" customHeight="1">
      <c r="A282" s="9392"/>
      <c r="B282" s="10511"/>
      <c r="C282" s="10513"/>
      <c r="D282" s="10434"/>
      <c r="E282" s="10434"/>
      <c r="F282" s="10434"/>
      <c r="G282" s="10434"/>
      <c r="H282" s="10434"/>
      <c r="I282" s="10434"/>
      <c r="J282" s="10434"/>
      <c r="K282" s="10434"/>
      <c r="L282" s="10434"/>
      <c r="M282" s="10437"/>
      <c r="N282" s="10437"/>
      <c r="O282" s="10437"/>
      <c r="P282" s="10434"/>
      <c r="Q282" s="10434"/>
      <c r="R282" s="10440"/>
      <c r="S282" s="5643"/>
      <c r="T282" s="5697"/>
      <c r="U282" s="5681"/>
      <c r="V282" s="3495"/>
      <c r="W282" s="5499"/>
      <c r="X282" s="3496"/>
      <c r="Y282" s="5552"/>
      <c r="Z282" s="5552"/>
      <c r="AA282" s="5552"/>
      <c r="AB282" s="5553"/>
      <c r="AC282" s="5817"/>
      <c r="AD282" s="3581"/>
      <c r="AE282" s="3579"/>
      <c r="AF282" s="3583"/>
      <c r="AG282" s="3583"/>
      <c r="AH282" s="10462"/>
    </row>
    <row r="283" spans="1:34" s="1001" customFormat="1" ht="25.5" customHeight="1">
      <c r="A283" s="9392"/>
      <c r="B283" s="10511"/>
      <c r="C283" s="10513"/>
      <c r="D283" s="10434"/>
      <c r="E283" s="10434"/>
      <c r="F283" s="10434"/>
      <c r="G283" s="10434"/>
      <c r="H283" s="10434"/>
      <c r="I283" s="10434"/>
      <c r="J283" s="10434"/>
      <c r="K283" s="10434"/>
      <c r="L283" s="10434"/>
      <c r="M283" s="10437"/>
      <c r="N283" s="10437"/>
      <c r="O283" s="10437"/>
      <c r="P283" s="10434"/>
      <c r="Q283" s="10434"/>
      <c r="R283" s="10440"/>
      <c r="S283" s="5645"/>
      <c r="T283" s="5698"/>
      <c r="U283" s="5681"/>
      <c r="V283" s="3495"/>
      <c r="W283" s="5499"/>
      <c r="X283" s="3496"/>
      <c r="Y283" s="5552"/>
      <c r="Z283" s="5552"/>
      <c r="AA283" s="5552"/>
      <c r="AB283" s="5553"/>
      <c r="AC283" s="5817"/>
      <c r="AD283" s="3581"/>
      <c r="AE283" s="3579"/>
      <c r="AF283" s="3583"/>
      <c r="AG283" s="3583"/>
      <c r="AH283" s="10462"/>
    </row>
    <row r="284" spans="1:34" s="1001" customFormat="1" ht="25.5" customHeight="1">
      <c r="A284" s="9392"/>
      <c r="B284" s="10511"/>
      <c r="C284" s="10515"/>
      <c r="D284" s="10445"/>
      <c r="E284" s="10445"/>
      <c r="F284" s="10445"/>
      <c r="G284" s="10445"/>
      <c r="H284" s="10445"/>
      <c r="I284" s="10445"/>
      <c r="J284" s="10445"/>
      <c r="K284" s="10445"/>
      <c r="L284" s="10445"/>
      <c r="M284" s="10447"/>
      <c r="N284" s="10447"/>
      <c r="O284" s="10447"/>
      <c r="P284" s="10445"/>
      <c r="Q284" s="10445"/>
      <c r="R284" s="10450"/>
      <c r="S284" s="5646"/>
      <c r="T284" s="5699"/>
      <c r="U284" s="5683"/>
      <c r="V284" s="3759"/>
      <c r="W284" s="5509"/>
      <c r="X284" s="3714"/>
      <c r="Y284" s="5554"/>
      <c r="Z284" s="5554"/>
      <c r="AA284" s="5554"/>
      <c r="AB284" s="5555"/>
      <c r="AC284" s="5818"/>
      <c r="AD284" s="3619"/>
      <c r="AE284" s="3617"/>
      <c r="AF284" s="3621"/>
      <c r="AG284" s="3621"/>
      <c r="AH284" s="10463"/>
    </row>
    <row r="285" spans="1:34" s="1001" customFormat="1" ht="118.5" customHeight="1">
      <c r="A285" s="9392"/>
      <c r="B285" s="10511"/>
      <c r="C285" s="5637" t="s">
        <v>127</v>
      </c>
      <c r="D285" s="5638" t="s">
        <v>128</v>
      </c>
      <c r="E285" s="5639" t="s">
        <v>129</v>
      </c>
      <c r="F285" s="5639" t="s">
        <v>2961</v>
      </c>
      <c r="G285" s="5640" t="s">
        <v>131</v>
      </c>
      <c r="H285" s="5638" t="s">
        <v>132</v>
      </c>
      <c r="I285" s="5638" t="s">
        <v>159</v>
      </c>
      <c r="J285" s="5639" t="s">
        <v>3750</v>
      </c>
      <c r="K285" s="5639" t="s">
        <v>3751</v>
      </c>
      <c r="L285" s="5639" t="s">
        <v>3752</v>
      </c>
      <c r="M285" s="5641">
        <v>0</v>
      </c>
      <c r="N285" s="5641">
        <v>1</v>
      </c>
      <c r="O285" s="5641">
        <v>1</v>
      </c>
      <c r="P285" s="5639" t="s">
        <v>3753</v>
      </c>
      <c r="Q285" s="5639" t="s">
        <v>3754</v>
      </c>
      <c r="R285" s="5677" t="s">
        <v>3755</v>
      </c>
      <c r="S285" s="5678"/>
      <c r="T285" s="5742"/>
      <c r="U285" s="5743"/>
      <c r="V285" s="5771"/>
      <c r="W285" s="5641"/>
      <c r="X285" s="5789"/>
      <c r="Y285" s="5814"/>
      <c r="Z285" s="5814"/>
      <c r="AA285" s="5814"/>
      <c r="AB285" s="5815"/>
      <c r="AC285" s="5850"/>
      <c r="AD285" s="3654"/>
      <c r="AE285" s="3653"/>
      <c r="AF285" s="3655"/>
      <c r="AG285" s="3655"/>
      <c r="AH285" s="5851"/>
    </row>
    <row r="286" spans="1:34" s="1001" customFormat="1" ht="25.5" customHeight="1">
      <c r="A286" s="9392"/>
      <c r="B286" s="10511"/>
      <c r="C286" s="10512" t="s">
        <v>127</v>
      </c>
      <c r="D286" s="10444" t="s">
        <v>128</v>
      </c>
      <c r="E286" s="10444" t="s">
        <v>129</v>
      </c>
      <c r="F286" s="10444" t="s">
        <v>2961</v>
      </c>
      <c r="G286" s="10451" t="s">
        <v>131</v>
      </c>
      <c r="H286" s="10444" t="s">
        <v>132</v>
      </c>
      <c r="I286" s="10444" t="s">
        <v>159</v>
      </c>
      <c r="J286" s="10444" t="s">
        <v>3756</v>
      </c>
      <c r="K286" s="10444" t="s">
        <v>3757</v>
      </c>
      <c r="L286" s="10444" t="s">
        <v>1265</v>
      </c>
      <c r="M286" s="10455">
        <v>0</v>
      </c>
      <c r="N286" s="10455">
        <v>0</v>
      </c>
      <c r="O286" s="10455">
        <v>1</v>
      </c>
      <c r="P286" s="10444" t="s">
        <v>3758</v>
      </c>
      <c r="Q286" s="10444" t="s">
        <v>1381</v>
      </c>
      <c r="R286" s="10449" t="s">
        <v>3717</v>
      </c>
      <c r="S286" s="5676"/>
      <c r="T286" s="5741"/>
      <c r="U286" s="5690"/>
      <c r="V286" s="4659"/>
      <c r="W286" s="5504"/>
      <c r="X286" s="3658"/>
      <c r="Y286" s="5560"/>
      <c r="Z286" s="5560"/>
      <c r="AA286" s="5560"/>
      <c r="AB286" s="5561"/>
      <c r="AC286" s="5831"/>
      <c r="AD286" s="3636"/>
      <c r="AE286" s="3623"/>
      <c r="AF286" s="3637"/>
      <c r="AG286" s="3637"/>
      <c r="AH286" s="10464"/>
    </row>
    <row r="287" spans="1:34" s="1001" customFormat="1" ht="25.5" customHeight="1">
      <c r="A287" s="9392"/>
      <c r="B287" s="10511"/>
      <c r="C287" s="10513"/>
      <c r="D287" s="10434"/>
      <c r="E287" s="10434"/>
      <c r="F287" s="10434"/>
      <c r="G287" s="10434"/>
      <c r="H287" s="10434"/>
      <c r="I287" s="10434"/>
      <c r="J287" s="10434"/>
      <c r="K287" s="10434"/>
      <c r="L287" s="10434"/>
      <c r="M287" s="10437"/>
      <c r="N287" s="10437"/>
      <c r="O287" s="10437"/>
      <c r="P287" s="10434"/>
      <c r="Q287" s="10434"/>
      <c r="R287" s="10440"/>
      <c r="S287" s="5643"/>
      <c r="T287" s="5697"/>
      <c r="U287" s="5681"/>
      <c r="V287" s="3495"/>
      <c r="W287" s="5499"/>
      <c r="X287" s="3496"/>
      <c r="Y287" s="5552"/>
      <c r="Z287" s="5552"/>
      <c r="AA287" s="5552"/>
      <c r="AB287" s="5553"/>
      <c r="AC287" s="5817"/>
      <c r="AD287" s="3581"/>
      <c r="AE287" s="3579"/>
      <c r="AF287" s="3579"/>
      <c r="AG287" s="3585"/>
      <c r="AH287" s="10462"/>
    </row>
    <row r="288" spans="1:34" s="1001" customFormat="1" ht="25.5" customHeight="1">
      <c r="A288" s="9392"/>
      <c r="B288" s="10511"/>
      <c r="C288" s="10513"/>
      <c r="D288" s="10434"/>
      <c r="E288" s="10434"/>
      <c r="F288" s="10434"/>
      <c r="G288" s="10434"/>
      <c r="H288" s="10434"/>
      <c r="I288" s="10434"/>
      <c r="J288" s="10434"/>
      <c r="K288" s="10434"/>
      <c r="L288" s="10434"/>
      <c r="M288" s="10437"/>
      <c r="N288" s="10437"/>
      <c r="O288" s="10437"/>
      <c r="P288" s="10434"/>
      <c r="Q288" s="10434"/>
      <c r="R288" s="10440"/>
      <c r="S288" s="5643"/>
      <c r="T288" s="5697"/>
      <c r="U288" s="5681"/>
      <c r="V288" s="3495"/>
      <c r="W288" s="5499"/>
      <c r="X288" s="3496"/>
      <c r="Y288" s="5552"/>
      <c r="Z288" s="5552"/>
      <c r="AA288" s="5552"/>
      <c r="AB288" s="5553"/>
      <c r="AC288" s="5817"/>
      <c r="AD288" s="3581"/>
      <c r="AE288" s="3579"/>
      <c r="AF288" s="3579"/>
      <c r="AG288" s="3583"/>
      <c r="AH288" s="10462"/>
    </row>
    <row r="289" spans="1:34" s="1001" customFormat="1" ht="25.5" customHeight="1">
      <c r="A289" s="9392"/>
      <c r="B289" s="10511"/>
      <c r="C289" s="10513"/>
      <c r="D289" s="10434"/>
      <c r="E289" s="10434"/>
      <c r="F289" s="10434"/>
      <c r="G289" s="10434"/>
      <c r="H289" s="10434"/>
      <c r="I289" s="10434"/>
      <c r="J289" s="10434"/>
      <c r="K289" s="10434"/>
      <c r="L289" s="10434"/>
      <c r="M289" s="10437"/>
      <c r="N289" s="10437"/>
      <c r="O289" s="10437"/>
      <c r="P289" s="10434"/>
      <c r="Q289" s="10434"/>
      <c r="R289" s="10440"/>
      <c r="S289" s="5643"/>
      <c r="T289" s="5697"/>
      <c r="U289" s="5681"/>
      <c r="V289" s="3495"/>
      <c r="W289" s="5499"/>
      <c r="X289" s="3496"/>
      <c r="Y289" s="5552"/>
      <c r="Z289" s="5552"/>
      <c r="AA289" s="5552"/>
      <c r="AB289" s="5553"/>
      <c r="AC289" s="5817"/>
      <c r="AD289" s="3581"/>
      <c r="AE289" s="3579"/>
      <c r="AF289" s="3579"/>
      <c r="AG289" s="3583"/>
      <c r="AH289" s="10462"/>
    </row>
    <row r="290" spans="1:34" s="1001" customFormat="1" ht="25.5" customHeight="1">
      <c r="A290" s="9392"/>
      <c r="B290" s="10511"/>
      <c r="C290" s="10514"/>
      <c r="D290" s="10435"/>
      <c r="E290" s="10435"/>
      <c r="F290" s="10435"/>
      <c r="G290" s="10435"/>
      <c r="H290" s="10435"/>
      <c r="I290" s="10435"/>
      <c r="J290" s="10435"/>
      <c r="K290" s="10435"/>
      <c r="L290" s="10435"/>
      <c r="M290" s="10438"/>
      <c r="N290" s="10438"/>
      <c r="O290" s="10438"/>
      <c r="P290" s="10435"/>
      <c r="Q290" s="10435"/>
      <c r="R290" s="10441"/>
      <c r="S290" s="5653"/>
      <c r="T290" s="5701"/>
      <c r="U290" s="5696"/>
      <c r="V290" s="3557"/>
      <c r="W290" s="5503"/>
      <c r="X290" s="3545"/>
      <c r="Y290" s="5558"/>
      <c r="Z290" s="5558"/>
      <c r="AA290" s="5558"/>
      <c r="AB290" s="5559"/>
      <c r="AC290" s="5830"/>
      <c r="AD290" s="3607"/>
      <c r="AE290" s="3606"/>
      <c r="AF290" s="3606"/>
      <c r="AG290" s="3608"/>
      <c r="AH290" s="10465"/>
    </row>
    <row r="291" spans="1:34" s="1001" customFormat="1" ht="22.5" customHeight="1" thickBot="1">
      <c r="A291" s="9392"/>
      <c r="B291" s="10517"/>
      <c r="C291" s="10487"/>
      <c r="D291" s="9678"/>
      <c r="E291" s="9678"/>
      <c r="F291" s="9678"/>
      <c r="G291" s="9678"/>
      <c r="H291" s="9678"/>
      <c r="I291" s="9678"/>
      <c r="J291" s="9678"/>
      <c r="K291" s="9678"/>
      <c r="L291" s="9678"/>
      <c r="M291" s="9678"/>
      <c r="N291" s="9678"/>
      <c r="O291" s="9678"/>
      <c r="P291" s="9678"/>
      <c r="Q291" s="9678"/>
      <c r="R291" s="9678"/>
      <c r="S291" s="9044" t="s">
        <v>3759</v>
      </c>
      <c r="T291" s="9327"/>
      <c r="U291" s="9327"/>
      <c r="V291" s="9327"/>
      <c r="W291" s="9327"/>
      <c r="X291" s="9327"/>
      <c r="Y291" s="9327"/>
      <c r="Z291" s="9327"/>
      <c r="AA291" s="4890" t="s">
        <v>292</v>
      </c>
      <c r="AB291" s="5018">
        <f>SUM(AB256:AB290)</f>
        <v>94.998400000000004</v>
      </c>
      <c r="AC291" s="1742"/>
      <c r="AD291" s="1742"/>
      <c r="AE291" s="10456"/>
      <c r="AF291" s="9678"/>
      <c r="AG291" s="9678"/>
      <c r="AH291" s="10457"/>
    </row>
    <row r="292" spans="1:34" s="1001" customFormat="1" ht="30" customHeight="1" thickBot="1">
      <c r="A292" s="9393"/>
      <c r="B292" s="6233"/>
      <c r="C292" s="2942"/>
      <c r="D292" s="2942"/>
      <c r="E292" s="2942"/>
      <c r="F292" s="2942"/>
      <c r="G292" s="2942"/>
      <c r="H292" s="2942"/>
      <c r="I292" s="2942"/>
      <c r="J292" s="2942"/>
      <c r="K292" s="2942"/>
      <c r="L292" s="2942"/>
      <c r="M292" s="2942"/>
      <c r="N292" s="2942"/>
      <c r="O292" s="2942"/>
      <c r="P292" s="2942"/>
      <c r="Q292" s="2942"/>
      <c r="R292" s="2942"/>
      <c r="S292" s="5400" t="s">
        <v>3477</v>
      </c>
      <c r="T292" s="5870"/>
      <c r="U292" s="5870"/>
      <c r="V292" s="5870"/>
      <c r="W292" s="5870"/>
      <c r="X292" s="5870"/>
      <c r="Y292" s="5870"/>
      <c r="Z292" s="5870"/>
      <c r="AA292" s="502" t="s">
        <v>292</v>
      </c>
      <c r="AB292" s="503">
        <f>SUM(AB45,AB96,AB158,AB219,AB255,AB291)</f>
        <v>284019.67111999996</v>
      </c>
      <c r="AC292" s="1379"/>
      <c r="AD292" s="1379"/>
      <c r="AE292" s="10458"/>
      <c r="AF292" s="9675"/>
      <c r="AG292" s="9675"/>
      <c r="AH292" s="9676"/>
    </row>
    <row r="293" spans="1:34" s="1001" customFormat="1" ht="16.5" customHeight="1" thickTop="1">
      <c r="A293" s="1743"/>
      <c r="B293" s="2814"/>
      <c r="C293" s="2815" t="s">
        <v>3760</v>
      </c>
      <c r="D293" s="2816"/>
      <c r="E293" s="2816"/>
      <c r="F293" s="2816"/>
      <c r="G293" s="2816"/>
      <c r="H293" s="2816"/>
      <c r="I293" s="2816"/>
      <c r="J293" s="2816"/>
      <c r="K293" s="2816"/>
      <c r="L293" s="2816"/>
      <c r="M293" s="2816"/>
      <c r="N293" s="2816"/>
      <c r="O293" s="2816"/>
      <c r="P293" s="2816"/>
      <c r="Q293" s="2816"/>
      <c r="R293" s="2816"/>
      <c r="S293" s="9424" t="s">
        <v>533</v>
      </c>
      <c r="T293" s="10459"/>
      <c r="U293" s="10459"/>
      <c r="V293" s="10459"/>
      <c r="W293" s="10459"/>
      <c r="X293" s="10459"/>
      <c r="Y293" s="10459"/>
      <c r="Z293" s="10459"/>
      <c r="AA293" s="10460"/>
      <c r="AB293" s="10460"/>
      <c r="AC293" s="10460"/>
      <c r="AD293" s="10460"/>
      <c r="AE293" s="10460"/>
      <c r="AF293" s="10460"/>
      <c r="AG293" s="10460"/>
      <c r="AH293" s="10460"/>
    </row>
    <row r="294" spans="1:34" s="1001" customFormat="1" ht="16.5" customHeight="1">
      <c r="A294" s="1743"/>
      <c r="B294" s="1744"/>
      <c r="C294" s="1745" t="s">
        <v>3761</v>
      </c>
      <c r="D294" s="1743"/>
      <c r="E294" s="1743"/>
      <c r="F294" s="1743"/>
      <c r="G294" s="1743"/>
      <c r="H294" s="1743"/>
      <c r="I294" s="1743"/>
      <c r="J294" s="1743"/>
      <c r="K294" s="1743"/>
      <c r="L294" s="1743"/>
      <c r="M294" s="1743"/>
      <c r="N294" s="1743"/>
      <c r="O294" s="1743"/>
      <c r="P294" s="1743"/>
      <c r="Q294" s="1743"/>
      <c r="R294" s="1743"/>
      <c r="S294" s="1728"/>
    </row>
    <row r="295" spans="1:34" s="1001" customFormat="1" ht="16.5" customHeight="1">
      <c r="A295" s="1743"/>
      <c r="B295" s="1744"/>
      <c r="C295" s="1745" t="s">
        <v>3762</v>
      </c>
      <c r="D295" s="1743"/>
      <c r="E295" s="1743"/>
      <c r="F295" s="1743"/>
      <c r="G295" s="1743"/>
      <c r="H295" s="1743"/>
      <c r="I295" s="1743"/>
      <c r="J295" s="1743"/>
      <c r="K295" s="1743"/>
      <c r="L295" s="1743"/>
      <c r="M295" s="1743"/>
      <c r="N295" s="1743"/>
      <c r="O295" s="1743"/>
      <c r="P295" s="1743"/>
      <c r="Q295" s="1743"/>
      <c r="R295" s="1743"/>
      <c r="S295" s="1728"/>
      <c r="T295" s="28"/>
      <c r="U295" s="8775" t="s">
        <v>3415</v>
      </c>
      <c r="V295" s="9379"/>
      <c r="W295" s="9379"/>
      <c r="X295" s="9379"/>
      <c r="Y295" s="9379"/>
      <c r="Z295" s="9379"/>
      <c r="AA295" s="1746"/>
      <c r="AB295" s="1747"/>
      <c r="AC295" s="1747"/>
      <c r="AD295" s="28"/>
      <c r="AE295" s="28"/>
      <c r="AF295" s="28"/>
      <c r="AG295" s="28"/>
    </row>
    <row r="296" spans="1:34" s="1001" customFormat="1" ht="14.25">
      <c r="A296" s="1743"/>
      <c r="B296" s="1743"/>
      <c r="E296" s="1743"/>
      <c r="F296" s="1743"/>
      <c r="G296" s="1743"/>
      <c r="H296" s="1743"/>
      <c r="I296" s="1743"/>
      <c r="J296" s="1743"/>
      <c r="K296" s="1743"/>
      <c r="L296" s="1743"/>
      <c r="M296" s="1743"/>
      <c r="N296" s="1743"/>
      <c r="O296" s="1743"/>
      <c r="P296" s="1743"/>
      <c r="Q296" s="1743"/>
      <c r="R296" s="1743"/>
      <c r="S296" s="1728"/>
      <c r="U296" s="127"/>
      <c r="V296" s="127"/>
      <c r="W296" s="127"/>
      <c r="X296" s="127"/>
      <c r="Y296" s="127"/>
      <c r="Z296" s="127"/>
      <c r="AA296" s="1746"/>
      <c r="AB296" s="1747"/>
      <c r="AC296" s="1747"/>
      <c r="AD296" s="28"/>
      <c r="AE296" s="28"/>
      <c r="AF296" s="28"/>
      <c r="AG296" s="28"/>
    </row>
    <row r="297" spans="1:34" s="1001" customFormat="1" ht="18" customHeight="1" thickTop="1">
      <c r="A297" s="1743"/>
      <c r="B297" s="1743"/>
      <c r="C297" s="1743"/>
      <c r="D297" s="1743"/>
      <c r="E297" s="1743"/>
      <c r="F297" s="1743"/>
      <c r="G297" s="1743"/>
      <c r="H297" s="1743"/>
      <c r="I297" s="1743"/>
      <c r="J297" s="1743"/>
      <c r="K297" s="1743"/>
      <c r="L297" s="1743"/>
      <c r="M297" s="1743"/>
      <c r="N297" s="1743"/>
      <c r="O297" s="1743"/>
      <c r="P297" s="1743"/>
      <c r="Q297" s="1743"/>
      <c r="R297" s="1743"/>
      <c r="S297" s="1728"/>
      <c r="T297" s="127"/>
      <c r="U297" s="5895" t="s">
        <v>5</v>
      </c>
      <c r="V297" s="5896" t="s">
        <v>6</v>
      </c>
      <c r="W297" s="5897" t="s">
        <v>7</v>
      </c>
      <c r="X297" s="5898" t="s">
        <v>352</v>
      </c>
      <c r="Y297" s="5898" t="s">
        <v>9</v>
      </c>
      <c r="Z297" s="5899" t="s">
        <v>353</v>
      </c>
      <c r="AA297" s="1746"/>
      <c r="AB297" s="1747"/>
      <c r="AC297" s="1747"/>
      <c r="AD297" s="28"/>
      <c r="AE297" s="28"/>
      <c r="AF297" s="28"/>
      <c r="AG297" s="28"/>
    </row>
    <row r="298" spans="1:34" s="1001" customFormat="1" ht="82.5">
      <c r="A298" s="1743"/>
      <c r="B298" s="1743"/>
      <c r="C298" s="1743"/>
      <c r="D298" s="1743"/>
      <c r="E298" s="1743"/>
      <c r="F298" s="1743"/>
      <c r="G298" s="1743"/>
      <c r="H298" s="1743"/>
      <c r="I298" s="1743"/>
      <c r="J298" s="1743"/>
      <c r="K298" s="1743"/>
      <c r="L298" s="1743"/>
      <c r="M298" s="1743"/>
      <c r="N298" s="1743"/>
      <c r="O298" s="1743"/>
      <c r="P298" s="1743"/>
      <c r="Q298" s="2192"/>
      <c r="R298" s="2193"/>
      <c r="S298" s="1775"/>
      <c r="T298" s="2067"/>
      <c r="U298" s="5871" t="s">
        <v>15</v>
      </c>
      <c r="V298" s="946" t="s">
        <v>16</v>
      </c>
      <c r="W298" s="1684">
        <v>530204</v>
      </c>
      <c r="X298" s="1678" t="s">
        <v>17</v>
      </c>
      <c r="Y298" s="1678" t="s">
        <v>18</v>
      </c>
      <c r="Z298" s="3836">
        <f>+AB97+AB166</f>
        <v>3174.0648000000001</v>
      </c>
      <c r="AA298" s="28"/>
      <c r="AB298" s="368"/>
      <c r="AC298" s="368"/>
      <c r="AD298" s="28"/>
      <c r="AE298" s="28"/>
      <c r="AF298" s="28"/>
      <c r="AG298" s="28"/>
    </row>
    <row r="299" spans="1:34" s="1001" customFormat="1" ht="33">
      <c r="A299" s="1743"/>
      <c r="B299" s="1743"/>
      <c r="C299" s="1743"/>
      <c r="D299" s="1743"/>
      <c r="E299" s="1743"/>
      <c r="F299" s="1743"/>
      <c r="G299" s="1743"/>
      <c r="H299" s="1743"/>
      <c r="I299" s="1743"/>
      <c r="J299" s="1743"/>
      <c r="K299" s="1743"/>
      <c r="L299" s="1743"/>
      <c r="M299" s="1743"/>
      <c r="N299" s="1743"/>
      <c r="O299" s="1743"/>
      <c r="P299" s="1743"/>
      <c r="Q299" s="2194"/>
      <c r="R299" s="2193"/>
      <c r="S299" s="1775"/>
      <c r="U299" s="5871" t="s">
        <v>15</v>
      </c>
      <c r="V299" s="6106" t="s">
        <v>471</v>
      </c>
      <c r="W299" s="1684">
        <v>530207</v>
      </c>
      <c r="X299" s="1678" t="s">
        <v>17</v>
      </c>
      <c r="Y299" s="1678" t="s">
        <v>18</v>
      </c>
      <c r="Z299" s="3836">
        <f>SUM($AB$261)</f>
        <v>0</v>
      </c>
      <c r="AA299" s="28"/>
      <c r="AB299" s="368"/>
      <c r="AC299" s="368"/>
      <c r="AD299" s="28"/>
      <c r="AE299" s="28"/>
      <c r="AF299" s="28"/>
      <c r="AG299" s="28"/>
    </row>
    <row r="300" spans="1:34" s="1001" customFormat="1" ht="49.5">
      <c r="A300" s="1743"/>
      <c r="B300" s="1743"/>
      <c r="C300" s="1743"/>
      <c r="D300" s="1743"/>
      <c r="E300" s="1743"/>
      <c r="F300" s="1743"/>
      <c r="G300" s="1743"/>
      <c r="H300" s="1743"/>
      <c r="I300" s="1743"/>
      <c r="J300" s="1743"/>
      <c r="K300" s="1743"/>
      <c r="L300" s="1743"/>
      <c r="M300" s="1743"/>
      <c r="N300" s="1743"/>
      <c r="O300" s="1743"/>
      <c r="P300" s="1743"/>
      <c r="Q300" s="2194"/>
      <c r="R300" s="2193"/>
      <c r="S300" s="1775"/>
      <c r="U300" s="5871" t="s">
        <v>15</v>
      </c>
      <c r="V300" s="6106" t="s">
        <v>3540</v>
      </c>
      <c r="W300" s="1684">
        <v>530228</v>
      </c>
      <c r="X300" s="1678" t="s">
        <v>17</v>
      </c>
      <c r="Y300" s="1678" t="s">
        <v>18</v>
      </c>
      <c r="Z300" s="3836">
        <f>+AB102</f>
        <v>20.160000000000004</v>
      </c>
      <c r="AA300" s="28"/>
      <c r="AB300" s="368"/>
      <c r="AC300" s="368"/>
      <c r="AD300" s="28"/>
      <c r="AE300" s="28"/>
      <c r="AF300" s="28"/>
      <c r="AG300" s="28"/>
    </row>
    <row r="301" spans="1:34" s="1001" customFormat="1" ht="33">
      <c r="A301" s="1743"/>
      <c r="B301" s="1743"/>
      <c r="C301" s="1743"/>
      <c r="D301" s="1743"/>
      <c r="E301" s="1743"/>
      <c r="F301" s="1743"/>
      <c r="G301" s="1743"/>
      <c r="H301" s="1743"/>
      <c r="I301" s="1743"/>
      <c r="J301" s="1743"/>
      <c r="K301" s="1743"/>
      <c r="L301" s="1743"/>
      <c r="M301" s="1743"/>
      <c r="N301" s="1743"/>
      <c r="O301" s="1743"/>
      <c r="P301" s="1743"/>
      <c r="Q301" s="2194"/>
      <c r="R301" s="85"/>
      <c r="S301" s="1775"/>
      <c r="U301" s="5871" t="s">
        <v>15</v>
      </c>
      <c r="V301" s="946" t="s">
        <v>40</v>
      </c>
      <c r="W301" s="1684">
        <v>531407</v>
      </c>
      <c r="X301" s="1678" t="s">
        <v>17</v>
      </c>
      <c r="Y301" s="1678" t="s">
        <v>18</v>
      </c>
      <c r="Z301" s="3836">
        <f>+AB40+AB99+AB164+AB169+AB199+AB220+AB256</f>
        <v>1275.2924800000001</v>
      </c>
      <c r="AA301" s="28"/>
      <c r="AB301" s="368"/>
      <c r="AC301" s="368"/>
      <c r="AD301" s="28"/>
      <c r="AE301" s="28"/>
      <c r="AF301" s="28"/>
      <c r="AG301" s="28"/>
    </row>
    <row r="302" spans="1:34" s="1001" customFormat="1" ht="33">
      <c r="A302" s="1743"/>
      <c r="B302" s="1743"/>
      <c r="C302" s="1743"/>
      <c r="D302" s="1743"/>
      <c r="E302" s="1743"/>
      <c r="F302" s="1743"/>
      <c r="G302" s="1743"/>
      <c r="H302" s="1743"/>
      <c r="I302" s="1743"/>
      <c r="J302" s="1743"/>
      <c r="K302" s="1743"/>
      <c r="L302" s="1743"/>
      <c r="M302" s="1743"/>
      <c r="N302" s="1743"/>
      <c r="O302" s="1743"/>
      <c r="P302" s="1743"/>
      <c r="Q302" s="2192"/>
      <c r="R302" s="2193"/>
      <c r="S302" s="1775"/>
      <c r="U302" s="5871" t="s">
        <v>15</v>
      </c>
      <c r="V302" s="946" t="s">
        <v>3542</v>
      </c>
      <c r="W302" s="1684">
        <v>570203</v>
      </c>
      <c r="X302" s="1678" t="s">
        <v>17</v>
      </c>
      <c r="Y302" s="1678" t="s">
        <v>26</v>
      </c>
      <c r="Z302" s="3836">
        <f>SUM($AB$104)</f>
        <v>89.04</v>
      </c>
      <c r="AA302" s="28"/>
      <c r="AB302" s="368"/>
      <c r="AC302" s="368"/>
      <c r="AD302" s="28"/>
      <c r="AE302" s="28"/>
      <c r="AF302" s="28"/>
      <c r="AG302" s="28"/>
    </row>
    <row r="303" spans="1:34" s="1001" customFormat="1" ht="33">
      <c r="A303" s="1743"/>
      <c r="B303" s="1743"/>
      <c r="C303" s="1743"/>
      <c r="D303" s="1743"/>
      <c r="E303" s="1743"/>
      <c r="F303" s="1743"/>
      <c r="G303" s="1743"/>
      <c r="H303" s="1743"/>
      <c r="I303" s="1743"/>
      <c r="J303" s="1743"/>
      <c r="K303" s="1743"/>
      <c r="L303" s="1743"/>
      <c r="M303" s="1743"/>
      <c r="N303" s="1743"/>
      <c r="O303" s="1743"/>
      <c r="P303" s="1743"/>
      <c r="Q303" s="2192"/>
      <c r="R303" s="2193"/>
      <c r="S303" s="1775"/>
      <c r="U303" s="5871" t="s">
        <v>15</v>
      </c>
      <c r="V303" s="946" t="s">
        <v>3465</v>
      </c>
      <c r="W303" s="1684">
        <v>570218</v>
      </c>
      <c r="X303" s="1678" t="s">
        <v>17</v>
      </c>
      <c r="Y303" s="1678" t="s">
        <v>18</v>
      </c>
      <c r="Z303" s="3836">
        <f>AA224</f>
        <v>5000</v>
      </c>
      <c r="AA303" s="28"/>
      <c r="AB303" s="368"/>
      <c r="AC303" s="368"/>
      <c r="AD303" s="28"/>
      <c r="AE303" s="28"/>
      <c r="AF303" s="28"/>
      <c r="AG303" s="28"/>
    </row>
    <row r="304" spans="1:34" s="1001" customFormat="1" ht="33">
      <c r="A304" s="1743"/>
      <c r="B304" s="1743"/>
      <c r="C304" s="1743"/>
      <c r="D304" s="1743"/>
      <c r="E304" s="1743"/>
      <c r="F304" s="1743"/>
      <c r="G304" s="1743"/>
      <c r="H304" s="1743"/>
      <c r="I304" s="1743"/>
      <c r="J304" s="1743"/>
      <c r="K304" s="1743"/>
      <c r="L304" s="1743"/>
      <c r="M304" s="1743"/>
      <c r="N304" s="1743"/>
      <c r="O304" s="1743"/>
      <c r="P304" s="1743"/>
      <c r="Q304" s="2192"/>
      <c r="R304" s="2193"/>
      <c r="S304" s="127"/>
      <c r="U304" s="5871" t="s">
        <v>15</v>
      </c>
      <c r="V304" s="946" t="s">
        <v>3462</v>
      </c>
      <c r="W304" s="1684">
        <v>580204</v>
      </c>
      <c r="X304" s="1678" t="s">
        <v>17</v>
      </c>
      <c r="Y304" s="1678" t="s">
        <v>18</v>
      </c>
      <c r="Z304" s="3836">
        <f>$AB$26</f>
        <v>1500</v>
      </c>
      <c r="AA304" s="28"/>
      <c r="AB304" s="368"/>
      <c r="AC304" s="368"/>
      <c r="AD304" s="28"/>
      <c r="AE304" s="28"/>
      <c r="AF304" s="28"/>
      <c r="AG304" s="28"/>
    </row>
    <row r="305" spans="1:33" s="1001" customFormat="1" ht="33">
      <c r="A305" s="1743"/>
      <c r="B305" s="1743"/>
      <c r="C305" s="1743"/>
      <c r="D305" s="1743"/>
      <c r="E305" s="1743"/>
      <c r="F305" s="1743"/>
      <c r="G305" s="1743"/>
      <c r="H305" s="1743"/>
      <c r="I305" s="1743"/>
      <c r="J305" s="1743"/>
      <c r="K305" s="1743"/>
      <c r="L305" s="1743"/>
      <c r="M305" s="1743"/>
      <c r="N305" s="1743"/>
      <c r="O305" s="1743"/>
      <c r="P305" s="1743"/>
      <c r="Q305" s="2192"/>
      <c r="R305" s="2193"/>
      <c r="S305" s="127"/>
      <c r="U305" s="5871" t="s">
        <v>15</v>
      </c>
      <c r="V305" s="946" t="s">
        <v>660</v>
      </c>
      <c r="W305" s="1684">
        <v>840104</v>
      </c>
      <c r="X305" s="1678" t="s">
        <v>17</v>
      </c>
      <c r="Y305" s="1678" t="s">
        <v>18</v>
      </c>
      <c r="Z305" s="3836">
        <f>SUM($AB$106)</f>
        <v>360.00384000000003</v>
      </c>
      <c r="AA305" s="28"/>
      <c r="AB305" s="368"/>
      <c r="AC305" s="368"/>
      <c r="AD305" s="28"/>
      <c r="AE305" s="28"/>
      <c r="AF305" s="28"/>
      <c r="AG305" s="28"/>
    </row>
    <row r="306" spans="1:33" s="1001" customFormat="1" ht="33">
      <c r="A306" s="1743"/>
      <c r="B306" s="1743"/>
      <c r="C306" s="1743"/>
      <c r="D306" s="1743"/>
      <c r="E306" s="1743"/>
      <c r="F306" s="1743"/>
      <c r="G306" s="1743"/>
      <c r="H306" s="1743"/>
      <c r="I306" s="1743"/>
      <c r="J306" s="1743"/>
      <c r="K306" s="1743"/>
      <c r="L306" s="1743"/>
      <c r="M306" s="1743"/>
      <c r="N306" s="1743"/>
      <c r="O306" s="1743"/>
      <c r="P306" s="1743"/>
      <c r="Q306" s="2192"/>
      <c r="R306" s="2193"/>
      <c r="S306" s="127"/>
      <c r="U306" s="5871" t="s">
        <v>15</v>
      </c>
      <c r="V306" s="946" t="s">
        <v>3460</v>
      </c>
      <c r="W306" s="1684">
        <v>990101</v>
      </c>
      <c r="X306" s="1678" t="s">
        <v>17</v>
      </c>
      <c r="Y306" s="1678" t="s">
        <v>18</v>
      </c>
      <c r="Z306" s="3836">
        <f>SUM($AB$24)</f>
        <v>23000</v>
      </c>
      <c r="AA306" s="28"/>
      <c r="AB306" s="368"/>
      <c r="AC306" s="368"/>
      <c r="AD306" s="28"/>
      <c r="AE306" s="28"/>
      <c r="AF306" s="28"/>
      <c r="AG306" s="28"/>
    </row>
    <row r="307" spans="1:33" s="1001" customFormat="1" ht="33">
      <c r="A307" s="1743"/>
      <c r="B307" s="1743"/>
      <c r="C307" s="1743"/>
      <c r="D307" s="1743"/>
      <c r="E307" s="1743"/>
      <c r="F307" s="1743"/>
      <c r="G307" s="1743"/>
      <c r="H307" s="1743"/>
      <c r="I307" s="1743"/>
      <c r="J307" s="1743"/>
      <c r="K307" s="1743"/>
      <c r="L307" s="1743"/>
      <c r="M307" s="1743"/>
      <c r="N307" s="1743"/>
      <c r="O307" s="1743"/>
      <c r="P307" s="1743"/>
      <c r="Q307" s="2192"/>
      <c r="R307" s="2193"/>
      <c r="S307" s="127"/>
      <c r="U307" s="3827" t="s">
        <v>79</v>
      </c>
      <c r="V307" s="946" t="s">
        <v>3460</v>
      </c>
      <c r="W307" s="1684">
        <v>990101</v>
      </c>
      <c r="X307" s="1678" t="s">
        <v>17</v>
      </c>
      <c r="Y307" s="1678" t="s">
        <v>18</v>
      </c>
      <c r="Z307" s="3836">
        <f>AB28</f>
        <v>249601.11</v>
      </c>
      <c r="AA307" s="1748"/>
      <c r="AB307" s="368"/>
      <c r="AC307" s="368"/>
      <c r="AD307" s="28"/>
      <c r="AE307" s="28"/>
      <c r="AF307" s="28"/>
      <c r="AG307" s="28"/>
    </row>
    <row r="308" spans="1:33" s="1001" customFormat="1" ht="18" customHeight="1" thickBot="1">
      <c r="A308" s="1743"/>
      <c r="B308" s="1743"/>
      <c r="C308" s="1743"/>
      <c r="D308" s="1743"/>
      <c r="E308" s="1743"/>
      <c r="F308" s="1743"/>
      <c r="G308" s="1743"/>
      <c r="H308" s="1743"/>
      <c r="I308" s="1743"/>
      <c r="J308" s="1743"/>
      <c r="K308" s="1743"/>
      <c r="L308" s="1743"/>
      <c r="M308" s="1743"/>
      <c r="N308" s="1743"/>
      <c r="O308" s="1743"/>
      <c r="P308" s="1743"/>
      <c r="Q308" s="2195"/>
      <c r="R308" s="2196"/>
      <c r="S308" s="2197"/>
      <c r="U308" s="5930"/>
      <c r="V308" s="5931" t="s">
        <v>67</v>
      </c>
      <c r="W308" s="5932"/>
      <c r="X308" s="5932"/>
      <c r="Y308" s="5926" t="s">
        <v>292</v>
      </c>
      <c r="Z308" s="5938">
        <f>SUM(Z298:Z307)</f>
        <v>284019.67111999996</v>
      </c>
      <c r="AA308" s="28"/>
      <c r="AB308" s="368"/>
      <c r="AC308" s="368"/>
      <c r="AD308" s="28"/>
      <c r="AE308" s="28"/>
      <c r="AF308" s="28"/>
      <c r="AG308" s="28"/>
    </row>
    <row r="309" spans="1:33" s="1001" customFormat="1" ht="16.5" customHeight="1" thickTop="1">
      <c r="A309" s="1743"/>
      <c r="B309" s="1743"/>
      <c r="C309" s="1743"/>
      <c r="D309" s="1743"/>
      <c r="E309" s="1743"/>
      <c r="F309" s="1743"/>
      <c r="G309" s="1743"/>
      <c r="H309" s="1743"/>
      <c r="I309" s="1743"/>
      <c r="J309" s="1743"/>
      <c r="K309" s="1743"/>
      <c r="L309" s="1743"/>
      <c r="M309" s="1743"/>
      <c r="N309" s="1743"/>
      <c r="O309" s="1743"/>
      <c r="P309" s="1743"/>
      <c r="T309" s="2067"/>
      <c r="U309" s="127"/>
      <c r="V309" s="127"/>
      <c r="W309" s="1749"/>
      <c r="X309" s="127"/>
      <c r="Y309" s="127"/>
      <c r="Z309" s="127"/>
      <c r="AA309" s="28"/>
      <c r="AB309" s="368"/>
      <c r="AC309" s="368"/>
      <c r="AD309" s="28"/>
      <c r="AE309" s="28"/>
      <c r="AF309" s="28"/>
      <c r="AG309" s="28"/>
    </row>
    <row r="310" spans="1:33" s="1001" customFormat="1" ht="16.5" customHeight="1">
      <c r="A310" s="1743"/>
      <c r="B310" s="1743"/>
      <c r="C310" s="1743"/>
      <c r="D310" s="1743"/>
      <c r="E310" s="1743"/>
      <c r="F310" s="1743"/>
      <c r="G310" s="1743"/>
      <c r="H310" s="1743"/>
      <c r="I310" s="1743"/>
      <c r="J310" s="1743"/>
      <c r="K310" s="1743"/>
      <c r="L310" s="1743"/>
      <c r="M310" s="1743"/>
      <c r="N310" s="1743"/>
      <c r="O310" s="1743"/>
      <c r="P310" s="1743"/>
      <c r="T310" s="127"/>
      <c r="U310" s="127"/>
      <c r="V310" s="1750"/>
      <c r="W310" s="127"/>
      <c r="X310" s="1749"/>
      <c r="Y310" s="127"/>
      <c r="Z310" s="127"/>
      <c r="AA310" s="28"/>
      <c r="AB310" s="368"/>
      <c r="AC310" s="368"/>
      <c r="AD310" s="28"/>
      <c r="AE310" s="28"/>
      <c r="AF310" s="28"/>
      <c r="AG310" s="28"/>
    </row>
    <row r="311" spans="1:33" s="1001" customFormat="1" ht="16.5" customHeight="1">
      <c r="A311" s="1743"/>
      <c r="B311" s="1743"/>
      <c r="C311" s="1743"/>
      <c r="D311" s="1743"/>
      <c r="E311" s="1743"/>
      <c r="F311" s="1743"/>
      <c r="G311" s="1743"/>
      <c r="H311" s="1743"/>
      <c r="I311" s="1743"/>
      <c r="J311" s="1743"/>
      <c r="K311" s="1743"/>
      <c r="L311" s="1743"/>
      <c r="M311" s="1743"/>
      <c r="N311" s="1743"/>
      <c r="O311" s="1743"/>
      <c r="P311" s="1743"/>
      <c r="U311" s="8764" t="s">
        <v>356</v>
      </c>
      <c r="V311" s="9366"/>
      <c r="W311" s="9367"/>
      <c r="X311" s="1749"/>
      <c r="Y311" s="1751" t="s">
        <v>357</v>
      </c>
      <c r="Z311" s="85" t="str">
        <f>IF(Z308=$AB$292,"OK","NO")</f>
        <v>OK</v>
      </c>
      <c r="AA311" s="28"/>
      <c r="AB311" s="368"/>
      <c r="AC311" s="368"/>
      <c r="AD311" s="28"/>
      <c r="AE311" s="28"/>
      <c r="AF311" s="28"/>
      <c r="AG311" s="28"/>
    </row>
    <row r="312" spans="1:33" s="1001" customFormat="1" ht="16.5" customHeight="1">
      <c r="A312" s="1743"/>
      <c r="B312" s="1743"/>
      <c r="C312" s="1743"/>
      <c r="D312" s="1743"/>
      <c r="E312" s="1743"/>
      <c r="F312" s="1743"/>
      <c r="G312" s="1743"/>
      <c r="H312" s="1743"/>
      <c r="I312" s="1743"/>
      <c r="J312" s="1743"/>
      <c r="K312" s="1743"/>
      <c r="L312" s="1743"/>
      <c r="M312" s="1743"/>
      <c r="N312" s="1743"/>
      <c r="O312" s="1743"/>
      <c r="P312" s="1743"/>
      <c r="U312" s="10485" t="s">
        <v>358</v>
      </c>
      <c r="V312" s="9368"/>
      <c r="W312" s="7662">
        <v>0</v>
      </c>
      <c r="X312" s="1749"/>
      <c r="Y312" s="127"/>
      <c r="Z312" s="85" t="str">
        <f>IF(W316=$AB$292,"OK","NO")</f>
        <v>OK</v>
      </c>
      <c r="AA312" s="28"/>
      <c r="AB312" s="368"/>
      <c r="AC312" s="368"/>
      <c r="AD312" s="28"/>
      <c r="AE312" s="28"/>
      <c r="AF312" s="28"/>
      <c r="AG312" s="28"/>
    </row>
    <row r="313" spans="1:33" s="1001" customFormat="1" ht="16.5" customHeight="1">
      <c r="A313" s="1743"/>
      <c r="B313" s="1743"/>
      <c r="C313" s="1743"/>
      <c r="D313" s="1743"/>
      <c r="E313" s="1743"/>
      <c r="F313" s="1743"/>
      <c r="G313" s="1743"/>
      <c r="H313" s="1743"/>
      <c r="I313" s="1743"/>
      <c r="J313" s="1743"/>
      <c r="K313" s="1743"/>
      <c r="L313" s="1743"/>
      <c r="M313" s="1743"/>
      <c r="N313" s="1743"/>
      <c r="O313" s="1743"/>
      <c r="P313" s="1743"/>
      <c r="U313" s="10486" t="s">
        <v>359</v>
      </c>
      <c r="V313" s="9369"/>
      <c r="W313" s="7663">
        <f>+Z302</f>
        <v>89.04</v>
      </c>
      <c r="X313" s="1749"/>
      <c r="Y313" s="127"/>
      <c r="Z313" s="85" t="str">
        <f>IF(W326=$AB$292,"OK","NO")</f>
        <v>OK</v>
      </c>
      <c r="AA313" s="28"/>
      <c r="AB313" s="368"/>
      <c r="AC313" s="368"/>
      <c r="AD313" s="28"/>
      <c r="AE313" s="28"/>
      <c r="AF313" s="28"/>
      <c r="AG313" s="28"/>
    </row>
    <row r="314" spans="1:33" s="1001" customFormat="1" ht="16.5" customHeight="1">
      <c r="A314" s="1743"/>
      <c r="B314" s="1743"/>
      <c r="C314" s="1743"/>
      <c r="D314" s="1743"/>
      <c r="E314" s="1743"/>
      <c r="F314" s="1743"/>
      <c r="G314" s="1743"/>
      <c r="H314" s="1743"/>
      <c r="I314" s="1743"/>
      <c r="J314" s="1743"/>
      <c r="K314" s="1743"/>
      <c r="L314" s="1743"/>
      <c r="M314" s="1743"/>
      <c r="N314" s="1743"/>
      <c r="O314" s="1743"/>
      <c r="P314" s="1743"/>
      <c r="U314" s="10486" t="s">
        <v>360</v>
      </c>
      <c r="V314" s="9369"/>
      <c r="W314" s="7663">
        <f>+Z298+Z299+Z300+Z301+Z303+Z304+Z305+Z306+Z307</f>
        <v>283930.63111999998</v>
      </c>
      <c r="X314" s="1749"/>
      <c r="Y314" s="1749"/>
      <c r="Z314" s="85" t="str">
        <f>IF(Resumen!C419=AB292,"OK","NO")</f>
        <v>OK</v>
      </c>
      <c r="AA314" s="28"/>
      <c r="AB314" s="368"/>
      <c r="AC314" s="368"/>
      <c r="AD314" s="28"/>
      <c r="AE314" s="28"/>
      <c r="AF314" s="28"/>
      <c r="AG314" s="28"/>
    </row>
    <row r="315" spans="1:33" s="1001" customFormat="1" ht="16.5" customHeight="1">
      <c r="A315" s="1743"/>
      <c r="B315" s="1743"/>
      <c r="C315" s="1743"/>
      <c r="D315" s="1743"/>
      <c r="E315" s="1743"/>
      <c r="F315" s="1743"/>
      <c r="G315" s="1743"/>
      <c r="H315" s="1743"/>
      <c r="I315" s="1743"/>
      <c r="J315" s="1743"/>
      <c r="K315" s="1743"/>
      <c r="L315" s="1743"/>
      <c r="M315" s="1743"/>
      <c r="N315" s="1743"/>
      <c r="O315" s="1743"/>
      <c r="P315" s="1743"/>
      <c r="U315" s="10486" t="s">
        <v>361</v>
      </c>
      <c r="V315" s="9369"/>
      <c r="W315" s="7664">
        <v>0</v>
      </c>
      <c r="X315" s="1749"/>
      <c r="Y315" s="1749"/>
      <c r="Z315" s="127"/>
      <c r="AA315" s="28"/>
      <c r="AB315" s="368"/>
      <c r="AC315" s="368"/>
      <c r="AD315" s="28"/>
      <c r="AE315" s="28"/>
      <c r="AF315" s="28"/>
      <c r="AG315" s="28"/>
    </row>
    <row r="316" spans="1:33" s="1001" customFormat="1" ht="16.5" customHeight="1">
      <c r="A316" s="1743"/>
      <c r="B316" s="1743"/>
      <c r="C316" s="1743"/>
      <c r="D316" s="1743"/>
      <c r="E316" s="1743"/>
      <c r="F316" s="1743"/>
      <c r="G316" s="1743"/>
      <c r="H316" s="1743"/>
      <c r="I316" s="1743"/>
      <c r="J316" s="1743"/>
      <c r="K316" s="1743"/>
      <c r="L316" s="1743"/>
      <c r="M316" s="1743"/>
      <c r="N316" s="1743"/>
      <c r="O316" s="1743"/>
      <c r="P316" s="1743"/>
      <c r="U316" s="9371" t="s">
        <v>67</v>
      </c>
      <c r="V316" s="9372"/>
      <c r="W316" s="2913">
        <f>SUM(W312:W315)</f>
        <v>284019.67111999996</v>
      </c>
      <c r="X316" s="1749"/>
      <c r="Y316" s="1749"/>
      <c r="Z316" s="127"/>
      <c r="AA316" s="28"/>
      <c r="AB316" s="368"/>
      <c r="AC316" s="368"/>
      <c r="AD316" s="28"/>
      <c r="AE316" s="28"/>
      <c r="AF316" s="28"/>
      <c r="AG316" s="28"/>
    </row>
    <row r="317" spans="1:33" s="1001" customFormat="1" ht="16.5" customHeight="1">
      <c r="A317" s="1743"/>
      <c r="B317" s="1743"/>
      <c r="C317" s="1743"/>
      <c r="D317" s="1743"/>
      <c r="E317" s="1743"/>
      <c r="F317" s="1743"/>
      <c r="G317" s="1743"/>
      <c r="H317" s="1743"/>
      <c r="I317" s="1743"/>
      <c r="J317" s="1743"/>
      <c r="K317" s="1743"/>
      <c r="L317" s="1743"/>
      <c r="M317" s="1743"/>
      <c r="N317" s="1743"/>
      <c r="O317" s="1743"/>
      <c r="P317" s="1743"/>
      <c r="U317" s="8758" t="s">
        <v>362</v>
      </c>
      <c r="V317" s="9373"/>
      <c r="W317" s="9374"/>
      <c r="X317" s="1752"/>
      <c r="Y317" s="1752"/>
      <c r="Z317" s="127"/>
      <c r="AA317" s="28"/>
      <c r="AB317" s="368"/>
      <c r="AC317" s="368"/>
      <c r="AD317" s="28"/>
      <c r="AE317" s="28"/>
      <c r="AF317" s="28"/>
      <c r="AG317" s="28"/>
    </row>
    <row r="318" spans="1:33" s="1001" customFormat="1" ht="16.5" customHeight="1">
      <c r="A318" s="1743"/>
      <c r="B318" s="1743"/>
      <c r="C318" s="1743"/>
      <c r="D318" s="1743"/>
      <c r="E318" s="1743"/>
      <c r="F318" s="1743"/>
      <c r="G318" s="1743"/>
      <c r="H318" s="1743"/>
      <c r="I318" s="1743"/>
      <c r="J318" s="1743"/>
      <c r="K318" s="1743"/>
      <c r="L318" s="1743"/>
      <c r="M318" s="1743"/>
      <c r="N318" s="1743"/>
      <c r="O318" s="1743"/>
      <c r="P318" s="1743"/>
      <c r="U318" s="8932" t="s">
        <v>363</v>
      </c>
      <c r="V318" s="9369"/>
      <c r="W318" s="7662">
        <v>0</v>
      </c>
      <c r="X318" s="1752"/>
      <c r="Y318" s="1752"/>
      <c r="Z318" s="127"/>
      <c r="AA318" s="28"/>
      <c r="AB318" s="368"/>
      <c r="AC318" s="368"/>
      <c r="AD318" s="28"/>
      <c r="AE318" s="28"/>
      <c r="AF318" s="28"/>
      <c r="AG318" s="28"/>
    </row>
    <row r="319" spans="1:33" s="1001" customFormat="1" ht="16.5" customHeight="1">
      <c r="A319" s="1743"/>
      <c r="B319" s="1743"/>
      <c r="C319" s="1743"/>
      <c r="D319" s="1743"/>
      <c r="E319" s="1743"/>
      <c r="F319" s="1743"/>
      <c r="G319" s="1743"/>
      <c r="H319" s="1743"/>
      <c r="I319" s="1743"/>
      <c r="J319" s="1743"/>
      <c r="K319" s="1743"/>
      <c r="L319" s="1743"/>
      <c r="M319" s="1743"/>
      <c r="N319" s="1743"/>
      <c r="O319" s="1743"/>
      <c r="P319" s="1743"/>
      <c r="U319" s="8762" t="s">
        <v>364</v>
      </c>
      <c r="V319" s="9369"/>
      <c r="W319" s="7663">
        <f>+Z298+Z299+Z300+Z301</f>
        <v>4469.51728</v>
      </c>
      <c r="X319" s="1752"/>
      <c r="Y319" s="1752"/>
      <c r="Z319" s="127"/>
      <c r="AA319" s="28"/>
      <c r="AB319" s="368"/>
      <c r="AC319" s="368"/>
      <c r="AD319" s="28"/>
      <c r="AE319" s="28"/>
      <c r="AF319" s="28"/>
      <c r="AG319" s="28"/>
    </row>
    <row r="320" spans="1:33" s="1001" customFormat="1" ht="16.5" customHeight="1">
      <c r="A320" s="1743"/>
      <c r="B320" s="1743"/>
      <c r="C320" s="1743"/>
      <c r="D320" s="1743"/>
      <c r="E320" s="1743"/>
      <c r="F320" s="1743"/>
      <c r="G320" s="1743"/>
      <c r="H320" s="1743"/>
      <c r="I320" s="1743"/>
      <c r="J320" s="1743"/>
      <c r="K320" s="1743"/>
      <c r="L320" s="1743"/>
      <c r="M320" s="1743"/>
      <c r="N320" s="1743"/>
      <c r="O320" s="1743"/>
      <c r="P320" s="1743"/>
      <c r="U320" s="8762" t="s">
        <v>365</v>
      </c>
      <c r="V320" s="9369"/>
      <c r="W320" s="7663">
        <f>+Z302+Z303</f>
        <v>5089.04</v>
      </c>
      <c r="X320" s="330"/>
      <c r="Y320" s="330"/>
      <c r="Z320" s="127"/>
      <c r="AA320" s="28"/>
      <c r="AB320" s="368"/>
      <c r="AC320" s="368"/>
      <c r="AD320" s="28"/>
      <c r="AE320" s="28"/>
      <c r="AF320" s="28"/>
      <c r="AG320" s="28"/>
    </row>
    <row r="321" spans="1:33" s="1001" customFormat="1" ht="16.5" customHeight="1">
      <c r="A321" s="1743"/>
      <c r="B321" s="1743"/>
      <c r="C321" s="1743"/>
      <c r="D321" s="1743"/>
      <c r="E321" s="1743"/>
      <c r="F321" s="1743"/>
      <c r="G321" s="1743"/>
      <c r="H321" s="1743"/>
      <c r="I321" s="1743"/>
      <c r="J321" s="1743"/>
      <c r="K321" s="1743"/>
      <c r="L321" s="1743"/>
      <c r="M321" s="1743"/>
      <c r="N321" s="1743"/>
      <c r="O321" s="1743"/>
      <c r="P321" s="1743"/>
      <c r="Q321" s="1743"/>
      <c r="R321" s="1743"/>
      <c r="S321" s="1743"/>
      <c r="T321" s="1743"/>
      <c r="U321" s="8762" t="s">
        <v>366</v>
      </c>
      <c r="V321" s="9369"/>
      <c r="W321" s="7663">
        <f>Z304</f>
        <v>1500</v>
      </c>
      <c r="X321" s="1749"/>
      <c r="Y321" s="1749"/>
      <c r="Z321" s="127"/>
      <c r="AA321" s="28"/>
      <c r="AB321" s="368"/>
      <c r="AC321" s="368"/>
      <c r="AD321" s="28"/>
      <c r="AE321" s="28"/>
      <c r="AF321" s="28"/>
      <c r="AG321" s="28"/>
    </row>
    <row r="322" spans="1:33" s="1001" customFormat="1" ht="16.5" customHeight="1">
      <c r="A322" s="1743"/>
      <c r="B322" s="1743"/>
      <c r="C322" s="1743"/>
      <c r="D322" s="1743"/>
      <c r="E322" s="1743"/>
      <c r="F322" s="1743"/>
      <c r="G322" s="1743"/>
      <c r="H322" s="1743"/>
      <c r="I322" s="1743"/>
      <c r="J322" s="1743"/>
      <c r="K322" s="1743"/>
      <c r="L322" s="1743"/>
      <c r="M322" s="1743"/>
      <c r="N322" s="1743"/>
      <c r="O322" s="1743"/>
      <c r="P322" s="1743"/>
      <c r="Q322" s="1743"/>
      <c r="R322" s="1743"/>
      <c r="S322" s="1743"/>
      <c r="T322" s="1743"/>
      <c r="U322" s="8762" t="s">
        <v>367</v>
      </c>
      <c r="V322" s="9369"/>
      <c r="W322" s="7663">
        <v>0</v>
      </c>
      <c r="X322" s="1753"/>
      <c r="Y322" s="1753"/>
      <c r="Z322" s="127"/>
      <c r="AA322" s="28"/>
      <c r="AB322" s="368"/>
      <c r="AC322" s="368"/>
      <c r="AD322" s="28"/>
      <c r="AE322" s="28"/>
      <c r="AF322" s="28"/>
      <c r="AG322" s="28"/>
    </row>
    <row r="323" spans="1:33" s="1001" customFormat="1" ht="16.5" customHeight="1">
      <c r="A323" s="1743"/>
      <c r="B323" s="1743"/>
      <c r="C323" s="1743"/>
      <c r="D323" s="1743"/>
      <c r="E323" s="1743"/>
      <c r="F323" s="1743"/>
      <c r="G323" s="1743"/>
      <c r="H323" s="1743"/>
      <c r="I323" s="1743"/>
      <c r="J323" s="1743"/>
      <c r="K323" s="1743"/>
      <c r="L323" s="1743"/>
      <c r="M323" s="1743"/>
      <c r="N323" s="1743"/>
      <c r="O323" s="1743"/>
      <c r="P323" s="1743"/>
      <c r="Q323" s="1743"/>
      <c r="R323" s="1743"/>
      <c r="S323" s="1743"/>
      <c r="T323" s="1743"/>
      <c r="U323" s="8762" t="s">
        <v>368</v>
      </c>
      <c r="V323" s="9369"/>
      <c r="W323" s="7663">
        <v>0</v>
      </c>
      <c r="X323" s="1753"/>
      <c r="Y323" s="1753"/>
      <c r="Z323" s="127"/>
      <c r="AA323" s="28"/>
      <c r="AB323" s="368"/>
      <c r="AC323" s="368"/>
      <c r="AD323" s="28"/>
      <c r="AE323" s="28"/>
      <c r="AF323" s="28"/>
      <c r="AG323" s="28"/>
    </row>
    <row r="324" spans="1:33" s="1001" customFormat="1" ht="16.5" customHeight="1">
      <c r="A324" s="1743"/>
      <c r="B324" s="1743"/>
      <c r="C324" s="1743"/>
      <c r="D324" s="1743"/>
      <c r="E324" s="1743"/>
      <c r="F324" s="1743"/>
      <c r="G324" s="1743"/>
      <c r="H324" s="1743"/>
      <c r="I324" s="1743"/>
      <c r="J324" s="1743"/>
      <c r="K324" s="1743"/>
      <c r="L324" s="1743"/>
      <c r="M324" s="1743"/>
      <c r="N324" s="1743"/>
      <c r="O324" s="1743"/>
      <c r="P324" s="1743"/>
      <c r="Q324" s="1743"/>
      <c r="R324" s="1743"/>
      <c r="S324" s="1743"/>
      <c r="T324" s="1743"/>
      <c r="U324" s="8762" t="s">
        <v>369</v>
      </c>
      <c r="V324" s="9369"/>
      <c r="W324" s="7663">
        <f>+Z305</f>
        <v>360.00384000000003</v>
      </c>
      <c r="X324" s="1753"/>
      <c r="Y324" s="1753"/>
      <c r="Z324" s="127"/>
      <c r="AA324" s="28"/>
      <c r="AB324" s="368"/>
      <c r="AC324" s="368"/>
      <c r="AD324" s="28"/>
      <c r="AE324" s="28"/>
      <c r="AF324" s="28"/>
      <c r="AG324" s="28"/>
    </row>
    <row r="325" spans="1:33" s="1001" customFormat="1" ht="16.5" customHeight="1">
      <c r="A325" s="1743"/>
      <c r="B325" s="1743"/>
      <c r="C325" s="1743"/>
      <c r="D325" s="1743"/>
      <c r="E325" s="1743"/>
      <c r="F325" s="1743"/>
      <c r="G325" s="1743"/>
      <c r="H325" s="1743"/>
      <c r="I325" s="1743"/>
      <c r="J325" s="1743"/>
      <c r="K325" s="1743"/>
      <c r="L325" s="1743"/>
      <c r="M325" s="1743"/>
      <c r="N325" s="1743"/>
      <c r="O325" s="1743"/>
      <c r="P325" s="1743"/>
      <c r="Q325" s="1743"/>
      <c r="R325" s="1743"/>
      <c r="S325" s="1743"/>
      <c r="T325" s="1743"/>
      <c r="U325" s="8762" t="s">
        <v>370</v>
      </c>
      <c r="V325" s="9369"/>
      <c r="W325" s="7664">
        <f>+Z306+Z307</f>
        <v>272601.11</v>
      </c>
      <c r="X325" s="331"/>
      <c r="Y325" s="331"/>
      <c r="Z325" s="127"/>
      <c r="AA325" s="28"/>
      <c r="AB325" s="368"/>
      <c r="AC325" s="368"/>
      <c r="AD325" s="28"/>
      <c r="AE325" s="28"/>
      <c r="AF325" s="28"/>
      <c r="AG325" s="28"/>
    </row>
    <row r="326" spans="1:33" s="1001" customFormat="1" ht="16.5" customHeight="1">
      <c r="A326" s="1743"/>
      <c r="B326" s="1743"/>
      <c r="C326" s="1743"/>
      <c r="D326" s="1743"/>
      <c r="E326" s="1743"/>
      <c r="F326" s="1743"/>
      <c r="G326" s="1743"/>
      <c r="H326" s="1743"/>
      <c r="I326" s="1743"/>
      <c r="J326" s="1743"/>
      <c r="K326" s="1743"/>
      <c r="L326" s="1743"/>
      <c r="M326" s="1743"/>
      <c r="N326" s="1743"/>
      <c r="O326" s="1743"/>
      <c r="P326" s="1743"/>
      <c r="Q326" s="1743"/>
      <c r="R326" s="1743"/>
      <c r="S326" s="1743"/>
      <c r="T326" s="1743"/>
      <c r="U326" s="10483" t="s">
        <v>67</v>
      </c>
      <c r="V326" s="10484"/>
      <c r="W326" s="2914">
        <f>SUM(W318:W325)</f>
        <v>284019.67112000001</v>
      </c>
      <c r="X326" s="330"/>
      <c r="Y326" s="330"/>
      <c r="Z326" s="127"/>
      <c r="AA326" s="28"/>
      <c r="AB326" s="368"/>
      <c r="AC326" s="368"/>
      <c r="AD326" s="1746"/>
      <c r="AE326" s="28"/>
      <c r="AF326" s="28"/>
      <c r="AG326" s="28"/>
    </row>
    <row r="327" spans="1:33" ht="16.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27"/>
      <c r="V327" s="127"/>
      <c r="W327" s="330"/>
      <c r="X327" s="330"/>
      <c r="Y327" s="127"/>
      <c r="Z327" s="127"/>
      <c r="AA327" s="100"/>
      <c r="AB327" s="363"/>
      <c r="AC327" s="363"/>
      <c r="AD327" s="106"/>
      <c r="AE327" s="100"/>
      <c r="AF327" s="100"/>
      <c r="AG327" s="100"/>
    </row>
    <row r="328" spans="1:33" ht="16.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27"/>
      <c r="V328" s="127"/>
      <c r="W328" s="331"/>
      <c r="X328" s="331"/>
      <c r="Y328" s="127"/>
      <c r="Z328" s="127"/>
      <c r="AA328" s="100"/>
      <c r="AB328" s="363"/>
      <c r="AC328" s="363"/>
      <c r="AD328" s="106"/>
      <c r="AE328" s="100"/>
      <c r="AF328" s="100"/>
      <c r="AG328" s="100"/>
    </row>
    <row r="329" spans="1:33" ht="16.5" customHeight="1">
      <c r="A329" s="143"/>
      <c r="B329" s="143"/>
      <c r="C329" s="143"/>
      <c r="D329" s="143"/>
      <c r="E329" s="143"/>
      <c r="F329" s="143"/>
      <c r="G329" s="143"/>
      <c r="H329" s="143"/>
      <c r="I329" s="143"/>
      <c r="J329" s="143"/>
      <c r="K329" s="143"/>
      <c r="L329" s="143"/>
      <c r="M329" s="143"/>
      <c r="N329" s="143"/>
      <c r="O329" s="143"/>
      <c r="P329" s="143"/>
      <c r="Q329" s="143"/>
      <c r="R329" s="143"/>
      <c r="S329" s="143"/>
      <c r="T329" s="143"/>
      <c r="Z329" s="127"/>
      <c r="AA329" s="100"/>
      <c r="AB329" s="363"/>
      <c r="AC329" s="363"/>
      <c r="AD329" s="106"/>
      <c r="AE329" s="100"/>
      <c r="AF329" s="100"/>
      <c r="AG329" s="100"/>
    </row>
    <row r="330" spans="1:33" ht="15.75" customHeight="1">
      <c r="AB330" s="365"/>
      <c r="AD330"/>
    </row>
    <row r="331" spans="1:33" ht="15.75" customHeight="1">
      <c r="AB331" s="365"/>
      <c r="AD331"/>
    </row>
    <row r="332" spans="1:33" ht="15.75" customHeight="1">
      <c r="AB332" s="365"/>
      <c r="AD332"/>
    </row>
    <row r="333" spans="1:33" ht="15.75" customHeight="1">
      <c r="AB333" s="365"/>
      <c r="AD333"/>
    </row>
    <row r="334" spans="1:33" ht="15.75" customHeight="1">
      <c r="AB334" s="365"/>
      <c r="AD334"/>
    </row>
    <row r="335" spans="1:33" ht="15.75" customHeight="1">
      <c r="AB335" s="365"/>
      <c r="AD335"/>
    </row>
  </sheetData>
  <mergeCells count="954">
    <mergeCell ref="L148:L152"/>
    <mergeCell ref="M148:M152"/>
    <mergeCell ref="N148:N152"/>
    <mergeCell ref="O148:O152"/>
    <mergeCell ref="P148:P152"/>
    <mergeCell ref="Q148:Q152"/>
    <mergeCell ref="R148:R152"/>
    <mergeCell ref="F148:F152"/>
    <mergeCell ref="G148:G152"/>
    <mergeCell ref="H148:H152"/>
    <mergeCell ref="I148:I152"/>
    <mergeCell ref="J148:J152"/>
    <mergeCell ref="K148:K152"/>
    <mergeCell ref="L153:L157"/>
    <mergeCell ref="M153:M157"/>
    <mergeCell ref="C158:R158"/>
    <mergeCell ref="K159:K163"/>
    <mergeCell ref="L159:L163"/>
    <mergeCell ref="M159:M163"/>
    <mergeCell ref="N159:N163"/>
    <mergeCell ref="O159:O163"/>
    <mergeCell ref="P159:P163"/>
    <mergeCell ref="Q159:Q163"/>
    <mergeCell ref="R159:R163"/>
    <mergeCell ref="C159:C163"/>
    <mergeCell ref="D159:D163"/>
    <mergeCell ref="E164:E168"/>
    <mergeCell ref="F164:F168"/>
    <mergeCell ref="G164:G168"/>
    <mergeCell ref="H164:H168"/>
    <mergeCell ref="I164:I168"/>
    <mergeCell ref="J164:J168"/>
    <mergeCell ref="K164:K168"/>
    <mergeCell ref="E148:E152"/>
    <mergeCell ref="E159:E163"/>
    <mergeCell ref="F159:F163"/>
    <mergeCell ref="G159:G163"/>
    <mergeCell ref="H159:H163"/>
    <mergeCell ref="I159:I163"/>
    <mergeCell ref="J159:J163"/>
    <mergeCell ref="E153:E157"/>
    <mergeCell ref="F153:F157"/>
    <mergeCell ref="G153:G157"/>
    <mergeCell ref="H153:H157"/>
    <mergeCell ref="I153:I157"/>
    <mergeCell ref="J153:J157"/>
    <mergeCell ref="K153:K157"/>
    <mergeCell ref="F214:F218"/>
    <mergeCell ref="G214:G218"/>
    <mergeCell ref="H214:H218"/>
    <mergeCell ref="I214:I218"/>
    <mergeCell ref="J214:J218"/>
    <mergeCell ref="K214:K218"/>
    <mergeCell ref="P164:P168"/>
    <mergeCell ref="Q164:Q168"/>
    <mergeCell ref="R164:R168"/>
    <mergeCell ref="L164:L168"/>
    <mergeCell ref="M164:M168"/>
    <mergeCell ref="O189:O193"/>
    <mergeCell ref="P189:P193"/>
    <mergeCell ref="Q189:Q193"/>
    <mergeCell ref="R189:R193"/>
    <mergeCell ref="N194:N198"/>
    <mergeCell ref="O194:O198"/>
    <mergeCell ref="P194:P198"/>
    <mergeCell ref="Q194:Q198"/>
    <mergeCell ref="R194:R198"/>
    <mergeCell ref="L199:L203"/>
    <mergeCell ref="M199:M203"/>
    <mergeCell ref="N199:N203"/>
    <mergeCell ref="O199:O203"/>
    <mergeCell ref="S219:Z219"/>
    <mergeCell ref="AE219:AH219"/>
    <mergeCell ref="L179:L183"/>
    <mergeCell ref="M179:M183"/>
    <mergeCell ref="N179:N183"/>
    <mergeCell ref="O179:O183"/>
    <mergeCell ref="P179:P183"/>
    <mergeCell ref="L214:L218"/>
    <mergeCell ref="M214:M218"/>
    <mergeCell ref="N214:N218"/>
    <mergeCell ref="O214:O218"/>
    <mergeCell ref="P214:P218"/>
    <mergeCell ref="Q214:Q218"/>
    <mergeCell ref="R214:R218"/>
    <mergeCell ref="Q179:Q183"/>
    <mergeCell ref="R179:R183"/>
    <mergeCell ref="N184:N188"/>
    <mergeCell ref="O184:O188"/>
    <mergeCell ref="P184:P188"/>
    <mergeCell ref="Q184:Q188"/>
    <mergeCell ref="R184:R188"/>
    <mergeCell ref="L189:L193"/>
    <mergeCell ref="M189:M193"/>
    <mergeCell ref="N189:N193"/>
    <mergeCell ref="AH220:AH224"/>
    <mergeCell ref="AH225:AH229"/>
    <mergeCell ref="AH230:AH234"/>
    <mergeCell ref="AH235:AH239"/>
    <mergeCell ref="AH159:AH163"/>
    <mergeCell ref="AH164:AH168"/>
    <mergeCell ref="AH169:AH173"/>
    <mergeCell ref="AH174:AH178"/>
    <mergeCell ref="AH179:AH183"/>
    <mergeCell ref="AH184:AH188"/>
    <mergeCell ref="AH189:AH193"/>
    <mergeCell ref="AH194:AH198"/>
    <mergeCell ref="AH199:AH203"/>
    <mergeCell ref="AH204:AH208"/>
    <mergeCell ref="AH209:AH213"/>
    <mergeCell ref="AH214:AH218"/>
    <mergeCell ref="L91:L95"/>
    <mergeCell ref="M91:M95"/>
    <mergeCell ref="N91:N95"/>
    <mergeCell ref="O91:O95"/>
    <mergeCell ref="P91:P95"/>
    <mergeCell ref="Q91:Q95"/>
    <mergeCell ref="AH91:AH95"/>
    <mergeCell ref="L97:L107"/>
    <mergeCell ref="M97:M107"/>
    <mergeCell ref="N97:N107"/>
    <mergeCell ref="O97:O107"/>
    <mergeCell ref="P97:P107"/>
    <mergeCell ref="Q97:Q107"/>
    <mergeCell ref="R91:R95"/>
    <mergeCell ref="S96:Z96"/>
    <mergeCell ref="C96:R96"/>
    <mergeCell ref="AE96:AH96"/>
    <mergeCell ref="E91:E95"/>
    <mergeCell ref="F91:F95"/>
    <mergeCell ref="G91:G95"/>
    <mergeCell ref="H91:H95"/>
    <mergeCell ref="I91:I95"/>
    <mergeCell ref="J91:J95"/>
    <mergeCell ref="K91:K95"/>
    <mergeCell ref="E97:E107"/>
    <mergeCell ref="F97:F107"/>
    <mergeCell ref="G97:G107"/>
    <mergeCell ref="H97:H107"/>
    <mergeCell ref="I97:I107"/>
    <mergeCell ref="J97:J107"/>
    <mergeCell ref="K97:K107"/>
    <mergeCell ref="E108:E112"/>
    <mergeCell ref="F108:F112"/>
    <mergeCell ref="G108:G112"/>
    <mergeCell ref="H108:H112"/>
    <mergeCell ref="I108:I112"/>
    <mergeCell ref="J108:J112"/>
    <mergeCell ref="K108:K112"/>
    <mergeCell ref="E179:E183"/>
    <mergeCell ref="F179:F183"/>
    <mergeCell ref="G179:G183"/>
    <mergeCell ref="H179:H183"/>
    <mergeCell ref="I179:I183"/>
    <mergeCell ref="J179:J183"/>
    <mergeCell ref="K179:K183"/>
    <mergeCell ref="L184:L188"/>
    <mergeCell ref="M184:M188"/>
    <mergeCell ref="E184:E188"/>
    <mergeCell ref="F184:F188"/>
    <mergeCell ref="G184:G188"/>
    <mergeCell ref="H184:H188"/>
    <mergeCell ref="I184:I188"/>
    <mergeCell ref="J184:J188"/>
    <mergeCell ref="K184:K188"/>
    <mergeCell ref="E189:E193"/>
    <mergeCell ref="F189:F193"/>
    <mergeCell ref="G189:G193"/>
    <mergeCell ref="H189:H193"/>
    <mergeCell ref="I189:I193"/>
    <mergeCell ref="J189:J193"/>
    <mergeCell ref="K189:K193"/>
    <mergeCell ref="L194:L198"/>
    <mergeCell ref="M194:M198"/>
    <mergeCell ref="E194:E198"/>
    <mergeCell ref="F194:F198"/>
    <mergeCell ref="G194:G198"/>
    <mergeCell ref="H194:H198"/>
    <mergeCell ref="I194:I198"/>
    <mergeCell ref="J194:J198"/>
    <mergeCell ref="K194:K198"/>
    <mergeCell ref="P199:P203"/>
    <mergeCell ref="Q199:Q203"/>
    <mergeCell ref="R199:R203"/>
    <mergeCell ref="E199:E203"/>
    <mergeCell ref="F199:F203"/>
    <mergeCell ref="G199:G203"/>
    <mergeCell ref="H199:H203"/>
    <mergeCell ref="I199:I203"/>
    <mergeCell ref="J199:J203"/>
    <mergeCell ref="K199:K203"/>
    <mergeCell ref="R230:R234"/>
    <mergeCell ref="E230:E234"/>
    <mergeCell ref="F230:F234"/>
    <mergeCell ref="G230:G234"/>
    <mergeCell ref="H230:H234"/>
    <mergeCell ref="I230:I234"/>
    <mergeCell ref="J230:J234"/>
    <mergeCell ref="K230:K234"/>
    <mergeCell ref="L204:L208"/>
    <mergeCell ref="M204:M208"/>
    <mergeCell ref="N204:N208"/>
    <mergeCell ref="O204:O208"/>
    <mergeCell ref="P204:P208"/>
    <mergeCell ref="Q204:Q208"/>
    <mergeCell ref="R204:R208"/>
    <mergeCell ref="E204:E208"/>
    <mergeCell ref="F204:F208"/>
    <mergeCell ref="G204:G208"/>
    <mergeCell ref="H204:H208"/>
    <mergeCell ref="I204:I208"/>
    <mergeCell ref="J204:J208"/>
    <mergeCell ref="K204:K208"/>
    <mergeCell ref="C219:R219"/>
    <mergeCell ref="E214:E218"/>
    <mergeCell ref="AH40:AH44"/>
    <mergeCell ref="AH46:AH50"/>
    <mergeCell ref="E40:E44"/>
    <mergeCell ref="F40:F44"/>
    <mergeCell ref="G40:G44"/>
    <mergeCell ref="H40:H44"/>
    <mergeCell ref="I40:I44"/>
    <mergeCell ref="J40:J44"/>
    <mergeCell ref="K40:K44"/>
    <mergeCell ref="L46:L50"/>
    <mergeCell ref="M46:M50"/>
    <mergeCell ref="N46:N50"/>
    <mergeCell ref="O46:O50"/>
    <mergeCell ref="P46:P50"/>
    <mergeCell ref="Q46:Q50"/>
    <mergeCell ref="AH51:AH55"/>
    <mergeCell ref="AH56:AH60"/>
    <mergeCell ref="AH61:AH65"/>
    <mergeCell ref="L14:L23"/>
    <mergeCell ref="M14:M23"/>
    <mergeCell ref="AH14:AH23"/>
    <mergeCell ref="AH24:AH31"/>
    <mergeCell ref="AH35:AH39"/>
    <mergeCell ref="S45:Z45"/>
    <mergeCell ref="AE45:AH45"/>
    <mergeCell ref="N35:N39"/>
    <mergeCell ref="O35:O39"/>
    <mergeCell ref="P35:P39"/>
    <mergeCell ref="Q35:Q39"/>
    <mergeCell ref="R35:R39"/>
    <mergeCell ref="L40:L44"/>
    <mergeCell ref="M40:M44"/>
    <mergeCell ref="N40:N44"/>
    <mergeCell ref="O40:O44"/>
    <mergeCell ref="P40:P44"/>
    <mergeCell ref="Q40:Q44"/>
    <mergeCell ref="R40:R44"/>
    <mergeCell ref="C45:R45"/>
    <mergeCell ref="L61:L65"/>
    <mergeCell ref="J61:J65"/>
    <mergeCell ref="K61:K65"/>
    <mergeCell ref="N51:N55"/>
    <mergeCell ref="O51:O55"/>
    <mergeCell ref="P51:P55"/>
    <mergeCell ref="Q51:Q55"/>
    <mergeCell ref="R51:R55"/>
    <mergeCell ref="E51:E55"/>
    <mergeCell ref="F51:F55"/>
    <mergeCell ref="G51:G55"/>
    <mergeCell ref="H51:H55"/>
    <mergeCell ref="F56:F60"/>
    <mergeCell ref="G56:G60"/>
    <mergeCell ref="H56:H60"/>
    <mergeCell ref="I56:I60"/>
    <mergeCell ref="J56:J60"/>
    <mergeCell ref="K56:K60"/>
    <mergeCell ref="L51:L55"/>
    <mergeCell ref="M51:M55"/>
    <mergeCell ref="E71:E75"/>
    <mergeCell ref="F71:F75"/>
    <mergeCell ref="G71:G75"/>
    <mergeCell ref="H71:H75"/>
    <mergeCell ref="I71:I75"/>
    <mergeCell ref="C40:C44"/>
    <mergeCell ref="D40:D44"/>
    <mergeCell ref="D46:D50"/>
    <mergeCell ref="C51:C55"/>
    <mergeCell ref="D51:D55"/>
    <mergeCell ref="C56:C60"/>
    <mergeCell ref="D56:D60"/>
    <mergeCell ref="C61:C65"/>
    <mergeCell ref="D61:D65"/>
    <mergeCell ref="E46:E50"/>
    <mergeCell ref="F46:F50"/>
    <mergeCell ref="G46:G50"/>
    <mergeCell ref="H46:H50"/>
    <mergeCell ref="E61:E65"/>
    <mergeCell ref="F61:F65"/>
    <mergeCell ref="G61:G65"/>
    <mergeCell ref="H61:H65"/>
    <mergeCell ref="I61:I65"/>
    <mergeCell ref="E56:E60"/>
    <mergeCell ref="L86:L90"/>
    <mergeCell ref="M86:M90"/>
    <mergeCell ref="N86:N90"/>
    <mergeCell ref="O86:O90"/>
    <mergeCell ref="P86:P90"/>
    <mergeCell ref="Q86:Q90"/>
    <mergeCell ref="R86:R90"/>
    <mergeCell ref="AH86:AH90"/>
    <mergeCell ref="E86:E90"/>
    <mergeCell ref="F86:F90"/>
    <mergeCell ref="G86:G90"/>
    <mergeCell ref="H86:H90"/>
    <mergeCell ref="I86:I90"/>
    <mergeCell ref="J86:J90"/>
    <mergeCell ref="K86:K90"/>
    <mergeCell ref="Q71:Q75"/>
    <mergeCell ref="R71:R75"/>
    <mergeCell ref="AH71:AH75"/>
    <mergeCell ref="J71:J75"/>
    <mergeCell ref="K71:K75"/>
    <mergeCell ref="L71:L75"/>
    <mergeCell ref="M71:M75"/>
    <mergeCell ref="N71:N75"/>
    <mergeCell ref="O71:O75"/>
    <mergeCell ref="P71:P75"/>
    <mergeCell ref="L76:L80"/>
    <mergeCell ref="M76:M80"/>
    <mergeCell ref="N76:N80"/>
    <mergeCell ref="O76:O80"/>
    <mergeCell ref="P76:P80"/>
    <mergeCell ref="Q76:Q80"/>
    <mergeCell ref="R76:R80"/>
    <mergeCell ref="AH76:AH80"/>
    <mergeCell ref="E76:E80"/>
    <mergeCell ref="F76:F80"/>
    <mergeCell ref="G76:G80"/>
    <mergeCell ref="H76:H80"/>
    <mergeCell ref="I76:I80"/>
    <mergeCell ref="J76:J80"/>
    <mergeCell ref="K76:K80"/>
    <mergeCell ref="M81:M85"/>
    <mergeCell ref="N81:N85"/>
    <mergeCell ref="O81:O85"/>
    <mergeCell ref="P81:P85"/>
    <mergeCell ref="Q81:Q85"/>
    <mergeCell ref="R81:R85"/>
    <mergeCell ref="AH81:AH85"/>
    <mergeCell ref="E81:E85"/>
    <mergeCell ref="F81:F85"/>
    <mergeCell ref="G81:G85"/>
    <mergeCell ref="H81:H85"/>
    <mergeCell ref="I81:I85"/>
    <mergeCell ref="J81:J85"/>
    <mergeCell ref="K81:K85"/>
    <mergeCell ref="C9:C13"/>
    <mergeCell ref="C46:C50"/>
    <mergeCell ref="C76:C80"/>
    <mergeCell ref="D76:D80"/>
    <mergeCell ref="C81:C85"/>
    <mergeCell ref="D81:D85"/>
    <mergeCell ref="C86:C90"/>
    <mergeCell ref="D86:D90"/>
    <mergeCell ref="C91:C95"/>
    <mergeCell ref="D91:D95"/>
    <mergeCell ref="C66:C70"/>
    <mergeCell ref="D66:D70"/>
    <mergeCell ref="C71:C75"/>
    <mergeCell ref="D71:D75"/>
    <mergeCell ref="C14:C23"/>
    <mergeCell ref="C35:C39"/>
    <mergeCell ref="D35:D39"/>
    <mergeCell ref="C24:C31"/>
    <mergeCell ref="D24:D31"/>
    <mergeCell ref="B97:B158"/>
    <mergeCell ref="C97:C107"/>
    <mergeCell ref="C108:C112"/>
    <mergeCell ref="C113:C117"/>
    <mergeCell ref="C118:C122"/>
    <mergeCell ref="C123:C127"/>
    <mergeCell ref="C128:C132"/>
    <mergeCell ref="C153:C157"/>
    <mergeCell ref="D97:D107"/>
    <mergeCell ref="D108:D112"/>
    <mergeCell ref="D113:D117"/>
    <mergeCell ref="D118:D122"/>
    <mergeCell ref="D123:D127"/>
    <mergeCell ref="D128:D132"/>
    <mergeCell ref="C133:C137"/>
    <mergeCell ref="C138:C142"/>
    <mergeCell ref="D133:D137"/>
    <mergeCell ref="D138:D142"/>
    <mergeCell ref="D143:D147"/>
    <mergeCell ref="D148:D152"/>
    <mergeCell ref="C164:C168"/>
    <mergeCell ref="D164:D168"/>
    <mergeCell ref="C169:C173"/>
    <mergeCell ref="D169:D173"/>
    <mergeCell ref="C174:C178"/>
    <mergeCell ref="D174:D178"/>
    <mergeCell ref="C143:C147"/>
    <mergeCell ref="C148:C152"/>
    <mergeCell ref="C179:C183"/>
    <mergeCell ref="D179:D183"/>
    <mergeCell ref="C184:C188"/>
    <mergeCell ref="D184:D188"/>
    <mergeCell ref="C189:C193"/>
    <mergeCell ref="D189:D193"/>
    <mergeCell ref="C194:C198"/>
    <mergeCell ref="D194:D198"/>
    <mergeCell ref="C199:C203"/>
    <mergeCell ref="D199:D203"/>
    <mergeCell ref="C204:C208"/>
    <mergeCell ref="D204:D208"/>
    <mergeCell ref="C209:C213"/>
    <mergeCell ref="D209:D213"/>
    <mergeCell ref="C214:C218"/>
    <mergeCell ref="D214:D218"/>
    <mergeCell ref="B220:B255"/>
    <mergeCell ref="C220:C224"/>
    <mergeCell ref="C225:C229"/>
    <mergeCell ref="C230:C234"/>
    <mergeCell ref="C235:C239"/>
    <mergeCell ref="D220:D224"/>
    <mergeCell ref="D225:D229"/>
    <mergeCell ref="D230:D234"/>
    <mergeCell ref="D235:D239"/>
    <mergeCell ref="C255:R255"/>
    <mergeCell ref="E235:E239"/>
    <mergeCell ref="F235:F239"/>
    <mergeCell ref="G235:G239"/>
    <mergeCell ref="H235:H239"/>
    <mergeCell ref="I235:I239"/>
    <mergeCell ref="J235:J239"/>
    <mergeCell ref="K235:K239"/>
    <mergeCell ref="E240:E244"/>
    <mergeCell ref="L209:L213"/>
    <mergeCell ref="M209:M213"/>
    <mergeCell ref="B46:B96"/>
    <mergeCell ref="B159:B219"/>
    <mergeCell ref="C286:C290"/>
    <mergeCell ref="D286:D290"/>
    <mergeCell ref="C7:C8"/>
    <mergeCell ref="D7:D8"/>
    <mergeCell ref="A9:A292"/>
    <mergeCell ref="B9:B45"/>
    <mergeCell ref="D9:D13"/>
    <mergeCell ref="D14:D23"/>
    <mergeCell ref="D153:D157"/>
    <mergeCell ref="C240:C244"/>
    <mergeCell ref="D240:D244"/>
    <mergeCell ref="C245:C249"/>
    <mergeCell ref="D245:D249"/>
    <mergeCell ref="C250:C254"/>
    <mergeCell ref="D250:D254"/>
    <mergeCell ref="B256:B291"/>
    <mergeCell ref="C256:C260"/>
    <mergeCell ref="C261:C265"/>
    <mergeCell ref="C266:C269"/>
    <mergeCell ref="C270:C274"/>
    <mergeCell ref="C275:C279"/>
    <mergeCell ref="C280:C284"/>
    <mergeCell ref="D256:D260"/>
    <mergeCell ref="D261:D265"/>
    <mergeCell ref="D266:D269"/>
    <mergeCell ref="D270:D274"/>
    <mergeCell ref="D275:D279"/>
    <mergeCell ref="D280:D284"/>
    <mergeCell ref="J6:R6"/>
    <mergeCell ref="S6:AH6"/>
    <mergeCell ref="S7:Y7"/>
    <mergeCell ref="AE7:AG7"/>
    <mergeCell ref="AH7:AH8"/>
    <mergeCell ref="N14:N23"/>
    <mergeCell ref="O14:O23"/>
    <mergeCell ref="P14:P23"/>
    <mergeCell ref="Q14:Q23"/>
    <mergeCell ref="R14:R23"/>
    <mergeCell ref="R7:R8"/>
    <mergeCell ref="E7:E8"/>
    <mergeCell ref="F7:F8"/>
    <mergeCell ref="E9:E13"/>
    <mergeCell ref="F9:F13"/>
    <mergeCell ref="G9:G13"/>
    <mergeCell ref="H9:H13"/>
    <mergeCell ref="L81:L85"/>
    <mergeCell ref="A1:AH1"/>
    <mergeCell ref="A2:AH2"/>
    <mergeCell ref="A3:AH3"/>
    <mergeCell ref="A4:AH4"/>
    <mergeCell ref="A6:B8"/>
    <mergeCell ref="C6:D6"/>
    <mergeCell ref="E6:I6"/>
    <mergeCell ref="Q9:Q13"/>
    <mergeCell ref="R9:R13"/>
    <mergeCell ref="AH9:AH13"/>
    <mergeCell ref="J9:J13"/>
    <mergeCell ref="K9:K13"/>
    <mergeCell ref="L9:L13"/>
    <mergeCell ref="M9:M13"/>
    <mergeCell ref="N9:N13"/>
    <mergeCell ref="O9:O13"/>
    <mergeCell ref="P9:P13"/>
    <mergeCell ref="G7:G8"/>
    <mergeCell ref="H7:H8"/>
    <mergeCell ref="I7:I8"/>
    <mergeCell ref="J7:J8"/>
    <mergeCell ref="M7:O7"/>
    <mergeCell ref="P7:P8"/>
    <mergeCell ref="Q7:Q8"/>
    <mergeCell ref="L7:L8"/>
    <mergeCell ref="N24:N31"/>
    <mergeCell ref="O24:O31"/>
    <mergeCell ref="P24:P31"/>
    <mergeCell ref="Q24:Q31"/>
    <mergeCell ref="R24:R31"/>
    <mergeCell ref="R46:R50"/>
    <mergeCell ref="I46:I50"/>
    <mergeCell ref="J46:J50"/>
    <mergeCell ref="K46:K50"/>
    <mergeCell ref="L24:L31"/>
    <mergeCell ref="M24:M31"/>
    <mergeCell ref="I35:I39"/>
    <mergeCell ref="J35:J39"/>
    <mergeCell ref="K35:K39"/>
    <mergeCell ref="I24:I31"/>
    <mergeCell ref="J24:J31"/>
    <mergeCell ref="K24:K31"/>
    <mergeCell ref="I14:I23"/>
    <mergeCell ref="J14:J23"/>
    <mergeCell ref="K14:K23"/>
    <mergeCell ref="L35:L39"/>
    <mergeCell ref="M35:M39"/>
    <mergeCell ref="I9:I13"/>
    <mergeCell ref="K7:K8"/>
    <mergeCell ref="I51:I55"/>
    <mergeCell ref="J51:J55"/>
    <mergeCell ref="K51:K55"/>
    <mergeCell ref="E35:E39"/>
    <mergeCell ref="F35:F39"/>
    <mergeCell ref="G35:G39"/>
    <mergeCell ref="H35:H39"/>
    <mergeCell ref="E24:E31"/>
    <mergeCell ref="F24:F31"/>
    <mergeCell ref="G24:G31"/>
    <mergeCell ref="H24:H31"/>
    <mergeCell ref="E14:E23"/>
    <mergeCell ref="F14:F23"/>
    <mergeCell ref="G14:G23"/>
    <mergeCell ref="H14:H23"/>
    <mergeCell ref="L66:L70"/>
    <mergeCell ref="M66:M70"/>
    <mergeCell ref="N66:N70"/>
    <mergeCell ref="O66:O70"/>
    <mergeCell ref="P66:P70"/>
    <mergeCell ref="Q66:Q70"/>
    <mergeCell ref="R66:R70"/>
    <mergeCell ref="L56:L60"/>
    <mergeCell ref="M56:M60"/>
    <mergeCell ref="N56:N60"/>
    <mergeCell ref="O56:O60"/>
    <mergeCell ref="P56:P60"/>
    <mergeCell ref="Q56:Q60"/>
    <mergeCell ref="R56:R60"/>
    <mergeCell ref="M61:M65"/>
    <mergeCell ref="N61:N65"/>
    <mergeCell ref="O61:O65"/>
    <mergeCell ref="P61:P65"/>
    <mergeCell ref="Q61:Q65"/>
    <mergeCell ref="R61:R65"/>
    <mergeCell ref="AH66:AH70"/>
    <mergeCell ref="E66:E70"/>
    <mergeCell ref="F66:F70"/>
    <mergeCell ref="G66:G70"/>
    <mergeCell ref="H66:H70"/>
    <mergeCell ref="I66:I70"/>
    <mergeCell ref="J66:J70"/>
    <mergeCell ref="K66:K70"/>
    <mergeCell ref="L123:L127"/>
    <mergeCell ref="M123:M127"/>
    <mergeCell ref="N123:N127"/>
    <mergeCell ref="O123:O127"/>
    <mergeCell ref="P123:P127"/>
    <mergeCell ref="Q123:Q127"/>
    <mergeCell ref="R123:R127"/>
    <mergeCell ref="E123:E127"/>
    <mergeCell ref="F123:F127"/>
    <mergeCell ref="G123:G127"/>
    <mergeCell ref="H123:H127"/>
    <mergeCell ref="I123:I127"/>
    <mergeCell ref="J123:J127"/>
    <mergeCell ref="K123:K127"/>
    <mergeCell ref="Q108:Q112"/>
    <mergeCell ref="R108:R112"/>
    <mergeCell ref="N128:N132"/>
    <mergeCell ref="O128:O132"/>
    <mergeCell ref="P128:P132"/>
    <mergeCell ref="Q128:Q132"/>
    <mergeCell ref="R128:R132"/>
    <mergeCell ref="E128:E132"/>
    <mergeCell ref="F128:F132"/>
    <mergeCell ref="G128:G132"/>
    <mergeCell ref="H128:H132"/>
    <mergeCell ref="I128:I132"/>
    <mergeCell ref="J128:J132"/>
    <mergeCell ref="K128:K132"/>
    <mergeCell ref="L128:L132"/>
    <mergeCell ref="M128:M132"/>
    <mergeCell ref="N133:N137"/>
    <mergeCell ref="O133:O137"/>
    <mergeCell ref="P133:P137"/>
    <mergeCell ref="Q133:Q137"/>
    <mergeCell ref="R133:R137"/>
    <mergeCell ref="E133:E137"/>
    <mergeCell ref="F133:F137"/>
    <mergeCell ref="G133:G137"/>
    <mergeCell ref="H133:H137"/>
    <mergeCell ref="I133:I137"/>
    <mergeCell ref="J133:J137"/>
    <mergeCell ref="K133:K137"/>
    <mergeCell ref="L133:L137"/>
    <mergeCell ref="M133:M137"/>
    <mergeCell ref="N138:N142"/>
    <mergeCell ref="O138:O142"/>
    <mergeCell ref="P138:P142"/>
    <mergeCell ref="Q138:Q142"/>
    <mergeCell ref="R138:R142"/>
    <mergeCell ref="E138:E142"/>
    <mergeCell ref="F138:F142"/>
    <mergeCell ref="G138:G142"/>
    <mergeCell ref="H138:H142"/>
    <mergeCell ref="I138:I142"/>
    <mergeCell ref="J138:J142"/>
    <mergeCell ref="K138:K142"/>
    <mergeCell ref="L138:L142"/>
    <mergeCell ref="M138:M142"/>
    <mergeCell ref="L108:L112"/>
    <mergeCell ref="M108:M112"/>
    <mergeCell ref="N108:N112"/>
    <mergeCell ref="O108:O112"/>
    <mergeCell ref="P108:P112"/>
    <mergeCell ref="L113:L117"/>
    <mergeCell ref="M113:M117"/>
    <mergeCell ref="N113:N117"/>
    <mergeCell ref="O113:O117"/>
    <mergeCell ref="P113:P117"/>
    <mergeCell ref="Q113:Q117"/>
    <mergeCell ref="R113:R117"/>
    <mergeCell ref="E113:E117"/>
    <mergeCell ref="F113:F117"/>
    <mergeCell ref="G113:G117"/>
    <mergeCell ref="H113:H117"/>
    <mergeCell ref="I113:I117"/>
    <mergeCell ref="J113:J117"/>
    <mergeCell ref="K113:K117"/>
    <mergeCell ref="N118:N122"/>
    <mergeCell ref="O118:O122"/>
    <mergeCell ref="P118:P122"/>
    <mergeCell ref="Q118:Q122"/>
    <mergeCell ref="R118:R122"/>
    <mergeCell ref="E118:E122"/>
    <mergeCell ref="F118:F122"/>
    <mergeCell ref="G118:G122"/>
    <mergeCell ref="H118:H122"/>
    <mergeCell ref="I118:I122"/>
    <mergeCell ref="J118:J122"/>
    <mergeCell ref="K118:K122"/>
    <mergeCell ref="L118:L122"/>
    <mergeCell ref="M118:M122"/>
    <mergeCell ref="L143:L147"/>
    <mergeCell ref="M143:M147"/>
    <mergeCell ref="E143:E147"/>
    <mergeCell ref="F143:F147"/>
    <mergeCell ref="G143:G147"/>
    <mergeCell ref="H143:H147"/>
    <mergeCell ref="I143:I147"/>
    <mergeCell ref="J143:J147"/>
    <mergeCell ref="K143:K147"/>
    <mergeCell ref="R97:R107"/>
    <mergeCell ref="AH97:AH107"/>
    <mergeCell ref="AH108:AH112"/>
    <mergeCell ref="AH113:AH117"/>
    <mergeCell ref="AH118:AH122"/>
    <mergeCell ref="AH123:AH127"/>
    <mergeCell ref="AH128:AH132"/>
    <mergeCell ref="AH133:AH137"/>
    <mergeCell ref="AH138:AH142"/>
    <mergeCell ref="AH143:AH147"/>
    <mergeCell ref="AH148:AH152"/>
    <mergeCell ref="AH153:AH157"/>
    <mergeCell ref="S158:Z158"/>
    <mergeCell ref="AE158:AH158"/>
    <mergeCell ref="L169:L173"/>
    <mergeCell ref="M169:M173"/>
    <mergeCell ref="N169:N173"/>
    <mergeCell ref="O169:O173"/>
    <mergeCell ref="P169:P173"/>
    <mergeCell ref="Q169:Q173"/>
    <mergeCell ref="R169:R173"/>
    <mergeCell ref="N153:N157"/>
    <mergeCell ref="O153:O157"/>
    <mergeCell ref="P153:P157"/>
    <mergeCell ref="Q153:Q157"/>
    <mergeCell ref="R153:R157"/>
    <mergeCell ref="N143:N147"/>
    <mergeCell ref="O143:O147"/>
    <mergeCell ref="P143:P147"/>
    <mergeCell ref="Q143:Q147"/>
    <mergeCell ref="R143:R147"/>
    <mergeCell ref="N164:N168"/>
    <mergeCell ref="O164:O168"/>
    <mergeCell ref="E169:E173"/>
    <mergeCell ref="F169:F173"/>
    <mergeCell ref="G169:G173"/>
    <mergeCell ref="H169:H173"/>
    <mergeCell ref="I169:I173"/>
    <mergeCell ref="J169:J173"/>
    <mergeCell ref="K169:K173"/>
    <mergeCell ref="L174:L178"/>
    <mergeCell ref="M174:M178"/>
    <mergeCell ref="N174:N178"/>
    <mergeCell ref="O174:O178"/>
    <mergeCell ref="P174:P178"/>
    <mergeCell ref="Q174:Q178"/>
    <mergeCell ref="R174:R178"/>
    <mergeCell ref="E174:E178"/>
    <mergeCell ref="F174:F178"/>
    <mergeCell ref="G174:G178"/>
    <mergeCell ref="H174:H178"/>
    <mergeCell ref="I174:I178"/>
    <mergeCell ref="J174:J178"/>
    <mergeCell ref="K174:K178"/>
    <mergeCell ref="R280:R284"/>
    <mergeCell ref="E280:E284"/>
    <mergeCell ref="F280:F284"/>
    <mergeCell ref="G280:G284"/>
    <mergeCell ref="H280:H284"/>
    <mergeCell ref="I280:I284"/>
    <mergeCell ref="J280:J284"/>
    <mergeCell ref="K280:K284"/>
    <mergeCell ref="L280:L284"/>
    <mergeCell ref="M280:M284"/>
    <mergeCell ref="N280:N284"/>
    <mergeCell ref="N209:N213"/>
    <mergeCell ref="O209:O213"/>
    <mergeCell ref="P209:P213"/>
    <mergeCell ref="Q209:Q213"/>
    <mergeCell ref="R209:R213"/>
    <mergeCell ref="E209:E213"/>
    <mergeCell ref="F209:F213"/>
    <mergeCell ref="G209:G213"/>
    <mergeCell ref="H209:H213"/>
    <mergeCell ref="I209:I213"/>
    <mergeCell ref="J209:J213"/>
    <mergeCell ref="K209:K213"/>
    <mergeCell ref="R225:R229"/>
    <mergeCell ref="E225:E229"/>
    <mergeCell ref="F225:F229"/>
    <mergeCell ref="G225:G229"/>
    <mergeCell ref="H225:H229"/>
    <mergeCell ref="I225:I229"/>
    <mergeCell ref="J225:J229"/>
    <mergeCell ref="K225:K229"/>
    <mergeCell ref="L220:L224"/>
    <mergeCell ref="M220:M224"/>
    <mergeCell ref="N220:N224"/>
    <mergeCell ref="O220:O224"/>
    <mergeCell ref="P220:P224"/>
    <mergeCell ref="Q220:Q224"/>
    <mergeCell ref="R220:R224"/>
    <mergeCell ref="E220:E224"/>
    <mergeCell ref="F220:F224"/>
    <mergeCell ref="G220:G224"/>
    <mergeCell ref="H220:H224"/>
    <mergeCell ref="I220:I224"/>
    <mergeCell ref="J220:J224"/>
    <mergeCell ref="K220:K224"/>
    <mergeCell ref="F240:F244"/>
    <mergeCell ref="G240:G244"/>
    <mergeCell ref="H240:H244"/>
    <mergeCell ref="I240:I244"/>
    <mergeCell ref="J240:J244"/>
    <mergeCell ref="K240:K244"/>
    <mergeCell ref="O225:O229"/>
    <mergeCell ref="P225:P229"/>
    <mergeCell ref="Q225:Q229"/>
    <mergeCell ref="O230:O234"/>
    <mergeCell ref="P230:P234"/>
    <mergeCell ref="Q230:Q234"/>
    <mergeCell ref="L225:L229"/>
    <mergeCell ref="M225:M229"/>
    <mergeCell ref="N225:N229"/>
    <mergeCell ref="L230:L234"/>
    <mergeCell ref="M230:M234"/>
    <mergeCell ref="N230:N234"/>
    <mergeCell ref="L235:L239"/>
    <mergeCell ref="M235:M239"/>
    <mergeCell ref="N235:N239"/>
    <mergeCell ref="O235:O239"/>
    <mergeCell ref="P235:P239"/>
    <mergeCell ref="Q235:Q239"/>
    <mergeCell ref="U311:W311"/>
    <mergeCell ref="U312:V312"/>
    <mergeCell ref="U313:V313"/>
    <mergeCell ref="U314:V314"/>
    <mergeCell ref="U315:V315"/>
    <mergeCell ref="U323:V323"/>
    <mergeCell ref="U324:V324"/>
    <mergeCell ref="L286:L290"/>
    <mergeCell ref="M286:M290"/>
    <mergeCell ref="N286:N290"/>
    <mergeCell ref="O286:O290"/>
    <mergeCell ref="P286:P290"/>
    <mergeCell ref="Q286:Q290"/>
    <mergeCell ref="R286:R290"/>
    <mergeCell ref="C291:R291"/>
    <mergeCell ref="S291:Z291"/>
    <mergeCell ref="F286:F290"/>
    <mergeCell ref="G286:G290"/>
    <mergeCell ref="H286:H290"/>
    <mergeCell ref="I286:I290"/>
    <mergeCell ref="J286:J290"/>
    <mergeCell ref="K286:K290"/>
    <mergeCell ref="U325:V325"/>
    <mergeCell ref="U326:V326"/>
    <mergeCell ref="U316:V316"/>
    <mergeCell ref="U317:W317"/>
    <mergeCell ref="U318:V318"/>
    <mergeCell ref="U319:V319"/>
    <mergeCell ref="U320:V320"/>
    <mergeCell ref="U321:V321"/>
    <mergeCell ref="U322:V322"/>
    <mergeCell ref="R235:R239"/>
    <mergeCell ref="R245:R249"/>
    <mergeCell ref="N250:N254"/>
    <mergeCell ref="O250:O254"/>
    <mergeCell ref="P250:P254"/>
    <mergeCell ref="Q250:Q254"/>
    <mergeCell ref="R250:R254"/>
    <mergeCell ref="AH240:AH244"/>
    <mergeCell ref="AH245:AH249"/>
    <mergeCell ref="AH250:AH254"/>
    <mergeCell ref="AH256:AH260"/>
    <mergeCell ref="AH261:AH265"/>
    <mergeCell ref="AH266:AH269"/>
    <mergeCell ref="AH270:AH279"/>
    <mergeCell ref="L240:L244"/>
    <mergeCell ref="M240:M244"/>
    <mergeCell ref="N240:N244"/>
    <mergeCell ref="O240:O244"/>
    <mergeCell ref="P240:P244"/>
    <mergeCell ref="Q240:Q244"/>
    <mergeCell ref="R240:R244"/>
    <mergeCell ref="O245:O249"/>
    <mergeCell ref="P245:P249"/>
    <mergeCell ref="Q245:Q249"/>
    <mergeCell ref="S255:Z255"/>
    <mergeCell ref="AE255:AH255"/>
    <mergeCell ref="L245:L249"/>
    <mergeCell ref="M245:M249"/>
    <mergeCell ref="N245:N249"/>
    <mergeCell ref="L256:L260"/>
    <mergeCell ref="M256:M260"/>
    <mergeCell ref="N256:N260"/>
    <mergeCell ref="O256:O260"/>
    <mergeCell ref="P256:P260"/>
    <mergeCell ref="AE291:AH291"/>
    <mergeCell ref="AE292:AH292"/>
    <mergeCell ref="S293:AH293"/>
    <mergeCell ref="U295:Z295"/>
    <mergeCell ref="E275:E279"/>
    <mergeCell ref="F275:F279"/>
    <mergeCell ref="G275:G279"/>
    <mergeCell ref="H275:H279"/>
    <mergeCell ref="I275:I279"/>
    <mergeCell ref="J275:J279"/>
    <mergeCell ref="K275:K279"/>
    <mergeCell ref="L275:L279"/>
    <mergeCell ref="M275:M279"/>
    <mergeCell ref="N275:N279"/>
    <mergeCell ref="O275:O279"/>
    <mergeCell ref="P275:P279"/>
    <mergeCell ref="Q275:Q279"/>
    <mergeCell ref="R275:R279"/>
    <mergeCell ref="AH280:AH284"/>
    <mergeCell ref="AH286:AH290"/>
    <mergeCell ref="E286:E290"/>
    <mergeCell ref="O280:O284"/>
    <mergeCell ref="P280:P284"/>
    <mergeCell ref="Q280:Q284"/>
    <mergeCell ref="E245:E249"/>
    <mergeCell ref="F245:F249"/>
    <mergeCell ref="G245:G249"/>
    <mergeCell ref="H245:H249"/>
    <mergeCell ref="I245:I249"/>
    <mergeCell ref="J245:J249"/>
    <mergeCell ref="K245:K249"/>
    <mergeCell ref="L250:L254"/>
    <mergeCell ref="M250:M254"/>
    <mergeCell ref="E250:E254"/>
    <mergeCell ref="F250:F254"/>
    <mergeCell ref="G250:G254"/>
    <mergeCell ref="H250:H254"/>
    <mergeCell ref="I250:I254"/>
    <mergeCell ref="J250:J254"/>
    <mergeCell ref="K250:K254"/>
    <mergeCell ref="Q256:Q260"/>
    <mergeCell ref="R256:R260"/>
    <mergeCell ref="E256:E260"/>
    <mergeCell ref="F256:F260"/>
    <mergeCell ref="G256:G260"/>
    <mergeCell ref="H256:H260"/>
    <mergeCell ref="I256:I260"/>
    <mergeCell ref="J256:J260"/>
    <mergeCell ref="K256:K260"/>
    <mergeCell ref="P261:P265"/>
    <mergeCell ref="Q261:Q265"/>
    <mergeCell ref="R261:R265"/>
    <mergeCell ref="E261:E265"/>
    <mergeCell ref="F261:F265"/>
    <mergeCell ref="G261:G265"/>
    <mergeCell ref="H261:H265"/>
    <mergeCell ref="I261:I265"/>
    <mergeCell ref="J261:J265"/>
    <mergeCell ref="K261:K265"/>
    <mergeCell ref="G266:G269"/>
    <mergeCell ref="H266:H269"/>
    <mergeCell ref="I266:I269"/>
    <mergeCell ref="J266:J269"/>
    <mergeCell ref="K266:K269"/>
    <mergeCell ref="L261:L265"/>
    <mergeCell ref="M261:M265"/>
    <mergeCell ref="N261:N265"/>
    <mergeCell ref="O261:O265"/>
    <mergeCell ref="Z7:AD7"/>
    <mergeCell ref="L270:L274"/>
    <mergeCell ref="M270:M274"/>
    <mergeCell ref="N270:N274"/>
    <mergeCell ref="O270:O274"/>
    <mergeCell ref="P270:P274"/>
    <mergeCell ref="Q270:Q274"/>
    <mergeCell ref="R270:R274"/>
    <mergeCell ref="E270:E274"/>
    <mergeCell ref="F270:F274"/>
    <mergeCell ref="G270:G274"/>
    <mergeCell ref="H270:H274"/>
    <mergeCell ref="I270:I274"/>
    <mergeCell ref="J270:J274"/>
    <mergeCell ref="K270:K274"/>
    <mergeCell ref="L266:L269"/>
    <mergeCell ref="M266:M269"/>
    <mergeCell ref="N266:N269"/>
    <mergeCell ref="O266:O269"/>
    <mergeCell ref="P266:P269"/>
    <mergeCell ref="Q266:Q269"/>
    <mergeCell ref="R266:R269"/>
    <mergeCell ref="E266:E269"/>
    <mergeCell ref="F266:F269"/>
  </mergeCells>
  <dataValidations count="3">
    <dataValidation type="list" allowBlank="1" showErrorMessage="1" sqref="F9 F14 F24 F35 F40 F46 F51 F56 F61 F66 F71 F76 F81 F86 F91 F97 F108 F113 F118 F123 F128 F133 F138 F143 F148 F153 F159 F164 F169 F174 F179 F184 F189 F194 F199 F204 F209 F214 F220 F225 F230 F235 F240 F245 F250 F256 F261 F266 F270 F275 F280 F285:F286" xr:uid="{00000000-0002-0000-1300-000000000000}">
      <formula1>INDIRECT($E9)</formula1>
    </dataValidation>
    <dataValidation type="list" allowBlank="1" showErrorMessage="1" sqref="E9 E14 E24 E35 E40 E46 E51 E56 E61 E66 E71 E76 E81 E86 E91 E97 E108 E113 E118 E123 E128 E133 E138 E143 E148 E153 E159 E164 E169 E174 E179 E184 E189 E194 E199 E204 E209 E214 E220 E225 E230 E235 E240 E245 E250 E256 E261 E266 E270 E275 E280 E285:E286" xr:uid="{00000000-0002-0000-1300-000001000000}">
      <formula1>INDIRECT($G9)</formula1>
    </dataValidation>
    <dataValidation type="decimal" allowBlank="1" showInputMessage="1" showErrorMessage="1" prompt="DPLAN - Sólo debe ingresar valores, NO porcentajes." sqref="M14:O14 M24:O24 M35:O35 M40:O40 M51:O51 M56:O56 M61:O61 M66:O66 M76:O76 M81:O81 M86:O86 M91:O91 M108:O108 M113:O113 M118:O118 M123:O123 M133:O133 M138:O138 M143:O143 M148:O148 M153:O153 M159:O159 M164:O164 M169:O169 M179:O179 M184:O184 M189:O189 M194:O194 M199:O199 M204:O204 M209:O209 M214:O214 M225:O225 M230:O230 M235:O235 M240:O240 M250:O250 M261:O261 M266:O266 M270:O270 M275:O275 M286:O286" xr:uid="{00000000-0002-0000-13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Financiera&amp;C&amp;P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1300-000003000000}">
          <x14:formula1>
            <xm:f>'https://utmachalaeduec-my.sharepoint.com/personal/planificacion_utmachala_edu_ec/Documents/Gestión 2023/G.06 EMISION DE INSUMOS PARA ELAB. DE LA PROF, PRESUPUESTARIA Y SUS REFORMAS/REFORMA N° 002-2023/[PND]PND'!#REF!</xm:f>
          </x14:formula1>
          <xm:sqref>C9:D9 C14:D14 C24:D24 C35:D35 C40:D40</xm:sqref>
        </x14:dataValidation>
        <x14:dataValidation type="list" allowBlank="1" showErrorMessage="1" xr:uid="{00000000-0002-0000-1300-000004000000}">
          <x14:formula1>
            <xm:f>('https://utmachalaeduec-my.sharepoint.com/personal/planificacion_utmachala_edu_ec/Documents/Gestión 2023/G.06 EMISION DE INSUMOS PARA ELAB. DE LA PROF, PRESUPUESTARIA Y SUS REFORMAS/REFORMA N° 002-2023/[PEDI]PEDI'!#REF!)</xm:f>
          </x14:formula1>
          <xm:sqref>H9 H14 H24 H35 H40</xm:sqref>
        </x14:dataValidation>
        <x14:dataValidation type="list" allowBlank="1" showErrorMessage="1" xr:uid="{00000000-0002-0000-1300-000005000000}">
          <x14:formula1>
            <xm:f>'https://utmachalaeduec-my.sharepoint.com/personal/planificacion_utmachala_edu_ec/Documents/Gestión 2023/G.06 EMISION DE INSUMOS PARA ELAB. DE LA PROF, PRESUPUESTARIA Y SUS REFORMAS/REFORMA N° 002-2023/[PEDI]PEDI'!#REF!</xm:f>
          </x14:formula1>
          <xm:sqref>G9 G14 G24 G35 G40</xm:sqref>
        </x14:dataValidation>
        <x14:dataValidation type="list" allowBlank="1" showErrorMessage="1" xr:uid="{00000000-0002-0000-13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I24 I35 I40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36C09"/>
  </sheetPr>
  <dimension ref="A1:AL460"/>
  <sheetViews>
    <sheetView showGridLines="0" tabSelected="1" topLeftCell="R37" zoomScaleNormal="100" workbookViewId="0">
      <selection activeCell="U38" sqref="U38"/>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style="1429" customWidth="1"/>
    <col min="20" max="21" width="18.7109375" customWidth="1"/>
    <col min="22" max="22" width="40.7109375" customWidth="1"/>
    <col min="23" max="23" width="18.28515625" bestFit="1" customWidth="1"/>
    <col min="24" max="24" width="12.7109375" customWidth="1"/>
    <col min="25" max="25" width="14.42578125" customWidth="1"/>
    <col min="26" max="26" width="15.140625" bestFit="1" customWidth="1"/>
    <col min="27" max="27" width="14.7109375" customWidth="1"/>
    <col min="28" max="28" width="16.42578125" bestFit="1" customWidth="1"/>
    <col min="29" max="29" width="12.140625" style="365" customWidth="1"/>
    <col min="30" max="30" width="10.28515625" style="365" customWidth="1"/>
    <col min="31" max="33" width="8.7109375" customWidth="1"/>
    <col min="34" max="34" width="19.7109375" customWidth="1"/>
    <col min="35" max="38" width="10.85546875" customWidth="1"/>
  </cols>
  <sheetData>
    <row r="1" spans="1:38" ht="42"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4"/>
      <c r="AE1" s="8824"/>
      <c r="AF1" s="8824"/>
      <c r="AG1" s="8824"/>
      <c r="AH1" s="8824"/>
      <c r="AI1" s="332"/>
      <c r="AJ1" s="332"/>
      <c r="AK1" s="332"/>
      <c r="AL1" s="332"/>
    </row>
    <row r="2" spans="1:38" ht="30">
      <c r="A2" s="8826" t="s">
        <v>1</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6"/>
      <c r="AE2" s="8826"/>
      <c r="AF2" s="8826"/>
      <c r="AG2" s="8826"/>
      <c r="AH2" s="8826"/>
      <c r="AI2" s="1"/>
      <c r="AJ2" s="1"/>
      <c r="AK2" s="1"/>
      <c r="AL2" s="1"/>
    </row>
    <row r="3" spans="1:38" ht="30.75">
      <c r="A3" s="8828" t="s">
        <v>3763</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8"/>
      <c r="AE3" s="8828"/>
      <c r="AF3" s="8828"/>
      <c r="AG3" s="8828"/>
      <c r="AH3" s="8828"/>
      <c r="AI3" s="1"/>
      <c r="AJ3" s="1"/>
      <c r="AK3" s="1"/>
      <c r="AL3" s="1"/>
    </row>
    <row r="4" spans="1:38"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9"/>
      <c r="AE4" s="8829"/>
      <c r="AF4" s="8829"/>
      <c r="AG4" s="8829"/>
      <c r="AH4" s="8829"/>
      <c r="AI4" s="1"/>
      <c r="AJ4" s="1"/>
      <c r="AK4" s="1"/>
      <c r="AL4" s="1"/>
    </row>
    <row r="5" spans="1:38" ht="16.5" customHeigh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738"/>
      <c r="AD5" s="738"/>
      <c r="AE5" s="604"/>
      <c r="AF5" s="604"/>
      <c r="AG5" s="604"/>
      <c r="AH5" s="604"/>
      <c r="AI5" s="11"/>
      <c r="AJ5" s="11"/>
      <c r="AK5" s="11"/>
      <c r="AL5" s="11"/>
    </row>
    <row r="6" spans="1:38" ht="24.75" customHeight="1">
      <c r="A6" s="9002" t="s">
        <v>89</v>
      </c>
      <c r="B6" s="9002"/>
      <c r="C6" s="8832" t="s">
        <v>90</v>
      </c>
      <c r="D6" s="8832"/>
      <c r="E6" s="9010" t="s">
        <v>91</v>
      </c>
      <c r="F6" s="9010"/>
      <c r="G6" s="9010"/>
      <c r="H6" s="9010"/>
      <c r="I6" s="9010"/>
      <c r="J6" s="8988" t="s">
        <v>92</v>
      </c>
      <c r="K6" s="8988"/>
      <c r="L6" s="8988"/>
      <c r="M6" s="8988"/>
      <c r="N6" s="8988"/>
      <c r="O6" s="8988"/>
      <c r="P6" s="8988"/>
      <c r="Q6" s="8988"/>
      <c r="R6" s="10655"/>
      <c r="S6" s="9150" t="s">
        <v>93</v>
      </c>
      <c r="T6" s="9150"/>
      <c r="U6" s="9150"/>
      <c r="V6" s="9150"/>
      <c r="W6" s="9150"/>
      <c r="X6" s="9150"/>
      <c r="Y6" s="9150"/>
      <c r="Z6" s="9150"/>
      <c r="AA6" s="9150"/>
      <c r="AB6" s="9150"/>
      <c r="AC6" s="9150"/>
      <c r="AD6" s="9150"/>
      <c r="AE6" s="9150"/>
      <c r="AF6" s="9150"/>
      <c r="AG6" s="9150"/>
      <c r="AH6" s="9729"/>
      <c r="AI6" s="822"/>
      <c r="AJ6" s="125"/>
      <c r="AK6" s="125"/>
      <c r="AL6" s="125"/>
    </row>
    <row r="7" spans="1:38" ht="39.75" customHeight="1">
      <c r="A7" s="9002"/>
      <c r="B7" s="9002"/>
      <c r="C7" s="9146" t="s">
        <v>94</v>
      </c>
      <c r="D7" s="9147" t="s">
        <v>95</v>
      </c>
      <c r="E7" s="9012" t="s">
        <v>96</v>
      </c>
      <c r="F7" s="9012" t="s">
        <v>97</v>
      </c>
      <c r="G7" s="9012" t="s">
        <v>98</v>
      </c>
      <c r="H7" s="9012" t="s">
        <v>99</v>
      </c>
      <c r="I7" s="9012" t="s">
        <v>100</v>
      </c>
      <c r="J7" s="9014" t="s">
        <v>101</v>
      </c>
      <c r="K7" s="9016" t="s">
        <v>102</v>
      </c>
      <c r="L7" s="9016" t="s">
        <v>103</v>
      </c>
      <c r="M7" s="9016" t="s">
        <v>104</v>
      </c>
      <c r="N7" s="9016"/>
      <c r="O7" s="9016"/>
      <c r="P7" s="9016" t="s">
        <v>105</v>
      </c>
      <c r="Q7" s="9016" t="s">
        <v>106</v>
      </c>
      <c r="R7" s="9815" t="s">
        <v>107</v>
      </c>
      <c r="S7" s="9153" t="s">
        <v>108</v>
      </c>
      <c r="T7" s="9153"/>
      <c r="U7" s="9153"/>
      <c r="V7" s="9153"/>
      <c r="W7" s="9153"/>
      <c r="X7" s="9153"/>
      <c r="Y7" s="9153"/>
      <c r="Z7" s="9156" t="s">
        <v>109</v>
      </c>
      <c r="AA7" s="9156"/>
      <c r="AB7" s="9156"/>
      <c r="AC7" s="9156"/>
      <c r="AD7" s="9156"/>
      <c r="AE7" s="9156" t="s">
        <v>110</v>
      </c>
      <c r="AF7" s="9156"/>
      <c r="AG7" s="9156"/>
      <c r="AH7" s="9157" t="s">
        <v>111</v>
      </c>
      <c r="AI7" s="822"/>
      <c r="AJ7" s="125"/>
      <c r="AK7" s="125"/>
      <c r="AL7" s="125"/>
    </row>
    <row r="8" spans="1:38" ht="51.75" customHeight="1" thickTop="1" thickBot="1">
      <c r="A8" s="9734"/>
      <c r="B8" s="9734"/>
      <c r="C8" s="10617"/>
      <c r="D8" s="10618"/>
      <c r="E8" s="9738"/>
      <c r="F8" s="9738"/>
      <c r="G8" s="9738"/>
      <c r="H8" s="9738"/>
      <c r="I8" s="9738"/>
      <c r="J8" s="9745"/>
      <c r="K8" s="9736"/>
      <c r="L8" s="9736"/>
      <c r="M8" s="5086" t="s">
        <v>112</v>
      </c>
      <c r="N8" s="5086" t="s">
        <v>113</v>
      </c>
      <c r="O8" s="5086" t="s">
        <v>114</v>
      </c>
      <c r="P8" s="9736"/>
      <c r="Q8" s="9736"/>
      <c r="R8" s="10648"/>
      <c r="S8" s="5087" t="s">
        <v>115</v>
      </c>
      <c r="T8" s="5088" t="s">
        <v>116</v>
      </c>
      <c r="U8" s="5089" t="s">
        <v>117</v>
      </c>
      <c r="V8" s="5088" t="s">
        <v>118</v>
      </c>
      <c r="W8" s="5088" t="s">
        <v>119</v>
      </c>
      <c r="X8" s="5088" t="s">
        <v>372</v>
      </c>
      <c r="Y8" s="5090" t="s">
        <v>121</v>
      </c>
      <c r="Z8" s="5088" t="s">
        <v>122</v>
      </c>
      <c r="AA8" s="5088" t="s">
        <v>123</v>
      </c>
      <c r="AB8" s="5088" t="s">
        <v>124</v>
      </c>
      <c r="AC8" s="5090" t="s">
        <v>125</v>
      </c>
      <c r="AD8" s="5090" t="s">
        <v>1100</v>
      </c>
      <c r="AE8" s="5088" t="s">
        <v>112</v>
      </c>
      <c r="AF8" s="5088" t="s">
        <v>113</v>
      </c>
      <c r="AG8" s="5088" t="s">
        <v>114</v>
      </c>
      <c r="AH8" s="9733"/>
      <c r="AI8" s="822"/>
      <c r="AJ8" s="125"/>
      <c r="AK8" s="125"/>
      <c r="AL8" s="125"/>
    </row>
    <row r="9" spans="1:38" ht="40.5" customHeight="1" thickBot="1">
      <c r="A9" s="9099" t="s">
        <v>3763</v>
      </c>
      <c r="B9" s="10615" t="s">
        <v>3763</v>
      </c>
      <c r="C9" s="10512" t="s">
        <v>127</v>
      </c>
      <c r="D9" s="10444" t="s">
        <v>128</v>
      </c>
      <c r="E9" s="10444" t="s">
        <v>129</v>
      </c>
      <c r="F9" s="10444" t="s">
        <v>268</v>
      </c>
      <c r="G9" s="10451" t="s">
        <v>131</v>
      </c>
      <c r="H9" s="10444" t="s">
        <v>132</v>
      </c>
      <c r="I9" s="10444" t="s">
        <v>214</v>
      </c>
      <c r="J9" s="10444" t="s">
        <v>3764</v>
      </c>
      <c r="K9" s="10444" t="s">
        <v>3765</v>
      </c>
      <c r="L9" s="10444" t="s">
        <v>3766</v>
      </c>
      <c r="M9" s="10561">
        <v>1</v>
      </c>
      <c r="N9" s="10561">
        <v>1</v>
      </c>
      <c r="O9" s="10561">
        <v>2</v>
      </c>
      <c r="P9" s="10444" t="s">
        <v>3767</v>
      </c>
      <c r="Q9" s="10444" t="s">
        <v>3768</v>
      </c>
      <c r="R9" s="10449" t="s">
        <v>3769</v>
      </c>
      <c r="S9" s="3767"/>
      <c r="T9" s="5689"/>
      <c r="U9" s="5689"/>
      <c r="V9" s="3758"/>
      <c r="W9" s="5504"/>
      <c r="X9" s="3658"/>
      <c r="Y9" s="5560"/>
      <c r="Z9" s="5561"/>
      <c r="AA9" s="5561"/>
      <c r="AB9" s="5561"/>
      <c r="AC9" s="5822"/>
      <c r="AD9" s="3659"/>
      <c r="AE9" s="3658"/>
      <c r="AF9" s="3660"/>
      <c r="AG9" s="3660"/>
      <c r="AH9" s="10468"/>
      <c r="AI9" s="466"/>
      <c r="AJ9" s="100"/>
      <c r="AK9" s="100"/>
      <c r="AL9" s="100"/>
    </row>
    <row r="10" spans="1:38" ht="40.5" customHeight="1" thickTop="1" thickBot="1">
      <c r="A10" s="10423"/>
      <c r="B10" s="10616"/>
      <c r="C10" s="10592"/>
      <c r="D10" s="10500"/>
      <c r="E10" s="10500"/>
      <c r="F10" s="10500"/>
      <c r="G10" s="10502"/>
      <c r="H10" s="10500"/>
      <c r="I10" s="10500"/>
      <c r="J10" s="10500"/>
      <c r="K10" s="10500"/>
      <c r="L10" s="10500"/>
      <c r="M10" s="10556"/>
      <c r="N10" s="10556"/>
      <c r="O10" s="10556"/>
      <c r="P10" s="10500"/>
      <c r="Q10" s="10500"/>
      <c r="R10" s="10508"/>
      <c r="S10" s="3538"/>
      <c r="T10" s="5681"/>
      <c r="U10" s="5681"/>
      <c r="V10" s="3495"/>
      <c r="W10" s="5499"/>
      <c r="X10" s="3662"/>
      <c r="Y10" s="5552"/>
      <c r="Z10" s="5552"/>
      <c r="AA10" s="5552"/>
      <c r="AB10" s="5553"/>
      <c r="AC10" s="5779"/>
      <c r="AD10" s="3665"/>
      <c r="AE10" s="3496"/>
      <c r="AF10" s="3666"/>
      <c r="AG10" s="3666"/>
      <c r="AH10" s="10469"/>
      <c r="AI10" s="466"/>
      <c r="AJ10" s="100"/>
      <c r="AK10" s="100"/>
      <c r="AL10" s="100"/>
    </row>
    <row r="11" spans="1:38" ht="40.5" customHeight="1" thickTop="1" thickBot="1">
      <c r="A11" s="10423"/>
      <c r="B11" s="10616"/>
      <c r="C11" s="10592"/>
      <c r="D11" s="10500"/>
      <c r="E11" s="10500"/>
      <c r="F11" s="10500"/>
      <c r="G11" s="10502"/>
      <c r="H11" s="10500"/>
      <c r="I11" s="10500"/>
      <c r="J11" s="10500"/>
      <c r="K11" s="10500"/>
      <c r="L11" s="10500"/>
      <c r="M11" s="10556"/>
      <c r="N11" s="10556"/>
      <c r="O11" s="10556"/>
      <c r="P11" s="10500"/>
      <c r="Q11" s="10500"/>
      <c r="R11" s="10508"/>
      <c r="S11" s="3541"/>
      <c r="T11" s="5682"/>
      <c r="U11" s="5682"/>
      <c r="V11" s="3542"/>
      <c r="W11" s="5499"/>
      <c r="X11" s="3496"/>
      <c r="Y11" s="5552"/>
      <c r="Z11" s="5552"/>
      <c r="AA11" s="5552"/>
      <c r="AB11" s="5553"/>
      <c r="AC11" s="5779"/>
      <c r="AD11" s="3665"/>
      <c r="AE11" s="3496"/>
      <c r="AF11" s="3666"/>
      <c r="AG11" s="3666"/>
      <c r="AH11" s="10469"/>
      <c r="AI11" s="466"/>
      <c r="AJ11" s="100"/>
      <c r="AK11" s="105"/>
      <c r="AL11" s="100"/>
    </row>
    <row r="12" spans="1:38" ht="40.5" customHeight="1" thickTop="1" thickBot="1">
      <c r="A12" s="10423"/>
      <c r="B12" s="10616"/>
      <c r="C12" s="10592"/>
      <c r="D12" s="10500"/>
      <c r="E12" s="10500"/>
      <c r="F12" s="10500"/>
      <c r="G12" s="10502"/>
      <c r="H12" s="10500"/>
      <c r="I12" s="10500"/>
      <c r="J12" s="10500"/>
      <c r="K12" s="10500"/>
      <c r="L12" s="10500"/>
      <c r="M12" s="10556"/>
      <c r="N12" s="10556"/>
      <c r="O12" s="10556"/>
      <c r="P12" s="10500"/>
      <c r="Q12" s="10500"/>
      <c r="R12" s="10508"/>
      <c r="S12" s="3538"/>
      <c r="T12" s="5681"/>
      <c r="U12" s="5681"/>
      <c r="V12" s="3495"/>
      <c r="W12" s="5499"/>
      <c r="X12" s="3662"/>
      <c r="Y12" s="5552"/>
      <c r="Z12" s="5552"/>
      <c r="AA12" s="5552"/>
      <c r="AB12" s="5553"/>
      <c r="AC12" s="5779"/>
      <c r="AD12" s="3665"/>
      <c r="AE12" s="3496"/>
      <c r="AF12" s="3666"/>
      <c r="AG12" s="3666"/>
      <c r="AH12" s="10469"/>
      <c r="AI12" s="466"/>
      <c r="AJ12" s="100"/>
      <c r="AK12" s="100"/>
      <c r="AL12" s="100"/>
    </row>
    <row r="13" spans="1:38" ht="40.5" customHeight="1" thickTop="1" thickBot="1">
      <c r="A13" s="10423"/>
      <c r="B13" s="10616"/>
      <c r="C13" s="10593"/>
      <c r="D13" s="10501"/>
      <c r="E13" s="10501"/>
      <c r="F13" s="10501"/>
      <c r="G13" s="10503"/>
      <c r="H13" s="10501"/>
      <c r="I13" s="10501"/>
      <c r="J13" s="10501"/>
      <c r="K13" s="10501"/>
      <c r="L13" s="10501"/>
      <c r="M13" s="10557"/>
      <c r="N13" s="10557"/>
      <c r="O13" s="10557"/>
      <c r="P13" s="10501"/>
      <c r="Q13" s="10501"/>
      <c r="R13" s="10509"/>
      <c r="S13" s="3768"/>
      <c r="T13" s="5683"/>
      <c r="U13" s="5683"/>
      <c r="V13" s="3759"/>
      <c r="W13" s="5509"/>
      <c r="X13" s="3715"/>
      <c r="Y13" s="5554"/>
      <c r="Z13" s="5554"/>
      <c r="AA13" s="5554"/>
      <c r="AB13" s="5555"/>
      <c r="AC13" s="5823"/>
      <c r="AD13" s="3717"/>
      <c r="AE13" s="3714"/>
      <c r="AF13" s="3718"/>
      <c r="AG13" s="3718"/>
      <c r="AH13" s="10623"/>
      <c r="AI13" s="466"/>
      <c r="AJ13" s="100"/>
      <c r="AK13" s="100"/>
      <c r="AL13" s="100"/>
    </row>
    <row r="14" spans="1:38" ht="21" customHeight="1">
      <c r="A14" s="10423"/>
      <c r="B14" s="10616"/>
      <c r="C14" s="10516" t="s">
        <v>127</v>
      </c>
      <c r="D14" s="10433" t="s">
        <v>128</v>
      </c>
      <c r="E14" s="10433" t="s">
        <v>129</v>
      </c>
      <c r="F14" s="10433" t="s">
        <v>268</v>
      </c>
      <c r="G14" s="10442" t="s">
        <v>131</v>
      </c>
      <c r="H14" s="10433" t="s">
        <v>132</v>
      </c>
      <c r="I14" s="10433" t="s">
        <v>214</v>
      </c>
      <c r="J14" s="10433" t="s">
        <v>3770</v>
      </c>
      <c r="K14" s="10433" t="s">
        <v>3771</v>
      </c>
      <c r="L14" s="10433" t="s">
        <v>3772</v>
      </c>
      <c r="M14" s="10555">
        <v>1</v>
      </c>
      <c r="N14" s="10555">
        <v>1</v>
      </c>
      <c r="O14" s="10555">
        <v>1</v>
      </c>
      <c r="P14" s="10433" t="s">
        <v>3773</v>
      </c>
      <c r="Q14" s="10433" t="s">
        <v>3774</v>
      </c>
      <c r="R14" s="10439" t="s">
        <v>3769</v>
      </c>
      <c r="S14" s="3769" t="s">
        <v>15</v>
      </c>
      <c r="T14" s="5684">
        <v>530101</v>
      </c>
      <c r="U14" s="5684"/>
      <c r="V14" s="3795" t="s">
        <v>3775</v>
      </c>
      <c r="W14" s="5502"/>
      <c r="X14" s="3709"/>
      <c r="Y14" s="5556"/>
      <c r="Z14" s="5556"/>
      <c r="AA14" s="5556"/>
      <c r="AB14" s="7961">
        <f>SUM(AA15:AA15)</f>
        <v>72708.69</v>
      </c>
      <c r="AC14" s="5780" t="s">
        <v>18</v>
      </c>
      <c r="AD14" s="2934"/>
      <c r="AE14" s="2930"/>
      <c r="AF14" s="3710"/>
      <c r="AG14" s="3710"/>
      <c r="AH14" s="10652" t="s">
        <v>3776</v>
      </c>
      <c r="AI14" s="466"/>
      <c r="AJ14" s="100"/>
      <c r="AK14" s="100"/>
      <c r="AL14" s="100"/>
    </row>
    <row r="15" spans="1:38" ht="21" customHeight="1">
      <c r="A15" s="10423"/>
      <c r="B15" s="10616"/>
      <c r="C15" s="10592"/>
      <c r="D15" s="10500"/>
      <c r="E15" s="10500"/>
      <c r="F15" s="10500"/>
      <c r="G15" s="10502"/>
      <c r="H15" s="10500"/>
      <c r="I15" s="10500"/>
      <c r="J15" s="10500"/>
      <c r="K15" s="10500"/>
      <c r="L15" s="10500"/>
      <c r="M15" s="10556"/>
      <c r="N15" s="10556"/>
      <c r="O15" s="10556"/>
      <c r="P15" s="10500"/>
      <c r="Q15" s="10500"/>
      <c r="R15" s="10508"/>
      <c r="S15" s="3538"/>
      <c r="T15" s="5681"/>
      <c r="U15" s="5681"/>
      <c r="V15" s="3763" t="s">
        <v>3777</v>
      </c>
      <c r="W15" s="5499">
        <v>1</v>
      </c>
      <c r="X15" s="3496" t="s">
        <v>152</v>
      </c>
      <c r="Y15" s="7960">
        <f>(72708.69)/1.12</f>
        <v>64918.47321428571</v>
      </c>
      <c r="Z15" s="7960">
        <f t="shared" ref="Z15" si="0">+W15*Y15</f>
        <v>64918.47321428571</v>
      </c>
      <c r="AA15" s="7960">
        <f t="shared" ref="AA15" si="1">+Z15*1.12</f>
        <v>72708.69</v>
      </c>
      <c r="AB15" s="5553"/>
      <c r="AC15" s="5779"/>
      <c r="AD15" s="2935"/>
      <c r="AE15" s="3504" t="s">
        <v>153</v>
      </c>
      <c r="AF15" s="3505" t="s">
        <v>153</v>
      </c>
      <c r="AG15" s="3505" t="s">
        <v>153</v>
      </c>
      <c r="AH15" s="10653"/>
      <c r="AI15" s="3656"/>
      <c r="AJ15" s="100"/>
      <c r="AK15" s="100"/>
      <c r="AL15" s="100"/>
    </row>
    <row r="16" spans="1:38" ht="21" customHeight="1">
      <c r="A16" s="10423"/>
      <c r="B16" s="10616"/>
      <c r="C16" s="10592"/>
      <c r="D16" s="10500"/>
      <c r="E16" s="10500"/>
      <c r="F16" s="10500"/>
      <c r="G16" s="10502"/>
      <c r="H16" s="10500"/>
      <c r="I16" s="10500"/>
      <c r="J16" s="10500"/>
      <c r="K16" s="10500"/>
      <c r="L16" s="10500"/>
      <c r="M16" s="10556"/>
      <c r="N16" s="10556"/>
      <c r="O16" s="10556"/>
      <c r="P16" s="10500"/>
      <c r="Q16" s="10500"/>
      <c r="R16" s="10508"/>
      <c r="S16" s="3770" t="s">
        <v>15</v>
      </c>
      <c r="T16" s="5682">
        <v>530104</v>
      </c>
      <c r="U16" s="5682"/>
      <c r="V16" s="3796" t="s">
        <v>3778</v>
      </c>
      <c r="W16" s="5499"/>
      <c r="X16" s="3496"/>
      <c r="Y16" s="7960"/>
      <c r="Z16" s="7960"/>
      <c r="AA16" s="7960"/>
      <c r="AB16" s="7962">
        <f>SUM(AA17:AA17)</f>
        <v>219857.37</v>
      </c>
      <c r="AC16" s="5779" t="s">
        <v>18</v>
      </c>
      <c r="AD16" s="2935"/>
      <c r="AE16" s="3504"/>
      <c r="AF16" s="3505"/>
      <c r="AG16" s="3505"/>
      <c r="AH16" s="10653"/>
      <c r="AI16" s="3656"/>
      <c r="AJ16" s="100"/>
      <c r="AK16" s="100"/>
      <c r="AL16" s="100"/>
    </row>
    <row r="17" spans="1:38" ht="21" customHeight="1">
      <c r="A17" s="10423"/>
      <c r="B17" s="10616"/>
      <c r="C17" s="10592"/>
      <c r="D17" s="10500"/>
      <c r="E17" s="10500"/>
      <c r="F17" s="10500"/>
      <c r="G17" s="10502"/>
      <c r="H17" s="10500"/>
      <c r="I17" s="10500"/>
      <c r="J17" s="10500"/>
      <c r="K17" s="10500"/>
      <c r="L17" s="10500"/>
      <c r="M17" s="10556"/>
      <c r="N17" s="10556"/>
      <c r="O17" s="10556"/>
      <c r="P17" s="10500"/>
      <c r="Q17" s="10500"/>
      <c r="R17" s="10508"/>
      <c r="S17" s="3538"/>
      <c r="T17" s="5681"/>
      <c r="U17" s="5681"/>
      <c r="V17" s="3763" t="s">
        <v>3779</v>
      </c>
      <c r="W17" s="5499">
        <v>1</v>
      </c>
      <c r="X17" s="3496" t="s">
        <v>152</v>
      </c>
      <c r="Y17" s="7960">
        <f>219857.37/1.12</f>
        <v>196301.22321428568</v>
      </c>
      <c r="Z17" s="7960">
        <f>+W17*Y17</f>
        <v>196301.22321428568</v>
      </c>
      <c r="AA17" s="7960">
        <f>+Z17*1.12</f>
        <v>219857.37</v>
      </c>
      <c r="AB17" s="7962"/>
      <c r="AC17" s="5779"/>
      <c r="AD17" s="2935"/>
      <c r="AE17" s="3504" t="s">
        <v>153</v>
      </c>
      <c r="AF17" s="3505" t="s">
        <v>153</v>
      </c>
      <c r="AG17" s="3505" t="s">
        <v>153</v>
      </c>
      <c r="AH17" s="10653"/>
      <c r="AI17" s="466"/>
      <c r="AJ17" s="100"/>
      <c r="AK17" s="100"/>
      <c r="AL17" s="100"/>
    </row>
    <row r="18" spans="1:38" ht="21" customHeight="1">
      <c r="A18" s="10423"/>
      <c r="B18" s="10616"/>
      <c r="C18" s="10592"/>
      <c r="D18" s="10500"/>
      <c r="E18" s="10500"/>
      <c r="F18" s="10500"/>
      <c r="G18" s="10502"/>
      <c r="H18" s="10500"/>
      <c r="I18" s="10500"/>
      <c r="J18" s="10500"/>
      <c r="K18" s="10500"/>
      <c r="L18" s="10500"/>
      <c r="M18" s="10556"/>
      <c r="N18" s="10556"/>
      <c r="O18" s="10556"/>
      <c r="P18" s="10500"/>
      <c r="Q18" s="10500"/>
      <c r="R18" s="10508"/>
      <c r="S18" s="3770" t="s">
        <v>15</v>
      </c>
      <c r="T18" s="5682">
        <v>530104</v>
      </c>
      <c r="U18" s="5682"/>
      <c r="V18" s="3796" t="s">
        <v>3778</v>
      </c>
      <c r="W18" s="5499"/>
      <c r="X18" s="3496"/>
      <c r="Y18" s="5552"/>
      <c r="Z18" s="5552"/>
      <c r="AA18" s="5552"/>
      <c r="AB18" s="7962">
        <f>SUM(AA19:AA19)</f>
        <v>108903.27</v>
      </c>
      <c r="AC18" s="5779" t="s">
        <v>26</v>
      </c>
      <c r="AD18" s="2935"/>
      <c r="AE18" s="3504"/>
      <c r="AF18" s="3505"/>
      <c r="AG18" s="3505"/>
      <c r="AH18" s="10653"/>
      <c r="AI18" s="466"/>
      <c r="AJ18" s="100"/>
      <c r="AK18" s="100"/>
      <c r="AL18" s="100"/>
    </row>
    <row r="19" spans="1:38" ht="21" customHeight="1">
      <c r="A19" s="10423"/>
      <c r="B19" s="10616"/>
      <c r="C19" s="10592"/>
      <c r="D19" s="10500"/>
      <c r="E19" s="10500"/>
      <c r="F19" s="10500"/>
      <c r="G19" s="10502"/>
      <c r="H19" s="10500"/>
      <c r="I19" s="10500"/>
      <c r="J19" s="10500"/>
      <c r="K19" s="10500"/>
      <c r="L19" s="10500"/>
      <c r="M19" s="10556"/>
      <c r="N19" s="10556"/>
      <c r="O19" s="10556"/>
      <c r="P19" s="10500"/>
      <c r="Q19" s="10500"/>
      <c r="R19" s="10508"/>
      <c r="S19" s="3538"/>
      <c r="T19" s="5681"/>
      <c r="U19" s="5681"/>
      <c r="V19" s="3763" t="s">
        <v>3779</v>
      </c>
      <c r="W19" s="5499">
        <v>1</v>
      </c>
      <c r="X19" s="3496" t="s">
        <v>152</v>
      </c>
      <c r="Y19" s="7960">
        <f>(108903.27)/1.12</f>
        <v>97235.0625</v>
      </c>
      <c r="Z19" s="5552">
        <f t="shared" ref="Z19" si="2">+W19*Y19</f>
        <v>97235.0625</v>
      </c>
      <c r="AA19" s="5552">
        <f t="shared" ref="AA19" si="3">+Z19*1.12</f>
        <v>108903.27</v>
      </c>
      <c r="AB19" s="5553"/>
      <c r="AC19" s="5779"/>
      <c r="AD19" s="2935"/>
      <c r="AE19" s="3504" t="s">
        <v>153</v>
      </c>
      <c r="AF19" s="3505" t="s">
        <v>153</v>
      </c>
      <c r="AG19" s="3505" t="s">
        <v>153</v>
      </c>
      <c r="AH19" s="10653"/>
      <c r="AI19" s="466"/>
      <c r="AJ19" s="100"/>
      <c r="AK19" s="100"/>
      <c r="AL19" s="100"/>
    </row>
    <row r="20" spans="1:38" ht="21" customHeight="1">
      <c r="A20" s="10423"/>
      <c r="B20" s="10616"/>
      <c r="C20" s="10592"/>
      <c r="D20" s="10500"/>
      <c r="E20" s="10500"/>
      <c r="F20" s="10500"/>
      <c r="G20" s="10502"/>
      <c r="H20" s="10500"/>
      <c r="I20" s="10500"/>
      <c r="J20" s="10500"/>
      <c r="K20" s="10500"/>
      <c r="L20" s="10500"/>
      <c r="M20" s="10556"/>
      <c r="N20" s="10556"/>
      <c r="O20" s="10556"/>
      <c r="P20" s="10500"/>
      <c r="Q20" s="10500"/>
      <c r="R20" s="10508"/>
      <c r="S20" s="3770" t="s">
        <v>15</v>
      </c>
      <c r="T20" s="5682">
        <v>530105</v>
      </c>
      <c r="U20" s="5682"/>
      <c r="V20" s="3796" t="s">
        <v>881</v>
      </c>
      <c r="W20" s="5508"/>
      <c r="X20" s="3669"/>
      <c r="Y20" s="5553"/>
      <c r="Z20" s="5553"/>
      <c r="AA20" s="5553"/>
      <c r="AB20" s="7798">
        <f>AA21</f>
        <v>22200</v>
      </c>
      <c r="AC20" s="5779" t="s">
        <v>18</v>
      </c>
      <c r="AD20" s="2935"/>
      <c r="AE20" s="3504"/>
      <c r="AF20" s="3505"/>
      <c r="AG20" s="3505"/>
      <c r="AH20" s="10653"/>
      <c r="AI20" s="466"/>
      <c r="AJ20" s="100"/>
      <c r="AK20" s="100"/>
      <c r="AL20" s="100"/>
    </row>
    <row r="21" spans="1:38" ht="30.75" customHeight="1">
      <c r="A21" s="10423"/>
      <c r="B21" s="10616"/>
      <c r="C21" s="10592"/>
      <c r="D21" s="10500"/>
      <c r="E21" s="10500"/>
      <c r="F21" s="10500"/>
      <c r="G21" s="10502"/>
      <c r="H21" s="10500"/>
      <c r="I21" s="10500"/>
      <c r="J21" s="10500"/>
      <c r="K21" s="10500"/>
      <c r="L21" s="10500"/>
      <c r="M21" s="10556"/>
      <c r="N21" s="10556"/>
      <c r="O21" s="10556"/>
      <c r="P21" s="10500"/>
      <c r="Q21" s="10500"/>
      <c r="R21" s="10508"/>
      <c r="S21" s="3538"/>
      <c r="T21" s="5681"/>
      <c r="U21" s="5681"/>
      <c r="V21" s="3797" t="s">
        <v>3780</v>
      </c>
      <c r="W21" s="5507">
        <v>1</v>
      </c>
      <c r="X21" s="3670" t="s">
        <v>152</v>
      </c>
      <c r="Y21" s="7799">
        <f>(25000-2800)/1.12</f>
        <v>19821.428571428569</v>
      </c>
      <c r="Z21" s="5795">
        <f t="shared" ref="Z21:Z34" si="4">+W21*Y21</f>
        <v>19821.428571428569</v>
      </c>
      <c r="AA21" s="5795">
        <f t="shared" ref="AA21:AA34" si="5">+Z21*1.12</f>
        <v>22200</v>
      </c>
      <c r="AB21" s="5553"/>
      <c r="AC21" s="5779"/>
      <c r="AD21" s="2935"/>
      <c r="AE21" s="3504" t="s">
        <v>153</v>
      </c>
      <c r="AF21" s="3505" t="s">
        <v>153</v>
      </c>
      <c r="AG21" s="3505" t="s">
        <v>153</v>
      </c>
      <c r="AH21" s="10653"/>
      <c r="AI21" s="466"/>
      <c r="AJ21" s="100"/>
      <c r="AK21" s="100"/>
      <c r="AL21" s="100"/>
    </row>
    <row r="22" spans="1:38" ht="21" customHeight="1" thickTop="1" thickBot="1">
      <c r="A22" s="10423"/>
      <c r="B22" s="10616"/>
      <c r="C22" s="10592"/>
      <c r="D22" s="10500"/>
      <c r="E22" s="10500"/>
      <c r="F22" s="10500"/>
      <c r="G22" s="10502"/>
      <c r="H22" s="10500"/>
      <c r="I22" s="10500"/>
      <c r="J22" s="10500"/>
      <c r="K22" s="10500"/>
      <c r="L22" s="10500"/>
      <c r="M22" s="10556"/>
      <c r="N22" s="10556"/>
      <c r="O22" s="10556"/>
      <c r="P22" s="10500"/>
      <c r="Q22" s="10500"/>
      <c r="R22" s="10508"/>
      <c r="S22" s="3538"/>
      <c r="T22" s="5681"/>
      <c r="U22" s="5681"/>
      <c r="V22" s="4461"/>
      <c r="W22" s="7377"/>
      <c r="X22" s="4455"/>
      <c r="Y22" s="7395"/>
      <c r="Z22" s="7395"/>
      <c r="AA22" s="7395"/>
      <c r="AB22" s="5553"/>
      <c r="AC22" s="5779"/>
      <c r="AD22" s="2935"/>
      <c r="AE22" s="3504"/>
      <c r="AF22" s="3505"/>
      <c r="AG22" s="3505"/>
      <c r="AH22" s="10653"/>
      <c r="AI22" s="466"/>
      <c r="AJ22" s="100"/>
      <c r="AK22" s="100"/>
      <c r="AL22" s="100"/>
    </row>
    <row r="23" spans="1:38" ht="21" customHeight="1" thickTop="1" thickBot="1">
      <c r="A23" s="10423"/>
      <c r="B23" s="10616"/>
      <c r="C23" s="10592"/>
      <c r="D23" s="10500"/>
      <c r="E23" s="10500"/>
      <c r="F23" s="10500"/>
      <c r="G23" s="10502"/>
      <c r="H23" s="10500"/>
      <c r="I23" s="10500"/>
      <c r="J23" s="10500"/>
      <c r="K23" s="10500"/>
      <c r="L23" s="10500"/>
      <c r="M23" s="10556"/>
      <c r="N23" s="10556"/>
      <c r="O23" s="10556"/>
      <c r="P23" s="10500"/>
      <c r="Q23" s="10500"/>
      <c r="R23" s="10508"/>
      <c r="S23" s="4362" t="s">
        <v>15</v>
      </c>
      <c r="T23" s="7359">
        <v>840104</v>
      </c>
      <c r="U23" s="7360"/>
      <c r="V23" s="3798" t="s">
        <v>39</v>
      </c>
      <c r="W23" s="5507"/>
      <c r="X23" s="3670"/>
      <c r="Y23" s="5795"/>
      <c r="Z23" s="5795"/>
      <c r="AA23" s="5795"/>
      <c r="AB23" s="5796">
        <f>SUM(AA24:AA31)</f>
        <v>9413.0299999999988</v>
      </c>
      <c r="AC23" s="5833" t="s">
        <v>18</v>
      </c>
      <c r="AD23" s="4299"/>
      <c r="AE23" s="3670"/>
      <c r="AF23" s="4282"/>
      <c r="AG23" s="4282"/>
      <c r="AH23" s="10653"/>
      <c r="AI23" s="466"/>
      <c r="AJ23" s="100"/>
      <c r="AK23" s="100"/>
      <c r="AL23" s="100"/>
    </row>
    <row r="24" spans="1:38" ht="21" customHeight="1" thickTop="1" thickBot="1">
      <c r="A24" s="10423"/>
      <c r="B24" s="10616"/>
      <c r="C24" s="10592"/>
      <c r="D24" s="10500"/>
      <c r="E24" s="10500"/>
      <c r="F24" s="10500"/>
      <c r="G24" s="10502"/>
      <c r="H24" s="10500"/>
      <c r="I24" s="10500"/>
      <c r="J24" s="10500"/>
      <c r="K24" s="10500"/>
      <c r="L24" s="10500"/>
      <c r="M24" s="10556"/>
      <c r="N24" s="10556"/>
      <c r="O24" s="10556"/>
      <c r="P24" s="10500"/>
      <c r="Q24" s="10500"/>
      <c r="R24" s="10508"/>
      <c r="S24" s="4298"/>
      <c r="T24" s="7360"/>
      <c r="U24" s="3308">
        <v>439130111</v>
      </c>
      <c r="V24" s="3309" t="s">
        <v>2842</v>
      </c>
      <c r="W24" s="3310">
        <v>2</v>
      </c>
      <c r="X24" s="3419" t="s">
        <v>180</v>
      </c>
      <c r="Y24" s="7396">
        <v>505</v>
      </c>
      <c r="Z24" s="7396">
        <f>+W24*Y24</f>
        <v>1010</v>
      </c>
      <c r="AA24" s="7396">
        <f>+Z24*1.12</f>
        <v>1131.2</v>
      </c>
      <c r="AB24" s="5796"/>
      <c r="AC24" s="5833"/>
      <c r="AD24" s="4299"/>
      <c r="AE24" s="3670"/>
      <c r="AF24" s="4282"/>
      <c r="AG24" s="4282" t="s">
        <v>153</v>
      </c>
      <c r="AH24" s="10653"/>
      <c r="AI24" s="466"/>
      <c r="AJ24" s="100"/>
      <c r="AK24" s="100"/>
      <c r="AL24" s="100"/>
    </row>
    <row r="25" spans="1:38" ht="21" customHeight="1" thickTop="1" thickBot="1">
      <c r="A25" s="10423"/>
      <c r="B25" s="10616"/>
      <c r="C25" s="10592"/>
      <c r="D25" s="10500"/>
      <c r="E25" s="10500"/>
      <c r="F25" s="10500"/>
      <c r="G25" s="10502"/>
      <c r="H25" s="10500"/>
      <c r="I25" s="10500"/>
      <c r="J25" s="10500"/>
      <c r="K25" s="10500"/>
      <c r="L25" s="10500"/>
      <c r="M25" s="10556"/>
      <c r="N25" s="10556"/>
      <c r="O25" s="10556"/>
      <c r="P25" s="10500"/>
      <c r="Q25" s="10500"/>
      <c r="R25" s="10508"/>
      <c r="S25" s="4298"/>
      <c r="T25" s="7360"/>
      <c r="U25" s="3308">
        <v>439130111</v>
      </c>
      <c r="V25" s="3309" t="s">
        <v>2843</v>
      </c>
      <c r="W25" s="3310">
        <v>1</v>
      </c>
      <c r="X25" s="3419" t="s">
        <v>180</v>
      </c>
      <c r="Y25" s="7396">
        <v>1000</v>
      </c>
      <c r="Z25" s="7396">
        <f>+W25*Y25</f>
        <v>1000</v>
      </c>
      <c r="AA25" s="7396">
        <f>+Z25*1.12</f>
        <v>1120</v>
      </c>
      <c r="AB25" s="5796"/>
      <c r="AC25" s="5833"/>
      <c r="AD25" s="4299"/>
      <c r="AE25" s="3670"/>
      <c r="AF25" s="4282"/>
      <c r="AG25" s="4282" t="s">
        <v>153</v>
      </c>
      <c r="AH25" s="10653"/>
      <c r="AI25" s="466"/>
      <c r="AJ25" s="100"/>
      <c r="AK25" s="100"/>
      <c r="AL25" s="100"/>
    </row>
    <row r="26" spans="1:38" ht="21" customHeight="1" thickTop="1" thickBot="1">
      <c r="A26" s="10423"/>
      <c r="B26" s="10616"/>
      <c r="C26" s="10592"/>
      <c r="D26" s="10500"/>
      <c r="E26" s="10500"/>
      <c r="F26" s="10500"/>
      <c r="G26" s="10502"/>
      <c r="H26" s="10500"/>
      <c r="I26" s="10500"/>
      <c r="J26" s="10500"/>
      <c r="K26" s="10500"/>
      <c r="L26" s="10500"/>
      <c r="M26" s="10556"/>
      <c r="N26" s="10556"/>
      <c r="O26" s="10556"/>
      <c r="P26" s="10500"/>
      <c r="Q26" s="10500"/>
      <c r="R26" s="10508"/>
      <c r="S26" s="4298"/>
      <c r="T26" s="7360"/>
      <c r="U26" s="7361" t="s">
        <v>1113</v>
      </c>
      <c r="V26" s="3237" t="s">
        <v>1114</v>
      </c>
      <c r="W26" s="7296">
        <v>1</v>
      </c>
      <c r="X26" s="3231" t="s">
        <v>180</v>
      </c>
      <c r="Y26" s="7324">
        <v>659</v>
      </c>
      <c r="Z26" s="7324">
        <f t="shared" ref="Z26:Z28" si="6">+W26*Y26</f>
        <v>659</v>
      </c>
      <c r="AA26" s="7324">
        <f t="shared" ref="AA26:AA28" si="7">+Z26*1.12</f>
        <v>738.08</v>
      </c>
      <c r="AB26" s="5796"/>
      <c r="AC26" s="5833"/>
      <c r="AD26" s="4299"/>
      <c r="AE26" s="3670"/>
      <c r="AF26" s="4282"/>
      <c r="AG26" s="4282" t="s">
        <v>153</v>
      </c>
      <c r="AH26" s="10653"/>
      <c r="AI26" s="466"/>
      <c r="AJ26" s="100"/>
      <c r="AK26" s="100"/>
      <c r="AL26" s="100"/>
    </row>
    <row r="27" spans="1:38" ht="21" customHeight="1" thickTop="1" thickBot="1">
      <c r="A27" s="10423"/>
      <c r="B27" s="10616"/>
      <c r="C27" s="10592"/>
      <c r="D27" s="10500"/>
      <c r="E27" s="10500"/>
      <c r="F27" s="10500"/>
      <c r="G27" s="10502"/>
      <c r="H27" s="10500"/>
      <c r="I27" s="10500"/>
      <c r="J27" s="10500"/>
      <c r="K27" s="10500"/>
      <c r="L27" s="10500"/>
      <c r="M27" s="10556"/>
      <c r="N27" s="10556"/>
      <c r="O27" s="10556"/>
      <c r="P27" s="10500"/>
      <c r="Q27" s="10500"/>
      <c r="R27" s="10508"/>
      <c r="S27" s="4298"/>
      <c r="T27" s="7360"/>
      <c r="U27" s="7362" t="s">
        <v>1113</v>
      </c>
      <c r="V27" s="7665" t="s">
        <v>1115</v>
      </c>
      <c r="W27" s="7378">
        <v>1</v>
      </c>
      <c r="X27" s="4466" t="s">
        <v>180</v>
      </c>
      <c r="Y27" s="7394">
        <v>900</v>
      </c>
      <c r="Z27" s="7394">
        <f t="shared" si="6"/>
        <v>900</v>
      </c>
      <c r="AA27" s="7394">
        <f t="shared" si="7"/>
        <v>1008.0000000000001</v>
      </c>
      <c r="AB27" s="5796"/>
      <c r="AC27" s="5833"/>
      <c r="AD27" s="4299"/>
      <c r="AE27" s="3670"/>
      <c r="AF27" s="4282"/>
      <c r="AG27" s="4282" t="s">
        <v>153</v>
      </c>
      <c r="AH27" s="10653"/>
      <c r="AI27" s="466"/>
      <c r="AJ27" s="100"/>
      <c r="AK27" s="100"/>
      <c r="AL27" s="100"/>
    </row>
    <row r="28" spans="1:38" ht="21" customHeight="1" thickTop="1" thickBot="1">
      <c r="A28" s="10423"/>
      <c r="B28" s="10616"/>
      <c r="C28" s="10592"/>
      <c r="D28" s="10500"/>
      <c r="E28" s="10500"/>
      <c r="F28" s="10500"/>
      <c r="G28" s="10502"/>
      <c r="H28" s="10500"/>
      <c r="I28" s="10500"/>
      <c r="J28" s="10500"/>
      <c r="K28" s="10500"/>
      <c r="L28" s="10500"/>
      <c r="M28" s="10556"/>
      <c r="N28" s="10556"/>
      <c r="O28" s="10556"/>
      <c r="P28" s="10500"/>
      <c r="Q28" s="10500"/>
      <c r="R28" s="10508"/>
      <c r="S28" s="4298"/>
      <c r="T28" s="7360"/>
      <c r="U28" s="7362" t="s">
        <v>1113</v>
      </c>
      <c r="V28" s="3173" t="s">
        <v>922</v>
      </c>
      <c r="W28" s="4866">
        <v>2</v>
      </c>
      <c r="X28" s="3226" t="s">
        <v>180</v>
      </c>
      <c r="Y28" s="4907">
        <v>350</v>
      </c>
      <c r="Z28" s="4907">
        <f t="shared" si="6"/>
        <v>700</v>
      </c>
      <c r="AA28" s="4907">
        <f t="shared" si="7"/>
        <v>784.00000000000011</v>
      </c>
      <c r="AB28" s="5796"/>
      <c r="AC28" s="5833"/>
      <c r="AD28" s="4299"/>
      <c r="AE28" s="3670"/>
      <c r="AF28" s="4282"/>
      <c r="AG28" s="4282" t="s">
        <v>153</v>
      </c>
      <c r="AH28" s="10653"/>
      <c r="AI28" s="466"/>
      <c r="AJ28" s="100"/>
      <c r="AK28" s="100"/>
      <c r="AL28" s="100"/>
    </row>
    <row r="29" spans="1:38" ht="21" customHeight="1" thickTop="1" thickBot="1">
      <c r="A29" s="10423"/>
      <c r="B29" s="10616"/>
      <c r="C29" s="10592"/>
      <c r="D29" s="10500"/>
      <c r="E29" s="10500"/>
      <c r="F29" s="10500"/>
      <c r="G29" s="10502"/>
      <c r="H29" s="10500"/>
      <c r="I29" s="10500"/>
      <c r="J29" s="10500"/>
      <c r="K29" s="10500"/>
      <c r="L29" s="10500"/>
      <c r="M29" s="10556"/>
      <c r="N29" s="10556"/>
      <c r="O29" s="10556"/>
      <c r="P29" s="10500"/>
      <c r="Q29" s="10500"/>
      <c r="R29" s="10508"/>
      <c r="S29" s="4298"/>
      <c r="T29" s="7360"/>
      <c r="U29" s="7362" t="s">
        <v>1113</v>
      </c>
      <c r="V29" s="4462" t="s">
        <v>3781</v>
      </c>
      <c r="W29" s="4406">
        <v>1</v>
      </c>
      <c r="X29" s="3353" t="s">
        <v>180</v>
      </c>
      <c r="Y29" s="7397">
        <f>630.95/1.12</f>
        <v>563.34821428571422</v>
      </c>
      <c r="Z29" s="7397">
        <f>+W29*Y29</f>
        <v>563.34821428571422</v>
      </c>
      <c r="AA29" s="7397">
        <f>+Z29*1.12</f>
        <v>630.94999999999993</v>
      </c>
      <c r="AB29" s="5796"/>
      <c r="AC29" s="5833"/>
      <c r="AD29" s="4299"/>
      <c r="AE29" s="3670"/>
      <c r="AF29" s="4282"/>
      <c r="AG29" s="4282" t="s">
        <v>153</v>
      </c>
      <c r="AH29" s="10653"/>
      <c r="AI29" s="466"/>
      <c r="AJ29" s="100"/>
      <c r="AK29" s="100"/>
      <c r="AL29" s="100"/>
    </row>
    <row r="30" spans="1:38" ht="21" customHeight="1" thickTop="1" thickBot="1">
      <c r="A30" s="10423"/>
      <c r="B30" s="10616"/>
      <c r="C30" s="10592"/>
      <c r="D30" s="10500"/>
      <c r="E30" s="10500"/>
      <c r="F30" s="10500"/>
      <c r="G30" s="10502"/>
      <c r="H30" s="10500"/>
      <c r="I30" s="10500"/>
      <c r="J30" s="10500"/>
      <c r="K30" s="10500"/>
      <c r="L30" s="10500"/>
      <c r="M30" s="10556"/>
      <c r="N30" s="10556"/>
      <c r="O30" s="10556"/>
      <c r="P30" s="10500"/>
      <c r="Q30" s="10500"/>
      <c r="R30" s="10508"/>
      <c r="S30" s="4298"/>
      <c r="T30" s="7360"/>
      <c r="U30" s="7363" t="s">
        <v>1113</v>
      </c>
      <c r="V30" s="6114" t="s">
        <v>3782</v>
      </c>
      <c r="W30" s="6115">
        <v>1</v>
      </c>
      <c r="X30" s="6116" t="s">
        <v>180</v>
      </c>
      <c r="Y30" s="7398">
        <f>800.8/1.12</f>
        <v>714.99999999999989</v>
      </c>
      <c r="Z30" s="7398">
        <f>+W30*Y30</f>
        <v>714.99999999999989</v>
      </c>
      <c r="AA30" s="7398">
        <f>+Z30*1.12</f>
        <v>800.8</v>
      </c>
      <c r="AB30" s="5796"/>
      <c r="AC30" s="5833"/>
      <c r="AD30" s="4299"/>
      <c r="AE30" s="3670"/>
      <c r="AF30" s="4282"/>
      <c r="AG30" s="4282" t="s">
        <v>153</v>
      </c>
      <c r="AH30" s="10653"/>
      <c r="AI30" s="466"/>
      <c r="AJ30" s="100"/>
      <c r="AK30" s="100"/>
      <c r="AL30" s="100"/>
    </row>
    <row r="31" spans="1:38" ht="21" customHeight="1" thickTop="1" thickBot="1">
      <c r="A31" s="10423"/>
      <c r="B31" s="10616"/>
      <c r="C31" s="10592"/>
      <c r="D31" s="10500"/>
      <c r="E31" s="10500"/>
      <c r="F31" s="10500"/>
      <c r="G31" s="10502"/>
      <c r="H31" s="10500"/>
      <c r="I31" s="10500"/>
      <c r="J31" s="10500"/>
      <c r="K31" s="10500"/>
      <c r="L31" s="10500"/>
      <c r="M31" s="10556"/>
      <c r="N31" s="10556"/>
      <c r="O31" s="10556"/>
      <c r="P31" s="10500"/>
      <c r="Q31" s="10500"/>
      <c r="R31" s="10508"/>
      <c r="S31" s="4298"/>
      <c r="T31" s="7360"/>
      <c r="U31" s="7364" t="s">
        <v>1113</v>
      </c>
      <c r="V31" s="3804" t="s">
        <v>3783</v>
      </c>
      <c r="W31" s="5507">
        <v>2</v>
      </c>
      <c r="X31" s="3670" t="s">
        <v>180</v>
      </c>
      <c r="Y31" s="5795">
        <f>1600/1.12</f>
        <v>1428.5714285714284</v>
      </c>
      <c r="Z31" s="5795">
        <f>+W31*Y31</f>
        <v>2857.1428571428569</v>
      </c>
      <c r="AA31" s="5795">
        <f>+Z31*1.12</f>
        <v>3200</v>
      </c>
      <c r="AB31" s="5796"/>
      <c r="AC31" s="5833"/>
      <c r="AD31" s="4299"/>
      <c r="AE31" s="3670"/>
      <c r="AF31" s="4282"/>
      <c r="AG31" s="4282" t="s">
        <v>153</v>
      </c>
      <c r="AH31" s="10653"/>
      <c r="AI31" s="466"/>
      <c r="AJ31" s="100"/>
      <c r="AK31" s="100"/>
      <c r="AL31" s="100"/>
    </row>
    <row r="32" spans="1:38" ht="21" customHeight="1" thickTop="1" thickBot="1">
      <c r="A32" s="10423"/>
      <c r="B32" s="10616"/>
      <c r="C32" s="10592"/>
      <c r="D32" s="10500"/>
      <c r="E32" s="10500"/>
      <c r="F32" s="10500"/>
      <c r="G32" s="10502"/>
      <c r="H32" s="10500"/>
      <c r="I32" s="10500"/>
      <c r="J32" s="10500"/>
      <c r="K32" s="10500"/>
      <c r="L32" s="10500"/>
      <c r="M32" s="10556"/>
      <c r="N32" s="10556"/>
      <c r="O32" s="10556"/>
      <c r="P32" s="10500"/>
      <c r="Q32" s="10500"/>
      <c r="R32" s="10508"/>
      <c r="S32" s="3538"/>
      <c r="T32" s="5681"/>
      <c r="U32" s="5681"/>
      <c r="V32" s="3495"/>
      <c r="W32" s="5499"/>
      <c r="X32" s="3496"/>
      <c r="Y32" s="5552"/>
      <c r="Z32" s="5552"/>
      <c r="AA32" s="5552"/>
      <c r="AB32" s="5553"/>
      <c r="AC32" s="5779"/>
      <c r="AD32" s="2935"/>
      <c r="AE32" s="3504"/>
      <c r="AF32" s="3505"/>
      <c r="AG32" s="3505"/>
      <c r="AH32" s="10653"/>
      <c r="AI32" s="466"/>
      <c r="AJ32" s="100"/>
      <c r="AK32" s="100"/>
      <c r="AL32" s="100"/>
    </row>
    <row r="33" spans="1:38" ht="21" customHeight="1" thickTop="1" thickBot="1">
      <c r="A33" s="10423"/>
      <c r="B33" s="10616"/>
      <c r="C33" s="10592"/>
      <c r="D33" s="10500"/>
      <c r="E33" s="10500"/>
      <c r="F33" s="10500"/>
      <c r="G33" s="10502"/>
      <c r="H33" s="10500"/>
      <c r="I33" s="10500"/>
      <c r="J33" s="10500"/>
      <c r="K33" s="10500"/>
      <c r="L33" s="10500"/>
      <c r="M33" s="10556"/>
      <c r="N33" s="10556"/>
      <c r="O33" s="10556"/>
      <c r="P33" s="10500"/>
      <c r="Q33" s="10500"/>
      <c r="R33" s="10508"/>
      <c r="S33" s="3770" t="s">
        <v>15</v>
      </c>
      <c r="T33" s="5682">
        <v>840104</v>
      </c>
      <c r="U33" s="5681"/>
      <c r="V33" s="3796" t="s">
        <v>39</v>
      </c>
      <c r="W33" s="5499"/>
      <c r="X33" s="3496"/>
      <c r="Y33" s="5552"/>
      <c r="Z33" s="5552"/>
      <c r="AA33" s="5552"/>
      <c r="AB33" s="5553">
        <f>AA34</f>
        <v>39500</v>
      </c>
      <c r="AC33" s="5779" t="s">
        <v>26</v>
      </c>
      <c r="AD33" s="2935"/>
      <c r="AE33" s="3504"/>
      <c r="AF33" s="3505"/>
      <c r="AG33" s="3505"/>
      <c r="AH33" s="10653"/>
      <c r="AI33" s="466"/>
      <c r="AJ33" s="100"/>
      <c r="AK33" s="100"/>
      <c r="AL33" s="100"/>
    </row>
    <row r="34" spans="1:38" ht="21" customHeight="1" thickTop="1" thickBot="1">
      <c r="A34" s="10423"/>
      <c r="B34" s="10616"/>
      <c r="C34" s="10592"/>
      <c r="D34" s="10500"/>
      <c r="E34" s="10500"/>
      <c r="F34" s="10500"/>
      <c r="G34" s="10502"/>
      <c r="H34" s="10500"/>
      <c r="I34" s="10500"/>
      <c r="J34" s="10500"/>
      <c r="K34" s="10500"/>
      <c r="L34" s="10500"/>
      <c r="M34" s="10556"/>
      <c r="N34" s="10556"/>
      <c r="O34" s="10556"/>
      <c r="P34" s="10500"/>
      <c r="Q34" s="10500"/>
      <c r="R34" s="10508"/>
      <c r="S34" s="3538"/>
      <c r="T34" s="5681"/>
      <c r="U34" s="5681"/>
      <c r="V34" s="3495" t="s">
        <v>3784</v>
      </c>
      <c r="W34" s="5499">
        <v>1</v>
      </c>
      <c r="X34" s="3496" t="s">
        <v>1288</v>
      </c>
      <c r="Y34" s="5552">
        <f>39500/1.12</f>
        <v>35267.857142857138</v>
      </c>
      <c r="Z34" s="5552">
        <f t="shared" si="4"/>
        <v>35267.857142857138</v>
      </c>
      <c r="AA34" s="5552">
        <f t="shared" si="5"/>
        <v>39500</v>
      </c>
      <c r="AB34" s="5553"/>
      <c r="AC34" s="5779"/>
      <c r="AD34" s="2935"/>
      <c r="AE34" s="3504" t="s">
        <v>153</v>
      </c>
      <c r="AF34" s="3505"/>
      <c r="AG34" s="3505"/>
      <c r="AH34" s="10653"/>
      <c r="AI34" s="466"/>
      <c r="AJ34" s="100"/>
      <c r="AK34" s="100"/>
      <c r="AL34" s="100"/>
    </row>
    <row r="35" spans="1:38" ht="21" customHeight="1" thickTop="1" thickBot="1">
      <c r="A35" s="10423"/>
      <c r="B35" s="10616"/>
      <c r="C35" s="10592"/>
      <c r="D35" s="10500"/>
      <c r="E35" s="10500"/>
      <c r="F35" s="10500"/>
      <c r="G35" s="10502"/>
      <c r="H35" s="10500"/>
      <c r="I35" s="10500"/>
      <c r="J35" s="10500"/>
      <c r="K35" s="10500"/>
      <c r="L35" s="10500"/>
      <c r="M35" s="10556"/>
      <c r="N35" s="10556"/>
      <c r="O35" s="10556"/>
      <c r="P35" s="10500"/>
      <c r="Q35" s="10500"/>
      <c r="R35" s="10508"/>
      <c r="S35" s="3770" t="s">
        <v>15</v>
      </c>
      <c r="T35" s="5682">
        <v>840104</v>
      </c>
      <c r="U35" s="5681"/>
      <c r="V35" s="3796" t="s">
        <v>39</v>
      </c>
      <c r="W35" s="5499"/>
      <c r="X35" s="3496"/>
      <c r="Y35" s="5552"/>
      <c r="Z35" s="5552"/>
      <c r="AA35" s="5552"/>
      <c r="AB35" s="5553">
        <f>AA36</f>
        <v>39500</v>
      </c>
      <c r="AC35" s="5779" t="s">
        <v>763</v>
      </c>
      <c r="AD35" s="3665"/>
      <c r="AE35" s="3496"/>
      <c r="AF35" s="3666"/>
      <c r="AG35" s="3672"/>
      <c r="AH35" s="10653"/>
      <c r="AI35" s="466"/>
      <c r="AJ35" s="100"/>
      <c r="AK35" s="100"/>
      <c r="AL35" s="100"/>
    </row>
    <row r="36" spans="1:38" ht="44.25" customHeight="1" thickTop="1" thickBot="1">
      <c r="A36" s="10423"/>
      <c r="B36" s="10616"/>
      <c r="C36" s="10592"/>
      <c r="D36" s="10500"/>
      <c r="E36" s="10500"/>
      <c r="F36" s="10500"/>
      <c r="G36" s="10502"/>
      <c r="H36" s="10500"/>
      <c r="I36" s="10500"/>
      <c r="J36" s="10500"/>
      <c r="K36" s="10500"/>
      <c r="L36" s="10500"/>
      <c r="M36" s="10556"/>
      <c r="N36" s="10556"/>
      <c r="O36" s="10556"/>
      <c r="P36" s="10500"/>
      <c r="Q36" s="10500"/>
      <c r="R36" s="10508"/>
      <c r="S36" s="3541"/>
      <c r="T36" s="5681"/>
      <c r="U36" s="5681"/>
      <c r="V36" s="3763" t="s">
        <v>3785</v>
      </c>
      <c r="W36" s="5499">
        <v>1</v>
      </c>
      <c r="X36" s="3496" t="s">
        <v>180</v>
      </c>
      <c r="Y36" s="5552">
        <v>39500</v>
      </c>
      <c r="Z36" s="5552">
        <f>Y36</f>
        <v>39500</v>
      </c>
      <c r="AA36" s="5552">
        <f>Z36</f>
        <v>39500</v>
      </c>
      <c r="AB36" s="5553"/>
      <c r="AC36" s="5779"/>
      <c r="AD36" s="3665"/>
      <c r="AE36" s="3496"/>
      <c r="AF36" s="3666" t="s">
        <v>153</v>
      </c>
      <c r="AG36" s="3672"/>
      <c r="AH36" s="10653"/>
      <c r="AI36" s="466"/>
      <c r="AJ36" s="100"/>
      <c r="AK36" s="100"/>
      <c r="AL36" s="100"/>
    </row>
    <row r="37" spans="1:38" ht="26.25" customHeight="1" thickTop="1" thickBot="1">
      <c r="A37" s="10423"/>
      <c r="B37" s="10616"/>
      <c r="C37" s="10592"/>
      <c r="D37" s="10500"/>
      <c r="E37" s="10500"/>
      <c r="F37" s="10500"/>
      <c r="G37" s="10502"/>
      <c r="H37" s="10500"/>
      <c r="I37" s="10500"/>
      <c r="J37" s="10500"/>
      <c r="K37" s="10500"/>
      <c r="L37" s="10500"/>
      <c r="M37" s="10556"/>
      <c r="N37" s="10556"/>
      <c r="O37" s="10556"/>
      <c r="P37" s="10500"/>
      <c r="Q37" s="10500"/>
      <c r="R37" s="10508"/>
      <c r="S37" s="4362" t="s">
        <v>79</v>
      </c>
      <c r="T37" s="7359" t="s">
        <v>3786</v>
      </c>
      <c r="U37" s="5681"/>
      <c r="V37" s="3798" t="s">
        <v>3787</v>
      </c>
      <c r="W37" s="5507"/>
      <c r="X37" s="3670"/>
      <c r="Y37" s="5795"/>
      <c r="Z37" s="5795"/>
      <c r="AA37" s="5795"/>
      <c r="AB37" s="5796">
        <f>AA38</f>
        <v>28840</v>
      </c>
      <c r="AC37" s="5833" t="s">
        <v>673</v>
      </c>
      <c r="AD37" s="3665"/>
      <c r="AE37" s="3496"/>
      <c r="AF37" s="3666"/>
      <c r="AG37" s="3672"/>
      <c r="AH37" s="10653"/>
      <c r="AI37" s="466"/>
      <c r="AJ37" s="100"/>
      <c r="AK37" s="100"/>
      <c r="AL37" s="100"/>
    </row>
    <row r="38" spans="1:38" ht="68.25" customHeight="1">
      <c r="A38" s="10423"/>
      <c r="B38" s="10616"/>
      <c r="C38" s="10592"/>
      <c r="D38" s="10500"/>
      <c r="E38" s="10500"/>
      <c r="F38" s="10500"/>
      <c r="G38" s="10502"/>
      <c r="H38" s="10500"/>
      <c r="I38" s="10500"/>
      <c r="J38" s="10500"/>
      <c r="K38" s="10500"/>
      <c r="L38" s="10500"/>
      <c r="M38" s="10556"/>
      <c r="N38" s="10556"/>
      <c r="O38" s="10556"/>
      <c r="P38" s="10500"/>
      <c r="Q38" s="10500"/>
      <c r="R38" s="10508"/>
      <c r="S38" s="3541"/>
      <c r="T38" s="5681"/>
      <c r="U38" s="5681"/>
      <c r="V38" s="3797" t="s">
        <v>7506</v>
      </c>
      <c r="W38" s="5507">
        <v>1</v>
      </c>
      <c r="X38" s="3670" t="s">
        <v>152</v>
      </c>
      <c r="Y38" s="5795">
        <f>28840/1.12</f>
        <v>25749.999999999996</v>
      </c>
      <c r="Z38" s="5795">
        <f>W38*Y38</f>
        <v>25749.999999999996</v>
      </c>
      <c r="AA38" s="5795">
        <f>Z38*1.12</f>
        <v>28840</v>
      </c>
      <c r="AB38" s="5553"/>
      <c r="AC38" s="5779"/>
      <c r="AD38" s="3665"/>
      <c r="AE38" s="3496"/>
      <c r="AF38" s="3666"/>
      <c r="AG38" s="4361" t="s">
        <v>153</v>
      </c>
      <c r="AH38" s="10653"/>
      <c r="AI38" s="466"/>
      <c r="AJ38" s="100"/>
      <c r="AK38" s="100"/>
      <c r="AL38" s="100"/>
    </row>
    <row r="39" spans="1:38" ht="18" customHeight="1" thickTop="1" thickBot="1">
      <c r="A39" s="10423"/>
      <c r="B39" s="10616"/>
      <c r="C39" s="10592"/>
      <c r="D39" s="10500"/>
      <c r="E39" s="10500"/>
      <c r="F39" s="10500"/>
      <c r="G39" s="10502"/>
      <c r="H39" s="10500"/>
      <c r="I39" s="10500"/>
      <c r="J39" s="10500"/>
      <c r="K39" s="10500"/>
      <c r="L39" s="10500"/>
      <c r="M39" s="10556"/>
      <c r="N39" s="10556"/>
      <c r="O39" s="10556"/>
      <c r="P39" s="10500"/>
      <c r="Q39" s="10500"/>
      <c r="R39" s="10508"/>
      <c r="S39" s="4362" t="s">
        <v>15</v>
      </c>
      <c r="T39" s="7359">
        <v>530209</v>
      </c>
      <c r="U39" s="5681"/>
      <c r="V39" s="3798" t="s">
        <v>3788</v>
      </c>
      <c r="W39" s="5507"/>
      <c r="X39" s="3670"/>
      <c r="Y39" s="5795"/>
      <c r="Z39" s="5795"/>
      <c r="AA39" s="5795"/>
      <c r="AB39" s="5796">
        <f>+AA40+AA41</f>
        <v>30681</v>
      </c>
      <c r="AC39" s="5833" t="s">
        <v>25</v>
      </c>
      <c r="AD39" s="3665"/>
      <c r="AE39" s="3496"/>
      <c r="AF39" s="3666"/>
      <c r="AG39" s="3672"/>
      <c r="AH39" s="10653"/>
      <c r="AI39" s="466"/>
      <c r="AJ39" s="100"/>
      <c r="AK39" s="100"/>
      <c r="AL39" s="100"/>
    </row>
    <row r="40" spans="1:38" ht="18" customHeight="1" thickTop="1" thickBot="1">
      <c r="A40" s="10423"/>
      <c r="B40" s="10616"/>
      <c r="C40" s="10592"/>
      <c r="D40" s="10500"/>
      <c r="E40" s="10500"/>
      <c r="F40" s="10500"/>
      <c r="G40" s="10502"/>
      <c r="H40" s="10500"/>
      <c r="I40" s="10500"/>
      <c r="J40" s="10500"/>
      <c r="K40" s="10500"/>
      <c r="L40" s="10500"/>
      <c r="M40" s="10556"/>
      <c r="N40" s="10556"/>
      <c r="O40" s="10556"/>
      <c r="P40" s="10500"/>
      <c r="Q40" s="10500"/>
      <c r="R40" s="10508"/>
      <c r="S40" s="3541"/>
      <c r="T40" s="5681"/>
      <c r="U40" s="5681"/>
      <c r="V40" s="3797" t="s">
        <v>3789</v>
      </c>
      <c r="W40" s="5507">
        <v>1</v>
      </c>
      <c r="X40" s="3670" t="s">
        <v>152</v>
      </c>
      <c r="Y40" s="5795">
        <f>(31207.68-6826.68)/1.12</f>
        <v>21768.749999999996</v>
      </c>
      <c r="Z40" s="5795">
        <f>W40*Y40</f>
        <v>21768.749999999996</v>
      </c>
      <c r="AA40" s="5795">
        <f>Z40*1.12</f>
        <v>24381</v>
      </c>
      <c r="AB40" s="5553"/>
      <c r="AC40" s="5779"/>
      <c r="AD40" s="3665"/>
      <c r="AE40" s="3496"/>
      <c r="AF40" s="3666"/>
      <c r="AG40" s="4361" t="s">
        <v>153</v>
      </c>
      <c r="AH40" s="10653"/>
      <c r="AI40" s="466"/>
      <c r="AJ40" s="100"/>
      <c r="AK40" s="100"/>
      <c r="AL40" s="100"/>
    </row>
    <row r="41" spans="1:38" ht="33">
      <c r="A41" s="10423"/>
      <c r="B41" s="10616"/>
      <c r="C41" s="10592"/>
      <c r="D41" s="10500"/>
      <c r="E41" s="10500"/>
      <c r="F41" s="10500"/>
      <c r="G41" s="10502"/>
      <c r="H41" s="10500"/>
      <c r="I41" s="10500"/>
      <c r="J41" s="10500"/>
      <c r="K41" s="10500"/>
      <c r="L41" s="10500"/>
      <c r="M41" s="10556"/>
      <c r="N41" s="10556"/>
      <c r="O41" s="10556"/>
      <c r="P41" s="10500"/>
      <c r="Q41" s="10500"/>
      <c r="R41" s="10508"/>
      <c r="S41" s="3541"/>
      <c r="T41" s="5681"/>
      <c r="U41" s="5681"/>
      <c r="V41" s="8523" t="s">
        <v>3790</v>
      </c>
      <c r="W41" s="8039">
        <v>1</v>
      </c>
      <c r="X41" s="8040" t="s">
        <v>152</v>
      </c>
      <c r="Y41" s="8027">
        <v>6300</v>
      </c>
      <c r="Z41" s="8027">
        <f>Y41</f>
        <v>6300</v>
      </c>
      <c r="AA41" s="8027">
        <f>Z41</f>
        <v>6300</v>
      </c>
      <c r="AB41" s="5553"/>
      <c r="AC41" s="5779"/>
      <c r="AD41" s="3665"/>
      <c r="AE41" s="3496"/>
      <c r="AF41" s="3666"/>
      <c r="AG41" s="4361"/>
      <c r="AH41" s="10653"/>
      <c r="AI41" s="466"/>
      <c r="AJ41" s="100"/>
      <c r="AK41" s="100"/>
      <c r="AL41" s="100"/>
    </row>
    <row r="42" spans="1:38" ht="31.5" customHeight="1">
      <c r="A42" s="10423"/>
      <c r="B42" s="10616"/>
      <c r="C42" s="10592"/>
      <c r="D42" s="10500"/>
      <c r="E42" s="10500"/>
      <c r="F42" s="10500"/>
      <c r="G42" s="10502"/>
      <c r="H42" s="10500"/>
      <c r="I42" s="10500"/>
      <c r="J42" s="10500"/>
      <c r="K42" s="10500"/>
      <c r="L42" s="10500"/>
      <c r="M42" s="10556"/>
      <c r="N42" s="10556"/>
      <c r="O42" s="10556"/>
      <c r="P42" s="10500"/>
      <c r="Q42" s="10500"/>
      <c r="R42" s="10508"/>
      <c r="S42" s="4362" t="s">
        <v>79</v>
      </c>
      <c r="T42" s="7359">
        <v>531403</v>
      </c>
      <c r="U42" s="5681"/>
      <c r="V42" s="3798" t="s">
        <v>591</v>
      </c>
      <c r="W42" s="5507"/>
      <c r="X42" s="3670"/>
      <c r="Y42" s="5795"/>
      <c r="Z42" s="5795"/>
      <c r="AA42" s="7799"/>
      <c r="AB42" s="7798">
        <f>+SUM(AA43:AA44)</f>
        <v>57539.199999999997</v>
      </c>
      <c r="AC42" s="5833" t="s">
        <v>26</v>
      </c>
      <c r="AD42" s="3665"/>
      <c r="AE42" s="3496"/>
      <c r="AF42" s="3666"/>
      <c r="AG42" s="3672"/>
      <c r="AH42" s="10653"/>
      <c r="AI42" s="466"/>
      <c r="AJ42" s="100"/>
      <c r="AK42" s="100"/>
      <c r="AL42" s="100"/>
    </row>
    <row r="43" spans="1:38" ht="32.25" customHeight="1">
      <c r="A43" s="10423"/>
      <c r="B43" s="10616"/>
      <c r="C43" s="10592"/>
      <c r="D43" s="10500"/>
      <c r="E43" s="10500"/>
      <c r="F43" s="10500"/>
      <c r="G43" s="10502"/>
      <c r="H43" s="10500"/>
      <c r="I43" s="10500"/>
      <c r="J43" s="10500"/>
      <c r="K43" s="10500"/>
      <c r="L43" s="10500"/>
      <c r="M43" s="10556"/>
      <c r="N43" s="10556"/>
      <c r="O43" s="10556"/>
      <c r="P43" s="10500"/>
      <c r="Q43" s="10500"/>
      <c r="R43" s="10508"/>
      <c r="S43" s="3541"/>
      <c r="T43" s="5681"/>
      <c r="U43" s="5681"/>
      <c r="V43" s="3797" t="s">
        <v>3791</v>
      </c>
      <c r="W43" s="5507">
        <v>720</v>
      </c>
      <c r="X43" s="3670" t="s">
        <v>180</v>
      </c>
      <c r="Y43" s="5795">
        <v>58.38</v>
      </c>
      <c r="Z43" s="5795">
        <f>W43*Y43</f>
        <v>42033.599999999999</v>
      </c>
      <c r="AA43" s="7799">
        <f>Z43</f>
        <v>42033.599999999999</v>
      </c>
      <c r="AB43" s="7800"/>
      <c r="AC43" s="5779"/>
      <c r="AD43" s="3665"/>
      <c r="AE43" s="3496"/>
      <c r="AF43" s="3666"/>
      <c r="AG43" s="4361" t="s">
        <v>153</v>
      </c>
      <c r="AH43" s="10653"/>
      <c r="AI43" s="466"/>
      <c r="AJ43" s="100"/>
      <c r="AK43" s="100"/>
      <c r="AL43" s="100"/>
    </row>
    <row r="44" spans="1:38" ht="31.5" customHeight="1">
      <c r="A44" s="10423"/>
      <c r="B44" s="10616"/>
      <c r="C44" s="10592"/>
      <c r="D44" s="10500"/>
      <c r="E44" s="10500"/>
      <c r="F44" s="10500"/>
      <c r="G44" s="10502"/>
      <c r="H44" s="10500"/>
      <c r="I44" s="10500"/>
      <c r="J44" s="10500"/>
      <c r="K44" s="10500"/>
      <c r="L44" s="10500"/>
      <c r="M44" s="10556"/>
      <c r="N44" s="10556"/>
      <c r="O44" s="10556"/>
      <c r="P44" s="10500"/>
      <c r="Q44" s="10500"/>
      <c r="R44" s="10508"/>
      <c r="S44" s="3541"/>
      <c r="T44" s="5681"/>
      <c r="U44" s="5681"/>
      <c r="V44" s="3797" t="s">
        <v>3792</v>
      </c>
      <c r="W44" s="5507">
        <v>220</v>
      </c>
      <c r="X44" s="3670" t="s">
        <v>180</v>
      </c>
      <c r="Y44" s="5795">
        <v>70.48</v>
      </c>
      <c r="Z44" s="5795">
        <f>W44*Y44</f>
        <v>15505.6</v>
      </c>
      <c r="AA44" s="7799">
        <f>Z44</f>
        <v>15505.6</v>
      </c>
      <c r="AB44" s="7800"/>
      <c r="AC44" s="5779"/>
      <c r="AD44" s="3665"/>
      <c r="AE44" s="3496"/>
      <c r="AF44" s="3666"/>
      <c r="AG44" s="4361" t="s">
        <v>153</v>
      </c>
      <c r="AH44" s="10653"/>
      <c r="AI44" s="466"/>
      <c r="AJ44" s="100"/>
      <c r="AK44" s="100"/>
      <c r="AL44" s="100"/>
    </row>
    <row r="45" spans="1:38" ht="33" customHeight="1">
      <c r="A45" s="10423"/>
      <c r="B45" s="10616"/>
      <c r="C45" s="10592"/>
      <c r="D45" s="10500"/>
      <c r="E45" s="10500"/>
      <c r="F45" s="10500"/>
      <c r="G45" s="10502"/>
      <c r="H45" s="10500"/>
      <c r="I45" s="10500"/>
      <c r="J45" s="10500"/>
      <c r="K45" s="10500"/>
      <c r="L45" s="10500"/>
      <c r="M45" s="10556"/>
      <c r="N45" s="10556"/>
      <c r="O45" s="10556"/>
      <c r="P45" s="10500"/>
      <c r="Q45" s="10500"/>
      <c r="R45" s="10508"/>
      <c r="S45" s="4362" t="s">
        <v>79</v>
      </c>
      <c r="T45" s="7359" t="s">
        <v>3793</v>
      </c>
      <c r="U45" s="5682"/>
      <c r="V45" s="3799" t="s">
        <v>3794</v>
      </c>
      <c r="W45" s="5507"/>
      <c r="X45" s="3670"/>
      <c r="Y45" s="7964"/>
      <c r="Z45" s="7964"/>
      <c r="AA45" s="7964"/>
      <c r="AB45" s="7991">
        <f>SUM(AA46:AA46)</f>
        <v>571596.12</v>
      </c>
      <c r="AC45" s="5833" t="s">
        <v>25</v>
      </c>
      <c r="AD45" s="2935"/>
      <c r="AE45" s="3504"/>
      <c r="AF45" s="3505"/>
      <c r="AG45" s="3505"/>
      <c r="AH45" s="10653"/>
      <c r="AI45" s="466"/>
      <c r="AJ45" s="100"/>
      <c r="AK45" s="100"/>
      <c r="AL45" s="100"/>
    </row>
    <row r="46" spans="1:38" ht="48" customHeight="1">
      <c r="A46" s="10423"/>
      <c r="B46" s="10616"/>
      <c r="C46" s="10602"/>
      <c r="D46" s="10566"/>
      <c r="E46" s="10566"/>
      <c r="F46" s="10566"/>
      <c r="G46" s="10567"/>
      <c r="H46" s="10566"/>
      <c r="I46" s="10566"/>
      <c r="J46" s="10566"/>
      <c r="K46" s="10566"/>
      <c r="L46" s="10566"/>
      <c r="M46" s="10581"/>
      <c r="N46" s="10581"/>
      <c r="O46" s="10581"/>
      <c r="P46" s="10566"/>
      <c r="Q46" s="10566"/>
      <c r="R46" s="10588"/>
      <c r="S46" s="3771"/>
      <c r="T46" s="7365"/>
      <c r="U46" s="7365"/>
      <c r="V46" s="3800" t="s">
        <v>7506</v>
      </c>
      <c r="W46" s="7379">
        <v>1</v>
      </c>
      <c r="X46" s="3711" t="s">
        <v>152</v>
      </c>
      <c r="Y46" s="8647">
        <v>571596.12</v>
      </c>
      <c r="Z46" s="8647">
        <f t="shared" ref="Z46" si="8">+W46*Y46</f>
        <v>571596.12</v>
      </c>
      <c r="AA46" s="8647">
        <f>Z46</f>
        <v>571596.12</v>
      </c>
      <c r="AB46" s="8648"/>
      <c r="AC46" s="5828"/>
      <c r="AD46" s="2936"/>
      <c r="AE46" s="2933"/>
      <c r="AF46" s="3713"/>
      <c r="AG46" s="3713" t="s">
        <v>153</v>
      </c>
      <c r="AH46" s="10654"/>
      <c r="AI46" s="466"/>
      <c r="AJ46" s="100"/>
      <c r="AK46" s="100"/>
      <c r="AL46" s="100"/>
    </row>
    <row r="47" spans="1:38" ht="49.5" customHeight="1">
      <c r="A47" s="10423"/>
      <c r="B47" s="10616"/>
      <c r="C47" s="10512" t="s">
        <v>127</v>
      </c>
      <c r="D47" s="10444" t="s">
        <v>128</v>
      </c>
      <c r="E47" s="10444" t="s">
        <v>129</v>
      </c>
      <c r="F47" s="10444" t="s">
        <v>268</v>
      </c>
      <c r="G47" s="10451" t="s">
        <v>131</v>
      </c>
      <c r="H47" s="10444" t="s">
        <v>132</v>
      </c>
      <c r="I47" s="10444" t="s">
        <v>214</v>
      </c>
      <c r="J47" s="10444" t="s">
        <v>3795</v>
      </c>
      <c r="K47" s="10444" t="s">
        <v>3796</v>
      </c>
      <c r="L47" s="10444" t="s">
        <v>3797</v>
      </c>
      <c r="M47" s="10561">
        <v>1</v>
      </c>
      <c r="N47" s="10561">
        <v>1</v>
      </c>
      <c r="O47" s="10561">
        <v>1</v>
      </c>
      <c r="P47" s="10444" t="s">
        <v>3798</v>
      </c>
      <c r="Q47" s="10444" t="s">
        <v>3799</v>
      </c>
      <c r="R47" s="10449" t="s">
        <v>3769</v>
      </c>
      <c r="S47" s="3772" t="s">
        <v>15</v>
      </c>
      <c r="T47" s="5689">
        <v>570102</v>
      </c>
      <c r="U47" s="5689"/>
      <c r="V47" s="3801" t="s">
        <v>680</v>
      </c>
      <c r="W47" s="5783"/>
      <c r="X47" s="3719"/>
      <c r="Y47" s="5561"/>
      <c r="Z47" s="5561"/>
      <c r="AA47" s="5561"/>
      <c r="AB47" s="7988">
        <f>+AA48+AA49+AA50</f>
        <v>73833.86</v>
      </c>
      <c r="AC47" s="5822" t="s">
        <v>26</v>
      </c>
      <c r="AD47" s="3720"/>
      <c r="AE47" s="3721"/>
      <c r="AF47" s="3722"/>
      <c r="AG47" s="3722"/>
      <c r="AH47" s="10649" t="s">
        <v>3800</v>
      </c>
      <c r="AI47" s="466"/>
      <c r="AJ47" s="100"/>
      <c r="AK47" s="100"/>
      <c r="AL47" s="100"/>
    </row>
    <row r="48" spans="1:38" ht="48" customHeight="1" thickTop="1" thickBot="1">
      <c r="A48" s="10423"/>
      <c r="B48" s="10616"/>
      <c r="C48" s="10592"/>
      <c r="D48" s="10500"/>
      <c r="E48" s="10500"/>
      <c r="F48" s="10500"/>
      <c r="G48" s="10502"/>
      <c r="H48" s="10500"/>
      <c r="I48" s="10500"/>
      <c r="J48" s="10500"/>
      <c r="K48" s="10500"/>
      <c r="L48" s="10500"/>
      <c r="M48" s="10556"/>
      <c r="N48" s="10556"/>
      <c r="O48" s="10556"/>
      <c r="P48" s="10500"/>
      <c r="Q48" s="10500"/>
      <c r="R48" s="10508"/>
      <c r="S48" s="3538"/>
      <c r="T48" s="5681"/>
      <c r="U48" s="5681"/>
      <c r="V48" s="3763" t="s">
        <v>3801</v>
      </c>
      <c r="W48" s="5499">
        <v>1</v>
      </c>
      <c r="X48" s="3668" t="s">
        <v>152</v>
      </c>
      <c r="Y48" s="5552">
        <f>49163.64/1.12</f>
        <v>43896.107142857138</v>
      </c>
      <c r="Z48" s="5552">
        <f>+W48*Y48</f>
        <v>43896.107142857138</v>
      </c>
      <c r="AA48" s="5552">
        <f>(Z48*1.12)</f>
        <v>49163.64</v>
      </c>
      <c r="AB48" s="5553"/>
      <c r="AC48" s="5779"/>
      <c r="AD48" s="2935"/>
      <c r="AE48" s="3504" t="s">
        <v>153</v>
      </c>
      <c r="AF48" s="3505"/>
      <c r="AG48" s="3505"/>
      <c r="AH48" s="10650"/>
      <c r="AI48" s="466"/>
      <c r="AJ48" s="100"/>
      <c r="AK48" s="100"/>
      <c r="AL48" s="100"/>
    </row>
    <row r="49" spans="1:38" ht="48" customHeight="1">
      <c r="A49" s="10423"/>
      <c r="B49" s="10616"/>
      <c r="C49" s="10592"/>
      <c r="D49" s="10500"/>
      <c r="E49" s="10500"/>
      <c r="F49" s="10500"/>
      <c r="G49" s="10502"/>
      <c r="H49" s="10500"/>
      <c r="I49" s="10500"/>
      <c r="J49" s="10500"/>
      <c r="K49" s="10500"/>
      <c r="L49" s="10500"/>
      <c r="M49" s="10556"/>
      <c r="N49" s="10556"/>
      <c r="O49" s="10556"/>
      <c r="P49" s="10500"/>
      <c r="Q49" s="10500"/>
      <c r="R49" s="10508"/>
      <c r="S49" s="3538"/>
      <c r="T49" s="5681"/>
      <c r="U49" s="5681"/>
      <c r="V49" s="3797" t="s">
        <v>3802</v>
      </c>
      <c r="W49" s="5507">
        <v>1</v>
      </c>
      <c r="X49" s="3671" t="s">
        <v>1288</v>
      </c>
      <c r="Y49" s="5795">
        <v>2520.2199999999998</v>
      </c>
      <c r="Z49" s="5795">
        <f>+W49*Y49</f>
        <v>2520.2199999999998</v>
      </c>
      <c r="AA49" s="5795">
        <f>+Z49</f>
        <v>2520.2199999999998</v>
      </c>
      <c r="AB49" s="5553"/>
      <c r="AC49" s="5779"/>
      <c r="AD49" s="2935"/>
      <c r="AE49" s="3504"/>
      <c r="AF49" s="3505"/>
      <c r="AG49" s="3505"/>
      <c r="AH49" s="10650"/>
      <c r="AI49" s="466"/>
      <c r="AJ49" s="100"/>
      <c r="AK49" s="100"/>
      <c r="AL49" s="100"/>
    </row>
    <row r="50" spans="1:38" ht="48" customHeight="1">
      <c r="A50" s="10423"/>
      <c r="B50" s="10616"/>
      <c r="C50" s="10592"/>
      <c r="D50" s="10500"/>
      <c r="E50" s="10500"/>
      <c r="F50" s="10500"/>
      <c r="G50" s="10502"/>
      <c r="H50" s="10500"/>
      <c r="I50" s="10500"/>
      <c r="J50" s="10500"/>
      <c r="K50" s="10500"/>
      <c r="L50" s="10500"/>
      <c r="M50" s="10556"/>
      <c r="N50" s="10556"/>
      <c r="O50" s="10556"/>
      <c r="P50" s="10500"/>
      <c r="Q50" s="10500"/>
      <c r="R50" s="10508"/>
      <c r="S50" s="3538"/>
      <c r="T50" s="5681"/>
      <c r="U50" s="5681"/>
      <c r="V50" s="8063" t="s">
        <v>3803</v>
      </c>
      <c r="W50" s="8087">
        <v>1</v>
      </c>
      <c r="X50" s="8088" t="s">
        <v>1288</v>
      </c>
      <c r="Y50" s="7960">
        <v>22150</v>
      </c>
      <c r="Z50" s="7960">
        <f>Y50</f>
        <v>22150</v>
      </c>
      <c r="AA50" s="7960">
        <v>22150</v>
      </c>
      <c r="AB50" s="7962"/>
      <c r="AC50" s="5779"/>
      <c r="AD50" s="2935"/>
      <c r="AE50" s="3504"/>
      <c r="AF50" s="8504" t="s">
        <v>153</v>
      </c>
      <c r="AG50" s="3505"/>
      <c r="AH50" s="10650"/>
      <c r="AI50" s="466"/>
      <c r="AJ50" s="100"/>
      <c r="AK50" s="100"/>
      <c r="AL50" s="100"/>
    </row>
    <row r="51" spans="1:38" ht="48" customHeight="1">
      <c r="A51" s="10423"/>
      <c r="B51" s="10616"/>
      <c r="C51" s="10593"/>
      <c r="D51" s="10501"/>
      <c r="E51" s="10501"/>
      <c r="F51" s="10501"/>
      <c r="G51" s="10503"/>
      <c r="H51" s="10501"/>
      <c r="I51" s="10501"/>
      <c r="J51" s="10501"/>
      <c r="K51" s="10501"/>
      <c r="L51" s="10501"/>
      <c r="M51" s="10557"/>
      <c r="N51" s="10557"/>
      <c r="O51" s="10557"/>
      <c r="P51" s="10501"/>
      <c r="Q51" s="10501"/>
      <c r="R51" s="10509"/>
      <c r="S51" s="8606" t="s">
        <v>15</v>
      </c>
      <c r="T51" s="8223">
        <v>570206</v>
      </c>
      <c r="U51" s="8223"/>
      <c r="V51" s="8607" t="s">
        <v>419</v>
      </c>
      <c r="W51" s="8608"/>
      <c r="X51" s="8609"/>
      <c r="Y51" s="7988"/>
      <c r="Z51" s="7988"/>
      <c r="AA51" s="7988"/>
      <c r="AB51" s="7988">
        <f>+AA52</f>
        <v>2000</v>
      </c>
      <c r="AC51" s="8290" t="s">
        <v>18</v>
      </c>
      <c r="AD51" s="3726"/>
      <c r="AE51" s="3727"/>
      <c r="AF51" s="8605"/>
      <c r="AG51" s="3507"/>
      <c r="AH51" s="10651"/>
      <c r="AI51" s="466"/>
      <c r="AJ51" s="100"/>
      <c r="AK51" s="100"/>
      <c r="AL51" s="100"/>
    </row>
    <row r="52" spans="1:38" ht="48" customHeight="1">
      <c r="A52" s="10423"/>
      <c r="B52" s="10616"/>
      <c r="C52" s="10593"/>
      <c r="D52" s="10501"/>
      <c r="E52" s="10501"/>
      <c r="F52" s="10501"/>
      <c r="G52" s="10503"/>
      <c r="H52" s="10501"/>
      <c r="I52" s="10501"/>
      <c r="J52" s="10501"/>
      <c r="K52" s="10501"/>
      <c r="L52" s="10501"/>
      <c r="M52" s="10557"/>
      <c r="N52" s="10557"/>
      <c r="O52" s="10557"/>
      <c r="P52" s="10501"/>
      <c r="Q52" s="10501"/>
      <c r="R52" s="10509"/>
      <c r="S52" s="3773"/>
      <c r="T52" s="5691"/>
      <c r="U52" s="5691"/>
      <c r="V52" s="8601" t="s">
        <v>3804</v>
      </c>
      <c r="W52" s="8602">
        <v>1</v>
      </c>
      <c r="X52" s="8603" t="s">
        <v>3805</v>
      </c>
      <c r="Y52" s="8604">
        <v>2000</v>
      </c>
      <c r="Z52" s="8604">
        <f>Y52</f>
        <v>2000</v>
      </c>
      <c r="AA52" s="8604">
        <f>Z52</f>
        <v>2000</v>
      </c>
      <c r="AB52" s="8604"/>
      <c r="AC52" s="8610"/>
      <c r="AD52" s="8611"/>
      <c r="AE52" s="8612"/>
      <c r="AF52" s="8605"/>
      <c r="AG52" s="8605" t="s">
        <v>153</v>
      </c>
      <c r="AH52" s="10651"/>
      <c r="AI52" s="466"/>
      <c r="AJ52" s="100"/>
      <c r="AK52" s="100"/>
      <c r="AL52" s="100"/>
    </row>
    <row r="53" spans="1:38" ht="27.75" customHeight="1" thickTop="1" thickBot="1">
      <c r="A53" s="10423"/>
      <c r="B53" s="10616"/>
      <c r="C53" s="10516" t="s">
        <v>127</v>
      </c>
      <c r="D53" s="10433" t="s">
        <v>128</v>
      </c>
      <c r="E53" s="10433" t="s">
        <v>129</v>
      </c>
      <c r="F53" s="10433" t="s">
        <v>268</v>
      </c>
      <c r="G53" s="10442" t="s">
        <v>131</v>
      </c>
      <c r="H53" s="10433" t="s">
        <v>132</v>
      </c>
      <c r="I53" s="10433" t="s">
        <v>214</v>
      </c>
      <c r="J53" s="10433" t="s">
        <v>3806</v>
      </c>
      <c r="K53" s="10433" t="s">
        <v>3807</v>
      </c>
      <c r="L53" s="10433" t="s">
        <v>3551</v>
      </c>
      <c r="M53" s="10555">
        <v>0</v>
      </c>
      <c r="N53" s="10555">
        <v>0</v>
      </c>
      <c r="O53" s="10555">
        <v>0</v>
      </c>
      <c r="P53" s="10433" t="s">
        <v>3551</v>
      </c>
      <c r="Q53" s="10433" t="s">
        <v>3551</v>
      </c>
      <c r="R53" s="10439" t="s">
        <v>3551</v>
      </c>
      <c r="S53" s="3774"/>
      <c r="T53" s="5685"/>
      <c r="U53" s="5685"/>
      <c r="V53" s="3761"/>
      <c r="W53" s="5502"/>
      <c r="X53" s="3709"/>
      <c r="Y53" s="5556"/>
      <c r="Z53" s="5557"/>
      <c r="AA53" s="5557"/>
      <c r="AB53" s="5557"/>
      <c r="AC53" s="5780"/>
      <c r="AD53" s="3723"/>
      <c r="AE53" s="3709"/>
      <c r="AF53" s="3724"/>
      <c r="AG53" s="3724"/>
      <c r="AH53" s="10629" t="s">
        <v>3808</v>
      </c>
      <c r="AI53" s="466"/>
      <c r="AJ53" s="100"/>
      <c r="AK53" s="100"/>
      <c r="AL53" s="100"/>
    </row>
    <row r="54" spans="1:38" ht="27.75" customHeight="1" thickTop="1" thickBot="1">
      <c r="A54" s="10423"/>
      <c r="B54" s="10616"/>
      <c r="C54" s="10592"/>
      <c r="D54" s="10500"/>
      <c r="E54" s="10500"/>
      <c r="F54" s="10500"/>
      <c r="G54" s="10502"/>
      <c r="H54" s="10500"/>
      <c r="I54" s="10500"/>
      <c r="J54" s="10500"/>
      <c r="K54" s="10500"/>
      <c r="L54" s="10500"/>
      <c r="M54" s="10556"/>
      <c r="N54" s="10556"/>
      <c r="O54" s="10556"/>
      <c r="P54" s="10500"/>
      <c r="Q54" s="10500"/>
      <c r="R54" s="10508"/>
      <c r="S54" s="3538"/>
      <c r="T54" s="5681"/>
      <c r="U54" s="5681"/>
      <c r="V54" s="3495"/>
      <c r="W54" s="5499"/>
      <c r="X54" s="3496"/>
      <c r="Y54" s="5552"/>
      <c r="Z54" s="5552"/>
      <c r="AA54" s="5552"/>
      <c r="AB54" s="5553"/>
      <c r="AC54" s="5779"/>
      <c r="AD54" s="3665"/>
      <c r="AE54" s="3496"/>
      <c r="AF54" s="3666"/>
      <c r="AG54" s="3666"/>
      <c r="AH54" s="10630"/>
      <c r="AI54" s="466"/>
      <c r="AJ54" s="105"/>
      <c r="AK54" s="100"/>
      <c r="AL54" s="100"/>
    </row>
    <row r="55" spans="1:38" ht="27.75" customHeight="1" thickTop="1" thickBot="1">
      <c r="A55" s="10423"/>
      <c r="B55" s="10616"/>
      <c r="C55" s="10592"/>
      <c r="D55" s="10500"/>
      <c r="E55" s="10500"/>
      <c r="F55" s="10500"/>
      <c r="G55" s="10502"/>
      <c r="H55" s="10500"/>
      <c r="I55" s="10500"/>
      <c r="J55" s="10500"/>
      <c r="K55" s="10500"/>
      <c r="L55" s="10500"/>
      <c r="M55" s="10556"/>
      <c r="N55" s="10556"/>
      <c r="O55" s="10556"/>
      <c r="P55" s="10500"/>
      <c r="Q55" s="10500"/>
      <c r="R55" s="10508"/>
      <c r="S55" s="3538"/>
      <c r="T55" s="5681"/>
      <c r="U55" s="5681"/>
      <c r="V55" s="3495"/>
      <c r="W55" s="5499"/>
      <c r="X55" s="3496"/>
      <c r="Y55" s="5552"/>
      <c r="Z55" s="5552"/>
      <c r="AA55" s="5552"/>
      <c r="AB55" s="5553"/>
      <c r="AC55" s="5779"/>
      <c r="AD55" s="3665"/>
      <c r="AE55" s="3496"/>
      <c r="AF55" s="3666"/>
      <c r="AG55" s="3666"/>
      <c r="AH55" s="10630"/>
      <c r="AI55" s="466"/>
      <c r="AJ55" s="100"/>
      <c r="AK55" s="100"/>
      <c r="AL55" s="100"/>
    </row>
    <row r="56" spans="1:38" ht="27.75" customHeight="1" thickTop="1" thickBot="1">
      <c r="A56" s="10423"/>
      <c r="B56" s="10616"/>
      <c r="C56" s="10592"/>
      <c r="D56" s="10500"/>
      <c r="E56" s="10500"/>
      <c r="F56" s="10500"/>
      <c r="G56" s="10502"/>
      <c r="H56" s="10500"/>
      <c r="I56" s="10500"/>
      <c r="J56" s="10500"/>
      <c r="K56" s="10500"/>
      <c r="L56" s="10500"/>
      <c r="M56" s="10556"/>
      <c r="N56" s="10556"/>
      <c r="O56" s="10556"/>
      <c r="P56" s="10500"/>
      <c r="Q56" s="10500"/>
      <c r="R56" s="10508"/>
      <c r="S56" s="3541"/>
      <c r="T56" s="5682"/>
      <c r="U56" s="5682"/>
      <c r="V56" s="3495"/>
      <c r="W56" s="5499"/>
      <c r="X56" s="3496"/>
      <c r="Y56" s="5552"/>
      <c r="Z56" s="5552"/>
      <c r="AA56" s="5552"/>
      <c r="AB56" s="5553"/>
      <c r="AC56" s="5779"/>
      <c r="AD56" s="3665"/>
      <c r="AE56" s="3496"/>
      <c r="AF56" s="3666"/>
      <c r="AG56" s="3666"/>
      <c r="AH56" s="10630"/>
      <c r="AI56" s="466"/>
      <c r="AJ56" s="100"/>
      <c r="AK56" s="100"/>
      <c r="AL56" s="100"/>
    </row>
    <row r="57" spans="1:38" ht="27.75" customHeight="1" thickTop="1" thickBot="1">
      <c r="A57" s="10423"/>
      <c r="B57" s="10616"/>
      <c r="C57" s="10602"/>
      <c r="D57" s="10566"/>
      <c r="E57" s="10566"/>
      <c r="F57" s="10566"/>
      <c r="G57" s="10567"/>
      <c r="H57" s="10566"/>
      <c r="I57" s="10566"/>
      <c r="J57" s="10566"/>
      <c r="K57" s="10566"/>
      <c r="L57" s="10566"/>
      <c r="M57" s="10581"/>
      <c r="N57" s="10581"/>
      <c r="O57" s="10581"/>
      <c r="P57" s="10566"/>
      <c r="Q57" s="10566"/>
      <c r="R57" s="10588"/>
      <c r="S57" s="3543"/>
      <c r="T57" s="5696"/>
      <c r="U57" s="5696"/>
      <c r="V57" s="3557"/>
      <c r="W57" s="5503"/>
      <c r="X57" s="3545"/>
      <c r="Y57" s="5558"/>
      <c r="Z57" s="5558"/>
      <c r="AA57" s="5558"/>
      <c r="AB57" s="5559"/>
      <c r="AC57" s="5828"/>
      <c r="AD57" s="3706"/>
      <c r="AE57" s="3545"/>
      <c r="AF57" s="3707"/>
      <c r="AG57" s="3707"/>
      <c r="AH57" s="10631"/>
      <c r="AI57" s="466"/>
      <c r="AJ57" s="100"/>
      <c r="AK57" s="100"/>
      <c r="AL57" s="100"/>
    </row>
    <row r="58" spans="1:38" ht="25.5" customHeight="1">
      <c r="A58" s="10423"/>
      <c r="B58" s="10616"/>
      <c r="C58" s="10512" t="s">
        <v>127</v>
      </c>
      <c r="D58" s="10444" t="s">
        <v>128</v>
      </c>
      <c r="E58" s="10444" t="s">
        <v>129</v>
      </c>
      <c r="F58" s="10444" t="s">
        <v>268</v>
      </c>
      <c r="G58" s="10451" t="s">
        <v>131</v>
      </c>
      <c r="H58" s="10444" t="s">
        <v>132</v>
      </c>
      <c r="I58" s="10444" t="s">
        <v>214</v>
      </c>
      <c r="J58" s="10444" t="s">
        <v>3809</v>
      </c>
      <c r="K58" s="10444" t="s">
        <v>3810</v>
      </c>
      <c r="L58" s="10444" t="s">
        <v>3811</v>
      </c>
      <c r="M58" s="10561">
        <v>1</v>
      </c>
      <c r="N58" s="10561">
        <v>1</v>
      </c>
      <c r="O58" s="10561">
        <v>1</v>
      </c>
      <c r="P58" s="10444" t="s">
        <v>3812</v>
      </c>
      <c r="Q58" s="10444" t="s">
        <v>3813</v>
      </c>
      <c r="R58" s="10449" t="s">
        <v>3814</v>
      </c>
      <c r="S58" s="3772" t="s">
        <v>15</v>
      </c>
      <c r="T58" s="5689">
        <v>530804</v>
      </c>
      <c r="U58" s="5689"/>
      <c r="V58" s="3801" t="s">
        <v>2003</v>
      </c>
      <c r="W58" s="5504"/>
      <c r="X58" s="3658"/>
      <c r="Y58" s="5560"/>
      <c r="Z58" s="5560"/>
      <c r="AA58" s="5560"/>
      <c r="AB58" s="7963">
        <f>SUM(AA59:AA59)</f>
        <v>13350.27</v>
      </c>
      <c r="AC58" s="5822" t="s">
        <v>26</v>
      </c>
      <c r="AD58" s="3720"/>
      <c r="AE58" s="3721"/>
      <c r="AF58" s="3722"/>
      <c r="AG58" s="3722"/>
      <c r="AH58" s="10468" t="s">
        <v>3815</v>
      </c>
      <c r="AI58" s="466"/>
      <c r="AJ58" s="100"/>
      <c r="AK58" s="100"/>
      <c r="AL58" s="100"/>
    </row>
    <row r="59" spans="1:38" ht="33.75" customHeight="1">
      <c r="A59" s="10423"/>
      <c r="B59" s="10616"/>
      <c r="C59" s="10592"/>
      <c r="D59" s="10500"/>
      <c r="E59" s="10500"/>
      <c r="F59" s="10500"/>
      <c r="G59" s="10502"/>
      <c r="H59" s="10500"/>
      <c r="I59" s="10500"/>
      <c r="J59" s="10500"/>
      <c r="K59" s="10500"/>
      <c r="L59" s="10500"/>
      <c r="M59" s="10556"/>
      <c r="N59" s="10556"/>
      <c r="O59" s="10556"/>
      <c r="P59" s="10500"/>
      <c r="Q59" s="10500"/>
      <c r="R59" s="10508"/>
      <c r="S59" s="3538"/>
      <c r="T59" s="5681"/>
      <c r="U59" s="7360">
        <v>321290418</v>
      </c>
      <c r="V59" s="3802" t="s">
        <v>3816</v>
      </c>
      <c r="W59" s="5507">
        <v>1</v>
      </c>
      <c r="X59" s="3673" t="s">
        <v>479</v>
      </c>
      <c r="Y59" s="7964">
        <f>13738.91-388.64</f>
        <v>13350.27</v>
      </c>
      <c r="Z59" s="7964">
        <f>+W59*Y59</f>
        <v>13350.27</v>
      </c>
      <c r="AA59" s="7964">
        <f>Z59</f>
        <v>13350.27</v>
      </c>
      <c r="AB59" s="5553"/>
      <c r="AC59" s="5779"/>
      <c r="AD59" s="2935"/>
      <c r="AE59" s="3504" t="s">
        <v>153</v>
      </c>
      <c r="AF59" s="3505" t="s">
        <v>153</v>
      </c>
      <c r="AG59" s="3505" t="s">
        <v>153</v>
      </c>
      <c r="AH59" s="10469"/>
      <c r="AI59" s="466"/>
      <c r="AJ59" s="100"/>
      <c r="AK59" s="100"/>
      <c r="AL59" s="100"/>
    </row>
    <row r="60" spans="1:38" ht="25.5" customHeight="1">
      <c r="A60" s="10423"/>
      <c r="B60" s="10616"/>
      <c r="C60" s="10592"/>
      <c r="D60" s="10500"/>
      <c r="E60" s="10500"/>
      <c r="F60" s="10500"/>
      <c r="G60" s="10502"/>
      <c r="H60" s="10500"/>
      <c r="I60" s="10500"/>
      <c r="J60" s="10500"/>
      <c r="K60" s="10500"/>
      <c r="L60" s="10500"/>
      <c r="M60" s="10556"/>
      <c r="N60" s="10556"/>
      <c r="O60" s="10556"/>
      <c r="P60" s="10500"/>
      <c r="Q60" s="10500"/>
      <c r="R60" s="10508"/>
      <c r="S60" s="3770" t="s">
        <v>15</v>
      </c>
      <c r="T60" s="5682">
        <v>530805</v>
      </c>
      <c r="U60" s="5682"/>
      <c r="V60" s="3796" t="s">
        <v>3817</v>
      </c>
      <c r="W60" s="5499"/>
      <c r="X60" s="3496"/>
      <c r="Y60" s="7960"/>
      <c r="Z60" s="7960"/>
      <c r="AA60" s="7960"/>
      <c r="AB60" s="7991">
        <f>SUM(AA61:AA61)</f>
        <v>12434.49</v>
      </c>
      <c r="AC60" s="5779" t="s">
        <v>18</v>
      </c>
      <c r="AD60" s="2935"/>
      <c r="AE60" s="3504"/>
      <c r="AF60" s="3505"/>
      <c r="AG60" s="3505"/>
      <c r="AH60" s="10469"/>
      <c r="AI60" s="466"/>
      <c r="AJ60" s="100"/>
      <c r="AK60" s="100"/>
      <c r="AL60" s="100"/>
    </row>
    <row r="61" spans="1:38" ht="25.5" customHeight="1">
      <c r="A61" s="10423"/>
      <c r="B61" s="10616"/>
      <c r="C61" s="10592"/>
      <c r="D61" s="10500"/>
      <c r="E61" s="10500"/>
      <c r="F61" s="10500"/>
      <c r="G61" s="10502"/>
      <c r="H61" s="10500"/>
      <c r="I61" s="10500"/>
      <c r="J61" s="10500"/>
      <c r="K61" s="10500"/>
      <c r="L61" s="10500"/>
      <c r="M61" s="10556"/>
      <c r="N61" s="10556"/>
      <c r="O61" s="10556"/>
      <c r="P61" s="10500"/>
      <c r="Q61" s="10500"/>
      <c r="R61" s="10508"/>
      <c r="S61" s="3538"/>
      <c r="T61" s="5681"/>
      <c r="U61" s="7360">
        <v>321930012</v>
      </c>
      <c r="V61" s="3802" t="s">
        <v>3818</v>
      </c>
      <c r="W61" s="5507">
        <v>1</v>
      </c>
      <c r="X61" s="3673" t="s">
        <v>479</v>
      </c>
      <c r="Y61" s="7964">
        <f>12560-125.51</f>
        <v>12434.49</v>
      </c>
      <c r="Z61" s="7964">
        <f>+W61*Y61</f>
        <v>12434.49</v>
      </c>
      <c r="AA61" s="7964">
        <f>Z61</f>
        <v>12434.49</v>
      </c>
      <c r="AB61" s="7962"/>
      <c r="AC61" s="5779"/>
      <c r="AD61" s="2935"/>
      <c r="AE61" s="3504" t="s">
        <v>153</v>
      </c>
      <c r="AF61" s="3505" t="s">
        <v>153</v>
      </c>
      <c r="AG61" s="3505" t="s">
        <v>153</v>
      </c>
      <c r="AH61" s="10469"/>
      <c r="AI61" s="466"/>
      <c r="AJ61" s="100"/>
      <c r="AK61" s="100"/>
      <c r="AL61" s="100"/>
    </row>
    <row r="62" spans="1:38" ht="30" customHeight="1">
      <c r="A62" s="10423"/>
      <c r="B62" s="10616"/>
      <c r="C62" s="10592"/>
      <c r="D62" s="10500"/>
      <c r="E62" s="10500"/>
      <c r="F62" s="10500"/>
      <c r="G62" s="10502"/>
      <c r="H62" s="10500"/>
      <c r="I62" s="10500"/>
      <c r="J62" s="10500"/>
      <c r="K62" s="10500"/>
      <c r="L62" s="10500"/>
      <c r="M62" s="10556"/>
      <c r="N62" s="10556"/>
      <c r="O62" s="10556"/>
      <c r="P62" s="10500"/>
      <c r="Q62" s="10500"/>
      <c r="R62" s="10508"/>
      <c r="S62" s="3770" t="s">
        <v>15</v>
      </c>
      <c r="T62" s="5682">
        <v>530807</v>
      </c>
      <c r="U62" s="5682"/>
      <c r="V62" s="3796" t="s">
        <v>1006</v>
      </c>
      <c r="W62" s="5499"/>
      <c r="X62" s="3496"/>
      <c r="Y62" s="7960"/>
      <c r="Z62" s="7960"/>
      <c r="AA62" s="7960"/>
      <c r="AB62" s="7991">
        <f>SUM(AA63:AA63)</f>
        <v>10917.78</v>
      </c>
      <c r="AC62" s="5779" t="s">
        <v>18</v>
      </c>
      <c r="AD62" s="2935"/>
      <c r="AE62" s="3504"/>
      <c r="AF62" s="3505"/>
      <c r="AG62" s="3505"/>
      <c r="AH62" s="10469"/>
      <c r="AI62" s="466"/>
      <c r="AJ62" s="100"/>
      <c r="AK62" s="100"/>
      <c r="AL62" s="100"/>
    </row>
    <row r="63" spans="1:38" ht="25.5" customHeight="1">
      <c r="A63" s="10423"/>
      <c r="B63" s="10616"/>
      <c r="C63" s="10592"/>
      <c r="D63" s="10500"/>
      <c r="E63" s="10500"/>
      <c r="F63" s="10500"/>
      <c r="G63" s="10502"/>
      <c r="H63" s="10500"/>
      <c r="I63" s="10500"/>
      <c r="J63" s="10500"/>
      <c r="K63" s="10500"/>
      <c r="L63" s="10500"/>
      <c r="M63" s="10556"/>
      <c r="N63" s="10556"/>
      <c r="O63" s="10556"/>
      <c r="P63" s="10500"/>
      <c r="Q63" s="10500"/>
      <c r="R63" s="10508"/>
      <c r="S63" s="3538"/>
      <c r="T63" s="5681"/>
      <c r="U63" s="7360">
        <v>389120145</v>
      </c>
      <c r="V63" s="3802" t="s">
        <v>3819</v>
      </c>
      <c r="W63" s="5507">
        <v>1</v>
      </c>
      <c r="X63" s="3673" t="s">
        <v>479</v>
      </c>
      <c r="Y63" s="7964">
        <f>11000-82.22</f>
        <v>10917.78</v>
      </c>
      <c r="Z63" s="7964">
        <f>+W63*Y63</f>
        <v>10917.78</v>
      </c>
      <c r="AA63" s="7964">
        <f>Z63</f>
        <v>10917.78</v>
      </c>
      <c r="AB63" s="7962"/>
      <c r="AC63" s="5779"/>
      <c r="AD63" s="2935"/>
      <c r="AE63" s="3504"/>
      <c r="AF63" s="3666" t="s">
        <v>153</v>
      </c>
      <c r="AG63" s="3505"/>
      <c r="AH63" s="10469"/>
      <c r="AI63" s="466"/>
      <c r="AJ63" s="100"/>
      <c r="AK63" s="100"/>
      <c r="AL63" s="100"/>
    </row>
    <row r="64" spans="1:38" ht="25.5" customHeight="1">
      <c r="A64" s="10423"/>
      <c r="B64" s="10616"/>
      <c r="C64" s="10592"/>
      <c r="D64" s="10500"/>
      <c r="E64" s="10500"/>
      <c r="F64" s="10500"/>
      <c r="G64" s="10502"/>
      <c r="H64" s="10500"/>
      <c r="I64" s="10500"/>
      <c r="J64" s="10500"/>
      <c r="K64" s="10500"/>
      <c r="L64" s="10500"/>
      <c r="M64" s="10556"/>
      <c r="N64" s="10556"/>
      <c r="O64" s="10556"/>
      <c r="P64" s="10500"/>
      <c r="Q64" s="10500"/>
      <c r="R64" s="10508"/>
      <c r="S64" s="3770" t="s">
        <v>15</v>
      </c>
      <c r="T64" s="5682">
        <v>840103</v>
      </c>
      <c r="U64" s="5682"/>
      <c r="V64" s="3796" t="s">
        <v>591</v>
      </c>
      <c r="W64" s="7380"/>
      <c r="X64" s="3667"/>
      <c r="Y64" s="8026"/>
      <c r="Z64" s="7960"/>
      <c r="AA64" s="7960"/>
      <c r="AB64" s="7962">
        <f>SUM(AA65:AA67)</f>
        <v>20537.946</v>
      </c>
      <c r="AC64" s="5779" t="s">
        <v>18</v>
      </c>
      <c r="AD64" s="3665"/>
      <c r="AE64" s="3661"/>
      <c r="AF64" s="3661"/>
      <c r="AG64" s="3505"/>
      <c r="AH64" s="10469"/>
      <c r="AI64" s="466"/>
      <c r="AJ64" s="100"/>
      <c r="AK64" s="100"/>
      <c r="AL64" s="100"/>
    </row>
    <row r="65" spans="1:38" ht="25.5" customHeight="1">
      <c r="A65" s="10423"/>
      <c r="B65" s="10616"/>
      <c r="C65" s="10592"/>
      <c r="D65" s="10500"/>
      <c r="E65" s="10500"/>
      <c r="F65" s="10500"/>
      <c r="G65" s="10502"/>
      <c r="H65" s="10500"/>
      <c r="I65" s="10500"/>
      <c r="J65" s="10500"/>
      <c r="K65" s="10500"/>
      <c r="L65" s="10500"/>
      <c r="M65" s="10556"/>
      <c r="N65" s="10556"/>
      <c r="O65" s="10556"/>
      <c r="P65" s="10500"/>
      <c r="Q65" s="10500"/>
      <c r="R65" s="10508"/>
      <c r="S65" s="3541"/>
      <c r="T65" s="5682"/>
      <c r="U65" s="7366">
        <v>3811100001</v>
      </c>
      <c r="V65" s="7765" t="s">
        <v>3820</v>
      </c>
      <c r="W65" s="7766">
        <v>2</v>
      </c>
      <c r="X65" s="7767" t="s">
        <v>479</v>
      </c>
      <c r="Y65" s="8027">
        <f>(19233.37/2)/1.12</f>
        <v>8586.3258928571413</v>
      </c>
      <c r="Z65" s="8027">
        <f t="shared" ref="Z65" si="9">+W65*Y65</f>
        <v>17172.651785714283</v>
      </c>
      <c r="AA65" s="8027">
        <f>+Z65*1.12</f>
        <v>19233.37</v>
      </c>
      <c r="AB65" s="8026"/>
      <c r="AC65" s="5779"/>
      <c r="AD65" s="3664"/>
      <c r="AE65" s="3661"/>
      <c r="AF65" s="3661" t="s">
        <v>153</v>
      </c>
      <c r="AG65" s="3505"/>
      <c r="AH65" s="10469"/>
      <c r="AI65" s="466"/>
      <c r="AJ65" s="100"/>
      <c r="AK65" s="100"/>
      <c r="AL65" s="100"/>
    </row>
    <row r="66" spans="1:38" ht="25.5" customHeight="1">
      <c r="A66" s="10423"/>
      <c r="B66" s="10616"/>
      <c r="C66" s="10592"/>
      <c r="D66" s="10500"/>
      <c r="E66" s="10500"/>
      <c r="F66" s="10500"/>
      <c r="G66" s="10502"/>
      <c r="H66" s="10500"/>
      <c r="I66" s="10500"/>
      <c r="J66" s="10500"/>
      <c r="K66" s="10500"/>
      <c r="L66" s="10500"/>
      <c r="M66" s="10556"/>
      <c r="N66" s="10556"/>
      <c r="O66" s="10556"/>
      <c r="P66" s="10500"/>
      <c r="Q66" s="10500"/>
      <c r="R66" s="10508"/>
      <c r="S66" s="3541"/>
      <c r="T66" s="5682"/>
      <c r="U66" s="7366"/>
      <c r="V66" s="7765" t="s">
        <v>3821</v>
      </c>
      <c r="W66" s="7766">
        <v>1</v>
      </c>
      <c r="X66" s="7767" t="s">
        <v>479</v>
      </c>
      <c r="Y66" s="7768">
        <v>1164.8</v>
      </c>
      <c r="Z66" s="7768">
        <f t="shared" ref="Z66" si="10">+W66*Y66</f>
        <v>1164.8</v>
      </c>
      <c r="AA66" s="7768">
        <f t="shared" ref="AA66" si="11">+Z66*1.12</f>
        <v>1304.576</v>
      </c>
      <c r="AB66" s="7400"/>
      <c r="AC66" s="5779"/>
      <c r="AD66" s="3664"/>
      <c r="AE66" s="3661"/>
      <c r="AF66" s="3661"/>
      <c r="AG66" s="7762" t="s">
        <v>153</v>
      </c>
      <c r="AH66" s="10469"/>
      <c r="AI66" s="466"/>
      <c r="AJ66" s="100"/>
      <c r="AK66" s="100"/>
      <c r="AL66" s="100"/>
    </row>
    <row r="67" spans="1:38" ht="25.5" customHeight="1">
      <c r="A67" s="10423"/>
      <c r="B67" s="10616"/>
      <c r="C67" s="10592"/>
      <c r="D67" s="10500"/>
      <c r="E67" s="10500"/>
      <c r="F67" s="10500"/>
      <c r="G67" s="10502"/>
      <c r="H67" s="10500"/>
      <c r="I67" s="10500"/>
      <c r="J67" s="10500"/>
      <c r="K67" s="10500"/>
      <c r="L67" s="10500"/>
      <c r="M67" s="10556"/>
      <c r="N67" s="10556"/>
      <c r="O67" s="10556"/>
      <c r="P67" s="10500"/>
      <c r="Q67" s="10500"/>
      <c r="R67" s="10508"/>
      <c r="S67" s="3541" t="s">
        <v>15</v>
      </c>
      <c r="T67" s="5682">
        <v>840103</v>
      </c>
      <c r="U67" s="5682"/>
      <c r="V67" s="3796" t="s">
        <v>591</v>
      </c>
      <c r="W67" s="7380"/>
      <c r="X67" s="3667"/>
      <c r="Y67" s="7819"/>
      <c r="Z67" s="7797"/>
      <c r="AA67" s="7797"/>
      <c r="AB67" s="7820">
        <f>SUM(AA68)</f>
        <v>486</v>
      </c>
      <c r="AC67" s="5779" t="s">
        <v>25</v>
      </c>
      <c r="AD67" s="3664"/>
      <c r="AE67" s="3661"/>
      <c r="AF67" s="3661"/>
      <c r="AG67" s="3505"/>
      <c r="AH67" s="10469"/>
      <c r="AI67" s="466"/>
      <c r="AJ67" s="100"/>
      <c r="AK67" s="100"/>
      <c r="AL67" s="100"/>
    </row>
    <row r="68" spans="1:38" ht="38.25" customHeight="1">
      <c r="A68" s="10423"/>
      <c r="B68" s="10616"/>
      <c r="C68" s="10592"/>
      <c r="D68" s="10500"/>
      <c r="E68" s="10500"/>
      <c r="F68" s="10500"/>
      <c r="G68" s="10502"/>
      <c r="H68" s="10500"/>
      <c r="I68" s="10500"/>
      <c r="J68" s="10500"/>
      <c r="K68" s="10500"/>
      <c r="L68" s="10500"/>
      <c r="M68" s="10556"/>
      <c r="N68" s="10556"/>
      <c r="O68" s="10556"/>
      <c r="P68" s="10500"/>
      <c r="Q68" s="10500"/>
      <c r="R68" s="10508"/>
      <c r="S68" s="3541"/>
      <c r="T68" s="5682"/>
      <c r="U68" s="5682"/>
      <c r="V68" s="3495" t="s">
        <v>3822</v>
      </c>
      <c r="W68" s="5772">
        <v>1</v>
      </c>
      <c r="X68" s="3661" t="s">
        <v>479</v>
      </c>
      <c r="Y68" s="7821">
        <v>486</v>
      </c>
      <c r="Z68" s="7797">
        <f t="shared" ref="Z68" si="12">+W68*Y68</f>
        <v>486</v>
      </c>
      <c r="AA68" s="7797">
        <f>Z68</f>
        <v>486</v>
      </c>
      <c r="AB68" s="7820"/>
      <c r="AC68" s="5779"/>
      <c r="AD68" s="3664"/>
      <c r="AE68" s="3661" t="s">
        <v>153</v>
      </c>
      <c r="AF68" s="3661"/>
      <c r="AG68" s="3505"/>
      <c r="AH68" s="10469"/>
      <c r="AI68" s="466"/>
      <c r="AJ68" s="100"/>
      <c r="AK68" s="100"/>
      <c r="AL68" s="100"/>
    </row>
    <row r="69" spans="1:38" ht="25.5" customHeight="1">
      <c r="A69" s="10423"/>
      <c r="B69" s="10616"/>
      <c r="C69" s="10592"/>
      <c r="D69" s="10500"/>
      <c r="E69" s="10500"/>
      <c r="F69" s="10500"/>
      <c r="G69" s="10502"/>
      <c r="H69" s="10500"/>
      <c r="I69" s="10500"/>
      <c r="J69" s="10500"/>
      <c r="K69" s="10500"/>
      <c r="L69" s="10500"/>
      <c r="M69" s="10556"/>
      <c r="N69" s="10556"/>
      <c r="O69" s="10556"/>
      <c r="P69" s="10500"/>
      <c r="Q69" s="10500"/>
      <c r="R69" s="10508"/>
      <c r="S69" s="3541" t="s">
        <v>15</v>
      </c>
      <c r="T69" s="5682">
        <v>530403</v>
      </c>
      <c r="U69" s="5682"/>
      <c r="V69" s="3803" t="s">
        <v>3823</v>
      </c>
      <c r="W69" s="7381"/>
      <c r="X69" s="3667"/>
      <c r="Y69" s="7400"/>
      <c r="Z69" s="5552"/>
      <c r="AA69" s="5552"/>
      <c r="AB69" s="7980">
        <f>SUM(AA70:AA70)-0.14</f>
        <v>13052.859996800002</v>
      </c>
      <c r="AC69" s="5779" t="s">
        <v>18</v>
      </c>
      <c r="AD69" s="3664"/>
      <c r="AE69" s="3661"/>
      <c r="AF69" s="3661"/>
      <c r="AG69" s="3505"/>
      <c r="AH69" s="10469"/>
      <c r="AI69" s="466"/>
      <c r="AJ69" s="100"/>
      <c r="AK69" s="100"/>
      <c r="AL69" s="100"/>
    </row>
    <row r="70" spans="1:38" ht="37.5" customHeight="1" thickTop="1" thickBot="1">
      <c r="A70" s="10423"/>
      <c r="B70" s="10616"/>
      <c r="C70" s="10602"/>
      <c r="D70" s="10566"/>
      <c r="E70" s="10566"/>
      <c r="F70" s="10566"/>
      <c r="G70" s="10567"/>
      <c r="H70" s="10566"/>
      <c r="I70" s="10566"/>
      <c r="J70" s="10566"/>
      <c r="K70" s="10566"/>
      <c r="L70" s="10566"/>
      <c r="M70" s="10581"/>
      <c r="N70" s="10581"/>
      <c r="O70" s="10581"/>
      <c r="P70" s="10566"/>
      <c r="Q70" s="10566"/>
      <c r="R70" s="10588"/>
      <c r="S70" s="3556"/>
      <c r="T70" s="5682"/>
      <c r="U70" s="5682"/>
      <c r="V70" s="3495" t="s">
        <v>3824</v>
      </c>
      <c r="W70" s="5772">
        <v>1</v>
      </c>
      <c r="X70" s="3661" t="s">
        <v>479</v>
      </c>
      <c r="Y70" s="5795">
        <f>13392.85714-(1947/1.12)</f>
        <v>11654.464282857143</v>
      </c>
      <c r="Z70" s="5795">
        <f t="shared" ref="Z70" si="13">+W70*Y70</f>
        <v>11654.464282857143</v>
      </c>
      <c r="AA70" s="5795">
        <f t="shared" ref="AA70" si="14">+Z70*1.12</f>
        <v>13052.999996800001</v>
      </c>
      <c r="AB70" s="7400"/>
      <c r="AC70" s="5779"/>
      <c r="AD70" s="3664"/>
      <c r="AE70" s="3661"/>
      <c r="AF70" s="3698" t="s">
        <v>153</v>
      </c>
      <c r="AG70" s="3505"/>
      <c r="AH70" s="10624"/>
      <c r="AI70" s="466"/>
      <c r="AJ70" s="100"/>
      <c r="AK70" s="100"/>
      <c r="AL70" s="100"/>
    </row>
    <row r="71" spans="1:38" ht="43.5" customHeight="1">
      <c r="A71" s="10423"/>
      <c r="B71" s="10616"/>
      <c r="C71" s="10512" t="s">
        <v>127</v>
      </c>
      <c r="D71" s="10444" t="s">
        <v>128</v>
      </c>
      <c r="E71" s="10444" t="s">
        <v>129</v>
      </c>
      <c r="F71" s="10444" t="s">
        <v>268</v>
      </c>
      <c r="G71" s="10451" t="s">
        <v>131</v>
      </c>
      <c r="H71" s="10444" t="s">
        <v>132</v>
      </c>
      <c r="I71" s="10444" t="s">
        <v>214</v>
      </c>
      <c r="J71" s="10444" t="s">
        <v>3825</v>
      </c>
      <c r="K71" s="10444" t="s">
        <v>3826</v>
      </c>
      <c r="L71" s="10444" t="s">
        <v>3827</v>
      </c>
      <c r="M71" s="10561">
        <v>100</v>
      </c>
      <c r="N71" s="10561">
        <v>100</v>
      </c>
      <c r="O71" s="10561">
        <v>100</v>
      </c>
      <c r="P71" s="10611" t="s">
        <v>3828</v>
      </c>
      <c r="Q71" s="10444" t="s">
        <v>3829</v>
      </c>
      <c r="R71" s="10449" t="s">
        <v>3830</v>
      </c>
      <c r="S71" s="3772" t="s">
        <v>15</v>
      </c>
      <c r="T71" s="5684">
        <v>531407</v>
      </c>
      <c r="U71" s="5684"/>
      <c r="V71" s="3795" t="s">
        <v>40</v>
      </c>
      <c r="W71" s="5502"/>
      <c r="X71" s="3709"/>
      <c r="Y71" s="5556"/>
      <c r="Z71" s="5556"/>
      <c r="AA71" s="5556"/>
      <c r="AB71" s="7961">
        <f>SUM(AA72:AA74)</f>
        <v>896.40000000000009</v>
      </c>
      <c r="AC71" s="5780" t="s">
        <v>18</v>
      </c>
      <c r="AD71" s="2934"/>
      <c r="AE71" s="2930"/>
      <c r="AF71" s="3710"/>
      <c r="AG71" s="3710"/>
      <c r="AH71" s="10468" t="s">
        <v>3831</v>
      </c>
      <c r="AI71" s="466"/>
      <c r="AJ71" s="100"/>
      <c r="AK71" s="100"/>
      <c r="AL71" s="100"/>
    </row>
    <row r="72" spans="1:38" ht="43.5" customHeight="1" thickTop="1" thickBot="1">
      <c r="A72" s="10423"/>
      <c r="B72" s="10616"/>
      <c r="C72" s="10592"/>
      <c r="D72" s="10500"/>
      <c r="E72" s="10500"/>
      <c r="F72" s="10500"/>
      <c r="G72" s="10502"/>
      <c r="H72" s="10500"/>
      <c r="I72" s="10500"/>
      <c r="J72" s="10500"/>
      <c r="K72" s="10500"/>
      <c r="L72" s="10500"/>
      <c r="M72" s="10556"/>
      <c r="N72" s="10556"/>
      <c r="O72" s="10556"/>
      <c r="P72" s="10612"/>
      <c r="Q72" s="10500"/>
      <c r="R72" s="10508"/>
      <c r="S72" s="3538"/>
      <c r="T72" s="5681"/>
      <c r="U72" s="5681">
        <v>461220011</v>
      </c>
      <c r="V72" s="3495" t="s">
        <v>574</v>
      </c>
      <c r="W72" s="5499">
        <v>4</v>
      </c>
      <c r="X72" s="3668" t="s">
        <v>180</v>
      </c>
      <c r="Y72" s="5552">
        <v>89</v>
      </c>
      <c r="Z72" s="5552">
        <f t="shared" ref="Z72:Z74" si="15">+W72*Y72</f>
        <v>356</v>
      </c>
      <c r="AA72" s="5552">
        <f t="shared" ref="AA72:AA73" si="16">+Z72*1.12</f>
        <v>398.72</v>
      </c>
      <c r="AB72" s="5553"/>
      <c r="AC72" s="5817"/>
      <c r="AD72" s="2935"/>
      <c r="AE72" s="3504"/>
      <c r="AF72" s="3505" t="s">
        <v>153</v>
      </c>
      <c r="AG72" s="3505"/>
      <c r="AH72" s="10469"/>
      <c r="AI72" s="466"/>
      <c r="AJ72" s="100"/>
      <c r="AK72" s="100"/>
      <c r="AL72" s="100"/>
    </row>
    <row r="73" spans="1:38" ht="43.5" customHeight="1" thickTop="1" thickBot="1">
      <c r="A73" s="10423"/>
      <c r="B73" s="10616"/>
      <c r="C73" s="10592"/>
      <c r="D73" s="10500"/>
      <c r="E73" s="10500"/>
      <c r="F73" s="10500"/>
      <c r="G73" s="10502"/>
      <c r="H73" s="10500"/>
      <c r="I73" s="10500"/>
      <c r="J73" s="10500"/>
      <c r="K73" s="10500"/>
      <c r="L73" s="10500"/>
      <c r="M73" s="10556"/>
      <c r="N73" s="10556"/>
      <c r="O73" s="10556"/>
      <c r="P73" s="10612"/>
      <c r="Q73" s="10500"/>
      <c r="R73" s="10508"/>
      <c r="S73" s="3538"/>
      <c r="T73" s="5681"/>
      <c r="U73" s="5681">
        <v>452900019</v>
      </c>
      <c r="V73" s="3495" t="s">
        <v>3832</v>
      </c>
      <c r="W73" s="5499">
        <v>1</v>
      </c>
      <c r="X73" s="3668" t="s">
        <v>180</v>
      </c>
      <c r="Y73" s="5552">
        <v>89</v>
      </c>
      <c r="Z73" s="5552">
        <f t="shared" si="15"/>
        <v>89</v>
      </c>
      <c r="AA73" s="5552">
        <f t="shared" si="16"/>
        <v>99.68</v>
      </c>
      <c r="AB73" s="5553"/>
      <c r="AC73" s="5817"/>
      <c r="AD73" s="2935"/>
      <c r="AE73" s="3504"/>
      <c r="AF73" s="3505" t="s">
        <v>153</v>
      </c>
      <c r="AG73" s="3505"/>
      <c r="AH73" s="10469"/>
      <c r="AI73" s="466"/>
      <c r="AJ73" s="100"/>
      <c r="AK73" s="100"/>
      <c r="AL73" s="100"/>
    </row>
    <row r="74" spans="1:38" ht="43.5" customHeight="1">
      <c r="A74" s="10423"/>
      <c r="B74" s="10616"/>
      <c r="C74" s="10592"/>
      <c r="D74" s="10500"/>
      <c r="E74" s="10500"/>
      <c r="F74" s="10500"/>
      <c r="G74" s="10502"/>
      <c r="H74" s="10500"/>
      <c r="I74" s="10500"/>
      <c r="J74" s="10500"/>
      <c r="K74" s="10500"/>
      <c r="L74" s="10500"/>
      <c r="M74" s="10556"/>
      <c r="N74" s="10556"/>
      <c r="O74" s="10556"/>
      <c r="P74" s="10612"/>
      <c r="Q74" s="10500"/>
      <c r="R74" s="10508"/>
      <c r="S74" s="3538"/>
      <c r="T74" s="5681"/>
      <c r="U74" s="5681">
        <v>472200113</v>
      </c>
      <c r="V74" s="3495" t="s">
        <v>3833</v>
      </c>
      <c r="W74" s="5499">
        <v>5</v>
      </c>
      <c r="X74" s="3668" t="s">
        <v>180</v>
      </c>
      <c r="Y74" s="7960">
        <v>79.599999999999994</v>
      </c>
      <c r="Z74" s="7960">
        <f t="shared" si="15"/>
        <v>398</v>
      </c>
      <c r="AA74" s="7960">
        <f>Z74</f>
        <v>398</v>
      </c>
      <c r="AB74" s="5553"/>
      <c r="AC74" s="5817"/>
      <c r="AD74" s="2935"/>
      <c r="AE74" s="3504"/>
      <c r="AF74" s="3505" t="s">
        <v>153</v>
      </c>
      <c r="AG74" s="3505"/>
      <c r="AH74" s="10469"/>
      <c r="AI74" s="466"/>
      <c r="AJ74" s="100"/>
      <c r="AK74" s="100"/>
      <c r="AL74" s="100"/>
    </row>
    <row r="75" spans="1:38" ht="43.5" customHeight="1" thickTop="1" thickBot="1">
      <c r="A75" s="10423"/>
      <c r="B75" s="10616"/>
      <c r="C75" s="10602"/>
      <c r="D75" s="10566"/>
      <c r="E75" s="10566"/>
      <c r="F75" s="10566"/>
      <c r="G75" s="10567"/>
      <c r="H75" s="10566"/>
      <c r="I75" s="10566"/>
      <c r="J75" s="10566"/>
      <c r="K75" s="10566"/>
      <c r="L75" s="10566"/>
      <c r="M75" s="10581"/>
      <c r="N75" s="10581"/>
      <c r="O75" s="10581"/>
      <c r="P75" s="10614"/>
      <c r="Q75" s="10566"/>
      <c r="R75" s="10588"/>
      <c r="S75" s="3543"/>
      <c r="T75" s="5696"/>
      <c r="U75" s="5696"/>
      <c r="V75" s="3557"/>
      <c r="W75" s="5503"/>
      <c r="X75" s="3545"/>
      <c r="Y75" s="5558"/>
      <c r="Z75" s="5558"/>
      <c r="AA75" s="5558"/>
      <c r="AB75" s="5559"/>
      <c r="AC75" s="5830"/>
      <c r="AD75" s="2936"/>
      <c r="AE75" s="2933"/>
      <c r="AF75" s="3713"/>
      <c r="AG75" s="3713"/>
      <c r="AH75" s="10624"/>
      <c r="AI75" s="466"/>
      <c r="AJ75" s="100"/>
      <c r="AK75" s="100"/>
      <c r="AL75" s="100"/>
    </row>
    <row r="76" spans="1:38" ht="72" customHeight="1" thickTop="1" thickBot="1">
      <c r="A76" s="10423"/>
      <c r="B76" s="10616"/>
      <c r="C76" s="10512" t="s">
        <v>127</v>
      </c>
      <c r="D76" s="10444" t="s">
        <v>128</v>
      </c>
      <c r="E76" s="10444" t="s">
        <v>129</v>
      </c>
      <c r="F76" s="10444" t="s">
        <v>268</v>
      </c>
      <c r="G76" s="10451" t="s">
        <v>131</v>
      </c>
      <c r="H76" s="10444" t="s">
        <v>132</v>
      </c>
      <c r="I76" s="10444" t="s">
        <v>214</v>
      </c>
      <c r="J76" s="10444" t="s">
        <v>3834</v>
      </c>
      <c r="K76" s="10444" t="s">
        <v>3835</v>
      </c>
      <c r="L76" s="10444" t="s">
        <v>3836</v>
      </c>
      <c r="M76" s="10561">
        <v>1</v>
      </c>
      <c r="N76" s="10561">
        <v>1</v>
      </c>
      <c r="O76" s="10561">
        <v>1</v>
      </c>
      <c r="P76" s="10444" t="s">
        <v>3837</v>
      </c>
      <c r="Q76" s="10444" t="s">
        <v>3838</v>
      </c>
      <c r="R76" s="10449" t="s">
        <v>3839</v>
      </c>
      <c r="S76" s="3767"/>
      <c r="T76" s="5689"/>
      <c r="U76" s="5689"/>
      <c r="V76" s="3758"/>
      <c r="W76" s="5504"/>
      <c r="X76" s="3658"/>
      <c r="Y76" s="5560"/>
      <c r="Z76" s="5561"/>
      <c r="AA76" s="5561"/>
      <c r="AB76" s="5561"/>
      <c r="AC76" s="5831"/>
      <c r="AD76" s="3720"/>
      <c r="AE76" s="3721"/>
      <c r="AF76" s="3722"/>
      <c r="AG76" s="3722"/>
      <c r="AH76" s="10636"/>
      <c r="AI76" s="466"/>
      <c r="AJ76" s="100"/>
      <c r="AK76" s="100"/>
      <c r="AL76" s="100"/>
    </row>
    <row r="77" spans="1:38" ht="72" customHeight="1" thickTop="1" thickBot="1">
      <c r="A77" s="10423"/>
      <c r="B77" s="10616"/>
      <c r="C77" s="10592"/>
      <c r="D77" s="10500"/>
      <c r="E77" s="10500"/>
      <c r="F77" s="10500"/>
      <c r="G77" s="10502"/>
      <c r="H77" s="10500"/>
      <c r="I77" s="10500"/>
      <c r="J77" s="10500"/>
      <c r="K77" s="10500"/>
      <c r="L77" s="10500"/>
      <c r="M77" s="10556"/>
      <c r="N77" s="10556"/>
      <c r="O77" s="10556"/>
      <c r="P77" s="10500"/>
      <c r="Q77" s="10500"/>
      <c r="R77" s="10508"/>
      <c r="S77" s="3538"/>
      <c r="T77" s="5681"/>
      <c r="U77" s="5681"/>
      <c r="V77" s="3495"/>
      <c r="W77" s="5499"/>
      <c r="X77" s="3496"/>
      <c r="Y77" s="5552"/>
      <c r="Z77" s="5552"/>
      <c r="AA77" s="5552"/>
      <c r="AB77" s="5553"/>
      <c r="AC77" s="5817"/>
      <c r="AD77" s="2935"/>
      <c r="AE77" s="3504"/>
      <c r="AF77" s="3505"/>
      <c r="AG77" s="3505"/>
      <c r="AH77" s="10645"/>
      <c r="AI77" s="466"/>
      <c r="AJ77" s="100"/>
      <c r="AK77" s="100"/>
      <c r="AL77" s="100"/>
    </row>
    <row r="78" spans="1:38" ht="72" customHeight="1" thickTop="1" thickBot="1">
      <c r="A78" s="10423"/>
      <c r="B78" s="10616"/>
      <c r="C78" s="10592"/>
      <c r="D78" s="10500"/>
      <c r="E78" s="10500"/>
      <c r="F78" s="10500"/>
      <c r="G78" s="10502"/>
      <c r="H78" s="10500"/>
      <c r="I78" s="10500"/>
      <c r="J78" s="10500"/>
      <c r="K78" s="10500"/>
      <c r="L78" s="10500"/>
      <c r="M78" s="10556"/>
      <c r="N78" s="10556"/>
      <c r="O78" s="10556"/>
      <c r="P78" s="10500"/>
      <c r="Q78" s="10500"/>
      <c r="R78" s="10508"/>
      <c r="S78" s="3538"/>
      <c r="T78" s="5681"/>
      <c r="U78" s="5681"/>
      <c r="V78" s="3495"/>
      <c r="W78" s="5499"/>
      <c r="X78" s="3496"/>
      <c r="Y78" s="5552"/>
      <c r="Z78" s="5552"/>
      <c r="AA78" s="5552"/>
      <c r="AB78" s="5553"/>
      <c r="AC78" s="5817"/>
      <c r="AD78" s="2935"/>
      <c r="AE78" s="3504"/>
      <c r="AF78" s="3505"/>
      <c r="AG78" s="3505"/>
      <c r="AH78" s="10645"/>
      <c r="AI78" s="466"/>
      <c r="AJ78" s="100"/>
      <c r="AK78" s="100"/>
      <c r="AL78" s="100"/>
    </row>
    <row r="79" spans="1:38" ht="72" customHeight="1" thickTop="1" thickBot="1">
      <c r="A79" s="10423"/>
      <c r="B79" s="10616"/>
      <c r="C79" s="10592"/>
      <c r="D79" s="10500"/>
      <c r="E79" s="10500"/>
      <c r="F79" s="10500"/>
      <c r="G79" s="10502"/>
      <c r="H79" s="10500"/>
      <c r="I79" s="10500"/>
      <c r="J79" s="10500"/>
      <c r="K79" s="10500"/>
      <c r="L79" s="10500"/>
      <c r="M79" s="10556"/>
      <c r="N79" s="10556"/>
      <c r="O79" s="10556"/>
      <c r="P79" s="10500"/>
      <c r="Q79" s="10500"/>
      <c r="R79" s="10508"/>
      <c r="S79" s="3538"/>
      <c r="T79" s="5681"/>
      <c r="U79" s="5681"/>
      <c r="V79" s="3495"/>
      <c r="W79" s="5499"/>
      <c r="X79" s="3496"/>
      <c r="Y79" s="5552"/>
      <c r="Z79" s="5552"/>
      <c r="AA79" s="5552"/>
      <c r="AB79" s="5553"/>
      <c r="AC79" s="5817"/>
      <c r="AD79" s="2935"/>
      <c r="AE79" s="3504"/>
      <c r="AF79" s="3505"/>
      <c r="AG79" s="3505"/>
      <c r="AH79" s="10645"/>
      <c r="AI79" s="466"/>
      <c r="AJ79" s="100"/>
      <c r="AK79" s="100"/>
      <c r="AL79" s="100"/>
    </row>
    <row r="80" spans="1:38" ht="72" customHeight="1" thickTop="1" thickBot="1">
      <c r="A80" s="10423"/>
      <c r="B80" s="10616"/>
      <c r="C80" s="10593"/>
      <c r="D80" s="10501"/>
      <c r="E80" s="10501"/>
      <c r="F80" s="10501"/>
      <c r="G80" s="10503"/>
      <c r="H80" s="10501"/>
      <c r="I80" s="10501"/>
      <c r="J80" s="10501"/>
      <c r="K80" s="10501"/>
      <c r="L80" s="10501"/>
      <c r="M80" s="10557"/>
      <c r="N80" s="10557"/>
      <c r="O80" s="10557"/>
      <c r="P80" s="10501"/>
      <c r="Q80" s="10501"/>
      <c r="R80" s="10509"/>
      <c r="S80" s="3768"/>
      <c r="T80" s="5683"/>
      <c r="U80" s="5683"/>
      <c r="V80" s="3759"/>
      <c r="W80" s="5509"/>
      <c r="X80" s="3714"/>
      <c r="Y80" s="5554"/>
      <c r="Z80" s="5554"/>
      <c r="AA80" s="5554"/>
      <c r="AB80" s="5555"/>
      <c r="AC80" s="5818"/>
      <c r="AD80" s="3726"/>
      <c r="AE80" s="3727"/>
      <c r="AF80" s="3507"/>
      <c r="AG80" s="3507"/>
      <c r="AH80" s="10647"/>
      <c r="AI80" s="466"/>
      <c r="AJ80" s="100"/>
      <c r="AK80" s="100"/>
      <c r="AL80" s="100"/>
    </row>
    <row r="81" spans="1:38" ht="85.5" customHeight="1">
      <c r="A81" s="10423"/>
      <c r="B81" s="10616"/>
      <c r="C81" s="10516" t="s">
        <v>127</v>
      </c>
      <c r="D81" s="10433" t="s">
        <v>128</v>
      </c>
      <c r="E81" s="10433" t="s">
        <v>129</v>
      </c>
      <c r="F81" s="10433" t="s">
        <v>268</v>
      </c>
      <c r="G81" s="10442" t="s">
        <v>131</v>
      </c>
      <c r="H81" s="10433" t="s">
        <v>132</v>
      </c>
      <c r="I81" s="10433" t="s">
        <v>214</v>
      </c>
      <c r="J81" s="10433" t="s">
        <v>3840</v>
      </c>
      <c r="K81" s="10433" t="s">
        <v>3841</v>
      </c>
      <c r="L81" s="10433" t="s">
        <v>3842</v>
      </c>
      <c r="M81" s="10555">
        <v>0</v>
      </c>
      <c r="N81" s="10555">
        <v>1</v>
      </c>
      <c r="O81" s="10555">
        <v>0</v>
      </c>
      <c r="P81" s="10433" t="s">
        <v>3843</v>
      </c>
      <c r="Q81" s="10433" t="s">
        <v>3844</v>
      </c>
      <c r="R81" s="10439" t="s">
        <v>3845</v>
      </c>
      <c r="S81" s="3769" t="s">
        <v>15</v>
      </c>
      <c r="T81" s="5684">
        <v>570201</v>
      </c>
      <c r="U81" s="5684"/>
      <c r="V81" s="3795" t="s">
        <v>894</v>
      </c>
      <c r="W81" s="5502"/>
      <c r="X81" s="3709"/>
      <c r="Y81" s="7887"/>
      <c r="Z81" s="7887"/>
      <c r="AA81" s="7887"/>
      <c r="AB81" s="7888">
        <f>AA82+AA83</f>
        <v>81999.999999999985</v>
      </c>
      <c r="AC81" s="5780" t="s">
        <v>26</v>
      </c>
      <c r="AD81" s="2934"/>
      <c r="AE81" s="2930"/>
      <c r="AF81" s="3710"/>
      <c r="AG81" s="3710"/>
      <c r="AH81" s="10461" t="s">
        <v>3846</v>
      </c>
      <c r="AI81" s="466"/>
      <c r="AJ81" s="100"/>
      <c r="AK81" s="100"/>
      <c r="AL81" s="100"/>
    </row>
    <row r="82" spans="1:38" ht="85.5" customHeight="1">
      <c r="A82" s="10423"/>
      <c r="B82" s="10616"/>
      <c r="C82" s="10592"/>
      <c r="D82" s="10500"/>
      <c r="E82" s="10500"/>
      <c r="F82" s="10500"/>
      <c r="G82" s="10502"/>
      <c r="H82" s="10500"/>
      <c r="I82" s="10500"/>
      <c r="J82" s="10500"/>
      <c r="K82" s="10500"/>
      <c r="L82" s="10500"/>
      <c r="M82" s="10556"/>
      <c r="N82" s="10556"/>
      <c r="O82" s="10556"/>
      <c r="P82" s="10500"/>
      <c r="Q82" s="10500"/>
      <c r="R82" s="10508"/>
      <c r="S82" s="3538"/>
      <c r="T82" s="5681"/>
      <c r="U82" s="5681">
        <v>4476000112</v>
      </c>
      <c r="V82" s="3763" t="s">
        <v>3847</v>
      </c>
      <c r="W82" s="5499">
        <v>1</v>
      </c>
      <c r="X82" s="3668" t="s">
        <v>152</v>
      </c>
      <c r="Y82" s="7797">
        <f>91840/1.12</f>
        <v>81999.999999999985</v>
      </c>
      <c r="Z82" s="7797">
        <f t="shared" ref="Z82" si="17">+W82*Y82</f>
        <v>81999.999999999985</v>
      </c>
      <c r="AA82" s="7797">
        <f>Z82</f>
        <v>81999.999999999985</v>
      </c>
      <c r="AB82" s="7800"/>
      <c r="AC82" s="5817"/>
      <c r="AD82" s="3665"/>
      <c r="AE82" s="3496"/>
      <c r="AF82" s="3666" t="s">
        <v>153</v>
      </c>
      <c r="AG82" s="3554" t="s">
        <v>153</v>
      </c>
      <c r="AH82" s="10469"/>
      <c r="AI82" s="466"/>
      <c r="AJ82" s="100"/>
      <c r="AK82" s="100"/>
      <c r="AL82" s="100"/>
    </row>
    <row r="83" spans="1:38" ht="85.5" customHeight="1" thickTop="1" thickBot="1">
      <c r="A83" s="10423"/>
      <c r="B83" s="10616"/>
      <c r="C83" s="10592"/>
      <c r="D83" s="10500"/>
      <c r="E83" s="10500"/>
      <c r="F83" s="10500"/>
      <c r="G83" s="10502"/>
      <c r="H83" s="10500"/>
      <c r="I83" s="10500"/>
      <c r="J83" s="10500"/>
      <c r="K83" s="10500"/>
      <c r="L83" s="10500"/>
      <c r="M83" s="10556"/>
      <c r="N83" s="10556"/>
      <c r="O83" s="10556"/>
      <c r="P83" s="10500"/>
      <c r="Q83" s="10500"/>
      <c r="R83" s="10508"/>
      <c r="S83" s="3538"/>
      <c r="T83" s="5681"/>
      <c r="U83" s="7360"/>
      <c r="V83" s="3804" t="s">
        <v>3848</v>
      </c>
      <c r="W83" s="5507">
        <v>1</v>
      </c>
      <c r="X83" s="3671" t="s">
        <v>152</v>
      </c>
      <c r="Y83" s="5795">
        <f>170000/1.12</f>
        <v>151785.71428571426</v>
      </c>
      <c r="Z83" s="5795">
        <f t="shared" ref="Z83" si="18">+W83*Y83</f>
        <v>151785.71428571426</v>
      </c>
      <c r="AA83" s="5795">
        <v>0</v>
      </c>
      <c r="AB83" s="5553"/>
      <c r="AC83" s="5817"/>
      <c r="AD83" s="2935"/>
      <c r="AE83" s="3504"/>
      <c r="AF83" s="3666" t="s">
        <v>153</v>
      </c>
      <c r="AG83" s="3666"/>
      <c r="AH83" s="10469"/>
      <c r="AI83" s="466"/>
      <c r="AJ83" s="100"/>
      <c r="AK83" s="100"/>
      <c r="AL83" s="100"/>
    </row>
    <row r="84" spans="1:38" ht="85.5" customHeight="1" thickTop="1" thickBot="1">
      <c r="A84" s="10423"/>
      <c r="B84" s="10616"/>
      <c r="C84" s="10602"/>
      <c r="D84" s="10566"/>
      <c r="E84" s="10566"/>
      <c r="F84" s="10566"/>
      <c r="G84" s="10567"/>
      <c r="H84" s="10566"/>
      <c r="I84" s="10566"/>
      <c r="J84" s="10566"/>
      <c r="K84" s="10566"/>
      <c r="L84" s="10566"/>
      <c r="M84" s="10581"/>
      <c r="N84" s="10581"/>
      <c r="O84" s="10581"/>
      <c r="P84" s="10566"/>
      <c r="Q84" s="10566"/>
      <c r="R84" s="10588"/>
      <c r="S84" s="3543"/>
      <c r="T84" s="5696"/>
      <c r="U84" s="5696"/>
      <c r="V84" s="3557"/>
      <c r="W84" s="5503"/>
      <c r="X84" s="3545"/>
      <c r="Y84" s="5558"/>
      <c r="Z84" s="5558"/>
      <c r="AA84" s="5558"/>
      <c r="AB84" s="5559"/>
      <c r="AC84" s="5830"/>
      <c r="AD84" s="2936"/>
      <c r="AE84" s="2933"/>
      <c r="AF84" s="3707"/>
      <c r="AG84" s="3707"/>
      <c r="AH84" s="10624"/>
      <c r="AI84" s="466"/>
      <c r="AJ84" s="100"/>
      <c r="AK84" s="100"/>
      <c r="AL84" s="100"/>
    </row>
    <row r="85" spans="1:38" ht="34.5" customHeight="1">
      <c r="A85" s="10423"/>
      <c r="B85" s="10616"/>
      <c r="C85" s="10512" t="s">
        <v>127</v>
      </c>
      <c r="D85" s="10444" t="s">
        <v>128</v>
      </c>
      <c r="E85" s="10444" t="s">
        <v>129</v>
      </c>
      <c r="F85" s="10444" t="s">
        <v>268</v>
      </c>
      <c r="G85" s="10451" t="s">
        <v>131</v>
      </c>
      <c r="H85" s="10444" t="s">
        <v>132</v>
      </c>
      <c r="I85" s="10444" t="s">
        <v>214</v>
      </c>
      <c r="J85" s="10444" t="s">
        <v>3849</v>
      </c>
      <c r="K85" s="10444" t="s">
        <v>3850</v>
      </c>
      <c r="L85" s="10444" t="s">
        <v>3851</v>
      </c>
      <c r="M85" s="10561">
        <v>1</v>
      </c>
      <c r="N85" s="10561">
        <v>1</v>
      </c>
      <c r="O85" s="10561">
        <v>1</v>
      </c>
      <c r="P85" s="10444" t="s">
        <v>3852</v>
      </c>
      <c r="Q85" s="10444" t="s">
        <v>3853</v>
      </c>
      <c r="R85" s="10449" t="s">
        <v>3854</v>
      </c>
      <c r="S85" s="3772" t="s">
        <v>15</v>
      </c>
      <c r="T85" s="5689">
        <v>530405</v>
      </c>
      <c r="U85" s="5689"/>
      <c r="V85" s="3801" t="s">
        <v>3855</v>
      </c>
      <c r="W85" s="5783"/>
      <c r="X85" s="3719"/>
      <c r="Y85" s="7988"/>
      <c r="Z85" s="7988"/>
      <c r="AA85" s="7988"/>
      <c r="AB85" s="7963">
        <f>SUM(AA86:AA86)</f>
        <v>50357.62</v>
      </c>
      <c r="AC85" s="5822" t="s">
        <v>18</v>
      </c>
      <c r="AD85" s="3720"/>
      <c r="AE85" s="3721"/>
      <c r="AF85" s="3660"/>
      <c r="AG85" s="3660"/>
      <c r="AH85" s="10468" t="s">
        <v>3856</v>
      </c>
      <c r="AI85" s="466"/>
      <c r="AJ85" s="100"/>
      <c r="AK85" s="100"/>
      <c r="AL85" s="100"/>
    </row>
    <row r="86" spans="1:38" ht="18" customHeight="1">
      <c r="A86" s="10423"/>
      <c r="B86" s="10616"/>
      <c r="C86" s="10592"/>
      <c r="D86" s="10500"/>
      <c r="E86" s="10500"/>
      <c r="F86" s="10500"/>
      <c r="G86" s="10502"/>
      <c r="H86" s="10500"/>
      <c r="I86" s="10500"/>
      <c r="J86" s="10500"/>
      <c r="K86" s="10500"/>
      <c r="L86" s="10500"/>
      <c r="M86" s="10556"/>
      <c r="N86" s="10556"/>
      <c r="O86" s="10556"/>
      <c r="P86" s="10500"/>
      <c r="Q86" s="10500"/>
      <c r="R86" s="10508"/>
      <c r="S86" s="3538"/>
      <c r="T86" s="5681"/>
      <c r="U86" s="7360">
        <v>871410018</v>
      </c>
      <c r="V86" s="3797" t="s">
        <v>3857</v>
      </c>
      <c r="W86" s="5507">
        <v>1</v>
      </c>
      <c r="X86" s="3671" t="s">
        <v>152</v>
      </c>
      <c r="Y86" s="7964">
        <f>50357.62</f>
        <v>50357.62</v>
      </c>
      <c r="Z86" s="7964">
        <f t="shared" ref="Z86" si="19">+W86*Y86</f>
        <v>50357.62</v>
      </c>
      <c r="AA86" s="7964">
        <f>Z86</f>
        <v>50357.62</v>
      </c>
      <c r="AB86" s="7962"/>
      <c r="AC86" s="5779"/>
      <c r="AD86" s="2935"/>
      <c r="AE86" s="3504"/>
      <c r="AF86" s="3666" t="s">
        <v>153</v>
      </c>
      <c r="AG86" s="3666"/>
      <c r="AH86" s="10469"/>
      <c r="AI86" s="466"/>
      <c r="AJ86" s="100"/>
      <c r="AK86" s="100"/>
      <c r="AL86" s="100"/>
    </row>
    <row r="87" spans="1:38" ht="34.5" customHeight="1" thickTop="1" thickBot="1">
      <c r="A87" s="10423"/>
      <c r="B87" s="10616"/>
      <c r="C87" s="10592"/>
      <c r="D87" s="10500"/>
      <c r="E87" s="10500"/>
      <c r="F87" s="10500"/>
      <c r="G87" s="10502"/>
      <c r="H87" s="10500"/>
      <c r="I87" s="10500"/>
      <c r="J87" s="10500"/>
      <c r="K87" s="10500"/>
      <c r="L87" s="10500"/>
      <c r="M87" s="10556"/>
      <c r="N87" s="10556"/>
      <c r="O87" s="10556"/>
      <c r="P87" s="10500"/>
      <c r="Q87" s="10500"/>
      <c r="R87" s="10508"/>
      <c r="S87" s="3770" t="s">
        <v>15</v>
      </c>
      <c r="T87" s="5682">
        <v>530405</v>
      </c>
      <c r="U87" s="5682"/>
      <c r="V87" s="3796" t="s">
        <v>3855</v>
      </c>
      <c r="W87" s="5508"/>
      <c r="X87" s="3669"/>
      <c r="Y87" s="5553"/>
      <c r="Z87" s="5552"/>
      <c r="AA87" s="5552"/>
      <c r="AB87" s="5553">
        <f>SUM(AA88:AA89)</f>
        <v>6109.1900000000005</v>
      </c>
      <c r="AC87" s="5779" t="s">
        <v>26</v>
      </c>
      <c r="AD87" s="2935"/>
      <c r="AE87" s="3504"/>
      <c r="AF87" s="3666"/>
      <c r="AG87" s="3666"/>
      <c r="AH87" s="10469"/>
      <c r="AI87" s="466"/>
      <c r="AJ87" s="100"/>
      <c r="AK87" s="100"/>
      <c r="AL87" s="100"/>
    </row>
    <row r="88" spans="1:38" ht="18" customHeight="1" thickTop="1" thickBot="1">
      <c r="A88" s="10423"/>
      <c r="B88" s="10616"/>
      <c r="C88" s="10592"/>
      <c r="D88" s="10500"/>
      <c r="E88" s="10500"/>
      <c r="F88" s="10500"/>
      <c r="G88" s="10502"/>
      <c r="H88" s="10500"/>
      <c r="I88" s="10500"/>
      <c r="J88" s="10500"/>
      <c r="K88" s="10500"/>
      <c r="L88" s="10500"/>
      <c r="M88" s="10556"/>
      <c r="N88" s="10556"/>
      <c r="O88" s="10556"/>
      <c r="P88" s="10500"/>
      <c r="Q88" s="10500"/>
      <c r="R88" s="10508"/>
      <c r="S88" s="3541"/>
      <c r="T88" s="5682"/>
      <c r="U88" s="5682"/>
      <c r="V88" s="3495" t="s">
        <v>3858</v>
      </c>
      <c r="W88" s="5499">
        <v>1</v>
      </c>
      <c r="X88" s="3496" t="s">
        <v>479</v>
      </c>
      <c r="Y88" s="5552">
        <f>2124.58/1.12</f>
        <v>1896.9464285714282</v>
      </c>
      <c r="Z88" s="5552">
        <f t="shared" ref="Z88:Z89" si="20">+W88*Y88</f>
        <v>1896.9464285714282</v>
      </c>
      <c r="AA88" s="5552">
        <f t="shared" ref="AA88:AA89" si="21">+Z88*1.12</f>
        <v>2124.58</v>
      </c>
      <c r="AB88" s="5553"/>
      <c r="AC88" s="5779"/>
      <c r="AD88" s="2935"/>
      <c r="AE88" s="3504"/>
      <c r="AF88" s="3666" t="s">
        <v>153</v>
      </c>
      <c r="AG88" s="3666"/>
      <c r="AH88" s="10469"/>
      <c r="AI88" s="466"/>
      <c r="AJ88" s="100"/>
      <c r="AK88" s="100"/>
      <c r="AL88" s="100"/>
    </row>
    <row r="89" spans="1:38" ht="18" customHeight="1" thickTop="1" thickBot="1">
      <c r="A89" s="10423"/>
      <c r="B89" s="10616"/>
      <c r="C89" s="10592"/>
      <c r="D89" s="10500"/>
      <c r="E89" s="10500"/>
      <c r="F89" s="10500"/>
      <c r="G89" s="10502"/>
      <c r="H89" s="10500"/>
      <c r="I89" s="10500"/>
      <c r="J89" s="10500"/>
      <c r="K89" s="10500"/>
      <c r="L89" s="10500"/>
      <c r="M89" s="10556"/>
      <c r="N89" s="10556"/>
      <c r="O89" s="10556"/>
      <c r="P89" s="10500"/>
      <c r="Q89" s="10500"/>
      <c r="R89" s="10508"/>
      <c r="S89" s="3541"/>
      <c r="T89" s="5682"/>
      <c r="U89" s="5682"/>
      <c r="V89" s="3495" t="s">
        <v>3859</v>
      </c>
      <c r="W89" s="5499">
        <v>1</v>
      </c>
      <c r="X89" s="3496" t="s">
        <v>479</v>
      </c>
      <c r="Y89" s="5552">
        <f>3984.61/1.12</f>
        <v>3557.6875</v>
      </c>
      <c r="Z89" s="5552">
        <f t="shared" si="20"/>
        <v>3557.6875</v>
      </c>
      <c r="AA89" s="5552">
        <f t="shared" si="21"/>
        <v>3984.6100000000006</v>
      </c>
      <c r="AB89" s="5553"/>
      <c r="AC89" s="5779"/>
      <c r="AD89" s="2935"/>
      <c r="AE89" s="3504"/>
      <c r="AF89" s="3666" t="s">
        <v>153</v>
      </c>
      <c r="AG89" s="3666"/>
      <c r="AH89" s="10469"/>
      <c r="AI89" s="466"/>
      <c r="AJ89" s="100"/>
      <c r="AK89" s="100"/>
      <c r="AL89" s="100"/>
    </row>
    <row r="90" spans="1:38" ht="33">
      <c r="A90" s="10423"/>
      <c r="B90" s="10616"/>
      <c r="C90" s="10592"/>
      <c r="D90" s="10500"/>
      <c r="E90" s="10500"/>
      <c r="F90" s="10500"/>
      <c r="G90" s="10502"/>
      <c r="H90" s="10500"/>
      <c r="I90" s="10500"/>
      <c r="J90" s="10500"/>
      <c r="K90" s="10500"/>
      <c r="L90" s="10500"/>
      <c r="M90" s="10556"/>
      <c r="N90" s="10556"/>
      <c r="O90" s="10556"/>
      <c r="P90" s="10500"/>
      <c r="Q90" s="10500"/>
      <c r="R90" s="10508"/>
      <c r="S90" s="3770" t="s">
        <v>15</v>
      </c>
      <c r="T90" s="5682">
        <v>530255</v>
      </c>
      <c r="U90" s="5682"/>
      <c r="V90" s="3796" t="s">
        <v>3860</v>
      </c>
      <c r="W90" s="5508"/>
      <c r="X90" s="3669"/>
      <c r="Y90" s="5553"/>
      <c r="Z90" s="5553"/>
      <c r="AA90" s="5552"/>
      <c r="AB90" s="7800">
        <f>SUM(AA91:AA91)</f>
        <v>30040</v>
      </c>
      <c r="AC90" s="5779" t="s">
        <v>18</v>
      </c>
      <c r="AD90" s="2935"/>
      <c r="AE90" s="3504"/>
      <c r="AF90" s="3666"/>
      <c r="AG90" s="3666"/>
      <c r="AH90" s="10469"/>
      <c r="AI90" s="466"/>
      <c r="AJ90" s="100"/>
      <c r="AK90" s="100"/>
      <c r="AL90" s="100"/>
    </row>
    <row r="91" spans="1:38" ht="18" customHeight="1">
      <c r="A91" s="10423"/>
      <c r="B91" s="10616"/>
      <c r="C91" s="10592"/>
      <c r="D91" s="10500"/>
      <c r="E91" s="10500"/>
      <c r="F91" s="10500"/>
      <c r="G91" s="10502"/>
      <c r="H91" s="10500"/>
      <c r="I91" s="10500"/>
      <c r="J91" s="10500"/>
      <c r="K91" s="10500"/>
      <c r="L91" s="10500"/>
      <c r="M91" s="10556"/>
      <c r="N91" s="10556"/>
      <c r="O91" s="10556"/>
      <c r="P91" s="10500"/>
      <c r="Q91" s="10500"/>
      <c r="R91" s="10508"/>
      <c r="S91" s="3538"/>
      <c r="T91" s="5681"/>
      <c r="U91" s="5681">
        <v>333100011</v>
      </c>
      <c r="V91" s="3763" t="s">
        <v>3861</v>
      </c>
      <c r="W91" s="5499">
        <v>1</v>
      </c>
      <c r="X91" s="3668" t="s">
        <v>152</v>
      </c>
      <c r="Y91" s="7797">
        <f>(37040-7000)/1.12</f>
        <v>26821.428571428569</v>
      </c>
      <c r="Z91" s="5552">
        <f>+W91*Y91</f>
        <v>26821.428571428569</v>
      </c>
      <c r="AA91" s="5552">
        <f>+Z91*1.12</f>
        <v>30040</v>
      </c>
      <c r="AB91" s="5553"/>
      <c r="AC91" s="5779"/>
      <c r="AD91" s="2935"/>
      <c r="AE91" s="3504" t="s">
        <v>153</v>
      </c>
      <c r="AF91" s="3666" t="s">
        <v>153</v>
      </c>
      <c r="AG91" s="3666" t="s">
        <v>153</v>
      </c>
      <c r="AH91" s="10469"/>
      <c r="AI91" s="466"/>
      <c r="AJ91" s="100"/>
      <c r="AK91" s="100"/>
      <c r="AL91" s="100"/>
    </row>
    <row r="92" spans="1:38" ht="33">
      <c r="A92" s="10423"/>
      <c r="B92" s="10616"/>
      <c r="C92" s="10592"/>
      <c r="D92" s="10500"/>
      <c r="E92" s="10500"/>
      <c r="F92" s="10500"/>
      <c r="G92" s="10502"/>
      <c r="H92" s="10500"/>
      <c r="I92" s="10500"/>
      <c r="J92" s="10500"/>
      <c r="K92" s="10500"/>
      <c r="L92" s="10500"/>
      <c r="M92" s="10556"/>
      <c r="N92" s="10556"/>
      <c r="O92" s="10556"/>
      <c r="P92" s="10500"/>
      <c r="Q92" s="10500"/>
      <c r="R92" s="10508"/>
      <c r="S92" s="3770" t="s">
        <v>15</v>
      </c>
      <c r="T92" s="5682">
        <v>530803</v>
      </c>
      <c r="U92" s="5681"/>
      <c r="V92" s="3796" t="s">
        <v>3862</v>
      </c>
      <c r="W92" s="5499"/>
      <c r="X92" s="3668"/>
      <c r="Y92" s="5552"/>
      <c r="Z92" s="5552"/>
      <c r="AA92" s="5552"/>
      <c r="AB92" s="8003">
        <f>SUM(AA93:AA93)</f>
        <v>5000</v>
      </c>
      <c r="AC92" s="5779" t="s">
        <v>18</v>
      </c>
      <c r="AD92" s="2935"/>
      <c r="AE92" s="3504"/>
      <c r="AF92" s="3666"/>
      <c r="AG92" s="3666"/>
      <c r="AH92" s="10469"/>
      <c r="AI92" s="466"/>
      <c r="AJ92" s="100"/>
      <c r="AK92" s="100"/>
      <c r="AL92" s="100"/>
    </row>
    <row r="93" spans="1:38" ht="18" customHeight="1" thickTop="1" thickBot="1">
      <c r="A93" s="10423"/>
      <c r="B93" s="10616"/>
      <c r="C93" s="10602"/>
      <c r="D93" s="10566"/>
      <c r="E93" s="10566"/>
      <c r="F93" s="10566"/>
      <c r="G93" s="10567"/>
      <c r="H93" s="10566"/>
      <c r="I93" s="10566"/>
      <c r="J93" s="10566"/>
      <c r="K93" s="10566"/>
      <c r="L93" s="10566"/>
      <c r="M93" s="10581"/>
      <c r="N93" s="10581"/>
      <c r="O93" s="10581"/>
      <c r="P93" s="10566"/>
      <c r="Q93" s="10566"/>
      <c r="R93" s="10588"/>
      <c r="S93" s="3543"/>
      <c r="T93" s="5696"/>
      <c r="U93" s="5696"/>
      <c r="V93" s="3800" t="s">
        <v>3863</v>
      </c>
      <c r="W93" s="7379">
        <v>1</v>
      </c>
      <c r="X93" s="3830" t="s">
        <v>152</v>
      </c>
      <c r="Y93" s="7399">
        <f>5000/1.12</f>
        <v>4464.2857142857138</v>
      </c>
      <c r="Z93" s="7399">
        <f>+W93*Y93</f>
        <v>4464.2857142857138</v>
      </c>
      <c r="AA93" s="7399">
        <f>+Z93*1.12</f>
        <v>5000</v>
      </c>
      <c r="AB93" s="5559"/>
      <c r="AC93" s="5828"/>
      <c r="AD93" s="2936"/>
      <c r="AE93" s="2933"/>
      <c r="AF93" s="3707"/>
      <c r="AG93" s="3707" t="s">
        <v>153</v>
      </c>
      <c r="AH93" s="10624"/>
      <c r="AI93" s="466"/>
      <c r="AJ93" s="100"/>
      <c r="AK93" s="100"/>
      <c r="AL93" s="100"/>
    </row>
    <row r="94" spans="1:38" ht="33">
      <c r="A94" s="10423"/>
      <c r="B94" s="10616"/>
      <c r="C94" s="10512" t="s">
        <v>127</v>
      </c>
      <c r="D94" s="10444" t="s">
        <v>128</v>
      </c>
      <c r="E94" s="10444" t="s">
        <v>129</v>
      </c>
      <c r="F94" s="10444" t="s">
        <v>268</v>
      </c>
      <c r="G94" s="10451" t="s">
        <v>131</v>
      </c>
      <c r="H94" s="10444" t="s">
        <v>132</v>
      </c>
      <c r="I94" s="10444" t="s">
        <v>214</v>
      </c>
      <c r="J94" s="10444" t="s">
        <v>3864</v>
      </c>
      <c r="K94" s="10444" t="s">
        <v>3865</v>
      </c>
      <c r="L94" s="10444" t="s">
        <v>3866</v>
      </c>
      <c r="M94" s="10561">
        <v>1</v>
      </c>
      <c r="N94" s="10561">
        <v>1</v>
      </c>
      <c r="O94" s="10561">
        <v>1</v>
      </c>
      <c r="P94" s="10444" t="s">
        <v>3867</v>
      </c>
      <c r="Q94" s="10444" t="s">
        <v>3868</v>
      </c>
      <c r="R94" s="10449" t="s">
        <v>3869</v>
      </c>
      <c r="S94" s="3772" t="s">
        <v>15</v>
      </c>
      <c r="T94" s="7367">
        <v>530208</v>
      </c>
      <c r="U94" s="7367"/>
      <c r="V94" s="3831" t="s">
        <v>2621</v>
      </c>
      <c r="W94" s="5512"/>
      <c r="X94" s="3832"/>
      <c r="Y94" s="8297"/>
      <c r="Z94" s="8297"/>
      <c r="AA94" s="8297"/>
      <c r="AB94" s="7963">
        <f>SUM(AA95:AA95)</f>
        <v>327179.12</v>
      </c>
      <c r="AC94" s="5822" t="s">
        <v>18</v>
      </c>
      <c r="AD94" s="3720"/>
      <c r="AE94" s="3721"/>
      <c r="AF94" s="3660"/>
      <c r="AG94" s="3660"/>
      <c r="AH94" s="10626" t="s">
        <v>3870</v>
      </c>
      <c r="AI94" s="466"/>
      <c r="AJ94" s="100"/>
      <c r="AK94" s="100"/>
      <c r="AL94" s="100"/>
    </row>
    <row r="95" spans="1:38" ht="22.5" customHeight="1">
      <c r="A95" s="10423"/>
      <c r="B95" s="10616"/>
      <c r="C95" s="10592"/>
      <c r="D95" s="10500"/>
      <c r="E95" s="10500"/>
      <c r="F95" s="10500"/>
      <c r="G95" s="10502"/>
      <c r="H95" s="10500"/>
      <c r="I95" s="10500"/>
      <c r="J95" s="10500"/>
      <c r="K95" s="10500"/>
      <c r="L95" s="10500"/>
      <c r="M95" s="10556"/>
      <c r="N95" s="10556"/>
      <c r="O95" s="10556"/>
      <c r="P95" s="10500"/>
      <c r="Q95" s="10500"/>
      <c r="R95" s="10508"/>
      <c r="S95" s="3538"/>
      <c r="T95" s="7360"/>
      <c r="U95" s="7360">
        <v>852500014</v>
      </c>
      <c r="V95" s="3797" t="s">
        <v>3871</v>
      </c>
      <c r="W95" s="5507">
        <v>1</v>
      </c>
      <c r="X95" s="3673" t="s">
        <v>152</v>
      </c>
      <c r="Y95" s="7964">
        <f>327179.12/1.12</f>
        <v>292124.21428571426</v>
      </c>
      <c r="Z95" s="7964">
        <f>+W95*Y95</f>
        <v>292124.21428571426</v>
      </c>
      <c r="AA95" s="7964">
        <f>+Z95*1.12</f>
        <v>327179.12</v>
      </c>
      <c r="AB95" s="7991"/>
      <c r="AC95" s="5779"/>
      <c r="AD95" s="2935"/>
      <c r="AE95" s="3504" t="s">
        <v>153</v>
      </c>
      <c r="AF95" s="3666" t="s">
        <v>153</v>
      </c>
      <c r="AG95" s="3666" t="s">
        <v>153</v>
      </c>
      <c r="AH95" s="10627"/>
      <c r="AI95" s="466"/>
      <c r="AJ95" s="111"/>
      <c r="AK95" s="100"/>
      <c r="AL95" s="100"/>
    </row>
    <row r="96" spans="1:38" ht="33">
      <c r="A96" s="10423"/>
      <c r="B96" s="10616"/>
      <c r="C96" s="10592"/>
      <c r="D96" s="10500"/>
      <c r="E96" s="10500"/>
      <c r="F96" s="10500"/>
      <c r="G96" s="10502"/>
      <c r="H96" s="10500"/>
      <c r="I96" s="10500"/>
      <c r="J96" s="10500"/>
      <c r="K96" s="10500"/>
      <c r="L96" s="10500"/>
      <c r="M96" s="10556"/>
      <c r="N96" s="10556"/>
      <c r="O96" s="10556"/>
      <c r="P96" s="10500"/>
      <c r="Q96" s="10500"/>
      <c r="R96" s="10508"/>
      <c r="S96" s="3772" t="s">
        <v>15</v>
      </c>
      <c r="T96" s="7359">
        <v>840104</v>
      </c>
      <c r="U96" s="7360"/>
      <c r="V96" s="3798" t="s">
        <v>39</v>
      </c>
      <c r="W96" s="5507"/>
      <c r="X96" s="3673"/>
      <c r="Y96" s="7964"/>
      <c r="Z96" s="7964"/>
      <c r="AA96" s="7964"/>
      <c r="AB96" s="7991">
        <f>+AA97+AA98</f>
        <v>6150</v>
      </c>
      <c r="AC96" s="5779" t="s">
        <v>18</v>
      </c>
      <c r="AD96" s="2935"/>
      <c r="AE96" s="3504"/>
      <c r="AF96" s="3666"/>
      <c r="AG96" s="3666"/>
      <c r="AH96" s="10627"/>
      <c r="AI96" s="466"/>
      <c r="AJ96" s="111"/>
      <c r="AK96" s="100"/>
      <c r="AL96" s="100"/>
    </row>
    <row r="97" spans="1:38" ht="44.25" customHeight="1">
      <c r="A97" s="10423"/>
      <c r="B97" s="10616"/>
      <c r="C97" s="10592"/>
      <c r="D97" s="10500"/>
      <c r="E97" s="10500"/>
      <c r="F97" s="10500"/>
      <c r="G97" s="10502"/>
      <c r="H97" s="10500"/>
      <c r="I97" s="10500"/>
      <c r="J97" s="10500"/>
      <c r="K97" s="10500"/>
      <c r="L97" s="10500"/>
      <c r="M97" s="10556"/>
      <c r="N97" s="10556"/>
      <c r="O97" s="10556"/>
      <c r="P97" s="10500"/>
      <c r="Q97" s="10500"/>
      <c r="R97" s="10508"/>
      <c r="S97" s="3538"/>
      <c r="T97" s="7360"/>
      <c r="U97" s="7360"/>
      <c r="V97" s="3797" t="s">
        <v>3872</v>
      </c>
      <c r="W97" s="5507">
        <v>1</v>
      </c>
      <c r="X97" s="3671" t="s">
        <v>479</v>
      </c>
      <c r="Y97" s="7964">
        <v>6150</v>
      </c>
      <c r="Z97" s="7964">
        <f>+W97*Y97</f>
        <v>6150</v>
      </c>
      <c r="AA97" s="7964">
        <f>Z97</f>
        <v>6150</v>
      </c>
      <c r="AB97" s="7991"/>
      <c r="AC97" s="5779"/>
      <c r="AD97" s="2935"/>
      <c r="AE97" s="3504"/>
      <c r="AF97" s="3666"/>
      <c r="AG97" s="3666"/>
      <c r="AH97" s="10627"/>
      <c r="AI97" s="466"/>
      <c r="AJ97" s="111"/>
      <c r="AK97" s="100"/>
      <c r="AL97" s="100"/>
    </row>
    <row r="98" spans="1:38" ht="22.5" customHeight="1">
      <c r="A98" s="10423"/>
      <c r="B98" s="10616"/>
      <c r="C98" s="10592"/>
      <c r="D98" s="10500"/>
      <c r="E98" s="10500"/>
      <c r="F98" s="10500"/>
      <c r="G98" s="10502"/>
      <c r="H98" s="10500"/>
      <c r="I98" s="10500"/>
      <c r="J98" s="10500"/>
      <c r="K98" s="10500"/>
      <c r="L98" s="10500"/>
      <c r="M98" s="10556"/>
      <c r="N98" s="10556"/>
      <c r="O98" s="10556"/>
      <c r="P98" s="10500"/>
      <c r="Q98" s="10500"/>
      <c r="R98" s="10508"/>
      <c r="S98" s="3538"/>
      <c r="T98" s="7360"/>
      <c r="U98" s="7360"/>
      <c r="V98" s="3797"/>
      <c r="W98" s="5507"/>
      <c r="X98" s="3671"/>
      <c r="Y98" s="5795"/>
      <c r="Z98" s="5795"/>
      <c r="AA98" s="5795"/>
      <c r="AB98" s="5796"/>
      <c r="AC98" s="5779"/>
      <c r="AD98" s="2935"/>
      <c r="AE98" s="3504"/>
      <c r="AF98" s="3666"/>
      <c r="AG98" s="3666" t="s">
        <v>153</v>
      </c>
      <c r="AH98" s="10627"/>
      <c r="AI98" s="466"/>
      <c r="AJ98" s="111"/>
      <c r="AK98" s="100"/>
      <c r="AL98" s="100"/>
    </row>
    <row r="99" spans="1:38" ht="33" customHeight="1">
      <c r="A99" s="10423"/>
      <c r="B99" s="10616"/>
      <c r="C99" s="10592"/>
      <c r="D99" s="10500"/>
      <c r="E99" s="10500"/>
      <c r="F99" s="10500"/>
      <c r="G99" s="10502"/>
      <c r="H99" s="10500"/>
      <c r="I99" s="10500"/>
      <c r="J99" s="10500"/>
      <c r="K99" s="10500"/>
      <c r="L99" s="10500"/>
      <c r="M99" s="10556"/>
      <c r="N99" s="10556"/>
      <c r="O99" s="10556"/>
      <c r="P99" s="10500"/>
      <c r="Q99" s="10500"/>
      <c r="R99" s="10508"/>
      <c r="S99" s="7992"/>
      <c r="T99" s="7993"/>
      <c r="U99" s="7994"/>
      <c r="V99" s="7995"/>
      <c r="W99" s="7996"/>
      <c r="X99" s="7997"/>
      <c r="Y99" s="7998"/>
      <c r="Z99" s="7998"/>
      <c r="AA99" s="7998"/>
      <c r="AB99" s="7999"/>
      <c r="AC99" s="8000"/>
      <c r="AD99" s="2935"/>
      <c r="AE99" s="3504"/>
      <c r="AF99" s="3666"/>
      <c r="AG99" s="3666"/>
      <c r="AH99" s="10627"/>
      <c r="AI99" s="466"/>
      <c r="AJ99" s="111"/>
      <c r="AK99" s="100"/>
      <c r="AL99" s="100"/>
    </row>
    <row r="100" spans="1:38" ht="57" customHeight="1">
      <c r="A100" s="10423"/>
      <c r="B100" s="10616"/>
      <c r="C100" s="10592"/>
      <c r="D100" s="10500"/>
      <c r="E100" s="10500"/>
      <c r="F100" s="10500"/>
      <c r="G100" s="10502"/>
      <c r="H100" s="10500"/>
      <c r="I100" s="10500"/>
      <c r="J100" s="10500"/>
      <c r="K100" s="10500"/>
      <c r="L100" s="10500"/>
      <c r="M100" s="10556"/>
      <c r="N100" s="10556"/>
      <c r="O100" s="10556"/>
      <c r="P100" s="10500"/>
      <c r="Q100" s="10500"/>
      <c r="R100" s="10508"/>
      <c r="S100" s="8001"/>
      <c r="T100" s="7994"/>
      <c r="U100" s="7994"/>
      <c r="V100" s="8002"/>
      <c r="W100" s="7996"/>
      <c r="X100" s="7997"/>
      <c r="Y100" s="7998"/>
      <c r="Z100" s="7998"/>
      <c r="AA100" s="7998"/>
      <c r="AB100" s="7999"/>
      <c r="AC100" s="8000"/>
      <c r="AD100" s="2935"/>
      <c r="AE100" s="3504"/>
      <c r="AF100" s="3666"/>
      <c r="AG100" s="3666"/>
      <c r="AH100" s="10627"/>
      <c r="AI100" s="466"/>
      <c r="AJ100" s="111"/>
      <c r="AK100" s="100"/>
      <c r="AL100" s="100"/>
    </row>
    <row r="101" spans="1:38" ht="22.5" customHeight="1">
      <c r="A101" s="10423"/>
      <c r="B101" s="10616"/>
      <c r="C101" s="10592"/>
      <c r="D101" s="10500"/>
      <c r="E101" s="10500"/>
      <c r="F101" s="10500"/>
      <c r="G101" s="10502"/>
      <c r="H101" s="10500"/>
      <c r="I101" s="10500"/>
      <c r="J101" s="10500"/>
      <c r="K101" s="10500"/>
      <c r="L101" s="10500"/>
      <c r="M101" s="10556"/>
      <c r="N101" s="10556"/>
      <c r="O101" s="10556"/>
      <c r="P101" s="10500"/>
      <c r="Q101" s="10500"/>
      <c r="R101" s="10508"/>
      <c r="S101" s="3775" t="s">
        <v>15</v>
      </c>
      <c r="T101" s="5682" t="s">
        <v>3873</v>
      </c>
      <c r="U101" s="5681"/>
      <c r="V101" s="3796" t="s">
        <v>39</v>
      </c>
      <c r="W101" s="5499"/>
      <c r="X101" s="3496"/>
      <c r="Y101" s="7960"/>
      <c r="Z101" s="7960"/>
      <c r="AA101" s="7960"/>
      <c r="AB101" s="7962">
        <f>SUM(AA102:AA102)</f>
        <v>33731.54</v>
      </c>
      <c r="AC101" s="5779" t="s">
        <v>673</v>
      </c>
      <c r="AD101" s="2935"/>
      <c r="AE101" s="3496"/>
      <c r="AF101" s="3666"/>
      <c r="AG101" s="3666"/>
      <c r="AH101" s="10627"/>
      <c r="AI101" s="466"/>
      <c r="AJ101" s="100"/>
      <c r="AK101" s="100"/>
      <c r="AL101" s="100"/>
    </row>
    <row r="102" spans="1:38" ht="48" customHeight="1">
      <c r="A102" s="10423"/>
      <c r="B102" s="10616"/>
      <c r="C102" s="10592"/>
      <c r="D102" s="10500"/>
      <c r="E102" s="10500"/>
      <c r="F102" s="10500"/>
      <c r="G102" s="10502"/>
      <c r="H102" s="10500"/>
      <c r="I102" s="10500"/>
      <c r="J102" s="10500"/>
      <c r="K102" s="10500"/>
      <c r="L102" s="10500"/>
      <c r="M102" s="10556"/>
      <c r="N102" s="10556"/>
      <c r="O102" s="10556"/>
      <c r="P102" s="10500"/>
      <c r="Q102" s="10500"/>
      <c r="R102" s="10508"/>
      <c r="S102" s="3770"/>
      <c r="T102" s="5682"/>
      <c r="U102" s="5681"/>
      <c r="V102" s="3805" t="s">
        <v>3874</v>
      </c>
      <c r="W102" s="5499">
        <v>1</v>
      </c>
      <c r="X102" s="3668" t="s">
        <v>180</v>
      </c>
      <c r="Y102" s="7960">
        <v>33731.54</v>
      </c>
      <c r="Z102" s="7960">
        <f>Y102</f>
        <v>33731.54</v>
      </c>
      <c r="AA102" s="7960">
        <f>Z102</f>
        <v>33731.54</v>
      </c>
      <c r="AB102" s="7962"/>
      <c r="AC102" s="5779"/>
      <c r="AD102" s="2935"/>
      <c r="AE102" s="3496" t="s">
        <v>153</v>
      </c>
      <c r="AF102" s="3666" t="s">
        <v>153</v>
      </c>
      <c r="AG102" s="3666"/>
      <c r="AH102" s="10627"/>
      <c r="AI102" s="466"/>
      <c r="AJ102" s="100"/>
      <c r="AK102" s="100"/>
      <c r="AL102" s="100"/>
    </row>
    <row r="103" spans="1:38" ht="22.5" customHeight="1" thickTop="1" thickBot="1">
      <c r="A103" s="10423"/>
      <c r="B103" s="10616"/>
      <c r="C103" s="10592"/>
      <c r="D103" s="10500"/>
      <c r="E103" s="10500"/>
      <c r="F103" s="10500"/>
      <c r="G103" s="10502"/>
      <c r="H103" s="10500"/>
      <c r="I103" s="10500"/>
      <c r="J103" s="10500"/>
      <c r="K103" s="10500"/>
      <c r="L103" s="10500"/>
      <c r="M103" s="10556"/>
      <c r="N103" s="10556"/>
      <c r="O103" s="10556"/>
      <c r="P103" s="10500"/>
      <c r="Q103" s="10500"/>
      <c r="R103" s="10508"/>
      <c r="S103" s="3770" t="s">
        <v>15</v>
      </c>
      <c r="T103" s="5682" t="s">
        <v>3875</v>
      </c>
      <c r="U103" s="5681"/>
      <c r="V103" s="3796" t="s">
        <v>39</v>
      </c>
      <c r="W103" s="5499"/>
      <c r="X103" s="3496"/>
      <c r="Y103" s="5552"/>
      <c r="Z103" s="5552"/>
      <c r="AA103" s="5552"/>
      <c r="AB103" s="5553">
        <f>AA104</f>
        <v>37765.46</v>
      </c>
      <c r="AC103" s="5779" t="s">
        <v>763</v>
      </c>
      <c r="AD103" s="3677"/>
      <c r="AE103" s="3676"/>
      <c r="AF103" s="3672"/>
      <c r="AG103" s="3666"/>
      <c r="AH103" s="10627"/>
      <c r="AI103" s="466"/>
      <c r="AJ103" s="100"/>
      <c r="AK103" s="100"/>
      <c r="AL103" s="100"/>
    </row>
    <row r="104" spans="1:38" ht="48" customHeight="1" thickTop="1" thickBot="1">
      <c r="A104" s="10423"/>
      <c r="B104" s="10616"/>
      <c r="C104" s="10592"/>
      <c r="D104" s="10500"/>
      <c r="E104" s="10500"/>
      <c r="F104" s="10500"/>
      <c r="G104" s="10502"/>
      <c r="H104" s="10500"/>
      <c r="I104" s="10500"/>
      <c r="J104" s="10500"/>
      <c r="K104" s="10500"/>
      <c r="L104" s="10500"/>
      <c r="M104" s="10556"/>
      <c r="N104" s="10556"/>
      <c r="O104" s="10556"/>
      <c r="P104" s="10500"/>
      <c r="Q104" s="10500"/>
      <c r="R104" s="10508"/>
      <c r="S104" s="3770"/>
      <c r="T104" s="5682"/>
      <c r="U104" s="5681"/>
      <c r="V104" s="3763" t="s">
        <v>3874</v>
      </c>
      <c r="W104" s="5499">
        <v>1</v>
      </c>
      <c r="X104" s="3496" t="s">
        <v>180</v>
      </c>
      <c r="Y104" s="5552">
        <v>37765.46</v>
      </c>
      <c r="Z104" s="5552">
        <f>Y104</f>
        <v>37765.46</v>
      </c>
      <c r="AA104" s="5552">
        <f>Y104</f>
        <v>37765.46</v>
      </c>
      <c r="AB104" s="5553"/>
      <c r="AC104" s="5779"/>
      <c r="AD104" s="3677"/>
      <c r="AE104" s="3676"/>
      <c r="AF104" s="3672" t="s">
        <v>153</v>
      </c>
      <c r="AG104" s="3666"/>
      <c r="AH104" s="10627"/>
      <c r="AI104" s="466"/>
      <c r="AJ104" s="100"/>
      <c r="AK104" s="100"/>
      <c r="AL104" s="100"/>
    </row>
    <row r="105" spans="1:38" ht="22.5" customHeight="1">
      <c r="A105" s="10423"/>
      <c r="B105" s="10616"/>
      <c r="C105" s="10592"/>
      <c r="D105" s="10500"/>
      <c r="E105" s="10500"/>
      <c r="F105" s="10500"/>
      <c r="G105" s="10502"/>
      <c r="H105" s="10500"/>
      <c r="I105" s="10500"/>
      <c r="J105" s="10500"/>
      <c r="K105" s="10500"/>
      <c r="L105" s="10500"/>
      <c r="M105" s="10556"/>
      <c r="N105" s="10556"/>
      <c r="O105" s="10556"/>
      <c r="P105" s="10500"/>
      <c r="Q105" s="10500"/>
      <c r="R105" s="10508"/>
      <c r="S105" s="3775" t="s">
        <v>15</v>
      </c>
      <c r="T105" s="5682" t="s">
        <v>3876</v>
      </c>
      <c r="U105" s="5681"/>
      <c r="V105" s="3796" t="s">
        <v>40</v>
      </c>
      <c r="W105" s="5499"/>
      <c r="X105" s="3496"/>
      <c r="Y105" s="7960"/>
      <c r="Z105" s="7960"/>
      <c r="AA105" s="7960"/>
      <c r="AB105" s="7962">
        <f>SUM(AA106:AA106)</f>
        <v>6088</v>
      </c>
      <c r="AC105" s="5779" t="s">
        <v>673</v>
      </c>
      <c r="AD105" s="2935"/>
      <c r="AE105" s="3496"/>
      <c r="AF105" s="3666"/>
      <c r="AG105" s="3666"/>
      <c r="AH105" s="10627"/>
      <c r="AI105" s="466"/>
      <c r="AJ105" s="100"/>
      <c r="AK105" s="100"/>
      <c r="AL105" s="100"/>
    </row>
    <row r="106" spans="1:38" ht="45.75" customHeight="1">
      <c r="A106" s="10423"/>
      <c r="B106" s="10616"/>
      <c r="C106" s="10592"/>
      <c r="D106" s="10500"/>
      <c r="E106" s="10500"/>
      <c r="F106" s="10500"/>
      <c r="G106" s="10502"/>
      <c r="H106" s="10500"/>
      <c r="I106" s="10500"/>
      <c r="J106" s="10500"/>
      <c r="K106" s="10500"/>
      <c r="L106" s="10500"/>
      <c r="M106" s="10556"/>
      <c r="N106" s="10556"/>
      <c r="O106" s="10556"/>
      <c r="P106" s="10500"/>
      <c r="Q106" s="10500"/>
      <c r="R106" s="10508"/>
      <c r="S106" s="3770"/>
      <c r="T106" s="5682"/>
      <c r="U106" s="5681"/>
      <c r="V106" s="3805" t="s">
        <v>3877</v>
      </c>
      <c r="W106" s="5499">
        <v>1</v>
      </c>
      <c r="X106" s="3668" t="s">
        <v>180</v>
      </c>
      <c r="Y106" s="7960">
        <v>6088</v>
      </c>
      <c r="Z106" s="7960">
        <f>Y106</f>
        <v>6088</v>
      </c>
      <c r="AA106" s="7960">
        <f>Z106</f>
        <v>6088</v>
      </c>
      <c r="AB106" s="7962"/>
      <c r="AC106" s="5779"/>
      <c r="AD106" s="2935"/>
      <c r="AE106" s="3496" t="s">
        <v>153</v>
      </c>
      <c r="AF106" s="3666" t="s">
        <v>153</v>
      </c>
      <c r="AG106" s="3666"/>
      <c r="AH106" s="10627"/>
      <c r="AI106" s="466"/>
      <c r="AJ106" s="100"/>
      <c r="AK106" s="100"/>
      <c r="AL106" s="100"/>
    </row>
    <row r="107" spans="1:38" ht="22.5" customHeight="1" thickTop="1" thickBot="1">
      <c r="A107" s="10423"/>
      <c r="B107" s="10616"/>
      <c r="C107" s="10592"/>
      <c r="D107" s="10500"/>
      <c r="E107" s="10500"/>
      <c r="F107" s="10500"/>
      <c r="G107" s="10502"/>
      <c r="H107" s="10500"/>
      <c r="I107" s="10500"/>
      <c r="J107" s="10500"/>
      <c r="K107" s="10500"/>
      <c r="L107" s="10500"/>
      <c r="M107" s="10556"/>
      <c r="N107" s="10556"/>
      <c r="O107" s="10556"/>
      <c r="P107" s="10500"/>
      <c r="Q107" s="10500"/>
      <c r="R107" s="10508"/>
      <c r="S107" s="3775" t="s">
        <v>15</v>
      </c>
      <c r="T107" s="5682" t="s">
        <v>3878</v>
      </c>
      <c r="U107" s="5681"/>
      <c r="V107" s="3796" t="s">
        <v>3879</v>
      </c>
      <c r="W107" s="5499"/>
      <c r="X107" s="3496"/>
      <c r="Y107" s="5552"/>
      <c r="Z107" s="5552"/>
      <c r="AA107" s="5552"/>
      <c r="AB107" s="5553">
        <f>SUM(AA108:AA108)</f>
        <v>50279.23</v>
      </c>
      <c r="AC107" s="5779" t="s">
        <v>673</v>
      </c>
      <c r="AD107" s="2935"/>
      <c r="AE107" s="3496"/>
      <c r="AF107" s="3666"/>
      <c r="AG107" s="3666"/>
      <c r="AH107" s="10627"/>
      <c r="AI107" s="466"/>
      <c r="AJ107" s="100"/>
      <c r="AK107" s="100"/>
      <c r="AL107" s="100"/>
    </row>
    <row r="108" spans="1:38" ht="47.25" customHeight="1" thickTop="1" thickBot="1">
      <c r="A108" s="10423"/>
      <c r="B108" s="10616"/>
      <c r="C108" s="10592"/>
      <c r="D108" s="10500"/>
      <c r="E108" s="10500"/>
      <c r="F108" s="10500"/>
      <c r="G108" s="10502"/>
      <c r="H108" s="10500"/>
      <c r="I108" s="10500"/>
      <c r="J108" s="10500"/>
      <c r="K108" s="10500"/>
      <c r="L108" s="10500"/>
      <c r="M108" s="10556"/>
      <c r="N108" s="10556"/>
      <c r="O108" s="10556"/>
      <c r="P108" s="10500"/>
      <c r="Q108" s="10500"/>
      <c r="R108" s="10508"/>
      <c r="S108" s="3770"/>
      <c r="T108" s="5682"/>
      <c r="U108" s="5681"/>
      <c r="V108" s="3805" t="s">
        <v>3874</v>
      </c>
      <c r="W108" s="5499">
        <v>1</v>
      </c>
      <c r="X108" s="3668" t="s">
        <v>180</v>
      </c>
      <c r="Y108" s="5552">
        <v>50279.23</v>
      </c>
      <c r="Z108" s="5552">
        <f>Y108</f>
        <v>50279.23</v>
      </c>
      <c r="AA108" s="5552">
        <f>Z108</f>
        <v>50279.23</v>
      </c>
      <c r="AB108" s="5553"/>
      <c r="AC108" s="5779"/>
      <c r="AD108" s="2935"/>
      <c r="AE108" s="3496" t="s">
        <v>153</v>
      </c>
      <c r="AF108" s="3666" t="s">
        <v>153</v>
      </c>
      <c r="AG108" s="3666"/>
      <c r="AH108" s="10627"/>
      <c r="AI108" s="466"/>
      <c r="AJ108" s="105"/>
      <c r="AK108" s="100"/>
      <c r="AL108" s="100"/>
    </row>
    <row r="109" spans="1:38" ht="22.5" customHeight="1">
      <c r="A109" s="10423"/>
      <c r="B109" s="10616"/>
      <c r="C109" s="10592"/>
      <c r="D109" s="10500"/>
      <c r="E109" s="10500"/>
      <c r="F109" s="10500"/>
      <c r="G109" s="10502"/>
      <c r="H109" s="10500"/>
      <c r="I109" s="10500"/>
      <c r="J109" s="10500"/>
      <c r="K109" s="10500"/>
      <c r="L109" s="10500"/>
      <c r="M109" s="10556"/>
      <c r="N109" s="10556"/>
      <c r="O109" s="10556"/>
      <c r="P109" s="10500"/>
      <c r="Q109" s="10500"/>
      <c r="R109" s="10508"/>
      <c r="S109" s="3770" t="s">
        <v>15</v>
      </c>
      <c r="T109" s="5682">
        <v>531404</v>
      </c>
      <c r="U109" s="5681"/>
      <c r="V109" s="3796" t="s">
        <v>39</v>
      </c>
      <c r="W109" s="5499"/>
      <c r="X109" s="3496"/>
      <c r="Y109" s="5552"/>
      <c r="Z109" s="5552"/>
      <c r="AA109" s="5552"/>
      <c r="AB109" s="5553">
        <f>SUM(AA110:AA110)</f>
        <v>0</v>
      </c>
      <c r="AC109" s="5779" t="s">
        <v>18</v>
      </c>
      <c r="AD109" s="2935"/>
      <c r="AE109" s="3496"/>
      <c r="AF109" s="3666"/>
      <c r="AG109" s="3666"/>
      <c r="AH109" s="10627"/>
      <c r="AI109" s="466"/>
      <c r="AJ109" s="100"/>
      <c r="AK109" s="100"/>
      <c r="AL109" s="100"/>
    </row>
    <row r="110" spans="1:38" ht="22.5" customHeight="1">
      <c r="A110" s="10423"/>
      <c r="B110" s="10616"/>
      <c r="C110" s="10602"/>
      <c r="D110" s="10566"/>
      <c r="E110" s="10566"/>
      <c r="F110" s="10566"/>
      <c r="G110" s="10567"/>
      <c r="H110" s="10566"/>
      <c r="I110" s="10566"/>
      <c r="J110" s="10566"/>
      <c r="K110" s="10566"/>
      <c r="L110" s="10566"/>
      <c r="M110" s="10581"/>
      <c r="N110" s="10581"/>
      <c r="O110" s="10581"/>
      <c r="P110" s="10566"/>
      <c r="Q110" s="10566"/>
      <c r="R110" s="10588"/>
      <c r="S110" s="3543"/>
      <c r="T110" s="5696"/>
      <c r="U110" s="5696">
        <v>3627012110</v>
      </c>
      <c r="V110" s="3557" t="s">
        <v>3880</v>
      </c>
      <c r="W110" s="8012">
        <v>0</v>
      </c>
      <c r="X110" s="3833" t="s">
        <v>180</v>
      </c>
      <c r="Y110" s="5558">
        <v>27.91</v>
      </c>
      <c r="Z110" s="5558">
        <f>+W110*Y110</f>
        <v>0</v>
      </c>
      <c r="AA110" s="5558">
        <f>+Z110*1.12</f>
        <v>0</v>
      </c>
      <c r="AB110" s="5559"/>
      <c r="AC110" s="5828"/>
      <c r="AD110" s="2936"/>
      <c r="AE110" s="3545"/>
      <c r="AF110" s="3707" t="s">
        <v>153</v>
      </c>
      <c r="AG110" s="3707"/>
      <c r="AH110" s="10628"/>
      <c r="AI110" s="466"/>
      <c r="AJ110" s="105"/>
      <c r="AK110" s="100"/>
      <c r="AL110" s="100"/>
    </row>
    <row r="111" spans="1:38" ht="39.75" customHeight="1" thickTop="1" thickBot="1">
      <c r="A111" s="10423"/>
      <c r="B111" s="10616"/>
      <c r="C111" s="10512" t="s">
        <v>127</v>
      </c>
      <c r="D111" s="10444" t="s">
        <v>128</v>
      </c>
      <c r="E111" s="10444" t="s">
        <v>129</v>
      </c>
      <c r="F111" s="10444" t="s">
        <v>268</v>
      </c>
      <c r="G111" s="10451" t="s">
        <v>131</v>
      </c>
      <c r="H111" s="10444" t="s">
        <v>132</v>
      </c>
      <c r="I111" s="10444" t="s">
        <v>214</v>
      </c>
      <c r="J111" s="10444" t="s">
        <v>3881</v>
      </c>
      <c r="K111" s="10444" t="s">
        <v>3882</v>
      </c>
      <c r="L111" s="10444" t="s">
        <v>3883</v>
      </c>
      <c r="M111" s="10561">
        <v>2</v>
      </c>
      <c r="N111" s="10561">
        <v>2</v>
      </c>
      <c r="O111" s="10561">
        <v>2</v>
      </c>
      <c r="P111" s="10444" t="s">
        <v>3884</v>
      </c>
      <c r="Q111" s="10444" t="s">
        <v>3885</v>
      </c>
      <c r="R111" s="10449" t="s">
        <v>3886</v>
      </c>
      <c r="S111" s="3767"/>
      <c r="T111" s="5689"/>
      <c r="U111" s="5689"/>
      <c r="V111" s="3758"/>
      <c r="W111" s="5504"/>
      <c r="X111" s="3658"/>
      <c r="Y111" s="5560"/>
      <c r="Z111" s="5561"/>
      <c r="AA111" s="5561"/>
      <c r="AB111" s="5561"/>
      <c r="AC111" s="5822"/>
      <c r="AD111" s="3720"/>
      <c r="AE111" s="3658"/>
      <c r="AF111" s="3660"/>
      <c r="AG111" s="3660"/>
      <c r="AH111" s="10468" t="s">
        <v>3887</v>
      </c>
      <c r="AI111" s="466"/>
      <c r="AJ111" s="100"/>
      <c r="AK111" s="100"/>
      <c r="AL111" s="100"/>
    </row>
    <row r="112" spans="1:38" ht="39.75" customHeight="1" thickTop="1" thickBot="1">
      <c r="A112" s="10423"/>
      <c r="B112" s="10616"/>
      <c r="C112" s="10592"/>
      <c r="D112" s="10500"/>
      <c r="E112" s="10500"/>
      <c r="F112" s="10500"/>
      <c r="G112" s="10502"/>
      <c r="H112" s="10500"/>
      <c r="I112" s="10500"/>
      <c r="J112" s="10500"/>
      <c r="K112" s="10500"/>
      <c r="L112" s="10500"/>
      <c r="M112" s="10556"/>
      <c r="N112" s="10556"/>
      <c r="O112" s="10556"/>
      <c r="P112" s="10500"/>
      <c r="Q112" s="10500"/>
      <c r="R112" s="10508"/>
      <c r="S112" s="3538"/>
      <c r="T112" s="5681"/>
      <c r="U112" s="5681"/>
      <c r="V112" s="3495"/>
      <c r="W112" s="5499"/>
      <c r="X112" s="3496"/>
      <c r="Y112" s="5552"/>
      <c r="Z112" s="5552"/>
      <c r="AA112" s="5552"/>
      <c r="AB112" s="5553"/>
      <c r="AC112" s="5779"/>
      <c r="AD112" s="2935"/>
      <c r="AE112" s="3496"/>
      <c r="AF112" s="3666"/>
      <c r="AG112" s="3666"/>
      <c r="AH112" s="10469"/>
      <c r="AI112" s="466"/>
      <c r="AJ112" s="100"/>
      <c r="AK112" s="100"/>
      <c r="AL112" s="100"/>
    </row>
    <row r="113" spans="1:38" ht="39.75" customHeight="1" thickTop="1" thickBot="1">
      <c r="A113" s="10423"/>
      <c r="B113" s="10616"/>
      <c r="C113" s="10592"/>
      <c r="D113" s="10500"/>
      <c r="E113" s="10500"/>
      <c r="F113" s="10500"/>
      <c r="G113" s="10502"/>
      <c r="H113" s="10500"/>
      <c r="I113" s="10500"/>
      <c r="J113" s="10500"/>
      <c r="K113" s="10500"/>
      <c r="L113" s="10500"/>
      <c r="M113" s="10556"/>
      <c r="N113" s="10556"/>
      <c r="O113" s="10556"/>
      <c r="P113" s="10500"/>
      <c r="Q113" s="10500"/>
      <c r="R113" s="10508"/>
      <c r="S113" s="3538"/>
      <c r="T113" s="5681"/>
      <c r="U113" s="5681"/>
      <c r="V113" s="3495"/>
      <c r="W113" s="5499"/>
      <c r="X113" s="3496"/>
      <c r="Y113" s="5552"/>
      <c r="Z113" s="5552"/>
      <c r="AA113" s="5552"/>
      <c r="AB113" s="5553"/>
      <c r="AC113" s="5779"/>
      <c r="AD113" s="2935"/>
      <c r="AE113" s="3496"/>
      <c r="AF113" s="3666"/>
      <c r="AG113" s="3666"/>
      <c r="AH113" s="10469"/>
      <c r="AI113" s="466"/>
      <c r="AJ113" s="100"/>
      <c r="AK113" s="100"/>
      <c r="AL113" s="100"/>
    </row>
    <row r="114" spans="1:38" ht="39.75" customHeight="1" thickTop="1" thickBot="1">
      <c r="A114" s="10423"/>
      <c r="B114" s="10616"/>
      <c r="C114" s="10592"/>
      <c r="D114" s="10500"/>
      <c r="E114" s="10500"/>
      <c r="F114" s="10500"/>
      <c r="G114" s="10502"/>
      <c r="H114" s="10500"/>
      <c r="I114" s="10500"/>
      <c r="J114" s="10500"/>
      <c r="K114" s="10500"/>
      <c r="L114" s="10500"/>
      <c r="M114" s="10556"/>
      <c r="N114" s="10556"/>
      <c r="O114" s="10556"/>
      <c r="P114" s="10500"/>
      <c r="Q114" s="10500"/>
      <c r="R114" s="10508"/>
      <c r="S114" s="3538"/>
      <c r="T114" s="5681"/>
      <c r="U114" s="5681"/>
      <c r="V114" s="3495"/>
      <c r="W114" s="5499"/>
      <c r="X114" s="3496"/>
      <c r="Y114" s="5552"/>
      <c r="Z114" s="5552"/>
      <c r="AA114" s="5552"/>
      <c r="AB114" s="5553"/>
      <c r="AC114" s="5779"/>
      <c r="AD114" s="2935"/>
      <c r="AE114" s="3496"/>
      <c r="AF114" s="3666"/>
      <c r="AG114" s="3666"/>
      <c r="AH114" s="10469"/>
      <c r="AI114" s="466"/>
      <c r="AJ114" s="100"/>
      <c r="AK114" s="100"/>
      <c r="AL114" s="100"/>
    </row>
    <row r="115" spans="1:38" ht="39.75" customHeight="1" thickTop="1" thickBot="1">
      <c r="A115" s="10423"/>
      <c r="B115" s="10616"/>
      <c r="C115" s="10593"/>
      <c r="D115" s="10501"/>
      <c r="E115" s="10501"/>
      <c r="F115" s="10501"/>
      <c r="G115" s="10503"/>
      <c r="H115" s="10501"/>
      <c r="I115" s="10501"/>
      <c r="J115" s="10501"/>
      <c r="K115" s="10501"/>
      <c r="L115" s="10501"/>
      <c r="M115" s="10557"/>
      <c r="N115" s="10557"/>
      <c r="O115" s="10557"/>
      <c r="P115" s="10501"/>
      <c r="Q115" s="10501"/>
      <c r="R115" s="10509"/>
      <c r="S115" s="3768"/>
      <c r="T115" s="5683"/>
      <c r="U115" s="5683"/>
      <c r="V115" s="3759"/>
      <c r="W115" s="5509"/>
      <c r="X115" s="3714"/>
      <c r="Y115" s="5554"/>
      <c r="Z115" s="5554"/>
      <c r="AA115" s="5554"/>
      <c r="AB115" s="5555"/>
      <c r="AC115" s="5823"/>
      <c r="AD115" s="3726"/>
      <c r="AE115" s="3727"/>
      <c r="AF115" s="3718"/>
      <c r="AG115" s="3718"/>
      <c r="AH115" s="10623"/>
      <c r="AI115" s="466"/>
      <c r="AJ115" s="100"/>
      <c r="AK115" s="100"/>
      <c r="AL115" s="100"/>
    </row>
    <row r="116" spans="1:38" ht="37.5" customHeight="1">
      <c r="A116" s="10423"/>
      <c r="B116" s="10616"/>
      <c r="C116" s="10516" t="s">
        <v>127</v>
      </c>
      <c r="D116" s="10433" t="s">
        <v>128</v>
      </c>
      <c r="E116" s="10433" t="s">
        <v>129</v>
      </c>
      <c r="F116" s="10433" t="s">
        <v>268</v>
      </c>
      <c r="G116" s="10442" t="s">
        <v>131</v>
      </c>
      <c r="H116" s="10433" t="s">
        <v>132</v>
      </c>
      <c r="I116" s="10433" t="s">
        <v>214</v>
      </c>
      <c r="J116" s="10433" t="s">
        <v>3888</v>
      </c>
      <c r="K116" s="10433" t="s">
        <v>3889</v>
      </c>
      <c r="L116" s="10433" t="s">
        <v>3890</v>
      </c>
      <c r="M116" s="10555">
        <v>1</v>
      </c>
      <c r="N116" s="10555">
        <v>1</v>
      </c>
      <c r="O116" s="10555">
        <v>1</v>
      </c>
      <c r="P116" s="10433" t="s">
        <v>3891</v>
      </c>
      <c r="Q116" s="10433" t="s">
        <v>3892</v>
      </c>
      <c r="R116" s="10439" t="s">
        <v>3893</v>
      </c>
      <c r="S116" s="3769" t="s">
        <v>15</v>
      </c>
      <c r="T116" s="5684">
        <v>530813</v>
      </c>
      <c r="U116" s="5684"/>
      <c r="V116" s="3795" t="s">
        <v>2694</v>
      </c>
      <c r="W116" s="5502"/>
      <c r="X116" s="3709"/>
      <c r="Y116" s="8006"/>
      <c r="Z116" s="8006"/>
      <c r="AA116" s="8006"/>
      <c r="AB116" s="7961">
        <f>AA117</f>
        <v>228</v>
      </c>
      <c r="AC116" s="5780" t="s">
        <v>18</v>
      </c>
      <c r="AD116" s="2934"/>
      <c r="AE116" s="2930"/>
      <c r="AF116" s="3724"/>
      <c r="AG116" s="3724"/>
      <c r="AH116" s="10461" t="s">
        <v>3894</v>
      </c>
      <c r="AI116" s="466"/>
      <c r="AJ116" s="100"/>
      <c r="AK116" s="100"/>
      <c r="AL116" s="100"/>
    </row>
    <row r="117" spans="1:38" ht="37.5" customHeight="1">
      <c r="A117" s="10423"/>
      <c r="B117" s="10616"/>
      <c r="C117" s="10592"/>
      <c r="D117" s="10500"/>
      <c r="E117" s="10500"/>
      <c r="F117" s="10500"/>
      <c r="G117" s="10502"/>
      <c r="H117" s="10500"/>
      <c r="I117" s="10500"/>
      <c r="J117" s="10500"/>
      <c r="K117" s="10500"/>
      <c r="L117" s="10500"/>
      <c r="M117" s="10556"/>
      <c r="N117" s="10556"/>
      <c r="O117" s="10556"/>
      <c r="P117" s="10500"/>
      <c r="Q117" s="10500"/>
      <c r="R117" s="10508"/>
      <c r="S117" s="3538"/>
      <c r="T117" s="5681"/>
      <c r="U117" s="5681">
        <v>452900019</v>
      </c>
      <c r="V117" s="3495" t="s">
        <v>3895</v>
      </c>
      <c r="W117" s="5499">
        <v>4</v>
      </c>
      <c r="X117" s="3668" t="s">
        <v>180</v>
      </c>
      <c r="Y117" s="7960">
        <v>57</v>
      </c>
      <c r="Z117" s="7960">
        <f>+W117*Y117</f>
        <v>228</v>
      </c>
      <c r="AA117" s="7960">
        <f>Z117</f>
        <v>228</v>
      </c>
      <c r="AB117" s="7962"/>
      <c r="AC117" s="5779"/>
      <c r="AD117" s="2935"/>
      <c r="AE117" s="3504"/>
      <c r="AF117" s="3666" t="s">
        <v>153</v>
      </c>
      <c r="AG117" s="3666"/>
      <c r="AH117" s="10469"/>
      <c r="AI117" s="466"/>
      <c r="AJ117" s="100"/>
      <c r="AK117" s="100"/>
      <c r="AL117" s="100"/>
    </row>
    <row r="118" spans="1:38" ht="37.5" customHeight="1" thickTop="1" thickBot="1">
      <c r="A118" s="10423"/>
      <c r="B118" s="10616"/>
      <c r="C118" s="10592"/>
      <c r="D118" s="10500"/>
      <c r="E118" s="10500"/>
      <c r="F118" s="10500"/>
      <c r="G118" s="10502"/>
      <c r="H118" s="10500"/>
      <c r="I118" s="10500"/>
      <c r="J118" s="10500"/>
      <c r="K118" s="10500"/>
      <c r="L118" s="10500"/>
      <c r="M118" s="10556"/>
      <c r="N118" s="10556"/>
      <c r="O118" s="10556"/>
      <c r="P118" s="10500"/>
      <c r="Q118" s="10500"/>
      <c r="R118" s="10508"/>
      <c r="S118" s="3538"/>
      <c r="T118" s="5681"/>
      <c r="U118" s="5681"/>
      <c r="V118" s="3495"/>
      <c r="W118" s="5499"/>
      <c r="X118" s="3496"/>
      <c r="Y118" s="5552"/>
      <c r="Z118" s="5552"/>
      <c r="AA118" s="5552"/>
      <c r="AB118" s="5553"/>
      <c r="AC118" s="5779"/>
      <c r="AD118" s="2935"/>
      <c r="AE118" s="3504"/>
      <c r="AF118" s="3666"/>
      <c r="AG118" s="3666"/>
      <c r="AH118" s="10469"/>
      <c r="AI118" s="466"/>
      <c r="AJ118" s="100"/>
      <c r="AK118" s="100"/>
      <c r="AL118" s="100"/>
    </row>
    <row r="119" spans="1:38" ht="37.5" customHeight="1" thickTop="1" thickBot="1">
      <c r="A119" s="10423"/>
      <c r="B119" s="10616"/>
      <c r="C119" s="10592"/>
      <c r="D119" s="10500"/>
      <c r="E119" s="10500"/>
      <c r="F119" s="10500"/>
      <c r="G119" s="10502"/>
      <c r="H119" s="10500"/>
      <c r="I119" s="10500"/>
      <c r="J119" s="10500"/>
      <c r="K119" s="10500"/>
      <c r="L119" s="10500"/>
      <c r="M119" s="10556"/>
      <c r="N119" s="10556"/>
      <c r="O119" s="10556"/>
      <c r="P119" s="10500"/>
      <c r="Q119" s="10500"/>
      <c r="R119" s="10508"/>
      <c r="S119" s="3538"/>
      <c r="T119" s="5681"/>
      <c r="U119" s="5681"/>
      <c r="V119" s="3495"/>
      <c r="W119" s="5499"/>
      <c r="X119" s="3496"/>
      <c r="Y119" s="5552"/>
      <c r="Z119" s="5552"/>
      <c r="AA119" s="5552"/>
      <c r="AB119" s="5553"/>
      <c r="AC119" s="5779"/>
      <c r="AD119" s="2935"/>
      <c r="AE119" s="3504"/>
      <c r="AF119" s="3666"/>
      <c r="AG119" s="3666"/>
      <c r="AH119" s="10469"/>
      <c r="AI119" s="466"/>
      <c r="AJ119" s="100"/>
      <c r="AK119" s="100"/>
      <c r="AL119" s="100"/>
    </row>
    <row r="120" spans="1:38" ht="37.5" customHeight="1" thickTop="1" thickBot="1">
      <c r="A120" s="10423"/>
      <c r="B120" s="10616"/>
      <c r="C120" s="10602"/>
      <c r="D120" s="10566"/>
      <c r="E120" s="10566"/>
      <c r="F120" s="10566"/>
      <c r="G120" s="10567"/>
      <c r="H120" s="10566"/>
      <c r="I120" s="10566"/>
      <c r="J120" s="10566"/>
      <c r="K120" s="10566"/>
      <c r="L120" s="10566"/>
      <c r="M120" s="10581"/>
      <c r="N120" s="10581"/>
      <c r="O120" s="10581"/>
      <c r="P120" s="10566"/>
      <c r="Q120" s="10566"/>
      <c r="R120" s="10588"/>
      <c r="S120" s="3543"/>
      <c r="T120" s="5696"/>
      <c r="U120" s="5696"/>
      <c r="V120" s="3557"/>
      <c r="W120" s="5503"/>
      <c r="X120" s="3545"/>
      <c r="Y120" s="5558"/>
      <c r="Z120" s="5558"/>
      <c r="AA120" s="5558"/>
      <c r="AB120" s="5559"/>
      <c r="AC120" s="5828"/>
      <c r="AD120" s="2936"/>
      <c r="AE120" s="2933"/>
      <c r="AF120" s="3707"/>
      <c r="AG120" s="3707"/>
      <c r="AH120" s="10624"/>
      <c r="AI120" s="466"/>
      <c r="AJ120" s="100"/>
      <c r="AK120" s="100"/>
      <c r="AL120" s="100"/>
    </row>
    <row r="121" spans="1:38" ht="33" customHeight="1">
      <c r="A121" s="10423"/>
      <c r="B121" s="10616"/>
      <c r="C121" s="10512" t="s">
        <v>127</v>
      </c>
      <c r="D121" s="10444" t="s">
        <v>128</v>
      </c>
      <c r="E121" s="10444" t="s">
        <v>129</v>
      </c>
      <c r="F121" s="10444" t="s">
        <v>268</v>
      </c>
      <c r="G121" s="10451" t="s">
        <v>131</v>
      </c>
      <c r="H121" s="10444" t="s">
        <v>132</v>
      </c>
      <c r="I121" s="10444" t="s">
        <v>214</v>
      </c>
      <c r="J121" s="10444" t="s">
        <v>3896</v>
      </c>
      <c r="K121" s="10444" t="s">
        <v>3897</v>
      </c>
      <c r="L121" s="10444" t="s">
        <v>3898</v>
      </c>
      <c r="M121" s="10561">
        <v>1</v>
      </c>
      <c r="N121" s="10561">
        <v>0</v>
      </c>
      <c r="O121" s="10561">
        <v>0</v>
      </c>
      <c r="P121" s="10611" t="s">
        <v>3899</v>
      </c>
      <c r="Q121" s="10444" t="s">
        <v>3900</v>
      </c>
      <c r="R121" s="10449" t="s">
        <v>3854</v>
      </c>
      <c r="S121" s="3772" t="s">
        <v>15</v>
      </c>
      <c r="T121" s="5689">
        <v>570201</v>
      </c>
      <c r="U121" s="5689"/>
      <c r="V121" s="3801" t="s">
        <v>894</v>
      </c>
      <c r="W121" s="5504"/>
      <c r="X121" s="3658"/>
      <c r="Y121" s="5560"/>
      <c r="Z121" s="5560"/>
      <c r="AA121" s="5560"/>
      <c r="AB121" s="7988">
        <f>SUM(AA122:AA123)</f>
        <v>11501.33</v>
      </c>
      <c r="AC121" s="5822" t="s">
        <v>18</v>
      </c>
      <c r="AD121" s="3720"/>
      <c r="AE121" s="3721"/>
      <c r="AF121" s="3660"/>
      <c r="AG121" s="3660"/>
      <c r="AH121" s="10468" t="s">
        <v>3901</v>
      </c>
      <c r="AI121" s="466"/>
      <c r="AJ121" s="100"/>
      <c r="AK121" s="100"/>
      <c r="AL121" s="100"/>
    </row>
    <row r="122" spans="1:38" ht="33" customHeight="1">
      <c r="A122" s="10423"/>
      <c r="B122" s="10616"/>
      <c r="C122" s="10592"/>
      <c r="D122" s="10500"/>
      <c r="E122" s="10500"/>
      <c r="F122" s="10500"/>
      <c r="G122" s="10502"/>
      <c r="H122" s="10500"/>
      <c r="I122" s="10500"/>
      <c r="J122" s="10500"/>
      <c r="K122" s="10500"/>
      <c r="L122" s="10500"/>
      <c r="M122" s="10556"/>
      <c r="N122" s="10556"/>
      <c r="O122" s="10556"/>
      <c r="P122" s="10612"/>
      <c r="Q122" s="10500"/>
      <c r="R122" s="10508"/>
      <c r="S122" s="3538"/>
      <c r="T122" s="5681"/>
      <c r="U122" s="5681">
        <v>713310012</v>
      </c>
      <c r="V122" s="3763" t="s">
        <v>3902</v>
      </c>
      <c r="W122" s="5499">
        <v>1</v>
      </c>
      <c r="X122" s="3668" t="s">
        <v>152</v>
      </c>
      <c r="Y122" s="7960">
        <f>11241.33+260</f>
        <v>11501.33</v>
      </c>
      <c r="Z122" s="7960">
        <f>Y122</f>
        <v>11501.33</v>
      </c>
      <c r="AA122" s="7960">
        <f>Z122</f>
        <v>11501.33</v>
      </c>
      <c r="AB122" s="5553"/>
      <c r="AC122" s="5779"/>
      <c r="AD122" s="2935"/>
      <c r="AE122" s="3504" t="s">
        <v>153</v>
      </c>
      <c r="AF122" s="3554" t="s">
        <v>153</v>
      </c>
      <c r="AG122" s="3554" t="s">
        <v>153</v>
      </c>
      <c r="AH122" s="10469"/>
      <c r="AI122" s="466"/>
      <c r="AJ122" s="100"/>
      <c r="AK122" s="100"/>
      <c r="AL122" s="100"/>
    </row>
    <row r="123" spans="1:38" ht="33" customHeight="1">
      <c r="A123" s="10423"/>
      <c r="B123" s="10616"/>
      <c r="C123" s="10592"/>
      <c r="D123" s="10500"/>
      <c r="E123" s="10500"/>
      <c r="F123" s="10500"/>
      <c r="G123" s="10502"/>
      <c r="H123" s="10500"/>
      <c r="I123" s="10500"/>
      <c r="J123" s="10500"/>
      <c r="K123" s="10500"/>
      <c r="L123" s="10500"/>
      <c r="M123" s="10556"/>
      <c r="N123" s="10556"/>
      <c r="O123" s="10556"/>
      <c r="P123" s="10612"/>
      <c r="Q123" s="10500"/>
      <c r="R123" s="10508"/>
      <c r="S123" s="3541"/>
      <c r="T123" s="5682"/>
      <c r="U123" s="5681">
        <v>4476000112</v>
      </c>
      <c r="V123" s="7922" t="s">
        <v>3903</v>
      </c>
      <c r="W123" s="7923">
        <v>0</v>
      </c>
      <c r="X123" s="7924" t="s">
        <v>152</v>
      </c>
      <c r="Y123" s="7925">
        <v>8767.3700000000008</v>
      </c>
      <c r="Z123" s="7925">
        <f>+W123*Y123</f>
        <v>0</v>
      </c>
      <c r="AA123" s="7925">
        <f>+Z123*1.12</f>
        <v>0</v>
      </c>
      <c r="AB123" s="5553"/>
      <c r="AC123" s="5779"/>
      <c r="AD123" s="2935"/>
      <c r="AE123" s="3504"/>
      <c r="AF123" s="3666" t="s">
        <v>153</v>
      </c>
      <c r="AG123" s="3666"/>
      <c r="AH123" s="10469"/>
      <c r="AI123" s="466"/>
      <c r="AJ123" s="100"/>
      <c r="AK123" s="100"/>
      <c r="AL123" s="100"/>
    </row>
    <row r="124" spans="1:38" ht="33" customHeight="1">
      <c r="A124" s="10423"/>
      <c r="B124" s="10616"/>
      <c r="C124" s="10592"/>
      <c r="D124" s="10500"/>
      <c r="E124" s="10500"/>
      <c r="F124" s="10500"/>
      <c r="G124" s="10502"/>
      <c r="H124" s="10500"/>
      <c r="I124" s="10500"/>
      <c r="J124" s="10500"/>
      <c r="K124" s="10500"/>
      <c r="L124" s="10500"/>
      <c r="M124" s="10556"/>
      <c r="N124" s="10556"/>
      <c r="O124" s="10556"/>
      <c r="P124" s="10612"/>
      <c r="Q124" s="10500"/>
      <c r="R124" s="10508"/>
      <c r="S124" s="3770" t="s">
        <v>15</v>
      </c>
      <c r="T124" s="5682">
        <v>570102</v>
      </c>
      <c r="U124" s="5682"/>
      <c r="V124" s="3796" t="s">
        <v>680</v>
      </c>
      <c r="W124" s="5499"/>
      <c r="X124" s="3496"/>
      <c r="Y124" s="5552"/>
      <c r="Z124" s="5552"/>
      <c r="AA124" s="5552"/>
      <c r="AB124" s="7962">
        <f>SUM(AA125:AA127)</f>
        <v>51300</v>
      </c>
      <c r="AC124" s="5779" t="s">
        <v>18</v>
      </c>
      <c r="AD124" s="2935"/>
      <c r="AE124" s="3504"/>
      <c r="AF124" s="3666"/>
      <c r="AG124" s="3666"/>
      <c r="AH124" s="10469"/>
      <c r="AI124" s="466"/>
      <c r="AJ124" s="100"/>
      <c r="AK124" s="100"/>
      <c r="AL124" s="100"/>
    </row>
    <row r="125" spans="1:38" ht="33" customHeight="1">
      <c r="A125" s="10423"/>
      <c r="B125" s="10616"/>
      <c r="C125" s="10593"/>
      <c r="D125" s="10501"/>
      <c r="E125" s="10501"/>
      <c r="F125" s="10501"/>
      <c r="G125" s="10503"/>
      <c r="H125" s="10501"/>
      <c r="I125" s="10501"/>
      <c r="J125" s="10501"/>
      <c r="K125" s="10501"/>
      <c r="L125" s="10501"/>
      <c r="M125" s="10557"/>
      <c r="N125" s="10557"/>
      <c r="O125" s="10557"/>
      <c r="P125" s="10613"/>
      <c r="Q125" s="10501"/>
      <c r="R125" s="10509"/>
      <c r="S125" s="3770"/>
      <c r="T125" s="5682"/>
      <c r="U125" s="5682"/>
      <c r="V125" s="3763" t="s">
        <v>3904</v>
      </c>
      <c r="W125" s="5499">
        <v>1</v>
      </c>
      <c r="X125" s="3668" t="s">
        <v>152</v>
      </c>
      <c r="Y125" s="7960">
        <f>3211.32</f>
        <v>3211.32</v>
      </c>
      <c r="Z125" s="7960">
        <f>+W125*Y125</f>
        <v>3211.32</v>
      </c>
      <c r="AA125" s="7960">
        <f>Z125</f>
        <v>3211.32</v>
      </c>
      <c r="AB125" s="5553"/>
      <c r="AC125" s="5779"/>
      <c r="AD125" s="2935"/>
      <c r="AE125" s="3504"/>
      <c r="AF125" s="3666"/>
      <c r="AG125" s="3666"/>
      <c r="AH125" s="10623"/>
      <c r="AI125" s="466"/>
      <c r="AJ125" s="100"/>
      <c r="AK125" s="100"/>
      <c r="AL125" s="100"/>
    </row>
    <row r="126" spans="1:38" ht="33" customHeight="1">
      <c r="A126" s="10423"/>
      <c r="B126" s="10616"/>
      <c r="C126" s="10593"/>
      <c r="D126" s="10501"/>
      <c r="E126" s="10501"/>
      <c r="F126" s="10501"/>
      <c r="G126" s="10503"/>
      <c r="H126" s="10501"/>
      <c r="I126" s="10501"/>
      <c r="J126" s="10501"/>
      <c r="K126" s="10501"/>
      <c r="L126" s="10501"/>
      <c r="M126" s="10557"/>
      <c r="N126" s="10557"/>
      <c r="O126" s="10557"/>
      <c r="P126" s="10613"/>
      <c r="Q126" s="10501"/>
      <c r="R126" s="10509"/>
      <c r="S126" s="3770"/>
      <c r="T126" s="5682"/>
      <c r="U126" s="5682"/>
      <c r="V126" s="3763" t="s">
        <v>3905</v>
      </c>
      <c r="W126" s="5499">
        <v>1</v>
      </c>
      <c r="X126" s="3668" t="s">
        <v>152</v>
      </c>
      <c r="Y126" s="7960">
        <v>1788.68</v>
      </c>
      <c r="Z126" s="7960">
        <f>+W126*Y126</f>
        <v>1788.68</v>
      </c>
      <c r="AA126" s="7960">
        <f>Z126</f>
        <v>1788.68</v>
      </c>
      <c r="AB126" s="5553"/>
      <c r="AC126" s="5779"/>
      <c r="AD126" s="2935"/>
      <c r="AE126" s="3504"/>
      <c r="AF126" s="3666"/>
      <c r="AG126" s="3666"/>
      <c r="AH126" s="10623"/>
      <c r="AI126" s="466"/>
      <c r="AJ126" s="100"/>
      <c r="AK126" s="100"/>
      <c r="AL126" s="100"/>
    </row>
    <row r="127" spans="1:38" ht="33" customHeight="1">
      <c r="A127" s="10423"/>
      <c r="B127" s="10616"/>
      <c r="C127" s="10602"/>
      <c r="D127" s="10566"/>
      <c r="E127" s="10566"/>
      <c r="F127" s="10566"/>
      <c r="G127" s="10567"/>
      <c r="H127" s="10566"/>
      <c r="I127" s="10566"/>
      <c r="J127" s="10566"/>
      <c r="K127" s="10566"/>
      <c r="L127" s="10566"/>
      <c r="M127" s="10581"/>
      <c r="N127" s="10581"/>
      <c r="O127" s="10581"/>
      <c r="P127" s="10614"/>
      <c r="Q127" s="10566"/>
      <c r="R127" s="10588"/>
      <c r="S127" s="3538"/>
      <c r="T127" s="5681"/>
      <c r="U127" s="5681"/>
      <c r="V127" s="8505" t="s">
        <v>3906</v>
      </c>
      <c r="W127" s="8506">
        <v>1</v>
      </c>
      <c r="X127" s="8506" t="s">
        <v>1288</v>
      </c>
      <c r="Y127" s="7960">
        <v>46300</v>
      </c>
      <c r="Z127" s="7960">
        <f>Y127</f>
        <v>46300</v>
      </c>
      <c r="AA127" s="7960">
        <f>Z127</f>
        <v>46300</v>
      </c>
      <c r="AB127" s="5553"/>
      <c r="AC127" s="5779"/>
      <c r="AD127" s="2935"/>
      <c r="AE127" s="3504" t="s">
        <v>153</v>
      </c>
      <c r="AF127" s="3666"/>
      <c r="AG127" s="3666"/>
      <c r="AH127" s="10624"/>
      <c r="AI127" s="466"/>
      <c r="AJ127" s="100"/>
      <c r="AK127" s="100"/>
      <c r="AL127" s="100"/>
    </row>
    <row r="128" spans="1:38" ht="34.5" customHeight="1" thickTop="1" thickBot="1">
      <c r="A128" s="10423"/>
      <c r="B128" s="10616"/>
      <c r="C128" s="10512" t="s">
        <v>127</v>
      </c>
      <c r="D128" s="10444" t="s">
        <v>128</v>
      </c>
      <c r="E128" s="10444" t="s">
        <v>129</v>
      </c>
      <c r="F128" s="10444" t="s">
        <v>268</v>
      </c>
      <c r="G128" s="10451" t="s">
        <v>131</v>
      </c>
      <c r="H128" s="10444" t="s">
        <v>132</v>
      </c>
      <c r="I128" s="10444" t="s">
        <v>214</v>
      </c>
      <c r="J128" s="10444" t="s">
        <v>3907</v>
      </c>
      <c r="K128" s="10444" t="s">
        <v>3908</v>
      </c>
      <c r="L128" s="10444" t="s">
        <v>3551</v>
      </c>
      <c r="M128" s="10561">
        <v>0</v>
      </c>
      <c r="N128" s="10561">
        <v>0</v>
      </c>
      <c r="O128" s="10561">
        <v>0</v>
      </c>
      <c r="P128" s="10444" t="s">
        <v>3551</v>
      </c>
      <c r="Q128" s="10444" t="s">
        <v>3551</v>
      </c>
      <c r="R128" s="10449" t="s">
        <v>3551</v>
      </c>
      <c r="S128" s="3776"/>
      <c r="T128" s="5684"/>
      <c r="U128" s="5684"/>
      <c r="V128" s="3762"/>
      <c r="W128" s="5502"/>
      <c r="X128" s="3709"/>
      <c r="Y128" s="5556"/>
      <c r="Z128" s="5556"/>
      <c r="AA128" s="5556"/>
      <c r="AB128" s="5557"/>
      <c r="AC128" s="5780"/>
      <c r="AD128" s="2934"/>
      <c r="AE128" s="2930"/>
      <c r="AF128" s="3724"/>
      <c r="AG128" s="3724"/>
      <c r="AH128" s="10464" t="s">
        <v>3808</v>
      </c>
      <c r="AI128" s="466"/>
      <c r="AJ128" s="100"/>
      <c r="AK128" s="100"/>
      <c r="AL128" s="100"/>
    </row>
    <row r="129" spans="1:38" ht="34.5" customHeight="1" thickTop="1" thickBot="1">
      <c r="A129" s="10423"/>
      <c r="B129" s="10616"/>
      <c r="C129" s="10592"/>
      <c r="D129" s="10500"/>
      <c r="E129" s="10500"/>
      <c r="F129" s="10500"/>
      <c r="G129" s="10502"/>
      <c r="H129" s="10500"/>
      <c r="I129" s="10500"/>
      <c r="J129" s="10500"/>
      <c r="K129" s="10500"/>
      <c r="L129" s="10500"/>
      <c r="M129" s="10556"/>
      <c r="N129" s="10556"/>
      <c r="O129" s="10556"/>
      <c r="P129" s="10500"/>
      <c r="Q129" s="10500"/>
      <c r="R129" s="10508"/>
      <c r="S129" s="3538"/>
      <c r="T129" s="5681"/>
      <c r="U129" s="5681"/>
      <c r="V129" s="3495"/>
      <c r="W129" s="5499"/>
      <c r="X129" s="3496"/>
      <c r="Y129" s="5552"/>
      <c r="Z129" s="5553"/>
      <c r="AA129" s="5553"/>
      <c r="AB129" s="5553"/>
      <c r="AC129" s="5779"/>
      <c r="AD129" s="2935"/>
      <c r="AE129" s="3504"/>
      <c r="AF129" s="3666"/>
      <c r="AG129" s="3666"/>
      <c r="AH129" s="10589"/>
      <c r="AI129" s="466"/>
      <c r="AJ129" s="100"/>
      <c r="AK129" s="100"/>
      <c r="AL129" s="100"/>
    </row>
    <row r="130" spans="1:38" ht="34.5" customHeight="1" thickTop="1" thickBot="1">
      <c r="A130" s="10423"/>
      <c r="B130" s="10616"/>
      <c r="C130" s="10592"/>
      <c r="D130" s="10500"/>
      <c r="E130" s="10500"/>
      <c r="F130" s="10500"/>
      <c r="G130" s="10502"/>
      <c r="H130" s="10500"/>
      <c r="I130" s="10500"/>
      <c r="J130" s="10500"/>
      <c r="K130" s="10500"/>
      <c r="L130" s="10500"/>
      <c r="M130" s="10556"/>
      <c r="N130" s="10556"/>
      <c r="O130" s="10556"/>
      <c r="P130" s="10500"/>
      <c r="Q130" s="10500"/>
      <c r="R130" s="10508"/>
      <c r="S130" s="3538"/>
      <c r="T130" s="5681"/>
      <c r="U130" s="5681"/>
      <c r="V130" s="3495"/>
      <c r="W130" s="5499"/>
      <c r="X130" s="3496"/>
      <c r="Y130" s="5552"/>
      <c r="Z130" s="5552"/>
      <c r="AA130" s="5552"/>
      <c r="AB130" s="5553"/>
      <c r="AC130" s="5779"/>
      <c r="AD130" s="2935"/>
      <c r="AE130" s="3504"/>
      <c r="AF130" s="3666"/>
      <c r="AG130" s="3666"/>
      <c r="AH130" s="10589"/>
      <c r="AI130" s="466"/>
      <c r="AJ130" s="100"/>
      <c r="AK130" s="100"/>
      <c r="AL130" s="100"/>
    </row>
    <row r="131" spans="1:38" ht="34.5" customHeight="1" thickTop="1" thickBot="1">
      <c r="A131" s="10423"/>
      <c r="B131" s="10616"/>
      <c r="C131" s="10592"/>
      <c r="D131" s="10500"/>
      <c r="E131" s="10500"/>
      <c r="F131" s="10500"/>
      <c r="G131" s="10502"/>
      <c r="H131" s="10500"/>
      <c r="I131" s="10500"/>
      <c r="J131" s="10500"/>
      <c r="K131" s="10500"/>
      <c r="L131" s="10500"/>
      <c r="M131" s="10556"/>
      <c r="N131" s="10556"/>
      <c r="O131" s="10556"/>
      <c r="P131" s="10500"/>
      <c r="Q131" s="10500"/>
      <c r="R131" s="10508"/>
      <c r="S131" s="3538"/>
      <c r="T131" s="5681"/>
      <c r="U131" s="5681"/>
      <c r="V131" s="3495"/>
      <c r="W131" s="5499"/>
      <c r="X131" s="3496"/>
      <c r="Y131" s="5552"/>
      <c r="Z131" s="5552"/>
      <c r="AA131" s="5552"/>
      <c r="AB131" s="5553"/>
      <c r="AC131" s="5779"/>
      <c r="AD131" s="2935"/>
      <c r="AE131" s="3504"/>
      <c r="AF131" s="3666"/>
      <c r="AG131" s="3666"/>
      <c r="AH131" s="10589"/>
      <c r="AI131" s="466"/>
      <c r="AJ131" s="100"/>
      <c r="AK131" s="100"/>
      <c r="AL131" s="100"/>
    </row>
    <row r="132" spans="1:38" ht="34.5" customHeight="1" thickTop="1" thickBot="1">
      <c r="A132" s="10423"/>
      <c r="B132" s="10616"/>
      <c r="C132" s="10602"/>
      <c r="D132" s="10566"/>
      <c r="E132" s="10566"/>
      <c r="F132" s="10566"/>
      <c r="G132" s="10567"/>
      <c r="H132" s="10566"/>
      <c r="I132" s="10566"/>
      <c r="J132" s="10566"/>
      <c r="K132" s="10566"/>
      <c r="L132" s="10566"/>
      <c r="M132" s="10581"/>
      <c r="N132" s="10581"/>
      <c r="O132" s="10581"/>
      <c r="P132" s="10566"/>
      <c r="Q132" s="10566"/>
      <c r="R132" s="10588"/>
      <c r="S132" s="3543"/>
      <c r="T132" s="5696"/>
      <c r="U132" s="5696"/>
      <c r="V132" s="3557"/>
      <c r="W132" s="5503"/>
      <c r="X132" s="3545"/>
      <c r="Y132" s="5558"/>
      <c r="Z132" s="5558"/>
      <c r="AA132" s="5558"/>
      <c r="AB132" s="5559"/>
      <c r="AC132" s="5828"/>
      <c r="AD132" s="2936"/>
      <c r="AE132" s="2933"/>
      <c r="AF132" s="3707"/>
      <c r="AG132" s="3707"/>
      <c r="AH132" s="10625"/>
      <c r="AI132" s="466"/>
      <c r="AJ132" s="100"/>
      <c r="AK132" s="100"/>
      <c r="AL132" s="100"/>
    </row>
    <row r="133" spans="1:38" ht="34.5" customHeight="1" thickTop="1" thickBot="1">
      <c r="A133" s="10423"/>
      <c r="B133" s="10616"/>
      <c r="C133" s="10512" t="s">
        <v>127</v>
      </c>
      <c r="D133" s="10444" t="s">
        <v>128</v>
      </c>
      <c r="E133" s="10444" t="s">
        <v>129</v>
      </c>
      <c r="F133" s="10444" t="s">
        <v>268</v>
      </c>
      <c r="G133" s="10451" t="s">
        <v>131</v>
      </c>
      <c r="H133" s="10444" t="s">
        <v>132</v>
      </c>
      <c r="I133" s="10444" t="s">
        <v>214</v>
      </c>
      <c r="J133" s="10444" t="s">
        <v>3909</v>
      </c>
      <c r="K133" s="10444" t="s">
        <v>3910</v>
      </c>
      <c r="L133" s="10444" t="s">
        <v>3551</v>
      </c>
      <c r="M133" s="10561">
        <v>0</v>
      </c>
      <c r="N133" s="10561">
        <v>0</v>
      </c>
      <c r="O133" s="10561">
        <v>0</v>
      </c>
      <c r="P133" s="10444" t="s">
        <v>3551</v>
      </c>
      <c r="Q133" s="10444" t="s">
        <v>3551</v>
      </c>
      <c r="R133" s="10449" t="s">
        <v>3551</v>
      </c>
      <c r="S133" s="3767"/>
      <c r="T133" s="5689"/>
      <c r="U133" s="5689"/>
      <c r="V133" s="3758"/>
      <c r="W133" s="5504"/>
      <c r="X133" s="3658"/>
      <c r="Y133" s="5560"/>
      <c r="Z133" s="5561"/>
      <c r="AA133" s="5561"/>
      <c r="AB133" s="5561"/>
      <c r="AC133" s="5822"/>
      <c r="AD133" s="3720"/>
      <c r="AE133" s="3721"/>
      <c r="AF133" s="3660"/>
      <c r="AG133" s="3660"/>
      <c r="AH133" s="10464" t="s">
        <v>3808</v>
      </c>
      <c r="AI133" s="466"/>
      <c r="AJ133" s="100"/>
      <c r="AK133" s="100"/>
      <c r="AL133" s="100"/>
    </row>
    <row r="134" spans="1:38" ht="34.5" customHeight="1" thickTop="1" thickBot="1">
      <c r="A134" s="10423"/>
      <c r="B134" s="10616"/>
      <c r="C134" s="10592"/>
      <c r="D134" s="10500"/>
      <c r="E134" s="10500"/>
      <c r="F134" s="10500"/>
      <c r="G134" s="10502"/>
      <c r="H134" s="10500"/>
      <c r="I134" s="10500"/>
      <c r="J134" s="10500"/>
      <c r="K134" s="10500"/>
      <c r="L134" s="10500"/>
      <c r="M134" s="10556"/>
      <c r="N134" s="10556"/>
      <c r="O134" s="10556"/>
      <c r="P134" s="10500"/>
      <c r="Q134" s="10500"/>
      <c r="R134" s="10508"/>
      <c r="S134" s="3538"/>
      <c r="T134" s="5681"/>
      <c r="U134" s="5681"/>
      <c r="V134" s="3495"/>
      <c r="W134" s="5499"/>
      <c r="X134" s="3496"/>
      <c r="Y134" s="5552"/>
      <c r="Z134" s="5552"/>
      <c r="AA134" s="5552"/>
      <c r="AB134" s="5553"/>
      <c r="AC134" s="5779"/>
      <c r="AD134" s="2935"/>
      <c r="AE134" s="3504"/>
      <c r="AF134" s="3666"/>
      <c r="AG134" s="3666"/>
      <c r="AH134" s="10589"/>
      <c r="AI134" s="466"/>
      <c r="AJ134" s="100"/>
      <c r="AK134" s="100"/>
      <c r="AL134" s="100"/>
    </row>
    <row r="135" spans="1:38" ht="34.5" customHeight="1" thickTop="1" thickBot="1">
      <c r="A135" s="10423"/>
      <c r="B135" s="10616"/>
      <c r="C135" s="10592"/>
      <c r="D135" s="10500"/>
      <c r="E135" s="10500"/>
      <c r="F135" s="10500"/>
      <c r="G135" s="10502"/>
      <c r="H135" s="10500"/>
      <c r="I135" s="10500"/>
      <c r="J135" s="10500"/>
      <c r="K135" s="10500"/>
      <c r="L135" s="10500"/>
      <c r="M135" s="10556"/>
      <c r="N135" s="10556"/>
      <c r="O135" s="10556"/>
      <c r="P135" s="10500"/>
      <c r="Q135" s="10500"/>
      <c r="R135" s="10508"/>
      <c r="S135" s="3538"/>
      <c r="T135" s="5681"/>
      <c r="U135" s="5681"/>
      <c r="V135" s="3495"/>
      <c r="W135" s="5499"/>
      <c r="X135" s="3496"/>
      <c r="Y135" s="5552"/>
      <c r="Z135" s="5552"/>
      <c r="AA135" s="5552"/>
      <c r="AB135" s="5553"/>
      <c r="AC135" s="5779"/>
      <c r="AD135" s="2935"/>
      <c r="AE135" s="3496"/>
      <c r="AF135" s="3666"/>
      <c r="AG135" s="3666"/>
      <c r="AH135" s="10589"/>
      <c r="AI135" s="466"/>
      <c r="AJ135" s="100"/>
      <c r="AK135" s="100"/>
      <c r="AL135" s="100"/>
    </row>
    <row r="136" spans="1:38" ht="34.5" customHeight="1" thickTop="1" thickBot="1">
      <c r="A136" s="10423"/>
      <c r="B136" s="10616"/>
      <c r="C136" s="10592"/>
      <c r="D136" s="10500"/>
      <c r="E136" s="10500"/>
      <c r="F136" s="10500"/>
      <c r="G136" s="10502"/>
      <c r="H136" s="10500"/>
      <c r="I136" s="10500"/>
      <c r="J136" s="10500"/>
      <c r="K136" s="10500"/>
      <c r="L136" s="10500"/>
      <c r="M136" s="10556"/>
      <c r="N136" s="10556"/>
      <c r="O136" s="10556"/>
      <c r="P136" s="10500"/>
      <c r="Q136" s="10500"/>
      <c r="R136" s="10508"/>
      <c r="S136" s="3538"/>
      <c r="T136" s="5681"/>
      <c r="U136" s="5681"/>
      <c r="V136" s="3495"/>
      <c r="W136" s="5499"/>
      <c r="X136" s="3496"/>
      <c r="Y136" s="5552"/>
      <c r="Z136" s="5552"/>
      <c r="AA136" s="5552"/>
      <c r="AB136" s="5553"/>
      <c r="AC136" s="5779"/>
      <c r="AD136" s="2935"/>
      <c r="AE136" s="3496"/>
      <c r="AF136" s="3666"/>
      <c r="AG136" s="3666"/>
      <c r="AH136" s="10589"/>
      <c r="AI136" s="466"/>
      <c r="AJ136" s="100"/>
      <c r="AK136" s="100"/>
      <c r="AL136" s="100"/>
    </row>
    <row r="137" spans="1:38" ht="34.5" customHeight="1" thickTop="1" thickBot="1">
      <c r="A137" s="10423"/>
      <c r="B137" s="10616"/>
      <c r="C137" s="10593"/>
      <c r="D137" s="10501"/>
      <c r="E137" s="10501"/>
      <c r="F137" s="10501"/>
      <c r="G137" s="10503"/>
      <c r="H137" s="10501"/>
      <c r="I137" s="10501"/>
      <c r="J137" s="10501"/>
      <c r="K137" s="10501"/>
      <c r="L137" s="10501"/>
      <c r="M137" s="10557"/>
      <c r="N137" s="10557"/>
      <c r="O137" s="10557"/>
      <c r="P137" s="10501"/>
      <c r="Q137" s="10501"/>
      <c r="R137" s="10509"/>
      <c r="S137" s="3768"/>
      <c r="T137" s="5683"/>
      <c r="U137" s="5683"/>
      <c r="V137" s="3759"/>
      <c r="W137" s="5509"/>
      <c r="X137" s="3714"/>
      <c r="Y137" s="5554"/>
      <c r="Z137" s="5554"/>
      <c r="AA137" s="5554"/>
      <c r="AB137" s="5555"/>
      <c r="AC137" s="5823"/>
      <c r="AD137" s="3726"/>
      <c r="AE137" s="3714"/>
      <c r="AF137" s="3718"/>
      <c r="AG137" s="3718"/>
      <c r="AH137" s="10590"/>
      <c r="AI137" s="466"/>
      <c r="AJ137" s="100"/>
      <c r="AK137" s="100"/>
      <c r="AL137" s="100"/>
    </row>
    <row r="138" spans="1:38" ht="34.5" customHeight="1" thickTop="1" thickBot="1">
      <c r="A138" s="10423"/>
      <c r="B138" s="10616"/>
      <c r="C138" s="10516" t="s">
        <v>127</v>
      </c>
      <c r="D138" s="10433" t="s">
        <v>128</v>
      </c>
      <c r="E138" s="10433" t="s">
        <v>129</v>
      </c>
      <c r="F138" s="10433" t="s">
        <v>268</v>
      </c>
      <c r="G138" s="10442" t="s">
        <v>131</v>
      </c>
      <c r="H138" s="10433" t="s">
        <v>132</v>
      </c>
      <c r="I138" s="10433" t="s">
        <v>214</v>
      </c>
      <c r="J138" s="10433" t="s">
        <v>3911</v>
      </c>
      <c r="K138" s="10433" t="s">
        <v>3912</v>
      </c>
      <c r="L138" s="10433" t="s">
        <v>3551</v>
      </c>
      <c r="M138" s="10555">
        <v>0</v>
      </c>
      <c r="N138" s="10555">
        <v>0</v>
      </c>
      <c r="O138" s="10555">
        <v>0</v>
      </c>
      <c r="P138" s="10433" t="s">
        <v>3551</v>
      </c>
      <c r="Q138" s="10433" t="s">
        <v>3551</v>
      </c>
      <c r="R138" s="10439" t="s">
        <v>3551</v>
      </c>
      <c r="S138" s="3776"/>
      <c r="T138" s="5684"/>
      <c r="U138" s="5684"/>
      <c r="V138" s="3762"/>
      <c r="W138" s="5502"/>
      <c r="X138" s="3709"/>
      <c r="Y138" s="5556"/>
      <c r="Z138" s="5557"/>
      <c r="AA138" s="5557"/>
      <c r="AB138" s="5557"/>
      <c r="AC138" s="5780"/>
      <c r="AD138" s="2934"/>
      <c r="AE138" s="3709"/>
      <c r="AF138" s="3724"/>
      <c r="AG138" s="3724"/>
      <c r="AH138" s="10525" t="s">
        <v>3808</v>
      </c>
      <c r="AI138" s="466"/>
      <c r="AJ138" s="100"/>
      <c r="AK138" s="100"/>
      <c r="AL138" s="100"/>
    </row>
    <row r="139" spans="1:38" ht="34.5" customHeight="1" thickTop="1" thickBot="1">
      <c r="A139" s="10423"/>
      <c r="B139" s="10616"/>
      <c r="C139" s="10592"/>
      <c r="D139" s="10500"/>
      <c r="E139" s="10500"/>
      <c r="F139" s="10500"/>
      <c r="G139" s="10502"/>
      <c r="H139" s="10500"/>
      <c r="I139" s="10500"/>
      <c r="J139" s="10500"/>
      <c r="K139" s="10500"/>
      <c r="L139" s="10500"/>
      <c r="M139" s="10556"/>
      <c r="N139" s="10556"/>
      <c r="O139" s="10556"/>
      <c r="P139" s="10500"/>
      <c r="Q139" s="10500"/>
      <c r="R139" s="10508"/>
      <c r="S139" s="3538"/>
      <c r="T139" s="5681"/>
      <c r="U139" s="5681"/>
      <c r="V139" s="3495"/>
      <c r="W139" s="5499"/>
      <c r="X139" s="3496"/>
      <c r="Y139" s="5552"/>
      <c r="Z139" s="5552"/>
      <c r="AA139" s="5552"/>
      <c r="AB139" s="5553"/>
      <c r="AC139" s="5779"/>
      <c r="AD139" s="2935"/>
      <c r="AE139" s="3496"/>
      <c r="AF139" s="3666"/>
      <c r="AG139" s="3666"/>
      <c r="AH139" s="10589"/>
      <c r="AI139" s="466"/>
      <c r="AJ139" s="100"/>
      <c r="AK139" s="100"/>
      <c r="AL139" s="100"/>
    </row>
    <row r="140" spans="1:38" ht="34.5" customHeight="1" thickTop="1" thickBot="1">
      <c r="A140" s="10423"/>
      <c r="B140" s="10616"/>
      <c r="C140" s="10592"/>
      <c r="D140" s="10500"/>
      <c r="E140" s="10500"/>
      <c r="F140" s="10500"/>
      <c r="G140" s="10502"/>
      <c r="H140" s="10500"/>
      <c r="I140" s="10500"/>
      <c r="J140" s="10500"/>
      <c r="K140" s="10500"/>
      <c r="L140" s="10500"/>
      <c r="M140" s="10556"/>
      <c r="N140" s="10556"/>
      <c r="O140" s="10556"/>
      <c r="P140" s="10500"/>
      <c r="Q140" s="10500"/>
      <c r="R140" s="10508"/>
      <c r="S140" s="3538"/>
      <c r="T140" s="5681"/>
      <c r="U140" s="5681"/>
      <c r="V140" s="3495"/>
      <c r="W140" s="5499"/>
      <c r="X140" s="3496"/>
      <c r="Y140" s="5552"/>
      <c r="Z140" s="5552"/>
      <c r="AA140" s="5552"/>
      <c r="AB140" s="5553"/>
      <c r="AC140" s="5779"/>
      <c r="AD140" s="2935"/>
      <c r="AE140" s="3496"/>
      <c r="AF140" s="3666"/>
      <c r="AG140" s="3666"/>
      <c r="AH140" s="10589"/>
      <c r="AI140" s="466"/>
      <c r="AJ140" s="100"/>
      <c r="AK140" s="100"/>
      <c r="AL140" s="100"/>
    </row>
    <row r="141" spans="1:38" ht="34.5" customHeight="1" thickTop="1" thickBot="1">
      <c r="A141" s="10423"/>
      <c r="B141" s="10616"/>
      <c r="C141" s="10592"/>
      <c r="D141" s="10500"/>
      <c r="E141" s="10500"/>
      <c r="F141" s="10500"/>
      <c r="G141" s="10502"/>
      <c r="H141" s="10500"/>
      <c r="I141" s="10500"/>
      <c r="J141" s="10500"/>
      <c r="K141" s="10500"/>
      <c r="L141" s="10500"/>
      <c r="M141" s="10556"/>
      <c r="N141" s="10556"/>
      <c r="O141" s="10556"/>
      <c r="P141" s="10500"/>
      <c r="Q141" s="10500"/>
      <c r="R141" s="10508"/>
      <c r="S141" s="3538"/>
      <c r="T141" s="5681"/>
      <c r="U141" s="5681"/>
      <c r="V141" s="3495"/>
      <c r="W141" s="5499"/>
      <c r="X141" s="3496"/>
      <c r="Y141" s="5552"/>
      <c r="Z141" s="5552"/>
      <c r="AA141" s="5552"/>
      <c r="AB141" s="5553"/>
      <c r="AC141" s="5779"/>
      <c r="AD141" s="2935"/>
      <c r="AE141" s="3496"/>
      <c r="AF141" s="3666"/>
      <c r="AG141" s="3666"/>
      <c r="AH141" s="10589"/>
      <c r="AI141" s="466"/>
      <c r="AJ141" s="100"/>
      <c r="AK141" s="100"/>
      <c r="AL141" s="100"/>
    </row>
    <row r="142" spans="1:38" ht="34.5" customHeight="1" thickTop="1" thickBot="1">
      <c r="A142" s="10423"/>
      <c r="B142" s="10616"/>
      <c r="C142" s="10593"/>
      <c r="D142" s="10501"/>
      <c r="E142" s="10501"/>
      <c r="F142" s="10501"/>
      <c r="G142" s="10503"/>
      <c r="H142" s="10501"/>
      <c r="I142" s="10501"/>
      <c r="J142" s="10501"/>
      <c r="K142" s="10501"/>
      <c r="L142" s="10501"/>
      <c r="M142" s="10557"/>
      <c r="N142" s="10557"/>
      <c r="O142" s="10557"/>
      <c r="P142" s="10501"/>
      <c r="Q142" s="10501"/>
      <c r="R142" s="10509"/>
      <c r="S142" s="3768"/>
      <c r="T142" s="5683"/>
      <c r="U142" s="5683"/>
      <c r="V142" s="3759"/>
      <c r="W142" s="5509"/>
      <c r="X142" s="3714"/>
      <c r="Y142" s="5554"/>
      <c r="Z142" s="5554"/>
      <c r="AA142" s="5554"/>
      <c r="AB142" s="5555"/>
      <c r="AC142" s="5823"/>
      <c r="AD142" s="3726"/>
      <c r="AE142" s="3714"/>
      <c r="AF142" s="3718"/>
      <c r="AG142" s="3718"/>
      <c r="AH142" s="10590"/>
      <c r="AI142" s="466"/>
      <c r="AJ142" s="100"/>
      <c r="AK142" s="100"/>
      <c r="AL142" s="100"/>
    </row>
    <row r="143" spans="1:38" ht="35.25" customHeight="1" thickTop="1" thickBot="1">
      <c r="A143" s="10423"/>
      <c r="B143" s="10616"/>
      <c r="C143" s="10516" t="s">
        <v>127</v>
      </c>
      <c r="D143" s="10433" t="s">
        <v>128</v>
      </c>
      <c r="E143" s="10433" t="s">
        <v>129</v>
      </c>
      <c r="F143" s="10433" t="s">
        <v>268</v>
      </c>
      <c r="G143" s="10442" t="s">
        <v>131</v>
      </c>
      <c r="H143" s="10433" t="s">
        <v>132</v>
      </c>
      <c r="I143" s="10433" t="s">
        <v>159</v>
      </c>
      <c r="J143" s="10433" t="s">
        <v>3913</v>
      </c>
      <c r="K143" s="10433" t="s">
        <v>3914</v>
      </c>
      <c r="L143" s="10433" t="s">
        <v>3915</v>
      </c>
      <c r="M143" s="10555">
        <v>0</v>
      </c>
      <c r="N143" s="10555">
        <v>1</v>
      </c>
      <c r="O143" s="10555">
        <v>1</v>
      </c>
      <c r="P143" s="10433" t="s">
        <v>3916</v>
      </c>
      <c r="Q143" s="10433" t="s">
        <v>3917</v>
      </c>
      <c r="R143" s="10439" t="s">
        <v>3918</v>
      </c>
      <c r="S143" s="3769" t="s">
        <v>15</v>
      </c>
      <c r="T143" s="5684">
        <v>530301</v>
      </c>
      <c r="U143" s="5684"/>
      <c r="V143" s="3795" t="s">
        <v>27</v>
      </c>
      <c r="W143" s="5502"/>
      <c r="X143" s="3709"/>
      <c r="Y143" s="5556"/>
      <c r="Z143" s="5556"/>
      <c r="AA143" s="5556"/>
      <c r="AB143" s="7402">
        <f>SUM(AA144:AA144)</f>
        <v>11400</v>
      </c>
      <c r="AC143" s="5780" t="s">
        <v>18</v>
      </c>
      <c r="AD143" s="2934"/>
      <c r="AE143" s="3731"/>
      <c r="AF143" s="3732"/>
      <c r="AG143" s="3732"/>
      <c r="AH143" s="10644" t="s">
        <v>3919</v>
      </c>
      <c r="AI143" s="466"/>
      <c r="AJ143" s="100"/>
      <c r="AK143" s="100"/>
      <c r="AL143" s="100"/>
    </row>
    <row r="144" spans="1:38" ht="35.25" customHeight="1" thickTop="1" thickBot="1">
      <c r="A144" s="10423"/>
      <c r="B144" s="10616"/>
      <c r="C144" s="10592"/>
      <c r="D144" s="10500"/>
      <c r="E144" s="10500"/>
      <c r="F144" s="10500"/>
      <c r="G144" s="10502"/>
      <c r="H144" s="10500"/>
      <c r="I144" s="10500"/>
      <c r="J144" s="10500"/>
      <c r="K144" s="10500"/>
      <c r="L144" s="10500"/>
      <c r="M144" s="10556"/>
      <c r="N144" s="10556"/>
      <c r="O144" s="10556"/>
      <c r="P144" s="10500"/>
      <c r="Q144" s="10500"/>
      <c r="R144" s="10508"/>
      <c r="S144" s="3538"/>
      <c r="T144" s="5681"/>
      <c r="U144" s="7360">
        <v>661100011</v>
      </c>
      <c r="V144" s="3804" t="s">
        <v>3920</v>
      </c>
      <c r="W144" s="5507">
        <v>1</v>
      </c>
      <c r="X144" s="3671" t="s">
        <v>152</v>
      </c>
      <c r="Y144" s="5795">
        <f>(11600-200)/1.12</f>
        <v>10178.571428571428</v>
      </c>
      <c r="Z144" s="5795">
        <f>+W144*Y144</f>
        <v>10178.571428571428</v>
      </c>
      <c r="AA144" s="5795">
        <f>+Z144*1.12</f>
        <v>11400</v>
      </c>
      <c r="AB144" s="5553"/>
      <c r="AC144" s="5779"/>
      <c r="AD144" s="2935"/>
      <c r="AE144" s="3678" t="s">
        <v>153</v>
      </c>
      <c r="AF144" s="3675" t="s">
        <v>153</v>
      </c>
      <c r="AG144" s="3675" t="s">
        <v>153</v>
      </c>
      <c r="AH144" s="10645"/>
      <c r="AI144" s="466"/>
      <c r="AJ144" s="100"/>
      <c r="AK144" s="100"/>
      <c r="AL144" s="100"/>
    </row>
    <row r="145" spans="1:38" ht="35.25" customHeight="1" thickTop="1" thickBot="1">
      <c r="A145" s="10423"/>
      <c r="B145" s="10616"/>
      <c r="C145" s="10592"/>
      <c r="D145" s="10500"/>
      <c r="E145" s="10500"/>
      <c r="F145" s="10500"/>
      <c r="G145" s="10502"/>
      <c r="H145" s="10500"/>
      <c r="I145" s="10500"/>
      <c r="J145" s="10500"/>
      <c r="K145" s="10500"/>
      <c r="L145" s="10500"/>
      <c r="M145" s="10556"/>
      <c r="N145" s="10556"/>
      <c r="O145" s="10556"/>
      <c r="P145" s="10500"/>
      <c r="Q145" s="10500"/>
      <c r="R145" s="10508"/>
      <c r="S145" s="3770" t="s">
        <v>15</v>
      </c>
      <c r="T145" s="5682">
        <v>530302</v>
      </c>
      <c r="U145" s="5682"/>
      <c r="V145" s="3796" t="s">
        <v>1507</v>
      </c>
      <c r="W145" s="5508"/>
      <c r="X145" s="3669"/>
      <c r="Y145" s="5553"/>
      <c r="Z145" s="5553"/>
      <c r="AA145" s="5552"/>
      <c r="AB145" s="5796">
        <f>+SUM(AA146:AA146)</f>
        <v>2000</v>
      </c>
      <c r="AC145" s="5779" t="s">
        <v>18</v>
      </c>
      <c r="AD145" s="2935"/>
      <c r="AE145" s="3678"/>
      <c r="AF145" s="3675"/>
      <c r="AG145" s="3675"/>
      <c r="AH145" s="10645"/>
      <c r="AI145" s="466"/>
      <c r="AJ145" s="100"/>
      <c r="AK145" s="100"/>
      <c r="AL145" s="100"/>
    </row>
    <row r="146" spans="1:38" ht="35.25" customHeight="1" thickTop="1" thickBot="1">
      <c r="A146" s="10423"/>
      <c r="B146" s="10616"/>
      <c r="C146" s="10592"/>
      <c r="D146" s="10500"/>
      <c r="E146" s="10500"/>
      <c r="F146" s="10500"/>
      <c r="G146" s="10502"/>
      <c r="H146" s="10500"/>
      <c r="I146" s="10500"/>
      <c r="J146" s="10500"/>
      <c r="K146" s="10500"/>
      <c r="L146" s="10500"/>
      <c r="M146" s="10556"/>
      <c r="N146" s="10556"/>
      <c r="O146" s="10556"/>
      <c r="P146" s="10500"/>
      <c r="Q146" s="10500"/>
      <c r="R146" s="10508"/>
      <c r="S146" s="3538"/>
      <c r="T146" s="5681"/>
      <c r="U146" s="7360">
        <v>661100011</v>
      </c>
      <c r="V146" s="3804" t="s">
        <v>1812</v>
      </c>
      <c r="W146" s="5507">
        <v>1</v>
      </c>
      <c r="X146" s="3671" t="s">
        <v>152</v>
      </c>
      <c r="Y146" s="5795">
        <f>2000/1.12</f>
        <v>1785.7142857142856</v>
      </c>
      <c r="Z146" s="5795">
        <f>+W146*Y146</f>
        <v>1785.7142857142856</v>
      </c>
      <c r="AA146" s="5795">
        <f>+Z146*1.12</f>
        <v>2000</v>
      </c>
      <c r="AB146" s="5553"/>
      <c r="AC146" s="5779"/>
      <c r="AD146" s="2935"/>
      <c r="AE146" s="3678"/>
      <c r="AF146" s="3675"/>
      <c r="AG146" s="3675" t="s">
        <v>153</v>
      </c>
      <c r="AH146" s="10645"/>
      <c r="AI146" s="466"/>
      <c r="AJ146" s="100"/>
      <c r="AK146" s="100"/>
      <c r="AL146" s="100"/>
    </row>
    <row r="147" spans="1:38" ht="35.25" customHeight="1" thickTop="1" thickBot="1">
      <c r="A147" s="10423"/>
      <c r="B147" s="10616"/>
      <c r="C147" s="10602"/>
      <c r="D147" s="10566"/>
      <c r="E147" s="10566"/>
      <c r="F147" s="10566"/>
      <c r="G147" s="10567"/>
      <c r="H147" s="10566"/>
      <c r="I147" s="10566"/>
      <c r="J147" s="10566"/>
      <c r="K147" s="10566"/>
      <c r="L147" s="10566"/>
      <c r="M147" s="10581"/>
      <c r="N147" s="10581"/>
      <c r="O147" s="10581"/>
      <c r="P147" s="10566"/>
      <c r="Q147" s="10566"/>
      <c r="R147" s="10588"/>
      <c r="S147" s="3543"/>
      <c r="T147" s="5696"/>
      <c r="U147" s="5696"/>
      <c r="V147" s="3807"/>
      <c r="W147" s="7382"/>
      <c r="X147" s="3733"/>
      <c r="Y147" s="7403"/>
      <c r="Z147" s="7403"/>
      <c r="AA147" s="7403"/>
      <c r="AB147" s="5559"/>
      <c r="AC147" s="5828"/>
      <c r="AD147" s="2936"/>
      <c r="AE147" s="3701"/>
      <c r="AF147" s="3734"/>
      <c r="AG147" s="3704"/>
      <c r="AH147" s="10646"/>
      <c r="AI147" s="466"/>
      <c r="AJ147" s="100"/>
      <c r="AK147" s="100"/>
      <c r="AL147" s="100"/>
    </row>
    <row r="148" spans="1:38" ht="31.5" customHeight="1" thickTop="1" thickBot="1">
      <c r="A148" s="10423"/>
      <c r="B148" s="10616"/>
      <c r="C148" s="10512" t="s">
        <v>127</v>
      </c>
      <c r="D148" s="10444" t="s">
        <v>128</v>
      </c>
      <c r="E148" s="10444" t="s">
        <v>129</v>
      </c>
      <c r="F148" s="10444" t="s">
        <v>268</v>
      </c>
      <c r="G148" s="10451" t="s">
        <v>131</v>
      </c>
      <c r="H148" s="10444" t="s">
        <v>132</v>
      </c>
      <c r="I148" s="10444" t="s">
        <v>214</v>
      </c>
      <c r="J148" s="10444" t="s">
        <v>3921</v>
      </c>
      <c r="K148" s="10444" t="s">
        <v>3922</v>
      </c>
      <c r="L148" s="10444" t="s">
        <v>3923</v>
      </c>
      <c r="M148" s="10561">
        <v>0</v>
      </c>
      <c r="N148" s="10561">
        <v>0</v>
      </c>
      <c r="O148" s="10561">
        <v>1</v>
      </c>
      <c r="P148" s="10444" t="s">
        <v>3924</v>
      </c>
      <c r="Q148" s="10444" t="s">
        <v>3925</v>
      </c>
      <c r="R148" s="10449" t="s">
        <v>3926</v>
      </c>
      <c r="S148" s="3767"/>
      <c r="T148" s="5689"/>
      <c r="U148" s="5689"/>
      <c r="V148" s="3758"/>
      <c r="W148" s="5504"/>
      <c r="X148" s="3658"/>
      <c r="Y148" s="5560"/>
      <c r="Z148" s="5561"/>
      <c r="AA148" s="5561"/>
      <c r="AB148" s="5561"/>
      <c r="AC148" s="5822"/>
      <c r="AD148" s="3735"/>
      <c r="AE148" s="3729"/>
      <c r="AF148" s="3730"/>
      <c r="AG148" s="3730"/>
      <c r="AH148" s="10636" t="s">
        <v>3927</v>
      </c>
      <c r="AI148" s="466"/>
      <c r="AJ148" s="100"/>
      <c r="AK148" s="100"/>
      <c r="AL148" s="100"/>
    </row>
    <row r="149" spans="1:38" ht="31.5" customHeight="1" thickTop="1" thickBot="1">
      <c r="A149" s="10423"/>
      <c r="B149" s="10616"/>
      <c r="C149" s="10592"/>
      <c r="D149" s="10500"/>
      <c r="E149" s="10500"/>
      <c r="F149" s="10500"/>
      <c r="G149" s="10502"/>
      <c r="H149" s="10500"/>
      <c r="I149" s="10500"/>
      <c r="J149" s="10500"/>
      <c r="K149" s="10500"/>
      <c r="L149" s="10500"/>
      <c r="M149" s="10556"/>
      <c r="N149" s="10556"/>
      <c r="O149" s="10556"/>
      <c r="P149" s="10500"/>
      <c r="Q149" s="10500"/>
      <c r="R149" s="10508"/>
      <c r="S149" s="3538"/>
      <c r="T149" s="5681"/>
      <c r="U149" s="5681"/>
      <c r="V149" s="3495"/>
      <c r="W149" s="5499"/>
      <c r="X149" s="3496"/>
      <c r="Y149" s="5552"/>
      <c r="Z149" s="5552"/>
      <c r="AA149" s="5552"/>
      <c r="AB149" s="5553"/>
      <c r="AC149" s="5779"/>
      <c r="AD149" s="3679"/>
      <c r="AE149" s="3678"/>
      <c r="AF149" s="3675"/>
      <c r="AG149" s="3675"/>
      <c r="AH149" s="10637"/>
      <c r="AI149" s="466"/>
      <c r="AJ149" s="100"/>
      <c r="AK149" s="100"/>
      <c r="AL149" s="100"/>
    </row>
    <row r="150" spans="1:38" ht="31.5" customHeight="1" thickTop="1" thickBot="1">
      <c r="A150" s="10423"/>
      <c r="B150" s="10616"/>
      <c r="C150" s="10592"/>
      <c r="D150" s="10500"/>
      <c r="E150" s="10500"/>
      <c r="F150" s="10500"/>
      <c r="G150" s="10502"/>
      <c r="H150" s="10500"/>
      <c r="I150" s="10500"/>
      <c r="J150" s="10500"/>
      <c r="K150" s="10500"/>
      <c r="L150" s="10500"/>
      <c r="M150" s="10556"/>
      <c r="N150" s="10556"/>
      <c r="O150" s="10556"/>
      <c r="P150" s="10500"/>
      <c r="Q150" s="10500"/>
      <c r="R150" s="10508"/>
      <c r="S150" s="3777"/>
      <c r="T150" s="5731"/>
      <c r="U150" s="5731"/>
      <c r="V150" s="3765"/>
      <c r="W150" s="5510"/>
      <c r="X150" s="3678"/>
      <c r="Y150" s="5803"/>
      <c r="Z150" s="5803"/>
      <c r="AA150" s="5803"/>
      <c r="AB150" s="5809"/>
      <c r="AC150" s="5836"/>
      <c r="AD150" s="3679"/>
      <c r="AE150" s="3678"/>
      <c r="AF150" s="3675"/>
      <c r="AG150" s="3675"/>
      <c r="AH150" s="10637"/>
      <c r="AI150" s="466"/>
      <c r="AJ150" s="100"/>
      <c r="AK150" s="100"/>
      <c r="AL150" s="100"/>
    </row>
    <row r="151" spans="1:38" ht="31.5" customHeight="1" thickTop="1" thickBot="1">
      <c r="A151" s="10423"/>
      <c r="B151" s="10616"/>
      <c r="C151" s="10592"/>
      <c r="D151" s="10500"/>
      <c r="E151" s="10500"/>
      <c r="F151" s="10500"/>
      <c r="G151" s="10502"/>
      <c r="H151" s="10500"/>
      <c r="I151" s="10500"/>
      <c r="J151" s="10500"/>
      <c r="K151" s="10500"/>
      <c r="L151" s="10500"/>
      <c r="M151" s="10556"/>
      <c r="N151" s="10556"/>
      <c r="O151" s="10556"/>
      <c r="P151" s="10500"/>
      <c r="Q151" s="10500"/>
      <c r="R151" s="10508"/>
      <c r="S151" s="3777"/>
      <c r="T151" s="5731"/>
      <c r="U151" s="5731"/>
      <c r="V151" s="3765"/>
      <c r="W151" s="5510"/>
      <c r="X151" s="3678"/>
      <c r="Y151" s="5803"/>
      <c r="Z151" s="5803"/>
      <c r="AA151" s="5803"/>
      <c r="AB151" s="5809"/>
      <c r="AC151" s="5836"/>
      <c r="AD151" s="3679"/>
      <c r="AE151" s="3678"/>
      <c r="AF151" s="3675"/>
      <c r="AG151" s="3675"/>
      <c r="AH151" s="10637"/>
      <c r="AI151" s="466"/>
      <c r="AJ151" s="100"/>
      <c r="AK151" s="100"/>
      <c r="AL151" s="100"/>
    </row>
    <row r="152" spans="1:38" ht="31.5" customHeight="1" thickTop="1" thickBot="1">
      <c r="A152" s="10423"/>
      <c r="B152" s="10616"/>
      <c r="C152" s="10602"/>
      <c r="D152" s="10566"/>
      <c r="E152" s="10566"/>
      <c r="F152" s="10566"/>
      <c r="G152" s="10567"/>
      <c r="H152" s="10566"/>
      <c r="I152" s="10566"/>
      <c r="J152" s="10566"/>
      <c r="K152" s="10566"/>
      <c r="L152" s="10566"/>
      <c r="M152" s="10581"/>
      <c r="N152" s="10581"/>
      <c r="O152" s="10581"/>
      <c r="P152" s="10566"/>
      <c r="Q152" s="10566"/>
      <c r="R152" s="10588"/>
      <c r="S152" s="3778"/>
      <c r="T152" s="5727"/>
      <c r="U152" s="5727"/>
      <c r="V152" s="3766"/>
      <c r="W152" s="5511"/>
      <c r="X152" s="3701"/>
      <c r="Y152" s="5806"/>
      <c r="Z152" s="5806"/>
      <c r="AA152" s="5806"/>
      <c r="AB152" s="5807"/>
      <c r="AC152" s="5835"/>
      <c r="AD152" s="3703"/>
      <c r="AE152" s="3701"/>
      <c r="AF152" s="3704"/>
      <c r="AG152" s="3704"/>
      <c r="AH152" s="10638"/>
      <c r="AI152" s="466"/>
      <c r="AJ152" s="100"/>
      <c r="AK152" s="100"/>
      <c r="AL152" s="100"/>
    </row>
    <row r="153" spans="1:38" s="4835" customFormat="1" ht="22.5" customHeight="1">
      <c r="A153" s="10423"/>
      <c r="B153" s="10616"/>
      <c r="C153" s="10621"/>
      <c r="D153" s="10621"/>
      <c r="E153" s="10621"/>
      <c r="F153" s="10621"/>
      <c r="G153" s="10621"/>
      <c r="H153" s="10621"/>
      <c r="I153" s="10621"/>
      <c r="J153" s="10621"/>
      <c r="K153" s="10621"/>
      <c r="L153" s="10621"/>
      <c r="M153" s="10621"/>
      <c r="N153" s="10621"/>
      <c r="O153" s="10621"/>
      <c r="P153" s="10621"/>
      <c r="Q153" s="10621"/>
      <c r="R153" s="10622"/>
      <c r="S153" s="9197" t="s">
        <v>3928</v>
      </c>
      <c r="T153" s="9197"/>
      <c r="U153" s="9197"/>
      <c r="V153" s="9197"/>
      <c r="W153" s="9197"/>
      <c r="X153" s="9197"/>
      <c r="Y153" s="9197"/>
      <c r="Z153" s="9197"/>
      <c r="AA153" s="6112" t="s">
        <v>292</v>
      </c>
      <c r="AB153" s="7427">
        <f>SUM(AB9:AB152)</f>
        <v>2059377.7759968</v>
      </c>
      <c r="AC153" s="6104"/>
      <c r="AD153" s="6109"/>
      <c r="AE153" s="10639"/>
      <c r="AF153" s="10639"/>
      <c r="AG153" s="10639"/>
      <c r="AH153" s="10640"/>
      <c r="AI153" s="6110"/>
      <c r="AJ153" s="6111"/>
      <c r="AK153" s="6111"/>
      <c r="AL153" s="6111"/>
    </row>
    <row r="154" spans="1:38" ht="31.5" customHeight="1">
      <c r="A154" s="10423"/>
      <c r="B154" s="10616" t="s">
        <v>3929</v>
      </c>
      <c r="C154" s="10518" t="s">
        <v>127</v>
      </c>
      <c r="D154" s="10452" t="s">
        <v>128</v>
      </c>
      <c r="E154" s="10452" t="s">
        <v>129</v>
      </c>
      <c r="F154" s="10452" t="s">
        <v>130</v>
      </c>
      <c r="G154" s="10454" t="s">
        <v>131</v>
      </c>
      <c r="H154" s="10452" t="s">
        <v>132</v>
      </c>
      <c r="I154" s="10452" t="s">
        <v>159</v>
      </c>
      <c r="J154" s="10452" t="s">
        <v>3930</v>
      </c>
      <c r="K154" s="10452" t="s">
        <v>3931</v>
      </c>
      <c r="L154" s="10477" t="s">
        <v>3932</v>
      </c>
      <c r="M154" s="10587">
        <v>1</v>
      </c>
      <c r="N154" s="10587">
        <v>0</v>
      </c>
      <c r="O154" s="10587">
        <v>0</v>
      </c>
      <c r="P154" s="10452" t="s">
        <v>3933</v>
      </c>
      <c r="Q154" s="10452" t="s">
        <v>3934</v>
      </c>
      <c r="R154" s="10453" t="s">
        <v>3935</v>
      </c>
      <c r="S154" s="8235" t="s">
        <v>15</v>
      </c>
      <c r="T154" s="8236">
        <v>840104</v>
      </c>
      <c r="U154" s="8236"/>
      <c r="V154" s="8237" t="s">
        <v>39</v>
      </c>
      <c r="W154" s="8238"/>
      <c r="X154" s="8239"/>
      <c r="Y154" s="8240"/>
      <c r="Z154" s="8240"/>
      <c r="AA154" s="8240"/>
      <c r="AB154" s="8241">
        <f>SUM(AA155:AA155)</f>
        <v>320</v>
      </c>
      <c r="AC154" s="8242" t="s">
        <v>26</v>
      </c>
      <c r="AD154" s="8243"/>
      <c r="AE154" s="8239"/>
      <c r="AF154" s="8244"/>
      <c r="AG154" s="8244"/>
      <c r="AH154" s="10531"/>
      <c r="AI154" s="466"/>
      <c r="AJ154" s="100"/>
      <c r="AK154" s="100"/>
      <c r="AL154" s="100"/>
    </row>
    <row r="155" spans="1:38" ht="31.5" customHeight="1">
      <c r="A155" s="10423"/>
      <c r="B155" s="10616"/>
      <c r="C155" s="10592"/>
      <c r="D155" s="10500"/>
      <c r="E155" s="10500"/>
      <c r="F155" s="10500"/>
      <c r="G155" s="10502"/>
      <c r="H155" s="10500"/>
      <c r="I155" s="10500"/>
      <c r="J155" s="10500"/>
      <c r="K155" s="10500"/>
      <c r="L155" s="10506"/>
      <c r="M155" s="10556"/>
      <c r="N155" s="10556"/>
      <c r="O155" s="10556"/>
      <c r="P155" s="10500"/>
      <c r="Q155" s="10500"/>
      <c r="R155" s="10508"/>
      <c r="S155" s="8245"/>
      <c r="T155" s="8037"/>
      <c r="U155" s="8037"/>
      <c r="V155" s="8231" t="s">
        <v>1630</v>
      </c>
      <c r="W155" s="8039">
        <v>1</v>
      </c>
      <c r="X155" s="8246" t="s">
        <v>180</v>
      </c>
      <c r="Y155" s="8027">
        <f>320/1.12</f>
        <v>285.71428571428567</v>
      </c>
      <c r="Z155" s="8027">
        <f>+W155*Y155</f>
        <v>285.71428571428567</v>
      </c>
      <c r="AA155" s="8027">
        <f>+Z155*1.12</f>
        <v>320</v>
      </c>
      <c r="AB155" s="8041"/>
      <c r="AC155" s="8042"/>
      <c r="AD155" s="8247"/>
      <c r="AE155" s="8040"/>
      <c r="AF155" s="8248"/>
      <c r="AG155" s="8248" t="s">
        <v>153</v>
      </c>
      <c r="AH155" s="10563"/>
      <c r="AI155" s="466"/>
      <c r="AJ155" s="100"/>
      <c r="AK155" s="100"/>
      <c r="AL155" s="100"/>
    </row>
    <row r="156" spans="1:38" ht="31.5" customHeight="1">
      <c r="A156" s="10423"/>
      <c r="B156" s="10616"/>
      <c r="C156" s="10592"/>
      <c r="D156" s="10500"/>
      <c r="E156" s="10500"/>
      <c r="F156" s="10500"/>
      <c r="G156" s="10502"/>
      <c r="H156" s="10500"/>
      <c r="I156" s="10500"/>
      <c r="J156" s="10500"/>
      <c r="K156" s="10500"/>
      <c r="L156" s="10506"/>
      <c r="M156" s="10556"/>
      <c r="N156" s="10556"/>
      <c r="O156" s="10556"/>
      <c r="P156" s="10500"/>
      <c r="Q156" s="10500"/>
      <c r="R156" s="10508"/>
      <c r="S156" s="8249" t="s">
        <v>15</v>
      </c>
      <c r="T156" s="8036">
        <v>840107</v>
      </c>
      <c r="U156" s="8036"/>
      <c r="V156" s="8250" t="s">
        <v>40</v>
      </c>
      <c r="W156" s="8251"/>
      <c r="X156" s="8252"/>
      <c r="Y156" s="8041"/>
      <c r="Z156" s="8041"/>
      <c r="AA156" s="8027"/>
      <c r="AB156" s="8041">
        <f>+SUM(AA157:AA157)</f>
        <v>180</v>
      </c>
      <c r="AC156" s="8042" t="s">
        <v>26</v>
      </c>
      <c r="AD156" s="8247"/>
      <c r="AE156" s="8040"/>
      <c r="AF156" s="8248"/>
      <c r="AG156" s="8248"/>
      <c r="AH156" s="10563"/>
      <c r="AI156" s="466"/>
      <c r="AJ156" s="100"/>
      <c r="AK156" s="100"/>
      <c r="AL156" s="100"/>
    </row>
    <row r="157" spans="1:38" ht="31.5" customHeight="1">
      <c r="A157" s="10423"/>
      <c r="B157" s="10616"/>
      <c r="C157" s="10592"/>
      <c r="D157" s="10500"/>
      <c r="E157" s="10500"/>
      <c r="F157" s="10500"/>
      <c r="G157" s="10502"/>
      <c r="H157" s="10500"/>
      <c r="I157" s="10500"/>
      <c r="J157" s="10500"/>
      <c r="K157" s="10500"/>
      <c r="L157" s="10506"/>
      <c r="M157" s="10556"/>
      <c r="N157" s="10556"/>
      <c r="O157" s="10556"/>
      <c r="P157" s="10500"/>
      <c r="Q157" s="10500"/>
      <c r="R157" s="10508"/>
      <c r="S157" s="8245"/>
      <c r="T157" s="8037"/>
      <c r="U157" s="8037"/>
      <c r="V157" s="8231" t="s">
        <v>3936</v>
      </c>
      <c r="W157" s="8039">
        <v>1</v>
      </c>
      <c r="X157" s="8246" t="s">
        <v>180</v>
      </c>
      <c r="Y157" s="8027">
        <f>180/1.12</f>
        <v>160.71428571428569</v>
      </c>
      <c r="Z157" s="8027">
        <f>+W157*Y157</f>
        <v>160.71428571428569</v>
      </c>
      <c r="AA157" s="8027">
        <f>+Z157*1.12</f>
        <v>180</v>
      </c>
      <c r="AB157" s="8041"/>
      <c r="AC157" s="8042"/>
      <c r="AD157" s="8247"/>
      <c r="AE157" s="8040"/>
      <c r="AF157" s="8248"/>
      <c r="AG157" s="8248" t="s">
        <v>153</v>
      </c>
      <c r="AH157" s="10563"/>
      <c r="AI157" s="466"/>
      <c r="AJ157" s="100"/>
      <c r="AK157" s="100"/>
      <c r="AL157" s="100"/>
    </row>
    <row r="158" spans="1:38" ht="31.5" customHeight="1" thickTop="1" thickBot="1">
      <c r="A158" s="10423"/>
      <c r="B158" s="10616"/>
      <c r="C158" s="10593"/>
      <c r="D158" s="10501"/>
      <c r="E158" s="10501"/>
      <c r="F158" s="10501"/>
      <c r="G158" s="10503"/>
      <c r="H158" s="10501"/>
      <c r="I158" s="10501"/>
      <c r="J158" s="10501"/>
      <c r="K158" s="10501"/>
      <c r="L158" s="10507"/>
      <c r="M158" s="10557"/>
      <c r="N158" s="10557"/>
      <c r="O158" s="10557"/>
      <c r="P158" s="10501"/>
      <c r="Q158" s="10501"/>
      <c r="R158" s="10509"/>
      <c r="S158" s="3780"/>
      <c r="T158" s="7368"/>
      <c r="U158" s="7368"/>
      <c r="V158" s="3808"/>
      <c r="W158" s="5501"/>
      <c r="X158" s="3727"/>
      <c r="Y158" s="5797"/>
      <c r="Z158" s="5797"/>
      <c r="AA158" s="5797"/>
      <c r="AB158" s="5811"/>
      <c r="AC158" s="5841"/>
      <c r="AD158" s="3717"/>
      <c r="AE158" s="3714"/>
      <c r="AF158" s="3718"/>
      <c r="AG158" s="3718"/>
      <c r="AH158" s="10564"/>
      <c r="AI158" s="466"/>
      <c r="AJ158" s="100"/>
      <c r="AK158" s="100"/>
      <c r="AL158" s="100"/>
    </row>
    <row r="159" spans="1:38" ht="30" customHeight="1" thickTop="1" thickBot="1">
      <c r="A159" s="10423"/>
      <c r="B159" s="10616"/>
      <c r="C159" s="10516" t="s">
        <v>127</v>
      </c>
      <c r="D159" s="10433" t="s">
        <v>128</v>
      </c>
      <c r="E159" s="10433" t="s">
        <v>129</v>
      </c>
      <c r="F159" s="10433" t="s">
        <v>336</v>
      </c>
      <c r="G159" s="10442" t="s">
        <v>131</v>
      </c>
      <c r="H159" s="10433" t="s">
        <v>132</v>
      </c>
      <c r="I159" s="10433" t="s">
        <v>159</v>
      </c>
      <c r="J159" s="10433" t="s">
        <v>3937</v>
      </c>
      <c r="K159" s="10433" t="s">
        <v>3938</v>
      </c>
      <c r="L159" s="10433" t="s">
        <v>3939</v>
      </c>
      <c r="M159" s="10555">
        <v>30</v>
      </c>
      <c r="N159" s="10555">
        <v>50</v>
      </c>
      <c r="O159" s="10555">
        <v>20</v>
      </c>
      <c r="P159" s="10443" t="s">
        <v>3940</v>
      </c>
      <c r="Q159" s="10443" t="s">
        <v>3941</v>
      </c>
      <c r="R159" s="10439" t="s">
        <v>3942</v>
      </c>
      <c r="S159" s="3781"/>
      <c r="T159" s="5692"/>
      <c r="U159" s="5692"/>
      <c r="V159" s="3809"/>
      <c r="W159" s="7383"/>
      <c r="X159" s="3736"/>
      <c r="Y159" s="7404"/>
      <c r="Z159" s="5799"/>
      <c r="AA159" s="5799"/>
      <c r="AB159" s="5799"/>
      <c r="AC159" s="5839"/>
      <c r="AD159" s="3723"/>
      <c r="AE159" s="3708"/>
      <c r="AF159" s="3708"/>
      <c r="AG159" s="3708"/>
      <c r="AH159" s="10481"/>
      <c r="AI159" s="466"/>
      <c r="AJ159" s="100"/>
      <c r="AK159" s="100"/>
      <c r="AL159" s="100"/>
    </row>
    <row r="160" spans="1:38" ht="30" customHeight="1" thickTop="1" thickBot="1">
      <c r="A160" s="10423"/>
      <c r="B160" s="10616"/>
      <c r="C160" s="10592"/>
      <c r="D160" s="10500"/>
      <c r="E160" s="10500"/>
      <c r="F160" s="10500"/>
      <c r="G160" s="10502"/>
      <c r="H160" s="10500"/>
      <c r="I160" s="10500"/>
      <c r="J160" s="10500"/>
      <c r="K160" s="10500"/>
      <c r="L160" s="10500"/>
      <c r="M160" s="10556"/>
      <c r="N160" s="10556"/>
      <c r="O160" s="10556"/>
      <c r="P160" s="10506"/>
      <c r="Q160" s="10506"/>
      <c r="R160" s="10508"/>
      <c r="S160" s="3782"/>
      <c r="T160" s="5687"/>
      <c r="U160" s="5687"/>
      <c r="V160" s="3810"/>
      <c r="W160" s="7384"/>
      <c r="X160" s="3687"/>
      <c r="Y160" s="7405"/>
      <c r="Z160" s="5790"/>
      <c r="AA160" s="5790"/>
      <c r="AB160" s="5791"/>
      <c r="AC160" s="5820"/>
      <c r="AD160" s="3665"/>
      <c r="AE160" s="3667"/>
      <c r="AF160" s="3667"/>
      <c r="AG160" s="3667"/>
      <c r="AH160" s="10563"/>
      <c r="AI160" s="466"/>
      <c r="AJ160" s="100"/>
      <c r="AK160" s="100"/>
      <c r="AL160" s="100"/>
    </row>
    <row r="161" spans="1:38" ht="30" customHeight="1" thickTop="1" thickBot="1">
      <c r="A161" s="10423"/>
      <c r="B161" s="10616"/>
      <c r="C161" s="10592"/>
      <c r="D161" s="10500"/>
      <c r="E161" s="10500"/>
      <c r="F161" s="10500"/>
      <c r="G161" s="10502"/>
      <c r="H161" s="10500"/>
      <c r="I161" s="10500"/>
      <c r="J161" s="10500"/>
      <c r="K161" s="10500"/>
      <c r="L161" s="10500"/>
      <c r="M161" s="10556"/>
      <c r="N161" s="10556"/>
      <c r="O161" s="10556"/>
      <c r="P161" s="10506"/>
      <c r="Q161" s="10506"/>
      <c r="R161" s="10508"/>
      <c r="S161" s="3782"/>
      <c r="T161" s="5687"/>
      <c r="U161" s="5687"/>
      <c r="V161" s="3810"/>
      <c r="W161" s="7384"/>
      <c r="X161" s="3687"/>
      <c r="Y161" s="7405"/>
      <c r="Z161" s="5790"/>
      <c r="AA161" s="5790"/>
      <c r="AB161" s="5791"/>
      <c r="AC161" s="5820"/>
      <c r="AD161" s="3665"/>
      <c r="AE161" s="3667"/>
      <c r="AF161" s="3667"/>
      <c r="AG161" s="3667"/>
      <c r="AH161" s="10563"/>
      <c r="AI161" s="466"/>
      <c r="AJ161" s="100"/>
      <c r="AK161" s="100"/>
      <c r="AL161" s="100"/>
    </row>
    <row r="162" spans="1:38" ht="30" customHeight="1" thickTop="1" thickBot="1">
      <c r="A162" s="10423"/>
      <c r="B162" s="10616"/>
      <c r="C162" s="10592"/>
      <c r="D162" s="10500"/>
      <c r="E162" s="10500"/>
      <c r="F162" s="10500"/>
      <c r="G162" s="10502"/>
      <c r="H162" s="10500"/>
      <c r="I162" s="10500"/>
      <c r="J162" s="10500"/>
      <c r="K162" s="10500"/>
      <c r="L162" s="10500"/>
      <c r="M162" s="10556"/>
      <c r="N162" s="10556"/>
      <c r="O162" s="10556"/>
      <c r="P162" s="10506"/>
      <c r="Q162" s="10506"/>
      <c r="R162" s="10508"/>
      <c r="S162" s="3782"/>
      <c r="T162" s="5687"/>
      <c r="U162" s="5687"/>
      <c r="V162" s="3810"/>
      <c r="W162" s="7384"/>
      <c r="X162" s="3687"/>
      <c r="Y162" s="7405"/>
      <c r="Z162" s="5790"/>
      <c r="AA162" s="5790"/>
      <c r="AB162" s="5791"/>
      <c r="AC162" s="5820"/>
      <c r="AD162" s="3665"/>
      <c r="AE162" s="3667"/>
      <c r="AF162" s="3667"/>
      <c r="AG162" s="3667"/>
      <c r="AH162" s="10563"/>
      <c r="AI162" s="466"/>
      <c r="AJ162" s="100"/>
      <c r="AK162" s="100"/>
      <c r="AL162" s="100"/>
    </row>
    <row r="163" spans="1:38" ht="30" customHeight="1" thickTop="1" thickBot="1">
      <c r="A163" s="10423"/>
      <c r="B163" s="10616"/>
      <c r="C163" s="10602"/>
      <c r="D163" s="10566"/>
      <c r="E163" s="10566"/>
      <c r="F163" s="10566"/>
      <c r="G163" s="10567"/>
      <c r="H163" s="10566"/>
      <c r="I163" s="10566"/>
      <c r="J163" s="10566"/>
      <c r="K163" s="10566"/>
      <c r="L163" s="10566"/>
      <c r="M163" s="10581"/>
      <c r="N163" s="10581"/>
      <c r="O163" s="10581"/>
      <c r="P163" s="10568"/>
      <c r="Q163" s="10568"/>
      <c r="R163" s="10588"/>
      <c r="S163" s="3783"/>
      <c r="T163" s="7369"/>
      <c r="U163" s="7369"/>
      <c r="V163" s="3811"/>
      <c r="W163" s="7385"/>
      <c r="X163" s="3737"/>
      <c r="Y163" s="7406"/>
      <c r="Z163" s="5792"/>
      <c r="AA163" s="5792"/>
      <c r="AB163" s="7406"/>
      <c r="AC163" s="5826"/>
      <c r="AD163" s="3712"/>
      <c r="AE163" s="3739"/>
      <c r="AF163" s="3739"/>
      <c r="AG163" s="3739"/>
      <c r="AH163" s="10565"/>
      <c r="AI163" s="466"/>
      <c r="AJ163" s="100"/>
      <c r="AK163" s="100"/>
      <c r="AL163" s="100"/>
    </row>
    <row r="164" spans="1:38" ht="31.5" customHeight="1" thickTop="1" thickBot="1">
      <c r="A164" s="10423"/>
      <c r="B164" s="10616"/>
      <c r="C164" s="10512" t="s">
        <v>127</v>
      </c>
      <c r="D164" s="10444" t="s">
        <v>128</v>
      </c>
      <c r="E164" s="10444" t="s">
        <v>129</v>
      </c>
      <c r="F164" s="10444" t="s">
        <v>336</v>
      </c>
      <c r="G164" s="10451" t="s">
        <v>131</v>
      </c>
      <c r="H164" s="10444" t="s">
        <v>132</v>
      </c>
      <c r="I164" s="10444" t="s">
        <v>159</v>
      </c>
      <c r="J164" s="10444" t="s">
        <v>3943</v>
      </c>
      <c r="K164" s="10444" t="s">
        <v>3944</v>
      </c>
      <c r="L164" s="10444" t="s">
        <v>3945</v>
      </c>
      <c r="M164" s="10561">
        <v>30</v>
      </c>
      <c r="N164" s="10561">
        <v>50</v>
      </c>
      <c r="O164" s="10561">
        <v>20</v>
      </c>
      <c r="P164" s="10444" t="s">
        <v>3946</v>
      </c>
      <c r="Q164" s="10444" t="s">
        <v>3947</v>
      </c>
      <c r="R164" s="10449" t="s">
        <v>3948</v>
      </c>
      <c r="S164" s="3784"/>
      <c r="T164" s="5694"/>
      <c r="U164" s="5694"/>
      <c r="V164" s="3812"/>
      <c r="W164" s="7386"/>
      <c r="X164" s="3742"/>
      <c r="Y164" s="7407"/>
      <c r="Z164" s="5800"/>
      <c r="AA164" s="5800"/>
      <c r="AB164" s="5801"/>
      <c r="AC164" s="5840"/>
      <c r="AD164" s="3659"/>
      <c r="AE164" s="3657"/>
      <c r="AF164" s="3657"/>
      <c r="AG164" s="3657"/>
      <c r="AH164" s="10478"/>
      <c r="AI164" s="466"/>
      <c r="AJ164" s="100"/>
      <c r="AK164" s="100"/>
      <c r="AL164" s="100"/>
    </row>
    <row r="165" spans="1:38" ht="30.95" customHeight="1" thickTop="1" thickBot="1">
      <c r="A165" s="10423"/>
      <c r="B165" s="10616"/>
      <c r="C165" s="10592"/>
      <c r="D165" s="10500"/>
      <c r="E165" s="10500"/>
      <c r="F165" s="10500"/>
      <c r="G165" s="10502"/>
      <c r="H165" s="10500"/>
      <c r="I165" s="10500"/>
      <c r="J165" s="10500"/>
      <c r="K165" s="10500"/>
      <c r="L165" s="10500"/>
      <c r="M165" s="10556"/>
      <c r="N165" s="10556"/>
      <c r="O165" s="10556"/>
      <c r="P165" s="10500"/>
      <c r="Q165" s="10500"/>
      <c r="R165" s="10508"/>
      <c r="S165" s="3782"/>
      <c r="T165" s="5687"/>
      <c r="U165" s="5686"/>
      <c r="V165" s="3813"/>
      <c r="W165" s="5500"/>
      <c r="X165" s="3688"/>
      <c r="Y165" s="5790"/>
      <c r="Z165" s="5790"/>
      <c r="AA165" s="5790"/>
      <c r="AB165" s="7405"/>
      <c r="AC165" s="5825"/>
      <c r="AD165" s="3664"/>
      <c r="AE165" s="3667"/>
      <c r="AF165" s="3667"/>
      <c r="AG165" s="3667"/>
      <c r="AH165" s="10563"/>
      <c r="AI165" s="466"/>
      <c r="AJ165" s="100"/>
      <c r="AK165" s="100"/>
      <c r="AL165" s="100"/>
    </row>
    <row r="166" spans="1:38" ht="33.75" customHeight="1" thickTop="1" thickBot="1">
      <c r="A166" s="10423"/>
      <c r="B166" s="10616"/>
      <c r="C166" s="10592"/>
      <c r="D166" s="10500"/>
      <c r="E166" s="10500"/>
      <c r="F166" s="10500"/>
      <c r="G166" s="10502"/>
      <c r="H166" s="10500"/>
      <c r="I166" s="10500"/>
      <c r="J166" s="10500"/>
      <c r="K166" s="10500"/>
      <c r="L166" s="10500"/>
      <c r="M166" s="10556"/>
      <c r="N166" s="10556"/>
      <c r="O166" s="10556"/>
      <c r="P166" s="10500"/>
      <c r="Q166" s="10500"/>
      <c r="R166" s="10508"/>
      <c r="S166" s="3782"/>
      <c r="T166" s="5687"/>
      <c r="U166" s="5687"/>
      <c r="V166" s="3810"/>
      <c r="W166" s="7384"/>
      <c r="X166" s="3687"/>
      <c r="Y166" s="7405"/>
      <c r="Z166" s="5790"/>
      <c r="AA166" s="5790"/>
      <c r="AB166" s="7405"/>
      <c r="AC166" s="5825"/>
      <c r="AD166" s="3664"/>
      <c r="AE166" s="3667"/>
      <c r="AF166" s="3667"/>
      <c r="AG166" s="3667"/>
      <c r="AH166" s="10563"/>
      <c r="AI166" s="466"/>
      <c r="AJ166" s="100"/>
      <c r="AK166" s="100"/>
      <c r="AL166" s="100"/>
    </row>
    <row r="167" spans="1:38" ht="26.25" customHeight="1" thickTop="1" thickBot="1">
      <c r="A167" s="10423"/>
      <c r="B167" s="10616"/>
      <c r="C167" s="10592"/>
      <c r="D167" s="10500"/>
      <c r="E167" s="10500"/>
      <c r="F167" s="10500"/>
      <c r="G167" s="10502"/>
      <c r="H167" s="10500"/>
      <c r="I167" s="10500"/>
      <c r="J167" s="10500"/>
      <c r="K167" s="10500"/>
      <c r="L167" s="10500"/>
      <c r="M167" s="10556"/>
      <c r="N167" s="10556"/>
      <c r="O167" s="10556"/>
      <c r="P167" s="10500"/>
      <c r="Q167" s="10500"/>
      <c r="R167" s="10508"/>
      <c r="S167" s="3782"/>
      <c r="T167" s="5687"/>
      <c r="U167" s="5687"/>
      <c r="V167" s="3814"/>
      <c r="W167" s="7384"/>
      <c r="X167" s="3687"/>
      <c r="Y167" s="7405"/>
      <c r="Z167" s="5790"/>
      <c r="AA167" s="5790"/>
      <c r="AB167" s="7405"/>
      <c r="AC167" s="5825"/>
      <c r="AD167" s="3664"/>
      <c r="AE167" s="3667"/>
      <c r="AF167" s="3667"/>
      <c r="AG167" s="3667"/>
      <c r="AH167" s="10563"/>
      <c r="AI167" s="466"/>
      <c r="AJ167" s="100"/>
      <c r="AK167" s="100"/>
      <c r="AL167" s="100"/>
    </row>
    <row r="168" spans="1:38" ht="32.25" customHeight="1" thickTop="1" thickBot="1">
      <c r="A168" s="10423"/>
      <c r="B168" s="10616"/>
      <c r="C168" s="10593"/>
      <c r="D168" s="10501"/>
      <c r="E168" s="10501"/>
      <c r="F168" s="10501"/>
      <c r="G168" s="10503"/>
      <c r="H168" s="10501"/>
      <c r="I168" s="10501"/>
      <c r="J168" s="10501"/>
      <c r="K168" s="10501"/>
      <c r="L168" s="10501"/>
      <c r="M168" s="10557"/>
      <c r="N168" s="10557"/>
      <c r="O168" s="10557"/>
      <c r="P168" s="10501"/>
      <c r="Q168" s="10501"/>
      <c r="R168" s="10509"/>
      <c r="S168" s="3785"/>
      <c r="T168" s="7370"/>
      <c r="U168" s="7370"/>
      <c r="V168" s="3815"/>
      <c r="W168" s="7387"/>
      <c r="X168" s="3744"/>
      <c r="Y168" s="7408"/>
      <c r="Z168" s="7408"/>
      <c r="AA168" s="7408"/>
      <c r="AB168" s="7408"/>
      <c r="AC168" s="5838"/>
      <c r="AD168" s="3716"/>
      <c r="AE168" s="3725"/>
      <c r="AF168" s="3725"/>
      <c r="AG168" s="3725"/>
      <c r="AH168" s="10564"/>
      <c r="AI168" s="466"/>
      <c r="AJ168" s="100"/>
      <c r="AK168" s="100"/>
      <c r="AL168" s="100"/>
    </row>
    <row r="169" spans="1:38" ht="25.5" customHeight="1" thickTop="1" thickBot="1">
      <c r="A169" s="10423"/>
      <c r="B169" s="10616"/>
      <c r="C169" s="10516" t="s">
        <v>127</v>
      </c>
      <c r="D169" s="10433" t="s">
        <v>128</v>
      </c>
      <c r="E169" s="10433" t="s">
        <v>129</v>
      </c>
      <c r="F169" s="10433" t="s">
        <v>336</v>
      </c>
      <c r="G169" s="10442" t="s">
        <v>131</v>
      </c>
      <c r="H169" s="10433" t="s">
        <v>132</v>
      </c>
      <c r="I169" s="10433" t="s">
        <v>159</v>
      </c>
      <c r="J169" s="10433" t="s">
        <v>3949</v>
      </c>
      <c r="K169" s="10433" t="s">
        <v>3950</v>
      </c>
      <c r="L169" s="10443" t="s">
        <v>3951</v>
      </c>
      <c r="M169" s="10555">
        <v>3</v>
      </c>
      <c r="N169" s="10555">
        <v>3</v>
      </c>
      <c r="O169" s="10555">
        <v>3</v>
      </c>
      <c r="P169" s="10433" t="s">
        <v>3952</v>
      </c>
      <c r="Q169" s="10433" t="s">
        <v>3953</v>
      </c>
      <c r="R169" s="10607" t="s">
        <v>3954</v>
      </c>
      <c r="S169" s="3781"/>
      <c r="T169" s="5692"/>
      <c r="U169" s="5692"/>
      <c r="V169" s="3809"/>
      <c r="W169" s="7383"/>
      <c r="X169" s="3736"/>
      <c r="Y169" s="7404"/>
      <c r="Z169" s="5798"/>
      <c r="AA169" s="5798"/>
      <c r="AB169" s="5799"/>
      <c r="AC169" s="5839"/>
      <c r="AD169" s="3723"/>
      <c r="AE169" s="3708"/>
      <c r="AF169" s="3708"/>
      <c r="AG169" s="3708"/>
      <c r="AH169" s="10481"/>
      <c r="AI169" s="466"/>
      <c r="AJ169" s="100"/>
      <c r="AK169" s="100"/>
      <c r="AL169" s="100"/>
    </row>
    <row r="170" spans="1:38" ht="25.5" customHeight="1" thickTop="1" thickBot="1">
      <c r="A170" s="10423"/>
      <c r="B170" s="10616"/>
      <c r="C170" s="10592"/>
      <c r="D170" s="10500"/>
      <c r="E170" s="10500"/>
      <c r="F170" s="10500"/>
      <c r="G170" s="10502"/>
      <c r="H170" s="10500"/>
      <c r="I170" s="10500"/>
      <c r="J170" s="10500"/>
      <c r="K170" s="10500"/>
      <c r="L170" s="10506"/>
      <c r="M170" s="10556"/>
      <c r="N170" s="10556"/>
      <c r="O170" s="10556"/>
      <c r="P170" s="10500"/>
      <c r="Q170" s="10500"/>
      <c r="R170" s="10608"/>
      <c r="S170" s="3782"/>
      <c r="T170" s="5687"/>
      <c r="U170" s="5687"/>
      <c r="V170" s="3810"/>
      <c r="W170" s="7384"/>
      <c r="X170" s="3687"/>
      <c r="Y170" s="7405"/>
      <c r="Z170" s="5790"/>
      <c r="AA170" s="5790"/>
      <c r="AB170" s="7405"/>
      <c r="AC170" s="5825"/>
      <c r="AD170" s="3664"/>
      <c r="AE170" s="3667"/>
      <c r="AF170" s="3667"/>
      <c r="AG170" s="3667"/>
      <c r="AH170" s="10563"/>
      <c r="AI170" s="466"/>
      <c r="AJ170" s="100"/>
      <c r="AK170" s="100"/>
      <c r="AL170" s="100"/>
    </row>
    <row r="171" spans="1:38" ht="25.5" customHeight="1" thickTop="1" thickBot="1">
      <c r="A171" s="10423"/>
      <c r="B171" s="10616"/>
      <c r="C171" s="10592"/>
      <c r="D171" s="10500"/>
      <c r="E171" s="10500"/>
      <c r="F171" s="10500"/>
      <c r="G171" s="10502"/>
      <c r="H171" s="10500"/>
      <c r="I171" s="10500"/>
      <c r="J171" s="10500"/>
      <c r="K171" s="10500"/>
      <c r="L171" s="10506"/>
      <c r="M171" s="10556"/>
      <c r="N171" s="10556"/>
      <c r="O171" s="10556"/>
      <c r="P171" s="10500"/>
      <c r="Q171" s="10500"/>
      <c r="R171" s="10608"/>
      <c r="S171" s="3782"/>
      <c r="T171" s="5687"/>
      <c r="U171" s="5687"/>
      <c r="V171" s="3810"/>
      <c r="W171" s="7384"/>
      <c r="X171" s="3687"/>
      <c r="Y171" s="7405"/>
      <c r="Z171" s="5790"/>
      <c r="AA171" s="5790"/>
      <c r="AB171" s="7405"/>
      <c r="AC171" s="5825"/>
      <c r="AD171" s="3664"/>
      <c r="AE171" s="3667"/>
      <c r="AF171" s="3667"/>
      <c r="AG171" s="3667"/>
      <c r="AH171" s="10563"/>
      <c r="AI171" s="466"/>
      <c r="AJ171" s="100"/>
      <c r="AK171" s="100"/>
      <c r="AL171" s="100"/>
    </row>
    <row r="172" spans="1:38" ht="25.5" customHeight="1" thickTop="1" thickBot="1">
      <c r="A172" s="10423"/>
      <c r="B172" s="10616"/>
      <c r="C172" s="10592"/>
      <c r="D172" s="10500"/>
      <c r="E172" s="10500"/>
      <c r="F172" s="10500"/>
      <c r="G172" s="10502"/>
      <c r="H172" s="10500"/>
      <c r="I172" s="10500"/>
      <c r="J172" s="10500"/>
      <c r="K172" s="10500"/>
      <c r="L172" s="10506"/>
      <c r="M172" s="10556"/>
      <c r="N172" s="10556"/>
      <c r="O172" s="10556"/>
      <c r="P172" s="10500"/>
      <c r="Q172" s="10500"/>
      <c r="R172" s="10608"/>
      <c r="S172" s="3782"/>
      <c r="T172" s="5687"/>
      <c r="U172" s="5687"/>
      <c r="V172" s="3810"/>
      <c r="W172" s="7384"/>
      <c r="X172" s="3687"/>
      <c r="Y172" s="7405"/>
      <c r="Z172" s="5790"/>
      <c r="AA172" s="5790"/>
      <c r="AB172" s="7405"/>
      <c r="AC172" s="5825"/>
      <c r="AD172" s="3664"/>
      <c r="AE172" s="3667"/>
      <c r="AF172" s="3667"/>
      <c r="AG172" s="3667"/>
      <c r="AH172" s="10563"/>
      <c r="AI172" s="466"/>
      <c r="AJ172" s="100"/>
      <c r="AK172" s="100"/>
      <c r="AL172" s="100"/>
    </row>
    <row r="173" spans="1:38" ht="25.5" customHeight="1" thickTop="1" thickBot="1">
      <c r="A173" s="10423"/>
      <c r="B173" s="10616"/>
      <c r="C173" s="10593"/>
      <c r="D173" s="10501"/>
      <c r="E173" s="10501"/>
      <c r="F173" s="10501"/>
      <c r="G173" s="10503"/>
      <c r="H173" s="10501"/>
      <c r="I173" s="10501"/>
      <c r="J173" s="10501"/>
      <c r="K173" s="10501"/>
      <c r="L173" s="10507"/>
      <c r="M173" s="10557"/>
      <c r="N173" s="10557"/>
      <c r="O173" s="10557"/>
      <c r="P173" s="10501"/>
      <c r="Q173" s="10501"/>
      <c r="R173" s="10610"/>
      <c r="S173" s="3773"/>
      <c r="T173" s="5691"/>
      <c r="U173" s="5691"/>
      <c r="V173" s="3816"/>
      <c r="W173" s="7388"/>
      <c r="X173" s="3725"/>
      <c r="Y173" s="7409"/>
      <c r="Z173" s="7409"/>
      <c r="AA173" s="7409"/>
      <c r="AB173" s="7409"/>
      <c r="AC173" s="5823"/>
      <c r="AD173" s="3716"/>
      <c r="AE173" s="3725"/>
      <c r="AF173" s="3725"/>
      <c r="AG173" s="3725"/>
      <c r="AH173" s="10564"/>
      <c r="AI173" s="466"/>
      <c r="AJ173" s="100"/>
      <c r="AK173" s="100"/>
      <c r="AL173" s="100"/>
    </row>
    <row r="174" spans="1:38" ht="25.5" customHeight="1" thickTop="1" thickBot="1">
      <c r="A174" s="10423"/>
      <c r="B174" s="10616"/>
      <c r="C174" s="10516" t="s">
        <v>127</v>
      </c>
      <c r="D174" s="10433" t="s">
        <v>128</v>
      </c>
      <c r="E174" s="10433" t="s">
        <v>129</v>
      </c>
      <c r="F174" s="10433" t="s">
        <v>336</v>
      </c>
      <c r="G174" s="10442" t="s">
        <v>131</v>
      </c>
      <c r="H174" s="10433" t="s">
        <v>132</v>
      </c>
      <c r="I174" s="10433" t="s">
        <v>159</v>
      </c>
      <c r="J174" s="10433" t="s">
        <v>3955</v>
      </c>
      <c r="K174" s="10433" t="s">
        <v>286</v>
      </c>
      <c r="L174" s="10443" t="s">
        <v>3956</v>
      </c>
      <c r="M174" s="10555">
        <v>0</v>
      </c>
      <c r="N174" s="10555">
        <v>1</v>
      </c>
      <c r="O174" s="10555">
        <v>1</v>
      </c>
      <c r="P174" s="10433" t="s">
        <v>3957</v>
      </c>
      <c r="Q174" s="10433" t="s">
        <v>3958</v>
      </c>
      <c r="R174" s="10439" t="s">
        <v>3959</v>
      </c>
      <c r="S174" s="3776"/>
      <c r="T174" s="5684"/>
      <c r="U174" s="5684"/>
      <c r="V174" s="3817"/>
      <c r="W174" s="7389"/>
      <c r="X174" s="3708"/>
      <c r="Y174" s="7410"/>
      <c r="Z174" s="5556"/>
      <c r="AA174" s="5556"/>
      <c r="AB174" s="5557"/>
      <c r="AC174" s="5819"/>
      <c r="AD174" s="3723"/>
      <c r="AE174" s="3708"/>
      <c r="AF174" s="3708"/>
      <c r="AG174" s="3708"/>
      <c r="AH174" s="10481"/>
      <c r="AI174" s="466"/>
      <c r="AJ174" s="100"/>
      <c r="AK174" s="100"/>
      <c r="AL174" s="100"/>
    </row>
    <row r="175" spans="1:38" ht="25.5" customHeight="1" thickTop="1" thickBot="1">
      <c r="A175" s="10423"/>
      <c r="B175" s="10616"/>
      <c r="C175" s="10592"/>
      <c r="D175" s="10500"/>
      <c r="E175" s="10500"/>
      <c r="F175" s="10500"/>
      <c r="G175" s="10502"/>
      <c r="H175" s="10500"/>
      <c r="I175" s="10500"/>
      <c r="J175" s="10500"/>
      <c r="K175" s="10500"/>
      <c r="L175" s="10506"/>
      <c r="M175" s="10556"/>
      <c r="N175" s="10556"/>
      <c r="O175" s="10556"/>
      <c r="P175" s="10500"/>
      <c r="Q175" s="10500"/>
      <c r="R175" s="10508"/>
      <c r="S175" s="3541"/>
      <c r="T175" s="5682"/>
      <c r="U175" s="5682"/>
      <c r="V175" s="3803"/>
      <c r="W175" s="7380"/>
      <c r="X175" s="3667"/>
      <c r="Y175" s="7400"/>
      <c r="Z175" s="5552"/>
      <c r="AA175" s="5552"/>
      <c r="AB175" s="7400"/>
      <c r="AC175" s="5779"/>
      <c r="AD175" s="3664"/>
      <c r="AE175" s="3667"/>
      <c r="AF175" s="3667"/>
      <c r="AG175" s="3667"/>
      <c r="AH175" s="10563"/>
      <c r="AI175" s="466"/>
      <c r="AJ175" s="100"/>
      <c r="AK175" s="100"/>
      <c r="AL175" s="100"/>
    </row>
    <row r="176" spans="1:38" ht="25.5" customHeight="1" thickTop="1" thickBot="1">
      <c r="A176" s="10423"/>
      <c r="B176" s="10616"/>
      <c r="C176" s="10592"/>
      <c r="D176" s="10500"/>
      <c r="E176" s="10500"/>
      <c r="F176" s="10500"/>
      <c r="G176" s="10502"/>
      <c r="H176" s="10500"/>
      <c r="I176" s="10500"/>
      <c r="J176" s="10500"/>
      <c r="K176" s="10500"/>
      <c r="L176" s="10506"/>
      <c r="M176" s="10556"/>
      <c r="N176" s="10556"/>
      <c r="O176" s="10556"/>
      <c r="P176" s="10500"/>
      <c r="Q176" s="10500"/>
      <c r="R176" s="10508"/>
      <c r="S176" s="3541"/>
      <c r="T176" s="5682"/>
      <c r="U176" s="5682"/>
      <c r="V176" s="3803"/>
      <c r="W176" s="7380"/>
      <c r="X176" s="3667"/>
      <c r="Y176" s="7400"/>
      <c r="Z176" s="5552"/>
      <c r="AA176" s="5552"/>
      <c r="AB176" s="7400"/>
      <c r="AC176" s="5779"/>
      <c r="AD176" s="3664"/>
      <c r="AE176" s="3667"/>
      <c r="AF176" s="3667"/>
      <c r="AG176" s="3667"/>
      <c r="AH176" s="10563"/>
      <c r="AI176" s="466"/>
      <c r="AJ176" s="100"/>
      <c r="AK176" s="100"/>
      <c r="AL176" s="100"/>
    </row>
    <row r="177" spans="1:38" ht="25.5" customHeight="1" thickTop="1" thickBot="1">
      <c r="A177" s="10423"/>
      <c r="B177" s="10616"/>
      <c r="C177" s="10592"/>
      <c r="D177" s="10500"/>
      <c r="E177" s="10500"/>
      <c r="F177" s="10500"/>
      <c r="G177" s="10502"/>
      <c r="H177" s="10500"/>
      <c r="I177" s="10500"/>
      <c r="J177" s="10500"/>
      <c r="K177" s="10500"/>
      <c r="L177" s="10506"/>
      <c r="M177" s="10556"/>
      <c r="N177" s="10556"/>
      <c r="O177" s="10556"/>
      <c r="P177" s="10500"/>
      <c r="Q177" s="10500"/>
      <c r="R177" s="10508"/>
      <c r="S177" s="3541"/>
      <c r="T177" s="5682"/>
      <c r="U177" s="5682"/>
      <c r="V177" s="3803"/>
      <c r="W177" s="7380"/>
      <c r="X177" s="3667"/>
      <c r="Y177" s="7400"/>
      <c r="Z177" s="5552"/>
      <c r="AA177" s="5552"/>
      <c r="AB177" s="7400"/>
      <c r="AC177" s="5779"/>
      <c r="AD177" s="3664"/>
      <c r="AE177" s="3667"/>
      <c r="AF177" s="3667"/>
      <c r="AG177" s="3667"/>
      <c r="AH177" s="10563"/>
      <c r="AI177" s="466"/>
      <c r="AJ177" s="100"/>
      <c r="AK177" s="100"/>
      <c r="AL177" s="100"/>
    </row>
    <row r="178" spans="1:38" ht="25.5" customHeight="1" thickTop="1" thickBot="1">
      <c r="A178" s="10423"/>
      <c r="B178" s="10616"/>
      <c r="C178" s="10602"/>
      <c r="D178" s="10566"/>
      <c r="E178" s="10566"/>
      <c r="F178" s="10566"/>
      <c r="G178" s="10567"/>
      <c r="H178" s="10566"/>
      <c r="I178" s="10566"/>
      <c r="J178" s="10566"/>
      <c r="K178" s="10566"/>
      <c r="L178" s="10568"/>
      <c r="M178" s="10581"/>
      <c r="N178" s="10581"/>
      <c r="O178" s="10581"/>
      <c r="P178" s="10566"/>
      <c r="Q178" s="10566"/>
      <c r="R178" s="10588"/>
      <c r="S178" s="3556"/>
      <c r="T178" s="7284"/>
      <c r="U178" s="7284"/>
      <c r="V178" s="3818"/>
      <c r="W178" s="7390"/>
      <c r="X178" s="3739"/>
      <c r="Y178" s="7411"/>
      <c r="Z178" s="7411"/>
      <c r="AA178" s="7411"/>
      <c r="AB178" s="7411"/>
      <c r="AC178" s="5828"/>
      <c r="AD178" s="3712"/>
      <c r="AE178" s="3739"/>
      <c r="AF178" s="3739"/>
      <c r="AG178" s="3739"/>
      <c r="AH178" s="10565"/>
      <c r="AI178" s="466"/>
      <c r="AJ178" s="100"/>
      <c r="AK178" s="100"/>
      <c r="AL178" s="100"/>
    </row>
    <row r="179" spans="1:38" ht="27" customHeight="1" thickTop="1" thickBot="1">
      <c r="A179" s="10423"/>
      <c r="B179" s="10616"/>
      <c r="C179" s="10512" t="s">
        <v>127</v>
      </c>
      <c r="D179" s="10444" t="s">
        <v>128</v>
      </c>
      <c r="E179" s="10444" t="s">
        <v>129</v>
      </c>
      <c r="F179" s="10444" t="s">
        <v>336</v>
      </c>
      <c r="G179" s="10451" t="s">
        <v>131</v>
      </c>
      <c r="H179" s="10444" t="s">
        <v>132</v>
      </c>
      <c r="I179" s="10444" t="s">
        <v>159</v>
      </c>
      <c r="J179" s="10444" t="s">
        <v>3960</v>
      </c>
      <c r="K179" s="10444" t="s">
        <v>338</v>
      </c>
      <c r="L179" s="10444" t="s">
        <v>3923</v>
      </c>
      <c r="M179" s="10561">
        <v>30</v>
      </c>
      <c r="N179" s="10561">
        <v>50</v>
      </c>
      <c r="O179" s="10561">
        <v>20</v>
      </c>
      <c r="P179" s="10444" t="s">
        <v>3961</v>
      </c>
      <c r="Q179" s="10444" t="s">
        <v>3962</v>
      </c>
      <c r="R179" s="10449" t="s">
        <v>3963</v>
      </c>
      <c r="S179" s="3786"/>
      <c r="T179" s="7371"/>
      <c r="U179" s="7371"/>
      <c r="V179" s="3819"/>
      <c r="W179" s="5520"/>
      <c r="X179" s="3729"/>
      <c r="Y179" s="5802"/>
      <c r="Z179" s="5560"/>
      <c r="AA179" s="5560"/>
      <c r="AB179" s="5561"/>
      <c r="AC179" s="5831"/>
      <c r="AD179" s="3659"/>
      <c r="AE179" s="3745"/>
      <c r="AF179" s="3745"/>
      <c r="AG179" s="3745"/>
      <c r="AH179" s="10641"/>
      <c r="AI179" s="466"/>
      <c r="AJ179" s="100"/>
      <c r="AK179" s="100"/>
      <c r="AL179" s="100"/>
    </row>
    <row r="180" spans="1:38" ht="27" customHeight="1" thickTop="1" thickBot="1">
      <c r="A180" s="10423"/>
      <c r="B180" s="10616"/>
      <c r="C180" s="10592"/>
      <c r="D180" s="10500"/>
      <c r="E180" s="10500"/>
      <c r="F180" s="10500"/>
      <c r="G180" s="10502"/>
      <c r="H180" s="10500"/>
      <c r="I180" s="10500"/>
      <c r="J180" s="10500"/>
      <c r="K180" s="10500"/>
      <c r="L180" s="10500"/>
      <c r="M180" s="10556"/>
      <c r="N180" s="10556"/>
      <c r="O180" s="10556"/>
      <c r="P180" s="10500"/>
      <c r="Q180" s="10500"/>
      <c r="R180" s="10508"/>
      <c r="S180" s="3777"/>
      <c r="T180" s="5731"/>
      <c r="U180" s="5731"/>
      <c r="V180" s="3765"/>
      <c r="W180" s="5510"/>
      <c r="X180" s="3678"/>
      <c r="Y180" s="5803"/>
      <c r="Z180" s="5552"/>
      <c r="AA180" s="5552"/>
      <c r="AB180" s="7400"/>
      <c r="AC180" s="5779"/>
      <c r="AD180" s="3664"/>
      <c r="AE180" s="3689"/>
      <c r="AF180" s="3689"/>
      <c r="AG180" s="3689"/>
      <c r="AH180" s="10642"/>
      <c r="AI180" s="466"/>
      <c r="AJ180" s="100"/>
      <c r="AK180" s="100"/>
      <c r="AL180" s="100"/>
    </row>
    <row r="181" spans="1:38" ht="27" customHeight="1" thickTop="1" thickBot="1">
      <c r="A181" s="10423"/>
      <c r="B181" s="10616"/>
      <c r="C181" s="10592"/>
      <c r="D181" s="10500"/>
      <c r="E181" s="10500"/>
      <c r="F181" s="10500"/>
      <c r="G181" s="10502"/>
      <c r="H181" s="10500"/>
      <c r="I181" s="10500"/>
      <c r="J181" s="10500"/>
      <c r="K181" s="10500"/>
      <c r="L181" s="10500"/>
      <c r="M181" s="10556"/>
      <c r="N181" s="10556"/>
      <c r="O181" s="10556"/>
      <c r="P181" s="10500"/>
      <c r="Q181" s="10500"/>
      <c r="R181" s="10508"/>
      <c r="S181" s="3787"/>
      <c r="T181" s="7372"/>
      <c r="U181" s="7372"/>
      <c r="V181" s="3820"/>
      <c r="W181" s="7391"/>
      <c r="X181" s="3689"/>
      <c r="Y181" s="7412"/>
      <c r="Z181" s="5552"/>
      <c r="AA181" s="5552"/>
      <c r="AB181" s="7400"/>
      <c r="AC181" s="5779"/>
      <c r="AD181" s="3664"/>
      <c r="AE181" s="3689"/>
      <c r="AF181" s="3689"/>
      <c r="AG181" s="3689"/>
      <c r="AH181" s="10642"/>
      <c r="AI181" s="466"/>
      <c r="AJ181" s="100"/>
      <c r="AK181" s="100"/>
      <c r="AL181" s="100"/>
    </row>
    <row r="182" spans="1:38" ht="27" customHeight="1" thickTop="1" thickBot="1">
      <c r="A182" s="10423"/>
      <c r="B182" s="10616"/>
      <c r="C182" s="10592"/>
      <c r="D182" s="10500"/>
      <c r="E182" s="10500"/>
      <c r="F182" s="10500"/>
      <c r="G182" s="10502"/>
      <c r="H182" s="10500"/>
      <c r="I182" s="10500"/>
      <c r="J182" s="10500"/>
      <c r="K182" s="10500"/>
      <c r="L182" s="10500"/>
      <c r="M182" s="10556"/>
      <c r="N182" s="10556"/>
      <c r="O182" s="10556"/>
      <c r="P182" s="10500"/>
      <c r="Q182" s="10500"/>
      <c r="R182" s="10508"/>
      <c r="S182" s="3787"/>
      <c r="T182" s="7372"/>
      <c r="U182" s="7372"/>
      <c r="V182" s="3820"/>
      <c r="W182" s="7391"/>
      <c r="X182" s="3689"/>
      <c r="Y182" s="7412"/>
      <c r="Z182" s="5552"/>
      <c r="AA182" s="5552"/>
      <c r="AB182" s="7400"/>
      <c r="AC182" s="5779"/>
      <c r="AD182" s="3664"/>
      <c r="AE182" s="3689"/>
      <c r="AF182" s="3689"/>
      <c r="AG182" s="3689"/>
      <c r="AH182" s="10642"/>
      <c r="AI182" s="466"/>
      <c r="AJ182" s="100"/>
      <c r="AK182" s="100"/>
      <c r="AL182" s="100"/>
    </row>
    <row r="183" spans="1:38" ht="27" customHeight="1" thickTop="1" thickBot="1">
      <c r="A183" s="10423"/>
      <c r="B183" s="10616"/>
      <c r="C183" s="10602"/>
      <c r="D183" s="10566"/>
      <c r="E183" s="10566"/>
      <c r="F183" s="10566"/>
      <c r="G183" s="10567"/>
      <c r="H183" s="10566"/>
      <c r="I183" s="10566"/>
      <c r="J183" s="10566"/>
      <c r="K183" s="10566"/>
      <c r="L183" s="10566"/>
      <c r="M183" s="10581"/>
      <c r="N183" s="10581"/>
      <c r="O183" s="10581"/>
      <c r="P183" s="10566"/>
      <c r="Q183" s="10566"/>
      <c r="R183" s="10588"/>
      <c r="S183" s="3788"/>
      <c r="T183" s="7373"/>
      <c r="U183" s="7373"/>
      <c r="V183" s="3821"/>
      <c r="W183" s="7392"/>
      <c r="X183" s="3705"/>
      <c r="Y183" s="7413"/>
      <c r="Z183" s="7413"/>
      <c r="AA183" s="7413"/>
      <c r="AB183" s="7413"/>
      <c r="AC183" s="5835"/>
      <c r="AD183" s="3702"/>
      <c r="AE183" s="3705"/>
      <c r="AF183" s="3705"/>
      <c r="AG183" s="3705"/>
      <c r="AH183" s="10643"/>
      <c r="AI183" s="466"/>
      <c r="AJ183" s="100"/>
      <c r="AK183" s="100"/>
      <c r="AL183" s="100"/>
    </row>
    <row r="184" spans="1:38" s="4835" customFormat="1" ht="22.5" customHeight="1" thickTop="1" thickBot="1">
      <c r="A184" s="10423"/>
      <c r="B184" s="10616"/>
      <c r="C184" s="10621"/>
      <c r="D184" s="10621"/>
      <c r="E184" s="10621"/>
      <c r="F184" s="10621"/>
      <c r="G184" s="10621"/>
      <c r="H184" s="10621"/>
      <c r="I184" s="10621"/>
      <c r="J184" s="10621"/>
      <c r="K184" s="10621"/>
      <c r="L184" s="10621"/>
      <c r="M184" s="10621"/>
      <c r="N184" s="10621"/>
      <c r="O184" s="10621"/>
      <c r="P184" s="10621"/>
      <c r="Q184" s="10621"/>
      <c r="R184" s="10622"/>
      <c r="S184" s="9197" t="s">
        <v>3964</v>
      </c>
      <c r="T184" s="9197"/>
      <c r="U184" s="9197"/>
      <c r="V184" s="9197"/>
      <c r="W184" s="9197"/>
      <c r="X184" s="9197"/>
      <c r="Y184" s="9197"/>
      <c r="Z184" s="9197"/>
      <c r="AA184" s="6112" t="s">
        <v>292</v>
      </c>
      <c r="AB184" s="7427">
        <f>SUM(AB154:AB183)</f>
        <v>500</v>
      </c>
      <c r="AC184" s="6113"/>
      <c r="AD184" s="5949"/>
      <c r="AE184" s="9628"/>
      <c r="AF184" s="10632"/>
      <c r="AG184" s="10632"/>
      <c r="AH184" s="10633"/>
      <c r="AI184" s="6110"/>
      <c r="AJ184" s="6111"/>
      <c r="AK184" s="6111"/>
      <c r="AL184" s="6111"/>
    </row>
    <row r="185" spans="1:38" ht="40.5" customHeight="1" thickTop="1" thickBot="1">
      <c r="A185" s="10423"/>
      <c r="B185" s="10616" t="s">
        <v>3965</v>
      </c>
      <c r="C185" s="10518" t="s">
        <v>127</v>
      </c>
      <c r="D185" s="10452" t="s">
        <v>128</v>
      </c>
      <c r="E185" s="10452" t="s">
        <v>129</v>
      </c>
      <c r="F185" s="10452" t="s">
        <v>268</v>
      </c>
      <c r="G185" s="10454" t="s">
        <v>131</v>
      </c>
      <c r="H185" s="10452" t="s">
        <v>132</v>
      </c>
      <c r="I185" s="10452" t="s">
        <v>214</v>
      </c>
      <c r="J185" s="10452" t="s">
        <v>3966</v>
      </c>
      <c r="K185" s="10452" t="s">
        <v>3967</v>
      </c>
      <c r="L185" s="10452" t="s">
        <v>3968</v>
      </c>
      <c r="M185" s="10587">
        <v>5</v>
      </c>
      <c r="N185" s="10587">
        <v>10</v>
      </c>
      <c r="O185" s="10587">
        <v>25</v>
      </c>
      <c r="P185" s="10452" t="s">
        <v>3969</v>
      </c>
      <c r="Q185" s="10452" t="s">
        <v>3970</v>
      </c>
      <c r="R185" s="10453" t="s">
        <v>3971</v>
      </c>
      <c r="S185" s="3834"/>
      <c r="T185" s="5679"/>
      <c r="U185" s="5679"/>
      <c r="V185" s="3764"/>
      <c r="W185" s="5498"/>
      <c r="X185" s="3683"/>
      <c r="Y185" s="5550"/>
      <c r="Z185" s="5550"/>
      <c r="AA185" s="5550"/>
      <c r="AB185" s="5551"/>
      <c r="AC185" s="5816"/>
      <c r="AD185" s="3682"/>
      <c r="AE185" s="3683"/>
      <c r="AF185" s="3684"/>
      <c r="AG185" s="3684"/>
      <c r="AH185" s="10531"/>
      <c r="AI185" s="466"/>
      <c r="AJ185" s="100"/>
      <c r="AK185" s="100"/>
      <c r="AL185" s="100"/>
    </row>
    <row r="186" spans="1:38" ht="40.5" customHeight="1" thickTop="1" thickBot="1">
      <c r="A186" s="10423"/>
      <c r="B186" s="10616"/>
      <c r="C186" s="10592"/>
      <c r="D186" s="10500"/>
      <c r="E186" s="10500"/>
      <c r="F186" s="10500"/>
      <c r="G186" s="10502"/>
      <c r="H186" s="10500"/>
      <c r="I186" s="10500"/>
      <c r="J186" s="10500"/>
      <c r="K186" s="10500"/>
      <c r="L186" s="10500"/>
      <c r="M186" s="10556"/>
      <c r="N186" s="10556"/>
      <c r="O186" s="10556"/>
      <c r="P186" s="10500"/>
      <c r="Q186" s="10500"/>
      <c r="R186" s="10508"/>
      <c r="S186" s="3538"/>
      <c r="T186" s="5681"/>
      <c r="U186" s="5681"/>
      <c r="V186" s="3495"/>
      <c r="W186" s="5499"/>
      <c r="X186" s="3496"/>
      <c r="Y186" s="5552"/>
      <c r="Z186" s="5552"/>
      <c r="AA186" s="5552"/>
      <c r="AB186" s="5553"/>
      <c r="AC186" s="5817"/>
      <c r="AD186" s="3665"/>
      <c r="AE186" s="3496"/>
      <c r="AF186" s="3666"/>
      <c r="AG186" s="3666"/>
      <c r="AH186" s="10563"/>
      <c r="AI186" s="466"/>
      <c r="AJ186" s="100"/>
      <c r="AK186" s="100"/>
      <c r="AL186" s="100"/>
    </row>
    <row r="187" spans="1:38" ht="40.5" customHeight="1" thickTop="1" thickBot="1">
      <c r="A187" s="10423"/>
      <c r="B187" s="10616"/>
      <c r="C187" s="10592"/>
      <c r="D187" s="10500"/>
      <c r="E187" s="10500"/>
      <c r="F187" s="10500"/>
      <c r="G187" s="10502"/>
      <c r="H187" s="10500"/>
      <c r="I187" s="10500"/>
      <c r="J187" s="10500"/>
      <c r="K187" s="10500"/>
      <c r="L187" s="10500"/>
      <c r="M187" s="10556"/>
      <c r="N187" s="10556"/>
      <c r="O187" s="10556"/>
      <c r="P187" s="10500"/>
      <c r="Q187" s="10500"/>
      <c r="R187" s="10508"/>
      <c r="S187" s="3777"/>
      <c r="T187" s="7372"/>
      <c r="U187" s="7372"/>
      <c r="V187" s="3822"/>
      <c r="W187" s="5510"/>
      <c r="X187" s="3678"/>
      <c r="Y187" s="5803"/>
      <c r="Z187" s="5552"/>
      <c r="AA187" s="5552"/>
      <c r="AB187" s="5809"/>
      <c r="AC187" s="7420"/>
      <c r="AD187" s="3679"/>
      <c r="AE187" s="3678"/>
      <c r="AF187" s="3675"/>
      <c r="AG187" s="3675"/>
      <c r="AH187" s="10563"/>
      <c r="AI187" s="466"/>
      <c r="AJ187" s="100"/>
      <c r="AK187" s="100"/>
      <c r="AL187" s="100"/>
    </row>
    <row r="188" spans="1:38" ht="40.5" customHeight="1" thickTop="1" thickBot="1">
      <c r="A188" s="10423"/>
      <c r="B188" s="10616"/>
      <c r="C188" s="10592"/>
      <c r="D188" s="10500"/>
      <c r="E188" s="10500"/>
      <c r="F188" s="10500"/>
      <c r="G188" s="10502"/>
      <c r="H188" s="10500"/>
      <c r="I188" s="10500"/>
      <c r="J188" s="10500"/>
      <c r="K188" s="10500"/>
      <c r="L188" s="10500"/>
      <c r="M188" s="10556"/>
      <c r="N188" s="10556"/>
      <c r="O188" s="10556"/>
      <c r="P188" s="10500"/>
      <c r="Q188" s="10500"/>
      <c r="R188" s="10508"/>
      <c r="S188" s="3777"/>
      <c r="T188" s="7372"/>
      <c r="U188" s="7372"/>
      <c r="V188" s="3822"/>
      <c r="W188" s="5510"/>
      <c r="X188" s="3678"/>
      <c r="Y188" s="5803"/>
      <c r="Z188" s="5552"/>
      <c r="AA188" s="5552"/>
      <c r="AB188" s="5809"/>
      <c r="AC188" s="7420"/>
      <c r="AD188" s="3679"/>
      <c r="AE188" s="3678"/>
      <c r="AF188" s="3675"/>
      <c r="AG188" s="3675"/>
      <c r="AH188" s="10563"/>
      <c r="AI188" s="466"/>
      <c r="AJ188" s="100"/>
      <c r="AK188" s="100"/>
      <c r="AL188" s="100"/>
    </row>
    <row r="189" spans="1:38" ht="40.5" customHeight="1" thickTop="1" thickBot="1">
      <c r="A189" s="10423"/>
      <c r="B189" s="10616"/>
      <c r="C189" s="10593"/>
      <c r="D189" s="10501"/>
      <c r="E189" s="10501"/>
      <c r="F189" s="10501"/>
      <c r="G189" s="10503"/>
      <c r="H189" s="10501"/>
      <c r="I189" s="10501"/>
      <c r="J189" s="10501"/>
      <c r="K189" s="10501"/>
      <c r="L189" s="10501"/>
      <c r="M189" s="10557"/>
      <c r="N189" s="10557"/>
      <c r="O189" s="10557"/>
      <c r="P189" s="10501"/>
      <c r="Q189" s="10501"/>
      <c r="R189" s="10509"/>
      <c r="S189" s="3789"/>
      <c r="T189" s="7374"/>
      <c r="U189" s="7374"/>
      <c r="V189" s="3823"/>
      <c r="W189" s="5514"/>
      <c r="X189" s="3747"/>
      <c r="Y189" s="5804"/>
      <c r="Z189" s="5804"/>
      <c r="AA189" s="5804"/>
      <c r="AB189" s="5805"/>
      <c r="AC189" s="7421"/>
      <c r="AD189" s="3748"/>
      <c r="AE189" s="3747"/>
      <c r="AF189" s="3728"/>
      <c r="AG189" s="3728"/>
      <c r="AH189" s="10564"/>
      <c r="AI189" s="466"/>
      <c r="AJ189" s="100"/>
      <c r="AK189" s="100"/>
      <c r="AL189" s="100"/>
    </row>
    <row r="190" spans="1:38" ht="36" customHeight="1" thickTop="1" thickBot="1">
      <c r="A190" s="10423"/>
      <c r="B190" s="10616"/>
      <c r="C190" s="10516" t="s">
        <v>127</v>
      </c>
      <c r="D190" s="10433" t="s">
        <v>128</v>
      </c>
      <c r="E190" s="10433" t="s">
        <v>129</v>
      </c>
      <c r="F190" s="10433" t="s">
        <v>268</v>
      </c>
      <c r="G190" s="10442" t="s">
        <v>131</v>
      </c>
      <c r="H190" s="10433" t="s">
        <v>132</v>
      </c>
      <c r="I190" s="10433" t="s">
        <v>214</v>
      </c>
      <c r="J190" s="10433" t="s">
        <v>3972</v>
      </c>
      <c r="K190" s="10433" t="s">
        <v>3973</v>
      </c>
      <c r="L190" s="10433" t="s">
        <v>3974</v>
      </c>
      <c r="M190" s="10555">
        <v>25</v>
      </c>
      <c r="N190" s="10555">
        <v>50</v>
      </c>
      <c r="O190" s="10555">
        <v>100</v>
      </c>
      <c r="P190" s="10433" t="s">
        <v>3975</v>
      </c>
      <c r="Q190" s="10433" t="s">
        <v>3976</v>
      </c>
      <c r="R190" s="10439" t="s">
        <v>3971</v>
      </c>
      <c r="S190" s="3776"/>
      <c r="T190" s="5684"/>
      <c r="U190" s="5684"/>
      <c r="V190" s="3762"/>
      <c r="W190" s="5502"/>
      <c r="X190" s="3709"/>
      <c r="Y190" s="5556"/>
      <c r="Z190" s="5556"/>
      <c r="AA190" s="5556"/>
      <c r="AB190" s="5557"/>
      <c r="AC190" s="5819"/>
      <c r="AD190" s="3723"/>
      <c r="AE190" s="3709"/>
      <c r="AF190" s="3746"/>
      <c r="AG190" s="3746"/>
      <c r="AH190" s="10481"/>
      <c r="AI190" s="466"/>
      <c r="AJ190" s="100"/>
      <c r="AK190" s="100"/>
      <c r="AL190" s="100"/>
    </row>
    <row r="191" spans="1:38" ht="36" customHeight="1" thickTop="1" thickBot="1">
      <c r="A191" s="10423"/>
      <c r="B191" s="10616"/>
      <c r="C191" s="10592"/>
      <c r="D191" s="10500"/>
      <c r="E191" s="10500"/>
      <c r="F191" s="10500"/>
      <c r="G191" s="10502"/>
      <c r="H191" s="10500"/>
      <c r="I191" s="10500"/>
      <c r="J191" s="10500"/>
      <c r="K191" s="10500"/>
      <c r="L191" s="10500"/>
      <c r="M191" s="10556"/>
      <c r="N191" s="10556"/>
      <c r="O191" s="10556"/>
      <c r="P191" s="10500"/>
      <c r="Q191" s="10500"/>
      <c r="R191" s="10508"/>
      <c r="S191" s="3538"/>
      <c r="T191" s="5681"/>
      <c r="U191" s="5681"/>
      <c r="V191" s="3495"/>
      <c r="W191" s="5499"/>
      <c r="X191" s="3496"/>
      <c r="Y191" s="5552"/>
      <c r="Z191" s="5552"/>
      <c r="AA191" s="5552"/>
      <c r="AB191" s="5553"/>
      <c r="AC191" s="5817"/>
      <c r="AD191" s="3665"/>
      <c r="AE191" s="3496"/>
      <c r="AF191" s="3496"/>
      <c r="AG191" s="3690"/>
      <c r="AH191" s="10563"/>
      <c r="AI191" s="466"/>
      <c r="AJ191" s="100"/>
      <c r="AK191" s="100"/>
      <c r="AL191" s="100"/>
    </row>
    <row r="192" spans="1:38" ht="36" customHeight="1" thickTop="1" thickBot="1">
      <c r="A192" s="10423"/>
      <c r="B192" s="10616"/>
      <c r="C192" s="10592"/>
      <c r="D192" s="10500"/>
      <c r="E192" s="10500"/>
      <c r="F192" s="10500"/>
      <c r="G192" s="10502"/>
      <c r="H192" s="10500"/>
      <c r="I192" s="10500"/>
      <c r="J192" s="10500"/>
      <c r="K192" s="10500"/>
      <c r="L192" s="10500"/>
      <c r="M192" s="10556"/>
      <c r="N192" s="10556"/>
      <c r="O192" s="10556"/>
      <c r="P192" s="10500"/>
      <c r="Q192" s="10500"/>
      <c r="R192" s="10508"/>
      <c r="S192" s="3538"/>
      <c r="T192" s="5681"/>
      <c r="U192" s="5681"/>
      <c r="V192" s="3495"/>
      <c r="W192" s="5499"/>
      <c r="X192" s="3496"/>
      <c r="Y192" s="5552"/>
      <c r="Z192" s="5552"/>
      <c r="AA192" s="5552"/>
      <c r="AB192" s="5809"/>
      <c r="AC192" s="7420"/>
      <c r="AD192" s="3679"/>
      <c r="AE192" s="3496"/>
      <c r="AF192" s="3496"/>
      <c r="AG192" s="3666"/>
      <c r="AH192" s="10563"/>
      <c r="AI192" s="466"/>
      <c r="AJ192" s="100"/>
      <c r="AK192" s="100"/>
      <c r="AL192" s="100"/>
    </row>
    <row r="193" spans="1:38" ht="36" customHeight="1" thickTop="1" thickBot="1">
      <c r="A193" s="10423"/>
      <c r="B193" s="10616"/>
      <c r="C193" s="10592"/>
      <c r="D193" s="10500"/>
      <c r="E193" s="10500"/>
      <c r="F193" s="10500"/>
      <c r="G193" s="10502"/>
      <c r="H193" s="10500"/>
      <c r="I193" s="10500"/>
      <c r="J193" s="10500"/>
      <c r="K193" s="10500"/>
      <c r="L193" s="10500"/>
      <c r="M193" s="10556"/>
      <c r="N193" s="10556"/>
      <c r="O193" s="10556"/>
      <c r="P193" s="10500"/>
      <c r="Q193" s="10500"/>
      <c r="R193" s="10508"/>
      <c r="S193" s="3538"/>
      <c r="T193" s="5681"/>
      <c r="U193" s="5681"/>
      <c r="V193" s="3495"/>
      <c r="W193" s="5499"/>
      <c r="X193" s="3496"/>
      <c r="Y193" s="5552"/>
      <c r="Z193" s="5552"/>
      <c r="AA193" s="5552"/>
      <c r="AB193" s="5809"/>
      <c r="AC193" s="7420"/>
      <c r="AD193" s="3679"/>
      <c r="AE193" s="3496"/>
      <c r="AF193" s="3496"/>
      <c r="AG193" s="3666"/>
      <c r="AH193" s="10563"/>
      <c r="AI193" s="466"/>
      <c r="AJ193" s="100"/>
      <c r="AK193" s="100"/>
      <c r="AL193" s="100"/>
    </row>
    <row r="194" spans="1:38" ht="36" customHeight="1" thickTop="1" thickBot="1">
      <c r="A194" s="10423"/>
      <c r="B194" s="10616"/>
      <c r="C194" s="10602"/>
      <c r="D194" s="10566"/>
      <c r="E194" s="10566"/>
      <c r="F194" s="10566"/>
      <c r="G194" s="10567"/>
      <c r="H194" s="10566"/>
      <c r="I194" s="10566"/>
      <c r="J194" s="10566"/>
      <c r="K194" s="10566"/>
      <c r="L194" s="10566"/>
      <c r="M194" s="10581"/>
      <c r="N194" s="10581"/>
      <c r="O194" s="10581"/>
      <c r="P194" s="10566"/>
      <c r="Q194" s="10566"/>
      <c r="R194" s="10588"/>
      <c r="S194" s="3543"/>
      <c r="T194" s="5696"/>
      <c r="U194" s="5696"/>
      <c r="V194" s="3557"/>
      <c r="W194" s="5503"/>
      <c r="X194" s="3545"/>
      <c r="Y194" s="5558"/>
      <c r="Z194" s="5558"/>
      <c r="AA194" s="5558"/>
      <c r="AB194" s="5559"/>
      <c r="AC194" s="5830"/>
      <c r="AD194" s="3706"/>
      <c r="AE194" s="3545"/>
      <c r="AF194" s="3545"/>
      <c r="AG194" s="3707"/>
      <c r="AH194" s="10565"/>
      <c r="AI194" s="466"/>
      <c r="AJ194" s="100"/>
      <c r="AK194" s="100"/>
      <c r="AL194" s="100"/>
    </row>
    <row r="195" spans="1:38" ht="36" customHeight="1" thickTop="1" thickBot="1">
      <c r="A195" s="10423"/>
      <c r="B195" s="10616"/>
      <c r="C195" s="10512" t="s">
        <v>127</v>
      </c>
      <c r="D195" s="10444" t="s">
        <v>128</v>
      </c>
      <c r="E195" s="10444" t="s">
        <v>129</v>
      </c>
      <c r="F195" s="10444" t="s">
        <v>268</v>
      </c>
      <c r="G195" s="10451" t="s">
        <v>131</v>
      </c>
      <c r="H195" s="10444" t="s">
        <v>132</v>
      </c>
      <c r="I195" s="10444" t="s">
        <v>214</v>
      </c>
      <c r="J195" s="10451" t="s">
        <v>3977</v>
      </c>
      <c r="K195" s="10444" t="s">
        <v>3978</v>
      </c>
      <c r="L195" s="10444" t="s">
        <v>3979</v>
      </c>
      <c r="M195" s="10561">
        <v>0</v>
      </c>
      <c r="N195" s="10561">
        <v>0</v>
      </c>
      <c r="O195" s="10561">
        <v>0</v>
      </c>
      <c r="P195" s="10444" t="s">
        <v>3980</v>
      </c>
      <c r="Q195" s="10444" t="s">
        <v>3981</v>
      </c>
      <c r="R195" s="10449" t="s">
        <v>3971</v>
      </c>
      <c r="S195" s="3767"/>
      <c r="T195" s="5689"/>
      <c r="U195" s="5689"/>
      <c r="V195" s="3758"/>
      <c r="W195" s="5504"/>
      <c r="X195" s="3658"/>
      <c r="Y195" s="5560"/>
      <c r="Z195" s="5560"/>
      <c r="AA195" s="5560"/>
      <c r="AB195" s="5561"/>
      <c r="AC195" s="5831"/>
      <c r="AD195" s="3659"/>
      <c r="AE195" s="3658"/>
      <c r="AF195" s="3660"/>
      <c r="AG195" s="3660"/>
      <c r="AH195" s="10464" t="s">
        <v>3982</v>
      </c>
      <c r="AI195" s="466"/>
      <c r="AJ195" s="100"/>
      <c r="AK195" s="100"/>
      <c r="AL195" s="100"/>
    </row>
    <row r="196" spans="1:38" ht="36" customHeight="1" thickTop="1" thickBot="1">
      <c r="A196" s="10423"/>
      <c r="B196" s="10616"/>
      <c r="C196" s="10592"/>
      <c r="D196" s="10500"/>
      <c r="E196" s="10500"/>
      <c r="F196" s="10500"/>
      <c r="G196" s="10502"/>
      <c r="H196" s="10500"/>
      <c r="I196" s="10500"/>
      <c r="J196" s="10502"/>
      <c r="K196" s="10500"/>
      <c r="L196" s="10500"/>
      <c r="M196" s="10556"/>
      <c r="N196" s="10556"/>
      <c r="O196" s="10556"/>
      <c r="P196" s="10500"/>
      <c r="Q196" s="10500"/>
      <c r="R196" s="10508"/>
      <c r="S196" s="3538"/>
      <c r="T196" s="5681"/>
      <c r="U196" s="5681"/>
      <c r="V196" s="3495"/>
      <c r="W196" s="5499"/>
      <c r="X196" s="3496"/>
      <c r="Y196" s="5552"/>
      <c r="Z196" s="5552"/>
      <c r="AA196" s="5552"/>
      <c r="AB196" s="5553"/>
      <c r="AC196" s="5817"/>
      <c r="AD196" s="3665"/>
      <c r="AE196" s="3496"/>
      <c r="AF196" s="3666"/>
      <c r="AG196" s="3666"/>
      <c r="AH196" s="10589"/>
      <c r="AI196" s="466"/>
      <c r="AJ196" s="100"/>
      <c r="AK196" s="100"/>
      <c r="AL196" s="100"/>
    </row>
    <row r="197" spans="1:38" ht="36" customHeight="1" thickTop="1" thickBot="1">
      <c r="A197" s="10423"/>
      <c r="B197" s="10616"/>
      <c r="C197" s="10592"/>
      <c r="D197" s="10500"/>
      <c r="E197" s="10500"/>
      <c r="F197" s="10500"/>
      <c r="G197" s="10502"/>
      <c r="H197" s="10500"/>
      <c r="I197" s="10500"/>
      <c r="J197" s="10502"/>
      <c r="K197" s="10500"/>
      <c r="L197" s="10500"/>
      <c r="M197" s="10556"/>
      <c r="N197" s="10556"/>
      <c r="O197" s="10556"/>
      <c r="P197" s="10500"/>
      <c r="Q197" s="10500"/>
      <c r="R197" s="10508"/>
      <c r="S197" s="3538"/>
      <c r="T197" s="5681"/>
      <c r="U197" s="5681"/>
      <c r="V197" s="3495"/>
      <c r="W197" s="5499"/>
      <c r="X197" s="3496"/>
      <c r="Y197" s="5552"/>
      <c r="Z197" s="5552"/>
      <c r="AA197" s="5552"/>
      <c r="AB197" s="5809"/>
      <c r="AC197" s="7420"/>
      <c r="AD197" s="3679"/>
      <c r="AE197" s="3496"/>
      <c r="AF197" s="3666"/>
      <c r="AG197" s="3666"/>
      <c r="AH197" s="10589"/>
      <c r="AI197" s="466"/>
      <c r="AJ197" s="100"/>
      <c r="AK197" s="100"/>
      <c r="AL197" s="100"/>
    </row>
    <row r="198" spans="1:38" ht="36" customHeight="1" thickTop="1" thickBot="1">
      <c r="A198" s="10423"/>
      <c r="B198" s="10616"/>
      <c r="C198" s="10592"/>
      <c r="D198" s="10500"/>
      <c r="E198" s="10500"/>
      <c r="F198" s="10500"/>
      <c r="G198" s="10502"/>
      <c r="H198" s="10500"/>
      <c r="I198" s="10500"/>
      <c r="J198" s="10502"/>
      <c r="K198" s="10500"/>
      <c r="L198" s="10500"/>
      <c r="M198" s="10556"/>
      <c r="N198" s="10556"/>
      <c r="O198" s="10556"/>
      <c r="P198" s="10500"/>
      <c r="Q198" s="10500"/>
      <c r="R198" s="10508"/>
      <c r="S198" s="3538"/>
      <c r="T198" s="5681"/>
      <c r="U198" s="5681"/>
      <c r="V198" s="3495"/>
      <c r="W198" s="5499"/>
      <c r="X198" s="3496"/>
      <c r="Y198" s="5552"/>
      <c r="Z198" s="5552"/>
      <c r="AA198" s="5552"/>
      <c r="AB198" s="5809"/>
      <c r="AC198" s="7420"/>
      <c r="AD198" s="3679"/>
      <c r="AE198" s="3496"/>
      <c r="AF198" s="3666"/>
      <c r="AG198" s="3666"/>
      <c r="AH198" s="10589"/>
      <c r="AI198" s="466"/>
      <c r="AJ198" s="100"/>
      <c r="AK198" s="100"/>
      <c r="AL198" s="100"/>
    </row>
    <row r="199" spans="1:38" ht="36" customHeight="1" thickTop="1" thickBot="1">
      <c r="A199" s="10423"/>
      <c r="B199" s="10616"/>
      <c r="C199" s="10593"/>
      <c r="D199" s="10501"/>
      <c r="E199" s="10501"/>
      <c r="F199" s="10501"/>
      <c r="G199" s="10503"/>
      <c r="H199" s="10501"/>
      <c r="I199" s="10501"/>
      <c r="J199" s="10503"/>
      <c r="K199" s="10501"/>
      <c r="L199" s="10501"/>
      <c r="M199" s="10557"/>
      <c r="N199" s="10557"/>
      <c r="O199" s="10557"/>
      <c r="P199" s="10501"/>
      <c r="Q199" s="10501"/>
      <c r="R199" s="10509"/>
      <c r="S199" s="3768"/>
      <c r="T199" s="5683"/>
      <c r="U199" s="5683"/>
      <c r="V199" s="3759"/>
      <c r="W199" s="5509"/>
      <c r="X199" s="3714"/>
      <c r="Y199" s="5554"/>
      <c r="Z199" s="5554"/>
      <c r="AA199" s="5554"/>
      <c r="AB199" s="5555"/>
      <c r="AC199" s="5818"/>
      <c r="AD199" s="3717"/>
      <c r="AE199" s="3714"/>
      <c r="AF199" s="3718"/>
      <c r="AG199" s="3718"/>
      <c r="AH199" s="10590"/>
      <c r="AI199" s="466"/>
      <c r="AJ199" s="100"/>
      <c r="AK199" s="100"/>
      <c r="AL199" s="100"/>
    </row>
    <row r="200" spans="1:38" ht="34.5" customHeight="1" thickTop="1" thickBot="1">
      <c r="A200" s="10423"/>
      <c r="B200" s="10616"/>
      <c r="C200" s="10516" t="s">
        <v>127</v>
      </c>
      <c r="D200" s="10433" t="s">
        <v>128</v>
      </c>
      <c r="E200" s="10433" t="s">
        <v>129</v>
      </c>
      <c r="F200" s="10433" t="s">
        <v>268</v>
      </c>
      <c r="G200" s="10442" t="s">
        <v>131</v>
      </c>
      <c r="H200" s="10433" t="s">
        <v>132</v>
      </c>
      <c r="I200" s="10433" t="s">
        <v>214</v>
      </c>
      <c r="J200" s="10433" t="s">
        <v>3983</v>
      </c>
      <c r="K200" s="10433" t="s">
        <v>3984</v>
      </c>
      <c r="L200" s="10433" t="s">
        <v>3985</v>
      </c>
      <c r="M200" s="10555">
        <v>0</v>
      </c>
      <c r="N200" s="10555">
        <v>0</v>
      </c>
      <c r="O200" s="10555">
        <v>0</v>
      </c>
      <c r="P200" s="10433" t="s">
        <v>3986</v>
      </c>
      <c r="Q200" s="10433" t="s">
        <v>3987</v>
      </c>
      <c r="R200" s="10439" t="s">
        <v>3971</v>
      </c>
      <c r="S200" s="3776"/>
      <c r="T200" s="5684"/>
      <c r="U200" s="5684"/>
      <c r="V200" s="3762"/>
      <c r="W200" s="5502"/>
      <c r="X200" s="3709"/>
      <c r="Y200" s="5556"/>
      <c r="Z200" s="5556"/>
      <c r="AA200" s="5556"/>
      <c r="AB200" s="5557"/>
      <c r="AC200" s="5819"/>
      <c r="AD200" s="3723"/>
      <c r="AE200" s="3709"/>
      <c r="AF200" s="3724"/>
      <c r="AG200" s="3724"/>
      <c r="AH200" s="10525" t="s">
        <v>3982</v>
      </c>
      <c r="AI200" s="466"/>
      <c r="AJ200" s="100"/>
      <c r="AK200" s="100"/>
      <c r="AL200" s="100"/>
    </row>
    <row r="201" spans="1:38" ht="34.5" customHeight="1" thickTop="1" thickBot="1">
      <c r="A201" s="10423"/>
      <c r="B201" s="10616"/>
      <c r="C201" s="10592"/>
      <c r="D201" s="10500"/>
      <c r="E201" s="10500"/>
      <c r="F201" s="10500"/>
      <c r="G201" s="10502"/>
      <c r="H201" s="10500"/>
      <c r="I201" s="10500"/>
      <c r="J201" s="10500"/>
      <c r="K201" s="10500"/>
      <c r="L201" s="10500"/>
      <c r="M201" s="10556"/>
      <c r="N201" s="10556"/>
      <c r="O201" s="10556"/>
      <c r="P201" s="10500"/>
      <c r="Q201" s="10500"/>
      <c r="R201" s="10508"/>
      <c r="S201" s="3538"/>
      <c r="T201" s="5681"/>
      <c r="U201" s="5681"/>
      <c r="V201" s="3495"/>
      <c r="W201" s="5499"/>
      <c r="X201" s="3496"/>
      <c r="Y201" s="5552"/>
      <c r="Z201" s="5552"/>
      <c r="AA201" s="5552"/>
      <c r="AB201" s="5553"/>
      <c r="AC201" s="5817"/>
      <c r="AD201" s="3665"/>
      <c r="AE201" s="3496"/>
      <c r="AF201" s="3666"/>
      <c r="AG201" s="3666"/>
      <c r="AH201" s="10589"/>
      <c r="AI201" s="466"/>
      <c r="AJ201" s="100"/>
      <c r="AK201" s="100"/>
      <c r="AL201" s="100"/>
    </row>
    <row r="202" spans="1:38" ht="34.5" customHeight="1" thickTop="1" thickBot="1">
      <c r="A202" s="10423"/>
      <c r="B202" s="10616"/>
      <c r="C202" s="10592"/>
      <c r="D202" s="10500"/>
      <c r="E202" s="10500"/>
      <c r="F202" s="10500"/>
      <c r="G202" s="10502"/>
      <c r="H202" s="10500"/>
      <c r="I202" s="10500"/>
      <c r="J202" s="10500"/>
      <c r="K202" s="10500"/>
      <c r="L202" s="10500"/>
      <c r="M202" s="10556"/>
      <c r="N202" s="10556"/>
      <c r="O202" s="10556"/>
      <c r="P202" s="10500"/>
      <c r="Q202" s="10500"/>
      <c r="R202" s="10508"/>
      <c r="S202" s="3538"/>
      <c r="T202" s="5681"/>
      <c r="U202" s="5681"/>
      <c r="V202" s="3495"/>
      <c r="W202" s="5499"/>
      <c r="X202" s="3496"/>
      <c r="Y202" s="5552"/>
      <c r="Z202" s="5552"/>
      <c r="AA202" s="5552"/>
      <c r="AB202" s="5809"/>
      <c r="AC202" s="7420"/>
      <c r="AD202" s="3679"/>
      <c r="AE202" s="3496"/>
      <c r="AF202" s="3666"/>
      <c r="AG202" s="3666"/>
      <c r="AH202" s="10589"/>
      <c r="AI202" s="466"/>
      <c r="AJ202" s="100"/>
      <c r="AK202" s="100"/>
      <c r="AL202" s="100"/>
    </row>
    <row r="203" spans="1:38" ht="34.5" customHeight="1" thickTop="1" thickBot="1">
      <c r="A203" s="10423"/>
      <c r="B203" s="10616"/>
      <c r="C203" s="10592"/>
      <c r="D203" s="10500"/>
      <c r="E203" s="10500"/>
      <c r="F203" s="10500"/>
      <c r="G203" s="10502"/>
      <c r="H203" s="10500"/>
      <c r="I203" s="10500"/>
      <c r="J203" s="10500"/>
      <c r="K203" s="10500"/>
      <c r="L203" s="10500"/>
      <c r="M203" s="10556"/>
      <c r="N203" s="10556"/>
      <c r="O203" s="10556"/>
      <c r="P203" s="10500"/>
      <c r="Q203" s="10500"/>
      <c r="R203" s="10508"/>
      <c r="S203" s="3538"/>
      <c r="T203" s="5681"/>
      <c r="U203" s="5681"/>
      <c r="V203" s="3495"/>
      <c r="W203" s="5499"/>
      <c r="X203" s="3496"/>
      <c r="Y203" s="5552"/>
      <c r="Z203" s="5552"/>
      <c r="AA203" s="5552"/>
      <c r="AB203" s="5809"/>
      <c r="AC203" s="7420"/>
      <c r="AD203" s="3679"/>
      <c r="AE203" s="3496"/>
      <c r="AF203" s="3666"/>
      <c r="AG203" s="3666"/>
      <c r="AH203" s="10589"/>
      <c r="AI203" s="466"/>
      <c r="AJ203" s="100"/>
      <c r="AK203" s="100"/>
      <c r="AL203" s="100"/>
    </row>
    <row r="204" spans="1:38" ht="34.5" customHeight="1" thickTop="1" thickBot="1">
      <c r="A204" s="10423"/>
      <c r="B204" s="10616"/>
      <c r="C204" s="10602"/>
      <c r="D204" s="10566"/>
      <c r="E204" s="10566"/>
      <c r="F204" s="10566"/>
      <c r="G204" s="10567"/>
      <c r="H204" s="10566"/>
      <c r="I204" s="10566"/>
      <c r="J204" s="10566"/>
      <c r="K204" s="10566"/>
      <c r="L204" s="10566"/>
      <c r="M204" s="10581"/>
      <c r="N204" s="10581"/>
      <c r="O204" s="10581"/>
      <c r="P204" s="10566"/>
      <c r="Q204" s="10566"/>
      <c r="R204" s="10588"/>
      <c r="S204" s="3543"/>
      <c r="T204" s="5696"/>
      <c r="U204" s="5696"/>
      <c r="V204" s="3557"/>
      <c r="W204" s="5503"/>
      <c r="X204" s="3545"/>
      <c r="Y204" s="5558"/>
      <c r="Z204" s="5558"/>
      <c r="AA204" s="5558"/>
      <c r="AB204" s="5559"/>
      <c r="AC204" s="5830"/>
      <c r="AD204" s="3706"/>
      <c r="AE204" s="3545"/>
      <c r="AF204" s="3707"/>
      <c r="AG204" s="3707"/>
      <c r="AH204" s="10625"/>
      <c r="AI204" s="466"/>
      <c r="AJ204" s="100"/>
      <c r="AK204" s="100"/>
      <c r="AL204" s="100"/>
    </row>
    <row r="205" spans="1:38" ht="36" customHeight="1" thickTop="1" thickBot="1">
      <c r="A205" s="10423"/>
      <c r="B205" s="10616"/>
      <c r="C205" s="10512" t="s">
        <v>127</v>
      </c>
      <c r="D205" s="10444" t="s">
        <v>128</v>
      </c>
      <c r="E205" s="10444" t="s">
        <v>129</v>
      </c>
      <c r="F205" s="10444" t="s">
        <v>268</v>
      </c>
      <c r="G205" s="10451" t="s">
        <v>131</v>
      </c>
      <c r="H205" s="10444" t="s">
        <v>132</v>
      </c>
      <c r="I205" s="10444" t="s">
        <v>214</v>
      </c>
      <c r="J205" s="10444" t="s">
        <v>3988</v>
      </c>
      <c r="K205" s="10444" t="s">
        <v>3989</v>
      </c>
      <c r="L205" s="10444" t="s">
        <v>3990</v>
      </c>
      <c r="M205" s="10561">
        <v>5</v>
      </c>
      <c r="N205" s="10561">
        <v>5</v>
      </c>
      <c r="O205" s="10561">
        <v>5</v>
      </c>
      <c r="P205" s="10444" t="s">
        <v>3991</v>
      </c>
      <c r="Q205" s="10444" t="s">
        <v>3992</v>
      </c>
      <c r="R205" s="10449" t="s">
        <v>3971</v>
      </c>
      <c r="S205" s="4296" t="s">
        <v>15</v>
      </c>
      <c r="T205" s="7367">
        <v>840107</v>
      </c>
      <c r="U205" s="7367"/>
      <c r="V205" s="4278" t="s">
        <v>40</v>
      </c>
      <c r="W205" s="5512"/>
      <c r="X205" s="3832"/>
      <c r="Y205" s="7401"/>
      <c r="Z205" s="7401"/>
      <c r="AA205" s="7401"/>
      <c r="AB205" s="5794">
        <f>SUM(AA206:AA207)</f>
        <v>3801.28</v>
      </c>
      <c r="AC205" s="7422" t="s">
        <v>18</v>
      </c>
      <c r="AD205" s="7666"/>
      <c r="AE205" s="3832"/>
      <c r="AF205" s="4297"/>
      <c r="AG205" s="4297"/>
      <c r="AH205" s="10478"/>
      <c r="AI205" s="466"/>
      <c r="AJ205" s="100"/>
      <c r="AK205" s="100"/>
      <c r="AL205" s="100"/>
    </row>
    <row r="206" spans="1:38" ht="36" customHeight="1" thickTop="1" thickBot="1">
      <c r="A206" s="10423"/>
      <c r="B206" s="10616"/>
      <c r="C206" s="10592"/>
      <c r="D206" s="10500"/>
      <c r="E206" s="10500"/>
      <c r="F206" s="10500"/>
      <c r="G206" s="10502"/>
      <c r="H206" s="10500"/>
      <c r="I206" s="10500"/>
      <c r="J206" s="10500"/>
      <c r="K206" s="10500"/>
      <c r="L206" s="10500"/>
      <c r="M206" s="10556"/>
      <c r="N206" s="10556"/>
      <c r="O206" s="10556"/>
      <c r="P206" s="10500"/>
      <c r="Q206" s="10500"/>
      <c r="R206" s="10508"/>
      <c r="S206" s="4298"/>
      <c r="T206" s="7360"/>
      <c r="U206" s="7360"/>
      <c r="V206" s="3804" t="s">
        <v>3993</v>
      </c>
      <c r="W206" s="5507">
        <v>2</v>
      </c>
      <c r="X206" s="3670" t="s">
        <v>180</v>
      </c>
      <c r="Y206" s="5795">
        <v>1482</v>
      </c>
      <c r="Z206" s="5795">
        <f>+W206*Y206</f>
        <v>2964</v>
      </c>
      <c r="AA206" s="5795">
        <f>+Z206*1.12</f>
        <v>3319.6800000000003</v>
      </c>
      <c r="AB206" s="5796"/>
      <c r="AC206" s="7423"/>
      <c r="AD206" s="4299"/>
      <c r="AE206" s="3670"/>
      <c r="AF206" s="4282"/>
      <c r="AG206" s="4282" t="s">
        <v>153</v>
      </c>
      <c r="AH206" s="10563"/>
      <c r="AI206" s="466"/>
      <c r="AJ206" s="100"/>
      <c r="AK206" s="100"/>
      <c r="AL206" s="100"/>
    </row>
    <row r="207" spans="1:38" ht="36" customHeight="1" thickTop="1" thickBot="1">
      <c r="A207" s="10423"/>
      <c r="B207" s="10616"/>
      <c r="C207" s="10592"/>
      <c r="D207" s="10500"/>
      <c r="E207" s="10500"/>
      <c r="F207" s="10500"/>
      <c r="G207" s="10502"/>
      <c r="H207" s="10500"/>
      <c r="I207" s="10500"/>
      <c r="J207" s="10500"/>
      <c r="K207" s="10500"/>
      <c r="L207" s="10500"/>
      <c r="M207" s="10556"/>
      <c r="N207" s="10556"/>
      <c r="O207" s="10556"/>
      <c r="P207" s="10500"/>
      <c r="Q207" s="10500"/>
      <c r="R207" s="10508"/>
      <c r="S207" s="4298"/>
      <c r="T207" s="7360"/>
      <c r="U207" s="7360"/>
      <c r="V207" s="3824" t="s">
        <v>3994</v>
      </c>
      <c r="W207" s="5513">
        <v>1</v>
      </c>
      <c r="X207" s="3751" t="s">
        <v>180</v>
      </c>
      <c r="Y207" s="7414">
        <v>430</v>
      </c>
      <c r="Z207" s="7414">
        <f>Y207*W207</f>
        <v>430</v>
      </c>
      <c r="AA207" s="7414">
        <f>Z207*1.12</f>
        <v>481.6</v>
      </c>
      <c r="AB207" s="5796"/>
      <c r="AC207" s="7423"/>
      <c r="AD207" s="4299"/>
      <c r="AE207" s="3670"/>
      <c r="AF207" s="4282"/>
      <c r="AG207" s="4282" t="s">
        <v>153</v>
      </c>
      <c r="AH207" s="10563"/>
      <c r="AI207" s="466"/>
      <c r="AJ207" s="100"/>
      <c r="AK207" s="100"/>
      <c r="AL207" s="100"/>
    </row>
    <row r="208" spans="1:38" ht="36" customHeight="1">
      <c r="A208" s="10423"/>
      <c r="B208" s="10616"/>
      <c r="C208" s="10592"/>
      <c r="D208" s="10500"/>
      <c r="E208" s="10500"/>
      <c r="F208" s="10500"/>
      <c r="G208" s="10502"/>
      <c r="H208" s="10500"/>
      <c r="I208" s="10500"/>
      <c r="J208" s="10500"/>
      <c r="K208" s="10500"/>
      <c r="L208" s="10500"/>
      <c r="M208" s="10556"/>
      <c r="N208" s="10556"/>
      <c r="O208" s="10556"/>
      <c r="P208" s="10500"/>
      <c r="Q208" s="10500"/>
      <c r="R208" s="10508"/>
      <c r="S208" s="4296" t="s">
        <v>15</v>
      </c>
      <c r="T208" s="7359">
        <v>840103</v>
      </c>
      <c r="U208" s="7360"/>
      <c r="V208" s="3799" t="s">
        <v>591</v>
      </c>
      <c r="W208" s="5507"/>
      <c r="X208" s="3670"/>
      <c r="Y208" s="5795"/>
      <c r="Z208" s="5795"/>
      <c r="AA208" s="5795"/>
      <c r="AB208" s="5796">
        <f>+AA209</f>
        <v>2660.5039999999999</v>
      </c>
      <c r="AC208" s="7422" t="s">
        <v>18</v>
      </c>
      <c r="AD208" s="4299"/>
      <c r="AE208" s="3670"/>
      <c r="AF208" s="4282"/>
      <c r="AG208" s="4282"/>
      <c r="AH208" s="10563"/>
      <c r="AI208" s="466"/>
      <c r="AJ208" s="100"/>
      <c r="AK208" s="100"/>
      <c r="AL208" s="100"/>
    </row>
    <row r="209" spans="1:38" ht="36" customHeight="1">
      <c r="A209" s="10423"/>
      <c r="B209" s="10616"/>
      <c r="C209" s="10593"/>
      <c r="D209" s="10501"/>
      <c r="E209" s="10501"/>
      <c r="F209" s="10501"/>
      <c r="G209" s="10503"/>
      <c r="H209" s="10501"/>
      <c r="I209" s="10501"/>
      <c r="J209" s="10501"/>
      <c r="K209" s="10501"/>
      <c r="L209" s="10501"/>
      <c r="M209" s="10557"/>
      <c r="N209" s="10557"/>
      <c r="O209" s="10557"/>
      <c r="P209" s="10501"/>
      <c r="Q209" s="10501"/>
      <c r="R209" s="10509"/>
      <c r="S209" s="4300"/>
      <c r="T209" s="7375"/>
      <c r="U209" s="7375"/>
      <c r="V209" s="3824" t="s">
        <v>3995</v>
      </c>
      <c r="W209" s="5513">
        <v>5</v>
      </c>
      <c r="X209" s="3751" t="s">
        <v>180</v>
      </c>
      <c r="Y209" s="7414">
        <v>475.09</v>
      </c>
      <c r="Z209" s="5795">
        <f>+W209*Y209</f>
        <v>2375.4499999999998</v>
      </c>
      <c r="AA209" s="5795">
        <f>+Z209*1.12</f>
        <v>2660.5039999999999</v>
      </c>
      <c r="AB209" s="7415"/>
      <c r="AC209" s="7424"/>
      <c r="AD209" s="4301"/>
      <c r="AE209" s="3751"/>
      <c r="AF209" s="4302"/>
      <c r="AG209" s="4302" t="s">
        <v>153</v>
      </c>
      <c r="AH209" s="10564"/>
      <c r="AI209" s="466"/>
      <c r="AJ209" s="100"/>
      <c r="AK209" s="100"/>
      <c r="AL209" s="100"/>
    </row>
    <row r="210" spans="1:38" ht="37.5" customHeight="1" thickTop="1" thickBot="1">
      <c r="A210" s="10423"/>
      <c r="B210" s="10616"/>
      <c r="C210" s="10516" t="s">
        <v>127</v>
      </c>
      <c r="D210" s="10433" t="s">
        <v>128</v>
      </c>
      <c r="E210" s="10433" t="s">
        <v>129</v>
      </c>
      <c r="F210" s="10433" t="s">
        <v>268</v>
      </c>
      <c r="G210" s="10442" t="s">
        <v>131</v>
      </c>
      <c r="H210" s="10433" t="s">
        <v>132</v>
      </c>
      <c r="I210" s="10433" t="s">
        <v>214</v>
      </c>
      <c r="J210" s="10433" t="s">
        <v>3996</v>
      </c>
      <c r="K210" s="10433" t="s">
        <v>3997</v>
      </c>
      <c r="L210" s="10433" t="s">
        <v>3998</v>
      </c>
      <c r="M210" s="10555">
        <v>0</v>
      </c>
      <c r="N210" s="10555">
        <v>0</v>
      </c>
      <c r="O210" s="10555">
        <v>6</v>
      </c>
      <c r="P210" s="10433" t="s">
        <v>3999</v>
      </c>
      <c r="Q210" s="10433" t="s">
        <v>4000</v>
      </c>
      <c r="R210" s="10439" t="s">
        <v>3971</v>
      </c>
      <c r="S210" s="3776"/>
      <c r="T210" s="5684"/>
      <c r="U210" s="5684"/>
      <c r="V210" s="3762"/>
      <c r="W210" s="5502"/>
      <c r="X210" s="3709"/>
      <c r="Y210" s="5556"/>
      <c r="Z210" s="5556"/>
      <c r="AA210" s="5556"/>
      <c r="AB210" s="5557"/>
      <c r="AC210" s="5819"/>
      <c r="AD210" s="3723"/>
      <c r="AE210" s="3709"/>
      <c r="AF210" s="3724"/>
      <c r="AG210" s="3724"/>
      <c r="AH210" s="10481"/>
      <c r="AI210" s="466"/>
      <c r="AJ210" s="100"/>
      <c r="AK210" s="100"/>
      <c r="AL210" s="100"/>
    </row>
    <row r="211" spans="1:38" ht="37.5" customHeight="1" thickTop="1" thickBot="1">
      <c r="A211" s="10423"/>
      <c r="B211" s="10616"/>
      <c r="C211" s="10592"/>
      <c r="D211" s="10500"/>
      <c r="E211" s="10500"/>
      <c r="F211" s="10500"/>
      <c r="G211" s="10502"/>
      <c r="H211" s="10500"/>
      <c r="I211" s="10500"/>
      <c r="J211" s="10500"/>
      <c r="K211" s="10500"/>
      <c r="L211" s="10500"/>
      <c r="M211" s="10556"/>
      <c r="N211" s="10556"/>
      <c r="O211" s="10556"/>
      <c r="P211" s="10500"/>
      <c r="Q211" s="10500"/>
      <c r="R211" s="10508"/>
      <c r="S211" s="3538"/>
      <c r="T211" s="5681"/>
      <c r="U211" s="5681"/>
      <c r="V211" s="3495"/>
      <c r="W211" s="5499"/>
      <c r="X211" s="3496"/>
      <c r="Y211" s="5552"/>
      <c r="Z211" s="5552"/>
      <c r="AA211" s="5552"/>
      <c r="AB211" s="5553"/>
      <c r="AC211" s="5817"/>
      <c r="AD211" s="3665"/>
      <c r="AE211" s="3496"/>
      <c r="AF211" s="3666"/>
      <c r="AG211" s="3666"/>
      <c r="AH211" s="10563"/>
      <c r="AI211" s="466"/>
      <c r="AJ211" s="100"/>
      <c r="AK211" s="100"/>
      <c r="AL211" s="100"/>
    </row>
    <row r="212" spans="1:38" ht="37.5" customHeight="1" thickTop="1" thickBot="1">
      <c r="A212" s="10423"/>
      <c r="B212" s="10616"/>
      <c r="C212" s="10592"/>
      <c r="D212" s="10500"/>
      <c r="E212" s="10500"/>
      <c r="F212" s="10500"/>
      <c r="G212" s="10502"/>
      <c r="H212" s="10500"/>
      <c r="I212" s="10500"/>
      <c r="J212" s="10500"/>
      <c r="K212" s="10500"/>
      <c r="L212" s="10500"/>
      <c r="M212" s="10556"/>
      <c r="N212" s="10556"/>
      <c r="O212" s="10556"/>
      <c r="P212" s="10500"/>
      <c r="Q212" s="10500"/>
      <c r="R212" s="10508"/>
      <c r="S212" s="3538"/>
      <c r="T212" s="5681"/>
      <c r="U212" s="5681"/>
      <c r="V212" s="3495"/>
      <c r="W212" s="5499"/>
      <c r="X212" s="3496"/>
      <c r="Y212" s="5552"/>
      <c r="Z212" s="5552"/>
      <c r="AA212" s="5552"/>
      <c r="AB212" s="5809"/>
      <c r="AC212" s="7420"/>
      <c r="AD212" s="3679"/>
      <c r="AE212" s="3496"/>
      <c r="AF212" s="3666"/>
      <c r="AG212" s="3666"/>
      <c r="AH212" s="10563"/>
      <c r="AI212" s="466"/>
      <c r="AJ212" s="100"/>
      <c r="AK212" s="100"/>
      <c r="AL212" s="100"/>
    </row>
    <row r="213" spans="1:38" ht="37.5" customHeight="1" thickTop="1" thickBot="1">
      <c r="A213" s="10423"/>
      <c r="B213" s="10616"/>
      <c r="C213" s="10592"/>
      <c r="D213" s="10500"/>
      <c r="E213" s="10500"/>
      <c r="F213" s="10500"/>
      <c r="G213" s="10502"/>
      <c r="H213" s="10500"/>
      <c r="I213" s="10500"/>
      <c r="J213" s="10500"/>
      <c r="K213" s="10500"/>
      <c r="L213" s="10500"/>
      <c r="M213" s="10556"/>
      <c r="N213" s="10556"/>
      <c r="O213" s="10556"/>
      <c r="P213" s="10500"/>
      <c r="Q213" s="10500"/>
      <c r="R213" s="10508"/>
      <c r="S213" s="3541"/>
      <c r="T213" s="5682"/>
      <c r="U213" s="5682"/>
      <c r="V213" s="3495"/>
      <c r="W213" s="5499"/>
      <c r="X213" s="3496"/>
      <c r="Y213" s="5552"/>
      <c r="Z213" s="5552"/>
      <c r="AA213" s="5552"/>
      <c r="AB213" s="5809"/>
      <c r="AC213" s="7420"/>
      <c r="AD213" s="3679"/>
      <c r="AE213" s="3496"/>
      <c r="AF213" s="3666"/>
      <c r="AG213" s="3666"/>
      <c r="AH213" s="10563"/>
      <c r="AI213" s="466"/>
      <c r="AJ213" s="100"/>
      <c r="AK213" s="100"/>
      <c r="AL213" s="100"/>
    </row>
    <row r="214" spans="1:38" ht="37.5" customHeight="1" thickTop="1" thickBot="1">
      <c r="A214" s="10423"/>
      <c r="B214" s="10616"/>
      <c r="C214" s="10602"/>
      <c r="D214" s="10566"/>
      <c r="E214" s="10566"/>
      <c r="F214" s="10566"/>
      <c r="G214" s="10567"/>
      <c r="H214" s="10566"/>
      <c r="I214" s="10566"/>
      <c r="J214" s="10566"/>
      <c r="K214" s="10566"/>
      <c r="L214" s="10566"/>
      <c r="M214" s="10581"/>
      <c r="N214" s="10581"/>
      <c r="O214" s="10581"/>
      <c r="P214" s="10566"/>
      <c r="Q214" s="10566"/>
      <c r="R214" s="10588"/>
      <c r="S214" s="3543"/>
      <c r="T214" s="5696"/>
      <c r="U214" s="5696"/>
      <c r="V214" s="3557"/>
      <c r="W214" s="5503"/>
      <c r="X214" s="3545"/>
      <c r="Y214" s="5558"/>
      <c r="Z214" s="5558"/>
      <c r="AA214" s="5558"/>
      <c r="AB214" s="5559"/>
      <c r="AC214" s="5830"/>
      <c r="AD214" s="3706"/>
      <c r="AE214" s="3545"/>
      <c r="AF214" s="3707"/>
      <c r="AG214" s="3707"/>
      <c r="AH214" s="10565"/>
      <c r="AI214" s="466"/>
      <c r="AJ214" s="100"/>
      <c r="AK214" s="100"/>
      <c r="AL214" s="100"/>
    </row>
    <row r="215" spans="1:38" ht="36" customHeight="1" thickTop="1" thickBot="1">
      <c r="A215" s="10423"/>
      <c r="B215" s="10616"/>
      <c r="C215" s="10512" t="s">
        <v>127</v>
      </c>
      <c r="D215" s="10444" t="s">
        <v>128</v>
      </c>
      <c r="E215" s="10444" t="s">
        <v>129</v>
      </c>
      <c r="F215" s="10444" t="s">
        <v>268</v>
      </c>
      <c r="G215" s="10451" t="s">
        <v>131</v>
      </c>
      <c r="H215" s="10444" t="s">
        <v>132</v>
      </c>
      <c r="I215" s="10444" t="s">
        <v>214</v>
      </c>
      <c r="J215" s="10444" t="s">
        <v>4001</v>
      </c>
      <c r="K215" s="10444" t="s">
        <v>4002</v>
      </c>
      <c r="L215" s="10444" t="s">
        <v>4003</v>
      </c>
      <c r="M215" s="10561">
        <v>1</v>
      </c>
      <c r="N215" s="10561">
        <v>1</v>
      </c>
      <c r="O215" s="10561">
        <v>1</v>
      </c>
      <c r="P215" s="10444" t="s">
        <v>4004</v>
      </c>
      <c r="Q215" s="10444" t="s">
        <v>4005</v>
      </c>
      <c r="R215" s="10449" t="s">
        <v>3971</v>
      </c>
      <c r="S215" s="3767"/>
      <c r="T215" s="5689"/>
      <c r="U215" s="5689"/>
      <c r="V215" s="3758"/>
      <c r="W215" s="5504"/>
      <c r="X215" s="3658"/>
      <c r="Y215" s="5560"/>
      <c r="Z215" s="5560"/>
      <c r="AA215" s="5560"/>
      <c r="AB215" s="5561"/>
      <c r="AC215" s="5831"/>
      <c r="AD215" s="3659"/>
      <c r="AE215" s="3658"/>
      <c r="AF215" s="3749"/>
      <c r="AG215" s="3749"/>
      <c r="AH215" s="10478"/>
      <c r="AI215" s="466"/>
      <c r="AJ215" s="100"/>
      <c r="AK215" s="100"/>
      <c r="AL215" s="100"/>
    </row>
    <row r="216" spans="1:38" ht="36" customHeight="1" thickTop="1" thickBot="1">
      <c r="A216" s="10423"/>
      <c r="B216" s="10616"/>
      <c r="C216" s="10592"/>
      <c r="D216" s="10500"/>
      <c r="E216" s="10500"/>
      <c r="F216" s="10500"/>
      <c r="G216" s="10502"/>
      <c r="H216" s="10500"/>
      <c r="I216" s="10500"/>
      <c r="J216" s="10500"/>
      <c r="K216" s="10500"/>
      <c r="L216" s="10500"/>
      <c r="M216" s="10556"/>
      <c r="N216" s="10556"/>
      <c r="O216" s="10556"/>
      <c r="P216" s="10500"/>
      <c r="Q216" s="10500"/>
      <c r="R216" s="10508"/>
      <c r="S216" s="3538"/>
      <c r="T216" s="5681"/>
      <c r="U216" s="5681"/>
      <c r="V216" s="3495"/>
      <c r="W216" s="5499"/>
      <c r="X216" s="3496"/>
      <c r="Y216" s="5552"/>
      <c r="Z216" s="5552"/>
      <c r="AA216" s="5552"/>
      <c r="AB216" s="5553"/>
      <c r="AC216" s="5817"/>
      <c r="AD216" s="3665"/>
      <c r="AE216" s="3496"/>
      <c r="AF216" s="3496"/>
      <c r="AG216" s="3690"/>
      <c r="AH216" s="10563"/>
      <c r="AI216" s="466"/>
      <c r="AJ216" s="100"/>
      <c r="AK216" s="100"/>
      <c r="AL216" s="100"/>
    </row>
    <row r="217" spans="1:38" ht="36" customHeight="1" thickTop="1" thickBot="1">
      <c r="A217" s="10423"/>
      <c r="B217" s="10616"/>
      <c r="C217" s="10592"/>
      <c r="D217" s="10500"/>
      <c r="E217" s="10500"/>
      <c r="F217" s="10500"/>
      <c r="G217" s="10502"/>
      <c r="H217" s="10500"/>
      <c r="I217" s="10500"/>
      <c r="J217" s="10500"/>
      <c r="K217" s="10500"/>
      <c r="L217" s="10500"/>
      <c r="M217" s="10556"/>
      <c r="N217" s="10556"/>
      <c r="O217" s="10556"/>
      <c r="P217" s="10500"/>
      <c r="Q217" s="10500"/>
      <c r="R217" s="10508"/>
      <c r="S217" s="3538"/>
      <c r="T217" s="5681"/>
      <c r="U217" s="5681"/>
      <c r="V217" s="3495"/>
      <c r="W217" s="5499"/>
      <c r="X217" s="3496"/>
      <c r="Y217" s="5552"/>
      <c r="Z217" s="5552"/>
      <c r="AA217" s="5552"/>
      <c r="AB217" s="5809"/>
      <c r="AC217" s="7420"/>
      <c r="AD217" s="3679"/>
      <c r="AE217" s="3496"/>
      <c r="AF217" s="3496"/>
      <c r="AG217" s="3666"/>
      <c r="AH217" s="10563"/>
      <c r="AI217" s="466"/>
      <c r="AJ217" s="100"/>
      <c r="AK217" s="100"/>
      <c r="AL217" s="100"/>
    </row>
    <row r="218" spans="1:38" ht="36" customHeight="1" thickTop="1" thickBot="1">
      <c r="A218" s="10423"/>
      <c r="B218" s="10616"/>
      <c r="C218" s="10592"/>
      <c r="D218" s="10500"/>
      <c r="E218" s="10500"/>
      <c r="F218" s="10500"/>
      <c r="G218" s="10502"/>
      <c r="H218" s="10500"/>
      <c r="I218" s="10500"/>
      <c r="J218" s="10500"/>
      <c r="K218" s="10500"/>
      <c r="L218" s="10500"/>
      <c r="M218" s="10556"/>
      <c r="N218" s="10556"/>
      <c r="O218" s="10556"/>
      <c r="P218" s="10500"/>
      <c r="Q218" s="10500"/>
      <c r="R218" s="10508"/>
      <c r="S218" s="3538"/>
      <c r="T218" s="5681"/>
      <c r="U218" s="5681"/>
      <c r="V218" s="3495"/>
      <c r="W218" s="5499"/>
      <c r="X218" s="3496"/>
      <c r="Y218" s="5552"/>
      <c r="Z218" s="5552"/>
      <c r="AA218" s="5552"/>
      <c r="AB218" s="5809"/>
      <c r="AC218" s="7420"/>
      <c r="AD218" s="3679"/>
      <c r="AE218" s="3496"/>
      <c r="AF218" s="3496"/>
      <c r="AG218" s="3666"/>
      <c r="AH218" s="10563"/>
      <c r="AI218" s="466"/>
      <c r="AJ218" s="100"/>
      <c r="AK218" s="100"/>
      <c r="AL218" s="100"/>
    </row>
    <row r="219" spans="1:38" ht="36" customHeight="1" thickTop="1" thickBot="1">
      <c r="A219" s="10423"/>
      <c r="B219" s="10616"/>
      <c r="C219" s="10593"/>
      <c r="D219" s="10501"/>
      <c r="E219" s="10501"/>
      <c r="F219" s="10501"/>
      <c r="G219" s="10503"/>
      <c r="H219" s="10501"/>
      <c r="I219" s="10501"/>
      <c r="J219" s="10501"/>
      <c r="K219" s="10501"/>
      <c r="L219" s="10501"/>
      <c r="M219" s="10557"/>
      <c r="N219" s="10557"/>
      <c r="O219" s="10557"/>
      <c r="P219" s="10501"/>
      <c r="Q219" s="10501"/>
      <c r="R219" s="10509"/>
      <c r="S219" s="3768"/>
      <c r="T219" s="5683"/>
      <c r="U219" s="5683"/>
      <c r="V219" s="3759"/>
      <c r="W219" s="5509"/>
      <c r="X219" s="3714"/>
      <c r="Y219" s="5554"/>
      <c r="Z219" s="5554"/>
      <c r="AA219" s="5554"/>
      <c r="AB219" s="5555"/>
      <c r="AC219" s="5818"/>
      <c r="AD219" s="3717"/>
      <c r="AE219" s="3714"/>
      <c r="AF219" s="3714"/>
      <c r="AG219" s="3718"/>
      <c r="AH219" s="10564"/>
      <c r="AI219" s="466"/>
      <c r="AJ219" s="100"/>
      <c r="AK219" s="100"/>
      <c r="AL219" s="100"/>
    </row>
    <row r="220" spans="1:38" ht="27" customHeight="1" thickTop="1" thickBot="1">
      <c r="A220" s="10423"/>
      <c r="B220" s="10616"/>
      <c r="C220" s="10516" t="s">
        <v>127</v>
      </c>
      <c r="D220" s="10433" t="s">
        <v>128</v>
      </c>
      <c r="E220" s="10433" t="s">
        <v>129</v>
      </c>
      <c r="F220" s="10433" t="s">
        <v>268</v>
      </c>
      <c r="G220" s="10442" t="s">
        <v>131</v>
      </c>
      <c r="H220" s="10433" t="s">
        <v>132</v>
      </c>
      <c r="I220" s="10433" t="s">
        <v>159</v>
      </c>
      <c r="J220" s="10433" t="s">
        <v>4006</v>
      </c>
      <c r="K220" s="10433" t="s">
        <v>286</v>
      </c>
      <c r="L220" s="10433" t="s">
        <v>4007</v>
      </c>
      <c r="M220" s="10555">
        <v>0</v>
      </c>
      <c r="N220" s="10555">
        <v>1</v>
      </c>
      <c r="O220" s="10555">
        <v>1</v>
      </c>
      <c r="P220" s="10433" t="s">
        <v>4008</v>
      </c>
      <c r="Q220" s="10433" t="s">
        <v>3917</v>
      </c>
      <c r="R220" s="10439" t="s">
        <v>4009</v>
      </c>
      <c r="S220" s="3776"/>
      <c r="T220" s="5684"/>
      <c r="U220" s="5684"/>
      <c r="V220" s="3762"/>
      <c r="W220" s="5502"/>
      <c r="X220" s="3709"/>
      <c r="Y220" s="5556"/>
      <c r="Z220" s="5556"/>
      <c r="AA220" s="5556"/>
      <c r="AB220" s="5557"/>
      <c r="AC220" s="5819"/>
      <c r="AD220" s="3723"/>
      <c r="AE220" s="3709"/>
      <c r="AF220" s="3724"/>
      <c r="AG220" s="3724"/>
      <c r="AH220" s="10481"/>
      <c r="AI220" s="466"/>
      <c r="AJ220" s="100"/>
      <c r="AK220" s="100"/>
      <c r="AL220" s="100"/>
    </row>
    <row r="221" spans="1:38" ht="27" customHeight="1" thickTop="1" thickBot="1">
      <c r="A221" s="10423"/>
      <c r="B221" s="10616"/>
      <c r="C221" s="10592"/>
      <c r="D221" s="10500"/>
      <c r="E221" s="10500"/>
      <c r="F221" s="10500"/>
      <c r="G221" s="10502"/>
      <c r="H221" s="10500"/>
      <c r="I221" s="10500"/>
      <c r="J221" s="10500"/>
      <c r="K221" s="10500"/>
      <c r="L221" s="10500"/>
      <c r="M221" s="10556"/>
      <c r="N221" s="10556"/>
      <c r="O221" s="10556"/>
      <c r="P221" s="10500"/>
      <c r="Q221" s="10500"/>
      <c r="R221" s="10508"/>
      <c r="S221" s="3538"/>
      <c r="T221" s="5681"/>
      <c r="U221" s="5681"/>
      <c r="V221" s="3495"/>
      <c r="W221" s="5499"/>
      <c r="X221" s="3496"/>
      <c r="Y221" s="5552"/>
      <c r="Z221" s="5552"/>
      <c r="AA221" s="5552"/>
      <c r="AB221" s="5553"/>
      <c r="AC221" s="5817"/>
      <c r="AD221" s="3665"/>
      <c r="AE221" s="3496"/>
      <c r="AF221" s="3666"/>
      <c r="AG221" s="3666"/>
      <c r="AH221" s="10563"/>
      <c r="AI221" s="466"/>
      <c r="AJ221" s="100"/>
      <c r="AK221" s="100"/>
      <c r="AL221" s="100"/>
    </row>
    <row r="222" spans="1:38" ht="27" customHeight="1" thickTop="1" thickBot="1">
      <c r="A222" s="10423"/>
      <c r="B222" s="10616"/>
      <c r="C222" s="10592"/>
      <c r="D222" s="10500"/>
      <c r="E222" s="10500"/>
      <c r="F222" s="10500"/>
      <c r="G222" s="10502"/>
      <c r="H222" s="10500"/>
      <c r="I222" s="10500"/>
      <c r="J222" s="10500"/>
      <c r="K222" s="10500"/>
      <c r="L222" s="10500"/>
      <c r="M222" s="10556"/>
      <c r="N222" s="10556"/>
      <c r="O222" s="10556"/>
      <c r="P222" s="10500"/>
      <c r="Q222" s="10500"/>
      <c r="R222" s="10508"/>
      <c r="S222" s="3538"/>
      <c r="T222" s="5681"/>
      <c r="U222" s="5681"/>
      <c r="V222" s="3495"/>
      <c r="W222" s="5499"/>
      <c r="X222" s="3496"/>
      <c r="Y222" s="5552"/>
      <c r="Z222" s="5552"/>
      <c r="AA222" s="5552"/>
      <c r="AB222" s="5809"/>
      <c r="AC222" s="7420"/>
      <c r="AD222" s="3679"/>
      <c r="AE222" s="3496"/>
      <c r="AF222" s="3666"/>
      <c r="AG222" s="3666"/>
      <c r="AH222" s="10563"/>
      <c r="AI222" s="466"/>
      <c r="AJ222" s="100"/>
      <c r="AK222" s="100"/>
      <c r="AL222" s="100"/>
    </row>
    <row r="223" spans="1:38" ht="27" customHeight="1" thickTop="1" thickBot="1">
      <c r="A223" s="10423"/>
      <c r="B223" s="10616"/>
      <c r="C223" s="10592"/>
      <c r="D223" s="10500"/>
      <c r="E223" s="10500"/>
      <c r="F223" s="10500"/>
      <c r="G223" s="10502"/>
      <c r="H223" s="10500"/>
      <c r="I223" s="10500"/>
      <c r="J223" s="10500"/>
      <c r="K223" s="10500"/>
      <c r="L223" s="10500"/>
      <c r="M223" s="10556"/>
      <c r="N223" s="10556"/>
      <c r="O223" s="10556"/>
      <c r="P223" s="10500"/>
      <c r="Q223" s="10500"/>
      <c r="R223" s="10508"/>
      <c r="S223" s="3538"/>
      <c r="T223" s="5681"/>
      <c r="U223" s="5681"/>
      <c r="V223" s="3495"/>
      <c r="W223" s="5499"/>
      <c r="X223" s="3496"/>
      <c r="Y223" s="5552"/>
      <c r="Z223" s="5552"/>
      <c r="AA223" s="5552"/>
      <c r="AB223" s="5809"/>
      <c r="AC223" s="7420"/>
      <c r="AD223" s="3679"/>
      <c r="AE223" s="3496"/>
      <c r="AF223" s="3666"/>
      <c r="AG223" s="3666"/>
      <c r="AH223" s="10563"/>
      <c r="AI223" s="466"/>
      <c r="AJ223" s="100"/>
      <c r="AK223" s="100"/>
      <c r="AL223" s="100"/>
    </row>
    <row r="224" spans="1:38" ht="27" customHeight="1" thickTop="1" thickBot="1">
      <c r="A224" s="10423"/>
      <c r="B224" s="10616"/>
      <c r="C224" s="10602"/>
      <c r="D224" s="10566"/>
      <c r="E224" s="10566"/>
      <c r="F224" s="10566"/>
      <c r="G224" s="10567"/>
      <c r="H224" s="10566"/>
      <c r="I224" s="10566"/>
      <c r="J224" s="10566"/>
      <c r="K224" s="10566"/>
      <c r="L224" s="10566"/>
      <c r="M224" s="10581"/>
      <c r="N224" s="10581"/>
      <c r="O224" s="10581"/>
      <c r="P224" s="10566"/>
      <c r="Q224" s="10566"/>
      <c r="R224" s="10588"/>
      <c r="S224" s="3543"/>
      <c r="T224" s="5696"/>
      <c r="U224" s="5696"/>
      <c r="V224" s="3557"/>
      <c r="W224" s="5503"/>
      <c r="X224" s="3545"/>
      <c r="Y224" s="5558"/>
      <c r="Z224" s="5558"/>
      <c r="AA224" s="5558"/>
      <c r="AB224" s="5559"/>
      <c r="AC224" s="5830"/>
      <c r="AD224" s="3706"/>
      <c r="AE224" s="3545"/>
      <c r="AF224" s="3707"/>
      <c r="AG224" s="3707"/>
      <c r="AH224" s="10565"/>
      <c r="AI224" s="466"/>
      <c r="AJ224" s="100"/>
      <c r="AK224" s="100"/>
      <c r="AL224" s="100"/>
    </row>
    <row r="225" spans="1:38" ht="27" customHeight="1" thickTop="1" thickBot="1">
      <c r="A225" s="10423"/>
      <c r="B225" s="10616"/>
      <c r="C225" s="10512" t="s">
        <v>127</v>
      </c>
      <c r="D225" s="10444" t="s">
        <v>128</v>
      </c>
      <c r="E225" s="10444" t="s">
        <v>129</v>
      </c>
      <c r="F225" s="10444" t="s">
        <v>268</v>
      </c>
      <c r="G225" s="10451" t="s">
        <v>131</v>
      </c>
      <c r="H225" s="10444" t="s">
        <v>132</v>
      </c>
      <c r="I225" s="10444" t="s">
        <v>214</v>
      </c>
      <c r="J225" s="10444" t="s">
        <v>4010</v>
      </c>
      <c r="K225" s="10444" t="s">
        <v>338</v>
      </c>
      <c r="L225" s="10444" t="s">
        <v>4011</v>
      </c>
      <c r="M225" s="10561">
        <v>0</v>
      </c>
      <c r="N225" s="10561">
        <v>0</v>
      </c>
      <c r="O225" s="10561">
        <v>1</v>
      </c>
      <c r="P225" s="10444" t="s">
        <v>4012</v>
      </c>
      <c r="Q225" s="10444" t="s">
        <v>4013</v>
      </c>
      <c r="R225" s="10449" t="s">
        <v>4014</v>
      </c>
      <c r="S225" s="3767"/>
      <c r="T225" s="5689"/>
      <c r="U225" s="5689"/>
      <c r="V225" s="3758"/>
      <c r="W225" s="5504"/>
      <c r="X225" s="3658"/>
      <c r="Y225" s="5560"/>
      <c r="Z225" s="5560"/>
      <c r="AA225" s="5560"/>
      <c r="AB225" s="5561"/>
      <c r="AC225" s="5831"/>
      <c r="AD225" s="3659"/>
      <c r="AE225" s="3658"/>
      <c r="AF225" s="3660"/>
      <c r="AG225" s="3660"/>
      <c r="AH225" s="10478"/>
      <c r="AI225" s="466"/>
      <c r="AJ225" s="100"/>
      <c r="AK225" s="100"/>
      <c r="AL225" s="100"/>
    </row>
    <row r="226" spans="1:38" ht="27" customHeight="1" thickTop="1" thickBot="1">
      <c r="A226" s="10423"/>
      <c r="B226" s="10616"/>
      <c r="C226" s="10592"/>
      <c r="D226" s="10500"/>
      <c r="E226" s="10500"/>
      <c r="F226" s="10500"/>
      <c r="G226" s="10502"/>
      <c r="H226" s="10500"/>
      <c r="I226" s="10500"/>
      <c r="J226" s="10500"/>
      <c r="K226" s="10500"/>
      <c r="L226" s="10500"/>
      <c r="M226" s="10556"/>
      <c r="N226" s="10556"/>
      <c r="O226" s="10556"/>
      <c r="P226" s="10500"/>
      <c r="Q226" s="10500"/>
      <c r="R226" s="10508"/>
      <c r="S226" s="3538"/>
      <c r="T226" s="5681"/>
      <c r="U226" s="5681"/>
      <c r="V226" s="3495"/>
      <c r="W226" s="5499"/>
      <c r="X226" s="3496"/>
      <c r="Y226" s="5552"/>
      <c r="Z226" s="5552"/>
      <c r="AA226" s="5552"/>
      <c r="AB226" s="5553"/>
      <c r="AC226" s="5817"/>
      <c r="AD226" s="3665"/>
      <c r="AE226" s="3496"/>
      <c r="AF226" s="3666"/>
      <c r="AG226" s="3666"/>
      <c r="AH226" s="10563"/>
      <c r="AI226" s="466"/>
      <c r="AJ226" s="100"/>
      <c r="AK226" s="100"/>
      <c r="AL226" s="100"/>
    </row>
    <row r="227" spans="1:38" ht="27" customHeight="1" thickTop="1" thickBot="1">
      <c r="A227" s="10423"/>
      <c r="B227" s="10616"/>
      <c r="C227" s="10592"/>
      <c r="D227" s="10500"/>
      <c r="E227" s="10500"/>
      <c r="F227" s="10500"/>
      <c r="G227" s="10502"/>
      <c r="H227" s="10500"/>
      <c r="I227" s="10500"/>
      <c r="J227" s="10500"/>
      <c r="K227" s="10500"/>
      <c r="L227" s="10500"/>
      <c r="M227" s="10556"/>
      <c r="N227" s="10556"/>
      <c r="O227" s="10556"/>
      <c r="P227" s="10500"/>
      <c r="Q227" s="10500"/>
      <c r="R227" s="10508"/>
      <c r="S227" s="3538"/>
      <c r="T227" s="5681"/>
      <c r="U227" s="5681"/>
      <c r="V227" s="3495"/>
      <c r="W227" s="5499"/>
      <c r="X227" s="3496"/>
      <c r="Y227" s="5552"/>
      <c r="Z227" s="5552"/>
      <c r="AA227" s="5552"/>
      <c r="AB227" s="5809"/>
      <c r="AC227" s="7420"/>
      <c r="AD227" s="3679"/>
      <c r="AE227" s="3496"/>
      <c r="AF227" s="3666"/>
      <c r="AG227" s="3666"/>
      <c r="AH227" s="10563"/>
      <c r="AI227" s="466"/>
      <c r="AJ227" s="100"/>
      <c r="AK227" s="100"/>
      <c r="AL227" s="100"/>
    </row>
    <row r="228" spans="1:38" ht="27" customHeight="1" thickTop="1" thickBot="1">
      <c r="A228" s="10423"/>
      <c r="B228" s="10616"/>
      <c r="C228" s="10592"/>
      <c r="D228" s="10500"/>
      <c r="E228" s="10500"/>
      <c r="F228" s="10500"/>
      <c r="G228" s="10502"/>
      <c r="H228" s="10500"/>
      <c r="I228" s="10500"/>
      <c r="J228" s="10500"/>
      <c r="K228" s="10500"/>
      <c r="L228" s="10500"/>
      <c r="M228" s="10556"/>
      <c r="N228" s="10556"/>
      <c r="O228" s="10556"/>
      <c r="P228" s="10500"/>
      <c r="Q228" s="10500"/>
      <c r="R228" s="10508"/>
      <c r="S228" s="3538"/>
      <c r="T228" s="5681"/>
      <c r="U228" s="5681"/>
      <c r="V228" s="3495"/>
      <c r="W228" s="5499"/>
      <c r="X228" s="3496"/>
      <c r="Y228" s="5552"/>
      <c r="Z228" s="5552"/>
      <c r="AA228" s="5552"/>
      <c r="AB228" s="5809"/>
      <c r="AC228" s="7420"/>
      <c r="AD228" s="3679"/>
      <c r="AE228" s="3496"/>
      <c r="AF228" s="3666"/>
      <c r="AG228" s="3666"/>
      <c r="AH228" s="10563"/>
      <c r="AI228" s="466"/>
      <c r="AJ228" s="100"/>
      <c r="AK228" s="100"/>
      <c r="AL228" s="100"/>
    </row>
    <row r="229" spans="1:38" ht="27" customHeight="1" thickTop="1" thickBot="1">
      <c r="A229" s="10423"/>
      <c r="B229" s="10616"/>
      <c r="C229" s="10602"/>
      <c r="D229" s="10566"/>
      <c r="E229" s="10566"/>
      <c r="F229" s="10566"/>
      <c r="G229" s="10567"/>
      <c r="H229" s="10566"/>
      <c r="I229" s="10566"/>
      <c r="J229" s="10566"/>
      <c r="K229" s="10566"/>
      <c r="L229" s="10566"/>
      <c r="M229" s="10581"/>
      <c r="N229" s="10581"/>
      <c r="O229" s="10581"/>
      <c r="P229" s="10566"/>
      <c r="Q229" s="10566"/>
      <c r="R229" s="10588"/>
      <c r="S229" s="3543"/>
      <c r="T229" s="5696"/>
      <c r="U229" s="5696"/>
      <c r="V229" s="3557"/>
      <c r="W229" s="5503"/>
      <c r="X229" s="3545"/>
      <c r="Y229" s="5558"/>
      <c r="Z229" s="5558"/>
      <c r="AA229" s="5558"/>
      <c r="AB229" s="5559"/>
      <c r="AC229" s="5830"/>
      <c r="AD229" s="3706"/>
      <c r="AE229" s="3545"/>
      <c r="AF229" s="3707"/>
      <c r="AG229" s="3707"/>
      <c r="AH229" s="10565"/>
      <c r="AI229" s="466"/>
      <c r="AJ229" s="100"/>
      <c r="AK229" s="100"/>
      <c r="AL229" s="100"/>
    </row>
    <row r="230" spans="1:38" s="4835" customFormat="1" ht="22.5" customHeight="1">
      <c r="A230" s="10423"/>
      <c r="B230" s="10616"/>
      <c r="C230" s="10621"/>
      <c r="D230" s="10621"/>
      <c r="E230" s="10621"/>
      <c r="F230" s="10621"/>
      <c r="G230" s="10621"/>
      <c r="H230" s="10621"/>
      <c r="I230" s="10621"/>
      <c r="J230" s="10621"/>
      <c r="K230" s="10621"/>
      <c r="L230" s="10621"/>
      <c r="M230" s="10621"/>
      <c r="N230" s="10621"/>
      <c r="O230" s="10621"/>
      <c r="P230" s="10621"/>
      <c r="Q230" s="10621"/>
      <c r="R230" s="10622"/>
      <c r="S230" s="9197" t="s">
        <v>4015</v>
      </c>
      <c r="T230" s="9197"/>
      <c r="U230" s="9197"/>
      <c r="V230" s="9197"/>
      <c r="W230" s="9197"/>
      <c r="X230" s="9197"/>
      <c r="Y230" s="9197"/>
      <c r="Z230" s="9197"/>
      <c r="AA230" s="6112" t="s">
        <v>292</v>
      </c>
      <c r="AB230" s="7427">
        <f>SUM(AB185:AB229)</f>
        <v>6461.7839999999997</v>
      </c>
      <c r="AC230" s="6113"/>
      <c r="AD230" s="4892"/>
      <c r="AE230" s="9628"/>
      <c r="AF230" s="10634"/>
      <c r="AG230" s="10634"/>
      <c r="AH230" s="10635"/>
      <c r="AI230" s="6110"/>
      <c r="AJ230" s="6111"/>
      <c r="AK230" s="6111"/>
      <c r="AL230" s="6111"/>
    </row>
    <row r="231" spans="1:38" ht="99" customHeight="1">
      <c r="A231" s="10423"/>
      <c r="B231" s="10616" t="s">
        <v>4016</v>
      </c>
      <c r="C231" s="10518" t="s">
        <v>127</v>
      </c>
      <c r="D231" s="10452" t="s">
        <v>128</v>
      </c>
      <c r="E231" s="10452" t="s">
        <v>129</v>
      </c>
      <c r="F231" s="10452" t="s">
        <v>336</v>
      </c>
      <c r="G231" s="10454" t="s">
        <v>131</v>
      </c>
      <c r="H231" s="10452" t="s">
        <v>132</v>
      </c>
      <c r="I231" s="10452" t="s">
        <v>159</v>
      </c>
      <c r="J231" s="10452" t="s">
        <v>4017</v>
      </c>
      <c r="K231" s="10452" t="s">
        <v>4018</v>
      </c>
      <c r="L231" s="10452" t="s">
        <v>4019</v>
      </c>
      <c r="M231" s="10587">
        <v>20</v>
      </c>
      <c r="N231" s="10587">
        <v>20</v>
      </c>
      <c r="O231" s="10587">
        <v>30</v>
      </c>
      <c r="P231" s="10452" t="s">
        <v>4020</v>
      </c>
      <c r="Q231" s="10452" t="s">
        <v>4021</v>
      </c>
      <c r="R231" s="10453" t="s">
        <v>4022</v>
      </c>
      <c r="S231" s="8234" t="s">
        <v>15</v>
      </c>
      <c r="T231" s="8223">
        <v>840107</v>
      </c>
      <c r="U231" s="8225"/>
      <c r="V231" s="8226" t="s">
        <v>40</v>
      </c>
      <c r="W231" s="8227"/>
      <c r="X231" s="8228"/>
      <c r="Y231" s="8229"/>
      <c r="Z231" s="8229"/>
      <c r="AA231" s="8229"/>
      <c r="AB231" s="8230">
        <f>SUM(AA232:AA232)</f>
        <v>699.99999999999989</v>
      </c>
      <c r="AC231" s="8232" t="s">
        <v>26</v>
      </c>
      <c r="AD231" s="3691"/>
      <c r="AE231" s="3681"/>
      <c r="AF231" s="3684"/>
      <c r="AG231" s="8233" t="s">
        <v>153</v>
      </c>
      <c r="AH231" s="10531"/>
      <c r="AI231" s="466"/>
      <c r="AJ231" s="100"/>
      <c r="AK231" s="100"/>
      <c r="AL231" s="100"/>
    </row>
    <row r="232" spans="1:38" ht="99" customHeight="1">
      <c r="A232" s="10423"/>
      <c r="B232" s="10616"/>
      <c r="C232" s="10592"/>
      <c r="D232" s="10500"/>
      <c r="E232" s="10500"/>
      <c r="F232" s="10500"/>
      <c r="G232" s="10502"/>
      <c r="H232" s="10500"/>
      <c r="I232" s="10500"/>
      <c r="J232" s="10500"/>
      <c r="K232" s="10500"/>
      <c r="L232" s="10500"/>
      <c r="M232" s="10556"/>
      <c r="N232" s="10556"/>
      <c r="O232" s="10556"/>
      <c r="P232" s="10500"/>
      <c r="Q232" s="10500"/>
      <c r="R232" s="10508"/>
      <c r="S232" s="3541"/>
      <c r="T232" s="5682"/>
      <c r="U232" s="8037"/>
      <c r="V232" s="8231" t="s">
        <v>4023</v>
      </c>
      <c r="W232" s="8039">
        <v>2</v>
      </c>
      <c r="X232" s="8040" t="s">
        <v>3343</v>
      </c>
      <c r="Y232" s="8027">
        <f>350/1.12</f>
        <v>312.49999999999994</v>
      </c>
      <c r="Z232" s="8027">
        <f>+W232*Y232</f>
        <v>624.99999999999989</v>
      </c>
      <c r="AA232" s="8027">
        <f>Z232*1.12</f>
        <v>699.99999999999989</v>
      </c>
      <c r="AB232" s="8041"/>
      <c r="AC232" s="5825"/>
      <c r="AD232" s="3692"/>
      <c r="AE232" s="3663"/>
      <c r="AF232" s="3666"/>
      <c r="AG232" s="3666"/>
      <c r="AH232" s="10563"/>
      <c r="AI232" s="466"/>
      <c r="AJ232" s="100"/>
      <c r="AK232" s="100"/>
      <c r="AL232" s="100"/>
    </row>
    <row r="233" spans="1:38" ht="99" customHeight="1">
      <c r="A233" s="10423"/>
      <c r="B233" s="10616"/>
      <c r="C233" s="10592"/>
      <c r="D233" s="10500"/>
      <c r="E233" s="10500"/>
      <c r="F233" s="10500"/>
      <c r="G233" s="10502"/>
      <c r="H233" s="10500"/>
      <c r="I233" s="10500"/>
      <c r="J233" s="10500"/>
      <c r="K233" s="10500"/>
      <c r="L233" s="10500"/>
      <c r="M233" s="10556"/>
      <c r="N233" s="10556"/>
      <c r="O233" s="10556"/>
      <c r="P233" s="10500"/>
      <c r="Q233" s="10500"/>
      <c r="R233" s="10508"/>
      <c r="S233" s="3541"/>
      <c r="T233" s="5682"/>
      <c r="U233" s="5682"/>
      <c r="V233" s="3542"/>
      <c r="W233" s="5499"/>
      <c r="X233" s="3496"/>
      <c r="Y233" s="5552"/>
      <c r="Z233" s="5552"/>
      <c r="AA233" s="5552"/>
      <c r="AB233" s="5552"/>
      <c r="AC233" s="5845"/>
      <c r="AD233" s="3692"/>
      <c r="AE233" s="3680"/>
      <c r="AF233" s="3666"/>
      <c r="AG233" s="3666"/>
      <c r="AH233" s="10563"/>
      <c r="AI233" s="466"/>
      <c r="AJ233" s="100"/>
      <c r="AK233" s="100"/>
      <c r="AL233" s="100"/>
    </row>
    <row r="234" spans="1:38" ht="99" customHeight="1">
      <c r="A234" s="10423"/>
      <c r="B234" s="10616"/>
      <c r="C234" s="10592"/>
      <c r="D234" s="10500"/>
      <c r="E234" s="10500"/>
      <c r="F234" s="10500"/>
      <c r="G234" s="10502"/>
      <c r="H234" s="10500"/>
      <c r="I234" s="10500"/>
      <c r="J234" s="10500"/>
      <c r="K234" s="10500"/>
      <c r="L234" s="10500"/>
      <c r="M234" s="10556"/>
      <c r="N234" s="10556"/>
      <c r="O234" s="10556"/>
      <c r="P234" s="10500"/>
      <c r="Q234" s="10500"/>
      <c r="R234" s="10508"/>
      <c r="S234" s="3541"/>
      <c r="T234" s="5682"/>
      <c r="U234" s="7376"/>
      <c r="V234" s="3495"/>
      <c r="W234" s="5499"/>
      <c r="X234" s="3496"/>
      <c r="Y234" s="5552"/>
      <c r="Z234" s="5552"/>
      <c r="AA234" s="5552"/>
      <c r="AB234" s="5552"/>
      <c r="AC234" s="5845"/>
      <c r="AD234" s="3692"/>
      <c r="AE234" s="3680"/>
      <c r="AF234" s="3666"/>
      <c r="AG234" s="3666"/>
      <c r="AH234" s="10563"/>
      <c r="AI234" s="466"/>
      <c r="AJ234" s="100"/>
      <c r="AK234" s="100"/>
      <c r="AL234" s="100"/>
    </row>
    <row r="235" spans="1:38" ht="99" customHeight="1" thickTop="1" thickBot="1">
      <c r="A235" s="10423"/>
      <c r="B235" s="10616"/>
      <c r="C235" s="10593"/>
      <c r="D235" s="10501"/>
      <c r="E235" s="10501"/>
      <c r="F235" s="10501"/>
      <c r="G235" s="10503"/>
      <c r="H235" s="10501"/>
      <c r="I235" s="10501"/>
      <c r="J235" s="10501"/>
      <c r="K235" s="10501"/>
      <c r="L235" s="10501"/>
      <c r="M235" s="10557"/>
      <c r="N235" s="10557"/>
      <c r="O235" s="10557"/>
      <c r="P235" s="10501"/>
      <c r="Q235" s="10501"/>
      <c r="R235" s="10509"/>
      <c r="S235" s="3773"/>
      <c r="T235" s="5691"/>
      <c r="U235" s="5691"/>
      <c r="V235" s="3759"/>
      <c r="W235" s="5509"/>
      <c r="X235" s="3714"/>
      <c r="Y235" s="5554"/>
      <c r="Z235" s="5554"/>
      <c r="AA235" s="5554"/>
      <c r="AB235" s="5555"/>
      <c r="AC235" s="5818"/>
      <c r="AD235" s="3717"/>
      <c r="AE235" s="3714"/>
      <c r="AF235" s="3718"/>
      <c r="AG235" s="3718"/>
      <c r="AH235" s="10564"/>
      <c r="AI235" s="466"/>
      <c r="AJ235" s="100"/>
      <c r="AK235" s="100"/>
      <c r="AL235" s="100"/>
    </row>
    <row r="236" spans="1:38" ht="33" customHeight="1" thickTop="1" thickBot="1">
      <c r="A236" s="10423"/>
      <c r="B236" s="10616"/>
      <c r="C236" s="10516" t="s">
        <v>127</v>
      </c>
      <c r="D236" s="10433" t="s">
        <v>128</v>
      </c>
      <c r="E236" s="10433" t="s">
        <v>129</v>
      </c>
      <c r="F236" s="10433" t="s">
        <v>336</v>
      </c>
      <c r="G236" s="10442" t="s">
        <v>131</v>
      </c>
      <c r="H236" s="10433" t="s">
        <v>132</v>
      </c>
      <c r="I236" s="10433" t="s">
        <v>159</v>
      </c>
      <c r="J236" s="10433" t="s">
        <v>4024</v>
      </c>
      <c r="K236" s="10433" t="s">
        <v>4025</v>
      </c>
      <c r="L236" s="10433" t="s">
        <v>4026</v>
      </c>
      <c r="M236" s="10555">
        <v>0</v>
      </c>
      <c r="N236" s="10555">
        <v>0</v>
      </c>
      <c r="O236" s="10555">
        <v>1</v>
      </c>
      <c r="P236" s="10433" t="s">
        <v>4027</v>
      </c>
      <c r="Q236" s="10433" t="s">
        <v>4028</v>
      </c>
      <c r="R236" s="10439" t="s">
        <v>4029</v>
      </c>
      <c r="S236" s="3776"/>
      <c r="T236" s="5684"/>
      <c r="U236" s="5684"/>
      <c r="V236" s="3762"/>
      <c r="W236" s="5502"/>
      <c r="X236" s="3709"/>
      <c r="Y236" s="5556"/>
      <c r="Z236" s="5556"/>
      <c r="AA236" s="5556"/>
      <c r="AB236" s="5557"/>
      <c r="AC236" s="5819"/>
      <c r="AD236" s="3723"/>
      <c r="AE236" s="3709"/>
      <c r="AF236" s="3724"/>
      <c r="AG236" s="3724"/>
      <c r="AH236" s="10481"/>
      <c r="AI236" s="466"/>
      <c r="AJ236" s="100"/>
      <c r="AK236" s="100"/>
      <c r="AL236" s="100"/>
    </row>
    <row r="237" spans="1:38" ht="33" customHeight="1" thickTop="1" thickBot="1">
      <c r="A237" s="10423"/>
      <c r="B237" s="10616"/>
      <c r="C237" s="10592"/>
      <c r="D237" s="10500"/>
      <c r="E237" s="10500"/>
      <c r="F237" s="10500"/>
      <c r="G237" s="10502"/>
      <c r="H237" s="10500"/>
      <c r="I237" s="10500"/>
      <c r="J237" s="10500"/>
      <c r="K237" s="10500"/>
      <c r="L237" s="10500"/>
      <c r="M237" s="10556"/>
      <c r="N237" s="10556"/>
      <c r="O237" s="10556"/>
      <c r="P237" s="10500"/>
      <c r="Q237" s="10500"/>
      <c r="R237" s="10508"/>
      <c r="S237" s="3538"/>
      <c r="T237" s="5681"/>
      <c r="U237" s="5681"/>
      <c r="V237" s="3495"/>
      <c r="W237" s="5499"/>
      <c r="X237" s="3496"/>
      <c r="Y237" s="5552"/>
      <c r="Z237" s="5552"/>
      <c r="AA237" s="5552"/>
      <c r="AB237" s="5553"/>
      <c r="AC237" s="5817"/>
      <c r="AD237" s="3665"/>
      <c r="AE237" s="3496"/>
      <c r="AF237" s="3666"/>
      <c r="AG237" s="3666"/>
      <c r="AH237" s="10563"/>
      <c r="AI237" s="466"/>
      <c r="AJ237" s="100"/>
      <c r="AK237" s="100"/>
      <c r="AL237" s="100"/>
    </row>
    <row r="238" spans="1:38" ht="33" customHeight="1" thickTop="1" thickBot="1">
      <c r="A238" s="10423"/>
      <c r="B238" s="10616"/>
      <c r="C238" s="10592"/>
      <c r="D238" s="10500"/>
      <c r="E238" s="10500"/>
      <c r="F238" s="10500"/>
      <c r="G238" s="10502"/>
      <c r="H238" s="10500"/>
      <c r="I238" s="10500"/>
      <c r="J238" s="10500"/>
      <c r="K238" s="10500"/>
      <c r="L238" s="10500"/>
      <c r="M238" s="10556"/>
      <c r="N238" s="10556"/>
      <c r="O238" s="10556"/>
      <c r="P238" s="10500"/>
      <c r="Q238" s="10500"/>
      <c r="R238" s="10508"/>
      <c r="S238" s="3538"/>
      <c r="T238" s="5681"/>
      <c r="U238" s="5681"/>
      <c r="V238" s="3495"/>
      <c r="W238" s="5499"/>
      <c r="X238" s="3496"/>
      <c r="Y238" s="5552"/>
      <c r="Z238" s="5552"/>
      <c r="AA238" s="5552"/>
      <c r="AB238" s="5809"/>
      <c r="AC238" s="7420"/>
      <c r="AD238" s="3679"/>
      <c r="AE238" s="3496"/>
      <c r="AF238" s="3666"/>
      <c r="AG238" s="3666"/>
      <c r="AH238" s="10563"/>
      <c r="AI238" s="466"/>
      <c r="AJ238" s="100"/>
      <c r="AK238" s="100"/>
      <c r="AL238" s="100"/>
    </row>
    <row r="239" spans="1:38" ht="33" customHeight="1" thickTop="1" thickBot="1">
      <c r="A239" s="10423"/>
      <c r="B239" s="10616"/>
      <c r="C239" s="10592"/>
      <c r="D239" s="10500"/>
      <c r="E239" s="10500"/>
      <c r="F239" s="10500"/>
      <c r="G239" s="10502"/>
      <c r="H239" s="10500"/>
      <c r="I239" s="10500"/>
      <c r="J239" s="10500"/>
      <c r="K239" s="10500"/>
      <c r="L239" s="10500"/>
      <c r="M239" s="10556"/>
      <c r="N239" s="10556"/>
      <c r="O239" s="10556"/>
      <c r="P239" s="10500"/>
      <c r="Q239" s="10500"/>
      <c r="R239" s="10508"/>
      <c r="S239" s="3538"/>
      <c r="T239" s="5681"/>
      <c r="U239" s="5681"/>
      <c r="V239" s="3495"/>
      <c r="W239" s="5500"/>
      <c r="X239" s="3504"/>
      <c r="Y239" s="5790"/>
      <c r="Z239" s="5790"/>
      <c r="AA239" s="5790"/>
      <c r="AB239" s="5791"/>
      <c r="AC239" s="5820"/>
      <c r="AD239" s="2935"/>
      <c r="AE239" s="3496"/>
      <c r="AF239" s="3666"/>
      <c r="AG239" s="3666"/>
      <c r="AH239" s="10563"/>
      <c r="AI239" s="466"/>
      <c r="AJ239" s="100"/>
      <c r="AK239" s="100"/>
      <c r="AL239" s="100"/>
    </row>
    <row r="240" spans="1:38" ht="33" customHeight="1" thickTop="1" thickBot="1">
      <c r="A240" s="10423"/>
      <c r="B240" s="10616"/>
      <c r="C240" s="10602"/>
      <c r="D240" s="10566"/>
      <c r="E240" s="10566"/>
      <c r="F240" s="10566"/>
      <c r="G240" s="10567"/>
      <c r="H240" s="10566"/>
      <c r="I240" s="10566"/>
      <c r="J240" s="10566"/>
      <c r="K240" s="10566"/>
      <c r="L240" s="10566"/>
      <c r="M240" s="10581"/>
      <c r="N240" s="10581"/>
      <c r="O240" s="10581"/>
      <c r="P240" s="10566"/>
      <c r="Q240" s="10566"/>
      <c r="R240" s="10588"/>
      <c r="S240" s="3543"/>
      <c r="T240" s="5696"/>
      <c r="U240" s="5696"/>
      <c r="V240" s="3557"/>
      <c r="W240" s="5506"/>
      <c r="X240" s="2933"/>
      <c r="Y240" s="5792"/>
      <c r="Z240" s="5792"/>
      <c r="AA240" s="5792"/>
      <c r="AB240" s="5793"/>
      <c r="AC240" s="5821"/>
      <c r="AD240" s="2936"/>
      <c r="AE240" s="3545"/>
      <c r="AF240" s="3707"/>
      <c r="AG240" s="3707"/>
      <c r="AH240" s="10565"/>
      <c r="AI240" s="466"/>
      <c r="AJ240" s="100"/>
      <c r="AK240" s="100"/>
      <c r="AL240" s="100"/>
    </row>
    <row r="241" spans="1:38" ht="24" customHeight="1" thickTop="1" thickBot="1">
      <c r="A241" s="10423"/>
      <c r="B241" s="10616"/>
      <c r="C241" s="10512" t="s">
        <v>127</v>
      </c>
      <c r="D241" s="10444" t="s">
        <v>128</v>
      </c>
      <c r="E241" s="10444" t="s">
        <v>129</v>
      </c>
      <c r="F241" s="10444" t="s">
        <v>336</v>
      </c>
      <c r="G241" s="10451" t="s">
        <v>131</v>
      </c>
      <c r="H241" s="10444" t="s">
        <v>132</v>
      </c>
      <c r="I241" s="10444" t="s">
        <v>159</v>
      </c>
      <c r="J241" s="10444" t="s">
        <v>4030</v>
      </c>
      <c r="K241" s="10444" t="s">
        <v>4031</v>
      </c>
      <c r="L241" s="10444" t="s">
        <v>4032</v>
      </c>
      <c r="M241" s="10561">
        <v>8</v>
      </c>
      <c r="N241" s="10561">
        <v>8</v>
      </c>
      <c r="O241" s="10561">
        <v>12</v>
      </c>
      <c r="P241" s="10444" t="s">
        <v>4033</v>
      </c>
      <c r="Q241" s="10444" t="s">
        <v>4034</v>
      </c>
      <c r="R241" s="10449" t="s">
        <v>4022</v>
      </c>
      <c r="S241" s="3790" t="s">
        <v>15</v>
      </c>
      <c r="T241" s="5689">
        <v>840104</v>
      </c>
      <c r="U241" s="5689"/>
      <c r="V241" s="3758" t="s">
        <v>39</v>
      </c>
      <c r="W241" s="5516"/>
      <c r="X241" s="3721"/>
      <c r="Y241" s="5800"/>
      <c r="Z241" s="5800"/>
      <c r="AA241" s="5800"/>
      <c r="AB241" s="5794">
        <f>SUM(AA242:AA242)</f>
        <v>1410.75</v>
      </c>
      <c r="AC241" s="5827" t="s">
        <v>18</v>
      </c>
      <c r="AD241" s="3720"/>
      <c r="AE241" s="3658"/>
      <c r="AF241" s="3660"/>
      <c r="AG241" s="3660"/>
      <c r="AH241" s="10478"/>
      <c r="AI241" s="466"/>
      <c r="AJ241" s="100"/>
      <c r="AK241" s="100"/>
      <c r="AL241" s="100"/>
    </row>
    <row r="242" spans="1:38" ht="24" customHeight="1" thickTop="1" thickBot="1">
      <c r="A242" s="10423"/>
      <c r="B242" s="10616"/>
      <c r="C242" s="10592"/>
      <c r="D242" s="10500"/>
      <c r="E242" s="10500"/>
      <c r="F242" s="10500"/>
      <c r="G242" s="10502"/>
      <c r="H242" s="10500"/>
      <c r="I242" s="10500"/>
      <c r="J242" s="10500"/>
      <c r="K242" s="10500"/>
      <c r="L242" s="10500"/>
      <c r="M242" s="10556"/>
      <c r="N242" s="10556"/>
      <c r="O242" s="10556"/>
      <c r="P242" s="10500"/>
      <c r="Q242" s="10500"/>
      <c r="R242" s="10508"/>
      <c r="S242" s="3541"/>
      <c r="T242" s="5682"/>
      <c r="U242" s="7360">
        <v>435500011</v>
      </c>
      <c r="V242" s="3804" t="s">
        <v>4035</v>
      </c>
      <c r="W242" s="7393">
        <v>1</v>
      </c>
      <c r="X242" s="3670" t="s">
        <v>3343</v>
      </c>
      <c r="Y242" s="5795">
        <v>1410.75</v>
      </c>
      <c r="Z242" s="5795">
        <f>+W242*Y242</f>
        <v>1410.75</v>
      </c>
      <c r="AA242" s="5795">
        <f>Z242</f>
        <v>1410.75</v>
      </c>
      <c r="AB242" s="5791"/>
      <c r="AC242" s="5825"/>
      <c r="AD242" s="2935"/>
      <c r="AE242" s="3496" t="s">
        <v>153</v>
      </c>
      <c r="AF242" s="3666" t="s">
        <v>153</v>
      </c>
      <c r="AG242" s="3666"/>
      <c r="AH242" s="10563"/>
      <c r="AI242" s="466"/>
      <c r="AJ242" s="100"/>
      <c r="AK242" s="100"/>
      <c r="AL242" s="100"/>
    </row>
    <row r="243" spans="1:38" ht="59.25" customHeight="1">
      <c r="A243" s="10423"/>
      <c r="B243" s="10616"/>
      <c r="C243" s="10592"/>
      <c r="D243" s="10500"/>
      <c r="E243" s="10500"/>
      <c r="F243" s="10500"/>
      <c r="G243" s="10502"/>
      <c r="H243" s="10500"/>
      <c r="I243" s="10500"/>
      <c r="J243" s="10500"/>
      <c r="K243" s="10500"/>
      <c r="L243" s="10500"/>
      <c r="M243" s="10556"/>
      <c r="N243" s="10556"/>
      <c r="O243" s="10556"/>
      <c r="P243" s="10500"/>
      <c r="Q243" s="10500"/>
      <c r="R243" s="10508"/>
      <c r="S243" s="3791" t="s">
        <v>15</v>
      </c>
      <c r="T243" s="5682">
        <v>530811</v>
      </c>
      <c r="U243" s="5681"/>
      <c r="V243" s="3796" t="s">
        <v>2234</v>
      </c>
      <c r="W243" s="5499"/>
      <c r="X243" s="3496"/>
      <c r="Y243" s="5552"/>
      <c r="Z243" s="5552"/>
      <c r="AA243" s="5552"/>
      <c r="AB243" s="7962">
        <f>SUM(AA244:AA244)</f>
        <v>20.09</v>
      </c>
      <c r="AC243" s="5779" t="s">
        <v>18</v>
      </c>
      <c r="AD243" s="2935"/>
      <c r="AE243" s="3496"/>
      <c r="AF243" s="3666"/>
      <c r="AG243" s="3666"/>
      <c r="AH243" s="10563"/>
      <c r="AI243" s="466"/>
      <c r="AJ243" s="100"/>
      <c r="AK243" s="100"/>
      <c r="AL243" s="100"/>
    </row>
    <row r="244" spans="1:38" ht="34.5" customHeight="1">
      <c r="A244" s="10423"/>
      <c r="B244" s="10616"/>
      <c r="C244" s="10592"/>
      <c r="D244" s="10500"/>
      <c r="E244" s="10500"/>
      <c r="F244" s="10500"/>
      <c r="G244" s="10502"/>
      <c r="H244" s="10500"/>
      <c r="I244" s="10500"/>
      <c r="J244" s="10500"/>
      <c r="K244" s="10500"/>
      <c r="L244" s="10500"/>
      <c r="M244" s="10556"/>
      <c r="N244" s="10556"/>
      <c r="O244" s="10556"/>
      <c r="P244" s="10500"/>
      <c r="Q244" s="10500"/>
      <c r="R244" s="10508"/>
      <c r="S244" s="3541"/>
      <c r="T244" s="5682"/>
      <c r="U244" s="5738" t="s">
        <v>4036</v>
      </c>
      <c r="V244" s="3495" t="s">
        <v>4037</v>
      </c>
      <c r="W244" s="5499">
        <v>2</v>
      </c>
      <c r="X244" s="3496" t="s">
        <v>4038</v>
      </c>
      <c r="Y244" s="5552">
        <v>11</v>
      </c>
      <c r="Z244" s="5552">
        <f>+W244*Y244</f>
        <v>22</v>
      </c>
      <c r="AA244" s="7960">
        <f>(+Z244*1.12)-4.55</f>
        <v>20.09</v>
      </c>
      <c r="AB244" s="5553"/>
      <c r="AC244" s="5817"/>
      <c r="AD244" s="2935"/>
      <c r="AE244" s="3496"/>
      <c r="AF244" s="3666"/>
      <c r="AG244" s="3666" t="s">
        <v>153</v>
      </c>
      <c r="AH244" s="10563"/>
      <c r="AI244" s="466"/>
      <c r="AJ244" s="100"/>
      <c r="AK244" s="100"/>
      <c r="AL244" s="100"/>
    </row>
    <row r="245" spans="1:38" ht="24" customHeight="1" thickTop="1" thickBot="1">
      <c r="A245" s="10423"/>
      <c r="B245" s="10616"/>
      <c r="C245" s="10593"/>
      <c r="D245" s="10501"/>
      <c r="E245" s="10501"/>
      <c r="F245" s="10501"/>
      <c r="G245" s="10503"/>
      <c r="H245" s="10501"/>
      <c r="I245" s="10501"/>
      <c r="J245" s="10501"/>
      <c r="K245" s="10501"/>
      <c r="L245" s="10501"/>
      <c r="M245" s="10557"/>
      <c r="N245" s="10557"/>
      <c r="O245" s="10557"/>
      <c r="P245" s="10501"/>
      <c r="Q245" s="10501"/>
      <c r="R245" s="10509"/>
      <c r="S245" s="3768"/>
      <c r="T245" s="5683"/>
      <c r="U245" s="5683"/>
      <c r="V245" s="3759"/>
      <c r="W245" s="5501"/>
      <c r="X245" s="3727"/>
      <c r="Y245" s="5797"/>
      <c r="Z245" s="5797"/>
      <c r="AA245" s="5797"/>
      <c r="AB245" s="5811"/>
      <c r="AC245" s="5841"/>
      <c r="AD245" s="3726"/>
      <c r="AE245" s="3714"/>
      <c r="AF245" s="3718"/>
      <c r="AG245" s="3718"/>
      <c r="AH245" s="10564"/>
      <c r="AI245" s="466"/>
      <c r="AJ245" s="100"/>
      <c r="AK245" s="100"/>
      <c r="AL245" s="100"/>
    </row>
    <row r="246" spans="1:38" ht="34.5" customHeight="1" thickTop="1" thickBot="1">
      <c r="A246" s="10423"/>
      <c r="B246" s="10616"/>
      <c r="C246" s="10516" t="s">
        <v>127</v>
      </c>
      <c r="D246" s="10433" t="s">
        <v>128</v>
      </c>
      <c r="E246" s="10433" t="s">
        <v>129</v>
      </c>
      <c r="F246" s="10433" t="s">
        <v>336</v>
      </c>
      <c r="G246" s="10442" t="s">
        <v>131</v>
      </c>
      <c r="H246" s="10433" t="s">
        <v>132</v>
      </c>
      <c r="I246" s="10433" t="s">
        <v>159</v>
      </c>
      <c r="J246" s="10433" t="s">
        <v>4039</v>
      </c>
      <c r="K246" s="10433" t="s">
        <v>4040</v>
      </c>
      <c r="L246" s="10433" t="s">
        <v>4041</v>
      </c>
      <c r="M246" s="10555">
        <v>0</v>
      </c>
      <c r="N246" s="10555">
        <v>0</v>
      </c>
      <c r="O246" s="10555">
        <v>1</v>
      </c>
      <c r="P246" s="10433" t="s">
        <v>4042</v>
      </c>
      <c r="Q246" s="10433" t="s">
        <v>4043</v>
      </c>
      <c r="R246" s="10607" t="s">
        <v>4044</v>
      </c>
      <c r="S246" s="3776"/>
      <c r="T246" s="5684"/>
      <c r="U246" s="5684"/>
      <c r="V246" s="3762"/>
      <c r="W246" s="5505"/>
      <c r="X246" s="2930"/>
      <c r="Y246" s="5798"/>
      <c r="Z246" s="5798"/>
      <c r="AA246" s="5798"/>
      <c r="AB246" s="5799"/>
      <c r="AC246" s="5839"/>
      <c r="AD246" s="2934"/>
      <c r="AE246" s="3709"/>
      <c r="AF246" s="3724"/>
      <c r="AG246" s="3724"/>
      <c r="AH246" s="10481"/>
      <c r="AI246" s="466"/>
      <c r="AJ246" s="100"/>
      <c r="AK246" s="100"/>
      <c r="AL246" s="100"/>
    </row>
    <row r="247" spans="1:38" ht="34.5" customHeight="1" thickTop="1" thickBot="1">
      <c r="A247" s="10423"/>
      <c r="B247" s="10616"/>
      <c r="C247" s="10592"/>
      <c r="D247" s="10500"/>
      <c r="E247" s="10500"/>
      <c r="F247" s="10500"/>
      <c r="G247" s="10502"/>
      <c r="H247" s="10500"/>
      <c r="I247" s="10500"/>
      <c r="J247" s="10500"/>
      <c r="K247" s="10500"/>
      <c r="L247" s="10500"/>
      <c r="M247" s="10556"/>
      <c r="N247" s="10556"/>
      <c r="O247" s="10556"/>
      <c r="P247" s="10500"/>
      <c r="Q247" s="10500"/>
      <c r="R247" s="10608"/>
      <c r="S247" s="3538"/>
      <c r="T247" s="5681"/>
      <c r="U247" s="5681"/>
      <c r="V247" s="3495"/>
      <c r="W247" s="5500"/>
      <c r="X247" s="3504"/>
      <c r="Y247" s="5790"/>
      <c r="Z247" s="5790"/>
      <c r="AA247" s="5790"/>
      <c r="AB247" s="5791"/>
      <c r="AC247" s="5820"/>
      <c r="AD247" s="2935"/>
      <c r="AE247" s="3496"/>
      <c r="AF247" s="3666"/>
      <c r="AG247" s="3666"/>
      <c r="AH247" s="10563"/>
      <c r="AI247" s="466"/>
      <c r="AJ247" s="100"/>
      <c r="AK247" s="100"/>
      <c r="AL247" s="100"/>
    </row>
    <row r="248" spans="1:38" ht="34.5" customHeight="1" thickTop="1" thickBot="1">
      <c r="A248" s="10423"/>
      <c r="B248" s="10616"/>
      <c r="C248" s="10592"/>
      <c r="D248" s="10500"/>
      <c r="E248" s="10500"/>
      <c r="F248" s="10500"/>
      <c r="G248" s="10502"/>
      <c r="H248" s="10500"/>
      <c r="I248" s="10500"/>
      <c r="J248" s="10500"/>
      <c r="K248" s="10500"/>
      <c r="L248" s="10500"/>
      <c r="M248" s="10556"/>
      <c r="N248" s="10556"/>
      <c r="O248" s="10556"/>
      <c r="P248" s="10500"/>
      <c r="Q248" s="10500"/>
      <c r="R248" s="10608"/>
      <c r="S248" s="3538"/>
      <c r="T248" s="5681"/>
      <c r="U248" s="5681"/>
      <c r="V248" s="3495"/>
      <c r="W248" s="5500"/>
      <c r="X248" s="3504"/>
      <c r="Y248" s="5790"/>
      <c r="Z248" s="5790"/>
      <c r="AA248" s="5790"/>
      <c r="AB248" s="5791"/>
      <c r="AC248" s="5820"/>
      <c r="AD248" s="2935"/>
      <c r="AE248" s="3496"/>
      <c r="AF248" s="3666"/>
      <c r="AG248" s="3666"/>
      <c r="AH248" s="10563"/>
      <c r="AI248" s="466"/>
      <c r="AJ248" s="100"/>
      <c r="AK248" s="100"/>
      <c r="AL248" s="100"/>
    </row>
    <row r="249" spans="1:38" ht="34.5" customHeight="1" thickTop="1" thickBot="1">
      <c r="A249" s="10423"/>
      <c r="B249" s="10616"/>
      <c r="C249" s="10592"/>
      <c r="D249" s="10500"/>
      <c r="E249" s="10500"/>
      <c r="F249" s="10500"/>
      <c r="G249" s="10502"/>
      <c r="H249" s="10500"/>
      <c r="I249" s="10500"/>
      <c r="J249" s="10500"/>
      <c r="K249" s="10500"/>
      <c r="L249" s="10500"/>
      <c r="M249" s="10556"/>
      <c r="N249" s="10556"/>
      <c r="O249" s="10556"/>
      <c r="P249" s="10500"/>
      <c r="Q249" s="10500"/>
      <c r="R249" s="10608"/>
      <c r="S249" s="3541"/>
      <c r="T249" s="5682"/>
      <c r="U249" s="5682"/>
      <c r="V249" s="3495"/>
      <c r="W249" s="5500"/>
      <c r="X249" s="3504"/>
      <c r="Y249" s="5790"/>
      <c r="Z249" s="5790"/>
      <c r="AA249" s="5790"/>
      <c r="AB249" s="5791"/>
      <c r="AC249" s="5820"/>
      <c r="AD249" s="2935"/>
      <c r="AE249" s="3496"/>
      <c r="AF249" s="3666"/>
      <c r="AG249" s="3666"/>
      <c r="AH249" s="10563"/>
      <c r="AI249" s="466"/>
      <c r="AJ249" s="100"/>
      <c r="AK249" s="100"/>
      <c r="AL249" s="100"/>
    </row>
    <row r="250" spans="1:38" ht="34.5" customHeight="1" thickTop="1" thickBot="1">
      <c r="A250" s="10423"/>
      <c r="B250" s="10616"/>
      <c r="C250" s="10602"/>
      <c r="D250" s="10566"/>
      <c r="E250" s="10566"/>
      <c r="F250" s="10566"/>
      <c r="G250" s="10567"/>
      <c r="H250" s="10566"/>
      <c r="I250" s="10566"/>
      <c r="J250" s="10566"/>
      <c r="K250" s="10566"/>
      <c r="L250" s="10566"/>
      <c r="M250" s="10581"/>
      <c r="N250" s="10581"/>
      <c r="O250" s="10581"/>
      <c r="P250" s="10566"/>
      <c r="Q250" s="10566"/>
      <c r="R250" s="10609"/>
      <c r="S250" s="3543"/>
      <c r="T250" s="5696"/>
      <c r="U250" s="5696"/>
      <c r="V250" s="3557"/>
      <c r="W250" s="5503"/>
      <c r="X250" s="3545"/>
      <c r="Y250" s="5558"/>
      <c r="Z250" s="5558"/>
      <c r="AA250" s="5558"/>
      <c r="AB250" s="5559"/>
      <c r="AC250" s="5830"/>
      <c r="AD250" s="3706"/>
      <c r="AE250" s="3545"/>
      <c r="AF250" s="3707"/>
      <c r="AG250" s="3707"/>
      <c r="AH250" s="10565"/>
      <c r="AI250" s="466"/>
      <c r="AJ250" s="100"/>
      <c r="AK250" s="100"/>
      <c r="AL250" s="100"/>
    </row>
    <row r="251" spans="1:38" ht="35.25" customHeight="1" thickTop="1" thickBot="1">
      <c r="A251" s="10423"/>
      <c r="B251" s="10616"/>
      <c r="C251" s="10512" t="s">
        <v>127</v>
      </c>
      <c r="D251" s="10444" t="s">
        <v>128</v>
      </c>
      <c r="E251" s="10444" t="s">
        <v>129</v>
      </c>
      <c r="F251" s="10444" t="s">
        <v>336</v>
      </c>
      <c r="G251" s="10451" t="s">
        <v>131</v>
      </c>
      <c r="H251" s="10444" t="s">
        <v>132</v>
      </c>
      <c r="I251" s="10444" t="s">
        <v>159</v>
      </c>
      <c r="J251" s="10444" t="s">
        <v>4045</v>
      </c>
      <c r="K251" s="10444" t="s">
        <v>4046</v>
      </c>
      <c r="L251" s="10444" t="s">
        <v>4047</v>
      </c>
      <c r="M251" s="10561">
        <v>0</v>
      </c>
      <c r="N251" s="10561">
        <v>1</v>
      </c>
      <c r="O251" s="10561">
        <v>0</v>
      </c>
      <c r="P251" s="10444" t="s">
        <v>4048</v>
      </c>
      <c r="Q251" s="10444" t="s">
        <v>4049</v>
      </c>
      <c r="R251" s="10449" t="s">
        <v>4029</v>
      </c>
      <c r="S251" s="3767"/>
      <c r="T251" s="5689"/>
      <c r="U251" s="5689"/>
      <c r="V251" s="3758"/>
      <c r="W251" s="5504"/>
      <c r="X251" s="3658"/>
      <c r="Y251" s="5560"/>
      <c r="Z251" s="5560"/>
      <c r="AA251" s="5560"/>
      <c r="AB251" s="5561"/>
      <c r="AC251" s="5831"/>
      <c r="AD251" s="3659"/>
      <c r="AE251" s="3658"/>
      <c r="AF251" s="3749"/>
      <c r="AG251" s="3749"/>
      <c r="AH251" s="10478"/>
      <c r="AI251" s="466"/>
      <c r="AJ251" s="100"/>
      <c r="AK251" s="100"/>
      <c r="AL251" s="100"/>
    </row>
    <row r="252" spans="1:38" ht="35.25" customHeight="1" thickTop="1" thickBot="1">
      <c r="A252" s="10423"/>
      <c r="B252" s="10616"/>
      <c r="C252" s="10592"/>
      <c r="D252" s="10500"/>
      <c r="E252" s="10500"/>
      <c r="F252" s="10500"/>
      <c r="G252" s="10502"/>
      <c r="H252" s="10500"/>
      <c r="I252" s="10500"/>
      <c r="J252" s="10500"/>
      <c r="K252" s="10500"/>
      <c r="L252" s="10500"/>
      <c r="M252" s="10556"/>
      <c r="N252" s="10556"/>
      <c r="O252" s="10556"/>
      <c r="P252" s="10500"/>
      <c r="Q252" s="10500"/>
      <c r="R252" s="10508"/>
      <c r="S252" s="3538"/>
      <c r="T252" s="5681"/>
      <c r="U252" s="5681"/>
      <c r="V252" s="3495"/>
      <c r="W252" s="5499"/>
      <c r="X252" s="3496"/>
      <c r="Y252" s="5552"/>
      <c r="Z252" s="5552"/>
      <c r="AA252" s="5552"/>
      <c r="AB252" s="5553"/>
      <c r="AC252" s="5817"/>
      <c r="AD252" s="3665"/>
      <c r="AE252" s="3496"/>
      <c r="AF252" s="3496"/>
      <c r="AG252" s="3690"/>
      <c r="AH252" s="10563"/>
      <c r="AI252" s="466"/>
      <c r="AJ252" s="100"/>
      <c r="AK252" s="100"/>
      <c r="AL252" s="100"/>
    </row>
    <row r="253" spans="1:38" ht="35.25" customHeight="1" thickTop="1" thickBot="1">
      <c r="A253" s="10423"/>
      <c r="B253" s="10616"/>
      <c r="C253" s="10592"/>
      <c r="D253" s="10500"/>
      <c r="E253" s="10500"/>
      <c r="F253" s="10500"/>
      <c r="G253" s="10502"/>
      <c r="H253" s="10500"/>
      <c r="I253" s="10500"/>
      <c r="J253" s="10500"/>
      <c r="K253" s="10500"/>
      <c r="L253" s="10500"/>
      <c r="M253" s="10556"/>
      <c r="N253" s="10556"/>
      <c r="O253" s="10556"/>
      <c r="P253" s="10500"/>
      <c r="Q253" s="10500"/>
      <c r="R253" s="10508"/>
      <c r="S253" s="3538"/>
      <c r="T253" s="5681"/>
      <c r="U253" s="5681"/>
      <c r="V253" s="3495"/>
      <c r="W253" s="5499"/>
      <c r="X253" s="3496"/>
      <c r="Y253" s="5552"/>
      <c r="Z253" s="5552"/>
      <c r="AA253" s="5552"/>
      <c r="AB253" s="5809"/>
      <c r="AC253" s="7420"/>
      <c r="AD253" s="3679"/>
      <c r="AE253" s="3496"/>
      <c r="AF253" s="3496"/>
      <c r="AG253" s="3666"/>
      <c r="AH253" s="10563"/>
      <c r="AI253" s="466"/>
      <c r="AJ253" s="100"/>
      <c r="AK253" s="100"/>
      <c r="AL253" s="100"/>
    </row>
    <row r="254" spans="1:38" ht="35.25" customHeight="1" thickTop="1" thickBot="1">
      <c r="A254" s="10423"/>
      <c r="B254" s="10616"/>
      <c r="C254" s="10592"/>
      <c r="D254" s="10500"/>
      <c r="E254" s="10500"/>
      <c r="F254" s="10500"/>
      <c r="G254" s="10502"/>
      <c r="H254" s="10500"/>
      <c r="I254" s="10500"/>
      <c r="J254" s="10500"/>
      <c r="K254" s="10500"/>
      <c r="L254" s="10500"/>
      <c r="M254" s="10556"/>
      <c r="N254" s="10556"/>
      <c r="O254" s="10556"/>
      <c r="P254" s="10500"/>
      <c r="Q254" s="10500"/>
      <c r="R254" s="10508"/>
      <c r="S254" s="3538"/>
      <c r="T254" s="5681"/>
      <c r="U254" s="5681"/>
      <c r="V254" s="3495"/>
      <c r="W254" s="5499"/>
      <c r="X254" s="3496"/>
      <c r="Y254" s="5552"/>
      <c r="Z254" s="5552"/>
      <c r="AA254" s="5552"/>
      <c r="AB254" s="5809"/>
      <c r="AC254" s="7420"/>
      <c r="AD254" s="3679"/>
      <c r="AE254" s="3496"/>
      <c r="AF254" s="3496"/>
      <c r="AG254" s="3666"/>
      <c r="AH254" s="10563"/>
      <c r="AI254" s="466"/>
      <c r="AJ254" s="100"/>
      <c r="AK254" s="100"/>
      <c r="AL254" s="100"/>
    </row>
    <row r="255" spans="1:38" ht="35.25" customHeight="1" thickTop="1" thickBot="1">
      <c r="A255" s="10423"/>
      <c r="B255" s="10616"/>
      <c r="C255" s="10593"/>
      <c r="D255" s="10501"/>
      <c r="E255" s="10501"/>
      <c r="F255" s="10501"/>
      <c r="G255" s="10503"/>
      <c r="H255" s="10501"/>
      <c r="I255" s="10501"/>
      <c r="J255" s="10501"/>
      <c r="K255" s="10501"/>
      <c r="L255" s="10501"/>
      <c r="M255" s="10557"/>
      <c r="N255" s="10557"/>
      <c r="O255" s="10557"/>
      <c r="P255" s="10501"/>
      <c r="Q255" s="10501"/>
      <c r="R255" s="10509"/>
      <c r="S255" s="3768"/>
      <c r="T255" s="5683"/>
      <c r="U255" s="5683"/>
      <c r="V255" s="3759"/>
      <c r="W255" s="5509"/>
      <c r="X255" s="3714"/>
      <c r="Y255" s="5554"/>
      <c r="Z255" s="5554"/>
      <c r="AA255" s="5554"/>
      <c r="AB255" s="5555"/>
      <c r="AC255" s="5818"/>
      <c r="AD255" s="3717"/>
      <c r="AE255" s="3714"/>
      <c r="AF255" s="3714"/>
      <c r="AG255" s="3718"/>
      <c r="AH255" s="10564"/>
      <c r="AI255" s="466"/>
      <c r="AJ255" s="100"/>
      <c r="AK255" s="100"/>
      <c r="AL255" s="100"/>
    </row>
    <row r="256" spans="1:38" ht="23.25" customHeight="1" thickTop="1" thickBot="1">
      <c r="A256" s="10423"/>
      <c r="B256" s="10616"/>
      <c r="C256" s="10516" t="s">
        <v>127</v>
      </c>
      <c r="D256" s="10433" t="s">
        <v>128</v>
      </c>
      <c r="E256" s="10433" t="s">
        <v>129</v>
      </c>
      <c r="F256" s="10433" t="s">
        <v>336</v>
      </c>
      <c r="G256" s="10442" t="s">
        <v>131</v>
      </c>
      <c r="H256" s="10433" t="s">
        <v>132</v>
      </c>
      <c r="I256" s="10433" t="s">
        <v>159</v>
      </c>
      <c r="J256" s="10433" t="s">
        <v>4050</v>
      </c>
      <c r="K256" s="10433" t="s">
        <v>4051</v>
      </c>
      <c r="L256" s="10433" t="s">
        <v>4052</v>
      </c>
      <c r="M256" s="10555">
        <v>20</v>
      </c>
      <c r="N256" s="10555">
        <v>20</v>
      </c>
      <c r="O256" s="10555">
        <v>30</v>
      </c>
      <c r="P256" s="10433" t="s">
        <v>4053</v>
      </c>
      <c r="Q256" s="10433" t="s">
        <v>4054</v>
      </c>
      <c r="R256" s="10439" t="s">
        <v>4029</v>
      </c>
      <c r="S256" s="3776"/>
      <c r="T256" s="5684"/>
      <c r="U256" s="5684"/>
      <c r="V256" s="3762"/>
      <c r="W256" s="5502"/>
      <c r="X256" s="3709"/>
      <c r="Y256" s="5556"/>
      <c r="Z256" s="5556"/>
      <c r="AA256" s="5556"/>
      <c r="AB256" s="5557"/>
      <c r="AC256" s="5819"/>
      <c r="AD256" s="3723"/>
      <c r="AE256" s="3709"/>
      <c r="AF256" s="3724"/>
      <c r="AG256" s="3724"/>
      <c r="AH256" s="10481"/>
      <c r="AI256" s="466"/>
      <c r="AJ256" s="100"/>
      <c r="AK256" s="100"/>
      <c r="AL256" s="100"/>
    </row>
    <row r="257" spans="1:38" ht="23.25" customHeight="1" thickTop="1" thickBot="1">
      <c r="A257" s="10423"/>
      <c r="B257" s="10616"/>
      <c r="C257" s="10592"/>
      <c r="D257" s="10500"/>
      <c r="E257" s="10500"/>
      <c r="F257" s="10500"/>
      <c r="G257" s="10502"/>
      <c r="H257" s="10500"/>
      <c r="I257" s="10500"/>
      <c r="J257" s="10500"/>
      <c r="K257" s="10500"/>
      <c r="L257" s="10500"/>
      <c r="M257" s="10556"/>
      <c r="N257" s="10556"/>
      <c r="O257" s="10556"/>
      <c r="P257" s="10500"/>
      <c r="Q257" s="10500"/>
      <c r="R257" s="10508"/>
      <c r="S257" s="3538"/>
      <c r="T257" s="5681"/>
      <c r="U257" s="5681"/>
      <c r="V257" s="3495"/>
      <c r="W257" s="5499"/>
      <c r="X257" s="3496"/>
      <c r="Y257" s="5552"/>
      <c r="Z257" s="5552"/>
      <c r="AA257" s="5552"/>
      <c r="AB257" s="5553"/>
      <c r="AC257" s="5817"/>
      <c r="AD257" s="3665"/>
      <c r="AE257" s="3496"/>
      <c r="AF257" s="3666"/>
      <c r="AG257" s="3666"/>
      <c r="AH257" s="10563"/>
      <c r="AI257" s="466"/>
      <c r="AJ257" s="100"/>
      <c r="AK257" s="100"/>
      <c r="AL257" s="100"/>
    </row>
    <row r="258" spans="1:38" ht="23.25" customHeight="1" thickTop="1" thickBot="1">
      <c r="A258" s="10423"/>
      <c r="B258" s="10616"/>
      <c r="C258" s="10592"/>
      <c r="D258" s="10500"/>
      <c r="E258" s="10500"/>
      <c r="F258" s="10500"/>
      <c r="G258" s="10502"/>
      <c r="H258" s="10500"/>
      <c r="I258" s="10500"/>
      <c r="J258" s="10500"/>
      <c r="K258" s="10500"/>
      <c r="L258" s="10500"/>
      <c r="M258" s="10556"/>
      <c r="N258" s="10556"/>
      <c r="O258" s="10556"/>
      <c r="P258" s="10500"/>
      <c r="Q258" s="10500"/>
      <c r="R258" s="10508"/>
      <c r="S258" s="3538"/>
      <c r="T258" s="5681"/>
      <c r="U258" s="5681"/>
      <c r="V258" s="3495"/>
      <c r="W258" s="5499"/>
      <c r="X258" s="3496"/>
      <c r="Y258" s="5552"/>
      <c r="Z258" s="5552"/>
      <c r="AA258" s="5552"/>
      <c r="AB258" s="5809"/>
      <c r="AC258" s="7420"/>
      <c r="AD258" s="3679"/>
      <c r="AE258" s="3496"/>
      <c r="AF258" s="3666"/>
      <c r="AG258" s="3666"/>
      <c r="AH258" s="10563"/>
      <c r="AI258" s="466"/>
      <c r="AJ258" s="100"/>
      <c r="AK258" s="100"/>
      <c r="AL258" s="100"/>
    </row>
    <row r="259" spans="1:38" ht="23.25" customHeight="1" thickTop="1" thickBot="1">
      <c r="A259" s="10423"/>
      <c r="B259" s="10616"/>
      <c r="C259" s="10592"/>
      <c r="D259" s="10500"/>
      <c r="E259" s="10500"/>
      <c r="F259" s="10500"/>
      <c r="G259" s="10502"/>
      <c r="H259" s="10500"/>
      <c r="I259" s="10500"/>
      <c r="J259" s="10500"/>
      <c r="K259" s="10500"/>
      <c r="L259" s="10500"/>
      <c r="M259" s="10556"/>
      <c r="N259" s="10556"/>
      <c r="O259" s="10556"/>
      <c r="P259" s="10500"/>
      <c r="Q259" s="10500"/>
      <c r="R259" s="10508"/>
      <c r="S259" s="3538"/>
      <c r="T259" s="5681"/>
      <c r="U259" s="5681"/>
      <c r="V259" s="3495"/>
      <c r="W259" s="5499"/>
      <c r="X259" s="3496"/>
      <c r="Y259" s="5552"/>
      <c r="Z259" s="5552"/>
      <c r="AA259" s="5552"/>
      <c r="AB259" s="5809"/>
      <c r="AC259" s="7420"/>
      <c r="AD259" s="3679"/>
      <c r="AE259" s="3496"/>
      <c r="AF259" s="3666"/>
      <c r="AG259" s="3666"/>
      <c r="AH259" s="10563"/>
      <c r="AI259" s="466"/>
      <c r="AJ259" s="100"/>
      <c r="AK259" s="100"/>
      <c r="AL259" s="100"/>
    </row>
    <row r="260" spans="1:38" ht="23.25" customHeight="1" thickTop="1" thickBot="1">
      <c r="A260" s="10423"/>
      <c r="B260" s="10616"/>
      <c r="C260" s="10602"/>
      <c r="D260" s="10566"/>
      <c r="E260" s="10566"/>
      <c r="F260" s="10566"/>
      <c r="G260" s="10567"/>
      <c r="H260" s="10566"/>
      <c r="I260" s="10566"/>
      <c r="J260" s="10566"/>
      <c r="K260" s="10566"/>
      <c r="L260" s="10566"/>
      <c r="M260" s="10581"/>
      <c r="N260" s="10581"/>
      <c r="O260" s="10581"/>
      <c r="P260" s="10566"/>
      <c r="Q260" s="10566"/>
      <c r="R260" s="10588"/>
      <c r="S260" s="3543"/>
      <c r="T260" s="5696"/>
      <c r="U260" s="5696"/>
      <c r="V260" s="3557"/>
      <c r="W260" s="5503"/>
      <c r="X260" s="3545"/>
      <c r="Y260" s="5558"/>
      <c r="Z260" s="5558"/>
      <c r="AA260" s="5558"/>
      <c r="AB260" s="5559"/>
      <c r="AC260" s="5830"/>
      <c r="AD260" s="3706"/>
      <c r="AE260" s="3545"/>
      <c r="AF260" s="3707"/>
      <c r="AG260" s="3707"/>
      <c r="AH260" s="10565"/>
      <c r="AI260" s="466"/>
      <c r="AJ260" s="100"/>
      <c r="AK260" s="100"/>
      <c r="AL260" s="100"/>
    </row>
    <row r="261" spans="1:38" ht="26.25" customHeight="1" thickTop="1" thickBot="1">
      <c r="A261" s="10423"/>
      <c r="B261" s="10616"/>
      <c r="C261" s="10512" t="s">
        <v>127</v>
      </c>
      <c r="D261" s="10444" t="s">
        <v>128</v>
      </c>
      <c r="E261" s="10444" t="s">
        <v>129</v>
      </c>
      <c r="F261" s="10444" t="s">
        <v>336</v>
      </c>
      <c r="G261" s="10451" t="s">
        <v>131</v>
      </c>
      <c r="H261" s="10444" t="s">
        <v>132</v>
      </c>
      <c r="I261" s="10444" t="s">
        <v>159</v>
      </c>
      <c r="J261" s="10444" t="s">
        <v>4055</v>
      </c>
      <c r="K261" s="10444" t="s">
        <v>4056</v>
      </c>
      <c r="L261" s="10444" t="s">
        <v>4057</v>
      </c>
      <c r="M261" s="10561">
        <v>0</v>
      </c>
      <c r="N261" s="10561">
        <v>0</v>
      </c>
      <c r="O261" s="10561">
        <v>2</v>
      </c>
      <c r="P261" s="10444" t="s">
        <v>4058</v>
      </c>
      <c r="Q261" s="10444" t="s">
        <v>4059</v>
      </c>
      <c r="R261" s="10449" t="s">
        <v>4029</v>
      </c>
      <c r="S261" s="3767"/>
      <c r="T261" s="5689"/>
      <c r="U261" s="5689"/>
      <c r="V261" s="3758"/>
      <c r="W261" s="5504"/>
      <c r="X261" s="3658"/>
      <c r="Y261" s="5560"/>
      <c r="Z261" s="5560"/>
      <c r="AA261" s="5560"/>
      <c r="AB261" s="5561"/>
      <c r="AC261" s="5831"/>
      <c r="AD261" s="3659"/>
      <c r="AE261" s="3658"/>
      <c r="AF261" s="3660"/>
      <c r="AG261" s="3660"/>
      <c r="AH261" s="10478"/>
      <c r="AI261" s="466"/>
      <c r="AJ261" s="100"/>
      <c r="AK261" s="100"/>
      <c r="AL261" s="100"/>
    </row>
    <row r="262" spans="1:38" ht="26.25" customHeight="1" thickTop="1" thickBot="1">
      <c r="A262" s="10423"/>
      <c r="B262" s="10616"/>
      <c r="C262" s="10592"/>
      <c r="D262" s="10500"/>
      <c r="E262" s="10500"/>
      <c r="F262" s="10500"/>
      <c r="G262" s="10502"/>
      <c r="H262" s="10500"/>
      <c r="I262" s="10500"/>
      <c r="J262" s="10500"/>
      <c r="K262" s="10500"/>
      <c r="L262" s="10500"/>
      <c r="M262" s="10556"/>
      <c r="N262" s="10556"/>
      <c r="O262" s="10556"/>
      <c r="P262" s="10500"/>
      <c r="Q262" s="10500"/>
      <c r="R262" s="10508"/>
      <c r="S262" s="3538"/>
      <c r="T262" s="5681"/>
      <c r="U262" s="5681"/>
      <c r="V262" s="3495"/>
      <c r="W262" s="5499"/>
      <c r="X262" s="3496"/>
      <c r="Y262" s="5552"/>
      <c r="Z262" s="5552"/>
      <c r="AA262" s="5552"/>
      <c r="AB262" s="5553"/>
      <c r="AC262" s="5817"/>
      <c r="AD262" s="3665"/>
      <c r="AE262" s="3496"/>
      <c r="AF262" s="3666"/>
      <c r="AG262" s="3666"/>
      <c r="AH262" s="10563"/>
      <c r="AI262" s="466"/>
      <c r="AJ262" s="100"/>
      <c r="AK262" s="100"/>
      <c r="AL262" s="100"/>
    </row>
    <row r="263" spans="1:38" ht="26.25" customHeight="1" thickTop="1" thickBot="1">
      <c r="A263" s="10423"/>
      <c r="B263" s="10616"/>
      <c r="C263" s="10592"/>
      <c r="D263" s="10500"/>
      <c r="E263" s="10500"/>
      <c r="F263" s="10500"/>
      <c r="G263" s="10502"/>
      <c r="H263" s="10500"/>
      <c r="I263" s="10500"/>
      <c r="J263" s="10500"/>
      <c r="K263" s="10500"/>
      <c r="L263" s="10500"/>
      <c r="M263" s="10556"/>
      <c r="N263" s="10556"/>
      <c r="O263" s="10556"/>
      <c r="P263" s="10500"/>
      <c r="Q263" s="10500"/>
      <c r="R263" s="10508"/>
      <c r="S263" s="3538"/>
      <c r="T263" s="5681"/>
      <c r="U263" s="5681"/>
      <c r="V263" s="3495"/>
      <c r="W263" s="5499"/>
      <c r="X263" s="3496"/>
      <c r="Y263" s="5552"/>
      <c r="Z263" s="5552"/>
      <c r="AA263" s="5552"/>
      <c r="AB263" s="5809"/>
      <c r="AC263" s="7420"/>
      <c r="AD263" s="3679"/>
      <c r="AE263" s="3496"/>
      <c r="AF263" s="3666"/>
      <c r="AG263" s="3666"/>
      <c r="AH263" s="10563"/>
      <c r="AI263" s="466"/>
      <c r="AJ263" s="100"/>
      <c r="AK263" s="100"/>
      <c r="AL263" s="100"/>
    </row>
    <row r="264" spans="1:38" ht="26.25" customHeight="1" thickTop="1" thickBot="1">
      <c r="A264" s="10423"/>
      <c r="B264" s="10616"/>
      <c r="C264" s="10592"/>
      <c r="D264" s="10500"/>
      <c r="E264" s="10500"/>
      <c r="F264" s="10500"/>
      <c r="G264" s="10502"/>
      <c r="H264" s="10500"/>
      <c r="I264" s="10500"/>
      <c r="J264" s="10500"/>
      <c r="K264" s="10500"/>
      <c r="L264" s="10500"/>
      <c r="M264" s="10556"/>
      <c r="N264" s="10556"/>
      <c r="O264" s="10556"/>
      <c r="P264" s="10500"/>
      <c r="Q264" s="10500"/>
      <c r="R264" s="10508"/>
      <c r="S264" s="3538"/>
      <c r="T264" s="5681"/>
      <c r="U264" s="5681"/>
      <c r="V264" s="3495"/>
      <c r="W264" s="5499"/>
      <c r="X264" s="3496"/>
      <c r="Y264" s="5552"/>
      <c r="Z264" s="5552"/>
      <c r="AA264" s="5552"/>
      <c r="AB264" s="5809"/>
      <c r="AC264" s="7420"/>
      <c r="AD264" s="3679"/>
      <c r="AE264" s="3496"/>
      <c r="AF264" s="3666"/>
      <c r="AG264" s="3666"/>
      <c r="AH264" s="10563"/>
      <c r="AI264" s="466"/>
      <c r="AJ264" s="100"/>
      <c r="AK264" s="100"/>
      <c r="AL264" s="100"/>
    </row>
    <row r="265" spans="1:38" ht="26.25" customHeight="1" thickTop="1" thickBot="1">
      <c r="A265" s="10423"/>
      <c r="B265" s="10616"/>
      <c r="C265" s="10593"/>
      <c r="D265" s="10501"/>
      <c r="E265" s="10501"/>
      <c r="F265" s="10501"/>
      <c r="G265" s="10503"/>
      <c r="H265" s="10501"/>
      <c r="I265" s="10501"/>
      <c r="J265" s="10501"/>
      <c r="K265" s="10501"/>
      <c r="L265" s="10501"/>
      <c r="M265" s="10557"/>
      <c r="N265" s="10557"/>
      <c r="O265" s="10557"/>
      <c r="P265" s="10501"/>
      <c r="Q265" s="10501"/>
      <c r="R265" s="10509"/>
      <c r="S265" s="3768"/>
      <c r="T265" s="5683"/>
      <c r="U265" s="5683"/>
      <c r="V265" s="3759"/>
      <c r="W265" s="5509"/>
      <c r="X265" s="3714"/>
      <c r="Y265" s="5554"/>
      <c r="Z265" s="5554"/>
      <c r="AA265" s="5554"/>
      <c r="AB265" s="5555"/>
      <c r="AC265" s="5818"/>
      <c r="AD265" s="3717"/>
      <c r="AE265" s="3714"/>
      <c r="AF265" s="3718"/>
      <c r="AG265" s="3718"/>
      <c r="AH265" s="10564"/>
      <c r="AI265" s="466"/>
      <c r="AJ265" s="100"/>
      <c r="AK265" s="100"/>
      <c r="AL265" s="100"/>
    </row>
    <row r="266" spans="1:38" ht="25.5" customHeight="1" thickTop="1" thickBot="1">
      <c r="A266" s="10423"/>
      <c r="B266" s="10616"/>
      <c r="C266" s="10516" t="s">
        <v>127</v>
      </c>
      <c r="D266" s="10433" t="s">
        <v>128</v>
      </c>
      <c r="E266" s="10433" t="s">
        <v>129</v>
      </c>
      <c r="F266" s="10433" t="s">
        <v>336</v>
      </c>
      <c r="G266" s="10442" t="s">
        <v>131</v>
      </c>
      <c r="H266" s="10433" t="s">
        <v>132</v>
      </c>
      <c r="I266" s="10433" t="s">
        <v>159</v>
      </c>
      <c r="J266" s="10433" t="s">
        <v>4060</v>
      </c>
      <c r="K266" s="10433" t="s">
        <v>286</v>
      </c>
      <c r="L266" s="10433" t="s">
        <v>4061</v>
      </c>
      <c r="M266" s="10555">
        <v>0</v>
      </c>
      <c r="N266" s="10555">
        <v>1</v>
      </c>
      <c r="O266" s="10555">
        <v>1</v>
      </c>
      <c r="P266" s="10433" t="s">
        <v>4062</v>
      </c>
      <c r="Q266" s="10433" t="s">
        <v>3917</v>
      </c>
      <c r="R266" s="10584" t="s">
        <v>4063</v>
      </c>
      <c r="S266" s="3776"/>
      <c r="T266" s="5684"/>
      <c r="U266" s="5684"/>
      <c r="V266" s="3762"/>
      <c r="W266" s="5502"/>
      <c r="X266" s="3709"/>
      <c r="Y266" s="5556"/>
      <c r="Z266" s="5556"/>
      <c r="AA266" s="5556"/>
      <c r="AB266" s="5557"/>
      <c r="AC266" s="5819"/>
      <c r="AD266" s="3723"/>
      <c r="AE266" s="3709"/>
      <c r="AF266" s="3724"/>
      <c r="AG266" s="3724"/>
      <c r="AH266" s="10481"/>
      <c r="AI266" s="466"/>
      <c r="AJ266" s="100"/>
      <c r="AK266" s="100"/>
      <c r="AL266" s="100"/>
    </row>
    <row r="267" spans="1:38" ht="25.5" customHeight="1" thickTop="1" thickBot="1">
      <c r="A267" s="10423"/>
      <c r="B267" s="10616"/>
      <c r="C267" s="10592"/>
      <c r="D267" s="10500"/>
      <c r="E267" s="10500"/>
      <c r="F267" s="10500"/>
      <c r="G267" s="10502"/>
      <c r="H267" s="10500"/>
      <c r="I267" s="10500"/>
      <c r="J267" s="10500"/>
      <c r="K267" s="10500"/>
      <c r="L267" s="10500"/>
      <c r="M267" s="10556"/>
      <c r="N267" s="10556"/>
      <c r="O267" s="10556"/>
      <c r="P267" s="10500"/>
      <c r="Q267" s="10500"/>
      <c r="R267" s="10585"/>
      <c r="S267" s="3538"/>
      <c r="T267" s="5681"/>
      <c r="U267" s="5681"/>
      <c r="V267" s="3495"/>
      <c r="W267" s="5499"/>
      <c r="X267" s="3496"/>
      <c r="Y267" s="5552"/>
      <c r="Z267" s="5552"/>
      <c r="AA267" s="5552"/>
      <c r="AB267" s="5553"/>
      <c r="AC267" s="5817"/>
      <c r="AD267" s="3665"/>
      <c r="AE267" s="3496"/>
      <c r="AF267" s="3666"/>
      <c r="AG267" s="3666"/>
      <c r="AH267" s="10563"/>
      <c r="AI267" s="466"/>
      <c r="AJ267" s="100"/>
      <c r="AK267" s="100"/>
      <c r="AL267" s="100"/>
    </row>
    <row r="268" spans="1:38" ht="25.5" customHeight="1" thickTop="1" thickBot="1">
      <c r="A268" s="10423"/>
      <c r="B268" s="10616"/>
      <c r="C268" s="10592"/>
      <c r="D268" s="10500"/>
      <c r="E268" s="10500"/>
      <c r="F268" s="10500"/>
      <c r="G268" s="10502"/>
      <c r="H268" s="10500"/>
      <c r="I268" s="10500"/>
      <c r="J268" s="10500"/>
      <c r="K268" s="10500"/>
      <c r="L268" s="10500"/>
      <c r="M268" s="10556"/>
      <c r="N268" s="10556"/>
      <c r="O268" s="10556"/>
      <c r="P268" s="10500"/>
      <c r="Q268" s="10500"/>
      <c r="R268" s="10585"/>
      <c r="S268" s="3538"/>
      <c r="T268" s="5681"/>
      <c r="U268" s="5681"/>
      <c r="V268" s="3495"/>
      <c r="W268" s="5499"/>
      <c r="X268" s="3496"/>
      <c r="Y268" s="5552"/>
      <c r="Z268" s="5552"/>
      <c r="AA268" s="5552"/>
      <c r="AB268" s="5809"/>
      <c r="AC268" s="7420"/>
      <c r="AD268" s="3679"/>
      <c r="AE268" s="3496"/>
      <c r="AF268" s="3666"/>
      <c r="AG268" s="3666"/>
      <c r="AH268" s="10563"/>
      <c r="AI268" s="466"/>
      <c r="AJ268" s="100"/>
      <c r="AK268" s="100"/>
      <c r="AL268" s="100"/>
    </row>
    <row r="269" spans="1:38" ht="25.5" customHeight="1" thickTop="1" thickBot="1">
      <c r="A269" s="10423"/>
      <c r="B269" s="10616"/>
      <c r="C269" s="10592"/>
      <c r="D269" s="10500"/>
      <c r="E269" s="10500"/>
      <c r="F269" s="10500"/>
      <c r="G269" s="10502"/>
      <c r="H269" s="10500"/>
      <c r="I269" s="10500"/>
      <c r="J269" s="10500"/>
      <c r="K269" s="10500"/>
      <c r="L269" s="10500"/>
      <c r="M269" s="10556"/>
      <c r="N269" s="10556"/>
      <c r="O269" s="10556"/>
      <c r="P269" s="10500"/>
      <c r="Q269" s="10500"/>
      <c r="R269" s="10585"/>
      <c r="S269" s="3538"/>
      <c r="T269" s="5681"/>
      <c r="U269" s="5681"/>
      <c r="V269" s="3495"/>
      <c r="W269" s="5499"/>
      <c r="X269" s="3496"/>
      <c r="Y269" s="5552"/>
      <c r="Z269" s="5552"/>
      <c r="AA269" s="5552"/>
      <c r="AB269" s="5809"/>
      <c r="AC269" s="7420"/>
      <c r="AD269" s="3679"/>
      <c r="AE269" s="3496"/>
      <c r="AF269" s="3666"/>
      <c r="AG269" s="3666"/>
      <c r="AH269" s="10563"/>
      <c r="AI269" s="466"/>
      <c r="AJ269" s="100"/>
      <c r="AK269" s="100"/>
      <c r="AL269" s="100"/>
    </row>
    <row r="270" spans="1:38" ht="25.5" customHeight="1" thickTop="1" thickBot="1">
      <c r="A270" s="10423"/>
      <c r="B270" s="10616"/>
      <c r="C270" s="10602"/>
      <c r="D270" s="10566"/>
      <c r="E270" s="10566"/>
      <c r="F270" s="10566"/>
      <c r="G270" s="10567"/>
      <c r="H270" s="10566"/>
      <c r="I270" s="10566"/>
      <c r="J270" s="10566"/>
      <c r="K270" s="10566"/>
      <c r="L270" s="10566"/>
      <c r="M270" s="10581"/>
      <c r="N270" s="10581"/>
      <c r="O270" s="10581"/>
      <c r="P270" s="10566"/>
      <c r="Q270" s="10566"/>
      <c r="R270" s="10586"/>
      <c r="S270" s="3543"/>
      <c r="T270" s="5696"/>
      <c r="U270" s="5696"/>
      <c r="V270" s="3557"/>
      <c r="W270" s="5503"/>
      <c r="X270" s="3545"/>
      <c r="Y270" s="5558"/>
      <c r="Z270" s="5558"/>
      <c r="AA270" s="5558"/>
      <c r="AB270" s="5559"/>
      <c r="AC270" s="5830"/>
      <c r="AD270" s="3706"/>
      <c r="AE270" s="3545"/>
      <c r="AF270" s="3707"/>
      <c r="AG270" s="3707"/>
      <c r="AH270" s="10565"/>
      <c r="AI270" s="466"/>
      <c r="AJ270" s="100"/>
      <c r="AK270" s="100"/>
      <c r="AL270" s="100"/>
    </row>
    <row r="271" spans="1:38" ht="26.25" customHeight="1" thickTop="1" thickBot="1">
      <c r="A271" s="10423"/>
      <c r="B271" s="10616"/>
      <c r="C271" s="10512" t="s">
        <v>127</v>
      </c>
      <c r="D271" s="10444" t="s">
        <v>128</v>
      </c>
      <c r="E271" s="10444" t="s">
        <v>129</v>
      </c>
      <c r="F271" s="10444" t="s">
        <v>336</v>
      </c>
      <c r="G271" s="10451" t="s">
        <v>131</v>
      </c>
      <c r="H271" s="10444" t="s">
        <v>132</v>
      </c>
      <c r="I271" s="10444" t="s">
        <v>159</v>
      </c>
      <c r="J271" s="10444" t="s">
        <v>4064</v>
      </c>
      <c r="K271" s="10444" t="s">
        <v>338</v>
      </c>
      <c r="L271" s="10444" t="s">
        <v>4065</v>
      </c>
      <c r="M271" s="10561">
        <v>0</v>
      </c>
      <c r="N271" s="10561">
        <v>0</v>
      </c>
      <c r="O271" s="10561">
        <v>1</v>
      </c>
      <c r="P271" s="10444" t="s">
        <v>4066</v>
      </c>
      <c r="Q271" s="10444" t="s">
        <v>4067</v>
      </c>
      <c r="R271" s="10449" t="s">
        <v>4068</v>
      </c>
      <c r="S271" s="3767"/>
      <c r="T271" s="5689"/>
      <c r="U271" s="5689"/>
      <c r="V271" s="3758"/>
      <c r="W271" s="5504"/>
      <c r="X271" s="3658"/>
      <c r="Y271" s="5560"/>
      <c r="Z271" s="5560"/>
      <c r="AA271" s="5560"/>
      <c r="AB271" s="5561"/>
      <c r="AC271" s="5831"/>
      <c r="AD271" s="3659"/>
      <c r="AE271" s="3658"/>
      <c r="AF271" s="3660"/>
      <c r="AG271" s="3660"/>
      <c r="AH271" s="10478"/>
      <c r="AI271" s="466"/>
      <c r="AJ271" s="100"/>
      <c r="AK271" s="100"/>
      <c r="AL271" s="100"/>
    </row>
    <row r="272" spans="1:38" ht="26.25" customHeight="1" thickTop="1" thickBot="1">
      <c r="A272" s="10423"/>
      <c r="B272" s="10616"/>
      <c r="C272" s="10592"/>
      <c r="D272" s="10500"/>
      <c r="E272" s="10500"/>
      <c r="F272" s="10500"/>
      <c r="G272" s="10502"/>
      <c r="H272" s="10500"/>
      <c r="I272" s="10500"/>
      <c r="J272" s="10500"/>
      <c r="K272" s="10500"/>
      <c r="L272" s="10500"/>
      <c r="M272" s="10556"/>
      <c r="N272" s="10556"/>
      <c r="O272" s="10556"/>
      <c r="P272" s="10500"/>
      <c r="Q272" s="10500"/>
      <c r="R272" s="10508"/>
      <c r="S272" s="3538"/>
      <c r="T272" s="5681"/>
      <c r="U272" s="5681"/>
      <c r="V272" s="3495"/>
      <c r="W272" s="5499"/>
      <c r="X272" s="3496"/>
      <c r="Y272" s="5552"/>
      <c r="Z272" s="5552"/>
      <c r="AA272" s="5552"/>
      <c r="AB272" s="5553"/>
      <c r="AC272" s="5817"/>
      <c r="AD272" s="3665"/>
      <c r="AE272" s="3496"/>
      <c r="AF272" s="3666"/>
      <c r="AG272" s="3666"/>
      <c r="AH272" s="10563"/>
      <c r="AI272" s="466"/>
      <c r="AJ272" s="100"/>
      <c r="AK272" s="100"/>
      <c r="AL272" s="100"/>
    </row>
    <row r="273" spans="1:38" ht="26.25" customHeight="1" thickTop="1" thickBot="1">
      <c r="A273" s="10423"/>
      <c r="B273" s="10616"/>
      <c r="C273" s="10592"/>
      <c r="D273" s="10500"/>
      <c r="E273" s="10500"/>
      <c r="F273" s="10500"/>
      <c r="G273" s="10502"/>
      <c r="H273" s="10500"/>
      <c r="I273" s="10500"/>
      <c r="J273" s="10500"/>
      <c r="K273" s="10500"/>
      <c r="L273" s="10500"/>
      <c r="M273" s="10556"/>
      <c r="N273" s="10556"/>
      <c r="O273" s="10556"/>
      <c r="P273" s="10500"/>
      <c r="Q273" s="10500"/>
      <c r="R273" s="10508"/>
      <c r="S273" s="3538"/>
      <c r="T273" s="5681"/>
      <c r="U273" s="5681"/>
      <c r="V273" s="3495"/>
      <c r="W273" s="5499"/>
      <c r="X273" s="3496"/>
      <c r="Y273" s="5552"/>
      <c r="Z273" s="5552"/>
      <c r="AA273" s="5552"/>
      <c r="AB273" s="5809"/>
      <c r="AC273" s="7420"/>
      <c r="AD273" s="3679"/>
      <c r="AE273" s="3496"/>
      <c r="AF273" s="3666"/>
      <c r="AG273" s="3666"/>
      <c r="AH273" s="10563"/>
      <c r="AI273" s="466"/>
      <c r="AJ273" s="100"/>
      <c r="AK273" s="100"/>
      <c r="AL273" s="100"/>
    </row>
    <row r="274" spans="1:38" ht="26.25" customHeight="1" thickTop="1" thickBot="1">
      <c r="A274" s="10423"/>
      <c r="B274" s="10616"/>
      <c r="C274" s="10592"/>
      <c r="D274" s="10500"/>
      <c r="E274" s="10500"/>
      <c r="F274" s="10500"/>
      <c r="G274" s="10502"/>
      <c r="H274" s="10500"/>
      <c r="I274" s="10500"/>
      <c r="J274" s="10500"/>
      <c r="K274" s="10500"/>
      <c r="L274" s="10500"/>
      <c r="M274" s="10556"/>
      <c r="N274" s="10556"/>
      <c r="O274" s="10556"/>
      <c r="P274" s="10500"/>
      <c r="Q274" s="10500"/>
      <c r="R274" s="10508"/>
      <c r="S274" s="3538"/>
      <c r="T274" s="5681"/>
      <c r="U274" s="5681"/>
      <c r="V274" s="3495"/>
      <c r="W274" s="5499"/>
      <c r="X274" s="3496"/>
      <c r="Y274" s="5552"/>
      <c r="Z274" s="5552"/>
      <c r="AA274" s="5552"/>
      <c r="AB274" s="5809"/>
      <c r="AC274" s="7420"/>
      <c r="AD274" s="3679"/>
      <c r="AE274" s="3496"/>
      <c r="AF274" s="3666"/>
      <c r="AG274" s="3666"/>
      <c r="AH274" s="10563"/>
      <c r="AI274" s="466"/>
      <c r="AJ274" s="100"/>
      <c r="AK274" s="100"/>
      <c r="AL274" s="100"/>
    </row>
    <row r="275" spans="1:38" ht="26.25" customHeight="1" thickTop="1" thickBot="1">
      <c r="A275" s="10423"/>
      <c r="B275" s="10616"/>
      <c r="C275" s="10602"/>
      <c r="D275" s="10566"/>
      <c r="E275" s="10566"/>
      <c r="F275" s="10566"/>
      <c r="G275" s="10567"/>
      <c r="H275" s="10566"/>
      <c r="I275" s="10566"/>
      <c r="J275" s="10566"/>
      <c r="K275" s="10566"/>
      <c r="L275" s="10566"/>
      <c r="M275" s="10581"/>
      <c r="N275" s="10581"/>
      <c r="O275" s="10581"/>
      <c r="P275" s="10566"/>
      <c r="Q275" s="10566"/>
      <c r="R275" s="10588"/>
      <c r="S275" s="3543"/>
      <c r="T275" s="5696"/>
      <c r="U275" s="5696"/>
      <c r="V275" s="3557"/>
      <c r="W275" s="5503"/>
      <c r="X275" s="3545"/>
      <c r="Y275" s="5558"/>
      <c r="Z275" s="5558"/>
      <c r="AA275" s="5558"/>
      <c r="AB275" s="5559"/>
      <c r="AC275" s="5830"/>
      <c r="AD275" s="3706"/>
      <c r="AE275" s="3545"/>
      <c r="AF275" s="3707"/>
      <c r="AG275" s="3707"/>
      <c r="AH275" s="10565"/>
      <c r="AI275" s="466"/>
      <c r="AJ275" s="100"/>
      <c r="AK275" s="100"/>
      <c r="AL275" s="100"/>
    </row>
    <row r="276" spans="1:38" s="4835" customFormat="1" ht="22.5" customHeight="1" thickTop="1" thickBot="1">
      <c r="A276" s="10423"/>
      <c r="B276" s="10616"/>
      <c r="C276" s="10621"/>
      <c r="D276" s="10621"/>
      <c r="E276" s="10621"/>
      <c r="F276" s="10621"/>
      <c r="G276" s="10621"/>
      <c r="H276" s="10621"/>
      <c r="I276" s="10621"/>
      <c r="J276" s="10621"/>
      <c r="K276" s="10621"/>
      <c r="L276" s="10621"/>
      <c r="M276" s="10621"/>
      <c r="N276" s="10621"/>
      <c r="O276" s="10621"/>
      <c r="P276" s="10621"/>
      <c r="Q276" s="10621"/>
      <c r="R276" s="10622"/>
      <c r="S276" s="9197" t="s">
        <v>4069</v>
      </c>
      <c r="T276" s="9197"/>
      <c r="U276" s="9197"/>
      <c r="V276" s="9197"/>
      <c r="W276" s="9197"/>
      <c r="X276" s="9197"/>
      <c r="Y276" s="9197"/>
      <c r="Z276" s="9197"/>
      <c r="AA276" s="6096" t="s">
        <v>292</v>
      </c>
      <c r="AB276" s="7427">
        <f>SUM(AB231:AB275)</f>
        <v>2130.84</v>
      </c>
      <c r="AC276" s="6108"/>
      <c r="AD276" s="4892"/>
      <c r="AE276" s="9046"/>
      <c r="AF276" s="10582"/>
      <c r="AG276" s="10582"/>
      <c r="AH276" s="10583"/>
      <c r="AI276" s="6110"/>
      <c r="AJ276" s="6111"/>
      <c r="AK276" s="6111"/>
      <c r="AL276" s="6111"/>
    </row>
    <row r="277" spans="1:38" ht="72.75" customHeight="1">
      <c r="A277" s="10423"/>
      <c r="B277" s="9246" t="s">
        <v>4070</v>
      </c>
      <c r="C277" s="10518" t="s">
        <v>127</v>
      </c>
      <c r="D277" s="10452" t="s">
        <v>128</v>
      </c>
      <c r="E277" s="10452" t="s">
        <v>129</v>
      </c>
      <c r="F277" s="10452" t="s">
        <v>394</v>
      </c>
      <c r="G277" s="10454" t="s">
        <v>131</v>
      </c>
      <c r="H277" s="10452" t="s">
        <v>132</v>
      </c>
      <c r="I277" s="10452" t="s">
        <v>159</v>
      </c>
      <c r="J277" s="10452" t="s">
        <v>4071</v>
      </c>
      <c r="K277" s="10477" t="s">
        <v>4072</v>
      </c>
      <c r="L277" s="10452" t="s">
        <v>4073</v>
      </c>
      <c r="M277" s="10587">
        <v>1</v>
      </c>
      <c r="N277" s="10587">
        <v>1</v>
      </c>
      <c r="O277" s="10587">
        <v>1</v>
      </c>
      <c r="P277" s="10452" t="s">
        <v>4074</v>
      </c>
      <c r="Q277" s="10452" t="s">
        <v>4075</v>
      </c>
      <c r="R277" s="10453" t="s">
        <v>4076</v>
      </c>
      <c r="S277" s="3835" t="s">
        <v>15</v>
      </c>
      <c r="T277" s="5679">
        <v>530402</v>
      </c>
      <c r="U277" s="5679"/>
      <c r="V277" s="3764" t="s">
        <v>281</v>
      </c>
      <c r="W277" s="5498"/>
      <c r="X277" s="3683"/>
      <c r="Y277" s="7882"/>
      <c r="Z277" s="7882"/>
      <c r="AA277" s="7882"/>
      <c r="AB277" s="7883">
        <f>SUM(AA278:AA279)</f>
        <v>90228.723928571417</v>
      </c>
      <c r="AC277" s="5832" t="s">
        <v>26</v>
      </c>
      <c r="AD277" s="3693"/>
      <c r="AE277" s="3694"/>
      <c r="AF277" s="3695"/>
      <c r="AG277" s="3695"/>
      <c r="AH277" s="10466" t="s">
        <v>4077</v>
      </c>
      <c r="AI277" s="466"/>
      <c r="AJ277" s="100"/>
      <c r="AK277" s="100"/>
      <c r="AL277" s="100"/>
    </row>
    <row r="278" spans="1:38" ht="60" customHeight="1">
      <c r="A278" s="10423"/>
      <c r="B278" s="9246"/>
      <c r="C278" s="10592"/>
      <c r="D278" s="10500"/>
      <c r="E278" s="10500"/>
      <c r="F278" s="10500"/>
      <c r="G278" s="10502"/>
      <c r="H278" s="10500"/>
      <c r="I278" s="10500"/>
      <c r="J278" s="10500"/>
      <c r="K278" s="10506"/>
      <c r="L278" s="10500"/>
      <c r="M278" s="10556"/>
      <c r="N278" s="10556"/>
      <c r="O278" s="10556"/>
      <c r="P278" s="10500"/>
      <c r="Q278" s="10500"/>
      <c r="R278" s="10508"/>
      <c r="S278" s="3792"/>
      <c r="T278" s="5681"/>
      <c r="U278" s="5681">
        <v>543410111</v>
      </c>
      <c r="V278" s="3763" t="s">
        <v>4078</v>
      </c>
      <c r="W278" s="5499">
        <v>1</v>
      </c>
      <c r="X278" s="3496" t="s">
        <v>152</v>
      </c>
      <c r="Y278" s="7799">
        <f>36832.59</f>
        <v>36832.589999999997</v>
      </c>
      <c r="Z278" s="7799">
        <f>+W278*Y278</f>
        <v>36832.589999999997</v>
      </c>
      <c r="AA278" s="7799">
        <f>Z278</f>
        <v>36832.589999999997</v>
      </c>
      <c r="AB278" s="7885"/>
      <c r="AC278" s="5779"/>
      <c r="AD278" s="2935"/>
      <c r="AE278" s="3504" t="s">
        <v>153</v>
      </c>
      <c r="AF278" s="3505" t="s">
        <v>153</v>
      </c>
      <c r="AG278" s="3505" t="s">
        <v>153</v>
      </c>
      <c r="AH278" s="10589"/>
      <c r="AI278" s="466"/>
      <c r="AJ278" s="100"/>
      <c r="AK278" s="100"/>
      <c r="AL278" s="100"/>
    </row>
    <row r="279" spans="1:38" ht="56.25" customHeight="1">
      <c r="A279" s="10423"/>
      <c r="B279" s="9246"/>
      <c r="C279" s="10592"/>
      <c r="D279" s="10500"/>
      <c r="E279" s="10500"/>
      <c r="F279" s="10500"/>
      <c r="G279" s="10502"/>
      <c r="H279" s="10500"/>
      <c r="I279" s="10500"/>
      <c r="J279" s="10500"/>
      <c r="K279" s="10506"/>
      <c r="L279" s="10500"/>
      <c r="M279" s="10556"/>
      <c r="N279" s="10556"/>
      <c r="O279" s="10556"/>
      <c r="P279" s="10500"/>
      <c r="Q279" s="10500"/>
      <c r="R279" s="10508"/>
      <c r="S279" s="3792"/>
      <c r="T279" s="5686"/>
      <c r="U279" s="7360">
        <v>543410111</v>
      </c>
      <c r="V279" s="3804" t="s">
        <v>4079</v>
      </c>
      <c r="W279" s="5507">
        <v>1</v>
      </c>
      <c r="X279" s="3696" t="s">
        <v>152</v>
      </c>
      <c r="Y279" s="7799">
        <f>59803.67/1.12</f>
        <v>53396.13392857142</v>
      </c>
      <c r="Z279" s="7799">
        <f>W279*Y279</f>
        <v>53396.13392857142</v>
      </c>
      <c r="AA279" s="7799">
        <f>Z279</f>
        <v>53396.13392857142</v>
      </c>
      <c r="AB279" s="7884"/>
      <c r="AC279" s="7886"/>
      <c r="AD279" s="2935"/>
      <c r="AE279" s="3504"/>
      <c r="AF279" s="3505" t="s">
        <v>153</v>
      </c>
      <c r="AG279" s="3505" t="s">
        <v>153</v>
      </c>
      <c r="AH279" s="10589"/>
      <c r="AI279" s="466"/>
      <c r="AJ279" s="100"/>
      <c r="AK279" s="100"/>
      <c r="AL279" s="100"/>
    </row>
    <row r="280" spans="1:38" ht="60" customHeight="1" thickTop="1" thickBot="1">
      <c r="A280" s="10423"/>
      <c r="B280" s="9246"/>
      <c r="C280" s="10592"/>
      <c r="D280" s="10500"/>
      <c r="E280" s="10500"/>
      <c r="F280" s="10500"/>
      <c r="G280" s="10502"/>
      <c r="H280" s="10500"/>
      <c r="I280" s="10500"/>
      <c r="J280" s="10500"/>
      <c r="K280" s="10506"/>
      <c r="L280" s="10500"/>
      <c r="M280" s="10556"/>
      <c r="N280" s="10556"/>
      <c r="O280" s="10556"/>
      <c r="P280" s="10500"/>
      <c r="Q280" s="10500"/>
      <c r="R280" s="10508"/>
      <c r="S280" s="3782"/>
      <c r="T280" s="5687"/>
      <c r="U280" s="5687"/>
      <c r="V280" s="3813"/>
      <c r="W280" s="5500"/>
      <c r="X280" s="3504"/>
      <c r="Y280" s="5790"/>
      <c r="Z280" s="5790"/>
      <c r="AA280" s="5790"/>
      <c r="AB280" s="5791"/>
      <c r="AC280" s="5825"/>
      <c r="AD280" s="2935"/>
      <c r="AE280" s="3504"/>
      <c r="AF280" s="3505"/>
      <c r="AG280" s="3505"/>
      <c r="AH280" s="10589"/>
      <c r="AI280" s="466"/>
      <c r="AJ280" s="100"/>
      <c r="AK280" s="100"/>
      <c r="AL280" s="100"/>
    </row>
    <row r="281" spans="1:38" ht="67.5" customHeight="1" thickTop="1" thickBot="1">
      <c r="A281" s="10423"/>
      <c r="B281" s="9246"/>
      <c r="C281" s="10593"/>
      <c r="D281" s="10501"/>
      <c r="E281" s="10501"/>
      <c r="F281" s="10501"/>
      <c r="G281" s="10503"/>
      <c r="H281" s="10501"/>
      <c r="I281" s="10501"/>
      <c r="J281" s="10501"/>
      <c r="K281" s="10507"/>
      <c r="L281" s="10501"/>
      <c r="M281" s="10557"/>
      <c r="N281" s="10557"/>
      <c r="O281" s="10557"/>
      <c r="P281" s="10501"/>
      <c r="Q281" s="10501"/>
      <c r="R281" s="10509"/>
      <c r="S281" s="3780"/>
      <c r="T281" s="7368"/>
      <c r="U281" s="7368"/>
      <c r="V281" s="3808"/>
      <c r="W281" s="5501"/>
      <c r="X281" s="3727"/>
      <c r="Y281" s="5797"/>
      <c r="Z281" s="5797"/>
      <c r="AA281" s="5797"/>
      <c r="AB281" s="5811"/>
      <c r="AC281" s="5838"/>
      <c r="AD281" s="3726"/>
      <c r="AE281" s="3727"/>
      <c r="AF281" s="3507"/>
      <c r="AG281" s="3507"/>
      <c r="AH281" s="10590"/>
      <c r="AI281" s="466"/>
      <c r="AJ281" s="100"/>
      <c r="AK281" s="100"/>
      <c r="AL281" s="100"/>
    </row>
    <row r="282" spans="1:38" ht="28.5" customHeight="1" thickTop="1" thickBot="1">
      <c r="A282" s="10423"/>
      <c r="B282" s="9246"/>
      <c r="C282" s="10516" t="s">
        <v>127</v>
      </c>
      <c r="D282" s="10433" t="s">
        <v>128</v>
      </c>
      <c r="E282" s="10433" t="s">
        <v>129</v>
      </c>
      <c r="F282" s="10433" t="s">
        <v>394</v>
      </c>
      <c r="G282" s="10442" t="s">
        <v>131</v>
      </c>
      <c r="H282" s="10433" t="s">
        <v>132</v>
      </c>
      <c r="I282" s="10433" t="s">
        <v>159</v>
      </c>
      <c r="J282" s="10433" t="s">
        <v>4080</v>
      </c>
      <c r="K282" s="10443" t="s">
        <v>4081</v>
      </c>
      <c r="L282" s="10433" t="s">
        <v>4082</v>
      </c>
      <c r="M282" s="10555">
        <v>1</v>
      </c>
      <c r="N282" s="10555">
        <v>1</v>
      </c>
      <c r="O282" s="10555">
        <v>1</v>
      </c>
      <c r="P282" s="10433" t="s">
        <v>4083</v>
      </c>
      <c r="Q282" s="10433" t="s">
        <v>4084</v>
      </c>
      <c r="R282" s="10439" t="s">
        <v>4085</v>
      </c>
      <c r="S282" s="3781" t="s">
        <v>15</v>
      </c>
      <c r="T282" s="5692">
        <v>840104</v>
      </c>
      <c r="U282" s="5692"/>
      <c r="V282" s="2929" t="s">
        <v>39</v>
      </c>
      <c r="W282" s="5505"/>
      <c r="X282" s="2930"/>
      <c r="Y282" s="5798"/>
      <c r="Z282" s="5798"/>
      <c r="AA282" s="5798"/>
      <c r="AB282" s="7416">
        <f>SUM(AA283:AA283)</f>
        <v>0</v>
      </c>
      <c r="AC282" s="7425" t="s">
        <v>18</v>
      </c>
      <c r="AD282" s="2934"/>
      <c r="AE282" s="2930"/>
      <c r="AF282" s="3750"/>
      <c r="AG282" s="3750"/>
      <c r="AH282" s="10481"/>
      <c r="AI282" s="466"/>
      <c r="AJ282" s="100"/>
      <c r="AK282" s="100"/>
      <c r="AL282" s="100"/>
    </row>
    <row r="283" spans="1:38" ht="28.5" customHeight="1" thickTop="1" thickBot="1">
      <c r="A283" s="10423"/>
      <c r="B283" s="9246"/>
      <c r="C283" s="10592"/>
      <c r="D283" s="10500"/>
      <c r="E283" s="10500"/>
      <c r="F283" s="10500"/>
      <c r="G283" s="10502"/>
      <c r="H283" s="10500"/>
      <c r="I283" s="10500"/>
      <c r="J283" s="10500"/>
      <c r="K283" s="10506"/>
      <c r="L283" s="10500"/>
      <c r="M283" s="10556"/>
      <c r="N283" s="10556"/>
      <c r="O283" s="10556"/>
      <c r="P283" s="10500"/>
      <c r="Q283" s="10500"/>
      <c r="R283" s="10508"/>
      <c r="S283" s="3792"/>
      <c r="T283" s="5686"/>
      <c r="U283" s="5686">
        <v>4315100114</v>
      </c>
      <c r="V283" s="3813" t="s">
        <v>4086</v>
      </c>
      <c r="W283" s="5500">
        <v>0</v>
      </c>
      <c r="X283" s="3504" t="s">
        <v>180</v>
      </c>
      <c r="Y283" s="5790">
        <v>1800</v>
      </c>
      <c r="Z283" s="5790">
        <f>+W283*Y283</f>
        <v>0</v>
      </c>
      <c r="AA283" s="5790">
        <f>+Z283*1.12</f>
        <v>0</v>
      </c>
      <c r="AB283" s="5791"/>
      <c r="AC283" s="5825"/>
      <c r="AD283" s="2935"/>
      <c r="AE283" s="3504" t="s">
        <v>153</v>
      </c>
      <c r="AF283" s="3504" t="s">
        <v>153</v>
      </c>
      <c r="AG283" s="3697"/>
      <c r="AH283" s="10563"/>
      <c r="AI283" s="466"/>
      <c r="AJ283" s="100"/>
      <c r="AK283" s="100"/>
      <c r="AL283" s="100"/>
    </row>
    <row r="284" spans="1:38" ht="38.25">
      <c r="A284" s="10423"/>
      <c r="B284" s="9246"/>
      <c r="C284" s="10592"/>
      <c r="D284" s="10500"/>
      <c r="E284" s="10500"/>
      <c r="F284" s="10500"/>
      <c r="G284" s="10502"/>
      <c r="H284" s="10500"/>
      <c r="I284" s="10500"/>
      <c r="J284" s="10500"/>
      <c r="K284" s="10506"/>
      <c r="L284" s="10500"/>
      <c r="M284" s="10556"/>
      <c r="N284" s="10556"/>
      <c r="O284" s="10556"/>
      <c r="P284" s="10500"/>
      <c r="Q284" s="10500"/>
      <c r="R284" s="10508"/>
      <c r="S284" s="3541" t="s">
        <v>79</v>
      </c>
      <c r="T284" s="5682" t="s">
        <v>4087</v>
      </c>
      <c r="U284" s="5681"/>
      <c r="V284" s="3542" t="s">
        <v>281</v>
      </c>
      <c r="W284" s="5499"/>
      <c r="X284" s="3496"/>
      <c r="Y284" s="7960"/>
      <c r="Z284" s="7960"/>
      <c r="AA284" s="7960"/>
      <c r="AB284" s="7962">
        <f>+AA285</f>
        <v>29947.41</v>
      </c>
      <c r="AC284" s="7426" t="s">
        <v>673</v>
      </c>
      <c r="AD284" s="3665"/>
      <c r="AE284" s="3504"/>
      <c r="AF284" s="3504"/>
      <c r="AG284" s="3505"/>
      <c r="AH284" s="10563"/>
      <c r="AI284" s="466"/>
      <c r="AJ284" s="100"/>
      <c r="AK284" s="100"/>
      <c r="AL284" s="100"/>
    </row>
    <row r="285" spans="1:38" ht="28.5" customHeight="1">
      <c r="A285" s="10423"/>
      <c r="B285" s="9246"/>
      <c r="C285" s="10592"/>
      <c r="D285" s="10500"/>
      <c r="E285" s="10500"/>
      <c r="F285" s="10500"/>
      <c r="G285" s="10502"/>
      <c r="H285" s="10500"/>
      <c r="I285" s="10500"/>
      <c r="J285" s="10500"/>
      <c r="K285" s="10506"/>
      <c r="L285" s="10500"/>
      <c r="M285" s="10556"/>
      <c r="N285" s="10556"/>
      <c r="O285" s="10556"/>
      <c r="P285" s="10500"/>
      <c r="Q285" s="10500"/>
      <c r="R285" s="10508"/>
      <c r="S285" s="3538"/>
      <c r="T285" s="5682"/>
      <c r="U285" s="5681"/>
      <c r="V285" s="3495" t="s">
        <v>4088</v>
      </c>
      <c r="W285" s="5499">
        <v>1</v>
      </c>
      <c r="X285" s="3496" t="s">
        <v>180</v>
      </c>
      <c r="Y285" s="7960">
        <v>29947.41</v>
      </c>
      <c r="Z285" s="7960">
        <f>Y285</f>
        <v>29947.41</v>
      </c>
      <c r="AA285" s="7960">
        <f>Z285</f>
        <v>29947.41</v>
      </c>
      <c r="AB285" s="7962"/>
      <c r="AC285" s="5779"/>
      <c r="AD285" s="3665"/>
      <c r="AE285" s="3504" t="s">
        <v>153</v>
      </c>
      <c r="AF285" s="3504" t="s">
        <v>153</v>
      </c>
      <c r="AG285" s="3505"/>
      <c r="AH285" s="10563"/>
      <c r="AI285" s="466"/>
      <c r="AJ285" s="100"/>
      <c r="AK285" s="100"/>
      <c r="AL285" s="100"/>
    </row>
    <row r="286" spans="1:38" ht="39.75" thickTop="1" thickBot="1">
      <c r="A286" s="10423"/>
      <c r="B286" s="9246"/>
      <c r="C286" s="10592"/>
      <c r="D286" s="10500"/>
      <c r="E286" s="10500"/>
      <c r="F286" s="10500"/>
      <c r="G286" s="10502"/>
      <c r="H286" s="10500"/>
      <c r="I286" s="10500"/>
      <c r="J286" s="10500"/>
      <c r="K286" s="10506"/>
      <c r="L286" s="10500"/>
      <c r="M286" s="10556"/>
      <c r="N286" s="10556"/>
      <c r="O286" s="10556"/>
      <c r="P286" s="10500"/>
      <c r="Q286" s="10500"/>
      <c r="R286" s="10508"/>
      <c r="S286" s="3541" t="s">
        <v>79</v>
      </c>
      <c r="T286" s="5682" t="s">
        <v>4087</v>
      </c>
      <c r="U286" s="5681"/>
      <c r="V286" s="3542" t="s">
        <v>281</v>
      </c>
      <c r="W286" s="5499"/>
      <c r="X286" s="3496"/>
      <c r="Y286" s="5552"/>
      <c r="Z286" s="5552"/>
      <c r="AA286" s="5552"/>
      <c r="AB286" s="5553">
        <f>AA287</f>
        <v>26785.57</v>
      </c>
      <c r="AC286" s="5779" t="s">
        <v>763</v>
      </c>
      <c r="AD286" s="3665"/>
      <c r="AE286" s="3496"/>
      <c r="AF286" s="3496"/>
      <c r="AG286" s="3672"/>
      <c r="AH286" s="10563"/>
      <c r="AI286" s="466"/>
      <c r="AJ286" s="100"/>
      <c r="AK286" s="100"/>
      <c r="AL286" s="100"/>
    </row>
    <row r="287" spans="1:38" ht="28.5" customHeight="1" thickTop="1" thickBot="1">
      <c r="A287" s="10423"/>
      <c r="B287" s="9246"/>
      <c r="C287" s="10592"/>
      <c r="D287" s="10500"/>
      <c r="E287" s="10500"/>
      <c r="F287" s="10500"/>
      <c r="G287" s="10502"/>
      <c r="H287" s="10500"/>
      <c r="I287" s="10500"/>
      <c r="J287" s="10500"/>
      <c r="K287" s="10506"/>
      <c r="L287" s="10500"/>
      <c r="M287" s="10556"/>
      <c r="N287" s="10556"/>
      <c r="O287" s="10556"/>
      <c r="P287" s="10500"/>
      <c r="Q287" s="10500"/>
      <c r="R287" s="10508"/>
      <c r="S287" s="3538"/>
      <c r="T287" s="5682"/>
      <c r="U287" s="5681"/>
      <c r="V287" s="3495" t="s">
        <v>4088</v>
      </c>
      <c r="W287" s="5499">
        <v>1</v>
      </c>
      <c r="X287" s="3496" t="s">
        <v>180</v>
      </c>
      <c r="Y287" s="5552">
        <v>26785.57</v>
      </c>
      <c r="Z287" s="5552">
        <f>Y287</f>
        <v>26785.57</v>
      </c>
      <c r="AA287" s="5552">
        <f>Z287</f>
        <v>26785.57</v>
      </c>
      <c r="AB287" s="5553"/>
      <c r="AC287" s="5779"/>
      <c r="AD287" s="3665"/>
      <c r="AE287" s="3496"/>
      <c r="AF287" s="3496" t="s">
        <v>153</v>
      </c>
      <c r="AG287" s="3672"/>
      <c r="AH287" s="10563"/>
      <c r="AI287" s="466"/>
      <c r="AJ287" s="100"/>
      <c r="AK287" s="100"/>
      <c r="AL287" s="100"/>
    </row>
    <row r="288" spans="1:38" ht="28.5" customHeight="1">
      <c r="A288" s="10423"/>
      <c r="B288" s="9246"/>
      <c r="C288" s="10592"/>
      <c r="D288" s="10500"/>
      <c r="E288" s="10500"/>
      <c r="F288" s="10500"/>
      <c r="G288" s="10502"/>
      <c r="H288" s="10500"/>
      <c r="I288" s="10500"/>
      <c r="J288" s="10500"/>
      <c r="K288" s="10506"/>
      <c r="L288" s="10500"/>
      <c r="M288" s="10556"/>
      <c r="N288" s="10556"/>
      <c r="O288" s="10556"/>
      <c r="P288" s="10500"/>
      <c r="Q288" s="10500"/>
      <c r="R288" s="10508"/>
      <c r="S288" s="3541" t="s">
        <v>79</v>
      </c>
      <c r="T288" s="5682" t="s">
        <v>4089</v>
      </c>
      <c r="U288" s="5681"/>
      <c r="V288" s="3542" t="s">
        <v>39</v>
      </c>
      <c r="W288" s="5499"/>
      <c r="X288" s="3496"/>
      <c r="Y288" s="7960"/>
      <c r="Z288" s="7960"/>
      <c r="AA288" s="7960"/>
      <c r="AB288" s="7962">
        <f>SUM(AA289:AA290)</f>
        <v>57635.19</v>
      </c>
      <c r="AC288" s="7426" t="s">
        <v>673</v>
      </c>
      <c r="AD288" s="3665"/>
      <c r="AE288" s="3504"/>
      <c r="AF288" s="3504"/>
      <c r="AG288" s="3505"/>
      <c r="AH288" s="10563"/>
      <c r="AI288" s="466"/>
      <c r="AJ288" s="100"/>
      <c r="AK288" s="100"/>
      <c r="AL288" s="100"/>
    </row>
    <row r="289" spans="1:38" ht="28.5" customHeight="1">
      <c r="A289" s="10423"/>
      <c r="B289" s="9246"/>
      <c r="C289" s="10592"/>
      <c r="D289" s="10500"/>
      <c r="E289" s="10500"/>
      <c r="F289" s="10500"/>
      <c r="G289" s="10502"/>
      <c r="H289" s="10500"/>
      <c r="I289" s="10500"/>
      <c r="J289" s="10500"/>
      <c r="K289" s="10506"/>
      <c r="L289" s="10500"/>
      <c r="M289" s="10556"/>
      <c r="N289" s="10556"/>
      <c r="O289" s="10556"/>
      <c r="P289" s="10500"/>
      <c r="Q289" s="10500"/>
      <c r="R289" s="10508"/>
      <c r="S289" s="3538"/>
      <c r="T289" s="5682"/>
      <c r="U289" s="5681"/>
      <c r="V289" s="3495" t="s">
        <v>4088</v>
      </c>
      <c r="W289" s="5499">
        <v>1</v>
      </c>
      <c r="X289" s="3496" t="s">
        <v>180</v>
      </c>
      <c r="Y289" s="7960">
        <f>13831.49-2677.06+1915.7</f>
        <v>13070.130000000001</v>
      </c>
      <c r="Z289" s="7960">
        <f t="shared" ref="Z289" si="22">+W289*Y289</f>
        <v>13070.130000000001</v>
      </c>
      <c r="AA289" s="7960">
        <f>Z289</f>
        <v>13070.130000000001</v>
      </c>
      <c r="AB289" s="7962"/>
      <c r="AC289" s="5779"/>
      <c r="AD289" s="3665"/>
      <c r="AE289" s="3504" t="s">
        <v>153</v>
      </c>
      <c r="AF289" s="3504" t="s">
        <v>153</v>
      </c>
      <c r="AG289" s="3505"/>
      <c r="AH289" s="10563"/>
      <c r="AI289" s="466"/>
      <c r="AJ289" s="100"/>
      <c r="AK289" s="100"/>
      <c r="AL289" s="100"/>
    </row>
    <row r="290" spans="1:38" ht="28.5" customHeight="1">
      <c r="A290" s="10423"/>
      <c r="B290" s="9246"/>
      <c r="C290" s="10592"/>
      <c r="D290" s="10500"/>
      <c r="E290" s="10500"/>
      <c r="F290" s="10500"/>
      <c r="G290" s="10502"/>
      <c r="H290" s="10500"/>
      <c r="I290" s="10500"/>
      <c r="J290" s="10500"/>
      <c r="K290" s="10506"/>
      <c r="L290" s="10500"/>
      <c r="M290" s="10556"/>
      <c r="N290" s="10556"/>
      <c r="O290" s="10556"/>
      <c r="P290" s="10500"/>
      <c r="Q290" s="10500"/>
      <c r="R290" s="10508"/>
      <c r="S290" s="3538"/>
      <c r="T290" s="5682"/>
      <c r="U290" s="5681"/>
      <c r="V290" s="3495" t="s">
        <v>4088</v>
      </c>
      <c r="W290" s="5499">
        <v>1</v>
      </c>
      <c r="X290" s="3496" t="s">
        <v>180</v>
      </c>
      <c r="Y290" s="7960">
        <f>57344.85-14695.48+1915.69</f>
        <v>44565.06</v>
      </c>
      <c r="Z290" s="7960">
        <f>Y290</f>
        <v>44565.06</v>
      </c>
      <c r="AA290" s="7960">
        <f>Z290</f>
        <v>44565.06</v>
      </c>
      <c r="AB290" s="7962"/>
      <c r="AC290" s="5779"/>
      <c r="AD290" s="3665"/>
      <c r="AE290" s="3504"/>
      <c r="AF290" s="3504" t="s">
        <v>153</v>
      </c>
      <c r="AG290" s="3505"/>
      <c r="AH290" s="10563"/>
      <c r="AI290" s="466"/>
      <c r="AJ290" s="100"/>
      <c r="AK290" s="100"/>
      <c r="AL290" s="100"/>
    </row>
    <row r="291" spans="1:38" ht="28.5" customHeight="1" thickTop="1" thickBot="1">
      <c r="A291" s="10423"/>
      <c r="B291" s="9246"/>
      <c r="C291" s="10592"/>
      <c r="D291" s="10500"/>
      <c r="E291" s="10500"/>
      <c r="F291" s="10500"/>
      <c r="G291" s="10502"/>
      <c r="H291" s="10500"/>
      <c r="I291" s="10500"/>
      <c r="J291" s="10500"/>
      <c r="K291" s="10506"/>
      <c r="L291" s="10500"/>
      <c r="M291" s="10556"/>
      <c r="N291" s="10556"/>
      <c r="O291" s="10556"/>
      <c r="P291" s="10500"/>
      <c r="Q291" s="10500"/>
      <c r="R291" s="10508"/>
      <c r="S291" s="3541" t="s">
        <v>79</v>
      </c>
      <c r="T291" s="5682" t="s">
        <v>4089</v>
      </c>
      <c r="U291" s="5681"/>
      <c r="V291" s="3542" t="s">
        <v>39</v>
      </c>
      <c r="W291" s="5499"/>
      <c r="X291" s="3496"/>
      <c r="Y291" s="5552"/>
      <c r="Z291" s="5552"/>
      <c r="AA291" s="5552"/>
      <c r="AB291" s="5553">
        <f>AA292</f>
        <v>90967.42</v>
      </c>
      <c r="AC291" s="5779" t="s">
        <v>763</v>
      </c>
      <c r="AD291" s="3665"/>
      <c r="AE291" s="3496"/>
      <c r="AF291" s="3496"/>
      <c r="AG291" s="3672"/>
      <c r="AH291" s="10563"/>
      <c r="AI291" s="466"/>
      <c r="AJ291" s="100"/>
      <c r="AK291" s="100"/>
      <c r="AL291" s="100"/>
    </row>
    <row r="292" spans="1:38" ht="28.5" customHeight="1" thickTop="1" thickBot="1">
      <c r="A292" s="10423"/>
      <c r="B292" s="9246"/>
      <c r="C292" s="10592"/>
      <c r="D292" s="10500"/>
      <c r="E292" s="10500"/>
      <c r="F292" s="10500"/>
      <c r="G292" s="10502"/>
      <c r="H292" s="10500"/>
      <c r="I292" s="10500"/>
      <c r="J292" s="10500"/>
      <c r="K292" s="10506"/>
      <c r="L292" s="10500"/>
      <c r="M292" s="10556"/>
      <c r="N292" s="10556"/>
      <c r="O292" s="10556"/>
      <c r="P292" s="10500"/>
      <c r="Q292" s="10500"/>
      <c r="R292" s="10508"/>
      <c r="S292" s="3538"/>
      <c r="T292" s="5682"/>
      <c r="U292" s="5681"/>
      <c r="V292" s="3495" t="s">
        <v>4088</v>
      </c>
      <c r="W292" s="5499">
        <v>1</v>
      </c>
      <c r="X292" s="3496" t="s">
        <v>180</v>
      </c>
      <c r="Y292" s="5552">
        <v>90967.42</v>
      </c>
      <c r="Z292" s="5552">
        <f>Y292</f>
        <v>90967.42</v>
      </c>
      <c r="AA292" s="5552">
        <f>Z292</f>
        <v>90967.42</v>
      </c>
      <c r="AB292" s="5553"/>
      <c r="AC292" s="5779"/>
      <c r="AD292" s="3665"/>
      <c r="AE292" s="3496"/>
      <c r="AF292" s="3496" t="s">
        <v>153</v>
      </c>
      <c r="AG292" s="3672"/>
      <c r="AH292" s="10563"/>
      <c r="AI292" s="466"/>
      <c r="AJ292" s="100"/>
      <c r="AK292" s="100"/>
      <c r="AL292" s="100"/>
    </row>
    <row r="293" spans="1:38" ht="28.5" customHeight="1">
      <c r="A293" s="10423"/>
      <c r="B293" s="9246"/>
      <c r="C293" s="10592"/>
      <c r="D293" s="10500"/>
      <c r="E293" s="10500"/>
      <c r="F293" s="10500"/>
      <c r="G293" s="10502"/>
      <c r="H293" s="10500"/>
      <c r="I293" s="10500"/>
      <c r="J293" s="10500"/>
      <c r="K293" s="10506"/>
      <c r="L293" s="10500"/>
      <c r="M293" s="10556"/>
      <c r="N293" s="10556"/>
      <c r="O293" s="10556"/>
      <c r="P293" s="10500"/>
      <c r="Q293" s="10500"/>
      <c r="R293" s="10508"/>
      <c r="S293" s="3541" t="s">
        <v>79</v>
      </c>
      <c r="T293" s="5682" t="s">
        <v>4089</v>
      </c>
      <c r="U293" s="5681"/>
      <c r="V293" s="3542" t="s">
        <v>39</v>
      </c>
      <c r="W293" s="5499"/>
      <c r="X293" s="3496"/>
      <c r="Y293" s="7960"/>
      <c r="Z293" s="7960"/>
      <c r="AA293" s="7960"/>
      <c r="AB293" s="7962">
        <f>SUM(AA294:AA294)</f>
        <v>41623.279999999999</v>
      </c>
      <c r="AC293" s="7426" t="s">
        <v>25</v>
      </c>
      <c r="AD293" s="3665"/>
      <c r="AE293" s="3504"/>
      <c r="AF293" s="3504"/>
      <c r="AG293" s="3505"/>
      <c r="AH293" s="10563"/>
      <c r="AI293" s="466"/>
      <c r="AJ293" s="100"/>
      <c r="AK293" s="100"/>
      <c r="AL293" s="100"/>
    </row>
    <row r="294" spans="1:38" ht="28.5" customHeight="1">
      <c r="A294" s="10423"/>
      <c r="B294" s="9246"/>
      <c r="C294" s="10602"/>
      <c r="D294" s="10566"/>
      <c r="E294" s="10566"/>
      <c r="F294" s="10566"/>
      <c r="G294" s="10567"/>
      <c r="H294" s="10566"/>
      <c r="I294" s="10566"/>
      <c r="J294" s="10566"/>
      <c r="K294" s="10568"/>
      <c r="L294" s="10566"/>
      <c r="M294" s="10581"/>
      <c r="N294" s="10581"/>
      <c r="O294" s="10581"/>
      <c r="P294" s="10566"/>
      <c r="Q294" s="10566"/>
      <c r="R294" s="10588"/>
      <c r="S294" s="3543"/>
      <c r="T294" s="5696"/>
      <c r="U294" s="5696"/>
      <c r="V294" s="3557" t="s">
        <v>4088</v>
      </c>
      <c r="W294" s="5503">
        <v>1</v>
      </c>
      <c r="X294" s="3545" t="s">
        <v>180</v>
      </c>
      <c r="Y294" s="8649">
        <v>41623.279999999999</v>
      </c>
      <c r="Z294" s="8649">
        <f>Y294</f>
        <v>41623.279999999999</v>
      </c>
      <c r="AA294" s="8649">
        <f>Z294</f>
        <v>41623.279999999999</v>
      </c>
      <c r="AB294" s="8650"/>
      <c r="AC294" s="5828"/>
      <c r="AD294" s="3706"/>
      <c r="AE294" s="2933" t="s">
        <v>153</v>
      </c>
      <c r="AF294" s="2933" t="s">
        <v>153</v>
      </c>
      <c r="AG294" s="3713"/>
      <c r="AH294" s="10565"/>
      <c r="AI294" s="466"/>
      <c r="AJ294" s="100"/>
      <c r="AK294" s="100"/>
      <c r="AL294" s="100"/>
    </row>
    <row r="295" spans="1:38" ht="30" customHeight="1" thickTop="1" thickBot="1">
      <c r="A295" s="10423"/>
      <c r="B295" s="9246"/>
      <c r="C295" s="10512" t="s">
        <v>127</v>
      </c>
      <c r="D295" s="10444" t="s">
        <v>128</v>
      </c>
      <c r="E295" s="10444" t="s">
        <v>129</v>
      </c>
      <c r="F295" s="10444" t="s">
        <v>394</v>
      </c>
      <c r="G295" s="10451" t="s">
        <v>131</v>
      </c>
      <c r="H295" s="10444" t="s">
        <v>132</v>
      </c>
      <c r="I295" s="10444" t="s">
        <v>159</v>
      </c>
      <c r="J295" s="10444" t="s">
        <v>4090</v>
      </c>
      <c r="K295" s="10448" t="s">
        <v>4091</v>
      </c>
      <c r="L295" s="10444" t="s">
        <v>4092</v>
      </c>
      <c r="M295" s="10561">
        <v>1</v>
      </c>
      <c r="N295" s="10561">
        <v>1</v>
      </c>
      <c r="O295" s="10561">
        <v>1</v>
      </c>
      <c r="P295" s="10444" t="s">
        <v>4093</v>
      </c>
      <c r="Q295" s="10444" t="s">
        <v>4094</v>
      </c>
      <c r="R295" s="10449" t="s">
        <v>4095</v>
      </c>
      <c r="S295" s="3767" t="s">
        <v>15</v>
      </c>
      <c r="T295" s="5689">
        <v>530404</v>
      </c>
      <c r="U295" s="5689"/>
      <c r="V295" s="3758" t="s">
        <v>4096</v>
      </c>
      <c r="W295" s="5504"/>
      <c r="X295" s="3658"/>
      <c r="Y295" s="5560"/>
      <c r="Z295" s="5560"/>
      <c r="AA295" s="5560"/>
      <c r="AB295" s="5561">
        <f>SUM(AA296:AA298)</f>
        <v>15680.483199999999</v>
      </c>
      <c r="AC295" s="5822" t="s">
        <v>18</v>
      </c>
      <c r="AD295" s="3659"/>
      <c r="AE295" s="3721"/>
      <c r="AF295" s="3722"/>
      <c r="AG295" s="3722"/>
      <c r="AH295" s="10478"/>
      <c r="AI295" s="466"/>
      <c r="AJ295" s="100"/>
      <c r="AK295" s="100"/>
      <c r="AL295" s="100"/>
    </row>
    <row r="296" spans="1:38" ht="30" customHeight="1" thickTop="1" thickBot="1">
      <c r="A296" s="10423"/>
      <c r="B296" s="9246"/>
      <c r="C296" s="10592"/>
      <c r="D296" s="10500"/>
      <c r="E296" s="10500"/>
      <c r="F296" s="10500"/>
      <c r="G296" s="10502"/>
      <c r="H296" s="10500"/>
      <c r="I296" s="10500"/>
      <c r="J296" s="10500"/>
      <c r="K296" s="10506"/>
      <c r="L296" s="10500"/>
      <c r="M296" s="10556"/>
      <c r="N296" s="10556"/>
      <c r="O296" s="10556"/>
      <c r="P296" s="10500"/>
      <c r="Q296" s="10500"/>
      <c r="R296" s="10508"/>
      <c r="S296" s="3538"/>
      <c r="T296" s="5681"/>
      <c r="U296" s="7360">
        <v>871591612</v>
      </c>
      <c r="V296" s="3804" t="s">
        <v>4097</v>
      </c>
      <c r="W296" s="5507">
        <v>1</v>
      </c>
      <c r="X296" s="3670" t="s">
        <v>152</v>
      </c>
      <c r="Y296" s="5795">
        <v>7380.48</v>
      </c>
      <c r="Z296" s="5795">
        <f t="shared" ref="Z296:Z300" si="23">+W296*Y296</f>
        <v>7380.48</v>
      </c>
      <c r="AA296" s="5795">
        <f>Z296</f>
        <v>7380.48</v>
      </c>
      <c r="AB296" s="5553"/>
      <c r="AC296" s="5779"/>
      <c r="AD296" s="3665"/>
      <c r="AE296" s="3504"/>
      <c r="AF296" s="3505" t="s">
        <v>153</v>
      </c>
      <c r="AG296" s="3505"/>
      <c r="AH296" s="10563"/>
      <c r="AI296" s="466"/>
      <c r="AJ296" s="100"/>
      <c r="AK296" s="100"/>
      <c r="AL296" s="100"/>
    </row>
    <row r="297" spans="1:38" ht="30" customHeight="1" thickTop="1" thickBot="1">
      <c r="A297" s="10423"/>
      <c r="B297" s="9246"/>
      <c r="C297" s="10592"/>
      <c r="D297" s="10500"/>
      <c r="E297" s="10500"/>
      <c r="F297" s="10500"/>
      <c r="G297" s="10502"/>
      <c r="H297" s="10500"/>
      <c r="I297" s="10500"/>
      <c r="J297" s="10500"/>
      <c r="K297" s="10506"/>
      <c r="L297" s="10500"/>
      <c r="M297" s="10556"/>
      <c r="N297" s="10556"/>
      <c r="O297" s="10556"/>
      <c r="P297" s="10500"/>
      <c r="Q297" s="10500"/>
      <c r="R297" s="10508"/>
      <c r="S297" s="3538"/>
      <c r="T297" s="5681"/>
      <c r="U297" s="5681"/>
      <c r="V297" s="3495" t="s">
        <v>4098</v>
      </c>
      <c r="W297" s="5499">
        <v>2</v>
      </c>
      <c r="X297" s="3496" t="s">
        <v>180</v>
      </c>
      <c r="Y297" s="5552">
        <v>133.93</v>
      </c>
      <c r="Z297" s="5552">
        <f t="shared" ref="Z297:Z298" si="24">+W297*Y297</f>
        <v>267.86</v>
      </c>
      <c r="AA297" s="5552">
        <f t="shared" ref="AA297:AA298" si="25">+Z297*1.12</f>
        <v>300.00320000000005</v>
      </c>
      <c r="AB297" s="5553"/>
      <c r="AC297" s="5779"/>
      <c r="AD297" s="3665"/>
      <c r="AE297" s="3504"/>
      <c r="AF297" s="3505"/>
      <c r="AG297" s="3505" t="s">
        <v>153</v>
      </c>
      <c r="AH297" s="10563"/>
      <c r="AI297" s="466"/>
      <c r="AJ297" s="100"/>
      <c r="AK297" s="100"/>
      <c r="AL297" s="100"/>
    </row>
    <row r="298" spans="1:38" ht="42" customHeight="1" thickTop="1" thickBot="1">
      <c r="A298" s="10423"/>
      <c r="B298" s="9246"/>
      <c r="C298" s="10592"/>
      <c r="D298" s="10500"/>
      <c r="E298" s="10500"/>
      <c r="F298" s="10500"/>
      <c r="G298" s="10502"/>
      <c r="H298" s="10500"/>
      <c r="I298" s="10500"/>
      <c r="J298" s="10500"/>
      <c r="K298" s="10506"/>
      <c r="L298" s="10500"/>
      <c r="M298" s="10556"/>
      <c r="N298" s="10556"/>
      <c r="O298" s="10556"/>
      <c r="P298" s="10500"/>
      <c r="Q298" s="10500"/>
      <c r="R298" s="10508"/>
      <c r="S298" s="3538"/>
      <c r="T298" s="5681"/>
      <c r="U298" s="5681"/>
      <c r="V298" s="3495" t="s">
        <v>4099</v>
      </c>
      <c r="W298" s="5499">
        <v>1</v>
      </c>
      <c r="X298" s="3496" t="s">
        <v>479</v>
      </c>
      <c r="Y298" s="5552">
        <f>8000/1.12</f>
        <v>7142.8571428571422</v>
      </c>
      <c r="Z298" s="5552">
        <f t="shared" si="24"/>
        <v>7142.8571428571422</v>
      </c>
      <c r="AA298" s="5552">
        <f t="shared" si="25"/>
        <v>8000</v>
      </c>
      <c r="AB298" s="5553"/>
      <c r="AC298" s="5779"/>
      <c r="AD298" s="3665"/>
      <c r="AE298" s="3504"/>
      <c r="AF298" s="3505" t="s">
        <v>153</v>
      </c>
      <c r="AG298" s="3505"/>
      <c r="AH298" s="10563"/>
      <c r="AI298" s="466"/>
      <c r="AJ298" s="100"/>
      <c r="AK298" s="100"/>
      <c r="AL298" s="100"/>
    </row>
    <row r="299" spans="1:38" ht="30" customHeight="1">
      <c r="A299" s="10423"/>
      <c r="B299" s="9246"/>
      <c r="C299" s="10592"/>
      <c r="D299" s="10500"/>
      <c r="E299" s="10500"/>
      <c r="F299" s="10500"/>
      <c r="G299" s="10502"/>
      <c r="H299" s="10500"/>
      <c r="I299" s="10500"/>
      <c r="J299" s="10500"/>
      <c r="K299" s="10506"/>
      <c r="L299" s="10500"/>
      <c r="M299" s="10556"/>
      <c r="N299" s="10556"/>
      <c r="O299" s="10556"/>
      <c r="P299" s="10500"/>
      <c r="Q299" s="10500"/>
      <c r="R299" s="10508"/>
      <c r="S299" s="3541" t="s">
        <v>79</v>
      </c>
      <c r="T299" s="5682">
        <v>530404</v>
      </c>
      <c r="U299" s="5681"/>
      <c r="V299" s="3542" t="s">
        <v>4096</v>
      </c>
      <c r="W299" s="5499"/>
      <c r="X299" s="3496"/>
      <c r="Y299" s="7960"/>
      <c r="Z299" s="7960"/>
      <c r="AA299" s="7960"/>
      <c r="AB299" s="7962">
        <f>SUM(AA300:AA301)</f>
        <v>9072.0000000000018</v>
      </c>
      <c r="AC299" s="5779" t="s">
        <v>25</v>
      </c>
      <c r="AD299" s="3665"/>
      <c r="AE299" s="3504"/>
      <c r="AF299" s="3505"/>
      <c r="AG299" s="3505"/>
      <c r="AH299" s="10563"/>
      <c r="AI299" s="466"/>
      <c r="AJ299" s="100"/>
      <c r="AK299" s="100"/>
      <c r="AL299" s="100"/>
    </row>
    <row r="300" spans="1:38" ht="30" customHeight="1">
      <c r="A300" s="10423"/>
      <c r="B300" s="9246"/>
      <c r="C300" s="10592"/>
      <c r="D300" s="10500"/>
      <c r="E300" s="10500"/>
      <c r="F300" s="10500"/>
      <c r="G300" s="10502"/>
      <c r="H300" s="10500"/>
      <c r="I300" s="10500"/>
      <c r="J300" s="10500"/>
      <c r="K300" s="10506"/>
      <c r="L300" s="10500"/>
      <c r="M300" s="10556"/>
      <c r="N300" s="10556"/>
      <c r="O300" s="10556"/>
      <c r="P300" s="10500"/>
      <c r="Q300" s="10500"/>
      <c r="R300" s="10508"/>
      <c r="S300" s="3538"/>
      <c r="T300" s="5681"/>
      <c r="U300" s="5681">
        <v>543410111</v>
      </c>
      <c r="V300" s="3495" t="s">
        <v>4100</v>
      </c>
      <c r="W300" s="5499">
        <v>1</v>
      </c>
      <c r="X300" s="3496" t="s">
        <v>152</v>
      </c>
      <c r="Y300" s="7960">
        <v>1800</v>
      </c>
      <c r="Z300" s="7960">
        <f t="shared" si="23"/>
        <v>1800</v>
      </c>
      <c r="AA300" s="7960">
        <f>+Z300*1.12</f>
        <v>2016.0000000000002</v>
      </c>
      <c r="AB300" s="7962"/>
      <c r="AC300" s="5779"/>
      <c r="AD300" s="3665"/>
      <c r="AE300" s="3504"/>
      <c r="AF300" s="3505"/>
      <c r="AG300" s="3505" t="s">
        <v>153</v>
      </c>
      <c r="AH300" s="10563"/>
      <c r="AI300" s="466"/>
      <c r="AJ300" s="100"/>
      <c r="AK300" s="100"/>
      <c r="AL300" s="100"/>
    </row>
    <row r="301" spans="1:38" ht="64.5" customHeight="1">
      <c r="A301" s="10423"/>
      <c r="B301" s="9246"/>
      <c r="C301" s="10592"/>
      <c r="D301" s="10500"/>
      <c r="E301" s="10500"/>
      <c r="F301" s="10500"/>
      <c r="G301" s="10502"/>
      <c r="H301" s="10500"/>
      <c r="I301" s="10500"/>
      <c r="J301" s="10500"/>
      <c r="K301" s="10506"/>
      <c r="L301" s="10500"/>
      <c r="M301" s="10556"/>
      <c r="N301" s="10556"/>
      <c r="O301" s="10556"/>
      <c r="P301" s="10500"/>
      <c r="Q301" s="10500"/>
      <c r="R301" s="10508"/>
      <c r="S301" s="3538"/>
      <c r="T301" s="5681"/>
      <c r="U301" s="5681"/>
      <c r="V301" s="8063" t="s">
        <v>4101</v>
      </c>
      <c r="W301" s="5499">
        <v>1</v>
      </c>
      <c r="X301" s="3496" t="s">
        <v>152</v>
      </c>
      <c r="Y301" s="7960">
        <v>6300</v>
      </c>
      <c r="Z301" s="7960">
        <f t="shared" ref="Z301" si="26">+W301*Y301</f>
        <v>6300</v>
      </c>
      <c r="AA301" s="7960">
        <f>+Z301*1.12</f>
        <v>7056.0000000000009</v>
      </c>
      <c r="AB301" s="7962"/>
      <c r="AC301" s="5779"/>
      <c r="AD301" s="3665"/>
      <c r="AE301" s="3504"/>
      <c r="AF301" s="3505"/>
      <c r="AG301" s="3505" t="s">
        <v>153</v>
      </c>
      <c r="AH301" s="10563"/>
      <c r="AI301" s="466"/>
      <c r="AJ301" s="100"/>
      <c r="AK301" s="100"/>
      <c r="AL301" s="100"/>
    </row>
    <row r="302" spans="1:38" ht="30" customHeight="1" thickTop="1" thickBot="1">
      <c r="A302" s="10423"/>
      <c r="B302" s="9246"/>
      <c r="C302" s="10592"/>
      <c r="D302" s="10500"/>
      <c r="E302" s="10500"/>
      <c r="F302" s="10500"/>
      <c r="G302" s="10502"/>
      <c r="H302" s="10500"/>
      <c r="I302" s="10500"/>
      <c r="J302" s="10500"/>
      <c r="K302" s="10506"/>
      <c r="L302" s="10500"/>
      <c r="M302" s="10556"/>
      <c r="N302" s="10556"/>
      <c r="O302" s="10556"/>
      <c r="P302" s="10500"/>
      <c r="Q302" s="10500"/>
      <c r="R302" s="10508"/>
      <c r="S302" s="3541" t="s">
        <v>4102</v>
      </c>
      <c r="T302" s="7359" t="s">
        <v>4103</v>
      </c>
      <c r="U302" s="7360"/>
      <c r="V302" s="3799" t="s">
        <v>3787</v>
      </c>
      <c r="W302" s="5507"/>
      <c r="X302" s="3670"/>
      <c r="Y302" s="5795"/>
      <c r="Z302" s="5795"/>
      <c r="AA302" s="5795"/>
      <c r="AB302" s="5796">
        <f>SUM(AA303)</f>
        <v>62540.299999999996</v>
      </c>
      <c r="AC302" s="5833" t="s">
        <v>18</v>
      </c>
      <c r="AD302" s="3665"/>
      <c r="AE302" s="3504"/>
      <c r="AF302" s="3505"/>
      <c r="AG302" s="3505"/>
      <c r="AH302" s="10563"/>
      <c r="AI302" s="466"/>
      <c r="AJ302" s="100"/>
      <c r="AK302" s="100"/>
      <c r="AL302" s="100"/>
    </row>
    <row r="303" spans="1:38" ht="54.75" customHeight="1">
      <c r="A303" s="10423"/>
      <c r="B303" s="9246"/>
      <c r="C303" s="10592"/>
      <c r="D303" s="10500"/>
      <c r="E303" s="10500"/>
      <c r="F303" s="10500"/>
      <c r="G303" s="10502"/>
      <c r="H303" s="10500"/>
      <c r="I303" s="10500"/>
      <c r="J303" s="10500"/>
      <c r="K303" s="10506"/>
      <c r="L303" s="10500"/>
      <c r="M303" s="10556"/>
      <c r="N303" s="10556"/>
      <c r="O303" s="10556"/>
      <c r="P303" s="10500"/>
      <c r="Q303" s="10500"/>
      <c r="R303" s="10508"/>
      <c r="S303" s="3538"/>
      <c r="T303" s="5681"/>
      <c r="U303" s="5681"/>
      <c r="V303" s="7919" t="s">
        <v>4104</v>
      </c>
      <c r="W303" s="5507">
        <v>1</v>
      </c>
      <c r="X303" s="3670" t="s">
        <v>152</v>
      </c>
      <c r="Y303" s="5795">
        <f>62540.3/1.12</f>
        <v>55839.553571428565</v>
      </c>
      <c r="Z303" s="5795">
        <f>W303*Y303</f>
        <v>55839.553571428565</v>
      </c>
      <c r="AA303" s="5795">
        <f>Z303*1.12</f>
        <v>62540.299999999996</v>
      </c>
      <c r="AB303" s="5796"/>
      <c r="AC303" s="5833"/>
      <c r="AD303" s="3665"/>
      <c r="AE303" s="3504"/>
      <c r="AF303" s="3505"/>
      <c r="AG303" s="3505" t="s">
        <v>153</v>
      </c>
      <c r="AH303" s="10563"/>
      <c r="AI303" s="466"/>
      <c r="AJ303" s="100"/>
      <c r="AK303" s="100"/>
      <c r="AL303" s="100"/>
    </row>
    <row r="304" spans="1:38" ht="30" customHeight="1" thickTop="1" thickBot="1">
      <c r="A304" s="10423"/>
      <c r="B304" s="9246"/>
      <c r="C304" s="10592"/>
      <c r="D304" s="10500"/>
      <c r="E304" s="10500"/>
      <c r="F304" s="10500"/>
      <c r="G304" s="10502"/>
      <c r="H304" s="10500"/>
      <c r="I304" s="10500"/>
      <c r="J304" s="10500"/>
      <c r="K304" s="10506"/>
      <c r="L304" s="10500"/>
      <c r="M304" s="10556"/>
      <c r="N304" s="10556"/>
      <c r="O304" s="10556"/>
      <c r="P304" s="10500"/>
      <c r="Q304" s="10500"/>
      <c r="R304" s="10508"/>
      <c r="S304" s="3541" t="s">
        <v>4102</v>
      </c>
      <c r="T304" s="7359" t="s">
        <v>4105</v>
      </c>
      <c r="U304" s="7360"/>
      <c r="V304" s="3799" t="s">
        <v>4106</v>
      </c>
      <c r="W304" s="5507"/>
      <c r="X304" s="3670"/>
      <c r="Y304" s="5795"/>
      <c r="Z304" s="5795"/>
      <c r="AA304" s="5795"/>
      <c r="AB304" s="5796">
        <f>SUM(AA305:AA305)</f>
        <v>1563507.51</v>
      </c>
      <c r="AC304" s="5833" t="s">
        <v>25</v>
      </c>
      <c r="AD304" s="3665"/>
      <c r="AE304" s="3504"/>
      <c r="AF304" s="3505"/>
      <c r="AG304" s="3505"/>
      <c r="AH304" s="10563"/>
      <c r="AI304" s="466"/>
      <c r="AJ304" s="100"/>
      <c r="AK304" s="100"/>
      <c r="AL304" s="100"/>
    </row>
    <row r="305" spans="1:38" ht="45" customHeight="1">
      <c r="A305" s="10423"/>
      <c r="B305" s="9246"/>
      <c r="C305" s="10593"/>
      <c r="D305" s="10501"/>
      <c r="E305" s="10501"/>
      <c r="F305" s="10501"/>
      <c r="G305" s="10503"/>
      <c r="H305" s="10501"/>
      <c r="I305" s="10501"/>
      <c r="J305" s="10501"/>
      <c r="K305" s="10507"/>
      <c r="L305" s="10501"/>
      <c r="M305" s="10557"/>
      <c r="N305" s="10557"/>
      <c r="O305" s="10557"/>
      <c r="P305" s="10501"/>
      <c r="Q305" s="10501"/>
      <c r="R305" s="10509"/>
      <c r="S305" s="3768"/>
      <c r="T305" s="5683"/>
      <c r="U305" s="7375">
        <v>543410111</v>
      </c>
      <c r="V305" s="7918" t="s">
        <v>4107</v>
      </c>
      <c r="W305" s="5513">
        <v>1</v>
      </c>
      <c r="X305" s="3751" t="s">
        <v>152</v>
      </c>
      <c r="Y305" s="7414">
        <f>1563507.51/1.12</f>
        <v>1395988.8482142857</v>
      </c>
      <c r="Z305" s="7414">
        <f>+W305*Y305</f>
        <v>1395988.8482142857</v>
      </c>
      <c r="AA305" s="7414">
        <f>+Z305*1.12</f>
        <v>1563507.51</v>
      </c>
      <c r="AB305" s="5555"/>
      <c r="AC305" s="5823"/>
      <c r="AD305" s="3717"/>
      <c r="AE305" s="3727"/>
      <c r="AF305" s="3752"/>
      <c r="AG305" s="3507" t="s">
        <v>153</v>
      </c>
      <c r="AH305" s="10564"/>
      <c r="AI305" s="466"/>
      <c r="AJ305" s="100"/>
      <c r="AK305" s="100"/>
      <c r="AL305" s="100"/>
    </row>
    <row r="306" spans="1:38" ht="53.25" customHeight="1">
      <c r="A306" s="10423"/>
      <c r="B306" s="9246"/>
      <c r="C306" s="10543" t="s">
        <v>127</v>
      </c>
      <c r="D306" s="10546" t="s">
        <v>128</v>
      </c>
      <c r="E306" s="10546" t="s">
        <v>129</v>
      </c>
      <c r="F306" s="10546" t="s">
        <v>394</v>
      </c>
      <c r="G306" s="10549" t="s">
        <v>131</v>
      </c>
      <c r="H306" s="10546" t="s">
        <v>132</v>
      </c>
      <c r="I306" s="10546" t="s">
        <v>159</v>
      </c>
      <c r="J306" s="10546" t="s">
        <v>4108</v>
      </c>
      <c r="K306" s="10552" t="s">
        <v>4109</v>
      </c>
      <c r="L306" s="10546" t="s">
        <v>4110</v>
      </c>
      <c r="M306" s="10572">
        <v>1</v>
      </c>
      <c r="N306" s="10572">
        <v>1</v>
      </c>
      <c r="O306" s="10572">
        <v>1</v>
      </c>
      <c r="P306" s="10575" t="s">
        <v>4111</v>
      </c>
      <c r="Q306" s="10575" t="s">
        <v>4112</v>
      </c>
      <c r="R306" s="10578" t="s">
        <v>4113</v>
      </c>
      <c r="S306" s="3776" t="s">
        <v>15</v>
      </c>
      <c r="T306" s="5684">
        <v>530811</v>
      </c>
      <c r="U306" s="5684"/>
      <c r="V306" s="3762" t="s">
        <v>2234</v>
      </c>
      <c r="W306" s="5502"/>
      <c r="X306" s="3709"/>
      <c r="Y306" s="8006"/>
      <c r="Z306" s="8006"/>
      <c r="AA306" s="8006"/>
      <c r="AB306" s="8007">
        <f>SUM(AA307:AA308)</f>
        <v>11465.560000000001</v>
      </c>
      <c r="AC306" s="5780" t="s">
        <v>18</v>
      </c>
      <c r="AD306" s="3723"/>
      <c r="AE306" s="2930"/>
      <c r="AF306" s="3710"/>
      <c r="AG306" s="3710"/>
      <c r="AH306" s="10569" t="s">
        <v>4114</v>
      </c>
      <c r="AI306" s="466"/>
      <c r="AJ306" s="100"/>
      <c r="AK306" s="100"/>
      <c r="AL306" s="100"/>
    </row>
    <row r="307" spans="1:38" ht="31.5" customHeight="1">
      <c r="A307" s="10423"/>
      <c r="B307" s="9246"/>
      <c r="C307" s="10544"/>
      <c r="D307" s="10547"/>
      <c r="E307" s="10547"/>
      <c r="F307" s="10547"/>
      <c r="G307" s="10550"/>
      <c r="H307" s="10547"/>
      <c r="I307" s="10547"/>
      <c r="J307" s="10547"/>
      <c r="K307" s="10553"/>
      <c r="L307" s="10547"/>
      <c r="M307" s="10573"/>
      <c r="N307" s="10573"/>
      <c r="O307" s="10573"/>
      <c r="P307" s="10576"/>
      <c r="Q307" s="10576"/>
      <c r="R307" s="10579"/>
      <c r="S307" s="3538"/>
      <c r="T307" s="5681"/>
      <c r="U307" s="5681">
        <v>429410016</v>
      </c>
      <c r="V307" s="3495" t="s">
        <v>4115</v>
      </c>
      <c r="W307" s="5499">
        <v>1</v>
      </c>
      <c r="X307" s="3496" t="s">
        <v>479</v>
      </c>
      <c r="Y307" s="7964">
        <f>((16343.45-5877.89)/1.12)</f>
        <v>9344.25</v>
      </c>
      <c r="Z307" s="7964">
        <f t="shared" ref="Z307" si="27">+W307*Y307</f>
        <v>9344.25</v>
      </c>
      <c r="AA307" s="7964">
        <f t="shared" ref="AA307" si="28">+Z307*1.12</f>
        <v>10465.560000000001</v>
      </c>
      <c r="AB307" s="7962"/>
      <c r="AC307" s="5779"/>
      <c r="AD307" s="3665"/>
      <c r="AE307" s="3504"/>
      <c r="AF307" s="3505" t="s">
        <v>153</v>
      </c>
      <c r="AG307" s="3505" t="s">
        <v>153</v>
      </c>
      <c r="AH307" s="10570"/>
      <c r="AI307" s="466"/>
      <c r="AJ307" s="100"/>
      <c r="AK307" s="100"/>
      <c r="AL307" s="100"/>
    </row>
    <row r="308" spans="1:38" ht="31.5" customHeight="1" thickTop="1" thickBot="1">
      <c r="A308" s="10423"/>
      <c r="B308" s="9246"/>
      <c r="C308" s="10544"/>
      <c r="D308" s="10547"/>
      <c r="E308" s="10547"/>
      <c r="F308" s="10547"/>
      <c r="G308" s="10550"/>
      <c r="H308" s="10547"/>
      <c r="I308" s="10547"/>
      <c r="J308" s="10547"/>
      <c r="K308" s="10553"/>
      <c r="L308" s="10547"/>
      <c r="M308" s="10573"/>
      <c r="N308" s="10573"/>
      <c r="O308" s="10573"/>
      <c r="P308" s="10576"/>
      <c r="Q308" s="10576"/>
      <c r="R308" s="10579"/>
      <c r="S308" s="3538"/>
      <c r="T308" s="5681"/>
      <c r="U308" s="5681"/>
      <c r="V308" s="3495" t="s">
        <v>4116</v>
      </c>
      <c r="W308" s="5499">
        <v>1</v>
      </c>
      <c r="X308" s="3496" t="s">
        <v>479</v>
      </c>
      <c r="Y308" s="5552">
        <f>1000/1.12</f>
        <v>892.85714285714278</v>
      </c>
      <c r="Z308" s="5552">
        <f t="shared" ref="Z308" si="29">+W308*Y308</f>
        <v>892.85714285714278</v>
      </c>
      <c r="AA308" s="5552">
        <f t="shared" ref="AA308" si="30">+Z308*1.12</f>
        <v>1000</v>
      </c>
      <c r="AB308" s="5553"/>
      <c r="AC308" s="5779"/>
      <c r="AD308" s="3665"/>
      <c r="AE308" s="3504"/>
      <c r="AF308" s="3505" t="s">
        <v>153</v>
      </c>
      <c r="AG308" s="3505" t="s">
        <v>153</v>
      </c>
      <c r="AH308" s="10570"/>
      <c r="AI308" s="466"/>
      <c r="AJ308" s="100"/>
      <c r="AK308" s="100"/>
      <c r="AL308" s="100"/>
    </row>
    <row r="309" spans="1:38" ht="31.5" customHeight="1">
      <c r="A309" s="10423"/>
      <c r="B309" s="9246"/>
      <c r="C309" s="10544"/>
      <c r="D309" s="10547"/>
      <c r="E309" s="10547"/>
      <c r="F309" s="10547"/>
      <c r="G309" s="10550"/>
      <c r="H309" s="10547"/>
      <c r="I309" s="10547"/>
      <c r="J309" s="10547"/>
      <c r="K309" s="10553"/>
      <c r="L309" s="10547"/>
      <c r="M309" s="10573"/>
      <c r="N309" s="10573"/>
      <c r="O309" s="10573"/>
      <c r="P309" s="10576"/>
      <c r="Q309" s="10576"/>
      <c r="R309" s="10579"/>
      <c r="S309" s="4364" t="s">
        <v>15</v>
      </c>
      <c r="T309" s="7359">
        <v>530702</v>
      </c>
      <c r="U309" s="7360"/>
      <c r="V309" s="3799" t="s">
        <v>33</v>
      </c>
      <c r="W309" s="5507"/>
      <c r="X309" s="3670"/>
      <c r="Y309" s="5795"/>
      <c r="Z309" s="5795"/>
      <c r="AA309" s="7964"/>
      <c r="AB309" s="7991">
        <f>+AA310</f>
        <v>2232.1428571428569</v>
      </c>
      <c r="AC309" s="5833" t="s">
        <v>26</v>
      </c>
      <c r="AD309" s="3665"/>
      <c r="AE309" s="3504"/>
      <c r="AF309" s="3505"/>
      <c r="AG309" s="3505"/>
      <c r="AH309" s="10570"/>
      <c r="AI309" s="466"/>
      <c r="AJ309" s="100"/>
      <c r="AK309" s="100"/>
      <c r="AL309" s="100"/>
    </row>
    <row r="310" spans="1:38" ht="31.5" customHeight="1">
      <c r="A310" s="10423"/>
      <c r="B310" s="9246"/>
      <c r="C310" s="10544"/>
      <c r="D310" s="10547"/>
      <c r="E310" s="10547"/>
      <c r="F310" s="10547"/>
      <c r="G310" s="10550"/>
      <c r="H310" s="10547"/>
      <c r="I310" s="10547"/>
      <c r="J310" s="10547"/>
      <c r="K310" s="10553"/>
      <c r="L310" s="10547"/>
      <c r="M310" s="10573"/>
      <c r="N310" s="10573"/>
      <c r="O310" s="10573"/>
      <c r="P310" s="10576"/>
      <c r="Q310" s="10576"/>
      <c r="R310" s="10579"/>
      <c r="S310" s="3538"/>
      <c r="T310" s="5681"/>
      <c r="U310" s="5681"/>
      <c r="V310" s="3804" t="s">
        <v>4117</v>
      </c>
      <c r="W310" s="5507">
        <v>1</v>
      </c>
      <c r="X310" s="3670" t="s">
        <v>180</v>
      </c>
      <c r="Y310" s="5795">
        <f>2500/1.12</f>
        <v>2232.1428571428569</v>
      </c>
      <c r="Z310" s="5795">
        <f t="shared" ref="Z310" si="31">+W310*Y310</f>
        <v>2232.1428571428569</v>
      </c>
      <c r="AA310" s="7964">
        <f>Z310</f>
        <v>2232.1428571428569</v>
      </c>
      <c r="AB310" s="7962"/>
      <c r="AC310" s="5779"/>
      <c r="AD310" s="3665"/>
      <c r="AE310" s="3504"/>
      <c r="AF310" s="3505"/>
      <c r="AG310" s="4282" t="s">
        <v>153</v>
      </c>
      <c r="AH310" s="10570"/>
      <c r="AI310" s="466"/>
      <c r="AJ310" s="100"/>
      <c r="AK310" s="100"/>
      <c r="AL310" s="100"/>
    </row>
    <row r="311" spans="1:38" ht="31.5" customHeight="1">
      <c r="A311" s="10423"/>
      <c r="B311" s="9246"/>
      <c r="C311" s="10544"/>
      <c r="D311" s="10547"/>
      <c r="E311" s="10547"/>
      <c r="F311" s="10547"/>
      <c r="G311" s="10550"/>
      <c r="H311" s="10547"/>
      <c r="I311" s="10547"/>
      <c r="J311" s="10547"/>
      <c r="K311" s="10553"/>
      <c r="L311" s="10547"/>
      <c r="M311" s="10573"/>
      <c r="N311" s="10573"/>
      <c r="O311" s="10573"/>
      <c r="P311" s="10576"/>
      <c r="Q311" s="10576"/>
      <c r="R311" s="10579"/>
      <c r="S311" s="4364" t="s">
        <v>15</v>
      </c>
      <c r="T311" s="7359">
        <v>840106</v>
      </c>
      <c r="U311" s="7360"/>
      <c r="V311" s="3799" t="s">
        <v>4118</v>
      </c>
      <c r="W311" s="5507"/>
      <c r="X311" s="3670"/>
      <c r="Y311" s="5795"/>
      <c r="Z311" s="5795"/>
      <c r="AA311" s="7460"/>
      <c r="AB311" s="8494">
        <f>+AA312</f>
        <v>6300</v>
      </c>
      <c r="AC311" s="5833" t="s">
        <v>26</v>
      </c>
      <c r="AD311" s="3665"/>
      <c r="AE311" s="3504"/>
      <c r="AF311" s="3505"/>
      <c r="AG311" s="3666"/>
      <c r="AH311" s="10570"/>
      <c r="AI311" s="466"/>
      <c r="AJ311" s="100"/>
      <c r="AK311" s="100"/>
      <c r="AL311" s="100"/>
    </row>
    <row r="312" spans="1:38" ht="31.5" customHeight="1">
      <c r="A312" s="10423"/>
      <c r="B312" s="9246"/>
      <c r="C312" s="10545"/>
      <c r="D312" s="10548"/>
      <c r="E312" s="10548"/>
      <c r="F312" s="10548"/>
      <c r="G312" s="10551"/>
      <c r="H312" s="10548"/>
      <c r="I312" s="10548"/>
      <c r="J312" s="10548"/>
      <c r="K312" s="10554"/>
      <c r="L312" s="10548"/>
      <c r="M312" s="10574"/>
      <c r="N312" s="10574"/>
      <c r="O312" s="10574"/>
      <c r="P312" s="10577"/>
      <c r="Q312" s="10577"/>
      <c r="R312" s="10580"/>
      <c r="S312" s="3543"/>
      <c r="T312" s="5696"/>
      <c r="U312" s="5696"/>
      <c r="V312" s="3800" t="s">
        <v>4119</v>
      </c>
      <c r="W312" s="7379">
        <v>1</v>
      </c>
      <c r="X312" s="3711" t="s">
        <v>4120</v>
      </c>
      <c r="Y312" s="7399"/>
      <c r="Z312" s="7399"/>
      <c r="AA312" s="8495">
        <f>6300</f>
        <v>6300</v>
      </c>
      <c r="AB312" s="8496"/>
      <c r="AC312" s="5828"/>
      <c r="AD312" s="3706"/>
      <c r="AE312" s="2933"/>
      <c r="AF312" s="3713"/>
      <c r="AG312" s="4363" t="s">
        <v>153</v>
      </c>
      <c r="AH312" s="10571"/>
      <c r="AI312" s="466"/>
      <c r="AJ312" s="100"/>
      <c r="AK312" s="100"/>
      <c r="AL312" s="100"/>
    </row>
    <row r="313" spans="1:38" ht="27" customHeight="1">
      <c r="A313" s="10423"/>
      <c r="B313" s="9246"/>
      <c r="C313" s="10512" t="s">
        <v>127</v>
      </c>
      <c r="D313" s="10444" t="s">
        <v>128</v>
      </c>
      <c r="E313" s="10444" t="s">
        <v>129</v>
      </c>
      <c r="F313" s="10444" t="s">
        <v>394</v>
      </c>
      <c r="G313" s="10451" t="s">
        <v>131</v>
      </c>
      <c r="H313" s="10444" t="s">
        <v>132</v>
      </c>
      <c r="I313" s="10444" t="s">
        <v>159</v>
      </c>
      <c r="J313" s="10444" t="s">
        <v>4121</v>
      </c>
      <c r="K313" s="10448" t="s">
        <v>4122</v>
      </c>
      <c r="L313" s="10444" t="s">
        <v>4123</v>
      </c>
      <c r="M313" s="10561">
        <v>1</v>
      </c>
      <c r="N313" s="10561">
        <v>1</v>
      </c>
      <c r="O313" s="10561">
        <v>1</v>
      </c>
      <c r="P313" s="10444" t="s">
        <v>4124</v>
      </c>
      <c r="Q313" s="10444" t="s">
        <v>4125</v>
      </c>
      <c r="R313" s="10449" t="s">
        <v>4126</v>
      </c>
      <c r="S313" s="3767" t="s">
        <v>15</v>
      </c>
      <c r="T313" s="5689">
        <v>530813</v>
      </c>
      <c r="U313" s="5689"/>
      <c r="V313" s="3758" t="s">
        <v>2694</v>
      </c>
      <c r="W313" s="5504"/>
      <c r="X313" s="3658"/>
      <c r="Y313" s="8011"/>
      <c r="Z313" s="8011"/>
      <c r="AA313" s="8011"/>
      <c r="AB313" s="7988">
        <f>+AA314</f>
        <v>2235.2399999999998</v>
      </c>
      <c r="AC313" s="5822" t="s">
        <v>18</v>
      </c>
      <c r="AD313" s="3659"/>
      <c r="AE313" s="3721"/>
      <c r="AF313" s="3722"/>
      <c r="AG313" s="3722"/>
      <c r="AH313" s="10478"/>
      <c r="AI313" s="466"/>
      <c r="AJ313" s="100"/>
      <c r="AK313" s="100"/>
      <c r="AL313" s="100"/>
    </row>
    <row r="314" spans="1:38" ht="27" customHeight="1">
      <c r="A314" s="10423"/>
      <c r="B314" s="9246"/>
      <c r="C314" s="10592"/>
      <c r="D314" s="10500"/>
      <c r="E314" s="10500"/>
      <c r="F314" s="10500"/>
      <c r="G314" s="10502"/>
      <c r="H314" s="10500"/>
      <c r="I314" s="10500"/>
      <c r="J314" s="10500"/>
      <c r="K314" s="10506"/>
      <c r="L314" s="10500"/>
      <c r="M314" s="10556"/>
      <c r="N314" s="10556"/>
      <c r="O314" s="10556"/>
      <c r="P314" s="10500"/>
      <c r="Q314" s="10500"/>
      <c r="R314" s="10508"/>
      <c r="S314" s="3538"/>
      <c r="T314" s="5681"/>
      <c r="U314" s="5681">
        <v>446403014</v>
      </c>
      <c r="V314" s="3495" t="s">
        <v>4127</v>
      </c>
      <c r="W314" s="5499">
        <v>1</v>
      </c>
      <c r="X314" s="3496" t="s">
        <v>180</v>
      </c>
      <c r="Y314" s="7960">
        <v>2235.2399999999998</v>
      </c>
      <c r="Z314" s="7960">
        <f t="shared" ref="Z314" si="32">+W314*Y314</f>
        <v>2235.2399999999998</v>
      </c>
      <c r="AA314" s="7960">
        <f>Z314</f>
        <v>2235.2399999999998</v>
      </c>
      <c r="AB314" s="7962"/>
      <c r="AC314" s="5779"/>
      <c r="AD314" s="3665"/>
      <c r="AE314" s="3504"/>
      <c r="AF314" s="3505" t="s">
        <v>153</v>
      </c>
      <c r="AG314" s="3505"/>
      <c r="AH314" s="10563"/>
      <c r="AI314" s="466"/>
      <c r="AJ314" s="100"/>
      <c r="AK314" s="100"/>
      <c r="AL314" s="100"/>
    </row>
    <row r="315" spans="1:38" ht="27" customHeight="1">
      <c r="A315" s="10423"/>
      <c r="B315" s="9246"/>
      <c r="C315" s="10592"/>
      <c r="D315" s="10500"/>
      <c r="E315" s="10500"/>
      <c r="F315" s="10500"/>
      <c r="G315" s="10502"/>
      <c r="H315" s="10500"/>
      <c r="I315" s="10500"/>
      <c r="J315" s="10500"/>
      <c r="K315" s="10506"/>
      <c r="L315" s="10500"/>
      <c r="M315" s="10556"/>
      <c r="N315" s="10556"/>
      <c r="O315" s="10556"/>
      <c r="P315" s="10500"/>
      <c r="Q315" s="10500"/>
      <c r="R315" s="10508"/>
      <c r="S315" s="3541" t="s">
        <v>15</v>
      </c>
      <c r="T315" s="5682">
        <v>530601</v>
      </c>
      <c r="U315" s="5681"/>
      <c r="V315" s="3542" t="s">
        <v>761</v>
      </c>
      <c r="W315" s="5499"/>
      <c r="X315" s="3496"/>
      <c r="Y315" s="7797"/>
      <c r="Z315" s="7797"/>
      <c r="AA315" s="7797"/>
      <c r="AB315" s="7798">
        <f>+AA316</f>
        <v>121940.59</v>
      </c>
      <c r="AC315" s="5833" t="s">
        <v>25</v>
      </c>
      <c r="AD315" s="3665"/>
      <c r="AE315" s="3504"/>
      <c r="AF315" s="3505"/>
      <c r="AG315" s="3505"/>
      <c r="AH315" s="10563"/>
      <c r="AI315" s="466"/>
      <c r="AJ315" s="100"/>
      <c r="AK315" s="100"/>
      <c r="AL315" s="100"/>
    </row>
    <row r="316" spans="1:38" ht="66" customHeight="1">
      <c r="A316" s="10423"/>
      <c r="B316" s="9246"/>
      <c r="C316" s="10592"/>
      <c r="D316" s="10500"/>
      <c r="E316" s="10500"/>
      <c r="F316" s="10500"/>
      <c r="G316" s="10502"/>
      <c r="H316" s="10500"/>
      <c r="I316" s="10500"/>
      <c r="J316" s="10500"/>
      <c r="K316" s="10506"/>
      <c r="L316" s="10500"/>
      <c r="M316" s="10556"/>
      <c r="N316" s="10556"/>
      <c r="O316" s="10556"/>
      <c r="P316" s="10500"/>
      <c r="Q316" s="10500"/>
      <c r="R316" s="10508"/>
      <c r="S316" s="3538"/>
      <c r="T316" s="5681"/>
      <c r="U316" s="5681"/>
      <c r="V316" s="3804" t="s">
        <v>4128</v>
      </c>
      <c r="W316" s="5507">
        <v>1</v>
      </c>
      <c r="X316" s="3670" t="s">
        <v>180</v>
      </c>
      <c r="Y316" s="7799">
        <v>121940.59</v>
      </c>
      <c r="Z316" s="7799">
        <f>Y316</f>
        <v>121940.59</v>
      </c>
      <c r="AA316" s="7799">
        <f>Z316</f>
        <v>121940.59</v>
      </c>
      <c r="AB316" s="7800"/>
      <c r="AC316" s="5779"/>
      <c r="AD316" s="3665"/>
      <c r="AE316" s="3504"/>
      <c r="AF316" s="3505"/>
      <c r="AG316" s="4282" t="s">
        <v>153</v>
      </c>
      <c r="AH316" s="10563"/>
      <c r="AI316" s="466"/>
      <c r="AJ316" s="100"/>
      <c r="AK316" s="100"/>
      <c r="AL316" s="100"/>
    </row>
    <row r="317" spans="1:38" ht="66" customHeight="1">
      <c r="A317" s="10423"/>
      <c r="B317" s="9246"/>
      <c r="C317" s="10593"/>
      <c r="D317" s="10501"/>
      <c r="E317" s="10501"/>
      <c r="F317" s="10501"/>
      <c r="G317" s="10503"/>
      <c r="H317" s="10501"/>
      <c r="I317" s="10501"/>
      <c r="J317" s="10501"/>
      <c r="K317" s="10507"/>
      <c r="L317" s="10501"/>
      <c r="M317" s="10557"/>
      <c r="N317" s="10557"/>
      <c r="O317" s="10557"/>
      <c r="P317" s="10501"/>
      <c r="Q317" s="10501"/>
      <c r="R317" s="10509"/>
      <c r="S317" s="3541" t="s">
        <v>15</v>
      </c>
      <c r="T317" s="5682">
        <v>530601</v>
      </c>
      <c r="U317" s="5681"/>
      <c r="V317" s="3542" t="s">
        <v>761</v>
      </c>
      <c r="W317" s="5499"/>
      <c r="X317" s="3496"/>
      <c r="Y317" s="7797"/>
      <c r="Z317" s="7797"/>
      <c r="AA317" s="7797"/>
      <c r="AB317" s="7798">
        <f>+AA318</f>
        <v>60000</v>
      </c>
      <c r="AC317" s="5833" t="s">
        <v>18</v>
      </c>
      <c r="AD317" s="3717"/>
      <c r="AE317" s="3727"/>
      <c r="AF317" s="3507"/>
      <c r="AG317" s="3507"/>
      <c r="AH317" s="10564"/>
      <c r="AI317" s="466"/>
      <c r="AJ317" s="100"/>
      <c r="AK317" s="100"/>
      <c r="AL317" s="100"/>
    </row>
    <row r="318" spans="1:38" ht="36" customHeight="1">
      <c r="A318" s="10423"/>
      <c r="B318" s="9246"/>
      <c r="C318" s="10602"/>
      <c r="D318" s="10566"/>
      <c r="E318" s="10566"/>
      <c r="F318" s="10566"/>
      <c r="G318" s="10567"/>
      <c r="H318" s="10566"/>
      <c r="I318" s="10566"/>
      <c r="J318" s="10566"/>
      <c r="K318" s="10568"/>
      <c r="L318" s="10566"/>
      <c r="M318" s="10581"/>
      <c r="N318" s="10581"/>
      <c r="O318" s="10581"/>
      <c r="P318" s="10566"/>
      <c r="Q318" s="10566"/>
      <c r="R318" s="10588"/>
      <c r="S318" s="3543"/>
      <c r="T318" s="7284"/>
      <c r="U318" s="5696"/>
      <c r="V318" s="3800" t="s">
        <v>4129</v>
      </c>
      <c r="W318" s="7379">
        <v>1</v>
      </c>
      <c r="X318" s="3711" t="s">
        <v>180</v>
      </c>
      <c r="Y318" s="7829">
        <v>60000</v>
      </c>
      <c r="Z318" s="7829">
        <f t="shared" ref="Z318" si="33">+W318*Y318</f>
        <v>60000</v>
      </c>
      <c r="AA318" s="7829">
        <f>Z318</f>
        <v>60000</v>
      </c>
      <c r="AB318" s="7828"/>
      <c r="AC318" s="5828"/>
      <c r="AD318" s="3706"/>
      <c r="AE318" s="2933"/>
      <c r="AF318" s="3713"/>
      <c r="AG318" s="3713" t="s">
        <v>153</v>
      </c>
      <c r="AH318" s="10565"/>
      <c r="AI318" s="466"/>
      <c r="AJ318" s="100"/>
      <c r="AK318" s="100"/>
      <c r="AL318" s="100"/>
    </row>
    <row r="319" spans="1:38" ht="18" customHeight="1">
      <c r="A319" s="10423"/>
      <c r="B319" s="9246"/>
      <c r="C319" s="10512" t="s">
        <v>127</v>
      </c>
      <c r="D319" s="10444" t="s">
        <v>128</v>
      </c>
      <c r="E319" s="10444" t="s">
        <v>129</v>
      </c>
      <c r="F319" s="10444" t="s">
        <v>394</v>
      </c>
      <c r="G319" s="10451" t="s">
        <v>131</v>
      </c>
      <c r="H319" s="10444" t="s">
        <v>132</v>
      </c>
      <c r="I319" s="10444" t="s">
        <v>159</v>
      </c>
      <c r="J319" s="10444" t="s">
        <v>4130</v>
      </c>
      <c r="K319" s="10448" t="s">
        <v>4131</v>
      </c>
      <c r="L319" s="10444" t="s">
        <v>4132</v>
      </c>
      <c r="M319" s="10561">
        <v>1</v>
      </c>
      <c r="N319" s="10561">
        <v>1</v>
      </c>
      <c r="O319" s="10561">
        <v>1</v>
      </c>
      <c r="P319" s="10444" t="s">
        <v>4133</v>
      </c>
      <c r="Q319" s="10444" t="s">
        <v>4134</v>
      </c>
      <c r="R319" s="10449" t="s">
        <v>4095</v>
      </c>
      <c r="S319" s="3767" t="s">
        <v>15</v>
      </c>
      <c r="T319" s="5689">
        <v>531601</v>
      </c>
      <c r="U319" s="5689"/>
      <c r="V319" s="3758" t="s">
        <v>4135</v>
      </c>
      <c r="W319" s="5504"/>
      <c r="X319" s="3658"/>
      <c r="Y319" s="7916"/>
      <c r="Z319" s="7916"/>
      <c r="AA319" s="7916"/>
      <c r="AB319" s="7917">
        <f>AA320</f>
        <v>0</v>
      </c>
      <c r="AC319" s="5822" t="s">
        <v>18</v>
      </c>
      <c r="AD319" s="3659"/>
      <c r="AE319" s="3721"/>
      <c r="AF319" s="3722"/>
      <c r="AG319" s="3722"/>
      <c r="AH319" s="10478"/>
      <c r="AI319" s="466"/>
      <c r="AJ319" s="100"/>
      <c r="AK319" s="100"/>
      <c r="AL319" s="100"/>
    </row>
    <row r="320" spans="1:38" ht="18" customHeight="1">
      <c r="A320" s="10423"/>
      <c r="B320" s="9246"/>
      <c r="C320" s="10592"/>
      <c r="D320" s="10500"/>
      <c r="E320" s="10500"/>
      <c r="F320" s="10500"/>
      <c r="G320" s="10502"/>
      <c r="H320" s="10500"/>
      <c r="I320" s="10500"/>
      <c r="J320" s="10500"/>
      <c r="K320" s="10506"/>
      <c r="L320" s="10500"/>
      <c r="M320" s="10556"/>
      <c r="N320" s="10556"/>
      <c r="O320" s="10556"/>
      <c r="P320" s="10500"/>
      <c r="Q320" s="10500"/>
      <c r="R320" s="10508"/>
      <c r="S320" s="3538"/>
      <c r="T320" s="5681"/>
      <c r="U320" s="5681"/>
      <c r="V320" s="3495" t="s">
        <v>4135</v>
      </c>
      <c r="W320" s="5499">
        <v>1</v>
      </c>
      <c r="X320" s="3496" t="s">
        <v>479</v>
      </c>
      <c r="Y320" s="7797">
        <v>0</v>
      </c>
      <c r="Z320" s="7797">
        <f>+W320*Y320</f>
        <v>0</v>
      </c>
      <c r="AA320" s="7797">
        <f t="shared" ref="AA320" si="34">+Z320*1.12</f>
        <v>0</v>
      </c>
      <c r="AB320" s="7800"/>
      <c r="AC320" s="5817"/>
      <c r="AD320" s="3665"/>
      <c r="AE320" s="3504"/>
      <c r="AF320" s="3505"/>
      <c r="AG320" s="3505"/>
      <c r="AH320" s="10563"/>
      <c r="AI320" s="466"/>
      <c r="AJ320" s="100"/>
      <c r="AK320" s="100"/>
      <c r="AL320" s="100"/>
    </row>
    <row r="321" spans="1:38" ht="18" customHeight="1" thickTop="1" thickBot="1">
      <c r="A321" s="10423"/>
      <c r="B321" s="9246"/>
      <c r="C321" s="10592"/>
      <c r="D321" s="10500"/>
      <c r="E321" s="10500"/>
      <c r="F321" s="10500"/>
      <c r="G321" s="10502"/>
      <c r="H321" s="10500"/>
      <c r="I321" s="10500"/>
      <c r="J321" s="10500"/>
      <c r="K321" s="10506"/>
      <c r="L321" s="10500"/>
      <c r="M321" s="10556"/>
      <c r="N321" s="10556"/>
      <c r="O321" s="10556"/>
      <c r="P321" s="10500"/>
      <c r="Q321" s="10500"/>
      <c r="R321" s="10508"/>
      <c r="S321" s="3541"/>
      <c r="T321" s="5682"/>
      <c r="U321" s="5682"/>
      <c r="V321" s="3796" t="s">
        <v>4136</v>
      </c>
      <c r="W321" s="5499"/>
      <c r="X321" s="3496"/>
      <c r="Y321" s="5552"/>
      <c r="Z321" s="5552"/>
      <c r="AA321" s="5552"/>
      <c r="AB321" s="5553">
        <f>SUM(AA322:AA335)</f>
        <v>3360</v>
      </c>
      <c r="AC321" s="5779" t="s">
        <v>18</v>
      </c>
      <c r="AD321" s="3665"/>
      <c r="AE321" s="3504"/>
      <c r="AF321" s="3505"/>
      <c r="AG321" s="3505"/>
      <c r="AH321" s="10563"/>
      <c r="AI321" s="466"/>
      <c r="AJ321" s="100"/>
      <c r="AK321" s="100"/>
      <c r="AL321" s="100"/>
    </row>
    <row r="322" spans="1:38" ht="37.5" customHeight="1" thickTop="1" thickBot="1">
      <c r="A322" s="10423"/>
      <c r="B322" s="9246"/>
      <c r="C322" s="10592"/>
      <c r="D322" s="10500"/>
      <c r="E322" s="10500"/>
      <c r="F322" s="10500"/>
      <c r="G322" s="10502"/>
      <c r="H322" s="10500"/>
      <c r="I322" s="10500"/>
      <c r="J322" s="10500"/>
      <c r="K322" s="10506"/>
      <c r="L322" s="10500"/>
      <c r="M322" s="10556"/>
      <c r="N322" s="10556"/>
      <c r="O322" s="10556"/>
      <c r="P322" s="10500"/>
      <c r="Q322" s="10500"/>
      <c r="R322" s="10508"/>
      <c r="S322" s="3541" t="s">
        <v>15</v>
      </c>
      <c r="T322" s="5682">
        <v>530402</v>
      </c>
      <c r="U322" s="5681"/>
      <c r="V322" s="3495" t="s">
        <v>4137</v>
      </c>
      <c r="W322" s="5499"/>
      <c r="X322" s="3496"/>
      <c r="Y322" s="5552"/>
      <c r="Z322" s="5552"/>
      <c r="AA322" s="5552">
        <v>400</v>
      </c>
      <c r="AB322" s="5553"/>
      <c r="AC322" s="5817"/>
      <c r="AD322" s="3665"/>
      <c r="AE322" s="3504"/>
      <c r="AF322" s="3505" t="s">
        <v>153</v>
      </c>
      <c r="AG322" s="3505"/>
      <c r="AH322" s="10563"/>
      <c r="AI322" s="466"/>
      <c r="AJ322" s="100"/>
      <c r="AK322" s="100"/>
      <c r="AL322" s="100"/>
    </row>
    <row r="323" spans="1:38" ht="18" customHeight="1" thickTop="1" thickBot="1">
      <c r="A323" s="10423"/>
      <c r="B323" s="9246"/>
      <c r="C323" s="10592"/>
      <c r="D323" s="10500"/>
      <c r="E323" s="10500"/>
      <c r="F323" s="10500"/>
      <c r="G323" s="10502"/>
      <c r="H323" s="10500"/>
      <c r="I323" s="10500"/>
      <c r="J323" s="10500"/>
      <c r="K323" s="10506"/>
      <c r="L323" s="10500"/>
      <c r="M323" s="10556"/>
      <c r="N323" s="10556"/>
      <c r="O323" s="10556"/>
      <c r="P323" s="10500"/>
      <c r="Q323" s="10500"/>
      <c r="R323" s="10508"/>
      <c r="S323" s="3541" t="s">
        <v>15</v>
      </c>
      <c r="T323" s="5682">
        <v>530403</v>
      </c>
      <c r="U323" s="5681"/>
      <c r="V323" s="3495" t="s">
        <v>3823</v>
      </c>
      <c r="W323" s="5499"/>
      <c r="X323" s="3496"/>
      <c r="Y323" s="5552"/>
      <c r="Z323" s="5552"/>
      <c r="AA323" s="5552">
        <v>340</v>
      </c>
      <c r="AB323" s="5553"/>
      <c r="AC323" s="5817"/>
      <c r="AD323" s="3665"/>
      <c r="AE323" s="3504"/>
      <c r="AF323" s="3505" t="s">
        <v>153</v>
      </c>
      <c r="AG323" s="3505"/>
      <c r="AH323" s="10563"/>
      <c r="AI323" s="466"/>
      <c r="AJ323" s="100"/>
      <c r="AK323" s="100"/>
      <c r="AL323" s="100"/>
    </row>
    <row r="324" spans="1:38" ht="28.5" customHeight="1" thickTop="1" thickBot="1">
      <c r="A324" s="10423"/>
      <c r="B324" s="9246"/>
      <c r="C324" s="10592"/>
      <c r="D324" s="10500"/>
      <c r="E324" s="10500"/>
      <c r="F324" s="10500"/>
      <c r="G324" s="10502"/>
      <c r="H324" s="10500"/>
      <c r="I324" s="10500"/>
      <c r="J324" s="10500"/>
      <c r="K324" s="10506"/>
      <c r="L324" s="10500"/>
      <c r="M324" s="10556"/>
      <c r="N324" s="10556"/>
      <c r="O324" s="10556"/>
      <c r="P324" s="10500"/>
      <c r="Q324" s="10500"/>
      <c r="R324" s="10508"/>
      <c r="S324" s="3541" t="s">
        <v>15</v>
      </c>
      <c r="T324" s="5682">
        <v>530404</v>
      </c>
      <c r="U324" s="5681"/>
      <c r="V324" s="3495" t="s">
        <v>4138</v>
      </c>
      <c r="W324" s="5499"/>
      <c r="X324" s="3496"/>
      <c r="Y324" s="5552"/>
      <c r="Z324" s="5552"/>
      <c r="AA324" s="5552">
        <v>250</v>
      </c>
      <c r="AB324" s="5553"/>
      <c r="AC324" s="5817"/>
      <c r="AD324" s="3665"/>
      <c r="AE324" s="3504"/>
      <c r="AF324" s="3505" t="s">
        <v>153</v>
      </c>
      <c r="AG324" s="3505"/>
      <c r="AH324" s="10563"/>
      <c r="AI324" s="466"/>
      <c r="AJ324" s="100"/>
      <c r="AK324" s="100"/>
      <c r="AL324" s="100"/>
    </row>
    <row r="325" spans="1:38" ht="18" customHeight="1" thickTop="1" thickBot="1">
      <c r="A325" s="10423"/>
      <c r="B325" s="9246"/>
      <c r="C325" s="10592"/>
      <c r="D325" s="10500"/>
      <c r="E325" s="10500"/>
      <c r="F325" s="10500"/>
      <c r="G325" s="10502"/>
      <c r="H325" s="10500"/>
      <c r="I325" s="10500"/>
      <c r="J325" s="10500"/>
      <c r="K325" s="10506"/>
      <c r="L325" s="10500"/>
      <c r="M325" s="10556"/>
      <c r="N325" s="10556"/>
      <c r="O325" s="10556"/>
      <c r="P325" s="10500"/>
      <c r="Q325" s="10500"/>
      <c r="R325" s="10508"/>
      <c r="S325" s="3541" t="s">
        <v>15</v>
      </c>
      <c r="T325" s="5682">
        <v>530406</v>
      </c>
      <c r="U325" s="5681"/>
      <c r="V325" s="3495" t="s">
        <v>4139</v>
      </c>
      <c r="W325" s="5499"/>
      <c r="X325" s="3496"/>
      <c r="Y325" s="5552"/>
      <c r="Z325" s="5552"/>
      <c r="AA325" s="5552">
        <v>200</v>
      </c>
      <c r="AB325" s="5553"/>
      <c r="AC325" s="5817"/>
      <c r="AD325" s="3665"/>
      <c r="AE325" s="3504"/>
      <c r="AF325" s="3505" t="s">
        <v>153</v>
      </c>
      <c r="AG325" s="3505"/>
      <c r="AH325" s="10563"/>
      <c r="AI325" s="466"/>
      <c r="AJ325" s="100"/>
      <c r="AK325" s="100"/>
      <c r="AL325" s="100"/>
    </row>
    <row r="326" spans="1:38" ht="18" customHeight="1" thickTop="1" thickBot="1">
      <c r="A326" s="10423"/>
      <c r="B326" s="9246"/>
      <c r="C326" s="10592"/>
      <c r="D326" s="10500"/>
      <c r="E326" s="10500"/>
      <c r="F326" s="10500"/>
      <c r="G326" s="10502"/>
      <c r="H326" s="10500"/>
      <c r="I326" s="10500"/>
      <c r="J326" s="10500"/>
      <c r="K326" s="10506"/>
      <c r="L326" s="10500"/>
      <c r="M326" s="10556"/>
      <c r="N326" s="10556"/>
      <c r="O326" s="10556"/>
      <c r="P326" s="10500"/>
      <c r="Q326" s="10500"/>
      <c r="R326" s="10508"/>
      <c r="S326" s="3541" t="s">
        <v>15</v>
      </c>
      <c r="T326" s="5682">
        <v>530805</v>
      </c>
      <c r="U326" s="5681"/>
      <c r="V326" s="3495" t="s">
        <v>3817</v>
      </c>
      <c r="W326" s="5499"/>
      <c r="X326" s="3496"/>
      <c r="Y326" s="5552"/>
      <c r="Z326" s="5552"/>
      <c r="AA326" s="5552">
        <v>100</v>
      </c>
      <c r="AB326" s="5553"/>
      <c r="AC326" s="5817"/>
      <c r="AD326" s="3665"/>
      <c r="AE326" s="3504"/>
      <c r="AF326" s="3505" t="s">
        <v>153</v>
      </c>
      <c r="AG326" s="3505"/>
      <c r="AH326" s="10563"/>
      <c r="AI326" s="466"/>
      <c r="AJ326" s="100"/>
      <c r="AK326" s="100"/>
      <c r="AL326" s="100"/>
    </row>
    <row r="327" spans="1:38" ht="52.5" thickTop="1" thickBot="1">
      <c r="A327" s="10423"/>
      <c r="B327" s="9246"/>
      <c r="C327" s="10592"/>
      <c r="D327" s="10500"/>
      <c r="E327" s="10500"/>
      <c r="F327" s="10500"/>
      <c r="G327" s="10502"/>
      <c r="H327" s="10500"/>
      <c r="I327" s="10500"/>
      <c r="J327" s="10500"/>
      <c r="K327" s="10506"/>
      <c r="L327" s="10500"/>
      <c r="M327" s="10556"/>
      <c r="N327" s="10556"/>
      <c r="O327" s="10556"/>
      <c r="P327" s="10500"/>
      <c r="Q327" s="10500"/>
      <c r="R327" s="10508"/>
      <c r="S327" s="3541" t="s">
        <v>15</v>
      </c>
      <c r="T327" s="5682">
        <v>530811</v>
      </c>
      <c r="U327" s="5681"/>
      <c r="V327" s="3495" t="s">
        <v>4140</v>
      </c>
      <c r="W327" s="5499"/>
      <c r="X327" s="3496"/>
      <c r="Y327" s="5552"/>
      <c r="Z327" s="5552"/>
      <c r="AA327" s="5552">
        <v>300</v>
      </c>
      <c r="AB327" s="5553"/>
      <c r="AC327" s="5817"/>
      <c r="AD327" s="3665"/>
      <c r="AE327" s="3504"/>
      <c r="AF327" s="3505" t="s">
        <v>153</v>
      </c>
      <c r="AG327" s="3505"/>
      <c r="AH327" s="10563"/>
      <c r="AI327" s="466"/>
      <c r="AJ327" s="100"/>
      <c r="AK327" s="100"/>
      <c r="AL327" s="100"/>
    </row>
    <row r="328" spans="1:38" ht="18" customHeight="1" thickTop="1" thickBot="1">
      <c r="A328" s="10423"/>
      <c r="B328" s="9246"/>
      <c r="C328" s="10592"/>
      <c r="D328" s="10500"/>
      <c r="E328" s="10500"/>
      <c r="F328" s="10500"/>
      <c r="G328" s="10502"/>
      <c r="H328" s="10500"/>
      <c r="I328" s="10500"/>
      <c r="J328" s="10500"/>
      <c r="K328" s="10506"/>
      <c r="L328" s="10500"/>
      <c r="M328" s="10556"/>
      <c r="N328" s="10556"/>
      <c r="O328" s="10556"/>
      <c r="P328" s="10500"/>
      <c r="Q328" s="10500"/>
      <c r="R328" s="10508"/>
      <c r="S328" s="3541" t="s">
        <v>15</v>
      </c>
      <c r="T328" s="5682">
        <v>530813</v>
      </c>
      <c r="U328" s="5681"/>
      <c r="V328" s="3495" t="s">
        <v>2694</v>
      </c>
      <c r="W328" s="5499"/>
      <c r="X328" s="3496"/>
      <c r="Y328" s="5552"/>
      <c r="Z328" s="5552"/>
      <c r="AA328" s="5552">
        <v>400</v>
      </c>
      <c r="AB328" s="5553"/>
      <c r="AC328" s="5817"/>
      <c r="AD328" s="3665"/>
      <c r="AE328" s="3504"/>
      <c r="AF328" s="3505" t="s">
        <v>153</v>
      </c>
      <c r="AG328" s="3505"/>
      <c r="AH328" s="10563"/>
      <c r="AI328" s="466"/>
      <c r="AJ328" s="100"/>
      <c r="AK328" s="100"/>
      <c r="AL328" s="100"/>
    </row>
    <row r="329" spans="1:38" ht="18" customHeight="1" thickTop="1" thickBot="1">
      <c r="A329" s="10423"/>
      <c r="B329" s="9246"/>
      <c r="C329" s="10592"/>
      <c r="D329" s="10500"/>
      <c r="E329" s="10500"/>
      <c r="F329" s="10500"/>
      <c r="G329" s="10502"/>
      <c r="H329" s="10500"/>
      <c r="I329" s="10500"/>
      <c r="J329" s="10500"/>
      <c r="K329" s="10506"/>
      <c r="L329" s="10500"/>
      <c r="M329" s="10556"/>
      <c r="N329" s="10556"/>
      <c r="O329" s="10556"/>
      <c r="P329" s="10500"/>
      <c r="Q329" s="10500"/>
      <c r="R329" s="10508"/>
      <c r="S329" s="3541" t="s">
        <v>15</v>
      </c>
      <c r="T329" s="5682">
        <v>530819</v>
      </c>
      <c r="U329" s="5681"/>
      <c r="V329" s="3495" t="s">
        <v>4141</v>
      </c>
      <c r="W329" s="5499"/>
      <c r="X329" s="3496"/>
      <c r="Y329" s="5552"/>
      <c r="Z329" s="5552"/>
      <c r="AA329" s="5552">
        <v>100</v>
      </c>
      <c r="AB329" s="5553"/>
      <c r="AC329" s="5817"/>
      <c r="AD329" s="3665"/>
      <c r="AE329" s="3504"/>
      <c r="AF329" s="3505" t="s">
        <v>153</v>
      </c>
      <c r="AG329" s="3505"/>
      <c r="AH329" s="10563"/>
      <c r="AI329" s="466"/>
      <c r="AJ329" s="100"/>
      <c r="AK329" s="100"/>
      <c r="AL329" s="100"/>
    </row>
    <row r="330" spans="1:38" ht="28.5" customHeight="1" thickTop="1" thickBot="1">
      <c r="A330" s="10423"/>
      <c r="B330" s="9246"/>
      <c r="C330" s="10592"/>
      <c r="D330" s="10500"/>
      <c r="E330" s="10500"/>
      <c r="F330" s="10500"/>
      <c r="G330" s="10502"/>
      <c r="H330" s="10500"/>
      <c r="I330" s="10500"/>
      <c r="J330" s="10500"/>
      <c r="K330" s="10506"/>
      <c r="L330" s="10500"/>
      <c r="M330" s="10556"/>
      <c r="N330" s="10556"/>
      <c r="O330" s="10556"/>
      <c r="P330" s="10500"/>
      <c r="Q330" s="10500"/>
      <c r="R330" s="10508"/>
      <c r="S330" s="3541" t="s">
        <v>15</v>
      </c>
      <c r="T330" s="5682">
        <v>570102</v>
      </c>
      <c r="U330" s="5681"/>
      <c r="V330" s="3495" t="s">
        <v>4142</v>
      </c>
      <c r="W330" s="5499"/>
      <c r="X330" s="3496"/>
      <c r="Y330" s="5552"/>
      <c r="Z330" s="5552"/>
      <c r="AA330" s="5552">
        <v>200</v>
      </c>
      <c r="AB330" s="5553"/>
      <c r="AC330" s="5817"/>
      <c r="AD330" s="3665"/>
      <c r="AE330" s="3504"/>
      <c r="AF330" s="3505" t="s">
        <v>153</v>
      </c>
      <c r="AG330" s="3505"/>
      <c r="AH330" s="10563"/>
      <c r="AI330" s="466"/>
      <c r="AJ330" s="100"/>
      <c r="AK330" s="100"/>
      <c r="AL330" s="100"/>
    </row>
    <row r="331" spans="1:38" ht="28.5" customHeight="1" thickTop="1" thickBot="1">
      <c r="A331" s="10423"/>
      <c r="B331" s="9246"/>
      <c r="C331" s="10592"/>
      <c r="D331" s="10500"/>
      <c r="E331" s="10500"/>
      <c r="F331" s="10500"/>
      <c r="G331" s="10502"/>
      <c r="H331" s="10500"/>
      <c r="I331" s="10500"/>
      <c r="J331" s="10500"/>
      <c r="K331" s="10506"/>
      <c r="L331" s="10500"/>
      <c r="M331" s="10556"/>
      <c r="N331" s="10556"/>
      <c r="O331" s="10556"/>
      <c r="P331" s="10500"/>
      <c r="Q331" s="10500"/>
      <c r="R331" s="10508"/>
      <c r="S331" s="3541" t="s">
        <v>15</v>
      </c>
      <c r="T331" s="5682">
        <v>570206</v>
      </c>
      <c r="U331" s="5681"/>
      <c r="V331" s="3495" t="s">
        <v>4143</v>
      </c>
      <c r="W331" s="5499"/>
      <c r="X331" s="3496"/>
      <c r="Y331" s="5552"/>
      <c r="Z331" s="5552"/>
      <c r="AA331" s="5552">
        <v>170</v>
      </c>
      <c r="AB331" s="5553"/>
      <c r="AC331" s="5817"/>
      <c r="AD331" s="3665"/>
      <c r="AE331" s="3504"/>
      <c r="AF331" s="3505" t="s">
        <v>153</v>
      </c>
      <c r="AG331" s="3505"/>
      <c r="AH331" s="10563"/>
      <c r="AI331" s="466"/>
      <c r="AJ331" s="100"/>
      <c r="AK331" s="100"/>
      <c r="AL331" s="100"/>
    </row>
    <row r="332" spans="1:38" ht="18" customHeight="1" thickTop="1" thickBot="1">
      <c r="A332" s="10423"/>
      <c r="B332" s="9246"/>
      <c r="C332" s="10592"/>
      <c r="D332" s="10500"/>
      <c r="E332" s="10500"/>
      <c r="F332" s="10500"/>
      <c r="G332" s="10502"/>
      <c r="H332" s="10500"/>
      <c r="I332" s="10500"/>
      <c r="J332" s="10500"/>
      <c r="K332" s="10506"/>
      <c r="L332" s="10500"/>
      <c r="M332" s="10556"/>
      <c r="N332" s="10556"/>
      <c r="O332" s="10556"/>
      <c r="P332" s="10500"/>
      <c r="Q332" s="10500"/>
      <c r="R332" s="10508"/>
      <c r="S332" s="3541" t="s">
        <v>15</v>
      </c>
      <c r="T332" s="5682">
        <v>530106</v>
      </c>
      <c r="U332" s="5681"/>
      <c r="V332" s="3495" t="s">
        <v>606</v>
      </c>
      <c r="W332" s="5499"/>
      <c r="X332" s="3496"/>
      <c r="Y332" s="5552"/>
      <c r="Z332" s="5552"/>
      <c r="AA332" s="5552">
        <v>250</v>
      </c>
      <c r="AB332" s="5553"/>
      <c r="AC332" s="5779"/>
      <c r="AD332" s="3665"/>
      <c r="AE332" s="3504"/>
      <c r="AF332" s="3505" t="s">
        <v>153</v>
      </c>
      <c r="AG332" s="3505"/>
      <c r="AH332" s="10563"/>
      <c r="AI332" s="466"/>
      <c r="AJ332" s="100"/>
      <c r="AK332" s="100"/>
      <c r="AL332" s="100"/>
    </row>
    <row r="333" spans="1:38" ht="52.5" thickTop="1" thickBot="1">
      <c r="A333" s="10423"/>
      <c r="B333" s="9246"/>
      <c r="C333" s="10592"/>
      <c r="D333" s="10500"/>
      <c r="E333" s="10500"/>
      <c r="F333" s="10500"/>
      <c r="G333" s="10502"/>
      <c r="H333" s="10500"/>
      <c r="I333" s="10500"/>
      <c r="J333" s="10500"/>
      <c r="K333" s="10506"/>
      <c r="L333" s="10500"/>
      <c r="M333" s="10556"/>
      <c r="N333" s="10556"/>
      <c r="O333" s="10556"/>
      <c r="P333" s="10500"/>
      <c r="Q333" s="10500"/>
      <c r="R333" s="10508"/>
      <c r="S333" s="3541" t="s">
        <v>15</v>
      </c>
      <c r="T333" s="5682">
        <v>530204</v>
      </c>
      <c r="U333" s="5681"/>
      <c r="V333" s="3495" t="s">
        <v>16</v>
      </c>
      <c r="W333" s="5499"/>
      <c r="X333" s="3496"/>
      <c r="Y333" s="5552"/>
      <c r="Z333" s="5552"/>
      <c r="AA333" s="5552">
        <v>100</v>
      </c>
      <c r="AB333" s="5553"/>
      <c r="AC333" s="5817"/>
      <c r="AD333" s="3665"/>
      <c r="AE333" s="3504"/>
      <c r="AF333" s="3505" t="s">
        <v>153</v>
      </c>
      <c r="AG333" s="3505"/>
      <c r="AH333" s="10563"/>
      <c r="AI333" s="466"/>
      <c r="AJ333" s="100"/>
      <c r="AK333" s="100"/>
      <c r="AL333" s="100"/>
    </row>
    <row r="334" spans="1:38" ht="18" customHeight="1" thickTop="1" thickBot="1">
      <c r="A334" s="10423"/>
      <c r="B334" s="9246"/>
      <c r="C334" s="10592"/>
      <c r="D334" s="10500"/>
      <c r="E334" s="10500"/>
      <c r="F334" s="10500"/>
      <c r="G334" s="10502"/>
      <c r="H334" s="10500"/>
      <c r="I334" s="10500"/>
      <c r="J334" s="10500"/>
      <c r="K334" s="10506"/>
      <c r="L334" s="10500"/>
      <c r="M334" s="10556"/>
      <c r="N334" s="10556"/>
      <c r="O334" s="10556"/>
      <c r="P334" s="10500"/>
      <c r="Q334" s="10500"/>
      <c r="R334" s="10508"/>
      <c r="S334" s="3541" t="s">
        <v>15</v>
      </c>
      <c r="T334" s="5682">
        <v>530301</v>
      </c>
      <c r="U334" s="5681"/>
      <c r="V334" s="3495" t="s">
        <v>27</v>
      </c>
      <c r="W334" s="5499"/>
      <c r="X334" s="3496"/>
      <c r="Y334" s="5552"/>
      <c r="Z334" s="5552"/>
      <c r="AA334" s="5552">
        <v>300</v>
      </c>
      <c r="AB334" s="5553"/>
      <c r="AC334" s="5817"/>
      <c r="AD334" s="3665"/>
      <c r="AE334" s="3504"/>
      <c r="AF334" s="3505" t="s">
        <v>153</v>
      </c>
      <c r="AG334" s="3505"/>
      <c r="AH334" s="10563"/>
      <c r="AI334" s="466"/>
      <c r="AJ334" s="100"/>
      <c r="AK334" s="100"/>
      <c r="AL334" s="100"/>
    </row>
    <row r="335" spans="1:38" ht="28.5" customHeight="1" thickTop="1" thickBot="1">
      <c r="A335" s="10423"/>
      <c r="B335" s="9246"/>
      <c r="C335" s="10602"/>
      <c r="D335" s="10566"/>
      <c r="E335" s="10566"/>
      <c r="F335" s="10566"/>
      <c r="G335" s="10567"/>
      <c r="H335" s="10566"/>
      <c r="I335" s="10566"/>
      <c r="J335" s="10566"/>
      <c r="K335" s="10568"/>
      <c r="L335" s="10566"/>
      <c r="M335" s="10581"/>
      <c r="N335" s="10581"/>
      <c r="O335" s="10581"/>
      <c r="P335" s="10566"/>
      <c r="Q335" s="10566"/>
      <c r="R335" s="10588"/>
      <c r="S335" s="3556" t="s">
        <v>15</v>
      </c>
      <c r="T335" s="7369">
        <v>530704</v>
      </c>
      <c r="U335" s="5688"/>
      <c r="V335" s="2932" t="s">
        <v>4144</v>
      </c>
      <c r="W335" s="5506"/>
      <c r="X335" s="2933"/>
      <c r="Y335" s="5792"/>
      <c r="Z335" s="5792"/>
      <c r="AA335" s="5792">
        <v>250</v>
      </c>
      <c r="AB335" s="5793"/>
      <c r="AC335" s="5821"/>
      <c r="AD335" s="2936"/>
      <c r="AE335" s="2933"/>
      <c r="AF335" s="3713" t="s">
        <v>153</v>
      </c>
      <c r="AG335" s="3713"/>
      <c r="AH335" s="10565"/>
      <c r="AI335" s="466"/>
      <c r="AJ335" s="100"/>
      <c r="AK335" s="100"/>
      <c r="AL335" s="100"/>
    </row>
    <row r="336" spans="1:38" ht="28.5" customHeight="1" thickTop="1" thickBot="1">
      <c r="A336" s="10423"/>
      <c r="B336" s="9246"/>
      <c r="C336" s="10512" t="s">
        <v>127</v>
      </c>
      <c r="D336" s="10444" t="s">
        <v>128</v>
      </c>
      <c r="E336" s="10444" t="s">
        <v>129</v>
      </c>
      <c r="F336" s="10444" t="s">
        <v>394</v>
      </c>
      <c r="G336" s="10451" t="s">
        <v>131</v>
      </c>
      <c r="H336" s="10444" t="s">
        <v>132</v>
      </c>
      <c r="I336" s="10444" t="s">
        <v>159</v>
      </c>
      <c r="J336" s="10444" t="s">
        <v>4145</v>
      </c>
      <c r="K336" s="10448" t="s">
        <v>4146</v>
      </c>
      <c r="L336" s="10444" t="s">
        <v>4147</v>
      </c>
      <c r="M336" s="10561">
        <v>1</v>
      </c>
      <c r="N336" s="10561">
        <v>1</v>
      </c>
      <c r="O336" s="10561">
        <v>1</v>
      </c>
      <c r="P336" s="10611" t="s">
        <v>4148</v>
      </c>
      <c r="Q336" s="10611" t="s">
        <v>4149</v>
      </c>
      <c r="R336" s="10620" t="s">
        <v>4150</v>
      </c>
      <c r="S336" s="3793"/>
      <c r="T336" s="5694"/>
      <c r="U336" s="5694"/>
      <c r="V336" s="3825"/>
      <c r="W336" s="5516"/>
      <c r="X336" s="3721"/>
      <c r="Y336" s="5800"/>
      <c r="Z336" s="5800"/>
      <c r="AA336" s="5800"/>
      <c r="AB336" s="5801"/>
      <c r="AC336" s="5840"/>
      <c r="AD336" s="3720"/>
      <c r="AE336" s="3721"/>
      <c r="AF336" s="3721"/>
      <c r="AG336" s="3721"/>
      <c r="AH336" s="10478"/>
      <c r="AI336" s="466"/>
      <c r="AJ336" s="100"/>
      <c r="AK336" s="100"/>
      <c r="AL336" s="100"/>
    </row>
    <row r="337" spans="1:38" ht="28.5" customHeight="1" thickTop="1" thickBot="1">
      <c r="A337" s="10423"/>
      <c r="B337" s="9246"/>
      <c r="C337" s="10592"/>
      <c r="D337" s="10500"/>
      <c r="E337" s="10500"/>
      <c r="F337" s="10500"/>
      <c r="G337" s="10502"/>
      <c r="H337" s="10500"/>
      <c r="I337" s="10500"/>
      <c r="J337" s="10500"/>
      <c r="K337" s="10506"/>
      <c r="L337" s="10500"/>
      <c r="M337" s="10556"/>
      <c r="N337" s="10556"/>
      <c r="O337" s="10556"/>
      <c r="P337" s="10612"/>
      <c r="Q337" s="10612"/>
      <c r="R337" s="10608"/>
      <c r="S337" s="3792"/>
      <c r="T337" s="5686"/>
      <c r="U337" s="5686"/>
      <c r="V337" s="3813"/>
      <c r="W337" s="5500"/>
      <c r="X337" s="3504"/>
      <c r="Y337" s="5790"/>
      <c r="Z337" s="5790"/>
      <c r="AA337" s="5790"/>
      <c r="AB337" s="5791"/>
      <c r="AC337" s="5820"/>
      <c r="AD337" s="2935"/>
      <c r="AE337" s="3504"/>
      <c r="AF337" s="3504"/>
      <c r="AG337" s="3504"/>
      <c r="AH337" s="10563"/>
      <c r="AI337" s="466"/>
      <c r="AJ337" s="100"/>
      <c r="AK337" s="100"/>
      <c r="AL337" s="100"/>
    </row>
    <row r="338" spans="1:38" ht="28.5" customHeight="1" thickTop="1" thickBot="1">
      <c r="A338" s="10423"/>
      <c r="B338" s="9246"/>
      <c r="C338" s="10592"/>
      <c r="D338" s="10500"/>
      <c r="E338" s="10500"/>
      <c r="F338" s="10500"/>
      <c r="G338" s="10502"/>
      <c r="H338" s="10500"/>
      <c r="I338" s="10500"/>
      <c r="J338" s="10500"/>
      <c r="K338" s="10506"/>
      <c r="L338" s="10500"/>
      <c r="M338" s="10556"/>
      <c r="N338" s="10556"/>
      <c r="O338" s="10556"/>
      <c r="P338" s="10612"/>
      <c r="Q338" s="10612"/>
      <c r="R338" s="10608"/>
      <c r="S338" s="3792"/>
      <c r="T338" s="5686"/>
      <c r="U338" s="5686"/>
      <c r="V338" s="3813"/>
      <c r="W338" s="5500"/>
      <c r="X338" s="3504"/>
      <c r="Y338" s="5790"/>
      <c r="Z338" s="5790"/>
      <c r="AA338" s="5790"/>
      <c r="AB338" s="5791"/>
      <c r="AC338" s="5820"/>
      <c r="AD338" s="2935"/>
      <c r="AE338" s="3504"/>
      <c r="AF338" s="3504"/>
      <c r="AG338" s="3505"/>
      <c r="AH338" s="10563"/>
      <c r="AI338" s="466"/>
      <c r="AJ338" s="100"/>
      <c r="AK338" s="100"/>
      <c r="AL338" s="100"/>
    </row>
    <row r="339" spans="1:38" ht="28.5" customHeight="1" thickTop="1" thickBot="1">
      <c r="A339" s="10423"/>
      <c r="B339" s="9246"/>
      <c r="C339" s="10592"/>
      <c r="D339" s="10500"/>
      <c r="E339" s="10500"/>
      <c r="F339" s="10500"/>
      <c r="G339" s="10502"/>
      <c r="H339" s="10500"/>
      <c r="I339" s="10500"/>
      <c r="J339" s="10500"/>
      <c r="K339" s="10506"/>
      <c r="L339" s="10500"/>
      <c r="M339" s="10556"/>
      <c r="N339" s="10556"/>
      <c r="O339" s="10556"/>
      <c r="P339" s="10612"/>
      <c r="Q339" s="10612"/>
      <c r="R339" s="10608"/>
      <c r="S339" s="3792"/>
      <c r="T339" s="5686"/>
      <c r="U339" s="5686"/>
      <c r="V339" s="3813"/>
      <c r="W339" s="5500"/>
      <c r="X339" s="3504"/>
      <c r="Y339" s="5790"/>
      <c r="Z339" s="5790"/>
      <c r="AA339" s="5790"/>
      <c r="AB339" s="5791"/>
      <c r="AC339" s="5820"/>
      <c r="AD339" s="2935"/>
      <c r="AE339" s="3504"/>
      <c r="AF339" s="3504"/>
      <c r="AG339" s="3505"/>
      <c r="AH339" s="10563"/>
      <c r="AI339" s="466"/>
      <c r="AJ339" s="100"/>
      <c r="AK339" s="100"/>
      <c r="AL339" s="100"/>
    </row>
    <row r="340" spans="1:38" ht="28.5" customHeight="1" thickTop="1" thickBot="1">
      <c r="A340" s="10423"/>
      <c r="B340" s="9246"/>
      <c r="C340" s="10593"/>
      <c r="D340" s="10501"/>
      <c r="E340" s="10501"/>
      <c r="F340" s="10501"/>
      <c r="G340" s="10503"/>
      <c r="H340" s="10501"/>
      <c r="I340" s="10501"/>
      <c r="J340" s="10501"/>
      <c r="K340" s="10507"/>
      <c r="L340" s="10501"/>
      <c r="M340" s="10557"/>
      <c r="N340" s="10557"/>
      <c r="O340" s="10557"/>
      <c r="P340" s="10613"/>
      <c r="Q340" s="10613"/>
      <c r="R340" s="10610"/>
      <c r="S340" s="3780"/>
      <c r="T340" s="7368"/>
      <c r="U340" s="7368"/>
      <c r="V340" s="3808"/>
      <c r="W340" s="5501"/>
      <c r="X340" s="3727"/>
      <c r="Y340" s="5797"/>
      <c r="Z340" s="5797"/>
      <c r="AA340" s="5797"/>
      <c r="AB340" s="5811"/>
      <c r="AC340" s="5841"/>
      <c r="AD340" s="3726"/>
      <c r="AE340" s="3727"/>
      <c r="AF340" s="3727"/>
      <c r="AG340" s="3507"/>
      <c r="AH340" s="10564"/>
      <c r="AI340" s="466"/>
      <c r="AJ340" s="100"/>
      <c r="AK340" s="100"/>
      <c r="AL340" s="100"/>
    </row>
    <row r="341" spans="1:38" ht="25.5" customHeight="1" thickTop="1" thickBot="1">
      <c r="A341" s="10423"/>
      <c r="B341" s="9246"/>
      <c r="C341" s="10516" t="s">
        <v>127</v>
      </c>
      <c r="D341" s="10433" t="s">
        <v>128</v>
      </c>
      <c r="E341" s="10433" t="s">
        <v>140</v>
      </c>
      <c r="F341" s="10433" t="s">
        <v>597</v>
      </c>
      <c r="G341" s="10442" t="s">
        <v>131</v>
      </c>
      <c r="H341" s="10433" t="s">
        <v>132</v>
      </c>
      <c r="I341" s="10433" t="s">
        <v>159</v>
      </c>
      <c r="J341" s="10433" t="s">
        <v>4151</v>
      </c>
      <c r="K341" s="10433" t="s">
        <v>4152</v>
      </c>
      <c r="L341" s="10433" t="s">
        <v>4153</v>
      </c>
      <c r="M341" s="10603">
        <v>1</v>
      </c>
      <c r="N341" s="10603">
        <v>1</v>
      </c>
      <c r="O341" s="10603">
        <v>1</v>
      </c>
      <c r="P341" s="10443" t="s">
        <v>4154</v>
      </c>
      <c r="Q341" s="10433" t="s">
        <v>4155</v>
      </c>
      <c r="R341" s="10439" t="s">
        <v>4156</v>
      </c>
      <c r="S341" s="3781"/>
      <c r="T341" s="5692"/>
      <c r="U341" s="5692"/>
      <c r="V341" s="2929"/>
      <c r="W341" s="5505"/>
      <c r="X341" s="2930"/>
      <c r="Y341" s="5798"/>
      <c r="Z341" s="5798"/>
      <c r="AA341" s="5798"/>
      <c r="AB341" s="5799"/>
      <c r="AC341" s="5839"/>
      <c r="AD341" s="2934"/>
      <c r="AE341" s="2930"/>
      <c r="AF341" s="3710"/>
      <c r="AG341" s="3710"/>
      <c r="AH341" s="10481"/>
      <c r="AI341" s="466"/>
      <c r="AJ341" s="100"/>
      <c r="AK341" s="100"/>
      <c r="AL341" s="100"/>
    </row>
    <row r="342" spans="1:38" ht="25.5" customHeight="1" thickTop="1" thickBot="1">
      <c r="A342" s="10423"/>
      <c r="B342" s="9246"/>
      <c r="C342" s="10592"/>
      <c r="D342" s="10500"/>
      <c r="E342" s="10500"/>
      <c r="F342" s="10500"/>
      <c r="G342" s="10502"/>
      <c r="H342" s="10500"/>
      <c r="I342" s="10500"/>
      <c r="J342" s="10500"/>
      <c r="K342" s="10500"/>
      <c r="L342" s="10500"/>
      <c r="M342" s="10604"/>
      <c r="N342" s="10604"/>
      <c r="O342" s="10604"/>
      <c r="P342" s="10506"/>
      <c r="Q342" s="10500"/>
      <c r="R342" s="10508"/>
      <c r="S342" s="3792"/>
      <c r="T342" s="5686"/>
      <c r="U342" s="5686"/>
      <c r="V342" s="3813"/>
      <c r="W342" s="5500"/>
      <c r="X342" s="3504"/>
      <c r="Y342" s="5790"/>
      <c r="Z342" s="5790"/>
      <c r="AA342" s="5790"/>
      <c r="AB342" s="5791"/>
      <c r="AC342" s="5820"/>
      <c r="AD342" s="2935"/>
      <c r="AE342" s="3504"/>
      <c r="AF342" s="3505"/>
      <c r="AG342" s="3505"/>
      <c r="AH342" s="10563"/>
      <c r="AI342" s="466"/>
      <c r="AJ342" s="100"/>
      <c r="AK342" s="100"/>
      <c r="AL342" s="100"/>
    </row>
    <row r="343" spans="1:38" ht="25.5" customHeight="1" thickTop="1" thickBot="1">
      <c r="A343" s="10423"/>
      <c r="B343" s="9246"/>
      <c r="C343" s="10592"/>
      <c r="D343" s="10500"/>
      <c r="E343" s="10500"/>
      <c r="F343" s="10500"/>
      <c r="G343" s="10502"/>
      <c r="H343" s="10500"/>
      <c r="I343" s="10500"/>
      <c r="J343" s="10500"/>
      <c r="K343" s="10500"/>
      <c r="L343" s="10500"/>
      <c r="M343" s="10604"/>
      <c r="N343" s="10604"/>
      <c r="O343" s="10604"/>
      <c r="P343" s="10506"/>
      <c r="Q343" s="10500"/>
      <c r="R343" s="10508"/>
      <c r="S343" s="3792"/>
      <c r="T343" s="5686"/>
      <c r="U343" s="5686"/>
      <c r="V343" s="3813"/>
      <c r="W343" s="5500"/>
      <c r="X343" s="3504"/>
      <c r="Y343" s="5790"/>
      <c r="Z343" s="5790"/>
      <c r="AA343" s="5790"/>
      <c r="AB343" s="5791"/>
      <c r="AC343" s="5820"/>
      <c r="AD343" s="2935"/>
      <c r="AE343" s="3504"/>
      <c r="AF343" s="3505"/>
      <c r="AG343" s="3505"/>
      <c r="AH343" s="10563"/>
      <c r="AI343" s="466"/>
      <c r="AJ343" s="100"/>
      <c r="AK343" s="100"/>
      <c r="AL343" s="100"/>
    </row>
    <row r="344" spans="1:38" ht="25.5" customHeight="1" thickTop="1" thickBot="1">
      <c r="A344" s="10423"/>
      <c r="B344" s="9246"/>
      <c r="C344" s="10592"/>
      <c r="D344" s="10500"/>
      <c r="E344" s="10500"/>
      <c r="F344" s="10500"/>
      <c r="G344" s="10502"/>
      <c r="H344" s="10500"/>
      <c r="I344" s="10500"/>
      <c r="J344" s="10500"/>
      <c r="K344" s="10500"/>
      <c r="L344" s="10500"/>
      <c r="M344" s="10604"/>
      <c r="N344" s="10604"/>
      <c r="O344" s="10604"/>
      <c r="P344" s="10506"/>
      <c r="Q344" s="10500"/>
      <c r="R344" s="10508"/>
      <c r="S344" s="3792"/>
      <c r="T344" s="5686"/>
      <c r="U344" s="5686"/>
      <c r="V344" s="3813"/>
      <c r="W344" s="5500"/>
      <c r="X344" s="3504"/>
      <c r="Y344" s="5790"/>
      <c r="Z344" s="5790"/>
      <c r="AA344" s="5790"/>
      <c r="AB344" s="5791"/>
      <c r="AC344" s="5820"/>
      <c r="AD344" s="2935"/>
      <c r="AE344" s="3504"/>
      <c r="AF344" s="3505"/>
      <c r="AG344" s="3505"/>
      <c r="AH344" s="10563"/>
      <c r="AI344" s="466"/>
      <c r="AJ344" s="100"/>
      <c r="AK344" s="100"/>
      <c r="AL344" s="100"/>
    </row>
    <row r="345" spans="1:38" ht="25.5" customHeight="1" thickTop="1" thickBot="1">
      <c r="A345" s="10423"/>
      <c r="B345" s="9246"/>
      <c r="C345" s="10602"/>
      <c r="D345" s="10566"/>
      <c r="E345" s="10566"/>
      <c r="F345" s="10566"/>
      <c r="G345" s="10567"/>
      <c r="H345" s="10566"/>
      <c r="I345" s="10566"/>
      <c r="J345" s="10566"/>
      <c r="K345" s="10566"/>
      <c r="L345" s="10566"/>
      <c r="M345" s="10605"/>
      <c r="N345" s="10605"/>
      <c r="O345" s="10605"/>
      <c r="P345" s="10568"/>
      <c r="Q345" s="10566"/>
      <c r="R345" s="10588"/>
      <c r="S345" s="3794"/>
      <c r="T345" s="5688"/>
      <c r="U345" s="5688"/>
      <c r="V345" s="2932"/>
      <c r="W345" s="5506"/>
      <c r="X345" s="2933"/>
      <c r="Y345" s="5792"/>
      <c r="Z345" s="5792"/>
      <c r="AA345" s="5792"/>
      <c r="AB345" s="5793"/>
      <c r="AC345" s="5821"/>
      <c r="AD345" s="2936"/>
      <c r="AE345" s="2933"/>
      <c r="AF345" s="3713"/>
      <c r="AG345" s="3713"/>
      <c r="AH345" s="10565"/>
      <c r="AI345" s="466"/>
      <c r="AJ345" s="100"/>
      <c r="AK345" s="100"/>
      <c r="AL345" s="100"/>
    </row>
    <row r="346" spans="1:38" ht="22.5" customHeight="1" thickTop="1" thickBot="1">
      <c r="A346" s="10423"/>
      <c r="B346" s="9246"/>
      <c r="C346" s="10512" t="s">
        <v>127</v>
      </c>
      <c r="D346" s="10444" t="s">
        <v>128</v>
      </c>
      <c r="E346" s="10444" t="s">
        <v>140</v>
      </c>
      <c r="F346" s="10444" t="s">
        <v>597</v>
      </c>
      <c r="G346" s="10451" t="s">
        <v>131</v>
      </c>
      <c r="H346" s="10444" t="s">
        <v>132</v>
      </c>
      <c r="I346" s="10444" t="s">
        <v>159</v>
      </c>
      <c r="J346" s="10444" t="s">
        <v>4157</v>
      </c>
      <c r="K346" s="10444" t="s">
        <v>4158</v>
      </c>
      <c r="L346" s="10444" t="s">
        <v>4159</v>
      </c>
      <c r="M346" s="10561">
        <v>1</v>
      </c>
      <c r="N346" s="10561">
        <v>1</v>
      </c>
      <c r="O346" s="10561">
        <v>1</v>
      </c>
      <c r="P346" s="10444" t="s">
        <v>4160</v>
      </c>
      <c r="Q346" s="10444" t="s">
        <v>4161</v>
      </c>
      <c r="R346" s="10449" t="s">
        <v>4162</v>
      </c>
      <c r="S346" s="4296" t="s">
        <v>15</v>
      </c>
      <c r="T346" s="7367">
        <v>531406</v>
      </c>
      <c r="U346" s="5480"/>
      <c r="V346" s="4278" t="s">
        <v>4163</v>
      </c>
      <c r="W346" s="5512"/>
      <c r="X346" s="4303"/>
      <c r="Y346" s="7401"/>
      <c r="Z346" s="7401"/>
      <c r="AA346" s="7401"/>
      <c r="AB346" s="5568">
        <f>+AA347</f>
        <v>1828.02</v>
      </c>
      <c r="AC346" s="7422" t="s">
        <v>18</v>
      </c>
      <c r="AD346" s="4304"/>
      <c r="AE346" s="4297"/>
      <c r="AF346" s="4297"/>
      <c r="AG346" s="4305"/>
      <c r="AH346" s="10562"/>
      <c r="AI346" s="466"/>
      <c r="AJ346" s="100"/>
      <c r="AK346" s="100"/>
      <c r="AL346" s="100"/>
    </row>
    <row r="347" spans="1:38" ht="26.25" customHeight="1" thickTop="1" thickBot="1">
      <c r="A347" s="10423"/>
      <c r="B347" s="9246"/>
      <c r="C347" s="10592"/>
      <c r="D347" s="10500"/>
      <c r="E347" s="10500"/>
      <c r="F347" s="10500"/>
      <c r="G347" s="10502"/>
      <c r="H347" s="10500"/>
      <c r="I347" s="10500"/>
      <c r="J347" s="10500"/>
      <c r="K347" s="10500"/>
      <c r="L347" s="10500"/>
      <c r="M347" s="10556"/>
      <c r="N347" s="10556"/>
      <c r="O347" s="10556"/>
      <c r="P347" s="10500"/>
      <c r="Q347" s="10500"/>
      <c r="R347" s="10508"/>
      <c r="S347" s="4298"/>
      <c r="T347" s="7360"/>
      <c r="U347" s="5473"/>
      <c r="V347" s="3804" t="s">
        <v>4164</v>
      </c>
      <c r="W347" s="5507"/>
      <c r="X347" s="4306"/>
      <c r="Y347" s="5795"/>
      <c r="Z347" s="5795"/>
      <c r="AA347" s="5542">
        <v>1828.02</v>
      </c>
      <c r="AB347" s="5796"/>
      <c r="AC347" s="7423"/>
      <c r="AD347" s="4299"/>
      <c r="AE347" s="4282"/>
      <c r="AF347" s="4282"/>
      <c r="AG347" s="3670" t="s">
        <v>153</v>
      </c>
      <c r="AH347" s="10559"/>
      <c r="AI347" s="466"/>
      <c r="AJ347" s="100"/>
      <c r="AK347" s="100"/>
      <c r="AL347" s="100"/>
    </row>
    <row r="348" spans="1:38" ht="22.5" customHeight="1" thickTop="1" thickBot="1">
      <c r="A348" s="10423"/>
      <c r="B348" s="9246"/>
      <c r="C348" s="10592"/>
      <c r="D348" s="10500"/>
      <c r="E348" s="10500"/>
      <c r="F348" s="10500"/>
      <c r="G348" s="10502"/>
      <c r="H348" s="10500"/>
      <c r="I348" s="10500"/>
      <c r="J348" s="10500"/>
      <c r="K348" s="10500"/>
      <c r="L348" s="10500"/>
      <c r="M348" s="10556"/>
      <c r="N348" s="10556"/>
      <c r="O348" s="10556"/>
      <c r="P348" s="10500"/>
      <c r="Q348" s="10500"/>
      <c r="R348" s="10508"/>
      <c r="S348" s="3792"/>
      <c r="T348" s="5686"/>
      <c r="U348" s="5470"/>
      <c r="V348" s="3813"/>
      <c r="W348" s="5500"/>
      <c r="X348" s="3686"/>
      <c r="Y348" s="5790"/>
      <c r="Z348" s="5790"/>
      <c r="AA348" s="5790"/>
      <c r="AB348" s="5791"/>
      <c r="AC348" s="5820"/>
      <c r="AD348" s="2935"/>
      <c r="AE348" s="3505"/>
      <c r="AF348" s="3505"/>
      <c r="AG348" s="3685"/>
      <c r="AH348" s="10559"/>
      <c r="AI348" s="466"/>
      <c r="AJ348" s="100"/>
      <c r="AK348" s="100"/>
      <c r="AL348" s="100"/>
    </row>
    <row r="349" spans="1:38" ht="22.5" customHeight="1" thickTop="1" thickBot="1">
      <c r="A349" s="10423"/>
      <c r="B349" s="9246"/>
      <c r="C349" s="10592"/>
      <c r="D349" s="10500"/>
      <c r="E349" s="10500"/>
      <c r="F349" s="10500"/>
      <c r="G349" s="10502"/>
      <c r="H349" s="10500"/>
      <c r="I349" s="10500"/>
      <c r="J349" s="10500"/>
      <c r="K349" s="10500"/>
      <c r="L349" s="10500"/>
      <c r="M349" s="10556"/>
      <c r="N349" s="10556"/>
      <c r="O349" s="10556"/>
      <c r="P349" s="10500"/>
      <c r="Q349" s="10500"/>
      <c r="R349" s="10508"/>
      <c r="S349" s="3792"/>
      <c r="T349" s="5686"/>
      <c r="U349" s="5470"/>
      <c r="V349" s="3813"/>
      <c r="W349" s="5500"/>
      <c r="X349" s="3686"/>
      <c r="Y349" s="5790"/>
      <c r="Z349" s="5790"/>
      <c r="AA349" s="5790"/>
      <c r="AB349" s="5791"/>
      <c r="AC349" s="5820"/>
      <c r="AD349" s="2935"/>
      <c r="AE349" s="3505"/>
      <c r="AF349" s="3505"/>
      <c r="AG349" s="3685"/>
      <c r="AH349" s="10559"/>
      <c r="AI349" s="466"/>
      <c r="AJ349" s="100"/>
      <c r="AK349" s="100"/>
      <c r="AL349" s="100"/>
    </row>
    <row r="350" spans="1:38" ht="22.5" customHeight="1" thickTop="1" thickBot="1">
      <c r="A350" s="10423"/>
      <c r="B350" s="9246"/>
      <c r="C350" s="10592"/>
      <c r="D350" s="10500"/>
      <c r="E350" s="10500"/>
      <c r="F350" s="10500"/>
      <c r="G350" s="10502"/>
      <c r="H350" s="10500"/>
      <c r="I350" s="10500"/>
      <c r="J350" s="10500"/>
      <c r="K350" s="10500"/>
      <c r="L350" s="10500"/>
      <c r="M350" s="10556"/>
      <c r="N350" s="10556"/>
      <c r="O350" s="10556"/>
      <c r="P350" s="10500"/>
      <c r="Q350" s="10500"/>
      <c r="R350" s="10508"/>
      <c r="S350" s="3792"/>
      <c r="T350" s="5686"/>
      <c r="U350" s="5470"/>
      <c r="V350" s="3813"/>
      <c r="W350" s="5500"/>
      <c r="X350" s="3686"/>
      <c r="Y350" s="5790"/>
      <c r="Z350" s="5790"/>
      <c r="AA350" s="5791"/>
      <c r="AB350" s="7417"/>
      <c r="AC350" s="5601"/>
      <c r="AD350" s="3699"/>
      <c r="AE350" s="3505"/>
      <c r="AF350" s="3505"/>
      <c r="AG350" s="3685"/>
      <c r="AH350" s="10559"/>
      <c r="AI350" s="466"/>
      <c r="AJ350" s="100"/>
      <c r="AK350" s="100"/>
      <c r="AL350" s="100"/>
    </row>
    <row r="351" spans="1:38" ht="22.5" customHeight="1" thickTop="1" thickBot="1">
      <c r="A351" s="10423"/>
      <c r="B351" s="9246"/>
      <c r="C351" s="10593"/>
      <c r="D351" s="10501"/>
      <c r="E351" s="10501"/>
      <c r="F351" s="10501"/>
      <c r="G351" s="10503"/>
      <c r="H351" s="10501"/>
      <c r="I351" s="10501"/>
      <c r="J351" s="10501"/>
      <c r="K351" s="10501"/>
      <c r="L351" s="10501"/>
      <c r="M351" s="10557"/>
      <c r="N351" s="10557"/>
      <c r="O351" s="10557"/>
      <c r="P351" s="10501"/>
      <c r="Q351" s="10501"/>
      <c r="R351" s="10509"/>
      <c r="S351" s="3780"/>
      <c r="T351" s="7368"/>
      <c r="U351" s="5465"/>
      <c r="V351" s="3808"/>
      <c r="W351" s="5501"/>
      <c r="X351" s="3741"/>
      <c r="Y351" s="5797"/>
      <c r="Z351" s="5797"/>
      <c r="AA351" s="5811"/>
      <c r="AB351" s="7418"/>
      <c r="AC351" s="5599"/>
      <c r="AD351" s="3755"/>
      <c r="AE351" s="3507"/>
      <c r="AF351" s="3507"/>
      <c r="AG351" s="3740"/>
      <c r="AH351" s="10560"/>
      <c r="AI351" s="466"/>
      <c r="AJ351" s="100"/>
      <c r="AK351" s="100"/>
      <c r="AL351" s="100"/>
    </row>
    <row r="352" spans="1:38" ht="21" customHeight="1" thickTop="1" thickBot="1">
      <c r="A352" s="10423"/>
      <c r="B352" s="9246"/>
      <c r="C352" s="10516" t="s">
        <v>127</v>
      </c>
      <c r="D352" s="10433" t="s">
        <v>128</v>
      </c>
      <c r="E352" s="10433" t="s">
        <v>140</v>
      </c>
      <c r="F352" s="10433" t="s">
        <v>597</v>
      </c>
      <c r="G352" s="10442" t="s">
        <v>131</v>
      </c>
      <c r="H352" s="10433" t="s">
        <v>132</v>
      </c>
      <c r="I352" s="10433" t="s">
        <v>159</v>
      </c>
      <c r="J352" s="10442" t="s">
        <v>4165</v>
      </c>
      <c r="K352" s="10433" t="s">
        <v>4166</v>
      </c>
      <c r="L352" s="10433" t="s">
        <v>4167</v>
      </c>
      <c r="M352" s="10555">
        <v>0</v>
      </c>
      <c r="N352" s="10555">
        <v>0</v>
      </c>
      <c r="O352" s="10555">
        <v>1</v>
      </c>
      <c r="P352" s="10433" t="s">
        <v>4168</v>
      </c>
      <c r="Q352" s="10433" t="s">
        <v>4169</v>
      </c>
      <c r="R352" s="10439" t="s">
        <v>4170</v>
      </c>
      <c r="S352" s="3781"/>
      <c r="T352" s="5692"/>
      <c r="U352" s="5471"/>
      <c r="V352" s="3826"/>
      <c r="W352" s="5505"/>
      <c r="X352" s="3743"/>
      <c r="Y352" s="5798"/>
      <c r="Z352" s="5798"/>
      <c r="AA352" s="5798"/>
      <c r="AB352" s="5799"/>
      <c r="AC352" s="5839"/>
      <c r="AD352" s="2934"/>
      <c r="AE352" s="3710"/>
      <c r="AF352" s="3710"/>
      <c r="AG352" s="3753"/>
      <c r="AH352" s="10558"/>
      <c r="AI352" s="466"/>
      <c r="AJ352" s="100"/>
      <c r="AK352" s="100"/>
      <c r="AL352" s="100"/>
    </row>
    <row r="353" spans="1:38" ht="21" customHeight="1" thickTop="1" thickBot="1">
      <c r="A353" s="10423"/>
      <c r="B353" s="9246"/>
      <c r="C353" s="10592"/>
      <c r="D353" s="10500"/>
      <c r="E353" s="10500"/>
      <c r="F353" s="10500"/>
      <c r="G353" s="10502"/>
      <c r="H353" s="10500"/>
      <c r="I353" s="10500"/>
      <c r="J353" s="10502"/>
      <c r="K353" s="10500"/>
      <c r="L353" s="10500"/>
      <c r="M353" s="10556"/>
      <c r="N353" s="10556"/>
      <c r="O353" s="10556"/>
      <c r="P353" s="10500"/>
      <c r="Q353" s="10500"/>
      <c r="R353" s="10508"/>
      <c r="S353" s="3792"/>
      <c r="T353" s="5686"/>
      <c r="U353" s="5470"/>
      <c r="V353" s="3813"/>
      <c r="W353" s="5500"/>
      <c r="X353" s="3686"/>
      <c r="Y353" s="5790"/>
      <c r="Z353" s="5790"/>
      <c r="AA353" s="5790"/>
      <c r="AB353" s="5791"/>
      <c r="AC353" s="5820"/>
      <c r="AD353" s="2935"/>
      <c r="AE353" s="3505"/>
      <c r="AF353" s="3505"/>
      <c r="AG353" s="3685"/>
      <c r="AH353" s="10559"/>
      <c r="AI353" s="466"/>
      <c r="AJ353" s="100"/>
      <c r="AK353" s="100"/>
      <c r="AL353" s="100"/>
    </row>
    <row r="354" spans="1:38" ht="21" customHeight="1" thickTop="1" thickBot="1">
      <c r="A354" s="10423"/>
      <c r="B354" s="9246"/>
      <c r="C354" s="10592"/>
      <c r="D354" s="10500"/>
      <c r="E354" s="10500"/>
      <c r="F354" s="10500"/>
      <c r="G354" s="10502"/>
      <c r="H354" s="10500"/>
      <c r="I354" s="10500"/>
      <c r="J354" s="10502"/>
      <c r="K354" s="10500"/>
      <c r="L354" s="10500"/>
      <c r="M354" s="10556"/>
      <c r="N354" s="10556"/>
      <c r="O354" s="10556"/>
      <c r="P354" s="10500"/>
      <c r="Q354" s="10500"/>
      <c r="R354" s="10508"/>
      <c r="S354" s="3792"/>
      <c r="T354" s="5686"/>
      <c r="U354" s="5470"/>
      <c r="V354" s="3813"/>
      <c r="W354" s="5500"/>
      <c r="X354" s="3686"/>
      <c r="Y354" s="5790"/>
      <c r="Z354" s="5790"/>
      <c r="AA354" s="5790"/>
      <c r="AB354" s="5791"/>
      <c r="AC354" s="5820"/>
      <c r="AD354" s="2935"/>
      <c r="AE354" s="3505"/>
      <c r="AF354" s="3505"/>
      <c r="AG354" s="3685"/>
      <c r="AH354" s="10559"/>
      <c r="AI354" s="466"/>
      <c r="AJ354" s="100"/>
      <c r="AK354" s="100"/>
      <c r="AL354" s="100"/>
    </row>
    <row r="355" spans="1:38" ht="21" customHeight="1" thickTop="1" thickBot="1">
      <c r="A355" s="10423"/>
      <c r="B355" s="9246"/>
      <c r="C355" s="10592"/>
      <c r="D355" s="10500"/>
      <c r="E355" s="10500"/>
      <c r="F355" s="10500"/>
      <c r="G355" s="10502"/>
      <c r="H355" s="10500"/>
      <c r="I355" s="10500"/>
      <c r="J355" s="10502"/>
      <c r="K355" s="10500"/>
      <c r="L355" s="10500"/>
      <c r="M355" s="10556"/>
      <c r="N355" s="10556"/>
      <c r="O355" s="10556"/>
      <c r="P355" s="10500"/>
      <c r="Q355" s="10500"/>
      <c r="R355" s="10508"/>
      <c r="S355" s="3792"/>
      <c r="T355" s="5686"/>
      <c r="U355" s="5470"/>
      <c r="V355" s="3813"/>
      <c r="W355" s="5500"/>
      <c r="X355" s="3686"/>
      <c r="Y355" s="5790"/>
      <c r="Z355" s="5790"/>
      <c r="AA355" s="5790"/>
      <c r="AB355" s="5791"/>
      <c r="AC355" s="5820"/>
      <c r="AD355" s="2935"/>
      <c r="AE355" s="3505"/>
      <c r="AF355" s="3505"/>
      <c r="AG355" s="3685"/>
      <c r="AH355" s="10559"/>
      <c r="AI355" s="466"/>
      <c r="AJ355" s="100"/>
      <c r="AK355" s="100"/>
      <c r="AL355" s="100"/>
    </row>
    <row r="356" spans="1:38" ht="21" customHeight="1" thickTop="1" thickBot="1">
      <c r="A356" s="10423"/>
      <c r="B356" s="9246"/>
      <c r="C356" s="10592"/>
      <c r="D356" s="10500"/>
      <c r="E356" s="10500"/>
      <c r="F356" s="10500"/>
      <c r="G356" s="10502"/>
      <c r="H356" s="10500"/>
      <c r="I356" s="10500"/>
      <c r="J356" s="10502"/>
      <c r="K356" s="10500"/>
      <c r="L356" s="10500"/>
      <c r="M356" s="10556"/>
      <c r="N356" s="10556"/>
      <c r="O356" s="10556"/>
      <c r="P356" s="10500"/>
      <c r="Q356" s="10500"/>
      <c r="R356" s="10508"/>
      <c r="S356" s="3792"/>
      <c r="T356" s="5686"/>
      <c r="U356" s="5470"/>
      <c r="V356" s="3813"/>
      <c r="W356" s="5500"/>
      <c r="X356" s="3686"/>
      <c r="Y356" s="5790"/>
      <c r="Z356" s="5790"/>
      <c r="AA356" s="5791"/>
      <c r="AB356" s="7417"/>
      <c r="AC356" s="5601"/>
      <c r="AD356" s="3699"/>
      <c r="AE356" s="3505"/>
      <c r="AF356" s="3505"/>
      <c r="AG356" s="3685"/>
      <c r="AH356" s="10559"/>
      <c r="AI356" s="466"/>
      <c r="AJ356" s="100"/>
      <c r="AK356" s="100"/>
      <c r="AL356" s="100"/>
    </row>
    <row r="357" spans="1:38" ht="21" customHeight="1" thickTop="1" thickBot="1">
      <c r="A357" s="10423"/>
      <c r="B357" s="9246"/>
      <c r="C357" s="10593"/>
      <c r="D357" s="10501"/>
      <c r="E357" s="10501"/>
      <c r="F357" s="10501"/>
      <c r="G357" s="10503"/>
      <c r="H357" s="10501"/>
      <c r="I357" s="10501"/>
      <c r="J357" s="10503"/>
      <c r="K357" s="10501"/>
      <c r="L357" s="10501"/>
      <c r="M357" s="10557"/>
      <c r="N357" s="10557"/>
      <c r="O357" s="10557"/>
      <c r="P357" s="10501"/>
      <c r="Q357" s="10501"/>
      <c r="R357" s="10509"/>
      <c r="S357" s="3780"/>
      <c r="T357" s="7368"/>
      <c r="U357" s="5465"/>
      <c r="V357" s="3808"/>
      <c r="W357" s="5501"/>
      <c r="X357" s="3741"/>
      <c r="Y357" s="5797"/>
      <c r="Z357" s="5797"/>
      <c r="AA357" s="5811"/>
      <c r="AB357" s="7418"/>
      <c r="AC357" s="5599"/>
      <c r="AD357" s="3755"/>
      <c r="AE357" s="3507"/>
      <c r="AF357" s="3507"/>
      <c r="AG357" s="3740"/>
      <c r="AH357" s="10560"/>
      <c r="AI357" s="466"/>
      <c r="AJ357" s="100"/>
      <c r="AK357" s="100"/>
      <c r="AL357" s="100"/>
    </row>
    <row r="358" spans="1:38" ht="21.75" customHeight="1" thickTop="1" thickBot="1">
      <c r="A358" s="10423"/>
      <c r="B358" s="9246"/>
      <c r="C358" s="10516" t="s">
        <v>127</v>
      </c>
      <c r="D358" s="10433" t="s">
        <v>128</v>
      </c>
      <c r="E358" s="10433" t="s">
        <v>140</v>
      </c>
      <c r="F358" s="10433" t="s">
        <v>597</v>
      </c>
      <c r="G358" s="10442" t="s">
        <v>131</v>
      </c>
      <c r="H358" s="10433" t="s">
        <v>132</v>
      </c>
      <c r="I358" s="10433" t="s">
        <v>159</v>
      </c>
      <c r="J358" s="10442" t="s">
        <v>4171</v>
      </c>
      <c r="K358" s="10433" t="s">
        <v>1465</v>
      </c>
      <c r="L358" s="10433" t="s">
        <v>4172</v>
      </c>
      <c r="M358" s="10555">
        <v>0</v>
      </c>
      <c r="N358" s="10555">
        <v>1</v>
      </c>
      <c r="O358" s="10555">
        <v>1</v>
      </c>
      <c r="P358" s="10433" t="s">
        <v>4173</v>
      </c>
      <c r="Q358" s="10433" t="s">
        <v>4174</v>
      </c>
      <c r="R358" s="10439" t="s">
        <v>4085</v>
      </c>
      <c r="S358" s="3781"/>
      <c r="T358" s="5692"/>
      <c r="U358" s="5471"/>
      <c r="V358" s="3826"/>
      <c r="W358" s="5505"/>
      <c r="X358" s="3743"/>
      <c r="Y358" s="5798"/>
      <c r="Z358" s="5798"/>
      <c r="AA358" s="5798"/>
      <c r="AB358" s="5799"/>
      <c r="AC358" s="5839"/>
      <c r="AD358" s="2934"/>
      <c r="AE358" s="3710"/>
      <c r="AF358" s="3710"/>
      <c r="AG358" s="3756"/>
      <c r="AH358" s="10558"/>
      <c r="AI358" s="466"/>
      <c r="AJ358" s="100"/>
      <c r="AK358" s="100"/>
      <c r="AL358" s="100"/>
    </row>
    <row r="359" spans="1:38" ht="21.75" customHeight="1" thickTop="1" thickBot="1">
      <c r="A359" s="10423"/>
      <c r="B359" s="9246"/>
      <c r="C359" s="10592"/>
      <c r="D359" s="10500"/>
      <c r="E359" s="10500"/>
      <c r="F359" s="10500"/>
      <c r="G359" s="10502"/>
      <c r="H359" s="10500"/>
      <c r="I359" s="10500"/>
      <c r="J359" s="10502"/>
      <c r="K359" s="10500"/>
      <c r="L359" s="10500"/>
      <c r="M359" s="10556"/>
      <c r="N359" s="10556"/>
      <c r="O359" s="10556"/>
      <c r="P359" s="10500"/>
      <c r="Q359" s="10500"/>
      <c r="R359" s="10508"/>
      <c r="S359" s="3792"/>
      <c r="T359" s="5686"/>
      <c r="U359" s="5470"/>
      <c r="V359" s="3813"/>
      <c r="W359" s="5500"/>
      <c r="X359" s="3686"/>
      <c r="Y359" s="5790"/>
      <c r="Z359" s="5790"/>
      <c r="AA359" s="5790"/>
      <c r="AB359" s="5791"/>
      <c r="AC359" s="5820"/>
      <c r="AD359" s="2935"/>
      <c r="AE359" s="3505"/>
      <c r="AF359" s="3505"/>
      <c r="AG359" s="3700"/>
      <c r="AH359" s="10559"/>
      <c r="AI359" s="466"/>
      <c r="AJ359" s="100"/>
      <c r="AK359" s="100"/>
      <c r="AL359" s="100"/>
    </row>
    <row r="360" spans="1:38" ht="21.75" customHeight="1" thickTop="1" thickBot="1">
      <c r="A360" s="10423"/>
      <c r="B360" s="9246"/>
      <c r="C360" s="10592"/>
      <c r="D360" s="10500"/>
      <c r="E360" s="10500"/>
      <c r="F360" s="10500"/>
      <c r="G360" s="10502"/>
      <c r="H360" s="10500"/>
      <c r="I360" s="10500"/>
      <c r="J360" s="10502"/>
      <c r="K360" s="10500"/>
      <c r="L360" s="10500"/>
      <c r="M360" s="10556"/>
      <c r="N360" s="10556"/>
      <c r="O360" s="10556"/>
      <c r="P360" s="10500"/>
      <c r="Q360" s="10500"/>
      <c r="R360" s="10508"/>
      <c r="S360" s="3792"/>
      <c r="T360" s="5686"/>
      <c r="U360" s="5470"/>
      <c r="V360" s="3813"/>
      <c r="W360" s="5500"/>
      <c r="X360" s="3686"/>
      <c r="Y360" s="5790"/>
      <c r="Z360" s="5790"/>
      <c r="AA360" s="5790"/>
      <c r="AB360" s="5791"/>
      <c r="AC360" s="5820"/>
      <c r="AD360" s="2935"/>
      <c r="AE360" s="3505"/>
      <c r="AF360" s="3505"/>
      <c r="AG360" s="3700"/>
      <c r="AH360" s="10559"/>
      <c r="AI360" s="466"/>
      <c r="AJ360" s="100"/>
      <c r="AK360" s="100"/>
      <c r="AL360" s="100"/>
    </row>
    <row r="361" spans="1:38" ht="21.75" customHeight="1" thickTop="1" thickBot="1">
      <c r="A361" s="10423"/>
      <c r="B361" s="9246"/>
      <c r="C361" s="10592"/>
      <c r="D361" s="10500"/>
      <c r="E361" s="10500"/>
      <c r="F361" s="10500"/>
      <c r="G361" s="10502"/>
      <c r="H361" s="10500"/>
      <c r="I361" s="10500"/>
      <c r="J361" s="10502"/>
      <c r="K361" s="10500"/>
      <c r="L361" s="10500"/>
      <c r="M361" s="10556"/>
      <c r="N361" s="10556"/>
      <c r="O361" s="10556"/>
      <c r="P361" s="10500"/>
      <c r="Q361" s="10500"/>
      <c r="R361" s="10508"/>
      <c r="S361" s="3792"/>
      <c r="T361" s="5686"/>
      <c r="U361" s="5470"/>
      <c r="V361" s="3813"/>
      <c r="W361" s="5500"/>
      <c r="X361" s="3686"/>
      <c r="Y361" s="5790"/>
      <c r="Z361" s="5790"/>
      <c r="AA361" s="5790"/>
      <c r="AB361" s="5791"/>
      <c r="AC361" s="5820"/>
      <c r="AD361" s="2935"/>
      <c r="AE361" s="3505"/>
      <c r="AF361" s="3505"/>
      <c r="AG361" s="3700"/>
      <c r="AH361" s="10559"/>
      <c r="AI361" s="466"/>
      <c r="AJ361" s="100"/>
      <c r="AK361" s="100"/>
      <c r="AL361" s="100"/>
    </row>
    <row r="362" spans="1:38" ht="21.75" customHeight="1" thickTop="1" thickBot="1">
      <c r="A362" s="10423"/>
      <c r="B362" s="9246"/>
      <c r="C362" s="10592"/>
      <c r="D362" s="10500"/>
      <c r="E362" s="10500"/>
      <c r="F362" s="10500"/>
      <c r="G362" s="10502"/>
      <c r="H362" s="10500"/>
      <c r="I362" s="10500"/>
      <c r="J362" s="10502"/>
      <c r="K362" s="10500"/>
      <c r="L362" s="10500"/>
      <c r="M362" s="10556"/>
      <c r="N362" s="10556"/>
      <c r="O362" s="10556"/>
      <c r="P362" s="10500"/>
      <c r="Q362" s="10500"/>
      <c r="R362" s="10508"/>
      <c r="S362" s="3792"/>
      <c r="T362" s="5686"/>
      <c r="U362" s="5470"/>
      <c r="V362" s="3813"/>
      <c r="W362" s="5500"/>
      <c r="X362" s="3686"/>
      <c r="Y362" s="5790"/>
      <c r="Z362" s="5790"/>
      <c r="AA362" s="5791"/>
      <c r="AB362" s="7417"/>
      <c r="AC362" s="5601"/>
      <c r="AD362" s="3699"/>
      <c r="AE362" s="3505"/>
      <c r="AF362" s="3505"/>
      <c r="AG362" s="3700"/>
      <c r="AH362" s="10559"/>
      <c r="AI362" s="466"/>
      <c r="AJ362" s="100"/>
      <c r="AK362" s="100"/>
      <c r="AL362" s="100"/>
    </row>
    <row r="363" spans="1:38" ht="21.75" customHeight="1" thickTop="1" thickBot="1">
      <c r="A363" s="10423"/>
      <c r="B363" s="9246"/>
      <c r="C363" s="10602"/>
      <c r="D363" s="10566"/>
      <c r="E363" s="10566"/>
      <c r="F363" s="10566"/>
      <c r="G363" s="10567"/>
      <c r="H363" s="10566"/>
      <c r="I363" s="10566"/>
      <c r="J363" s="10567"/>
      <c r="K363" s="10566"/>
      <c r="L363" s="10566"/>
      <c r="M363" s="10581"/>
      <c r="N363" s="10581"/>
      <c r="O363" s="10581"/>
      <c r="P363" s="10566"/>
      <c r="Q363" s="10566"/>
      <c r="R363" s="10588"/>
      <c r="S363" s="3794"/>
      <c r="T363" s="5688"/>
      <c r="U363" s="5472"/>
      <c r="V363" s="2932"/>
      <c r="W363" s="5506"/>
      <c r="X363" s="3738"/>
      <c r="Y363" s="5792"/>
      <c r="Z363" s="5792"/>
      <c r="AA363" s="5793"/>
      <c r="AB363" s="7419"/>
      <c r="AC363" s="5602"/>
      <c r="AD363" s="3754"/>
      <c r="AE363" s="3713"/>
      <c r="AF363" s="3713"/>
      <c r="AG363" s="3757"/>
      <c r="AH363" s="10606"/>
      <c r="AI363" s="466"/>
      <c r="AJ363" s="100"/>
      <c r="AK363" s="100"/>
      <c r="AL363" s="100"/>
    </row>
    <row r="364" spans="1:38" ht="23.25" customHeight="1" thickTop="1" thickBot="1">
      <c r="A364" s="10423"/>
      <c r="B364" s="9246"/>
      <c r="C364" s="10512" t="s">
        <v>127</v>
      </c>
      <c r="D364" s="10444" t="s">
        <v>128</v>
      </c>
      <c r="E364" s="10444" t="s">
        <v>140</v>
      </c>
      <c r="F364" s="10444" t="s">
        <v>597</v>
      </c>
      <c r="G364" s="10451" t="s">
        <v>131</v>
      </c>
      <c r="H364" s="10444" t="s">
        <v>132</v>
      </c>
      <c r="I364" s="10444" t="s">
        <v>159</v>
      </c>
      <c r="J364" s="10444" t="s">
        <v>1578</v>
      </c>
      <c r="K364" s="10444" t="s">
        <v>338</v>
      </c>
      <c r="L364" s="10597" t="s">
        <v>4175</v>
      </c>
      <c r="M364" s="10561">
        <v>4</v>
      </c>
      <c r="N364" s="10561">
        <v>4</v>
      </c>
      <c r="O364" s="10561">
        <v>4</v>
      </c>
      <c r="P364" s="10444" t="s">
        <v>4176</v>
      </c>
      <c r="Q364" s="10444" t="s">
        <v>4177</v>
      </c>
      <c r="R364" s="10449" t="s">
        <v>4170</v>
      </c>
      <c r="S364" s="3793"/>
      <c r="T364" s="5694"/>
      <c r="U364" s="5694"/>
      <c r="V364" s="3825"/>
      <c r="W364" s="5516"/>
      <c r="X364" s="3721"/>
      <c r="Y364" s="5800"/>
      <c r="Z364" s="5800"/>
      <c r="AA364" s="5800"/>
      <c r="AB364" s="5801"/>
      <c r="AC364" s="5840"/>
      <c r="AD364" s="3720"/>
      <c r="AE364" s="3721"/>
      <c r="AF364" s="3722"/>
      <c r="AG364" s="3722"/>
      <c r="AH364" s="10478"/>
      <c r="AI364" s="466"/>
      <c r="AJ364" s="100"/>
      <c r="AK364" s="100"/>
      <c r="AL364" s="100"/>
    </row>
    <row r="365" spans="1:38" ht="23.25" customHeight="1" thickTop="1" thickBot="1">
      <c r="A365" s="10423"/>
      <c r="B365" s="9246"/>
      <c r="C365" s="10592"/>
      <c r="D365" s="10500"/>
      <c r="E365" s="10500"/>
      <c r="F365" s="10500"/>
      <c r="G365" s="10502"/>
      <c r="H365" s="10500"/>
      <c r="I365" s="10500"/>
      <c r="J365" s="10500"/>
      <c r="K365" s="10500"/>
      <c r="L365" s="10598"/>
      <c r="M365" s="10556"/>
      <c r="N365" s="10556"/>
      <c r="O365" s="10556"/>
      <c r="P365" s="10500"/>
      <c r="Q365" s="10500"/>
      <c r="R365" s="10508"/>
      <c r="S365" s="3792"/>
      <c r="T365" s="5686"/>
      <c r="U365" s="5686"/>
      <c r="V365" s="3813"/>
      <c r="W365" s="5500"/>
      <c r="X365" s="3504"/>
      <c r="Y365" s="5790"/>
      <c r="Z365" s="5790"/>
      <c r="AA365" s="5790"/>
      <c r="AB365" s="5791"/>
      <c r="AC365" s="5820"/>
      <c r="AD365" s="2935"/>
      <c r="AE365" s="3504"/>
      <c r="AF365" s="3505"/>
      <c r="AG365" s="3505"/>
      <c r="AH365" s="10563"/>
      <c r="AI365" s="466"/>
      <c r="AJ365" s="100"/>
      <c r="AK365" s="100"/>
      <c r="AL365" s="100"/>
    </row>
    <row r="366" spans="1:38" ht="23.25" customHeight="1" thickTop="1" thickBot="1">
      <c r="A366" s="10423"/>
      <c r="B366" s="9246"/>
      <c r="C366" s="10592"/>
      <c r="D366" s="10500"/>
      <c r="E366" s="10500"/>
      <c r="F366" s="10500"/>
      <c r="G366" s="10502"/>
      <c r="H366" s="10500"/>
      <c r="I366" s="10500"/>
      <c r="J366" s="10500"/>
      <c r="K366" s="10500"/>
      <c r="L366" s="10598"/>
      <c r="M366" s="10556"/>
      <c r="N366" s="10556"/>
      <c r="O366" s="10556"/>
      <c r="P366" s="10500"/>
      <c r="Q366" s="10500"/>
      <c r="R366" s="10508"/>
      <c r="S366" s="3792"/>
      <c r="T366" s="5686"/>
      <c r="U366" s="5686"/>
      <c r="V366" s="3813"/>
      <c r="W366" s="5500"/>
      <c r="X366" s="3504"/>
      <c r="Y366" s="5790"/>
      <c r="Z366" s="5790"/>
      <c r="AA366" s="5790"/>
      <c r="AB366" s="5791"/>
      <c r="AC366" s="5820"/>
      <c r="AD366" s="2935"/>
      <c r="AE366" s="3504"/>
      <c r="AF366" s="3505"/>
      <c r="AG366" s="3505"/>
      <c r="AH366" s="10563"/>
      <c r="AI366" s="466"/>
      <c r="AJ366" s="100"/>
      <c r="AK366" s="100"/>
      <c r="AL366" s="100"/>
    </row>
    <row r="367" spans="1:38" ht="23.25" customHeight="1" thickTop="1" thickBot="1">
      <c r="A367" s="10423"/>
      <c r="B367" s="9246"/>
      <c r="C367" s="10592"/>
      <c r="D367" s="10500"/>
      <c r="E367" s="10500"/>
      <c r="F367" s="10500"/>
      <c r="G367" s="10502"/>
      <c r="H367" s="10500"/>
      <c r="I367" s="10500"/>
      <c r="J367" s="10500"/>
      <c r="K367" s="10500"/>
      <c r="L367" s="10598"/>
      <c r="M367" s="10556"/>
      <c r="N367" s="10556"/>
      <c r="O367" s="10556"/>
      <c r="P367" s="10500"/>
      <c r="Q367" s="10500"/>
      <c r="R367" s="10508"/>
      <c r="S367" s="3792"/>
      <c r="T367" s="5686"/>
      <c r="U367" s="5686"/>
      <c r="V367" s="3813"/>
      <c r="W367" s="5500"/>
      <c r="X367" s="3504"/>
      <c r="Y367" s="5790"/>
      <c r="Z367" s="5790"/>
      <c r="AA367" s="5790"/>
      <c r="AB367" s="5791"/>
      <c r="AC367" s="5820"/>
      <c r="AD367" s="2935"/>
      <c r="AE367" s="3504"/>
      <c r="AF367" s="3505"/>
      <c r="AG367" s="3505"/>
      <c r="AH367" s="10563"/>
      <c r="AI367" s="466"/>
      <c r="AJ367" s="100"/>
      <c r="AK367" s="100"/>
      <c r="AL367" s="100"/>
    </row>
    <row r="368" spans="1:38" ht="23.25" customHeight="1" thickTop="1" thickBot="1">
      <c r="A368" s="10423"/>
      <c r="B368" s="9246"/>
      <c r="C368" s="10592"/>
      <c r="D368" s="10500"/>
      <c r="E368" s="10500"/>
      <c r="F368" s="10500"/>
      <c r="G368" s="10502"/>
      <c r="H368" s="10500"/>
      <c r="I368" s="10500"/>
      <c r="J368" s="10500"/>
      <c r="K368" s="10500"/>
      <c r="L368" s="10598"/>
      <c r="M368" s="10556"/>
      <c r="N368" s="10556"/>
      <c r="O368" s="10556"/>
      <c r="P368" s="10500"/>
      <c r="Q368" s="10500"/>
      <c r="R368" s="10508"/>
      <c r="S368" s="3792"/>
      <c r="T368" s="5686"/>
      <c r="U368" s="5686"/>
      <c r="V368" s="3813"/>
      <c r="W368" s="5500"/>
      <c r="X368" s="3504"/>
      <c r="Y368" s="5790"/>
      <c r="Z368" s="5790"/>
      <c r="AA368" s="5790"/>
      <c r="AB368" s="5791"/>
      <c r="AC368" s="5820"/>
      <c r="AD368" s="2935"/>
      <c r="AE368" s="3504"/>
      <c r="AF368" s="3505"/>
      <c r="AG368" s="3505"/>
      <c r="AH368" s="10563"/>
      <c r="AI368" s="466"/>
      <c r="AJ368" s="100"/>
      <c r="AK368" s="100"/>
      <c r="AL368" s="100"/>
    </row>
    <row r="369" spans="1:38" ht="23.25" customHeight="1" thickTop="1" thickBot="1">
      <c r="A369" s="10423"/>
      <c r="B369" s="9246"/>
      <c r="C369" s="10602"/>
      <c r="D369" s="10566"/>
      <c r="E369" s="10566"/>
      <c r="F369" s="10566"/>
      <c r="G369" s="10567"/>
      <c r="H369" s="10566"/>
      <c r="I369" s="10566"/>
      <c r="J369" s="10566"/>
      <c r="K369" s="10566"/>
      <c r="L369" s="10599"/>
      <c r="M369" s="10581"/>
      <c r="N369" s="10581"/>
      <c r="O369" s="10581"/>
      <c r="P369" s="10566"/>
      <c r="Q369" s="10566"/>
      <c r="R369" s="10588"/>
      <c r="S369" s="3543"/>
      <c r="T369" s="5696"/>
      <c r="U369" s="5696"/>
      <c r="V369" s="3557"/>
      <c r="W369" s="5503"/>
      <c r="X369" s="3545"/>
      <c r="Y369" s="5558"/>
      <c r="Z369" s="5558"/>
      <c r="AA369" s="5558"/>
      <c r="AB369" s="5559"/>
      <c r="AC369" s="5830"/>
      <c r="AD369" s="3706"/>
      <c r="AE369" s="3545"/>
      <c r="AF369" s="3707"/>
      <c r="AG369" s="3707"/>
      <c r="AH369" s="10565"/>
      <c r="AI369" s="466"/>
      <c r="AJ369" s="100"/>
      <c r="AK369" s="100"/>
      <c r="AL369" s="100"/>
    </row>
    <row r="370" spans="1:38" s="6107" customFormat="1" ht="22.5" customHeight="1" thickTop="1" thickBot="1">
      <c r="A370" s="10423"/>
      <c r="B370" s="10591"/>
      <c r="C370" s="10600"/>
      <c r="D370" s="10600"/>
      <c r="E370" s="10600"/>
      <c r="F370" s="10600"/>
      <c r="G370" s="10600"/>
      <c r="H370" s="10600"/>
      <c r="I370" s="10600"/>
      <c r="J370" s="10600"/>
      <c r="K370" s="10600"/>
      <c r="L370" s="10600"/>
      <c r="M370" s="10600"/>
      <c r="N370" s="10600"/>
      <c r="O370" s="10600"/>
      <c r="P370" s="10600"/>
      <c r="Q370" s="10600"/>
      <c r="R370" s="10601"/>
      <c r="S370" s="9197" t="s">
        <v>4178</v>
      </c>
      <c r="T370" s="9197"/>
      <c r="U370" s="9197"/>
      <c r="V370" s="9197"/>
      <c r="W370" s="9197"/>
      <c r="X370" s="9197"/>
      <c r="Y370" s="9197"/>
      <c r="Z370" s="9197"/>
      <c r="AA370" s="4890" t="s">
        <v>292</v>
      </c>
      <c r="AB370" s="7427">
        <f>SUM(AB277:AB369)</f>
        <v>2197349.4399857144</v>
      </c>
      <c r="AC370" s="359"/>
      <c r="AD370" s="359"/>
      <c r="AE370" s="9680"/>
      <c r="AF370" s="9680"/>
      <c r="AG370" s="9680"/>
      <c r="AH370" s="10594"/>
      <c r="AI370" s="466"/>
      <c r="AJ370" s="100"/>
      <c r="AK370" s="100"/>
      <c r="AL370" s="100"/>
    </row>
    <row r="371" spans="1:38" ht="23.25" customHeight="1" thickTop="1" thickBot="1">
      <c r="A371" s="10619"/>
      <c r="B371" s="6234"/>
      <c r="C371" s="2942"/>
      <c r="D371" s="2942"/>
      <c r="E371" s="2942"/>
      <c r="F371" s="2942"/>
      <c r="G371" s="2942"/>
      <c r="H371" s="2942"/>
      <c r="I371" s="2942"/>
      <c r="J371" s="2942"/>
      <c r="K371" s="2942"/>
      <c r="L371" s="2942"/>
      <c r="M371" s="2942"/>
      <c r="N371" s="2942"/>
      <c r="O371" s="2942"/>
      <c r="P371" s="2942"/>
      <c r="Q371" s="2942"/>
      <c r="R371" s="2942"/>
      <c r="S371" s="5872" t="s">
        <v>3928</v>
      </c>
      <c r="T371" s="5873"/>
      <c r="U371" s="5873"/>
      <c r="V371" s="5873"/>
      <c r="W371" s="5873"/>
      <c r="X371" s="5873"/>
      <c r="Y371" s="5873"/>
      <c r="Z371" s="5873"/>
      <c r="AA371" s="502" t="s">
        <v>292</v>
      </c>
      <c r="AB371" s="7428">
        <f>SUM(AB153,AB184,AB230,AB276,AB370)</f>
        <v>4265819.8399825143</v>
      </c>
      <c r="AC371" s="360"/>
      <c r="AD371" s="360"/>
      <c r="AE371" s="10595"/>
      <c r="AF371" s="10595"/>
      <c r="AG371" s="10595"/>
      <c r="AH371" s="10596"/>
      <c r="AI371" s="466"/>
      <c r="AJ371" s="100"/>
      <c r="AK371" s="100"/>
      <c r="AL371" s="100"/>
    </row>
    <row r="372" spans="1:38" ht="17.25" thickTop="1">
      <c r="A372" s="466"/>
      <c r="B372" s="495"/>
      <c r="C372" s="510" t="s">
        <v>656</v>
      </c>
      <c r="D372" s="511" t="s">
        <v>4179</v>
      </c>
      <c r="E372" s="466"/>
      <c r="F372" s="466"/>
      <c r="G372" s="466"/>
      <c r="H372" s="466"/>
      <c r="I372" s="466"/>
      <c r="J372" s="466"/>
      <c r="K372" s="466"/>
      <c r="L372" s="466"/>
      <c r="M372" s="466"/>
      <c r="N372" s="466"/>
      <c r="O372" s="466"/>
      <c r="P372" s="466"/>
      <c r="Q372" s="466"/>
      <c r="R372" s="466"/>
      <c r="S372" s="9424" t="s">
        <v>533</v>
      </c>
      <c r="T372" s="9424"/>
      <c r="U372" s="9424"/>
      <c r="V372" s="9424"/>
      <c r="W372" s="9424"/>
      <c r="X372" s="9424"/>
      <c r="Y372" s="9424"/>
      <c r="Z372" s="9424"/>
      <c r="AA372" s="9424"/>
      <c r="AB372" s="9424"/>
      <c r="AC372" s="9424"/>
      <c r="AD372" s="9424"/>
      <c r="AE372" s="9424"/>
      <c r="AF372" s="9424"/>
      <c r="AG372" s="9424"/>
      <c r="AH372" s="9424"/>
      <c r="AI372" s="100"/>
      <c r="AJ372" s="100"/>
      <c r="AK372" s="100"/>
      <c r="AL372" s="100"/>
    </row>
    <row r="373" spans="1:38" ht="16.5">
      <c r="A373" s="100"/>
      <c r="B373" s="6"/>
      <c r="C373" s="510" t="s">
        <v>4180</v>
      </c>
      <c r="D373" s="511" t="s">
        <v>4181</v>
      </c>
      <c r="E373" s="466"/>
      <c r="F373" s="100"/>
      <c r="G373" s="100"/>
      <c r="H373" s="100"/>
      <c r="I373" s="100"/>
      <c r="J373" s="100"/>
      <c r="K373" s="100"/>
      <c r="L373" s="100"/>
      <c r="M373" s="100"/>
      <c r="N373" s="100"/>
      <c r="O373" s="100"/>
      <c r="P373" s="100"/>
      <c r="Q373" s="100"/>
      <c r="R373" s="100"/>
      <c r="S373" s="99"/>
      <c r="AC373"/>
      <c r="AD373"/>
      <c r="AI373" s="100"/>
      <c r="AJ373" s="100"/>
      <c r="AK373" s="100"/>
      <c r="AL373" s="100"/>
    </row>
    <row r="374" spans="1:38" ht="23.25" customHeight="1">
      <c r="A374" s="100"/>
      <c r="B374" s="6"/>
      <c r="C374" s="510" t="s">
        <v>658</v>
      </c>
      <c r="D374" s="511" t="s">
        <v>4182</v>
      </c>
      <c r="E374" s="466"/>
      <c r="F374" s="100"/>
      <c r="G374" s="100"/>
      <c r="H374" s="100"/>
      <c r="I374" s="100"/>
      <c r="J374" s="100"/>
      <c r="K374" s="100"/>
      <c r="L374" s="100"/>
      <c r="M374" s="100"/>
      <c r="N374" s="100"/>
      <c r="O374" s="100"/>
      <c r="P374" s="100"/>
      <c r="Q374" s="100"/>
      <c r="R374" s="100"/>
      <c r="S374" s="125"/>
      <c r="T374" s="100"/>
      <c r="U374" s="8775" t="s">
        <v>3415</v>
      </c>
      <c r="V374" s="8775"/>
      <c r="W374" s="8775"/>
      <c r="X374" s="8775"/>
      <c r="Y374" s="8775"/>
      <c r="Z374" s="8775"/>
      <c r="AA374" s="106"/>
      <c r="AB374" s="361"/>
      <c r="AC374" s="361"/>
      <c r="AD374" s="100"/>
      <c r="AE374" s="100"/>
      <c r="AF374" s="100"/>
      <c r="AG374" s="100"/>
      <c r="AH374" s="100"/>
      <c r="AI374" s="100"/>
      <c r="AJ374" s="100"/>
      <c r="AK374" s="100"/>
    </row>
    <row r="375" spans="1:38" ht="17.25" thickBot="1">
      <c r="A375" s="100"/>
      <c r="B375" s="100"/>
      <c r="E375" s="466"/>
      <c r="F375" s="100"/>
      <c r="G375" s="100"/>
      <c r="H375" s="100"/>
      <c r="I375" s="100"/>
      <c r="J375" s="100"/>
      <c r="K375" s="100"/>
      <c r="L375" s="100"/>
      <c r="M375" s="100"/>
      <c r="N375" s="100"/>
      <c r="O375" s="100"/>
      <c r="P375" s="100"/>
      <c r="Q375" s="100"/>
      <c r="R375" s="100"/>
      <c r="S375" s="125"/>
      <c r="U375" s="3837"/>
      <c r="V375" s="3837"/>
      <c r="W375" s="3837"/>
      <c r="X375" s="3837"/>
      <c r="Y375" s="3837"/>
      <c r="Z375" s="3837"/>
      <c r="AA375" s="231"/>
      <c r="AB375" s="698"/>
      <c r="AC375" s="362"/>
      <c r="AD375" s="231"/>
      <c r="AE375" s="231"/>
      <c r="AF375" s="231"/>
      <c r="AG375" s="231"/>
      <c r="AH375" s="333"/>
      <c r="AI375" s="100"/>
      <c r="AJ375" s="100"/>
      <c r="AK375" s="100"/>
    </row>
    <row r="376" spans="1:38" ht="18" customHeight="1" thickTop="1">
      <c r="A376" s="100"/>
      <c r="B376" s="100"/>
      <c r="C376" s="100"/>
      <c r="D376" s="100"/>
      <c r="E376" s="100"/>
      <c r="F376" s="100"/>
      <c r="G376" s="100"/>
      <c r="H376" s="100"/>
      <c r="I376" s="100"/>
      <c r="J376" s="100"/>
      <c r="K376" s="100"/>
      <c r="L376" s="100"/>
      <c r="M376" s="100"/>
      <c r="N376" s="100"/>
      <c r="O376" s="100"/>
      <c r="P376" s="100"/>
      <c r="Q376" s="100"/>
      <c r="R376" s="100"/>
      <c r="S376" s="125"/>
      <c r="T376" s="3837"/>
      <c r="U376" s="5900" t="s">
        <v>5</v>
      </c>
      <c r="V376" s="5901" t="s">
        <v>6</v>
      </c>
      <c r="W376" s="5902" t="s">
        <v>7</v>
      </c>
      <c r="X376" s="5903" t="s">
        <v>352</v>
      </c>
      <c r="Y376" s="5903" t="s">
        <v>9</v>
      </c>
      <c r="Z376" s="5904" t="s">
        <v>353</v>
      </c>
      <c r="AA376" s="466"/>
      <c r="AB376" s="363"/>
      <c r="AC376" s="363"/>
      <c r="AD376" s="100"/>
      <c r="AE376" s="100"/>
      <c r="AF376" s="100"/>
      <c r="AG376" s="100"/>
      <c r="AH376" s="100"/>
      <c r="AI376" s="100"/>
      <c r="AJ376" s="100"/>
      <c r="AK376" s="100"/>
    </row>
    <row r="377" spans="1:38" ht="33">
      <c r="A377" s="100"/>
      <c r="B377" s="100"/>
      <c r="C377" s="100"/>
      <c r="D377" s="100"/>
      <c r="E377" s="100"/>
      <c r="F377" s="100"/>
      <c r="G377" s="100"/>
      <c r="H377" s="100"/>
      <c r="I377" s="100"/>
      <c r="J377" s="100"/>
      <c r="K377" s="100"/>
      <c r="L377" s="100"/>
      <c r="M377" s="100"/>
      <c r="N377" s="100"/>
      <c r="O377" s="100"/>
      <c r="P377" s="100"/>
      <c r="Q377" s="100"/>
      <c r="R377" s="100"/>
      <c r="S377" s="125"/>
      <c r="T377" s="2154"/>
      <c r="U377" s="5874" t="s">
        <v>15</v>
      </c>
      <c r="V377" s="962" t="s">
        <v>3775</v>
      </c>
      <c r="W377" s="1993">
        <v>530101</v>
      </c>
      <c r="X377" s="1756" t="s">
        <v>17</v>
      </c>
      <c r="Y377" s="1756" t="s">
        <v>18</v>
      </c>
      <c r="Z377" s="3841">
        <f>SUM(AB14)</f>
        <v>72708.69</v>
      </c>
      <c r="AA377" s="2912"/>
      <c r="AB377" s="4307"/>
      <c r="AC377" s="9"/>
      <c r="AD377" s="100"/>
      <c r="AE377" s="100"/>
      <c r="AF377" s="100"/>
      <c r="AG377" s="100"/>
      <c r="AH377" s="100"/>
      <c r="AI377" s="100"/>
      <c r="AJ377" s="100"/>
      <c r="AK377" s="100"/>
    </row>
    <row r="378" spans="1:38" ht="33">
      <c r="A378" s="100"/>
      <c r="B378" s="100"/>
      <c r="C378" s="100"/>
      <c r="D378" s="100"/>
      <c r="E378" s="100"/>
      <c r="F378" s="100"/>
      <c r="G378" s="100"/>
      <c r="H378" s="100"/>
      <c r="I378" s="100"/>
      <c r="J378" s="100"/>
      <c r="K378" s="100"/>
      <c r="L378" s="100"/>
      <c r="M378" s="100"/>
      <c r="N378" s="100"/>
      <c r="O378" s="100"/>
      <c r="P378" s="100"/>
      <c r="Q378" s="100"/>
      <c r="R378" s="100"/>
      <c r="S378" s="125"/>
      <c r="T378" s="2154"/>
      <c r="U378" s="3827" t="s">
        <v>15</v>
      </c>
      <c r="V378" s="953" t="s">
        <v>3778</v>
      </c>
      <c r="W378" s="1993">
        <v>530104</v>
      </c>
      <c r="X378" s="1756" t="s">
        <v>17</v>
      </c>
      <c r="Y378" s="1756" t="s">
        <v>26</v>
      </c>
      <c r="Z378" s="3841">
        <f>AB18</f>
        <v>108903.27</v>
      </c>
      <c r="AA378" s="2912"/>
      <c r="AB378" s="9"/>
      <c r="AC378" s="9"/>
      <c r="AD378" s="100"/>
      <c r="AE378" s="100"/>
      <c r="AF378" s="100"/>
      <c r="AG378" s="100"/>
      <c r="AH378" s="100"/>
      <c r="AI378" s="100"/>
      <c r="AJ378" s="100"/>
      <c r="AK378" s="100"/>
    </row>
    <row r="379" spans="1:38" ht="33">
      <c r="A379" s="143"/>
      <c r="B379" s="143"/>
      <c r="C379" s="143"/>
      <c r="D379" s="143"/>
      <c r="E379" s="143"/>
      <c r="F379" s="143"/>
      <c r="G379" s="143"/>
      <c r="H379" s="143"/>
      <c r="I379" s="143"/>
      <c r="J379" s="143"/>
      <c r="K379" s="143"/>
      <c r="L379" s="143"/>
      <c r="M379" s="143"/>
      <c r="N379" s="143"/>
      <c r="O379" s="143"/>
      <c r="P379" s="143"/>
      <c r="Q379" s="145"/>
      <c r="R379" s="2117"/>
      <c r="S379" s="2188"/>
      <c r="T379" s="559"/>
      <c r="U379" s="3827" t="s">
        <v>15</v>
      </c>
      <c r="V379" s="953" t="s">
        <v>3778</v>
      </c>
      <c r="W379" s="1994">
        <v>530104</v>
      </c>
      <c r="X379" s="1678" t="s">
        <v>17</v>
      </c>
      <c r="Y379" s="1678" t="s">
        <v>18</v>
      </c>
      <c r="Z379" s="3836">
        <f>SUM(AB16)</f>
        <v>219857.37</v>
      </c>
      <c r="AA379" s="692"/>
      <c r="AB379" s="10"/>
      <c r="AC379" s="10"/>
      <c r="AD379" s="143"/>
      <c r="AE379" s="143"/>
      <c r="AF379" s="143"/>
      <c r="AG379" s="143"/>
      <c r="AH379" s="143"/>
      <c r="AI379" s="143"/>
      <c r="AJ379" s="143"/>
      <c r="AK379" s="143"/>
    </row>
    <row r="380" spans="1:38" ht="33">
      <c r="A380" s="143"/>
      <c r="B380" s="143"/>
      <c r="C380" s="143"/>
      <c r="D380" s="143"/>
      <c r="E380" s="143"/>
      <c r="F380" s="143"/>
      <c r="G380" s="143"/>
      <c r="H380" s="143"/>
      <c r="I380" s="143"/>
      <c r="J380" s="143"/>
      <c r="K380" s="143"/>
      <c r="L380" s="143"/>
      <c r="M380" s="143"/>
      <c r="N380" s="143"/>
      <c r="O380" s="143"/>
      <c r="P380" s="143"/>
      <c r="Q380" s="145"/>
      <c r="R380" s="2117"/>
      <c r="S380" s="2188"/>
      <c r="T380" s="559"/>
      <c r="U380" s="3827" t="s">
        <v>15</v>
      </c>
      <c r="V380" s="953" t="s">
        <v>881</v>
      </c>
      <c r="W380" s="1994">
        <v>530105</v>
      </c>
      <c r="X380" s="1678" t="s">
        <v>17</v>
      </c>
      <c r="Y380" s="1678" t="s">
        <v>18</v>
      </c>
      <c r="Z380" s="3836">
        <f>SUM(AB20)</f>
        <v>22200</v>
      </c>
      <c r="AA380" s="692"/>
      <c r="AB380" s="10"/>
      <c r="AC380" s="10"/>
      <c r="AD380" s="143"/>
      <c r="AE380" s="143"/>
      <c r="AF380" s="143"/>
      <c r="AG380" s="143"/>
      <c r="AH380" s="143"/>
      <c r="AI380" s="143"/>
      <c r="AJ380" s="143"/>
      <c r="AK380" s="143"/>
    </row>
    <row r="381" spans="1:38" ht="33">
      <c r="A381" s="143"/>
      <c r="B381" s="143"/>
      <c r="C381" s="143"/>
      <c r="D381" s="143"/>
      <c r="E381" s="143"/>
      <c r="F381" s="143"/>
      <c r="G381" s="143"/>
      <c r="H381" s="143"/>
      <c r="I381" s="143"/>
      <c r="J381" s="143"/>
      <c r="K381" s="143"/>
      <c r="L381" s="143"/>
      <c r="M381" s="143"/>
      <c r="N381" s="143"/>
      <c r="O381" s="143"/>
      <c r="P381" s="143"/>
      <c r="Q381" s="145"/>
      <c r="R381" s="2117"/>
      <c r="S381" s="2188"/>
      <c r="T381" s="559"/>
      <c r="U381" s="3827" t="s">
        <v>15</v>
      </c>
      <c r="V381" s="953" t="s">
        <v>606</v>
      </c>
      <c r="W381" s="1994">
        <v>530106</v>
      </c>
      <c r="X381" s="1678" t="s">
        <v>17</v>
      </c>
      <c r="Y381" s="1678" t="s">
        <v>18</v>
      </c>
      <c r="Z381" s="3836">
        <f>+AA332</f>
        <v>250</v>
      </c>
      <c r="AA381" s="692"/>
      <c r="AB381" s="10"/>
      <c r="AC381" s="10"/>
      <c r="AD381" s="143"/>
      <c r="AE381" s="143"/>
      <c r="AF381" s="143"/>
      <c r="AG381" s="143"/>
      <c r="AH381" s="143"/>
      <c r="AI381" s="143"/>
      <c r="AJ381" s="143"/>
      <c r="AK381" s="143"/>
    </row>
    <row r="382" spans="1:38" ht="66" customHeight="1">
      <c r="A382" s="143"/>
      <c r="B382" s="143"/>
      <c r="C382" s="143"/>
      <c r="D382" s="143"/>
      <c r="E382" s="143"/>
      <c r="F382" s="143"/>
      <c r="G382" s="143"/>
      <c r="H382" s="143"/>
      <c r="I382" s="143"/>
      <c r="J382" s="143"/>
      <c r="K382" s="143"/>
      <c r="L382" s="143"/>
      <c r="M382" s="143"/>
      <c r="N382" s="143"/>
      <c r="O382" s="143"/>
      <c r="P382" s="143"/>
      <c r="Q382" s="145"/>
      <c r="R382" s="2117"/>
      <c r="S382" s="2188"/>
      <c r="T382" s="559"/>
      <c r="U382" s="3827" t="s">
        <v>15</v>
      </c>
      <c r="V382" s="953" t="s">
        <v>16</v>
      </c>
      <c r="W382" s="1994">
        <v>530204</v>
      </c>
      <c r="X382" s="1678" t="s">
        <v>17</v>
      </c>
      <c r="Y382" s="1678" t="s">
        <v>18</v>
      </c>
      <c r="Z382" s="3836">
        <f>+AA333</f>
        <v>100</v>
      </c>
      <c r="AA382" s="692"/>
      <c r="AB382" s="10"/>
      <c r="AC382" s="10"/>
      <c r="AD382" s="143"/>
      <c r="AE382" s="143"/>
      <c r="AF382" s="143"/>
      <c r="AG382" s="143"/>
      <c r="AH382" s="143"/>
      <c r="AI382" s="143"/>
      <c r="AJ382" s="143"/>
      <c r="AK382" s="143"/>
    </row>
    <row r="383" spans="1:38" ht="33">
      <c r="A383" s="143"/>
      <c r="B383" s="143"/>
      <c r="C383" s="143"/>
      <c r="D383" s="143"/>
      <c r="E383" s="143"/>
      <c r="F383" s="143"/>
      <c r="G383" s="143"/>
      <c r="H383" s="143"/>
      <c r="I383" s="143"/>
      <c r="J383" s="143"/>
      <c r="K383" s="143"/>
      <c r="L383" s="143"/>
      <c r="M383" s="143"/>
      <c r="N383" s="143"/>
      <c r="O383" s="143"/>
      <c r="P383" s="143"/>
      <c r="Q383" s="145"/>
      <c r="R383" s="2117"/>
      <c r="S383" s="2188"/>
      <c r="T383" s="559"/>
      <c r="U383" s="3827" t="s">
        <v>15</v>
      </c>
      <c r="V383" s="953" t="s">
        <v>2621</v>
      </c>
      <c r="W383" s="1994">
        <v>530208</v>
      </c>
      <c r="X383" s="1678" t="s">
        <v>17</v>
      </c>
      <c r="Y383" s="1678" t="s">
        <v>18</v>
      </c>
      <c r="Z383" s="3836">
        <f>SUM(AB94)</f>
        <v>327179.12</v>
      </c>
      <c r="AA383" s="692"/>
      <c r="AB383" s="10"/>
      <c r="AC383" s="10"/>
      <c r="AD383" s="143"/>
      <c r="AE383" s="143"/>
      <c r="AF383" s="143"/>
      <c r="AG383" s="143"/>
      <c r="AH383" s="143"/>
      <c r="AI383" s="143"/>
      <c r="AJ383" s="143"/>
      <c r="AK383" s="143"/>
    </row>
    <row r="384" spans="1:38" ht="33">
      <c r="A384" s="143"/>
      <c r="B384" s="143"/>
      <c r="C384" s="143"/>
      <c r="D384" s="143"/>
      <c r="E384" s="143"/>
      <c r="F384" s="143"/>
      <c r="G384" s="143"/>
      <c r="H384" s="143"/>
      <c r="I384" s="143"/>
      <c r="J384" s="143"/>
      <c r="K384" s="143"/>
      <c r="L384" s="143"/>
      <c r="M384" s="143"/>
      <c r="N384" s="143"/>
      <c r="O384" s="143"/>
      <c r="P384" s="143"/>
      <c r="Q384" s="145"/>
      <c r="R384" s="2117"/>
      <c r="S384" s="2188"/>
      <c r="T384" s="559"/>
      <c r="U384" s="3827" t="s">
        <v>15</v>
      </c>
      <c r="V384" s="953" t="s">
        <v>3788</v>
      </c>
      <c r="W384" s="1994">
        <v>530209</v>
      </c>
      <c r="X384" s="1678" t="s">
        <v>17</v>
      </c>
      <c r="Y384" s="1678" t="s">
        <v>25</v>
      </c>
      <c r="Z384" s="3836">
        <f>+AB39</f>
        <v>30681</v>
      </c>
      <c r="AA384" s="692"/>
      <c r="AB384" s="10"/>
      <c r="AC384" s="10"/>
      <c r="AD384" s="143"/>
      <c r="AE384" s="143"/>
      <c r="AF384" s="143"/>
      <c r="AG384" s="143"/>
      <c r="AH384" s="143"/>
      <c r="AI384" s="143"/>
      <c r="AJ384" s="143"/>
      <c r="AK384" s="143"/>
    </row>
    <row r="385" spans="1:37" ht="33">
      <c r="A385" s="143"/>
      <c r="B385" s="143"/>
      <c r="C385" s="143"/>
      <c r="D385" s="143"/>
      <c r="E385" s="143"/>
      <c r="F385" s="143"/>
      <c r="G385" s="143"/>
      <c r="H385" s="143"/>
      <c r="I385" s="143"/>
      <c r="J385" s="143"/>
      <c r="K385" s="143"/>
      <c r="L385" s="143"/>
      <c r="M385" s="143"/>
      <c r="N385" s="143"/>
      <c r="O385" s="143"/>
      <c r="P385" s="143"/>
      <c r="Q385" s="145"/>
      <c r="R385" s="2117"/>
      <c r="S385" s="2188"/>
      <c r="T385" s="559"/>
      <c r="U385" s="3827" t="s">
        <v>15</v>
      </c>
      <c r="V385" s="953" t="s">
        <v>3860</v>
      </c>
      <c r="W385" s="1994">
        <v>530255</v>
      </c>
      <c r="X385" s="1678" t="s">
        <v>17</v>
      </c>
      <c r="Y385" s="1678" t="s">
        <v>18</v>
      </c>
      <c r="Z385" s="3836">
        <f>SUM(AB90)</f>
        <v>30040</v>
      </c>
      <c r="AA385" s="692"/>
      <c r="AB385" s="10"/>
      <c r="AC385" s="10"/>
      <c r="AD385" s="143"/>
      <c r="AE385" s="143"/>
      <c r="AF385" s="143"/>
      <c r="AG385" s="143"/>
      <c r="AH385" s="143"/>
      <c r="AI385" s="143"/>
      <c r="AJ385" s="143"/>
      <c r="AK385" s="143"/>
    </row>
    <row r="386" spans="1:37" ht="33">
      <c r="A386" s="143"/>
      <c r="B386" s="143"/>
      <c r="C386" s="143"/>
      <c r="D386" s="143"/>
      <c r="E386" s="143"/>
      <c r="F386" s="143"/>
      <c r="G386" s="143"/>
      <c r="H386" s="143"/>
      <c r="I386" s="143"/>
      <c r="J386" s="143"/>
      <c r="K386" s="143"/>
      <c r="L386" s="143"/>
      <c r="M386" s="143"/>
      <c r="N386" s="143"/>
      <c r="O386" s="143"/>
      <c r="P386" s="143"/>
      <c r="Q386" s="145"/>
      <c r="R386" s="2117"/>
      <c r="S386" s="2188"/>
      <c r="T386" s="559"/>
      <c r="U386" s="3827" t="s">
        <v>15</v>
      </c>
      <c r="V386" s="953" t="s">
        <v>27</v>
      </c>
      <c r="W386" s="1994">
        <v>530301</v>
      </c>
      <c r="X386" s="1678" t="s">
        <v>17</v>
      </c>
      <c r="Y386" s="1678" t="s">
        <v>18</v>
      </c>
      <c r="Z386" s="3836">
        <f>SUM(AB143)+AA334</f>
        <v>11700</v>
      </c>
      <c r="AA386" s="692"/>
      <c r="AB386" s="10"/>
      <c r="AC386" s="10"/>
      <c r="AD386" s="143"/>
      <c r="AE386" s="143"/>
      <c r="AF386" s="143"/>
      <c r="AG386" s="143"/>
      <c r="AH386" s="143"/>
      <c r="AI386" s="143"/>
      <c r="AJ386" s="143"/>
      <c r="AK386" s="143"/>
    </row>
    <row r="387" spans="1:37" ht="33">
      <c r="A387" s="143"/>
      <c r="B387" s="143"/>
      <c r="C387" s="143"/>
      <c r="D387" s="143"/>
      <c r="E387" s="143"/>
      <c r="F387" s="143"/>
      <c r="G387" s="143"/>
      <c r="H387" s="143"/>
      <c r="I387" s="143"/>
      <c r="J387" s="143"/>
      <c r="K387" s="143"/>
      <c r="L387" s="143"/>
      <c r="M387" s="143"/>
      <c r="N387" s="143"/>
      <c r="O387" s="143"/>
      <c r="P387" s="143"/>
      <c r="Q387" s="145"/>
      <c r="R387" s="2117"/>
      <c r="S387" s="2188"/>
      <c r="T387" s="559"/>
      <c r="U387" s="3827" t="s">
        <v>15</v>
      </c>
      <c r="V387" s="953" t="s">
        <v>1507</v>
      </c>
      <c r="W387" s="1994">
        <v>530302</v>
      </c>
      <c r="X387" s="1678" t="s">
        <v>17</v>
      </c>
      <c r="Y387" s="1678" t="s">
        <v>18</v>
      </c>
      <c r="Z387" s="3836">
        <f>+AB145</f>
        <v>2000</v>
      </c>
      <c r="AA387" s="692"/>
      <c r="AB387" s="10"/>
      <c r="AC387" s="10"/>
      <c r="AD387" s="143"/>
      <c r="AE387" s="143"/>
      <c r="AF387" s="143"/>
      <c r="AG387" s="143"/>
      <c r="AH387" s="143"/>
      <c r="AI387" s="143"/>
      <c r="AJ387" s="143"/>
      <c r="AK387" s="143"/>
    </row>
    <row r="388" spans="1:37" ht="49.5">
      <c r="A388" s="143"/>
      <c r="B388" s="143"/>
      <c r="C388" s="143"/>
      <c r="D388" s="143"/>
      <c r="E388" s="143"/>
      <c r="F388" s="143"/>
      <c r="G388" s="143"/>
      <c r="H388" s="143"/>
      <c r="I388" s="143"/>
      <c r="J388" s="143"/>
      <c r="K388" s="143"/>
      <c r="L388" s="143"/>
      <c r="M388" s="143"/>
      <c r="N388" s="143"/>
      <c r="O388" s="143"/>
      <c r="P388" s="143"/>
      <c r="Q388" s="145"/>
      <c r="R388" s="2117"/>
      <c r="S388" s="2188"/>
      <c r="T388" s="559"/>
      <c r="U388" s="3827" t="s">
        <v>15</v>
      </c>
      <c r="V388" s="953" t="s">
        <v>281</v>
      </c>
      <c r="W388" s="1994">
        <v>530402</v>
      </c>
      <c r="X388" s="1678" t="s">
        <v>17</v>
      </c>
      <c r="Y388" s="1678" t="s">
        <v>26</v>
      </c>
      <c r="Z388" s="3836">
        <f>SUM(AB277)</f>
        <v>90228.723928571417</v>
      </c>
      <c r="AA388" s="692"/>
      <c r="AB388" s="10"/>
      <c r="AC388" s="10"/>
      <c r="AD388" s="143"/>
      <c r="AE388" s="143"/>
      <c r="AF388" s="143"/>
      <c r="AG388" s="143"/>
      <c r="AH388" s="143"/>
      <c r="AI388" s="143"/>
      <c r="AJ388" s="143"/>
      <c r="AK388" s="143"/>
    </row>
    <row r="389" spans="1:37" ht="49.5">
      <c r="A389" s="143"/>
      <c r="B389" s="143"/>
      <c r="C389" s="143"/>
      <c r="D389" s="143"/>
      <c r="E389" s="143"/>
      <c r="F389" s="143"/>
      <c r="G389" s="143"/>
      <c r="H389" s="143"/>
      <c r="I389" s="143"/>
      <c r="J389" s="143"/>
      <c r="K389" s="143"/>
      <c r="L389" s="143"/>
      <c r="M389" s="143"/>
      <c r="N389" s="143"/>
      <c r="O389" s="143"/>
      <c r="P389" s="143"/>
      <c r="Q389" s="145"/>
      <c r="R389" s="2117"/>
      <c r="S389" s="2188"/>
      <c r="T389" s="559"/>
      <c r="U389" s="3827" t="s">
        <v>15</v>
      </c>
      <c r="V389" s="953" t="s">
        <v>281</v>
      </c>
      <c r="W389" s="1994">
        <v>530402</v>
      </c>
      <c r="X389" s="1678" t="s">
        <v>17</v>
      </c>
      <c r="Y389" s="1678" t="s">
        <v>18</v>
      </c>
      <c r="Z389" s="3836">
        <f>+AA322</f>
        <v>400</v>
      </c>
      <c r="AA389" s="692"/>
      <c r="AB389" s="10"/>
      <c r="AC389" s="10"/>
      <c r="AD389" s="143"/>
      <c r="AE389" s="143"/>
      <c r="AF389" s="143"/>
      <c r="AG389" s="143"/>
      <c r="AH389" s="143"/>
      <c r="AI389" s="143"/>
      <c r="AJ389" s="143"/>
      <c r="AK389" s="143"/>
    </row>
    <row r="390" spans="1:37" ht="33">
      <c r="A390" s="143"/>
      <c r="B390" s="143"/>
      <c r="C390" s="143"/>
      <c r="D390" s="143"/>
      <c r="E390" s="143"/>
      <c r="F390" s="143"/>
      <c r="G390" s="143"/>
      <c r="H390" s="143"/>
      <c r="I390" s="143"/>
      <c r="J390" s="143"/>
      <c r="K390" s="143"/>
      <c r="L390" s="143"/>
      <c r="M390" s="143"/>
      <c r="N390" s="143"/>
      <c r="O390" s="143"/>
      <c r="P390" s="143"/>
      <c r="Q390" s="145"/>
      <c r="R390" s="2117"/>
      <c r="S390" s="2188"/>
      <c r="T390" s="559"/>
      <c r="U390" s="3827" t="s">
        <v>15</v>
      </c>
      <c r="V390" s="953" t="s">
        <v>3823</v>
      </c>
      <c r="W390" s="1994">
        <v>530403</v>
      </c>
      <c r="X390" s="1678" t="s">
        <v>17</v>
      </c>
      <c r="Y390" s="1678" t="s">
        <v>18</v>
      </c>
      <c r="Z390" s="3836">
        <f>+AB69+AA323</f>
        <v>13392.859996800002</v>
      </c>
      <c r="AA390" s="692"/>
      <c r="AB390" s="10"/>
      <c r="AC390" s="10"/>
      <c r="AD390" s="143"/>
      <c r="AE390" s="143"/>
      <c r="AF390" s="143"/>
      <c r="AG390" s="143"/>
      <c r="AH390" s="143"/>
      <c r="AI390" s="143"/>
      <c r="AJ390" s="143"/>
      <c r="AK390" s="143"/>
    </row>
    <row r="391" spans="1:37" ht="33">
      <c r="A391" s="143"/>
      <c r="B391" s="143"/>
      <c r="C391" s="143"/>
      <c r="D391" s="143"/>
      <c r="E391" s="143"/>
      <c r="F391" s="143"/>
      <c r="G391" s="143"/>
      <c r="H391" s="143"/>
      <c r="I391" s="143"/>
      <c r="J391" s="143"/>
      <c r="K391" s="143"/>
      <c r="L391" s="143"/>
      <c r="M391" s="143"/>
      <c r="N391" s="143"/>
      <c r="O391" s="143"/>
      <c r="P391" s="143"/>
      <c r="Q391" s="145"/>
      <c r="R391" s="2117"/>
      <c r="S391" s="2198"/>
      <c r="T391" s="559"/>
      <c r="U391" s="3827" t="s">
        <v>15</v>
      </c>
      <c r="V391" s="953" t="s">
        <v>4096</v>
      </c>
      <c r="W391" s="1994">
        <v>530404</v>
      </c>
      <c r="X391" s="1678" t="s">
        <v>17</v>
      </c>
      <c r="Y391" s="1678" t="s">
        <v>18</v>
      </c>
      <c r="Z391" s="3836">
        <f>+AB295+AA324</f>
        <v>15930.483199999999</v>
      </c>
      <c r="AA391" s="692"/>
      <c r="AB391" s="10"/>
      <c r="AC391" s="10"/>
      <c r="AD391" s="143"/>
      <c r="AE391" s="143"/>
      <c r="AF391" s="143"/>
      <c r="AG391" s="143"/>
      <c r="AH391" s="143"/>
      <c r="AI391" s="143"/>
      <c r="AJ391" s="143"/>
      <c r="AK391" s="143"/>
    </row>
    <row r="392" spans="1:37" ht="33">
      <c r="A392" s="100"/>
      <c r="B392" s="100"/>
      <c r="C392" s="100"/>
      <c r="D392" s="100"/>
      <c r="E392" s="100"/>
      <c r="F392" s="100"/>
      <c r="G392" s="100"/>
      <c r="H392" s="100"/>
      <c r="I392" s="100"/>
      <c r="J392" s="100"/>
      <c r="K392" s="100"/>
      <c r="L392" s="100"/>
      <c r="M392" s="100"/>
      <c r="N392" s="100"/>
      <c r="O392" s="100"/>
      <c r="P392" s="100"/>
      <c r="Q392" s="106"/>
      <c r="R392" s="82"/>
      <c r="S392" s="125"/>
      <c r="T392" s="2154"/>
      <c r="U392" s="3827" t="s">
        <v>15</v>
      </c>
      <c r="V392" s="953" t="s">
        <v>3855</v>
      </c>
      <c r="W392" s="1994">
        <v>530405</v>
      </c>
      <c r="X392" s="1678" t="s">
        <v>17</v>
      </c>
      <c r="Y392" s="1678" t="s">
        <v>26</v>
      </c>
      <c r="Z392" s="3836">
        <f>AB87</f>
        <v>6109.1900000000005</v>
      </c>
      <c r="AA392" s="692"/>
      <c r="AB392" s="10"/>
      <c r="AC392" s="10"/>
      <c r="AD392" s="100"/>
      <c r="AE392" s="100"/>
      <c r="AF392" s="100"/>
      <c r="AG392" s="100"/>
      <c r="AH392" s="100"/>
      <c r="AI392" s="100"/>
      <c r="AJ392" s="100"/>
      <c r="AK392" s="100"/>
    </row>
    <row r="393" spans="1:37" ht="33">
      <c r="A393" s="100"/>
      <c r="B393" s="100"/>
      <c r="C393" s="100"/>
      <c r="D393" s="100"/>
      <c r="E393" s="100"/>
      <c r="F393" s="100"/>
      <c r="G393" s="100"/>
      <c r="H393" s="100"/>
      <c r="I393" s="100"/>
      <c r="J393" s="100"/>
      <c r="K393" s="100"/>
      <c r="L393" s="100"/>
      <c r="M393" s="100"/>
      <c r="N393" s="100"/>
      <c r="O393" s="100"/>
      <c r="P393" s="100"/>
      <c r="Q393" s="106"/>
      <c r="R393" s="82"/>
      <c r="S393" s="125"/>
      <c r="T393" s="2154"/>
      <c r="U393" s="3827" t="s">
        <v>15</v>
      </c>
      <c r="V393" s="953" t="s">
        <v>3855</v>
      </c>
      <c r="W393" s="1994">
        <v>530405</v>
      </c>
      <c r="X393" s="1678" t="s">
        <v>17</v>
      </c>
      <c r="Y393" s="1678" t="s">
        <v>18</v>
      </c>
      <c r="Z393" s="3836">
        <f>SUM(AB85)</f>
        <v>50357.62</v>
      </c>
      <c r="AA393" s="692"/>
      <c r="AB393" s="10"/>
      <c r="AC393" s="10"/>
      <c r="AD393" s="100"/>
      <c r="AE393" s="100"/>
      <c r="AF393" s="100"/>
      <c r="AG393" s="100"/>
      <c r="AH393" s="100"/>
      <c r="AI393" s="100"/>
      <c r="AJ393" s="100"/>
      <c r="AK393" s="100"/>
    </row>
    <row r="394" spans="1:37" ht="33">
      <c r="A394" s="100"/>
      <c r="B394" s="100"/>
      <c r="C394" s="100"/>
      <c r="D394" s="100"/>
      <c r="E394" s="100"/>
      <c r="F394" s="100"/>
      <c r="G394" s="100"/>
      <c r="H394" s="100"/>
      <c r="I394" s="100"/>
      <c r="J394" s="100"/>
      <c r="K394" s="100"/>
      <c r="L394" s="100"/>
      <c r="M394" s="100"/>
      <c r="N394" s="100"/>
      <c r="O394" s="100"/>
      <c r="P394" s="100"/>
      <c r="Q394" s="106"/>
      <c r="R394" s="82"/>
      <c r="S394" s="125"/>
      <c r="T394" s="2154"/>
      <c r="U394" s="3827" t="s">
        <v>15</v>
      </c>
      <c r="V394" s="953" t="s">
        <v>4139</v>
      </c>
      <c r="W394" s="1994">
        <v>530406</v>
      </c>
      <c r="X394" s="1678" t="s">
        <v>17</v>
      </c>
      <c r="Y394" s="1678" t="s">
        <v>18</v>
      </c>
      <c r="Z394" s="3836">
        <f>+AA325</f>
        <v>200</v>
      </c>
      <c r="AA394" s="692"/>
      <c r="AB394" s="10"/>
      <c r="AC394" s="10"/>
      <c r="AD394" s="100"/>
      <c r="AE394" s="100"/>
      <c r="AF394" s="100"/>
      <c r="AG394" s="100"/>
      <c r="AH394" s="100"/>
      <c r="AI394" s="100"/>
      <c r="AJ394" s="100"/>
      <c r="AK394" s="100"/>
    </row>
    <row r="395" spans="1:37" ht="33">
      <c r="A395" s="100"/>
      <c r="B395" s="100"/>
      <c r="C395" s="100"/>
      <c r="D395" s="100"/>
      <c r="E395" s="100"/>
      <c r="F395" s="100"/>
      <c r="G395" s="100"/>
      <c r="H395" s="100"/>
      <c r="I395" s="100"/>
      <c r="J395" s="100"/>
      <c r="K395" s="100"/>
      <c r="L395" s="100"/>
      <c r="M395" s="100"/>
      <c r="N395" s="100"/>
      <c r="O395" s="100"/>
      <c r="P395" s="100"/>
      <c r="Q395" s="106"/>
      <c r="R395" s="82"/>
      <c r="S395" s="125"/>
      <c r="T395" s="2154"/>
      <c r="U395" s="3827" t="s">
        <v>15</v>
      </c>
      <c r="V395" s="953" t="s">
        <v>761</v>
      </c>
      <c r="W395" s="1994">
        <v>530601</v>
      </c>
      <c r="X395" s="1678" t="s">
        <v>17</v>
      </c>
      <c r="Y395" s="1678" t="s">
        <v>25</v>
      </c>
      <c r="Z395" s="3836">
        <f>+AB315</f>
        <v>121940.59</v>
      </c>
      <c r="AA395" s="692"/>
      <c r="AB395" s="10"/>
      <c r="AC395" s="10"/>
      <c r="AD395" s="100"/>
      <c r="AE395" s="100"/>
      <c r="AF395" s="100"/>
      <c r="AG395" s="100"/>
      <c r="AH395" s="100"/>
      <c r="AI395" s="100"/>
      <c r="AJ395" s="100"/>
      <c r="AK395" s="100"/>
    </row>
    <row r="396" spans="1:37" ht="33">
      <c r="A396" s="100"/>
      <c r="B396" s="100"/>
      <c r="C396" s="100"/>
      <c r="D396" s="100"/>
      <c r="E396" s="100"/>
      <c r="F396" s="100"/>
      <c r="G396" s="100"/>
      <c r="H396" s="100"/>
      <c r="I396" s="100"/>
      <c r="J396" s="100"/>
      <c r="K396" s="100"/>
      <c r="L396" s="100"/>
      <c r="M396" s="100"/>
      <c r="N396" s="100"/>
      <c r="O396" s="100"/>
      <c r="P396" s="100"/>
      <c r="Q396" s="106"/>
      <c r="R396" s="82"/>
      <c r="S396" s="125"/>
      <c r="T396" s="2154"/>
      <c r="U396" s="3827" t="s">
        <v>15</v>
      </c>
      <c r="V396" s="953" t="s">
        <v>761</v>
      </c>
      <c r="W396" s="1994">
        <v>530601</v>
      </c>
      <c r="X396" s="1678" t="s">
        <v>17</v>
      </c>
      <c r="Y396" s="1678" t="s">
        <v>18</v>
      </c>
      <c r="Z396" s="3836">
        <f>+AB317</f>
        <v>60000</v>
      </c>
      <c r="AA396" s="692"/>
      <c r="AB396" s="10"/>
      <c r="AC396" s="10"/>
      <c r="AD396" s="100"/>
      <c r="AE396" s="100"/>
      <c r="AF396" s="100"/>
      <c r="AG396" s="100"/>
      <c r="AH396" s="100"/>
      <c r="AI396" s="100"/>
      <c r="AJ396" s="100"/>
      <c r="AK396" s="100"/>
    </row>
    <row r="397" spans="1:37" ht="33">
      <c r="A397" s="100"/>
      <c r="B397" s="100"/>
      <c r="C397" s="100"/>
      <c r="D397" s="100"/>
      <c r="E397" s="100"/>
      <c r="F397" s="100"/>
      <c r="G397" s="100"/>
      <c r="H397" s="100"/>
      <c r="I397" s="100"/>
      <c r="J397" s="100"/>
      <c r="K397" s="100"/>
      <c r="L397" s="100"/>
      <c r="M397" s="100"/>
      <c r="N397" s="100"/>
      <c r="O397" s="100"/>
      <c r="P397" s="100"/>
      <c r="Q397" s="106"/>
      <c r="R397" s="82"/>
      <c r="S397" s="125"/>
      <c r="T397" s="2154"/>
      <c r="U397" s="3827" t="s">
        <v>15</v>
      </c>
      <c r="V397" s="953" t="s">
        <v>33</v>
      </c>
      <c r="W397" s="1994">
        <v>530702</v>
      </c>
      <c r="X397" s="1678" t="s">
        <v>17</v>
      </c>
      <c r="Y397" s="1678" t="s">
        <v>26</v>
      </c>
      <c r="Z397" s="3836">
        <f>+AB309</f>
        <v>2232.1428571428569</v>
      </c>
      <c r="AA397" s="692"/>
      <c r="AB397" s="10"/>
      <c r="AC397" s="10"/>
      <c r="AD397" s="100"/>
      <c r="AE397" s="100"/>
      <c r="AF397" s="100"/>
      <c r="AG397" s="100"/>
      <c r="AH397" s="100"/>
      <c r="AI397" s="100"/>
      <c r="AJ397" s="100"/>
      <c r="AK397" s="100"/>
    </row>
    <row r="398" spans="1:37" ht="33">
      <c r="A398" s="100"/>
      <c r="B398" s="100"/>
      <c r="C398" s="100"/>
      <c r="D398" s="100"/>
      <c r="E398" s="100"/>
      <c r="F398" s="100"/>
      <c r="G398" s="100"/>
      <c r="H398" s="100"/>
      <c r="I398" s="100"/>
      <c r="J398" s="100"/>
      <c r="K398" s="100"/>
      <c r="L398" s="100"/>
      <c r="M398" s="100"/>
      <c r="N398" s="100"/>
      <c r="O398" s="100"/>
      <c r="P398" s="100"/>
      <c r="Q398" s="106"/>
      <c r="R398" s="82"/>
      <c r="S398" s="125"/>
      <c r="T398" s="2154"/>
      <c r="U398" s="3827" t="s">
        <v>15</v>
      </c>
      <c r="V398" s="953" t="s">
        <v>148</v>
      </c>
      <c r="W398" s="1994">
        <v>530704</v>
      </c>
      <c r="X398" s="1678" t="s">
        <v>17</v>
      </c>
      <c r="Y398" s="1678" t="s">
        <v>18</v>
      </c>
      <c r="Z398" s="3836">
        <f>+AB99+AA335</f>
        <v>250</v>
      </c>
      <c r="AA398" s="692"/>
      <c r="AB398" s="10"/>
      <c r="AC398" s="10"/>
      <c r="AD398" s="100"/>
      <c r="AE398" s="100"/>
      <c r="AF398" s="100"/>
      <c r="AG398" s="100"/>
      <c r="AH398" s="100"/>
      <c r="AI398" s="100"/>
      <c r="AJ398" s="100"/>
      <c r="AK398" s="100"/>
    </row>
    <row r="399" spans="1:37" ht="33">
      <c r="A399" s="143"/>
      <c r="B399" s="143"/>
      <c r="C399" s="143"/>
      <c r="D399" s="143"/>
      <c r="E399" s="143"/>
      <c r="F399" s="143"/>
      <c r="G399" s="143"/>
      <c r="H399" s="143"/>
      <c r="I399" s="143"/>
      <c r="J399" s="143"/>
      <c r="K399" s="143"/>
      <c r="L399" s="143"/>
      <c r="M399" s="143"/>
      <c r="N399" s="143"/>
      <c r="O399" s="143"/>
      <c r="P399" s="143"/>
      <c r="Q399" s="145"/>
      <c r="R399" s="2117"/>
      <c r="S399" s="2188"/>
      <c r="T399" s="559"/>
      <c r="U399" s="3827" t="s">
        <v>15</v>
      </c>
      <c r="V399" s="953" t="s">
        <v>3862</v>
      </c>
      <c r="W399" s="1994">
        <v>530803</v>
      </c>
      <c r="X399" s="1678" t="s">
        <v>17</v>
      </c>
      <c r="Y399" s="1678" t="s">
        <v>18</v>
      </c>
      <c r="Z399" s="3836">
        <f>AB92</f>
        <v>5000</v>
      </c>
      <c r="AA399" s="692"/>
      <c r="AB399" s="10"/>
      <c r="AC399" s="10"/>
      <c r="AD399" s="143"/>
      <c r="AE399" s="143"/>
      <c r="AF399" s="143"/>
      <c r="AG399" s="143"/>
      <c r="AH399" s="143"/>
      <c r="AI399" s="143"/>
      <c r="AJ399" s="143"/>
      <c r="AK399" s="143"/>
    </row>
    <row r="400" spans="1:37" ht="33">
      <c r="A400" s="100"/>
      <c r="B400" s="100"/>
      <c r="C400" s="100"/>
      <c r="D400" s="100"/>
      <c r="E400" s="100"/>
      <c r="F400" s="100"/>
      <c r="G400" s="100"/>
      <c r="H400" s="100"/>
      <c r="I400" s="100"/>
      <c r="J400" s="100"/>
      <c r="K400" s="100"/>
      <c r="L400" s="100"/>
      <c r="M400" s="100"/>
      <c r="N400" s="100"/>
      <c r="O400" s="100"/>
      <c r="P400" s="100"/>
      <c r="Q400" s="106"/>
      <c r="R400" s="82"/>
      <c r="S400" s="125"/>
      <c r="T400" s="2154"/>
      <c r="U400" s="3827" t="s">
        <v>15</v>
      </c>
      <c r="V400" s="953" t="s">
        <v>2003</v>
      </c>
      <c r="W400" s="1994">
        <v>530804</v>
      </c>
      <c r="X400" s="1678" t="s">
        <v>17</v>
      </c>
      <c r="Y400" s="1678" t="s">
        <v>26</v>
      </c>
      <c r="Z400" s="3836">
        <f>SUM(AB58)</f>
        <v>13350.27</v>
      </c>
      <c r="AA400" s="692"/>
      <c r="AB400" s="10"/>
      <c r="AC400" s="10"/>
      <c r="AD400" s="100"/>
      <c r="AE400" s="100"/>
      <c r="AF400" s="100"/>
      <c r="AG400" s="100"/>
      <c r="AH400" s="100"/>
      <c r="AI400" s="100"/>
      <c r="AJ400" s="100"/>
      <c r="AK400" s="100"/>
    </row>
    <row r="401" spans="1:37" ht="33">
      <c r="A401" s="143"/>
      <c r="B401" s="143"/>
      <c r="C401" s="143"/>
      <c r="D401" s="143"/>
      <c r="E401" s="143"/>
      <c r="F401" s="143"/>
      <c r="G401" s="143"/>
      <c r="H401" s="143"/>
      <c r="I401" s="143"/>
      <c r="J401" s="143"/>
      <c r="K401" s="143"/>
      <c r="L401" s="143"/>
      <c r="M401" s="143"/>
      <c r="N401" s="143"/>
      <c r="O401" s="143"/>
      <c r="P401" s="143"/>
      <c r="Q401" s="145"/>
      <c r="R401" s="2117"/>
      <c r="S401" s="2188"/>
      <c r="T401" s="559"/>
      <c r="U401" s="3827" t="s">
        <v>15</v>
      </c>
      <c r="V401" s="953" t="s">
        <v>3817</v>
      </c>
      <c r="W401" s="1994">
        <v>530805</v>
      </c>
      <c r="X401" s="1678" t="s">
        <v>17</v>
      </c>
      <c r="Y401" s="1678" t="s">
        <v>18</v>
      </c>
      <c r="Z401" s="3836">
        <f>SUM(AB60)+AA326</f>
        <v>12534.49</v>
      </c>
      <c r="AA401" s="692"/>
      <c r="AB401" s="10"/>
      <c r="AC401" s="10"/>
      <c r="AD401" s="143"/>
      <c r="AE401" s="143"/>
      <c r="AF401" s="143"/>
      <c r="AG401" s="143"/>
      <c r="AH401" s="143"/>
      <c r="AI401" s="143"/>
      <c r="AJ401" s="143"/>
      <c r="AK401" s="143"/>
    </row>
    <row r="402" spans="1:37" ht="33">
      <c r="A402" s="143"/>
      <c r="B402" s="143"/>
      <c r="C402" s="143"/>
      <c r="D402" s="143"/>
      <c r="E402" s="143"/>
      <c r="F402" s="143"/>
      <c r="G402" s="143"/>
      <c r="H402" s="143"/>
      <c r="I402" s="143"/>
      <c r="J402" s="143"/>
      <c r="K402" s="143"/>
      <c r="L402" s="143"/>
      <c r="M402" s="143"/>
      <c r="N402" s="143"/>
      <c r="O402" s="143"/>
      <c r="P402" s="143"/>
      <c r="Q402" s="145"/>
      <c r="R402" s="2117"/>
      <c r="S402" s="2188"/>
      <c r="T402" s="559"/>
      <c r="U402" s="3827" t="s">
        <v>15</v>
      </c>
      <c r="V402" s="953" t="s">
        <v>1006</v>
      </c>
      <c r="W402" s="1994">
        <v>530807</v>
      </c>
      <c r="X402" s="1678" t="s">
        <v>17</v>
      </c>
      <c r="Y402" s="1678" t="s">
        <v>18</v>
      </c>
      <c r="Z402" s="3836">
        <f>SUM(AB62)</f>
        <v>10917.78</v>
      </c>
      <c r="AA402" s="692"/>
      <c r="AB402" s="10"/>
      <c r="AC402" s="10"/>
      <c r="AD402" s="143"/>
      <c r="AE402" s="143"/>
      <c r="AF402" s="143"/>
      <c r="AG402" s="143"/>
      <c r="AH402" s="143"/>
      <c r="AI402" s="143"/>
      <c r="AJ402" s="143"/>
      <c r="AK402" s="143"/>
    </row>
    <row r="403" spans="1:37" ht="66">
      <c r="A403" s="143"/>
      <c r="B403" s="143"/>
      <c r="C403" s="143"/>
      <c r="D403" s="143"/>
      <c r="E403" s="143"/>
      <c r="F403" s="143"/>
      <c r="G403" s="143"/>
      <c r="H403" s="143"/>
      <c r="I403" s="143"/>
      <c r="J403" s="143"/>
      <c r="K403" s="143"/>
      <c r="L403" s="143"/>
      <c r="M403" s="143"/>
      <c r="N403" s="143"/>
      <c r="O403" s="143"/>
      <c r="P403" s="143"/>
      <c r="Q403" s="145"/>
      <c r="R403" s="2117"/>
      <c r="S403" s="2198"/>
      <c r="T403" s="559"/>
      <c r="U403" s="3827" t="s">
        <v>15</v>
      </c>
      <c r="V403" s="953" t="s">
        <v>2234</v>
      </c>
      <c r="W403" s="1994">
        <v>530811</v>
      </c>
      <c r="X403" s="1678" t="s">
        <v>17</v>
      </c>
      <c r="Y403" s="1678" t="s">
        <v>18</v>
      </c>
      <c r="Z403" s="3836">
        <f>SUM($AB$243,$AB$306)+AA327</f>
        <v>11785.650000000001</v>
      </c>
      <c r="AA403" s="692"/>
      <c r="AB403" s="10"/>
      <c r="AC403" s="10"/>
      <c r="AD403" s="143"/>
      <c r="AE403" s="143"/>
      <c r="AF403" s="143"/>
      <c r="AG403" s="143"/>
      <c r="AH403" s="143"/>
      <c r="AI403" s="143"/>
      <c r="AJ403" s="143"/>
      <c r="AK403" s="143"/>
    </row>
    <row r="404" spans="1:37" ht="33">
      <c r="A404" s="143"/>
      <c r="B404" s="143"/>
      <c r="C404" s="143"/>
      <c r="D404" s="143"/>
      <c r="E404" s="143"/>
      <c r="F404" s="143"/>
      <c r="G404" s="143"/>
      <c r="H404" s="143"/>
      <c r="I404" s="143"/>
      <c r="J404" s="143"/>
      <c r="K404" s="143"/>
      <c r="L404" s="143"/>
      <c r="M404" s="143"/>
      <c r="N404" s="143"/>
      <c r="O404" s="143"/>
      <c r="P404" s="143"/>
      <c r="Q404" s="145"/>
      <c r="R404" s="2117"/>
      <c r="S404" s="2188"/>
      <c r="T404" s="559"/>
      <c r="U404" s="3827" t="s">
        <v>15</v>
      </c>
      <c r="V404" s="953" t="s">
        <v>2694</v>
      </c>
      <c r="W404" s="1994">
        <v>530813</v>
      </c>
      <c r="X404" s="1678" t="s">
        <v>17</v>
      </c>
      <c r="Y404" s="1678" t="s">
        <v>18</v>
      </c>
      <c r="Z404" s="3836">
        <f>SUM($AB$116,$AB$313)+AA328</f>
        <v>2863.24</v>
      </c>
      <c r="AA404" s="692"/>
      <c r="AB404" s="10"/>
      <c r="AC404" s="10"/>
      <c r="AD404" s="143"/>
      <c r="AE404" s="143"/>
      <c r="AF404" s="143"/>
      <c r="AG404" s="143"/>
      <c r="AH404" s="143"/>
      <c r="AI404" s="143"/>
      <c r="AJ404" s="143"/>
      <c r="AK404" s="143"/>
    </row>
    <row r="405" spans="1:37" ht="33">
      <c r="A405" s="143"/>
      <c r="B405" s="143"/>
      <c r="C405" s="143"/>
      <c r="D405" s="143"/>
      <c r="E405" s="143"/>
      <c r="F405" s="143"/>
      <c r="G405" s="143"/>
      <c r="H405" s="143"/>
      <c r="I405" s="143"/>
      <c r="J405" s="143"/>
      <c r="K405" s="143"/>
      <c r="L405" s="143"/>
      <c r="M405" s="143"/>
      <c r="N405" s="143"/>
      <c r="O405" s="143"/>
      <c r="P405" s="143"/>
      <c r="Q405" s="145"/>
      <c r="R405" s="2117"/>
      <c r="S405" s="2188"/>
      <c r="T405" s="559"/>
      <c r="U405" s="3827" t="s">
        <v>15</v>
      </c>
      <c r="V405" s="961" t="s">
        <v>4141</v>
      </c>
      <c r="W405" s="1995">
        <v>530819</v>
      </c>
      <c r="X405" s="1755" t="s">
        <v>17</v>
      </c>
      <c r="Y405" s="1755" t="s">
        <v>18</v>
      </c>
      <c r="Z405" s="3842">
        <f>+AA329</f>
        <v>100</v>
      </c>
      <c r="AA405" s="692"/>
      <c r="AB405" s="10"/>
      <c r="AC405" s="10"/>
      <c r="AD405" s="143"/>
      <c r="AE405" s="143"/>
      <c r="AF405" s="143"/>
      <c r="AG405" s="143"/>
      <c r="AH405" s="143"/>
      <c r="AI405" s="143"/>
      <c r="AJ405" s="143"/>
      <c r="AK405" s="143"/>
    </row>
    <row r="406" spans="1:37" ht="33">
      <c r="A406" s="143"/>
      <c r="B406" s="143"/>
      <c r="C406" s="143"/>
      <c r="D406" s="143"/>
      <c r="E406" s="143"/>
      <c r="F406" s="143"/>
      <c r="G406" s="143"/>
      <c r="H406" s="143"/>
      <c r="I406" s="143"/>
      <c r="J406" s="143"/>
      <c r="K406" s="143"/>
      <c r="L406" s="143"/>
      <c r="M406" s="143"/>
      <c r="N406" s="143"/>
      <c r="O406" s="143"/>
      <c r="P406" s="143"/>
      <c r="Q406" s="145"/>
      <c r="R406" s="2117"/>
      <c r="S406" s="2188"/>
      <c r="T406" s="559"/>
      <c r="U406" s="3828" t="s">
        <v>15</v>
      </c>
      <c r="V406" s="961" t="s">
        <v>39</v>
      </c>
      <c r="W406" s="1995">
        <v>531404</v>
      </c>
      <c r="X406" s="1755" t="s">
        <v>17</v>
      </c>
      <c r="Y406" s="1755" t="s">
        <v>18</v>
      </c>
      <c r="Z406" s="3842">
        <f>SUM(AB109)</f>
        <v>0</v>
      </c>
      <c r="AA406" s="692"/>
      <c r="AB406" s="10"/>
      <c r="AC406" s="10"/>
      <c r="AD406" s="143"/>
      <c r="AE406" s="143"/>
      <c r="AF406" s="143"/>
      <c r="AG406" s="143"/>
      <c r="AH406" s="143"/>
      <c r="AI406" s="143"/>
      <c r="AJ406" s="143"/>
      <c r="AK406" s="143"/>
    </row>
    <row r="407" spans="1:37" ht="33">
      <c r="A407" s="143"/>
      <c r="B407" s="143"/>
      <c r="C407" s="143"/>
      <c r="D407" s="143"/>
      <c r="E407" s="143"/>
      <c r="F407" s="143"/>
      <c r="G407" s="143"/>
      <c r="H407" s="143"/>
      <c r="I407" s="143"/>
      <c r="J407" s="143"/>
      <c r="K407" s="143"/>
      <c r="L407" s="143"/>
      <c r="M407" s="143"/>
      <c r="N407" s="143"/>
      <c r="O407" s="143"/>
      <c r="P407" s="143"/>
      <c r="Q407" s="145"/>
      <c r="R407" s="2117"/>
      <c r="S407" s="2188"/>
      <c r="T407" s="559"/>
      <c r="U407" s="3828" t="s">
        <v>15</v>
      </c>
      <c r="V407" s="961" t="s">
        <v>4163</v>
      </c>
      <c r="W407" s="1995">
        <v>531406</v>
      </c>
      <c r="X407" s="1755" t="s">
        <v>17</v>
      </c>
      <c r="Y407" s="1755" t="s">
        <v>18</v>
      </c>
      <c r="Z407" s="3842">
        <f>+AB346</f>
        <v>1828.02</v>
      </c>
      <c r="AA407" s="692"/>
      <c r="AB407" s="10"/>
      <c r="AC407" s="10"/>
      <c r="AD407" s="143"/>
      <c r="AE407" s="143"/>
      <c r="AF407" s="143"/>
      <c r="AG407" s="143"/>
      <c r="AH407" s="143"/>
      <c r="AI407" s="143"/>
      <c r="AJ407" s="143"/>
      <c r="AK407" s="143"/>
    </row>
    <row r="408" spans="1:37" ht="33">
      <c r="A408" s="143"/>
      <c r="B408" s="143"/>
      <c r="C408" s="143"/>
      <c r="D408" s="143"/>
      <c r="E408" s="143"/>
      <c r="F408" s="143"/>
      <c r="G408" s="143"/>
      <c r="H408" s="143"/>
      <c r="I408" s="143"/>
      <c r="J408" s="143"/>
      <c r="K408" s="143"/>
      <c r="L408" s="143"/>
      <c r="M408" s="143"/>
      <c r="N408" s="143"/>
      <c r="O408" s="143"/>
      <c r="P408" s="143"/>
      <c r="Q408" s="145"/>
      <c r="R408" s="2117"/>
      <c r="S408" s="2188"/>
      <c r="T408" s="559"/>
      <c r="U408" s="951" t="s">
        <v>15</v>
      </c>
      <c r="V408" s="953" t="s">
        <v>40</v>
      </c>
      <c r="W408" s="1994">
        <v>531407</v>
      </c>
      <c r="X408" s="1678" t="s">
        <v>17</v>
      </c>
      <c r="Y408" s="1678" t="s">
        <v>18</v>
      </c>
      <c r="Z408" s="3836">
        <f>SUM(AB71)</f>
        <v>896.40000000000009</v>
      </c>
      <c r="AA408" s="691"/>
      <c r="AB408" s="10"/>
      <c r="AC408" s="10"/>
      <c r="AD408" s="143"/>
      <c r="AE408" s="143"/>
      <c r="AF408" s="143"/>
      <c r="AG408" s="143"/>
      <c r="AH408" s="143"/>
      <c r="AI408" s="143"/>
      <c r="AJ408" s="143"/>
      <c r="AK408" s="143"/>
    </row>
    <row r="409" spans="1:37" ht="33">
      <c r="A409" s="143"/>
      <c r="B409" s="143"/>
      <c r="C409" s="143"/>
      <c r="D409" s="143"/>
      <c r="E409" s="143"/>
      <c r="F409" s="143"/>
      <c r="G409" s="143"/>
      <c r="H409" s="143"/>
      <c r="I409" s="143"/>
      <c r="J409" s="143"/>
      <c r="K409" s="143"/>
      <c r="L409" s="143"/>
      <c r="M409" s="143"/>
      <c r="N409" s="143"/>
      <c r="O409" s="143"/>
      <c r="P409" s="143"/>
      <c r="Q409" s="145"/>
      <c r="R409" s="2117"/>
      <c r="S409" s="2188"/>
      <c r="T409" s="559"/>
      <c r="U409" s="951" t="s">
        <v>15</v>
      </c>
      <c r="V409" s="953" t="s">
        <v>4183</v>
      </c>
      <c r="W409" s="1994">
        <v>531601</v>
      </c>
      <c r="X409" s="1678" t="s">
        <v>17</v>
      </c>
      <c r="Y409" s="1678" t="s">
        <v>18</v>
      </c>
      <c r="Z409" s="3836">
        <f>AB319</f>
        <v>0</v>
      </c>
      <c r="AA409" s="691"/>
      <c r="AB409" s="10"/>
      <c r="AC409" s="10"/>
      <c r="AD409" s="143"/>
      <c r="AE409" s="143"/>
      <c r="AF409" s="143"/>
      <c r="AG409" s="143"/>
      <c r="AH409" s="143"/>
      <c r="AI409" s="143"/>
      <c r="AJ409" s="143"/>
      <c r="AK409" s="143"/>
    </row>
    <row r="410" spans="1:37" ht="33">
      <c r="A410" s="143"/>
      <c r="B410" s="143"/>
      <c r="C410" s="143"/>
      <c r="D410" s="143"/>
      <c r="E410" s="143"/>
      <c r="F410" s="143"/>
      <c r="G410" s="143"/>
      <c r="H410" s="143"/>
      <c r="I410" s="143"/>
      <c r="J410" s="143"/>
      <c r="K410" s="143"/>
      <c r="L410" s="143"/>
      <c r="M410" s="143"/>
      <c r="N410" s="143"/>
      <c r="O410" s="143"/>
      <c r="P410" s="143"/>
      <c r="Q410" s="145"/>
      <c r="R410" s="2117"/>
      <c r="S410" s="2188"/>
      <c r="T410" s="559"/>
      <c r="U410" s="951" t="s">
        <v>15</v>
      </c>
      <c r="V410" s="953" t="s">
        <v>680</v>
      </c>
      <c r="W410" s="1994">
        <v>570102</v>
      </c>
      <c r="X410" s="1678" t="s">
        <v>17</v>
      </c>
      <c r="Y410" s="1678" t="s">
        <v>26</v>
      </c>
      <c r="Z410" s="3836">
        <f>SUM(AB47)</f>
        <v>73833.86</v>
      </c>
      <c r="AA410" s="692"/>
      <c r="AB410" s="10"/>
      <c r="AC410" s="10"/>
      <c r="AD410" s="143"/>
      <c r="AE410" s="143"/>
      <c r="AF410" s="143"/>
      <c r="AG410" s="143"/>
      <c r="AH410" s="143"/>
      <c r="AI410" s="143"/>
      <c r="AJ410" s="143"/>
      <c r="AK410" s="143"/>
    </row>
    <row r="411" spans="1:37" ht="33">
      <c r="A411" s="143"/>
      <c r="B411" s="143"/>
      <c r="C411" s="143"/>
      <c r="D411" s="143"/>
      <c r="E411" s="143"/>
      <c r="F411" s="143"/>
      <c r="G411" s="143"/>
      <c r="H411" s="143"/>
      <c r="I411" s="143"/>
      <c r="J411" s="143"/>
      <c r="K411" s="143"/>
      <c r="L411" s="143"/>
      <c r="M411" s="143"/>
      <c r="N411" s="143"/>
      <c r="O411" s="143"/>
      <c r="P411" s="143"/>
      <c r="Q411" s="145"/>
      <c r="R411" s="2117"/>
      <c r="S411" s="2188"/>
      <c r="T411" s="559"/>
      <c r="U411" s="951" t="s">
        <v>15</v>
      </c>
      <c r="V411" s="953" t="s">
        <v>680</v>
      </c>
      <c r="W411" s="1994">
        <v>570102</v>
      </c>
      <c r="X411" s="1678" t="s">
        <v>17</v>
      </c>
      <c r="Y411" s="1678" t="s">
        <v>18</v>
      </c>
      <c r="Z411" s="3836">
        <f>+AB124+AA330</f>
        <v>51500</v>
      </c>
      <c r="AA411" s="692"/>
      <c r="AB411" s="10"/>
      <c r="AC411" s="10"/>
      <c r="AD411" s="143"/>
      <c r="AE411" s="143"/>
      <c r="AF411" s="143"/>
      <c r="AG411" s="143"/>
      <c r="AH411" s="143"/>
      <c r="AI411" s="143"/>
      <c r="AJ411" s="143"/>
      <c r="AK411" s="143"/>
    </row>
    <row r="412" spans="1:37" ht="33">
      <c r="A412" s="143"/>
      <c r="B412" s="143"/>
      <c r="C412" s="143"/>
      <c r="D412" s="143"/>
      <c r="E412" s="143"/>
      <c r="F412" s="143"/>
      <c r="G412" s="143"/>
      <c r="H412" s="143"/>
      <c r="I412" s="143"/>
      <c r="J412" s="143"/>
      <c r="K412" s="143"/>
      <c r="L412" s="143"/>
      <c r="M412" s="143"/>
      <c r="N412" s="143"/>
      <c r="O412" s="143"/>
      <c r="P412" s="143"/>
      <c r="Q412" s="145"/>
      <c r="R412" s="2117"/>
      <c r="S412" s="2188"/>
      <c r="T412" s="559"/>
      <c r="U412" s="5874" t="s">
        <v>15</v>
      </c>
      <c r="V412" s="962" t="s">
        <v>894</v>
      </c>
      <c r="W412" s="1993">
        <v>570201</v>
      </c>
      <c r="X412" s="1756" t="s">
        <v>17</v>
      </c>
      <c r="Y412" s="1756" t="s">
        <v>26</v>
      </c>
      <c r="Z412" s="3841">
        <f>SUM(AB81)</f>
        <v>81999.999999999985</v>
      </c>
      <c r="AA412" s="692"/>
      <c r="AB412" s="10"/>
      <c r="AC412" s="10"/>
      <c r="AD412" s="143"/>
      <c r="AE412" s="143"/>
      <c r="AF412" s="143"/>
      <c r="AG412" s="143"/>
      <c r="AH412" s="143"/>
      <c r="AI412" s="143"/>
      <c r="AJ412" s="143"/>
      <c r="AK412" s="143"/>
    </row>
    <row r="413" spans="1:37" ht="33">
      <c r="A413" s="100"/>
      <c r="B413" s="100"/>
      <c r="C413" s="100"/>
      <c r="D413" s="100"/>
      <c r="E413" s="100"/>
      <c r="F413" s="100"/>
      <c r="G413" s="100"/>
      <c r="H413" s="100"/>
      <c r="I413" s="100"/>
      <c r="J413" s="100"/>
      <c r="K413" s="100"/>
      <c r="L413" s="100"/>
      <c r="M413" s="100"/>
      <c r="N413" s="100"/>
      <c r="O413" s="100"/>
      <c r="P413" s="100"/>
      <c r="Q413" s="106"/>
      <c r="R413" s="82"/>
      <c r="S413" s="125"/>
      <c r="T413" s="2154"/>
      <c r="U413" s="3827" t="s">
        <v>15</v>
      </c>
      <c r="V413" s="953" t="s">
        <v>894</v>
      </c>
      <c r="W413" s="1994">
        <v>570201</v>
      </c>
      <c r="X413" s="1678" t="s">
        <v>17</v>
      </c>
      <c r="Y413" s="1678" t="s">
        <v>18</v>
      </c>
      <c r="Z413" s="3836">
        <f>SUM($AB$121)</f>
        <v>11501.33</v>
      </c>
      <c r="AA413" s="692"/>
      <c r="AB413" s="10"/>
      <c r="AC413" s="10"/>
      <c r="AD413" s="100"/>
      <c r="AE413" s="100"/>
      <c r="AF413" s="100"/>
      <c r="AG413" s="100"/>
      <c r="AH413" s="100"/>
      <c r="AI413" s="100"/>
      <c r="AJ413" s="100"/>
      <c r="AK413" s="100"/>
    </row>
    <row r="414" spans="1:37" ht="49.5">
      <c r="A414" s="100"/>
      <c r="B414" s="100"/>
      <c r="C414" s="100"/>
      <c r="D414" s="100"/>
      <c r="E414" s="100"/>
      <c r="F414" s="100"/>
      <c r="G414" s="100"/>
      <c r="H414" s="100"/>
      <c r="I414" s="100"/>
      <c r="J414" s="100"/>
      <c r="K414" s="100"/>
      <c r="L414" s="100"/>
      <c r="M414" s="100"/>
      <c r="N414" s="100"/>
      <c r="O414" s="100"/>
      <c r="P414" s="100"/>
      <c r="Q414" s="106"/>
      <c r="R414" s="82"/>
      <c r="S414" s="125"/>
      <c r="T414" s="2154"/>
      <c r="U414" s="3827" t="s">
        <v>15</v>
      </c>
      <c r="V414" s="953" t="s">
        <v>4143</v>
      </c>
      <c r="W414" s="1994">
        <v>570206</v>
      </c>
      <c r="X414" s="1678" t="s">
        <v>17</v>
      </c>
      <c r="Y414" s="1678" t="s">
        <v>18</v>
      </c>
      <c r="Z414" s="3836">
        <f>+AA331+AA52</f>
        <v>2170</v>
      </c>
      <c r="AA414" s="692"/>
      <c r="AB414" s="10"/>
      <c r="AC414" s="10"/>
      <c r="AD414" s="100"/>
      <c r="AE414" s="100"/>
      <c r="AF414" s="100"/>
      <c r="AG414" s="100"/>
      <c r="AH414" s="100"/>
      <c r="AI414" s="100"/>
      <c r="AJ414" s="100"/>
      <c r="AK414" s="100"/>
    </row>
    <row r="415" spans="1:37" ht="33">
      <c r="A415" s="143"/>
      <c r="B415" s="143"/>
      <c r="C415" s="143"/>
      <c r="D415" s="143"/>
      <c r="E415" s="143"/>
      <c r="F415" s="143"/>
      <c r="G415" s="143"/>
      <c r="H415" s="143"/>
      <c r="I415" s="143"/>
      <c r="J415" s="143"/>
      <c r="K415" s="143"/>
      <c r="L415" s="143"/>
      <c r="M415" s="143"/>
      <c r="N415" s="143"/>
      <c r="O415" s="143"/>
      <c r="P415" s="143"/>
      <c r="Q415" s="145"/>
      <c r="R415" s="2117"/>
      <c r="S415" s="2188"/>
      <c r="T415" s="559"/>
      <c r="U415" s="3827" t="s">
        <v>15</v>
      </c>
      <c r="V415" s="953" t="s">
        <v>591</v>
      </c>
      <c r="W415" s="1994">
        <v>840103</v>
      </c>
      <c r="X415" s="1678" t="s">
        <v>17</v>
      </c>
      <c r="Y415" s="1678" t="s">
        <v>25</v>
      </c>
      <c r="Z415" s="3836">
        <f>+AB67</f>
        <v>486</v>
      </c>
      <c r="AA415" s="692"/>
      <c r="AB415" s="10"/>
      <c r="AC415" s="10"/>
      <c r="AD415" s="143"/>
      <c r="AE415" s="143"/>
      <c r="AF415" s="143"/>
      <c r="AG415" s="143"/>
      <c r="AH415" s="143"/>
      <c r="AI415" s="143"/>
      <c r="AJ415" s="143"/>
      <c r="AK415" s="143"/>
    </row>
    <row r="416" spans="1:37" ht="33">
      <c r="A416" s="143"/>
      <c r="B416" s="143"/>
      <c r="C416" s="143"/>
      <c r="D416" s="143"/>
      <c r="E416" s="143"/>
      <c r="F416" s="143"/>
      <c r="G416" s="143"/>
      <c r="H416" s="143"/>
      <c r="I416" s="143"/>
      <c r="J416" s="143"/>
      <c r="K416" s="143"/>
      <c r="L416" s="143"/>
      <c r="M416" s="143"/>
      <c r="N416" s="143"/>
      <c r="O416" s="143"/>
      <c r="P416" s="143"/>
      <c r="Q416" s="145"/>
      <c r="R416" s="2117"/>
      <c r="S416" s="2188"/>
      <c r="T416" s="559"/>
      <c r="U416" s="3827" t="s">
        <v>15</v>
      </c>
      <c r="V416" s="953" t="s">
        <v>591</v>
      </c>
      <c r="W416" s="1994">
        <v>840103</v>
      </c>
      <c r="X416" s="1678" t="s">
        <v>17</v>
      </c>
      <c r="Y416" s="1678" t="s">
        <v>18</v>
      </c>
      <c r="Z416" s="3836">
        <f>+AB64+AB208</f>
        <v>23198.45</v>
      </c>
      <c r="AA416" s="692"/>
      <c r="AB416" s="10"/>
      <c r="AC416" s="10"/>
      <c r="AD416" s="143"/>
      <c r="AE416" s="143"/>
      <c r="AF416" s="143"/>
      <c r="AG416" s="143"/>
      <c r="AH416" s="143"/>
      <c r="AI416" s="143"/>
      <c r="AJ416" s="143"/>
      <c r="AK416" s="143"/>
    </row>
    <row r="417" spans="1:37" ht="33">
      <c r="A417" s="143"/>
      <c r="B417" s="143"/>
      <c r="C417" s="143"/>
      <c r="D417" s="143"/>
      <c r="E417" s="143"/>
      <c r="F417" s="143"/>
      <c r="G417" s="143"/>
      <c r="H417" s="143"/>
      <c r="I417" s="143"/>
      <c r="J417" s="143"/>
      <c r="K417" s="143"/>
      <c r="L417" s="143"/>
      <c r="M417" s="143"/>
      <c r="N417" s="143"/>
      <c r="O417" s="143"/>
      <c r="P417" s="143"/>
      <c r="Q417" s="145"/>
      <c r="R417" s="2117"/>
      <c r="S417" s="2188"/>
      <c r="T417" s="559"/>
      <c r="U417" s="3827" t="s">
        <v>15</v>
      </c>
      <c r="V417" s="953" t="s">
        <v>39</v>
      </c>
      <c r="W417" s="1994">
        <v>840104</v>
      </c>
      <c r="X417" s="1678" t="s">
        <v>17</v>
      </c>
      <c r="Y417" s="1678" t="s">
        <v>26</v>
      </c>
      <c r="Z417" s="3836">
        <f>AB33+AB154</f>
        <v>39820</v>
      </c>
      <c r="AA417" s="692"/>
      <c r="AB417" s="10"/>
      <c r="AC417" s="10"/>
      <c r="AD417" s="143"/>
      <c r="AE417" s="143"/>
      <c r="AF417" s="143"/>
      <c r="AG417" s="143"/>
      <c r="AH417" s="143"/>
      <c r="AI417" s="143"/>
      <c r="AJ417" s="143"/>
      <c r="AK417" s="143"/>
    </row>
    <row r="418" spans="1:37" ht="33">
      <c r="A418" s="143"/>
      <c r="B418" s="143"/>
      <c r="C418" s="143"/>
      <c r="D418" s="143"/>
      <c r="E418" s="143"/>
      <c r="F418" s="143"/>
      <c r="G418" s="143"/>
      <c r="H418" s="143"/>
      <c r="I418" s="143"/>
      <c r="J418" s="143"/>
      <c r="K418" s="143"/>
      <c r="L418" s="143"/>
      <c r="M418" s="143"/>
      <c r="N418" s="143"/>
      <c r="O418" s="143"/>
      <c r="P418" s="143"/>
      <c r="Q418" s="145"/>
      <c r="R418" s="2117"/>
      <c r="S418" s="2188"/>
      <c r="T418" s="559"/>
      <c r="U418" s="3827" t="s">
        <v>15</v>
      </c>
      <c r="V418" s="953" t="s">
        <v>39</v>
      </c>
      <c r="W418" s="1994">
        <v>840104</v>
      </c>
      <c r="X418" s="1678" t="s">
        <v>17</v>
      </c>
      <c r="Y418" s="1678" t="s">
        <v>18</v>
      </c>
      <c r="Z418" s="3843">
        <f>+AB96+AB241+AB23</f>
        <v>16973.78</v>
      </c>
      <c r="AA418" s="692"/>
      <c r="AB418" s="10"/>
      <c r="AC418" s="10"/>
      <c r="AD418" s="143"/>
      <c r="AE418" s="143"/>
      <c r="AF418" s="143"/>
      <c r="AG418" s="143"/>
      <c r="AH418" s="143"/>
      <c r="AI418" s="143"/>
      <c r="AJ418" s="143"/>
      <c r="AK418" s="143"/>
    </row>
    <row r="419" spans="1:37" ht="33">
      <c r="A419" s="143"/>
      <c r="B419" s="143"/>
      <c r="C419" s="143"/>
      <c r="D419" s="143"/>
      <c r="E419" s="143"/>
      <c r="F419" s="143"/>
      <c r="G419" s="143"/>
      <c r="H419" s="143"/>
      <c r="I419" s="143"/>
      <c r="J419" s="143"/>
      <c r="K419" s="143"/>
      <c r="L419" s="143"/>
      <c r="M419" s="143"/>
      <c r="N419" s="143"/>
      <c r="O419" s="143"/>
      <c r="P419" s="143"/>
      <c r="Q419" s="145"/>
      <c r="R419" s="2117"/>
      <c r="S419" s="2188"/>
      <c r="T419" s="559"/>
      <c r="U419" s="3827" t="s">
        <v>15</v>
      </c>
      <c r="V419" s="953" t="s">
        <v>3879</v>
      </c>
      <c r="W419" s="1994" t="s">
        <v>3878</v>
      </c>
      <c r="X419" s="1678" t="s">
        <v>17</v>
      </c>
      <c r="Y419" s="1678" t="s">
        <v>673</v>
      </c>
      <c r="Z419" s="3836">
        <f>AB107</f>
        <v>50279.23</v>
      </c>
      <c r="AA419" s="692"/>
      <c r="AB419" s="10"/>
      <c r="AC419" s="10"/>
      <c r="AD419" s="143"/>
      <c r="AE419" s="143"/>
      <c r="AF419" s="143"/>
      <c r="AG419" s="143"/>
      <c r="AH419" s="143"/>
      <c r="AI419" s="143"/>
      <c r="AJ419" s="143"/>
      <c r="AK419" s="143"/>
    </row>
    <row r="420" spans="1:37" ht="33">
      <c r="A420" s="143"/>
      <c r="B420" s="143"/>
      <c r="C420" s="143"/>
      <c r="D420" s="143"/>
      <c r="E420" s="143"/>
      <c r="F420" s="143"/>
      <c r="G420" s="143"/>
      <c r="H420" s="143"/>
      <c r="I420" s="143"/>
      <c r="J420" s="143"/>
      <c r="K420" s="143"/>
      <c r="L420" s="143"/>
      <c r="M420" s="143"/>
      <c r="N420" s="143"/>
      <c r="O420" s="143"/>
      <c r="P420" s="143"/>
      <c r="Q420" s="145"/>
      <c r="R420" s="2117"/>
      <c r="S420" s="2188"/>
      <c r="T420" s="559"/>
      <c r="U420" s="3827" t="s">
        <v>15</v>
      </c>
      <c r="V420" s="953" t="s">
        <v>39</v>
      </c>
      <c r="W420" s="1994" t="s">
        <v>3873</v>
      </c>
      <c r="X420" s="1678" t="s">
        <v>17</v>
      </c>
      <c r="Y420" s="1678" t="s">
        <v>673</v>
      </c>
      <c r="Z420" s="3836">
        <f>AB101</f>
        <v>33731.54</v>
      </c>
      <c r="AA420" s="692"/>
      <c r="AB420" s="10"/>
      <c r="AC420" s="10"/>
      <c r="AD420" s="143"/>
      <c r="AE420" s="143"/>
      <c r="AF420" s="143"/>
      <c r="AG420" s="143"/>
      <c r="AH420" s="143"/>
      <c r="AI420" s="143"/>
      <c r="AJ420" s="143"/>
      <c r="AK420" s="143"/>
    </row>
    <row r="421" spans="1:37" ht="33">
      <c r="A421" s="143"/>
      <c r="B421" s="143"/>
      <c r="C421" s="143"/>
      <c r="D421" s="143"/>
      <c r="E421" s="143"/>
      <c r="F421" s="143"/>
      <c r="G421" s="143"/>
      <c r="H421" s="143"/>
      <c r="I421" s="143"/>
      <c r="J421" s="143"/>
      <c r="K421" s="143"/>
      <c r="L421" s="143"/>
      <c r="M421" s="143"/>
      <c r="N421" s="143"/>
      <c r="O421" s="143"/>
      <c r="P421" s="143"/>
      <c r="Q421" s="145"/>
      <c r="R421" s="2117"/>
      <c r="S421" s="2188"/>
      <c r="T421" s="559"/>
      <c r="U421" s="3827" t="s">
        <v>15</v>
      </c>
      <c r="V421" s="953" t="s">
        <v>39</v>
      </c>
      <c r="W421" s="1994" t="s">
        <v>3873</v>
      </c>
      <c r="X421" s="1678" t="s">
        <v>17</v>
      </c>
      <c r="Y421" s="1678" t="s">
        <v>763</v>
      </c>
      <c r="Z421" s="3836">
        <f>+AB103</f>
        <v>37765.46</v>
      </c>
      <c r="AA421" s="692"/>
      <c r="AB421" s="10"/>
      <c r="AC421" s="10"/>
      <c r="AD421" s="143"/>
      <c r="AE421" s="143"/>
      <c r="AF421" s="143"/>
      <c r="AG421" s="143"/>
      <c r="AH421" s="143"/>
      <c r="AI421" s="143"/>
      <c r="AJ421" s="143"/>
      <c r="AK421" s="143"/>
    </row>
    <row r="422" spans="1:37" ht="33">
      <c r="A422" s="143"/>
      <c r="B422" s="143"/>
      <c r="C422" s="143"/>
      <c r="D422" s="143"/>
      <c r="E422" s="143"/>
      <c r="F422" s="143"/>
      <c r="G422" s="143"/>
      <c r="H422" s="143"/>
      <c r="I422" s="143"/>
      <c r="J422" s="143"/>
      <c r="K422" s="143"/>
      <c r="L422" s="143"/>
      <c r="M422" s="143"/>
      <c r="N422" s="143"/>
      <c r="O422" s="143"/>
      <c r="P422" s="143"/>
      <c r="Q422" s="145"/>
      <c r="R422" s="2117"/>
      <c r="S422" s="2188"/>
      <c r="T422" s="559"/>
      <c r="U422" s="3827" t="s">
        <v>15</v>
      </c>
      <c r="V422" s="953" t="s">
        <v>39</v>
      </c>
      <c r="W422" s="1994">
        <v>840104</v>
      </c>
      <c r="X422" s="1678" t="s">
        <v>17</v>
      </c>
      <c r="Y422" s="1678" t="s">
        <v>763</v>
      </c>
      <c r="Z422" s="3836">
        <f>+AB35</f>
        <v>39500</v>
      </c>
      <c r="AA422" s="692"/>
      <c r="AB422" s="10"/>
      <c r="AC422" s="10"/>
      <c r="AD422" s="143"/>
      <c r="AE422" s="143"/>
      <c r="AF422" s="143"/>
      <c r="AG422" s="143"/>
      <c r="AH422" s="143"/>
      <c r="AI422" s="143"/>
      <c r="AJ422" s="143"/>
      <c r="AK422" s="143"/>
    </row>
    <row r="423" spans="1:37" ht="33">
      <c r="A423" s="143"/>
      <c r="B423" s="143"/>
      <c r="C423" s="143"/>
      <c r="D423" s="143"/>
      <c r="E423" s="143"/>
      <c r="F423" s="143"/>
      <c r="G423" s="143"/>
      <c r="H423" s="143"/>
      <c r="I423" s="143"/>
      <c r="J423" s="143"/>
      <c r="K423" s="143"/>
      <c r="L423" s="143"/>
      <c r="M423" s="143"/>
      <c r="N423" s="143"/>
      <c r="O423" s="143"/>
      <c r="P423" s="143"/>
      <c r="Q423" s="145"/>
      <c r="R423" s="2117"/>
      <c r="S423" s="2188"/>
      <c r="T423" s="559"/>
      <c r="U423" s="3827" t="s">
        <v>15</v>
      </c>
      <c r="V423" s="953" t="s">
        <v>4118</v>
      </c>
      <c r="W423" s="1994">
        <v>840106</v>
      </c>
      <c r="X423" s="1678" t="s">
        <v>17</v>
      </c>
      <c r="Y423" s="1678" t="s">
        <v>26</v>
      </c>
      <c r="Z423" s="3836">
        <f>+AB311</f>
        <v>6300</v>
      </c>
      <c r="AA423" s="692"/>
      <c r="AB423" s="10"/>
      <c r="AC423" s="10"/>
      <c r="AD423" s="143"/>
      <c r="AE423" s="143"/>
      <c r="AF423" s="143"/>
      <c r="AG423" s="143"/>
      <c r="AH423" s="143"/>
      <c r="AI423" s="143"/>
      <c r="AJ423" s="143"/>
      <c r="AK423" s="143"/>
    </row>
    <row r="424" spans="1:37" ht="33">
      <c r="A424" s="143"/>
      <c r="B424" s="143"/>
      <c r="C424" s="143"/>
      <c r="D424" s="143"/>
      <c r="E424" s="143"/>
      <c r="F424" s="143"/>
      <c r="G424" s="143"/>
      <c r="H424" s="143"/>
      <c r="I424" s="143"/>
      <c r="J424" s="143"/>
      <c r="K424" s="143"/>
      <c r="L424" s="143"/>
      <c r="M424" s="143"/>
      <c r="N424" s="143"/>
      <c r="O424" s="143"/>
      <c r="P424" s="143"/>
      <c r="Q424" s="145"/>
      <c r="R424" s="2117"/>
      <c r="S424" s="2188"/>
      <c r="T424" s="559"/>
      <c r="U424" s="3827" t="s">
        <v>15</v>
      </c>
      <c r="V424" s="953" t="s">
        <v>40</v>
      </c>
      <c r="W424" s="1994">
        <v>840107</v>
      </c>
      <c r="X424" s="1678" t="s">
        <v>17</v>
      </c>
      <c r="Y424" s="1678" t="s">
        <v>26</v>
      </c>
      <c r="Z424" s="3836">
        <f>AB231+AB156</f>
        <v>879.99999999999989</v>
      </c>
      <c r="AA424" s="692"/>
      <c r="AB424" s="10"/>
      <c r="AC424" s="10"/>
      <c r="AD424" s="143"/>
      <c r="AE424" s="143"/>
      <c r="AF424" s="143"/>
      <c r="AG424" s="143"/>
      <c r="AH424" s="143"/>
      <c r="AI424" s="143"/>
      <c r="AJ424" s="143"/>
      <c r="AK424" s="143"/>
    </row>
    <row r="425" spans="1:37" ht="33">
      <c r="A425" s="143"/>
      <c r="B425" s="143"/>
      <c r="C425" s="143"/>
      <c r="D425" s="143"/>
      <c r="E425" s="143"/>
      <c r="F425" s="143"/>
      <c r="G425" s="143"/>
      <c r="H425" s="143"/>
      <c r="I425" s="143"/>
      <c r="J425" s="143"/>
      <c r="K425" s="143"/>
      <c r="L425" s="143"/>
      <c r="M425" s="143"/>
      <c r="N425" s="143"/>
      <c r="O425" s="143"/>
      <c r="P425" s="143"/>
      <c r="Q425" s="145"/>
      <c r="R425" s="2117"/>
      <c r="S425" s="2188"/>
      <c r="T425" s="559"/>
      <c r="U425" s="3827" t="s">
        <v>15</v>
      </c>
      <c r="V425" s="953" t="s">
        <v>40</v>
      </c>
      <c r="W425" s="1994">
        <v>840107</v>
      </c>
      <c r="X425" s="1678" t="s">
        <v>17</v>
      </c>
      <c r="Y425" s="1678" t="s">
        <v>18</v>
      </c>
      <c r="Z425" s="3836">
        <f>+AB205</f>
        <v>3801.28</v>
      </c>
      <c r="AA425" s="692"/>
      <c r="AB425" s="10"/>
      <c r="AC425" s="10"/>
      <c r="AD425" s="143"/>
      <c r="AE425" s="143"/>
      <c r="AF425" s="143"/>
      <c r="AG425" s="143"/>
      <c r="AH425" s="143"/>
      <c r="AI425" s="143"/>
      <c r="AJ425" s="143"/>
      <c r="AK425" s="143"/>
    </row>
    <row r="426" spans="1:37" ht="33">
      <c r="A426" s="143"/>
      <c r="B426" s="143"/>
      <c r="C426" s="143"/>
      <c r="D426" s="143"/>
      <c r="E426" s="143"/>
      <c r="F426" s="143"/>
      <c r="G426" s="143"/>
      <c r="H426" s="143"/>
      <c r="I426" s="143"/>
      <c r="J426" s="143"/>
      <c r="K426" s="143"/>
      <c r="L426" s="143"/>
      <c r="M426" s="143"/>
      <c r="N426" s="143"/>
      <c r="O426" s="143"/>
      <c r="P426" s="143"/>
      <c r="Q426" s="145"/>
      <c r="R426" s="2117"/>
      <c r="S426" s="2188"/>
      <c r="T426" s="559"/>
      <c r="U426" s="3827" t="s">
        <v>15</v>
      </c>
      <c r="V426" s="953" t="s">
        <v>40</v>
      </c>
      <c r="W426" s="1994" t="s">
        <v>3876</v>
      </c>
      <c r="X426" s="1678" t="s">
        <v>17</v>
      </c>
      <c r="Y426" s="1678" t="s">
        <v>673</v>
      </c>
      <c r="Z426" s="3836">
        <f>AB105</f>
        <v>6088</v>
      </c>
      <c r="AA426" s="692"/>
      <c r="AB426" s="10"/>
      <c r="AC426" s="10"/>
      <c r="AD426" s="143"/>
      <c r="AE426" s="143"/>
      <c r="AF426" s="143"/>
      <c r="AG426" s="143"/>
      <c r="AH426" s="143"/>
      <c r="AI426" s="143"/>
      <c r="AJ426" s="143"/>
      <c r="AK426" s="143"/>
    </row>
    <row r="427" spans="1:37" ht="33">
      <c r="A427" s="143"/>
      <c r="B427" s="143"/>
      <c r="C427" s="143"/>
      <c r="D427" s="143"/>
      <c r="E427" s="143"/>
      <c r="F427" s="143"/>
      <c r="G427" s="143"/>
      <c r="H427" s="143"/>
      <c r="I427" s="143"/>
      <c r="J427" s="143"/>
      <c r="K427" s="143"/>
      <c r="L427" s="143"/>
      <c r="M427" s="143"/>
      <c r="N427" s="143"/>
      <c r="O427" s="143"/>
      <c r="P427" s="143"/>
      <c r="Q427" s="145"/>
      <c r="R427" s="2117"/>
      <c r="S427" s="2198"/>
      <c r="T427" s="559"/>
      <c r="U427" s="3827" t="s">
        <v>79</v>
      </c>
      <c r="V427" s="953" t="s">
        <v>4096</v>
      </c>
      <c r="W427" s="1994">
        <v>530404</v>
      </c>
      <c r="X427" s="1678" t="s">
        <v>17</v>
      </c>
      <c r="Y427" s="1678" t="s">
        <v>25</v>
      </c>
      <c r="Z427" s="3836">
        <f>SUM(AB299)</f>
        <v>9072.0000000000018</v>
      </c>
      <c r="AA427" s="692"/>
      <c r="AB427" s="10"/>
      <c r="AC427" s="10"/>
      <c r="AD427" s="143"/>
      <c r="AE427" s="143"/>
      <c r="AF427" s="143"/>
      <c r="AG427" s="143"/>
      <c r="AH427" s="143"/>
      <c r="AI427" s="143"/>
      <c r="AJ427" s="143"/>
      <c r="AK427" s="143"/>
    </row>
    <row r="428" spans="1:37" ht="33">
      <c r="A428" s="143"/>
      <c r="B428" s="143"/>
      <c r="C428" s="143"/>
      <c r="D428" s="143"/>
      <c r="E428" s="143"/>
      <c r="F428" s="143"/>
      <c r="G428" s="143"/>
      <c r="H428" s="143"/>
      <c r="I428" s="143"/>
      <c r="J428" s="143"/>
      <c r="K428" s="143"/>
      <c r="L428" s="143"/>
      <c r="M428" s="143"/>
      <c r="N428" s="143"/>
      <c r="O428" s="143"/>
      <c r="P428" s="143"/>
      <c r="Q428" s="145"/>
      <c r="R428" s="2117"/>
      <c r="S428" s="2198"/>
      <c r="T428" s="559"/>
      <c r="U428" s="3827" t="s">
        <v>79</v>
      </c>
      <c r="V428" s="953" t="s">
        <v>591</v>
      </c>
      <c r="W428" s="1994">
        <v>531403</v>
      </c>
      <c r="X428" s="1678" t="s">
        <v>17</v>
      </c>
      <c r="Y428" s="1678" t="s">
        <v>26</v>
      </c>
      <c r="Z428" s="3836">
        <f>+AB42</f>
        <v>57539.199999999997</v>
      </c>
      <c r="AA428" s="692"/>
      <c r="AB428" s="10"/>
      <c r="AC428" s="10"/>
      <c r="AD428" s="143"/>
      <c r="AE428" s="143"/>
      <c r="AF428" s="143"/>
      <c r="AG428" s="143"/>
      <c r="AH428" s="143"/>
      <c r="AI428" s="143"/>
      <c r="AJ428" s="143"/>
      <c r="AK428" s="143"/>
    </row>
    <row r="429" spans="1:37" ht="49.5">
      <c r="A429" s="143"/>
      <c r="B429" s="143"/>
      <c r="C429" s="143"/>
      <c r="D429" s="143"/>
      <c r="E429" s="143"/>
      <c r="F429" s="143"/>
      <c r="G429" s="143"/>
      <c r="H429" s="143"/>
      <c r="I429" s="143"/>
      <c r="J429" s="143"/>
      <c r="K429" s="143"/>
      <c r="L429" s="143"/>
      <c r="M429" s="143"/>
      <c r="N429" s="143"/>
      <c r="O429" s="143"/>
      <c r="P429" s="143"/>
      <c r="Q429" s="145"/>
      <c r="R429" s="2117"/>
      <c r="S429" s="2198"/>
      <c r="T429" s="559"/>
      <c r="U429" s="3827" t="s">
        <v>79</v>
      </c>
      <c r="V429" s="953" t="s">
        <v>281</v>
      </c>
      <c r="W429" s="1726" t="s">
        <v>4087</v>
      </c>
      <c r="X429" s="1678" t="s">
        <v>17</v>
      </c>
      <c r="Y429" s="1678" t="s">
        <v>673</v>
      </c>
      <c r="Z429" s="3836">
        <f>AB284</f>
        <v>29947.41</v>
      </c>
      <c r="AA429" s="692"/>
      <c r="AB429" s="10"/>
      <c r="AC429" s="10"/>
      <c r="AD429" s="143"/>
      <c r="AE429" s="143"/>
      <c r="AF429" s="143"/>
      <c r="AG429" s="143"/>
      <c r="AH429" s="143"/>
      <c r="AI429" s="143"/>
      <c r="AJ429" s="143"/>
      <c r="AK429" s="143"/>
    </row>
    <row r="430" spans="1:37" ht="49.5">
      <c r="A430" s="143"/>
      <c r="B430" s="143"/>
      <c r="C430" s="143"/>
      <c r="D430" s="143"/>
      <c r="E430" s="143"/>
      <c r="F430" s="143"/>
      <c r="G430" s="143"/>
      <c r="H430" s="143"/>
      <c r="I430" s="143"/>
      <c r="J430" s="143"/>
      <c r="K430" s="143"/>
      <c r="L430" s="143"/>
      <c r="M430" s="143"/>
      <c r="N430" s="143"/>
      <c r="O430" s="143"/>
      <c r="P430" s="143"/>
      <c r="Q430" s="145"/>
      <c r="R430" s="2117"/>
      <c r="S430" s="2198"/>
      <c r="T430" s="559"/>
      <c r="U430" s="3827" t="s">
        <v>79</v>
      </c>
      <c r="V430" s="953" t="s">
        <v>281</v>
      </c>
      <c r="W430" s="1726" t="s">
        <v>4087</v>
      </c>
      <c r="X430" s="1678" t="s">
        <v>17</v>
      </c>
      <c r="Y430" s="1678" t="s">
        <v>763</v>
      </c>
      <c r="Z430" s="3836">
        <f>+AB286</f>
        <v>26785.57</v>
      </c>
      <c r="AA430" s="692"/>
      <c r="AB430" s="10"/>
      <c r="AC430" s="10"/>
      <c r="AD430" s="143"/>
      <c r="AE430" s="143"/>
      <c r="AF430" s="143"/>
      <c r="AG430" s="143"/>
      <c r="AH430" s="143"/>
      <c r="AI430" s="143"/>
      <c r="AJ430" s="143"/>
      <c r="AK430" s="143"/>
    </row>
    <row r="431" spans="1:37" ht="33">
      <c r="A431" s="143"/>
      <c r="B431" s="143"/>
      <c r="C431" s="143"/>
      <c r="D431" s="143"/>
      <c r="E431" s="143"/>
      <c r="F431" s="143"/>
      <c r="G431" s="143"/>
      <c r="H431" s="143"/>
      <c r="I431" s="143"/>
      <c r="J431" s="143"/>
      <c r="K431" s="143"/>
      <c r="L431" s="143"/>
      <c r="M431" s="143"/>
      <c r="N431" s="143"/>
      <c r="O431" s="143"/>
      <c r="P431" s="143"/>
      <c r="Q431" s="145"/>
      <c r="R431" s="2117"/>
      <c r="S431" s="2198"/>
      <c r="T431" s="559"/>
      <c r="U431" s="3827" t="s">
        <v>4102</v>
      </c>
      <c r="V431" s="961" t="s">
        <v>3787</v>
      </c>
      <c r="W431" s="1726" t="s">
        <v>4103</v>
      </c>
      <c r="X431" s="1678" t="s">
        <v>17</v>
      </c>
      <c r="Y431" s="1678" t="s">
        <v>18</v>
      </c>
      <c r="Z431" s="3836">
        <f>+AB302</f>
        <v>62540.299999999996</v>
      </c>
      <c r="AA431" s="692"/>
      <c r="AB431" s="10"/>
      <c r="AC431" s="10"/>
      <c r="AD431" s="143"/>
      <c r="AE431" s="143"/>
      <c r="AF431" s="143"/>
      <c r="AG431" s="143"/>
      <c r="AH431" s="143"/>
      <c r="AI431" s="143"/>
      <c r="AJ431" s="143"/>
      <c r="AK431" s="143"/>
    </row>
    <row r="432" spans="1:37" ht="33">
      <c r="A432" s="143"/>
      <c r="B432" s="143"/>
      <c r="C432" s="143"/>
      <c r="D432" s="143"/>
      <c r="E432" s="143"/>
      <c r="F432" s="143"/>
      <c r="G432" s="143"/>
      <c r="H432" s="143"/>
      <c r="I432" s="143"/>
      <c r="J432" s="143"/>
      <c r="K432" s="143"/>
      <c r="L432" s="143"/>
      <c r="M432" s="143"/>
      <c r="N432" s="143"/>
      <c r="O432" s="143"/>
      <c r="P432" s="143"/>
      <c r="Q432" s="145"/>
      <c r="R432" s="2117"/>
      <c r="S432" s="2198"/>
      <c r="T432" s="559"/>
      <c r="U432" s="3827" t="s">
        <v>79</v>
      </c>
      <c r="V432" s="961" t="s">
        <v>3787</v>
      </c>
      <c r="W432" s="1726" t="s">
        <v>3786</v>
      </c>
      <c r="X432" s="1678" t="s">
        <v>17</v>
      </c>
      <c r="Y432" s="1678" t="s">
        <v>673</v>
      </c>
      <c r="Z432" s="3836">
        <f>+AB37</f>
        <v>28840</v>
      </c>
      <c r="AA432" s="692"/>
      <c r="AB432" s="10"/>
      <c r="AC432" s="10"/>
      <c r="AD432" s="143"/>
      <c r="AE432" s="143"/>
      <c r="AF432" s="143"/>
      <c r="AG432" s="143"/>
      <c r="AH432" s="143"/>
      <c r="AI432" s="143"/>
      <c r="AJ432" s="143"/>
      <c r="AK432" s="143"/>
    </row>
    <row r="433" spans="1:37" ht="33">
      <c r="A433" s="143"/>
      <c r="B433" s="143"/>
      <c r="C433" s="143"/>
      <c r="D433" s="143"/>
      <c r="E433" s="143"/>
      <c r="F433" s="143"/>
      <c r="G433" s="143"/>
      <c r="H433" s="143"/>
      <c r="I433" s="143"/>
      <c r="J433" s="143"/>
      <c r="K433" s="143"/>
      <c r="L433" s="143"/>
      <c r="M433" s="143"/>
      <c r="N433" s="143"/>
      <c r="O433" s="143"/>
      <c r="P433" s="143"/>
      <c r="Q433" s="145"/>
      <c r="R433" s="2117"/>
      <c r="S433" s="2198"/>
      <c r="T433" s="559"/>
      <c r="U433" s="3827" t="s">
        <v>79</v>
      </c>
      <c r="V433" s="961" t="s">
        <v>3794</v>
      </c>
      <c r="W433" s="1726" t="s">
        <v>4184</v>
      </c>
      <c r="X433" s="1678" t="s">
        <v>17</v>
      </c>
      <c r="Y433" s="1678" t="s">
        <v>25</v>
      </c>
      <c r="Z433" s="3836">
        <f>+AB45</f>
        <v>571596.12</v>
      </c>
      <c r="AA433" s="692"/>
      <c r="AB433" s="10"/>
      <c r="AC433" s="10"/>
      <c r="AD433" s="143"/>
      <c r="AE433" s="143"/>
      <c r="AF433" s="143"/>
      <c r="AG433" s="143"/>
      <c r="AH433" s="143"/>
      <c r="AI433" s="143"/>
      <c r="AJ433" s="143"/>
      <c r="AK433" s="143"/>
    </row>
    <row r="434" spans="1:37" ht="33">
      <c r="A434" s="143"/>
      <c r="B434" s="143"/>
      <c r="C434" s="143"/>
      <c r="D434" s="143"/>
      <c r="E434" s="143"/>
      <c r="F434" s="143"/>
      <c r="G434" s="143"/>
      <c r="H434" s="143"/>
      <c r="I434" s="143"/>
      <c r="J434" s="143"/>
      <c r="K434" s="143"/>
      <c r="L434" s="143"/>
      <c r="M434" s="143"/>
      <c r="N434" s="143"/>
      <c r="O434" s="143"/>
      <c r="P434" s="143"/>
      <c r="Q434" s="145"/>
      <c r="R434" s="2117"/>
      <c r="S434" s="2198"/>
      <c r="T434" s="559"/>
      <c r="U434" s="3827" t="s">
        <v>79</v>
      </c>
      <c r="V434" s="961" t="s">
        <v>39</v>
      </c>
      <c r="W434" s="1726" t="s">
        <v>4089</v>
      </c>
      <c r="X434" s="1678" t="s">
        <v>17</v>
      </c>
      <c r="Y434" s="1678" t="s">
        <v>25</v>
      </c>
      <c r="Z434" s="3836">
        <f>AB293</f>
        <v>41623.279999999999</v>
      </c>
      <c r="AA434" s="692"/>
      <c r="AB434" s="10"/>
      <c r="AC434" s="10"/>
      <c r="AD434" s="143"/>
      <c r="AE434" s="143"/>
      <c r="AF434" s="143"/>
      <c r="AG434" s="143"/>
      <c r="AH434" s="143"/>
      <c r="AI434" s="143"/>
      <c r="AJ434" s="143"/>
      <c r="AK434" s="143"/>
    </row>
    <row r="435" spans="1:37" ht="33">
      <c r="A435" s="143"/>
      <c r="B435" s="143"/>
      <c r="C435" s="143"/>
      <c r="D435" s="143"/>
      <c r="E435" s="143"/>
      <c r="F435" s="143"/>
      <c r="G435" s="143"/>
      <c r="H435" s="143"/>
      <c r="I435" s="143"/>
      <c r="J435" s="143"/>
      <c r="K435" s="143"/>
      <c r="L435" s="143"/>
      <c r="M435" s="143"/>
      <c r="N435" s="143"/>
      <c r="O435" s="143"/>
      <c r="P435" s="143"/>
      <c r="Q435" s="145"/>
      <c r="R435" s="2117"/>
      <c r="S435" s="2198"/>
      <c r="T435" s="559"/>
      <c r="U435" s="3828" t="s">
        <v>79</v>
      </c>
      <c r="V435" s="961" t="s">
        <v>39</v>
      </c>
      <c r="W435" s="1995" t="s">
        <v>4089</v>
      </c>
      <c r="X435" s="1755" t="s">
        <v>17</v>
      </c>
      <c r="Y435" s="1755" t="s">
        <v>763</v>
      </c>
      <c r="Z435" s="3844">
        <f>+AB291</f>
        <v>90967.42</v>
      </c>
      <c r="AA435" s="692"/>
      <c r="AB435" s="10"/>
      <c r="AC435" s="10"/>
      <c r="AD435" s="143"/>
      <c r="AE435" s="143"/>
      <c r="AF435" s="143"/>
      <c r="AG435" s="143"/>
      <c r="AH435" s="143"/>
      <c r="AI435" s="143"/>
      <c r="AJ435" s="143"/>
      <c r="AK435" s="143"/>
    </row>
    <row r="436" spans="1:37" ht="33">
      <c r="A436" s="143"/>
      <c r="B436" s="143"/>
      <c r="C436" s="143"/>
      <c r="D436" s="143"/>
      <c r="E436" s="143"/>
      <c r="F436" s="143"/>
      <c r="G436" s="143"/>
      <c r="H436" s="143"/>
      <c r="I436" s="143"/>
      <c r="J436" s="143"/>
      <c r="K436" s="143"/>
      <c r="L436" s="143"/>
      <c r="M436" s="143"/>
      <c r="N436" s="143"/>
      <c r="O436" s="143"/>
      <c r="P436" s="143"/>
      <c r="Q436" s="145"/>
      <c r="R436" s="2117"/>
      <c r="S436" s="2198"/>
      <c r="T436" s="559"/>
      <c r="U436" s="3829" t="s">
        <v>79</v>
      </c>
      <c r="V436" s="953" t="s">
        <v>39</v>
      </c>
      <c r="W436" s="2969" t="s">
        <v>4089</v>
      </c>
      <c r="X436" s="1848" t="s">
        <v>17</v>
      </c>
      <c r="Y436" s="1848" t="s">
        <v>673</v>
      </c>
      <c r="Z436" s="3845">
        <f>AB288</f>
        <v>57635.19</v>
      </c>
      <c r="AA436" s="692"/>
      <c r="AB436" s="10"/>
      <c r="AC436" s="10"/>
      <c r="AD436" s="143"/>
      <c r="AE436" s="143"/>
      <c r="AF436" s="143"/>
      <c r="AG436" s="143"/>
      <c r="AH436" s="143"/>
      <c r="AI436" s="143"/>
      <c r="AJ436" s="143"/>
      <c r="AK436" s="143"/>
    </row>
    <row r="437" spans="1:37" ht="33">
      <c r="A437" s="143"/>
      <c r="B437" s="143"/>
      <c r="C437" s="143"/>
      <c r="D437" s="143"/>
      <c r="E437" s="143"/>
      <c r="F437" s="143"/>
      <c r="G437" s="143"/>
      <c r="H437" s="143"/>
      <c r="I437" s="143"/>
      <c r="J437" s="143"/>
      <c r="K437" s="143"/>
      <c r="L437" s="143"/>
      <c r="M437" s="143"/>
      <c r="N437" s="143"/>
      <c r="O437" s="143"/>
      <c r="P437" s="143"/>
      <c r="Q437" s="145"/>
      <c r="R437" s="2117"/>
      <c r="S437" s="2198"/>
      <c r="T437" s="559"/>
      <c r="U437" s="3827" t="s">
        <v>4102</v>
      </c>
      <c r="V437" s="953" t="s">
        <v>4106</v>
      </c>
      <c r="W437" s="1726" t="s">
        <v>4105</v>
      </c>
      <c r="X437" s="1678" t="s">
        <v>17</v>
      </c>
      <c r="Y437" s="1678" t="s">
        <v>25</v>
      </c>
      <c r="Z437" s="3836">
        <f>+AB304</f>
        <v>1563507.51</v>
      </c>
      <c r="AA437" s="692"/>
      <c r="AB437" s="10"/>
      <c r="AC437" s="10"/>
      <c r="AD437" s="143"/>
      <c r="AE437" s="143"/>
      <c r="AF437" s="143"/>
      <c r="AG437" s="143"/>
      <c r="AH437" s="143"/>
      <c r="AI437" s="143"/>
      <c r="AJ437" s="143"/>
      <c r="AK437" s="143"/>
    </row>
    <row r="438" spans="1:37" ht="18" customHeight="1" thickBot="1">
      <c r="A438" s="143"/>
      <c r="B438" s="143"/>
      <c r="C438" s="143"/>
      <c r="D438" s="143"/>
      <c r="E438" s="143"/>
      <c r="F438" s="143"/>
      <c r="G438" s="143"/>
      <c r="H438" s="143"/>
      <c r="I438" s="143"/>
      <c r="J438" s="143"/>
      <c r="K438" s="143"/>
      <c r="L438" s="143"/>
      <c r="M438" s="143"/>
      <c r="N438" s="143"/>
      <c r="O438" s="143"/>
      <c r="P438" s="143"/>
      <c r="Q438" s="145"/>
      <c r="R438" s="2117"/>
      <c r="S438" s="2198"/>
      <c r="T438" s="559"/>
      <c r="U438" s="5930"/>
      <c r="V438" s="5931" t="s">
        <v>67</v>
      </c>
      <c r="W438" s="5932"/>
      <c r="X438" s="5932"/>
      <c r="Y438" s="5926" t="s">
        <v>292</v>
      </c>
      <c r="Z438" s="5937">
        <f>SUM(Z377:Z437)</f>
        <v>4265819.8399825143</v>
      </c>
      <c r="AA438" s="864"/>
      <c r="AB438" s="364"/>
      <c r="AC438" s="364"/>
      <c r="AD438" s="143"/>
      <c r="AE438" s="143"/>
      <c r="AF438" s="143"/>
      <c r="AG438" s="143"/>
      <c r="AH438" s="143"/>
      <c r="AI438" s="143"/>
      <c r="AJ438" s="143"/>
      <c r="AK438" s="143"/>
    </row>
    <row r="439" spans="1:37" ht="16.5" customHeight="1" thickTop="1">
      <c r="A439" s="100"/>
      <c r="B439" s="100"/>
      <c r="C439" s="100"/>
      <c r="D439" s="100"/>
      <c r="E439" s="100"/>
      <c r="F439" s="100"/>
      <c r="G439" s="100"/>
      <c r="H439" s="100"/>
      <c r="I439" s="100"/>
      <c r="J439" s="100"/>
      <c r="K439" s="100"/>
      <c r="L439" s="100"/>
      <c r="M439" s="100"/>
      <c r="N439" s="100"/>
      <c r="O439" s="100"/>
      <c r="P439" s="100"/>
      <c r="Q439" s="100"/>
      <c r="R439" s="100"/>
      <c r="S439" s="125"/>
      <c r="T439" s="334"/>
      <c r="U439" s="3838"/>
      <c r="V439" s="510"/>
      <c r="W439" s="3839"/>
      <c r="X439" s="466"/>
      <c r="Y439" s="466"/>
      <c r="Z439" s="3840"/>
      <c r="AA439" s="100"/>
      <c r="AB439" s="363"/>
      <c r="AC439" s="363"/>
      <c r="AD439" s="100"/>
      <c r="AE439" s="100"/>
      <c r="AF439" s="100"/>
      <c r="AG439" s="100"/>
      <c r="AH439" s="100"/>
      <c r="AI439" s="100"/>
      <c r="AJ439" s="100"/>
      <c r="AK439" s="100"/>
    </row>
    <row r="440" spans="1:37" ht="16.5" customHeight="1">
      <c r="A440" s="100"/>
      <c r="B440" s="100"/>
      <c r="C440" s="100"/>
      <c r="D440" s="100"/>
      <c r="E440" s="100"/>
      <c r="F440" s="100"/>
      <c r="G440" s="100"/>
      <c r="H440" s="100"/>
      <c r="I440" s="100"/>
      <c r="J440" s="100"/>
      <c r="K440" s="100"/>
      <c r="L440" s="100"/>
      <c r="M440" s="100"/>
      <c r="N440" s="100"/>
      <c r="O440" s="100"/>
      <c r="P440" s="100"/>
      <c r="Q440" s="100"/>
      <c r="R440" s="100"/>
      <c r="S440" s="125"/>
      <c r="T440" s="100"/>
      <c r="U440" s="100"/>
      <c r="V440" s="100"/>
      <c r="W440" s="100"/>
      <c r="X440" s="100"/>
      <c r="Y440" s="100"/>
      <c r="Z440" s="106"/>
      <c r="AA440" s="100"/>
      <c r="AB440" s="363"/>
      <c r="AC440" s="363"/>
      <c r="AD440" s="100"/>
      <c r="AE440" s="100"/>
      <c r="AF440" s="100"/>
      <c r="AG440" s="100"/>
      <c r="AH440" s="100"/>
      <c r="AI440" s="100"/>
      <c r="AJ440" s="100"/>
      <c r="AK440" s="100"/>
    </row>
    <row r="441" spans="1:37" ht="17.25" customHeight="1" thickBot="1">
      <c r="A441" s="100"/>
      <c r="B441" s="100"/>
      <c r="C441" s="100"/>
      <c r="D441" s="100"/>
      <c r="E441" s="100"/>
      <c r="F441" s="100"/>
      <c r="G441" s="100"/>
      <c r="H441" s="100"/>
      <c r="I441" s="100"/>
      <c r="J441" s="100"/>
      <c r="K441" s="100"/>
      <c r="L441" s="100"/>
      <c r="M441" s="100"/>
      <c r="N441" s="100"/>
      <c r="O441" s="100"/>
      <c r="P441" s="100"/>
      <c r="Q441" s="100"/>
      <c r="R441" s="100"/>
      <c r="S441" s="125"/>
      <c r="T441" s="100"/>
      <c r="U441" s="1"/>
      <c r="V441" s="1"/>
      <c r="W441" s="1"/>
      <c r="X441" s="1"/>
      <c r="Y441" s="1"/>
      <c r="Z441" s="1"/>
      <c r="AA441" s="100"/>
      <c r="AB441" s="363"/>
      <c r="AC441" s="363"/>
      <c r="AD441" s="100"/>
      <c r="AE441" s="100"/>
      <c r="AF441" s="100"/>
      <c r="AG441" s="100"/>
      <c r="AH441" s="100"/>
      <c r="AI441" s="100"/>
      <c r="AJ441" s="100"/>
      <c r="AK441" s="100"/>
    </row>
    <row r="442" spans="1:37" ht="16.5" customHeight="1">
      <c r="A442" s="100"/>
      <c r="B442" s="100"/>
      <c r="C442" s="100"/>
      <c r="D442" s="100"/>
      <c r="E442" s="100"/>
      <c r="F442" s="100"/>
      <c r="G442" s="100"/>
      <c r="H442" s="100"/>
      <c r="I442" s="100"/>
      <c r="J442" s="100"/>
      <c r="K442" s="100"/>
      <c r="L442" s="100"/>
      <c r="M442" s="100"/>
      <c r="N442" s="100"/>
      <c r="O442" s="100"/>
      <c r="P442" s="100"/>
      <c r="Q442" s="100"/>
      <c r="R442" s="100"/>
      <c r="S442" s="125"/>
      <c r="T442" s="100"/>
      <c r="U442" s="8764" t="s">
        <v>356</v>
      </c>
      <c r="V442" s="9366"/>
      <c r="W442" s="9367"/>
      <c r="X442" s="1"/>
      <c r="Y442" s="36" t="s">
        <v>357</v>
      </c>
      <c r="Z442" s="37" t="str">
        <f>IF(Z438=AB371,"OK","NO")</f>
        <v>OK</v>
      </c>
      <c r="AA442" s="1"/>
      <c r="AB442" s="3"/>
      <c r="AC442" s="3"/>
      <c r="AD442" s="1"/>
      <c r="AE442" s="100"/>
      <c r="AF442" s="100"/>
      <c r="AG442" s="100"/>
      <c r="AH442" s="100"/>
      <c r="AI442" s="100"/>
      <c r="AJ442" s="100"/>
      <c r="AK442" s="100"/>
    </row>
    <row r="443" spans="1:37" ht="16.5" customHeight="1">
      <c r="A443" s="100"/>
      <c r="B443" s="100"/>
      <c r="C443" s="100"/>
      <c r="D443" s="100"/>
      <c r="E443" s="100"/>
      <c r="F443" s="100"/>
      <c r="G443" s="100"/>
      <c r="H443" s="100"/>
      <c r="I443" s="100"/>
      <c r="J443" s="100"/>
      <c r="K443" s="100"/>
      <c r="L443" s="100"/>
      <c r="M443" s="100"/>
      <c r="N443" s="100"/>
      <c r="O443" s="100"/>
      <c r="P443" s="100"/>
      <c r="Q443" s="100"/>
      <c r="R443" s="100"/>
      <c r="S443" s="125"/>
      <c r="T443" s="100"/>
      <c r="U443" s="8766" t="s">
        <v>358</v>
      </c>
      <c r="V443" s="9368"/>
      <c r="W443" s="321">
        <f>+Z384+Z395+Z415+Z427+Z437+Z433+Z434</f>
        <v>2338906.5</v>
      </c>
      <c r="X443" s="336"/>
      <c r="Y443" s="1"/>
      <c r="Z443" s="37" t="str">
        <f>IF(W448=AB371,"OK","NO")</f>
        <v>OK</v>
      </c>
      <c r="AA443" s="1"/>
      <c r="AB443" s="3"/>
      <c r="AC443" s="3"/>
      <c r="AD443" s="1"/>
      <c r="AE443" s="102"/>
      <c r="AF443" s="102"/>
      <c r="AG443" s="100"/>
      <c r="AH443" s="100"/>
      <c r="AI443" s="100"/>
      <c r="AJ443" s="100"/>
      <c r="AK443" s="100"/>
    </row>
    <row r="444" spans="1:37" ht="16.5" customHeight="1">
      <c r="A444" s="100"/>
      <c r="B444" s="100"/>
      <c r="C444" s="100"/>
      <c r="D444" s="100"/>
      <c r="E444" s="100"/>
      <c r="F444" s="100"/>
      <c r="G444" s="100"/>
      <c r="H444" s="100"/>
      <c r="I444" s="100"/>
      <c r="J444" s="100"/>
      <c r="K444" s="100"/>
      <c r="L444" s="100"/>
      <c r="M444" s="100"/>
      <c r="N444" s="100"/>
      <c r="O444" s="100"/>
      <c r="P444" s="100"/>
      <c r="Q444" s="100"/>
      <c r="R444" s="100"/>
      <c r="S444" s="125"/>
      <c r="T444" s="100"/>
      <c r="U444" s="8755" t="s">
        <v>359</v>
      </c>
      <c r="V444" s="9369"/>
      <c r="W444" s="322">
        <f>+Z378+Z388+Z392+Z400+Z410+Z412+Z417+Z424+Z428+Z397+Z423</f>
        <v>481196.65678571427</v>
      </c>
      <c r="X444" s="336"/>
      <c r="Y444" s="1"/>
      <c r="Z444" s="37" t="str">
        <f>IF(W459=AB371,"OK","NO")</f>
        <v>OK</v>
      </c>
      <c r="AA444" s="1"/>
      <c r="AB444" s="3"/>
      <c r="AC444" s="3"/>
      <c r="AD444" s="1"/>
      <c r="AE444" s="102"/>
      <c r="AF444" s="102"/>
      <c r="AG444" s="100"/>
      <c r="AH444" s="100"/>
      <c r="AI444" s="100"/>
      <c r="AJ444" s="100"/>
      <c r="AK444" s="100"/>
    </row>
    <row r="445" spans="1:37" ht="16.5" customHeight="1">
      <c r="A445" s="100"/>
      <c r="B445" s="100"/>
      <c r="C445" s="100"/>
      <c r="D445" s="100"/>
      <c r="E445" s="100"/>
      <c r="F445" s="100"/>
      <c r="G445" s="100"/>
      <c r="H445" s="100"/>
      <c r="I445" s="100"/>
      <c r="J445" s="100"/>
      <c r="K445" s="100"/>
      <c r="L445" s="100"/>
      <c r="M445" s="100"/>
      <c r="N445" s="100"/>
      <c r="O445" s="100"/>
      <c r="P445" s="100"/>
      <c r="Q445" s="100"/>
      <c r="R445" s="100"/>
      <c r="S445" s="125"/>
      <c r="T445" s="100"/>
      <c r="U445" s="8755" t="s">
        <v>360</v>
      </c>
      <c r="V445" s="9369"/>
      <c r="W445" s="322">
        <f>+Z377+Z379+Z380+Z381+Z382+Z383+Z385+Z386+Z387+Z389+Z390+Z391+Z393+Z394+Z396+Z398+Z399+Z401+Z402+Z403+Z404+Z405+Z406+Z407+Z408+Z409+Z411+Z413+Z414+Z416+Z418+Z425+Z431</f>
        <v>1044176.8631968</v>
      </c>
      <c r="X445" s="336"/>
      <c r="Y445" s="336"/>
      <c r="Z445" s="37" t="s">
        <v>4185</v>
      </c>
      <c r="AA445" s="1"/>
      <c r="AB445" s="3"/>
      <c r="AC445" s="3"/>
      <c r="AD445" s="1"/>
      <c r="AE445" s="334"/>
      <c r="AF445" s="334"/>
      <c r="AG445" s="100"/>
      <c r="AH445" s="100"/>
      <c r="AI445" s="100"/>
      <c r="AJ445" s="100"/>
      <c r="AK445" s="100"/>
    </row>
    <row r="446" spans="1:37" ht="16.5" customHeight="1">
      <c r="A446" s="100"/>
      <c r="B446" s="100"/>
      <c r="C446" s="100"/>
      <c r="D446" s="100"/>
      <c r="E446" s="100"/>
      <c r="F446" s="100"/>
      <c r="G446" s="100"/>
      <c r="H446" s="100"/>
      <c r="I446" s="100"/>
      <c r="J446" s="100"/>
      <c r="K446" s="100"/>
      <c r="L446" s="100"/>
      <c r="M446" s="100"/>
      <c r="N446" s="100"/>
      <c r="O446" s="100"/>
      <c r="P446" s="100"/>
      <c r="Q446" s="100"/>
      <c r="R446" s="100"/>
      <c r="S446" s="125"/>
      <c r="T446" s="100"/>
      <c r="U446" s="8755" t="s">
        <v>361</v>
      </c>
      <c r="V446" s="9369"/>
      <c r="W446" s="2963">
        <f>+Z419+Z420+Z426+Z429+Z432+Z436</f>
        <v>206521.37</v>
      </c>
      <c r="X446" s="336"/>
      <c r="Y446" s="336"/>
      <c r="Z446" s="37"/>
      <c r="AA446" s="1"/>
      <c r="AB446" s="3"/>
      <c r="AC446" s="3"/>
      <c r="AD446" s="1"/>
      <c r="AE446" s="334"/>
      <c r="AF446" s="334"/>
      <c r="AG446" s="100"/>
      <c r="AH446" s="100"/>
      <c r="AI446" s="100"/>
      <c r="AJ446" s="100"/>
      <c r="AK446" s="100"/>
    </row>
    <row r="447" spans="1:37" ht="16.5" customHeight="1">
      <c r="A447" s="100"/>
      <c r="B447" s="100"/>
      <c r="C447" s="100"/>
      <c r="D447" s="100"/>
      <c r="E447" s="100"/>
      <c r="F447" s="100"/>
      <c r="G447" s="100"/>
      <c r="H447" s="100"/>
      <c r="I447" s="100"/>
      <c r="J447" s="100"/>
      <c r="K447" s="100"/>
      <c r="L447" s="100"/>
      <c r="M447" s="100"/>
      <c r="N447" s="100"/>
      <c r="O447" s="100"/>
      <c r="P447" s="100"/>
      <c r="Q447" s="100"/>
      <c r="R447" s="100"/>
      <c r="S447" s="125"/>
      <c r="T447" s="100"/>
      <c r="U447" s="8756" t="s">
        <v>796</v>
      </c>
      <c r="V447" s="9369"/>
      <c r="W447" s="2818">
        <f>+Z421+Z422+Z430+Z435</f>
        <v>195018.45</v>
      </c>
      <c r="X447" s="336"/>
      <c r="Y447" s="336"/>
      <c r="Z447" s="2906"/>
      <c r="AA447" s="337"/>
      <c r="AB447" s="3"/>
      <c r="AC447" s="3"/>
      <c r="AD447" s="337"/>
      <c r="AE447" s="338"/>
      <c r="AF447" s="338"/>
      <c r="AG447" s="100"/>
      <c r="AH447" s="100"/>
      <c r="AI447" s="100"/>
      <c r="AJ447" s="100"/>
      <c r="AK447" s="100"/>
    </row>
    <row r="448" spans="1:37" ht="16.5" customHeight="1">
      <c r="A448" s="100"/>
      <c r="B448" s="100"/>
      <c r="C448" s="100"/>
      <c r="D448" s="100"/>
      <c r="E448" s="100"/>
      <c r="F448" s="100"/>
      <c r="G448" s="100"/>
      <c r="H448" s="100"/>
      <c r="I448" s="100"/>
      <c r="J448" s="100"/>
      <c r="K448" s="100"/>
      <c r="L448" s="100"/>
      <c r="M448" s="100"/>
      <c r="N448" s="100"/>
      <c r="O448" s="100"/>
      <c r="P448" s="100"/>
      <c r="Q448" s="100"/>
      <c r="R448" s="100"/>
      <c r="S448" s="125"/>
      <c r="T448" s="100"/>
      <c r="U448" s="9371" t="s">
        <v>67</v>
      </c>
      <c r="V448" s="9372"/>
      <c r="W448" s="508">
        <f>SUM(W443:W447)</f>
        <v>4265819.8399825143</v>
      </c>
      <c r="X448" s="336"/>
      <c r="Y448" s="336"/>
      <c r="Z448" s="1"/>
      <c r="AA448" s="337"/>
      <c r="AB448" s="3"/>
      <c r="AC448" s="3"/>
      <c r="AD448" s="337"/>
      <c r="AE448" s="338"/>
      <c r="AF448" s="338"/>
      <c r="AG448" s="100"/>
      <c r="AH448" s="100"/>
      <c r="AI448" s="100"/>
      <c r="AJ448" s="100"/>
      <c r="AK448" s="100"/>
    </row>
    <row r="449" spans="1:37" ht="16.5" customHeight="1">
      <c r="A449" s="100"/>
      <c r="B449" s="100"/>
      <c r="C449" s="100"/>
      <c r="D449" s="100"/>
      <c r="E449" s="100"/>
      <c r="F449" s="100"/>
      <c r="G449" s="100"/>
      <c r="H449" s="100"/>
      <c r="I449" s="100"/>
      <c r="J449" s="100"/>
      <c r="K449" s="100"/>
      <c r="L449" s="100"/>
      <c r="M449" s="100"/>
      <c r="N449" s="100"/>
      <c r="O449" s="100"/>
      <c r="P449" s="100"/>
      <c r="Q449" s="100"/>
      <c r="R449" s="100"/>
      <c r="S449" s="125"/>
      <c r="T449" s="100"/>
      <c r="U449" s="8758" t="s">
        <v>362</v>
      </c>
      <c r="V449" s="9373"/>
      <c r="W449" s="9374"/>
      <c r="X449" s="339"/>
      <c r="Y449" s="339"/>
      <c r="Z449" s="2906"/>
      <c r="AA449" s="337"/>
      <c r="AB449" s="3"/>
      <c r="AC449" s="3"/>
      <c r="AD449" s="337"/>
      <c r="AE449" s="338"/>
      <c r="AF449" s="338"/>
      <c r="AG449" s="100"/>
      <c r="AH449" s="100"/>
      <c r="AI449" s="100"/>
      <c r="AJ449" s="100"/>
      <c r="AK449" s="100"/>
    </row>
    <row r="450" spans="1:37" ht="16.5" customHeight="1">
      <c r="A450" s="100"/>
      <c r="B450" s="100"/>
      <c r="C450" s="100"/>
      <c r="D450" s="100"/>
      <c r="E450" s="100"/>
      <c r="F450" s="100"/>
      <c r="G450" s="100"/>
      <c r="H450" s="100"/>
      <c r="I450" s="100"/>
      <c r="J450" s="100"/>
      <c r="K450" s="100"/>
      <c r="L450" s="100"/>
      <c r="M450" s="100"/>
      <c r="N450" s="100"/>
      <c r="O450" s="100"/>
      <c r="P450" s="100"/>
      <c r="Q450" s="100"/>
      <c r="R450" s="100"/>
      <c r="S450" s="125"/>
      <c r="T450" s="100"/>
      <c r="U450" s="8760" t="s">
        <v>363</v>
      </c>
      <c r="V450" s="9368"/>
      <c r="W450" s="321">
        <v>0</v>
      </c>
      <c r="X450" s="339"/>
      <c r="Y450" s="339"/>
      <c r="Z450" s="1"/>
      <c r="AA450" s="337"/>
      <c r="AB450" s="3"/>
      <c r="AC450" s="3"/>
      <c r="AD450" s="337"/>
      <c r="AE450" s="338"/>
      <c r="AF450" s="338"/>
      <c r="AG450" s="100"/>
      <c r="AH450" s="100"/>
      <c r="AI450" s="100"/>
      <c r="AJ450" s="100"/>
      <c r="AK450" s="100"/>
    </row>
    <row r="451" spans="1:37" ht="16.5" customHeight="1">
      <c r="A451" s="100"/>
      <c r="B451" s="100"/>
      <c r="C451" s="100"/>
      <c r="D451" s="100"/>
      <c r="E451" s="100"/>
      <c r="F451" s="100"/>
      <c r="G451" s="100"/>
      <c r="H451" s="100"/>
      <c r="I451" s="100"/>
      <c r="J451" s="100"/>
      <c r="K451" s="100"/>
      <c r="L451" s="100"/>
      <c r="M451" s="100"/>
      <c r="N451" s="100"/>
      <c r="O451" s="100"/>
      <c r="P451" s="100"/>
      <c r="Q451" s="100"/>
      <c r="R451" s="100"/>
      <c r="S451" s="125"/>
      <c r="T451" s="100"/>
      <c r="U451" s="8762" t="s">
        <v>364</v>
      </c>
      <c r="V451" s="9369"/>
      <c r="W451" s="322">
        <f>+SUM(Z377:Z409)+Z427+Z428</f>
        <v>1312548.1099825141</v>
      </c>
      <c r="X451" s="339"/>
      <c r="Y451" s="339"/>
      <c r="Z451" s="342"/>
      <c r="AA451" s="337"/>
      <c r="AB451" s="3"/>
      <c r="AC451" s="3"/>
      <c r="AD451" s="337"/>
      <c r="AE451" s="338"/>
      <c r="AF451" s="338"/>
      <c r="AG451" s="100"/>
      <c r="AH451" s="100"/>
      <c r="AI451" s="100"/>
      <c r="AJ451" s="100"/>
      <c r="AK451" s="100"/>
    </row>
    <row r="452" spans="1:37" ht="16.5" customHeight="1">
      <c r="A452" s="100"/>
      <c r="B452" s="100"/>
      <c r="C452" s="100"/>
      <c r="D452" s="100"/>
      <c r="E452" s="100"/>
      <c r="F452" s="100"/>
      <c r="G452" s="100"/>
      <c r="H452" s="100"/>
      <c r="I452" s="100"/>
      <c r="J452" s="100"/>
      <c r="K452" s="100"/>
      <c r="L452" s="100"/>
      <c r="M452" s="100"/>
      <c r="N452" s="100"/>
      <c r="O452" s="100"/>
      <c r="P452" s="100"/>
      <c r="Q452" s="100"/>
      <c r="R452" s="100"/>
      <c r="S452" s="125"/>
      <c r="T452" s="100"/>
      <c r="U452" s="8762" t="s">
        <v>365</v>
      </c>
      <c r="V452" s="9369"/>
      <c r="W452" s="322">
        <f>+Z410+Z411+Z412+Z413+Z414</f>
        <v>221005.18999999997</v>
      </c>
      <c r="X452" s="340"/>
      <c r="Y452" s="340"/>
      <c r="Z452" s="1"/>
      <c r="AA452" s="337"/>
      <c r="AB452" s="3"/>
      <c r="AC452" s="3"/>
      <c r="AD452" s="337"/>
      <c r="AE452" s="338"/>
      <c r="AF452" s="338"/>
      <c r="AG452" s="100"/>
      <c r="AH452" s="100"/>
      <c r="AI452" s="100"/>
      <c r="AJ452" s="100"/>
      <c r="AK452" s="100"/>
    </row>
    <row r="453" spans="1:37" ht="16.5" customHeight="1">
      <c r="A453" s="100"/>
      <c r="B453" s="100"/>
      <c r="C453" s="100"/>
      <c r="D453" s="100"/>
      <c r="E453" s="100"/>
      <c r="F453" s="100"/>
      <c r="G453" s="100"/>
      <c r="H453" s="100"/>
      <c r="I453" s="100"/>
      <c r="J453" s="100"/>
      <c r="K453" s="100"/>
      <c r="L453" s="100"/>
      <c r="M453" s="100"/>
      <c r="N453" s="100"/>
      <c r="O453" s="100"/>
      <c r="P453" s="100"/>
      <c r="Q453" s="100"/>
      <c r="R453" s="100"/>
      <c r="S453" s="125"/>
      <c r="T453" s="100"/>
      <c r="U453" s="8762" t="s">
        <v>366</v>
      </c>
      <c r="V453" s="9369"/>
      <c r="W453" s="322">
        <v>0</v>
      </c>
      <c r="X453" s="336"/>
      <c r="Y453" s="336"/>
      <c r="Z453" s="1"/>
      <c r="AA453" s="337"/>
      <c r="AB453" s="3"/>
      <c r="AC453" s="3"/>
      <c r="AD453" s="337"/>
      <c r="AE453" s="338"/>
      <c r="AF453" s="338"/>
      <c r="AG453" s="100"/>
      <c r="AH453" s="100"/>
      <c r="AI453" s="100"/>
      <c r="AJ453" s="100"/>
      <c r="AK453" s="100"/>
    </row>
    <row r="454" spans="1:37" ht="16.5" customHeight="1">
      <c r="A454" s="100"/>
      <c r="B454" s="100"/>
      <c r="C454" s="100"/>
      <c r="D454" s="100"/>
      <c r="E454" s="100"/>
      <c r="F454" s="100"/>
      <c r="G454" s="100"/>
      <c r="H454" s="100"/>
      <c r="I454" s="100"/>
      <c r="J454" s="100"/>
      <c r="K454" s="100"/>
      <c r="L454" s="100"/>
      <c r="M454" s="100"/>
      <c r="N454" s="100"/>
      <c r="O454" s="100"/>
      <c r="P454" s="100"/>
      <c r="Q454" s="100"/>
      <c r="R454" s="100"/>
      <c r="S454" s="125"/>
      <c r="T454" s="100"/>
      <c r="U454" s="8762" t="s">
        <v>367</v>
      </c>
      <c r="V454" s="9369"/>
      <c r="W454" s="322">
        <v>0</v>
      </c>
      <c r="X454" s="341"/>
      <c r="Y454" s="341"/>
      <c r="Z454" s="1"/>
      <c r="AA454" s="337"/>
      <c r="AB454" s="3"/>
      <c r="AC454" s="3"/>
      <c r="AD454" s="337"/>
      <c r="AE454" s="338"/>
      <c r="AF454" s="338"/>
      <c r="AG454" s="100"/>
      <c r="AH454" s="100"/>
      <c r="AI454" s="100"/>
      <c r="AJ454" s="100"/>
      <c r="AK454" s="100"/>
    </row>
    <row r="455" spans="1:37" ht="16.5" customHeight="1">
      <c r="A455" s="100"/>
      <c r="B455" s="100"/>
      <c r="C455" s="100"/>
      <c r="D455" s="100"/>
      <c r="E455" s="100"/>
      <c r="F455" s="100"/>
      <c r="G455" s="100"/>
      <c r="H455" s="100"/>
      <c r="I455" s="100"/>
      <c r="J455" s="100"/>
      <c r="K455" s="100"/>
      <c r="L455" s="100"/>
      <c r="M455" s="100"/>
      <c r="N455" s="100"/>
      <c r="O455" s="100"/>
      <c r="P455" s="100"/>
      <c r="Q455" s="100"/>
      <c r="R455" s="100"/>
      <c r="S455" s="125"/>
      <c r="T455" s="100"/>
      <c r="U455" s="8762" t="s">
        <v>368</v>
      </c>
      <c r="V455" s="9369"/>
      <c r="W455" s="322">
        <f>+Z419+Z429+Z430+Z431+Z432</f>
        <v>198392.50999999998</v>
      </c>
      <c r="X455" s="341"/>
      <c r="Y455" s="341"/>
      <c r="Z455" s="1"/>
      <c r="AA455" s="337"/>
      <c r="AB455" s="3"/>
      <c r="AC455" s="3"/>
      <c r="AD455" s="337"/>
      <c r="AE455" s="338"/>
      <c r="AF455" s="338"/>
      <c r="AG455" s="100"/>
      <c r="AH455" s="100"/>
      <c r="AI455" s="100"/>
      <c r="AJ455" s="100"/>
      <c r="AK455" s="100"/>
    </row>
    <row r="456" spans="1:37" ht="16.5" customHeight="1">
      <c r="A456" s="100"/>
      <c r="B456" s="100"/>
      <c r="C456" s="100"/>
      <c r="D456" s="100"/>
      <c r="E456" s="100"/>
      <c r="F456" s="100"/>
      <c r="G456" s="100"/>
      <c r="H456" s="100"/>
      <c r="I456" s="100"/>
      <c r="J456" s="100"/>
      <c r="K456" s="100"/>
      <c r="L456" s="100"/>
      <c r="M456" s="100"/>
      <c r="N456" s="100"/>
      <c r="O456" s="100"/>
      <c r="P456" s="100"/>
      <c r="Q456" s="100"/>
      <c r="R456" s="100"/>
      <c r="S456" s="125"/>
      <c r="T456" s="100"/>
      <c r="U456" s="8762" t="s">
        <v>4186</v>
      </c>
      <c r="V456" s="9369"/>
      <c r="W456" s="322">
        <f>+Z437+Z433</f>
        <v>2135103.63</v>
      </c>
      <c r="X456" s="341"/>
      <c r="Y456" s="341"/>
      <c r="Z456" s="1"/>
      <c r="AA456" s="337"/>
      <c r="AB456" s="3"/>
      <c r="AC456" s="3"/>
      <c r="AD456" s="337"/>
      <c r="AE456" s="338"/>
      <c r="AF456" s="338"/>
      <c r="AG456" s="100"/>
      <c r="AH456" s="100"/>
      <c r="AI456" s="100"/>
      <c r="AJ456" s="100"/>
      <c r="AK456" s="100"/>
    </row>
    <row r="457" spans="1:37" ht="16.5" customHeight="1">
      <c r="A457" s="100"/>
      <c r="B457" s="100"/>
      <c r="C457" s="100"/>
      <c r="D457" s="100"/>
      <c r="E457" s="100"/>
      <c r="F457" s="100"/>
      <c r="G457" s="100"/>
      <c r="H457" s="100"/>
      <c r="I457" s="100"/>
      <c r="J457" s="100"/>
      <c r="K457" s="100"/>
      <c r="L457" s="100"/>
      <c r="M457" s="100"/>
      <c r="N457" s="100"/>
      <c r="O457" s="100"/>
      <c r="P457" s="100"/>
      <c r="Q457" s="100"/>
      <c r="R457" s="100"/>
      <c r="S457" s="125"/>
      <c r="T457" s="100"/>
      <c r="U457" s="8762" t="s">
        <v>369</v>
      </c>
      <c r="V457" s="9369"/>
      <c r="W457" s="322">
        <f>+Z415+Z416+Z417+Z418+Z420+Z421+Z422+Z423+Z424+Z425+Z426+Z434+Z435+Z436</f>
        <v>398770.39999999997</v>
      </c>
      <c r="X457" s="341"/>
      <c r="Y457" s="341"/>
      <c r="Z457" s="1"/>
      <c r="AA457" s="337"/>
      <c r="AB457" s="3"/>
      <c r="AC457" s="3"/>
      <c r="AD457" s="337"/>
      <c r="AE457" s="338"/>
      <c r="AF457" s="338"/>
      <c r="AG457" s="100"/>
      <c r="AH457" s="100"/>
      <c r="AI457" s="100"/>
      <c r="AJ457" s="100"/>
      <c r="AK457" s="100"/>
    </row>
    <row r="458" spans="1:37" ht="16.5" customHeight="1">
      <c r="A458" s="100"/>
      <c r="B458" s="100"/>
      <c r="C458" s="100"/>
      <c r="D458" s="100"/>
      <c r="E458" s="100"/>
      <c r="F458" s="100"/>
      <c r="G458" s="100"/>
      <c r="H458" s="100"/>
      <c r="I458" s="100"/>
      <c r="J458" s="100"/>
      <c r="K458" s="100"/>
      <c r="L458" s="100"/>
      <c r="M458" s="100"/>
      <c r="N458" s="100"/>
      <c r="O458" s="100"/>
      <c r="P458" s="100"/>
      <c r="Q458" s="100"/>
      <c r="R458" s="100"/>
      <c r="S458" s="125"/>
      <c r="T458" s="100"/>
      <c r="U458" s="8762" t="s">
        <v>370</v>
      </c>
      <c r="V458" s="9369"/>
      <c r="W458" s="323">
        <v>0</v>
      </c>
      <c r="X458" s="342"/>
      <c r="Y458" s="342"/>
      <c r="Z458" s="1"/>
      <c r="AA458" s="337"/>
      <c r="AB458" s="3"/>
      <c r="AC458" s="3"/>
      <c r="AD458" s="337"/>
      <c r="AE458" s="343"/>
      <c r="AF458" s="343"/>
      <c r="AG458" s="100"/>
      <c r="AH458" s="100"/>
      <c r="AI458" s="100"/>
      <c r="AJ458" s="100"/>
      <c r="AK458" s="100"/>
    </row>
    <row r="459" spans="1:37" ht="16.5" customHeight="1">
      <c r="A459" s="100"/>
      <c r="B459" s="100"/>
      <c r="C459" s="100"/>
      <c r="D459" s="100"/>
      <c r="E459" s="100"/>
      <c r="F459" s="100"/>
      <c r="G459" s="100"/>
      <c r="H459" s="100"/>
      <c r="I459" s="100"/>
      <c r="J459" s="100"/>
      <c r="K459" s="100"/>
      <c r="L459" s="100"/>
      <c r="M459" s="100"/>
      <c r="N459" s="100"/>
      <c r="O459" s="100"/>
      <c r="P459" s="100"/>
      <c r="Q459" s="100"/>
      <c r="R459" s="100"/>
      <c r="S459" s="125"/>
      <c r="T459" s="100"/>
      <c r="U459" s="8927" t="s">
        <v>67</v>
      </c>
      <c r="V459" s="9370"/>
      <c r="W459" s="450">
        <f>SUM(W450:W458)</f>
        <v>4265819.8399825143</v>
      </c>
      <c r="X459" s="340"/>
      <c r="Y459" s="340"/>
      <c r="Z459" s="1"/>
      <c r="AA459" s="337"/>
      <c r="AB459" s="3"/>
      <c r="AC459" s="3"/>
      <c r="AD459" s="337"/>
      <c r="AE459" s="343"/>
      <c r="AF459" s="343"/>
      <c r="AG459" s="100"/>
      <c r="AH459" s="100"/>
      <c r="AI459" s="100"/>
      <c r="AJ459" s="100"/>
      <c r="AK459" s="100"/>
    </row>
    <row r="460" spans="1:37" ht="15.75" customHeight="1" thickTop="1">
      <c r="AB460" s="365"/>
      <c r="AD460"/>
    </row>
  </sheetData>
  <mergeCells count="987">
    <mergeCell ref="U456:V456"/>
    <mergeCell ref="J6:R6"/>
    <mergeCell ref="S6:AH6"/>
    <mergeCell ref="S7:Y7"/>
    <mergeCell ref="AE7:AG7"/>
    <mergeCell ref="AH7:AH8"/>
    <mergeCell ref="A1:AH1"/>
    <mergeCell ref="A2:AH2"/>
    <mergeCell ref="A3:AH3"/>
    <mergeCell ref="A4:AH4"/>
    <mergeCell ref="A6:B8"/>
    <mergeCell ref="C6:D6"/>
    <mergeCell ref="E6:I6"/>
    <mergeCell ref="G7:G8"/>
    <mergeCell ref="H7:H8"/>
    <mergeCell ref="I7:I8"/>
    <mergeCell ref="J7:J8"/>
    <mergeCell ref="K7:K8"/>
    <mergeCell ref="L7:L8"/>
    <mergeCell ref="M7:O7"/>
    <mergeCell ref="P7:P8"/>
    <mergeCell ref="E7:E8"/>
    <mergeCell ref="F7:F8"/>
    <mergeCell ref="J9:J13"/>
    <mergeCell ref="K9:K13"/>
    <mergeCell ref="L9:L13"/>
    <mergeCell ref="M9:M13"/>
    <mergeCell ref="N9:N13"/>
    <mergeCell ref="O9:O13"/>
    <mergeCell ref="P9:P13"/>
    <mergeCell ref="L14:L46"/>
    <mergeCell ref="M14:M46"/>
    <mergeCell ref="AH14:AH46"/>
    <mergeCell ref="N14:N46"/>
    <mergeCell ref="O14:O46"/>
    <mergeCell ref="P14:P46"/>
    <mergeCell ref="Q14:Q46"/>
    <mergeCell ref="R14:R46"/>
    <mergeCell ref="R7:R8"/>
    <mergeCell ref="Q47:Q52"/>
    <mergeCell ref="R47:R52"/>
    <mergeCell ref="Q9:Q13"/>
    <mergeCell ref="R9:R13"/>
    <mergeCell ref="Q7:Q8"/>
    <mergeCell ref="Z7:AD7"/>
    <mergeCell ref="AH47:AH52"/>
    <mergeCell ref="AH9:AH13"/>
    <mergeCell ref="Q76:Q80"/>
    <mergeCell ref="R76:R80"/>
    <mergeCell ref="J58:J70"/>
    <mergeCell ref="K58:K70"/>
    <mergeCell ref="L58:L70"/>
    <mergeCell ref="M58:M70"/>
    <mergeCell ref="N58:N70"/>
    <mergeCell ref="O58:O70"/>
    <mergeCell ref="P58:P70"/>
    <mergeCell ref="AH76:AH80"/>
    <mergeCell ref="J76:J80"/>
    <mergeCell ref="K76:K80"/>
    <mergeCell ref="L76:L80"/>
    <mergeCell ref="M76:M80"/>
    <mergeCell ref="N76:N80"/>
    <mergeCell ref="O76:O80"/>
    <mergeCell ref="P76:P80"/>
    <mergeCell ref="Q133:Q137"/>
    <mergeCell ref="R133:R137"/>
    <mergeCell ref="J133:J137"/>
    <mergeCell ref="K133:K137"/>
    <mergeCell ref="L133:L137"/>
    <mergeCell ref="M133:M137"/>
    <mergeCell ref="N133:N137"/>
    <mergeCell ref="O133:O137"/>
    <mergeCell ref="P133:P137"/>
    <mergeCell ref="N81:N84"/>
    <mergeCell ref="O81:O84"/>
    <mergeCell ref="P81:P84"/>
    <mergeCell ref="Q81:Q84"/>
    <mergeCell ref="R81:R84"/>
    <mergeCell ref="AH81:AH84"/>
    <mergeCell ref="Q116:Q120"/>
    <mergeCell ref="H138:H142"/>
    <mergeCell ref="I138:I142"/>
    <mergeCell ref="J138:J142"/>
    <mergeCell ref="K138:K142"/>
    <mergeCell ref="AH138:AH142"/>
    <mergeCell ref="AH143:AH147"/>
    <mergeCell ref="L138:L142"/>
    <mergeCell ref="M138:M142"/>
    <mergeCell ref="N138:N142"/>
    <mergeCell ref="O138:O142"/>
    <mergeCell ref="P138:P142"/>
    <mergeCell ref="Q138:Q142"/>
    <mergeCell ref="R138:R142"/>
    <mergeCell ref="P143:P147"/>
    <mergeCell ref="AH148:AH152"/>
    <mergeCell ref="S153:Z153"/>
    <mergeCell ref="AE153:AH153"/>
    <mergeCell ref="AH154:AH158"/>
    <mergeCell ref="AH159:AH163"/>
    <mergeCell ref="AH164:AH168"/>
    <mergeCell ref="AH169:AH173"/>
    <mergeCell ref="AH174:AH178"/>
    <mergeCell ref="AH179:AH183"/>
    <mergeCell ref="AH231:AH235"/>
    <mergeCell ref="AH236:AH240"/>
    <mergeCell ref="AH241:AH245"/>
    <mergeCell ref="AH246:AH250"/>
    <mergeCell ref="AH251:AH255"/>
    <mergeCell ref="AH256:AH260"/>
    <mergeCell ref="AH261:AH265"/>
    <mergeCell ref="S184:Z184"/>
    <mergeCell ref="AE184:AH184"/>
    <mergeCell ref="AH185:AH189"/>
    <mergeCell ref="AH225:AH229"/>
    <mergeCell ref="S230:Z230"/>
    <mergeCell ref="AE230:AH230"/>
    <mergeCell ref="AH190:AH194"/>
    <mergeCell ref="AH195:AH199"/>
    <mergeCell ref="AH200:AH204"/>
    <mergeCell ref="AH205:AH209"/>
    <mergeCell ref="AH210:AH214"/>
    <mergeCell ref="AH215:AH219"/>
    <mergeCell ref="AH220:AH224"/>
    <mergeCell ref="B154:B184"/>
    <mergeCell ref="C154:C158"/>
    <mergeCell ref="E154:E158"/>
    <mergeCell ref="F154:F158"/>
    <mergeCell ref="G154:G158"/>
    <mergeCell ref="H154:H158"/>
    <mergeCell ref="I154:I158"/>
    <mergeCell ref="C164:C168"/>
    <mergeCell ref="D164:D168"/>
    <mergeCell ref="C169:C173"/>
    <mergeCell ref="D169:D173"/>
    <mergeCell ref="C174:C178"/>
    <mergeCell ref="D174:D178"/>
    <mergeCell ref="C179:C183"/>
    <mergeCell ref="D179:D183"/>
    <mergeCell ref="C184:R184"/>
    <mergeCell ref="I159:I163"/>
    <mergeCell ref="L174:L178"/>
    <mergeCell ref="M174:M178"/>
    <mergeCell ref="N174:N178"/>
    <mergeCell ref="O174:O178"/>
    <mergeCell ref="P174:P178"/>
    <mergeCell ref="Q174:Q178"/>
    <mergeCell ref="R174:R178"/>
    <mergeCell ref="L200:L204"/>
    <mergeCell ref="M200:M204"/>
    <mergeCell ref="N200:N204"/>
    <mergeCell ref="O200:O204"/>
    <mergeCell ref="P200:P204"/>
    <mergeCell ref="Q200:Q204"/>
    <mergeCell ref="R200:R204"/>
    <mergeCell ref="E200:E204"/>
    <mergeCell ref="F200:F204"/>
    <mergeCell ref="G200:G204"/>
    <mergeCell ref="H200:H204"/>
    <mergeCell ref="I200:I204"/>
    <mergeCell ref="J200:J204"/>
    <mergeCell ref="K200:K204"/>
    <mergeCell ref="L205:L209"/>
    <mergeCell ref="M205:M209"/>
    <mergeCell ref="N205:N209"/>
    <mergeCell ref="O205:O209"/>
    <mergeCell ref="P205:P209"/>
    <mergeCell ref="Q205:Q209"/>
    <mergeCell ref="R205:R209"/>
    <mergeCell ref="E205:E209"/>
    <mergeCell ref="F205:F209"/>
    <mergeCell ref="G205:G209"/>
    <mergeCell ref="H205:H209"/>
    <mergeCell ref="I205:I209"/>
    <mergeCell ref="J205:J209"/>
    <mergeCell ref="K205:K209"/>
    <mergeCell ref="L210:L214"/>
    <mergeCell ref="M210:M214"/>
    <mergeCell ref="N210:N214"/>
    <mergeCell ref="O210:O214"/>
    <mergeCell ref="P210:P214"/>
    <mergeCell ref="Q210:Q214"/>
    <mergeCell ref="R210:R214"/>
    <mergeCell ref="E210:E214"/>
    <mergeCell ref="F210:F214"/>
    <mergeCell ref="G210:G214"/>
    <mergeCell ref="H210:H214"/>
    <mergeCell ref="I210:I214"/>
    <mergeCell ref="J210:J214"/>
    <mergeCell ref="K210:K214"/>
    <mergeCell ref="P215:P219"/>
    <mergeCell ref="Q215:Q219"/>
    <mergeCell ref="R215:R219"/>
    <mergeCell ref="E215:E219"/>
    <mergeCell ref="F215:F219"/>
    <mergeCell ref="G215:G219"/>
    <mergeCell ref="H215:H219"/>
    <mergeCell ref="I215:I219"/>
    <mergeCell ref="J215:J219"/>
    <mergeCell ref="K215:K219"/>
    <mergeCell ref="C231:C235"/>
    <mergeCell ref="D231:D235"/>
    <mergeCell ref="C236:C240"/>
    <mergeCell ref="D236:D240"/>
    <mergeCell ref="C241:C245"/>
    <mergeCell ref="D241:D245"/>
    <mergeCell ref="C246:C250"/>
    <mergeCell ref="D246:D250"/>
    <mergeCell ref="C251:C255"/>
    <mergeCell ref="D251:D255"/>
    <mergeCell ref="C58:C70"/>
    <mergeCell ref="D58:D70"/>
    <mergeCell ref="E58:E70"/>
    <mergeCell ref="F58:F70"/>
    <mergeCell ref="G58:G70"/>
    <mergeCell ref="H58:H70"/>
    <mergeCell ref="I58:I70"/>
    <mergeCell ref="Q58:Q70"/>
    <mergeCell ref="R58:R70"/>
    <mergeCell ref="AH53:AH57"/>
    <mergeCell ref="AH58:AH70"/>
    <mergeCell ref="AH71:AH75"/>
    <mergeCell ref="E14:E46"/>
    <mergeCell ref="F14:F46"/>
    <mergeCell ref="G14:G46"/>
    <mergeCell ref="H14:H46"/>
    <mergeCell ref="I14:I46"/>
    <mergeCell ref="J14:J46"/>
    <mergeCell ref="K14:K46"/>
    <mergeCell ref="J47:J52"/>
    <mergeCell ref="K47:K52"/>
    <mergeCell ref="L47:L52"/>
    <mergeCell ref="M47:M52"/>
    <mergeCell ref="N47:N52"/>
    <mergeCell ref="O47:O52"/>
    <mergeCell ref="P47:P52"/>
    <mergeCell ref="L53:L57"/>
    <mergeCell ref="M53:M57"/>
    <mergeCell ref="N53:N57"/>
    <mergeCell ref="O53:O57"/>
    <mergeCell ref="P53:P57"/>
    <mergeCell ref="Q53:Q57"/>
    <mergeCell ref="R53:R57"/>
    <mergeCell ref="C71:C75"/>
    <mergeCell ref="D71:D75"/>
    <mergeCell ref="E71:E75"/>
    <mergeCell ref="F71:F75"/>
    <mergeCell ref="G71:G75"/>
    <mergeCell ref="H71:H75"/>
    <mergeCell ref="I71:I75"/>
    <mergeCell ref="Q71:Q75"/>
    <mergeCell ref="R71:R75"/>
    <mergeCell ref="J71:J75"/>
    <mergeCell ref="K71:K75"/>
    <mergeCell ref="L71:L75"/>
    <mergeCell ref="M71:M75"/>
    <mergeCell ref="N71:N75"/>
    <mergeCell ref="O71:O75"/>
    <mergeCell ref="P71:P75"/>
    <mergeCell ref="C76:C80"/>
    <mergeCell ref="D76:D80"/>
    <mergeCell ref="E76:E80"/>
    <mergeCell ref="F76:F80"/>
    <mergeCell ref="G76:G80"/>
    <mergeCell ref="H76:H80"/>
    <mergeCell ref="I76:I80"/>
    <mergeCell ref="L81:L84"/>
    <mergeCell ref="M81:M84"/>
    <mergeCell ref="E81:E84"/>
    <mergeCell ref="F81:F84"/>
    <mergeCell ref="G81:G84"/>
    <mergeCell ref="H81:H84"/>
    <mergeCell ref="I81:I84"/>
    <mergeCell ref="J81:J84"/>
    <mergeCell ref="K81:K84"/>
    <mergeCell ref="C81:C84"/>
    <mergeCell ref="D81:D84"/>
    <mergeCell ref="AH85:AH93"/>
    <mergeCell ref="AH94:AH110"/>
    <mergeCell ref="L85:L93"/>
    <mergeCell ref="M85:M93"/>
    <mergeCell ref="N85:N93"/>
    <mergeCell ref="O85:O93"/>
    <mergeCell ref="P85:P93"/>
    <mergeCell ref="Q85:Q93"/>
    <mergeCell ref="R85:R93"/>
    <mergeCell ref="Q94:Q110"/>
    <mergeCell ref="R94:R110"/>
    <mergeCell ref="R116:R120"/>
    <mergeCell ref="AH116:AH120"/>
    <mergeCell ref="J116:J120"/>
    <mergeCell ref="K116:K120"/>
    <mergeCell ref="L116:L120"/>
    <mergeCell ref="M116:M120"/>
    <mergeCell ref="N116:N120"/>
    <mergeCell ref="O116:O120"/>
    <mergeCell ref="P116:P120"/>
    <mergeCell ref="K94:K110"/>
    <mergeCell ref="L94:L110"/>
    <mergeCell ref="M94:M110"/>
    <mergeCell ref="N94:N110"/>
    <mergeCell ref="O94:O110"/>
    <mergeCell ref="P94:P110"/>
    <mergeCell ref="C85:C93"/>
    <mergeCell ref="D85:D93"/>
    <mergeCell ref="C94:C110"/>
    <mergeCell ref="D94:D110"/>
    <mergeCell ref="E94:E110"/>
    <mergeCell ref="F94:F110"/>
    <mergeCell ref="G94:G110"/>
    <mergeCell ref="H94:H110"/>
    <mergeCell ref="I94:I110"/>
    <mergeCell ref="E85:E93"/>
    <mergeCell ref="F85:F93"/>
    <mergeCell ref="G85:G93"/>
    <mergeCell ref="H85:H93"/>
    <mergeCell ref="I85:I93"/>
    <mergeCell ref="J85:J93"/>
    <mergeCell ref="K85:K93"/>
    <mergeCell ref="C116:C120"/>
    <mergeCell ref="D116:D120"/>
    <mergeCell ref="E116:E120"/>
    <mergeCell ref="F116:F120"/>
    <mergeCell ref="G116:G120"/>
    <mergeCell ref="H116:H120"/>
    <mergeCell ref="I116:I120"/>
    <mergeCell ref="J111:J115"/>
    <mergeCell ref="K111:K115"/>
    <mergeCell ref="AH111:AH115"/>
    <mergeCell ref="AH121:AH127"/>
    <mergeCell ref="AH128:AH132"/>
    <mergeCell ref="AH133:AH137"/>
    <mergeCell ref="C111:C115"/>
    <mergeCell ref="D111:D115"/>
    <mergeCell ref="E111:E115"/>
    <mergeCell ref="F111:F115"/>
    <mergeCell ref="G111:G115"/>
    <mergeCell ref="H111:H115"/>
    <mergeCell ref="I111:I115"/>
    <mergeCell ref="C121:C127"/>
    <mergeCell ref="D121:D127"/>
    <mergeCell ref="E121:E127"/>
    <mergeCell ref="F121:F127"/>
    <mergeCell ref="G121:G127"/>
    <mergeCell ref="H121:H127"/>
    <mergeCell ref="I121:I127"/>
    <mergeCell ref="Q121:Q127"/>
    <mergeCell ref="R121:R127"/>
    <mergeCell ref="J121:J127"/>
    <mergeCell ref="K121:K127"/>
    <mergeCell ref="L121:L127"/>
    <mergeCell ref="M121:M127"/>
    <mergeCell ref="Q128:Q132"/>
    <mergeCell ref="R128:R132"/>
    <mergeCell ref="J128:J132"/>
    <mergeCell ref="K128:K132"/>
    <mergeCell ref="L128:L132"/>
    <mergeCell ref="M128:M132"/>
    <mergeCell ref="N128:N132"/>
    <mergeCell ref="O128:O132"/>
    <mergeCell ref="P128:P132"/>
    <mergeCell ref="P148:P152"/>
    <mergeCell ref="Q148:Q152"/>
    <mergeCell ref="R148:R152"/>
    <mergeCell ref="D154:D158"/>
    <mergeCell ref="C159:C163"/>
    <mergeCell ref="D159:D163"/>
    <mergeCell ref="C148:C152"/>
    <mergeCell ref="D148:D152"/>
    <mergeCell ref="E159:E163"/>
    <mergeCell ref="F159:F163"/>
    <mergeCell ref="G159:G163"/>
    <mergeCell ref="H159:H163"/>
    <mergeCell ref="E148:E152"/>
    <mergeCell ref="F148:F152"/>
    <mergeCell ref="G148:G152"/>
    <mergeCell ref="H148:H152"/>
    <mergeCell ref="I148:I152"/>
    <mergeCell ref="C153:R153"/>
    <mergeCell ref="P154:P158"/>
    <mergeCell ref="Q154:Q158"/>
    <mergeCell ref="R154:R158"/>
    <mergeCell ref="J154:J158"/>
    <mergeCell ref="K154:K158"/>
    <mergeCell ref="J148:J152"/>
    <mergeCell ref="C215:C219"/>
    <mergeCell ref="C220:C224"/>
    <mergeCell ref="B185:B230"/>
    <mergeCell ref="C185:C189"/>
    <mergeCell ref="C190:C194"/>
    <mergeCell ref="C195:C199"/>
    <mergeCell ref="C200:C204"/>
    <mergeCell ref="C205:C209"/>
    <mergeCell ref="C210:C214"/>
    <mergeCell ref="C225:C229"/>
    <mergeCell ref="C230:R230"/>
    <mergeCell ref="L225:L229"/>
    <mergeCell ref="M225:M229"/>
    <mergeCell ref="N225:N229"/>
    <mergeCell ref="O225:O229"/>
    <mergeCell ref="P225:P229"/>
    <mergeCell ref="L220:L224"/>
    <mergeCell ref="M220:M224"/>
    <mergeCell ref="N220:N224"/>
    <mergeCell ref="O220:O224"/>
    <mergeCell ref="P220:P224"/>
    <mergeCell ref="Q220:Q224"/>
    <mergeCell ref="R220:R224"/>
    <mergeCell ref="E220:E224"/>
    <mergeCell ref="G256:G260"/>
    <mergeCell ref="H256:H260"/>
    <mergeCell ref="I271:I275"/>
    <mergeCell ref="J271:J275"/>
    <mergeCell ref="K271:K275"/>
    <mergeCell ref="R256:R260"/>
    <mergeCell ref="D185:D189"/>
    <mergeCell ref="D190:D194"/>
    <mergeCell ref="D195:D199"/>
    <mergeCell ref="D200:D204"/>
    <mergeCell ref="D205:D209"/>
    <mergeCell ref="D210:D214"/>
    <mergeCell ref="D215:D219"/>
    <mergeCell ref="D220:D224"/>
    <mergeCell ref="F220:F224"/>
    <mergeCell ref="G220:G224"/>
    <mergeCell ref="H220:H224"/>
    <mergeCell ref="I220:I224"/>
    <mergeCell ref="J220:J224"/>
    <mergeCell ref="K220:K224"/>
    <mergeCell ref="L215:L219"/>
    <mergeCell ref="M215:M219"/>
    <mergeCell ref="N215:N219"/>
    <mergeCell ref="O215:O219"/>
    <mergeCell ref="C261:C265"/>
    <mergeCell ref="D261:D265"/>
    <mergeCell ref="C266:C270"/>
    <mergeCell ref="D266:D270"/>
    <mergeCell ref="C271:C275"/>
    <mergeCell ref="D271:D275"/>
    <mergeCell ref="C276:R276"/>
    <mergeCell ref="L271:L275"/>
    <mergeCell ref="M271:M275"/>
    <mergeCell ref="N271:N275"/>
    <mergeCell ref="O271:O275"/>
    <mergeCell ref="P271:P275"/>
    <mergeCell ref="Q271:Q275"/>
    <mergeCell ref="R271:R275"/>
    <mergeCell ref="F271:F275"/>
    <mergeCell ref="K266:K270"/>
    <mergeCell ref="G271:G275"/>
    <mergeCell ref="H271:H275"/>
    <mergeCell ref="R261:R265"/>
    <mergeCell ref="E261:E265"/>
    <mergeCell ref="F261:F265"/>
    <mergeCell ref="G261:G265"/>
    <mergeCell ref="H261:H265"/>
    <mergeCell ref="I261:I265"/>
    <mergeCell ref="L313:L318"/>
    <mergeCell ref="M313:M318"/>
    <mergeCell ref="N313:N318"/>
    <mergeCell ref="O313:O318"/>
    <mergeCell ref="P313:P318"/>
    <mergeCell ref="Q313:Q318"/>
    <mergeCell ref="R313:R318"/>
    <mergeCell ref="C358:C363"/>
    <mergeCell ref="L358:L363"/>
    <mergeCell ref="M358:M363"/>
    <mergeCell ref="N358:N363"/>
    <mergeCell ref="O358:O363"/>
    <mergeCell ref="P358:P363"/>
    <mergeCell ref="Q358:Q363"/>
    <mergeCell ref="R358:R363"/>
    <mergeCell ref="M336:M340"/>
    <mergeCell ref="N336:N340"/>
    <mergeCell ref="O336:O340"/>
    <mergeCell ref="P336:P340"/>
    <mergeCell ref="Q336:Q340"/>
    <mergeCell ref="R336:R340"/>
    <mergeCell ref="B9:B153"/>
    <mergeCell ref="B231:B276"/>
    <mergeCell ref="C7:C8"/>
    <mergeCell ref="D7:D8"/>
    <mergeCell ref="A9:A371"/>
    <mergeCell ref="C9:C13"/>
    <mergeCell ref="D9:D13"/>
    <mergeCell ref="D14:D46"/>
    <mergeCell ref="D225:D229"/>
    <mergeCell ref="D277:D281"/>
    <mergeCell ref="C282:C294"/>
    <mergeCell ref="D282:D294"/>
    <mergeCell ref="C295:C305"/>
    <mergeCell ref="D295:D305"/>
    <mergeCell ref="C313:C318"/>
    <mergeCell ref="D313:D318"/>
    <mergeCell ref="C319:C335"/>
    <mergeCell ref="D319:D335"/>
    <mergeCell ref="C336:C340"/>
    <mergeCell ref="D336:D340"/>
    <mergeCell ref="C341:C345"/>
    <mergeCell ref="D341:D345"/>
    <mergeCell ref="C256:C260"/>
    <mergeCell ref="D256:D260"/>
    <mergeCell ref="E9:E13"/>
    <mergeCell ref="F9:F13"/>
    <mergeCell ref="G9:G13"/>
    <mergeCell ref="H9:H13"/>
    <mergeCell ref="I9:I13"/>
    <mergeCell ref="C14:C46"/>
    <mergeCell ref="C47:C52"/>
    <mergeCell ref="E47:E52"/>
    <mergeCell ref="F47:F52"/>
    <mergeCell ref="G47:G52"/>
    <mergeCell ref="H47:H52"/>
    <mergeCell ref="I47:I52"/>
    <mergeCell ref="D47:D52"/>
    <mergeCell ref="C133:C137"/>
    <mergeCell ref="D133:D137"/>
    <mergeCell ref="E133:E137"/>
    <mergeCell ref="F133:F137"/>
    <mergeCell ref="G133:G137"/>
    <mergeCell ref="J53:J57"/>
    <mergeCell ref="K53:K57"/>
    <mergeCell ref="Q159:Q163"/>
    <mergeCell ref="R159:R163"/>
    <mergeCell ref="J159:J163"/>
    <mergeCell ref="K159:K163"/>
    <mergeCell ref="L159:L163"/>
    <mergeCell ref="M159:M163"/>
    <mergeCell ref="N159:N163"/>
    <mergeCell ref="O159:O163"/>
    <mergeCell ref="P159:P163"/>
    <mergeCell ref="Q143:Q147"/>
    <mergeCell ref="R143:R147"/>
    <mergeCell ref="N121:N127"/>
    <mergeCell ref="O121:O127"/>
    <mergeCell ref="P121:P127"/>
    <mergeCell ref="L111:L115"/>
    <mergeCell ref="M111:M115"/>
    <mergeCell ref="N111:N115"/>
    <mergeCell ref="O111:O115"/>
    <mergeCell ref="P111:P115"/>
    <mergeCell ref="Q111:Q115"/>
    <mergeCell ref="R111:R115"/>
    <mergeCell ref="J94:J110"/>
    <mergeCell ref="C53:C57"/>
    <mergeCell ref="D53:D57"/>
    <mergeCell ref="C143:C147"/>
    <mergeCell ref="D143:D147"/>
    <mergeCell ref="E143:E147"/>
    <mergeCell ref="F143:F147"/>
    <mergeCell ref="G143:G147"/>
    <mergeCell ref="H143:H147"/>
    <mergeCell ref="I143:I147"/>
    <mergeCell ref="C138:C142"/>
    <mergeCell ref="D138:D142"/>
    <mergeCell ref="E53:E57"/>
    <mergeCell ref="F53:F57"/>
    <mergeCell ref="G53:G57"/>
    <mergeCell ref="H53:H57"/>
    <mergeCell ref="I53:I57"/>
    <mergeCell ref="H133:H137"/>
    <mergeCell ref="I133:I137"/>
    <mergeCell ref="C128:C132"/>
    <mergeCell ref="D128:D132"/>
    <mergeCell ref="E128:E132"/>
    <mergeCell ref="F128:F132"/>
    <mergeCell ref="G128:G132"/>
    <mergeCell ref="H128:H132"/>
    <mergeCell ref="L154:L158"/>
    <mergeCell ref="M154:M158"/>
    <mergeCell ref="N154:N158"/>
    <mergeCell ref="O154:O158"/>
    <mergeCell ref="J143:J147"/>
    <mergeCell ref="K143:K147"/>
    <mergeCell ref="L143:L147"/>
    <mergeCell ref="M143:M147"/>
    <mergeCell ref="N143:N147"/>
    <mergeCell ref="O143:O147"/>
    <mergeCell ref="I128:I132"/>
    <mergeCell ref="K148:K152"/>
    <mergeCell ref="L148:L152"/>
    <mergeCell ref="M148:M152"/>
    <mergeCell ref="N148:N152"/>
    <mergeCell ref="O148:O152"/>
    <mergeCell ref="E138:E142"/>
    <mergeCell ref="F138:F142"/>
    <mergeCell ref="G138:G142"/>
    <mergeCell ref="E174:E178"/>
    <mergeCell ref="F174:F178"/>
    <mergeCell ref="G174:G178"/>
    <mergeCell ref="H174:H178"/>
    <mergeCell ref="I174:I178"/>
    <mergeCell ref="J174:J178"/>
    <mergeCell ref="K174:K178"/>
    <mergeCell ref="L185:L189"/>
    <mergeCell ref="M185:M189"/>
    <mergeCell ref="L179:L183"/>
    <mergeCell ref="M179:M183"/>
    <mergeCell ref="N185:N189"/>
    <mergeCell ref="O185:O189"/>
    <mergeCell ref="P185:P189"/>
    <mergeCell ref="Q185:Q189"/>
    <mergeCell ref="R185:R189"/>
    <mergeCell ref="E185:E189"/>
    <mergeCell ref="F185:F189"/>
    <mergeCell ref="G185:G189"/>
    <mergeCell ref="H185:H189"/>
    <mergeCell ref="I185:I189"/>
    <mergeCell ref="J185:J189"/>
    <mergeCell ref="K185:K189"/>
    <mergeCell ref="L190:L194"/>
    <mergeCell ref="M190:M194"/>
    <mergeCell ref="N190:N194"/>
    <mergeCell ref="O190:O194"/>
    <mergeCell ref="P190:P194"/>
    <mergeCell ref="Q190:Q194"/>
    <mergeCell ref="R190:R194"/>
    <mergeCell ref="E190:E194"/>
    <mergeCell ref="F190:F194"/>
    <mergeCell ref="G190:G194"/>
    <mergeCell ref="H190:H194"/>
    <mergeCell ref="I190:I194"/>
    <mergeCell ref="J190:J194"/>
    <mergeCell ref="K190:K194"/>
    <mergeCell ref="L195:L199"/>
    <mergeCell ref="M195:M199"/>
    <mergeCell ref="N195:N199"/>
    <mergeCell ref="O195:O199"/>
    <mergeCell ref="P195:P199"/>
    <mergeCell ref="Q195:Q199"/>
    <mergeCell ref="R195:R199"/>
    <mergeCell ref="E195:E199"/>
    <mergeCell ref="F195:F199"/>
    <mergeCell ref="G195:G199"/>
    <mergeCell ref="H195:H199"/>
    <mergeCell ref="I195:I199"/>
    <mergeCell ref="J195:J199"/>
    <mergeCell ref="K195:K199"/>
    <mergeCell ref="L164:L168"/>
    <mergeCell ref="M164:M168"/>
    <mergeCell ref="N164:N168"/>
    <mergeCell ref="O164:O168"/>
    <mergeCell ref="P164:P168"/>
    <mergeCell ref="Q164:Q168"/>
    <mergeCell ref="R164:R168"/>
    <mergeCell ref="E164:E168"/>
    <mergeCell ref="F164:F168"/>
    <mergeCell ref="G164:G168"/>
    <mergeCell ref="H164:H168"/>
    <mergeCell ref="I164:I168"/>
    <mergeCell ref="J164:J168"/>
    <mergeCell ref="K164:K168"/>
    <mergeCell ref="L169:L173"/>
    <mergeCell ref="M169:M173"/>
    <mergeCell ref="N169:N173"/>
    <mergeCell ref="O169:O173"/>
    <mergeCell ref="P169:P173"/>
    <mergeCell ref="Q169:Q173"/>
    <mergeCell ref="R169:R173"/>
    <mergeCell ref="E169:E173"/>
    <mergeCell ref="F169:F173"/>
    <mergeCell ref="G169:G173"/>
    <mergeCell ref="H169:H173"/>
    <mergeCell ref="I169:I173"/>
    <mergeCell ref="J169:J173"/>
    <mergeCell ref="K169:K173"/>
    <mergeCell ref="N179:N183"/>
    <mergeCell ref="O179:O183"/>
    <mergeCell ref="P179:P183"/>
    <mergeCell ref="Q179:Q183"/>
    <mergeCell ref="R179:R183"/>
    <mergeCell ref="E179:E183"/>
    <mergeCell ref="F179:F183"/>
    <mergeCell ref="G179:G183"/>
    <mergeCell ref="H179:H183"/>
    <mergeCell ref="I179:I183"/>
    <mergeCell ref="J179:J183"/>
    <mergeCell ref="K179:K183"/>
    <mergeCell ref="K231:K235"/>
    <mergeCell ref="L231:L235"/>
    <mergeCell ref="M231:M235"/>
    <mergeCell ref="N231:N235"/>
    <mergeCell ref="O231:O235"/>
    <mergeCell ref="P231:P235"/>
    <mergeCell ref="Q231:Q235"/>
    <mergeCell ref="R231:R235"/>
    <mergeCell ref="E225:E229"/>
    <mergeCell ref="E231:E235"/>
    <mergeCell ref="F231:F235"/>
    <mergeCell ref="G231:G235"/>
    <mergeCell ref="H231:H235"/>
    <mergeCell ref="I231:I235"/>
    <mergeCell ref="J231:J235"/>
    <mergeCell ref="Q225:Q229"/>
    <mergeCell ref="R225:R229"/>
    <mergeCell ref="F225:F229"/>
    <mergeCell ref="G225:G229"/>
    <mergeCell ref="H225:H229"/>
    <mergeCell ref="I225:I229"/>
    <mergeCell ref="J225:J229"/>
    <mergeCell ref="K225:K229"/>
    <mergeCell ref="L236:L240"/>
    <mergeCell ref="M236:M240"/>
    <mergeCell ref="N236:N240"/>
    <mergeCell ref="O236:O240"/>
    <mergeCell ref="P236:P240"/>
    <mergeCell ref="Q236:Q240"/>
    <mergeCell ref="R236:R240"/>
    <mergeCell ref="E236:E240"/>
    <mergeCell ref="F236:F240"/>
    <mergeCell ref="G236:G240"/>
    <mergeCell ref="H236:H240"/>
    <mergeCell ref="I236:I240"/>
    <mergeCell ref="J236:J240"/>
    <mergeCell ref="K236:K240"/>
    <mergeCell ref="L241:L245"/>
    <mergeCell ref="M241:M245"/>
    <mergeCell ref="N241:N245"/>
    <mergeCell ref="O241:O245"/>
    <mergeCell ref="P241:P245"/>
    <mergeCell ref="Q241:Q245"/>
    <mergeCell ref="R241:R245"/>
    <mergeCell ref="E241:E245"/>
    <mergeCell ref="F241:F245"/>
    <mergeCell ref="G241:G245"/>
    <mergeCell ref="H241:H245"/>
    <mergeCell ref="I241:I245"/>
    <mergeCell ref="J241:J245"/>
    <mergeCell ref="K241:K245"/>
    <mergeCell ref="L246:L250"/>
    <mergeCell ref="M246:M250"/>
    <mergeCell ref="N246:N250"/>
    <mergeCell ref="O246:O250"/>
    <mergeCell ref="P246:P250"/>
    <mergeCell ref="Q246:Q250"/>
    <mergeCell ref="R246:R250"/>
    <mergeCell ref="E246:E250"/>
    <mergeCell ref="F246:F250"/>
    <mergeCell ref="G246:G250"/>
    <mergeCell ref="H246:H250"/>
    <mergeCell ref="I246:I250"/>
    <mergeCell ref="J246:J250"/>
    <mergeCell ref="K246:K250"/>
    <mergeCell ref="AH358:AH363"/>
    <mergeCell ref="E358:E363"/>
    <mergeCell ref="F358:F363"/>
    <mergeCell ref="G358:G363"/>
    <mergeCell ref="H358:H363"/>
    <mergeCell ref="I358:I363"/>
    <mergeCell ref="J358:J363"/>
    <mergeCell ref="K358:K363"/>
    <mergeCell ref="L319:L335"/>
    <mergeCell ref="M319:M335"/>
    <mergeCell ref="N319:N335"/>
    <mergeCell ref="O319:O335"/>
    <mergeCell ref="P319:P335"/>
    <mergeCell ref="Q319:Q335"/>
    <mergeCell ref="R319:R335"/>
    <mergeCell ref="AH319:AH335"/>
    <mergeCell ref="E319:E335"/>
    <mergeCell ref="F319:F335"/>
    <mergeCell ref="G319:G335"/>
    <mergeCell ref="H319:H335"/>
    <mergeCell ref="I319:I335"/>
    <mergeCell ref="J319:J335"/>
    <mergeCell ref="K319:K335"/>
    <mergeCell ref="L336:L340"/>
    <mergeCell ref="AH336:AH340"/>
    <mergeCell ref="E336:E340"/>
    <mergeCell ref="F336:F340"/>
    <mergeCell ref="G336:G340"/>
    <mergeCell ref="H336:H340"/>
    <mergeCell ref="I336:I340"/>
    <mergeCell ref="J336:J340"/>
    <mergeCell ref="K336:K340"/>
    <mergeCell ref="L341:L345"/>
    <mergeCell ref="M341:M345"/>
    <mergeCell ref="N341:N345"/>
    <mergeCell ref="O341:O345"/>
    <mergeCell ref="P341:P345"/>
    <mergeCell ref="Q341:Q345"/>
    <mergeCell ref="R341:R345"/>
    <mergeCell ref="AH341:AH345"/>
    <mergeCell ref="E341:E345"/>
    <mergeCell ref="F341:F345"/>
    <mergeCell ref="G341:G345"/>
    <mergeCell ref="H341:H345"/>
    <mergeCell ref="I341:I345"/>
    <mergeCell ref="J341:J345"/>
    <mergeCell ref="K341:K345"/>
    <mergeCell ref="AE370:AH370"/>
    <mergeCell ref="AE371:AH371"/>
    <mergeCell ref="S372:AH372"/>
    <mergeCell ref="U374:Z374"/>
    <mergeCell ref="E364:E369"/>
    <mergeCell ref="F364:F369"/>
    <mergeCell ref="G364:G369"/>
    <mergeCell ref="H364:H369"/>
    <mergeCell ref="I364:I369"/>
    <mergeCell ref="J364:J369"/>
    <mergeCell ref="K364:K369"/>
    <mergeCell ref="L364:L369"/>
    <mergeCell ref="M364:M369"/>
    <mergeCell ref="N364:N369"/>
    <mergeCell ref="O364:O369"/>
    <mergeCell ref="P364:P369"/>
    <mergeCell ref="Q364:Q369"/>
    <mergeCell ref="AH364:AH369"/>
    <mergeCell ref="R364:R369"/>
    <mergeCell ref="S370:Z370"/>
    <mergeCell ref="C370:R370"/>
    <mergeCell ref="C364:C369"/>
    <mergeCell ref="AH277:AH281"/>
    <mergeCell ref="AH282:AH294"/>
    <mergeCell ref="B277:B370"/>
    <mergeCell ref="C277:C281"/>
    <mergeCell ref="E266:E270"/>
    <mergeCell ref="F266:F270"/>
    <mergeCell ref="G266:G270"/>
    <mergeCell ref="H266:H270"/>
    <mergeCell ref="I266:I270"/>
    <mergeCell ref="J266:J270"/>
    <mergeCell ref="C346:C351"/>
    <mergeCell ref="D346:D351"/>
    <mergeCell ref="C352:C357"/>
    <mergeCell ref="D352:D357"/>
    <mergeCell ref="D358:D363"/>
    <mergeCell ref="D364:D369"/>
    <mergeCell ref="E295:E305"/>
    <mergeCell ref="F295:F305"/>
    <mergeCell ref="G295:G305"/>
    <mergeCell ref="H295:H305"/>
    <mergeCell ref="I295:I305"/>
    <mergeCell ref="J295:J305"/>
    <mergeCell ref="E282:E294"/>
    <mergeCell ref="F282:F294"/>
    <mergeCell ref="G282:G294"/>
    <mergeCell ref="H282:H294"/>
    <mergeCell ref="I282:I294"/>
    <mergeCell ref="J282:J294"/>
    <mergeCell ref="K282:K294"/>
    <mergeCell ref="Q282:Q294"/>
    <mergeCell ref="R282:R294"/>
    <mergeCell ref="K295:K305"/>
    <mergeCell ref="P295:P305"/>
    <mergeCell ref="Q295:Q305"/>
    <mergeCell ref="R295:R305"/>
    <mergeCell ref="M282:M294"/>
    <mergeCell ref="N282:N294"/>
    <mergeCell ref="O282:O294"/>
    <mergeCell ref="P282:P294"/>
    <mergeCell ref="M295:M305"/>
    <mergeCell ref="N295:N305"/>
    <mergeCell ref="O295:O305"/>
    <mergeCell ref="E256:E260"/>
    <mergeCell ref="F256:F260"/>
    <mergeCell ref="AH266:AH270"/>
    <mergeCell ref="AH271:AH275"/>
    <mergeCell ref="S276:Z276"/>
    <mergeCell ref="AE276:AH276"/>
    <mergeCell ref="AH295:AH305"/>
    <mergeCell ref="L266:L270"/>
    <mergeCell ref="M266:M270"/>
    <mergeCell ref="N266:N270"/>
    <mergeCell ref="O266:O270"/>
    <mergeCell ref="P266:P270"/>
    <mergeCell ref="Q266:Q270"/>
    <mergeCell ref="R266:R270"/>
    <mergeCell ref="L277:L281"/>
    <mergeCell ref="M277:M281"/>
    <mergeCell ref="N277:N281"/>
    <mergeCell ref="O277:O281"/>
    <mergeCell ref="P277:P281"/>
    <mergeCell ref="Q277:Q281"/>
    <mergeCell ref="R277:R281"/>
    <mergeCell ref="L295:L305"/>
    <mergeCell ref="I256:I260"/>
    <mergeCell ref="K277:K281"/>
    <mergeCell ref="L251:L255"/>
    <mergeCell ref="M251:M255"/>
    <mergeCell ref="N251:N255"/>
    <mergeCell ref="O251:O255"/>
    <mergeCell ref="P251:P255"/>
    <mergeCell ref="Q251:Q255"/>
    <mergeCell ref="R251:R255"/>
    <mergeCell ref="E251:E255"/>
    <mergeCell ref="F251:F255"/>
    <mergeCell ref="G251:G255"/>
    <mergeCell ref="H251:H255"/>
    <mergeCell ref="I251:I255"/>
    <mergeCell ref="J251:J255"/>
    <mergeCell ref="K251:K255"/>
    <mergeCell ref="J256:J260"/>
    <mergeCell ref="K256:K260"/>
    <mergeCell ref="L261:L265"/>
    <mergeCell ref="M261:M265"/>
    <mergeCell ref="N261:N265"/>
    <mergeCell ref="O261:O265"/>
    <mergeCell ref="P261:P265"/>
    <mergeCell ref="Q261:Q265"/>
    <mergeCell ref="L256:L260"/>
    <mergeCell ref="M256:M260"/>
    <mergeCell ref="N256:N260"/>
    <mergeCell ref="O256:O260"/>
    <mergeCell ref="P256:P260"/>
    <mergeCell ref="Q256:Q260"/>
    <mergeCell ref="J261:J265"/>
    <mergeCell ref="K261:K265"/>
    <mergeCell ref="AH313:AH318"/>
    <mergeCell ref="E313:E318"/>
    <mergeCell ref="F313:F318"/>
    <mergeCell ref="G313:G318"/>
    <mergeCell ref="H313:H318"/>
    <mergeCell ref="I313:I318"/>
    <mergeCell ref="J313:J318"/>
    <mergeCell ref="K313:K318"/>
    <mergeCell ref="E271:E275"/>
    <mergeCell ref="E277:E281"/>
    <mergeCell ref="F277:F281"/>
    <mergeCell ref="G277:G281"/>
    <mergeCell ref="H277:H281"/>
    <mergeCell ref="I277:I281"/>
    <mergeCell ref="J277:J281"/>
    <mergeCell ref="L282:L294"/>
    <mergeCell ref="AH306:AH312"/>
    <mergeCell ref="L306:L312"/>
    <mergeCell ref="M306:M312"/>
    <mergeCell ref="N306:N312"/>
    <mergeCell ref="O306:O312"/>
    <mergeCell ref="P306:P312"/>
    <mergeCell ref="Q306:Q312"/>
    <mergeCell ref="R306:R312"/>
    <mergeCell ref="AH352:AH357"/>
    <mergeCell ref="E352:E357"/>
    <mergeCell ref="F352:F357"/>
    <mergeCell ref="G352:G357"/>
    <mergeCell ref="H352:H357"/>
    <mergeCell ref="I352:I357"/>
    <mergeCell ref="J352:J357"/>
    <mergeCell ref="K352:K357"/>
    <mergeCell ref="L346:L351"/>
    <mergeCell ref="M346:M351"/>
    <mergeCell ref="N346:N351"/>
    <mergeCell ref="O346:O351"/>
    <mergeCell ref="P346:P351"/>
    <mergeCell ref="Q346:Q351"/>
    <mergeCell ref="R346:R351"/>
    <mergeCell ref="AH346:AH351"/>
    <mergeCell ref="E346:E351"/>
    <mergeCell ref="F346:F351"/>
    <mergeCell ref="G346:G351"/>
    <mergeCell ref="H346:H351"/>
    <mergeCell ref="I346:I351"/>
    <mergeCell ref="J346:J351"/>
    <mergeCell ref="K346:K351"/>
    <mergeCell ref="U459:V459"/>
    <mergeCell ref="U448:V448"/>
    <mergeCell ref="U449:W449"/>
    <mergeCell ref="U450:V450"/>
    <mergeCell ref="U451:V451"/>
    <mergeCell ref="U452:V452"/>
    <mergeCell ref="U453:V453"/>
    <mergeCell ref="U454:V454"/>
    <mergeCell ref="L352:L357"/>
    <mergeCell ref="M352:M357"/>
    <mergeCell ref="N352:N357"/>
    <mergeCell ref="O352:O357"/>
    <mergeCell ref="P352:P357"/>
    <mergeCell ref="Q352:Q357"/>
    <mergeCell ref="R352:R357"/>
    <mergeCell ref="U442:W442"/>
    <mergeCell ref="U443:V443"/>
    <mergeCell ref="U444:V444"/>
    <mergeCell ref="U445:V445"/>
    <mergeCell ref="U447:V447"/>
    <mergeCell ref="U455:V455"/>
    <mergeCell ref="U457:V457"/>
    <mergeCell ref="U458:V458"/>
    <mergeCell ref="U446:V446"/>
    <mergeCell ref="C306:C312"/>
    <mergeCell ref="D306:D312"/>
    <mergeCell ref="E306:E312"/>
    <mergeCell ref="F306:F312"/>
    <mergeCell ref="G306:G312"/>
    <mergeCell ref="H306:H312"/>
    <mergeCell ref="I306:I312"/>
    <mergeCell ref="J306:J312"/>
    <mergeCell ref="K306:K312"/>
  </mergeCells>
  <dataValidations count="3">
    <dataValidation type="list" allowBlank="1" showErrorMessage="1" sqref="F9 F14 F47 F53 F58 F71 F76 F81 F85 F94 F111 F116 F121 F128 F133 F138 F143 F148 F154 F159 F164 F169 F174 F179 F185 F190 F195 F200 F205 F210 F215 F220 F225 F231 F236 F241 F246 F251 F256 F261 F266 F271 F277 F282 F295 F306 F313 F319:F321 F336 F341 F346 F352 F358 F364" xr:uid="{00000000-0002-0000-1400-000000000000}">
      <formula1>INDIRECT($E9)</formula1>
    </dataValidation>
    <dataValidation type="list" allowBlank="1" showErrorMessage="1" sqref="E9 E14 E47 E53 E58 E71 E76 E81 E85 E94 E111 E116 E121 E128 E133 E138 E143 E148 E154 E159 E164 E169 E174 E179 E185 E190 E195 E200 E205 E210 E215 E220 E225 E231 E236 E241 E246 E251 E256 E261 E266 E271 E277 E282 E295 E306 E313 E319:E321 E336 E341 E346 E352 E358 E364" xr:uid="{00000000-0002-0000-1400-000001000000}">
      <formula1>INDIRECT($G9)</formula1>
    </dataValidation>
    <dataValidation type="decimal" allowBlank="1" showInputMessage="1" showErrorMessage="1" prompt="DPLAN - Sólo debe ingresar valores, NO porcentajes." sqref="M14:O14 M47:O47 M71:O71 M76:O76 M81:O81 M85:O85 M94:O94 M111:O111 M116:O116 M121:O121 M143:O143 M148:O148 M159:O159 M164:O164 M174:O174 M179:O179 M190:O190 M195:O195 M200:O200 M205:O205 M215:O215 M220:O220 M225:O225 M236:O236 M241:O241 M251:O251 M256:O256 M261:O261 M266:O266 M271:O271 M282:O282 M295:O295 M306:O306 M313:O313 M336:O336 M341:O341 M346:O346 M352:O352 M358 O358 M364:O364" xr:uid="{00000000-0002-0000-1400-000002000000}">
      <formula1>0</formula1>
      <formula2>1000000</formula2>
    </dataValidation>
  </dataValidations>
  <printOptions horizontalCentered="1" verticalCentered="1" gridLines="1"/>
  <pageMargins left="0" right="0" top="0.78740157480314965" bottom="0.35433070866141736" header="0" footer="0"/>
  <pageSetup paperSize="9" scale="70" pageOrder="overThenDown" orientation="landscape" horizontalDpi="300" verticalDpi="300" r:id="rId1"/>
  <headerFooter>
    <oddHeader>&amp;LDirección Administrativa&amp;C&amp;P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1400-000003000000}">
          <x14:formula1>
            <xm:f>'https://utmachalaeduec-my.sharepoint.com/personal/planificacion_utmachala_edu_ec/Documents/Gestión 2023/G.06 EMISION DE INSUMOS PARA ELAB. DE LA PROF, PRESUPUESTARIA Y SUS REFORMAS/REFORMA N° 002-2023/[PND]PND'!#REF!</xm:f>
          </x14:formula1>
          <xm:sqref>C9:D9 C14:D14 C47:D47 C53:D53 C58:D58 C71:D71 C76:D76 C81:D81 C85:D85 C94:D94 C111:D111 C116:D116 C121:D121 C128:D128 C133:D133 C138:D138 C143:D143 C148:D148</xm:sqref>
        </x14:dataValidation>
        <x14:dataValidation type="list" allowBlank="1" showErrorMessage="1" xr:uid="{00000000-0002-0000-1400-000004000000}">
          <x14:formula1>
            <xm:f>('https://utmachalaeduec-my.sharepoint.com/personal/planificacion_utmachala_edu_ec/Documents/Gestión 2023/G.06 EMISION DE INSUMOS PARA ELAB. DE LA PROF, PRESUPUESTARIA Y SUS REFORMAS/REFORMA N° 002-2023/[PEDI]PEDI'!#REF!)</xm:f>
          </x14:formula1>
          <xm:sqref>H9 H14 H47 H53 H58 H71 H76 H81 H85 H94 H111 H116 H121 H128 H133 H138 H143 H148</xm:sqref>
        </x14:dataValidation>
        <x14:dataValidation type="list" allowBlank="1" showErrorMessage="1" xr:uid="{00000000-0002-0000-1400-000005000000}">
          <x14:formula1>
            <xm:f>'https://utmachalaeduec-my.sharepoint.com/personal/planificacion_utmachala_edu_ec/Documents/Gestión 2023/G.06 EMISION DE INSUMOS PARA ELAB. DE LA PROF, PRESUPUESTARIA Y SUS REFORMAS/REFORMA N° 002-2023/[PEDI]PEDI'!#REF!</xm:f>
          </x14:formula1>
          <xm:sqref>G9 G14 G47 G53 G58 G71 G76 G81 G85 G94 G111 G116 G121 G128 G133 G138 G143 G148</xm:sqref>
        </x14:dataValidation>
        <x14:dataValidation type="list" allowBlank="1" showErrorMessage="1" xr:uid="{00000000-0002-0000-14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I47 I53 I58 I71 I76 I81 I85 I94 I111 I116 I121 I128 I133 I138 I143 I148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AG745"/>
  <sheetViews>
    <sheetView showGridLines="0" topLeftCell="Q22" zoomScaleNormal="100" workbookViewId="0">
      <selection activeCell="AA53" sqref="AA53"/>
    </sheetView>
  </sheetViews>
  <sheetFormatPr baseColWidth="10" defaultColWidth="12.7109375" defaultRowHeight="15.75" customHeight="1"/>
  <cols>
    <col min="1" max="1" width="5.28515625" customWidth="1"/>
    <col min="2" max="5" width="25.7109375" customWidth="1"/>
    <col min="6" max="6" width="26.7109375" customWidth="1"/>
    <col min="7" max="11" width="25.7109375" customWidth="1"/>
    <col min="12" max="14" width="8.7109375" customWidth="1"/>
    <col min="15" max="18" width="25.7109375" customWidth="1"/>
    <col min="19" max="20" width="18.7109375" customWidth="1"/>
    <col min="21" max="21" width="40.7109375" customWidth="1"/>
    <col min="22" max="22" width="20.28515625" customWidth="1"/>
    <col min="23" max="24" width="12.7109375" customWidth="1"/>
    <col min="25" max="25" width="13.28515625" bestFit="1" customWidth="1"/>
    <col min="26" max="26" width="12.7109375" customWidth="1"/>
    <col min="27" max="27" width="13.7109375" bestFit="1" customWidth="1"/>
    <col min="28" max="28" width="12.140625" style="365" customWidth="1"/>
    <col min="29" max="29" width="10.28515625" style="365" customWidth="1"/>
    <col min="30" max="32" width="8.7109375" customWidth="1"/>
    <col min="33" max="33" width="19.7109375" customWidth="1"/>
  </cols>
  <sheetData>
    <row r="1" spans="1:33" ht="43.5"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4"/>
      <c r="AE1" s="8824"/>
      <c r="AF1" s="8824"/>
      <c r="AG1" s="8824"/>
    </row>
    <row r="2" spans="1:33" ht="30">
      <c r="A2" s="8826" t="s">
        <v>1</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6"/>
      <c r="AE2" s="8826"/>
      <c r="AF2" s="8826"/>
      <c r="AG2" s="8826"/>
    </row>
    <row r="3" spans="1:33" ht="30.75">
      <c r="A3" s="8828" t="s">
        <v>4187</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8"/>
      <c r="AE3" s="8828"/>
      <c r="AF3" s="8828"/>
      <c r="AG3" s="8828"/>
    </row>
    <row r="4" spans="1:33"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9"/>
      <c r="AE4" s="8829"/>
      <c r="AF4" s="8829"/>
      <c r="AG4" s="8829"/>
    </row>
    <row r="5" spans="1:33" ht="16.5" thickBot="1">
      <c r="A5" s="12"/>
      <c r="B5" s="11"/>
      <c r="C5" s="11"/>
      <c r="D5" s="11"/>
      <c r="E5" s="11"/>
      <c r="F5" s="11"/>
      <c r="G5" s="11"/>
      <c r="H5" s="11"/>
      <c r="I5" s="11"/>
      <c r="J5" s="11"/>
      <c r="K5" s="11"/>
      <c r="L5" s="11"/>
      <c r="M5" s="11"/>
      <c r="N5" s="11"/>
      <c r="O5" s="11"/>
      <c r="P5" s="11"/>
      <c r="Q5" s="11"/>
      <c r="R5" s="11"/>
      <c r="S5" s="11"/>
      <c r="T5" s="11"/>
      <c r="U5" s="11"/>
      <c r="V5" s="11"/>
      <c r="W5" s="11"/>
      <c r="X5" s="11"/>
      <c r="Y5" s="11"/>
      <c r="Z5" s="11"/>
      <c r="AA5" s="11"/>
      <c r="AB5" s="355"/>
      <c r="AC5" s="355"/>
      <c r="AD5" s="11"/>
      <c r="AE5" s="11"/>
      <c r="AF5" s="11"/>
      <c r="AG5" s="11"/>
    </row>
    <row r="6" spans="1:33" ht="24.75" customHeight="1" thickTop="1">
      <c r="A6" s="9002" t="s">
        <v>89</v>
      </c>
      <c r="B6" s="8832" t="s">
        <v>90</v>
      </c>
      <c r="C6" s="9356"/>
      <c r="D6" s="9010" t="s">
        <v>91</v>
      </c>
      <c r="E6" s="9357"/>
      <c r="F6" s="9357"/>
      <c r="G6" s="9357"/>
      <c r="H6" s="9357"/>
      <c r="I6" s="8988" t="s">
        <v>92</v>
      </c>
      <c r="J6" s="9343"/>
      <c r="K6" s="9343"/>
      <c r="L6" s="9343"/>
      <c r="M6" s="9343"/>
      <c r="N6" s="9343"/>
      <c r="O6" s="9343"/>
      <c r="P6" s="9343"/>
      <c r="Q6" s="9811"/>
      <c r="R6" s="9150" t="s">
        <v>93</v>
      </c>
      <c r="S6" s="9345"/>
      <c r="T6" s="9345"/>
      <c r="U6" s="9345"/>
      <c r="V6" s="9345"/>
      <c r="W6" s="9345"/>
      <c r="X6" s="9345"/>
      <c r="Y6" s="9345"/>
      <c r="Z6" s="9345"/>
      <c r="AA6" s="9345"/>
      <c r="AB6" s="9345"/>
      <c r="AC6" s="9345"/>
      <c r="AD6" s="9345"/>
      <c r="AE6" s="9345"/>
      <c r="AF6" s="9345"/>
      <c r="AG6" s="9346"/>
    </row>
    <row r="7" spans="1:33" ht="39.75" customHeight="1">
      <c r="A7" s="9820"/>
      <c r="B7" s="9146" t="s">
        <v>94</v>
      </c>
      <c r="C7" s="9147" t="s">
        <v>95</v>
      </c>
      <c r="D7" s="9012" t="s">
        <v>96</v>
      </c>
      <c r="E7" s="9012" t="s">
        <v>97</v>
      </c>
      <c r="F7" s="9012" t="s">
        <v>98</v>
      </c>
      <c r="G7" s="9012" t="s">
        <v>99</v>
      </c>
      <c r="H7" s="9012" t="s">
        <v>100</v>
      </c>
      <c r="I7" s="9014" t="s">
        <v>101</v>
      </c>
      <c r="J7" s="9016" t="s">
        <v>102</v>
      </c>
      <c r="K7" s="9016" t="s">
        <v>103</v>
      </c>
      <c r="L7" s="9016" t="s">
        <v>104</v>
      </c>
      <c r="M7" s="9361"/>
      <c r="N7" s="9361"/>
      <c r="O7" s="9016" t="s">
        <v>105</v>
      </c>
      <c r="P7" s="9016" t="s">
        <v>106</v>
      </c>
      <c r="Q7" s="9815" t="s">
        <v>107</v>
      </c>
      <c r="R7" s="9153" t="s">
        <v>108</v>
      </c>
      <c r="S7" s="9347"/>
      <c r="T7" s="9347"/>
      <c r="U7" s="9347"/>
      <c r="V7" s="9347"/>
      <c r="W7" s="9347"/>
      <c r="X7" s="9348"/>
      <c r="Y7" s="9156" t="s">
        <v>109</v>
      </c>
      <c r="Z7" s="9812"/>
      <c r="AA7" s="9812"/>
      <c r="AB7" s="9812"/>
      <c r="AC7" s="9813"/>
      <c r="AD7" s="9156" t="s">
        <v>110</v>
      </c>
      <c r="AE7" s="9347"/>
      <c r="AF7" s="9348"/>
      <c r="AG7" s="9157" t="s">
        <v>111</v>
      </c>
    </row>
    <row r="8" spans="1:33" ht="51.75" customHeight="1" thickBot="1">
      <c r="A8" s="9822"/>
      <c r="B8" s="9414"/>
      <c r="C8" s="9415"/>
      <c r="D8" s="9358"/>
      <c r="E8" s="9358"/>
      <c r="F8" s="9358"/>
      <c r="G8" s="9358"/>
      <c r="H8" s="9358"/>
      <c r="I8" s="9359"/>
      <c r="J8" s="9360"/>
      <c r="K8" s="9360"/>
      <c r="L8" s="5094" t="s">
        <v>112</v>
      </c>
      <c r="M8" s="5094" t="s">
        <v>113</v>
      </c>
      <c r="N8" s="5094" t="s">
        <v>114</v>
      </c>
      <c r="O8" s="9360"/>
      <c r="P8" s="9360"/>
      <c r="Q8" s="9816"/>
      <c r="R8" s="5091" t="s">
        <v>115</v>
      </c>
      <c r="S8" s="5092" t="s">
        <v>116</v>
      </c>
      <c r="T8" s="5092" t="s">
        <v>117</v>
      </c>
      <c r="U8" s="5092" t="s">
        <v>118</v>
      </c>
      <c r="V8" s="5092" t="s">
        <v>119</v>
      </c>
      <c r="W8" s="5092" t="s">
        <v>372</v>
      </c>
      <c r="X8" s="5093" t="s">
        <v>121</v>
      </c>
      <c r="Y8" s="5092" t="s">
        <v>122</v>
      </c>
      <c r="Z8" s="5092" t="s">
        <v>123</v>
      </c>
      <c r="AA8" s="5092" t="s">
        <v>124</v>
      </c>
      <c r="AB8" s="5090" t="s">
        <v>125</v>
      </c>
      <c r="AC8" s="5090" t="s">
        <v>1100</v>
      </c>
      <c r="AD8" s="5092" t="s">
        <v>112</v>
      </c>
      <c r="AE8" s="5092" t="s">
        <v>113</v>
      </c>
      <c r="AF8" s="5092" t="s">
        <v>114</v>
      </c>
      <c r="AG8" s="9349"/>
    </row>
    <row r="9" spans="1:33" ht="25.5" customHeight="1">
      <c r="A9" s="10662" t="s">
        <v>4188</v>
      </c>
      <c r="B9" s="10518" t="s">
        <v>127</v>
      </c>
      <c r="C9" s="10452" t="s">
        <v>128</v>
      </c>
      <c r="D9" s="10452" t="s">
        <v>140</v>
      </c>
      <c r="E9" s="10452" t="s">
        <v>238</v>
      </c>
      <c r="F9" s="10454" t="s">
        <v>131</v>
      </c>
      <c r="G9" s="10452" t="s">
        <v>132</v>
      </c>
      <c r="H9" s="10452" t="s">
        <v>159</v>
      </c>
      <c r="I9" s="10452" t="s">
        <v>4189</v>
      </c>
      <c r="J9" s="10452" t="s">
        <v>4190</v>
      </c>
      <c r="K9" s="10452" t="s">
        <v>4191</v>
      </c>
      <c r="L9" s="10707">
        <v>7</v>
      </c>
      <c r="M9" s="10707">
        <v>7</v>
      </c>
      <c r="N9" s="10707">
        <v>7</v>
      </c>
      <c r="O9" s="10452" t="s">
        <v>4192</v>
      </c>
      <c r="P9" s="10452" t="s">
        <v>4193</v>
      </c>
      <c r="Q9" s="10453" t="s">
        <v>4194</v>
      </c>
      <c r="R9" s="3866"/>
      <c r="S9" s="5679"/>
      <c r="T9" s="5679"/>
      <c r="U9" s="3764"/>
      <c r="V9" s="5498"/>
      <c r="W9" s="3683"/>
      <c r="X9" s="5521"/>
      <c r="Y9" s="5521"/>
      <c r="Z9" s="5521"/>
      <c r="AA9" s="5522"/>
      <c r="AB9" s="5832"/>
      <c r="AC9" s="3846"/>
      <c r="AD9" s="3683"/>
      <c r="AE9" s="3684"/>
      <c r="AF9" s="3684"/>
      <c r="AG9" s="10466"/>
    </row>
    <row r="10" spans="1:33" ht="25.5" customHeight="1">
      <c r="A10" s="10663"/>
      <c r="B10" s="10659"/>
      <c r="C10" s="10656"/>
      <c r="D10" s="10656"/>
      <c r="E10" s="10656"/>
      <c r="F10" s="10656"/>
      <c r="G10" s="10656"/>
      <c r="H10" s="10656"/>
      <c r="I10" s="10656"/>
      <c r="J10" s="10656"/>
      <c r="K10" s="10656"/>
      <c r="L10" s="10667"/>
      <c r="M10" s="10667"/>
      <c r="N10" s="10667"/>
      <c r="O10" s="10656"/>
      <c r="P10" s="10656"/>
      <c r="Q10" s="10672"/>
      <c r="R10" s="3867"/>
      <c r="S10" s="5681"/>
      <c r="T10" s="5681"/>
      <c r="U10" s="3495"/>
      <c r="V10" s="5499"/>
      <c r="W10" s="3496"/>
      <c r="X10" s="5523"/>
      <c r="Y10" s="5523"/>
      <c r="Z10" s="5523"/>
      <c r="AA10" s="5524"/>
      <c r="AB10" s="5779"/>
      <c r="AC10" s="3847"/>
      <c r="AD10" s="3496"/>
      <c r="AE10" s="3666"/>
      <c r="AF10" s="3666"/>
      <c r="AG10" s="10678"/>
    </row>
    <row r="11" spans="1:33" ht="25.5" customHeight="1">
      <c r="A11" s="10663"/>
      <c r="B11" s="10659"/>
      <c r="C11" s="10656"/>
      <c r="D11" s="10656"/>
      <c r="E11" s="10656"/>
      <c r="F11" s="10656"/>
      <c r="G11" s="10656"/>
      <c r="H11" s="10656"/>
      <c r="I11" s="10656"/>
      <c r="J11" s="10656"/>
      <c r="K11" s="10656"/>
      <c r="L11" s="10667"/>
      <c r="M11" s="10667"/>
      <c r="N11" s="10667"/>
      <c r="O11" s="10656"/>
      <c r="P11" s="10656"/>
      <c r="Q11" s="10672"/>
      <c r="R11" s="3867"/>
      <c r="S11" s="5681"/>
      <c r="T11" s="5681"/>
      <c r="U11" s="3495"/>
      <c r="V11" s="5499"/>
      <c r="W11" s="3496"/>
      <c r="X11" s="5523"/>
      <c r="Y11" s="5523"/>
      <c r="Z11" s="5523"/>
      <c r="AA11" s="5524"/>
      <c r="AB11" s="5779"/>
      <c r="AC11" s="3847"/>
      <c r="AD11" s="3496"/>
      <c r="AE11" s="3666"/>
      <c r="AF11" s="3666"/>
      <c r="AG11" s="10678"/>
    </row>
    <row r="12" spans="1:33" ht="25.5" customHeight="1">
      <c r="A12" s="10663"/>
      <c r="B12" s="10659"/>
      <c r="C12" s="10656"/>
      <c r="D12" s="10656"/>
      <c r="E12" s="10656"/>
      <c r="F12" s="10656"/>
      <c r="G12" s="10656"/>
      <c r="H12" s="10656"/>
      <c r="I12" s="10656"/>
      <c r="J12" s="10656"/>
      <c r="K12" s="10656"/>
      <c r="L12" s="10667"/>
      <c r="M12" s="10667"/>
      <c r="N12" s="10667"/>
      <c r="O12" s="10656"/>
      <c r="P12" s="10656"/>
      <c r="Q12" s="10672"/>
      <c r="R12" s="3868"/>
      <c r="S12" s="5682"/>
      <c r="T12" s="5682"/>
      <c r="U12" s="3495"/>
      <c r="V12" s="5499"/>
      <c r="W12" s="3496"/>
      <c r="X12" s="5523"/>
      <c r="Y12" s="5523"/>
      <c r="Z12" s="5523"/>
      <c r="AA12" s="5524"/>
      <c r="AB12" s="5779"/>
      <c r="AC12" s="3847"/>
      <c r="AD12" s="3496"/>
      <c r="AE12" s="3666"/>
      <c r="AF12" s="3666"/>
      <c r="AG12" s="10678"/>
    </row>
    <row r="13" spans="1:33" ht="25.5" customHeight="1">
      <c r="A13" s="10663"/>
      <c r="B13" s="10661"/>
      <c r="C13" s="10658"/>
      <c r="D13" s="10658"/>
      <c r="E13" s="10658"/>
      <c r="F13" s="10658"/>
      <c r="G13" s="10658"/>
      <c r="H13" s="10658"/>
      <c r="I13" s="10658"/>
      <c r="J13" s="10658"/>
      <c r="K13" s="10658"/>
      <c r="L13" s="10668"/>
      <c r="M13" s="10668"/>
      <c r="N13" s="10668"/>
      <c r="O13" s="10658"/>
      <c r="P13" s="10658"/>
      <c r="Q13" s="10673"/>
      <c r="R13" s="3879"/>
      <c r="S13" s="5683"/>
      <c r="T13" s="5683"/>
      <c r="U13" s="3759"/>
      <c r="V13" s="5509"/>
      <c r="W13" s="3714"/>
      <c r="X13" s="5544"/>
      <c r="Y13" s="5544"/>
      <c r="Z13" s="5544"/>
      <c r="AA13" s="5545"/>
      <c r="AB13" s="5823"/>
      <c r="AC13" s="3880"/>
      <c r="AD13" s="3714"/>
      <c r="AE13" s="3718"/>
      <c r="AF13" s="3718"/>
      <c r="AG13" s="10679"/>
    </row>
    <row r="14" spans="1:33">
      <c r="A14" s="10663"/>
      <c r="B14" s="10516" t="s">
        <v>127</v>
      </c>
      <c r="C14" s="10433" t="s">
        <v>128</v>
      </c>
      <c r="D14" s="10433" t="s">
        <v>129</v>
      </c>
      <c r="E14" s="10433" t="s">
        <v>2491</v>
      </c>
      <c r="F14" s="10442" t="s">
        <v>131</v>
      </c>
      <c r="G14" s="10433" t="s">
        <v>132</v>
      </c>
      <c r="H14" s="10433" t="s">
        <v>159</v>
      </c>
      <c r="I14" s="10433" t="s">
        <v>4195</v>
      </c>
      <c r="J14" s="10433" t="s">
        <v>4196</v>
      </c>
      <c r="K14" s="10433" t="s">
        <v>4197</v>
      </c>
      <c r="L14" s="10676">
        <v>7</v>
      </c>
      <c r="M14" s="10676">
        <v>7</v>
      </c>
      <c r="N14" s="10676">
        <v>7</v>
      </c>
      <c r="O14" s="10433" t="s">
        <v>4198</v>
      </c>
      <c r="P14" s="10433" t="s">
        <v>4199</v>
      </c>
      <c r="Q14" s="10439" t="s">
        <v>4200</v>
      </c>
      <c r="R14" s="3875" t="s">
        <v>79</v>
      </c>
      <c r="S14" s="5684">
        <v>531406</v>
      </c>
      <c r="T14" s="5685"/>
      <c r="U14" s="3762" t="s">
        <v>4163</v>
      </c>
      <c r="V14" s="5502"/>
      <c r="W14" s="3709"/>
      <c r="X14" s="7826"/>
      <c r="Y14" s="7826"/>
      <c r="Z14" s="7826"/>
      <c r="AA14" s="7827">
        <f>Z15</f>
        <v>521</v>
      </c>
      <c r="AB14" s="5780" t="s">
        <v>25</v>
      </c>
      <c r="AC14" s="3876"/>
      <c r="AD14" s="2930"/>
      <c r="AE14" s="3724"/>
      <c r="AF14" s="3724"/>
      <c r="AG14" s="10705" t="s">
        <v>4201</v>
      </c>
    </row>
    <row r="15" spans="1:33" ht="16.5">
      <c r="A15" s="10663"/>
      <c r="B15" s="10659"/>
      <c r="C15" s="10656"/>
      <c r="D15" s="10656"/>
      <c r="E15" s="10656"/>
      <c r="F15" s="10656"/>
      <c r="G15" s="10656"/>
      <c r="H15" s="10656"/>
      <c r="I15" s="10656"/>
      <c r="J15" s="10656"/>
      <c r="K15" s="10656"/>
      <c r="L15" s="10667"/>
      <c r="M15" s="10667"/>
      <c r="N15" s="10667"/>
      <c r="O15" s="10656"/>
      <c r="P15" s="10656"/>
      <c r="Q15" s="10672"/>
      <c r="R15" s="3869"/>
      <c r="S15" s="5681"/>
      <c r="T15" s="5681" t="s">
        <v>4202</v>
      </c>
      <c r="U15" s="3495" t="s">
        <v>4118</v>
      </c>
      <c r="V15" s="5499">
        <v>1</v>
      </c>
      <c r="W15" s="3668" t="s">
        <v>479</v>
      </c>
      <c r="X15" s="7821">
        <v>521</v>
      </c>
      <c r="Y15" s="7821">
        <f t="shared" ref="Y15" si="0">+V15*X15</f>
        <v>521</v>
      </c>
      <c r="Z15" s="7821">
        <f>Y15</f>
        <v>521</v>
      </c>
      <c r="AA15" s="7820"/>
      <c r="AB15" s="5779"/>
      <c r="AC15" s="3848"/>
      <c r="AD15" s="3505"/>
      <c r="AE15" s="3666" t="s">
        <v>153</v>
      </c>
      <c r="AF15" s="3666"/>
      <c r="AG15" s="10678"/>
    </row>
    <row r="16" spans="1:33" ht="16.5">
      <c r="A16" s="10663"/>
      <c r="B16" s="10659"/>
      <c r="C16" s="10656"/>
      <c r="D16" s="10656"/>
      <c r="E16" s="10656"/>
      <c r="F16" s="10656"/>
      <c r="G16" s="10656"/>
      <c r="H16" s="10656"/>
      <c r="I16" s="10656"/>
      <c r="J16" s="10656"/>
      <c r="K16" s="10656"/>
      <c r="L16" s="10667"/>
      <c r="M16" s="10667"/>
      <c r="N16" s="10667"/>
      <c r="O16" s="10656"/>
      <c r="P16" s="10656"/>
      <c r="Q16" s="10672"/>
      <c r="R16" s="3869"/>
      <c r="S16" s="5681"/>
      <c r="T16" s="5681"/>
      <c r="U16" s="3495"/>
      <c r="V16" s="5499"/>
      <c r="W16" s="3668"/>
      <c r="X16" s="5523"/>
      <c r="Y16" s="5523"/>
      <c r="Z16" s="5523"/>
      <c r="AA16" s="5524"/>
      <c r="AB16" s="5779"/>
      <c r="AC16" s="3848"/>
      <c r="AD16" s="3505"/>
      <c r="AE16" s="3666" t="s">
        <v>153</v>
      </c>
      <c r="AF16" s="3666"/>
      <c r="AG16" s="10678"/>
    </row>
    <row r="17" spans="1:33" ht="16.5">
      <c r="A17" s="10663"/>
      <c r="B17" s="10659"/>
      <c r="C17" s="10656"/>
      <c r="D17" s="10656"/>
      <c r="E17" s="10656"/>
      <c r="F17" s="10656"/>
      <c r="G17" s="10656"/>
      <c r="H17" s="10656"/>
      <c r="I17" s="10656"/>
      <c r="J17" s="10656"/>
      <c r="K17" s="10656"/>
      <c r="L17" s="10667"/>
      <c r="M17" s="10667"/>
      <c r="N17" s="10667"/>
      <c r="O17" s="10656"/>
      <c r="P17" s="10656"/>
      <c r="Q17" s="10672"/>
      <c r="R17" s="3869"/>
      <c r="S17" s="5681"/>
      <c r="T17" s="5681"/>
      <c r="U17" s="3495"/>
      <c r="V17" s="5499"/>
      <c r="W17" s="3668"/>
      <c r="X17" s="5523"/>
      <c r="Y17" s="5523"/>
      <c r="Z17" s="5523"/>
      <c r="AA17" s="5524"/>
      <c r="AB17" s="5779"/>
      <c r="AC17" s="3848"/>
      <c r="AD17" s="3505"/>
      <c r="AE17" s="3666" t="s">
        <v>153</v>
      </c>
      <c r="AF17" s="3666"/>
      <c r="AG17" s="10678"/>
    </row>
    <row r="18" spans="1:33">
      <c r="A18" s="10663"/>
      <c r="B18" s="10659"/>
      <c r="C18" s="10656"/>
      <c r="D18" s="10656"/>
      <c r="E18" s="10656"/>
      <c r="F18" s="10656"/>
      <c r="G18" s="10656"/>
      <c r="H18" s="10656"/>
      <c r="I18" s="10656"/>
      <c r="J18" s="10656"/>
      <c r="K18" s="10656"/>
      <c r="L18" s="10667"/>
      <c r="M18" s="10667"/>
      <c r="N18" s="10667"/>
      <c r="O18" s="10656"/>
      <c r="P18" s="10656"/>
      <c r="Q18" s="10672"/>
      <c r="R18" s="3869"/>
      <c r="S18" s="5682"/>
      <c r="T18" s="5682"/>
      <c r="U18" s="3542"/>
      <c r="V18" s="5499"/>
      <c r="W18" s="3496"/>
      <c r="X18" s="5523"/>
      <c r="Y18" s="5523"/>
      <c r="Z18" s="5523"/>
      <c r="AA18" s="5524"/>
      <c r="AB18" s="5779"/>
      <c r="AC18" s="3848"/>
      <c r="AD18" s="3504"/>
      <c r="AE18" s="3666"/>
      <c r="AF18" s="3666"/>
      <c r="AG18" s="10678"/>
    </row>
    <row r="19" spans="1:33">
      <c r="A19" s="10663"/>
      <c r="B19" s="10659"/>
      <c r="C19" s="10656"/>
      <c r="D19" s="10656"/>
      <c r="E19" s="10656"/>
      <c r="F19" s="10656"/>
      <c r="G19" s="10656"/>
      <c r="H19" s="10656"/>
      <c r="I19" s="10656"/>
      <c r="J19" s="10656"/>
      <c r="K19" s="10656"/>
      <c r="L19" s="10667"/>
      <c r="M19" s="10667"/>
      <c r="N19" s="10667"/>
      <c r="O19" s="10656"/>
      <c r="P19" s="10656"/>
      <c r="Q19" s="10672"/>
      <c r="R19" s="3869" t="s">
        <v>79</v>
      </c>
      <c r="S19" s="5682">
        <v>531404</v>
      </c>
      <c r="T19" s="5682"/>
      <c r="U19" s="3542" t="s">
        <v>39</v>
      </c>
      <c r="V19" s="5499"/>
      <c r="W19" s="3496"/>
      <c r="X19" s="5523"/>
      <c r="Y19" s="5523"/>
      <c r="Z19" s="5523"/>
      <c r="AA19" s="5541">
        <f>$Z$20</f>
        <v>100</v>
      </c>
      <c r="AB19" s="5779" t="s">
        <v>25</v>
      </c>
      <c r="AC19" s="3848"/>
      <c r="AD19" s="3504"/>
      <c r="AE19" s="3666"/>
      <c r="AF19" s="3666"/>
      <c r="AG19" s="10678"/>
    </row>
    <row r="20" spans="1:33" ht="25.5">
      <c r="A20" s="10663"/>
      <c r="B20" s="10659"/>
      <c r="C20" s="10656"/>
      <c r="D20" s="10656"/>
      <c r="E20" s="10656"/>
      <c r="F20" s="10656"/>
      <c r="G20" s="10656"/>
      <c r="H20" s="10656"/>
      <c r="I20" s="10656"/>
      <c r="J20" s="10656"/>
      <c r="K20" s="10656"/>
      <c r="L20" s="10667"/>
      <c r="M20" s="10667"/>
      <c r="N20" s="10667"/>
      <c r="O20" s="10656"/>
      <c r="P20" s="10656"/>
      <c r="Q20" s="10672"/>
      <c r="R20" s="3869"/>
      <c r="S20" s="5681"/>
      <c r="T20" s="7360">
        <v>369900511</v>
      </c>
      <c r="U20" s="3804" t="s">
        <v>4203</v>
      </c>
      <c r="V20" s="5507">
        <v>4</v>
      </c>
      <c r="W20" s="3671" t="s">
        <v>180</v>
      </c>
      <c r="X20" s="5542">
        <f>100/V20</f>
        <v>25</v>
      </c>
      <c r="Y20" s="5542">
        <f>+V20*X20</f>
        <v>100</v>
      </c>
      <c r="Z20" s="5542">
        <f>Y20</f>
        <v>100</v>
      </c>
      <c r="AA20" s="5524"/>
      <c r="AB20" s="5779"/>
      <c r="AC20" s="3848"/>
      <c r="AD20" s="3505"/>
      <c r="AE20" s="3666" t="s">
        <v>153</v>
      </c>
      <c r="AF20" s="3666"/>
      <c r="AG20" s="10678"/>
    </row>
    <row r="21" spans="1:33">
      <c r="A21" s="10663"/>
      <c r="B21" s="10659"/>
      <c r="C21" s="10656"/>
      <c r="D21" s="10656"/>
      <c r="E21" s="10656"/>
      <c r="F21" s="10656"/>
      <c r="G21" s="10656"/>
      <c r="H21" s="10656"/>
      <c r="I21" s="10656"/>
      <c r="J21" s="10656"/>
      <c r="K21" s="10656"/>
      <c r="L21" s="10667"/>
      <c r="M21" s="10667"/>
      <c r="N21" s="10667"/>
      <c r="O21" s="10656"/>
      <c r="P21" s="10656"/>
      <c r="Q21" s="10672"/>
      <c r="R21" s="3869"/>
      <c r="S21" s="5682"/>
      <c r="T21" s="5681"/>
      <c r="U21" s="3542"/>
      <c r="V21" s="5499"/>
      <c r="W21" s="3496"/>
      <c r="X21" s="5523"/>
      <c r="Y21" s="5523"/>
      <c r="Z21" s="5523"/>
      <c r="AA21" s="5524"/>
      <c r="AB21" s="5779"/>
      <c r="AC21" s="3848"/>
      <c r="AD21" s="3504"/>
      <c r="AE21" s="3496"/>
      <c r="AF21" s="3666"/>
      <c r="AG21" s="10678"/>
    </row>
    <row r="22" spans="1:33">
      <c r="A22" s="10663"/>
      <c r="B22" s="10659"/>
      <c r="C22" s="10656"/>
      <c r="D22" s="10656"/>
      <c r="E22" s="10656"/>
      <c r="F22" s="10656"/>
      <c r="G22" s="10656"/>
      <c r="H22" s="10656"/>
      <c r="I22" s="10656"/>
      <c r="J22" s="10656"/>
      <c r="K22" s="10656"/>
      <c r="L22" s="10667"/>
      <c r="M22" s="10667"/>
      <c r="N22" s="10667"/>
      <c r="O22" s="10656"/>
      <c r="P22" s="10656"/>
      <c r="Q22" s="10672"/>
      <c r="R22" s="3869" t="s">
        <v>79</v>
      </c>
      <c r="S22" s="5682">
        <v>531407</v>
      </c>
      <c r="T22" s="5681"/>
      <c r="U22" s="3542" t="s">
        <v>40</v>
      </c>
      <c r="V22" s="5499"/>
      <c r="W22" s="3496"/>
      <c r="X22" s="5523"/>
      <c r="Y22" s="5523"/>
      <c r="Z22" s="5523"/>
      <c r="AA22" s="5524">
        <f>SUM($Z$23)</f>
        <v>109.73999999999998</v>
      </c>
      <c r="AB22" s="5779" t="s">
        <v>25</v>
      </c>
      <c r="AC22" s="3848"/>
      <c r="AD22" s="3504"/>
      <c r="AE22" s="3496"/>
      <c r="AF22" s="3666"/>
      <c r="AG22" s="10678"/>
    </row>
    <row r="23" spans="1:33" ht="25.5">
      <c r="A23" s="10663"/>
      <c r="B23" s="10659"/>
      <c r="C23" s="10656"/>
      <c r="D23" s="10656"/>
      <c r="E23" s="10656"/>
      <c r="F23" s="10656"/>
      <c r="G23" s="10656"/>
      <c r="H23" s="10656"/>
      <c r="I23" s="10656"/>
      <c r="J23" s="10656"/>
      <c r="K23" s="10656"/>
      <c r="L23" s="10667"/>
      <c r="M23" s="10667"/>
      <c r="N23" s="10667"/>
      <c r="O23" s="10656"/>
      <c r="P23" s="10656"/>
      <c r="Q23" s="10672"/>
      <c r="R23" s="3869"/>
      <c r="S23" s="5681"/>
      <c r="T23" s="5681">
        <v>452700024</v>
      </c>
      <c r="U23" s="3495" t="s">
        <v>4204</v>
      </c>
      <c r="V23" s="5499">
        <v>1</v>
      </c>
      <c r="W23" s="3668" t="s">
        <v>180</v>
      </c>
      <c r="X23" s="5523">
        <f>109.74/1.12</f>
        <v>97.982142857142847</v>
      </c>
      <c r="Y23" s="5523">
        <f>X23*V23</f>
        <v>97.982142857142847</v>
      </c>
      <c r="Z23" s="5523">
        <f>(Y23*0.12)+Y23</f>
        <v>109.73999999999998</v>
      </c>
      <c r="AA23" s="5524"/>
      <c r="AB23" s="5779"/>
      <c r="AC23" s="3848"/>
      <c r="AD23" s="3504"/>
      <c r="AE23" s="3666" t="s">
        <v>153</v>
      </c>
      <c r="AF23" s="3666"/>
      <c r="AG23" s="10678"/>
    </row>
    <row r="24" spans="1:33">
      <c r="A24" s="10663"/>
      <c r="B24" s="10659"/>
      <c r="C24" s="10656"/>
      <c r="D24" s="10656"/>
      <c r="E24" s="10656"/>
      <c r="F24" s="10656"/>
      <c r="G24" s="10656"/>
      <c r="H24" s="10656"/>
      <c r="I24" s="10656"/>
      <c r="J24" s="10656"/>
      <c r="K24" s="10656"/>
      <c r="L24" s="10667"/>
      <c r="M24" s="10667"/>
      <c r="N24" s="10667"/>
      <c r="O24" s="10656"/>
      <c r="P24" s="10656"/>
      <c r="Q24" s="10672"/>
      <c r="R24" s="3869"/>
      <c r="S24" s="5682"/>
      <c r="T24" s="5681"/>
      <c r="U24" s="3542"/>
      <c r="V24" s="5499"/>
      <c r="W24" s="3496"/>
      <c r="X24" s="5523"/>
      <c r="Y24" s="5523"/>
      <c r="Z24" s="5523"/>
      <c r="AA24" s="5524"/>
      <c r="AB24" s="5779"/>
      <c r="AC24" s="3848"/>
      <c r="AD24" s="3699"/>
      <c r="AE24" s="3849"/>
      <c r="AF24" s="3674"/>
      <c r="AG24" s="10678"/>
    </row>
    <row r="25" spans="1:33" ht="51">
      <c r="A25" s="10663"/>
      <c r="B25" s="10659"/>
      <c r="C25" s="10656"/>
      <c r="D25" s="10656"/>
      <c r="E25" s="10656"/>
      <c r="F25" s="10656"/>
      <c r="G25" s="10656"/>
      <c r="H25" s="10656"/>
      <c r="I25" s="10656"/>
      <c r="J25" s="10656"/>
      <c r="K25" s="10656"/>
      <c r="L25" s="10667"/>
      <c r="M25" s="10667"/>
      <c r="N25" s="10667"/>
      <c r="O25" s="10656"/>
      <c r="P25" s="10656"/>
      <c r="Q25" s="10672"/>
      <c r="R25" s="3869" t="s">
        <v>79</v>
      </c>
      <c r="S25" s="5682">
        <v>530811</v>
      </c>
      <c r="T25" s="5681"/>
      <c r="U25" s="3542" t="s">
        <v>2234</v>
      </c>
      <c r="V25" s="5499"/>
      <c r="W25" s="3496"/>
      <c r="X25" s="5523"/>
      <c r="Y25" s="5523"/>
      <c r="Z25" s="5523"/>
      <c r="AA25" s="5541">
        <f>SUM($Z$26:$Z$26)</f>
        <v>6300.05</v>
      </c>
      <c r="AB25" s="5779" t="s">
        <v>25</v>
      </c>
      <c r="AC25" s="3848"/>
      <c r="AD25" s="3699"/>
      <c r="AE25" s="3849"/>
      <c r="AF25" s="3674"/>
      <c r="AG25" s="10678"/>
    </row>
    <row r="26" spans="1:33" ht="251.25" customHeight="1">
      <c r="A26" s="10663"/>
      <c r="B26" s="10659"/>
      <c r="C26" s="10656"/>
      <c r="D26" s="10656"/>
      <c r="E26" s="10656"/>
      <c r="F26" s="10656"/>
      <c r="G26" s="10656"/>
      <c r="H26" s="10656"/>
      <c r="I26" s="10656"/>
      <c r="J26" s="10656"/>
      <c r="K26" s="10656"/>
      <c r="L26" s="10667"/>
      <c r="M26" s="10667"/>
      <c r="N26" s="10667"/>
      <c r="O26" s="10656"/>
      <c r="P26" s="10656"/>
      <c r="Q26" s="10672"/>
      <c r="R26" s="3869"/>
      <c r="S26" s="5681"/>
      <c r="T26" s="5681"/>
      <c r="U26" s="3804" t="s">
        <v>4205</v>
      </c>
      <c r="V26" s="5507">
        <v>1</v>
      </c>
      <c r="W26" s="3671" t="s">
        <v>479</v>
      </c>
      <c r="X26" s="5542">
        <v>6300.05</v>
      </c>
      <c r="Y26" s="5542">
        <f t="shared" ref="Y26" si="1">X26*V26</f>
        <v>6300.05</v>
      </c>
      <c r="Z26" s="5542">
        <f>Y26</f>
        <v>6300.05</v>
      </c>
      <c r="AA26" s="5524"/>
      <c r="AB26" s="5779"/>
      <c r="AC26" s="3848"/>
      <c r="AD26" s="3505"/>
      <c r="AE26" s="3666" t="s">
        <v>153</v>
      </c>
      <c r="AF26" s="3666"/>
      <c r="AG26" s="10678"/>
    </row>
    <row r="27" spans="1:33">
      <c r="A27" s="10663"/>
      <c r="B27" s="10659"/>
      <c r="C27" s="10656"/>
      <c r="D27" s="10656"/>
      <c r="E27" s="10656"/>
      <c r="F27" s="10656"/>
      <c r="G27" s="10656"/>
      <c r="H27" s="10656"/>
      <c r="I27" s="10656"/>
      <c r="J27" s="10656"/>
      <c r="K27" s="10656"/>
      <c r="L27" s="10667"/>
      <c r="M27" s="10667"/>
      <c r="N27" s="10667"/>
      <c r="O27" s="10656"/>
      <c r="P27" s="10656"/>
      <c r="Q27" s="10672"/>
      <c r="R27" s="3869"/>
      <c r="S27" s="5682"/>
      <c r="T27" s="5681"/>
      <c r="U27" s="3542"/>
      <c r="V27" s="5499"/>
      <c r="W27" s="3496"/>
      <c r="X27" s="5523"/>
      <c r="Y27" s="5523"/>
      <c r="Z27" s="5523"/>
      <c r="AA27" s="5524"/>
      <c r="AB27" s="5779"/>
      <c r="AC27" s="3848"/>
      <c r="AD27" s="3504"/>
      <c r="AE27" s="3666"/>
      <c r="AF27" s="3666"/>
      <c r="AG27" s="10678"/>
    </row>
    <row r="28" spans="1:33" ht="16.5">
      <c r="A28" s="10663"/>
      <c r="B28" s="10659"/>
      <c r="C28" s="10656"/>
      <c r="D28" s="10656"/>
      <c r="E28" s="10656"/>
      <c r="F28" s="10656"/>
      <c r="G28" s="10656"/>
      <c r="H28" s="10656"/>
      <c r="I28" s="10656"/>
      <c r="J28" s="10656"/>
      <c r="K28" s="10656"/>
      <c r="L28" s="10667"/>
      <c r="M28" s="10667"/>
      <c r="N28" s="10667"/>
      <c r="O28" s="10656"/>
      <c r="P28" s="10656"/>
      <c r="Q28" s="10672"/>
      <c r="R28" s="3869" t="s">
        <v>79</v>
      </c>
      <c r="S28" s="5682">
        <v>531601</v>
      </c>
      <c r="T28" s="5681"/>
      <c r="U28" s="3796" t="s">
        <v>4206</v>
      </c>
      <c r="V28" s="5499"/>
      <c r="W28" s="3496"/>
      <c r="X28" s="8069"/>
      <c r="Y28" s="8069"/>
      <c r="Z28" s="8069"/>
      <c r="AA28" s="8065">
        <f>SUM($Z$29)</f>
        <v>0</v>
      </c>
      <c r="AB28" s="5779" t="s">
        <v>25</v>
      </c>
      <c r="AC28" s="3848"/>
      <c r="AD28" s="3504"/>
      <c r="AE28" s="3666"/>
      <c r="AF28" s="3666"/>
      <c r="AG28" s="10678"/>
    </row>
    <row r="29" spans="1:33" ht="16.5">
      <c r="A29" s="10663"/>
      <c r="B29" s="10659"/>
      <c r="C29" s="10656"/>
      <c r="D29" s="10656"/>
      <c r="E29" s="10656"/>
      <c r="F29" s="10656"/>
      <c r="G29" s="10656"/>
      <c r="H29" s="10656"/>
      <c r="I29" s="10656"/>
      <c r="J29" s="10656"/>
      <c r="K29" s="10656"/>
      <c r="L29" s="10667"/>
      <c r="M29" s="10667"/>
      <c r="N29" s="10667"/>
      <c r="O29" s="10656"/>
      <c r="P29" s="10656"/>
      <c r="Q29" s="10672"/>
      <c r="R29" s="3869"/>
      <c r="S29" s="5682"/>
      <c r="T29" s="5681"/>
      <c r="U29" s="3763" t="s">
        <v>4207</v>
      </c>
      <c r="V29" s="5499">
        <v>1</v>
      </c>
      <c r="W29" s="3668" t="s">
        <v>180</v>
      </c>
      <c r="X29" s="8069">
        <f>200/1.12</f>
        <v>178.57142857142856</v>
      </c>
      <c r="Y29" s="8069">
        <f>X29*V29</f>
        <v>178.57142857142856</v>
      </c>
      <c r="Z29" s="8069">
        <v>0</v>
      </c>
      <c r="AA29" s="8065"/>
      <c r="AB29" s="5779"/>
      <c r="AC29" s="3848"/>
      <c r="AD29" s="3688" t="s">
        <v>153</v>
      </c>
      <c r="AE29" s="3554" t="s">
        <v>153</v>
      </c>
      <c r="AF29" s="3554" t="s">
        <v>153</v>
      </c>
      <c r="AG29" s="10678"/>
    </row>
    <row r="30" spans="1:33" ht="66">
      <c r="A30" s="10663"/>
      <c r="B30" s="10659"/>
      <c r="C30" s="10656"/>
      <c r="D30" s="10656"/>
      <c r="E30" s="10656"/>
      <c r="F30" s="10656"/>
      <c r="G30" s="10656"/>
      <c r="H30" s="10656"/>
      <c r="I30" s="10656"/>
      <c r="J30" s="10656"/>
      <c r="K30" s="10656"/>
      <c r="L30" s="10667"/>
      <c r="M30" s="10667"/>
      <c r="N30" s="10667"/>
      <c r="O30" s="10656"/>
      <c r="P30" s="10656"/>
      <c r="Q30" s="10672"/>
      <c r="R30" s="3870" t="s">
        <v>79</v>
      </c>
      <c r="S30" s="7429">
        <v>530811</v>
      </c>
      <c r="T30" s="7430" t="s">
        <v>4208</v>
      </c>
      <c r="U30" s="3806" t="s">
        <v>4209</v>
      </c>
      <c r="V30" s="7442" t="s">
        <v>4208</v>
      </c>
      <c r="W30" s="3850"/>
      <c r="X30" s="5540"/>
      <c r="Y30" s="5540"/>
      <c r="Z30" s="5540">
        <v>157.34</v>
      </c>
      <c r="AA30" s="5531">
        <v>157.34</v>
      </c>
      <c r="AB30" s="7451" t="s">
        <v>25</v>
      </c>
      <c r="AC30" s="3851"/>
      <c r="AD30" s="3852"/>
      <c r="AE30" s="3853" t="s">
        <v>153</v>
      </c>
      <c r="AF30" s="3853" t="s">
        <v>153</v>
      </c>
      <c r="AG30" s="10678"/>
    </row>
    <row r="31" spans="1:33" ht="16.5">
      <c r="A31" s="10663"/>
      <c r="B31" s="10659"/>
      <c r="C31" s="10656"/>
      <c r="D31" s="10656"/>
      <c r="E31" s="10656"/>
      <c r="F31" s="10656"/>
      <c r="G31" s="10656"/>
      <c r="H31" s="10656"/>
      <c r="I31" s="10656"/>
      <c r="J31" s="10656"/>
      <c r="K31" s="10656"/>
      <c r="L31" s="10667"/>
      <c r="M31" s="10667"/>
      <c r="N31" s="10667"/>
      <c r="O31" s="10656"/>
      <c r="P31" s="10656"/>
      <c r="Q31" s="10672"/>
      <c r="R31" s="3870" t="s">
        <v>79</v>
      </c>
      <c r="S31" s="7429">
        <v>530813</v>
      </c>
      <c r="T31" s="7430" t="s">
        <v>4208</v>
      </c>
      <c r="U31" s="3806" t="s">
        <v>2694</v>
      </c>
      <c r="V31" s="7442" t="s">
        <v>4208</v>
      </c>
      <c r="W31" s="3850"/>
      <c r="X31" s="5540"/>
      <c r="Y31" s="5540"/>
      <c r="Z31" s="5540">
        <v>157.33333333333334</v>
      </c>
      <c r="AA31" s="5531">
        <f>472/3</f>
        <v>157.33333333333334</v>
      </c>
      <c r="AB31" s="7451" t="s">
        <v>25</v>
      </c>
      <c r="AC31" s="3851"/>
      <c r="AD31" s="3852"/>
      <c r="AE31" s="3853" t="s">
        <v>153</v>
      </c>
      <c r="AF31" s="3853" t="s">
        <v>153</v>
      </c>
      <c r="AG31" s="10678"/>
    </row>
    <row r="32" spans="1:33" ht="16.5">
      <c r="A32" s="10663"/>
      <c r="B32" s="10659"/>
      <c r="C32" s="10656"/>
      <c r="D32" s="10656"/>
      <c r="E32" s="10656"/>
      <c r="F32" s="10656"/>
      <c r="G32" s="10656"/>
      <c r="H32" s="10656"/>
      <c r="I32" s="10656"/>
      <c r="J32" s="10656"/>
      <c r="K32" s="10656"/>
      <c r="L32" s="10667"/>
      <c r="M32" s="10667"/>
      <c r="N32" s="10667"/>
      <c r="O32" s="10656"/>
      <c r="P32" s="10656"/>
      <c r="Q32" s="10672"/>
      <c r="R32" s="3870" t="s">
        <v>79</v>
      </c>
      <c r="S32" s="7429">
        <v>530805</v>
      </c>
      <c r="T32" s="7430" t="s">
        <v>4208</v>
      </c>
      <c r="U32" s="3806" t="s">
        <v>3817</v>
      </c>
      <c r="V32" s="7442" t="s">
        <v>4208</v>
      </c>
      <c r="W32" s="3676"/>
      <c r="X32" s="5540"/>
      <c r="Y32" s="5540"/>
      <c r="Z32" s="5540">
        <v>157.33333333333334</v>
      </c>
      <c r="AA32" s="5531">
        <f>472/3</f>
        <v>157.33333333333334</v>
      </c>
      <c r="AB32" s="7451" t="s">
        <v>25</v>
      </c>
      <c r="AC32" s="3851"/>
      <c r="AD32" s="3854"/>
      <c r="AE32" s="3853" t="s">
        <v>153</v>
      </c>
      <c r="AF32" s="3853" t="s">
        <v>153</v>
      </c>
      <c r="AG32" s="10678"/>
    </row>
    <row r="33" spans="1:33" ht="16.5">
      <c r="A33" s="10663"/>
      <c r="B33" s="10659"/>
      <c r="C33" s="10656"/>
      <c r="D33" s="10656"/>
      <c r="E33" s="10656"/>
      <c r="F33" s="10656"/>
      <c r="G33" s="10656"/>
      <c r="H33" s="10656"/>
      <c r="I33" s="10656"/>
      <c r="J33" s="10656"/>
      <c r="K33" s="10656"/>
      <c r="L33" s="10667"/>
      <c r="M33" s="10667"/>
      <c r="N33" s="10667"/>
      <c r="O33" s="10656"/>
      <c r="P33" s="10656"/>
      <c r="Q33" s="10672"/>
      <c r="R33" s="3869"/>
      <c r="S33" s="5682"/>
      <c r="T33" s="5681"/>
      <c r="U33" s="3542"/>
      <c r="V33" s="5499"/>
      <c r="W33" s="3496"/>
      <c r="X33" s="5523"/>
      <c r="Y33" s="5523"/>
      <c r="Z33" s="5523"/>
      <c r="AA33" s="5524"/>
      <c r="AB33" s="5779"/>
      <c r="AC33" s="3848"/>
      <c r="AD33" s="3504"/>
      <c r="AE33" s="3554"/>
      <c r="AF33" s="3554"/>
      <c r="AG33" s="10678"/>
    </row>
    <row r="34" spans="1:33" ht="25.5">
      <c r="A34" s="10663"/>
      <c r="B34" s="10659"/>
      <c r="C34" s="10656"/>
      <c r="D34" s="10656"/>
      <c r="E34" s="10656"/>
      <c r="F34" s="10656"/>
      <c r="G34" s="10656"/>
      <c r="H34" s="10656"/>
      <c r="I34" s="10656"/>
      <c r="J34" s="10656"/>
      <c r="K34" s="10656"/>
      <c r="L34" s="10667"/>
      <c r="M34" s="10667"/>
      <c r="N34" s="10667"/>
      <c r="O34" s="10656"/>
      <c r="P34" s="10656"/>
      <c r="Q34" s="10672"/>
      <c r="R34" s="3869" t="s">
        <v>80</v>
      </c>
      <c r="S34" s="5682">
        <v>530204</v>
      </c>
      <c r="T34" s="5681"/>
      <c r="U34" s="3542" t="s">
        <v>4210</v>
      </c>
      <c r="V34" s="5499"/>
      <c r="W34" s="3496"/>
      <c r="X34" s="5523"/>
      <c r="Y34" s="5523"/>
      <c r="Z34" s="5523"/>
      <c r="AA34" s="5524">
        <f>SUM($Z$35)</f>
        <v>0</v>
      </c>
      <c r="AB34" s="5779"/>
      <c r="AC34" s="3848"/>
      <c r="AD34" s="3504"/>
      <c r="AE34" s="3666"/>
      <c r="AF34" s="3666"/>
      <c r="AG34" s="10678"/>
    </row>
    <row r="35" spans="1:33" ht="28.5">
      <c r="A35" s="10663"/>
      <c r="B35" s="10659"/>
      <c r="C35" s="10656"/>
      <c r="D35" s="10656"/>
      <c r="E35" s="10656"/>
      <c r="F35" s="10656"/>
      <c r="G35" s="10656"/>
      <c r="H35" s="10656"/>
      <c r="I35" s="10656"/>
      <c r="J35" s="10656"/>
      <c r="K35" s="10656"/>
      <c r="L35" s="10667"/>
      <c r="M35" s="10667"/>
      <c r="N35" s="10667"/>
      <c r="O35" s="10656"/>
      <c r="P35" s="10656"/>
      <c r="Q35" s="10672"/>
      <c r="R35" s="3871"/>
      <c r="S35" s="5681"/>
      <c r="T35" s="5681"/>
      <c r="U35" s="3855" t="s">
        <v>4211</v>
      </c>
      <c r="V35" s="5499"/>
      <c r="W35" s="3856" t="s">
        <v>152</v>
      </c>
      <c r="X35" s="5523">
        <v>11000</v>
      </c>
      <c r="Y35" s="5523">
        <f>+V35*X35</f>
        <v>0</v>
      </c>
      <c r="Z35" s="5523">
        <f>+Y35*1.12</f>
        <v>0</v>
      </c>
      <c r="AA35" s="5523"/>
      <c r="AB35" s="7452"/>
      <c r="AC35" s="3604"/>
      <c r="AD35" s="3857"/>
      <c r="AE35" s="3858" t="s">
        <v>153</v>
      </c>
      <c r="AF35" s="3858"/>
      <c r="AG35" s="10678"/>
    </row>
    <row r="36" spans="1:33">
      <c r="A36" s="10663"/>
      <c r="B36" s="10660"/>
      <c r="C36" s="10657"/>
      <c r="D36" s="10657"/>
      <c r="E36" s="10657"/>
      <c r="F36" s="10657"/>
      <c r="G36" s="10657"/>
      <c r="H36" s="10657"/>
      <c r="I36" s="10657"/>
      <c r="J36" s="10657"/>
      <c r="K36" s="10657"/>
      <c r="L36" s="10674"/>
      <c r="M36" s="10674"/>
      <c r="N36" s="10674"/>
      <c r="O36" s="10657"/>
      <c r="P36" s="10657"/>
      <c r="Q36" s="10675"/>
      <c r="R36" s="3877"/>
      <c r="S36" s="5696"/>
      <c r="T36" s="5696"/>
      <c r="U36" s="3557"/>
      <c r="V36" s="5503"/>
      <c r="W36" s="3545"/>
      <c r="X36" s="5532"/>
      <c r="Y36" s="5532"/>
      <c r="Z36" s="5532"/>
      <c r="AA36" s="5533"/>
      <c r="AB36" s="5828"/>
      <c r="AC36" s="3878"/>
      <c r="AD36" s="2933"/>
      <c r="AE36" s="3707"/>
      <c r="AF36" s="3707"/>
      <c r="AG36" s="10680"/>
    </row>
    <row r="37" spans="1:33" ht="24" customHeight="1">
      <c r="A37" s="10663"/>
      <c r="B37" s="10512" t="s">
        <v>127</v>
      </c>
      <c r="C37" s="10444" t="s">
        <v>128</v>
      </c>
      <c r="D37" s="10444" t="s">
        <v>140</v>
      </c>
      <c r="E37" s="10444" t="s">
        <v>1691</v>
      </c>
      <c r="F37" s="10451" t="s">
        <v>131</v>
      </c>
      <c r="G37" s="10444" t="s">
        <v>132</v>
      </c>
      <c r="H37" s="10444" t="s">
        <v>159</v>
      </c>
      <c r="I37" s="10444" t="s">
        <v>4212</v>
      </c>
      <c r="J37" s="10444" t="s">
        <v>4213</v>
      </c>
      <c r="K37" s="10448" t="s">
        <v>4214</v>
      </c>
      <c r="L37" s="10666">
        <v>1</v>
      </c>
      <c r="M37" s="10666">
        <v>0</v>
      </c>
      <c r="N37" s="10666">
        <v>1</v>
      </c>
      <c r="O37" s="10444" t="s">
        <v>4215</v>
      </c>
      <c r="P37" s="10444" t="s">
        <v>4216</v>
      </c>
      <c r="Q37" s="10449" t="s">
        <v>4217</v>
      </c>
      <c r="R37" s="3881" t="s">
        <v>80</v>
      </c>
      <c r="S37" s="5689">
        <v>840103</v>
      </c>
      <c r="T37" s="5689"/>
      <c r="U37" s="3882" t="s">
        <v>591</v>
      </c>
      <c r="V37" s="7443"/>
      <c r="W37" s="3883"/>
      <c r="X37" s="7457"/>
      <c r="Y37" s="7457"/>
      <c r="Z37" s="7457"/>
      <c r="AA37" s="7458">
        <f>SUM(Z38:Z39)</f>
        <v>2800.0016000000005</v>
      </c>
      <c r="AB37" s="5822" t="s">
        <v>26</v>
      </c>
      <c r="AC37" s="3884"/>
      <c r="AD37" s="3721"/>
      <c r="AE37" s="3660"/>
      <c r="AF37" s="3660"/>
      <c r="AG37" s="10464"/>
    </row>
    <row r="38" spans="1:33" ht="24" customHeight="1">
      <c r="A38" s="10663"/>
      <c r="B38" s="10659"/>
      <c r="C38" s="10656"/>
      <c r="D38" s="10656"/>
      <c r="E38" s="10656"/>
      <c r="F38" s="10656"/>
      <c r="G38" s="10656"/>
      <c r="H38" s="10656"/>
      <c r="I38" s="10656"/>
      <c r="J38" s="10656"/>
      <c r="K38" s="10656"/>
      <c r="L38" s="10667"/>
      <c r="M38" s="10667"/>
      <c r="N38" s="10667"/>
      <c r="O38" s="10656"/>
      <c r="P38" s="10656"/>
      <c r="Q38" s="10672"/>
      <c r="R38" s="3871"/>
      <c r="S38" s="5681"/>
      <c r="T38" s="5681"/>
      <c r="U38" s="3495" t="s">
        <v>4218</v>
      </c>
      <c r="V38" s="5499">
        <v>1</v>
      </c>
      <c r="W38" s="3496" t="s">
        <v>479</v>
      </c>
      <c r="X38" s="5523">
        <v>2008.93</v>
      </c>
      <c r="Y38" s="5523">
        <f>+V38*X38</f>
        <v>2008.93</v>
      </c>
      <c r="Z38" s="5523">
        <f>+Y38*1.12</f>
        <v>2250.0016000000005</v>
      </c>
      <c r="AA38" s="5524"/>
      <c r="AB38" s="5779"/>
      <c r="AC38" s="3848"/>
      <c r="AD38" s="3504"/>
      <c r="AE38" s="3666" t="s">
        <v>153</v>
      </c>
      <c r="AF38" s="3666"/>
      <c r="AG38" s="10678"/>
    </row>
    <row r="39" spans="1:33" ht="24" customHeight="1">
      <c r="A39" s="10663"/>
      <c r="B39" s="10659"/>
      <c r="C39" s="10656"/>
      <c r="D39" s="10656"/>
      <c r="E39" s="10656"/>
      <c r="F39" s="10656"/>
      <c r="G39" s="10656"/>
      <c r="H39" s="10656"/>
      <c r="I39" s="10656"/>
      <c r="J39" s="10656"/>
      <c r="K39" s="10656"/>
      <c r="L39" s="10667"/>
      <c r="M39" s="10667"/>
      <c r="N39" s="10667"/>
      <c r="O39" s="10656"/>
      <c r="P39" s="10656"/>
      <c r="Q39" s="10672"/>
      <c r="R39" s="3871"/>
      <c r="S39" s="5681"/>
      <c r="T39" s="5681"/>
      <c r="U39" s="8063" t="s">
        <v>4219</v>
      </c>
      <c r="V39" s="8087">
        <v>1</v>
      </c>
      <c r="W39" s="8088" t="s">
        <v>479</v>
      </c>
      <c r="X39" s="8069">
        <f>550/1.12</f>
        <v>491.0714285714285</v>
      </c>
      <c r="Y39" s="8069">
        <f>X39*V39</f>
        <v>491.0714285714285</v>
      </c>
      <c r="Z39" s="8069">
        <f>Y39*1.12</f>
        <v>550</v>
      </c>
      <c r="AA39" s="5524"/>
      <c r="AB39" s="5779"/>
      <c r="AC39" s="3848"/>
      <c r="AD39" s="3504"/>
      <c r="AE39" s="3666"/>
      <c r="AF39" s="3666" t="s">
        <v>153</v>
      </c>
      <c r="AG39" s="10678"/>
    </row>
    <row r="40" spans="1:33" ht="24" customHeight="1">
      <c r="A40" s="10663"/>
      <c r="B40" s="10659"/>
      <c r="C40" s="10656"/>
      <c r="D40" s="10656"/>
      <c r="E40" s="10656"/>
      <c r="F40" s="10656"/>
      <c r="G40" s="10656"/>
      <c r="H40" s="10656"/>
      <c r="I40" s="10656"/>
      <c r="J40" s="10656"/>
      <c r="K40" s="10656"/>
      <c r="L40" s="10667"/>
      <c r="M40" s="10667"/>
      <c r="N40" s="10667"/>
      <c r="O40" s="10656"/>
      <c r="P40" s="10656"/>
      <c r="Q40" s="10672"/>
      <c r="R40" s="8287" t="s">
        <v>80</v>
      </c>
      <c r="S40" s="8223">
        <v>531403</v>
      </c>
      <c r="T40" s="8223"/>
      <c r="U40" s="8224" t="s">
        <v>591</v>
      </c>
      <c r="V40" s="8288"/>
      <c r="W40" s="8289"/>
      <c r="X40" s="8120"/>
      <c r="Y40" s="8120"/>
      <c r="Z40" s="8120"/>
      <c r="AA40" s="8121">
        <f>SUM(Z41:Z42)</f>
        <v>371.76000000000005</v>
      </c>
      <c r="AB40" s="8290" t="s">
        <v>26</v>
      </c>
      <c r="AC40" s="3847"/>
      <c r="AD40" s="3496"/>
      <c r="AE40" s="3666"/>
      <c r="AF40" s="3666"/>
      <c r="AG40" s="10678"/>
    </row>
    <row r="41" spans="1:33" ht="24" customHeight="1">
      <c r="A41" s="10663"/>
      <c r="B41" s="10661"/>
      <c r="C41" s="10658"/>
      <c r="D41" s="10658"/>
      <c r="E41" s="10658"/>
      <c r="F41" s="10658"/>
      <c r="G41" s="10658"/>
      <c r="H41" s="10658"/>
      <c r="I41" s="10658"/>
      <c r="J41" s="10658"/>
      <c r="K41" s="10658"/>
      <c r="L41" s="10668"/>
      <c r="M41" s="10668"/>
      <c r="N41" s="10668"/>
      <c r="O41" s="10658"/>
      <c r="P41" s="10658"/>
      <c r="Q41" s="10673"/>
      <c r="R41" s="8291"/>
      <c r="S41" s="8292"/>
      <c r="T41" s="8292"/>
      <c r="U41" s="8063" t="s">
        <v>4220</v>
      </c>
      <c r="V41" s="8087">
        <v>5</v>
      </c>
      <c r="W41" s="8088" t="s">
        <v>180</v>
      </c>
      <c r="X41" s="8069">
        <f>74.352/1.12</f>
        <v>66.385714285714286</v>
      </c>
      <c r="Y41" s="8069">
        <f>X41*V41</f>
        <v>331.92857142857144</v>
      </c>
      <c r="Z41" s="8069">
        <f>Y41*1.12</f>
        <v>371.76000000000005</v>
      </c>
      <c r="AA41" s="8065"/>
      <c r="AB41" s="8293"/>
      <c r="AC41" s="3880"/>
      <c r="AD41" s="3714"/>
      <c r="AE41" s="3718"/>
      <c r="AF41" s="3718" t="s">
        <v>153</v>
      </c>
      <c r="AG41" s="10679"/>
    </row>
    <row r="42" spans="1:33" ht="18" customHeight="1">
      <c r="A42" s="10663"/>
      <c r="B42" s="10516" t="s">
        <v>127</v>
      </c>
      <c r="C42" s="10433" t="s">
        <v>128</v>
      </c>
      <c r="D42" s="10433" t="s">
        <v>140</v>
      </c>
      <c r="E42" s="10433" t="s">
        <v>597</v>
      </c>
      <c r="F42" s="10442" t="s">
        <v>131</v>
      </c>
      <c r="G42" s="10433" t="s">
        <v>132</v>
      </c>
      <c r="H42" s="10433" t="s">
        <v>159</v>
      </c>
      <c r="I42" s="10433" t="s">
        <v>4221</v>
      </c>
      <c r="J42" s="10433" t="s">
        <v>4222</v>
      </c>
      <c r="K42" s="10433" t="s">
        <v>4223</v>
      </c>
      <c r="L42" s="10676">
        <v>8</v>
      </c>
      <c r="M42" s="10676">
        <v>8</v>
      </c>
      <c r="N42" s="10676">
        <v>8</v>
      </c>
      <c r="O42" s="10433" t="s">
        <v>4224</v>
      </c>
      <c r="P42" s="10433" t="s">
        <v>4225</v>
      </c>
      <c r="Q42" s="10439" t="s">
        <v>4226</v>
      </c>
      <c r="R42" s="3885"/>
      <c r="S42" s="5684"/>
      <c r="T42" s="5684"/>
      <c r="U42" s="3762"/>
      <c r="V42" s="5502"/>
      <c r="W42" s="3709"/>
      <c r="X42" s="5529"/>
      <c r="Y42" s="5529"/>
      <c r="Z42" s="5529"/>
      <c r="AA42" s="5530"/>
      <c r="AB42" s="5780"/>
      <c r="AC42" s="3886"/>
      <c r="AD42" s="3709"/>
      <c r="AE42" s="3724"/>
      <c r="AF42" s="3724"/>
      <c r="AG42" s="10525"/>
    </row>
    <row r="43" spans="1:33" ht="18" customHeight="1">
      <c r="A43" s="10663"/>
      <c r="B43" s="10659"/>
      <c r="C43" s="10656"/>
      <c r="D43" s="10656"/>
      <c r="E43" s="10656"/>
      <c r="F43" s="10656"/>
      <c r="G43" s="10656"/>
      <c r="H43" s="10656"/>
      <c r="I43" s="10656"/>
      <c r="J43" s="10656"/>
      <c r="K43" s="10656"/>
      <c r="L43" s="10667"/>
      <c r="M43" s="10667"/>
      <c r="N43" s="10667"/>
      <c r="O43" s="10656"/>
      <c r="P43" s="10656"/>
      <c r="Q43" s="10672"/>
      <c r="R43" s="3867"/>
      <c r="S43" s="5681"/>
      <c r="T43" s="5681"/>
      <c r="U43" s="3495"/>
      <c r="V43" s="5499"/>
      <c r="W43" s="3496"/>
      <c r="X43" s="5523"/>
      <c r="Y43" s="5523"/>
      <c r="Z43" s="5523"/>
      <c r="AA43" s="5524"/>
      <c r="AB43" s="5779"/>
      <c r="AC43" s="3847"/>
      <c r="AD43" s="3496"/>
      <c r="AE43" s="3666"/>
      <c r="AF43" s="3666"/>
      <c r="AG43" s="10678"/>
    </row>
    <row r="44" spans="1:33" ht="18" customHeight="1">
      <c r="A44" s="10663"/>
      <c r="B44" s="10659"/>
      <c r="C44" s="10656"/>
      <c r="D44" s="10656"/>
      <c r="E44" s="10656"/>
      <c r="F44" s="10656"/>
      <c r="G44" s="10656"/>
      <c r="H44" s="10656"/>
      <c r="I44" s="10656"/>
      <c r="J44" s="10656"/>
      <c r="K44" s="10656"/>
      <c r="L44" s="10667"/>
      <c r="M44" s="10667"/>
      <c r="N44" s="10667"/>
      <c r="O44" s="10656"/>
      <c r="P44" s="10656"/>
      <c r="Q44" s="10672"/>
      <c r="R44" s="3867"/>
      <c r="S44" s="5681"/>
      <c r="T44" s="5681"/>
      <c r="U44" s="3495"/>
      <c r="V44" s="5499"/>
      <c r="W44" s="3496"/>
      <c r="X44" s="5523"/>
      <c r="Y44" s="5523"/>
      <c r="Z44" s="5523"/>
      <c r="AA44" s="5524"/>
      <c r="AB44" s="5779"/>
      <c r="AC44" s="3847"/>
      <c r="AD44" s="3496"/>
      <c r="AE44" s="3666"/>
      <c r="AF44" s="3666"/>
      <c r="AG44" s="10678"/>
    </row>
    <row r="45" spans="1:33" ht="18" customHeight="1">
      <c r="A45" s="10663"/>
      <c r="B45" s="10659"/>
      <c r="C45" s="10656"/>
      <c r="D45" s="10656"/>
      <c r="E45" s="10656"/>
      <c r="F45" s="10656"/>
      <c r="G45" s="10656"/>
      <c r="H45" s="10656"/>
      <c r="I45" s="10656"/>
      <c r="J45" s="10656"/>
      <c r="K45" s="10656"/>
      <c r="L45" s="10667"/>
      <c r="M45" s="10667"/>
      <c r="N45" s="10667"/>
      <c r="O45" s="10656"/>
      <c r="P45" s="10656"/>
      <c r="Q45" s="10672"/>
      <c r="R45" s="3868"/>
      <c r="S45" s="5682"/>
      <c r="T45" s="5682"/>
      <c r="U45" s="3495"/>
      <c r="V45" s="5499"/>
      <c r="W45" s="3496"/>
      <c r="X45" s="5523"/>
      <c r="Y45" s="5523"/>
      <c r="Z45" s="5523"/>
      <c r="AA45" s="5524"/>
      <c r="AB45" s="5779"/>
      <c r="AC45" s="3847"/>
      <c r="AD45" s="3496"/>
      <c r="AE45" s="3666"/>
      <c r="AF45" s="3666"/>
      <c r="AG45" s="10678"/>
    </row>
    <row r="46" spans="1:33" ht="48" customHeight="1">
      <c r="A46" s="10663"/>
      <c r="B46" s="10660"/>
      <c r="C46" s="10657"/>
      <c r="D46" s="10657"/>
      <c r="E46" s="10657"/>
      <c r="F46" s="10657"/>
      <c r="G46" s="10657"/>
      <c r="H46" s="10657"/>
      <c r="I46" s="10657"/>
      <c r="J46" s="10657"/>
      <c r="K46" s="10657"/>
      <c r="L46" s="10674"/>
      <c r="M46" s="10674"/>
      <c r="N46" s="10674"/>
      <c r="O46" s="10657"/>
      <c r="P46" s="10657"/>
      <c r="Q46" s="10675"/>
      <c r="R46" s="3887"/>
      <c r="S46" s="5696"/>
      <c r="T46" s="5696"/>
      <c r="U46" s="3557"/>
      <c r="V46" s="5503"/>
      <c r="W46" s="3545"/>
      <c r="X46" s="5532"/>
      <c r="Y46" s="5532"/>
      <c r="Z46" s="5532"/>
      <c r="AA46" s="5533"/>
      <c r="AB46" s="5828"/>
      <c r="AC46" s="3888"/>
      <c r="AD46" s="3545"/>
      <c r="AE46" s="3707"/>
      <c r="AF46" s="3707"/>
      <c r="AG46" s="10680"/>
    </row>
    <row r="47" spans="1:33">
      <c r="A47" s="10663"/>
      <c r="B47" s="10512" t="s">
        <v>183</v>
      </c>
      <c r="C47" s="10444" t="s">
        <v>227</v>
      </c>
      <c r="D47" s="10444" t="s">
        <v>185</v>
      </c>
      <c r="E47" s="10444" t="s">
        <v>1938</v>
      </c>
      <c r="F47" s="10451" t="s">
        <v>230</v>
      </c>
      <c r="G47" s="10444" t="s">
        <v>171</v>
      </c>
      <c r="H47" s="10444" t="s">
        <v>159</v>
      </c>
      <c r="I47" s="10444" t="s">
        <v>4227</v>
      </c>
      <c r="J47" s="10444" t="s">
        <v>4228</v>
      </c>
      <c r="K47" s="10448" t="s">
        <v>4229</v>
      </c>
      <c r="L47" s="10666">
        <v>0</v>
      </c>
      <c r="M47" s="10666">
        <v>1</v>
      </c>
      <c r="N47" s="10666">
        <v>1</v>
      </c>
      <c r="O47" s="10444" t="s">
        <v>4230</v>
      </c>
      <c r="P47" s="10444" t="s">
        <v>4231</v>
      </c>
      <c r="Q47" s="10449" t="s">
        <v>4232</v>
      </c>
      <c r="R47" s="3881" t="s">
        <v>80</v>
      </c>
      <c r="S47" s="7367">
        <v>840104</v>
      </c>
      <c r="T47" s="7431"/>
      <c r="U47" s="4278" t="s">
        <v>39</v>
      </c>
      <c r="V47" s="5512"/>
      <c r="W47" s="3832"/>
      <c r="X47" s="5567"/>
      <c r="Y47" s="5567"/>
      <c r="Z47" s="5567"/>
      <c r="AA47" s="8123">
        <f>SUM(Z48:Z49)</f>
        <v>65824.59</v>
      </c>
      <c r="AB47" s="7422" t="s">
        <v>25</v>
      </c>
      <c r="AC47" s="4279"/>
      <c r="AD47" s="3832"/>
      <c r="AE47" s="4280"/>
      <c r="AF47" s="4280"/>
      <c r="AG47" s="10702"/>
    </row>
    <row r="48" spans="1:33" ht="51">
      <c r="A48" s="10663"/>
      <c r="B48" s="10659"/>
      <c r="C48" s="10656"/>
      <c r="D48" s="10656"/>
      <c r="E48" s="10656"/>
      <c r="F48" s="10656"/>
      <c r="G48" s="10656"/>
      <c r="H48" s="10656"/>
      <c r="I48" s="10656"/>
      <c r="J48" s="10656"/>
      <c r="K48" s="10656"/>
      <c r="L48" s="10667"/>
      <c r="M48" s="10667"/>
      <c r="N48" s="10667"/>
      <c r="O48" s="10656"/>
      <c r="P48" s="10656"/>
      <c r="Q48" s="10672"/>
      <c r="R48" s="3869"/>
      <c r="S48" s="7360"/>
      <c r="T48" s="7360" t="s">
        <v>4233</v>
      </c>
      <c r="U48" s="3804" t="s">
        <v>4234</v>
      </c>
      <c r="V48" s="5507">
        <v>1</v>
      </c>
      <c r="W48" s="3671" t="s">
        <v>180</v>
      </c>
      <c r="X48" s="5542">
        <f>29760/1.12</f>
        <v>26571.428571428569</v>
      </c>
      <c r="Y48" s="5542">
        <f t="shared" ref="Y48" si="2">X48*V48</f>
        <v>26571.428571428569</v>
      </c>
      <c r="Z48" s="8064">
        <f>((Y48*0.12)+Y48)-1335.41</f>
        <v>28424.589999999997</v>
      </c>
      <c r="AA48" s="5541"/>
      <c r="AB48" s="5833"/>
      <c r="AC48" s="4281"/>
      <c r="AD48" s="3670"/>
      <c r="AE48" s="4282"/>
      <c r="AF48" s="3862" t="s">
        <v>153</v>
      </c>
      <c r="AG48" s="10678"/>
    </row>
    <row r="49" spans="1:33" ht="33">
      <c r="A49" s="10663"/>
      <c r="B49" s="10659"/>
      <c r="C49" s="10656"/>
      <c r="D49" s="10656"/>
      <c r="E49" s="10656"/>
      <c r="F49" s="10656"/>
      <c r="G49" s="10656"/>
      <c r="H49" s="10656"/>
      <c r="I49" s="10656"/>
      <c r="J49" s="10656"/>
      <c r="K49" s="10656"/>
      <c r="L49" s="10667"/>
      <c r="M49" s="10667"/>
      <c r="N49" s="10667"/>
      <c r="O49" s="10656"/>
      <c r="P49" s="10656"/>
      <c r="Q49" s="10672"/>
      <c r="R49" s="3881"/>
      <c r="S49" s="8037"/>
      <c r="T49" s="8037"/>
      <c r="U49" s="8742" t="s">
        <v>4235</v>
      </c>
      <c r="V49" s="8039">
        <v>1</v>
      </c>
      <c r="W49" s="8246" t="s">
        <v>479</v>
      </c>
      <c r="X49" s="8122">
        <v>37400</v>
      </c>
      <c r="Y49" s="8122">
        <f>X49</f>
        <v>37400</v>
      </c>
      <c r="Z49" s="8122">
        <f>Y49</f>
        <v>37400</v>
      </c>
      <c r="AA49" s="8533"/>
      <c r="AB49" s="8042"/>
      <c r="AC49" s="8535"/>
      <c r="AD49" s="8040"/>
      <c r="AE49" s="8248"/>
      <c r="AF49" s="3862" t="s">
        <v>153</v>
      </c>
      <c r="AG49" s="10678"/>
    </row>
    <row r="50" spans="1:33" ht="16.5">
      <c r="A50" s="10663"/>
      <c r="B50" s="10659"/>
      <c r="C50" s="10656"/>
      <c r="D50" s="10656"/>
      <c r="E50" s="10656"/>
      <c r="F50" s="10656"/>
      <c r="G50" s="10656"/>
      <c r="H50" s="10656"/>
      <c r="I50" s="10656"/>
      <c r="J50" s="10656"/>
      <c r="K50" s="10656"/>
      <c r="L50" s="10667"/>
      <c r="M50" s="10667"/>
      <c r="N50" s="10667"/>
      <c r="O50" s="10656"/>
      <c r="P50" s="10656"/>
      <c r="Q50" s="10672"/>
      <c r="R50" s="8287" t="s">
        <v>80</v>
      </c>
      <c r="S50" s="8532">
        <v>840104</v>
      </c>
      <c r="T50" s="8292"/>
      <c r="U50" s="8256" t="s">
        <v>39</v>
      </c>
      <c r="V50" s="8039"/>
      <c r="W50" s="8246"/>
      <c r="X50" s="8122"/>
      <c r="Y50" s="8122"/>
      <c r="Z50" s="8122"/>
      <c r="AA50" s="8533">
        <f>Z51</f>
        <v>11800</v>
      </c>
      <c r="AB50" s="8042" t="s">
        <v>26</v>
      </c>
      <c r="AC50" s="4456"/>
      <c r="AD50" s="4455"/>
      <c r="AE50" s="4457"/>
      <c r="AF50" s="8531"/>
      <c r="AG50" s="10678"/>
    </row>
    <row r="51" spans="1:33" ht="33">
      <c r="A51" s="10663"/>
      <c r="B51" s="10659"/>
      <c r="C51" s="10656"/>
      <c r="D51" s="10656"/>
      <c r="E51" s="10656"/>
      <c r="F51" s="10656"/>
      <c r="G51" s="10656"/>
      <c r="H51" s="10656"/>
      <c r="I51" s="10656"/>
      <c r="J51" s="10656"/>
      <c r="K51" s="10656"/>
      <c r="L51" s="10667"/>
      <c r="M51" s="10667"/>
      <c r="N51" s="10667"/>
      <c r="O51" s="10656"/>
      <c r="P51" s="10656"/>
      <c r="Q51" s="10672"/>
      <c r="R51" s="8534"/>
      <c r="S51" s="8037"/>
      <c r="T51" s="8037"/>
      <c r="U51" s="8742" t="s">
        <v>4235</v>
      </c>
      <c r="V51" s="8039">
        <v>1</v>
      </c>
      <c r="W51" s="8246" t="s">
        <v>479</v>
      </c>
      <c r="X51" s="8122">
        <v>11800</v>
      </c>
      <c r="Y51" s="8122">
        <f>X51</f>
        <v>11800</v>
      </c>
      <c r="Z51" s="8122">
        <f>Y51</f>
        <v>11800</v>
      </c>
      <c r="AA51" s="8533"/>
      <c r="AB51" s="8042"/>
      <c r="AC51" s="4456"/>
      <c r="AD51" s="4455"/>
      <c r="AE51" s="4457"/>
      <c r="AF51" s="8531" t="s">
        <v>153</v>
      </c>
      <c r="AG51" s="10678"/>
    </row>
    <row r="52" spans="1:33">
      <c r="A52" s="10663"/>
      <c r="B52" s="10659"/>
      <c r="C52" s="10656"/>
      <c r="D52" s="10656"/>
      <c r="E52" s="10656"/>
      <c r="F52" s="10656"/>
      <c r="G52" s="10656"/>
      <c r="H52" s="10656"/>
      <c r="I52" s="10656"/>
      <c r="J52" s="10656"/>
      <c r="K52" s="10656"/>
      <c r="L52" s="10667"/>
      <c r="M52" s="10667"/>
      <c r="N52" s="10667"/>
      <c r="O52" s="10656"/>
      <c r="P52" s="10656"/>
      <c r="Q52" s="10672"/>
      <c r="R52" s="3868" t="s">
        <v>80</v>
      </c>
      <c r="S52" s="5682">
        <v>840104</v>
      </c>
      <c r="T52" s="5681"/>
      <c r="U52" s="3542" t="s">
        <v>39</v>
      </c>
      <c r="V52" s="5499"/>
      <c r="W52" s="3496"/>
      <c r="X52" s="5523"/>
      <c r="Y52" s="5523"/>
      <c r="Z52" s="5523"/>
      <c r="AA52" s="7980">
        <f>+SUM(Z53,Z54)</f>
        <v>47401.290000000008</v>
      </c>
      <c r="AB52" s="5779" t="s">
        <v>18</v>
      </c>
      <c r="AC52" s="3848"/>
      <c r="AD52" s="3504"/>
      <c r="AE52" s="3678"/>
      <c r="AF52" s="3675"/>
      <c r="AG52" s="10678"/>
    </row>
    <row r="53" spans="1:33" ht="82.5">
      <c r="A53" s="10663"/>
      <c r="B53" s="10659"/>
      <c r="C53" s="10656"/>
      <c r="D53" s="10656"/>
      <c r="E53" s="10656"/>
      <c r="F53" s="10656"/>
      <c r="G53" s="10656"/>
      <c r="H53" s="10656"/>
      <c r="I53" s="10656"/>
      <c r="J53" s="10656"/>
      <c r="K53" s="10656"/>
      <c r="L53" s="10667"/>
      <c r="M53" s="10667"/>
      <c r="N53" s="10667"/>
      <c r="O53" s="10656"/>
      <c r="P53" s="10656"/>
      <c r="Q53" s="10672"/>
      <c r="R53" s="3867"/>
      <c r="S53" s="5682"/>
      <c r="T53" s="5681" t="s">
        <v>4236</v>
      </c>
      <c r="U53" s="3763" t="s">
        <v>4237</v>
      </c>
      <c r="V53" s="5499">
        <v>1</v>
      </c>
      <c r="W53" s="3668" t="s">
        <v>479</v>
      </c>
      <c r="X53" s="5542">
        <f>(24323.41-22.12-500)/1.12</f>
        <v>21251.151785714286</v>
      </c>
      <c r="Y53" s="5542">
        <f>+V53*X53</f>
        <v>21251.151785714286</v>
      </c>
      <c r="Z53" s="5542">
        <f>+Y53*1.12</f>
        <v>23801.290000000005</v>
      </c>
      <c r="AA53" s="5524"/>
      <c r="AB53" s="5779"/>
      <c r="AC53" s="3848"/>
      <c r="AD53" s="3859"/>
      <c r="AE53" s="3860" t="s">
        <v>153</v>
      </c>
      <c r="AF53" s="3675"/>
      <c r="AG53" s="10678"/>
    </row>
    <row r="54" spans="1:33" ht="33">
      <c r="A54" s="10663"/>
      <c r="B54" s="10659"/>
      <c r="C54" s="10656"/>
      <c r="D54" s="10656"/>
      <c r="E54" s="10656"/>
      <c r="F54" s="10656"/>
      <c r="G54" s="10656"/>
      <c r="H54" s="10656"/>
      <c r="I54" s="10656"/>
      <c r="J54" s="10656"/>
      <c r="K54" s="10656"/>
      <c r="L54" s="10667"/>
      <c r="M54" s="10667"/>
      <c r="N54" s="10667"/>
      <c r="O54" s="10656"/>
      <c r="P54" s="10656"/>
      <c r="Q54" s="10672"/>
      <c r="R54" s="3896"/>
      <c r="S54" s="5689"/>
      <c r="T54" s="5690"/>
      <c r="U54" s="8742" t="s">
        <v>4235</v>
      </c>
      <c r="V54" s="8039">
        <v>1</v>
      </c>
      <c r="W54" s="8536" t="s">
        <v>479</v>
      </c>
      <c r="X54" s="8525">
        <v>23600</v>
      </c>
      <c r="Y54" s="8525">
        <f>X54</f>
        <v>23600</v>
      </c>
      <c r="Z54" s="8525">
        <f>Y54</f>
        <v>23600</v>
      </c>
      <c r="AA54" s="5535"/>
      <c r="AB54" s="5822"/>
      <c r="AC54" s="3848"/>
      <c r="AD54" s="3859"/>
      <c r="AE54" s="3860"/>
      <c r="AF54" s="3675" t="s">
        <v>153</v>
      </c>
      <c r="AG54" s="10678"/>
    </row>
    <row r="55" spans="1:33">
      <c r="A55" s="10663"/>
      <c r="B55" s="10659"/>
      <c r="C55" s="10656"/>
      <c r="D55" s="10656"/>
      <c r="E55" s="10656"/>
      <c r="F55" s="10656"/>
      <c r="G55" s="10656"/>
      <c r="H55" s="10656"/>
      <c r="I55" s="10656"/>
      <c r="J55" s="10656"/>
      <c r="K55" s="10656"/>
      <c r="L55" s="10667"/>
      <c r="M55" s="10667"/>
      <c r="N55" s="10667"/>
      <c r="O55" s="10656"/>
      <c r="P55" s="10656"/>
      <c r="Q55" s="10672"/>
      <c r="R55" s="8524" t="s">
        <v>80</v>
      </c>
      <c r="S55" s="8225">
        <v>840104</v>
      </c>
      <c r="T55" s="8440"/>
      <c r="U55" s="8226" t="s">
        <v>39</v>
      </c>
      <c r="V55" s="8227"/>
      <c r="W55" s="8228"/>
      <c r="X55" s="8525"/>
      <c r="Y55" s="8525"/>
      <c r="Z55" s="8525"/>
      <c r="AA55" s="8526">
        <f>Z56</f>
        <v>17700</v>
      </c>
      <c r="AB55" s="8442" t="s">
        <v>673</v>
      </c>
      <c r="AC55" s="3848"/>
      <c r="AD55" s="3859"/>
      <c r="AE55" s="3860"/>
      <c r="AF55" s="3675"/>
      <c r="AG55" s="10678"/>
    </row>
    <row r="56" spans="1:33" ht="33">
      <c r="A56" s="10663"/>
      <c r="B56" s="10659"/>
      <c r="C56" s="10656"/>
      <c r="D56" s="10656"/>
      <c r="E56" s="10656"/>
      <c r="F56" s="10656"/>
      <c r="G56" s="10656"/>
      <c r="H56" s="10656"/>
      <c r="I56" s="10656"/>
      <c r="J56" s="10656"/>
      <c r="K56" s="10656"/>
      <c r="L56" s="10667"/>
      <c r="M56" s="10667"/>
      <c r="N56" s="10667"/>
      <c r="O56" s="10656"/>
      <c r="P56" s="10656"/>
      <c r="Q56" s="10672"/>
      <c r="R56" s="4454"/>
      <c r="S56" s="7432"/>
      <c r="T56" s="7366"/>
      <c r="U56" s="8742" t="s">
        <v>4235</v>
      </c>
      <c r="V56" s="8039">
        <v>1</v>
      </c>
      <c r="W56" s="8040" t="s">
        <v>479</v>
      </c>
      <c r="X56" s="8122">
        <v>17700</v>
      </c>
      <c r="Y56" s="8122">
        <f>X56</f>
        <v>17700</v>
      </c>
      <c r="Z56" s="8122">
        <f>Y56</f>
        <v>17700</v>
      </c>
      <c r="AA56" s="7459"/>
      <c r="AB56" s="7453"/>
      <c r="AC56" s="4456"/>
      <c r="AD56" s="4455"/>
      <c r="AE56" s="4457"/>
      <c r="AF56" s="4457" t="s">
        <v>153</v>
      </c>
      <c r="AG56" s="10678"/>
    </row>
    <row r="57" spans="1:33" ht="16.5">
      <c r="A57" s="10663"/>
      <c r="B57" s="10659"/>
      <c r="C57" s="10656"/>
      <c r="D57" s="10656"/>
      <c r="E57" s="10656"/>
      <c r="F57" s="10656"/>
      <c r="G57" s="10656"/>
      <c r="H57" s="10656"/>
      <c r="I57" s="10656"/>
      <c r="J57" s="10656"/>
      <c r="K57" s="10656"/>
      <c r="L57" s="10667"/>
      <c r="M57" s="10667"/>
      <c r="N57" s="10667"/>
      <c r="O57" s="10656"/>
      <c r="P57" s="10656"/>
      <c r="Q57" s="10672"/>
      <c r="R57" s="4454"/>
      <c r="S57" s="7366"/>
      <c r="T57" s="7366"/>
      <c r="U57" s="4276"/>
      <c r="V57" s="7377"/>
      <c r="W57" s="4277"/>
      <c r="X57" s="5570"/>
      <c r="Y57" s="5570"/>
      <c r="Z57" s="5570"/>
      <c r="AA57" s="7459"/>
      <c r="AB57" s="7453"/>
      <c r="AC57" s="4456"/>
      <c r="AD57" s="4455"/>
      <c r="AE57" s="4457"/>
      <c r="AF57" s="4457"/>
      <c r="AG57" s="10678"/>
    </row>
    <row r="58" spans="1:33">
      <c r="A58" s="10663"/>
      <c r="B58" s="10659"/>
      <c r="C58" s="10656"/>
      <c r="D58" s="10656"/>
      <c r="E58" s="10656"/>
      <c r="F58" s="10656"/>
      <c r="G58" s="10656"/>
      <c r="H58" s="10656"/>
      <c r="I58" s="10656"/>
      <c r="J58" s="10656"/>
      <c r="K58" s="10656"/>
      <c r="L58" s="10667"/>
      <c r="M58" s="10667"/>
      <c r="N58" s="10667"/>
      <c r="O58" s="10656"/>
      <c r="P58" s="10656"/>
      <c r="Q58" s="10672"/>
      <c r="R58" s="3868"/>
      <c r="S58" s="5682"/>
      <c r="T58" s="5682"/>
      <c r="U58" s="3542"/>
      <c r="V58" s="5499"/>
      <c r="W58" s="3496"/>
      <c r="X58" s="5523"/>
      <c r="Y58" s="5523"/>
      <c r="Z58" s="5523"/>
      <c r="AA58" s="5524"/>
      <c r="AB58" s="5779"/>
      <c r="AC58" s="3848"/>
      <c r="AD58" s="3504"/>
      <c r="AE58" s="3505"/>
      <c r="AF58" s="3505"/>
      <c r="AG58" s="10678"/>
    </row>
    <row r="59" spans="1:33">
      <c r="A59" s="10663"/>
      <c r="B59" s="10659"/>
      <c r="C59" s="10656"/>
      <c r="D59" s="10656"/>
      <c r="E59" s="10656"/>
      <c r="F59" s="10656"/>
      <c r="G59" s="10656"/>
      <c r="H59" s="10656"/>
      <c r="I59" s="10656"/>
      <c r="J59" s="10656"/>
      <c r="K59" s="10656"/>
      <c r="L59" s="10667"/>
      <c r="M59" s="10667"/>
      <c r="N59" s="10667"/>
      <c r="O59" s="10656"/>
      <c r="P59" s="10656"/>
      <c r="Q59" s="10672"/>
      <c r="R59" s="4136" t="s">
        <v>79</v>
      </c>
      <c r="S59" s="7359">
        <v>530601</v>
      </c>
      <c r="T59" s="5708"/>
      <c r="U59" s="3861" t="s">
        <v>761</v>
      </c>
      <c r="V59" s="7444"/>
      <c r="W59" s="3862"/>
      <c r="X59" s="7460"/>
      <c r="Y59" s="7460"/>
      <c r="Z59" s="7964"/>
      <c r="AA59" s="7991">
        <f>SUM(Z60)</f>
        <v>0</v>
      </c>
      <c r="AB59" s="7454" t="s">
        <v>18</v>
      </c>
      <c r="AC59" s="3848"/>
      <c r="AD59" s="3859"/>
      <c r="AE59" s="3860"/>
      <c r="AF59" s="3675"/>
      <c r="AG59" s="10678"/>
    </row>
    <row r="60" spans="1:33" ht="49.5">
      <c r="A60" s="10663"/>
      <c r="B60" s="10659"/>
      <c r="C60" s="10656"/>
      <c r="D60" s="10656"/>
      <c r="E60" s="10656"/>
      <c r="F60" s="10656"/>
      <c r="G60" s="10656"/>
      <c r="H60" s="10656"/>
      <c r="I60" s="10656"/>
      <c r="J60" s="10656"/>
      <c r="K60" s="10656"/>
      <c r="L60" s="10667"/>
      <c r="M60" s="10667"/>
      <c r="N60" s="10667"/>
      <c r="O60" s="10656"/>
      <c r="P60" s="10656"/>
      <c r="Q60" s="10672"/>
      <c r="R60" s="3867"/>
      <c r="S60" s="5682"/>
      <c r="T60" s="5681"/>
      <c r="U60" s="3797" t="s">
        <v>4238</v>
      </c>
      <c r="V60" s="5507">
        <v>1</v>
      </c>
      <c r="W60" s="3671" t="s">
        <v>180</v>
      </c>
      <c r="X60" s="5542">
        <f>45000.55/1.12</f>
        <v>40179.0625</v>
      </c>
      <c r="Y60" s="5542">
        <f t="shared" ref="Y60" si="3">X60*V60</f>
        <v>40179.0625</v>
      </c>
      <c r="Z60" s="8064">
        <v>0</v>
      </c>
      <c r="AA60" s="8065"/>
      <c r="AB60" s="5779"/>
      <c r="AC60" s="3848"/>
      <c r="AD60" s="3859"/>
      <c r="AE60" s="3860"/>
      <c r="AF60" s="3675" t="s">
        <v>153</v>
      </c>
      <c r="AG60" s="10678"/>
    </row>
    <row r="61" spans="1:33">
      <c r="A61" s="10663"/>
      <c r="B61" s="10659"/>
      <c r="C61" s="10656"/>
      <c r="D61" s="10656"/>
      <c r="E61" s="10656"/>
      <c r="F61" s="10656"/>
      <c r="G61" s="10656"/>
      <c r="H61" s="10656"/>
      <c r="I61" s="10656"/>
      <c r="J61" s="10656"/>
      <c r="K61" s="10656"/>
      <c r="L61" s="10667"/>
      <c r="M61" s="10667"/>
      <c r="N61" s="10667"/>
      <c r="O61" s="10656"/>
      <c r="P61" s="10656"/>
      <c r="Q61" s="10672"/>
      <c r="R61" s="3868"/>
      <c r="S61" s="5682"/>
      <c r="T61" s="5681"/>
      <c r="U61" s="3495"/>
      <c r="V61" s="5499"/>
      <c r="W61" s="3496"/>
      <c r="X61" s="5523"/>
      <c r="Y61" s="5523"/>
      <c r="Z61" s="5523"/>
      <c r="AA61" s="5524"/>
      <c r="AB61" s="5779"/>
      <c r="AC61" s="3848"/>
      <c r="AD61" s="3863"/>
      <c r="AE61" s="3678"/>
      <c r="AF61" s="3675"/>
      <c r="AG61" s="10678"/>
    </row>
    <row r="62" spans="1:33" ht="38.25">
      <c r="A62" s="10663"/>
      <c r="B62" s="10659"/>
      <c r="C62" s="10656"/>
      <c r="D62" s="10656"/>
      <c r="E62" s="10656"/>
      <c r="F62" s="10656"/>
      <c r="G62" s="10656"/>
      <c r="H62" s="10656"/>
      <c r="I62" s="10656"/>
      <c r="J62" s="10656"/>
      <c r="K62" s="10656"/>
      <c r="L62" s="10667"/>
      <c r="M62" s="10667"/>
      <c r="N62" s="10667"/>
      <c r="O62" s="10656"/>
      <c r="P62" s="10656"/>
      <c r="Q62" s="10672"/>
      <c r="R62" s="3868" t="s">
        <v>80</v>
      </c>
      <c r="S62" s="5682">
        <v>530402</v>
      </c>
      <c r="T62" s="5681"/>
      <c r="U62" s="3542" t="s">
        <v>281</v>
      </c>
      <c r="V62" s="5499"/>
      <c r="W62" s="3496"/>
      <c r="X62" s="5523"/>
      <c r="Y62" s="5523"/>
      <c r="Z62" s="5523"/>
      <c r="AA62" s="5541">
        <f>SUM(Z63:Z64)</f>
        <v>40550.85</v>
      </c>
      <c r="AB62" s="5833" t="s">
        <v>25</v>
      </c>
      <c r="AC62" s="3848"/>
      <c r="AD62" s="3504"/>
      <c r="AE62" s="3675"/>
      <c r="AF62" s="3675"/>
      <c r="AG62" s="10678"/>
    </row>
    <row r="63" spans="1:33" ht="42" customHeight="1">
      <c r="A63" s="10663"/>
      <c r="B63" s="10661"/>
      <c r="C63" s="10658"/>
      <c r="D63" s="10658"/>
      <c r="E63" s="10658"/>
      <c r="F63" s="10658"/>
      <c r="G63" s="10658"/>
      <c r="H63" s="10658"/>
      <c r="I63" s="10658"/>
      <c r="J63" s="10658"/>
      <c r="K63" s="10658"/>
      <c r="L63" s="10668"/>
      <c r="M63" s="10668"/>
      <c r="N63" s="10668"/>
      <c r="O63" s="10658"/>
      <c r="P63" s="10658"/>
      <c r="Q63" s="10673"/>
      <c r="R63" s="3899"/>
      <c r="S63" s="5691"/>
      <c r="T63" s="5683" t="s">
        <v>4239</v>
      </c>
      <c r="U63" s="3824" t="s">
        <v>4240</v>
      </c>
      <c r="V63" s="5509">
        <v>1</v>
      </c>
      <c r="W63" s="3890" t="s">
        <v>180</v>
      </c>
      <c r="X63" s="5544">
        <f>34285.2/1.12</f>
        <v>30611.78571428571</v>
      </c>
      <c r="Y63" s="5544">
        <f>X63*1.12</f>
        <v>34285.199999999997</v>
      </c>
      <c r="Z63" s="5544">
        <f>Y63</f>
        <v>34285.199999999997</v>
      </c>
      <c r="AA63" s="5545"/>
      <c r="AB63" s="5823"/>
      <c r="AC63" s="3891"/>
      <c r="AD63" s="3727"/>
      <c r="AE63" s="3728"/>
      <c r="AF63" s="4302" t="s">
        <v>153</v>
      </c>
      <c r="AG63" s="10679"/>
    </row>
    <row r="64" spans="1:33" ht="42" customHeight="1">
      <c r="A64" s="10663"/>
      <c r="B64" s="10661"/>
      <c r="C64" s="10658"/>
      <c r="D64" s="10658"/>
      <c r="E64" s="10658"/>
      <c r="F64" s="10658"/>
      <c r="G64" s="10658"/>
      <c r="H64" s="10658"/>
      <c r="I64" s="10658"/>
      <c r="J64" s="10658"/>
      <c r="K64" s="10658"/>
      <c r="L64" s="10668"/>
      <c r="M64" s="10668"/>
      <c r="N64" s="10668"/>
      <c r="O64" s="10658"/>
      <c r="P64" s="10658"/>
      <c r="Q64" s="10673"/>
      <c r="R64" s="3899"/>
      <c r="S64" s="5691"/>
      <c r="T64" s="5683"/>
      <c r="U64" s="3824" t="s">
        <v>4241</v>
      </c>
      <c r="V64" s="5509">
        <v>1</v>
      </c>
      <c r="W64" s="3890" t="s">
        <v>479</v>
      </c>
      <c r="X64" s="7836">
        <v>6265.65</v>
      </c>
      <c r="Y64" s="7836">
        <f>X64</f>
        <v>6265.65</v>
      </c>
      <c r="Z64" s="7836">
        <f>Y64</f>
        <v>6265.65</v>
      </c>
      <c r="AA64" s="5545"/>
      <c r="AB64" s="5823"/>
      <c r="AC64" s="3891"/>
      <c r="AD64" s="3727"/>
      <c r="AE64" s="3728"/>
      <c r="AF64" s="4302"/>
      <c r="AG64" s="10679"/>
    </row>
    <row r="65" spans="1:33" ht="38.25">
      <c r="A65" s="10663"/>
      <c r="B65" s="10661"/>
      <c r="C65" s="10658"/>
      <c r="D65" s="10658"/>
      <c r="E65" s="10658"/>
      <c r="F65" s="10658"/>
      <c r="G65" s="10658"/>
      <c r="H65" s="10658"/>
      <c r="I65" s="10658"/>
      <c r="J65" s="10658"/>
      <c r="K65" s="10658"/>
      <c r="L65" s="10668"/>
      <c r="M65" s="10668"/>
      <c r="N65" s="10668"/>
      <c r="O65" s="10658"/>
      <c r="P65" s="10658"/>
      <c r="Q65" s="10673"/>
      <c r="R65" s="3872" t="s">
        <v>80</v>
      </c>
      <c r="S65" s="7359">
        <v>530402</v>
      </c>
      <c r="T65" s="7360"/>
      <c r="U65" s="3799" t="s">
        <v>281</v>
      </c>
      <c r="V65" s="5509"/>
      <c r="W65" s="3890"/>
      <c r="X65" s="5544"/>
      <c r="Y65" s="5544"/>
      <c r="Z65" s="5544"/>
      <c r="AA65" s="7461">
        <f>+Z66</f>
        <v>31960.45</v>
      </c>
      <c r="AB65" s="7455" t="s">
        <v>26</v>
      </c>
      <c r="AC65" s="3891"/>
      <c r="AD65" s="3727"/>
      <c r="AE65" s="3728"/>
      <c r="AF65" s="3728"/>
      <c r="AG65" s="10679"/>
    </row>
    <row r="66" spans="1:33" ht="47.25" customHeight="1">
      <c r="A66" s="10663"/>
      <c r="B66" s="10661"/>
      <c r="C66" s="10658"/>
      <c r="D66" s="10658"/>
      <c r="E66" s="10658"/>
      <c r="F66" s="10658"/>
      <c r="G66" s="10658"/>
      <c r="H66" s="10658"/>
      <c r="I66" s="10658"/>
      <c r="J66" s="10658"/>
      <c r="K66" s="10658"/>
      <c r="L66" s="10668"/>
      <c r="M66" s="10668"/>
      <c r="N66" s="10668"/>
      <c r="O66" s="10658"/>
      <c r="P66" s="10658"/>
      <c r="Q66" s="10673"/>
      <c r="R66" s="3889"/>
      <c r="S66" s="5691"/>
      <c r="T66" s="5683" t="s">
        <v>4239</v>
      </c>
      <c r="U66" s="3824" t="s">
        <v>4240</v>
      </c>
      <c r="V66" s="5513">
        <v>1</v>
      </c>
      <c r="W66" s="4365" t="s">
        <v>180</v>
      </c>
      <c r="X66" s="5569">
        <f>31960.45/1.12</f>
        <v>28536.116071428569</v>
      </c>
      <c r="Y66" s="5569">
        <f>+V66*X66</f>
        <v>28536.116071428569</v>
      </c>
      <c r="Z66" s="5569">
        <f>+Y66*1.12</f>
        <v>31960.45</v>
      </c>
      <c r="AA66" s="5545"/>
      <c r="AB66" s="5823"/>
      <c r="AC66" s="3891"/>
      <c r="AD66" s="3727"/>
      <c r="AE66" s="3747"/>
      <c r="AF66" s="4302" t="s">
        <v>153</v>
      </c>
      <c r="AG66" s="10679"/>
    </row>
    <row r="67" spans="1:33">
      <c r="A67" s="10665" t="s">
        <v>4188</v>
      </c>
      <c r="B67" s="10516" t="s">
        <v>127</v>
      </c>
      <c r="C67" s="10433" t="s">
        <v>128</v>
      </c>
      <c r="D67" s="10433" t="s">
        <v>129</v>
      </c>
      <c r="E67" s="10433" t="s">
        <v>2491</v>
      </c>
      <c r="F67" s="10442" t="s">
        <v>131</v>
      </c>
      <c r="G67" s="10433" t="s">
        <v>132</v>
      </c>
      <c r="H67" s="10433" t="s">
        <v>159</v>
      </c>
      <c r="I67" s="10433" t="s">
        <v>4242</v>
      </c>
      <c r="J67" s="10433" t="s">
        <v>4243</v>
      </c>
      <c r="K67" s="10433" t="s">
        <v>4244</v>
      </c>
      <c r="L67" s="10676">
        <v>1</v>
      </c>
      <c r="M67" s="10676">
        <v>0</v>
      </c>
      <c r="N67" s="10676">
        <v>0</v>
      </c>
      <c r="O67" s="10433" t="s">
        <v>4245</v>
      </c>
      <c r="P67" s="10433" t="s">
        <v>4246</v>
      </c>
      <c r="Q67" s="10439" t="s">
        <v>4247</v>
      </c>
      <c r="R67" s="3875"/>
      <c r="S67" s="5692"/>
      <c r="T67" s="5692"/>
      <c r="U67" s="2929"/>
      <c r="V67" s="5505"/>
      <c r="W67" s="2930"/>
      <c r="X67" s="5536"/>
      <c r="Y67" s="5536"/>
      <c r="Z67" s="5536"/>
      <c r="AA67" s="5537"/>
      <c r="AB67" s="5824"/>
      <c r="AC67" s="3876"/>
      <c r="AD67" s="2930"/>
      <c r="AE67" s="3732"/>
      <c r="AF67" s="3732"/>
      <c r="AG67" s="10703"/>
    </row>
    <row r="68" spans="1:33">
      <c r="A68" s="10663"/>
      <c r="B68" s="10659"/>
      <c r="C68" s="10656"/>
      <c r="D68" s="10656"/>
      <c r="E68" s="10656"/>
      <c r="F68" s="10656"/>
      <c r="G68" s="10656"/>
      <c r="H68" s="10656"/>
      <c r="I68" s="10656"/>
      <c r="J68" s="10656"/>
      <c r="K68" s="10656"/>
      <c r="L68" s="10667"/>
      <c r="M68" s="10667"/>
      <c r="N68" s="10667"/>
      <c r="O68" s="10656"/>
      <c r="P68" s="10656"/>
      <c r="Q68" s="10672"/>
      <c r="R68" s="3871"/>
      <c r="S68" s="5686"/>
      <c r="T68" s="5686"/>
      <c r="U68" s="3813"/>
      <c r="V68" s="5500"/>
      <c r="W68" s="3504"/>
      <c r="X68" s="5525"/>
      <c r="Y68" s="5525"/>
      <c r="Z68" s="5525"/>
      <c r="AA68" s="5526"/>
      <c r="AB68" s="5825"/>
      <c r="AC68" s="3848"/>
      <c r="AD68" s="3504"/>
      <c r="AE68" s="3675"/>
      <c r="AF68" s="3675"/>
      <c r="AG68" s="10678"/>
    </row>
    <row r="69" spans="1:33">
      <c r="A69" s="10663"/>
      <c r="B69" s="10659"/>
      <c r="C69" s="10656"/>
      <c r="D69" s="10656"/>
      <c r="E69" s="10656"/>
      <c r="F69" s="10656"/>
      <c r="G69" s="10656"/>
      <c r="H69" s="10656"/>
      <c r="I69" s="10656"/>
      <c r="J69" s="10656"/>
      <c r="K69" s="10656"/>
      <c r="L69" s="10667"/>
      <c r="M69" s="10667"/>
      <c r="N69" s="10667"/>
      <c r="O69" s="10656"/>
      <c r="P69" s="10656"/>
      <c r="Q69" s="10672"/>
      <c r="R69" s="3871"/>
      <c r="S69" s="5686"/>
      <c r="T69" s="5686"/>
      <c r="U69" s="3813"/>
      <c r="V69" s="5500"/>
      <c r="W69" s="3504"/>
      <c r="X69" s="5525"/>
      <c r="Y69" s="5525"/>
      <c r="Z69" s="5525"/>
      <c r="AA69" s="5526"/>
      <c r="AB69" s="5825"/>
      <c r="AC69" s="3848"/>
      <c r="AD69" s="3504"/>
      <c r="AE69" s="3675"/>
      <c r="AF69" s="3675"/>
      <c r="AG69" s="10678"/>
    </row>
    <row r="70" spans="1:33">
      <c r="A70" s="10663"/>
      <c r="B70" s="10659"/>
      <c r="C70" s="10656"/>
      <c r="D70" s="10656"/>
      <c r="E70" s="10656"/>
      <c r="F70" s="10656"/>
      <c r="G70" s="10656"/>
      <c r="H70" s="10656"/>
      <c r="I70" s="10656"/>
      <c r="J70" s="10656"/>
      <c r="K70" s="10656"/>
      <c r="L70" s="10667"/>
      <c r="M70" s="10667"/>
      <c r="N70" s="10667"/>
      <c r="O70" s="10656"/>
      <c r="P70" s="10656"/>
      <c r="Q70" s="10672"/>
      <c r="R70" s="3871"/>
      <c r="S70" s="5686"/>
      <c r="T70" s="5686"/>
      <c r="U70" s="3813"/>
      <c r="V70" s="5500"/>
      <c r="W70" s="3504"/>
      <c r="X70" s="5525"/>
      <c r="Y70" s="5525"/>
      <c r="Z70" s="5525"/>
      <c r="AA70" s="5526"/>
      <c r="AB70" s="5825"/>
      <c r="AC70" s="3848"/>
      <c r="AD70" s="3504"/>
      <c r="AE70" s="3675"/>
      <c r="AF70" s="3675"/>
      <c r="AG70" s="10678"/>
    </row>
    <row r="71" spans="1:33" ht="60.75" customHeight="1">
      <c r="A71" s="10663"/>
      <c r="B71" s="10660"/>
      <c r="C71" s="10657"/>
      <c r="D71" s="10657"/>
      <c r="E71" s="10657"/>
      <c r="F71" s="10657"/>
      <c r="G71" s="10657"/>
      <c r="H71" s="10657"/>
      <c r="I71" s="10657"/>
      <c r="J71" s="10657"/>
      <c r="K71" s="10657"/>
      <c r="L71" s="10674"/>
      <c r="M71" s="10674"/>
      <c r="N71" s="10674"/>
      <c r="O71" s="10657"/>
      <c r="P71" s="10657"/>
      <c r="Q71" s="10675"/>
      <c r="R71" s="3877"/>
      <c r="S71" s="5688"/>
      <c r="T71" s="5688"/>
      <c r="U71" s="2932"/>
      <c r="V71" s="5506"/>
      <c r="W71" s="2933"/>
      <c r="X71" s="5538"/>
      <c r="Y71" s="5538"/>
      <c r="Z71" s="5538"/>
      <c r="AA71" s="5539"/>
      <c r="AB71" s="5826"/>
      <c r="AC71" s="3878"/>
      <c r="AD71" s="2933"/>
      <c r="AE71" s="3704"/>
      <c r="AF71" s="3704"/>
      <c r="AG71" s="10680"/>
    </row>
    <row r="72" spans="1:33" ht="20.25" customHeight="1">
      <c r="A72" s="10663"/>
      <c r="B72" s="10512" t="s">
        <v>127</v>
      </c>
      <c r="C72" s="10444" t="s">
        <v>128</v>
      </c>
      <c r="D72" s="10444" t="s">
        <v>129</v>
      </c>
      <c r="E72" s="10444" t="s">
        <v>2491</v>
      </c>
      <c r="F72" s="10451" t="s">
        <v>131</v>
      </c>
      <c r="G72" s="10444" t="s">
        <v>132</v>
      </c>
      <c r="H72" s="10444" t="s">
        <v>159</v>
      </c>
      <c r="I72" s="10444" t="s">
        <v>4248</v>
      </c>
      <c r="J72" s="10444" t="s">
        <v>4249</v>
      </c>
      <c r="K72" s="10444" t="s">
        <v>4250</v>
      </c>
      <c r="L72" s="10666">
        <v>14</v>
      </c>
      <c r="M72" s="10666">
        <v>12</v>
      </c>
      <c r="N72" s="10666">
        <v>10</v>
      </c>
      <c r="O72" s="10444" t="s">
        <v>4251</v>
      </c>
      <c r="P72" s="10444" t="s">
        <v>4252</v>
      </c>
      <c r="Q72" s="10449" t="s">
        <v>4253</v>
      </c>
      <c r="R72" s="3881"/>
      <c r="S72" s="5694"/>
      <c r="T72" s="5694"/>
      <c r="U72" s="3825"/>
      <c r="V72" s="5516"/>
      <c r="W72" s="3721"/>
      <c r="X72" s="5571"/>
      <c r="Y72" s="5571"/>
      <c r="Z72" s="5571"/>
      <c r="AA72" s="5576"/>
      <c r="AB72" s="5827"/>
      <c r="AC72" s="3884"/>
      <c r="AD72" s="3721"/>
      <c r="AE72" s="3660"/>
      <c r="AF72" s="3660"/>
      <c r="AG72" s="10464"/>
    </row>
    <row r="73" spans="1:33" ht="20.25" customHeight="1">
      <c r="A73" s="10663"/>
      <c r="B73" s="10659"/>
      <c r="C73" s="10656"/>
      <c r="D73" s="10656"/>
      <c r="E73" s="10656"/>
      <c r="F73" s="10656"/>
      <c r="G73" s="10656"/>
      <c r="H73" s="10656"/>
      <c r="I73" s="10656"/>
      <c r="J73" s="10656"/>
      <c r="K73" s="10656"/>
      <c r="L73" s="10667"/>
      <c r="M73" s="10667"/>
      <c r="N73" s="10667"/>
      <c r="O73" s="10656"/>
      <c r="P73" s="10656"/>
      <c r="Q73" s="10672"/>
      <c r="R73" s="3867"/>
      <c r="S73" s="5681"/>
      <c r="T73" s="5681"/>
      <c r="U73" s="3495"/>
      <c r="V73" s="5499"/>
      <c r="W73" s="3496"/>
      <c r="X73" s="5523"/>
      <c r="Y73" s="5523"/>
      <c r="Z73" s="5523"/>
      <c r="AA73" s="5524"/>
      <c r="AB73" s="5779"/>
      <c r="AC73" s="3847"/>
      <c r="AD73" s="3496"/>
      <c r="AE73" s="3666"/>
      <c r="AF73" s="3666"/>
      <c r="AG73" s="10678"/>
    </row>
    <row r="74" spans="1:33" ht="20.25" customHeight="1">
      <c r="A74" s="10663"/>
      <c r="B74" s="10659"/>
      <c r="C74" s="10656"/>
      <c r="D74" s="10656"/>
      <c r="E74" s="10656"/>
      <c r="F74" s="10656"/>
      <c r="G74" s="10656"/>
      <c r="H74" s="10656"/>
      <c r="I74" s="10656"/>
      <c r="J74" s="10656"/>
      <c r="K74" s="10656"/>
      <c r="L74" s="10667"/>
      <c r="M74" s="10667"/>
      <c r="N74" s="10667"/>
      <c r="O74" s="10656"/>
      <c r="P74" s="10656"/>
      <c r="Q74" s="10672"/>
      <c r="R74" s="3867"/>
      <c r="S74" s="5681"/>
      <c r="T74" s="5681"/>
      <c r="U74" s="3495"/>
      <c r="V74" s="5499"/>
      <c r="W74" s="3496"/>
      <c r="X74" s="5523"/>
      <c r="Y74" s="5523"/>
      <c r="Z74" s="5523"/>
      <c r="AA74" s="5524"/>
      <c r="AB74" s="5779"/>
      <c r="AC74" s="3847"/>
      <c r="AD74" s="3496"/>
      <c r="AE74" s="3666"/>
      <c r="AF74" s="3666"/>
      <c r="AG74" s="10678"/>
    </row>
    <row r="75" spans="1:33" ht="20.25" customHeight="1">
      <c r="A75" s="10663"/>
      <c r="B75" s="10659"/>
      <c r="C75" s="10656"/>
      <c r="D75" s="10656"/>
      <c r="E75" s="10656"/>
      <c r="F75" s="10656"/>
      <c r="G75" s="10656"/>
      <c r="H75" s="10656"/>
      <c r="I75" s="10656"/>
      <c r="J75" s="10656"/>
      <c r="K75" s="10656"/>
      <c r="L75" s="10667"/>
      <c r="M75" s="10667"/>
      <c r="N75" s="10667"/>
      <c r="O75" s="10656"/>
      <c r="P75" s="10656"/>
      <c r="Q75" s="10672"/>
      <c r="R75" s="3868"/>
      <c r="S75" s="5682"/>
      <c r="T75" s="5682"/>
      <c r="U75" s="3495"/>
      <c r="V75" s="5499"/>
      <c r="W75" s="3496"/>
      <c r="X75" s="5523"/>
      <c r="Y75" s="5523"/>
      <c r="Z75" s="5523"/>
      <c r="AA75" s="5524"/>
      <c r="AB75" s="5779"/>
      <c r="AC75" s="3847"/>
      <c r="AD75" s="3496"/>
      <c r="AE75" s="3666"/>
      <c r="AF75" s="3666"/>
      <c r="AG75" s="10678"/>
    </row>
    <row r="76" spans="1:33" ht="36.75" customHeight="1">
      <c r="A76" s="10663"/>
      <c r="B76" s="10661"/>
      <c r="C76" s="10658"/>
      <c r="D76" s="10658"/>
      <c r="E76" s="10658"/>
      <c r="F76" s="10658"/>
      <c r="G76" s="10658"/>
      <c r="H76" s="10658"/>
      <c r="I76" s="10658"/>
      <c r="J76" s="10658"/>
      <c r="K76" s="10658"/>
      <c r="L76" s="10668"/>
      <c r="M76" s="10668"/>
      <c r="N76" s="10668"/>
      <c r="O76" s="10658"/>
      <c r="P76" s="10658"/>
      <c r="Q76" s="10673"/>
      <c r="R76" s="3879"/>
      <c r="S76" s="5683"/>
      <c r="T76" s="5683"/>
      <c r="U76" s="3759"/>
      <c r="V76" s="5509"/>
      <c r="W76" s="3714"/>
      <c r="X76" s="5544"/>
      <c r="Y76" s="5544"/>
      <c r="Z76" s="5544"/>
      <c r="AA76" s="5545"/>
      <c r="AB76" s="5823"/>
      <c r="AC76" s="3880"/>
      <c r="AD76" s="3714"/>
      <c r="AE76" s="3718"/>
      <c r="AF76" s="3718"/>
      <c r="AG76" s="10679"/>
    </row>
    <row r="77" spans="1:33" ht="20.25" customHeight="1">
      <c r="A77" s="10663"/>
      <c r="B77" s="10516" t="s">
        <v>127</v>
      </c>
      <c r="C77" s="10433" t="s">
        <v>128</v>
      </c>
      <c r="D77" s="10433" t="s">
        <v>129</v>
      </c>
      <c r="E77" s="10433" t="s">
        <v>2491</v>
      </c>
      <c r="F77" s="10442" t="s">
        <v>131</v>
      </c>
      <c r="G77" s="10433" t="s">
        <v>132</v>
      </c>
      <c r="H77" s="10433" t="s">
        <v>159</v>
      </c>
      <c r="I77" s="10433" t="s">
        <v>4254</v>
      </c>
      <c r="J77" s="10433" t="s">
        <v>4255</v>
      </c>
      <c r="K77" s="10443" t="s">
        <v>4256</v>
      </c>
      <c r="L77" s="10676">
        <v>0</v>
      </c>
      <c r="M77" s="10676">
        <v>1</v>
      </c>
      <c r="N77" s="10676">
        <v>0</v>
      </c>
      <c r="O77" s="10433" t="s">
        <v>4257</v>
      </c>
      <c r="P77" s="10433" t="s">
        <v>4258</v>
      </c>
      <c r="Q77" s="10439" t="s">
        <v>4259</v>
      </c>
      <c r="R77" s="3885"/>
      <c r="S77" s="5684"/>
      <c r="T77" s="5684"/>
      <c r="U77" s="3762"/>
      <c r="V77" s="5502"/>
      <c r="W77" s="3709"/>
      <c r="X77" s="5529"/>
      <c r="Y77" s="5529"/>
      <c r="Z77" s="5529"/>
      <c r="AA77" s="5530"/>
      <c r="AB77" s="5780"/>
      <c r="AC77" s="3886"/>
      <c r="AD77" s="3709"/>
      <c r="AE77" s="3746"/>
      <c r="AF77" s="3746"/>
      <c r="AG77" s="10525"/>
    </row>
    <row r="78" spans="1:33" ht="20.25" customHeight="1">
      <c r="A78" s="10663"/>
      <c r="B78" s="10659"/>
      <c r="C78" s="10656"/>
      <c r="D78" s="10656"/>
      <c r="E78" s="10656"/>
      <c r="F78" s="10656"/>
      <c r="G78" s="10656"/>
      <c r="H78" s="10656"/>
      <c r="I78" s="10656"/>
      <c r="J78" s="10656"/>
      <c r="K78" s="10656"/>
      <c r="L78" s="10667"/>
      <c r="M78" s="10667"/>
      <c r="N78" s="10667"/>
      <c r="O78" s="10656"/>
      <c r="P78" s="10656"/>
      <c r="Q78" s="10672"/>
      <c r="R78" s="3867"/>
      <c r="S78" s="5681"/>
      <c r="T78" s="5681"/>
      <c r="U78" s="3495"/>
      <c r="V78" s="5499"/>
      <c r="W78" s="3496"/>
      <c r="X78" s="5523"/>
      <c r="Y78" s="5523"/>
      <c r="Z78" s="5523"/>
      <c r="AA78" s="5524"/>
      <c r="AB78" s="5779"/>
      <c r="AC78" s="3847"/>
      <c r="AD78" s="3496"/>
      <c r="AE78" s="3496"/>
      <c r="AF78" s="3690"/>
      <c r="AG78" s="10678"/>
    </row>
    <row r="79" spans="1:33" ht="20.25" customHeight="1">
      <c r="A79" s="10663"/>
      <c r="B79" s="10659"/>
      <c r="C79" s="10656"/>
      <c r="D79" s="10656"/>
      <c r="E79" s="10656"/>
      <c r="F79" s="10656"/>
      <c r="G79" s="10656"/>
      <c r="H79" s="10656"/>
      <c r="I79" s="10656"/>
      <c r="J79" s="10656"/>
      <c r="K79" s="10656"/>
      <c r="L79" s="10667"/>
      <c r="M79" s="10667"/>
      <c r="N79" s="10667"/>
      <c r="O79" s="10656"/>
      <c r="P79" s="10656"/>
      <c r="Q79" s="10672"/>
      <c r="R79" s="3867"/>
      <c r="S79" s="5681"/>
      <c r="T79" s="5681"/>
      <c r="U79" s="3495"/>
      <c r="V79" s="5499"/>
      <c r="W79" s="3496"/>
      <c r="X79" s="5523"/>
      <c r="Y79" s="5523"/>
      <c r="Z79" s="5523"/>
      <c r="AA79" s="5524"/>
      <c r="AB79" s="5779"/>
      <c r="AC79" s="3847"/>
      <c r="AD79" s="3496"/>
      <c r="AE79" s="3496"/>
      <c r="AF79" s="3666"/>
      <c r="AG79" s="10678"/>
    </row>
    <row r="80" spans="1:33" ht="20.25" customHeight="1">
      <c r="A80" s="10663"/>
      <c r="B80" s="10659"/>
      <c r="C80" s="10656"/>
      <c r="D80" s="10656"/>
      <c r="E80" s="10656"/>
      <c r="F80" s="10656"/>
      <c r="G80" s="10656"/>
      <c r="H80" s="10656"/>
      <c r="I80" s="10656"/>
      <c r="J80" s="10656"/>
      <c r="K80" s="10656"/>
      <c r="L80" s="10667"/>
      <c r="M80" s="10667"/>
      <c r="N80" s="10667"/>
      <c r="O80" s="10656"/>
      <c r="P80" s="10656"/>
      <c r="Q80" s="10672"/>
      <c r="R80" s="3867"/>
      <c r="S80" s="5681"/>
      <c r="T80" s="5681"/>
      <c r="U80" s="3495"/>
      <c r="V80" s="5499"/>
      <c r="W80" s="3496"/>
      <c r="X80" s="5523"/>
      <c r="Y80" s="5523"/>
      <c r="Z80" s="5523"/>
      <c r="AA80" s="5524"/>
      <c r="AB80" s="5779"/>
      <c r="AC80" s="3847"/>
      <c r="AD80" s="3496"/>
      <c r="AE80" s="3496"/>
      <c r="AF80" s="3666"/>
      <c r="AG80" s="10678"/>
    </row>
    <row r="81" spans="1:33" ht="42" customHeight="1">
      <c r="A81" s="10663"/>
      <c r="B81" s="10660"/>
      <c r="C81" s="10657"/>
      <c r="D81" s="10657"/>
      <c r="E81" s="10657"/>
      <c r="F81" s="10657"/>
      <c r="G81" s="10657"/>
      <c r="H81" s="10657"/>
      <c r="I81" s="10657"/>
      <c r="J81" s="10657"/>
      <c r="K81" s="10657"/>
      <c r="L81" s="10674"/>
      <c r="M81" s="10674"/>
      <c r="N81" s="10674"/>
      <c r="O81" s="10657"/>
      <c r="P81" s="10657"/>
      <c r="Q81" s="10675"/>
      <c r="R81" s="3887"/>
      <c r="S81" s="5696"/>
      <c r="T81" s="5696"/>
      <c r="U81" s="3557"/>
      <c r="V81" s="5503"/>
      <c r="W81" s="3545"/>
      <c r="X81" s="5532"/>
      <c r="Y81" s="5532"/>
      <c r="Z81" s="5532"/>
      <c r="AA81" s="5533"/>
      <c r="AB81" s="5828"/>
      <c r="AC81" s="3888"/>
      <c r="AD81" s="3545"/>
      <c r="AE81" s="3545"/>
      <c r="AF81" s="3707"/>
      <c r="AG81" s="10680"/>
    </row>
    <row r="82" spans="1:33" ht="24" customHeight="1">
      <c r="A82" s="10663"/>
      <c r="B82" s="10512" t="s">
        <v>127</v>
      </c>
      <c r="C82" s="10444" t="s">
        <v>128</v>
      </c>
      <c r="D82" s="10444" t="s">
        <v>140</v>
      </c>
      <c r="E82" s="10444" t="s">
        <v>1691</v>
      </c>
      <c r="F82" s="10451" t="s">
        <v>131</v>
      </c>
      <c r="G82" s="10444" t="s">
        <v>132</v>
      </c>
      <c r="H82" s="10444" t="s">
        <v>159</v>
      </c>
      <c r="I82" s="10444" t="s">
        <v>4260</v>
      </c>
      <c r="J82" s="10444" t="s">
        <v>4261</v>
      </c>
      <c r="K82" s="10444" t="s">
        <v>4262</v>
      </c>
      <c r="L82" s="10666">
        <v>1</v>
      </c>
      <c r="M82" s="10666">
        <v>0</v>
      </c>
      <c r="N82" s="10666">
        <v>1</v>
      </c>
      <c r="O82" s="10444" t="s">
        <v>4263</v>
      </c>
      <c r="P82" s="10444" t="s">
        <v>4264</v>
      </c>
      <c r="Q82" s="10449" t="s">
        <v>4265</v>
      </c>
      <c r="R82" s="3892"/>
      <c r="S82" s="5689"/>
      <c r="T82" s="5689"/>
      <c r="U82" s="3758"/>
      <c r="V82" s="5504"/>
      <c r="W82" s="3658"/>
      <c r="X82" s="5534"/>
      <c r="Y82" s="5534"/>
      <c r="Z82" s="5534"/>
      <c r="AA82" s="5535"/>
      <c r="AB82" s="5822"/>
      <c r="AC82" s="3893"/>
      <c r="AD82" s="3658"/>
      <c r="AE82" s="3660"/>
      <c r="AF82" s="3660"/>
      <c r="AG82" s="10464" t="s">
        <v>4266</v>
      </c>
    </row>
    <row r="83" spans="1:33" ht="24" customHeight="1">
      <c r="A83" s="10663"/>
      <c r="B83" s="10659"/>
      <c r="C83" s="10656"/>
      <c r="D83" s="10656"/>
      <c r="E83" s="10656"/>
      <c r="F83" s="10656"/>
      <c r="G83" s="10656"/>
      <c r="H83" s="10656"/>
      <c r="I83" s="10656"/>
      <c r="J83" s="10656"/>
      <c r="K83" s="10656"/>
      <c r="L83" s="10667"/>
      <c r="M83" s="10667"/>
      <c r="N83" s="10667"/>
      <c r="O83" s="10656"/>
      <c r="P83" s="10656"/>
      <c r="Q83" s="10672"/>
      <c r="R83" s="3867"/>
      <c r="S83" s="5681"/>
      <c r="T83" s="5681"/>
      <c r="U83" s="3495"/>
      <c r="V83" s="5499"/>
      <c r="W83" s="3496"/>
      <c r="X83" s="5523"/>
      <c r="Y83" s="5523"/>
      <c r="Z83" s="5523"/>
      <c r="AA83" s="5524"/>
      <c r="AB83" s="5779"/>
      <c r="AC83" s="3847"/>
      <c r="AD83" s="3496"/>
      <c r="AE83" s="3666"/>
      <c r="AF83" s="3666"/>
      <c r="AG83" s="10678"/>
    </row>
    <row r="84" spans="1:33" ht="24" customHeight="1">
      <c r="A84" s="10663"/>
      <c r="B84" s="10659"/>
      <c r="C84" s="10656"/>
      <c r="D84" s="10656"/>
      <c r="E84" s="10656"/>
      <c r="F84" s="10656"/>
      <c r="G84" s="10656"/>
      <c r="H84" s="10656"/>
      <c r="I84" s="10656"/>
      <c r="J84" s="10656"/>
      <c r="K84" s="10656"/>
      <c r="L84" s="10667"/>
      <c r="M84" s="10667"/>
      <c r="N84" s="10667"/>
      <c r="O84" s="10656"/>
      <c r="P84" s="10656"/>
      <c r="Q84" s="10672"/>
      <c r="R84" s="3867"/>
      <c r="S84" s="5681"/>
      <c r="T84" s="5681"/>
      <c r="U84" s="3495"/>
      <c r="V84" s="5499"/>
      <c r="W84" s="3496"/>
      <c r="X84" s="5523"/>
      <c r="Y84" s="5523"/>
      <c r="Z84" s="5523"/>
      <c r="AA84" s="5524"/>
      <c r="AB84" s="5779"/>
      <c r="AC84" s="3847"/>
      <c r="AD84" s="3496"/>
      <c r="AE84" s="3666"/>
      <c r="AF84" s="3666"/>
      <c r="AG84" s="10678"/>
    </row>
    <row r="85" spans="1:33" ht="24" customHeight="1">
      <c r="A85" s="10663"/>
      <c r="B85" s="10659"/>
      <c r="C85" s="10656"/>
      <c r="D85" s="10656"/>
      <c r="E85" s="10656"/>
      <c r="F85" s="10656"/>
      <c r="G85" s="10656"/>
      <c r="H85" s="10656"/>
      <c r="I85" s="10656"/>
      <c r="J85" s="10656"/>
      <c r="K85" s="10656"/>
      <c r="L85" s="10667"/>
      <c r="M85" s="10667"/>
      <c r="N85" s="10667"/>
      <c r="O85" s="10656"/>
      <c r="P85" s="10656"/>
      <c r="Q85" s="10672"/>
      <c r="R85" s="3867"/>
      <c r="S85" s="5681"/>
      <c r="T85" s="5681"/>
      <c r="U85" s="3495"/>
      <c r="V85" s="5499"/>
      <c r="W85" s="3496"/>
      <c r="X85" s="5523"/>
      <c r="Y85" s="5523"/>
      <c r="Z85" s="5523"/>
      <c r="AA85" s="5524"/>
      <c r="AB85" s="5779"/>
      <c r="AC85" s="3847"/>
      <c r="AD85" s="3496"/>
      <c r="AE85" s="3666"/>
      <c r="AF85" s="3666"/>
      <c r="AG85" s="10678"/>
    </row>
    <row r="86" spans="1:33" ht="24" customHeight="1">
      <c r="A86" s="10663"/>
      <c r="B86" s="10661"/>
      <c r="C86" s="10658"/>
      <c r="D86" s="10658"/>
      <c r="E86" s="10658"/>
      <c r="F86" s="10658"/>
      <c r="G86" s="10658"/>
      <c r="H86" s="10658"/>
      <c r="I86" s="10658"/>
      <c r="J86" s="10658"/>
      <c r="K86" s="10658"/>
      <c r="L86" s="10668"/>
      <c r="M86" s="10668"/>
      <c r="N86" s="10668"/>
      <c r="O86" s="10658"/>
      <c r="P86" s="10658"/>
      <c r="Q86" s="10673"/>
      <c r="R86" s="3879"/>
      <c r="S86" s="5683"/>
      <c r="T86" s="5683"/>
      <c r="U86" s="3759"/>
      <c r="V86" s="5509"/>
      <c r="W86" s="3714"/>
      <c r="X86" s="5544"/>
      <c r="Y86" s="5544"/>
      <c r="Z86" s="5544"/>
      <c r="AA86" s="5545"/>
      <c r="AB86" s="5823"/>
      <c r="AC86" s="3880"/>
      <c r="AD86" s="3714"/>
      <c r="AE86" s="3718"/>
      <c r="AF86" s="3718"/>
      <c r="AG86" s="10679"/>
    </row>
    <row r="87" spans="1:33">
      <c r="A87" s="10663"/>
      <c r="B87" s="10516" t="s">
        <v>127</v>
      </c>
      <c r="C87" s="10433" t="s">
        <v>128</v>
      </c>
      <c r="D87" s="10433" t="s">
        <v>140</v>
      </c>
      <c r="E87" s="10433" t="s">
        <v>284</v>
      </c>
      <c r="F87" s="10442" t="s">
        <v>131</v>
      </c>
      <c r="G87" s="10433" t="s">
        <v>132</v>
      </c>
      <c r="H87" s="10433" t="s">
        <v>159</v>
      </c>
      <c r="I87" s="10433" t="s">
        <v>4267</v>
      </c>
      <c r="J87" s="10433" t="s">
        <v>4268</v>
      </c>
      <c r="K87" s="10443" t="s">
        <v>4269</v>
      </c>
      <c r="L87" s="10676">
        <v>5</v>
      </c>
      <c r="M87" s="10676">
        <v>6</v>
      </c>
      <c r="N87" s="10676">
        <v>4</v>
      </c>
      <c r="O87" s="10433" t="s">
        <v>4270</v>
      </c>
      <c r="P87" s="10433" t="s">
        <v>4271</v>
      </c>
      <c r="Q87" s="10439" t="s">
        <v>4272</v>
      </c>
      <c r="R87" s="3885"/>
      <c r="S87" s="5684"/>
      <c r="T87" s="5684"/>
      <c r="U87" s="3762"/>
      <c r="V87" s="5502"/>
      <c r="W87" s="3709"/>
      <c r="X87" s="5529"/>
      <c r="Y87" s="5529"/>
      <c r="Z87" s="5529"/>
      <c r="AA87" s="5530"/>
      <c r="AB87" s="5780"/>
      <c r="AC87" s="3886"/>
      <c r="AD87" s="3709"/>
      <c r="AE87" s="3724"/>
      <c r="AF87" s="3724"/>
      <c r="AG87" s="10525"/>
    </row>
    <row r="88" spans="1:33">
      <c r="A88" s="10663"/>
      <c r="B88" s="10659"/>
      <c r="C88" s="10656"/>
      <c r="D88" s="10656"/>
      <c r="E88" s="10656"/>
      <c r="F88" s="10656"/>
      <c r="G88" s="10656"/>
      <c r="H88" s="10656"/>
      <c r="I88" s="10656"/>
      <c r="J88" s="10656"/>
      <c r="K88" s="10656"/>
      <c r="L88" s="10667"/>
      <c r="M88" s="10667"/>
      <c r="N88" s="10667"/>
      <c r="O88" s="10656"/>
      <c r="P88" s="10656"/>
      <c r="Q88" s="10672"/>
      <c r="R88" s="3867"/>
      <c r="S88" s="5681"/>
      <c r="T88" s="5681"/>
      <c r="U88" s="3495"/>
      <c r="V88" s="5499"/>
      <c r="W88" s="3496"/>
      <c r="X88" s="5523"/>
      <c r="Y88" s="5523"/>
      <c r="Z88" s="5523"/>
      <c r="AA88" s="5524"/>
      <c r="AB88" s="5779"/>
      <c r="AC88" s="3847"/>
      <c r="AD88" s="3496"/>
      <c r="AE88" s="3666"/>
      <c r="AF88" s="3666"/>
      <c r="AG88" s="10678"/>
    </row>
    <row r="89" spans="1:33">
      <c r="A89" s="10663"/>
      <c r="B89" s="10659"/>
      <c r="C89" s="10656"/>
      <c r="D89" s="10656"/>
      <c r="E89" s="10656"/>
      <c r="F89" s="10656"/>
      <c r="G89" s="10656"/>
      <c r="H89" s="10656"/>
      <c r="I89" s="10656"/>
      <c r="J89" s="10656"/>
      <c r="K89" s="10656"/>
      <c r="L89" s="10667"/>
      <c r="M89" s="10667"/>
      <c r="N89" s="10667"/>
      <c r="O89" s="10656"/>
      <c r="P89" s="10656"/>
      <c r="Q89" s="10672"/>
      <c r="R89" s="3867"/>
      <c r="S89" s="5681"/>
      <c r="T89" s="5681"/>
      <c r="U89" s="3495"/>
      <c r="V89" s="5499"/>
      <c r="W89" s="3496"/>
      <c r="X89" s="5523"/>
      <c r="Y89" s="5523"/>
      <c r="Z89" s="5523"/>
      <c r="AA89" s="5524"/>
      <c r="AB89" s="5779"/>
      <c r="AC89" s="3847"/>
      <c r="AD89" s="3496"/>
      <c r="AE89" s="3666"/>
      <c r="AF89" s="3666"/>
      <c r="AG89" s="10678"/>
    </row>
    <row r="90" spans="1:33">
      <c r="A90" s="10663"/>
      <c r="B90" s="10659"/>
      <c r="C90" s="10656"/>
      <c r="D90" s="10656"/>
      <c r="E90" s="10656"/>
      <c r="F90" s="10656"/>
      <c r="G90" s="10656"/>
      <c r="H90" s="10656"/>
      <c r="I90" s="10656"/>
      <c r="J90" s="10656"/>
      <c r="K90" s="10656"/>
      <c r="L90" s="10667"/>
      <c r="M90" s="10667"/>
      <c r="N90" s="10667"/>
      <c r="O90" s="10656"/>
      <c r="P90" s="10656"/>
      <c r="Q90" s="10672"/>
      <c r="R90" s="3868"/>
      <c r="S90" s="5682"/>
      <c r="T90" s="5682"/>
      <c r="U90" s="3495"/>
      <c r="V90" s="5499"/>
      <c r="W90" s="3496"/>
      <c r="X90" s="5523"/>
      <c r="Y90" s="5523"/>
      <c r="Z90" s="5523"/>
      <c r="AA90" s="5524"/>
      <c r="AB90" s="5779"/>
      <c r="AC90" s="3847"/>
      <c r="AD90" s="3496"/>
      <c r="AE90" s="3666"/>
      <c r="AF90" s="3666"/>
      <c r="AG90" s="10678"/>
    </row>
    <row r="91" spans="1:33" ht="60" customHeight="1">
      <c r="A91" s="10663"/>
      <c r="B91" s="10660"/>
      <c r="C91" s="10657"/>
      <c r="D91" s="10657"/>
      <c r="E91" s="10657"/>
      <c r="F91" s="10657"/>
      <c r="G91" s="10657"/>
      <c r="H91" s="10657"/>
      <c r="I91" s="10657"/>
      <c r="J91" s="10657"/>
      <c r="K91" s="10657"/>
      <c r="L91" s="10674"/>
      <c r="M91" s="10674"/>
      <c r="N91" s="10674"/>
      <c r="O91" s="10657"/>
      <c r="P91" s="10657"/>
      <c r="Q91" s="10675"/>
      <c r="R91" s="3887"/>
      <c r="S91" s="5696"/>
      <c r="T91" s="5696"/>
      <c r="U91" s="3557"/>
      <c r="V91" s="5503"/>
      <c r="W91" s="3545"/>
      <c r="X91" s="5532"/>
      <c r="Y91" s="5532"/>
      <c r="Z91" s="5532"/>
      <c r="AA91" s="5533"/>
      <c r="AB91" s="5828"/>
      <c r="AC91" s="3888"/>
      <c r="AD91" s="3545"/>
      <c r="AE91" s="3707"/>
      <c r="AF91" s="3707"/>
      <c r="AG91" s="10680"/>
    </row>
    <row r="92" spans="1:33" ht="20.25" customHeight="1">
      <c r="A92" s="10663"/>
      <c r="B92" s="10512" t="s">
        <v>127</v>
      </c>
      <c r="C92" s="10444" t="s">
        <v>128</v>
      </c>
      <c r="D92" s="10444" t="s">
        <v>129</v>
      </c>
      <c r="E92" s="10444" t="s">
        <v>2491</v>
      </c>
      <c r="F92" s="10451" t="s">
        <v>131</v>
      </c>
      <c r="G92" s="10444" t="s">
        <v>132</v>
      </c>
      <c r="H92" s="10444" t="s">
        <v>159</v>
      </c>
      <c r="I92" s="10444" t="s">
        <v>4273</v>
      </c>
      <c r="J92" s="10444" t="s">
        <v>4274</v>
      </c>
      <c r="K92" s="10444" t="s">
        <v>4275</v>
      </c>
      <c r="L92" s="10666">
        <v>1</v>
      </c>
      <c r="M92" s="10666">
        <v>0</v>
      </c>
      <c r="N92" s="10666">
        <v>1</v>
      </c>
      <c r="O92" s="10444" t="s">
        <v>4276</v>
      </c>
      <c r="P92" s="10444" t="s">
        <v>4277</v>
      </c>
      <c r="Q92" s="10449" t="s">
        <v>4278</v>
      </c>
      <c r="R92" s="3892"/>
      <c r="S92" s="5689"/>
      <c r="T92" s="5689"/>
      <c r="U92" s="3758"/>
      <c r="V92" s="5504"/>
      <c r="W92" s="3658"/>
      <c r="X92" s="5534"/>
      <c r="Y92" s="5534"/>
      <c r="Z92" s="5534"/>
      <c r="AA92" s="5535"/>
      <c r="AB92" s="5822"/>
      <c r="AC92" s="3893"/>
      <c r="AD92" s="3658"/>
      <c r="AE92" s="3749"/>
      <c r="AF92" s="3749"/>
      <c r="AG92" s="10464"/>
    </row>
    <row r="93" spans="1:33" ht="20.25" customHeight="1">
      <c r="A93" s="10663"/>
      <c r="B93" s="10659"/>
      <c r="C93" s="10656"/>
      <c r="D93" s="10656"/>
      <c r="E93" s="10656"/>
      <c r="F93" s="10656"/>
      <c r="G93" s="10656"/>
      <c r="H93" s="10656"/>
      <c r="I93" s="10656"/>
      <c r="J93" s="10656"/>
      <c r="K93" s="10656"/>
      <c r="L93" s="10667"/>
      <c r="M93" s="10667"/>
      <c r="N93" s="10667"/>
      <c r="O93" s="10656"/>
      <c r="P93" s="10656"/>
      <c r="Q93" s="10672"/>
      <c r="R93" s="3867"/>
      <c r="S93" s="5681"/>
      <c r="T93" s="5681"/>
      <c r="U93" s="3495"/>
      <c r="V93" s="5499"/>
      <c r="W93" s="3496"/>
      <c r="X93" s="5523"/>
      <c r="Y93" s="5523"/>
      <c r="Z93" s="5523"/>
      <c r="AA93" s="5524"/>
      <c r="AB93" s="5779"/>
      <c r="AC93" s="3847"/>
      <c r="AD93" s="3496"/>
      <c r="AE93" s="3496"/>
      <c r="AF93" s="3690"/>
      <c r="AG93" s="10678"/>
    </row>
    <row r="94" spans="1:33" ht="20.25" customHeight="1">
      <c r="A94" s="10663"/>
      <c r="B94" s="10659"/>
      <c r="C94" s="10656"/>
      <c r="D94" s="10656"/>
      <c r="E94" s="10656"/>
      <c r="F94" s="10656"/>
      <c r="G94" s="10656"/>
      <c r="H94" s="10656"/>
      <c r="I94" s="10656"/>
      <c r="J94" s="10656"/>
      <c r="K94" s="10656"/>
      <c r="L94" s="10667"/>
      <c r="M94" s="10667"/>
      <c r="N94" s="10667"/>
      <c r="O94" s="10656"/>
      <c r="P94" s="10656"/>
      <c r="Q94" s="10672"/>
      <c r="R94" s="3867"/>
      <c r="S94" s="5681"/>
      <c r="T94" s="5681"/>
      <c r="U94" s="3495"/>
      <c r="V94" s="5499"/>
      <c r="W94" s="3496"/>
      <c r="X94" s="5523"/>
      <c r="Y94" s="5523"/>
      <c r="Z94" s="5523"/>
      <c r="AA94" s="5524"/>
      <c r="AB94" s="5779"/>
      <c r="AC94" s="3847"/>
      <c r="AD94" s="3496"/>
      <c r="AE94" s="3496"/>
      <c r="AF94" s="3666"/>
      <c r="AG94" s="10678"/>
    </row>
    <row r="95" spans="1:33" ht="20.25" customHeight="1">
      <c r="A95" s="10663"/>
      <c r="B95" s="10659"/>
      <c r="C95" s="10656"/>
      <c r="D95" s="10656"/>
      <c r="E95" s="10656"/>
      <c r="F95" s="10656"/>
      <c r="G95" s="10656"/>
      <c r="H95" s="10656"/>
      <c r="I95" s="10656"/>
      <c r="J95" s="10656"/>
      <c r="K95" s="10656"/>
      <c r="L95" s="10667"/>
      <c r="M95" s="10667"/>
      <c r="N95" s="10667"/>
      <c r="O95" s="10656"/>
      <c r="P95" s="10656"/>
      <c r="Q95" s="10672"/>
      <c r="R95" s="3867"/>
      <c r="S95" s="5681"/>
      <c r="T95" s="5681"/>
      <c r="U95" s="3495"/>
      <c r="V95" s="5499"/>
      <c r="W95" s="3496"/>
      <c r="X95" s="5523"/>
      <c r="Y95" s="5523"/>
      <c r="Z95" s="5523"/>
      <c r="AA95" s="5524"/>
      <c r="AB95" s="5779"/>
      <c r="AC95" s="3847"/>
      <c r="AD95" s="3496"/>
      <c r="AE95" s="3496"/>
      <c r="AF95" s="3666"/>
      <c r="AG95" s="10678"/>
    </row>
    <row r="96" spans="1:33" ht="37.5" customHeight="1">
      <c r="A96" s="10663"/>
      <c r="B96" s="10661"/>
      <c r="C96" s="10658"/>
      <c r="D96" s="10658"/>
      <c r="E96" s="10658"/>
      <c r="F96" s="10658"/>
      <c r="G96" s="10658"/>
      <c r="H96" s="10658"/>
      <c r="I96" s="10658"/>
      <c r="J96" s="10658"/>
      <c r="K96" s="10658"/>
      <c r="L96" s="10668"/>
      <c r="M96" s="10668"/>
      <c r="N96" s="10668"/>
      <c r="O96" s="10658"/>
      <c r="P96" s="10658"/>
      <c r="Q96" s="10673"/>
      <c r="R96" s="3879"/>
      <c r="S96" s="5683"/>
      <c r="T96" s="5683"/>
      <c r="U96" s="3759"/>
      <c r="V96" s="5509"/>
      <c r="W96" s="3714"/>
      <c r="X96" s="5544"/>
      <c r="Y96" s="5544"/>
      <c r="Z96" s="5544"/>
      <c r="AA96" s="5545"/>
      <c r="AB96" s="5823"/>
      <c r="AC96" s="3880"/>
      <c r="AD96" s="3714"/>
      <c r="AE96" s="3714"/>
      <c r="AF96" s="3718"/>
      <c r="AG96" s="10679"/>
    </row>
    <row r="97" spans="1:33" ht="24.75" customHeight="1">
      <c r="A97" s="10663"/>
      <c r="B97" s="10516" t="s">
        <v>127</v>
      </c>
      <c r="C97" s="10433" t="s">
        <v>128</v>
      </c>
      <c r="D97" s="10433" t="s">
        <v>129</v>
      </c>
      <c r="E97" s="10433" t="s">
        <v>2491</v>
      </c>
      <c r="F97" s="10442" t="s">
        <v>131</v>
      </c>
      <c r="G97" s="10433" t="s">
        <v>132</v>
      </c>
      <c r="H97" s="10433" t="s">
        <v>159</v>
      </c>
      <c r="I97" s="10433" t="s">
        <v>4279</v>
      </c>
      <c r="J97" s="10433" t="s">
        <v>286</v>
      </c>
      <c r="K97" s="10433" t="s">
        <v>4007</v>
      </c>
      <c r="L97" s="10676">
        <v>0</v>
      </c>
      <c r="M97" s="10676">
        <v>1</v>
      </c>
      <c r="N97" s="10676">
        <v>1</v>
      </c>
      <c r="O97" s="10433" t="s">
        <v>4280</v>
      </c>
      <c r="P97" s="10433" t="s">
        <v>4281</v>
      </c>
      <c r="Q97" s="10439" t="s">
        <v>4282</v>
      </c>
      <c r="R97" s="3885"/>
      <c r="S97" s="5684"/>
      <c r="T97" s="5684"/>
      <c r="U97" s="3762"/>
      <c r="V97" s="7445"/>
      <c r="W97" s="3894"/>
      <c r="X97" s="5530"/>
      <c r="Y97" s="5529"/>
      <c r="Z97" s="5529"/>
      <c r="AA97" s="5530"/>
      <c r="AB97" s="5780"/>
      <c r="AC97" s="3886"/>
      <c r="AD97" s="3895"/>
      <c r="AE97" s="3724"/>
      <c r="AF97" s="3724"/>
      <c r="AG97" s="10706"/>
    </row>
    <row r="98" spans="1:33" ht="24.75" customHeight="1">
      <c r="A98" s="10663"/>
      <c r="B98" s="10659"/>
      <c r="C98" s="10656"/>
      <c r="D98" s="10656"/>
      <c r="E98" s="10656"/>
      <c r="F98" s="10656"/>
      <c r="G98" s="10656"/>
      <c r="H98" s="10656"/>
      <c r="I98" s="10656"/>
      <c r="J98" s="10656"/>
      <c r="K98" s="10656"/>
      <c r="L98" s="10667"/>
      <c r="M98" s="10667"/>
      <c r="N98" s="10667"/>
      <c r="O98" s="10656"/>
      <c r="P98" s="10656"/>
      <c r="Q98" s="10672"/>
      <c r="R98" s="3868"/>
      <c r="S98" s="5681"/>
      <c r="T98" s="5681"/>
      <c r="U98" s="3495"/>
      <c r="V98" s="5499"/>
      <c r="W98" s="3496"/>
      <c r="X98" s="5523"/>
      <c r="Y98" s="5523"/>
      <c r="Z98" s="5523"/>
      <c r="AA98" s="5524"/>
      <c r="AB98" s="5779"/>
      <c r="AC98" s="3847"/>
      <c r="AD98" s="3496"/>
      <c r="AE98" s="3666"/>
      <c r="AF98" s="3666"/>
      <c r="AG98" s="10678"/>
    </row>
    <row r="99" spans="1:33" ht="24.75" customHeight="1">
      <c r="A99" s="10663"/>
      <c r="B99" s="10659"/>
      <c r="C99" s="10656"/>
      <c r="D99" s="10656"/>
      <c r="E99" s="10656"/>
      <c r="F99" s="10656"/>
      <c r="G99" s="10656"/>
      <c r="H99" s="10656"/>
      <c r="I99" s="10656"/>
      <c r="J99" s="10656"/>
      <c r="K99" s="10656"/>
      <c r="L99" s="10667"/>
      <c r="M99" s="10667"/>
      <c r="N99" s="10667"/>
      <c r="O99" s="10656"/>
      <c r="P99" s="10656"/>
      <c r="Q99" s="10672"/>
      <c r="R99" s="3867"/>
      <c r="S99" s="5681"/>
      <c r="T99" s="5681"/>
      <c r="U99" s="3495"/>
      <c r="V99" s="5499"/>
      <c r="W99" s="3496"/>
      <c r="X99" s="5523"/>
      <c r="Y99" s="5523"/>
      <c r="Z99" s="5523"/>
      <c r="AA99" s="5524"/>
      <c r="AB99" s="5779"/>
      <c r="AC99" s="3847"/>
      <c r="AD99" s="3496"/>
      <c r="AE99" s="3666"/>
      <c r="AF99" s="3666"/>
      <c r="AG99" s="10678"/>
    </row>
    <row r="100" spans="1:33" ht="24.75" customHeight="1">
      <c r="A100" s="10663"/>
      <c r="B100" s="10659"/>
      <c r="C100" s="10656"/>
      <c r="D100" s="10656"/>
      <c r="E100" s="10656"/>
      <c r="F100" s="10656"/>
      <c r="G100" s="10656"/>
      <c r="H100" s="10656"/>
      <c r="I100" s="10656"/>
      <c r="J100" s="10656"/>
      <c r="K100" s="10656"/>
      <c r="L100" s="10667"/>
      <c r="M100" s="10667"/>
      <c r="N100" s="10667"/>
      <c r="O100" s="10656"/>
      <c r="P100" s="10656"/>
      <c r="Q100" s="10672"/>
      <c r="R100" s="3867"/>
      <c r="S100" s="5681"/>
      <c r="T100" s="5681"/>
      <c r="U100" s="3495"/>
      <c r="V100" s="5499"/>
      <c r="W100" s="3496"/>
      <c r="X100" s="5523"/>
      <c r="Y100" s="5523"/>
      <c r="Z100" s="5523"/>
      <c r="AA100" s="5524"/>
      <c r="AB100" s="5779"/>
      <c r="AC100" s="3847"/>
      <c r="AD100" s="3496"/>
      <c r="AE100" s="3666"/>
      <c r="AF100" s="3666"/>
      <c r="AG100" s="10678"/>
    </row>
    <row r="101" spans="1:33" ht="24.75" customHeight="1">
      <c r="A101" s="10663"/>
      <c r="B101" s="10660"/>
      <c r="C101" s="10657"/>
      <c r="D101" s="10657"/>
      <c r="E101" s="10657"/>
      <c r="F101" s="10657"/>
      <c r="G101" s="10657"/>
      <c r="H101" s="10657"/>
      <c r="I101" s="10657"/>
      <c r="J101" s="10657"/>
      <c r="K101" s="10657"/>
      <c r="L101" s="10674"/>
      <c r="M101" s="10674"/>
      <c r="N101" s="10674"/>
      <c r="O101" s="10657"/>
      <c r="P101" s="10657"/>
      <c r="Q101" s="10675"/>
      <c r="R101" s="3887"/>
      <c r="S101" s="5696"/>
      <c r="T101" s="5696"/>
      <c r="U101" s="3557"/>
      <c r="V101" s="5503"/>
      <c r="W101" s="3545"/>
      <c r="X101" s="5532"/>
      <c r="Y101" s="5532"/>
      <c r="Z101" s="5532"/>
      <c r="AA101" s="5533"/>
      <c r="AB101" s="5828"/>
      <c r="AC101" s="3888"/>
      <c r="AD101" s="3545"/>
      <c r="AE101" s="3707"/>
      <c r="AF101" s="3707"/>
      <c r="AG101" s="10679"/>
    </row>
    <row r="102" spans="1:33">
      <c r="A102" s="10663"/>
      <c r="B102" s="10512" t="s">
        <v>127</v>
      </c>
      <c r="C102" s="10444" t="s">
        <v>128</v>
      </c>
      <c r="D102" s="10444" t="s">
        <v>129</v>
      </c>
      <c r="E102" s="10444" t="s">
        <v>2491</v>
      </c>
      <c r="F102" s="10451" t="s">
        <v>131</v>
      </c>
      <c r="G102" s="10444" t="s">
        <v>132</v>
      </c>
      <c r="H102" s="10444" t="s">
        <v>159</v>
      </c>
      <c r="I102" s="10444" t="s">
        <v>4283</v>
      </c>
      <c r="J102" s="10444" t="s">
        <v>1378</v>
      </c>
      <c r="K102" s="10444" t="s">
        <v>4284</v>
      </c>
      <c r="L102" s="10666">
        <v>150</v>
      </c>
      <c r="M102" s="10666">
        <v>220</v>
      </c>
      <c r="N102" s="10666">
        <v>160</v>
      </c>
      <c r="O102" s="10444" t="s">
        <v>4285</v>
      </c>
      <c r="P102" s="10444" t="s">
        <v>4286</v>
      </c>
      <c r="Q102" s="10449" t="s">
        <v>4287</v>
      </c>
      <c r="R102" s="3896"/>
      <c r="S102" s="5690"/>
      <c r="T102" s="5690"/>
      <c r="U102" s="4659"/>
      <c r="V102" s="5504"/>
      <c r="W102" s="3658"/>
      <c r="X102" s="5534"/>
      <c r="Y102" s="5534"/>
      <c r="Z102" s="5534"/>
      <c r="AA102" s="5535"/>
      <c r="AB102" s="5822"/>
      <c r="AC102" s="3893"/>
      <c r="AD102" s="3658"/>
      <c r="AE102" s="3660"/>
      <c r="AF102" s="3660"/>
      <c r="AG102" s="10525" t="s">
        <v>4288</v>
      </c>
    </row>
    <row r="103" spans="1:33">
      <c r="A103" s="10663"/>
      <c r="B103" s="10659"/>
      <c r="C103" s="10656"/>
      <c r="D103" s="10656"/>
      <c r="E103" s="10656"/>
      <c r="F103" s="10656"/>
      <c r="G103" s="10656"/>
      <c r="H103" s="10656"/>
      <c r="I103" s="10656"/>
      <c r="J103" s="10656"/>
      <c r="K103" s="10656"/>
      <c r="L103" s="10667"/>
      <c r="M103" s="10667"/>
      <c r="N103" s="10667"/>
      <c r="O103" s="10656"/>
      <c r="P103" s="10656"/>
      <c r="Q103" s="10672"/>
      <c r="R103" s="3867"/>
      <c r="S103" s="5681"/>
      <c r="T103" s="5681"/>
      <c r="U103" s="3495"/>
      <c r="V103" s="5499"/>
      <c r="W103" s="3496"/>
      <c r="X103" s="5523"/>
      <c r="Y103" s="5523"/>
      <c r="Z103" s="5523"/>
      <c r="AA103" s="5524"/>
      <c r="AB103" s="5779"/>
      <c r="AC103" s="3847"/>
      <c r="AD103" s="3496"/>
      <c r="AE103" s="3666"/>
      <c r="AF103" s="3666"/>
      <c r="AG103" s="10678"/>
    </row>
    <row r="104" spans="1:33">
      <c r="A104" s="10663"/>
      <c r="B104" s="10659"/>
      <c r="C104" s="10656"/>
      <c r="D104" s="10656"/>
      <c r="E104" s="10656"/>
      <c r="F104" s="10656"/>
      <c r="G104" s="10656"/>
      <c r="H104" s="10656"/>
      <c r="I104" s="10656"/>
      <c r="J104" s="10656"/>
      <c r="K104" s="10656"/>
      <c r="L104" s="10667"/>
      <c r="M104" s="10667"/>
      <c r="N104" s="10667"/>
      <c r="O104" s="10656"/>
      <c r="P104" s="10656"/>
      <c r="Q104" s="10672"/>
      <c r="R104" s="3867"/>
      <c r="S104" s="5681"/>
      <c r="T104" s="5681"/>
      <c r="U104" s="3495"/>
      <c r="V104" s="5499"/>
      <c r="W104" s="3496"/>
      <c r="X104" s="5523"/>
      <c r="Y104" s="5523"/>
      <c r="Z104" s="5523"/>
      <c r="AA104" s="5524"/>
      <c r="AB104" s="5779"/>
      <c r="AC104" s="3847"/>
      <c r="AD104" s="3496"/>
      <c r="AE104" s="3666"/>
      <c r="AF104" s="3666"/>
      <c r="AG104" s="10678"/>
    </row>
    <row r="105" spans="1:33">
      <c r="A105" s="10663"/>
      <c r="B105" s="10659"/>
      <c r="C105" s="10656"/>
      <c r="D105" s="10656"/>
      <c r="E105" s="10656"/>
      <c r="F105" s="10656"/>
      <c r="G105" s="10656"/>
      <c r="H105" s="10656"/>
      <c r="I105" s="10656"/>
      <c r="J105" s="10656"/>
      <c r="K105" s="10656"/>
      <c r="L105" s="10667"/>
      <c r="M105" s="10667"/>
      <c r="N105" s="10667"/>
      <c r="O105" s="10656"/>
      <c r="P105" s="10656"/>
      <c r="Q105" s="10672"/>
      <c r="R105" s="3867"/>
      <c r="S105" s="5681"/>
      <c r="T105" s="5681"/>
      <c r="U105" s="3495"/>
      <c r="V105" s="5499"/>
      <c r="W105" s="3496"/>
      <c r="X105" s="5523"/>
      <c r="Y105" s="5523"/>
      <c r="Z105" s="5523"/>
      <c r="AA105" s="5524"/>
      <c r="AB105" s="5779"/>
      <c r="AC105" s="3847"/>
      <c r="AD105" s="3496"/>
      <c r="AE105" s="3666"/>
      <c r="AF105" s="3666"/>
      <c r="AG105" s="10678"/>
    </row>
    <row r="106" spans="1:33" ht="60" customHeight="1">
      <c r="A106" s="10663"/>
      <c r="B106" s="10660"/>
      <c r="C106" s="10657"/>
      <c r="D106" s="10657"/>
      <c r="E106" s="10657"/>
      <c r="F106" s="10657"/>
      <c r="G106" s="10657"/>
      <c r="H106" s="10657"/>
      <c r="I106" s="10657"/>
      <c r="J106" s="10657"/>
      <c r="K106" s="10657"/>
      <c r="L106" s="10674"/>
      <c r="M106" s="10674"/>
      <c r="N106" s="10674"/>
      <c r="O106" s="10657"/>
      <c r="P106" s="10657"/>
      <c r="Q106" s="10675"/>
      <c r="R106" s="3879"/>
      <c r="S106" s="5683"/>
      <c r="T106" s="5683"/>
      <c r="U106" s="3759"/>
      <c r="V106" s="5509"/>
      <c r="W106" s="3714"/>
      <c r="X106" s="5544"/>
      <c r="Y106" s="5544"/>
      <c r="Z106" s="5544"/>
      <c r="AA106" s="5545"/>
      <c r="AB106" s="5823"/>
      <c r="AC106" s="3880"/>
      <c r="AD106" s="3714"/>
      <c r="AE106" s="3718"/>
      <c r="AF106" s="3718"/>
      <c r="AG106" s="10680"/>
    </row>
    <row r="107" spans="1:33" s="6048" customFormat="1" ht="22.5" customHeight="1" thickBot="1">
      <c r="A107" s="10664"/>
      <c r="B107" s="10699"/>
      <c r="C107" s="10700"/>
      <c r="D107" s="10700"/>
      <c r="E107" s="10700"/>
      <c r="F107" s="10700"/>
      <c r="G107" s="10700"/>
      <c r="H107" s="10700"/>
      <c r="I107" s="10700"/>
      <c r="J107" s="10700"/>
      <c r="K107" s="10700"/>
      <c r="L107" s="10700"/>
      <c r="M107" s="10700"/>
      <c r="N107" s="10701"/>
      <c r="O107" s="6124"/>
      <c r="P107" s="6124"/>
      <c r="Q107" s="6125"/>
      <c r="R107" s="10681" t="s">
        <v>4289</v>
      </c>
      <c r="S107" s="10689"/>
      <c r="T107" s="10689"/>
      <c r="U107" s="10689"/>
      <c r="V107" s="10689"/>
      <c r="W107" s="10689"/>
      <c r="X107" s="10689"/>
      <c r="Y107" s="10690"/>
      <c r="Z107" s="6122" t="s">
        <v>292</v>
      </c>
      <c r="AA107" s="7462">
        <f>SUM(AA9:AA106)</f>
        <v>225911.73826666668</v>
      </c>
      <c r="AB107" s="7449"/>
      <c r="AC107" s="6126"/>
      <c r="AD107" s="6122"/>
      <c r="AE107" s="6122"/>
      <c r="AF107" s="6122"/>
      <c r="AG107" s="6123"/>
    </row>
    <row r="108" spans="1:33" ht="44.25" customHeight="1">
      <c r="A108" s="10662" t="s">
        <v>4290</v>
      </c>
      <c r="B108" s="10512" t="s">
        <v>183</v>
      </c>
      <c r="C108" s="10444" t="s">
        <v>227</v>
      </c>
      <c r="D108" s="10444" t="s">
        <v>228</v>
      </c>
      <c r="E108" s="10444" t="s">
        <v>229</v>
      </c>
      <c r="F108" s="10451" t="s">
        <v>230</v>
      </c>
      <c r="G108" s="10444" t="s">
        <v>132</v>
      </c>
      <c r="H108" s="10444" t="s">
        <v>133</v>
      </c>
      <c r="I108" s="10444" t="s">
        <v>4291</v>
      </c>
      <c r="J108" s="10444" t="s">
        <v>4292</v>
      </c>
      <c r="K108" s="10444" t="s">
        <v>4293</v>
      </c>
      <c r="L108" s="10666">
        <v>1</v>
      </c>
      <c r="M108" s="10666">
        <v>1</v>
      </c>
      <c r="N108" s="10666">
        <v>1</v>
      </c>
      <c r="O108" s="10444" t="s">
        <v>4294</v>
      </c>
      <c r="P108" s="10444" t="s">
        <v>4295</v>
      </c>
      <c r="Q108" s="10449" t="s">
        <v>4296</v>
      </c>
      <c r="R108" s="3892" t="s">
        <v>79</v>
      </c>
      <c r="S108" s="5689">
        <v>531407</v>
      </c>
      <c r="T108" s="5689"/>
      <c r="U108" s="3758" t="s">
        <v>40</v>
      </c>
      <c r="V108" s="5504"/>
      <c r="W108" s="3658"/>
      <c r="X108" s="5534"/>
      <c r="Y108" s="5534"/>
      <c r="Z108" s="5534"/>
      <c r="AA108" s="5535">
        <f>SUM($Z$109:$Z$111)</f>
        <v>109.76</v>
      </c>
      <c r="AB108" s="5822" t="s">
        <v>25</v>
      </c>
      <c r="AC108" s="3893"/>
      <c r="AD108" s="3658"/>
      <c r="AE108" s="3660"/>
      <c r="AF108" s="3660"/>
      <c r="AG108" s="10464"/>
    </row>
    <row r="109" spans="1:33" ht="44.25" customHeight="1">
      <c r="A109" s="10663"/>
      <c r="B109" s="10659"/>
      <c r="C109" s="10656"/>
      <c r="D109" s="10656"/>
      <c r="E109" s="10656"/>
      <c r="F109" s="10656"/>
      <c r="G109" s="10656"/>
      <c r="H109" s="10656"/>
      <c r="I109" s="10656"/>
      <c r="J109" s="10656"/>
      <c r="K109" s="10656"/>
      <c r="L109" s="10667"/>
      <c r="M109" s="10667"/>
      <c r="N109" s="10667"/>
      <c r="O109" s="10656"/>
      <c r="P109" s="10656"/>
      <c r="Q109" s="10672"/>
      <c r="R109" s="3867"/>
      <c r="S109" s="5711"/>
      <c r="T109" s="5681">
        <v>452700024</v>
      </c>
      <c r="U109" s="3495" t="s">
        <v>4297</v>
      </c>
      <c r="V109" s="5499">
        <v>1</v>
      </c>
      <c r="W109" s="3668" t="s">
        <v>180</v>
      </c>
      <c r="X109" s="5523">
        <v>98</v>
      </c>
      <c r="Y109" s="5523">
        <f t="shared" ref="Y109" si="4">+V109*X109</f>
        <v>98</v>
      </c>
      <c r="Z109" s="5523">
        <f t="shared" ref="Z109" si="5">+Y109*1.12</f>
        <v>109.76</v>
      </c>
      <c r="AA109" s="5524"/>
      <c r="AB109" s="5779"/>
      <c r="AC109" s="3847"/>
      <c r="AD109" s="3496"/>
      <c r="AE109" s="3666" t="s">
        <v>153</v>
      </c>
      <c r="AF109" s="3666"/>
      <c r="AG109" s="10678"/>
    </row>
    <row r="110" spans="1:33" ht="44.25" customHeight="1">
      <c r="A110" s="10663"/>
      <c r="B110" s="10659"/>
      <c r="C110" s="10656"/>
      <c r="D110" s="10656"/>
      <c r="E110" s="10656"/>
      <c r="F110" s="10656"/>
      <c r="G110" s="10656"/>
      <c r="H110" s="10656"/>
      <c r="I110" s="10656"/>
      <c r="J110" s="10656"/>
      <c r="K110" s="10656"/>
      <c r="L110" s="10667"/>
      <c r="M110" s="10667"/>
      <c r="N110" s="10667"/>
      <c r="O110" s="10656"/>
      <c r="P110" s="10656"/>
      <c r="Q110" s="10672"/>
      <c r="R110" s="3867"/>
      <c r="S110" s="5711"/>
      <c r="T110" s="5681"/>
      <c r="U110" s="3495"/>
      <c r="V110" s="5499"/>
      <c r="W110" s="3496"/>
      <c r="X110" s="5523"/>
      <c r="Y110" s="5523"/>
      <c r="Z110" s="5523"/>
      <c r="AA110" s="5524"/>
      <c r="AB110" s="5779"/>
      <c r="AC110" s="3847"/>
      <c r="AD110" s="3496"/>
      <c r="AE110" s="3666"/>
      <c r="AF110" s="3666"/>
      <c r="AG110" s="10678"/>
    </row>
    <row r="111" spans="1:33" ht="44.25" customHeight="1">
      <c r="A111" s="10663"/>
      <c r="B111" s="10659"/>
      <c r="C111" s="10656"/>
      <c r="D111" s="10656"/>
      <c r="E111" s="10656"/>
      <c r="F111" s="10656"/>
      <c r="G111" s="10656"/>
      <c r="H111" s="10656"/>
      <c r="I111" s="10656"/>
      <c r="J111" s="10656"/>
      <c r="K111" s="10656"/>
      <c r="L111" s="10667"/>
      <c r="M111" s="10667"/>
      <c r="N111" s="10667"/>
      <c r="O111" s="10656"/>
      <c r="P111" s="10656"/>
      <c r="Q111" s="10672"/>
      <c r="R111" s="3868"/>
      <c r="S111" s="7433"/>
      <c r="T111" s="5682"/>
      <c r="U111" s="3495"/>
      <c r="V111" s="5499"/>
      <c r="W111" s="3496"/>
      <c r="X111" s="5523"/>
      <c r="Y111" s="5523"/>
      <c r="Z111" s="5523"/>
      <c r="AA111" s="5524"/>
      <c r="AB111" s="5779"/>
      <c r="AC111" s="3847"/>
      <c r="AD111" s="3496"/>
      <c r="AE111" s="3666"/>
      <c r="AF111" s="3666"/>
      <c r="AG111" s="10678"/>
    </row>
    <row r="112" spans="1:33" ht="44.25" customHeight="1">
      <c r="A112" s="10663"/>
      <c r="B112" s="10661"/>
      <c r="C112" s="10658"/>
      <c r="D112" s="10658"/>
      <c r="E112" s="10658"/>
      <c r="F112" s="10658"/>
      <c r="G112" s="10658"/>
      <c r="H112" s="10658"/>
      <c r="I112" s="10658"/>
      <c r="J112" s="10658"/>
      <c r="K112" s="10658"/>
      <c r="L112" s="10668"/>
      <c r="M112" s="10668"/>
      <c r="N112" s="10668"/>
      <c r="O112" s="10658"/>
      <c r="P112" s="10658"/>
      <c r="Q112" s="10673"/>
      <c r="R112" s="3879"/>
      <c r="S112" s="6972"/>
      <c r="T112" s="5683"/>
      <c r="U112" s="3759"/>
      <c r="V112" s="5509"/>
      <c r="W112" s="3714"/>
      <c r="X112" s="5544"/>
      <c r="Y112" s="5544"/>
      <c r="Z112" s="5544"/>
      <c r="AA112" s="5545"/>
      <c r="AB112" s="5823"/>
      <c r="AC112" s="3880"/>
      <c r="AD112" s="3714"/>
      <c r="AE112" s="3718"/>
      <c r="AF112" s="3718"/>
      <c r="AG112" s="10679"/>
    </row>
    <row r="113" spans="1:33">
      <c r="A113" s="10663"/>
      <c r="B113" s="10516" t="s">
        <v>183</v>
      </c>
      <c r="C113" s="10433" t="s">
        <v>227</v>
      </c>
      <c r="D113" s="10433" t="s">
        <v>228</v>
      </c>
      <c r="E113" s="10433" t="s">
        <v>229</v>
      </c>
      <c r="F113" s="10442" t="s">
        <v>230</v>
      </c>
      <c r="G113" s="10433" t="s">
        <v>132</v>
      </c>
      <c r="H113" s="10433" t="s">
        <v>133</v>
      </c>
      <c r="I113" s="10433" t="s">
        <v>4298</v>
      </c>
      <c r="J113" s="10433" t="s">
        <v>4299</v>
      </c>
      <c r="K113" s="10433" t="s">
        <v>4300</v>
      </c>
      <c r="L113" s="10676">
        <v>4</v>
      </c>
      <c r="M113" s="10695" t="s">
        <v>1967</v>
      </c>
      <c r="N113" s="10695" t="s">
        <v>1967</v>
      </c>
      <c r="O113" s="10433" t="s">
        <v>4301</v>
      </c>
      <c r="P113" s="10433" t="s">
        <v>4302</v>
      </c>
      <c r="Q113" s="10439" t="s">
        <v>4303</v>
      </c>
      <c r="R113" s="3885"/>
      <c r="S113" s="7434"/>
      <c r="T113" s="5684"/>
      <c r="U113" s="3762"/>
      <c r="V113" s="5502"/>
      <c r="W113" s="3709"/>
      <c r="X113" s="5529"/>
      <c r="Y113" s="5529"/>
      <c r="Z113" s="5529"/>
      <c r="AA113" s="5530"/>
      <c r="AB113" s="5780"/>
      <c r="AC113" s="3886"/>
      <c r="AD113" s="3709"/>
      <c r="AE113" s="3724"/>
      <c r="AF113" s="3724"/>
      <c r="AG113" s="10525"/>
    </row>
    <row r="114" spans="1:33">
      <c r="A114" s="10663"/>
      <c r="B114" s="10659"/>
      <c r="C114" s="10656"/>
      <c r="D114" s="10656"/>
      <c r="E114" s="10656"/>
      <c r="F114" s="10656"/>
      <c r="G114" s="10656"/>
      <c r="H114" s="10656"/>
      <c r="I114" s="10656"/>
      <c r="J114" s="10656"/>
      <c r="K114" s="10656"/>
      <c r="L114" s="10667"/>
      <c r="M114" s="10667"/>
      <c r="N114" s="10667"/>
      <c r="O114" s="10656"/>
      <c r="P114" s="10656"/>
      <c r="Q114" s="10672"/>
      <c r="R114" s="3867"/>
      <c r="S114" s="5711"/>
      <c r="T114" s="5681"/>
      <c r="U114" s="3495"/>
      <c r="V114" s="5499"/>
      <c r="W114" s="3496"/>
      <c r="X114" s="5523"/>
      <c r="Y114" s="5523"/>
      <c r="Z114" s="5523"/>
      <c r="AA114" s="5524"/>
      <c r="AB114" s="5779"/>
      <c r="AC114" s="3847"/>
      <c r="AD114" s="3496"/>
      <c r="AE114" s="3666"/>
      <c r="AF114" s="3666"/>
      <c r="AG114" s="10678"/>
    </row>
    <row r="115" spans="1:33">
      <c r="A115" s="10663"/>
      <c r="B115" s="10659"/>
      <c r="C115" s="10656"/>
      <c r="D115" s="10656"/>
      <c r="E115" s="10656"/>
      <c r="F115" s="10656"/>
      <c r="G115" s="10656"/>
      <c r="H115" s="10656"/>
      <c r="I115" s="10656"/>
      <c r="J115" s="10656"/>
      <c r="K115" s="10656"/>
      <c r="L115" s="10667"/>
      <c r="M115" s="10667"/>
      <c r="N115" s="10667"/>
      <c r="O115" s="10656"/>
      <c r="P115" s="10656"/>
      <c r="Q115" s="10672"/>
      <c r="R115" s="3867"/>
      <c r="S115" s="5711"/>
      <c r="T115" s="5681"/>
      <c r="U115" s="3495"/>
      <c r="V115" s="5499"/>
      <c r="W115" s="3496"/>
      <c r="X115" s="5523"/>
      <c r="Y115" s="5523"/>
      <c r="Z115" s="5523"/>
      <c r="AA115" s="5524"/>
      <c r="AB115" s="5779"/>
      <c r="AC115" s="3847"/>
      <c r="AD115" s="3496"/>
      <c r="AE115" s="3666"/>
      <c r="AF115" s="3666"/>
      <c r="AG115" s="10678"/>
    </row>
    <row r="116" spans="1:33">
      <c r="A116" s="10663"/>
      <c r="B116" s="10659"/>
      <c r="C116" s="10656"/>
      <c r="D116" s="10656"/>
      <c r="E116" s="10656"/>
      <c r="F116" s="10656"/>
      <c r="G116" s="10656"/>
      <c r="H116" s="10656"/>
      <c r="I116" s="10656"/>
      <c r="J116" s="10656"/>
      <c r="K116" s="10656"/>
      <c r="L116" s="10667"/>
      <c r="M116" s="10667"/>
      <c r="N116" s="10667"/>
      <c r="O116" s="10656"/>
      <c r="P116" s="10656"/>
      <c r="Q116" s="10672"/>
      <c r="R116" s="3868"/>
      <c r="S116" s="7433"/>
      <c r="T116" s="5682"/>
      <c r="U116" s="3495"/>
      <c r="V116" s="5499"/>
      <c r="W116" s="3496"/>
      <c r="X116" s="5523"/>
      <c r="Y116" s="5523"/>
      <c r="Z116" s="5523"/>
      <c r="AA116" s="5524"/>
      <c r="AB116" s="5779"/>
      <c r="AC116" s="3847"/>
      <c r="AD116" s="3496"/>
      <c r="AE116" s="3666"/>
      <c r="AF116" s="3666"/>
      <c r="AG116" s="10678"/>
    </row>
    <row r="117" spans="1:33" ht="36.75" customHeight="1">
      <c r="A117" s="10663"/>
      <c r="B117" s="10660"/>
      <c r="C117" s="10657"/>
      <c r="D117" s="10657"/>
      <c r="E117" s="10657"/>
      <c r="F117" s="10657"/>
      <c r="G117" s="10657"/>
      <c r="H117" s="10657"/>
      <c r="I117" s="10657"/>
      <c r="J117" s="10657"/>
      <c r="K117" s="10657"/>
      <c r="L117" s="10674"/>
      <c r="M117" s="10674"/>
      <c r="N117" s="10674"/>
      <c r="O117" s="10657"/>
      <c r="P117" s="10657"/>
      <c r="Q117" s="10675"/>
      <c r="R117" s="3887"/>
      <c r="S117" s="5740"/>
      <c r="T117" s="5696"/>
      <c r="U117" s="3557"/>
      <c r="V117" s="5503"/>
      <c r="W117" s="3545"/>
      <c r="X117" s="5532"/>
      <c r="Y117" s="5532"/>
      <c r="Z117" s="5532"/>
      <c r="AA117" s="5533"/>
      <c r="AB117" s="5828"/>
      <c r="AC117" s="3888"/>
      <c r="AD117" s="3545"/>
      <c r="AE117" s="3707"/>
      <c r="AF117" s="3707"/>
      <c r="AG117" s="10680"/>
    </row>
    <row r="118" spans="1:33" ht="28.5" customHeight="1">
      <c r="A118" s="10663"/>
      <c r="B118" s="10512" t="s">
        <v>183</v>
      </c>
      <c r="C118" s="10444" t="s">
        <v>227</v>
      </c>
      <c r="D118" s="10444" t="s">
        <v>490</v>
      </c>
      <c r="E118" s="10444" t="s">
        <v>1484</v>
      </c>
      <c r="F118" s="10451" t="s">
        <v>230</v>
      </c>
      <c r="G118" s="10444" t="s">
        <v>231</v>
      </c>
      <c r="H118" s="10444" t="s">
        <v>159</v>
      </c>
      <c r="I118" s="10444" t="s">
        <v>4304</v>
      </c>
      <c r="J118" s="10444" t="s">
        <v>4305</v>
      </c>
      <c r="K118" s="10444" t="s">
        <v>4306</v>
      </c>
      <c r="L118" s="10666">
        <v>2</v>
      </c>
      <c r="M118" s="10696" t="s">
        <v>4307</v>
      </c>
      <c r="N118" s="10696" t="s">
        <v>4307</v>
      </c>
      <c r="O118" s="10444" t="s">
        <v>4308</v>
      </c>
      <c r="P118" s="10444" t="s">
        <v>4309</v>
      </c>
      <c r="Q118" s="10449" t="s">
        <v>4310</v>
      </c>
      <c r="R118" s="3892"/>
      <c r="S118" s="7435"/>
      <c r="T118" s="5694"/>
      <c r="U118" s="3825"/>
      <c r="V118" s="5516"/>
      <c r="W118" s="3721"/>
      <c r="X118" s="5571"/>
      <c r="Y118" s="5571"/>
      <c r="Z118" s="5571"/>
      <c r="AA118" s="5576"/>
      <c r="AB118" s="5827"/>
      <c r="AC118" s="3884"/>
      <c r="AD118" s="3721"/>
      <c r="AE118" s="3722"/>
      <c r="AF118" s="3722"/>
      <c r="AG118" s="10697"/>
    </row>
    <row r="119" spans="1:33" ht="28.5" customHeight="1">
      <c r="A119" s="10663"/>
      <c r="B119" s="10659"/>
      <c r="C119" s="10656"/>
      <c r="D119" s="10656"/>
      <c r="E119" s="10656"/>
      <c r="F119" s="10656"/>
      <c r="G119" s="10656"/>
      <c r="H119" s="10656"/>
      <c r="I119" s="10656"/>
      <c r="J119" s="10656"/>
      <c r="K119" s="10656"/>
      <c r="L119" s="10667"/>
      <c r="M119" s="10667"/>
      <c r="N119" s="10667"/>
      <c r="O119" s="10656"/>
      <c r="P119" s="10656"/>
      <c r="Q119" s="10672"/>
      <c r="R119" s="3867"/>
      <c r="S119" s="7436"/>
      <c r="T119" s="5686"/>
      <c r="U119" s="3813"/>
      <c r="V119" s="5500"/>
      <c r="W119" s="3504"/>
      <c r="X119" s="5525"/>
      <c r="Y119" s="5525"/>
      <c r="Z119" s="5525"/>
      <c r="AA119" s="5526"/>
      <c r="AB119" s="5825"/>
      <c r="AC119" s="3848"/>
      <c r="AD119" s="3504"/>
      <c r="AE119" s="3505"/>
      <c r="AF119" s="3505"/>
      <c r="AG119" s="10693"/>
    </row>
    <row r="120" spans="1:33" ht="28.5" customHeight="1">
      <c r="A120" s="10663"/>
      <c r="B120" s="10659"/>
      <c r="C120" s="10656"/>
      <c r="D120" s="10656"/>
      <c r="E120" s="10656"/>
      <c r="F120" s="10656"/>
      <c r="G120" s="10656"/>
      <c r="H120" s="10656"/>
      <c r="I120" s="10656"/>
      <c r="J120" s="10656"/>
      <c r="K120" s="10656"/>
      <c r="L120" s="10667"/>
      <c r="M120" s="10667"/>
      <c r="N120" s="10667"/>
      <c r="O120" s="10656"/>
      <c r="P120" s="10656"/>
      <c r="Q120" s="10672"/>
      <c r="R120" s="3867"/>
      <c r="S120" s="7436"/>
      <c r="T120" s="5686"/>
      <c r="U120" s="3813"/>
      <c r="V120" s="5500"/>
      <c r="W120" s="3504"/>
      <c r="X120" s="5525"/>
      <c r="Y120" s="5525"/>
      <c r="Z120" s="5525"/>
      <c r="AA120" s="5526"/>
      <c r="AB120" s="5825"/>
      <c r="AC120" s="3848"/>
      <c r="AD120" s="3504"/>
      <c r="AE120" s="3505"/>
      <c r="AF120" s="3505"/>
      <c r="AG120" s="10693"/>
    </row>
    <row r="121" spans="1:33" ht="28.5" customHeight="1">
      <c r="A121" s="10663"/>
      <c r="B121" s="10659"/>
      <c r="C121" s="10656"/>
      <c r="D121" s="10656"/>
      <c r="E121" s="10656"/>
      <c r="F121" s="10656"/>
      <c r="G121" s="10656"/>
      <c r="H121" s="10656"/>
      <c r="I121" s="10656"/>
      <c r="J121" s="10656"/>
      <c r="K121" s="10656"/>
      <c r="L121" s="10667"/>
      <c r="M121" s="10667"/>
      <c r="N121" s="10667"/>
      <c r="O121" s="10656"/>
      <c r="P121" s="10656"/>
      <c r="Q121" s="10672"/>
      <c r="R121" s="3868"/>
      <c r="S121" s="7437"/>
      <c r="T121" s="5687"/>
      <c r="U121" s="3813"/>
      <c r="V121" s="5500"/>
      <c r="W121" s="3504"/>
      <c r="X121" s="5525"/>
      <c r="Y121" s="5525"/>
      <c r="Z121" s="5525"/>
      <c r="AA121" s="5526"/>
      <c r="AB121" s="5825"/>
      <c r="AC121" s="3848"/>
      <c r="AD121" s="3504"/>
      <c r="AE121" s="3505"/>
      <c r="AF121" s="3505"/>
      <c r="AG121" s="10693"/>
    </row>
    <row r="122" spans="1:33" ht="28.5" customHeight="1">
      <c r="A122" s="10663"/>
      <c r="B122" s="10661"/>
      <c r="C122" s="10658"/>
      <c r="D122" s="10658"/>
      <c r="E122" s="10658"/>
      <c r="F122" s="10658"/>
      <c r="G122" s="10658"/>
      <c r="H122" s="10658"/>
      <c r="I122" s="10658"/>
      <c r="J122" s="10658"/>
      <c r="K122" s="10658"/>
      <c r="L122" s="10668"/>
      <c r="M122" s="10668"/>
      <c r="N122" s="10668"/>
      <c r="O122" s="10658"/>
      <c r="P122" s="10658"/>
      <c r="Q122" s="10673"/>
      <c r="R122" s="3879"/>
      <c r="S122" s="7438"/>
      <c r="T122" s="7368"/>
      <c r="U122" s="3808"/>
      <c r="V122" s="5501"/>
      <c r="W122" s="3727"/>
      <c r="X122" s="5527"/>
      <c r="Y122" s="5527"/>
      <c r="Z122" s="5527"/>
      <c r="AA122" s="5528"/>
      <c r="AB122" s="5838"/>
      <c r="AC122" s="3891"/>
      <c r="AD122" s="3727"/>
      <c r="AE122" s="3507"/>
      <c r="AF122" s="3507"/>
      <c r="AG122" s="10698"/>
    </row>
    <row r="123" spans="1:33" ht="25.5">
      <c r="A123" s="10663"/>
      <c r="B123" s="10516" t="s">
        <v>183</v>
      </c>
      <c r="C123" s="10433" t="s">
        <v>227</v>
      </c>
      <c r="D123" s="10433" t="s">
        <v>228</v>
      </c>
      <c r="E123" s="10433" t="s">
        <v>229</v>
      </c>
      <c r="F123" s="10442" t="s">
        <v>230</v>
      </c>
      <c r="G123" s="10433" t="s">
        <v>132</v>
      </c>
      <c r="H123" s="10433" t="s">
        <v>159</v>
      </c>
      <c r="I123" s="10433" t="s">
        <v>4311</v>
      </c>
      <c r="J123" s="10433" t="s">
        <v>4312</v>
      </c>
      <c r="K123" s="10433" t="s">
        <v>4313</v>
      </c>
      <c r="L123" s="10676">
        <v>0</v>
      </c>
      <c r="M123" s="10676">
        <v>1</v>
      </c>
      <c r="N123" s="10676">
        <v>1</v>
      </c>
      <c r="O123" s="10433" t="s">
        <v>4314</v>
      </c>
      <c r="P123" s="10433" t="s">
        <v>4315</v>
      </c>
      <c r="Q123" s="10439" t="s">
        <v>4316</v>
      </c>
      <c r="R123" s="3885" t="s">
        <v>80</v>
      </c>
      <c r="S123" s="5684">
        <v>530404</v>
      </c>
      <c r="T123" s="5684"/>
      <c r="U123" s="3762" t="s">
        <v>505</v>
      </c>
      <c r="V123" s="5502"/>
      <c r="W123" s="3709"/>
      <c r="X123" s="5529"/>
      <c r="Y123" s="5529"/>
      <c r="Z123" s="5529"/>
      <c r="AA123" s="8083">
        <f>SUM($Z$125+$Z$124)</f>
        <v>11000</v>
      </c>
      <c r="AB123" s="5780" t="s">
        <v>18</v>
      </c>
      <c r="AC123" s="3876"/>
      <c r="AD123" s="2930"/>
      <c r="AE123" s="3710"/>
      <c r="AF123" s="3710"/>
      <c r="AG123" s="10692" t="s">
        <v>4317</v>
      </c>
    </row>
    <row r="124" spans="1:33" ht="16.5">
      <c r="A124" s="10663"/>
      <c r="B124" s="10659"/>
      <c r="C124" s="10656"/>
      <c r="D124" s="10656"/>
      <c r="E124" s="10656"/>
      <c r="F124" s="10656"/>
      <c r="G124" s="10656"/>
      <c r="H124" s="10656"/>
      <c r="I124" s="10656"/>
      <c r="J124" s="10656"/>
      <c r="K124" s="10656"/>
      <c r="L124" s="10667"/>
      <c r="M124" s="10667"/>
      <c r="N124" s="10667"/>
      <c r="O124" s="10656"/>
      <c r="P124" s="10656"/>
      <c r="Q124" s="10672"/>
      <c r="R124" s="3868"/>
      <c r="S124" s="5681"/>
      <c r="T124" s="5681"/>
      <c r="U124" s="3495"/>
      <c r="V124" s="5499"/>
      <c r="W124" s="3668"/>
      <c r="X124" s="5523"/>
      <c r="Y124" s="5523"/>
      <c r="Z124" s="5523"/>
      <c r="AA124" s="5524"/>
      <c r="AB124" s="5779"/>
      <c r="AC124" s="3848"/>
      <c r="AD124" s="3504"/>
      <c r="AE124" s="3505" t="s">
        <v>153</v>
      </c>
      <c r="AF124" s="3505"/>
      <c r="AG124" s="10693"/>
    </row>
    <row r="125" spans="1:33" ht="38.25">
      <c r="A125" s="10663"/>
      <c r="B125" s="10659"/>
      <c r="C125" s="10656"/>
      <c r="D125" s="10656"/>
      <c r="E125" s="10656"/>
      <c r="F125" s="10656"/>
      <c r="G125" s="10656"/>
      <c r="H125" s="10656"/>
      <c r="I125" s="10656"/>
      <c r="J125" s="10656"/>
      <c r="K125" s="10656"/>
      <c r="L125" s="10667"/>
      <c r="M125" s="10667"/>
      <c r="N125" s="10667"/>
      <c r="O125" s="10656"/>
      <c r="P125" s="10656"/>
      <c r="Q125" s="10672"/>
      <c r="R125" s="3868"/>
      <c r="S125" s="5681"/>
      <c r="T125" s="5681" t="s">
        <v>4318</v>
      </c>
      <c r="U125" s="3495" t="s">
        <v>4319</v>
      </c>
      <c r="V125" s="5499">
        <v>1</v>
      </c>
      <c r="W125" s="3668" t="s">
        <v>4320</v>
      </c>
      <c r="X125" s="8069">
        <v>11000</v>
      </c>
      <c r="Y125" s="8069">
        <f>+V125*X125</f>
        <v>11000</v>
      </c>
      <c r="Z125" s="8069">
        <f>Y125</f>
        <v>11000</v>
      </c>
      <c r="AA125" s="5524"/>
      <c r="AB125" s="5779"/>
      <c r="AC125" s="3848"/>
      <c r="AD125" s="3504"/>
      <c r="AE125" s="3505" t="s">
        <v>153</v>
      </c>
      <c r="AF125" s="3505"/>
      <c r="AG125" s="10693"/>
    </row>
    <row r="126" spans="1:33">
      <c r="A126" s="10663"/>
      <c r="B126" s="10659"/>
      <c r="C126" s="10656"/>
      <c r="D126" s="10656"/>
      <c r="E126" s="10656"/>
      <c r="F126" s="10656"/>
      <c r="G126" s="10656"/>
      <c r="H126" s="10656"/>
      <c r="I126" s="10656"/>
      <c r="J126" s="10656"/>
      <c r="K126" s="10656"/>
      <c r="L126" s="10667"/>
      <c r="M126" s="10667"/>
      <c r="N126" s="10667"/>
      <c r="O126" s="10656"/>
      <c r="P126" s="10656"/>
      <c r="Q126" s="10672"/>
      <c r="R126" s="3868"/>
      <c r="S126" s="5682"/>
      <c r="T126" s="5681"/>
      <c r="U126" s="3542"/>
      <c r="V126" s="5499"/>
      <c r="W126" s="3496"/>
      <c r="X126" s="5523"/>
      <c r="Y126" s="5523"/>
      <c r="Z126" s="5523"/>
      <c r="AA126" s="5524"/>
      <c r="AB126" s="5779"/>
      <c r="AC126" s="3848"/>
      <c r="AD126" s="3504"/>
      <c r="AE126" s="3505"/>
      <c r="AF126" s="3505"/>
      <c r="AG126" s="10693"/>
    </row>
    <row r="127" spans="1:33" ht="29.25" customHeight="1">
      <c r="A127" s="10663"/>
      <c r="B127" s="10659"/>
      <c r="C127" s="10656"/>
      <c r="D127" s="10656"/>
      <c r="E127" s="10656"/>
      <c r="F127" s="10656"/>
      <c r="G127" s="10656"/>
      <c r="H127" s="10656"/>
      <c r="I127" s="10656"/>
      <c r="J127" s="10656"/>
      <c r="K127" s="10656"/>
      <c r="L127" s="10667"/>
      <c r="M127" s="10667"/>
      <c r="N127" s="10667"/>
      <c r="O127" s="10656"/>
      <c r="P127" s="10656"/>
      <c r="Q127" s="10672"/>
      <c r="R127" s="3873" t="s">
        <v>80</v>
      </c>
      <c r="S127" s="5682">
        <v>530810</v>
      </c>
      <c r="T127" s="5681"/>
      <c r="U127" s="3542" t="s">
        <v>4321</v>
      </c>
      <c r="V127" s="5499"/>
      <c r="W127" s="7846"/>
      <c r="X127" s="7821"/>
      <c r="Y127" s="7821"/>
      <c r="Z127" s="7821"/>
      <c r="AA127" s="7820">
        <f>SUM($Z$128)</f>
        <v>0</v>
      </c>
      <c r="AB127" s="5779" t="s">
        <v>25</v>
      </c>
      <c r="AC127" s="3848"/>
      <c r="AD127" s="3504"/>
      <c r="AE127" s="3505"/>
      <c r="AF127" s="3505"/>
      <c r="AG127" s="10693"/>
    </row>
    <row r="128" spans="1:33" ht="29.25" customHeight="1">
      <c r="A128" s="10663"/>
      <c r="B128" s="10659"/>
      <c r="C128" s="10656"/>
      <c r="D128" s="10656"/>
      <c r="E128" s="10656"/>
      <c r="F128" s="10656"/>
      <c r="G128" s="10656"/>
      <c r="H128" s="10656"/>
      <c r="I128" s="10656"/>
      <c r="J128" s="10656"/>
      <c r="K128" s="10656"/>
      <c r="L128" s="10667"/>
      <c r="M128" s="10667"/>
      <c r="N128" s="10667"/>
      <c r="O128" s="10656"/>
      <c r="P128" s="10656"/>
      <c r="Q128" s="10672"/>
      <c r="R128" s="3868"/>
      <c r="S128" s="5681"/>
      <c r="T128" s="5681">
        <v>3529010711</v>
      </c>
      <c r="U128" s="3495" t="s">
        <v>4322</v>
      </c>
      <c r="V128" s="5499">
        <v>1</v>
      </c>
      <c r="W128" s="7847" t="s">
        <v>180</v>
      </c>
      <c r="X128" s="7821">
        <v>0</v>
      </c>
      <c r="Y128" s="7821">
        <f>+V128*X128</f>
        <v>0</v>
      </c>
      <c r="Z128" s="7821">
        <f>+Y128*1.12</f>
        <v>0</v>
      </c>
      <c r="AA128" s="7820"/>
      <c r="AB128" s="5779"/>
      <c r="AC128" s="3848"/>
      <c r="AD128" s="3504"/>
      <c r="AE128" s="3505" t="s">
        <v>153</v>
      </c>
      <c r="AF128" s="3505"/>
      <c r="AG128" s="10693"/>
    </row>
    <row r="129" spans="1:33">
      <c r="A129" s="10663"/>
      <c r="B129" s="10659"/>
      <c r="C129" s="10656"/>
      <c r="D129" s="10656"/>
      <c r="E129" s="10656"/>
      <c r="F129" s="10656"/>
      <c r="G129" s="10656"/>
      <c r="H129" s="10656"/>
      <c r="I129" s="10656"/>
      <c r="J129" s="10656"/>
      <c r="K129" s="10656"/>
      <c r="L129" s="10667"/>
      <c r="M129" s="10667"/>
      <c r="N129" s="10667"/>
      <c r="O129" s="10656"/>
      <c r="P129" s="10656"/>
      <c r="Q129" s="10672"/>
      <c r="R129" s="3868"/>
      <c r="S129" s="5682"/>
      <c r="T129" s="5681"/>
      <c r="U129" s="3542"/>
      <c r="V129" s="5499"/>
      <c r="W129" s="3496"/>
      <c r="X129" s="5523"/>
      <c r="Y129" s="5523"/>
      <c r="Z129" s="5523"/>
      <c r="AA129" s="5524"/>
      <c r="AB129" s="5779"/>
      <c r="AC129" s="3848"/>
      <c r="AD129" s="3504"/>
      <c r="AE129" s="3505"/>
      <c r="AF129" s="3505"/>
      <c r="AG129" s="10693"/>
    </row>
    <row r="130" spans="1:33" ht="30" customHeight="1">
      <c r="A130" s="10663"/>
      <c r="B130" s="10659"/>
      <c r="C130" s="10656"/>
      <c r="D130" s="10656"/>
      <c r="E130" s="10656"/>
      <c r="F130" s="10656"/>
      <c r="G130" s="10656"/>
      <c r="H130" s="10656"/>
      <c r="I130" s="10656"/>
      <c r="J130" s="10656"/>
      <c r="K130" s="10656"/>
      <c r="L130" s="10667"/>
      <c r="M130" s="10667"/>
      <c r="N130" s="10667"/>
      <c r="O130" s="10656"/>
      <c r="P130" s="10656"/>
      <c r="Q130" s="10672"/>
      <c r="R130" s="3873" t="s">
        <v>80</v>
      </c>
      <c r="S130" s="5682">
        <v>530829</v>
      </c>
      <c r="T130" s="5681"/>
      <c r="U130" s="3542" t="s">
        <v>4323</v>
      </c>
      <c r="V130" s="5499"/>
      <c r="W130" s="3496"/>
      <c r="X130" s="8069"/>
      <c r="Y130" s="8069"/>
      <c r="Z130" s="8069"/>
      <c r="AA130" s="7980">
        <f>SUM($Z$131)</f>
        <v>333</v>
      </c>
      <c r="AB130" s="5779" t="s">
        <v>26</v>
      </c>
      <c r="AC130" s="3848"/>
      <c r="AD130" s="3504"/>
      <c r="AE130" s="3505"/>
      <c r="AF130" s="3505"/>
      <c r="AG130" s="10693"/>
    </row>
    <row r="131" spans="1:33" ht="49.5">
      <c r="A131" s="10663"/>
      <c r="B131" s="10659"/>
      <c r="C131" s="10656"/>
      <c r="D131" s="10656"/>
      <c r="E131" s="10656"/>
      <c r="F131" s="10656"/>
      <c r="G131" s="10656"/>
      <c r="H131" s="10656"/>
      <c r="I131" s="10656"/>
      <c r="J131" s="10656"/>
      <c r="K131" s="10656"/>
      <c r="L131" s="10667"/>
      <c r="M131" s="10667"/>
      <c r="N131" s="10667"/>
      <c r="O131" s="10656"/>
      <c r="P131" s="10656"/>
      <c r="Q131" s="10672"/>
      <c r="R131" s="3868"/>
      <c r="S131" s="5681"/>
      <c r="T131" s="7360">
        <v>34200</v>
      </c>
      <c r="U131" s="3797" t="s">
        <v>4324</v>
      </c>
      <c r="V131" s="5507">
        <v>1</v>
      </c>
      <c r="W131" s="3671" t="s">
        <v>180</v>
      </c>
      <c r="X131" s="8064">
        <v>333</v>
      </c>
      <c r="Y131" s="8064">
        <f>+V131*X131</f>
        <v>333</v>
      </c>
      <c r="Z131" s="8064">
        <v>333</v>
      </c>
      <c r="AA131" s="8065"/>
      <c r="AB131" s="5779"/>
      <c r="AC131" s="3848"/>
      <c r="AD131" s="3504"/>
      <c r="AE131" s="3505" t="s">
        <v>153</v>
      </c>
      <c r="AF131" s="3505"/>
      <c r="AG131" s="10693"/>
    </row>
    <row r="132" spans="1:33">
      <c r="A132" s="10663"/>
      <c r="B132" s="10660"/>
      <c r="C132" s="10657"/>
      <c r="D132" s="10657"/>
      <c r="E132" s="10657"/>
      <c r="F132" s="10657"/>
      <c r="G132" s="10657"/>
      <c r="H132" s="10657"/>
      <c r="I132" s="10657"/>
      <c r="J132" s="10657"/>
      <c r="K132" s="10657"/>
      <c r="L132" s="10674"/>
      <c r="M132" s="10674"/>
      <c r="N132" s="10674"/>
      <c r="O132" s="10657"/>
      <c r="P132" s="10657"/>
      <c r="Q132" s="10675"/>
      <c r="R132" s="3897"/>
      <c r="S132" s="5696"/>
      <c r="T132" s="5696"/>
      <c r="U132" s="3557"/>
      <c r="V132" s="5503"/>
      <c r="W132" s="3545"/>
      <c r="X132" s="5532"/>
      <c r="Y132" s="5532"/>
      <c r="Z132" s="5532"/>
      <c r="AA132" s="5533"/>
      <c r="AB132" s="5828"/>
      <c r="AC132" s="3878"/>
      <c r="AD132" s="2933"/>
      <c r="AE132" s="3713"/>
      <c r="AF132" s="3713"/>
      <c r="AG132" s="10694"/>
    </row>
    <row r="133" spans="1:33">
      <c r="A133" s="10663"/>
      <c r="B133" s="10512" t="s">
        <v>183</v>
      </c>
      <c r="C133" s="10444" t="s">
        <v>227</v>
      </c>
      <c r="D133" s="10444" t="s">
        <v>228</v>
      </c>
      <c r="E133" s="10444" t="s">
        <v>255</v>
      </c>
      <c r="F133" s="10451" t="s">
        <v>230</v>
      </c>
      <c r="G133" s="10444" t="s">
        <v>132</v>
      </c>
      <c r="H133" s="10444" t="s">
        <v>133</v>
      </c>
      <c r="I133" s="10444" t="s">
        <v>4325</v>
      </c>
      <c r="J133" s="10444" t="s">
        <v>4326</v>
      </c>
      <c r="K133" s="10444" t="s">
        <v>4327</v>
      </c>
      <c r="L133" s="10666">
        <v>1</v>
      </c>
      <c r="M133" s="10666">
        <v>0</v>
      </c>
      <c r="N133" s="10666">
        <v>1</v>
      </c>
      <c r="O133" s="10444" t="s">
        <v>4328</v>
      </c>
      <c r="P133" s="10444" t="s">
        <v>4329</v>
      </c>
      <c r="Q133" s="10449" t="s">
        <v>4330</v>
      </c>
      <c r="R133" s="3896"/>
      <c r="S133" s="5690"/>
      <c r="T133" s="5690"/>
      <c r="U133" s="4659"/>
      <c r="V133" s="5504"/>
      <c r="W133" s="3658"/>
      <c r="X133" s="5534"/>
      <c r="Y133" s="5534"/>
      <c r="Z133" s="5534"/>
      <c r="AA133" s="5535"/>
      <c r="AB133" s="5822"/>
      <c r="AC133" s="3884"/>
      <c r="AD133" s="3721"/>
      <c r="AE133" s="3721"/>
      <c r="AF133" s="3722"/>
      <c r="AG133" s="10697" t="s">
        <v>4317</v>
      </c>
    </row>
    <row r="134" spans="1:33">
      <c r="A134" s="10663"/>
      <c r="B134" s="10659"/>
      <c r="C134" s="10656"/>
      <c r="D134" s="10656"/>
      <c r="E134" s="10656"/>
      <c r="F134" s="10656"/>
      <c r="G134" s="10656"/>
      <c r="H134" s="10656"/>
      <c r="I134" s="10656"/>
      <c r="J134" s="10656"/>
      <c r="K134" s="10656"/>
      <c r="L134" s="10667"/>
      <c r="M134" s="10667"/>
      <c r="N134" s="10667"/>
      <c r="O134" s="10656"/>
      <c r="P134" s="10656"/>
      <c r="Q134" s="10672"/>
      <c r="R134" s="3867"/>
      <c r="S134" s="5686"/>
      <c r="T134" s="5686"/>
      <c r="U134" s="3813"/>
      <c r="V134" s="5500"/>
      <c r="W134" s="3504"/>
      <c r="X134" s="5525"/>
      <c r="Y134" s="5525"/>
      <c r="Z134" s="5525"/>
      <c r="AA134" s="5526"/>
      <c r="AB134" s="5825"/>
      <c r="AC134" s="3848"/>
      <c r="AD134" s="3504"/>
      <c r="AE134" s="3504"/>
      <c r="AF134" s="3505"/>
      <c r="AG134" s="10693"/>
    </row>
    <row r="135" spans="1:33">
      <c r="A135" s="10663"/>
      <c r="B135" s="10659"/>
      <c r="C135" s="10656"/>
      <c r="D135" s="10656"/>
      <c r="E135" s="10656"/>
      <c r="F135" s="10656"/>
      <c r="G135" s="10656"/>
      <c r="H135" s="10656"/>
      <c r="I135" s="10656"/>
      <c r="J135" s="10656"/>
      <c r="K135" s="10656"/>
      <c r="L135" s="10667"/>
      <c r="M135" s="10667"/>
      <c r="N135" s="10667"/>
      <c r="O135" s="10656"/>
      <c r="P135" s="10656"/>
      <c r="Q135" s="10672"/>
      <c r="R135" s="3867"/>
      <c r="S135" s="5686"/>
      <c r="T135" s="5686"/>
      <c r="U135" s="3813"/>
      <c r="V135" s="5500"/>
      <c r="W135" s="3504"/>
      <c r="X135" s="5525"/>
      <c r="Y135" s="5525"/>
      <c r="Z135" s="5525"/>
      <c r="AA135" s="5526"/>
      <c r="AB135" s="5825"/>
      <c r="AC135" s="3848"/>
      <c r="AD135" s="3504"/>
      <c r="AE135" s="3504"/>
      <c r="AF135" s="3505"/>
      <c r="AG135" s="10693"/>
    </row>
    <row r="136" spans="1:33">
      <c r="A136" s="10663"/>
      <c r="B136" s="10659"/>
      <c r="C136" s="10656"/>
      <c r="D136" s="10656"/>
      <c r="E136" s="10656"/>
      <c r="F136" s="10656"/>
      <c r="G136" s="10656"/>
      <c r="H136" s="10656"/>
      <c r="I136" s="10656"/>
      <c r="J136" s="10656"/>
      <c r="K136" s="10656"/>
      <c r="L136" s="10667"/>
      <c r="M136" s="10667"/>
      <c r="N136" s="10667"/>
      <c r="O136" s="10656"/>
      <c r="P136" s="10656"/>
      <c r="Q136" s="10672"/>
      <c r="R136" s="3867"/>
      <c r="S136" s="5686"/>
      <c r="T136" s="5686"/>
      <c r="U136" s="3813"/>
      <c r="V136" s="5500"/>
      <c r="W136" s="3504"/>
      <c r="X136" s="5525"/>
      <c r="Y136" s="5525"/>
      <c r="Z136" s="5525"/>
      <c r="AA136" s="5526"/>
      <c r="AB136" s="5825"/>
      <c r="AC136" s="3848"/>
      <c r="AD136" s="3504"/>
      <c r="AE136" s="3504"/>
      <c r="AF136" s="3505"/>
      <c r="AG136" s="10693"/>
    </row>
    <row r="137" spans="1:33" ht="29.25" customHeight="1">
      <c r="A137" s="10663"/>
      <c r="B137" s="10661"/>
      <c r="C137" s="10658"/>
      <c r="D137" s="10658"/>
      <c r="E137" s="10658"/>
      <c r="F137" s="10658"/>
      <c r="G137" s="10658"/>
      <c r="H137" s="10658"/>
      <c r="I137" s="10658"/>
      <c r="J137" s="10658"/>
      <c r="K137" s="10658"/>
      <c r="L137" s="10668"/>
      <c r="M137" s="10668"/>
      <c r="N137" s="10668"/>
      <c r="O137" s="10658"/>
      <c r="P137" s="10658"/>
      <c r="Q137" s="10673"/>
      <c r="R137" s="3879"/>
      <c r="S137" s="7368"/>
      <c r="T137" s="7368"/>
      <c r="U137" s="3808"/>
      <c r="V137" s="5501"/>
      <c r="W137" s="3727"/>
      <c r="X137" s="5527"/>
      <c r="Y137" s="5527"/>
      <c r="Z137" s="5527"/>
      <c r="AA137" s="5528"/>
      <c r="AB137" s="5838"/>
      <c r="AC137" s="3891"/>
      <c r="AD137" s="3727"/>
      <c r="AE137" s="3727"/>
      <c r="AF137" s="3507"/>
      <c r="AG137" s="10698"/>
    </row>
    <row r="138" spans="1:33" ht="21.75" customHeight="1">
      <c r="A138" s="10663"/>
      <c r="B138" s="10516" t="s">
        <v>127</v>
      </c>
      <c r="C138" s="10433" t="s">
        <v>128</v>
      </c>
      <c r="D138" s="10433" t="s">
        <v>140</v>
      </c>
      <c r="E138" s="10433" t="s">
        <v>212</v>
      </c>
      <c r="F138" s="10442" t="s">
        <v>131</v>
      </c>
      <c r="G138" s="10433" t="s">
        <v>213</v>
      </c>
      <c r="H138" s="10433" t="s">
        <v>189</v>
      </c>
      <c r="I138" s="10433" t="s">
        <v>4331</v>
      </c>
      <c r="J138" s="10433" t="s">
        <v>4332</v>
      </c>
      <c r="K138" s="10433" t="s">
        <v>4333</v>
      </c>
      <c r="L138" s="10676">
        <v>1</v>
      </c>
      <c r="M138" s="10676">
        <v>0</v>
      </c>
      <c r="N138" s="10676">
        <v>1</v>
      </c>
      <c r="O138" s="10433" t="s">
        <v>4334</v>
      </c>
      <c r="P138" s="10433" t="s">
        <v>4335</v>
      </c>
      <c r="Q138" s="10439" t="s">
        <v>4336</v>
      </c>
      <c r="R138" s="3885"/>
      <c r="S138" s="5692"/>
      <c r="T138" s="5692"/>
      <c r="U138" s="2929"/>
      <c r="V138" s="5505"/>
      <c r="W138" s="2930"/>
      <c r="X138" s="5536"/>
      <c r="Y138" s="5536"/>
      <c r="Z138" s="5536"/>
      <c r="AA138" s="5537"/>
      <c r="AB138" s="5824"/>
      <c r="AC138" s="3876"/>
      <c r="AD138" s="2930"/>
      <c r="AE138" s="3710"/>
      <c r="AF138" s="3710"/>
      <c r="AG138" s="10692"/>
    </row>
    <row r="139" spans="1:33" ht="21.75" customHeight="1">
      <c r="A139" s="10663"/>
      <c r="B139" s="10659"/>
      <c r="C139" s="10656"/>
      <c r="D139" s="10656"/>
      <c r="E139" s="10656"/>
      <c r="F139" s="10656"/>
      <c r="G139" s="10656"/>
      <c r="H139" s="10656"/>
      <c r="I139" s="10656"/>
      <c r="J139" s="10656"/>
      <c r="K139" s="10656"/>
      <c r="L139" s="10667"/>
      <c r="M139" s="10667"/>
      <c r="N139" s="10667"/>
      <c r="O139" s="10656"/>
      <c r="P139" s="10656"/>
      <c r="Q139" s="10672"/>
      <c r="R139" s="3867"/>
      <c r="S139" s="5686"/>
      <c r="T139" s="5686"/>
      <c r="U139" s="3813"/>
      <c r="V139" s="5500"/>
      <c r="W139" s="3504"/>
      <c r="X139" s="5525"/>
      <c r="Y139" s="5525"/>
      <c r="Z139" s="5525"/>
      <c r="AA139" s="5526"/>
      <c r="AB139" s="5825"/>
      <c r="AC139" s="3848"/>
      <c r="AD139" s="3504"/>
      <c r="AE139" s="3505"/>
      <c r="AF139" s="3505"/>
      <c r="AG139" s="10693"/>
    </row>
    <row r="140" spans="1:33" ht="21.75" customHeight="1">
      <c r="A140" s="10663"/>
      <c r="B140" s="10659"/>
      <c r="C140" s="10656"/>
      <c r="D140" s="10656"/>
      <c r="E140" s="10656"/>
      <c r="F140" s="10656"/>
      <c r="G140" s="10656"/>
      <c r="H140" s="10656"/>
      <c r="I140" s="10656"/>
      <c r="J140" s="10656"/>
      <c r="K140" s="10656"/>
      <c r="L140" s="10667"/>
      <c r="M140" s="10667"/>
      <c r="N140" s="10667"/>
      <c r="O140" s="10656"/>
      <c r="P140" s="10656"/>
      <c r="Q140" s="10672"/>
      <c r="R140" s="3867"/>
      <c r="S140" s="5686"/>
      <c r="T140" s="5686"/>
      <c r="U140" s="3813"/>
      <c r="V140" s="5500"/>
      <c r="W140" s="3504"/>
      <c r="X140" s="5525"/>
      <c r="Y140" s="5525"/>
      <c r="Z140" s="5525"/>
      <c r="AA140" s="5526"/>
      <c r="AB140" s="5825"/>
      <c r="AC140" s="3848"/>
      <c r="AD140" s="3504"/>
      <c r="AE140" s="3505"/>
      <c r="AF140" s="3505"/>
      <c r="AG140" s="10693"/>
    </row>
    <row r="141" spans="1:33" ht="21.75" customHeight="1">
      <c r="A141" s="10663"/>
      <c r="B141" s="10659"/>
      <c r="C141" s="10656"/>
      <c r="D141" s="10656"/>
      <c r="E141" s="10656"/>
      <c r="F141" s="10656"/>
      <c r="G141" s="10656"/>
      <c r="H141" s="10656"/>
      <c r="I141" s="10656"/>
      <c r="J141" s="10656"/>
      <c r="K141" s="10656"/>
      <c r="L141" s="10667"/>
      <c r="M141" s="10667"/>
      <c r="N141" s="10667"/>
      <c r="O141" s="10656"/>
      <c r="P141" s="10656"/>
      <c r="Q141" s="10672"/>
      <c r="R141" s="3867"/>
      <c r="S141" s="5686"/>
      <c r="T141" s="5686"/>
      <c r="U141" s="3813"/>
      <c r="V141" s="5500"/>
      <c r="W141" s="3504"/>
      <c r="X141" s="5525"/>
      <c r="Y141" s="5525"/>
      <c r="Z141" s="5525"/>
      <c r="AA141" s="5526"/>
      <c r="AB141" s="5825"/>
      <c r="AC141" s="3848"/>
      <c r="AD141" s="3504"/>
      <c r="AE141" s="3505"/>
      <c r="AF141" s="3505"/>
      <c r="AG141" s="10693"/>
    </row>
    <row r="142" spans="1:33" ht="29.25" customHeight="1">
      <c r="A142" s="10663"/>
      <c r="B142" s="10660"/>
      <c r="C142" s="10657"/>
      <c r="D142" s="10657"/>
      <c r="E142" s="10657"/>
      <c r="F142" s="10657"/>
      <c r="G142" s="10657"/>
      <c r="H142" s="10657"/>
      <c r="I142" s="10657"/>
      <c r="J142" s="10657"/>
      <c r="K142" s="10657"/>
      <c r="L142" s="10674"/>
      <c r="M142" s="10674"/>
      <c r="N142" s="10674"/>
      <c r="O142" s="10657"/>
      <c r="P142" s="10657"/>
      <c r="Q142" s="10675"/>
      <c r="R142" s="3887"/>
      <c r="S142" s="5688"/>
      <c r="T142" s="5688"/>
      <c r="U142" s="2932"/>
      <c r="V142" s="5506"/>
      <c r="W142" s="2933"/>
      <c r="X142" s="5538"/>
      <c r="Y142" s="5538"/>
      <c r="Z142" s="5538"/>
      <c r="AA142" s="5539"/>
      <c r="AB142" s="5826"/>
      <c r="AC142" s="3878"/>
      <c r="AD142" s="2933"/>
      <c r="AE142" s="3713"/>
      <c r="AF142" s="3713"/>
      <c r="AG142" s="10694"/>
    </row>
    <row r="143" spans="1:33" ht="25.5">
      <c r="A143" s="10663"/>
      <c r="B143" s="10512" t="s">
        <v>183</v>
      </c>
      <c r="C143" s="10444" t="s">
        <v>1291</v>
      </c>
      <c r="D143" s="10444" t="s">
        <v>185</v>
      </c>
      <c r="E143" s="10444" t="s">
        <v>1938</v>
      </c>
      <c r="F143" s="10451" t="s">
        <v>230</v>
      </c>
      <c r="G143" s="10444" t="s">
        <v>171</v>
      </c>
      <c r="H143" s="10444" t="s">
        <v>133</v>
      </c>
      <c r="I143" s="10444" t="s">
        <v>4337</v>
      </c>
      <c r="J143" s="10444" t="s">
        <v>4338</v>
      </c>
      <c r="K143" s="10444" t="s">
        <v>4339</v>
      </c>
      <c r="L143" s="10666">
        <v>1</v>
      </c>
      <c r="M143" s="10666">
        <v>0</v>
      </c>
      <c r="N143" s="10666">
        <v>1</v>
      </c>
      <c r="O143" s="10444" t="s">
        <v>4340</v>
      </c>
      <c r="P143" s="10444" t="s">
        <v>4341</v>
      </c>
      <c r="Q143" s="10449" t="s">
        <v>4342</v>
      </c>
      <c r="R143" s="3786" t="s">
        <v>81</v>
      </c>
      <c r="S143" s="5689">
        <v>530605</v>
      </c>
      <c r="T143" s="7439"/>
      <c r="U143" s="3758" t="s">
        <v>4343</v>
      </c>
      <c r="V143" s="5504"/>
      <c r="W143" s="3658"/>
      <c r="X143" s="5534"/>
      <c r="Y143" s="5534"/>
      <c r="Z143" s="5534"/>
      <c r="AA143" s="5535">
        <f>SUM($Z$144)</f>
        <v>0</v>
      </c>
      <c r="AB143" s="5822" t="s">
        <v>26</v>
      </c>
      <c r="AC143" s="3893"/>
      <c r="AD143" s="3898"/>
      <c r="AE143" s="3660"/>
      <c r="AF143" s="3660"/>
      <c r="AG143" s="10697"/>
    </row>
    <row r="144" spans="1:33" ht="38.25">
      <c r="A144" s="10663"/>
      <c r="B144" s="10659"/>
      <c r="C144" s="10656"/>
      <c r="D144" s="10656"/>
      <c r="E144" s="10656"/>
      <c r="F144" s="10656"/>
      <c r="G144" s="10656"/>
      <c r="H144" s="10656"/>
      <c r="I144" s="10656"/>
      <c r="J144" s="10656"/>
      <c r="K144" s="10656"/>
      <c r="L144" s="10667"/>
      <c r="M144" s="10667"/>
      <c r="N144" s="10667"/>
      <c r="O144" s="10656"/>
      <c r="P144" s="10656"/>
      <c r="Q144" s="10672"/>
      <c r="R144" s="3868"/>
      <c r="S144" s="5682"/>
      <c r="T144" s="5463" t="s">
        <v>4344</v>
      </c>
      <c r="U144" s="3495" t="s">
        <v>4345</v>
      </c>
      <c r="V144" s="7442">
        <v>0</v>
      </c>
      <c r="W144" s="3668" t="s">
        <v>180</v>
      </c>
      <c r="X144" s="5523">
        <v>20000</v>
      </c>
      <c r="Y144" s="5523">
        <f>+V144*X144</f>
        <v>0</v>
      </c>
      <c r="Z144" s="5523">
        <f>+Y144*1.12</f>
        <v>0</v>
      </c>
      <c r="AA144" s="5524"/>
      <c r="AB144" s="5779"/>
      <c r="AC144" s="3847"/>
      <c r="AD144" s="3496"/>
      <c r="AE144" s="3666" t="s">
        <v>153</v>
      </c>
      <c r="AF144" s="3666"/>
      <c r="AG144" s="10693"/>
    </row>
    <row r="145" spans="1:33">
      <c r="A145" s="10663"/>
      <c r="B145" s="10659"/>
      <c r="C145" s="10656"/>
      <c r="D145" s="10656"/>
      <c r="E145" s="10656"/>
      <c r="F145" s="10656"/>
      <c r="G145" s="10656"/>
      <c r="H145" s="10656"/>
      <c r="I145" s="10656"/>
      <c r="J145" s="10656"/>
      <c r="K145" s="10656"/>
      <c r="L145" s="10667"/>
      <c r="M145" s="10667"/>
      <c r="N145" s="10667"/>
      <c r="O145" s="10656"/>
      <c r="P145" s="10656"/>
      <c r="Q145" s="10672"/>
      <c r="R145" s="3868"/>
      <c r="S145" s="5682"/>
      <c r="T145" s="5681"/>
      <c r="U145" s="3542"/>
      <c r="V145" s="5499"/>
      <c r="W145" s="3496"/>
      <c r="X145" s="5523"/>
      <c r="Y145" s="5523"/>
      <c r="Z145" s="5523"/>
      <c r="AA145" s="5524"/>
      <c r="AB145" s="5779"/>
      <c r="AC145" s="3847"/>
      <c r="AD145" s="3496"/>
      <c r="AE145" s="3666"/>
      <c r="AF145" s="3666"/>
      <c r="AG145" s="10693"/>
    </row>
    <row r="146" spans="1:33" ht="25.5">
      <c r="A146" s="10663"/>
      <c r="B146" s="10659"/>
      <c r="C146" s="10656"/>
      <c r="D146" s="10656"/>
      <c r="E146" s="10656"/>
      <c r="F146" s="10656"/>
      <c r="G146" s="10656"/>
      <c r="H146" s="10656"/>
      <c r="I146" s="10656"/>
      <c r="J146" s="10656"/>
      <c r="K146" s="10656"/>
      <c r="L146" s="10667"/>
      <c r="M146" s="10667"/>
      <c r="N146" s="10667"/>
      <c r="O146" s="10656"/>
      <c r="P146" s="10656"/>
      <c r="Q146" s="10672"/>
      <c r="R146" s="3541" t="s">
        <v>80</v>
      </c>
      <c r="S146" s="5682">
        <v>840104</v>
      </c>
      <c r="T146" s="5681"/>
      <c r="U146" s="3542" t="s">
        <v>39</v>
      </c>
      <c r="V146" s="5499"/>
      <c r="W146" s="3496"/>
      <c r="X146" s="5523"/>
      <c r="Y146" s="5523"/>
      <c r="Z146" s="5523"/>
      <c r="AA146" s="5541">
        <f>$Z$147</f>
        <v>36000</v>
      </c>
      <c r="AB146" s="5779" t="s">
        <v>18</v>
      </c>
      <c r="AC146" s="3847"/>
      <c r="AD146" s="3496"/>
      <c r="AE146" s="3666"/>
      <c r="AF146" s="3666"/>
      <c r="AG146" s="10693"/>
    </row>
    <row r="147" spans="1:33" ht="38.25">
      <c r="A147" s="10663"/>
      <c r="B147" s="10659"/>
      <c r="C147" s="10656"/>
      <c r="D147" s="10656"/>
      <c r="E147" s="10656"/>
      <c r="F147" s="10656"/>
      <c r="G147" s="10656"/>
      <c r="H147" s="10656"/>
      <c r="I147" s="10656"/>
      <c r="J147" s="10656"/>
      <c r="K147" s="10656"/>
      <c r="L147" s="10667"/>
      <c r="M147" s="10667"/>
      <c r="N147" s="10667"/>
      <c r="O147" s="10656"/>
      <c r="P147" s="10656"/>
      <c r="Q147" s="10672"/>
      <c r="R147" s="3867"/>
      <c r="S147" s="5681"/>
      <c r="T147" s="5473">
        <v>482610011</v>
      </c>
      <c r="U147" s="3804" t="s">
        <v>4346</v>
      </c>
      <c r="V147" s="5507">
        <v>1</v>
      </c>
      <c r="W147" s="3671" t="s">
        <v>479</v>
      </c>
      <c r="X147" s="5542">
        <v>36000</v>
      </c>
      <c r="Y147" s="5542">
        <f>+V147*X147</f>
        <v>36000</v>
      </c>
      <c r="Z147" s="5542">
        <f>Y147</f>
        <v>36000</v>
      </c>
      <c r="AA147" s="5524"/>
      <c r="AB147" s="5779"/>
      <c r="AC147" s="3847"/>
      <c r="AD147" s="3496"/>
      <c r="AE147" s="3666" t="s">
        <v>153</v>
      </c>
      <c r="AF147" s="3666"/>
      <c r="AG147" s="10693"/>
    </row>
    <row r="148" spans="1:33">
      <c r="A148" s="10663"/>
      <c r="B148" s="10661"/>
      <c r="C148" s="10658"/>
      <c r="D148" s="10658"/>
      <c r="E148" s="10658"/>
      <c r="F148" s="10658"/>
      <c r="G148" s="10658"/>
      <c r="H148" s="10658"/>
      <c r="I148" s="10658"/>
      <c r="J148" s="10658"/>
      <c r="K148" s="10658"/>
      <c r="L148" s="10668"/>
      <c r="M148" s="10668"/>
      <c r="N148" s="10668"/>
      <c r="O148" s="10658"/>
      <c r="P148" s="10658"/>
      <c r="Q148" s="10673"/>
      <c r="R148" s="3879"/>
      <c r="S148" s="5683"/>
      <c r="T148" s="5683"/>
      <c r="U148" s="3759"/>
      <c r="V148" s="5509"/>
      <c r="W148" s="3714"/>
      <c r="X148" s="5544"/>
      <c r="Y148" s="5544"/>
      <c r="Z148" s="5544"/>
      <c r="AA148" s="5545"/>
      <c r="AB148" s="5823"/>
      <c r="AC148" s="3880"/>
      <c r="AD148" s="3714"/>
      <c r="AE148" s="3718"/>
      <c r="AF148" s="3718"/>
      <c r="AG148" s="10698"/>
    </row>
    <row r="149" spans="1:33" ht="19.5" customHeight="1">
      <c r="A149" s="10663"/>
      <c r="B149" s="10516" t="s">
        <v>127</v>
      </c>
      <c r="C149" s="10433" t="s">
        <v>128</v>
      </c>
      <c r="D149" s="10433" t="s">
        <v>129</v>
      </c>
      <c r="E149" s="10433" t="s">
        <v>464</v>
      </c>
      <c r="F149" s="10442" t="s">
        <v>131</v>
      </c>
      <c r="G149" s="10433" t="s">
        <v>158</v>
      </c>
      <c r="H149" s="10433" t="s">
        <v>133</v>
      </c>
      <c r="I149" s="10433" t="s">
        <v>4347</v>
      </c>
      <c r="J149" s="10433" t="s">
        <v>4348</v>
      </c>
      <c r="K149" s="10433" t="s">
        <v>4349</v>
      </c>
      <c r="L149" s="10676">
        <v>0</v>
      </c>
      <c r="M149" s="10676">
        <v>0</v>
      </c>
      <c r="N149" s="10676">
        <v>7</v>
      </c>
      <c r="O149" s="10433" t="s">
        <v>4350</v>
      </c>
      <c r="P149" s="10433" t="s">
        <v>4351</v>
      </c>
      <c r="Q149" s="10439" t="s">
        <v>4352</v>
      </c>
      <c r="R149" s="3885"/>
      <c r="S149" s="5692"/>
      <c r="T149" s="5692"/>
      <c r="U149" s="2929"/>
      <c r="V149" s="5505"/>
      <c r="W149" s="2930"/>
      <c r="X149" s="5536"/>
      <c r="Y149" s="5536"/>
      <c r="Z149" s="5536"/>
      <c r="AA149" s="5537"/>
      <c r="AB149" s="5824"/>
      <c r="AC149" s="3876"/>
      <c r="AD149" s="2930"/>
      <c r="AE149" s="3750"/>
      <c r="AF149" s="3750"/>
      <c r="AG149" s="10692" t="s">
        <v>4353</v>
      </c>
    </row>
    <row r="150" spans="1:33" ht="19.5" customHeight="1">
      <c r="A150" s="10663"/>
      <c r="B150" s="10659"/>
      <c r="C150" s="10656"/>
      <c r="D150" s="10656"/>
      <c r="E150" s="10656"/>
      <c r="F150" s="10656"/>
      <c r="G150" s="10656"/>
      <c r="H150" s="10656"/>
      <c r="I150" s="10656"/>
      <c r="J150" s="10656"/>
      <c r="K150" s="10656"/>
      <c r="L150" s="10667"/>
      <c r="M150" s="10667"/>
      <c r="N150" s="10667"/>
      <c r="O150" s="10656"/>
      <c r="P150" s="10656"/>
      <c r="Q150" s="10672"/>
      <c r="R150" s="3867"/>
      <c r="S150" s="5686"/>
      <c r="T150" s="5686"/>
      <c r="U150" s="3813"/>
      <c r="V150" s="5500"/>
      <c r="W150" s="3504"/>
      <c r="X150" s="5525"/>
      <c r="Y150" s="5525"/>
      <c r="Z150" s="5525"/>
      <c r="AA150" s="5526"/>
      <c r="AB150" s="5825"/>
      <c r="AC150" s="3848"/>
      <c r="AD150" s="3504"/>
      <c r="AE150" s="3504"/>
      <c r="AF150" s="3697"/>
      <c r="AG150" s="10693"/>
    </row>
    <row r="151" spans="1:33" ht="19.5" customHeight="1">
      <c r="A151" s="10663"/>
      <c r="B151" s="10659"/>
      <c r="C151" s="10656"/>
      <c r="D151" s="10656"/>
      <c r="E151" s="10656"/>
      <c r="F151" s="10656"/>
      <c r="G151" s="10656"/>
      <c r="H151" s="10656"/>
      <c r="I151" s="10656"/>
      <c r="J151" s="10656"/>
      <c r="K151" s="10656"/>
      <c r="L151" s="10667"/>
      <c r="M151" s="10667"/>
      <c r="N151" s="10667"/>
      <c r="O151" s="10656"/>
      <c r="P151" s="10656"/>
      <c r="Q151" s="10672"/>
      <c r="R151" s="3867"/>
      <c r="S151" s="5686"/>
      <c r="T151" s="5686"/>
      <c r="U151" s="3813"/>
      <c r="V151" s="5500"/>
      <c r="W151" s="3504"/>
      <c r="X151" s="5525"/>
      <c r="Y151" s="5525"/>
      <c r="Z151" s="5525"/>
      <c r="AA151" s="5526"/>
      <c r="AB151" s="5825"/>
      <c r="AC151" s="3848"/>
      <c r="AD151" s="3504"/>
      <c r="AE151" s="3504"/>
      <c r="AF151" s="3505"/>
      <c r="AG151" s="10693"/>
    </row>
    <row r="152" spans="1:33" ht="19.5" customHeight="1">
      <c r="A152" s="10663"/>
      <c r="B152" s="10659"/>
      <c r="C152" s="10656"/>
      <c r="D152" s="10656"/>
      <c r="E152" s="10656"/>
      <c r="F152" s="10656"/>
      <c r="G152" s="10656"/>
      <c r="H152" s="10656"/>
      <c r="I152" s="10656"/>
      <c r="J152" s="10656"/>
      <c r="K152" s="10656"/>
      <c r="L152" s="10667"/>
      <c r="M152" s="10667"/>
      <c r="N152" s="10667"/>
      <c r="O152" s="10656"/>
      <c r="P152" s="10656"/>
      <c r="Q152" s="10672"/>
      <c r="R152" s="3867"/>
      <c r="S152" s="5686"/>
      <c r="T152" s="5686"/>
      <c r="U152" s="3813"/>
      <c r="V152" s="5500"/>
      <c r="W152" s="3504"/>
      <c r="X152" s="5525"/>
      <c r="Y152" s="5525"/>
      <c r="Z152" s="5525"/>
      <c r="AA152" s="5526"/>
      <c r="AB152" s="5825"/>
      <c r="AC152" s="3848"/>
      <c r="AD152" s="3504"/>
      <c r="AE152" s="3504"/>
      <c r="AF152" s="3505"/>
      <c r="AG152" s="10693"/>
    </row>
    <row r="153" spans="1:33" ht="39" customHeight="1">
      <c r="A153" s="10663"/>
      <c r="B153" s="10660"/>
      <c r="C153" s="10657"/>
      <c r="D153" s="10657"/>
      <c r="E153" s="10657"/>
      <c r="F153" s="10657"/>
      <c r="G153" s="10657"/>
      <c r="H153" s="10657"/>
      <c r="I153" s="10657"/>
      <c r="J153" s="10657"/>
      <c r="K153" s="10657"/>
      <c r="L153" s="10674"/>
      <c r="M153" s="10674"/>
      <c r="N153" s="10674"/>
      <c r="O153" s="10657"/>
      <c r="P153" s="10657"/>
      <c r="Q153" s="10675"/>
      <c r="R153" s="3887"/>
      <c r="S153" s="5688"/>
      <c r="T153" s="5688"/>
      <c r="U153" s="2932"/>
      <c r="V153" s="5506"/>
      <c r="W153" s="2933"/>
      <c r="X153" s="5538"/>
      <c r="Y153" s="5538"/>
      <c r="Z153" s="5538"/>
      <c r="AA153" s="5539"/>
      <c r="AB153" s="5826"/>
      <c r="AC153" s="3878"/>
      <c r="AD153" s="2933"/>
      <c r="AE153" s="2933"/>
      <c r="AF153" s="3713"/>
      <c r="AG153" s="10694"/>
    </row>
    <row r="154" spans="1:33" ht="19.5" customHeight="1">
      <c r="A154" s="10663"/>
      <c r="B154" s="10512" t="s">
        <v>183</v>
      </c>
      <c r="C154" s="10444" t="s">
        <v>227</v>
      </c>
      <c r="D154" s="10444" t="s">
        <v>228</v>
      </c>
      <c r="E154" s="10444" t="s">
        <v>229</v>
      </c>
      <c r="F154" s="10451" t="s">
        <v>230</v>
      </c>
      <c r="G154" s="10444" t="s">
        <v>171</v>
      </c>
      <c r="H154" s="10444" t="s">
        <v>159</v>
      </c>
      <c r="I154" s="10444" t="s">
        <v>4354</v>
      </c>
      <c r="J154" s="10444" t="s">
        <v>4355</v>
      </c>
      <c r="K154" s="10444" t="s">
        <v>4356</v>
      </c>
      <c r="L154" s="10666">
        <v>15</v>
      </c>
      <c r="M154" s="10666">
        <v>0</v>
      </c>
      <c r="N154" s="10666">
        <v>15</v>
      </c>
      <c r="O154" s="10444" t="s">
        <v>4357</v>
      </c>
      <c r="P154" s="10444" t="s">
        <v>4358</v>
      </c>
      <c r="Q154" s="10449" t="s">
        <v>4359</v>
      </c>
      <c r="R154" s="3892"/>
      <c r="S154" s="5689"/>
      <c r="T154" s="5689"/>
      <c r="U154" s="3758"/>
      <c r="V154" s="5504"/>
      <c r="W154" s="3658"/>
      <c r="X154" s="5534"/>
      <c r="Y154" s="5534"/>
      <c r="Z154" s="5534"/>
      <c r="AA154" s="5535"/>
      <c r="AB154" s="5822"/>
      <c r="AC154" s="3893"/>
      <c r="AD154" s="3658"/>
      <c r="AE154" s="3660"/>
      <c r="AF154" s="3660"/>
      <c r="AG154" s="10464" t="s">
        <v>4360</v>
      </c>
    </row>
    <row r="155" spans="1:33" ht="19.5" customHeight="1">
      <c r="A155" s="10663"/>
      <c r="B155" s="10659"/>
      <c r="C155" s="10656"/>
      <c r="D155" s="10656"/>
      <c r="E155" s="10656"/>
      <c r="F155" s="10656"/>
      <c r="G155" s="10656"/>
      <c r="H155" s="10656"/>
      <c r="I155" s="10656"/>
      <c r="J155" s="10656"/>
      <c r="K155" s="10656"/>
      <c r="L155" s="10667"/>
      <c r="M155" s="10667"/>
      <c r="N155" s="10667"/>
      <c r="O155" s="10656"/>
      <c r="P155" s="10656"/>
      <c r="Q155" s="10672"/>
      <c r="R155" s="3867"/>
      <c r="S155" s="5681"/>
      <c r="T155" s="5681"/>
      <c r="U155" s="3495"/>
      <c r="V155" s="5499"/>
      <c r="W155" s="3496"/>
      <c r="X155" s="5523"/>
      <c r="Y155" s="5523"/>
      <c r="Z155" s="5523"/>
      <c r="AA155" s="5524"/>
      <c r="AB155" s="5779"/>
      <c r="AC155" s="3847"/>
      <c r="AD155" s="3496"/>
      <c r="AE155" s="3666"/>
      <c r="AF155" s="3666"/>
      <c r="AG155" s="10678"/>
    </row>
    <row r="156" spans="1:33" ht="19.5" customHeight="1">
      <c r="A156" s="10663"/>
      <c r="B156" s="10659"/>
      <c r="C156" s="10656"/>
      <c r="D156" s="10656"/>
      <c r="E156" s="10656"/>
      <c r="F156" s="10656"/>
      <c r="G156" s="10656"/>
      <c r="H156" s="10656"/>
      <c r="I156" s="10656"/>
      <c r="J156" s="10656"/>
      <c r="K156" s="10656"/>
      <c r="L156" s="10667"/>
      <c r="M156" s="10667"/>
      <c r="N156" s="10667"/>
      <c r="O156" s="10656"/>
      <c r="P156" s="10656"/>
      <c r="Q156" s="10672"/>
      <c r="R156" s="3867"/>
      <c r="S156" s="5681"/>
      <c r="T156" s="5681"/>
      <c r="U156" s="3495"/>
      <c r="V156" s="5499"/>
      <c r="W156" s="3496"/>
      <c r="X156" s="5523"/>
      <c r="Y156" s="5523"/>
      <c r="Z156" s="5523"/>
      <c r="AA156" s="5524"/>
      <c r="AB156" s="5779"/>
      <c r="AC156" s="3847"/>
      <c r="AD156" s="3496"/>
      <c r="AE156" s="3666"/>
      <c r="AF156" s="3666"/>
      <c r="AG156" s="10678"/>
    </row>
    <row r="157" spans="1:33" ht="19.5" customHeight="1">
      <c r="A157" s="10663"/>
      <c r="B157" s="10659"/>
      <c r="C157" s="10656"/>
      <c r="D157" s="10656"/>
      <c r="E157" s="10656"/>
      <c r="F157" s="10656"/>
      <c r="G157" s="10656"/>
      <c r="H157" s="10656"/>
      <c r="I157" s="10656"/>
      <c r="J157" s="10656"/>
      <c r="K157" s="10656"/>
      <c r="L157" s="10667"/>
      <c r="M157" s="10667"/>
      <c r="N157" s="10667"/>
      <c r="O157" s="10656"/>
      <c r="P157" s="10656"/>
      <c r="Q157" s="10672"/>
      <c r="R157" s="3867"/>
      <c r="S157" s="5681"/>
      <c r="T157" s="5681"/>
      <c r="U157" s="3495"/>
      <c r="V157" s="5499"/>
      <c r="W157" s="3496"/>
      <c r="X157" s="5523"/>
      <c r="Y157" s="5523"/>
      <c r="Z157" s="5523"/>
      <c r="AA157" s="5524"/>
      <c r="AB157" s="5779"/>
      <c r="AC157" s="3847"/>
      <c r="AD157" s="3496"/>
      <c r="AE157" s="3666"/>
      <c r="AF157" s="3666"/>
      <c r="AG157" s="10678"/>
    </row>
    <row r="158" spans="1:33" ht="19.5" customHeight="1">
      <c r="A158" s="10663"/>
      <c r="B158" s="10661"/>
      <c r="C158" s="10658"/>
      <c r="D158" s="10658"/>
      <c r="E158" s="10658"/>
      <c r="F158" s="10658"/>
      <c r="G158" s="10658"/>
      <c r="H158" s="10658"/>
      <c r="I158" s="10658"/>
      <c r="J158" s="10658"/>
      <c r="K158" s="10658"/>
      <c r="L158" s="10668"/>
      <c r="M158" s="10668"/>
      <c r="N158" s="10668"/>
      <c r="O158" s="10658"/>
      <c r="P158" s="10658"/>
      <c r="Q158" s="10673"/>
      <c r="R158" s="3879"/>
      <c r="S158" s="5683"/>
      <c r="T158" s="5683"/>
      <c r="U158" s="3759"/>
      <c r="V158" s="5509"/>
      <c r="W158" s="3714"/>
      <c r="X158" s="5544"/>
      <c r="Y158" s="5544"/>
      <c r="Z158" s="5544"/>
      <c r="AA158" s="5545"/>
      <c r="AB158" s="5823"/>
      <c r="AC158" s="3880"/>
      <c r="AD158" s="3714"/>
      <c r="AE158" s="3718"/>
      <c r="AF158" s="3718"/>
      <c r="AG158" s="10679"/>
    </row>
    <row r="159" spans="1:33" ht="20.25" customHeight="1">
      <c r="A159" s="10663"/>
      <c r="B159" s="10516" t="s">
        <v>183</v>
      </c>
      <c r="C159" s="10433" t="s">
        <v>227</v>
      </c>
      <c r="D159" s="10433" t="s">
        <v>228</v>
      </c>
      <c r="E159" s="10433" t="s">
        <v>229</v>
      </c>
      <c r="F159" s="10442" t="s">
        <v>230</v>
      </c>
      <c r="G159" s="10433" t="s">
        <v>132</v>
      </c>
      <c r="H159" s="10433" t="s">
        <v>159</v>
      </c>
      <c r="I159" s="10433" t="s">
        <v>4361</v>
      </c>
      <c r="J159" s="10433" t="s">
        <v>4362</v>
      </c>
      <c r="K159" s="10433" t="s">
        <v>4363</v>
      </c>
      <c r="L159" s="10676">
        <v>1</v>
      </c>
      <c r="M159" s="10676">
        <v>0</v>
      </c>
      <c r="N159" s="10676">
        <v>1</v>
      </c>
      <c r="O159" s="10433" t="s">
        <v>4364</v>
      </c>
      <c r="P159" s="10433" t="s">
        <v>4365</v>
      </c>
      <c r="Q159" s="10439" t="s">
        <v>4366</v>
      </c>
      <c r="R159" s="3885"/>
      <c r="S159" s="5684"/>
      <c r="T159" s="5684"/>
      <c r="U159" s="3762"/>
      <c r="V159" s="5502"/>
      <c r="W159" s="3709"/>
      <c r="X159" s="5529"/>
      <c r="Y159" s="5529"/>
      <c r="Z159" s="5529"/>
      <c r="AA159" s="5530"/>
      <c r="AB159" s="5780"/>
      <c r="AC159" s="3886"/>
      <c r="AD159" s="3709"/>
      <c r="AE159" s="3724"/>
      <c r="AF159" s="3724"/>
      <c r="AG159" s="10525"/>
    </row>
    <row r="160" spans="1:33" ht="20.25" customHeight="1">
      <c r="A160" s="10663"/>
      <c r="B160" s="10659"/>
      <c r="C160" s="10656"/>
      <c r="D160" s="10656"/>
      <c r="E160" s="10656"/>
      <c r="F160" s="10656"/>
      <c r="G160" s="10656"/>
      <c r="H160" s="10656"/>
      <c r="I160" s="10656"/>
      <c r="J160" s="10656"/>
      <c r="K160" s="10656"/>
      <c r="L160" s="10667"/>
      <c r="M160" s="10667"/>
      <c r="N160" s="10667"/>
      <c r="O160" s="10656"/>
      <c r="P160" s="10656"/>
      <c r="Q160" s="10672"/>
      <c r="R160" s="3867"/>
      <c r="S160" s="5681"/>
      <c r="T160" s="5681"/>
      <c r="U160" s="3495"/>
      <c r="V160" s="5499"/>
      <c r="W160" s="3496"/>
      <c r="X160" s="5523"/>
      <c r="Y160" s="5523"/>
      <c r="Z160" s="5523"/>
      <c r="AA160" s="5524"/>
      <c r="AB160" s="5779"/>
      <c r="AC160" s="3847"/>
      <c r="AD160" s="3496"/>
      <c r="AE160" s="3666"/>
      <c r="AF160" s="3666"/>
      <c r="AG160" s="10678"/>
    </row>
    <row r="161" spans="1:33" ht="20.25" customHeight="1">
      <c r="A161" s="10663"/>
      <c r="B161" s="10659"/>
      <c r="C161" s="10656"/>
      <c r="D161" s="10656"/>
      <c r="E161" s="10656"/>
      <c r="F161" s="10656"/>
      <c r="G161" s="10656"/>
      <c r="H161" s="10656"/>
      <c r="I161" s="10656"/>
      <c r="J161" s="10656"/>
      <c r="K161" s="10656"/>
      <c r="L161" s="10667"/>
      <c r="M161" s="10667"/>
      <c r="N161" s="10667"/>
      <c r="O161" s="10656"/>
      <c r="P161" s="10656"/>
      <c r="Q161" s="10672"/>
      <c r="R161" s="3867"/>
      <c r="S161" s="5681"/>
      <c r="T161" s="5681"/>
      <c r="U161" s="3495"/>
      <c r="V161" s="5499"/>
      <c r="W161" s="3496"/>
      <c r="X161" s="5523"/>
      <c r="Y161" s="5523"/>
      <c r="Z161" s="5523"/>
      <c r="AA161" s="5524"/>
      <c r="AB161" s="5779"/>
      <c r="AC161" s="3847"/>
      <c r="AD161" s="3496"/>
      <c r="AE161" s="3666"/>
      <c r="AF161" s="3666"/>
      <c r="AG161" s="10678"/>
    </row>
    <row r="162" spans="1:33" ht="20.25" customHeight="1">
      <c r="A162" s="10663"/>
      <c r="B162" s="10659"/>
      <c r="C162" s="10656"/>
      <c r="D162" s="10656"/>
      <c r="E162" s="10656"/>
      <c r="F162" s="10656"/>
      <c r="G162" s="10656"/>
      <c r="H162" s="10656"/>
      <c r="I162" s="10656"/>
      <c r="J162" s="10656"/>
      <c r="K162" s="10656"/>
      <c r="L162" s="10667"/>
      <c r="M162" s="10667"/>
      <c r="N162" s="10667"/>
      <c r="O162" s="10656"/>
      <c r="P162" s="10656"/>
      <c r="Q162" s="10672"/>
      <c r="R162" s="3868"/>
      <c r="S162" s="5682"/>
      <c r="T162" s="5682"/>
      <c r="U162" s="3495"/>
      <c r="V162" s="5499"/>
      <c r="W162" s="3496"/>
      <c r="X162" s="5523"/>
      <c r="Y162" s="5523"/>
      <c r="Z162" s="5523"/>
      <c r="AA162" s="5524"/>
      <c r="AB162" s="5779"/>
      <c r="AC162" s="3847"/>
      <c r="AD162" s="3496"/>
      <c r="AE162" s="3666"/>
      <c r="AF162" s="3666"/>
      <c r="AG162" s="10678"/>
    </row>
    <row r="163" spans="1:33" ht="20.25" customHeight="1">
      <c r="A163" s="10663"/>
      <c r="B163" s="10660"/>
      <c r="C163" s="10657"/>
      <c r="D163" s="10657"/>
      <c r="E163" s="10657"/>
      <c r="F163" s="10657"/>
      <c r="G163" s="10657"/>
      <c r="H163" s="10657"/>
      <c r="I163" s="10657"/>
      <c r="J163" s="10657"/>
      <c r="K163" s="10657"/>
      <c r="L163" s="10674"/>
      <c r="M163" s="10674"/>
      <c r="N163" s="10674"/>
      <c r="O163" s="10657"/>
      <c r="P163" s="10657"/>
      <c r="Q163" s="10675"/>
      <c r="R163" s="3887"/>
      <c r="S163" s="5696"/>
      <c r="T163" s="5696"/>
      <c r="U163" s="3557"/>
      <c r="V163" s="5503"/>
      <c r="W163" s="3545"/>
      <c r="X163" s="5532"/>
      <c r="Y163" s="5532"/>
      <c r="Z163" s="5532"/>
      <c r="AA163" s="5533"/>
      <c r="AB163" s="5828"/>
      <c r="AC163" s="3888"/>
      <c r="AD163" s="3545"/>
      <c r="AE163" s="3707"/>
      <c r="AF163" s="3707"/>
      <c r="AG163" s="10680"/>
    </row>
    <row r="164" spans="1:33" ht="19.5" customHeight="1">
      <c r="A164" s="10663"/>
      <c r="B164" s="10512" t="s">
        <v>183</v>
      </c>
      <c r="C164" s="10444" t="s">
        <v>227</v>
      </c>
      <c r="D164" s="10444" t="s">
        <v>228</v>
      </c>
      <c r="E164" s="10444" t="s">
        <v>2272</v>
      </c>
      <c r="F164" s="10451" t="s">
        <v>230</v>
      </c>
      <c r="G164" s="10444" t="s">
        <v>158</v>
      </c>
      <c r="H164" s="10444" t="s">
        <v>133</v>
      </c>
      <c r="I164" s="10444" t="s">
        <v>4367</v>
      </c>
      <c r="J164" s="10444" t="s">
        <v>4368</v>
      </c>
      <c r="K164" s="10444" t="s">
        <v>4369</v>
      </c>
      <c r="L164" s="10666">
        <v>55</v>
      </c>
      <c r="M164" s="10666">
        <v>0</v>
      </c>
      <c r="N164" s="10666">
        <v>55</v>
      </c>
      <c r="O164" s="10444" t="s">
        <v>4370</v>
      </c>
      <c r="P164" s="10444" t="s">
        <v>4371</v>
      </c>
      <c r="Q164" s="10449" t="s">
        <v>4372</v>
      </c>
      <c r="R164" s="3892"/>
      <c r="S164" s="5689"/>
      <c r="T164" s="5689"/>
      <c r="U164" s="3758"/>
      <c r="V164" s="5504"/>
      <c r="W164" s="3658"/>
      <c r="X164" s="5534"/>
      <c r="Y164" s="5534"/>
      <c r="Z164" s="5534"/>
      <c r="AA164" s="5535"/>
      <c r="AB164" s="5822"/>
      <c r="AC164" s="3893"/>
      <c r="AD164" s="3658"/>
      <c r="AE164" s="3749"/>
      <c r="AF164" s="3749"/>
      <c r="AG164" s="10464" t="s">
        <v>4373</v>
      </c>
    </row>
    <row r="165" spans="1:33" ht="19.5" customHeight="1">
      <c r="A165" s="10663"/>
      <c r="B165" s="10659"/>
      <c r="C165" s="10656"/>
      <c r="D165" s="10656"/>
      <c r="E165" s="10656"/>
      <c r="F165" s="10656"/>
      <c r="G165" s="10656"/>
      <c r="H165" s="10656"/>
      <c r="I165" s="10656"/>
      <c r="J165" s="10656"/>
      <c r="K165" s="10656"/>
      <c r="L165" s="10667"/>
      <c r="M165" s="10667"/>
      <c r="N165" s="10667"/>
      <c r="O165" s="10656"/>
      <c r="P165" s="10656"/>
      <c r="Q165" s="10672"/>
      <c r="R165" s="3867"/>
      <c r="S165" s="5681"/>
      <c r="T165" s="5681"/>
      <c r="U165" s="3495"/>
      <c r="V165" s="5499"/>
      <c r="W165" s="3496"/>
      <c r="X165" s="5523"/>
      <c r="Y165" s="5523"/>
      <c r="Z165" s="5523"/>
      <c r="AA165" s="5524"/>
      <c r="AB165" s="5779"/>
      <c r="AC165" s="3847"/>
      <c r="AD165" s="3496"/>
      <c r="AE165" s="3496"/>
      <c r="AF165" s="3690"/>
      <c r="AG165" s="10678"/>
    </row>
    <row r="166" spans="1:33" ht="19.5" customHeight="1">
      <c r="A166" s="10663"/>
      <c r="B166" s="10659"/>
      <c r="C166" s="10656"/>
      <c r="D166" s="10656"/>
      <c r="E166" s="10656"/>
      <c r="F166" s="10656"/>
      <c r="G166" s="10656"/>
      <c r="H166" s="10656"/>
      <c r="I166" s="10656"/>
      <c r="J166" s="10656"/>
      <c r="K166" s="10656"/>
      <c r="L166" s="10667"/>
      <c r="M166" s="10667"/>
      <c r="N166" s="10667"/>
      <c r="O166" s="10656"/>
      <c r="P166" s="10656"/>
      <c r="Q166" s="10672"/>
      <c r="R166" s="3867"/>
      <c r="S166" s="5681"/>
      <c r="T166" s="5681"/>
      <c r="U166" s="3495"/>
      <c r="V166" s="5499"/>
      <c r="W166" s="3496"/>
      <c r="X166" s="5523"/>
      <c r="Y166" s="5523"/>
      <c r="Z166" s="5523"/>
      <c r="AA166" s="5524"/>
      <c r="AB166" s="5779"/>
      <c r="AC166" s="3847"/>
      <c r="AD166" s="3496"/>
      <c r="AE166" s="3496"/>
      <c r="AF166" s="3666"/>
      <c r="AG166" s="10678"/>
    </row>
    <row r="167" spans="1:33" ht="19.5" customHeight="1">
      <c r="A167" s="10663"/>
      <c r="B167" s="10659"/>
      <c r="C167" s="10656"/>
      <c r="D167" s="10656"/>
      <c r="E167" s="10656"/>
      <c r="F167" s="10656"/>
      <c r="G167" s="10656"/>
      <c r="H167" s="10656"/>
      <c r="I167" s="10656"/>
      <c r="J167" s="10656"/>
      <c r="K167" s="10656"/>
      <c r="L167" s="10667"/>
      <c r="M167" s="10667"/>
      <c r="N167" s="10667"/>
      <c r="O167" s="10656"/>
      <c r="P167" s="10656"/>
      <c r="Q167" s="10672"/>
      <c r="R167" s="3867"/>
      <c r="S167" s="5681"/>
      <c r="T167" s="5681"/>
      <c r="U167" s="3495"/>
      <c r="V167" s="5499"/>
      <c r="W167" s="3496"/>
      <c r="X167" s="5523"/>
      <c r="Y167" s="5523"/>
      <c r="Z167" s="5523"/>
      <c r="AA167" s="5524"/>
      <c r="AB167" s="5779"/>
      <c r="AC167" s="3847"/>
      <c r="AD167" s="3496"/>
      <c r="AE167" s="3496"/>
      <c r="AF167" s="3666"/>
      <c r="AG167" s="10678"/>
    </row>
    <row r="168" spans="1:33" ht="19.5" customHeight="1">
      <c r="A168" s="10663"/>
      <c r="B168" s="10661"/>
      <c r="C168" s="10658"/>
      <c r="D168" s="10658"/>
      <c r="E168" s="10658"/>
      <c r="F168" s="10658"/>
      <c r="G168" s="10658"/>
      <c r="H168" s="10658"/>
      <c r="I168" s="10658"/>
      <c r="J168" s="10658"/>
      <c r="K168" s="10658"/>
      <c r="L168" s="10668"/>
      <c r="M168" s="10668"/>
      <c r="N168" s="10668"/>
      <c r="O168" s="10658"/>
      <c r="P168" s="10658"/>
      <c r="Q168" s="10673"/>
      <c r="R168" s="3879"/>
      <c r="S168" s="5683"/>
      <c r="T168" s="5683"/>
      <c r="U168" s="3759"/>
      <c r="V168" s="5509"/>
      <c r="W168" s="3714"/>
      <c r="X168" s="5544"/>
      <c r="Y168" s="5544"/>
      <c r="Z168" s="5544"/>
      <c r="AA168" s="5545"/>
      <c r="AB168" s="5823"/>
      <c r="AC168" s="3880"/>
      <c r="AD168" s="3714"/>
      <c r="AE168" s="3714"/>
      <c r="AF168" s="3718"/>
      <c r="AG168" s="10679"/>
    </row>
    <row r="169" spans="1:33" ht="43.5" customHeight="1">
      <c r="A169" s="10663"/>
      <c r="B169" s="10516" t="s">
        <v>183</v>
      </c>
      <c r="C169" s="10433" t="s">
        <v>227</v>
      </c>
      <c r="D169" s="10433" t="s">
        <v>228</v>
      </c>
      <c r="E169" s="10433" t="s">
        <v>255</v>
      </c>
      <c r="F169" s="10442" t="s">
        <v>230</v>
      </c>
      <c r="G169" s="10433" t="s">
        <v>171</v>
      </c>
      <c r="H169" s="10433" t="s">
        <v>133</v>
      </c>
      <c r="I169" s="10433" t="s">
        <v>4374</v>
      </c>
      <c r="J169" s="10433" t="s">
        <v>4375</v>
      </c>
      <c r="K169" s="10433" t="s">
        <v>4376</v>
      </c>
      <c r="L169" s="10676">
        <v>10</v>
      </c>
      <c r="M169" s="10676">
        <v>10</v>
      </c>
      <c r="N169" s="10676">
        <v>10</v>
      </c>
      <c r="O169" s="10433" t="s">
        <v>4377</v>
      </c>
      <c r="P169" s="10433" t="s">
        <v>4378</v>
      </c>
      <c r="Q169" s="10439" t="s">
        <v>4379</v>
      </c>
      <c r="R169" s="3885" t="s">
        <v>79</v>
      </c>
      <c r="S169" s="5684">
        <v>531407</v>
      </c>
      <c r="T169" s="5684"/>
      <c r="U169" s="3762" t="s">
        <v>40</v>
      </c>
      <c r="V169" s="5502"/>
      <c r="W169" s="3709"/>
      <c r="X169" s="5529"/>
      <c r="Y169" s="5529"/>
      <c r="Z169" s="5529"/>
      <c r="AA169" s="5530">
        <f>SUM($Z$170:$Z$172)</f>
        <v>70.56</v>
      </c>
      <c r="AB169" s="5780" t="s">
        <v>25</v>
      </c>
      <c r="AC169" s="3886"/>
      <c r="AD169" s="3709"/>
      <c r="AE169" s="3724"/>
      <c r="AF169" s="3724"/>
      <c r="AG169" s="10525" t="s">
        <v>4380</v>
      </c>
    </row>
    <row r="170" spans="1:33" ht="43.5" customHeight="1">
      <c r="A170" s="10663"/>
      <c r="B170" s="10659"/>
      <c r="C170" s="10656"/>
      <c r="D170" s="10656"/>
      <c r="E170" s="10656"/>
      <c r="F170" s="10656"/>
      <c r="G170" s="10656"/>
      <c r="H170" s="10656"/>
      <c r="I170" s="10656"/>
      <c r="J170" s="10656"/>
      <c r="K170" s="10656"/>
      <c r="L170" s="10667"/>
      <c r="M170" s="10667"/>
      <c r="N170" s="10667"/>
      <c r="O170" s="10656"/>
      <c r="P170" s="10656"/>
      <c r="Q170" s="10672"/>
      <c r="R170" s="3868"/>
      <c r="S170" s="5681"/>
      <c r="T170" s="5681">
        <v>461220011</v>
      </c>
      <c r="U170" s="3495" t="s">
        <v>4381</v>
      </c>
      <c r="V170" s="5499">
        <v>1</v>
      </c>
      <c r="W170" s="3668" t="s">
        <v>180</v>
      </c>
      <c r="X170" s="5523">
        <v>63</v>
      </c>
      <c r="Y170" s="5523">
        <f t="shared" ref="Y170" si="6">+V170*X170</f>
        <v>63</v>
      </c>
      <c r="Z170" s="5523">
        <f t="shared" ref="Z170" si="7">+Y170*1.12</f>
        <v>70.56</v>
      </c>
      <c r="AA170" s="5524"/>
      <c r="AB170" s="5779"/>
      <c r="AC170" s="3847"/>
      <c r="AD170" s="3496"/>
      <c r="AE170" s="3666" t="s">
        <v>153</v>
      </c>
      <c r="AF170" s="3666"/>
      <c r="AG170" s="10678"/>
    </row>
    <row r="171" spans="1:33" ht="43.5" customHeight="1">
      <c r="A171" s="10663"/>
      <c r="B171" s="10659"/>
      <c r="C171" s="10656"/>
      <c r="D171" s="10656"/>
      <c r="E171" s="10656"/>
      <c r="F171" s="10656"/>
      <c r="G171" s="10656"/>
      <c r="H171" s="10656"/>
      <c r="I171" s="10656"/>
      <c r="J171" s="10656"/>
      <c r="K171" s="10656"/>
      <c r="L171" s="10667"/>
      <c r="M171" s="10667"/>
      <c r="N171" s="10667"/>
      <c r="O171" s="10656"/>
      <c r="P171" s="10656"/>
      <c r="Q171" s="10672"/>
      <c r="R171" s="3868"/>
      <c r="S171" s="5681"/>
      <c r="T171" s="5681"/>
      <c r="U171" s="3495"/>
      <c r="V171" s="5499"/>
      <c r="W171" s="3496"/>
      <c r="X171" s="5523"/>
      <c r="Y171" s="5523"/>
      <c r="Z171" s="5523"/>
      <c r="AA171" s="5524"/>
      <c r="AB171" s="5779"/>
      <c r="AC171" s="3847"/>
      <c r="AD171" s="3496"/>
      <c r="AE171" s="3666"/>
      <c r="AF171" s="3666"/>
      <c r="AG171" s="10678"/>
    </row>
    <row r="172" spans="1:33" ht="43.5" customHeight="1">
      <c r="A172" s="10663"/>
      <c r="B172" s="10659"/>
      <c r="C172" s="10656"/>
      <c r="D172" s="10656"/>
      <c r="E172" s="10656"/>
      <c r="F172" s="10656"/>
      <c r="G172" s="10656"/>
      <c r="H172" s="10656"/>
      <c r="I172" s="10656"/>
      <c r="J172" s="10656"/>
      <c r="K172" s="10656"/>
      <c r="L172" s="10667"/>
      <c r="M172" s="10667"/>
      <c r="N172" s="10667"/>
      <c r="O172" s="10656"/>
      <c r="P172" s="10656"/>
      <c r="Q172" s="10672"/>
      <c r="R172" s="3868"/>
      <c r="S172" s="5682"/>
      <c r="T172" s="5682"/>
      <c r="U172" s="3542"/>
      <c r="V172" s="5499"/>
      <c r="W172" s="3496"/>
      <c r="X172" s="5523"/>
      <c r="Y172" s="5523"/>
      <c r="Z172" s="5523"/>
      <c r="AA172" s="5524"/>
      <c r="AB172" s="5779"/>
      <c r="AC172" s="3847"/>
      <c r="AD172" s="3496"/>
      <c r="AE172" s="3666"/>
      <c r="AF172" s="3666"/>
      <c r="AG172" s="10678"/>
    </row>
    <row r="173" spans="1:33" ht="43.5" customHeight="1">
      <c r="A173" s="10663"/>
      <c r="B173" s="10659"/>
      <c r="C173" s="10656"/>
      <c r="D173" s="10656"/>
      <c r="E173" s="10656"/>
      <c r="F173" s="10656"/>
      <c r="G173" s="10656"/>
      <c r="H173" s="10656"/>
      <c r="I173" s="10656"/>
      <c r="J173" s="10656"/>
      <c r="K173" s="10658"/>
      <c r="L173" s="10668"/>
      <c r="M173" s="10668"/>
      <c r="N173" s="10668"/>
      <c r="O173" s="10658"/>
      <c r="P173" s="10658"/>
      <c r="Q173" s="10673"/>
      <c r="R173" s="3899"/>
      <c r="S173" s="5683"/>
      <c r="T173" s="5683"/>
      <c r="U173" s="3759"/>
      <c r="V173" s="5509"/>
      <c r="W173" s="3714"/>
      <c r="X173" s="5544"/>
      <c r="Y173" s="5544"/>
      <c r="Z173" s="5544"/>
      <c r="AA173" s="5545"/>
      <c r="AB173" s="5823"/>
      <c r="AC173" s="3880"/>
      <c r="AD173" s="3714"/>
      <c r="AE173" s="3718"/>
      <c r="AF173" s="3718"/>
      <c r="AG173" s="10679"/>
    </row>
    <row r="174" spans="1:33" ht="36.75" customHeight="1">
      <c r="A174" s="10663"/>
      <c r="B174" s="10659"/>
      <c r="C174" s="10656"/>
      <c r="D174" s="10656"/>
      <c r="E174" s="10656"/>
      <c r="F174" s="10656"/>
      <c r="G174" s="10656"/>
      <c r="H174" s="10656"/>
      <c r="I174" s="10656"/>
      <c r="J174" s="10656"/>
      <c r="K174" s="10433" t="s">
        <v>4382</v>
      </c>
      <c r="L174" s="10676">
        <v>6</v>
      </c>
      <c r="M174" s="10676">
        <v>7</v>
      </c>
      <c r="N174" s="10676">
        <v>7</v>
      </c>
      <c r="O174" s="10433" t="s">
        <v>4383</v>
      </c>
      <c r="P174" s="10433" t="s">
        <v>4384</v>
      </c>
      <c r="Q174" s="10439" t="s">
        <v>4385</v>
      </c>
      <c r="R174" s="3885"/>
      <c r="S174" s="5684"/>
      <c r="T174" s="5684"/>
      <c r="U174" s="3762"/>
      <c r="V174" s="5502"/>
      <c r="W174" s="3709"/>
      <c r="X174" s="5529"/>
      <c r="Y174" s="5529"/>
      <c r="Z174" s="5529"/>
      <c r="AA174" s="5530"/>
      <c r="AB174" s="5780"/>
      <c r="AC174" s="3886"/>
      <c r="AD174" s="3709"/>
      <c r="AE174" s="3724"/>
      <c r="AF174" s="3724"/>
      <c r="AG174" s="10525" t="s">
        <v>4386</v>
      </c>
    </row>
    <row r="175" spans="1:33" ht="36.75" customHeight="1">
      <c r="A175" s="10663"/>
      <c r="B175" s="10659"/>
      <c r="C175" s="10656"/>
      <c r="D175" s="10656"/>
      <c r="E175" s="10656"/>
      <c r="F175" s="10656"/>
      <c r="G175" s="10656"/>
      <c r="H175" s="10656"/>
      <c r="I175" s="10656"/>
      <c r="J175" s="10656"/>
      <c r="K175" s="10656"/>
      <c r="L175" s="10667"/>
      <c r="M175" s="10667"/>
      <c r="N175" s="10667"/>
      <c r="O175" s="10656"/>
      <c r="P175" s="10656"/>
      <c r="Q175" s="10672"/>
      <c r="R175" s="3868"/>
      <c r="S175" s="5681"/>
      <c r="T175" s="5682"/>
      <c r="U175" s="3495"/>
      <c r="V175" s="5499"/>
      <c r="W175" s="3496"/>
      <c r="X175" s="5523"/>
      <c r="Y175" s="5523"/>
      <c r="Z175" s="5523"/>
      <c r="AA175" s="5524"/>
      <c r="AB175" s="5779"/>
      <c r="AC175" s="3847"/>
      <c r="AD175" s="3496"/>
      <c r="AE175" s="3666"/>
      <c r="AF175" s="3666"/>
      <c r="AG175" s="10678"/>
    </row>
    <row r="176" spans="1:33" ht="36.75" customHeight="1">
      <c r="A176" s="10663"/>
      <c r="B176" s="10659"/>
      <c r="C176" s="10656"/>
      <c r="D176" s="10656"/>
      <c r="E176" s="10656"/>
      <c r="F176" s="10656"/>
      <c r="G176" s="10656"/>
      <c r="H176" s="10656"/>
      <c r="I176" s="10656"/>
      <c r="J176" s="10656"/>
      <c r="K176" s="10656"/>
      <c r="L176" s="10667"/>
      <c r="M176" s="10667"/>
      <c r="N176" s="10667"/>
      <c r="O176" s="10656"/>
      <c r="P176" s="10656"/>
      <c r="Q176" s="10672"/>
      <c r="R176" s="3868"/>
      <c r="S176" s="5682"/>
      <c r="T176" s="5682"/>
      <c r="U176" s="3542"/>
      <c r="V176" s="5499"/>
      <c r="W176" s="3496"/>
      <c r="X176" s="5523"/>
      <c r="Y176" s="5523"/>
      <c r="Z176" s="5523"/>
      <c r="AA176" s="5524"/>
      <c r="AB176" s="5779"/>
      <c r="AC176" s="3847"/>
      <c r="AD176" s="3496"/>
      <c r="AE176" s="3666"/>
      <c r="AF176" s="3666"/>
      <c r="AG176" s="10678"/>
    </row>
    <row r="177" spans="1:33" ht="36.75" customHeight="1">
      <c r="A177" s="10663"/>
      <c r="B177" s="10659"/>
      <c r="C177" s="10656"/>
      <c r="D177" s="10656"/>
      <c r="E177" s="10656"/>
      <c r="F177" s="10656"/>
      <c r="G177" s="10656"/>
      <c r="H177" s="10656"/>
      <c r="I177" s="10656"/>
      <c r="J177" s="10656"/>
      <c r="K177" s="10656"/>
      <c r="L177" s="10667"/>
      <c r="M177" s="10667"/>
      <c r="N177" s="10667"/>
      <c r="O177" s="10656"/>
      <c r="P177" s="10656"/>
      <c r="Q177" s="10672"/>
      <c r="R177" s="3868"/>
      <c r="S177" s="5681"/>
      <c r="T177" s="5682"/>
      <c r="U177" s="3495"/>
      <c r="V177" s="5499"/>
      <c r="W177" s="3496"/>
      <c r="X177" s="5523"/>
      <c r="Y177" s="5523"/>
      <c r="Z177" s="5523"/>
      <c r="AA177" s="5524"/>
      <c r="AB177" s="5779"/>
      <c r="AC177" s="3847"/>
      <c r="AD177" s="3496"/>
      <c r="AE177" s="3666"/>
      <c r="AF177" s="3666"/>
      <c r="AG177" s="10678"/>
    </row>
    <row r="178" spans="1:33" ht="36.75" customHeight="1">
      <c r="A178" s="10663"/>
      <c r="B178" s="10659"/>
      <c r="C178" s="10656"/>
      <c r="D178" s="10656"/>
      <c r="E178" s="10656"/>
      <c r="F178" s="10656"/>
      <c r="G178" s="10656"/>
      <c r="H178" s="10656"/>
      <c r="I178" s="10656"/>
      <c r="J178" s="10656"/>
      <c r="K178" s="10656"/>
      <c r="L178" s="10667"/>
      <c r="M178" s="10667"/>
      <c r="N178" s="10667"/>
      <c r="O178" s="10656"/>
      <c r="P178" s="10656"/>
      <c r="Q178" s="10672"/>
      <c r="R178" s="3868"/>
      <c r="S178" s="5682"/>
      <c r="T178" s="5682"/>
      <c r="U178" s="3542"/>
      <c r="V178" s="5499"/>
      <c r="W178" s="3496"/>
      <c r="X178" s="5523"/>
      <c r="Y178" s="5523"/>
      <c r="Z178" s="5523"/>
      <c r="AA178" s="5524"/>
      <c r="AB178" s="5779"/>
      <c r="AC178" s="3847"/>
      <c r="AD178" s="3496"/>
      <c r="AE178" s="3666"/>
      <c r="AF178" s="3666"/>
      <c r="AG178" s="10678"/>
    </row>
    <row r="179" spans="1:33" ht="36.75" customHeight="1">
      <c r="A179" s="10663"/>
      <c r="B179" s="10659"/>
      <c r="C179" s="10656"/>
      <c r="D179" s="10656"/>
      <c r="E179" s="10656"/>
      <c r="F179" s="10656"/>
      <c r="G179" s="10656"/>
      <c r="H179" s="10656"/>
      <c r="I179" s="10656"/>
      <c r="J179" s="10656"/>
      <c r="K179" s="10657"/>
      <c r="L179" s="10674"/>
      <c r="M179" s="10674"/>
      <c r="N179" s="10674"/>
      <c r="O179" s="10657"/>
      <c r="P179" s="10657"/>
      <c r="Q179" s="10675"/>
      <c r="R179" s="3897"/>
      <c r="S179" s="5696"/>
      <c r="T179" s="7284"/>
      <c r="U179" s="3557"/>
      <c r="V179" s="5503"/>
      <c r="W179" s="3545"/>
      <c r="X179" s="5532"/>
      <c r="Y179" s="5532"/>
      <c r="Z179" s="5532"/>
      <c r="AA179" s="5533"/>
      <c r="AB179" s="5828"/>
      <c r="AC179" s="3888"/>
      <c r="AD179" s="3545"/>
      <c r="AE179" s="3707"/>
      <c r="AF179" s="3707"/>
      <c r="AG179" s="10680"/>
    </row>
    <row r="180" spans="1:33" ht="45" customHeight="1">
      <c r="A180" s="10663"/>
      <c r="B180" s="10659"/>
      <c r="C180" s="10656"/>
      <c r="D180" s="10656"/>
      <c r="E180" s="10656"/>
      <c r="F180" s="10656"/>
      <c r="G180" s="10656"/>
      <c r="H180" s="10656"/>
      <c r="I180" s="10656"/>
      <c r="J180" s="10656"/>
      <c r="K180" s="10444" t="s">
        <v>4387</v>
      </c>
      <c r="L180" s="10666">
        <v>2</v>
      </c>
      <c r="M180" s="10666">
        <v>4</v>
      </c>
      <c r="N180" s="10666">
        <v>4</v>
      </c>
      <c r="O180" s="10444" t="s">
        <v>4388</v>
      </c>
      <c r="P180" s="10444" t="s">
        <v>4384</v>
      </c>
      <c r="Q180" s="10449" t="s">
        <v>4389</v>
      </c>
      <c r="R180" s="3892"/>
      <c r="S180" s="5689"/>
      <c r="T180" s="5689"/>
      <c r="U180" s="3758"/>
      <c r="V180" s="5504"/>
      <c r="W180" s="3658"/>
      <c r="X180" s="5534"/>
      <c r="Y180" s="5534"/>
      <c r="Z180" s="5534"/>
      <c r="AA180" s="5535"/>
      <c r="AB180" s="5822"/>
      <c r="AC180" s="3893"/>
      <c r="AD180" s="3658"/>
      <c r="AE180" s="3660"/>
      <c r="AF180" s="3660"/>
      <c r="AG180" s="10464" t="s">
        <v>4390</v>
      </c>
    </row>
    <row r="181" spans="1:33" ht="45" customHeight="1">
      <c r="A181" s="10663"/>
      <c r="B181" s="10659"/>
      <c r="C181" s="10656"/>
      <c r="D181" s="10656"/>
      <c r="E181" s="10656"/>
      <c r="F181" s="10656"/>
      <c r="G181" s="10656"/>
      <c r="H181" s="10656"/>
      <c r="I181" s="10656"/>
      <c r="J181" s="10656"/>
      <c r="K181" s="10656"/>
      <c r="L181" s="10667"/>
      <c r="M181" s="10667"/>
      <c r="N181" s="10667"/>
      <c r="O181" s="10656"/>
      <c r="P181" s="10656"/>
      <c r="Q181" s="10672"/>
      <c r="R181" s="3868"/>
      <c r="S181" s="5681"/>
      <c r="T181" s="5682"/>
      <c r="U181" s="3495"/>
      <c r="V181" s="5499"/>
      <c r="W181" s="3496"/>
      <c r="X181" s="5523"/>
      <c r="Y181" s="5523"/>
      <c r="Z181" s="5523"/>
      <c r="AA181" s="5524"/>
      <c r="AB181" s="5779"/>
      <c r="AC181" s="3847"/>
      <c r="AD181" s="3496"/>
      <c r="AE181" s="3666"/>
      <c r="AF181" s="3666"/>
      <c r="AG181" s="10678"/>
    </row>
    <row r="182" spans="1:33" ht="45" customHeight="1">
      <c r="A182" s="10663"/>
      <c r="B182" s="10659"/>
      <c r="C182" s="10656"/>
      <c r="D182" s="10656"/>
      <c r="E182" s="10656"/>
      <c r="F182" s="10656"/>
      <c r="G182" s="10656"/>
      <c r="H182" s="10656"/>
      <c r="I182" s="10656"/>
      <c r="J182" s="10656"/>
      <c r="K182" s="10656"/>
      <c r="L182" s="10667"/>
      <c r="M182" s="10667"/>
      <c r="N182" s="10667"/>
      <c r="O182" s="10656"/>
      <c r="P182" s="10656"/>
      <c r="Q182" s="10672"/>
      <c r="R182" s="3868"/>
      <c r="S182" s="5682"/>
      <c r="T182" s="5682"/>
      <c r="U182" s="3542"/>
      <c r="V182" s="5499"/>
      <c r="W182" s="3496"/>
      <c r="X182" s="5523"/>
      <c r="Y182" s="5523"/>
      <c r="Z182" s="5523"/>
      <c r="AA182" s="5524"/>
      <c r="AB182" s="5779"/>
      <c r="AC182" s="3847"/>
      <c r="AD182" s="3496"/>
      <c r="AE182" s="3666"/>
      <c r="AF182" s="3666"/>
      <c r="AG182" s="10678"/>
    </row>
    <row r="183" spans="1:33" ht="45" customHeight="1">
      <c r="A183" s="10663"/>
      <c r="B183" s="10659"/>
      <c r="C183" s="10656"/>
      <c r="D183" s="10656"/>
      <c r="E183" s="10656"/>
      <c r="F183" s="10656"/>
      <c r="G183" s="10656"/>
      <c r="H183" s="10656"/>
      <c r="I183" s="10656"/>
      <c r="J183" s="10656"/>
      <c r="K183" s="10656"/>
      <c r="L183" s="10667"/>
      <c r="M183" s="10667"/>
      <c r="N183" s="10667"/>
      <c r="O183" s="10656"/>
      <c r="P183" s="10656"/>
      <c r="Q183" s="10672"/>
      <c r="R183" s="3868"/>
      <c r="S183" s="5681"/>
      <c r="T183" s="5682"/>
      <c r="U183" s="3495"/>
      <c r="V183" s="5499"/>
      <c r="W183" s="3496"/>
      <c r="X183" s="5523"/>
      <c r="Y183" s="5523"/>
      <c r="Z183" s="5523"/>
      <c r="AA183" s="5524"/>
      <c r="AB183" s="5779"/>
      <c r="AC183" s="3847"/>
      <c r="AD183" s="3496"/>
      <c r="AE183" s="3666"/>
      <c r="AF183" s="3666"/>
      <c r="AG183" s="10678"/>
    </row>
    <row r="184" spans="1:33" ht="45" customHeight="1">
      <c r="A184" s="10663"/>
      <c r="B184" s="10659"/>
      <c r="C184" s="10656"/>
      <c r="D184" s="10656"/>
      <c r="E184" s="10656"/>
      <c r="F184" s="10656"/>
      <c r="G184" s="10656"/>
      <c r="H184" s="10656"/>
      <c r="I184" s="10656"/>
      <c r="J184" s="10656"/>
      <c r="K184" s="10658"/>
      <c r="L184" s="10668"/>
      <c r="M184" s="10668"/>
      <c r="N184" s="10668"/>
      <c r="O184" s="10658"/>
      <c r="P184" s="10658"/>
      <c r="Q184" s="10673"/>
      <c r="R184" s="3899"/>
      <c r="S184" s="5683"/>
      <c r="T184" s="5691"/>
      <c r="U184" s="3759"/>
      <c r="V184" s="5509"/>
      <c r="W184" s="3714"/>
      <c r="X184" s="5544"/>
      <c r="Y184" s="5544"/>
      <c r="Z184" s="5544"/>
      <c r="AA184" s="5545"/>
      <c r="AB184" s="5823"/>
      <c r="AC184" s="3880"/>
      <c r="AD184" s="3714"/>
      <c r="AE184" s="3718"/>
      <c r="AF184" s="3718"/>
      <c r="AG184" s="10679"/>
    </row>
    <row r="185" spans="1:33" ht="45" customHeight="1">
      <c r="A185" s="10663"/>
      <c r="B185" s="10659"/>
      <c r="C185" s="10656"/>
      <c r="D185" s="10656"/>
      <c r="E185" s="10656"/>
      <c r="F185" s="10656"/>
      <c r="G185" s="10656"/>
      <c r="H185" s="10656"/>
      <c r="I185" s="10656"/>
      <c r="J185" s="10656"/>
      <c r="K185" s="10433" t="s">
        <v>4391</v>
      </c>
      <c r="L185" s="10676">
        <v>2</v>
      </c>
      <c r="M185" s="10676">
        <v>3</v>
      </c>
      <c r="N185" s="10676">
        <v>3</v>
      </c>
      <c r="O185" s="10433" t="s">
        <v>4392</v>
      </c>
      <c r="P185" s="10433" t="s">
        <v>4384</v>
      </c>
      <c r="Q185" s="10439" t="s">
        <v>4389</v>
      </c>
      <c r="R185" s="3885"/>
      <c r="S185" s="5684"/>
      <c r="T185" s="5684"/>
      <c r="U185" s="3762"/>
      <c r="V185" s="5502"/>
      <c r="W185" s="3709"/>
      <c r="X185" s="5529"/>
      <c r="Y185" s="5529"/>
      <c r="Z185" s="5529"/>
      <c r="AA185" s="5530"/>
      <c r="AB185" s="5780"/>
      <c r="AC185" s="3886"/>
      <c r="AD185" s="3709"/>
      <c r="AE185" s="3724"/>
      <c r="AF185" s="3724"/>
      <c r="AG185" s="10525" t="s">
        <v>4393</v>
      </c>
    </row>
    <row r="186" spans="1:33" ht="45" customHeight="1">
      <c r="A186" s="10663"/>
      <c r="B186" s="10659"/>
      <c r="C186" s="10656"/>
      <c r="D186" s="10656"/>
      <c r="E186" s="10656"/>
      <c r="F186" s="10656"/>
      <c r="G186" s="10656"/>
      <c r="H186" s="10656"/>
      <c r="I186" s="10656"/>
      <c r="J186" s="10656"/>
      <c r="K186" s="10656"/>
      <c r="L186" s="10667"/>
      <c r="M186" s="10667"/>
      <c r="N186" s="10667"/>
      <c r="O186" s="10656"/>
      <c r="P186" s="10656"/>
      <c r="Q186" s="10672"/>
      <c r="R186" s="3868"/>
      <c r="S186" s="5681"/>
      <c r="T186" s="5682"/>
      <c r="U186" s="3495"/>
      <c r="V186" s="5499"/>
      <c r="W186" s="3496"/>
      <c r="X186" s="5523"/>
      <c r="Y186" s="5523"/>
      <c r="Z186" s="5523"/>
      <c r="AA186" s="5524"/>
      <c r="AB186" s="5779"/>
      <c r="AC186" s="3847"/>
      <c r="AD186" s="3496"/>
      <c r="AE186" s="3666"/>
      <c r="AF186" s="3666"/>
      <c r="AG186" s="10678"/>
    </row>
    <row r="187" spans="1:33" ht="45" customHeight="1">
      <c r="A187" s="10663"/>
      <c r="B187" s="10659"/>
      <c r="C187" s="10656"/>
      <c r="D187" s="10656"/>
      <c r="E187" s="10656"/>
      <c r="F187" s="10656"/>
      <c r="G187" s="10656"/>
      <c r="H187" s="10656"/>
      <c r="I187" s="10656"/>
      <c r="J187" s="10656"/>
      <c r="K187" s="10656"/>
      <c r="L187" s="10667"/>
      <c r="M187" s="10667"/>
      <c r="N187" s="10667"/>
      <c r="O187" s="10656"/>
      <c r="P187" s="10656"/>
      <c r="Q187" s="10672"/>
      <c r="R187" s="3868"/>
      <c r="S187" s="5682"/>
      <c r="T187" s="5682"/>
      <c r="U187" s="3542"/>
      <c r="V187" s="5499"/>
      <c r="W187" s="3496"/>
      <c r="X187" s="5523"/>
      <c r="Y187" s="5523"/>
      <c r="Z187" s="5523"/>
      <c r="AA187" s="5524"/>
      <c r="AB187" s="5779"/>
      <c r="AC187" s="3847"/>
      <c r="AD187" s="3496"/>
      <c r="AE187" s="3666"/>
      <c r="AF187" s="3666"/>
      <c r="AG187" s="10678"/>
    </row>
    <row r="188" spans="1:33" ht="45" customHeight="1">
      <c r="A188" s="10663"/>
      <c r="B188" s="10659"/>
      <c r="C188" s="10656"/>
      <c r="D188" s="10656"/>
      <c r="E188" s="10656"/>
      <c r="F188" s="10656"/>
      <c r="G188" s="10656"/>
      <c r="H188" s="10656"/>
      <c r="I188" s="10656"/>
      <c r="J188" s="10656"/>
      <c r="K188" s="10656"/>
      <c r="L188" s="10667"/>
      <c r="M188" s="10667"/>
      <c r="N188" s="10667"/>
      <c r="O188" s="10656"/>
      <c r="P188" s="10656"/>
      <c r="Q188" s="10672"/>
      <c r="R188" s="3868"/>
      <c r="S188" s="5681"/>
      <c r="T188" s="5687"/>
      <c r="U188" s="3813"/>
      <c r="V188" s="5500"/>
      <c r="W188" s="3504"/>
      <c r="X188" s="5525"/>
      <c r="Y188" s="5525"/>
      <c r="Z188" s="5525"/>
      <c r="AA188" s="5526"/>
      <c r="AB188" s="5825"/>
      <c r="AC188" s="3848"/>
      <c r="AD188" s="3504"/>
      <c r="AE188" s="3505"/>
      <c r="AF188" s="3505"/>
      <c r="AG188" s="10678"/>
    </row>
    <row r="189" spans="1:33" ht="45" customHeight="1">
      <c r="A189" s="10663"/>
      <c r="B189" s="10659"/>
      <c r="C189" s="10656"/>
      <c r="D189" s="10656"/>
      <c r="E189" s="10656"/>
      <c r="F189" s="10656"/>
      <c r="G189" s="10656"/>
      <c r="H189" s="10656"/>
      <c r="I189" s="10656"/>
      <c r="J189" s="10656"/>
      <c r="K189" s="10657"/>
      <c r="L189" s="10674"/>
      <c r="M189" s="10674"/>
      <c r="N189" s="10674"/>
      <c r="O189" s="10657"/>
      <c r="P189" s="10657"/>
      <c r="Q189" s="10675"/>
      <c r="R189" s="3897"/>
      <c r="S189" s="5696"/>
      <c r="T189" s="7369"/>
      <c r="U189" s="2932"/>
      <c r="V189" s="5506"/>
      <c r="W189" s="2933"/>
      <c r="X189" s="5538"/>
      <c r="Y189" s="5538"/>
      <c r="Z189" s="5538"/>
      <c r="AA189" s="5539"/>
      <c r="AB189" s="5826"/>
      <c r="AC189" s="3878"/>
      <c r="AD189" s="2933"/>
      <c r="AE189" s="3713"/>
      <c r="AF189" s="3713"/>
      <c r="AG189" s="10680"/>
    </row>
    <row r="190" spans="1:33">
      <c r="A190" s="10663"/>
      <c r="B190" s="10659"/>
      <c r="C190" s="10656"/>
      <c r="D190" s="10656"/>
      <c r="E190" s="10656"/>
      <c r="F190" s="10656"/>
      <c r="G190" s="10656"/>
      <c r="H190" s="10656"/>
      <c r="I190" s="10656"/>
      <c r="J190" s="10656"/>
      <c r="K190" s="10444" t="s">
        <v>4394</v>
      </c>
      <c r="L190" s="10666">
        <v>4</v>
      </c>
      <c r="M190" s="10666">
        <v>8</v>
      </c>
      <c r="N190" s="10666">
        <v>8</v>
      </c>
      <c r="O190" s="10444" t="s">
        <v>4395</v>
      </c>
      <c r="P190" s="10444" t="s">
        <v>4396</v>
      </c>
      <c r="Q190" s="10449" t="s">
        <v>4397</v>
      </c>
      <c r="R190" s="3892" t="s">
        <v>79</v>
      </c>
      <c r="S190" s="5689">
        <v>530813</v>
      </c>
      <c r="T190" s="5689"/>
      <c r="U190" s="3758" t="s">
        <v>2694</v>
      </c>
      <c r="V190" s="5504"/>
      <c r="W190" s="3658"/>
      <c r="X190" s="7824"/>
      <c r="Y190" s="7824"/>
      <c r="Z190" s="7824"/>
      <c r="AA190" s="7825">
        <f>Z191</f>
        <v>151.43</v>
      </c>
      <c r="AB190" s="5822" t="s">
        <v>25</v>
      </c>
      <c r="AC190" s="3884"/>
      <c r="AD190" s="3721"/>
      <c r="AE190" s="3722"/>
      <c r="AF190" s="3722"/>
      <c r="AG190" s="10464" t="s">
        <v>4398</v>
      </c>
    </row>
    <row r="191" spans="1:33" ht="25.5">
      <c r="A191" s="10663"/>
      <c r="B191" s="10659"/>
      <c r="C191" s="10656"/>
      <c r="D191" s="10656"/>
      <c r="E191" s="10656"/>
      <c r="F191" s="10656"/>
      <c r="G191" s="10656"/>
      <c r="H191" s="10656"/>
      <c r="I191" s="10656"/>
      <c r="J191" s="10656"/>
      <c r="K191" s="10656"/>
      <c r="L191" s="10667"/>
      <c r="M191" s="10667"/>
      <c r="N191" s="10667"/>
      <c r="O191" s="10656"/>
      <c r="P191" s="10656"/>
      <c r="Q191" s="10672"/>
      <c r="R191" s="3868"/>
      <c r="S191" s="5681"/>
      <c r="T191" s="5681">
        <v>462110553</v>
      </c>
      <c r="U191" s="3495" t="s">
        <v>4399</v>
      </c>
      <c r="V191" s="5499">
        <v>1</v>
      </c>
      <c r="W191" s="3668" t="s">
        <v>479</v>
      </c>
      <c r="X191" s="7821">
        <v>151.43</v>
      </c>
      <c r="Y191" s="7821">
        <f>X191</f>
        <v>151.43</v>
      </c>
      <c r="Z191" s="7821">
        <f>Y191</f>
        <v>151.43</v>
      </c>
      <c r="AA191" s="7820"/>
      <c r="AB191" s="5779"/>
      <c r="AC191" s="3848"/>
      <c r="AD191" s="3504"/>
      <c r="AE191" s="3505" t="s">
        <v>153</v>
      </c>
      <c r="AF191" s="3505"/>
      <c r="AG191" s="10678"/>
    </row>
    <row r="192" spans="1:33" ht="16.5">
      <c r="A192" s="10663"/>
      <c r="B192" s="10659"/>
      <c r="C192" s="10656"/>
      <c r="D192" s="10656"/>
      <c r="E192" s="10656"/>
      <c r="F192" s="10656"/>
      <c r="G192" s="10656"/>
      <c r="H192" s="10656"/>
      <c r="I192" s="10656"/>
      <c r="J192" s="10656"/>
      <c r="K192" s="10656"/>
      <c r="L192" s="10667"/>
      <c r="M192" s="10667"/>
      <c r="N192" s="10667"/>
      <c r="O192" s="10656"/>
      <c r="P192" s="10656"/>
      <c r="Q192" s="10672"/>
      <c r="R192" s="3868"/>
      <c r="S192" s="5681"/>
      <c r="T192" s="5681"/>
      <c r="U192" s="3495"/>
      <c r="V192" s="5499"/>
      <c r="W192" s="3668"/>
      <c r="X192" s="5523"/>
      <c r="Y192" s="5523"/>
      <c r="Z192" s="5523"/>
      <c r="AA192" s="5524"/>
      <c r="AB192" s="5779"/>
      <c r="AC192" s="3848"/>
      <c r="AD192" s="3504"/>
      <c r="AE192" s="3505" t="s">
        <v>153</v>
      </c>
      <c r="AF192" s="3505"/>
      <c r="AG192" s="10678"/>
    </row>
    <row r="193" spans="1:33" ht="16.5">
      <c r="A193" s="10663"/>
      <c r="B193" s="10659"/>
      <c r="C193" s="10656"/>
      <c r="D193" s="10656"/>
      <c r="E193" s="10656"/>
      <c r="F193" s="10656"/>
      <c r="G193" s="10656"/>
      <c r="H193" s="10656"/>
      <c r="I193" s="10656"/>
      <c r="J193" s="10656"/>
      <c r="K193" s="10656"/>
      <c r="L193" s="10667"/>
      <c r="M193" s="10667"/>
      <c r="N193" s="10667"/>
      <c r="O193" s="10656"/>
      <c r="P193" s="10656"/>
      <c r="Q193" s="10672"/>
      <c r="R193" s="3868"/>
      <c r="S193" s="5681"/>
      <c r="T193" s="5681"/>
      <c r="U193" s="3495"/>
      <c r="V193" s="5499"/>
      <c r="W193" s="3668"/>
      <c r="X193" s="5523"/>
      <c r="Y193" s="5523"/>
      <c r="Z193" s="5523"/>
      <c r="AA193" s="5524"/>
      <c r="AB193" s="5779"/>
      <c r="AC193" s="3848"/>
      <c r="AD193" s="3504"/>
      <c r="AE193" s="3505" t="s">
        <v>153</v>
      </c>
      <c r="AF193" s="3505"/>
      <c r="AG193" s="10678"/>
    </row>
    <row r="194" spans="1:33">
      <c r="A194" s="10663"/>
      <c r="B194" s="10659"/>
      <c r="C194" s="10656"/>
      <c r="D194" s="10656"/>
      <c r="E194" s="10656"/>
      <c r="F194" s="10656"/>
      <c r="G194" s="10656"/>
      <c r="H194" s="10656"/>
      <c r="I194" s="10656"/>
      <c r="J194" s="10656"/>
      <c r="K194" s="10656"/>
      <c r="L194" s="10667"/>
      <c r="M194" s="10667"/>
      <c r="N194" s="10667"/>
      <c r="O194" s="10656"/>
      <c r="P194" s="10656"/>
      <c r="Q194" s="10672"/>
      <c r="R194" s="3874" t="s">
        <v>81</v>
      </c>
      <c r="S194" s="5682">
        <v>840107</v>
      </c>
      <c r="T194" s="5681"/>
      <c r="U194" s="3542" t="s">
        <v>40</v>
      </c>
      <c r="V194" s="5499"/>
      <c r="W194" s="3496"/>
      <c r="X194" s="5523"/>
      <c r="Y194" s="5523"/>
      <c r="Z194" s="5523"/>
      <c r="AA194" s="7463"/>
      <c r="AB194" s="5779" t="s">
        <v>18</v>
      </c>
      <c r="AC194" s="3848"/>
      <c r="AD194" s="3504"/>
      <c r="AE194" s="3505"/>
      <c r="AF194" s="3505"/>
      <c r="AG194" s="10678"/>
    </row>
    <row r="195" spans="1:33" ht="16.5">
      <c r="A195" s="10663"/>
      <c r="B195" s="10659"/>
      <c r="C195" s="10656"/>
      <c r="D195" s="10656"/>
      <c r="E195" s="10656"/>
      <c r="F195" s="10656"/>
      <c r="G195" s="10656"/>
      <c r="H195" s="10656"/>
      <c r="I195" s="10656"/>
      <c r="J195" s="10656"/>
      <c r="K195" s="10656"/>
      <c r="L195" s="10667"/>
      <c r="M195" s="10667"/>
      <c r="N195" s="10667"/>
      <c r="O195" s="10656"/>
      <c r="P195" s="10656"/>
      <c r="Q195" s="10672"/>
      <c r="R195" s="3868"/>
      <c r="S195" s="5681"/>
      <c r="T195" s="7360">
        <v>452900028</v>
      </c>
      <c r="U195" s="3804" t="s">
        <v>4400</v>
      </c>
      <c r="V195" s="5507">
        <v>1</v>
      </c>
      <c r="W195" s="3671" t="s">
        <v>180</v>
      </c>
      <c r="X195" s="5542">
        <v>400</v>
      </c>
      <c r="Y195" s="5542">
        <f>+V195*X195</f>
        <v>400</v>
      </c>
      <c r="Z195" s="5542">
        <f>Y195</f>
        <v>400</v>
      </c>
      <c r="AA195" s="5541">
        <f>SUM($Z$195)</f>
        <v>400</v>
      </c>
      <c r="AB195" s="5779"/>
      <c r="AC195" s="3848"/>
      <c r="AD195" s="3504"/>
      <c r="AE195" s="3505" t="s">
        <v>153</v>
      </c>
      <c r="AF195" s="3505"/>
      <c r="AG195" s="10678"/>
    </row>
    <row r="196" spans="1:33">
      <c r="A196" s="10663"/>
      <c r="B196" s="10659"/>
      <c r="C196" s="10656"/>
      <c r="D196" s="10656"/>
      <c r="E196" s="10656"/>
      <c r="F196" s="10656"/>
      <c r="G196" s="10656"/>
      <c r="H196" s="10656"/>
      <c r="I196" s="10656"/>
      <c r="J196" s="10656"/>
      <c r="K196" s="10656"/>
      <c r="L196" s="10667"/>
      <c r="M196" s="10667"/>
      <c r="N196" s="10667"/>
      <c r="O196" s="10656"/>
      <c r="P196" s="10656"/>
      <c r="Q196" s="10672"/>
      <c r="R196" s="3868"/>
      <c r="S196" s="5682"/>
      <c r="T196" s="5682"/>
      <c r="U196" s="3542"/>
      <c r="V196" s="5499"/>
      <c r="W196" s="3496"/>
      <c r="X196" s="5523"/>
      <c r="Y196" s="5523"/>
      <c r="Z196" s="5523"/>
      <c r="AA196" s="5524"/>
      <c r="AB196" s="5779"/>
      <c r="AC196" s="3848"/>
      <c r="AD196" s="3504"/>
      <c r="AE196" s="3505"/>
      <c r="AF196" s="3505"/>
      <c r="AG196" s="10678"/>
    </row>
    <row r="197" spans="1:33">
      <c r="A197" s="10663"/>
      <c r="B197" s="10659"/>
      <c r="C197" s="10656"/>
      <c r="D197" s="10656"/>
      <c r="E197" s="10656"/>
      <c r="F197" s="10656"/>
      <c r="G197" s="10656"/>
      <c r="H197" s="10656"/>
      <c r="I197" s="10656"/>
      <c r="J197" s="10656"/>
      <c r="K197" s="10656"/>
      <c r="L197" s="10667"/>
      <c r="M197" s="10667"/>
      <c r="N197" s="10667"/>
      <c r="O197" s="10656"/>
      <c r="P197" s="10656"/>
      <c r="Q197" s="10672"/>
      <c r="R197" s="3868" t="s">
        <v>80</v>
      </c>
      <c r="S197" s="5682">
        <v>531407</v>
      </c>
      <c r="T197" s="5682"/>
      <c r="U197" s="3542" t="s">
        <v>40</v>
      </c>
      <c r="V197" s="5499"/>
      <c r="W197" s="3496"/>
      <c r="X197" s="5523"/>
      <c r="Y197" s="5523"/>
      <c r="Z197" s="5523"/>
      <c r="AA197" s="8065">
        <v>1881.52</v>
      </c>
      <c r="AB197" s="5779" t="s">
        <v>25</v>
      </c>
      <c r="AC197" s="3848"/>
      <c r="AD197" s="3504"/>
      <c r="AE197" s="3505"/>
      <c r="AF197" s="3505"/>
      <c r="AG197" s="10678"/>
    </row>
    <row r="198" spans="1:33" ht="25.5">
      <c r="A198" s="10663"/>
      <c r="B198" s="10659"/>
      <c r="C198" s="10656"/>
      <c r="D198" s="10656"/>
      <c r="E198" s="10656"/>
      <c r="F198" s="10656"/>
      <c r="G198" s="10656"/>
      <c r="H198" s="10656"/>
      <c r="I198" s="10656"/>
      <c r="J198" s="10656"/>
      <c r="K198" s="10656"/>
      <c r="L198" s="10667"/>
      <c r="M198" s="10667"/>
      <c r="N198" s="10667"/>
      <c r="O198" s="10656"/>
      <c r="P198" s="10656"/>
      <c r="Q198" s="10672"/>
      <c r="R198" s="3868"/>
      <c r="S198" s="5681"/>
      <c r="T198" s="5681"/>
      <c r="U198" s="8063" t="s">
        <v>4401</v>
      </c>
      <c r="V198" s="8087">
        <v>1</v>
      </c>
      <c r="W198" s="8096" t="s">
        <v>479</v>
      </c>
      <c r="X198" s="8069">
        <v>1881.52</v>
      </c>
      <c r="Y198" s="8069">
        <f t="shared" ref="Y198" si="8">+V198*X198</f>
        <v>1881.52</v>
      </c>
      <c r="Z198" s="8069">
        <f>Y198</f>
        <v>1881.52</v>
      </c>
      <c r="AA198" s="8065"/>
      <c r="AB198" s="5779"/>
      <c r="AC198" s="3848"/>
      <c r="AD198" s="3504"/>
      <c r="AE198" s="3505" t="s">
        <v>153</v>
      </c>
      <c r="AF198" s="3505"/>
      <c r="AG198" s="10678"/>
    </row>
    <row r="199" spans="1:33" ht="16.5">
      <c r="A199" s="10663"/>
      <c r="B199" s="10659"/>
      <c r="C199" s="10656"/>
      <c r="D199" s="10656"/>
      <c r="E199" s="10656"/>
      <c r="F199" s="10656"/>
      <c r="G199" s="10656"/>
      <c r="H199" s="10656"/>
      <c r="I199" s="10656"/>
      <c r="J199" s="10656"/>
      <c r="K199" s="10656"/>
      <c r="L199" s="10667"/>
      <c r="M199" s="10667"/>
      <c r="N199" s="10667"/>
      <c r="O199" s="10656"/>
      <c r="P199" s="10656"/>
      <c r="Q199" s="10672"/>
      <c r="R199" s="3868"/>
      <c r="S199" s="5681"/>
      <c r="T199" s="5681"/>
      <c r="U199" s="3495"/>
      <c r="V199" s="5499"/>
      <c r="W199" s="3668"/>
      <c r="X199" s="5523"/>
      <c r="Y199" s="5523"/>
      <c r="Z199" s="5523"/>
      <c r="AA199" s="5524"/>
      <c r="AB199" s="5779"/>
      <c r="AC199" s="3848"/>
      <c r="AD199" s="3504"/>
      <c r="AE199" s="3505" t="s">
        <v>153</v>
      </c>
      <c r="AF199" s="3505"/>
      <c r="AG199" s="10678"/>
    </row>
    <row r="200" spans="1:33" ht="16.5">
      <c r="A200" s="10663"/>
      <c r="B200" s="10659"/>
      <c r="C200" s="10656"/>
      <c r="D200" s="10656"/>
      <c r="E200" s="10656"/>
      <c r="F200" s="10656"/>
      <c r="G200" s="10656"/>
      <c r="H200" s="10656"/>
      <c r="I200" s="10656"/>
      <c r="J200" s="10656"/>
      <c r="K200" s="10656"/>
      <c r="L200" s="10667"/>
      <c r="M200" s="10667"/>
      <c r="N200" s="10667"/>
      <c r="O200" s="10656"/>
      <c r="P200" s="10656"/>
      <c r="Q200" s="10672"/>
      <c r="R200" s="3868"/>
      <c r="S200" s="5681"/>
      <c r="T200" s="5681"/>
      <c r="U200" s="3495"/>
      <c r="V200" s="5499"/>
      <c r="W200" s="3668"/>
      <c r="X200" s="5523"/>
      <c r="Y200" s="5523"/>
      <c r="Z200" s="5523"/>
      <c r="AA200" s="5524"/>
      <c r="AB200" s="5779"/>
      <c r="AC200" s="3848"/>
      <c r="AD200" s="3504"/>
      <c r="AE200" s="3505" t="s">
        <v>153</v>
      </c>
      <c r="AF200" s="3505"/>
      <c r="AG200" s="10678"/>
    </row>
    <row r="201" spans="1:33" ht="16.5">
      <c r="A201" s="10663"/>
      <c r="B201" s="10659"/>
      <c r="C201" s="10656"/>
      <c r="D201" s="10656"/>
      <c r="E201" s="10656"/>
      <c r="F201" s="10656"/>
      <c r="G201" s="10656"/>
      <c r="H201" s="10656"/>
      <c r="I201" s="10656"/>
      <c r="J201" s="10656"/>
      <c r="K201" s="10656"/>
      <c r="L201" s="10667"/>
      <c r="M201" s="10667"/>
      <c r="N201" s="10667"/>
      <c r="O201" s="10656"/>
      <c r="P201" s="10656"/>
      <c r="Q201" s="10672"/>
      <c r="R201" s="3868"/>
      <c r="S201" s="5681"/>
      <c r="T201" s="5681"/>
      <c r="U201" s="3495"/>
      <c r="V201" s="5499"/>
      <c r="W201" s="3668"/>
      <c r="X201" s="5523"/>
      <c r="Y201" s="5523"/>
      <c r="Z201" s="5523"/>
      <c r="AA201" s="5524"/>
      <c r="AB201" s="5779"/>
      <c r="AC201" s="3848"/>
      <c r="AD201" s="3504"/>
      <c r="AE201" s="3505" t="s">
        <v>153</v>
      </c>
      <c r="AF201" s="3505"/>
      <c r="AG201" s="10678"/>
    </row>
    <row r="202" spans="1:33" ht="16.5">
      <c r="A202" s="10663"/>
      <c r="B202" s="10659"/>
      <c r="C202" s="10656"/>
      <c r="D202" s="10656"/>
      <c r="E202" s="10656"/>
      <c r="F202" s="10656"/>
      <c r="G202" s="10656"/>
      <c r="H202" s="10656"/>
      <c r="I202" s="10656"/>
      <c r="J202" s="10656"/>
      <c r="K202" s="10656"/>
      <c r="L202" s="10667"/>
      <c r="M202" s="10667"/>
      <c r="N202" s="10667"/>
      <c r="O202" s="10656"/>
      <c r="P202" s="10656"/>
      <c r="Q202" s="10672"/>
      <c r="R202" s="3868"/>
      <c r="S202" s="5681"/>
      <c r="T202" s="5681"/>
      <c r="U202" s="3495"/>
      <c r="V202" s="5499"/>
      <c r="W202" s="3668"/>
      <c r="X202" s="5523"/>
      <c r="Y202" s="5523"/>
      <c r="Z202" s="5523"/>
      <c r="AA202" s="5524"/>
      <c r="AB202" s="5779"/>
      <c r="AC202" s="3848"/>
      <c r="AD202" s="3504"/>
      <c r="AE202" s="3505" t="s">
        <v>153</v>
      </c>
      <c r="AF202" s="3505"/>
      <c r="AG202" s="10678"/>
    </row>
    <row r="203" spans="1:33" ht="16.5">
      <c r="A203" s="10663"/>
      <c r="B203" s="10659"/>
      <c r="C203" s="10656"/>
      <c r="D203" s="10656"/>
      <c r="E203" s="10656"/>
      <c r="F203" s="10656"/>
      <c r="G203" s="10656"/>
      <c r="H203" s="10656"/>
      <c r="I203" s="10656"/>
      <c r="J203" s="10656"/>
      <c r="K203" s="10658"/>
      <c r="L203" s="10668"/>
      <c r="M203" s="10668"/>
      <c r="N203" s="10668"/>
      <c r="O203" s="10658"/>
      <c r="P203" s="10658"/>
      <c r="Q203" s="10673"/>
      <c r="R203" s="3899"/>
      <c r="S203" s="5683"/>
      <c r="T203" s="5683"/>
      <c r="U203" s="3759"/>
      <c r="V203" s="5509"/>
      <c r="W203" s="3890"/>
      <c r="X203" s="5544"/>
      <c r="Y203" s="5544"/>
      <c r="Z203" s="5544"/>
      <c r="AA203" s="5545"/>
      <c r="AB203" s="5823"/>
      <c r="AC203" s="3891"/>
      <c r="AD203" s="3727"/>
      <c r="AE203" s="3507" t="s">
        <v>153</v>
      </c>
      <c r="AF203" s="3507"/>
      <c r="AG203" s="10679"/>
    </row>
    <row r="204" spans="1:33">
      <c r="A204" s="10663"/>
      <c r="B204" s="10659"/>
      <c r="C204" s="10656"/>
      <c r="D204" s="10656"/>
      <c r="E204" s="10656"/>
      <c r="F204" s="10656"/>
      <c r="G204" s="10656"/>
      <c r="H204" s="10656"/>
      <c r="I204" s="10656"/>
      <c r="J204" s="10656"/>
      <c r="K204" s="10433" t="s">
        <v>4402</v>
      </c>
      <c r="L204" s="10676">
        <v>4</v>
      </c>
      <c r="M204" s="10676">
        <v>8</v>
      </c>
      <c r="N204" s="10676">
        <v>9</v>
      </c>
      <c r="O204" s="10433" t="s">
        <v>4403</v>
      </c>
      <c r="P204" s="10433" t="s">
        <v>4404</v>
      </c>
      <c r="Q204" s="10439" t="s">
        <v>4405</v>
      </c>
      <c r="R204" s="3885" t="s">
        <v>80</v>
      </c>
      <c r="S204" s="5684">
        <v>840104</v>
      </c>
      <c r="T204" s="5684"/>
      <c r="U204" s="3762" t="s">
        <v>39</v>
      </c>
      <c r="V204" s="7445"/>
      <c r="W204" s="3894"/>
      <c r="X204" s="5529"/>
      <c r="Y204" s="5529"/>
      <c r="Z204" s="5529"/>
      <c r="AA204" s="5530">
        <f>SUM($Z$205:$Z$212)</f>
        <v>10584</v>
      </c>
      <c r="AB204" s="5780" t="s">
        <v>18</v>
      </c>
      <c r="AC204" s="3876"/>
      <c r="AD204" s="2930"/>
      <c r="AE204" s="3710"/>
      <c r="AF204" s="3710"/>
      <c r="AG204" s="10525" t="s">
        <v>4406</v>
      </c>
    </row>
    <row r="205" spans="1:33">
      <c r="A205" s="10663"/>
      <c r="B205" s="10659"/>
      <c r="C205" s="10656"/>
      <c r="D205" s="10656"/>
      <c r="E205" s="10656"/>
      <c r="F205" s="10656"/>
      <c r="G205" s="10656"/>
      <c r="H205" s="10656"/>
      <c r="I205" s="10656"/>
      <c r="J205" s="10656"/>
      <c r="K205" s="10444"/>
      <c r="L205" s="10666"/>
      <c r="M205" s="10666"/>
      <c r="N205" s="10666"/>
      <c r="O205" s="10444"/>
      <c r="P205" s="10444"/>
      <c r="Q205" s="10449"/>
      <c r="R205" s="3892"/>
      <c r="S205" s="5689"/>
      <c r="T205" s="5689"/>
      <c r="U205" s="7696" t="s">
        <v>4407</v>
      </c>
      <c r="V205" s="7697">
        <v>1</v>
      </c>
      <c r="W205" s="7698" t="s">
        <v>180</v>
      </c>
      <c r="X205" s="7699">
        <f>750/1.12</f>
        <v>669.64285714285711</v>
      </c>
      <c r="Y205" s="7699">
        <f>X205*V205</f>
        <v>669.64285714285711</v>
      </c>
      <c r="Z205" s="7699">
        <f>Y205*1.12</f>
        <v>750</v>
      </c>
      <c r="AA205" s="5535"/>
      <c r="AB205" s="5822"/>
      <c r="AC205" s="3884"/>
      <c r="AD205" s="3721"/>
      <c r="AE205" s="3722"/>
      <c r="AF205" s="7762" t="s">
        <v>153</v>
      </c>
      <c r="AG205" s="10464"/>
    </row>
    <row r="206" spans="1:33">
      <c r="A206" s="10663"/>
      <c r="B206" s="10659"/>
      <c r="C206" s="10656"/>
      <c r="D206" s="10656"/>
      <c r="E206" s="10656"/>
      <c r="F206" s="10656"/>
      <c r="G206" s="10656"/>
      <c r="H206" s="10656"/>
      <c r="I206" s="10656"/>
      <c r="J206" s="10656"/>
      <c r="K206" s="10444"/>
      <c r="L206" s="10666"/>
      <c r="M206" s="10666"/>
      <c r="N206" s="10666"/>
      <c r="O206" s="10444"/>
      <c r="P206" s="10444"/>
      <c r="Q206" s="10449"/>
      <c r="R206" s="3892"/>
      <c r="S206" s="5689"/>
      <c r="T206" s="5689"/>
      <c r="U206" s="7696" t="s">
        <v>4408</v>
      </c>
      <c r="V206" s="7697">
        <v>1</v>
      </c>
      <c r="W206" s="7698" t="s">
        <v>180</v>
      </c>
      <c r="X206" s="7699">
        <f>750/1.12</f>
        <v>669.64285714285711</v>
      </c>
      <c r="Y206" s="7699">
        <f>X206*V206</f>
        <v>669.64285714285711</v>
      </c>
      <c r="Z206" s="7699">
        <f>Y206*1.12</f>
        <v>750</v>
      </c>
      <c r="AA206" s="5535"/>
      <c r="AB206" s="5822"/>
      <c r="AC206" s="3884"/>
      <c r="AD206" s="3721"/>
      <c r="AE206" s="3722"/>
      <c r="AF206" s="7762" t="s">
        <v>153</v>
      </c>
      <c r="AG206" s="10464"/>
    </row>
    <row r="207" spans="1:33">
      <c r="A207" s="10663"/>
      <c r="B207" s="10659"/>
      <c r="C207" s="10656"/>
      <c r="D207" s="10656"/>
      <c r="E207" s="10656"/>
      <c r="F207" s="10656"/>
      <c r="G207" s="10656"/>
      <c r="H207" s="10656"/>
      <c r="I207" s="10656"/>
      <c r="J207" s="10656"/>
      <c r="K207" s="10444"/>
      <c r="L207" s="10666"/>
      <c r="M207" s="10666"/>
      <c r="N207" s="10666"/>
      <c r="O207" s="10444"/>
      <c r="P207" s="10444"/>
      <c r="Q207" s="10449"/>
      <c r="R207" s="3892"/>
      <c r="S207" s="5689"/>
      <c r="T207" s="5689"/>
      <c r="U207" s="7696" t="s">
        <v>4409</v>
      </c>
      <c r="V207" s="7697">
        <v>1</v>
      </c>
      <c r="W207" s="7698" t="s">
        <v>180</v>
      </c>
      <c r="X207" s="7699">
        <f>180/1.12</f>
        <v>160.71428571428569</v>
      </c>
      <c r="Y207" s="7699">
        <f>X207*V207</f>
        <v>160.71428571428569</v>
      </c>
      <c r="Z207" s="7699">
        <f>Y207*1.12</f>
        <v>180</v>
      </c>
      <c r="AA207" s="5535"/>
      <c r="AB207" s="5822"/>
      <c r="AC207" s="3884"/>
      <c r="AD207" s="3721"/>
      <c r="AE207" s="3722"/>
      <c r="AF207" s="7762" t="s">
        <v>153</v>
      </c>
      <c r="AG207" s="10464"/>
    </row>
    <row r="208" spans="1:33" ht="16.5">
      <c r="A208" s="10663"/>
      <c r="B208" s="10659"/>
      <c r="C208" s="10656"/>
      <c r="D208" s="10656"/>
      <c r="E208" s="10656"/>
      <c r="F208" s="10656"/>
      <c r="G208" s="10656"/>
      <c r="H208" s="10656"/>
      <c r="I208" s="10656"/>
      <c r="J208" s="10656"/>
      <c r="K208" s="10656"/>
      <c r="L208" s="10667"/>
      <c r="M208" s="10667"/>
      <c r="N208" s="10667"/>
      <c r="O208" s="10656"/>
      <c r="P208" s="10656"/>
      <c r="Q208" s="10672"/>
      <c r="R208" s="3868"/>
      <c r="S208" s="5681"/>
      <c r="T208" s="5681">
        <v>481300914</v>
      </c>
      <c r="U208" s="3495" t="s">
        <v>4410</v>
      </c>
      <c r="V208" s="5499">
        <v>1</v>
      </c>
      <c r="W208" s="3668" t="s">
        <v>180</v>
      </c>
      <c r="X208" s="5523">
        <v>3100</v>
      </c>
      <c r="Y208" s="5523">
        <f t="shared" ref="Y208:Y212" si="9">+V208*X208</f>
        <v>3100</v>
      </c>
      <c r="Z208" s="5523">
        <f t="shared" ref="Z208:Z212" si="10">+Y208*1.12</f>
        <v>3472.0000000000005</v>
      </c>
      <c r="AA208" s="5524"/>
      <c r="AB208" s="5779"/>
      <c r="AC208" s="3848"/>
      <c r="AD208" s="3504"/>
      <c r="AE208" s="3505" t="s">
        <v>153</v>
      </c>
      <c r="AF208" s="3505"/>
      <c r="AG208" s="10678"/>
    </row>
    <row r="209" spans="1:33" ht="16.5">
      <c r="A209" s="10663"/>
      <c r="B209" s="10659"/>
      <c r="C209" s="10656"/>
      <c r="D209" s="10656"/>
      <c r="E209" s="10656"/>
      <c r="F209" s="10656"/>
      <c r="G209" s="10656"/>
      <c r="H209" s="10656"/>
      <c r="I209" s="10656"/>
      <c r="J209" s="10656"/>
      <c r="K209" s="10656"/>
      <c r="L209" s="10667"/>
      <c r="M209" s="10667"/>
      <c r="N209" s="10667"/>
      <c r="O209" s="10656"/>
      <c r="P209" s="10656"/>
      <c r="Q209" s="10672"/>
      <c r="R209" s="3868"/>
      <c r="S209" s="5681"/>
      <c r="T209" s="5681">
        <v>481500916</v>
      </c>
      <c r="U209" s="3495" t="s">
        <v>4411</v>
      </c>
      <c r="V209" s="5499">
        <v>1</v>
      </c>
      <c r="W209" s="3668" t="s">
        <v>180</v>
      </c>
      <c r="X209" s="5523">
        <v>4400</v>
      </c>
      <c r="Y209" s="5523">
        <f t="shared" si="9"/>
        <v>4400</v>
      </c>
      <c r="Z209" s="5523">
        <f t="shared" si="10"/>
        <v>4928.0000000000009</v>
      </c>
      <c r="AA209" s="5524"/>
      <c r="AB209" s="5779"/>
      <c r="AC209" s="3848"/>
      <c r="AD209" s="3504"/>
      <c r="AE209" s="3505" t="s">
        <v>153</v>
      </c>
      <c r="AF209" s="3505"/>
      <c r="AG209" s="10678"/>
    </row>
    <row r="210" spans="1:33" ht="16.5">
      <c r="A210" s="10663"/>
      <c r="B210" s="10659"/>
      <c r="C210" s="10656"/>
      <c r="D210" s="10656"/>
      <c r="E210" s="10656"/>
      <c r="F210" s="10656"/>
      <c r="G210" s="10656"/>
      <c r="H210" s="10656"/>
      <c r="I210" s="10656"/>
      <c r="J210" s="10656"/>
      <c r="K210" s="10656"/>
      <c r="L210" s="10667"/>
      <c r="M210" s="10667"/>
      <c r="N210" s="10667"/>
      <c r="O210" s="10656"/>
      <c r="P210" s="10656"/>
      <c r="Q210" s="10672"/>
      <c r="R210" s="3868"/>
      <c r="S210" s="5681"/>
      <c r="T210" s="5681">
        <v>352901092</v>
      </c>
      <c r="U210" s="3495" t="s">
        <v>4412</v>
      </c>
      <c r="V210" s="5499">
        <v>1</v>
      </c>
      <c r="W210" s="3668" t="s">
        <v>180</v>
      </c>
      <c r="X210" s="5523">
        <v>100</v>
      </c>
      <c r="Y210" s="5523">
        <f t="shared" si="9"/>
        <v>100</v>
      </c>
      <c r="Z210" s="5523">
        <f t="shared" si="10"/>
        <v>112.00000000000001</v>
      </c>
      <c r="AA210" s="5524"/>
      <c r="AB210" s="5779"/>
      <c r="AC210" s="3848"/>
      <c r="AD210" s="3504"/>
      <c r="AE210" s="3505" t="s">
        <v>153</v>
      </c>
      <c r="AF210" s="3505"/>
      <c r="AG210" s="10678"/>
    </row>
    <row r="211" spans="1:33" ht="16.5">
      <c r="A211" s="10663"/>
      <c r="B211" s="10659"/>
      <c r="C211" s="10656"/>
      <c r="D211" s="10656"/>
      <c r="E211" s="10656"/>
      <c r="F211" s="10656"/>
      <c r="G211" s="10656"/>
      <c r="H211" s="10656"/>
      <c r="I211" s="10656"/>
      <c r="J211" s="10656"/>
      <c r="K211" s="10656"/>
      <c r="L211" s="10667"/>
      <c r="M211" s="10667"/>
      <c r="N211" s="10667"/>
      <c r="O211" s="10656"/>
      <c r="P211" s="10656"/>
      <c r="Q211" s="10672"/>
      <c r="R211" s="3868"/>
      <c r="S211" s="5681"/>
      <c r="T211" s="5681">
        <v>352901092</v>
      </c>
      <c r="U211" s="3495" t="s">
        <v>4413</v>
      </c>
      <c r="V211" s="5499">
        <v>1</v>
      </c>
      <c r="W211" s="3668" t="s">
        <v>180</v>
      </c>
      <c r="X211" s="5523">
        <v>225</v>
      </c>
      <c r="Y211" s="5523">
        <f t="shared" si="9"/>
        <v>225</v>
      </c>
      <c r="Z211" s="5523">
        <f t="shared" si="10"/>
        <v>252.00000000000003</v>
      </c>
      <c r="AA211" s="5524"/>
      <c r="AB211" s="5779"/>
      <c r="AC211" s="3848"/>
      <c r="AD211" s="3504"/>
      <c r="AE211" s="3505" t="s">
        <v>153</v>
      </c>
      <c r="AF211" s="3505"/>
      <c r="AG211" s="10678"/>
    </row>
    <row r="212" spans="1:33" ht="25.5">
      <c r="A212" s="10663"/>
      <c r="B212" s="10659"/>
      <c r="C212" s="10656"/>
      <c r="D212" s="10656"/>
      <c r="E212" s="10656"/>
      <c r="F212" s="10656"/>
      <c r="G212" s="10656"/>
      <c r="H212" s="10656"/>
      <c r="I212" s="10656"/>
      <c r="J212" s="10656"/>
      <c r="K212" s="10656"/>
      <c r="L212" s="10667"/>
      <c r="M212" s="10667"/>
      <c r="N212" s="10667"/>
      <c r="O212" s="10656"/>
      <c r="P212" s="10656"/>
      <c r="Q212" s="10672"/>
      <c r="R212" s="3868"/>
      <c r="S212" s="5681"/>
      <c r="T212" s="5681">
        <v>352901092</v>
      </c>
      <c r="U212" s="3495" t="s">
        <v>4414</v>
      </c>
      <c r="V212" s="5499">
        <v>1</v>
      </c>
      <c r="W212" s="3668" t="s">
        <v>180</v>
      </c>
      <c r="X212" s="5523">
        <v>125</v>
      </c>
      <c r="Y212" s="5523">
        <f t="shared" si="9"/>
        <v>125</v>
      </c>
      <c r="Z212" s="5523">
        <f t="shared" si="10"/>
        <v>140</v>
      </c>
      <c r="AA212" s="5524"/>
      <c r="AB212" s="5779"/>
      <c r="AC212" s="3848"/>
      <c r="AD212" s="3504"/>
      <c r="AE212" s="3505" t="s">
        <v>153</v>
      </c>
      <c r="AF212" s="3505"/>
      <c r="AG212" s="10678"/>
    </row>
    <row r="213" spans="1:33">
      <c r="A213" s="10663"/>
      <c r="B213" s="10659"/>
      <c r="C213" s="10656"/>
      <c r="D213" s="10656"/>
      <c r="E213" s="10656"/>
      <c r="F213" s="10656"/>
      <c r="G213" s="10656"/>
      <c r="H213" s="10656"/>
      <c r="I213" s="10656"/>
      <c r="J213" s="10656"/>
      <c r="K213" s="10656"/>
      <c r="L213" s="10667"/>
      <c r="M213" s="10667"/>
      <c r="N213" s="10667"/>
      <c r="O213" s="10656"/>
      <c r="P213" s="10656"/>
      <c r="Q213" s="10672"/>
      <c r="R213" s="3868"/>
      <c r="S213" s="5682"/>
      <c r="T213" s="5681"/>
      <c r="U213" s="3542"/>
      <c r="V213" s="5499"/>
      <c r="W213" s="3496"/>
      <c r="X213" s="5523"/>
      <c r="Y213" s="5523"/>
      <c r="Z213" s="5523"/>
      <c r="AA213" s="5524"/>
      <c r="AB213" s="5779"/>
      <c r="AC213" s="3848"/>
      <c r="AD213" s="3504"/>
      <c r="AE213" s="3505"/>
      <c r="AF213" s="3505"/>
      <c r="AG213" s="10678"/>
    </row>
    <row r="214" spans="1:33">
      <c r="A214" s="10663"/>
      <c r="B214" s="10659"/>
      <c r="C214" s="10656"/>
      <c r="D214" s="10656"/>
      <c r="E214" s="10656"/>
      <c r="F214" s="10656"/>
      <c r="G214" s="10656"/>
      <c r="H214" s="10656"/>
      <c r="I214" s="10656"/>
      <c r="J214" s="10656"/>
      <c r="K214" s="10656"/>
      <c r="L214" s="10667"/>
      <c r="M214" s="10667"/>
      <c r="N214" s="10667"/>
      <c r="O214" s="10656"/>
      <c r="P214" s="10656"/>
      <c r="Q214" s="10672"/>
      <c r="R214" s="3868" t="s">
        <v>80</v>
      </c>
      <c r="S214" s="5682">
        <v>531404</v>
      </c>
      <c r="T214" s="5681"/>
      <c r="U214" s="3542" t="s">
        <v>39</v>
      </c>
      <c r="V214" s="8087"/>
      <c r="W214" s="8088"/>
      <c r="X214" s="8069"/>
      <c r="Y214" s="8069"/>
      <c r="Z214" s="8069"/>
      <c r="AA214" s="8065">
        <f>SUM($Z$215)</f>
        <v>0</v>
      </c>
      <c r="AB214" s="5779" t="s">
        <v>26</v>
      </c>
      <c r="AC214" s="3848"/>
      <c r="AD214" s="3504"/>
      <c r="AE214" s="3505"/>
      <c r="AF214" s="3505"/>
      <c r="AG214" s="10678"/>
    </row>
    <row r="215" spans="1:33" ht="16.5">
      <c r="A215" s="10663"/>
      <c r="B215" s="10659"/>
      <c r="C215" s="10656"/>
      <c r="D215" s="10656"/>
      <c r="E215" s="10656"/>
      <c r="F215" s="10656"/>
      <c r="G215" s="10656"/>
      <c r="H215" s="10656"/>
      <c r="I215" s="10656"/>
      <c r="J215" s="10656"/>
      <c r="K215" s="10656"/>
      <c r="L215" s="10667"/>
      <c r="M215" s="10667"/>
      <c r="N215" s="10667"/>
      <c r="O215" s="10656"/>
      <c r="P215" s="10656"/>
      <c r="Q215" s="10672"/>
      <c r="R215" s="3868"/>
      <c r="S215" s="5681"/>
      <c r="T215" s="5681">
        <v>352901092</v>
      </c>
      <c r="U215" s="3495" t="s">
        <v>4415</v>
      </c>
      <c r="V215" s="8087">
        <v>0</v>
      </c>
      <c r="W215" s="8096" t="s">
        <v>180</v>
      </c>
      <c r="X215" s="8069">
        <v>60</v>
      </c>
      <c r="Y215" s="8069">
        <f>+V215*X215</f>
        <v>0</v>
      </c>
      <c r="Z215" s="8069">
        <f>+Y215*1.12</f>
        <v>0</v>
      </c>
      <c r="AA215" s="8065"/>
      <c r="AB215" s="5779"/>
      <c r="AC215" s="3848"/>
      <c r="AD215" s="3504"/>
      <c r="AE215" s="3505" t="s">
        <v>153</v>
      </c>
      <c r="AF215" s="3505"/>
      <c r="AG215" s="10678"/>
    </row>
    <row r="216" spans="1:33">
      <c r="A216" s="10663"/>
      <c r="B216" s="10659"/>
      <c r="C216" s="10656"/>
      <c r="D216" s="10656"/>
      <c r="E216" s="10656"/>
      <c r="F216" s="10656"/>
      <c r="G216" s="10656"/>
      <c r="H216" s="10656"/>
      <c r="I216" s="10656"/>
      <c r="J216" s="10656"/>
      <c r="K216" s="10657"/>
      <c r="L216" s="10674"/>
      <c r="M216" s="10674"/>
      <c r="N216" s="10674"/>
      <c r="O216" s="10657"/>
      <c r="P216" s="10657"/>
      <c r="Q216" s="10675"/>
      <c r="R216" s="3897"/>
      <c r="S216" s="5696"/>
      <c r="T216" s="5740"/>
      <c r="U216" s="3900"/>
      <c r="V216" s="7446"/>
      <c r="W216" s="3901"/>
      <c r="X216" s="5532"/>
      <c r="Y216" s="5532"/>
      <c r="Z216" s="5532"/>
      <c r="AA216" s="5532"/>
      <c r="AB216" s="7456"/>
      <c r="AC216" s="3902"/>
      <c r="AD216" s="3903"/>
      <c r="AE216" s="3903"/>
      <c r="AF216" s="3713"/>
      <c r="AG216" s="10680"/>
    </row>
    <row r="217" spans="1:33" ht="48" customHeight="1">
      <c r="A217" s="10663"/>
      <c r="B217" s="10659"/>
      <c r="C217" s="10656"/>
      <c r="D217" s="10656"/>
      <c r="E217" s="10656"/>
      <c r="F217" s="10656"/>
      <c r="G217" s="10656"/>
      <c r="H217" s="10656"/>
      <c r="I217" s="10656"/>
      <c r="J217" s="10656"/>
      <c r="K217" s="10444" t="s">
        <v>4416</v>
      </c>
      <c r="L217" s="10666">
        <v>3</v>
      </c>
      <c r="M217" s="10666">
        <v>5</v>
      </c>
      <c r="N217" s="10666">
        <v>5</v>
      </c>
      <c r="O217" s="10444" t="s">
        <v>4417</v>
      </c>
      <c r="P217" s="10444" t="s">
        <v>4418</v>
      </c>
      <c r="Q217" s="10449" t="s">
        <v>4419</v>
      </c>
      <c r="R217" s="3892" t="s">
        <v>79</v>
      </c>
      <c r="S217" s="5689">
        <v>531407</v>
      </c>
      <c r="T217" s="5689"/>
      <c r="U217" s="3758" t="s">
        <v>40</v>
      </c>
      <c r="V217" s="5504"/>
      <c r="W217" s="3658"/>
      <c r="X217" s="5534"/>
      <c r="Y217" s="5534"/>
      <c r="Z217" s="5534"/>
      <c r="AA217" s="5535">
        <f>SUM($Z$218:$Z$220)</f>
        <v>70.56</v>
      </c>
      <c r="AB217" s="5822" t="s">
        <v>25</v>
      </c>
      <c r="AC217" s="3884"/>
      <c r="AD217" s="3721"/>
      <c r="AE217" s="3722"/>
      <c r="AF217" s="3722"/>
      <c r="AG217" s="10464" t="s">
        <v>4420</v>
      </c>
    </row>
    <row r="218" spans="1:33" ht="48" customHeight="1">
      <c r="A218" s="10663"/>
      <c r="B218" s="10659"/>
      <c r="C218" s="10656"/>
      <c r="D218" s="10656"/>
      <c r="E218" s="10656"/>
      <c r="F218" s="10656"/>
      <c r="G218" s="10656"/>
      <c r="H218" s="10656"/>
      <c r="I218" s="10656"/>
      <c r="J218" s="10656"/>
      <c r="K218" s="10656"/>
      <c r="L218" s="10667"/>
      <c r="M218" s="10667"/>
      <c r="N218" s="10667"/>
      <c r="O218" s="10656"/>
      <c r="P218" s="10656"/>
      <c r="Q218" s="10672"/>
      <c r="R218" s="3868"/>
      <c r="S218" s="5681"/>
      <c r="T218" s="5682">
        <v>461220011</v>
      </c>
      <c r="U218" s="3495" t="s">
        <v>4381</v>
      </c>
      <c r="V218" s="5499">
        <v>1</v>
      </c>
      <c r="W218" s="3668" t="s">
        <v>180</v>
      </c>
      <c r="X218" s="5523">
        <v>63</v>
      </c>
      <c r="Y218" s="5523">
        <f t="shared" ref="Y218" si="11">(X218*V218)</f>
        <v>63</v>
      </c>
      <c r="Z218" s="5523">
        <f t="shared" ref="Z218" si="12">((Y218*0.12)+Y218)</f>
        <v>70.56</v>
      </c>
      <c r="AA218" s="5524"/>
      <c r="AB218" s="5779"/>
      <c r="AC218" s="3848"/>
      <c r="AD218" s="3504"/>
      <c r="AE218" s="3505" t="s">
        <v>153</v>
      </c>
      <c r="AF218" s="3505"/>
      <c r="AG218" s="10678"/>
    </row>
    <row r="219" spans="1:33" ht="48" customHeight="1">
      <c r="A219" s="10663"/>
      <c r="B219" s="10659"/>
      <c r="C219" s="10656"/>
      <c r="D219" s="10656"/>
      <c r="E219" s="10656"/>
      <c r="F219" s="10656"/>
      <c r="G219" s="10656"/>
      <c r="H219" s="10656"/>
      <c r="I219" s="10656"/>
      <c r="J219" s="10656"/>
      <c r="K219" s="10656"/>
      <c r="L219" s="10667"/>
      <c r="M219" s="10667"/>
      <c r="N219" s="10667"/>
      <c r="O219" s="10656"/>
      <c r="P219" s="10656"/>
      <c r="Q219" s="10672"/>
      <c r="R219" s="3868"/>
      <c r="S219" s="5681"/>
      <c r="T219" s="5682"/>
      <c r="U219" s="3495"/>
      <c r="V219" s="5499"/>
      <c r="W219" s="3496"/>
      <c r="X219" s="5523"/>
      <c r="Y219" s="5523"/>
      <c r="Z219" s="5523"/>
      <c r="AA219" s="5524"/>
      <c r="AB219" s="5779"/>
      <c r="AC219" s="3848"/>
      <c r="AD219" s="3504"/>
      <c r="AE219" s="3505"/>
      <c r="AF219" s="3505"/>
      <c r="AG219" s="10678"/>
    </row>
    <row r="220" spans="1:33" ht="48" customHeight="1">
      <c r="A220" s="10663"/>
      <c r="B220" s="10659"/>
      <c r="C220" s="10656"/>
      <c r="D220" s="10656"/>
      <c r="E220" s="10656"/>
      <c r="F220" s="10656"/>
      <c r="G220" s="10656"/>
      <c r="H220" s="10656"/>
      <c r="I220" s="10656"/>
      <c r="J220" s="10656"/>
      <c r="K220" s="10656"/>
      <c r="L220" s="10667"/>
      <c r="M220" s="10667"/>
      <c r="N220" s="10667"/>
      <c r="O220" s="10656"/>
      <c r="P220" s="10656"/>
      <c r="Q220" s="10672"/>
      <c r="R220" s="3868"/>
      <c r="S220" s="5682"/>
      <c r="T220" s="5682"/>
      <c r="U220" s="3542"/>
      <c r="V220" s="5499"/>
      <c r="W220" s="3496"/>
      <c r="X220" s="5523"/>
      <c r="Y220" s="5523"/>
      <c r="Z220" s="5523"/>
      <c r="AA220" s="5524"/>
      <c r="AB220" s="5779"/>
      <c r="AC220" s="3848"/>
      <c r="AD220" s="3504"/>
      <c r="AE220" s="3505"/>
      <c r="AF220" s="3505"/>
      <c r="AG220" s="10678"/>
    </row>
    <row r="221" spans="1:33" ht="48" customHeight="1">
      <c r="A221" s="10663"/>
      <c r="B221" s="10659"/>
      <c r="C221" s="10656"/>
      <c r="D221" s="10656"/>
      <c r="E221" s="10656"/>
      <c r="F221" s="10656"/>
      <c r="G221" s="10656"/>
      <c r="H221" s="10656"/>
      <c r="I221" s="10656"/>
      <c r="J221" s="10656"/>
      <c r="K221" s="10658"/>
      <c r="L221" s="10668"/>
      <c r="M221" s="10668"/>
      <c r="N221" s="10668"/>
      <c r="O221" s="10658"/>
      <c r="P221" s="10658"/>
      <c r="Q221" s="10673"/>
      <c r="R221" s="3899"/>
      <c r="S221" s="5683"/>
      <c r="T221" s="5691"/>
      <c r="U221" s="3759"/>
      <c r="V221" s="5509"/>
      <c r="W221" s="3714"/>
      <c r="X221" s="5544"/>
      <c r="Y221" s="5544"/>
      <c r="Z221" s="5544"/>
      <c r="AA221" s="5545"/>
      <c r="AB221" s="5823"/>
      <c r="AC221" s="3880"/>
      <c r="AD221" s="3714"/>
      <c r="AE221" s="3718"/>
      <c r="AF221" s="3718"/>
      <c r="AG221" s="10679"/>
    </row>
    <row r="222" spans="1:33" ht="28.5" customHeight="1">
      <c r="A222" s="10663"/>
      <c r="B222" s="10659"/>
      <c r="C222" s="10656"/>
      <c r="D222" s="10656"/>
      <c r="E222" s="10656"/>
      <c r="F222" s="10656"/>
      <c r="G222" s="10656"/>
      <c r="H222" s="10656"/>
      <c r="I222" s="10656"/>
      <c r="J222" s="10656"/>
      <c r="K222" s="10433" t="s">
        <v>4421</v>
      </c>
      <c r="L222" s="10676">
        <v>10</v>
      </c>
      <c r="M222" s="10676">
        <v>10</v>
      </c>
      <c r="N222" s="10676">
        <v>10</v>
      </c>
      <c r="O222" s="10433" t="s">
        <v>4422</v>
      </c>
      <c r="P222" s="10433" t="s">
        <v>4423</v>
      </c>
      <c r="Q222" s="10439" t="s">
        <v>4424</v>
      </c>
      <c r="R222" s="3885" t="s">
        <v>79</v>
      </c>
      <c r="S222" s="5684">
        <v>531407</v>
      </c>
      <c r="T222" s="5684"/>
      <c r="U222" s="3762" t="s">
        <v>40</v>
      </c>
      <c r="V222" s="5502"/>
      <c r="W222" s="3709"/>
      <c r="X222" s="5529"/>
      <c r="Y222" s="5529"/>
      <c r="Z222" s="5529"/>
      <c r="AA222" s="5530">
        <f>SUM($Z$223)</f>
        <v>70.56</v>
      </c>
      <c r="AB222" s="5780" t="s">
        <v>25</v>
      </c>
      <c r="AC222" s="3876"/>
      <c r="AD222" s="2930"/>
      <c r="AE222" s="3710"/>
      <c r="AF222" s="3710"/>
      <c r="AG222" s="10525" t="s">
        <v>4425</v>
      </c>
    </row>
    <row r="223" spans="1:33" ht="28.5" customHeight="1">
      <c r="A223" s="10663"/>
      <c r="B223" s="10659"/>
      <c r="C223" s="10656"/>
      <c r="D223" s="10656"/>
      <c r="E223" s="10656"/>
      <c r="F223" s="10656"/>
      <c r="G223" s="10656"/>
      <c r="H223" s="10656"/>
      <c r="I223" s="10656"/>
      <c r="J223" s="10656"/>
      <c r="K223" s="10656"/>
      <c r="L223" s="10667"/>
      <c r="M223" s="10667"/>
      <c r="N223" s="10667"/>
      <c r="O223" s="10656"/>
      <c r="P223" s="10656"/>
      <c r="Q223" s="10672"/>
      <c r="R223" s="3868"/>
      <c r="S223" s="5681"/>
      <c r="T223" s="5682">
        <v>461220011</v>
      </c>
      <c r="U223" s="3495" t="s">
        <v>4426</v>
      </c>
      <c r="V223" s="5499">
        <v>1</v>
      </c>
      <c r="W223" s="3496" t="s">
        <v>180</v>
      </c>
      <c r="X223" s="5523">
        <v>63</v>
      </c>
      <c r="Y223" s="5523">
        <f>(X223*V223)</f>
        <v>63</v>
      </c>
      <c r="Z223" s="5523">
        <f>((Y223*0.12)+Y223)</f>
        <v>70.56</v>
      </c>
      <c r="AA223" s="5524"/>
      <c r="AB223" s="5779"/>
      <c r="AC223" s="3848"/>
      <c r="AD223" s="3504"/>
      <c r="AE223" s="3505" t="s">
        <v>153</v>
      </c>
      <c r="AF223" s="3505"/>
      <c r="AG223" s="10678"/>
    </row>
    <row r="224" spans="1:33" ht="28.5" customHeight="1">
      <c r="A224" s="10663"/>
      <c r="B224" s="10659"/>
      <c r="C224" s="10656"/>
      <c r="D224" s="10656"/>
      <c r="E224" s="10656"/>
      <c r="F224" s="10656"/>
      <c r="G224" s="10656"/>
      <c r="H224" s="10656"/>
      <c r="I224" s="10656"/>
      <c r="J224" s="10656"/>
      <c r="K224" s="10656"/>
      <c r="L224" s="10667"/>
      <c r="M224" s="10667"/>
      <c r="N224" s="10667"/>
      <c r="O224" s="10656"/>
      <c r="P224" s="10656"/>
      <c r="Q224" s="10672"/>
      <c r="R224" s="3868"/>
      <c r="S224" s="5682"/>
      <c r="T224" s="5687"/>
      <c r="U224" s="3864"/>
      <c r="V224" s="5500"/>
      <c r="W224" s="3504"/>
      <c r="X224" s="5525"/>
      <c r="Y224" s="5525"/>
      <c r="Z224" s="5525"/>
      <c r="AA224" s="5526"/>
      <c r="AB224" s="5825"/>
      <c r="AC224" s="3848"/>
      <c r="AD224" s="3504"/>
      <c r="AE224" s="3505"/>
      <c r="AF224" s="3505"/>
      <c r="AG224" s="10678"/>
    </row>
    <row r="225" spans="1:33" ht="28.5" customHeight="1">
      <c r="A225" s="10663"/>
      <c r="B225" s="10659"/>
      <c r="C225" s="10656"/>
      <c r="D225" s="10656"/>
      <c r="E225" s="10656"/>
      <c r="F225" s="10656"/>
      <c r="G225" s="10656"/>
      <c r="H225" s="10656"/>
      <c r="I225" s="10656"/>
      <c r="J225" s="10656"/>
      <c r="K225" s="10656"/>
      <c r="L225" s="10667"/>
      <c r="M225" s="10667"/>
      <c r="N225" s="10667"/>
      <c r="O225" s="10656"/>
      <c r="P225" s="10656"/>
      <c r="Q225" s="10672"/>
      <c r="R225" s="3868" t="s">
        <v>80</v>
      </c>
      <c r="S225" s="5682">
        <v>531404</v>
      </c>
      <c r="T225" s="5682"/>
      <c r="U225" s="3542" t="s">
        <v>39</v>
      </c>
      <c r="V225" s="5499"/>
      <c r="W225" s="3496"/>
      <c r="X225" s="5523"/>
      <c r="Y225" s="5523"/>
      <c r="Z225" s="5523"/>
      <c r="AA225" s="5524">
        <f>SUM($Z$226)</f>
        <v>50.4</v>
      </c>
      <c r="AB225" s="5779" t="s">
        <v>26</v>
      </c>
      <c r="AC225" s="3848"/>
      <c r="AD225" s="3504"/>
      <c r="AE225" s="3505"/>
      <c r="AF225" s="3505"/>
      <c r="AG225" s="10678"/>
    </row>
    <row r="226" spans="1:33" ht="28.5" customHeight="1">
      <c r="A226" s="10663"/>
      <c r="B226" s="10659"/>
      <c r="C226" s="10656"/>
      <c r="D226" s="10656"/>
      <c r="E226" s="10656"/>
      <c r="F226" s="10656"/>
      <c r="G226" s="10656"/>
      <c r="H226" s="10656"/>
      <c r="I226" s="10656"/>
      <c r="J226" s="10656"/>
      <c r="K226" s="10656"/>
      <c r="L226" s="10667"/>
      <c r="M226" s="10667"/>
      <c r="N226" s="10667"/>
      <c r="O226" s="10656"/>
      <c r="P226" s="10656"/>
      <c r="Q226" s="10672"/>
      <c r="R226" s="3868"/>
      <c r="S226" s="5681"/>
      <c r="T226" s="5682">
        <v>481500213</v>
      </c>
      <c r="U226" s="3495" t="s">
        <v>4427</v>
      </c>
      <c r="V226" s="5499">
        <v>1</v>
      </c>
      <c r="W226" s="3496" t="s">
        <v>180</v>
      </c>
      <c r="X226" s="5523">
        <v>45</v>
      </c>
      <c r="Y226" s="5523">
        <f>(X226*V226)</f>
        <v>45</v>
      </c>
      <c r="Z226" s="5523">
        <f>((Y226*0.12)+Y226)</f>
        <v>50.4</v>
      </c>
      <c r="AA226" s="5524"/>
      <c r="AB226" s="5779"/>
      <c r="AC226" s="3848"/>
      <c r="AD226" s="3504"/>
      <c r="AE226" s="3505" t="s">
        <v>153</v>
      </c>
      <c r="AF226" s="3505"/>
      <c r="AG226" s="10678"/>
    </row>
    <row r="227" spans="1:33" ht="28.5" customHeight="1">
      <c r="A227" s="10663"/>
      <c r="B227" s="10659"/>
      <c r="C227" s="10656"/>
      <c r="D227" s="10656"/>
      <c r="E227" s="10656"/>
      <c r="F227" s="10656"/>
      <c r="G227" s="10656"/>
      <c r="H227" s="10656"/>
      <c r="I227" s="10656"/>
      <c r="J227" s="10656"/>
      <c r="K227" s="10656"/>
      <c r="L227" s="10667"/>
      <c r="M227" s="10667"/>
      <c r="N227" s="10667"/>
      <c r="O227" s="10656"/>
      <c r="P227" s="10656"/>
      <c r="Q227" s="10672"/>
      <c r="R227" s="3868"/>
      <c r="S227" s="5682"/>
      <c r="T227" s="7376"/>
      <c r="U227" s="3542"/>
      <c r="V227" s="5499"/>
      <c r="W227" s="3496"/>
      <c r="X227" s="5523"/>
      <c r="Y227" s="5523"/>
      <c r="Z227" s="5523"/>
      <c r="AA227" s="5524"/>
      <c r="AB227" s="5779"/>
      <c r="AC227" s="3848"/>
      <c r="AD227" s="3504"/>
      <c r="AE227" s="3505"/>
      <c r="AF227" s="3505"/>
      <c r="AG227" s="10678"/>
    </row>
    <row r="228" spans="1:33" ht="28.5" customHeight="1">
      <c r="A228" s="10663"/>
      <c r="B228" s="10659"/>
      <c r="C228" s="10656"/>
      <c r="D228" s="10656"/>
      <c r="E228" s="10656"/>
      <c r="F228" s="10656"/>
      <c r="G228" s="10656"/>
      <c r="H228" s="10656"/>
      <c r="I228" s="10656"/>
      <c r="J228" s="10656"/>
      <c r="K228" s="10656"/>
      <c r="L228" s="10667"/>
      <c r="M228" s="10667"/>
      <c r="N228" s="10667"/>
      <c r="O228" s="10656"/>
      <c r="P228" s="10656"/>
      <c r="Q228" s="10672"/>
      <c r="R228" s="3868" t="s">
        <v>80</v>
      </c>
      <c r="S228" s="5682">
        <v>530814</v>
      </c>
      <c r="T228" s="7376"/>
      <c r="U228" s="3542" t="s">
        <v>4428</v>
      </c>
      <c r="V228" s="5499"/>
      <c r="W228" s="3496"/>
      <c r="X228" s="5523"/>
      <c r="Y228" s="5523"/>
      <c r="Z228" s="5523"/>
      <c r="AA228" s="5524">
        <f>SUM($Z$229:$Z$230)</f>
        <v>190.39999999999998</v>
      </c>
      <c r="AB228" s="5779" t="s">
        <v>18</v>
      </c>
      <c r="AC228" s="3848"/>
      <c r="AD228" s="3504"/>
      <c r="AE228" s="3505"/>
      <c r="AF228" s="3505"/>
      <c r="AG228" s="10678"/>
    </row>
    <row r="229" spans="1:33" ht="28.5" customHeight="1">
      <c r="A229" s="10663"/>
      <c r="B229" s="10659"/>
      <c r="C229" s="10656"/>
      <c r="D229" s="10656"/>
      <c r="E229" s="10656"/>
      <c r="F229" s="10656"/>
      <c r="G229" s="10656"/>
      <c r="H229" s="10656"/>
      <c r="I229" s="10656"/>
      <c r="J229" s="10656"/>
      <c r="K229" s="10656"/>
      <c r="L229" s="10667"/>
      <c r="M229" s="10667"/>
      <c r="N229" s="10667"/>
      <c r="O229" s="10656"/>
      <c r="P229" s="10656"/>
      <c r="Q229" s="10672"/>
      <c r="R229" s="3868"/>
      <c r="S229" s="5681"/>
      <c r="T229" s="7376" t="s">
        <v>4429</v>
      </c>
      <c r="U229" s="3495" t="s">
        <v>4430</v>
      </c>
      <c r="V229" s="5499">
        <v>2</v>
      </c>
      <c r="W229" s="3496" t="s">
        <v>180</v>
      </c>
      <c r="X229" s="5523">
        <v>80</v>
      </c>
      <c r="Y229" s="5523">
        <f t="shared" ref="Y229:Y230" si="13">(X229*V229)</f>
        <v>160</v>
      </c>
      <c r="Z229" s="5523">
        <f t="shared" ref="Z229:Z230" si="14">((Y229*0.12)+Y229)</f>
        <v>179.2</v>
      </c>
      <c r="AA229" s="5524"/>
      <c r="AB229" s="5779"/>
      <c r="AC229" s="3848"/>
      <c r="AD229" s="3504"/>
      <c r="AE229" s="3505" t="s">
        <v>153</v>
      </c>
      <c r="AF229" s="3505"/>
      <c r="AG229" s="10678"/>
    </row>
    <row r="230" spans="1:33" ht="28.5" customHeight="1">
      <c r="A230" s="10663"/>
      <c r="B230" s="10659"/>
      <c r="C230" s="10656"/>
      <c r="D230" s="10656"/>
      <c r="E230" s="10656"/>
      <c r="F230" s="10656"/>
      <c r="G230" s="10656"/>
      <c r="H230" s="10656"/>
      <c r="I230" s="10656"/>
      <c r="J230" s="10656"/>
      <c r="K230" s="10656"/>
      <c r="L230" s="10667"/>
      <c r="M230" s="10667"/>
      <c r="N230" s="10667"/>
      <c r="O230" s="10656"/>
      <c r="P230" s="10656"/>
      <c r="Q230" s="10672"/>
      <c r="R230" s="3868"/>
      <c r="S230" s="5681"/>
      <c r="T230" s="7376" t="s">
        <v>4431</v>
      </c>
      <c r="U230" s="3495" t="s">
        <v>4432</v>
      </c>
      <c r="V230" s="5499">
        <v>5</v>
      </c>
      <c r="W230" s="3496" t="s">
        <v>180</v>
      </c>
      <c r="X230" s="5523">
        <v>2</v>
      </c>
      <c r="Y230" s="5523">
        <f t="shared" si="13"/>
        <v>10</v>
      </c>
      <c r="Z230" s="5523">
        <f t="shared" si="14"/>
        <v>11.2</v>
      </c>
      <c r="AA230" s="5524"/>
      <c r="AB230" s="5779"/>
      <c r="AC230" s="3848"/>
      <c r="AD230" s="3504"/>
      <c r="AE230" s="3505" t="s">
        <v>153</v>
      </c>
      <c r="AF230" s="3505"/>
      <c r="AG230" s="10678"/>
    </row>
    <row r="231" spans="1:33" ht="28.5" customHeight="1">
      <c r="A231" s="10663"/>
      <c r="B231" s="10659"/>
      <c r="C231" s="10656"/>
      <c r="D231" s="10656"/>
      <c r="E231" s="10656"/>
      <c r="F231" s="10656"/>
      <c r="G231" s="10656"/>
      <c r="H231" s="10656"/>
      <c r="I231" s="10656"/>
      <c r="J231" s="10656"/>
      <c r="K231" s="10657"/>
      <c r="L231" s="10674"/>
      <c r="M231" s="10674"/>
      <c r="N231" s="10674"/>
      <c r="O231" s="10657"/>
      <c r="P231" s="10657"/>
      <c r="Q231" s="10675"/>
      <c r="R231" s="3897"/>
      <c r="S231" s="5696"/>
      <c r="T231" s="7284"/>
      <c r="U231" s="3557"/>
      <c r="V231" s="5503"/>
      <c r="W231" s="3545"/>
      <c r="X231" s="5532"/>
      <c r="Y231" s="5532"/>
      <c r="Z231" s="5532"/>
      <c r="AA231" s="5533"/>
      <c r="AB231" s="5828"/>
      <c r="AC231" s="3878"/>
      <c r="AD231" s="2933"/>
      <c r="AE231" s="3713"/>
      <c r="AF231" s="3713"/>
      <c r="AG231" s="10680"/>
    </row>
    <row r="232" spans="1:33" ht="24" customHeight="1">
      <c r="A232" s="10663"/>
      <c r="B232" s="10659"/>
      <c r="C232" s="10656"/>
      <c r="D232" s="10656"/>
      <c r="E232" s="10656"/>
      <c r="F232" s="10656"/>
      <c r="G232" s="10656"/>
      <c r="H232" s="10656"/>
      <c r="I232" s="10656"/>
      <c r="J232" s="10656"/>
      <c r="K232" s="10444" t="s">
        <v>4433</v>
      </c>
      <c r="L232" s="10666">
        <v>15</v>
      </c>
      <c r="M232" s="10666">
        <v>15</v>
      </c>
      <c r="N232" s="10666">
        <v>15</v>
      </c>
      <c r="O232" s="10444" t="s">
        <v>4434</v>
      </c>
      <c r="P232" s="10444" t="s">
        <v>4435</v>
      </c>
      <c r="Q232" s="10449" t="s">
        <v>4436</v>
      </c>
      <c r="R232" s="3892" t="s">
        <v>80</v>
      </c>
      <c r="S232" s="5689">
        <v>531404</v>
      </c>
      <c r="T232" s="5689"/>
      <c r="U232" s="3758" t="s">
        <v>39</v>
      </c>
      <c r="V232" s="5504"/>
      <c r="W232" s="3658"/>
      <c r="X232" s="5534"/>
      <c r="Y232" s="5534"/>
      <c r="Z232" s="5534"/>
      <c r="AA232" s="5535">
        <f>SUM($Z$233)</f>
        <v>100.8</v>
      </c>
      <c r="AB232" s="5822" t="s">
        <v>26</v>
      </c>
      <c r="AC232" s="3884"/>
      <c r="AD232" s="3721"/>
      <c r="AE232" s="3722"/>
      <c r="AF232" s="3722"/>
      <c r="AG232" s="10464" t="s">
        <v>4437</v>
      </c>
    </row>
    <row r="233" spans="1:33" ht="24" customHeight="1">
      <c r="A233" s="10663"/>
      <c r="B233" s="10659"/>
      <c r="C233" s="10656"/>
      <c r="D233" s="10656"/>
      <c r="E233" s="10656"/>
      <c r="F233" s="10656"/>
      <c r="G233" s="10656"/>
      <c r="H233" s="10656"/>
      <c r="I233" s="10656"/>
      <c r="J233" s="10656"/>
      <c r="K233" s="10656"/>
      <c r="L233" s="10667"/>
      <c r="M233" s="10667"/>
      <c r="N233" s="10667"/>
      <c r="O233" s="10656"/>
      <c r="P233" s="10656"/>
      <c r="Q233" s="10672"/>
      <c r="R233" s="3868"/>
      <c r="S233" s="5681"/>
      <c r="T233" s="5682">
        <v>481500213</v>
      </c>
      <c r="U233" s="3495" t="s">
        <v>4427</v>
      </c>
      <c r="V233" s="5499">
        <v>2</v>
      </c>
      <c r="W233" s="3496" t="s">
        <v>180</v>
      </c>
      <c r="X233" s="5523">
        <v>45</v>
      </c>
      <c r="Y233" s="5523">
        <f>(X233*V233)</f>
        <v>90</v>
      </c>
      <c r="Z233" s="5523">
        <f>((Y233*0.12)+Y233)</f>
        <v>100.8</v>
      </c>
      <c r="AA233" s="5524"/>
      <c r="AB233" s="5779"/>
      <c r="AC233" s="3848"/>
      <c r="AD233" s="3504"/>
      <c r="AE233" s="3505" t="s">
        <v>153</v>
      </c>
      <c r="AF233" s="3505"/>
      <c r="AG233" s="10678"/>
    </row>
    <row r="234" spans="1:33" ht="24" customHeight="1">
      <c r="A234" s="10663"/>
      <c r="B234" s="10659"/>
      <c r="C234" s="10656"/>
      <c r="D234" s="10656"/>
      <c r="E234" s="10656"/>
      <c r="F234" s="10656"/>
      <c r="G234" s="10656"/>
      <c r="H234" s="10656"/>
      <c r="I234" s="10656"/>
      <c r="J234" s="10656"/>
      <c r="K234" s="10656"/>
      <c r="L234" s="10667"/>
      <c r="M234" s="10667"/>
      <c r="N234" s="10667"/>
      <c r="O234" s="10656"/>
      <c r="P234" s="10656"/>
      <c r="Q234" s="10672"/>
      <c r="R234" s="3868"/>
      <c r="S234" s="5682"/>
      <c r="T234" s="5682"/>
      <c r="U234" s="3542"/>
      <c r="V234" s="5499"/>
      <c r="W234" s="3496"/>
      <c r="X234" s="5523"/>
      <c r="Y234" s="5523"/>
      <c r="Z234" s="5523"/>
      <c r="AA234" s="5524"/>
      <c r="AB234" s="5779"/>
      <c r="AC234" s="3848"/>
      <c r="AD234" s="3504"/>
      <c r="AE234" s="3505"/>
      <c r="AF234" s="3505"/>
      <c r="AG234" s="10678"/>
    </row>
    <row r="235" spans="1:33" ht="24" customHeight="1">
      <c r="A235" s="10663"/>
      <c r="B235" s="10659"/>
      <c r="C235" s="10656"/>
      <c r="D235" s="10656"/>
      <c r="E235" s="10656"/>
      <c r="F235" s="10656"/>
      <c r="G235" s="10656"/>
      <c r="H235" s="10656"/>
      <c r="I235" s="10656"/>
      <c r="J235" s="10656"/>
      <c r="K235" s="10656"/>
      <c r="L235" s="10667"/>
      <c r="M235" s="10667"/>
      <c r="N235" s="10667"/>
      <c r="O235" s="10656"/>
      <c r="P235" s="10656"/>
      <c r="Q235" s="10672"/>
      <c r="R235" s="3868" t="s">
        <v>80</v>
      </c>
      <c r="S235" s="5682">
        <v>840104</v>
      </c>
      <c r="T235" s="5682"/>
      <c r="U235" s="3542" t="s">
        <v>39</v>
      </c>
      <c r="V235" s="5499"/>
      <c r="W235" s="3496"/>
      <c r="X235" s="5523"/>
      <c r="Y235" s="5523"/>
      <c r="Z235" s="5523"/>
      <c r="AA235" s="5524">
        <f>SUM($Z$236:$Z$238)</f>
        <v>1461.6</v>
      </c>
      <c r="AB235" s="5779" t="s">
        <v>18</v>
      </c>
      <c r="AC235" s="3848"/>
      <c r="AD235" s="3504"/>
      <c r="AE235" s="3505"/>
      <c r="AF235" s="3505"/>
      <c r="AG235" s="10678"/>
    </row>
    <row r="236" spans="1:33" ht="24" customHeight="1">
      <c r="A236" s="10663"/>
      <c r="B236" s="10659"/>
      <c r="C236" s="10656"/>
      <c r="D236" s="10656"/>
      <c r="E236" s="10656"/>
      <c r="F236" s="10656"/>
      <c r="G236" s="10656"/>
      <c r="H236" s="10656"/>
      <c r="I236" s="10656"/>
      <c r="J236" s="10656"/>
      <c r="K236" s="10656"/>
      <c r="L236" s="10667"/>
      <c r="M236" s="10667"/>
      <c r="N236" s="10667"/>
      <c r="O236" s="10656"/>
      <c r="P236" s="10656"/>
      <c r="Q236" s="10672"/>
      <c r="R236" s="3868"/>
      <c r="S236" s="5681"/>
      <c r="T236" s="5682">
        <v>40180017001</v>
      </c>
      <c r="U236" s="3495" t="s">
        <v>4438</v>
      </c>
      <c r="V236" s="5499">
        <v>1</v>
      </c>
      <c r="W236" s="3496" t="s">
        <v>180</v>
      </c>
      <c r="X236" s="5523">
        <v>280</v>
      </c>
      <c r="Y236" s="5523">
        <f t="shared" ref="Y236:Y238" si="15">(X236*V236)</f>
        <v>280</v>
      </c>
      <c r="Z236" s="5523">
        <f t="shared" ref="Z236:Z238" si="16">((Y236*0.12)+Y236)</f>
        <v>313.60000000000002</v>
      </c>
      <c r="AA236" s="5524"/>
      <c r="AB236" s="5779"/>
      <c r="AC236" s="3848"/>
      <c r="AD236" s="3504"/>
      <c r="AE236" s="3505" t="s">
        <v>153</v>
      </c>
      <c r="AF236" s="3505"/>
      <c r="AG236" s="10678"/>
    </row>
    <row r="237" spans="1:33" ht="24" customHeight="1">
      <c r="A237" s="10663"/>
      <c r="B237" s="10659"/>
      <c r="C237" s="10656"/>
      <c r="D237" s="10656"/>
      <c r="E237" s="10656"/>
      <c r="F237" s="10656"/>
      <c r="G237" s="10656"/>
      <c r="H237" s="10656"/>
      <c r="I237" s="10656"/>
      <c r="J237" s="10656"/>
      <c r="K237" s="10656"/>
      <c r="L237" s="10667"/>
      <c r="M237" s="10667"/>
      <c r="N237" s="10667"/>
      <c r="O237" s="10656"/>
      <c r="P237" s="10656"/>
      <c r="Q237" s="10672"/>
      <c r="R237" s="3868"/>
      <c r="S237" s="5681"/>
      <c r="T237" s="5682" t="s">
        <v>4439</v>
      </c>
      <c r="U237" s="3495" t="s">
        <v>4440</v>
      </c>
      <c r="V237" s="5499">
        <v>1</v>
      </c>
      <c r="W237" s="3496" t="s">
        <v>180</v>
      </c>
      <c r="X237" s="5523">
        <v>900</v>
      </c>
      <c r="Y237" s="5523">
        <f t="shared" si="15"/>
        <v>900</v>
      </c>
      <c r="Z237" s="5523">
        <f t="shared" si="16"/>
        <v>1008</v>
      </c>
      <c r="AA237" s="5524"/>
      <c r="AB237" s="5779"/>
      <c r="AC237" s="3848"/>
      <c r="AD237" s="3504"/>
      <c r="AE237" s="3505" t="s">
        <v>153</v>
      </c>
      <c r="AF237" s="3505"/>
      <c r="AG237" s="10678"/>
    </row>
    <row r="238" spans="1:33" ht="24" customHeight="1">
      <c r="A238" s="10663"/>
      <c r="B238" s="10659"/>
      <c r="C238" s="10656"/>
      <c r="D238" s="10656"/>
      <c r="E238" s="10656"/>
      <c r="F238" s="10656"/>
      <c r="G238" s="10656"/>
      <c r="H238" s="10656"/>
      <c r="I238" s="10656"/>
      <c r="J238" s="10656"/>
      <c r="K238" s="10656"/>
      <c r="L238" s="10667"/>
      <c r="M238" s="10667"/>
      <c r="N238" s="10667"/>
      <c r="O238" s="10656"/>
      <c r="P238" s="10656"/>
      <c r="Q238" s="10672"/>
      <c r="R238" s="3868"/>
      <c r="S238" s="5681"/>
      <c r="T238" s="7440" t="s">
        <v>4441</v>
      </c>
      <c r="U238" s="3495" t="s">
        <v>4442</v>
      </c>
      <c r="V238" s="5499">
        <v>1</v>
      </c>
      <c r="W238" s="3496" t="s">
        <v>180</v>
      </c>
      <c r="X238" s="5523">
        <v>125</v>
      </c>
      <c r="Y238" s="5523">
        <f t="shared" si="15"/>
        <v>125</v>
      </c>
      <c r="Z238" s="5523">
        <f t="shared" si="16"/>
        <v>140</v>
      </c>
      <c r="AA238" s="5524"/>
      <c r="AB238" s="5779"/>
      <c r="AC238" s="3848"/>
      <c r="AD238" s="3504"/>
      <c r="AE238" s="3505" t="s">
        <v>153</v>
      </c>
      <c r="AF238" s="3505"/>
      <c r="AG238" s="10678"/>
    </row>
    <row r="239" spans="1:33" ht="24" customHeight="1">
      <c r="A239" s="10663"/>
      <c r="B239" s="10659"/>
      <c r="C239" s="10656"/>
      <c r="D239" s="10656"/>
      <c r="E239" s="10656"/>
      <c r="F239" s="10656"/>
      <c r="G239" s="10656"/>
      <c r="H239" s="10656"/>
      <c r="I239" s="10656"/>
      <c r="J239" s="10656"/>
      <c r="K239" s="10656"/>
      <c r="L239" s="10667"/>
      <c r="M239" s="10667"/>
      <c r="N239" s="10667"/>
      <c r="O239" s="10656"/>
      <c r="P239" s="10656"/>
      <c r="Q239" s="10672"/>
      <c r="R239" s="3868"/>
      <c r="S239" s="5681"/>
      <c r="T239" s="5682"/>
      <c r="U239" s="3495"/>
      <c r="V239" s="5499"/>
      <c r="W239" s="3496"/>
      <c r="X239" s="5523"/>
      <c r="Y239" s="5523"/>
      <c r="Z239" s="5523"/>
      <c r="AA239" s="5524"/>
      <c r="AB239" s="5779"/>
      <c r="AC239" s="3848"/>
      <c r="AD239" s="3504"/>
      <c r="AE239" s="3505"/>
      <c r="AF239" s="3505"/>
      <c r="AG239" s="10678"/>
    </row>
    <row r="240" spans="1:33" ht="24" customHeight="1">
      <c r="A240" s="10663"/>
      <c r="B240" s="10659"/>
      <c r="C240" s="10656"/>
      <c r="D240" s="10656"/>
      <c r="E240" s="10656"/>
      <c r="F240" s="10656"/>
      <c r="G240" s="10656"/>
      <c r="H240" s="10656"/>
      <c r="I240" s="10656"/>
      <c r="J240" s="10656"/>
      <c r="K240" s="10656"/>
      <c r="L240" s="10667"/>
      <c r="M240" s="10667"/>
      <c r="N240" s="10667"/>
      <c r="O240" s="10656"/>
      <c r="P240" s="10656"/>
      <c r="Q240" s="10672"/>
      <c r="R240" s="3868" t="s">
        <v>80</v>
      </c>
      <c r="S240" s="5682">
        <v>530823</v>
      </c>
      <c r="T240" s="5682"/>
      <c r="U240" s="5750" t="s">
        <v>4443</v>
      </c>
      <c r="V240" s="8087"/>
      <c r="W240" s="8088"/>
      <c r="X240" s="8069"/>
      <c r="Y240" s="8069"/>
      <c r="Z240" s="8069"/>
      <c r="AA240" s="8065">
        <f>SUM($Z$241:$Z$242)</f>
        <v>173.99</v>
      </c>
      <c r="AB240" s="5779" t="s">
        <v>18</v>
      </c>
      <c r="AC240" s="3848"/>
      <c r="AD240" s="3504"/>
      <c r="AE240" s="3505"/>
      <c r="AF240" s="3505"/>
      <c r="AG240" s="10678"/>
    </row>
    <row r="241" spans="1:33" ht="24" customHeight="1">
      <c r="A241" s="10663"/>
      <c r="B241" s="10659"/>
      <c r="C241" s="10656"/>
      <c r="D241" s="10656"/>
      <c r="E241" s="10656"/>
      <c r="F241" s="10656"/>
      <c r="G241" s="10656"/>
      <c r="H241" s="10656"/>
      <c r="I241" s="10656"/>
      <c r="J241" s="10656"/>
      <c r="K241" s="10656"/>
      <c r="L241" s="10667"/>
      <c r="M241" s="10667"/>
      <c r="N241" s="10667"/>
      <c r="O241" s="10656"/>
      <c r="P241" s="10656"/>
      <c r="Q241" s="10672"/>
      <c r="R241" s="3868"/>
      <c r="S241" s="5681"/>
      <c r="T241" s="5682" t="s">
        <v>4444</v>
      </c>
      <c r="U241" s="8063" t="s">
        <v>4445</v>
      </c>
      <c r="V241" s="8087">
        <v>1</v>
      </c>
      <c r="W241" s="8088" t="s">
        <v>180</v>
      </c>
      <c r="X241" s="8069">
        <v>173.99</v>
      </c>
      <c r="Y241" s="8069">
        <f>X241</f>
        <v>173.99</v>
      </c>
      <c r="Z241" s="8069">
        <f>Y241</f>
        <v>173.99</v>
      </c>
      <c r="AA241" s="8065"/>
      <c r="AB241" s="5779"/>
      <c r="AC241" s="3848"/>
      <c r="AD241" s="3504"/>
      <c r="AE241" s="3505" t="s">
        <v>153</v>
      </c>
      <c r="AF241" s="3505"/>
      <c r="AG241" s="10678"/>
    </row>
    <row r="242" spans="1:33" ht="24" customHeight="1">
      <c r="A242" s="10663"/>
      <c r="B242" s="10659"/>
      <c r="C242" s="10656"/>
      <c r="D242" s="10656"/>
      <c r="E242" s="10656"/>
      <c r="F242" s="10656"/>
      <c r="G242" s="10656"/>
      <c r="H242" s="10656"/>
      <c r="I242" s="10656"/>
      <c r="J242" s="10656"/>
      <c r="K242" s="10656"/>
      <c r="L242" s="10667"/>
      <c r="M242" s="10667"/>
      <c r="N242" s="10667"/>
      <c r="O242" s="10656"/>
      <c r="P242" s="10656"/>
      <c r="Q242" s="10672"/>
      <c r="R242" s="3868"/>
      <c r="S242" s="5681"/>
      <c r="T242" s="7440"/>
      <c r="U242" s="3495"/>
      <c r="V242" s="5499"/>
      <c r="W242" s="3496"/>
      <c r="X242" s="5523"/>
      <c r="Y242" s="5523"/>
      <c r="Z242" s="5523"/>
      <c r="AA242" s="5524"/>
      <c r="AB242" s="5779"/>
      <c r="AC242" s="3848"/>
      <c r="AD242" s="3504"/>
      <c r="AE242" s="3505" t="s">
        <v>153</v>
      </c>
      <c r="AF242" s="3505"/>
      <c r="AG242" s="10678"/>
    </row>
    <row r="243" spans="1:33" ht="24" customHeight="1">
      <c r="A243" s="10663"/>
      <c r="B243" s="10659"/>
      <c r="C243" s="10656"/>
      <c r="D243" s="10656"/>
      <c r="E243" s="10656"/>
      <c r="F243" s="10656"/>
      <c r="G243" s="10656"/>
      <c r="H243" s="10656"/>
      <c r="I243" s="10656"/>
      <c r="J243" s="10656"/>
      <c r="K243" s="10658"/>
      <c r="L243" s="10668"/>
      <c r="M243" s="10668"/>
      <c r="N243" s="10668"/>
      <c r="O243" s="10658"/>
      <c r="P243" s="10658"/>
      <c r="Q243" s="10673"/>
      <c r="R243" s="3899"/>
      <c r="S243" s="5683"/>
      <c r="T243" s="7441"/>
      <c r="U243" s="3759"/>
      <c r="V243" s="5509"/>
      <c r="W243" s="3714"/>
      <c r="X243" s="5544"/>
      <c r="Y243" s="5544"/>
      <c r="Z243" s="5544"/>
      <c r="AA243" s="5545"/>
      <c r="AB243" s="5823"/>
      <c r="AC243" s="3891"/>
      <c r="AD243" s="3727"/>
      <c r="AE243" s="3507"/>
      <c r="AF243" s="3507"/>
      <c r="AG243" s="10679"/>
    </row>
    <row r="244" spans="1:33" ht="22.5" customHeight="1">
      <c r="A244" s="10663"/>
      <c r="B244" s="10659"/>
      <c r="C244" s="10656"/>
      <c r="D244" s="10656"/>
      <c r="E244" s="10656"/>
      <c r="F244" s="10656"/>
      <c r="G244" s="10656"/>
      <c r="H244" s="10656"/>
      <c r="I244" s="10656"/>
      <c r="J244" s="10656"/>
      <c r="K244" s="10433" t="s">
        <v>4446</v>
      </c>
      <c r="L244" s="10676">
        <v>7</v>
      </c>
      <c r="M244" s="10676">
        <v>10</v>
      </c>
      <c r="N244" s="10676">
        <v>12</v>
      </c>
      <c r="O244" s="10691" t="s">
        <v>4447</v>
      </c>
      <c r="P244" s="10433" t="s">
        <v>4448</v>
      </c>
      <c r="Q244" s="10439" t="s">
        <v>4449</v>
      </c>
      <c r="R244" s="3885" t="s">
        <v>80</v>
      </c>
      <c r="S244" s="5684">
        <v>840104</v>
      </c>
      <c r="T244" s="5685"/>
      <c r="U244" s="3762" t="s">
        <v>39</v>
      </c>
      <c r="V244" s="5502"/>
      <c r="W244" s="3709"/>
      <c r="X244" s="5529"/>
      <c r="Y244" s="5529"/>
      <c r="Z244" s="5529"/>
      <c r="AA244" s="5530">
        <f>SUM($Z$245:$Z$248)</f>
        <v>6696.524800000002</v>
      </c>
      <c r="AB244" s="5780" t="s">
        <v>18</v>
      </c>
      <c r="AC244" s="3876"/>
      <c r="AD244" s="2930"/>
      <c r="AE244" s="2930"/>
      <c r="AF244" s="3710"/>
      <c r="AG244" s="10525" t="s">
        <v>4450</v>
      </c>
    </row>
    <row r="245" spans="1:33" ht="22.5" customHeight="1">
      <c r="A245" s="10663"/>
      <c r="B245" s="10659"/>
      <c r="C245" s="10656"/>
      <c r="D245" s="10656"/>
      <c r="E245" s="10656"/>
      <c r="F245" s="10656"/>
      <c r="G245" s="10656"/>
      <c r="H245" s="10656"/>
      <c r="I245" s="10656"/>
      <c r="J245" s="10656"/>
      <c r="K245" s="10656"/>
      <c r="L245" s="10667"/>
      <c r="M245" s="10667"/>
      <c r="N245" s="10667"/>
      <c r="O245" s="10656"/>
      <c r="P245" s="10656"/>
      <c r="Q245" s="10672"/>
      <c r="R245" s="3868"/>
      <c r="S245" s="5681"/>
      <c r="T245" s="5681">
        <v>48231.000999999997</v>
      </c>
      <c r="U245" s="3495" t="s">
        <v>4451</v>
      </c>
      <c r="V245" s="5499">
        <v>1</v>
      </c>
      <c r="W245" s="3668" t="s">
        <v>180</v>
      </c>
      <c r="X245" s="5523">
        <v>2639.7</v>
      </c>
      <c r="Y245" s="5523">
        <v>2442.8000000000002</v>
      </c>
      <c r="Z245" s="5523">
        <f t="shared" ref="Z245:Z248" si="17">+Y245*1.12</f>
        <v>2735.9360000000006</v>
      </c>
      <c r="AA245" s="5524"/>
      <c r="AB245" s="5779"/>
      <c r="AC245" s="3848"/>
      <c r="AD245" s="3504"/>
      <c r="AE245" s="3504" t="s">
        <v>153</v>
      </c>
      <c r="AF245" s="3505"/>
      <c r="AG245" s="10678"/>
    </row>
    <row r="246" spans="1:33" ht="22.5" customHeight="1">
      <c r="A246" s="10663"/>
      <c r="B246" s="10659"/>
      <c r="C246" s="10656"/>
      <c r="D246" s="10656"/>
      <c r="E246" s="10656"/>
      <c r="F246" s="10656"/>
      <c r="G246" s="10656"/>
      <c r="H246" s="10656"/>
      <c r="I246" s="10656"/>
      <c r="J246" s="10656"/>
      <c r="K246" s="10656"/>
      <c r="L246" s="10667"/>
      <c r="M246" s="10667"/>
      <c r="N246" s="10667"/>
      <c r="O246" s="10656"/>
      <c r="P246" s="10656"/>
      <c r="Q246" s="10672"/>
      <c r="R246" s="3868"/>
      <c r="S246" s="5681"/>
      <c r="T246" s="5681">
        <v>43911</v>
      </c>
      <c r="U246" s="3495" t="s">
        <v>4452</v>
      </c>
      <c r="V246" s="5499">
        <v>1</v>
      </c>
      <c r="W246" s="3668" t="s">
        <v>180</v>
      </c>
      <c r="X246" s="5523">
        <v>2500</v>
      </c>
      <c r="Y246" s="5523">
        <f t="shared" ref="Y246:Y248" si="18">+V246*X246</f>
        <v>2500</v>
      </c>
      <c r="Z246" s="5523">
        <f t="shared" si="17"/>
        <v>2800.0000000000005</v>
      </c>
      <c r="AA246" s="5524"/>
      <c r="AB246" s="5779"/>
      <c r="AC246" s="3848"/>
      <c r="AD246" s="3504"/>
      <c r="AE246" s="3504" t="s">
        <v>153</v>
      </c>
      <c r="AF246" s="3505"/>
      <c r="AG246" s="10678"/>
    </row>
    <row r="247" spans="1:33" ht="22.5" customHeight="1">
      <c r="A247" s="10663"/>
      <c r="B247" s="10659"/>
      <c r="C247" s="10656"/>
      <c r="D247" s="10656"/>
      <c r="E247" s="10656"/>
      <c r="F247" s="10656"/>
      <c r="G247" s="10656"/>
      <c r="H247" s="10656"/>
      <c r="I247" s="10656"/>
      <c r="J247" s="10656"/>
      <c r="K247" s="10656"/>
      <c r="L247" s="10667"/>
      <c r="M247" s="10667"/>
      <c r="N247" s="10667"/>
      <c r="O247" s="10656"/>
      <c r="P247" s="10656"/>
      <c r="Q247" s="10672"/>
      <c r="R247" s="3868"/>
      <c r="S247" s="5681"/>
      <c r="T247" s="5681">
        <v>48253.05</v>
      </c>
      <c r="U247" s="3495" t="s">
        <v>4453</v>
      </c>
      <c r="V247" s="5499">
        <v>1</v>
      </c>
      <c r="W247" s="3668" t="s">
        <v>180</v>
      </c>
      <c r="X247" s="5523">
        <v>246.24</v>
      </c>
      <c r="Y247" s="5523">
        <f t="shared" si="18"/>
        <v>246.24</v>
      </c>
      <c r="Z247" s="5523">
        <f t="shared" si="17"/>
        <v>275.78880000000004</v>
      </c>
      <c r="AA247" s="5524"/>
      <c r="AB247" s="5779"/>
      <c r="AC247" s="3848"/>
      <c r="AD247" s="3504"/>
      <c r="AE247" s="3504" t="s">
        <v>153</v>
      </c>
      <c r="AF247" s="3505"/>
      <c r="AG247" s="10678"/>
    </row>
    <row r="248" spans="1:33" ht="22.5" customHeight="1">
      <c r="A248" s="10663"/>
      <c r="B248" s="10659"/>
      <c r="C248" s="10656"/>
      <c r="D248" s="10656"/>
      <c r="E248" s="10656"/>
      <c r="F248" s="10656"/>
      <c r="G248" s="10656"/>
      <c r="H248" s="10656"/>
      <c r="I248" s="10656"/>
      <c r="J248" s="10656"/>
      <c r="K248" s="10656"/>
      <c r="L248" s="10667"/>
      <c r="M248" s="10667"/>
      <c r="N248" s="10667"/>
      <c r="O248" s="10656"/>
      <c r="P248" s="10656"/>
      <c r="Q248" s="10672"/>
      <c r="R248" s="3868"/>
      <c r="S248" s="5681"/>
      <c r="T248" s="5681">
        <v>48253.05</v>
      </c>
      <c r="U248" s="3495" t="s">
        <v>4454</v>
      </c>
      <c r="V248" s="5499">
        <v>1</v>
      </c>
      <c r="W248" s="3668" t="s">
        <v>180</v>
      </c>
      <c r="X248" s="5523">
        <v>790</v>
      </c>
      <c r="Y248" s="5523">
        <f t="shared" si="18"/>
        <v>790</v>
      </c>
      <c r="Z248" s="5523">
        <f t="shared" si="17"/>
        <v>884.80000000000007</v>
      </c>
      <c r="AA248" s="5524"/>
      <c r="AB248" s="5779"/>
      <c r="AC248" s="3848"/>
      <c r="AD248" s="3504"/>
      <c r="AE248" s="3504" t="s">
        <v>153</v>
      </c>
      <c r="AF248" s="3505"/>
      <c r="AG248" s="10678"/>
    </row>
    <row r="249" spans="1:33" ht="22.5" customHeight="1">
      <c r="A249" s="10663"/>
      <c r="B249" s="10659"/>
      <c r="C249" s="10656"/>
      <c r="D249" s="10656"/>
      <c r="E249" s="10656"/>
      <c r="F249" s="10656"/>
      <c r="G249" s="10656"/>
      <c r="H249" s="10656"/>
      <c r="I249" s="10656"/>
      <c r="J249" s="10656"/>
      <c r="K249" s="10656"/>
      <c r="L249" s="10667"/>
      <c r="M249" s="10667"/>
      <c r="N249" s="10667"/>
      <c r="O249" s="10656"/>
      <c r="P249" s="10656"/>
      <c r="Q249" s="10672"/>
      <c r="R249" s="3868"/>
      <c r="S249" s="5682"/>
      <c r="T249" s="5681"/>
      <c r="U249" s="3542"/>
      <c r="V249" s="5499"/>
      <c r="W249" s="3496"/>
      <c r="X249" s="5523"/>
      <c r="Y249" s="5523"/>
      <c r="Z249" s="5523"/>
      <c r="AA249" s="5524"/>
      <c r="AB249" s="5779"/>
      <c r="AC249" s="3848"/>
      <c r="AD249" s="3504"/>
      <c r="AE249" s="3504"/>
      <c r="AF249" s="3505"/>
      <c r="AG249" s="10678"/>
    </row>
    <row r="250" spans="1:33" ht="22.5" customHeight="1">
      <c r="A250" s="10663"/>
      <c r="B250" s="10659"/>
      <c r="C250" s="10656"/>
      <c r="D250" s="10656"/>
      <c r="E250" s="10656"/>
      <c r="F250" s="10656"/>
      <c r="G250" s="10656"/>
      <c r="H250" s="10656"/>
      <c r="I250" s="10656"/>
      <c r="J250" s="10656"/>
      <c r="K250" s="10656"/>
      <c r="L250" s="10667"/>
      <c r="M250" s="10667"/>
      <c r="N250" s="10667"/>
      <c r="O250" s="10656"/>
      <c r="P250" s="10656"/>
      <c r="Q250" s="10672"/>
      <c r="R250" s="3868" t="s">
        <v>79</v>
      </c>
      <c r="S250" s="5682">
        <v>531407</v>
      </c>
      <c r="T250" s="5681"/>
      <c r="U250" s="3542" t="s">
        <v>40</v>
      </c>
      <c r="V250" s="5499"/>
      <c r="W250" s="3496"/>
      <c r="X250" s="5523"/>
      <c r="Y250" s="5523"/>
      <c r="Z250" s="5523"/>
      <c r="AA250" s="5524">
        <f>SUM($Z$251:$Z$251)</f>
        <v>67.2</v>
      </c>
      <c r="AB250" s="5779" t="s">
        <v>25</v>
      </c>
      <c r="AC250" s="3848"/>
      <c r="AD250" s="3504"/>
      <c r="AE250" s="3504"/>
      <c r="AF250" s="3505"/>
      <c r="AG250" s="10678"/>
    </row>
    <row r="251" spans="1:33" ht="22.5" customHeight="1">
      <c r="A251" s="10663"/>
      <c r="B251" s="10659"/>
      <c r="C251" s="10656"/>
      <c r="D251" s="10656"/>
      <c r="E251" s="10656"/>
      <c r="F251" s="10656"/>
      <c r="G251" s="10656"/>
      <c r="H251" s="10656"/>
      <c r="I251" s="10656"/>
      <c r="J251" s="10656"/>
      <c r="K251" s="10656"/>
      <c r="L251" s="10667"/>
      <c r="M251" s="10667"/>
      <c r="N251" s="10667"/>
      <c r="O251" s="10656"/>
      <c r="P251" s="10656"/>
      <c r="Q251" s="10672"/>
      <c r="R251" s="3868"/>
      <c r="S251" s="5681"/>
      <c r="T251" s="5681">
        <v>461220011</v>
      </c>
      <c r="U251" s="3495" t="s">
        <v>4426</v>
      </c>
      <c r="V251" s="5499">
        <v>1</v>
      </c>
      <c r="W251" s="3668" t="s">
        <v>180</v>
      </c>
      <c r="X251" s="5523">
        <v>60</v>
      </c>
      <c r="Y251" s="5523">
        <f t="shared" ref="Y251" si="19">+V251*X251</f>
        <v>60</v>
      </c>
      <c r="Z251" s="5523">
        <f t="shared" ref="Z251" si="20">+Y251*1.12</f>
        <v>67.2</v>
      </c>
      <c r="AA251" s="5524"/>
      <c r="AB251" s="5779"/>
      <c r="AC251" s="3848"/>
      <c r="AD251" s="3504"/>
      <c r="AE251" s="3504" t="s">
        <v>153</v>
      </c>
      <c r="AF251" s="3505"/>
      <c r="AG251" s="10678"/>
    </row>
    <row r="252" spans="1:33" ht="22.5" customHeight="1">
      <c r="A252" s="10663"/>
      <c r="B252" s="10659"/>
      <c r="C252" s="10656"/>
      <c r="D252" s="10656"/>
      <c r="E252" s="10656"/>
      <c r="F252" s="10656"/>
      <c r="G252" s="10656"/>
      <c r="H252" s="10656"/>
      <c r="I252" s="10656"/>
      <c r="J252" s="10656"/>
      <c r="K252" s="10657"/>
      <c r="L252" s="10674"/>
      <c r="M252" s="10674"/>
      <c r="N252" s="10674"/>
      <c r="O252" s="10657"/>
      <c r="P252" s="10657"/>
      <c r="Q252" s="10675"/>
      <c r="R252" s="3887"/>
      <c r="S252" s="5696"/>
      <c r="T252" s="5696"/>
      <c r="U252" s="3557"/>
      <c r="V252" s="5503"/>
      <c r="W252" s="3545"/>
      <c r="X252" s="5532"/>
      <c r="Y252" s="5532"/>
      <c r="Z252" s="5532"/>
      <c r="AA252" s="5533"/>
      <c r="AB252" s="5828"/>
      <c r="AC252" s="3878"/>
      <c r="AD252" s="2933"/>
      <c r="AE252" s="2933"/>
      <c r="AF252" s="3713"/>
      <c r="AG252" s="10680"/>
    </row>
    <row r="253" spans="1:33" ht="22.5" customHeight="1">
      <c r="A253" s="10663"/>
      <c r="B253" s="10659"/>
      <c r="C253" s="10656"/>
      <c r="D253" s="10656"/>
      <c r="E253" s="10656"/>
      <c r="F253" s="10656"/>
      <c r="G253" s="10656"/>
      <c r="H253" s="10656"/>
      <c r="I253" s="10656"/>
      <c r="J253" s="10656"/>
      <c r="K253" s="10444" t="s">
        <v>4455</v>
      </c>
      <c r="L253" s="10666">
        <v>3</v>
      </c>
      <c r="M253" s="10666">
        <v>3</v>
      </c>
      <c r="N253" s="10666">
        <v>4</v>
      </c>
      <c r="O253" s="10611" t="s">
        <v>4456</v>
      </c>
      <c r="P253" s="10444" t="s">
        <v>4435</v>
      </c>
      <c r="Q253" s="10449" t="s">
        <v>4457</v>
      </c>
      <c r="R253" s="3892" t="s">
        <v>80</v>
      </c>
      <c r="S253" s="5689">
        <v>531404</v>
      </c>
      <c r="T253" s="5690"/>
      <c r="U253" s="3758" t="s">
        <v>39</v>
      </c>
      <c r="V253" s="5504"/>
      <c r="W253" s="3658"/>
      <c r="X253" s="5534"/>
      <c r="Y253" s="5534"/>
      <c r="Z253" s="5534"/>
      <c r="AA253" s="5535">
        <f>SUM($Z$254:$Z$261)</f>
        <v>647.08000000000004</v>
      </c>
      <c r="AB253" s="5822" t="s">
        <v>26</v>
      </c>
      <c r="AC253" s="3884"/>
      <c r="AD253" s="3721"/>
      <c r="AE253" s="3721"/>
      <c r="AF253" s="3722"/>
      <c r="AG253" s="10464" t="s">
        <v>4458</v>
      </c>
    </row>
    <row r="254" spans="1:33" ht="22.5" customHeight="1">
      <c r="A254" s="10663"/>
      <c r="B254" s="10659"/>
      <c r="C254" s="10656"/>
      <c r="D254" s="10656"/>
      <c r="E254" s="10656"/>
      <c r="F254" s="10656"/>
      <c r="G254" s="10656"/>
      <c r="H254" s="10656"/>
      <c r="I254" s="10656"/>
      <c r="J254" s="10656"/>
      <c r="K254" s="10656"/>
      <c r="L254" s="10667"/>
      <c r="M254" s="10667"/>
      <c r="N254" s="10667"/>
      <c r="O254" s="10656"/>
      <c r="P254" s="10656"/>
      <c r="Q254" s="10672"/>
      <c r="R254" s="3867"/>
      <c r="S254" s="5681"/>
      <c r="T254" s="5681">
        <v>441902015</v>
      </c>
      <c r="U254" s="3495" t="s">
        <v>4459</v>
      </c>
      <c r="V254" s="5499">
        <v>5</v>
      </c>
      <c r="W254" s="3668" t="s">
        <v>180</v>
      </c>
      <c r="X254" s="5523">
        <v>8.5</v>
      </c>
      <c r="Y254" s="5523">
        <f t="shared" ref="Y254:Y261" si="21">+V254*X254</f>
        <v>42.5</v>
      </c>
      <c r="Z254" s="5523">
        <f t="shared" ref="Z254:Z261" si="22">+Y254*1.12</f>
        <v>47.6</v>
      </c>
      <c r="AA254" s="5524"/>
      <c r="AB254" s="5779"/>
      <c r="AC254" s="3847"/>
      <c r="AD254" s="3496"/>
      <c r="AE254" s="3496" t="s">
        <v>153</v>
      </c>
      <c r="AF254" s="3666"/>
      <c r="AG254" s="10678"/>
    </row>
    <row r="255" spans="1:33" ht="22.5" customHeight="1">
      <c r="A255" s="10663"/>
      <c r="B255" s="10659"/>
      <c r="C255" s="10656"/>
      <c r="D255" s="10656"/>
      <c r="E255" s="10656"/>
      <c r="F255" s="10656"/>
      <c r="G255" s="10656"/>
      <c r="H255" s="10656"/>
      <c r="I255" s="10656"/>
      <c r="J255" s="10656"/>
      <c r="K255" s="10656"/>
      <c r="L255" s="10667"/>
      <c r="M255" s="10667"/>
      <c r="N255" s="10667"/>
      <c r="O255" s="10656"/>
      <c r="P255" s="10656"/>
      <c r="Q255" s="10672"/>
      <c r="R255" s="3867"/>
      <c r="S255" s="5681"/>
      <c r="T255" s="5681">
        <v>429430011</v>
      </c>
      <c r="U255" s="3495" t="s">
        <v>4460</v>
      </c>
      <c r="V255" s="5499">
        <v>5</v>
      </c>
      <c r="W255" s="3668" t="s">
        <v>180</v>
      </c>
      <c r="X255" s="5523">
        <v>8.3000000000000007</v>
      </c>
      <c r="Y255" s="5523">
        <f t="shared" si="21"/>
        <v>41.5</v>
      </c>
      <c r="Z255" s="5523">
        <f t="shared" si="22"/>
        <v>46.480000000000004</v>
      </c>
      <c r="AA255" s="5524"/>
      <c r="AB255" s="5779"/>
      <c r="AC255" s="3847"/>
      <c r="AD255" s="3496"/>
      <c r="AE255" s="3496" t="s">
        <v>153</v>
      </c>
      <c r="AF255" s="3666"/>
      <c r="AG255" s="10678"/>
    </row>
    <row r="256" spans="1:33" ht="22.5" customHeight="1">
      <c r="A256" s="10663"/>
      <c r="B256" s="10659"/>
      <c r="C256" s="10656"/>
      <c r="D256" s="10656"/>
      <c r="E256" s="10656"/>
      <c r="F256" s="10656"/>
      <c r="G256" s="10656"/>
      <c r="H256" s="10656"/>
      <c r="I256" s="10656"/>
      <c r="J256" s="10656"/>
      <c r="K256" s="10656"/>
      <c r="L256" s="10667"/>
      <c r="M256" s="10667"/>
      <c r="N256" s="10667"/>
      <c r="O256" s="10656"/>
      <c r="P256" s="10656"/>
      <c r="Q256" s="10672"/>
      <c r="R256" s="3867"/>
      <c r="S256" s="5681"/>
      <c r="T256" s="5681">
        <v>448210011</v>
      </c>
      <c r="U256" s="3495" t="s">
        <v>4461</v>
      </c>
      <c r="V256" s="5499">
        <v>1</v>
      </c>
      <c r="W256" s="3668" t="s">
        <v>180</v>
      </c>
      <c r="X256" s="5523">
        <v>80</v>
      </c>
      <c r="Y256" s="5523">
        <f t="shared" si="21"/>
        <v>80</v>
      </c>
      <c r="Z256" s="5523">
        <f t="shared" si="22"/>
        <v>89.600000000000009</v>
      </c>
      <c r="AA256" s="5524"/>
      <c r="AB256" s="5779"/>
      <c r="AC256" s="3847"/>
      <c r="AD256" s="3496"/>
      <c r="AE256" s="3496" t="s">
        <v>153</v>
      </c>
      <c r="AF256" s="3666"/>
      <c r="AG256" s="10678"/>
    </row>
    <row r="257" spans="1:33" ht="22.5" customHeight="1">
      <c r="A257" s="10663"/>
      <c r="B257" s="10659"/>
      <c r="C257" s="10656"/>
      <c r="D257" s="10656"/>
      <c r="E257" s="10656"/>
      <c r="F257" s="10656"/>
      <c r="G257" s="10656"/>
      <c r="H257" s="10656"/>
      <c r="I257" s="10656"/>
      <c r="J257" s="10656"/>
      <c r="K257" s="10656"/>
      <c r="L257" s="10667"/>
      <c r="M257" s="10667"/>
      <c r="N257" s="10667"/>
      <c r="O257" s="10656"/>
      <c r="P257" s="10656"/>
      <c r="Q257" s="10672"/>
      <c r="R257" s="3867"/>
      <c r="S257" s="5681"/>
      <c r="T257" s="5681">
        <v>441902013</v>
      </c>
      <c r="U257" s="3495" t="s">
        <v>4462</v>
      </c>
      <c r="V257" s="5499">
        <v>5</v>
      </c>
      <c r="W257" s="3668" t="s">
        <v>180</v>
      </c>
      <c r="X257" s="5523">
        <v>14</v>
      </c>
      <c r="Y257" s="5523">
        <f t="shared" si="21"/>
        <v>70</v>
      </c>
      <c r="Z257" s="5523">
        <f t="shared" si="22"/>
        <v>78.400000000000006</v>
      </c>
      <c r="AA257" s="5524"/>
      <c r="AB257" s="5779"/>
      <c r="AC257" s="3847"/>
      <c r="AD257" s="3496"/>
      <c r="AE257" s="3496" t="s">
        <v>153</v>
      </c>
      <c r="AF257" s="3666"/>
      <c r="AG257" s="10678"/>
    </row>
    <row r="258" spans="1:33" ht="22.5" customHeight="1">
      <c r="A258" s="10663"/>
      <c r="B258" s="10659"/>
      <c r="C258" s="10656"/>
      <c r="D258" s="10656"/>
      <c r="E258" s="10656"/>
      <c r="F258" s="10656"/>
      <c r="G258" s="10656"/>
      <c r="H258" s="10656"/>
      <c r="I258" s="10656"/>
      <c r="J258" s="10656"/>
      <c r="K258" s="10656"/>
      <c r="L258" s="10667"/>
      <c r="M258" s="10667"/>
      <c r="N258" s="10667"/>
      <c r="O258" s="10656"/>
      <c r="P258" s="10656"/>
      <c r="Q258" s="10672"/>
      <c r="R258" s="3867"/>
      <c r="S258" s="5681"/>
      <c r="T258" s="5681">
        <v>371950019</v>
      </c>
      <c r="U258" s="3495" t="s">
        <v>4463</v>
      </c>
      <c r="V258" s="5499">
        <v>5</v>
      </c>
      <c r="W258" s="3668" t="s">
        <v>180</v>
      </c>
      <c r="X258" s="5523">
        <v>35</v>
      </c>
      <c r="Y258" s="5523">
        <f t="shared" si="21"/>
        <v>175</v>
      </c>
      <c r="Z258" s="5523">
        <f t="shared" si="22"/>
        <v>196.00000000000003</v>
      </c>
      <c r="AA258" s="5524"/>
      <c r="AB258" s="5779"/>
      <c r="AC258" s="3847"/>
      <c r="AD258" s="3496"/>
      <c r="AE258" s="3496" t="s">
        <v>153</v>
      </c>
      <c r="AF258" s="3666"/>
      <c r="AG258" s="10678"/>
    </row>
    <row r="259" spans="1:33" ht="22.5" customHeight="1">
      <c r="A259" s="10663"/>
      <c r="B259" s="10659"/>
      <c r="C259" s="10656"/>
      <c r="D259" s="10656"/>
      <c r="E259" s="10656"/>
      <c r="F259" s="10656"/>
      <c r="G259" s="10656"/>
      <c r="H259" s="10656"/>
      <c r="I259" s="10656"/>
      <c r="J259" s="10656"/>
      <c r="K259" s="10656"/>
      <c r="L259" s="10667"/>
      <c r="M259" s="10667"/>
      <c r="N259" s="10667"/>
      <c r="O259" s="10656"/>
      <c r="P259" s="10656"/>
      <c r="Q259" s="10672"/>
      <c r="R259" s="3867"/>
      <c r="S259" s="5681"/>
      <c r="T259" s="5681">
        <v>371950111</v>
      </c>
      <c r="U259" s="3495" t="s">
        <v>4464</v>
      </c>
      <c r="V259" s="5499">
        <v>5</v>
      </c>
      <c r="W259" s="3668" t="s">
        <v>180</v>
      </c>
      <c r="X259" s="5523">
        <v>10</v>
      </c>
      <c r="Y259" s="5523">
        <f t="shared" si="21"/>
        <v>50</v>
      </c>
      <c r="Z259" s="5523">
        <f t="shared" si="22"/>
        <v>56.000000000000007</v>
      </c>
      <c r="AA259" s="5524"/>
      <c r="AB259" s="5779"/>
      <c r="AC259" s="3847"/>
      <c r="AD259" s="3496"/>
      <c r="AE259" s="3496" t="s">
        <v>153</v>
      </c>
      <c r="AF259" s="3666"/>
      <c r="AG259" s="10678"/>
    </row>
    <row r="260" spans="1:33" ht="22.5" customHeight="1">
      <c r="A260" s="10663"/>
      <c r="B260" s="10659"/>
      <c r="C260" s="10656"/>
      <c r="D260" s="10656"/>
      <c r="E260" s="10656"/>
      <c r="F260" s="10656"/>
      <c r="G260" s="10656"/>
      <c r="H260" s="10656"/>
      <c r="I260" s="10656"/>
      <c r="J260" s="10656"/>
      <c r="K260" s="10656"/>
      <c r="L260" s="10667"/>
      <c r="M260" s="10667"/>
      <c r="N260" s="10667"/>
      <c r="O260" s="10656"/>
      <c r="P260" s="10656"/>
      <c r="Q260" s="10672"/>
      <c r="R260" s="3867"/>
      <c r="S260" s="5681"/>
      <c r="T260" s="5681">
        <v>371950111</v>
      </c>
      <c r="U260" s="3495" t="s">
        <v>4465</v>
      </c>
      <c r="V260" s="5499">
        <v>5</v>
      </c>
      <c r="W260" s="3668" t="s">
        <v>180</v>
      </c>
      <c r="X260" s="5523">
        <v>11.25</v>
      </c>
      <c r="Y260" s="5523">
        <f t="shared" si="21"/>
        <v>56.25</v>
      </c>
      <c r="Z260" s="5523">
        <f t="shared" si="22"/>
        <v>63.000000000000007</v>
      </c>
      <c r="AA260" s="5524"/>
      <c r="AB260" s="5779"/>
      <c r="AC260" s="3847"/>
      <c r="AD260" s="3496"/>
      <c r="AE260" s="3496" t="s">
        <v>153</v>
      </c>
      <c r="AF260" s="3666"/>
      <c r="AG260" s="10678"/>
    </row>
    <row r="261" spans="1:33" ht="22.5" customHeight="1">
      <c r="A261" s="10663"/>
      <c r="B261" s="10659"/>
      <c r="C261" s="10656"/>
      <c r="D261" s="10656"/>
      <c r="E261" s="10656"/>
      <c r="F261" s="10656"/>
      <c r="G261" s="10656"/>
      <c r="H261" s="10656"/>
      <c r="I261" s="10656"/>
      <c r="J261" s="10656"/>
      <c r="K261" s="10656"/>
      <c r="L261" s="10667"/>
      <c r="M261" s="10667"/>
      <c r="N261" s="10667"/>
      <c r="O261" s="10656"/>
      <c r="P261" s="10656"/>
      <c r="Q261" s="10672"/>
      <c r="R261" s="3867"/>
      <c r="S261" s="5681"/>
      <c r="T261" s="5681">
        <v>371950111</v>
      </c>
      <c r="U261" s="3495" t="s">
        <v>4466</v>
      </c>
      <c r="V261" s="5499">
        <v>5</v>
      </c>
      <c r="W261" s="3668" t="s">
        <v>180</v>
      </c>
      <c r="X261" s="5523">
        <v>12.5</v>
      </c>
      <c r="Y261" s="5523">
        <f t="shared" si="21"/>
        <v>62.5</v>
      </c>
      <c r="Z261" s="5523">
        <f t="shared" si="22"/>
        <v>70</v>
      </c>
      <c r="AA261" s="5524"/>
      <c r="AB261" s="5779"/>
      <c r="AC261" s="3847"/>
      <c r="AD261" s="3496"/>
      <c r="AE261" s="3496" t="s">
        <v>153</v>
      </c>
      <c r="AF261" s="3666"/>
      <c r="AG261" s="10678"/>
    </row>
    <row r="262" spans="1:33" ht="22.5" customHeight="1">
      <c r="A262" s="10663"/>
      <c r="B262" s="10659"/>
      <c r="C262" s="10656"/>
      <c r="D262" s="10656"/>
      <c r="E262" s="10656"/>
      <c r="F262" s="10656"/>
      <c r="G262" s="10656"/>
      <c r="H262" s="10656"/>
      <c r="I262" s="10656"/>
      <c r="J262" s="10656"/>
      <c r="K262" s="10656"/>
      <c r="L262" s="10667"/>
      <c r="M262" s="10667"/>
      <c r="N262" s="10667"/>
      <c r="O262" s="10656"/>
      <c r="P262" s="10656"/>
      <c r="Q262" s="10672"/>
      <c r="R262" s="3868"/>
      <c r="S262" s="5682"/>
      <c r="T262" s="5681"/>
      <c r="U262" s="3542"/>
      <c r="V262" s="5499"/>
      <c r="W262" s="3496"/>
      <c r="X262" s="5523"/>
      <c r="Y262" s="5523"/>
      <c r="Z262" s="5523"/>
      <c r="AA262" s="5524"/>
      <c r="AB262" s="5779"/>
      <c r="AC262" s="3847"/>
      <c r="AD262" s="3496"/>
      <c r="AE262" s="3496"/>
      <c r="AF262" s="3666"/>
      <c r="AG262" s="10678"/>
    </row>
    <row r="263" spans="1:33" ht="22.5" customHeight="1">
      <c r="A263" s="10663"/>
      <c r="B263" s="10659"/>
      <c r="C263" s="10656"/>
      <c r="D263" s="10656"/>
      <c r="E263" s="10656"/>
      <c r="F263" s="10656"/>
      <c r="G263" s="10656"/>
      <c r="H263" s="10656"/>
      <c r="I263" s="10656"/>
      <c r="J263" s="10656"/>
      <c r="K263" s="10656"/>
      <c r="L263" s="10667"/>
      <c r="M263" s="10667"/>
      <c r="N263" s="10667"/>
      <c r="O263" s="10656"/>
      <c r="P263" s="10656"/>
      <c r="Q263" s="10672"/>
      <c r="R263" s="3868" t="s">
        <v>79</v>
      </c>
      <c r="S263" s="5682">
        <v>531407</v>
      </c>
      <c r="T263" s="5681"/>
      <c r="U263" s="3542" t="s">
        <v>40</v>
      </c>
      <c r="V263" s="5499"/>
      <c r="W263" s="3496"/>
      <c r="X263" s="5523"/>
      <c r="Y263" s="5523"/>
      <c r="Z263" s="5523"/>
      <c r="AA263" s="5524">
        <f>SUM($Z$264:$Z$266)</f>
        <v>85.12</v>
      </c>
      <c r="AB263" s="5779" t="s">
        <v>25</v>
      </c>
      <c r="AC263" s="3847"/>
      <c r="AD263" s="3496"/>
      <c r="AE263" s="3496"/>
      <c r="AF263" s="3666"/>
      <c r="AG263" s="10678"/>
    </row>
    <row r="264" spans="1:33" ht="22.5" customHeight="1">
      <c r="A264" s="10663"/>
      <c r="B264" s="10659"/>
      <c r="C264" s="10656"/>
      <c r="D264" s="10656"/>
      <c r="E264" s="10656"/>
      <c r="F264" s="10656"/>
      <c r="G264" s="10656"/>
      <c r="H264" s="10656"/>
      <c r="I264" s="10656"/>
      <c r="J264" s="10656"/>
      <c r="K264" s="10656"/>
      <c r="L264" s="10667"/>
      <c r="M264" s="10667"/>
      <c r="N264" s="10667"/>
      <c r="O264" s="10656"/>
      <c r="P264" s="10656"/>
      <c r="Q264" s="10672"/>
      <c r="R264" s="3868"/>
      <c r="S264" s="5681"/>
      <c r="T264" s="5681">
        <v>461220011</v>
      </c>
      <c r="U264" s="3495" t="s">
        <v>4381</v>
      </c>
      <c r="V264" s="5499">
        <v>1</v>
      </c>
      <c r="W264" s="3668" t="s">
        <v>180</v>
      </c>
      <c r="X264" s="5523">
        <v>63</v>
      </c>
      <c r="Y264" s="5523">
        <f t="shared" ref="Y264:Y266" si="23">+V264*X264</f>
        <v>63</v>
      </c>
      <c r="Z264" s="5523">
        <f t="shared" ref="Z264:Z266" si="24">+Y264*1.12</f>
        <v>70.56</v>
      </c>
      <c r="AA264" s="5524"/>
      <c r="AB264" s="5779"/>
      <c r="AC264" s="3847"/>
      <c r="AD264" s="3496"/>
      <c r="AE264" s="3496" t="s">
        <v>153</v>
      </c>
      <c r="AF264" s="3666"/>
      <c r="AG264" s="10678"/>
    </row>
    <row r="265" spans="1:33" ht="22.5" customHeight="1">
      <c r="A265" s="10663"/>
      <c r="B265" s="10659"/>
      <c r="C265" s="10656"/>
      <c r="D265" s="10656"/>
      <c r="E265" s="10656"/>
      <c r="F265" s="10656"/>
      <c r="G265" s="10656"/>
      <c r="H265" s="10656"/>
      <c r="I265" s="10656"/>
      <c r="J265" s="10656"/>
      <c r="K265" s="10656"/>
      <c r="L265" s="10667"/>
      <c r="M265" s="10667"/>
      <c r="N265" s="10667"/>
      <c r="O265" s="10656"/>
      <c r="P265" s="10656"/>
      <c r="Q265" s="10672"/>
      <c r="R265" s="3868"/>
      <c r="S265" s="5681"/>
      <c r="T265" s="5681">
        <v>452900012</v>
      </c>
      <c r="U265" s="3495" t="s">
        <v>4467</v>
      </c>
      <c r="V265" s="5499">
        <v>1</v>
      </c>
      <c r="W265" s="3668" t="s">
        <v>180</v>
      </c>
      <c r="X265" s="5523">
        <v>6</v>
      </c>
      <c r="Y265" s="5523">
        <f t="shared" si="23"/>
        <v>6</v>
      </c>
      <c r="Z265" s="5523">
        <f t="shared" si="24"/>
        <v>6.7200000000000006</v>
      </c>
      <c r="AA265" s="5524"/>
      <c r="AB265" s="5779"/>
      <c r="AC265" s="3847"/>
      <c r="AD265" s="3496"/>
      <c r="AE265" s="3496" t="s">
        <v>153</v>
      </c>
      <c r="AF265" s="3666"/>
      <c r="AG265" s="10678"/>
    </row>
    <row r="266" spans="1:33" ht="22.5" customHeight="1">
      <c r="A266" s="10663"/>
      <c r="B266" s="10659"/>
      <c r="C266" s="10656"/>
      <c r="D266" s="10656"/>
      <c r="E266" s="10656"/>
      <c r="F266" s="10656"/>
      <c r="G266" s="10656"/>
      <c r="H266" s="10656"/>
      <c r="I266" s="10656"/>
      <c r="J266" s="10656"/>
      <c r="K266" s="10656"/>
      <c r="L266" s="10667"/>
      <c r="M266" s="10667"/>
      <c r="N266" s="10667"/>
      <c r="O266" s="10656"/>
      <c r="P266" s="10656"/>
      <c r="Q266" s="10672"/>
      <c r="R266" s="3868"/>
      <c r="S266" s="5681"/>
      <c r="T266" s="5681">
        <v>452900011</v>
      </c>
      <c r="U266" s="3495" t="s">
        <v>4468</v>
      </c>
      <c r="V266" s="5499">
        <v>1</v>
      </c>
      <c r="W266" s="3668" t="s">
        <v>180</v>
      </c>
      <c r="X266" s="5523">
        <v>7</v>
      </c>
      <c r="Y266" s="5523">
        <f t="shared" si="23"/>
        <v>7</v>
      </c>
      <c r="Z266" s="5523">
        <f t="shared" si="24"/>
        <v>7.8400000000000007</v>
      </c>
      <c r="AA266" s="5524"/>
      <c r="AB266" s="5779"/>
      <c r="AC266" s="3847"/>
      <c r="AD266" s="3496"/>
      <c r="AE266" s="3496" t="s">
        <v>153</v>
      </c>
      <c r="AF266" s="3666"/>
      <c r="AG266" s="10678"/>
    </row>
    <row r="267" spans="1:33" ht="22.5" customHeight="1">
      <c r="A267" s="10663"/>
      <c r="B267" s="10660"/>
      <c r="C267" s="10657"/>
      <c r="D267" s="10657"/>
      <c r="E267" s="10657"/>
      <c r="F267" s="10657"/>
      <c r="G267" s="10657"/>
      <c r="H267" s="10657"/>
      <c r="I267" s="10657"/>
      <c r="J267" s="10657"/>
      <c r="K267" s="10657"/>
      <c r="L267" s="10674"/>
      <c r="M267" s="10674"/>
      <c r="N267" s="10674"/>
      <c r="O267" s="10657"/>
      <c r="P267" s="10657"/>
      <c r="Q267" s="10675"/>
      <c r="R267" s="3887"/>
      <c r="S267" s="7284"/>
      <c r="T267" s="5696"/>
      <c r="U267" s="4661"/>
      <c r="V267" s="5503"/>
      <c r="W267" s="3545"/>
      <c r="X267" s="5532"/>
      <c r="Y267" s="5532"/>
      <c r="Z267" s="5532"/>
      <c r="AA267" s="5533"/>
      <c r="AB267" s="5828"/>
      <c r="AC267" s="3888"/>
      <c r="AD267" s="3545"/>
      <c r="AE267" s="3545"/>
      <c r="AF267" s="3707"/>
      <c r="AG267" s="10680"/>
    </row>
    <row r="268" spans="1:33" ht="19.5" customHeight="1">
      <c r="A268" s="10663"/>
      <c r="B268" s="10512" t="s">
        <v>127</v>
      </c>
      <c r="C268" s="10444" t="s">
        <v>128</v>
      </c>
      <c r="D268" s="10444" t="s">
        <v>140</v>
      </c>
      <c r="E268" s="10444" t="s">
        <v>1691</v>
      </c>
      <c r="F268" s="10444" t="s">
        <v>131</v>
      </c>
      <c r="G268" s="10444" t="s">
        <v>132</v>
      </c>
      <c r="H268" s="10444" t="s">
        <v>133</v>
      </c>
      <c r="I268" s="10444" t="s">
        <v>4469</v>
      </c>
      <c r="J268" s="10448" t="s">
        <v>4470</v>
      </c>
      <c r="K268" s="10444" t="s">
        <v>4471</v>
      </c>
      <c r="L268" s="10666">
        <v>1</v>
      </c>
      <c r="M268" s="10666">
        <v>1</v>
      </c>
      <c r="N268" s="10666">
        <v>1</v>
      </c>
      <c r="O268" s="10444" t="s">
        <v>4472</v>
      </c>
      <c r="P268" s="10444" t="s">
        <v>4473</v>
      </c>
      <c r="Q268" s="10449" t="s">
        <v>4474</v>
      </c>
      <c r="R268" s="3892"/>
      <c r="S268" s="5689"/>
      <c r="T268" s="5689"/>
      <c r="U268" s="3758"/>
      <c r="V268" s="5504"/>
      <c r="W268" s="3658"/>
      <c r="X268" s="5534"/>
      <c r="Y268" s="5534"/>
      <c r="Z268" s="5534"/>
      <c r="AA268" s="5535"/>
      <c r="AB268" s="5822"/>
      <c r="AC268" s="3893"/>
      <c r="AD268" s="3658"/>
      <c r="AE268" s="3660"/>
      <c r="AF268" s="3660"/>
      <c r="AG268" s="10464"/>
    </row>
    <row r="269" spans="1:33" ht="19.5" customHeight="1">
      <c r="A269" s="10663"/>
      <c r="B269" s="10659"/>
      <c r="C269" s="10656"/>
      <c r="D269" s="10656"/>
      <c r="E269" s="10656"/>
      <c r="F269" s="10656"/>
      <c r="G269" s="10656"/>
      <c r="H269" s="10656"/>
      <c r="I269" s="10656"/>
      <c r="J269" s="10656"/>
      <c r="K269" s="10656"/>
      <c r="L269" s="10667"/>
      <c r="M269" s="10667"/>
      <c r="N269" s="10667"/>
      <c r="O269" s="10656"/>
      <c r="P269" s="10656"/>
      <c r="Q269" s="10672"/>
      <c r="R269" s="3867"/>
      <c r="S269" s="5681"/>
      <c r="T269" s="5681"/>
      <c r="U269" s="3495"/>
      <c r="V269" s="5499"/>
      <c r="W269" s="3496"/>
      <c r="X269" s="5523"/>
      <c r="Y269" s="5523"/>
      <c r="Z269" s="5523"/>
      <c r="AA269" s="5524"/>
      <c r="AB269" s="5779"/>
      <c r="AC269" s="3847"/>
      <c r="AD269" s="3496"/>
      <c r="AE269" s="3666"/>
      <c r="AF269" s="3666"/>
      <c r="AG269" s="10678"/>
    </row>
    <row r="270" spans="1:33" ht="19.5" customHeight="1">
      <c r="A270" s="10663"/>
      <c r="B270" s="10659"/>
      <c r="C270" s="10656"/>
      <c r="D270" s="10656"/>
      <c r="E270" s="10656"/>
      <c r="F270" s="10656"/>
      <c r="G270" s="10656"/>
      <c r="H270" s="10656"/>
      <c r="I270" s="10656"/>
      <c r="J270" s="10656"/>
      <c r="K270" s="10656"/>
      <c r="L270" s="10667"/>
      <c r="M270" s="10667"/>
      <c r="N270" s="10667"/>
      <c r="O270" s="10656"/>
      <c r="P270" s="10656"/>
      <c r="Q270" s="10672"/>
      <c r="R270" s="3867"/>
      <c r="S270" s="5681"/>
      <c r="T270" s="5681"/>
      <c r="U270" s="3495"/>
      <c r="V270" s="5499"/>
      <c r="W270" s="3496"/>
      <c r="X270" s="5523"/>
      <c r="Y270" s="5523"/>
      <c r="Z270" s="5523"/>
      <c r="AA270" s="5524"/>
      <c r="AB270" s="5779"/>
      <c r="AC270" s="3847"/>
      <c r="AD270" s="3496"/>
      <c r="AE270" s="3666"/>
      <c r="AF270" s="3666"/>
      <c r="AG270" s="10678"/>
    </row>
    <row r="271" spans="1:33" ht="19.5" customHeight="1">
      <c r="A271" s="10663"/>
      <c r="B271" s="10659"/>
      <c r="C271" s="10656"/>
      <c r="D271" s="10656"/>
      <c r="E271" s="10656"/>
      <c r="F271" s="10656"/>
      <c r="G271" s="10656"/>
      <c r="H271" s="10656"/>
      <c r="I271" s="10656"/>
      <c r="J271" s="10656"/>
      <c r="K271" s="10656"/>
      <c r="L271" s="10667"/>
      <c r="M271" s="10667"/>
      <c r="N271" s="10667"/>
      <c r="O271" s="10656"/>
      <c r="P271" s="10656"/>
      <c r="Q271" s="10672"/>
      <c r="R271" s="3867"/>
      <c r="S271" s="5681"/>
      <c r="T271" s="5681"/>
      <c r="U271" s="3495"/>
      <c r="V271" s="5499"/>
      <c r="W271" s="3496"/>
      <c r="X271" s="5523"/>
      <c r="Y271" s="5523"/>
      <c r="Z271" s="5523"/>
      <c r="AA271" s="5524"/>
      <c r="AB271" s="5779"/>
      <c r="AC271" s="3847"/>
      <c r="AD271" s="3496"/>
      <c r="AE271" s="3666"/>
      <c r="AF271" s="3666"/>
      <c r="AG271" s="10678"/>
    </row>
    <row r="272" spans="1:33" ht="39.75" customHeight="1">
      <c r="A272" s="10663"/>
      <c r="B272" s="10661"/>
      <c r="C272" s="10658"/>
      <c r="D272" s="10658"/>
      <c r="E272" s="10658"/>
      <c r="F272" s="10658"/>
      <c r="G272" s="10658"/>
      <c r="H272" s="10658"/>
      <c r="I272" s="10658"/>
      <c r="J272" s="10658"/>
      <c r="K272" s="10658"/>
      <c r="L272" s="10668"/>
      <c r="M272" s="10668"/>
      <c r="N272" s="10668"/>
      <c r="O272" s="10658"/>
      <c r="P272" s="10658"/>
      <c r="Q272" s="10673"/>
      <c r="R272" s="3879"/>
      <c r="S272" s="5683"/>
      <c r="T272" s="5683"/>
      <c r="U272" s="3759"/>
      <c r="V272" s="5509"/>
      <c r="W272" s="3714"/>
      <c r="X272" s="5544"/>
      <c r="Y272" s="5544"/>
      <c r="Z272" s="5544"/>
      <c r="AA272" s="5545"/>
      <c r="AB272" s="5823"/>
      <c r="AC272" s="3880"/>
      <c r="AD272" s="3714"/>
      <c r="AE272" s="3718"/>
      <c r="AF272" s="3718"/>
      <c r="AG272" s="10679"/>
    </row>
    <row r="273" spans="1:33" ht="18.75" customHeight="1">
      <c r="A273" s="10663"/>
      <c r="B273" s="10516" t="s">
        <v>127</v>
      </c>
      <c r="C273" s="10433" t="s">
        <v>128</v>
      </c>
      <c r="D273" s="10433" t="s">
        <v>140</v>
      </c>
      <c r="E273" s="10433" t="s">
        <v>1691</v>
      </c>
      <c r="F273" s="10442" t="s">
        <v>131</v>
      </c>
      <c r="G273" s="10433" t="s">
        <v>132</v>
      </c>
      <c r="H273" s="10433" t="s">
        <v>133</v>
      </c>
      <c r="I273" s="10433" t="s">
        <v>4475</v>
      </c>
      <c r="J273" s="10433" t="s">
        <v>4476</v>
      </c>
      <c r="K273" s="10433" t="s">
        <v>4477</v>
      </c>
      <c r="L273" s="10676">
        <v>1</v>
      </c>
      <c r="M273" s="10676">
        <v>0</v>
      </c>
      <c r="N273" s="10676">
        <v>1</v>
      </c>
      <c r="O273" s="10433" t="s">
        <v>4478</v>
      </c>
      <c r="P273" s="10433" t="s">
        <v>4479</v>
      </c>
      <c r="Q273" s="10439" t="s">
        <v>4480</v>
      </c>
      <c r="R273" s="3885"/>
      <c r="S273" s="5684"/>
      <c r="T273" s="5684"/>
      <c r="U273" s="3762"/>
      <c r="V273" s="5502"/>
      <c r="W273" s="3709"/>
      <c r="X273" s="5529"/>
      <c r="Y273" s="5529"/>
      <c r="Z273" s="5529"/>
      <c r="AA273" s="5530"/>
      <c r="AB273" s="5780"/>
      <c r="AC273" s="3886"/>
      <c r="AD273" s="3709"/>
      <c r="AE273" s="3724"/>
      <c r="AF273" s="3724"/>
      <c r="AG273" s="10525" t="s">
        <v>4481</v>
      </c>
    </row>
    <row r="274" spans="1:33" ht="18.75" customHeight="1">
      <c r="A274" s="10663"/>
      <c r="B274" s="10659"/>
      <c r="C274" s="10656"/>
      <c r="D274" s="10656"/>
      <c r="E274" s="10656"/>
      <c r="F274" s="10656"/>
      <c r="G274" s="10656"/>
      <c r="H274" s="10656"/>
      <c r="I274" s="10656"/>
      <c r="J274" s="10656"/>
      <c r="K274" s="10656"/>
      <c r="L274" s="10667"/>
      <c r="M274" s="10667"/>
      <c r="N274" s="10667"/>
      <c r="O274" s="10656"/>
      <c r="P274" s="10656"/>
      <c r="Q274" s="10672"/>
      <c r="R274" s="3867"/>
      <c r="S274" s="5681"/>
      <c r="T274" s="5681"/>
      <c r="U274" s="3495"/>
      <c r="V274" s="5499"/>
      <c r="W274" s="3496"/>
      <c r="X274" s="5523"/>
      <c r="Y274" s="5523"/>
      <c r="Z274" s="5523"/>
      <c r="AA274" s="5524"/>
      <c r="AB274" s="5779"/>
      <c r="AC274" s="3847"/>
      <c r="AD274" s="3496"/>
      <c r="AE274" s="3666"/>
      <c r="AF274" s="3666"/>
      <c r="AG274" s="10678"/>
    </row>
    <row r="275" spans="1:33" ht="18.75" customHeight="1">
      <c r="A275" s="10663"/>
      <c r="B275" s="10659"/>
      <c r="C275" s="10656"/>
      <c r="D275" s="10656"/>
      <c r="E275" s="10656"/>
      <c r="F275" s="10656"/>
      <c r="G275" s="10656"/>
      <c r="H275" s="10656"/>
      <c r="I275" s="10656"/>
      <c r="J275" s="10656"/>
      <c r="K275" s="10656"/>
      <c r="L275" s="10667"/>
      <c r="M275" s="10667"/>
      <c r="N275" s="10667"/>
      <c r="O275" s="10656"/>
      <c r="P275" s="10656"/>
      <c r="Q275" s="10672"/>
      <c r="R275" s="3867"/>
      <c r="S275" s="5681"/>
      <c r="T275" s="5681"/>
      <c r="U275" s="3495"/>
      <c r="V275" s="5499"/>
      <c r="W275" s="3496"/>
      <c r="X275" s="5523"/>
      <c r="Y275" s="5523"/>
      <c r="Z275" s="5523"/>
      <c r="AA275" s="5524"/>
      <c r="AB275" s="5779"/>
      <c r="AC275" s="3847"/>
      <c r="AD275" s="3496"/>
      <c r="AE275" s="3666"/>
      <c r="AF275" s="3666"/>
      <c r="AG275" s="10678"/>
    </row>
    <row r="276" spans="1:33" ht="18.75" customHeight="1">
      <c r="A276" s="10663"/>
      <c r="B276" s="10659"/>
      <c r="C276" s="10656"/>
      <c r="D276" s="10656"/>
      <c r="E276" s="10656"/>
      <c r="F276" s="10656"/>
      <c r="G276" s="10656"/>
      <c r="H276" s="10656"/>
      <c r="I276" s="10656"/>
      <c r="J276" s="10656"/>
      <c r="K276" s="10656"/>
      <c r="L276" s="10667"/>
      <c r="M276" s="10667"/>
      <c r="N276" s="10667"/>
      <c r="O276" s="10656"/>
      <c r="P276" s="10656"/>
      <c r="Q276" s="10672"/>
      <c r="R276" s="3867"/>
      <c r="S276" s="5681"/>
      <c r="T276" s="5681"/>
      <c r="U276" s="3495"/>
      <c r="V276" s="5499"/>
      <c r="W276" s="3496"/>
      <c r="X276" s="5523"/>
      <c r="Y276" s="5523"/>
      <c r="Z276" s="5523"/>
      <c r="AA276" s="5524"/>
      <c r="AB276" s="5779"/>
      <c r="AC276" s="3847"/>
      <c r="AD276" s="3496"/>
      <c r="AE276" s="3666"/>
      <c r="AF276" s="3666"/>
      <c r="AG276" s="10678"/>
    </row>
    <row r="277" spans="1:33" ht="19.5" customHeight="1">
      <c r="A277" s="10663"/>
      <c r="B277" s="10661"/>
      <c r="C277" s="10658"/>
      <c r="D277" s="10658"/>
      <c r="E277" s="10658"/>
      <c r="F277" s="10658"/>
      <c r="G277" s="10658"/>
      <c r="H277" s="10658"/>
      <c r="I277" s="10658"/>
      <c r="J277" s="10658"/>
      <c r="K277" s="10658"/>
      <c r="L277" s="10668"/>
      <c r="M277" s="10668"/>
      <c r="N277" s="10668"/>
      <c r="O277" s="10658"/>
      <c r="P277" s="10658"/>
      <c r="Q277" s="10673"/>
      <c r="R277" s="3879"/>
      <c r="S277" s="5683"/>
      <c r="T277" s="5683"/>
      <c r="U277" s="3759"/>
      <c r="V277" s="5509"/>
      <c r="W277" s="3714"/>
      <c r="X277" s="5544"/>
      <c r="Y277" s="5544"/>
      <c r="Z277" s="5544"/>
      <c r="AA277" s="5545"/>
      <c r="AB277" s="5823"/>
      <c r="AC277" s="3880"/>
      <c r="AD277" s="3714"/>
      <c r="AE277" s="3718"/>
      <c r="AF277" s="3718"/>
      <c r="AG277" s="10679"/>
    </row>
    <row r="278" spans="1:33">
      <c r="A278" s="10663"/>
      <c r="B278" s="10516" t="s">
        <v>127</v>
      </c>
      <c r="C278" s="10433" t="s">
        <v>128</v>
      </c>
      <c r="D278" s="10433" t="s">
        <v>129</v>
      </c>
      <c r="E278" s="10433" t="s">
        <v>157</v>
      </c>
      <c r="F278" s="10442" t="s">
        <v>131</v>
      </c>
      <c r="G278" s="10433" t="s">
        <v>132</v>
      </c>
      <c r="H278" s="10433" t="s">
        <v>159</v>
      </c>
      <c r="I278" s="10433" t="s">
        <v>4482</v>
      </c>
      <c r="J278" s="10433" t="s">
        <v>286</v>
      </c>
      <c r="K278" s="10433" t="s">
        <v>4483</v>
      </c>
      <c r="L278" s="10676">
        <v>0</v>
      </c>
      <c r="M278" s="10676">
        <v>1</v>
      </c>
      <c r="N278" s="10676">
        <v>1</v>
      </c>
      <c r="O278" s="10433" t="s">
        <v>4484</v>
      </c>
      <c r="P278" s="10433" t="s">
        <v>4485</v>
      </c>
      <c r="Q278" s="10439" t="s">
        <v>4486</v>
      </c>
      <c r="R278" s="3885"/>
      <c r="S278" s="5684"/>
      <c r="T278" s="5684"/>
      <c r="U278" s="3762"/>
      <c r="V278" s="5502"/>
      <c r="W278" s="3709"/>
      <c r="X278" s="5529"/>
      <c r="Y278" s="5529"/>
      <c r="Z278" s="5529"/>
      <c r="AA278" s="5530"/>
      <c r="AB278" s="5780"/>
      <c r="AC278" s="3886"/>
      <c r="AD278" s="3709"/>
      <c r="AE278" s="3724"/>
      <c r="AF278" s="3724"/>
      <c r="AG278" s="10525"/>
    </row>
    <row r="279" spans="1:33">
      <c r="A279" s="10663"/>
      <c r="B279" s="10659"/>
      <c r="C279" s="10656"/>
      <c r="D279" s="10656"/>
      <c r="E279" s="10656"/>
      <c r="F279" s="10656"/>
      <c r="G279" s="10656"/>
      <c r="H279" s="10656"/>
      <c r="I279" s="10656"/>
      <c r="J279" s="10656"/>
      <c r="K279" s="10656"/>
      <c r="L279" s="10667"/>
      <c r="M279" s="10667"/>
      <c r="N279" s="10667"/>
      <c r="O279" s="10656"/>
      <c r="P279" s="10656"/>
      <c r="Q279" s="10672"/>
      <c r="R279" s="3867"/>
      <c r="S279" s="5681"/>
      <c r="T279" s="5681"/>
      <c r="U279" s="3495"/>
      <c r="V279" s="5499"/>
      <c r="W279" s="3496"/>
      <c r="X279" s="5523"/>
      <c r="Y279" s="5523"/>
      <c r="Z279" s="5523"/>
      <c r="AA279" s="5524"/>
      <c r="AB279" s="5779"/>
      <c r="AC279" s="3847"/>
      <c r="AD279" s="3496"/>
      <c r="AE279" s="3666"/>
      <c r="AF279" s="3666"/>
      <c r="AG279" s="10678"/>
    </row>
    <row r="280" spans="1:33">
      <c r="A280" s="10663"/>
      <c r="B280" s="10659"/>
      <c r="C280" s="10656"/>
      <c r="D280" s="10656"/>
      <c r="E280" s="10656"/>
      <c r="F280" s="10656"/>
      <c r="G280" s="10656"/>
      <c r="H280" s="10656"/>
      <c r="I280" s="10656"/>
      <c r="J280" s="10656"/>
      <c r="K280" s="10656"/>
      <c r="L280" s="10667"/>
      <c r="M280" s="10667"/>
      <c r="N280" s="10667"/>
      <c r="O280" s="10656"/>
      <c r="P280" s="10656"/>
      <c r="Q280" s="10672"/>
      <c r="R280" s="3867"/>
      <c r="S280" s="5681"/>
      <c r="T280" s="5681"/>
      <c r="U280" s="3495"/>
      <c r="V280" s="5499"/>
      <c r="W280" s="3496"/>
      <c r="X280" s="5523"/>
      <c r="Y280" s="5523"/>
      <c r="Z280" s="5523"/>
      <c r="AA280" s="5524"/>
      <c r="AB280" s="5779"/>
      <c r="AC280" s="3847"/>
      <c r="AD280" s="3496"/>
      <c r="AE280" s="3666"/>
      <c r="AF280" s="3666"/>
      <c r="AG280" s="10678"/>
    </row>
    <row r="281" spans="1:33">
      <c r="A281" s="10663"/>
      <c r="B281" s="10659"/>
      <c r="C281" s="10656"/>
      <c r="D281" s="10656"/>
      <c r="E281" s="10656"/>
      <c r="F281" s="10656"/>
      <c r="G281" s="10656"/>
      <c r="H281" s="10656"/>
      <c r="I281" s="10656"/>
      <c r="J281" s="10656"/>
      <c r="K281" s="10656"/>
      <c r="L281" s="10667"/>
      <c r="M281" s="10667"/>
      <c r="N281" s="10667"/>
      <c r="O281" s="10656"/>
      <c r="P281" s="10656"/>
      <c r="Q281" s="10672"/>
      <c r="R281" s="3867"/>
      <c r="S281" s="5681"/>
      <c r="T281" s="5681"/>
      <c r="U281" s="3495"/>
      <c r="V281" s="5499"/>
      <c r="W281" s="3496"/>
      <c r="X281" s="5523"/>
      <c r="Y281" s="5523"/>
      <c r="Z281" s="5523"/>
      <c r="AA281" s="5524"/>
      <c r="AB281" s="5779"/>
      <c r="AC281" s="3847"/>
      <c r="AD281" s="3496"/>
      <c r="AE281" s="3666"/>
      <c r="AF281" s="3666"/>
      <c r="AG281" s="10678"/>
    </row>
    <row r="282" spans="1:33" ht="15" customHeight="1">
      <c r="A282" s="10663"/>
      <c r="B282" s="10660"/>
      <c r="C282" s="10657"/>
      <c r="D282" s="10657"/>
      <c r="E282" s="10657"/>
      <c r="F282" s="10657"/>
      <c r="G282" s="10657"/>
      <c r="H282" s="10657"/>
      <c r="I282" s="10657"/>
      <c r="J282" s="10657"/>
      <c r="K282" s="10657"/>
      <c r="L282" s="10674"/>
      <c r="M282" s="10674"/>
      <c r="N282" s="10674"/>
      <c r="O282" s="10657"/>
      <c r="P282" s="10657"/>
      <c r="Q282" s="10675"/>
      <c r="R282" s="3887"/>
      <c r="S282" s="5696"/>
      <c r="T282" s="5696"/>
      <c r="U282" s="3557"/>
      <c r="V282" s="5503"/>
      <c r="W282" s="3545"/>
      <c r="X282" s="5532"/>
      <c r="Y282" s="5532"/>
      <c r="Z282" s="5532"/>
      <c r="AA282" s="5533"/>
      <c r="AB282" s="5828"/>
      <c r="AC282" s="3888"/>
      <c r="AD282" s="3545"/>
      <c r="AE282" s="3707"/>
      <c r="AF282" s="3707"/>
      <c r="AG282" s="10679"/>
    </row>
    <row r="283" spans="1:33">
      <c r="A283" s="10663"/>
      <c r="B283" s="10512" t="s">
        <v>127</v>
      </c>
      <c r="C283" s="10444" t="s">
        <v>128</v>
      </c>
      <c r="D283" s="10444" t="s">
        <v>129</v>
      </c>
      <c r="E283" s="10444" t="s">
        <v>157</v>
      </c>
      <c r="F283" s="10451" t="s">
        <v>131</v>
      </c>
      <c r="G283" s="10444" t="s">
        <v>132</v>
      </c>
      <c r="H283" s="10444" t="s">
        <v>159</v>
      </c>
      <c r="I283" s="10444" t="s">
        <v>4487</v>
      </c>
      <c r="J283" s="10444" t="s">
        <v>1378</v>
      </c>
      <c r="K283" s="10444" t="s">
        <v>4488</v>
      </c>
      <c r="L283" s="10666">
        <v>2</v>
      </c>
      <c r="M283" s="10666">
        <v>2</v>
      </c>
      <c r="N283" s="10666">
        <v>2</v>
      </c>
      <c r="O283" s="10444" t="s">
        <v>4489</v>
      </c>
      <c r="P283" s="10444" t="s">
        <v>1381</v>
      </c>
      <c r="Q283" s="10449" t="s">
        <v>4490</v>
      </c>
      <c r="R283" s="3892"/>
      <c r="S283" s="5689"/>
      <c r="T283" s="5689"/>
      <c r="U283" s="3758"/>
      <c r="V283" s="5504"/>
      <c r="W283" s="3658"/>
      <c r="X283" s="5534"/>
      <c r="Y283" s="5534"/>
      <c r="Z283" s="5534"/>
      <c r="AA283" s="5535"/>
      <c r="AB283" s="5822"/>
      <c r="AC283" s="3893"/>
      <c r="AD283" s="3658"/>
      <c r="AE283" s="3660"/>
      <c r="AF283" s="3660"/>
      <c r="AG283" s="10525"/>
    </row>
    <row r="284" spans="1:33">
      <c r="A284" s="10663"/>
      <c r="B284" s="10659"/>
      <c r="C284" s="10656"/>
      <c r="D284" s="10656"/>
      <c r="E284" s="10656"/>
      <c r="F284" s="10656"/>
      <c r="G284" s="10656"/>
      <c r="H284" s="10656"/>
      <c r="I284" s="10656"/>
      <c r="J284" s="10656"/>
      <c r="K284" s="10656"/>
      <c r="L284" s="10667"/>
      <c r="M284" s="10667"/>
      <c r="N284" s="10667"/>
      <c r="O284" s="10656"/>
      <c r="P284" s="10656"/>
      <c r="Q284" s="10672"/>
      <c r="R284" s="3867"/>
      <c r="S284" s="5681"/>
      <c r="T284" s="5681"/>
      <c r="U284" s="3495"/>
      <c r="V284" s="5499"/>
      <c r="W284" s="3496"/>
      <c r="X284" s="5523"/>
      <c r="Y284" s="5523"/>
      <c r="Z284" s="5523"/>
      <c r="AA284" s="5524"/>
      <c r="AB284" s="5779"/>
      <c r="AC284" s="3847"/>
      <c r="AD284" s="3496"/>
      <c r="AE284" s="3666"/>
      <c r="AF284" s="3666"/>
      <c r="AG284" s="10678"/>
    </row>
    <row r="285" spans="1:33">
      <c r="A285" s="10663"/>
      <c r="B285" s="10659"/>
      <c r="C285" s="10656"/>
      <c r="D285" s="10656"/>
      <c r="E285" s="10656"/>
      <c r="F285" s="10656"/>
      <c r="G285" s="10656"/>
      <c r="H285" s="10656"/>
      <c r="I285" s="10656"/>
      <c r="J285" s="10656"/>
      <c r="K285" s="10656"/>
      <c r="L285" s="10667"/>
      <c r="M285" s="10667"/>
      <c r="N285" s="10667"/>
      <c r="O285" s="10656"/>
      <c r="P285" s="10656"/>
      <c r="Q285" s="10672"/>
      <c r="R285" s="3867"/>
      <c r="S285" s="5681"/>
      <c r="T285" s="5681"/>
      <c r="U285" s="3495"/>
      <c r="V285" s="5499"/>
      <c r="W285" s="3496"/>
      <c r="X285" s="5523"/>
      <c r="Y285" s="5523"/>
      <c r="Z285" s="5523"/>
      <c r="AA285" s="5524"/>
      <c r="AB285" s="5779"/>
      <c r="AC285" s="3847"/>
      <c r="AD285" s="3496"/>
      <c r="AE285" s="3666"/>
      <c r="AF285" s="3666"/>
      <c r="AG285" s="10678"/>
    </row>
    <row r="286" spans="1:33">
      <c r="A286" s="10663"/>
      <c r="B286" s="10659"/>
      <c r="C286" s="10656"/>
      <c r="D286" s="10656"/>
      <c r="E286" s="10656"/>
      <c r="F286" s="10656"/>
      <c r="G286" s="10656"/>
      <c r="H286" s="10656"/>
      <c r="I286" s="10656"/>
      <c r="J286" s="10656"/>
      <c r="K286" s="10656"/>
      <c r="L286" s="10667"/>
      <c r="M286" s="10667"/>
      <c r="N286" s="10667"/>
      <c r="O286" s="10656"/>
      <c r="P286" s="10656"/>
      <c r="Q286" s="10672"/>
      <c r="R286" s="3867"/>
      <c r="S286" s="5681"/>
      <c r="T286" s="5681"/>
      <c r="U286" s="3495"/>
      <c r="V286" s="5499"/>
      <c r="W286" s="3496"/>
      <c r="X286" s="5523"/>
      <c r="Y286" s="5523"/>
      <c r="Z286" s="5523"/>
      <c r="AA286" s="5524"/>
      <c r="AB286" s="5779"/>
      <c r="AC286" s="3847"/>
      <c r="AD286" s="3496"/>
      <c r="AE286" s="3666"/>
      <c r="AF286" s="3666"/>
      <c r="AG286" s="10678"/>
    </row>
    <row r="287" spans="1:33" ht="15.75" customHeight="1">
      <c r="A287" s="10663"/>
      <c r="B287" s="10660"/>
      <c r="C287" s="10657"/>
      <c r="D287" s="10657"/>
      <c r="E287" s="10657"/>
      <c r="F287" s="10657"/>
      <c r="G287" s="10657"/>
      <c r="H287" s="10657"/>
      <c r="I287" s="10657"/>
      <c r="J287" s="10657"/>
      <c r="K287" s="10657"/>
      <c r="L287" s="10674"/>
      <c r="M287" s="10674"/>
      <c r="N287" s="10674"/>
      <c r="O287" s="10657"/>
      <c r="P287" s="10657"/>
      <c r="Q287" s="10675"/>
      <c r="R287" s="3879"/>
      <c r="S287" s="5683"/>
      <c r="T287" s="5683"/>
      <c r="U287" s="3759"/>
      <c r="V287" s="5509"/>
      <c r="W287" s="3714"/>
      <c r="X287" s="5544"/>
      <c r="Y287" s="5544"/>
      <c r="Z287" s="5544"/>
      <c r="AA287" s="5545"/>
      <c r="AB287" s="5823"/>
      <c r="AC287" s="3880"/>
      <c r="AD287" s="3714"/>
      <c r="AE287" s="3718"/>
      <c r="AF287" s="3718"/>
      <c r="AG287" s="10680"/>
    </row>
    <row r="288" spans="1:33" s="6048" customFormat="1" ht="24" customHeight="1" thickBot="1">
      <c r="A288" s="10704"/>
      <c r="B288" s="10699"/>
      <c r="C288" s="10700"/>
      <c r="D288" s="10700"/>
      <c r="E288" s="10700"/>
      <c r="F288" s="10700"/>
      <c r="G288" s="10700"/>
      <c r="H288" s="10700"/>
      <c r="I288" s="10700"/>
      <c r="J288" s="10700"/>
      <c r="K288" s="10700"/>
      <c r="L288" s="10700"/>
      <c r="M288" s="10700"/>
      <c r="N288" s="10700"/>
      <c r="O288" s="10700"/>
      <c r="P288" s="10700"/>
      <c r="Q288" s="10711"/>
      <c r="R288" s="10681" t="s">
        <v>4491</v>
      </c>
      <c r="S288" s="10689"/>
      <c r="T288" s="10689"/>
      <c r="U288" s="10689"/>
      <c r="V288" s="10689"/>
      <c r="W288" s="10689"/>
      <c r="X288" s="10689"/>
      <c r="Y288" s="10690"/>
      <c r="Z288" s="6118" t="s">
        <v>292</v>
      </c>
      <c r="AA288" s="7447">
        <f>SUM(AA108:AA287)</f>
        <v>70144.504799999995</v>
      </c>
      <c r="AB288" s="7450"/>
      <c r="AC288" s="6121"/>
      <c r="AD288" s="6122"/>
      <c r="AE288" s="6122"/>
      <c r="AF288" s="6122"/>
      <c r="AG288" s="6123"/>
    </row>
    <row r="289" spans="1:33" ht="25.5">
      <c r="A289" s="10662" t="s">
        <v>4492</v>
      </c>
      <c r="B289" s="10512" t="s">
        <v>183</v>
      </c>
      <c r="C289" s="10444" t="s">
        <v>227</v>
      </c>
      <c r="D289" s="10444" t="s">
        <v>490</v>
      </c>
      <c r="E289" s="10444" t="s">
        <v>2210</v>
      </c>
      <c r="F289" s="10451" t="s">
        <v>230</v>
      </c>
      <c r="G289" s="10444" t="s">
        <v>231</v>
      </c>
      <c r="H289" s="10444" t="s">
        <v>133</v>
      </c>
      <c r="I289" s="10444" t="s">
        <v>4493</v>
      </c>
      <c r="J289" s="10444" t="s">
        <v>4494</v>
      </c>
      <c r="K289" s="10444" t="s">
        <v>4495</v>
      </c>
      <c r="L289" s="10666">
        <v>950</v>
      </c>
      <c r="M289" s="10666">
        <v>50</v>
      </c>
      <c r="N289" s="10666">
        <v>1000</v>
      </c>
      <c r="O289" s="10444" t="s">
        <v>4496</v>
      </c>
      <c r="P289" s="10444" t="s">
        <v>4497</v>
      </c>
      <c r="Q289" s="10449" t="s">
        <v>4498</v>
      </c>
      <c r="R289" s="3767" t="s">
        <v>79</v>
      </c>
      <c r="S289" s="5689">
        <v>531407</v>
      </c>
      <c r="T289" s="5690"/>
      <c r="U289" s="3758" t="s">
        <v>40</v>
      </c>
      <c r="V289" s="5504"/>
      <c r="W289" s="3658"/>
      <c r="X289" s="5534"/>
      <c r="Y289" s="5534"/>
      <c r="Z289" s="5534"/>
      <c r="AA289" s="5535">
        <f>SUM($Z$290)</f>
        <v>177.00480000000002</v>
      </c>
      <c r="AB289" s="5822" t="s">
        <v>25</v>
      </c>
      <c r="AC289" s="3893"/>
      <c r="AD289" s="3660"/>
      <c r="AE289" s="3660"/>
      <c r="AF289" s="3660"/>
      <c r="AG289" s="10464"/>
    </row>
    <row r="290" spans="1:33" ht="23.25" customHeight="1">
      <c r="A290" s="10663"/>
      <c r="B290" s="10659"/>
      <c r="C290" s="10656"/>
      <c r="D290" s="10656"/>
      <c r="E290" s="10656"/>
      <c r="F290" s="10656"/>
      <c r="G290" s="10656"/>
      <c r="H290" s="10656"/>
      <c r="I290" s="10656"/>
      <c r="J290" s="10656"/>
      <c r="K290" s="10656"/>
      <c r="L290" s="10667"/>
      <c r="M290" s="10667"/>
      <c r="N290" s="10667"/>
      <c r="O290" s="10656"/>
      <c r="P290" s="10656"/>
      <c r="Q290" s="10672"/>
      <c r="R290" s="3868"/>
      <c r="S290" s="5681"/>
      <c r="T290" s="5681">
        <v>4612200118</v>
      </c>
      <c r="U290" s="3495" t="s">
        <v>4381</v>
      </c>
      <c r="V290" s="5499">
        <v>4</v>
      </c>
      <c r="W290" s="3668" t="s">
        <v>180</v>
      </c>
      <c r="X290" s="5523">
        <f>39.51</f>
        <v>39.51</v>
      </c>
      <c r="Y290" s="5523">
        <f t="shared" ref="Y290" si="25">+V290*X290</f>
        <v>158.04</v>
      </c>
      <c r="Z290" s="5523">
        <f t="shared" ref="Z290" si="26">+Y290*1.12</f>
        <v>177.00480000000002</v>
      </c>
      <c r="AA290" s="5524"/>
      <c r="AB290" s="5581"/>
      <c r="AC290" s="3865"/>
      <c r="AD290" s="3661"/>
      <c r="AE290" s="3496" t="s">
        <v>153</v>
      </c>
      <c r="AF290" s="3666"/>
      <c r="AG290" s="10678"/>
    </row>
    <row r="291" spans="1:33">
      <c r="A291" s="10663"/>
      <c r="B291" s="10659"/>
      <c r="C291" s="10656"/>
      <c r="D291" s="10656"/>
      <c r="E291" s="10656"/>
      <c r="F291" s="10656"/>
      <c r="G291" s="10656"/>
      <c r="H291" s="10656"/>
      <c r="I291" s="10656"/>
      <c r="J291" s="10656"/>
      <c r="K291" s="10656"/>
      <c r="L291" s="10667"/>
      <c r="M291" s="10667"/>
      <c r="N291" s="10667"/>
      <c r="O291" s="10656"/>
      <c r="P291" s="10656"/>
      <c r="Q291" s="10672"/>
      <c r="R291" s="3868"/>
      <c r="S291" s="5682"/>
      <c r="T291" s="5681"/>
      <c r="U291" s="3542"/>
      <c r="V291" s="5499"/>
      <c r="W291" s="3496"/>
      <c r="X291" s="5523"/>
      <c r="Y291" s="5523"/>
      <c r="Z291" s="5523"/>
      <c r="AA291" s="5524"/>
      <c r="AB291" s="5581"/>
      <c r="AC291" s="3865"/>
      <c r="AD291" s="3666"/>
      <c r="AE291" s="3666"/>
      <c r="AF291" s="3666"/>
      <c r="AG291" s="10678"/>
    </row>
    <row r="292" spans="1:33">
      <c r="A292" s="10663"/>
      <c r="B292" s="10659"/>
      <c r="C292" s="10656"/>
      <c r="D292" s="10656"/>
      <c r="E292" s="10656"/>
      <c r="F292" s="10656"/>
      <c r="G292" s="10656"/>
      <c r="H292" s="10656"/>
      <c r="I292" s="10656"/>
      <c r="J292" s="10656"/>
      <c r="K292" s="10656"/>
      <c r="L292" s="10667"/>
      <c r="M292" s="10667"/>
      <c r="N292" s="10667"/>
      <c r="O292" s="10656"/>
      <c r="P292" s="10656"/>
      <c r="Q292" s="10672"/>
      <c r="R292" s="3868"/>
      <c r="S292" s="5681"/>
      <c r="T292" s="5681"/>
      <c r="U292" s="3495"/>
      <c r="V292" s="5499"/>
      <c r="W292" s="3496"/>
      <c r="X292" s="5523"/>
      <c r="Y292" s="5523"/>
      <c r="Z292" s="5523"/>
      <c r="AA292" s="5524"/>
      <c r="AB292" s="5779"/>
      <c r="AC292" s="3847"/>
      <c r="AD292" s="3661"/>
      <c r="AE292" s="3496"/>
      <c r="AF292" s="3666"/>
      <c r="AG292" s="10678"/>
    </row>
    <row r="293" spans="1:33" ht="22.5" customHeight="1">
      <c r="A293" s="10663"/>
      <c r="B293" s="10661"/>
      <c r="C293" s="10658"/>
      <c r="D293" s="10658"/>
      <c r="E293" s="10658"/>
      <c r="F293" s="10658"/>
      <c r="G293" s="10658"/>
      <c r="H293" s="10658"/>
      <c r="I293" s="10658"/>
      <c r="J293" s="10658"/>
      <c r="K293" s="10658"/>
      <c r="L293" s="10668"/>
      <c r="M293" s="10668"/>
      <c r="N293" s="10668"/>
      <c r="O293" s="10658"/>
      <c r="P293" s="10658"/>
      <c r="Q293" s="10673"/>
      <c r="R293" s="3879"/>
      <c r="S293" s="5683"/>
      <c r="T293" s="5683"/>
      <c r="U293" s="3759"/>
      <c r="V293" s="5509"/>
      <c r="W293" s="3714"/>
      <c r="X293" s="5544"/>
      <c r="Y293" s="5544"/>
      <c r="Z293" s="5544"/>
      <c r="AA293" s="5545"/>
      <c r="AB293" s="5823"/>
      <c r="AC293" s="3880"/>
      <c r="AD293" s="3714"/>
      <c r="AE293" s="3718"/>
      <c r="AF293" s="3718"/>
      <c r="AG293" s="10679"/>
    </row>
    <row r="294" spans="1:33" ht="25.5" customHeight="1">
      <c r="A294" s="10663"/>
      <c r="B294" s="10516" t="s">
        <v>183</v>
      </c>
      <c r="C294" s="10433" t="s">
        <v>227</v>
      </c>
      <c r="D294" s="10433" t="s">
        <v>490</v>
      </c>
      <c r="E294" s="10433" t="s">
        <v>2210</v>
      </c>
      <c r="F294" s="10442" t="s">
        <v>230</v>
      </c>
      <c r="G294" s="10433" t="s">
        <v>231</v>
      </c>
      <c r="H294" s="10433" t="s">
        <v>133</v>
      </c>
      <c r="I294" s="10433" t="s">
        <v>4499</v>
      </c>
      <c r="J294" s="10433" t="s">
        <v>4500</v>
      </c>
      <c r="K294" s="10433" t="s">
        <v>4501</v>
      </c>
      <c r="L294" s="10676">
        <v>5</v>
      </c>
      <c r="M294" s="10676">
        <v>7</v>
      </c>
      <c r="N294" s="10676">
        <v>7</v>
      </c>
      <c r="O294" s="10677" t="s">
        <v>4502</v>
      </c>
      <c r="P294" s="10433" t="s">
        <v>4503</v>
      </c>
      <c r="Q294" s="10439" t="s">
        <v>4498</v>
      </c>
      <c r="R294" s="3885"/>
      <c r="S294" s="5684"/>
      <c r="T294" s="5684"/>
      <c r="U294" s="3762"/>
      <c r="V294" s="5502"/>
      <c r="W294" s="3709"/>
      <c r="X294" s="5529"/>
      <c r="Y294" s="5529"/>
      <c r="Z294" s="5529"/>
      <c r="AA294" s="5530"/>
      <c r="AB294" s="5780"/>
      <c r="AC294" s="3886"/>
      <c r="AD294" s="3709"/>
      <c r="AE294" s="3724"/>
      <c r="AF294" s="3724"/>
      <c r="AG294" s="10525"/>
    </row>
    <row r="295" spans="1:33" ht="25.5" customHeight="1">
      <c r="A295" s="10663"/>
      <c r="B295" s="10659"/>
      <c r="C295" s="10656"/>
      <c r="D295" s="10656"/>
      <c r="E295" s="10656"/>
      <c r="F295" s="10656"/>
      <c r="G295" s="10656"/>
      <c r="H295" s="10656"/>
      <c r="I295" s="10656"/>
      <c r="J295" s="10656"/>
      <c r="K295" s="10656"/>
      <c r="L295" s="10667"/>
      <c r="M295" s="10667"/>
      <c r="N295" s="10667"/>
      <c r="O295" s="10656"/>
      <c r="P295" s="10656"/>
      <c r="Q295" s="10672"/>
      <c r="R295" s="3867"/>
      <c r="S295" s="5681"/>
      <c r="T295" s="5681"/>
      <c r="U295" s="3495"/>
      <c r="V295" s="5499"/>
      <c r="W295" s="3496"/>
      <c r="X295" s="5523"/>
      <c r="Y295" s="5523"/>
      <c r="Z295" s="5523"/>
      <c r="AA295" s="5524"/>
      <c r="AB295" s="5779"/>
      <c r="AC295" s="3847"/>
      <c r="AD295" s="3496"/>
      <c r="AE295" s="3666"/>
      <c r="AF295" s="3666"/>
      <c r="AG295" s="10678"/>
    </row>
    <row r="296" spans="1:33" ht="25.5" customHeight="1">
      <c r="A296" s="10663"/>
      <c r="B296" s="10659"/>
      <c r="C296" s="10656"/>
      <c r="D296" s="10656"/>
      <c r="E296" s="10656"/>
      <c r="F296" s="10656"/>
      <c r="G296" s="10656"/>
      <c r="H296" s="10656"/>
      <c r="I296" s="10656"/>
      <c r="J296" s="10656"/>
      <c r="K296" s="10656"/>
      <c r="L296" s="10667"/>
      <c r="M296" s="10667"/>
      <c r="N296" s="10667"/>
      <c r="O296" s="10656"/>
      <c r="P296" s="10656"/>
      <c r="Q296" s="10672"/>
      <c r="R296" s="3867"/>
      <c r="S296" s="5681"/>
      <c r="T296" s="5681"/>
      <c r="U296" s="3495"/>
      <c r="V296" s="5499"/>
      <c r="W296" s="3496"/>
      <c r="X296" s="5523"/>
      <c r="Y296" s="5523"/>
      <c r="Z296" s="5523"/>
      <c r="AA296" s="5524"/>
      <c r="AB296" s="5779"/>
      <c r="AC296" s="3847"/>
      <c r="AD296" s="3496"/>
      <c r="AE296" s="3666"/>
      <c r="AF296" s="3666"/>
      <c r="AG296" s="10678"/>
    </row>
    <row r="297" spans="1:33" ht="25.5" customHeight="1">
      <c r="A297" s="10663"/>
      <c r="B297" s="10659"/>
      <c r="C297" s="10656"/>
      <c r="D297" s="10656"/>
      <c r="E297" s="10656"/>
      <c r="F297" s="10656"/>
      <c r="G297" s="10656"/>
      <c r="H297" s="10656"/>
      <c r="I297" s="10656"/>
      <c r="J297" s="10656"/>
      <c r="K297" s="10656"/>
      <c r="L297" s="10667"/>
      <c r="M297" s="10667"/>
      <c r="N297" s="10667"/>
      <c r="O297" s="10656"/>
      <c r="P297" s="10656"/>
      <c r="Q297" s="10672"/>
      <c r="R297" s="3868"/>
      <c r="S297" s="5682"/>
      <c r="T297" s="5682"/>
      <c r="U297" s="3495"/>
      <c r="V297" s="5499"/>
      <c r="W297" s="3496"/>
      <c r="X297" s="5523"/>
      <c r="Y297" s="5523"/>
      <c r="Z297" s="5523"/>
      <c r="AA297" s="5524"/>
      <c r="AB297" s="5779"/>
      <c r="AC297" s="3847"/>
      <c r="AD297" s="3496"/>
      <c r="AE297" s="3666"/>
      <c r="AF297" s="3666"/>
      <c r="AG297" s="10678"/>
    </row>
    <row r="298" spans="1:33" ht="25.5" customHeight="1">
      <c r="A298" s="10663"/>
      <c r="B298" s="10660"/>
      <c r="C298" s="10657"/>
      <c r="D298" s="10657"/>
      <c r="E298" s="10657"/>
      <c r="F298" s="10657"/>
      <c r="G298" s="10657"/>
      <c r="H298" s="10657"/>
      <c r="I298" s="10657"/>
      <c r="J298" s="10657"/>
      <c r="K298" s="10657"/>
      <c r="L298" s="10674"/>
      <c r="M298" s="10674"/>
      <c r="N298" s="10674"/>
      <c r="O298" s="10657"/>
      <c r="P298" s="10657"/>
      <c r="Q298" s="10675"/>
      <c r="R298" s="3887"/>
      <c r="S298" s="5696"/>
      <c r="T298" s="5696"/>
      <c r="U298" s="3557"/>
      <c r="V298" s="5503"/>
      <c r="W298" s="3545"/>
      <c r="X298" s="5532"/>
      <c r="Y298" s="5532"/>
      <c r="Z298" s="5532"/>
      <c r="AA298" s="5533"/>
      <c r="AB298" s="5828"/>
      <c r="AC298" s="3706"/>
      <c r="AD298" s="3545"/>
      <c r="AE298" s="3707"/>
      <c r="AF298" s="3707"/>
      <c r="AG298" s="10680"/>
    </row>
    <row r="299" spans="1:33" ht="46.5" customHeight="1">
      <c r="A299" s="10663"/>
      <c r="B299" s="10512" t="s">
        <v>183</v>
      </c>
      <c r="C299" s="10444" t="s">
        <v>227</v>
      </c>
      <c r="D299" s="10444" t="s">
        <v>129</v>
      </c>
      <c r="E299" s="10444" t="s">
        <v>394</v>
      </c>
      <c r="F299" s="10451" t="s">
        <v>131</v>
      </c>
      <c r="G299" s="10444" t="s">
        <v>231</v>
      </c>
      <c r="H299" s="10444" t="s">
        <v>133</v>
      </c>
      <c r="I299" s="10444" t="s">
        <v>4504</v>
      </c>
      <c r="J299" s="10444" t="s">
        <v>4505</v>
      </c>
      <c r="K299" s="10444" t="s">
        <v>4506</v>
      </c>
      <c r="L299" s="10666">
        <v>3</v>
      </c>
      <c r="M299" s="10666">
        <v>2</v>
      </c>
      <c r="N299" s="10666">
        <v>5</v>
      </c>
      <c r="O299" s="10444" t="s">
        <v>4507</v>
      </c>
      <c r="P299" s="10444" t="s">
        <v>4508</v>
      </c>
      <c r="Q299" s="10449" t="s">
        <v>4509</v>
      </c>
      <c r="R299" s="3892"/>
      <c r="S299" s="5689"/>
      <c r="T299" s="5689"/>
      <c r="U299" s="3758"/>
      <c r="V299" s="5504"/>
      <c r="W299" s="3658"/>
      <c r="X299" s="5534"/>
      <c r="Y299" s="5534"/>
      <c r="Z299" s="5534"/>
      <c r="AA299" s="5535"/>
      <c r="AB299" s="5822"/>
      <c r="AC299" s="3893"/>
      <c r="AD299" s="3658"/>
      <c r="AE299" s="3660"/>
      <c r="AF299" s="3660"/>
      <c r="AG299" s="10464"/>
    </row>
    <row r="300" spans="1:33" ht="46.5" customHeight="1">
      <c r="A300" s="10663"/>
      <c r="B300" s="10659"/>
      <c r="C300" s="10656"/>
      <c r="D300" s="10656"/>
      <c r="E300" s="10656"/>
      <c r="F300" s="10656"/>
      <c r="G300" s="10656"/>
      <c r="H300" s="10656"/>
      <c r="I300" s="10656"/>
      <c r="J300" s="10656"/>
      <c r="K300" s="10656"/>
      <c r="L300" s="10667"/>
      <c r="M300" s="10667"/>
      <c r="N300" s="10667"/>
      <c r="O300" s="10656"/>
      <c r="P300" s="10656"/>
      <c r="Q300" s="10672"/>
      <c r="R300" s="3867"/>
      <c r="S300" s="5681"/>
      <c r="T300" s="5681"/>
      <c r="U300" s="3495"/>
      <c r="V300" s="5499"/>
      <c r="W300" s="3496"/>
      <c r="X300" s="5523"/>
      <c r="Y300" s="5523"/>
      <c r="Z300" s="5523"/>
      <c r="AA300" s="5524"/>
      <c r="AB300" s="5779"/>
      <c r="AC300" s="3847"/>
      <c r="AD300" s="3496"/>
      <c r="AE300" s="3666"/>
      <c r="AF300" s="3666"/>
      <c r="AG300" s="10678"/>
    </row>
    <row r="301" spans="1:33" ht="46.5" customHeight="1">
      <c r="A301" s="10663"/>
      <c r="B301" s="10659"/>
      <c r="C301" s="10656"/>
      <c r="D301" s="10656"/>
      <c r="E301" s="10656"/>
      <c r="F301" s="10656"/>
      <c r="G301" s="10656"/>
      <c r="H301" s="10656"/>
      <c r="I301" s="10656"/>
      <c r="J301" s="10656"/>
      <c r="K301" s="10656"/>
      <c r="L301" s="10667"/>
      <c r="M301" s="10667"/>
      <c r="N301" s="10667"/>
      <c r="O301" s="10656"/>
      <c r="P301" s="10656"/>
      <c r="Q301" s="10672"/>
      <c r="R301" s="3867"/>
      <c r="S301" s="5681"/>
      <c r="T301" s="5681"/>
      <c r="U301" s="3495"/>
      <c r="V301" s="5499"/>
      <c r="W301" s="3496"/>
      <c r="X301" s="5523"/>
      <c r="Y301" s="5523"/>
      <c r="Z301" s="5523"/>
      <c r="AA301" s="5524"/>
      <c r="AB301" s="5779"/>
      <c r="AC301" s="3847"/>
      <c r="AD301" s="3496"/>
      <c r="AE301" s="3666"/>
      <c r="AF301" s="3666"/>
      <c r="AG301" s="10678"/>
    </row>
    <row r="302" spans="1:33" ht="46.5" customHeight="1">
      <c r="A302" s="10663"/>
      <c r="B302" s="10659"/>
      <c r="C302" s="10656"/>
      <c r="D302" s="10656"/>
      <c r="E302" s="10656"/>
      <c r="F302" s="10656"/>
      <c r="G302" s="10656"/>
      <c r="H302" s="10656"/>
      <c r="I302" s="10656"/>
      <c r="J302" s="10656"/>
      <c r="K302" s="10656"/>
      <c r="L302" s="10667"/>
      <c r="M302" s="10667"/>
      <c r="N302" s="10667"/>
      <c r="O302" s="10656"/>
      <c r="P302" s="10656"/>
      <c r="Q302" s="10672"/>
      <c r="R302" s="3868"/>
      <c r="S302" s="5682"/>
      <c r="T302" s="5682"/>
      <c r="U302" s="3495"/>
      <c r="V302" s="5499"/>
      <c r="W302" s="3496"/>
      <c r="X302" s="5523"/>
      <c r="Y302" s="5523"/>
      <c r="Z302" s="5523"/>
      <c r="AA302" s="5524"/>
      <c r="AB302" s="5779"/>
      <c r="AC302" s="3847"/>
      <c r="AD302" s="3496"/>
      <c r="AE302" s="3666"/>
      <c r="AF302" s="3666"/>
      <c r="AG302" s="10678"/>
    </row>
    <row r="303" spans="1:33" ht="46.5" customHeight="1">
      <c r="A303" s="10663"/>
      <c r="B303" s="10661"/>
      <c r="C303" s="10658"/>
      <c r="D303" s="10658"/>
      <c r="E303" s="10658"/>
      <c r="F303" s="10658"/>
      <c r="G303" s="10658"/>
      <c r="H303" s="10658"/>
      <c r="I303" s="10658"/>
      <c r="J303" s="10658"/>
      <c r="K303" s="10658"/>
      <c r="L303" s="10668"/>
      <c r="M303" s="10668"/>
      <c r="N303" s="10668"/>
      <c r="O303" s="10658"/>
      <c r="P303" s="10658"/>
      <c r="Q303" s="10673"/>
      <c r="R303" s="3879"/>
      <c r="S303" s="5683"/>
      <c r="T303" s="5683"/>
      <c r="U303" s="3759"/>
      <c r="V303" s="5509"/>
      <c r="W303" s="3714"/>
      <c r="X303" s="5544"/>
      <c r="Y303" s="5544"/>
      <c r="Z303" s="5544"/>
      <c r="AA303" s="5545"/>
      <c r="AB303" s="5823"/>
      <c r="AC303" s="3717"/>
      <c r="AD303" s="3714"/>
      <c r="AE303" s="3718"/>
      <c r="AF303" s="3718"/>
      <c r="AG303" s="10679"/>
    </row>
    <row r="304" spans="1:33" ht="18.75" customHeight="1">
      <c r="A304" s="10663"/>
      <c r="B304" s="10516" t="s">
        <v>183</v>
      </c>
      <c r="C304" s="10433" t="s">
        <v>128</v>
      </c>
      <c r="D304" s="10433" t="s">
        <v>129</v>
      </c>
      <c r="E304" s="10433" t="s">
        <v>157</v>
      </c>
      <c r="F304" s="10442" t="s">
        <v>131</v>
      </c>
      <c r="G304" s="10433" t="s">
        <v>231</v>
      </c>
      <c r="H304" s="10433" t="s">
        <v>133</v>
      </c>
      <c r="I304" s="10433" t="s">
        <v>4510</v>
      </c>
      <c r="J304" s="10433" t="s">
        <v>4511</v>
      </c>
      <c r="K304" s="10433" t="s">
        <v>4512</v>
      </c>
      <c r="L304" s="10676">
        <v>3</v>
      </c>
      <c r="M304" s="10676">
        <v>2</v>
      </c>
      <c r="N304" s="10676">
        <v>5</v>
      </c>
      <c r="O304" s="10433" t="s">
        <v>4513</v>
      </c>
      <c r="P304" s="10433" t="s">
        <v>4514</v>
      </c>
      <c r="Q304" s="10439" t="s">
        <v>4515</v>
      </c>
      <c r="R304" s="3885"/>
      <c r="S304" s="5684"/>
      <c r="T304" s="5684"/>
      <c r="U304" s="3762"/>
      <c r="V304" s="5502"/>
      <c r="W304" s="3709"/>
      <c r="X304" s="5529"/>
      <c r="Y304" s="5529"/>
      <c r="Z304" s="5529"/>
      <c r="AA304" s="5530"/>
      <c r="AB304" s="5780"/>
      <c r="AC304" s="3886"/>
      <c r="AD304" s="3709"/>
      <c r="AE304" s="3724"/>
      <c r="AF304" s="3724"/>
      <c r="AG304" s="10525"/>
    </row>
    <row r="305" spans="1:33" ht="18.75" customHeight="1">
      <c r="A305" s="10663"/>
      <c r="B305" s="10659"/>
      <c r="C305" s="10656"/>
      <c r="D305" s="10656"/>
      <c r="E305" s="10656"/>
      <c r="F305" s="10656"/>
      <c r="G305" s="10656"/>
      <c r="H305" s="10656"/>
      <c r="I305" s="10656"/>
      <c r="J305" s="10656"/>
      <c r="K305" s="10656"/>
      <c r="L305" s="10667"/>
      <c r="M305" s="10667"/>
      <c r="N305" s="10667"/>
      <c r="O305" s="10656"/>
      <c r="P305" s="10656"/>
      <c r="Q305" s="10672"/>
      <c r="R305" s="3867"/>
      <c r="S305" s="5681"/>
      <c r="T305" s="5681"/>
      <c r="U305" s="3495"/>
      <c r="V305" s="5499"/>
      <c r="W305" s="3496"/>
      <c r="X305" s="5523"/>
      <c r="Y305" s="5523"/>
      <c r="Z305" s="5523"/>
      <c r="AA305" s="5524"/>
      <c r="AB305" s="5779"/>
      <c r="AC305" s="3847"/>
      <c r="AD305" s="3496"/>
      <c r="AE305" s="3666"/>
      <c r="AF305" s="3666"/>
      <c r="AG305" s="10678"/>
    </row>
    <row r="306" spans="1:33" ht="18.75" customHeight="1">
      <c r="A306" s="10663"/>
      <c r="B306" s="10659"/>
      <c r="C306" s="10656"/>
      <c r="D306" s="10656"/>
      <c r="E306" s="10656"/>
      <c r="F306" s="10656"/>
      <c r="G306" s="10656"/>
      <c r="H306" s="10656"/>
      <c r="I306" s="10656"/>
      <c r="J306" s="10656"/>
      <c r="K306" s="10656"/>
      <c r="L306" s="10667"/>
      <c r="M306" s="10667"/>
      <c r="N306" s="10667"/>
      <c r="O306" s="10656"/>
      <c r="P306" s="10656"/>
      <c r="Q306" s="10672"/>
      <c r="R306" s="3867"/>
      <c r="S306" s="5681"/>
      <c r="T306" s="5681"/>
      <c r="U306" s="3495"/>
      <c r="V306" s="5499"/>
      <c r="W306" s="3496"/>
      <c r="X306" s="5523"/>
      <c r="Y306" s="5523"/>
      <c r="Z306" s="5523"/>
      <c r="AA306" s="5524"/>
      <c r="AB306" s="5779"/>
      <c r="AC306" s="3847"/>
      <c r="AD306" s="3496"/>
      <c r="AE306" s="3666"/>
      <c r="AF306" s="3666"/>
      <c r="AG306" s="10678"/>
    </row>
    <row r="307" spans="1:33" ht="18.75" customHeight="1">
      <c r="A307" s="10663"/>
      <c r="B307" s="10659"/>
      <c r="C307" s="10656"/>
      <c r="D307" s="10656"/>
      <c r="E307" s="10656"/>
      <c r="F307" s="10656"/>
      <c r="G307" s="10656"/>
      <c r="H307" s="10656"/>
      <c r="I307" s="10656"/>
      <c r="J307" s="10656"/>
      <c r="K307" s="10656"/>
      <c r="L307" s="10667"/>
      <c r="M307" s="10667"/>
      <c r="N307" s="10667"/>
      <c r="O307" s="10656"/>
      <c r="P307" s="10656"/>
      <c r="Q307" s="10672"/>
      <c r="R307" s="3868"/>
      <c r="S307" s="5682"/>
      <c r="T307" s="5682"/>
      <c r="U307" s="3495"/>
      <c r="V307" s="5499"/>
      <c r="W307" s="3496"/>
      <c r="X307" s="5523"/>
      <c r="Y307" s="5523"/>
      <c r="Z307" s="5523"/>
      <c r="AA307" s="5524"/>
      <c r="AB307" s="5779"/>
      <c r="AC307" s="3847"/>
      <c r="AD307" s="3496"/>
      <c r="AE307" s="3666"/>
      <c r="AF307" s="3666"/>
      <c r="AG307" s="10678"/>
    </row>
    <row r="308" spans="1:33" ht="18.75" customHeight="1">
      <c r="A308" s="10663"/>
      <c r="B308" s="10660"/>
      <c r="C308" s="10657"/>
      <c r="D308" s="10657"/>
      <c r="E308" s="10657"/>
      <c r="F308" s="10657"/>
      <c r="G308" s="10657"/>
      <c r="H308" s="10657"/>
      <c r="I308" s="10657"/>
      <c r="J308" s="10657"/>
      <c r="K308" s="10657"/>
      <c r="L308" s="10674"/>
      <c r="M308" s="10674"/>
      <c r="N308" s="10674"/>
      <c r="O308" s="10657"/>
      <c r="P308" s="10657"/>
      <c r="Q308" s="10675"/>
      <c r="R308" s="3887"/>
      <c r="S308" s="5696"/>
      <c r="T308" s="5696"/>
      <c r="U308" s="3557"/>
      <c r="V308" s="5503"/>
      <c r="W308" s="3545"/>
      <c r="X308" s="5532"/>
      <c r="Y308" s="5532"/>
      <c r="Z308" s="5532"/>
      <c r="AA308" s="5533"/>
      <c r="AB308" s="5828"/>
      <c r="AC308" s="3706"/>
      <c r="AD308" s="3545"/>
      <c r="AE308" s="3707"/>
      <c r="AF308" s="3707"/>
      <c r="AG308" s="10680"/>
    </row>
    <row r="309" spans="1:33" ht="18.75" customHeight="1">
      <c r="A309" s="10663"/>
      <c r="B309" s="10512" t="s">
        <v>183</v>
      </c>
      <c r="C309" s="10444" t="s">
        <v>128</v>
      </c>
      <c r="D309" s="10444" t="s">
        <v>129</v>
      </c>
      <c r="E309" s="10444" t="s">
        <v>157</v>
      </c>
      <c r="F309" s="10451" t="s">
        <v>131</v>
      </c>
      <c r="G309" s="10444" t="s">
        <v>213</v>
      </c>
      <c r="H309" s="10444" t="s">
        <v>133</v>
      </c>
      <c r="I309" s="10444" t="s">
        <v>4516</v>
      </c>
      <c r="J309" s="10444" t="s">
        <v>4517</v>
      </c>
      <c r="K309" s="10444" t="s">
        <v>4518</v>
      </c>
      <c r="L309" s="10666">
        <v>10</v>
      </c>
      <c r="M309" s="10666">
        <v>5</v>
      </c>
      <c r="N309" s="10666">
        <v>5</v>
      </c>
      <c r="O309" s="10444" t="s">
        <v>4519</v>
      </c>
      <c r="P309" s="10444" t="s">
        <v>4520</v>
      </c>
      <c r="Q309" s="10449" t="s">
        <v>4521</v>
      </c>
      <c r="R309" s="3892"/>
      <c r="S309" s="5689"/>
      <c r="T309" s="5689"/>
      <c r="U309" s="3758"/>
      <c r="V309" s="5504"/>
      <c r="W309" s="3658"/>
      <c r="X309" s="5534"/>
      <c r="Y309" s="5534"/>
      <c r="Z309" s="5534"/>
      <c r="AA309" s="5535"/>
      <c r="AB309" s="5822"/>
      <c r="AC309" s="3893"/>
      <c r="AD309" s="3658"/>
      <c r="AE309" s="3749"/>
      <c r="AF309" s="3749"/>
      <c r="AG309" s="10464"/>
    </row>
    <row r="310" spans="1:33" ht="18.75" customHeight="1">
      <c r="A310" s="10663"/>
      <c r="B310" s="10659"/>
      <c r="C310" s="10656"/>
      <c r="D310" s="10656"/>
      <c r="E310" s="10656"/>
      <c r="F310" s="10656"/>
      <c r="G310" s="10656"/>
      <c r="H310" s="10656"/>
      <c r="I310" s="10656"/>
      <c r="J310" s="10656"/>
      <c r="K310" s="10656"/>
      <c r="L310" s="10667"/>
      <c r="M310" s="10667"/>
      <c r="N310" s="10667"/>
      <c r="O310" s="10656"/>
      <c r="P310" s="10656"/>
      <c r="Q310" s="10672"/>
      <c r="R310" s="3867"/>
      <c r="S310" s="5681"/>
      <c r="T310" s="5681"/>
      <c r="U310" s="3495"/>
      <c r="V310" s="5499"/>
      <c r="W310" s="3496"/>
      <c r="X310" s="5523"/>
      <c r="Y310" s="5523"/>
      <c r="Z310" s="5523"/>
      <c r="AA310" s="5524"/>
      <c r="AB310" s="5779"/>
      <c r="AC310" s="3847"/>
      <c r="AD310" s="3496"/>
      <c r="AE310" s="3496"/>
      <c r="AF310" s="3690"/>
      <c r="AG310" s="10678"/>
    </row>
    <row r="311" spans="1:33" ht="18.75" customHeight="1">
      <c r="A311" s="10663"/>
      <c r="B311" s="10659"/>
      <c r="C311" s="10656"/>
      <c r="D311" s="10656"/>
      <c r="E311" s="10656"/>
      <c r="F311" s="10656"/>
      <c r="G311" s="10656"/>
      <c r="H311" s="10656"/>
      <c r="I311" s="10656"/>
      <c r="J311" s="10656"/>
      <c r="K311" s="10656"/>
      <c r="L311" s="10667"/>
      <c r="M311" s="10667"/>
      <c r="N311" s="10667"/>
      <c r="O311" s="10656"/>
      <c r="P311" s="10656"/>
      <c r="Q311" s="10672"/>
      <c r="R311" s="3867"/>
      <c r="S311" s="5681"/>
      <c r="T311" s="5681"/>
      <c r="U311" s="3495"/>
      <c r="V311" s="5499"/>
      <c r="W311" s="3496"/>
      <c r="X311" s="5523"/>
      <c r="Y311" s="5523"/>
      <c r="Z311" s="5523"/>
      <c r="AA311" s="5524"/>
      <c r="AB311" s="5779"/>
      <c r="AC311" s="3847"/>
      <c r="AD311" s="3496"/>
      <c r="AE311" s="3496"/>
      <c r="AF311" s="3666"/>
      <c r="AG311" s="10678"/>
    </row>
    <row r="312" spans="1:33" ht="18.75" customHeight="1">
      <c r="A312" s="10663"/>
      <c r="B312" s="10659"/>
      <c r="C312" s="10656"/>
      <c r="D312" s="10656"/>
      <c r="E312" s="10656"/>
      <c r="F312" s="10656"/>
      <c r="G312" s="10656"/>
      <c r="H312" s="10656"/>
      <c r="I312" s="10656"/>
      <c r="J312" s="10656"/>
      <c r="K312" s="10656"/>
      <c r="L312" s="10667"/>
      <c r="M312" s="10667"/>
      <c r="N312" s="10667"/>
      <c r="O312" s="10656"/>
      <c r="P312" s="10656"/>
      <c r="Q312" s="10672"/>
      <c r="R312" s="3867"/>
      <c r="S312" s="5681"/>
      <c r="T312" s="5681"/>
      <c r="U312" s="3495"/>
      <c r="V312" s="5499"/>
      <c r="W312" s="3496"/>
      <c r="X312" s="5523"/>
      <c r="Y312" s="5523"/>
      <c r="Z312" s="5523"/>
      <c r="AA312" s="5524"/>
      <c r="AB312" s="5779"/>
      <c r="AC312" s="3847"/>
      <c r="AD312" s="3496"/>
      <c r="AE312" s="3496"/>
      <c r="AF312" s="3666"/>
      <c r="AG312" s="10678"/>
    </row>
    <row r="313" spans="1:33" ht="18.75" customHeight="1">
      <c r="A313" s="10663"/>
      <c r="B313" s="10661"/>
      <c r="C313" s="10658"/>
      <c r="D313" s="10658"/>
      <c r="E313" s="10658"/>
      <c r="F313" s="10658"/>
      <c r="G313" s="10658"/>
      <c r="H313" s="10658"/>
      <c r="I313" s="10658"/>
      <c r="J313" s="10658"/>
      <c r="K313" s="10658"/>
      <c r="L313" s="10668"/>
      <c r="M313" s="10668"/>
      <c r="N313" s="10668"/>
      <c r="O313" s="10658"/>
      <c r="P313" s="10658"/>
      <c r="Q313" s="10673"/>
      <c r="R313" s="3879"/>
      <c r="S313" s="5683"/>
      <c r="T313" s="5683"/>
      <c r="U313" s="3759"/>
      <c r="V313" s="5509"/>
      <c r="W313" s="3714"/>
      <c r="X313" s="5544"/>
      <c r="Y313" s="5544"/>
      <c r="Z313" s="5544"/>
      <c r="AA313" s="5545"/>
      <c r="AB313" s="5823"/>
      <c r="AC313" s="3717"/>
      <c r="AD313" s="3714"/>
      <c r="AE313" s="3714"/>
      <c r="AF313" s="3718"/>
      <c r="AG313" s="10679"/>
    </row>
    <row r="314" spans="1:33" ht="37.5" customHeight="1">
      <c r="A314" s="10663"/>
      <c r="B314" s="10516" t="s">
        <v>183</v>
      </c>
      <c r="C314" s="10433" t="s">
        <v>128</v>
      </c>
      <c r="D314" s="10433" t="s">
        <v>129</v>
      </c>
      <c r="E314" s="10433" t="s">
        <v>394</v>
      </c>
      <c r="F314" s="10442" t="s">
        <v>131</v>
      </c>
      <c r="G314" s="10433" t="s">
        <v>231</v>
      </c>
      <c r="H314" s="10433" t="s">
        <v>133</v>
      </c>
      <c r="I314" s="10433" t="s">
        <v>4522</v>
      </c>
      <c r="J314" s="10433" t="s">
        <v>4523</v>
      </c>
      <c r="K314" s="10433" t="s">
        <v>4524</v>
      </c>
      <c r="L314" s="10676">
        <v>1</v>
      </c>
      <c r="M314" s="10676">
        <v>0</v>
      </c>
      <c r="N314" s="10676">
        <v>1</v>
      </c>
      <c r="O314" s="10433" t="s">
        <v>4525</v>
      </c>
      <c r="P314" s="10433" t="s">
        <v>4526</v>
      </c>
      <c r="Q314" s="10439" t="s">
        <v>4527</v>
      </c>
      <c r="R314" s="3885"/>
      <c r="S314" s="5684"/>
      <c r="T314" s="5684"/>
      <c r="U314" s="3762"/>
      <c r="V314" s="5502"/>
      <c r="W314" s="3709"/>
      <c r="X314" s="5529"/>
      <c r="Y314" s="5529"/>
      <c r="Z314" s="5529"/>
      <c r="AA314" s="5530"/>
      <c r="AB314" s="5780"/>
      <c r="AC314" s="3886"/>
      <c r="AD314" s="3709"/>
      <c r="AE314" s="3724"/>
      <c r="AF314" s="3724"/>
      <c r="AG314" s="10525"/>
    </row>
    <row r="315" spans="1:33" ht="37.5" customHeight="1">
      <c r="A315" s="10663"/>
      <c r="B315" s="10659"/>
      <c r="C315" s="10656"/>
      <c r="D315" s="10656"/>
      <c r="E315" s="10656"/>
      <c r="F315" s="10656"/>
      <c r="G315" s="10656"/>
      <c r="H315" s="10656"/>
      <c r="I315" s="10656"/>
      <c r="J315" s="10656"/>
      <c r="K315" s="10656"/>
      <c r="L315" s="10667"/>
      <c r="M315" s="10667"/>
      <c r="N315" s="10667"/>
      <c r="O315" s="10656"/>
      <c r="P315" s="10656"/>
      <c r="Q315" s="10672"/>
      <c r="R315" s="3867"/>
      <c r="S315" s="5681"/>
      <c r="T315" s="5681"/>
      <c r="U315" s="3495"/>
      <c r="V315" s="5499"/>
      <c r="W315" s="3496"/>
      <c r="X315" s="5523"/>
      <c r="Y315" s="5523"/>
      <c r="Z315" s="5523"/>
      <c r="AA315" s="5524"/>
      <c r="AB315" s="5779"/>
      <c r="AC315" s="3847"/>
      <c r="AD315" s="3496"/>
      <c r="AE315" s="3666"/>
      <c r="AF315" s="3666"/>
      <c r="AG315" s="10678"/>
    </row>
    <row r="316" spans="1:33" ht="37.5" customHeight="1">
      <c r="A316" s="10663"/>
      <c r="B316" s="10659"/>
      <c r="C316" s="10656"/>
      <c r="D316" s="10656"/>
      <c r="E316" s="10656"/>
      <c r="F316" s="10656"/>
      <c r="G316" s="10656"/>
      <c r="H316" s="10656"/>
      <c r="I316" s="10656"/>
      <c r="J316" s="10656"/>
      <c r="K316" s="10656"/>
      <c r="L316" s="10667"/>
      <c r="M316" s="10667"/>
      <c r="N316" s="10667"/>
      <c r="O316" s="10656"/>
      <c r="P316" s="10656"/>
      <c r="Q316" s="10672"/>
      <c r="R316" s="3867"/>
      <c r="S316" s="5681"/>
      <c r="T316" s="5681"/>
      <c r="U316" s="3495"/>
      <c r="V316" s="5499"/>
      <c r="W316" s="3496"/>
      <c r="X316" s="5523"/>
      <c r="Y316" s="5523"/>
      <c r="Z316" s="5523"/>
      <c r="AA316" s="5524"/>
      <c r="AB316" s="5779"/>
      <c r="AC316" s="3847"/>
      <c r="AD316" s="3496"/>
      <c r="AE316" s="3666"/>
      <c r="AF316" s="3666"/>
      <c r="AG316" s="10678"/>
    </row>
    <row r="317" spans="1:33" ht="37.5" customHeight="1">
      <c r="A317" s="10663"/>
      <c r="B317" s="10659"/>
      <c r="C317" s="10656"/>
      <c r="D317" s="10656"/>
      <c r="E317" s="10656"/>
      <c r="F317" s="10656"/>
      <c r="G317" s="10656"/>
      <c r="H317" s="10656"/>
      <c r="I317" s="10656"/>
      <c r="J317" s="10656"/>
      <c r="K317" s="10656"/>
      <c r="L317" s="10667"/>
      <c r="M317" s="10667"/>
      <c r="N317" s="10667"/>
      <c r="O317" s="10656"/>
      <c r="P317" s="10656"/>
      <c r="Q317" s="10672"/>
      <c r="R317" s="3867"/>
      <c r="S317" s="5681"/>
      <c r="T317" s="5681"/>
      <c r="U317" s="3495"/>
      <c r="V317" s="5499"/>
      <c r="W317" s="3496"/>
      <c r="X317" s="5523"/>
      <c r="Y317" s="5523"/>
      <c r="Z317" s="5523"/>
      <c r="AA317" s="5524"/>
      <c r="AB317" s="5779"/>
      <c r="AC317" s="3847"/>
      <c r="AD317" s="3496"/>
      <c r="AE317" s="3666"/>
      <c r="AF317" s="3666"/>
      <c r="AG317" s="10678"/>
    </row>
    <row r="318" spans="1:33" ht="37.5" customHeight="1">
      <c r="A318" s="10663"/>
      <c r="B318" s="10660"/>
      <c r="C318" s="10657"/>
      <c r="D318" s="10657"/>
      <c r="E318" s="10657"/>
      <c r="F318" s="10657"/>
      <c r="G318" s="10657"/>
      <c r="H318" s="10657"/>
      <c r="I318" s="10657"/>
      <c r="J318" s="10657"/>
      <c r="K318" s="10657"/>
      <c r="L318" s="10674"/>
      <c r="M318" s="10674"/>
      <c r="N318" s="10674"/>
      <c r="O318" s="10657"/>
      <c r="P318" s="10657"/>
      <c r="Q318" s="10675"/>
      <c r="R318" s="3887"/>
      <c r="S318" s="5696"/>
      <c r="T318" s="5696"/>
      <c r="U318" s="3557"/>
      <c r="V318" s="5503"/>
      <c r="W318" s="3545"/>
      <c r="X318" s="5532"/>
      <c r="Y318" s="5532"/>
      <c r="Z318" s="5532"/>
      <c r="AA318" s="5533"/>
      <c r="AB318" s="5828"/>
      <c r="AC318" s="3706"/>
      <c r="AD318" s="3545"/>
      <c r="AE318" s="3707"/>
      <c r="AF318" s="3707"/>
      <c r="AG318" s="10680"/>
    </row>
    <row r="319" spans="1:33" ht="20.25" customHeight="1">
      <c r="A319" s="10663"/>
      <c r="B319" s="10512" t="s">
        <v>183</v>
      </c>
      <c r="C319" s="10444" t="s">
        <v>128</v>
      </c>
      <c r="D319" s="10444" t="s">
        <v>129</v>
      </c>
      <c r="E319" s="10444" t="s">
        <v>394</v>
      </c>
      <c r="F319" s="10451" t="s">
        <v>131</v>
      </c>
      <c r="G319" s="10444" t="s">
        <v>231</v>
      </c>
      <c r="H319" s="10444" t="s">
        <v>133</v>
      </c>
      <c r="I319" s="10444" t="s">
        <v>4528</v>
      </c>
      <c r="J319" s="10444" t="s">
        <v>4529</v>
      </c>
      <c r="K319" s="10444" t="s">
        <v>4530</v>
      </c>
      <c r="L319" s="10666">
        <v>3</v>
      </c>
      <c r="M319" s="10666">
        <v>3</v>
      </c>
      <c r="N319" s="10666">
        <v>3</v>
      </c>
      <c r="O319" s="10444" t="s">
        <v>4531</v>
      </c>
      <c r="P319" s="10444" t="s">
        <v>4532</v>
      </c>
      <c r="Q319" s="10449" t="s">
        <v>4533</v>
      </c>
      <c r="R319" s="3892"/>
      <c r="S319" s="5689"/>
      <c r="T319" s="5689"/>
      <c r="U319" s="3758"/>
      <c r="V319" s="5504"/>
      <c r="W319" s="3658"/>
      <c r="X319" s="5534"/>
      <c r="Y319" s="5534"/>
      <c r="Z319" s="5534"/>
      <c r="AA319" s="5535"/>
      <c r="AB319" s="5822"/>
      <c r="AC319" s="3893"/>
      <c r="AD319" s="3658"/>
      <c r="AE319" s="3660"/>
      <c r="AF319" s="3660"/>
      <c r="AG319" s="10464"/>
    </row>
    <row r="320" spans="1:33" ht="20.25" customHeight="1">
      <c r="A320" s="10663"/>
      <c r="B320" s="10659"/>
      <c r="C320" s="10656"/>
      <c r="D320" s="10656"/>
      <c r="E320" s="10656"/>
      <c r="F320" s="10656"/>
      <c r="G320" s="10656"/>
      <c r="H320" s="10656"/>
      <c r="I320" s="10656"/>
      <c r="J320" s="10656"/>
      <c r="K320" s="10656"/>
      <c r="L320" s="10667"/>
      <c r="M320" s="10667"/>
      <c r="N320" s="10667"/>
      <c r="O320" s="10656"/>
      <c r="P320" s="10656"/>
      <c r="Q320" s="10672"/>
      <c r="R320" s="3867"/>
      <c r="S320" s="5681"/>
      <c r="T320" s="5681"/>
      <c r="U320" s="3495"/>
      <c r="V320" s="5499"/>
      <c r="W320" s="3496"/>
      <c r="X320" s="5523"/>
      <c r="Y320" s="5523"/>
      <c r="Z320" s="5523"/>
      <c r="AA320" s="5524"/>
      <c r="AB320" s="5779"/>
      <c r="AC320" s="3847"/>
      <c r="AD320" s="3496"/>
      <c r="AE320" s="3666"/>
      <c r="AF320" s="3666"/>
      <c r="AG320" s="10678"/>
    </row>
    <row r="321" spans="1:33" ht="20.25" customHeight="1">
      <c r="A321" s="10663"/>
      <c r="B321" s="10659"/>
      <c r="C321" s="10656"/>
      <c r="D321" s="10656"/>
      <c r="E321" s="10656"/>
      <c r="F321" s="10656"/>
      <c r="G321" s="10656"/>
      <c r="H321" s="10656"/>
      <c r="I321" s="10656"/>
      <c r="J321" s="10656"/>
      <c r="K321" s="10656"/>
      <c r="L321" s="10667"/>
      <c r="M321" s="10667"/>
      <c r="N321" s="10667"/>
      <c r="O321" s="10656"/>
      <c r="P321" s="10656"/>
      <c r="Q321" s="10672"/>
      <c r="R321" s="3867"/>
      <c r="S321" s="5681"/>
      <c r="T321" s="5681"/>
      <c r="U321" s="3495"/>
      <c r="V321" s="5499"/>
      <c r="W321" s="3496"/>
      <c r="X321" s="5523"/>
      <c r="Y321" s="5523"/>
      <c r="Z321" s="5523"/>
      <c r="AA321" s="5524"/>
      <c r="AB321" s="5779"/>
      <c r="AC321" s="3847"/>
      <c r="AD321" s="3496"/>
      <c r="AE321" s="3666"/>
      <c r="AF321" s="3666"/>
      <c r="AG321" s="10678"/>
    </row>
    <row r="322" spans="1:33" ht="20.25" customHeight="1">
      <c r="A322" s="10663"/>
      <c r="B322" s="10659"/>
      <c r="C322" s="10656"/>
      <c r="D322" s="10656"/>
      <c r="E322" s="10656"/>
      <c r="F322" s="10656"/>
      <c r="G322" s="10656"/>
      <c r="H322" s="10656"/>
      <c r="I322" s="10656"/>
      <c r="J322" s="10656"/>
      <c r="K322" s="10656"/>
      <c r="L322" s="10667"/>
      <c r="M322" s="10667"/>
      <c r="N322" s="10667"/>
      <c r="O322" s="10656"/>
      <c r="P322" s="10656"/>
      <c r="Q322" s="10672"/>
      <c r="R322" s="3868"/>
      <c r="S322" s="5682"/>
      <c r="T322" s="5682"/>
      <c r="U322" s="3495"/>
      <c r="V322" s="5499"/>
      <c r="W322" s="3496"/>
      <c r="X322" s="5523"/>
      <c r="Y322" s="5523"/>
      <c r="Z322" s="5523"/>
      <c r="AA322" s="5524"/>
      <c r="AB322" s="5779"/>
      <c r="AC322" s="3847"/>
      <c r="AD322" s="3496"/>
      <c r="AE322" s="3666"/>
      <c r="AF322" s="3666"/>
      <c r="AG322" s="10678"/>
    </row>
    <row r="323" spans="1:33" ht="20.25" customHeight="1">
      <c r="A323" s="10663"/>
      <c r="B323" s="10661"/>
      <c r="C323" s="10658"/>
      <c r="D323" s="10658"/>
      <c r="E323" s="10658"/>
      <c r="F323" s="10658"/>
      <c r="G323" s="10658"/>
      <c r="H323" s="10658"/>
      <c r="I323" s="10658"/>
      <c r="J323" s="10658"/>
      <c r="K323" s="10658"/>
      <c r="L323" s="10668"/>
      <c r="M323" s="10668"/>
      <c r="N323" s="10668"/>
      <c r="O323" s="10658"/>
      <c r="P323" s="10658"/>
      <c r="Q323" s="10673"/>
      <c r="R323" s="3879"/>
      <c r="S323" s="5683"/>
      <c r="T323" s="5683"/>
      <c r="U323" s="3759"/>
      <c r="V323" s="5509"/>
      <c r="W323" s="3714"/>
      <c r="X323" s="5544"/>
      <c r="Y323" s="5544"/>
      <c r="Z323" s="5544"/>
      <c r="AA323" s="5545"/>
      <c r="AB323" s="5823"/>
      <c r="AC323" s="3717"/>
      <c r="AD323" s="3714"/>
      <c r="AE323" s="3718"/>
      <c r="AF323" s="3718"/>
      <c r="AG323" s="10679"/>
    </row>
    <row r="324" spans="1:33">
      <c r="A324" s="10663"/>
      <c r="B324" s="10516" t="s">
        <v>183</v>
      </c>
      <c r="C324" s="10433" t="s">
        <v>128</v>
      </c>
      <c r="D324" s="10433" t="s">
        <v>129</v>
      </c>
      <c r="E324" s="10433" t="s">
        <v>157</v>
      </c>
      <c r="F324" s="10442" t="s">
        <v>131</v>
      </c>
      <c r="G324" s="10433" t="s">
        <v>231</v>
      </c>
      <c r="H324" s="10433" t="s">
        <v>133</v>
      </c>
      <c r="I324" s="10433" t="s">
        <v>4534</v>
      </c>
      <c r="J324" s="10433" t="s">
        <v>4535</v>
      </c>
      <c r="K324" s="10433" t="s">
        <v>4536</v>
      </c>
      <c r="L324" s="10676">
        <v>0</v>
      </c>
      <c r="M324" s="10676">
        <v>50</v>
      </c>
      <c r="N324" s="10676">
        <v>50</v>
      </c>
      <c r="O324" s="10433" t="s">
        <v>4537</v>
      </c>
      <c r="P324" s="10433" t="s">
        <v>4538</v>
      </c>
      <c r="Q324" s="10439" t="s">
        <v>4539</v>
      </c>
      <c r="R324" s="3885"/>
      <c r="S324" s="5684"/>
      <c r="T324" s="5684"/>
      <c r="U324" s="3762"/>
      <c r="V324" s="5502"/>
      <c r="W324" s="3709"/>
      <c r="X324" s="5529"/>
      <c r="Y324" s="5529"/>
      <c r="Z324" s="5529"/>
      <c r="AA324" s="5530"/>
      <c r="AB324" s="5780"/>
      <c r="AC324" s="3886"/>
      <c r="AD324" s="3709"/>
      <c r="AE324" s="3746"/>
      <c r="AF324" s="3746"/>
      <c r="AG324" s="10525"/>
    </row>
    <row r="325" spans="1:33">
      <c r="A325" s="10663"/>
      <c r="B325" s="10659"/>
      <c r="C325" s="10656"/>
      <c r="D325" s="10656"/>
      <c r="E325" s="10656"/>
      <c r="F325" s="10656"/>
      <c r="G325" s="10656"/>
      <c r="H325" s="10656"/>
      <c r="I325" s="10656"/>
      <c r="J325" s="10656"/>
      <c r="K325" s="10656"/>
      <c r="L325" s="10667"/>
      <c r="M325" s="10667"/>
      <c r="N325" s="10667"/>
      <c r="O325" s="10656"/>
      <c r="P325" s="10656"/>
      <c r="Q325" s="10672"/>
      <c r="R325" s="3867"/>
      <c r="S325" s="5681"/>
      <c r="T325" s="5681"/>
      <c r="U325" s="3495"/>
      <c r="V325" s="5499"/>
      <c r="W325" s="3496"/>
      <c r="X325" s="5523"/>
      <c r="Y325" s="5523"/>
      <c r="Z325" s="5523"/>
      <c r="AA325" s="5524"/>
      <c r="AB325" s="5779"/>
      <c r="AC325" s="3847"/>
      <c r="AD325" s="3496"/>
      <c r="AE325" s="3496"/>
      <c r="AF325" s="3690"/>
      <c r="AG325" s="10678"/>
    </row>
    <row r="326" spans="1:33">
      <c r="A326" s="10663"/>
      <c r="B326" s="10659"/>
      <c r="C326" s="10656"/>
      <c r="D326" s="10656"/>
      <c r="E326" s="10656"/>
      <c r="F326" s="10656"/>
      <c r="G326" s="10656"/>
      <c r="H326" s="10656"/>
      <c r="I326" s="10656"/>
      <c r="J326" s="10656"/>
      <c r="K326" s="10656"/>
      <c r="L326" s="10667"/>
      <c r="M326" s="10667"/>
      <c r="N326" s="10667"/>
      <c r="O326" s="10656"/>
      <c r="P326" s="10656"/>
      <c r="Q326" s="10672"/>
      <c r="R326" s="3867"/>
      <c r="S326" s="5681"/>
      <c r="T326" s="5681"/>
      <c r="U326" s="3495"/>
      <c r="V326" s="5499"/>
      <c r="W326" s="3496"/>
      <c r="X326" s="5523"/>
      <c r="Y326" s="5523"/>
      <c r="Z326" s="5523"/>
      <c r="AA326" s="5524"/>
      <c r="AB326" s="5779"/>
      <c r="AC326" s="3847"/>
      <c r="AD326" s="3496"/>
      <c r="AE326" s="3496"/>
      <c r="AF326" s="3666"/>
      <c r="AG326" s="10678"/>
    </row>
    <row r="327" spans="1:33">
      <c r="A327" s="10663"/>
      <c r="B327" s="10659"/>
      <c r="C327" s="10656"/>
      <c r="D327" s="10656"/>
      <c r="E327" s="10656"/>
      <c r="F327" s="10656"/>
      <c r="G327" s="10656"/>
      <c r="H327" s="10656"/>
      <c r="I327" s="10656"/>
      <c r="J327" s="10656"/>
      <c r="K327" s="10656"/>
      <c r="L327" s="10667"/>
      <c r="M327" s="10667"/>
      <c r="N327" s="10667"/>
      <c r="O327" s="10656"/>
      <c r="P327" s="10656"/>
      <c r="Q327" s="10672"/>
      <c r="R327" s="3867"/>
      <c r="S327" s="5681"/>
      <c r="T327" s="5681"/>
      <c r="U327" s="3495"/>
      <c r="V327" s="5499"/>
      <c r="W327" s="3496"/>
      <c r="X327" s="5523"/>
      <c r="Y327" s="5523"/>
      <c r="Z327" s="5523"/>
      <c r="AA327" s="5524"/>
      <c r="AB327" s="5779"/>
      <c r="AC327" s="3847"/>
      <c r="AD327" s="3496"/>
      <c r="AE327" s="3496"/>
      <c r="AF327" s="3666"/>
      <c r="AG327" s="10678"/>
    </row>
    <row r="328" spans="1:33" ht="36" customHeight="1">
      <c r="A328" s="10663"/>
      <c r="B328" s="10660"/>
      <c r="C328" s="10657"/>
      <c r="D328" s="10657"/>
      <c r="E328" s="10657"/>
      <c r="F328" s="10657"/>
      <c r="G328" s="10657"/>
      <c r="H328" s="10657"/>
      <c r="I328" s="10657"/>
      <c r="J328" s="10657"/>
      <c r="K328" s="10657"/>
      <c r="L328" s="10674"/>
      <c r="M328" s="10674"/>
      <c r="N328" s="10674"/>
      <c r="O328" s="10657"/>
      <c r="P328" s="10657"/>
      <c r="Q328" s="10675"/>
      <c r="R328" s="3887"/>
      <c r="S328" s="5696"/>
      <c r="T328" s="5696"/>
      <c r="U328" s="3557"/>
      <c r="V328" s="5503"/>
      <c r="W328" s="3545"/>
      <c r="X328" s="5532"/>
      <c r="Y328" s="5532"/>
      <c r="Z328" s="5532"/>
      <c r="AA328" s="5533"/>
      <c r="AB328" s="5828"/>
      <c r="AC328" s="3706"/>
      <c r="AD328" s="3545"/>
      <c r="AE328" s="3545"/>
      <c r="AF328" s="3707"/>
      <c r="AG328" s="10680"/>
    </row>
    <row r="329" spans="1:33">
      <c r="A329" s="10663"/>
      <c r="B329" s="10512" t="s">
        <v>183</v>
      </c>
      <c r="C329" s="10444" t="s">
        <v>128</v>
      </c>
      <c r="D329" s="10444" t="s">
        <v>129</v>
      </c>
      <c r="E329" s="10444" t="s">
        <v>508</v>
      </c>
      <c r="F329" s="10451" t="s">
        <v>131</v>
      </c>
      <c r="G329" s="10444" t="s">
        <v>158</v>
      </c>
      <c r="H329" s="10444" t="s">
        <v>133</v>
      </c>
      <c r="I329" s="10444" t="s">
        <v>4540</v>
      </c>
      <c r="J329" s="10444" t="s">
        <v>4541</v>
      </c>
      <c r="K329" s="10444" t="s">
        <v>4542</v>
      </c>
      <c r="L329" s="10666">
        <v>70</v>
      </c>
      <c r="M329" s="10666">
        <v>70</v>
      </c>
      <c r="N329" s="10666">
        <v>70</v>
      </c>
      <c r="O329" s="10444" t="s">
        <v>4543</v>
      </c>
      <c r="P329" s="10444" t="s">
        <v>4544</v>
      </c>
      <c r="Q329" s="10449" t="s">
        <v>4545</v>
      </c>
      <c r="R329" s="3892"/>
      <c r="S329" s="5689"/>
      <c r="T329" s="5689"/>
      <c r="U329" s="3758"/>
      <c r="V329" s="5504"/>
      <c r="W329" s="3658"/>
      <c r="X329" s="5534"/>
      <c r="Y329" s="5534"/>
      <c r="Z329" s="5534"/>
      <c r="AA329" s="5535"/>
      <c r="AB329" s="5822"/>
      <c r="AC329" s="3893"/>
      <c r="AD329" s="3658"/>
      <c r="AE329" s="3660"/>
      <c r="AF329" s="3660"/>
      <c r="AG329" s="10464"/>
    </row>
    <row r="330" spans="1:33">
      <c r="A330" s="10663"/>
      <c r="B330" s="10659"/>
      <c r="C330" s="10656"/>
      <c r="D330" s="10656"/>
      <c r="E330" s="10656"/>
      <c r="F330" s="10656"/>
      <c r="G330" s="10656"/>
      <c r="H330" s="10656"/>
      <c r="I330" s="10656"/>
      <c r="J330" s="10656"/>
      <c r="K330" s="10656"/>
      <c r="L330" s="10667"/>
      <c r="M330" s="10667"/>
      <c r="N330" s="10667"/>
      <c r="O330" s="10656"/>
      <c r="P330" s="10656"/>
      <c r="Q330" s="10672"/>
      <c r="R330" s="3867"/>
      <c r="S330" s="5681"/>
      <c r="T330" s="5681"/>
      <c r="U330" s="3495"/>
      <c r="V330" s="5499"/>
      <c r="W330" s="3496"/>
      <c r="X330" s="5523"/>
      <c r="Y330" s="5523"/>
      <c r="Z330" s="5523"/>
      <c r="AA330" s="5524"/>
      <c r="AB330" s="5779"/>
      <c r="AC330" s="3847"/>
      <c r="AD330" s="3496"/>
      <c r="AE330" s="3666"/>
      <c r="AF330" s="3666"/>
      <c r="AG330" s="10678"/>
    </row>
    <row r="331" spans="1:33">
      <c r="A331" s="10663"/>
      <c r="B331" s="10659"/>
      <c r="C331" s="10656"/>
      <c r="D331" s="10656"/>
      <c r="E331" s="10656"/>
      <c r="F331" s="10656"/>
      <c r="G331" s="10656"/>
      <c r="H331" s="10656"/>
      <c r="I331" s="10656"/>
      <c r="J331" s="10656"/>
      <c r="K331" s="10656"/>
      <c r="L331" s="10667"/>
      <c r="M331" s="10667"/>
      <c r="N331" s="10667"/>
      <c r="O331" s="10656"/>
      <c r="P331" s="10656"/>
      <c r="Q331" s="10672"/>
      <c r="R331" s="3867"/>
      <c r="S331" s="5681"/>
      <c r="T331" s="5681"/>
      <c r="U331" s="3495"/>
      <c r="V331" s="5499"/>
      <c r="W331" s="3496"/>
      <c r="X331" s="5523"/>
      <c r="Y331" s="5523"/>
      <c r="Z331" s="5523"/>
      <c r="AA331" s="5524"/>
      <c r="AB331" s="5779"/>
      <c r="AC331" s="3847"/>
      <c r="AD331" s="3496"/>
      <c r="AE331" s="3666"/>
      <c r="AF331" s="3666"/>
      <c r="AG331" s="10678"/>
    </row>
    <row r="332" spans="1:33">
      <c r="A332" s="10663"/>
      <c r="B332" s="10659"/>
      <c r="C332" s="10656"/>
      <c r="D332" s="10656"/>
      <c r="E332" s="10656"/>
      <c r="F332" s="10656"/>
      <c r="G332" s="10656"/>
      <c r="H332" s="10656"/>
      <c r="I332" s="10656"/>
      <c r="J332" s="10656"/>
      <c r="K332" s="10656"/>
      <c r="L332" s="10667"/>
      <c r="M332" s="10667"/>
      <c r="N332" s="10667"/>
      <c r="O332" s="10656"/>
      <c r="P332" s="10656"/>
      <c r="Q332" s="10672"/>
      <c r="R332" s="3867"/>
      <c r="S332" s="5681"/>
      <c r="T332" s="5681"/>
      <c r="U332" s="3495"/>
      <c r="V332" s="5499"/>
      <c r="W332" s="3496"/>
      <c r="X332" s="5523"/>
      <c r="Y332" s="5523"/>
      <c r="Z332" s="5523"/>
      <c r="AA332" s="5524"/>
      <c r="AB332" s="5779"/>
      <c r="AC332" s="3847"/>
      <c r="AD332" s="3496"/>
      <c r="AE332" s="3666"/>
      <c r="AF332" s="3666"/>
      <c r="AG332" s="10678"/>
    </row>
    <row r="333" spans="1:33" ht="35.25" customHeight="1">
      <c r="A333" s="10663"/>
      <c r="B333" s="10661"/>
      <c r="C333" s="10658"/>
      <c r="D333" s="10658"/>
      <c r="E333" s="10658"/>
      <c r="F333" s="10658"/>
      <c r="G333" s="10658"/>
      <c r="H333" s="10658"/>
      <c r="I333" s="10658"/>
      <c r="J333" s="10658"/>
      <c r="K333" s="10658"/>
      <c r="L333" s="10668"/>
      <c r="M333" s="10668"/>
      <c r="N333" s="10668"/>
      <c r="O333" s="10658"/>
      <c r="P333" s="10658"/>
      <c r="Q333" s="10673"/>
      <c r="R333" s="3879"/>
      <c r="S333" s="5683"/>
      <c r="T333" s="5683"/>
      <c r="U333" s="3759"/>
      <c r="V333" s="5509"/>
      <c r="W333" s="3714"/>
      <c r="X333" s="5544"/>
      <c r="Y333" s="5544"/>
      <c r="Z333" s="5544"/>
      <c r="AA333" s="5545"/>
      <c r="AB333" s="5823"/>
      <c r="AC333" s="3717"/>
      <c r="AD333" s="3714"/>
      <c r="AE333" s="3718"/>
      <c r="AF333" s="3718"/>
      <c r="AG333" s="10679"/>
    </row>
    <row r="334" spans="1:33">
      <c r="A334" s="10663"/>
      <c r="B334" s="10516" t="s">
        <v>183</v>
      </c>
      <c r="C334" s="10433" t="s">
        <v>128</v>
      </c>
      <c r="D334" s="10433" t="s">
        <v>129</v>
      </c>
      <c r="E334" s="10433" t="s">
        <v>157</v>
      </c>
      <c r="F334" s="10442" t="s">
        <v>131</v>
      </c>
      <c r="G334" s="10433" t="s">
        <v>158</v>
      </c>
      <c r="H334" s="10433" t="s">
        <v>133</v>
      </c>
      <c r="I334" s="10433" t="s">
        <v>4546</v>
      </c>
      <c r="J334" s="10433" t="s">
        <v>4547</v>
      </c>
      <c r="K334" s="10433" t="s">
        <v>4548</v>
      </c>
      <c r="L334" s="10676">
        <v>1</v>
      </c>
      <c r="M334" s="10676">
        <v>1</v>
      </c>
      <c r="N334" s="10676">
        <v>1</v>
      </c>
      <c r="O334" s="10433" t="s">
        <v>4549</v>
      </c>
      <c r="P334" s="10433" t="s">
        <v>4550</v>
      </c>
      <c r="Q334" s="10439" t="s">
        <v>4551</v>
      </c>
      <c r="R334" s="3885"/>
      <c r="S334" s="5684"/>
      <c r="T334" s="5684"/>
      <c r="U334" s="3762"/>
      <c r="V334" s="5502"/>
      <c r="W334" s="3709"/>
      <c r="X334" s="5529"/>
      <c r="Y334" s="5529"/>
      <c r="Z334" s="5529"/>
      <c r="AA334" s="5530"/>
      <c r="AB334" s="5780"/>
      <c r="AC334" s="3886"/>
      <c r="AD334" s="3709"/>
      <c r="AE334" s="3724"/>
      <c r="AF334" s="3724"/>
      <c r="AG334" s="10525"/>
    </row>
    <row r="335" spans="1:33">
      <c r="A335" s="10663"/>
      <c r="B335" s="10659"/>
      <c r="C335" s="10656"/>
      <c r="D335" s="10656"/>
      <c r="E335" s="10656"/>
      <c r="F335" s="10656"/>
      <c r="G335" s="10656"/>
      <c r="H335" s="10656"/>
      <c r="I335" s="10656"/>
      <c r="J335" s="10656"/>
      <c r="K335" s="10656"/>
      <c r="L335" s="10667"/>
      <c r="M335" s="10667"/>
      <c r="N335" s="10667"/>
      <c r="O335" s="10656"/>
      <c r="P335" s="10656"/>
      <c r="Q335" s="10672"/>
      <c r="R335" s="3867"/>
      <c r="S335" s="5681"/>
      <c r="T335" s="5681"/>
      <c r="U335" s="3495"/>
      <c r="V335" s="5499"/>
      <c r="W335" s="3496"/>
      <c r="X335" s="5523"/>
      <c r="Y335" s="5523"/>
      <c r="Z335" s="5523"/>
      <c r="AA335" s="5524"/>
      <c r="AB335" s="5779"/>
      <c r="AC335" s="3847"/>
      <c r="AD335" s="3496"/>
      <c r="AE335" s="3666"/>
      <c r="AF335" s="3666"/>
      <c r="AG335" s="10678"/>
    </row>
    <row r="336" spans="1:33">
      <c r="A336" s="10663"/>
      <c r="B336" s="10659"/>
      <c r="C336" s="10656"/>
      <c r="D336" s="10656"/>
      <c r="E336" s="10656"/>
      <c r="F336" s="10656"/>
      <c r="G336" s="10656"/>
      <c r="H336" s="10656"/>
      <c r="I336" s="10656"/>
      <c r="J336" s="10656"/>
      <c r="K336" s="10656"/>
      <c r="L336" s="10667"/>
      <c r="M336" s="10667"/>
      <c r="N336" s="10667"/>
      <c r="O336" s="10656"/>
      <c r="P336" s="10656"/>
      <c r="Q336" s="10672"/>
      <c r="R336" s="3867"/>
      <c r="S336" s="5681"/>
      <c r="T336" s="5681"/>
      <c r="U336" s="3495"/>
      <c r="V336" s="5499"/>
      <c r="W336" s="3496"/>
      <c r="X336" s="5523"/>
      <c r="Y336" s="5523"/>
      <c r="Z336" s="5523"/>
      <c r="AA336" s="5524"/>
      <c r="AB336" s="5779"/>
      <c r="AC336" s="3847"/>
      <c r="AD336" s="3496"/>
      <c r="AE336" s="3666"/>
      <c r="AF336" s="3666"/>
      <c r="AG336" s="10678"/>
    </row>
    <row r="337" spans="1:33">
      <c r="A337" s="10663"/>
      <c r="B337" s="10659"/>
      <c r="C337" s="10656"/>
      <c r="D337" s="10656"/>
      <c r="E337" s="10656"/>
      <c r="F337" s="10656"/>
      <c r="G337" s="10656"/>
      <c r="H337" s="10656"/>
      <c r="I337" s="10656"/>
      <c r="J337" s="10656"/>
      <c r="K337" s="10656"/>
      <c r="L337" s="10667"/>
      <c r="M337" s="10667"/>
      <c r="N337" s="10667"/>
      <c r="O337" s="10656"/>
      <c r="P337" s="10656"/>
      <c r="Q337" s="10672"/>
      <c r="R337" s="3868"/>
      <c r="S337" s="5682"/>
      <c r="T337" s="5682"/>
      <c r="U337" s="3495"/>
      <c r="V337" s="5499"/>
      <c r="W337" s="3496"/>
      <c r="X337" s="5523"/>
      <c r="Y337" s="5523"/>
      <c r="Z337" s="5523"/>
      <c r="AA337" s="5524"/>
      <c r="AB337" s="5779"/>
      <c r="AC337" s="3847"/>
      <c r="AD337" s="3496"/>
      <c r="AE337" s="3666"/>
      <c r="AF337" s="3666"/>
      <c r="AG337" s="10678"/>
    </row>
    <row r="338" spans="1:33" ht="36" customHeight="1">
      <c r="A338" s="10663"/>
      <c r="B338" s="10661"/>
      <c r="C338" s="10658"/>
      <c r="D338" s="10658"/>
      <c r="E338" s="10658"/>
      <c r="F338" s="10658"/>
      <c r="G338" s="10658"/>
      <c r="H338" s="10658"/>
      <c r="I338" s="10658"/>
      <c r="J338" s="10658"/>
      <c r="K338" s="10658"/>
      <c r="L338" s="10668"/>
      <c r="M338" s="10668"/>
      <c r="N338" s="10668"/>
      <c r="O338" s="10658"/>
      <c r="P338" s="10658"/>
      <c r="Q338" s="10673"/>
      <c r="R338" s="3879"/>
      <c r="S338" s="5683"/>
      <c r="T338" s="5683"/>
      <c r="U338" s="3759"/>
      <c r="V338" s="5509"/>
      <c r="W338" s="3714"/>
      <c r="X338" s="5544"/>
      <c r="Y338" s="5544"/>
      <c r="Z338" s="5544"/>
      <c r="AA338" s="5545"/>
      <c r="AB338" s="5823"/>
      <c r="AC338" s="3717"/>
      <c r="AD338" s="3714"/>
      <c r="AE338" s="3718"/>
      <c r="AF338" s="3718"/>
      <c r="AG338" s="10679"/>
    </row>
    <row r="339" spans="1:33" ht="18" customHeight="1">
      <c r="A339" s="10663"/>
      <c r="B339" s="10516" t="s">
        <v>127</v>
      </c>
      <c r="C339" s="10433" t="s">
        <v>128</v>
      </c>
      <c r="D339" s="10433" t="s">
        <v>129</v>
      </c>
      <c r="E339" s="10433" t="s">
        <v>2491</v>
      </c>
      <c r="F339" s="10442" t="s">
        <v>131</v>
      </c>
      <c r="G339" s="10433" t="s">
        <v>132</v>
      </c>
      <c r="H339" s="10433" t="s">
        <v>189</v>
      </c>
      <c r="I339" s="10433" t="s">
        <v>4552</v>
      </c>
      <c r="J339" s="10433" t="s">
        <v>286</v>
      </c>
      <c r="K339" s="10433" t="s">
        <v>4553</v>
      </c>
      <c r="L339" s="10676">
        <v>0</v>
      </c>
      <c r="M339" s="10676">
        <v>1</v>
      </c>
      <c r="N339" s="10676">
        <v>1</v>
      </c>
      <c r="O339" s="10433" t="s">
        <v>2431</v>
      </c>
      <c r="P339" s="10433" t="s">
        <v>4554</v>
      </c>
      <c r="Q339" s="10439" t="s">
        <v>4555</v>
      </c>
      <c r="R339" s="3885"/>
      <c r="S339" s="5684"/>
      <c r="T339" s="5684"/>
      <c r="U339" s="3762"/>
      <c r="V339" s="5502"/>
      <c r="W339" s="3709"/>
      <c r="X339" s="5529"/>
      <c r="Y339" s="5529"/>
      <c r="Z339" s="5529"/>
      <c r="AA339" s="5530"/>
      <c r="AB339" s="5780"/>
      <c r="AC339" s="3886"/>
      <c r="AD339" s="3709"/>
      <c r="AE339" s="3746"/>
      <c r="AF339" s="3746"/>
      <c r="AG339" s="10525"/>
    </row>
    <row r="340" spans="1:33" ht="18" customHeight="1">
      <c r="A340" s="10663"/>
      <c r="B340" s="10659"/>
      <c r="C340" s="10656"/>
      <c r="D340" s="10656"/>
      <c r="E340" s="10656"/>
      <c r="F340" s="10656"/>
      <c r="G340" s="10656"/>
      <c r="H340" s="10656"/>
      <c r="I340" s="10656"/>
      <c r="J340" s="10656"/>
      <c r="K340" s="10656"/>
      <c r="L340" s="10667"/>
      <c r="M340" s="10667"/>
      <c r="N340" s="10667"/>
      <c r="O340" s="10656"/>
      <c r="P340" s="10656"/>
      <c r="Q340" s="10672"/>
      <c r="R340" s="3867"/>
      <c r="S340" s="5681"/>
      <c r="T340" s="5681"/>
      <c r="U340" s="3495"/>
      <c r="V340" s="5499"/>
      <c r="W340" s="3496"/>
      <c r="X340" s="5523"/>
      <c r="Y340" s="5523"/>
      <c r="Z340" s="5523"/>
      <c r="AA340" s="5524"/>
      <c r="AB340" s="5779"/>
      <c r="AC340" s="3847"/>
      <c r="AD340" s="3496"/>
      <c r="AE340" s="3496"/>
      <c r="AF340" s="3690"/>
      <c r="AG340" s="10678"/>
    </row>
    <row r="341" spans="1:33" ht="18" customHeight="1">
      <c r="A341" s="10663"/>
      <c r="B341" s="10659"/>
      <c r="C341" s="10656"/>
      <c r="D341" s="10656"/>
      <c r="E341" s="10656"/>
      <c r="F341" s="10656"/>
      <c r="G341" s="10656"/>
      <c r="H341" s="10656"/>
      <c r="I341" s="10656"/>
      <c r="J341" s="10656"/>
      <c r="K341" s="10656"/>
      <c r="L341" s="10667"/>
      <c r="M341" s="10667"/>
      <c r="N341" s="10667"/>
      <c r="O341" s="10656"/>
      <c r="P341" s="10656"/>
      <c r="Q341" s="10672"/>
      <c r="R341" s="3867"/>
      <c r="S341" s="5681"/>
      <c r="T341" s="5681"/>
      <c r="U341" s="3495"/>
      <c r="V341" s="5499"/>
      <c r="W341" s="3496"/>
      <c r="X341" s="5523"/>
      <c r="Y341" s="5523"/>
      <c r="Z341" s="5523"/>
      <c r="AA341" s="5524"/>
      <c r="AB341" s="5779"/>
      <c r="AC341" s="3847"/>
      <c r="AD341" s="3496"/>
      <c r="AE341" s="3496"/>
      <c r="AF341" s="3666"/>
      <c r="AG341" s="10678"/>
    </row>
    <row r="342" spans="1:33" ht="18" customHeight="1">
      <c r="A342" s="10663"/>
      <c r="B342" s="10659"/>
      <c r="C342" s="10656"/>
      <c r="D342" s="10656"/>
      <c r="E342" s="10656"/>
      <c r="F342" s="10656"/>
      <c r="G342" s="10656"/>
      <c r="H342" s="10656"/>
      <c r="I342" s="10656"/>
      <c r="J342" s="10656"/>
      <c r="K342" s="10656"/>
      <c r="L342" s="10667"/>
      <c r="M342" s="10667"/>
      <c r="N342" s="10667"/>
      <c r="O342" s="10656"/>
      <c r="P342" s="10656"/>
      <c r="Q342" s="10672"/>
      <c r="R342" s="3867"/>
      <c r="S342" s="5681"/>
      <c r="T342" s="5681"/>
      <c r="U342" s="3495"/>
      <c r="V342" s="5499"/>
      <c r="W342" s="3496"/>
      <c r="X342" s="5523"/>
      <c r="Y342" s="5523"/>
      <c r="Z342" s="5523"/>
      <c r="AA342" s="5524"/>
      <c r="AB342" s="5779"/>
      <c r="AC342" s="3847"/>
      <c r="AD342" s="3496"/>
      <c r="AE342" s="3496"/>
      <c r="AF342" s="3666"/>
      <c r="AG342" s="10678"/>
    </row>
    <row r="343" spans="1:33" ht="46.5" customHeight="1">
      <c r="A343" s="10663"/>
      <c r="B343" s="10660"/>
      <c r="C343" s="10657"/>
      <c r="D343" s="10657"/>
      <c r="E343" s="10657"/>
      <c r="F343" s="10657"/>
      <c r="G343" s="10657"/>
      <c r="H343" s="10657"/>
      <c r="I343" s="10657"/>
      <c r="J343" s="10657"/>
      <c r="K343" s="10657"/>
      <c r="L343" s="10674"/>
      <c r="M343" s="10674"/>
      <c r="N343" s="10674"/>
      <c r="O343" s="10657"/>
      <c r="P343" s="10657"/>
      <c r="Q343" s="10675"/>
      <c r="R343" s="3887"/>
      <c r="S343" s="5696"/>
      <c r="T343" s="5696"/>
      <c r="U343" s="3557"/>
      <c r="V343" s="5503"/>
      <c r="W343" s="3545"/>
      <c r="X343" s="5532"/>
      <c r="Y343" s="5532"/>
      <c r="Z343" s="5532"/>
      <c r="AA343" s="5533"/>
      <c r="AB343" s="5828"/>
      <c r="AC343" s="3706"/>
      <c r="AD343" s="3545"/>
      <c r="AE343" s="3545"/>
      <c r="AF343" s="3707"/>
      <c r="AG343" s="10679"/>
    </row>
    <row r="344" spans="1:33" ht="17.25" customHeight="1">
      <c r="A344" s="10663"/>
      <c r="B344" s="10512" t="s">
        <v>127</v>
      </c>
      <c r="C344" s="10444" t="s">
        <v>128</v>
      </c>
      <c r="D344" s="10444" t="s">
        <v>129</v>
      </c>
      <c r="E344" s="10444" t="s">
        <v>2491</v>
      </c>
      <c r="F344" s="10451" t="s">
        <v>131</v>
      </c>
      <c r="G344" s="10444" t="s">
        <v>132</v>
      </c>
      <c r="H344" s="10444" t="s">
        <v>189</v>
      </c>
      <c r="I344" s="10444" t="s">
        <v>4556</v>
      </c>
      <c r="J344" s="10444" t="s">
        <v>1378</v>
      </c>
      <c r="K344" s="10444" t="s">
        <v>4557</v>
      </c>
      <c r="L344" s="10666">
        <v>25</v>
      </c>
      <c r="M344" s="10666">
        <v>68</v>
      </c>
      <c r="N344" s="10666">
        <v>68</v>
      </c>
      <c r="O344" s="10444" t="s">
        <v>4558</v>
      </c>
      <c r="P344" s="10444" t="s">
        <v>4559</v>
      </c>
      <c r="Q344" s="10449" t="s">
        <v>4560</v>
      </c>
      <c r="R344" s="3892"/>
      <c r="S344" s="5689"/>
      <c r="T344" s="5689"/>
      <c r="U344" s="3758"/>
      <c r="V344" s="5504"/>
      <c r="W344" s="3658"/>
      <c r="X344" s="5534"/>
      <c r="Y344" s="5534"/>
      <c r="Z344" s="5534"/>
      <c r="AA344" s="5535"/>
      <c r="AB344" s="5822"/>
      <c r="AC344" s="3893"/>
      <c r="AD344" s="3658"/>
      <c r="AE344" s="3660"/>
      <c r="AF344" s="3660"/>
      <c r="AG344" s="10525"/>
    </row>
    <row r="345" spans="1:33" ht="17.25" customHeight="1">
      <c r="A345" s="10663"/>
      <c r="B345" s="10659"/>
      <c r="C345" s="10656"/>
      <c r="D345" s="10656"/>
      <c r="E345" s="10656"/>
      <c r="F345" s="10656"/>
      <c r="G345" s="10656"/>
      <c r="H345" s="10656"/>
      <c r="I345" s="10656"/>
      <c r="J345" s="10656"/>
      <c r="K345" s="10656"/>
      <c r="L345" s="10667"/>
      <c r="M345" s="10667"/>
      <c r="N345" s="10667"/>
      <c r="O345" s="10656"/>
      <c r="P345" s="10656"/>
      <c r="Q345" s="10672"/>
      <c r="R345" s="3867"/>
      <c r="S345" s="5681"/>
      <c r="T345" s="5681"/>
      <c r="U345" s="3495"/>
      <c r="V345" s="5499"/>
      <c r="W345" s="3496"/>
      <c r="X345" s="5523"/>
      <c r="Y345" s="5523"/>
      <c r="Z345" s="5523"/>
      <c r="AA345" s="5524"/>
      <c r="AB345" s="5779"/>
      <c r="AC345" s="3847"/>
      <c r="AD345" s="3496"/>
      <c r="AE345" s="3666"/>
      <c r="AF345" s="3666"/>
      <c r="AG345" s="10678"/>
    </row>
    <row r="346" spans="1:33" ht="17.25" customHeight="1">
      <c r="A346" s="10663"/>
      <c r="B346" s="10659"/>
      <c r="C346" s="10656"/>
      <c r="D346" s="10656"/>
      <c r="E346" s="10656"/>
      <c r="F346" s="10656"/>
      <c r="G346" s="10656"/>
      <c r="H346" s="10656"/>
      <c r="I346" s="10656"/>
      <c r="J346" s="10656"/>
      <c r="K346" s="10656"/>
      <c r="L346" s="10667"/>
      <c r="M346" s="10667"/>
      <c r="N346" s="10667"/>
      <c r="O346" s="10656"/>
      <c r="P346" s="10656"/>
      <c r="Q346" s="10672"/>
      <c r="R346" s="3867"/>
      <c r="S346" s="5681"/>
      <c r="T346" s="5681"/>
      <c r="U346" s="3495"/>
      <c r="V346" s="5499"/>
      <c r="W346" s="3496"/>
      <c r="X346" s="5523"/>
      <c r="Y346" s="5523"/>
      <c r="Z346" s="5523"/>
      <c r="AA346" s="5524"/>
      <c r="AB346" s="5779"/>
      <c r="AC346" s="3847"/>
      <c r="AD346" s="3496"/>
      <c r="AE346" s="3666"/>
      <c r="AF346" s="3666"/>
      <c r="AG346" s="10678"/>
    </row>
    <row r="347" spans="1:33" ht="17.25" customHeight="1">
      <c r="A347" s="10663"/>
      <c r="B347" s="10659"/>
      <c r="C347" s="10656"/>
      <c r="D347" s="10656"/>
      <c r="E347" s="10656"/>
      <c r="F347" s="10656"/>
      <c r="G347" s="10656"/>
      <c r="H347" s="10656"/>
      <c r="I347" s="10656"/>
      <c r="J347" s="10656"/>
      <c r="K347" s="10656"/>
      <c r="L347" s="10667"/>
      <c r="M347" s="10667"/>
      <c r="N347" s="10667"/>
      <c r="O347" s="10656"/>
      <c r="P347" s="10656"/>
      <c r="Q347" s="10672"/>
      <c r="R347" s="3867"/>
      <c r="S347" s="5681"/>
      <c r="T347" s="5681"/>
      <c r="U347" s="3495"/>
      <c r="V347" s="5499"/>
      <c r="W347" s="3496"/>
      <c r="X347" s="5523"/>
      <c r="Y347" s="5523"/>
      <c r="Z347" s="5523"/>
      <c r="AA347" s="5524"/>
      <c r="AB347" s="5779"/>
      <c r="AC347" s="3847"/>
      <c r="AD347" s="3496"/>
      <c r="AE347" s="3666"/>
      <c r="AF347" s="3666"/>
      <c r="AG347" s="10678"/>
    </row>
    <row r="348" spans="1:33" ht="45" customHeight="1">
      <c r="A348" s="10663"/>
      <c r="B348" s="10660"/>
      <c r="C348" s="10657"/>
      <c r="D348" s="10657"/>
      <c r="E348" s="10657"/>
      <c r="F348" s="10657"/>
      <c r="G348" s="10657"/>
      <c r="H348" s="10657"/>
      <c r="I348" s="10657"/>
      <c r="J348" s="10657"/>
      <c r="K348" s="10657"/>
      <c r="L348" s="10674"/>
      <c r="M348" s="10674"/>
      <c r="N348" s="10674"/>
      <c r="O348" s="10657"/>
      <c r="P348" s="10657"/>
      <c r="Q348" s="10675"/>
      <c r="R348" s="3879"/>
      <c r="S348" s="5683"/>
      <c r="T348" s="5683"/>
      <c r="U348" s="3759"/>
      <c r="V348" s="5509"/>
      <c r="W348" s="3714"/>
      <c r="X348" s="5544"/>
      <c r="Y348" s="5544"/>
      <c r="Z348" s="5544"/>
      <c r="AA348" s="5545"/>
      <c r="AB348" s="5823"/>
      <c r="AC348" s="3717"/>
      <c r="AD348" s="3714"/>
      <c r="AE348" s="3718"/>
      <c r="AF348" s="3718"/>
      <c r="AG348" s="10680"/>
    </row>
    <row r="349" spans="1:33" s="6048" customFormat="1" ht="25.5" customHeight="1" thickBot="1">
      <c r="A349" s="10664"/>
      <c r="B349" s="10699"/>
      <c r="C349" s="10700"/>
      <c r="D349" s="10700"/>
      <c r="E349" s="10700"/>
      <c r="F349" s="10700"/>
      <c r="G349" s="10700"/>
      <c r="H349" s="10700"/>
      <c r="I349" s="10700"/>
      <c r="J349" s="10700"/>
      <c r="K349" s="10700"/>
      <c r="L349" s="10700"/>
      <c r="M349" s="10700"/>
      <c r="N349" s="10700"/>
      <c r="O349" s="10700"/>
      <c r="P349" s="10700"/>
      <c r="Q349" s="10711"/>
      <c r="R349" s="10681" t="s">
        <v>4561</v>
      </c>
      <c r="S349" s="10719"/>
      <c r="T349" s="10719"/>
      <c r="U349" s="10719"/>
      <c r="V349" s="10719"/>
      <c r="W349" s="10719"/>
      <c r="X349" s="10719"/>
      <c r="Y349" s="10720"/>
      <c r="Z349" s="6118" t="s">
        <v>292</v>
      </c>
      <c r="AA349" s="7447">
        <f>SUM(AA289:AA348)</f>
        <v>177.00480000000002</v>
      </c>
      <c r="AB349" s="6120"/>
      <c r="AC349" s="6119"/>
      <c r="AD349" s="10712"/>
      <c r="AE349" s="10713"/>
      <c r="AF349" s="10713"/>
      <c r="AG349" s="10714"/>
    </row>
    <row r="350" spans="1:33">
      <c r="A350" s="10662" t="s">
        <v>4562</v>
      </c>
      <c r="B350" s="10512" t="s">
        <v>127</v>
      </c>
      <c r="C350" s="10444" t="s">
        <v>128</v>
      </c>
      <c r="D350" s="10444" t="s">
        <v>140</v>
      </c>
      <c r="E350" s="10444" t="s">
        <v>284</v>
      </c>
      <c r="F350" s="10451" t="s">
        <v>131</v>
      </c>
      <c r="G350" s="10444" t="s">
        <v>132</v>
      </c>
      <c r="H350" s="10444" t="s">
        <v>159</v>
      </c>
      <c r="I350" s="10444" t="s">
        <v>4563</v>
      </c>
      <c r="J350" s="10444" t="s">
        <v>4564</v>
      </c>
      <c r="K350" s="10444" t="s">
        <v>4565</v>
      </c>
      <c r="L350" s="10666">
        <v>8</v>
      </c>
      <c r="M350" s="10666">
        <v>8</v>
      </c>
      <c r="N350" s="10666">
        <v>8</v>
      </c>
      <c r="O350" s="10444" t="s">
        <v>4566</v>
      </c>
      <c r="P350" s="10444" t="s">
        <v>4567</v>
      </c>
      <c r="Q350" s="10449" t="s">
        <v>4568</v>
      </c>
      <c r="R350" s="3892"/>
      <c r="S350" s="5689"/>
      <c r="T350" s="5689"/>
      <c r="U350" s="3758"/>
      <c r="V350" s="5504"/>
      <c r="W350" s="3658"/>
      <c r="X350" s="5534"/>
      <c r="Y350" s="5534"/>
      <c r="Z350" s="5534"/>
      <c r="AA350" s="5535"/>
      <c r="AB350" s="5822"/>
      <c r="AC350" s="3893"/>
      <c r="AD350" s="3658"/>
      <c r="AE350" s="3660"/>
      <c r="AF350" s="3660"/>
      <c r="AG350" s="10464"/>
    </row>
    <row r="351" spans="1:33">
      <c r="A351" s="10663"/>
      <c r="B351" s="10659"/>
      <c r="C351" s="10656"/>
      <c r="D351" s="10656"/>
      <c r="E351" s="10656"/>
      <c r="F351" s="10656"/>
      <c r="G351" s="10656"/>
      <c r="H351" s="10656"/>
      <c r="I351" s="10656"/>
      <c r="J351" s="10656"/>
      <c r="K351" s="10656"/>
      <c r="L351" s="10667"/>
      <c r="M351" s="10667"/>
      <c r="N351" s="10667"/>
      <c r="O351" s="10656"/>
      <c r="P351" s="10656"/>
      <c r="Q351" s="10672"/>
      <c r="R351" s="3867"/>
      <c r="S351" s="5681"/>
      <c r="T351" s="5681"/>
      <c r="U351" s="3495"/>
      <c r="V351" s="5499"/>
      <c r="W351" s="3496"/>
      <c r="X351" s="5523"/>
      <c r="Y351" s="5523"/>
      <c r="Z351" s="5523"/>
      <c r="AA351" s="5524"/>
      <c r="AB351" s="5779"/>
      <c r="AC351" s="3847"/>
      <c r="AD351" s="3496"/>
      <c r="AE351" s="3666"/>
      <c r="AF351" s="3666"/>
      <c r="AG351" s="10678"/>
    </row>
    <row r="352" spans="1:33">
      <c r="A352" s="10663"/>
      <c r="B352" s="10659"/>
      <c r="C352" s="10656"/>
      <c r="D352" s="10656"/>
      <c r="E352" s="10656"/>
      <c r="F352" s="10656"/>
      <c r="G352" s="10656"/>
      <c r="H352" s="10656"/>
      <c r="I352" s="10656"/>
      <c r="J352" s="10656"/>
      <c r="K352" s="10656"/>
      <c r="L352" s="10667"/>
      <c r="M352" s="10667"/>
      <c r="N352" s="10667"/>
      <c r="O352" s="10656"/>
      <c r="P352" s="10656"/>
      <c r="Q352" s="10672"/>
      <c r="R352" s="3867"/>
      <c r="S352" s="5681"/>
      <c r="T352" s="5681"/>
      <c r="U352" s="3495"/>
      <c r="V352" s="5499"/>
      <c r="W352" s="3496"/>
      <c r="X352" s="5523"/>
      <c r="Y352" s="5523"/>
      <c r="Z352" s="5523"/>
      <c r="AA352" s="5524"/>
      <c r="AB352" s="5779"/>
      <c r="AC352" s="3847"/>
      <c r="AD352" s="3496"/>
      <c r="AE352" s="3666"/>
      <c r="AF352" s="3666"/>
      <c r="AG352" s="10678"/>
    </row>
    <row r="353" spans="1:33">
      <c r="A353" s="10663"/>
      <c r="B353" s="10659"/>
      <c r="C353" s="10656"/>
      <c r="D353" s="10656"/>
      <c r="E353" s="10656"/>
      <c r="F353" s="10656"/>
      <c r="G353" s="10656"/>
      <c r="H353" s="10656"/>
      <c r="I353" s="10656"/>
      <c r="J353" s="10656"/>
      <c r="K353" s="10656"/>
      <c r="L353" s="10667"/>
      <c r="M353" s="10667"/>
      <c r="N353" s="10667"/>
      <c r="O353" s="10656"/>
      <c r="P353" s="10656"/>
      <c r="Q353" s="10672"/>
      <c r="R353" s="3868"/>
      <c r="S353" s="5682"/>
      <c r="T353" s="5682"/>
      <c r="U353" s="3495"/>
      <c r="V353" s="5499"/>
      <c r="W353" s="3496"/>
      <c r="X353" s="5523"/>
      <c r="Y353" s="5523"/>
      <c r="Z353" s="5523"/>
      <c r="AA353" s="5524"/>
      <c r="AB353" s="5779"/>
      <c r="AC353" s="3847"/>
      <c r="AD353" s="3496"/>
      <c r="AE353" s="3666"/>
      <c r="AF353" s="3666"/>
      <c r="AG353" s="10678"/>
    </row>
    <row r="354" spans="1:33" ht="59.25" customHeight="1">
      <c r="A354" s="10663"/>
      <c r="B354" s="10661"/>
      <c r="C354" s="10658"/>
      <c r="D354" s="10658"/>
      <c r="E354" s="10658"/>
      <c r="F354" s="10658"/>
      <c r="G354" s="10658"/>
      <c r="H354" s="10658"/>
      <c r="I354" s="10658"/>
      <c r="J354" s="10658"/>
      <c r="K354" s="10658"/>
      <c r="L354" s="10668"/>
      <c r="M354" s="10668"/>
      <c r="N354" s="10668"/>
      <c r="O354" s="10658"/>
      <c r="P354" s="10658"/>
      <c r="Q354" s="10673"/>
      <c r="R354" s="3879"/>
      <c r="S354" s="5683"/>
      <c r="T354" s="5683"/>
      <c r="U354" s="3759"/>
      <c r="V354" s="5509"/>
      <c r="W354" s="3714"/>
      <c r="X354" s="5544"/>
      <c r="Y354" s="5544"/>
      <c r="Z354" s="5544"/>
      <c r="AA354" s="5545"/>
      <c r="AB354" s="5823"/>
      <c r="AC354" s="3717"/>
      <c r="AD354" s="3714"/>
      <c r="AE354" s="3718"/>
      <c r="AF354" s="3718"/>
      <c r="AG354" s="10679"/>
    </row>
    <row r="355" spans="1:33" ht="20.25" customHeight="1">
      <c r="A355" s="10663"/>
      <c r="B355" s="10516" t="s">
        <v>127</v>
      </c>
      <c r="C355" s="10433" t="s">
        <v>128</v>
      </c>
      <c r="D355" s="10433" t="s">
        <v>140</v>
      </c>
      <c r="E355" s="10433" t="s">
        <v>284</v>
      </c>
      <c r="F355" s="10442" t="s">
        <v>131</v>
      </c>
      <c r="G355" s="10433" t="s">
        <v>132</v>
      </c>
      <c r="H355" s="10433" t="s">
        <v>159</v>
      </c>
      <c r="I355" s="10433" t="s">
        <v>4569</v>
      </c>
      <c r="J355" s="10433" t="s">
        <v>4570</v>
      </c>
      <c r="K355" s="10433" t="s">
        <v>4571</v>
      </c>
      <c r="L355" s="10676">
        <v>60</v>
      </c>
      <c r="M355" s="10676">
        <v>60</v>
      </c>
      <c r="N355" s="10676">
        <v>60</v>
      </c>
      <c r="O355" s="10433" t="s">
        <v>4572</v>
      </c>
      <c r="P355" s="10433" t="s">
        <v>4573</v>
      </c>
      <c r="Q355" s="10439" t="s">
        <v>4568</v>
      </c>
      <c r="R355" s="3885"/>
      <c r="S355" s="5684"/>
      <c r="T355" s="5684"/>
      <c r="U355" s="3762"/>
      <c r="V355" s="5502"/>
      <c r="W355" s="3709"/>
      <c r="X355" s="5529"/>
      <c r="Y355" s="5529"/>
      <c r="Z355" s="5529"/>
      <c r="AA355" s="5530"/>
      <c r="AB355" s="5780"/>
      <c r="AC355" s="3886"/>
      <c r="AD355" s="3709"/>
      <c r="AE355" s="3724"/>
      <c r="AF355" s="3724"/>
      <c r="AG355" s="10525"/>
    </row>
    <row r="356" spans="1:33" ht="20.25" customHeight="1">
      <c r="A356" s="10663"/>
      <c r="B356" s="10659"/>
      <c r="C356" s="10656"/>
      <c r="D356" s="10656"/>
      <c r="E356" s="10656"/>
      <c r="F356" s="10656"/>
      <c r="G356" s="10656"/>
      <c r="H356" s="10656"/>
      <c r="I356" s="10656"/>
      <c r="J356" s="10656"/>
      <c r="K356" s="10656"/>
      <c r="L356" s="10667"/>
      <c r="M356" s="10667"/>
      <c r="N356" s="10667"/>
      <c r="O356" s="10656"/>
      <c r="P356" s="10656"/>
      <c r="Q356" s="10672"/>
      <c r="R356" s="3867"/>
      <c r="S356" s="5681"/>
      <c r="T356" s="5681"/>
      <c r="U356" s="3495"/>
      <c r="V356" s="5499"/>
      <c r="W356" s="3496"/>
      <c r="X356" s="5523"/>
      <c r="Y356" s="5523"/>
      <c r="Z356" s="5523"/>
      <c r="AA356" s="5524"/>
      <c r="AB356" s="5779"/>
      <c r="AC356" s="3847"/>
      <c r="AD356" s="3496"/>
      <c r="AE356" s="3666"/>
      <c r="AF356" s="3666"/>
      <c r="AG356" s="10678"/>
    </row>
    <row r="357" spans="1:33" ht="20.25" customHeight="1">
      <c r="A357" s="10663"/>
      <c r="B357" s="10659"/>
      <c r="C357" s="10656"/>
      <c r="D357" s="10656"/>
      <c r="E357" s="10656"/>
      <c r="F357" s="10656"/>
      <c r="G357" s="10656"/>
      <c r="H357" s="10656"/>
      <c r="I357" s="10656"/>
      <c r="J357" s="10656"/>
      <c r="K357" s="10656"/>
      <c r="L357" s="10667"/>
      <c r="M357" s="10667"/>
      <c r="N357" s="10667"/>
      <c r="O357" s="10656"/>
      <c r="P357" s="10656"/>
      <c r="Q357" s="10672"/>
      <c r="R357" s="3867"/>
      <c r="S357" s="5681"/>
      <c r="T357" s="5681"/>
      <c r="U357" s="3495"/>
      <c r="V357" s="5499"/>
      <c r="W357" s="3496"/>
      <c r="X357" s="5523"/>
      <c r="Y357" s="5523"/>
      <c r="Z357" s="5523"/>
      <c r="AA357" s="5524"/>
      <c r="AB357" s="5779"/>
      <c r="AC357" s="3847"/>
      <c r="AD357" s="3496"/>
      <c r="AE357" s="3666"/>
      <c r="AF357" s="3666"/>
      <c r="AG357" s="10678"/>
    </row>
    <row r="358" spans="1:33" ht="20.25" customHeight="1">
      <c r="A358" s="10663"/>
      <c r="B358" s="10659"/>
      <c r="C358" s="10656"/>
      <c r="D358" s="10656"/>
      <c r="E358" s="10656"/>
      <c r="F358" s="10656"/>
      <c r="G358" s="10656"/>
      <c r="H358" s="10656"/>
      <c r="I358" s="10656"/>
      <c r="J358" s="10656"/>
      <c r="K358" s="10656"/>
      <c r="L358" s="10667"/>
      <c r="M358" s="10667"/>
      <c r="N358" s="10667"/>
      <c r="O358" s="10656"/>
      <c r="P358" s="10656"/>
      <c r="Q358" s="10672"/>
      <c r="R358" s="3868"/>
      <c r="S358" s="5682"/>
      <c r="T358" s="5682"/>
      <c r="U358" s="3495"/>
      <c r="V358" s="5499"/>
      <c r="W358" s="3496"/>
      <c r="X358" s="5523"/>
      <c r="Y358" s="5523"/>
      <c r="Z358" s="5523"/>
      <c r="AA358" s="5524"/>
      <c r="AB358" s="5779"/>
      <c r="AC358" s="3847"/>
      <c r="AD358" s="3496"/>
      <c r="AE358" s="3666"/>
      <c r="AF358" s="3666"/>
      <c r="AG358" s="10678"/>
    </row>
    <row r="359" spans="1:33" ht="38.25" customHeight="1">
      <c r="A359" s="10663"/>
      <c r="B359" s="10660"/>
      <c r="C359" s="10657"/>
      <c r="D359" s="10657"/>
      <c r="E359" s="10657"/>
      <c r="F359" s="10657"/>
      <c r="G359" s="10657"/>
      <c r="H359" s="10657"/>
      <c r="I359" s="10657"/>
      <c r="J359" s="10657"/>
      <c r="K359" s="10657"/>
      <c r="L359" s="10674"/>
      <c r="M359" s="10674"/>
      <c r="N359" s="10674"/>
      <c r="O359" s="10657"/>
      <c r="P359" s="10657"/>
      <c r="Q359" s="10675"/>
      <c r="R359" s="3887"/>
      <c r="S359" s="5696"/>
      <c r="T359" s="5696"/>
      <c r="U359" s="3557"/>
      <c r="V359" s="5503"/>
      <c r="W359" s="3545"/>
      <c r="X359" s="5532"/>
      <c r="Y359" s="5532"/>
      <c r="Z359" s="5532"/>
      <c r="AA359" s="5533"/>
      <c r="AB359" s="5828"/>
      <c r="AC359" s="3706"/>
      <c r="AD359" s="3545"/>
      <c r="AE359" s="3707"/>
      <c r="AF359" s="3707"/>
      <c r="AG359" s="10680"/>
    </row>
    <row r="360" spans="1:33">
      <c r="A360" s="10663"/>
      <c r="B360" s="10512" t="s">
        <v>127</v>
      </c>
      <c r="C360" s="10444" t="s">
        <v>128</v>
      </c>
      <c r="D360" s="10444" t="s">
        <v>129</v>
      </c>
      <c r="E360" s="10444" t="s">
        <v>2491</v>
      </c>
      <c r="F360" s="10451" t="s">
        <v>131</v>
      </c>
      <c r="G360" s="10444" t="s">
        <v>132</v>
      </c>
      <c r="H360" s="10444" t="s">
        <v>159</v>
      </c>
      <c r="I360" s="10444" t="s">
        <v>4574</v>
      </c>
      <c r="J360" s="10444" t="s">
        <v>4575</v>
      </c>
      <c r="K360" s="10444" t="s">
        <v>4576</v>
      </c>
      <c r="L360" s="10666">
        <v>200</v>
      </c>
      <c r="M360" s="10666">
        <v>200</v>
      </c>
      <c r="N360" s="10666">
        <v>200</v>
      </c>
      <c r="O360" s="10444" t="s">
        <v>4577</v>
      </c>
      <c r="P360" s="10444" t="s">
        <v>4578</v>
      </c>
      <c r="Q360" s="10449" t="s">
        <v>4568</v>
      </c>
      <c r="R360" s="3892"/>
      <c r="S360" s="5689"/>
      <c r="T360" s="5689"/>
      <c r="U360" s="3758"/>
      <c r="V360" s="5504"/>
      <c r="W360" s="3658"/>
      <c r="X360" s="5534"/>
      <c r="Y360" s="5534"/>
      <c r="Z360" s="5534"/>
      <c r="AA360" s="5535"/>
      <c r="AB360" s="5822"/>
      <c r="AC360" s="3893"/>
      <c r="AD360" s="3658"/>
      <c r="AE360" s="3660"/>
      <c r="AF360" s="3660"/>
      <c r="AG360" s="10464"/>
    </row>
    <row r="361" spans="1:33">
      <c r="A361" s="10663"/>
      <c r="B361" s="10659"/>
      <c r="C361" s="10656"/>
      <c r="D361" s="10656"/>
      <c r="E361" s="10656"/>
      <c r="F361" s="10656"/>
      <c r="G361" s="10656"/>
      <c r="H361" s="10656"/>
      <c r="I361" s="10656"/>
      <c r="J361" s="10656"/>
      <c r="K361" s="10656"/>
      <c r="L361" s="10667"/>
      <c r="M361" s="10667"/>
      <c r="N361" s="10667"/>
      <c r="O361" s="10656"/>
      <c r="P361" s="10656"/>
      <c r="Q361" s="10672"/>
      <c r="R361" s="3867"/>
      <c r="S361" s="5681"/>
      <c r="T361" s="5681"/>
      <c r="U361" s="3495"/>
      <c r="V361" s="5499"/>
      <c r="W361" s="3496"/>
      <c r="X361" s="5523"/>
      <c r="Y361" s="5523"/>
      <c r="Z361" s="5523"/>
      <c r="AA361" s="5524"/>
      <c r="AB361" s="5779"/>
      <c r="AC361" s="3847"/>
      <c r="AD361" s="3496"/>
      <c r="AE361" s="3666"/>
      <c r="AF361" s="3666"/>
      <c r="AG361" s="10678"/>
    </row>
    <row r="362" spans="1:33">
      <c r="A362" s="10663"/>
      <c r="B362" s="10659"/>
      <c r="C362" s="10656"/>
      <c r="D362" s="10656"/>
      <c r="E362" s="10656"/>
      <c r="F362" s="10656"/>
      <c r="G362" s="10656"/>
      <c r="H362" s="10656"/>
      <c r="I362" s="10656"/>
      <c r="J362" s="10656"/>
      <c r="K362" s="10656"/>
      <c r="L362" s="10667"/>
      <c r="M362" s="10667"/>
      <c r="N362" s="10667"/>
      <c r="O362" s="10656"/>
      <c r="P362" s="10656"/>
      <c r="Q362" s="10672"/>
      <c r="R362" s="3867"/>
      <c r="S362" s="5681"/>
      <c r="T362" s="5681"/>
      <c r="U362" s="3495"/>
      <c r="V362" s="5499"/>
      <c r="W362" s="3496"/>
      <c r="X362" s="5523"/>
      <c r="Y362" s="5523"/>
      <c r="Z362" s="5523"/>
      <c r="AA362" s="5524"/>
      <c r="AB362" s="5779"/>
      <c r="AC362" s="3847"/>
      <c r="AD362" s="3496"/>
      <c r="AE362" s="3666"/>
      <c r="AF362" s="3666"/>
      <c r="AG362" s="10678"/>
    </row>
    <row r="363" spans="1:33">
      <c r="A363" s="10663"/>
      <c r="B363" s="10659"/>
      <c r="C363" s="10656"/>
      <c r="D363" s="10656"/>
      <c r="E363" s="10656"/>
      <c r="F363" s="10656"/>
      <c r="G363" s="10656"/>
      <c r="H363" s="10656"/>
      <c r="I363" s="10656"/>
      <c r="J363" s="10656"/>
      <c r="K363" s="10656"/>
      <c r="L363" s="10667"/>
      <c r="M363" s="10667"/>
      <c r="N363" s="10667"/>
      <c r="O363" s="10656"/>
      <c r="P363" s="10656"/>
      <c r="Q363" s="10672"/>
      <c r="R363" s="3868"/>
      <c r="S363" s="5682"/>
      <c r="T363" s="5682"/>
      <c r="U363" s="3495"/>
      <c r="V363" s="5499"/>
      <c r="W363" s="3496"/>
      <c r="X363" s="5523"/>
      <c r="Y363" s="5523"/>
      <c r="Z363" s="5523"/>
      <c r="AA363" s="5524"/>
      <c r="AB363" s="5779"/>
      <c r="AC363" s="3847"/>
      <c r="AD363" s="3496"/>
      <c r="AE363" s="3666"/>
      <c r="AF363" s="3666"/>
      <c r="AG363" s="10678"/>
    </row>
    <row r="364" spans="1:33" ht="52.5" customHeight="1">
      <c r="A364" s="10663"/>
      <c r="B364" s="10661"/>
      <c r="C364" s="10658"/>
      <c r="D364" s="10658"/>
      <c r="E364" s="10658"/>
      <c r="F364" s="10658"/>
      <c r="G364" s="10658"/>
      <c r="H364" s="10658"/>
      <c r="I364" s="10658"/>
      <c r="J364" s="10658"/>
      <c r="K364" s="10658"/>
      <c r="L364" s="10668"/>
      <c r="M364" s="10668"/>
      <c r="N364" s="10668"/>
      <c r="O364" s="10658"/>
      <c r="P364" s="10658"/>
      <c r="Q364" s="10673"/>
      <c r="R364" s="3879"/>
      <c r="S364" s="5683"/>
      <c r="T364" s="5683"/>
      <c r="U364" s="3759"/>
      <c r="V364" s="5509"/>
      <c r="W364" s="3714"/>
      <c r="X364" s="5544"/>
      <c r="Y364" s="5544"/>
      <c r="Z364" s="5544"/>
      <c r="AA364" s="5545"/>
      <c r="AB364" s="5823"/>
      <c r="AC364" s="3717"/>
      <c r="AD364" s="3714"/>
      <c r="AE364" s="3718"/>
      <c r="AF364" s="3718"/>
      <c r="AG364" s="10679"/>
    </row>
    <row r="365" spans="1:33" ht="21" customHeight="1">
      <c r="A365" s="10663"/>
      <c r="B365" s="10516" t="s">
        <v>127</v>
      </c>
      <c r="C365" s="10433" t="s">
        <v>128</v>
      </c>
      <c r="D365" s="10433" t="s">
        <v>129</v>
      </c>
      <c r="E365" s="10433" t="s">
        <v>2491</v>
      </c>
      <c r="F365" s="10442" t="s">
        <v>131</v>
      </c>
      <c r="G365" s="10433" t="s">
        <v>132</v>
      </c>
      <c r="H365" s="10433" t="s">
        <v>159</v>
      </c>
      <c r="I365" s="10433" t="s">
        <v>4579</v>
      </c>
      <c r="J365" s="10433" t="s">
        <v>4580</v>
      </c>
      <c r="K365" s="10433" t="s">
        <v>4581</v>
      </c>
      <c r="L365" s="10676">
        <v>40</v>
      </c>
      <c r="M365" s="10676">
        <v>40</v>
      </c>
      <c r="N365" s="10676">
        <v>40</v>
      </c>
      <c r="O365" s="10433" t="s">
        <v>4582</v>
      </c>
      <c r="P365" s="10433" t="s">
        <v>4583</v>
      </c>
      <c r="Q365" s="10439" t="s">
        <v>4584</v>
      </c>
      <c r="R365" s="3885"/>
      <c r="S365" s="5684"/>
      <c r="T365" s="5684"/>
      <c r="U365" s="3762"/>
      <c r="V365" s="5502"/>
      <c r="W365" s="3709"/>
      <c r="X365" s="5529"/>
      <c r="Y365" s="5529"/>
      <c r="Z365" s="5529"/>
      <c r="AA365" s="5530"/>
      <c r="AB365" s="5780"/>
      <c r="AC365" s="3886"/>
      <c r="AD365" s="3709"/>
      <c r="AE365" s="3724"/>
      <c r="AF365" s="3724"/>
      <c r="AG365" s="10525"/>
    </row>
    <row r="366" spans="1:33" ht="21" customHeight="1">
      <c r="A366" s="10663"/>
      <c r="B366" s="10659"/>
      <c r="C366" s="10656"/>
      <c r="D366" s="10656"/>
      <c r="E366" s="10656"/>
      <c r="F366" s="10656"/>
      <c r="G366" s="10656"/>
      <c r="H366" s="10656"/>
      <c r="I366" s="10656"/>
      <c r="J366" s="10656"/>
      <c r="K366" s="10656"/>
      <c r="L366" s="10667"/>
      <c r="M366" s="10667"/>
      <c r="N366" s="10667"/>
      <c r="O366" s="10656"/>
      <c r="P366" s="10656"/>
      <c r="Q366" s="10672"/>
      <c r="R366" s="3867"/>
      <c r="S366" s="5681"/>
      <c r="T366" s="5681"/>
      <c r="U366" s="3495"/>
      <c r="V366" s="5499"/>
      <c r="W366" s="3496"/>
      <c r="X366" s="5523"/>
      <c r="Y366" s="5523"/>
      <c r="Z366" s="5523"/>
      <c r="AA366" s="5524"/>
      <c r="AB366" s="5779"/>
      <c r="AC366" s="3847"/>
      <c r="AD366" s="3496"/>
      <c r="AE366" s="3666"/>
      <c r="AF366" s="3666"/>
      <c r="AG366" s="10678"/>
    </row>
    <row r="367" spans="1:33" ht="21" customHeight="1">
      <c r="A367" s="10663"/>
      <c r="B367" s="10659"/>
      <c r="C367" s="10656"/>
      <c r="D367" s="10656"/>
      <c r="E367" s="10656"/>
      <c r="F367" s="10656"/>
      <c r="G367" s="10656"/>
      <c r="H367" s="10656"/>
      <c r="I367" s="10656"/>
      <c r="J367" s="10656"/>
      <c r="K367" s="10656"/>
      <c r="L367" s="10667"/>
      <c r="M367" s="10667"/>
      <c r="N367" s="10667"/>
      <c r="O367" s="10656"/>
      <c r="P367" s="10656"/>
      <c r="Q367" s="10672"/>
      <c r="R367" s="3867"/>
      <c r="S367" s="5681"/>
      <c r="T367" s="5681"/>
      <c r="U367" s="3495"/>
      <c r="V367" s="5499"/>
      <c r="W367" s="3496"/>
      <c r="X367" s="5523"/>
      <c r="Y367" s="5523"/>
      <c r="Z367" s="5523"/>
      <c r="AA367" s="5524"/>
      <c r="AB367" s="5779"/>
      <c r="AC367" s="3847"/>
      <c r="AD367" s="3496"/>
      <c r="AE367" s="3666"/>
      <c r="AF367" s="3666"/>
      <c r="AG367" s="10678"/>
    </row>
    <row r="368" spans="1:33" ht="21" customHeight="1">
      <c r="A368" s="10663"/>
      <c r="B368" s="10659"/>
      <c r="C368" s="10656"/>
      <c r="D368" s="10656"/>
      <c r="E368" s="10656"/>
      <c r="F368" s="10656"/>
      <c r="G368" s="10656"/>
      <c r="H368" s="10656"/>
      <c r="I368" s="10656"/>
      <c r="J368" s="10656"/>
      <c r="K368" s="10656"/>
      <c r="L368" s="10667"/>
      <c r="M368" s="10667"/>
      <c r="N368" s="10667"/>
      <c r="O368" s="10656"/>
      <c r="P368" s="10656"/>
      <c r="Q368" s="10672"/>
      <c r="R368" s="3868"/>
      <c r="S368" s="5682"/>
      <c r="T368" s="5682"/>
      <c r="U368" s="3495"/>
      <c r="V368" s="5499"/>
      <c r="W368" s="3496"/>
      <c r="X368" s="5523"/>
      <c r="Y368" s="5523"/>
      <c r="Z368" s="5523"/>
      <c r="AA368" s="5524"/>
      <c r="AB368" s="5779"/>
      <c r="AC368" s="3847"/>
      <c r="AD368" s="3496"/>
      <c r="AE368" s="3666"/>
      <c r="AF368" s="3666"/>
      <c r="AG368" s="10678"/>
    </row>
    <row r="369" spans="1:33" ht="33" customHeight="1">
      <c r="A369" s="10663"/>
      <c r="B369" s="10660"/>
      <c r="C369" s="10657"/>
      <c r="D369" s="10657"/>
      <c r="E369" s="10657"/>
      <c r="F369" s="10657"/>
      <c r="G369" s="10657"/>
      <c r="H369" s="10657"/>
      <c r="I369" s="10657"/>
      <c r="J369" s="10657"/>
      <c r="K369" s="10657"/>
      <c r="L369" s="10674"/>
      <c r="M369" s="10674"/>
      <c r="N369" s="10674"/>
      <c r="O369" s="10657"/>
      <c r="P369" s="10657"/>
      <c r="Q369" s="10675"/>
      <c r="R369" s="3887"/>
      <c r="S369" s="5696"/>
      <c r="T369" s="5696"/>
      <c r="U369" s="3557"/>
      <c r="V369" s="5503"/>
      <c r="W369" s="3545"/>
      <c r="X369" s="5532"/>
      <c r="Y369" s="5532"/>
      <c r="Z369" s="5532"/>
      <c r="AA369" s="5533"/>
      <c r="AB369" s="5828"/>
      <c r="AC369" s="3706"/>
      <c r="AD369" s="3545"/>
      <c r="AE369" s="3707"/>
      <c r="AF369" s="3707"/>
      <c r="AG369" s="10680"/>
    </row>
    <row r="370" spans="1:33" ht="17.25" customHeight="1">
      <c r="A370" s="10663"/>
      <c r="B370" s="10512" t="s">
        <v>127</v>
      </c>
      <c r="C370" s="10444" t="s">
        <v>128</v>
      </c>
      <c r="D370" s="10444" t="s">
        <v>129</v>
      </c>
      <c r="E370" s="10444" t="s">
        <v>2491</v>
      </c>
      <c r="F370" s="10451" t="s">
        <v>131</v>
      </c>
      <c r="G370" s="10444" t="s">
        <v>132</v>
      </c>
      <c r="H370" s="10444" t="s">
        <v>159</v>
      </c>
      <c r="I370" s="10444" t="s">
        <v>4585</v>
      </c>
      <c r="J370" s="10444" t="s">
        <v>4586</v>
      </c>
      <c r="K370" s="10444" t="s">
        <v>4587</v>
      </c>
      <c r="L370" s="10666">
        <v>4</v>
      </c>
      <c r="M370" s="10666">
        <v>4</v>
      </c>
      <c r="N370" s="10666">
        <v>4</v>
      </c>
      <c r="O370" s="10444" t="s">
        <v>4588</v>
      </c>
      <c r="P370" s="10444" t="s">
        <v>4589</v>
      </c>
      <c r="Q370" s="10449" t="s">
        <v>4584</v>
      </c>
      <c r="R370" s="3892"/>
      <c r="S370" s="5689"/>
      <c r="T370" s="5689"/>
      <c r="U370" s="3758"/>
      <c r="V370" s="5504"/>
      <c r="W370" s="3658"/>
      <c r="X370" s="5534"/>
      <c r="Y370" s="5534"/>
      <c r="Z370" s="5534"/>
      <c r="AA370" s="5535"/>
      <c r="AB370" s="5822"/>
      <c r="AC370" s="3893"/>
      <c r="AD370" s="3658"/>
      <c r="AE370" s="3660"/>
      <c r="AF370" s="3660"/>
      <c r="AG370" s="10464"/>
    </row>
    <row r="371" spans="1:33" ht="17.25" customHeight="1">
      <c r="A371" s="10663"/>
      <c r="B371" s="10659"/>
      <c r="C371" s="10656"/>
      <c r="D371" s="10656"/>
      <c r="E371" s="10656"/>
      <c r="F371" s="10656"/>
      <c r="G371" s="10656"/>
      <c r="H371" s="10656"/>
      <c r="I371" s="10656"/>
      <c r="J371" s="10656"/>
      <c r="K371" s="10656"/>
      <c r="L371" s="10667"/>
      <c r="M371" s="10667"/>
      <c r="N371" s="10667"/>
      <c r="O371" s="10656"/>
      <c r="P371" s="10656"/>
      <c r="Q371" s="10672"/>
      <c r="R371" s="3867"/>
      <c r="S371" s="5681"/>
      <c r="T371" s="5681"/>
      <c r="U371" s="3495"/>
      <c r="V371" s="5499"/>
      <c r="W371" s="3496"/>
      <c r="X371" s="5523"/>
      <c r="Y371" s="5523"/>
      <c r="Z371" s="5523"/>
      <c r="AA371" s="5524"/>
      <c r="AB371" s="5779"/>
      <c r="AC371" s="3847"/>
      <c r="AD371" s="3496"/>
      <c r="AE371" s="3666"/>
      <c r="AF371" s="3666"/>
      <c r="AG371" s="10678"/>
    </row>
    <row r="372" spans="1:33" ht="17.25" customHeight="1">
      <c r="A372" s="10663"/>
      <c r="B372" s="10659"/>
      <c r="C372" s="10656"/>
      <c r="D372" s="10656"/>
      <c r="E372" s="10656"/>
      <c r="F372" s="10656"/>
      <c r="G372" s="10656"/>
      <c r="H372" s="10656"/>
      <c r="I372" s="10656"/>
      <c r="J372" s="10656"/>
      <c r="K372" s="10656"/>
      <c r="L372" s="10667"/>
      <c r="M372" s="10667"/>
      <c r="N372" s="10667"/>
      <c r="O372" s="10656"/>
      <c r="P372" s="10656"/>
      <c r="Q372" s="10672"/>
      <c r="R372" s="3867"/>
      <c r="S372" s="5681"/>
      <c r="T372" s="5681"/>
      <c r="U372" s="3495"/>
      <c r="V372" s="5499"/>
      <c r="W372" s="3496"/>
      <c r="X372" s="5523"/>
      <c r="Y372" s="5523"/>
      <c r="Z372" s="5523"/>
      <c r="AA372" s="5524"/>
      <c r="AB372" s="5779"/>
      <c r="AC372" s="3847"/>
      <c r="AD372" s="3496"/>
      <c r="AE372" s="3666"/>
      <c r="AF372" s="3666"/>
      <c r="AG372" s="10678"/>
    </row>
    <row r="373" spans="1:33" ht="17.25" customHeight="1">
      <c r="A373" s="10663"/>
      <c r="B373" s="10659"/>
      <c r="C373" s="10656"/>
      <c r="D373" s="10656"/>
      <c r="E373" s="10656"/>
      <c r="F373" s="10656"/>
      <c r="G373" s="10656"/>
      <c r="H373" s="10656"/>
      <c r="I373" s="10656"/>
      <c r="J373" s="10656"/>
      <c r="K373" s="10656"/>
      <c r="L373" s="10667"/>
      <c r="M373" s="10667"/>
      <c r="N373" s="10667"/>
      <c r="O373" s="10656"/>
      <c r="P373" s="10656"/>
      <c r="Q373" s="10672"/>
      <c r="R373" s="3868"/>
      <c r="S373" s="5682"/>
      <c r="T373" s="5682"/>
      <c r="U373" s="3495"/>
      <c r="V373" s="5499"/>
      <c r="W373" s="3496"/>
      <c r="X373" s="5523"/>
      <c r="Y373" s="5523"/>
      <c r="Z373" s="5523"/>
      <c r="AA373" s="5524"/>
      <c r="AB373" s="5779"/>
      <c r="AC373" s="3847"/>
      <c r="AD373" s="3496"/>
      <c r="AE373" s="3666"/>
      <c r="AF373" s="3666"/>
      <c r="AG373" s="10678"/>
    </row>
    <row r="374" spans="1:33" ht="48.75" customHeight="1">
      <c r="A374" s="10663"/>
      <c r="B374" s="10661"/>
      <c r="C374" s="10658"/>
      <c r="D374" s="10658"/>
      <c r="E374" s="10658"/>
      <c r="F374" s="10658"/>
      <c r="G374" s="10658"/>
      <c r="H374" s="10658"/>
      <c r="I374" s="10658"/>
      <c r="J374" s="10658"/>
      <c r="K374" s="10658"/>
      <c r="L374" s="10668"/>
      <c r="M374" s="10668"/>
      <c r="N374" s="10668"/>
      <c r="O374" s="10658"/>
      <c r="P374" s="10658"/>
      <c r="Q374" s="10673"/>
      <c r="R374" s="3879"/>
      <c r="S374" s="5683"/>
      <c r="T374" s="5683"/>
      <c r="U374" s="3759"/>
      <c r="V374" s="5509"/>
      <c r="W374" s="3714"/>
      <c r="X374" s="5544"/>
      <c r="Y374" s="5544"/>
      <c r="Z374" s="5544"/>
      <c r="AA374" s="5545"/>
      <c r="AB374" s="5823"/>
      <c r="AC374" s="3717"/>
      <c r="AD374" s="3714"/>
      <c r="AE374" s="3718"/>
      <c r="AF374" s="3718"/>
      <c r="AG374" s="10679"/>
    </row>
    <row r="375" spans="1:33">
      <c r="A375" s="10663"/>
      <c r="B375" s="10516" t="s">
        <v>127</v>
      </c>
      <c r="C375" s="10433" t="s">
        <v>128</v>
      </c>
      <c r="D375" s="10433" t="s">
        <v>129</v>
      </c>
      <c r="E375" s="10433" t="s">
        <v>2491</v>
      </c>
      <c r="F375" s="10442" t="s">
        <v>131</v>
      </c>
      <c r="G375" s="10433" t="s">
        <v>132</v>
      </c>
      <c r="H375" s="10433" t="s">
        <v>159</v>
      </c>
      <c r="I375" s="10433" t="s">
        <v>4590</v>
      </c>
      <c r="J375" s="10433" t="s">
        <v>4591</v>
      </c>
      <c r="K375" s="10433" t="s">
        <v>4592</v>
      </c>
      <c r="L375" s="10676">
        <v>8</v>
      </c>
      <c r="M375" s="10676">
        <v>8</v>
      </c>
      <c r="N375" s="10676">
        <v>8</v>
      </c>
      <c r="O375" s="10433" t="s">
        <v>4593</v>
      </c>
      <c r="P375" s="10433" t="s">
        <v>4594</v>
      </c>
      <c r="Q375" s="10439" t="s">
        <v>4584</v>
      </c>
      <c r="R375" s="3885"/>
      <c r="S375" s="5684"/>
      <c r="T375" s="5684"/>
      <c r="U375" s="3762"/>
      <c r="V375" s="5502"/>
      <c r="W375" s="3709"/>
      <c r="X375" s="5529"/>
      <c r="Y375" s="5529"/>
      <c r="Z375" s="5529"/>
      <c r="AA375" s="5530"/>
      <c r="AB375" s="5780"/>
      <c r="AC375" s="3886"/>
      <c r="AD375" s="3709"/>
      <c r="AE375" s="3746"/>
      <c r="AF375" s="3746"/>
      <c r="AG375" s="10525"/>
    </row>
    <row r="376" spans="1:33">
      <c r="A376" s="10663"/>
      <c r="B376" s="10659"/>
      <c r="C376" s="10656"/>
      <c r="D376" s="10656"/>
      <c r="E376" s="10656"/>
      <c r="F376" s="10656"/>
      <c r="G376" s="10656"/>
      <c r="H376" s="10656"/>
      <c r="I376" s="10656"/>
      <c r="J376" s="10656"/>
      <c r="K376" s="10656"/>
      <c r="L376" s="10667"/>
      <c r="M376" s="10667"/>
      <c r="N376" s="10667"/>
      <c r="O376" s="10656"/>
      <c r="P376" s="10656"/>
      <c r="Q376" s="10672"/>
      <c r="R376" s="3867"/>
      <c r="S376" s="5681"/>
      <c r="T376" s="5681"/>
      <c r="U376" s="3495"/>
      <c r="V376" s="5499"/>
      <c r="W376" s="3496"/>
      <c r="X376" s="5523"/>
      <c r="Y376" s="5523"/>
      <c r="Z376" s="5523"/>
      <c r="AA376" s="5524"/>
      <c r="AB376" s="5779"/>
      <c r="AC376" s="3847"/>
      <c r="AD376" s="3496"/>
      <c r="AE376" s="3496"/>
      <c r="AF376" s="3690"/>
      <c r="AG376" s="10678"/>
    </row>
    <row r="377" spans="1:33">
      <c r="A377" s="10663"/>
      <c r="B377" s="10659"/>
      <c r="C377" s="10656"/>
      <c r="D377" s="10656"/>
      <c r="E377" s="10656"/>
      <c r="F377" s="10656"/>
      <c r="G377" s="10656"/>
      <c r="H377" s="10656"/>
      <c r="I377" s="10656"/>
      <c r="J377" s="10656"/>
      <c r="K377" s="10656"/>
      <c r="L377" s="10667"/>
      <c r="M377" s="10667"/>
      <c r="N377" s="10667"/>
      <c r="O377" s="10656"/>
      <c r="P377" s="10656"/>
      <c r="Q377" s="10672"/>
      <c r="R377" s="3867"/>
      <c r="S377" s="5681"/>
      <c r="T377" s="5681"/>
      <c r="U377" s="3495"/>
      <c r="V377" s="5499"/>
      <c r="W377" s="3496"/>
      <c r="X377" s="5523"/>
      <c r="Y377" s="5523"/>
      <c r="Z377" s="5523"/>
      <c r="AA377" s="5524"/>
      <c r="AB377" s="5779"/>
      <c r="AC377" s="3847"/>
      <c r="AD377" s="3496"/>
      <c r="AE377" s="3496"/>
      <c r="AF377" s="3666"/>
      <c r="AG377" s="10678"/>
    </row>
    <row r="378" spans="1:33">
      <c r="A378" s="10663"/>
      <c r="B378" s="10659"/>
      <c r="C378" s="10656"/>
      <c r="D378" s="10656"/>
      <c r="E378" s="10656"/>
      <c r="F378" s="10656"/>
      <c r="G378" s="10656"/>
      <c r="H378" s="10656"/>
      <c r="I378" s="10656"/>
      <c r="J378" s="10656"/>
      <c r="K378" s="10656"/>
      <c r="L378" s="10667"/>
      <c r="M378" s="10667"/>
      <c r="N378" s="10667"/>
      <c r="O378" s="10656"/>
      <c r="P378" s="10656"/>
      <c r="Q378" s="10672"/>
      <c r="R378" s="3867"/>
      <c r="S378" s="5681"/>
      <c r="T378" s="5681"/>
      <c r="U378" s="3495"/>
      <c r="V378" s="5499"/>
      <c r="W378" s="3496"/>
      <c r="X378" s="5523"/>
      <c r="Y378" s="5523"/>
      <c r="Z378" s="5523"/>
      <c r="AA378" s="5524"/>
      <c r="AB378" s="5779"/>
      <c r="AC378" s="3847"/>
      <c r="AD378" s="3496"/>
      <c r="AE378" s="3496"/>
      <c r="AF378" s="3666"/>
      <c r="AG378" s="10678"/>
    </row>
    <row r="379" spans="1:33" ht="59.25" customHeight="1">
      <c r="A379" s="10663"/>
      <c r="B379" s="10661"/>
      <c r="C379" s="10658"/>
      <c r="D379" s="10658"/>
      <c r="E379" s="10658"/>
      <c r="F379" s="10658"/>
      <c r="G379" s="10658"/>
      <c r="H379" s="10658"/>
      <c r="I379" s="10658"/>
      <c r="J379" s="10658"/>
      <c r="K379" s="10658"/>
      <c r="L379" s="10668"/>
      <c r="M379" s="10668"/>
      <c r="N379" s="10668"/>
      <c r="O379" s="10658"/>
      <c r="P379" s="10658"/>
      <c r="Q379" s="10673"/>
      <c r="R379" s="3879"/>
      <c r="S379" s="5683"/>
      <c r="T379" s="5683"/>
      <c r="U379" s="3759"/>
      <c r="V379" s="5509"/>
      <c r="W379" s="3714"/>
      <c r="X379" s="5544"/>
      <c r="Y379" s="5544"/>
      <c r="Z379" s="5544"/>
      <c r="AA379" s="5545"/>
      <c r="AB379" s="5823"/>
      <c r="AC379" s="3717"/>
      <c r="AD379" s="3714"/>
      <c r="AE379" s="3714"/>
      <c r="AF379" s="3718"/>
      <c r="AG379" s="10679"/>
    </row>
    <row r="380" spans="1:33">
      <c r="A380" s="10663"/>
      <c r="B380" s="10516" t="s">
        <v>127</v>
      </c>
      <c r="C380" s="10433" t="s">
        <v>128</v>
      </c>
      <c r="D380" s="10433" t="s">
        <v>129</v>
      </c>
      <c r="E380" s="10433" t="s">
        <v>2491</v>
      </c>
      <c r="F380" s="10442" t="s">
        <v>131</v>
      </c>
      <c r="G380" s="10433" t="s">
        <v>132</v>
      </c>
      <c r="H380" s="10433" t="s">
        <v>159</v>
      </c>
      <c r="I380" s="10433" t="s">
        <v>4595</v>
      </c>
      <c r="J380" s="10433" t="s">
        <v>286</v>
      </c>
      <c r="K380" s="10433" t="s">
        <v>4596</v>
      </c>
      <c r="L380" s="10676">
        <v>0</v>
      </c>
      <c r="M380" s="10676">
        <v>1</v>
      </c>
      <c r="N380" s="10676">
        <v>1</v>
      </c>
      <c r="O380" s="10433" t="s">
        <v>4597</v>
      </c>
      <c r="P380" s="10433" t="s">
        <v>1577</v>
      </c>
      <c r="Q380" s="10439" t="s">
        <v>4584</v>
      </c>
      <c r="R380" s="3885"/>
      <c r="S380" s="5684"/>
      <c r="T380" s="5684"/>
      <c r="U380" s="3762"/>
      <c r="V380" s="5502"/>
      <c r="W380" s="3709"/>
      <c r="X380" s="5529"/>
      <c r="Y380" s="5529"/>
      <c r="Z380" s="5529"/>
      <c r="AA380" s="5530"/>
      <c r="AB380" s="5780"/>
      <c r="AC380" s="3886"/>
      <c r="AD380" s="3709"/>
      <c r="AE380" s="3724"/>
      <c r="AF380" s="3724"/>
      <c r="AG380" s="10525"/>
    </row>
    <row r="381" spans="1:33">
      <c r="A381" s="10663"/>
      <c r="B381" s="10659"/>
      <c r="C381" s="10656"/>
      <c r="D381" s="10656"/>
      <c r="E381" s="10656"/>
      <c r="F381" s="10656"/>
      <c r="G381" s="10656"/>
      <c r="H381" s="10656"/>
      <c r="I381" s="10656"/>
      <c r="J381" s="10656"/>
      <c r="K381" s="10656"/>
      <c r="L381" s="10667"/>
      <c r="M381" s="10667"/>
      <c r="N381" s="10667"/>
      <c r="O381" s="10656"/>
      <c r="P381" s="10656"/>
      <c r="Q381" s="10672"/>
      <c r="R381" s="3867"/>
      <c r="S381" s="5681"/>
      <c r="T381" s="5681"/>
      <c r="U381" s="3495"/>
      <c r="V381" s="5499"/>
      <c r="W381" s="3496"/>
      <c r="X381" s="5523"/>
      <c r="Y381" s="5523"/>
      <c r="Z381" s="5523"/>
      <c r="AA381" s="5524"/>
      <c r="AB381" s="5779"/>
      <c r="AC381" s="3847"/>
      <c r="AD381" s="3496"/>
      <c r="AE381" s="3666"/>
      <c r="AF381" s="3666"/>
      <c r="AG381" s="10678"/>
    </row>
    <row r="382" spans="1:33">
      <c r="A382" s="10663"/>
      <c r="B382" s="10659"/>
      <c r="C382" s="10656"/>
      <c r="D382" s="10656"/>
      <c r="E382" s="10656"/>
      <c r="F382" s="10656"/>
      <c r="G382" s="10656"/>
      <c r="H382" s="10656"/>
      <c r="I382" s="10656"/>
      <c r="J382" s="10656"/>
      <c r="K382" s="10656"/>
      <c r="L382" s="10667"/>
      <c r="M382" s="10667"/>
      <c r="N382" s="10667"/>
      <c r="O382" s="10656"/>
      <c r="P382" s="10656"/>
      <c r="Q382" s="10672"/>
      <c r="R382" s="3867"/>
      <c r="S382" s="5681"/>
      <c r="T382" s="5681"/>
      <c r="U382" s="3495"/>
      <c r="V382" s="5499"/>
      <c r="W382" s="3496"/>
      <c r="X382" s="5523"/>
      <c r="Y382" s="5523"/>
      <c r="Z382" s="5523"/>
      <c r="AA382" s="5524"/>
      <c r="AB382" s="5779"/>
      <c r="AC382" s="3847"/>
      <c r="AD382" s="3496"/>
      <c r="AE382" s="3666"/>
      <c r="AF382" s="3666"/>
      <c r="AG382" s="10678"/>
    </row>
    <row r="383" spans="1:33">
      <c r="A383" s="10663"/>
      <c r="B383" s="10659"/>
      <c r="C383" s="10656"/>
      <c r="D383" s="10656"/>
      <c r="E383" s="10656"/>
      <c r="F383" s="10656"/>
      <c r="G383" s="10656"/>
      <c r="H383" s="10656"/>
      <c r="I383" s="10656"/>
      <c r="J383" s="10656"/>
      <c r="K383" s="10656"/>
      <c r="L383" s="10667"/>
      <c r="M383" s="10667"/>
      <c r="N383" s="10667"/>
      <c r="O383" s="10656"/>
      <c r="P383" s="10656"/>
      <c r="Q383" s="10672"/>
      <c r="R383" s="3867"/>
      <c r="S383" s="5681"/>
      <c r="T383" s="5681"/>
      <c r="U383" s="3495"/>
      <c r="V383" s="5499"/>
      <c r="W383" s="3496"/>
      <c r="X383" s="5523"/>
      <c r="Y383" s="5523"/>
      <c r="Z383" s="5523"/>
      <c r="AA383" s="5524"/>
      <c r="AB383" s="5779"/>
      <c r="AC383" s="3847"/>
      <c r="AD383" s="3496"/>
      <c r="AE383" s="3666"/>
      <c r="AF383" s="3666"/>
      <c r="AG383" s="10678"/>
    </row>
    <row r="384" spans="1:33" ht="57.75" customHeight="1">
      <c r="A384" s="10663"/>
      <c r="B384" s="10660"/>
      <c r="C384" s="10657"/>
      <c r="D384" s="10657"/>
      <c r="E384" s="10657"/>
      <c r="F384" s="10657"/>
      <c r="G384" s="10657"/>
      <c r="H384" s="10657"/>
      <c r="I384" s="10657"/>
      <c r="J384" s="10657"/>
      <c r="K384" s="10657"/>
      <c r="L384" s="10674"/>
      <c r="M384" s="10674"/>
      <c r="N384" s="10674"/>
      <c r="O384" s="10657"/>
      <c r="P384" s="10657"/>
      <c r="Q384" s="10675"/>
      <c r="R384" s="3887"/>
      <c r="S384" s="5696"/>
      <c r="T384" s="5688"/>
      <c r="U384" s="2932"/>
      <c r="V384" s="5506"/>
      <c r="W384" s="2933"/>
      <c r="X384" s="5538"/>
      <c r="Y384" s="5538"/>
      <c r="Z384" s="5538"/>
      <c r="AA384" s="5539"/>
      <c r="AB384" s="5826"/>
      <c r="AC384" s="2936"/>
      <c r="AD384" s="2933"/>
      <c r="AE384" s="3707"/>
      <c r="AF384" s="3707"/>
      <c r="AG384" s="10679"/>
    </row>
    <row r="385" spans="1:33" ht="19.5" customHeight="1">
      <c r="A385" s="10663"/>
      <c r="B385" s="10512" t="s">
        <v>127</v>
      </c>
      <c r="C385" s="10444" t="s">
        <v>128</v>
      </c>
      <c r="D385" s="10444" t="s">
        <v>129</v>
      </c>
      <c r="E385" s="10444" t="s">
        <v>2491</v>
      </c>
      <c r="F385" s="10451" t="s">
        <v>131</v>
      </c>
      <c r="G385" s="10444" t="s">
        <v>132</v>
      </c>
      <c r="H385" s="10444" t="s">
        <v>159</v>
      </c>
      <c r="I385" s="10444" t="s">
        <v>4598</v>
      </c>
      <c r="J385" s="10444" t="s">
        <v>4599</v>
      </c>
      <c r="K385" s="10444" t="s">
        <v>4600</v>
      </c>
      <c r="L385" s="10666">
        <v>2</v>
      </c>
      <c r="M385" s="10666">
        <v>2</v>
      </c>
      <c r="N385" s="10666">
        <v>2</v>
      </c>
      <c r="O385" s="10444" t="s">
        <v>4601</v>
      </c>
      <c r="P385" s="10444" t="s">
        <v>4602</v>
      </c>
      <c r="Q385" s="10449" t="s">
        <v>4603</v>
      </c>
      <c r="R385" s="3892" t="s">
        <v>79</v>
      </c>
      <c r="S385" s="5689">
        <v>840107</v>
      </c>
      <c r="T385" s="5689"/>
      <c r="U385" s="3758" t="s">
        <v>40</v>
      </c>
      <c r="V385" s="5504"/>
      <c r="W385" s="3658"/>
      <c r="X385" s="5534"/>
      <c r="Y385" s="5534"/>
      <c r="Z385" s="5534"/>
      <c r="AA385" s="5568">
        <f>SUM($Z$386:$Z$388)</f>
        <v>1530.1984000000002</v>
      </c>
      <c r="AB385" s="5822" t="s">
        <v>18</v>
      </c>
      <c r="AC385" s="3884"/>
      <c r="AD385" s="3721"/>
      <c r="AE385" s="3660"/>
      <c r="AF385" s="3660"/>
      <c r="AG385" s="10525"/>
    </row>
    <row r="386" spans="1:33" ht="19.5" customHeight="1">
      <c r="A386" s="10663"/>
      <c r="B386" s="10659"/>
      <c r="C386" s="10656"/>
      <c r="D386" s="10656"/>
      <c r="E386" s="10656"/>
      <c r="F386" s="10656"/>
      <c r="G386" s="10656"/>
      <c r="H386" s="10656"/>
      <c r="I386" s="10656"/>
      <c r="J386" s="10656"/>
      <c r="K386" s="10656"/>
      <c r="L386" s="10667"/>
      <c r="M386" s="10667"/>
      <c r="N386" s="10667"/>
      <c r="O386" s="10656"/>
      <c r="P386" s="10656"/>
      <c r="Q386" s="10672"/>
      <c r="R386" s="3868"/>
      <c r="S386" s="5681"/>
      <c r="T386" s="5681">
        <v>452900014</v>
      </c>
      <c r="U386" s="3495" t="s">
        <v>4604</v>
      </c>
      <c r="V386" s="5499">
        <v>1</v>
      </c>
      <c r="W386" s="3496" t="s">
        <v>180</v>
      </c>
      <c r="X386" s="5542">
        <f>919.82</f>
        <v>919.82</v>
      </c>
      <c r="Y386" s="5542">
        <f t="shared" ref="Y386" si="27">X386*V386</f>
        <v>919.82</v>
      </c>
      <c r="Z386" s="5542">
        <f t="shared" ref="Z386" si="28">+Y386*1.12</f>
        <v>1030.1984000000002</v>
      </c>
      <c r="AA386" s="5524"/>
      <c r="AB386" s="5779"/>
      <c r="AC386" s="3848"/>
      <c r="AD386" s="3504"/>
      <c r="AE386" s="3496" t="s">
        <v>153</v>
      </c>
      <c r="AF386" s="3666"/>
      <c r="AG386" s="10678"/>
    </row>
    <row r="387" spans="1:33" ht="19.5" customHeight="1">
      <c r="A387" s="10663"/>
      <c r="B387" s="10659"/>
      <c r="C387" s="10656"/>
      <c r="D387" s="10656"/>
      <c r="E387" s="10656"/>
      <c r="F387" s="10656"/>
      <c r="G387" s="10656"/>
      <c r="H387" s="10656"/>
      <c r="I387" s="10656"/>
      <c r="J387" s="10656"/>
      <c r="K387" s="10656"/>
      <c r="L387" s="10667"/>
      <c r="M387" s="10667"/>
      <c r="N387" s="10667"/>
      <c r="O387" s="10656"/>
      <c r="P387" s="10656"/>
      <c r="Q387" s="10672"/>
      <c r="R387" s="3867"/>
      <c r="S387" s="5681"/>
      <c r="T387" s="5681"/>
      <c r="U387" s="3495" t="s">
        <v>4605</v>
      </c>
      <c r="V387" s="5499">
        <v>1</v>
      </c>
      <c r="W387" s="3496" t="s">
        <v>180</v>
      </c>
      <c r="X387" s="5523">
        <f>500/1.12</f>
        <v>446.42857142857139</v>
      </c>
      <c r="Y387" s="5542">
        <f t="shared" ref="Y387" si="29">X387*V387</f>
        <v>446.42857142857139</v>
      </c>
      <c r="Z387" s="5542">
        <f t="shared" ref="Z387" si="30">+Y387*1.12</f>
        <v>500</v>
      </c>
      <c r="AA387" s="5524"/>
      <c r="AB387" s="5779"/>
      <c r="AC387" s="3848"/>
      <c r="AD387" s="3504"/>
      <c r="AE387" s="3666"/>
      <c r="AF387" s="3666"/>
      <c r="AG387" s="10678"/>
    </row>
    <row r="388" spans="1:33" ht="19.5" customHeight="1">
      <c r="A388" s="10663"/>
      <c r="B388" s="10659"/>
      <c r="C388" s="10656"/>
      <c r="D388" s="10656"/>
      <c r="E388" s="10656"/>
      <c r="F388" s="10656"/>
      <c r="G388" s="10656"/>
      <c r="H388" s="10656"/>
      <c r="I388" s="10656"/>
      <c r="J388" s="10656"/>
      <c r="K388" s="10656"/>
      <c r="L388" s="10667"/>
      <c r="M388" s="10667"/>
      <c r="N388" s="10667"/>
      <c r="O388" s="10656"/>
      <c r="P388" s="10656"/>
      <c r="Q388" s="10672"/>
      <c r="R388" s="3868"/>
      <c r="S388" s="5682"/>
      <c r="T388" s="5687"/>
      <c r="U388" s="3813"/>
      <c r="V388" s="5500"/>
      <c r="W388" s="3504"/>
      <c r="X388" s="5525"/>
      <c r="Y388" s="5525"/>
      <c r="Z388" s="5525"/>
      <c r="AA388" s="5526"/>
      <c r="AB388" s="5825"/>
      <c r="AC388" s="3848"/>
      <c r="AD388" s="3504"/>
      <c r="AE388" s="3666"/>
      <c r="AF388" s="3666"/>
      <c r="AG388" s="10678"/>
    </row>
    <row r="389" spans="1:33" ht="42.75" customHeight="1">
      <c r="A389" s="10663"/>
      <c r="B389" s="10660"/>
      <c r="C389" s="10657"/>
      <c r="D389" s="10657"/>
      <c r="E389" s="10657"/>
      <c r="F389" s="10657"/>
      <c r="G389" s="10657"/>
      <c r="H389" s="10657"/>
      <c r="I389" s="10657"/>
      <c r="J389" s="10657"/>
      <c r="K389" s="10657"/>
      <c r="L389" s="10674"/>
      <c r="M389" s="10674"/>
      <c r="N389" s="10674"/>
      <c r="O389" s="10657"/>
      <c r="P389" s="10657"/>
      <c r="Q389" s="10675"/>
      <c r="R389" s="3879"/>
      <c r="S389" s="5683"/>
      <c r="T389" s="7368"/>
      <c r="U389" s="3808"/>
      <c r="V389" s="5501"/>
      <c r="W389" s="3727"/>
      <c r="X389" s="5527"/>
      <c r="Y389" s="5527"/>
      <c r="Z389" s="5527"/>
      <c r="AA389" s="5528"/>
      <c r="AB389" s="5838"/>
      <c r="AC389" s="3891"/>
      <c r="AD389" s="3727"/>
      <c r="AE389" s="3718"/>
      <c r="AF389" s="3718"/>
      <c r="AG389" s="10680"/>
    </row>
    <row r="390" spans="1:33" s="6048" customFormat="1" ht="28.5" customHeight="1" thickBot="1">
      <c r="A390" s="10664"/>
      <c r="B390" s="10699"/>
      <c r="C390" s="10700"/>
      <c r="D390" s="10700"/>
      <c r="E390" s="10700"/>
      <c r="F390" s="10700"/>
      <c r="G390" s="10700"/>
      <c r="H390" s="10700"/>
      <c r="I390" s="10700"/>
      <c r="J390" s="10700"/>
      <c r="K390" s="10700"/>
      <c r="L390" s="10700"/>
      <c r="M390" s="10700"/>
      <c r="N390" s="10700"/>
      <c r="O390" s="10700"/>
      <c r="P390" s="10700"/>
      <c r="Q390" s="10711"/>
      <c r="R390" s="10681" t="s">
        <v>4606</v>
      </c>
      <c r="S390" s="10689"/>
      <c r="T390" s="10689"/>
      <c r="U390" s="10689"/>
      <c r="V390" s="10689"/>
      <c r="W390" s="10689"/>
      <c r="X390" s="10689"/>
      <c r="Y390" s="10690"/>
      <c r="Z390" s="6118" t="s">
        <v>292</v>
      </c>
      <c r="AA390" s="7447">
        <f>SUM(AA350:AA389)</f>
        <v>1530.1984000000002</v>
      </c>
      <c r="AB390" s="6120"/>
      <c r="AC390" s="6119"/>
      <c r="AD390" s="10712"/>
      <c r="AE390" s="10713"/>
      <c r="AF390" s="10713"/>
      <c r="AG390" s="10714"/>
    </row>
    <row r="391" spans="1:33" ht="22.5" customHeight="1">
      <c r="A391" s="10662" t="s">
        <v>4607</v>
      </c>
      <c r="B391" s="10512" t="s">
        <v>183</v>
      </c>
      <c r="C391" s="10444" t="s">
        <v>128</v>
      </c>
      <c r="D391" s="10444" t="s">
        <v>140</v>
      </c>
      <c r="E391" s="10444" t="s">
        <v>284</v>
      </c>
      <c r="F391" s="10451" t="s">
        <v>131</v>
      </c>
      <c r="G391" s="10444" t="s">
        <v>132</v>
      </c>
      <c r="H391" s="10444" t="s">
        <v>159</v>
      </c>
      <c r="I391" s="10444" t="s">
        <v>4608</v>
      </c>
      <c r="J391" s="10444" t="s">
        <v>4609</v>
      </c>
      <c r="K391" s="10444" t="s">
        <v>4610</v>
      </c>
      <c r="L391" s="10666">
        <v>2</v>
      </c>
      <c r="M391" s="10666">
        <v>3</v>
      </c>
      <c r="N391" s="10666">
        <v>3</v>
      </c>
      <c r="O391" s="10444" t="s">
        <v>4611</v>
      </c>
      <c r="P391" s="10444" t="s">
        <v>4612</v>
      </c>
      <c r="Q391" s="10449" t="s">
        <v>4613</v>
      </c>
      <c r="R391" s="3892"/>
      <c r="S391" s="5689"/>
      <c r="T391" s="5689"/>
      <c r="U391" s="3758"/>
      <c r="V391" s="5504"/>
      <c r="W391" s="3658"/>
      <c r="X391" s="5534"/>
      <c r="Y391" s="5534"/>
      <c r="Z391" s="5534"/>
      <c r="AA391" s="5535"/>
      <c r="AB391" s="5822"/>
      <c r="AC391" s="3893"/>
      <c r="AD391" s="3658"/>
      <c r="AE391" s="3660"/>
      <c r="AF391" s="3660"/>
      <c r="AG391" s="10464"/>
    </row>
    <row r="392" spans="1:33" ht="22.5" customHeight="1">
      <c r="A392" s="10663"/>
      <c r="B392" s="10659"/>
      <c r="C392" s="10656"/>
      <c r="D392" s="10656"/>
      <c r="E392" s="10656"/>
      <c r="F392" s="10656"/>
      <c r="G392" s="10656"/>
      <c r="H392" s="10656"/>
      <c r="I392" s="10656"/>
      <c r="J392" s="10656"/>
      <c r="K392" s="10656"/>
      <c r="L392" s="10667"/>
      <c r="M392" s="10667"/>
      <c r="N392" s="10667"/>
      <c r="O392" s="10656"/>
      <c r="P392" s="10656"/>
      <c r="Q392" s="10672"/>
      <c r="R392" s="3867"/>
      <c r="S392" s="5681"/>
      <c r="T392" s="5681"/>
      <c r="U392" s="3495"/>
      <c r="V392" s="5499"/>
      <c r="W392" s="3496"/>
      <c r="X392" s="5523"/>
      <c r="Y392" s="5523"/>
      <c r="Z392" s="5523"/>
      <c r="AA392" s="5524"/>
      <c r="AB392" s="5779"/>
      <c r="AC392" s="3847"/>
      <c r="AD392" s="3496"/>
      <c r="AE392" s="3666"/>
      <c r="AF392" s="3666"/>
      <c r="AG392" s="10678"/>
    </row>
    <row r="393" spans="1:33" ht="22.5" customHeight="1">
      <c r="A393" s="10663"/>
      <c r="B393" s="10659"/>
      <c r="C393" s="10656"/>
      <c r="D393" s="10656"/>
      <c r="E393" s="10656"/>
      <c r="F393" s="10656"/>
      <c r="G393" s="10656"/>
      <c r="H393" s="10656"/>
      <c r="I393" s="10656"/>
      <c r="J393" s="10656"/>
      <c r="K393" s="10656"/>
      <c r="L393" s="10667"/>
      <c r="M393" s="10667"/>
      <c r="N393" s="10667"/>
      <c r="O393" s="10656"/>
      <c r="P393" s="10656"/>
      <c r="Q393" s="10672"/>
      <c r="R393" s="3867"/>
      <c r="S393" s="5681"/>
      <c r="T393" s="5681"/>
      <c r="U393" s="3495"/>
      <c r="V393" s="5499"/>
      <c r="W393" s="3496"/>
      <c r="X393" s="5523"/>
      <c r="Y393" s="5523"/>
      <c r="Z393" s="5523"/>
      <c r="AA393" s="5524"/>
      <c r="AB393" s="5779"/>
      <c r="AC393" s="3847"/>
      <c r="AD393" s="3496"/>
      <c r="AE393" s="3666"/>
      <c r="AF393" s="3666"/>
      <c r="AG393" s="10678"/>
    </row>
    <row r="394" spans="1:33" ht="22.5" customHeight="1">
      <c r="A394" s="10663"/>
      <c r="B394" s="10659"/>
      <c r="C394" s="10656"/>
      <c r="D394" s="10656"/>
      <c r="E394" s="10656"/>
      <c r="F394" s="10656"/>
      <c r="G394" s="10656"/>
      <c r="H394" s="10656"/>
      <c r="I394" s="10656"/>
      <c r="J394" s="10656"/>
      <c r="K394" s="10656"/>
      <c r="L394" s="10667"/>
      <c r="M394" s="10667"/>
      <c r="N394" s="10667"/>
      <c r="O394" s="10656"/>
      <c r="P394" s="10656"/>
      <c r="Q394" s="10672"/>
      <c r="R394" s="3868"/>
      <c r="S394" s="5682"/>
      <c r="T394" s="5682"/>
      <c r="U394" s="3495"/>
      <c r="V394" s="5499"/>
      <c r="W394" s="3496"/>
      <c r="X394" s="5523"/>
      <c r="Y394" s="5523"/>
      <c r="Z394" s="5523"/>
      <c r="AA394" s="5524"/>
      <c r="AB394" s="5779"/>
      <c r="AC394" s="3847"/>
      <c r="AD394" s="3496"/>
      <c r="AE394" s="3666"/>
      <c r="AF394" s="3666"/>
      <c r="AG394" s="10678"/>
    </row>
    <row r="395" spans="1:33" ht="22.5" customHeight="1">
      <c r="A395" s="10663"/>
      <c r="B395" s="10661"/>
      <c r="C395" s="10658"/>
      <c r="D395" s="10658"/>
      <c r="E395" s="10658"/>
      <c r="F395" s="10658"/>
      <c r="G395" s="10658"/>
      <c r="H395" s="10658"/>
      <c r="I395" s="10658"/>
      <c r="J395" s="10658"/>
      <c r="K395" s="10658"/>
      <c r="L395" s="10668"/>
      <c r="M395" s="10668"/>
      <c r="N395" s="10668"/>
      <c r="O395" s="10658"/>
      <c r="P395" s="10658"/>
      <c r="Q395" s="10673"/>
      <c r="R395" s="3879"/>
      <c r="S395" s="5683"/>
      <c r="T395" s="5683"/>
      <c r="U395" s="3759"/>
      <c r="V395" s="5509"/>
      <c r="W395" s="3714"/>
      <c r="X395" s="5544"/>
      <c r="Y395" s="5544"/>
      <c r="Z395" s="5544"/>
      <c r="AA395" s="5545"/>
      <c r="AB395" s="5823"/>
      <c r="AC395" s="3717"/>
      <c r="AD395" s="3714"/>
      <c r="AE395" s="3718"/>
      <c r="AF395" s="3718"/>
      <c r="AG395" s="10679"/>
    </row>
    <row r="396" spans="1:33" ht="16.5" customHeight="1">
      <c r="A396" s="10663"/>
      <c r="B396" s="10516" t="s">
        <v>183</v>
      </c>
      <c r="C396" s="10433" t="s">
        <v>227</v>
      </c>
      <c r="D396" s="10433" t="s">
        <v>228</v>
      </c>
      <c r="E396" s="10433" t="s">
        <v>229</v>
      </c>
      <c r="F396" s="10442" t="s">
        <v>230</v>
      </c>
      <c r="G396" s="10433" t="s">
        <v>132</v>
      </c>
      <c r="H396" s="10433" t="s">
        <v>133</v>
      </c>
      <c r="I396" s="10433" t="s">
        <v>4614</v>
      </c>
      <c r="J396" s="10433" t="s">
        <v>4615</v>
      </c>
      <c r="K396" s="10433" t="s">
        <v>4616</v>
      </c>
      <c r="L396" s="10676">
        <v>1</v>
      </c>
      <c r="M396" s="10676">
        <v>1</v>
      </c>
      <c r="N396" s="10676">
        <v>1</v>
      </c>
      <c r="O396" s="10433" t="s">
        <v>4617</v>
      </c>
      <c r="P396" s="10433" t="s">
        <v>4612</v>
      </c>
      <c r="Q396" s="10439" t="s">
        <v>4618</v>
      </c>
      <c r="R396" s="3885"/>
      <c r="S396" s="5684"/>
      <c r="T396" s="5684"/>
      <c r="U396" s="3762"/>
      <c r="V396" s="5502"/>
      <c r="W396" s="3709"/>
      <c r="X396" s="5529"/>
      <c r="Y396" s="5529"/>
      <c r="Z396" s="5529"/>
      <c r="AA396" s="5530"/>
      <c r="AB396" s="5780"/>
      <c r="AC396" s="3886"/>
      <c r="AD396" s="3709"/>
      <c r="AE396" s="3724"/>
      <c r="AF396" s="3724"/>
      <c r="AG396" s="10525"/>
    </row>
    <row r="397" spans="1:33" ht="16.5" customHeight="1">
      <c r="A397" s="10663"/>
      <c r="B397" s="10659"/>
      <c r="C397" s="10656"/>
      <c r="D397" s="10656"/>
      <c r="E397" s="10656"/>
      <c r="F397" s="10656"/>
      <c r="G397" s="10656"/>
      <c r="H397" s="10656"/>
      <c r="I397" s="10656"/>
      <c r="J397" s="10656"/>
      <c r="K397" s="10656"/>
      <c r="L397" s="10667"/>
      <c r="M397" s="10667"/>
      <c r="N397" s="10667"/>
      <c r="O397" s="10656"/>
      <c r="P397" s="10656"/>
      <c r="Q397" s="10672"/>
      <c r="R397" s="3867"/>
      <c r="S397" s="5681"/>
      <c r="T397" s="5681"/>
      <c r="U397" s="3495"/>
      <c r="V397" s="5499"/>
      <c r="W397" s="3496"/>
      <c r="X397" s="5523"/>
      <c r="Y397" s="5523"/>
      <c r="Z397" s="5523"/>
      <c r="AA397" s="5524"/>
      <c r="AB397" s="5779"/>
      <c r="AC397" s="3847"/>
      <c r="AD397" s="3496"/>
      <c r="AE397" s="3666"/>
      <c r="AF397" s="3666"/>
      <c r="AG397" s="10678"/>
    </row>
    <row r="398" spans="1:33" ht="16.5" customHeight="1">
      <c r="A398" s="10663"/>
      <c r="B398" s="10659"/>
      <c r="C398" s="10656"/>
      <c r="D398" s="10656"/>
      <c r="E398" s="10656"/>
      <c r="F398" s="10656"/>
      <c r="G398" s="10656"/>
      <c r="H398" s="10656"/>
      <c r="I398" s="10656"/>
      <c r="J398" s="10656"/>
      <c r="K398" s="10656"/>
      <c r="L398" s="10667"/>
      <c r="M398" s="10667"/>
      <c r="N398" s="10667"/>
      <c r="O398" s="10656"/>
      <c r="P398" s="10656"/>
      <c r="Q398" s="10672"/>
      <c r="R398" s="3867"/>
      <c r="S398" s="5681"/>
      <c r="T398" s="5681"/>
      <c r="U398" s="3495"/>
      <c r="V398" s="5499"/>
      <c r="W398" s="3496"/>
      <c r="X398" s="5523"/>
      <c r="Y398" s="5523"/>
      <c r="Z398" s="5523"/>
      <c r="AA398" s="5524"/>
      <c r="AB398" s="5779"/>
      <c r="AC398" s="3847"/>
      <c r="AD398" s="3496"/>
      <c r="AE398" s="3666"/>
      <c r="AF398" s="3666"/>
      <c r="AG398" s="10678"/>
    </row>
    <row r="399" spans="1:33" ht="16.5" customHeight="1">
      <c r="A399" s="10663"/>
      <c r="B399" s="10659"/>
      <c r="C399" s="10656"/>
      <c r="D399" s="10656"/>
      <c r="E399" s="10656"/>
      <c r="F399" s="10656"/>
      <c r="G399" s="10656"/>
      <c r="H399" s="10656"/>
      <c r="I399" s="10656"/>
      <c r="J399" s="10656"/>
      <c r="K399" s="10656"/>
      <c r="L399" s="10667"/>
      <c r="M399" s="10667"/>
      <c r="N399" s="10667"/>
      <c r="O399" s="10656"/>
      <c r="P399" s="10656"/>
      <c r="Q399" s="10672"/>
      <c r="R399" s="3868"/>
      <c r="S399" s="5682"/>
      <c r="T399" s="5682"/>
      <c r="U399" s="3495"/>
      <c r="V399" s="5499"/>
      <c r="W399" s="3496"/>
      <c r="X399" s="5523"/>
      <c r="Y399" s="5523"/>
      <c r="Z399" s="5523"/>
      <c r="AA399" s="5524"/>
      <c r="AB399" s="5779"/>
      <c r="AC399" s="3847"/>
      <c r="AD399" s="3496"/>
      <c r="AE399" s="3666"/>
      <c r="AF399" s="3666"/>
      <c r="AG399" s="10678"/>
    </row>
    <row r="400" spans="1:33" ht="26.25" customHeight="1">
      <c r="A400" s="10663"/>
      <c r="B400" s="10660"/>
      <c r="C400" s="10657"/>
      <c r="D400" s="10657"/>
      <c r="E400" s="10657"/>
      <c r="F400" s="10657"/>
      <c r="G400" s="10657"/>
      <c r="H400" s="10657"/>
      <c r="I400" s="10657"/>
      <c r="J400" s="10657"/>
      <c r="K400" s="10657"/>
      <c r="L400" s="10674"/>
      <c r="M400" s="10674"/>
      <c r="N400" s="10674"/>
      <c r="O400" s="10657"/>
      <c r="P400" s="10657"/>
      <c r="Q400" s="10675"/>
      <c r="R400" s="3887"/>
      <c r="S400" s="5696"/>
      <c r="T400" s="5696"/>
      <c r="U400" s="3557"/>
      <c r="V400" s="5503"/>
      <c r="W400" s="3545"/>
      <c r="X400" s="5532"/>
      <c r="Y400" s="5532"/>
      <c r="Z400" s="5532"/>
      <c r="AA400" s="5533"/>
      <c r="AB400" s="5828"/>
      <c r="AC400" s="3706"/>
      <c r="AD400" s="3545"/>
      <c r="AE400" s="3707"/>
      <c r="AF400" s="3707"/>
      <c r="AG400" s="10680"/>
    </row>
    <row r="401" spans="1:33">
      <c r="A401" s="10663"/>
      <c r="B401" s="10512" t="s">
        <v>183</v>
      </c>
      <c r="C401" s="10444" t="s">
        <v>227</v>
      </c>
      <c r="D401" s="10444" t="s">
        <v>228</v>
      </c>
      <c r="E401" s="10444" t="s">
        <v>229</v>
      </c>
      <c r="F401" s="10451" t="s">
        <v>230</v>
      </c>
      <c r="G401" s="10444" t="s">
        <v>171</v>
      </c>
      <c r="H401" s="10444" t="s">
        <v>159</v>
      </c>
      <c r="I401" s="10444" t="s">
        <v>4619</v>
      </c>
      <c r="J401" s="10444" t="s">
        <v>4620</v>
      </c>
      <c r="K401" s="10444" t="s">
        <v>4621</v>
      </c>
      <c r="L401" s="10666">
        <v>0</v>
      </c>
      <c r="M401" s="10666">
        <v>1</v>
      </c>
      <c r="N401" s="10666">
        <v>1</v>
      </c>
      <c r="O401" s="10444" t="s">
        <v>4622</v>
      </c>
      <c r="P401" s="10444" t="s">
        <v>4623</v>
      </c>
      <c r="Q401" s="10449" t="s">
        <v>4624</v>
      </c>
      <c r="R401" s="3892"/>
      <c r="S401" s="5689"/>
      <c r="T401" s="5689"/>
      <c r="U401" s="3758"/>
      <c r="V401" s="5504"/>
      <c r="W401" s="3658"/>
      <c r="X401" s="5534"/>
      <c r="Y401" s="5534"/>
      <c r="Z401" s="5534"/>
      <c r="AA401" s="5535"/>
      <c r="AB401" s="5822"/>
      <c r="AC401" s="3893"/>
      <c r="AD401" s="3658"/>
      <c r="AE401" s="3660"/>
      <c r="AF401" s="3660"/>
      <c r="AG401" s="10464"/>
    </row>
    <row r="402" spans="1:33">
      <c r="A402" s="10663"/>
      <c r="B402" s="10659"/>
      <c r="C402" s="10656"/>
      <c r="D402" s="10656"/>
      <c r="E402" s="10656"/>
      <c r="F402" s="10656"/>
      <c r="G402" s="10656"/>
      <c r="H402" s="10656"/>
      <c r="I402" s="10656"/>
      <c r="J402" s="10656"/>
      <c r="K402" s="10656"/>
      <c r="L402" s="10667"/>
      <c r="M402" s="10667"/>
      <c r="N402" s="10667"/>
      <c r="O402" s="10656"/>
      <c r="P402" s="10656"/>
      <c r="Q402" s="10672"/>
      <c r="R402" s="3867"/>
      <c r="S402" s="5681"/>
      <c r="T402" s="5681"/>
      <c r="U402" s="3495"/>
      <c r="V402" s="5499"/>
      <c r="W402" s="3496"/>
      <c r="X402" s="5523"/>
      <c r="Y402" s="5523"/>
      <c r="Z402" s="5523"/>
      <c r="AA402" s="5524"/>
      <c r="AB402" s="5779"/>
      <c r="AC402" s="3847"/>
      <c r="AD402" s="3496"/>
      <c r="AE402" s="3666"/>
      <c r="AF402" s="3666"/>
      <c r="AG402" s="10678"/>
    </row>
    <row r="403" spans="1:33">
      <c r="A403" s="10663"/>
      <c r="B403" s="10659"/>
      <c r="C403" s="10656"/>
      <c r="D403" s="10656"/>
      <c r="E403" s="10656"/>
      <c r="F403" s="10656"/>
      <c r="G403" s="10656"/>
      <c r="H403" s="10656"/>
      <c r="I403" s="10656"/>
      <c r="J403" s="10656"/>
      <c r="K403" s="10656"/>
      <c r="L403" s="10667"/>
      <c r="M403" s="10667"/>
      <c r="N403" s="10667"/>
      <c r="O403" s="10656"/>
      <c r="P403" s="10656"/>
      <c r="Q403" s="10672"/>
      <c r="R403" s="3867"/>
      <c r="S403" s="5681"/>
      <c r="T403" s="5681"/>
      <c r="U403" s="3495"/>
      <c r="V403" s="5499"/>
      <c r="W403" s="3496"/>
      <c r="X403" s="5523"/>
      <c r="Y403" s="5523"/>
      <c r="Z403" s="5523"/>
      <c r="AA403" s="5524"/>
      <c r="AB403" s="5779"/>
      <c r="AC403" s="3847"/>
      <c r="AD403" s="3496"/>
      <c r="AE403" s="3666"/>
      <c r="AF403" s="3666"/>
      <c r="AG403" s="10678"/>
    </row>
    <row r="404" spans="1:33">
      <c r="A404" s="10663"/>
      <c r="B404" s="10659"/>
      <c r="C404" s="10656"/>
      <c r="D404" s="10656"/>
      <c r="E404" s="10656"/>
      <c r="F404" s="10656"/>
      <c r="G404" s="10656"/>
      <c r="H404" s="10656"/>
      <c r="I404" s="10656"/>
      <c r="J404" s="10656"/>
      <c r="K404" s="10656"/>
      <c r="L404" s="10667"/>
      <c r="M404" s="10667"/>
      <c r="N404" s="10667"/>
      <c r="O404" s="10656"/>
      <c r="P404" s="10656"/>
      <c r="Q404" s="10672"/>
      <c r="R404" s="3868"/>
      <c r="S404" s="5682"/>
      <c r="T404" s="5682"/>
      <c r="U404" s="3495"/>
      <c r="V404" s="5499"/>
      <c r="W404" s="3496"/>
      <c r="X404" s="5523"/>
      <c r="Y404" s="5523"/>
      <c r="Z404" s="5523"/>
      <c r="AA404" s="5524"/>
      <c r="AB404" s="5779"/>
      <c r="AC404" s="3847"/>
      <c r="AD404" s="3496"/>
      <c r="AE404" s="3666"/>
      <c r="AF404" s="3666"/>
      <c r="AG404" s="10678"/>
    </row>
    <row r="405" spans="1:33" ht="39" customHeight="1">
      <c r="A405" s="10663"/>
      <c r="B405" s="10661"/>
      <c r="C405" s="10658"/>
      <c r="D405" s="10658"/>
      <c r="E405" s="10658"/>
      <c r="F405" s="10658"/>
      <c r="G405" s="10658"/>
      <c r="H405" s="10658"/>
      <c r="I405" s="10658"/>
      <c r="J405" s="10658"/>
      <c r="K405" s="10658"/>
      <c r="L405" s="10668"/>
      <c r="M405" s="10668"/>
      <c r="N405" s="10668"/>
      <c r="O405" s="10658"/>
      <c r="P405" s="10658"/>
      <c r="Q405" s="10673"/>
      <c r="R405" s="3879"/>
      <c r="S405" s="5683"/>
      <c r="T405" s="5683"/>
      <c r="U405" s="3759"/>
      <c r="V405" s="5509"/>
      <c r="W405" s="3714"/>
      <c r="X405" s="5544"/>
      <c r="Y405" s="5544"/>
      <c r="Z405" s="5544"/>
      <c r="AA405" s="5545"/>
      <c r="AB405" s="5823"/>
      <c r="AC405" s="3717"/>
      <c r="AD405" s="3714"/>
      <c r="AE405" s="3718"/>
      <c r="AF405" s="3718"/>
      <c r="AG405" s="10679"/>
    </row>
    <row r="406" spans="1:33" ht="21" customHeight="1">
      <c r="A406" s="10663"/>
      <c r="B406" s="10516" t="s">
        <v>183</v>
      </c>
      <c r="C406" s="10433" t="s">
        <v>227</v>
      </c>
      <c r="D406" s="10433" t="s">
        <v>228</v>
      </c>
      <c r="E406" s="10433" t="s">
        <v>229</v>
      </c>
      <c r="F406" s="10442" t="s">
        <v>230</v>
      </c>
      <c r="G406" s="10433" t="s">
        <v>171</v>
      </c>
      <c r="H406" s="10433" t="s">
        <v>159</v>
      </c>
      <c r="I406" s="10433" t="s">
        <v>4625</v>
      </c>
      <c r="J406" s="10433" t="s">
        <v>4626</v>
      </c>
      <c r="K406" s="10433" t="s">
        <v>4627</v>
      </c>
      <c r="L406" s="10676">
        <v>4</v>
      </c>
      <c r="M406" s="10676">
        <v>4</v>
      </c>
      <c r="N406" s="10676">
        <v>4</v>
      </c>
      <c r="O406" s="10433" t="s">
        <v>4628</v>
      </c>
      <c r="P406" s="10433" t="s">
        <v>4629</v>
      </c>
      <c r="Q406" s="10439" t="s">
        <v>4624</v>
      </c>
      <c r="R406" s="3885"/>
      <c r="S406" s="5684"/>
      <c r="T406" s="5684"/>
      <c r="U406" s="3762"/>
      <c r="V406" s="5502"/>
      <c r="W406" s="3709"/>
      <c r="X406" s="5529"/>
      <c r="Y406" s="5529"/>
      <c r="Z406" s="5529"/>
      <c r="AA406" s="5530"/>
      <c r="AB406" s="5780"/>
      <c r="AC406" s="3886"/>
      <c r="AD406" s="3709"/>
      <c r="AE406" s="3724"/>
      <c r="AF406" s="3724"/>
      <c r="AG406" s="10525"/>
    </row>
    <row r="407" spans="1:33" ht="21" customHeight="1">
      <c r="A407" s="10663"/>
      <c r="B407" s="10659"/>
      <c r="C407" s="10656"/>
      <c r="D407" s="10656"/>
      <c r="E407" s="10656"/>
      <c r="F407" s="10656"/>
      <c r="G407" s="10656"/>
      <c r="H407" s="10656"/>
      <c r="I407" s="10656"/>
      <c r="J407" s="10656"/>
      <c r="K407" s="10656"/>
      <c r="L407" s="10667"/>
      <c r="M407" s="10667"/>
      <c r="N407" s="10667"/>
      <c r="O407" s="10656"/>
      <c r="P407" s="10656"/>
      <c r="Q407" s="10672"/>
      <c r="R407" s="3867"/>
      <c r="S407" s="5681"/>
      <c r="T407" s="5681"/>
      <c r="U407" s="3495"/>
      <c r="V407" s="5499"/>
      <c r="W407" s="3496"/>
      <c r="X407" s="5523"/>
      <c r="Y407" s="5523"/>
      <c r="Z407" s="5523"/>
      <c r="AA407" s="5524"/>
      <c r="AB407" s="5779"/>
      <c r="AC407" s="3847"/>
      <c r="AD407" s="3496"/>
      <c r="AE407" s="3666"/>
      <c r="AF407" s="3666"/>
      <c r="AG407" s="10678"/>
    </row>
    <row r="408" spans="1:33" ht="21" customHeight="1">
      <c r="A408" s="10663"/>
      <c r="B408" s="10659"/>
      <c r="C408" s="10656"/>
      <c r="D408" s="10656"/>
      <c r="E408" s="10656"/>
      <c r="F408" s="10656"/>
      <c r="G408" s="10656"/>
      <c r="H408" s="10656"/>
      <c r="I408" s="10656"/>
      <c r="J408" s="10656"/>
      <c r="K408" s="10656"/>
      <c r="L408" s="10667"/>
      <c r="M408" s="10667"/>
      <c r="N408" s="10667"/>
      <c r="O408" s="10656"/>
      <c r="P408" s="10656"/>
      <c r="Q408" s="10672"/>
      <c r="R408" s="3867"/>
      <c r="S408" s="5681"/>
      <c r="T408" s="5681"/>
      <c r="U408" s="3495"/>
      <c r="V408" s="5499"/>
      <c r="W408" s="3496"/>
      <c r="X408" s="5523"/>
      <c r="Y408" s="5523"/>
      <c r="Z408" s="5523"/>
      <c r="AA408" s="5524"/>
      <c r="AB408" s="5779"/>
      <c r="AC408" s="3847"/>
      <c r="AD408" s="3496"/>
      <c r="AE408" s="3666"/>
      <c r="AF408" s="3666"/>
      <c r="AG408" s="10678"/>
    </row>
    <row r="409" spans="1:33" ht="21" customHeight="1">
      <c r="A409" s="10663"/>
      <c r="B409" s="10659"/>
      <c r="C409" s="10656"/>
      <c r="D409" s="10656"/>
      <c r="E409" s="10656"/>
      <c r="F409" s="10656"/>
      <c r="G409" s="10656"/>
      <c r="H409" s="10656"/>
      <c r="I409" s="10656"/>
      <c r="J409" s="10656"/>
      <c r="K409" s="10656"/>
      <c r="L409" s="10667"/>
      <c r="M409" s="10667"/>
      <c r="N409" s="10667"/>
      <c r="O409" s="10656"/>
      <c r="P409" s="10656"/>
      <c r="Q409" s="10672"/>
      <c r="R409" s="3868"/>
      <c r="S409" s="5682"/>
      <c r="T409" s="5682"/>
      <c r="U409" s="3495"/>
      <c r="V409" s="5499"/>
      <c r="W409" s="3496"/>
      <c r="X409" s="5523"/>
      <c r="Y409" s="5523"/>
      <c r="Z409" s="5523"/>
      <c r="AA409" s="5524"/>
      <c r="AB409" s="5779"/>
      <c r="AC409" s="3847"/>
      <c r="AD409" s="3496"/>
      <c r="AE409" s="3666"/>
      <c r="AF409" s="3666"/>
      <c r="AG409" s="10678"/>
    </row>
    <row r="410" spans="1:33" ht="21" customHeight="1">
      <c r="A410" s="10663"/>
      <c r="B410" s="10660"/>
      <c r="C410" s="10657"/>
      <c r="D410" s="10657"/>
      <c r="E410" s="10657"/>
      <c r="F410" s="10657"/>
      <c r="G410" s="10657"/>
      <c r="H410" s="10657"/>
      <c r="I410" s="10657"/>
      <c r="J410" s="10657"/>
      <c r="K410" s="10657"/>
      <c r="L410" s="10674"/>
      <c r="M410" s="10674"/>
      <c r="N410" s="10674"/>
      <c r="O410" s="10657"/>
      <c r="P410" s="10657"/>
      <c r="Q410" s="10675"/>
      <c r="R410" s="3887"/>
      <c r="S410" s="5696"/>
      <c r="T410" s="5696"/>
      <c r="U410" s="3557"/>
      <c r="V410" s="5503"/>
      <c r="W410" s="3545"/>
      <c r="X410" s="5532"/>
      <c r="Y410" s="5532"/>
      <c r="Z410" s="5532"/>
      <c r="AA410" s="5533"/>
      <c r="AB410" s="5828"/>
      <c r="AC410" s="3706"/>
      <c r="AD410" s="3545"/>
      <c r="AE410" s="3707"/>
      <c r="AF410" s="3707"/>
      <c r="AG410" s="10680"/>
    </row>
    <row r="411" spans="1:33" ht="18" customHeight="1">
      <c r="A411" s="10663"/>
      <c r="B411" s="10512" t="s">
        <v>183</v>
      </c>
      <c r="C411" s="10444" t="s">
        <v>1291</v>
      </c>
      <c r="D411" s="10444" t="s">
        <v>185</v>
      </c>
      <c r="E411" s="10444" t="s">
        <v>1938</v>
      </c>
      <c r="F411" s="10451" t="s">
        <v>230</v>
      </c>
      <c r="G411" s="10444" t="s">
        <v>171</v>
      </c>
      <c r="H411" s="10444" t="s">
        <v>133</v>
      </c>
      <c r="I411" s="10444" t="s">
        <v>4630</v>
      </c>
      <c r="J411" s="10444" t="s">
        <v>4631</v>
      </c>
      <c r="K411" s="10444" t="s">
        <v>4632</v>
      </c>
      <c r="L411" s="10666">
        <v>2</v>
      </c>
      <c r="M411" s="10666">
        <v>0</v>
      </c>
      <c r="N411" s="10666">
        <v>2</v>
      </c>
      <c r="O411" s="10444" t="s">
        <v>4633</v>
      </c>
      <c r="P411" s="10444" t="s">
        <v>4634</v>
      </c>
      <c r="Q411" s="10449" t="s">
        <v>4635</v>
      </c>
      <c r="R411" s="3892"/>
      <c r="S411" s="5689"/>
      <c r="T411" s="5689"/>
      <c r="U411" s="3758"/>
      <c r="V411" s="5504"/>
      <c r="W411" s="3658"/>
      <c r="X411" s="5534"/>
      <c r="Y411" s="5534"/>
      <c r="Z411" s="5534"/>
      <c r="AA411" s="5535"/>
      <c r="AB411" s="5822"/>
      <c r="AC411" s="3893"/>
      <c r="AD411" s="3658"/>
      <c r="AE411" s="3660"/>
      <c r="AF411" s="3660"/>
      <c r="AG411" s="10464"/>
    </row>
    <row r="412" spans="1:33" ht="18" customHeight="1">
      <c r="A412" s="10663"/>
      <c r="B412" s="10659"/>
      <c r="C412" s="10656"/>
      <c r="D412" s="10656"/>
      <c r="E412" s="10656"/>
      <c r="F412" s="10656"/>
      <c r="G412" s="10656"/>
      <c r="H412" s="10656"/>
      <c r="I412" s="10656"/>
      <c r="J412" s="10656"/>
      <c r="K412" s="10656"/>
      <c r="L412" s="10667"/>
      <c r="M412" s="10667"/>
      <c r="N412" s="10667"/>
      <c r="O412" s="10656"/>
      <c r="P412" s="10656"/>
      <c r="Q412" s="10672"/>
      <c r="R412" s="3867"/>
      <c r="S412" s="5681"/>
      <c r="T412" s="5681"/>
      <c r="U412" s="3495"/>
      <c r="V412" s="5499"/>
      <c r="W412" s="3496"/>
      <c r="X412" s="5523"/>
      <c r="Y412" s="5523"/>
      <c r="Z412" s="5523"/>
      <c r="AA412" s="5524"/>
      <c r="AB412" s="5779"/>
      <c r="AC412" s="3847"/>
      <c r="AD412" s="3496"/>
      <c r="AE412" s="3666"/>
      <c r="AF412" s="3666"/>
      <c r="AG412" s="10678"/>
    </row>
    <row r="413" spans="1:33" ht="18" customHeight="1">
      <c r="A413" s="10663"/>
      <c r="B413" s="10659"/>
      <c r="C413" s="10656"/>
      <c r="D413" s="10656"/>
      <c r="E413" s="10656"/>
      <c r="F413" s="10656"/>
      <c r="G413" s="10656"/>
      <c r="H413" s="10656"/>
      <c r="I413" s="10656"/>
      <c r="J413" s="10656"/>
      <c r="K413" s="10656"/>
      <c r="L413" s="10667"/>
      <c r="M413" s="10667"/>
      <c r="N413" s="10667"/>
      <c r="O413" s="10656"/>
      <c r="P413" s="10656"/>
      <c r="Q413" s="10672"/>
      <c r="R413" s="3867"/>
      <c r="S413" s="5681"/>
      <c r="T413" s="5681"/>
      <c r="U413" s="3495"/>
      <c r="V413" s="5499"/>
      <c r="W413" s="3496"/>
      <c r="X413" s="5523"/>
      <c r="Y413" s="5523"/>
      <c r="Z413" s="5523"/>
      <c r="AA413" s="5524"/>
      <c r="AB413" s="5779"/>
      <c r="AC413" s="3847"/>
      <c r="AD413" s="3496"/>
      <c r="AE413" s="3666"/>
      <c r="AF413" s="3666"/>
      <c r="AG413" s="10678"/>
    </row>
    <row r="414" spans="1:33" ht="18" customHeight="1">
      <c r="A414" s="10663"/>
      <c r="B414" s="10659"/>
      <c r="C414" s="10656"/>
      <c r="D414" s="10656"/>
      <c r="E414" s="10656"/>
      <c r="F414" s="10656"/>
      <c r="G414" s="10656"/>
      <c r="H414" s="10656"/>
      <c r="I414" s="10656"/>
      <c r="J414" s="10656"/>
      <c r="K414" s="10656"/>
      <c r="L414" s="10667"/>
      <c r="M414" s="10667"/>
      <c r="N414" s="10667"/>
      <c r="O414" s="10656"/>
      <c r="P414" s="10656"/>
      <c r="Q414" s="10672"/>
      <c r="R414" s="3868"/>
      <c r="S414" s="5682"/>
      <c r="T414" s="5682"/>
      <c r="U414" s="3495"/>
      <c r="V414" s="5499"/>
      <c r="W414" s="3496"/>
      <c r="X414" s="5523"/>
      <c r="Y414" s="5523"/>
      <c r="Z414" s="5523"/>
      <c r="AA414" s="5524"/>
      <c r="AB414" s="5779"/>
      <c r="AC414" s="3847"/>
      <c r="AD414" s="3496"/>
      <c r="AE414" s="3666"/>
      <c r="AF414" s="3666"/>
      <c r="AG414" s="10678"/>
    </row>
    <row r="415" spans="1:33" ht="18" customHeight="1">
      <c r="A415" s="10663"/>
      <c r="B415" s="10661"/>
      <c r="C415" s="10658"/>
      <c r="D415" s="10658"/>
      <c r="E415" s="10658"/>
      <c r="F415" s="10658"/>
      <c r="G415" s="10658"/>
      <c r="H415" s="10658"/>
      <c r="I415" s="10658"/>
      <c r="J415" s="10658"/>
      <c r="K415" s="10658"/>
      <c r="L415" s="10668"/>
      <c r="M415" s="10668"/>
      <c r="N415" s="10668"/>
      <c r="O415" s="10658"/>
      <c r="P415" s="10658"/>
      <c r="Q415" s="10673"/>
      <c r="R415" s="3879"/>
      <c r="S415" s="5683"/>
      <c r="T415" s="5683"/>
      <c r="U415" s="3759"/>
      <c r="V415" s="5509"/>
      <c r="W415" s="3714"/>
      <c r="X415" s="5544"/>
      <c r="Y415" s="5544"/>
      <c r="Z415" s="5544"/>
      <c r="AA415" s="5545"/>
      <c r="AB415" s="5823"/>
      <c r="AC415" s="3717"/>
      <c r="AD415" s="3714"/>
      <c r="AE415" s="3718"/>
      <c r="AF415" s="3718"/>
      <c r="AG415" s="10679"/>
    </row>
    <row r="416" spans="1:33">
      <c r="A416" s="10663"/>
      <c r="B416" s="10516" t="s">
        <v>183</v>
      </c>
      <c r="C416" s="10433" t="s">
        <v>227</v>
      </c>
      <c r="D416" s="10433" t="s">
        <v>228</v>
      </c>
      <c r="E416" s="10433" t="s">
        <v>229</v>
      </c>
      <c r="F416" s="10442" t="s">
        <v>230</v>
      </c>
      <c r="G416" s="10433" t="s">
        <v>132</v>
      </c>
      <c r="H416" s="10433" t="s">
        <v>133</v>
      </c>
      <c r="I416" s="10433" t="s">
        <v>4636</v>
      </c>
      <c r="J416" s="10433" t="s">
        <v>4637</v>
      </c>
      <c r="K416" s="10433" t="s">
        <v>4638</v>
      </c>
      <c r="L416" s="10676">
        <v>1</v>
      </c>
      <c r="M416" s="10676">
        <v>1</v>
      </c>
      <c r="N416" s="10676">
        <v>1</v>
      </c>
      <c r="O416" s="10433" t="s">
        <v>4639</v>
      </c>
      <c r="P416" s="10433" t="s">
        <v>4612</v>
      </c>
      <c r="Q416" s="10439" t="s">
        <v>4635</v>
      </c>
      <c r="R416" s="3885"/>
      <c r="S416" s="5684"/>
      <c r="T416" s="5684"/>
      <c r="U416" s="3762"/>
      <c r="V416" s="5502"/>
      <c r="W416" s="3709"/>
      <c r="X416" s="5529"/>
      <c r="Y416" s="5529"/>
      <c r="Z416" s="5529"/>
      <c r="AA416" s="5530"/>
      <c r="AB416" s="5780"/>
      <c r="AC416" s="3886"/>
      <c r="AD416" s="3709"/>
      <c r="AE416" s="3724"/>
      <c r="AF416" s="3724"/>
      <c r="AG416" s="10525"/>
    </row>
    <row r="417" spans="1:33">
      <c r="A417" s="10663"/>
      <c r="B417" s="10659"/>
      <c r="C417" s="10656"/>
      <c r="D417" s="10656"/>
      <c r="E417" s="10656"/>
      <c r="F417" s="10656"/>
      <c r="G417" s="10656"/>
      <c r="H417" s="10656"/>
      <c r="I417" s="10656"/>
      <c r="J417" s="10656"/>
      <c r="K417" s="10656"/>
      <c r="L417" s="10667"/>
      <c r="M417" s="10667"/>
      <c r="N417" s="10667"/>
      <c r="O417" s="10656"/>
      <c r="P417" s="10656"/>
      <c r="Q417" s="10672"/>
      <c r="R417" s="3867"/>
      <c r="S417" s="5681"/>
      <c r="T417" s="5681"/>
      <c r="U417" s="3495"/>
      <c r="V417" s="5499"/>
      <c r="W417" s="3496"/>
      <c r="X417" s="5523"/>
      <c r="Y417" s="5523"/>
      <c r="Z417" s="5523"/>
      <c r="AA417" s="5524"/>
      <c r="AB417" s="5779"/>
      <c r="AC417" s="3847"/>
      <c r="AD417" s="3496"/>
      <c r="AE417" s="3666"/>
      <c r="AF417" s="3666"/>
      <c r="AG417" s="10678"/>
    </row>
    <row r="418" spans="1:33">
      <c r="A418" s="10663"/>
      <c r="B418" s="10659"/>
      <c r="C418" s="10656"/>
      <c r="D418" s="10656"/>
      <c r="E418" s="10656"/>
      <c r="F418" s="10656"/>
      <c r="G418" s="10656"/>
      <c r="H418" s="10656"/>
      <c r="I418" s="10656"/>
      <c r="J418" s="10656"/>
      <c r="K418" s="10656"/>
      <c r="L418" s="10667"/>
      <c r="M418" s="10667"/>
      <c r="N418" s="10667"/>
      <c r="O418" s="10656"/>
      <c r="P418" s="10656"/>
      <c r="Q418" s="10672"/>
      <c r="R418" s="3867"/>
      <c r="S418" s="5681"/>
      <c r="T418" s="5681"/>
      <c r="U418" s="3495"/>
      <c r="V418" s="5499"/>
      <c r="W418" s="3496"/>
      <c r="X418" s="5523"/>
      <c r="Y418" s="5523"/>
      <c r="Z418" s="5523"/>
      <c r="AA418" s="5524"/>
      <c r="AB418" s="5779"/>
      <c r="AC418" s="3847"/>
      <c r="AD418" s="3496"/>
      <c r="AE418" s="3666"/>
      <c r="AF418" s="3666"/>
      <c r="AG418" s="10678"/>
    </row>
    <row r="419" spans="1:33">
      <c r="A419" s="10663"/>
      <c r="B419" s="10659"/>
      <c r="C419" s="10656"/>
      <c r="D419" s="10656"/>
      <c r="E419" s="10656"/>
      <c r="F419" s="10656"/>
      <c r="G419" s="10656"/>
      <c r="H419" s="10656"/>
      <c r="I419" s="10656"/>
      <c r="J419" s="10656"/>
      <c r="K419" s="10656"/>
      <c r="L419" s="10667"/>
      <c r="M419" s="10667"/>
      <c r="N419" s="10667"/>
      <c r="O419" s="10656"/>
      <c r="P419" s="10656"/>
      <c r="Q419" s="10672"/>
      <c r="R419" s="3868"/>
      <c r="S419" s="5682"/>
      <c r="T419" s="5682"/>
      <c r="U419" s="3495"/>
      <c r="V419" s="5499"/>
      <c r="W419" s="3496"/>
      <c r="X419" s="5523"/>
      <c r="Y419" s="5523"/>
      <c r="Z419" s="5523"/>
      <c r="AA419" s="5524"/>
      <c r="AB419" s="5779"/>
      <c r="AC419" s="3847"/>
      <c r="AD419" s="3496"/>
      <c r="AE419" s="3666"/>
      <c r="AF419" s="3666"/>
      <c r="AG419" s="10678"/>
    </row>
    <row r="420" spans="1:33" ht="30.75" customHeight="1">
      <c r="A420" s="10663"/>
      <c r="B420" s="10660"/>
      <c r="C420" s="10657"/>
      <c r="D420" s="10657"/>
      <c r="E420" s="10657"/>
      <c r="F420" s="10657"/>
      <c r="G420" s="10657"/>
      <c r="H420" s="10657"/>
      <c r="I420" s="10657"/>
      <c r="J420" s="10657"/>
      <c r="K420" s="10657"/>
      <c r="L420" s="10674"/>
      <c r="M420" s="10674"/>
      <c r="N420" s="10674"/>
      <c r="O420" s="10657"/>
      <c r="P420" s="10657"/>
      <c r="Q420" s="10675"/>
      <c r="R420" s="3887"/>
      <c r="S420" s="5696"/>
      <c r="T420" s="5696"/>
      <c r="U420" s="3557"/>
      <c r="V420" s="5503"/>
      <c r="W420" s="3545"/>
      <c r="X420" s="5532"/>
      <c r="Y420" s="5532"/>
      <c r="Z420" s="5532"/>
      <c r="AA420" s="5533"/>
      <c r="AB420" s="5828"/>
      <c r="AC420" s="3706"/>
      <c r="AD420" s="3545"/>
      <c r="AE420" s="3707"/>
      <c r="AF420" s="3707"/>
      <c r="AG420" s="10680"/>
    </row>
    <row r="421" spans="1:33" ht="21" customHeight="1">
      <c r="A421" s="10663"/>
      <c r="B421" s="10512" t="s">
        <v>127</v>
      </c>
      <c r="C421" s="10444" t="s">
        <v>128</v>
      </c>
      <c r="D421" s="10444" t="s">
        <v>140</v>
      </c>
      <c r="E421" s="10444" t="s">
        <v>1691</v>
      </c>
      <c r="F421" s="10451" t="s">
        <v>131</v>
      </c>
      <c r="G421" s="10444" t="s">
        <v>213</v>
      </c>
      <c r="H421" s="10444" t="s">
        <v>189</v>
      </c>
      <c r="I421" s="10444" t="s">
        <v>4640</v>
      </c>
      <c r="J421" s="10444" t="s">
        <v>4641</v>
      </c>
      <c r="K421" s="10444" t="s">
        <v>4642</v>
      </c>
      <c r="L421" s="10666">
        <v>1</v>
      </c>
      <c r="M421" s="10666">
        <v>0</v>
      </c>
      <c r="N421" s="10666">
        <v>1</v>
      </c>
      <c r="O421" s="10444" t="s">
        <v>4643</v>
      </c>
      <c r="P421" s="10444" t="s">
        <v>4644</v>
      </c>
      <c r="Q421" s="10449" t="s">
        <v>4645</v>
      </c>
      <c r="R421" s="3892"/>
      <c r="S421" s="5689"/>
      <c r="T421" s="5689"/>
      <c r="U421" s="3758"/>
      <c r="V421" s="5504"/>
      <c r="W421" s="3658"/>
      <c r="X421" s="5534"/>
      <c r="Y421" s="5534"/>
      <c r="Z421" s="5534"/>
      <c r="AA421" s="5535"/>
      <c r="AB421" s="5822"/>
      <c r="AC421" s="3893"/>
      <c r="AD421" s="3658"/>
      <c r="AE421" s="3660"/>
      <c r="AF421" s="3660"/>
      <c r="AG421" s="10464"/>
    </row>
    <row r="422" spans="1:33" ht="21" customHeight="1">
      <c r="A422" s="10663"/>
      <c r="B422" s="10659"/>
      <c r="C422" s="10656"/>
      <c r="D422" s="10656"/>
      <c r="E422" s="10656"/>
      <c r="F422" s="10656"/>
      <c r="G422" s="10656"/>
      <c r="H422" s="10656"/>
      <c r="I422" s="10656"/>
      <c r="J422" s="10656"/>
      <c r="K422" s="10656"/>
      <c r="L422" s="10667"/>
      <c r="M422" s="10667"/>
      <c r="N422" s="10667"/>
      <c r="O422" s="10656"/>
      <c r="P422" s="10656"/>
      <c r="Q422" s="10672"/>
      <c r="R422" s="3867"/>
      <c r="S422" s="5681"/>
      <c r="T422" s="5681"/>
      <c r="U422" s="3495"/>
      <c r="V422" s="5499"/>
      <c r="W422" s="3496"/>
      <c r="X422" s="5523"/>
      <c r="Y422" s="5523"/>
      <c r="Z422" s="5523"/>
      <c r="AA422" s="5524"/>
      <c r="AB422" s="5779"/>
      <c r="AC422" s="3847"/>
      <c r="AD422" s="3496"/>
      <c r="AE422" s="3666"/>
      <c r="AF422" s="3666"/>
      <c r="AG422" s="10678"/>
    </row>
    <row r="423" spans="1:33" ht="21" customHeight="1">
      <c r="A423" s="10663"/>
      <c r="B423" s="10659"/>
      <c r="C423" s="10656"/>
      <c r="D423" s="10656"/>
      <c r="E423" s="10656"/>
      <c r="F423" s="10656"/>
      <c r="G423" s="10656"/>
      <c r="H423" s="10656"/>
      <c r="I423" s="10656"/>
      <c r="J423" s="10656"/>
      <c r="K423" s="10656"/>
      <c r="L423" s="10667"/>
      <c r="M423" s="10667"/>
      <c r="N423" s="10667"/>
      <c r="O423" s="10656"/>
      <c r="P423" s="10656"/>
      <c r="Q423" s="10672"/>
      <c r="R423" s="3867"/>
      <c r="S423" s="5681"/>
      <c r="T423" s="5681"/>
      <c r="U423" s="3495"/>
      <c r="V423" s="5499"/>
      <c r="W423" s="3496"/>
      <c r="X423" s="5523"/>
      <c r="Y423" s="5523"/>
      <c r="Z423" s="5523"/>
      <c r="AA423" s="5524"/>
      <c r="AB423" s="5779"/>
      <c r="AC423" s="3847"/>
      <c r="AD423" s="3496"/>
      <c r="AE423" s="3666"/>
      <c r="AF423" s="3666"/>
      <c r="AG423" s="10678"/>
    </row>
    <row r="424" spans="1:33" ht="21" customHeight="1">
      <c r="A424" s="10663"/>
      <c r="B424" s="10659"/>
      <c r="C424" s="10656"/>
      <c r="D424" s="10656"/>
      <c r="E424" s="10656"/>
      <c r="F424" s="10656"/>
      <c r="G424" s="10656"/>
      <c r="H424" s="10656"/>
      <c r="I424" s="10656"/>
      <c r="J424" s="10656"/>
      <c r="K424" s="10656"/>
      <c r="L424" s="10667"/>
      <c r="M424" s="10667"/>
      <c r="N424" s="10667"/>
      <c r="O424" s="10656"/>
      <c r="P424" s="10656"/>
      <c r="Q424" s="10672"/>
      <c r="R424" s="3868"/>
      <c r="S424" s="5682"/>
      <c r="T424" s="5682"/>
      <c r="U424" s="3495"/>
      <c r="V424" s="5499"/>
      <c r="W424" s="3496"/>
      <c r="X424" s="5523"/>
      <c r="Y424" s="5523"/>
      <c r="Z424" s="5523"/>
      <c r="AA424" s="5524"/>
      <c r="AB424" s="5779"/>
      <c r="AC424" s="3847"/>
      <c r="AD424" s="3496"/>
      <c r="AE424" s="3666"/>
      <c r="AF424" s="3666"/>
      <c r="AG424" s="10678"/>
    </row>
    <row r="425" spans="1:33" ht="33.75" customHeight="1">
      <c r="A425" s="10663"/>
      <c r="B425" s="10661"/>
      <c r="C425" s="10658"/>
      <c r="D425" s="10658"/>
      <c r="E425" s="10658"/>
      <c r="F425" s="10658"/>
      <c r="G425" s="10658"/>
      <c r="H425" s="10658"/>
      <c r="I425" s="10658"/>
      <c r="J425" s="10658"/>
      <c r="K425" s="10658"/>
      <c r="L425" s="10668"/>
      <c r="M425" s="10668"/>
      <c r="N425" s="10668"/>
      <c r="O425" s="10658"/>
      <c r="P425" s="10658"/>
      <c r="Q425" s="10673"/>
      <c r="R425" s="3879"/>
      <c r="S425" s="5683"/>
      <c r="T425" s="5683"/>
      <c r="U425" s="3759"/>
      <c r="V425" s="5509"/>
      <c r="W425" s="3714"/>
      <c r="X425" s="5544"/>
      <c r="Y425" s="5544"/>
      <c r="Z425" s="5544"/>
      <c r="AA425" s="5545"/>
      <c r="AB425" s="5823"/>
      <c r="AC425" s="3717"/>
      <c r="AD425" s="3714"/>
      <c r="AE425" s="3718"/>
      <c r="AF425" s="3718"/>
      <c r="AG425" s="10679"/>
    </row>
    <row r="426" spans="1:33" ht="21" customHeight="1">
      <c r="A426" s="10663"/>
      <c r="B426" s="10516" t="s">
        <v>183</v>
      </c>
      <c r="C426" s="10433" t="s">
        <v>227</v>
      </c>
      <c r="D426" s="10433" t="s">
        <v>228</v>
      </c>
      <c r="E426" s="10433" t="s">
        <v>255</v>
      </c>
      <c r="F426" s="10442" t="s">
        <v>230</v>
      </c>
      <c r="G426" s="10433" t="s">
        <v>132</v>
      </c>
      <c r="H426" s="10433" t="s">
        <v>133</v>
      </c>
      <c r="I426" s="10433" t="s">
        <v>4646</v>
      </c>
      <c r="J426" s="10433" t="s">
        <v>4647</v>
      </c>
      <c r="K426" s="10433" t="s">
        <v>4648</v>
      </c>
      <c r="L426" s="10676">
        <v>1</v>
      </c>
      <c r="M426" s="10676">
        <v>0</v>
      </c>
      <c r="N426" s="10676">
        <v>1</v>
      </c>
      <c r="O426" s="10433" t="s">
        <v>4649</v>
      </c>
      <c r="P426" s="10433" t="s">
        <v>4650</v>
      </c>
      <c r="Q426" s="10439" t="s">
        <v>4645</v>
      </c>
      <c r="R426" s="3885"/>
      <c r="S426" s="5684"/>
      <c r="T426" s="5684"/>
      <c r="U426" s="3762"/>
      <c r="V426" s="5502"/>
      <c r="W426" s="3709"/>
      <c r="X426" s="5529"/>
      <c r="Y426" s="5529"/>
      <c r="Z426" s="5529"/>
      <c r="AA426" s="5530"/>
      <c r="AB426" s="5780"/>
      <c r="AC426" s="3886"/>
      <c r="AD426" s="3709"/>
      <c r="AE426" s="3724"/>
      <c r="AF426" s="3724"/>
      <c r="AG426" s="10525"/>
    </row>
    <row r="427" spans="1:33" ht="21" customHeight="1">
      <c r="A427" s="10663"/>
      <c r="B427" s="10659"/>
      <c r="C427" s="10656"/>
      <c r="D427" s="10656"/>
      <c r="E427" s="10656"/>
      <c r="F427" s="10656"/>
      <c r="G427" s="10656"/>
      <c r="H427" s="10656"/>
      <c r="I427" s="10656"/>
      <c r="J427" s="10656"/>
      <c r="K427" s="10656"/>
      <c r="L427" s="10667"/>
      <c r="M427" s="10667"/>
      <c r="N427" s="10667"/>
      <c r="O427" s="10656"/>
      <c r="P427" s="10656"/>
      <c r="Q427" s="10672"/>
      <c r="R427" s="3867"/>
      <c r="S427" s="5681"/>
      <c r="T427" s="5681"/>
      <c r="U427" s="3495"/>
      <c r="V427" s="5499"/>
      <c r="W427" s="3496"/>
      <c r="X427" s="5523"/>
      <c r="Y427" s="5523"/>
      <c r="Z427" s="5523"/>
      <c r="AA427" s="5524"/>
      <c r="AB427" s="5779"/>
      <c r="AC427" s="3847"/>
      <c r="AD427" s="3496"/>
      <c r="AE427" s="3666"/>
      <c r="AF427" s="3666"/>
      <c r="AG427" s="10678"/>
    </row>
    <row r="428" spans="1:33" ht="21" customHeight="1">
      <c r="A428" s="10663"/>
      <c r="B428" s="10659"/>
      <c r="C428" s="10656"/>
      <c r="D428" s="10656"/>
      <c r="E428" s="10656"/>
      <c r="F428" s="10656"/>
      <c r="G428" s="10656"/>
      <c r="H428" s="10656"/>
      <c r="I428" s="10656"/>
      <c r="J428" s="10656"/>
      <c r="K428" s="10656"/>
      <c r="L428" s="10667"/>
      <c r="M428" s="10667"/>
      <c r="N428" s="10667"/>
      <c r="O428" s="10656"/>
      <c r="P428" s="10656"/>
      <c r="Q428" s="10672"/>
      <c r="R428" s="3867"/>
      <c r="S428" s="5681"/>
      <c r="T428" s="5681"/>
      <c r="U428" s="3495"/>
      <c r="V428" s="5499"/>
      <c r="W428" s="3496"/>
      <c r="X428" s="5523"/>
      <c r="Y428" s="5523"/>
      <c r="Z428" s="5523"/>
      <c r="AA428" s="5524"/>
      <c r="AB428" s="5779"/>
      <c r="AC428" s="3847"/>
      <c r="AD428" s="3496"/>
      <c r="AE428" s="3666"/>
      <c r="AF428" s="3666"/>
      <c r="AG428" s="10678"/>
    </row>
    <row r="429" spans="1:33" ht="21" customHeight="1">
      <c r="A429" s="10663"/>
      <c r="B429" s="10659"/>
      <c r="C429" s="10656"/>
      <c r="D429" s="10656"/>
      <c r="E429" s="10656"/>
      <c r="F429" s="10656"/>
      <c r="G429" s="10656"/>
      <c r="H429" s="10656"/>
      <c r="I429" s="10656"/>
      <c r="J429" s="10656"/>
      <c r="K429" s="10656"/>
      <c r="L429" s="10667"/>
      <c r="M429" s="10667"/>
      <c r="N429" s="10667"/>
      <c r="O429" s="10656"/>
      <c r="P429" s="10656"/>
      <c r="Q429" s="10672"/>
      <c r="R429" s="3868"/>
      <c r="S429" s="5682"/>
      <c r="T429" s="5682"/>
      <c r="U429" s="3495"/>
      <c r="V429" s="5499"/>
      <c r="W429" s="3496"/>
      <c r="X429" s="5523"/>
      <c r="Y429" s="5523"/>
      <c r="Z429" s="5523"/>
      <c r="AA429" s="5524"/>
      <c r="AB429" s="5779"/>
      <c r="AC429" s="3847"/>
      <c r="AD429" s="3496"/>
      <c r="AE429" s="3666"/>
      <c r="AF429" s="3666"/>
      <c r="AG429" s="10678"/>
    </row>
    <row r="430" spans="1:33" ht="21" customHeight="1">
      <c r="A430" s="10663"/>
      <c r="B430" s="10660"/>
      <c r="C430" s="10657"/>
      <c r="D430" s="10657"/>
      <c r="E430" s="10657"/>
      <c r="F430" s="10657"/>
      <c r="G430" s="10657"/>
      <c r="H430" s="10657"/>
      <c r="I430" s="10657"/>
      <c r="J430" s="10657"/>
      <c r="K430" s="10657"/>
      <c r="L430" s="10674"/>
      <c r="M430" s="10674"/>
      <c r="N430" s="10674"/>
      <c r="O430" s="10657"/>
      <c r="P430" s="10657"/>
      <c r="Q430" s="10675"/>
      <c r="R430" s="3887"/>
      <c r="S430" s="5696"/>
      <c r="T430" s="5696"/>
      <c r="U430" s="3557"/>
      <c r="V430" s="5503"/>
      <c r="W430" s="3545"/>
      <c r="X430" s="5532"/>
      <c r="Y430" s="5532"/>
      <c r="Z430" s="5532"/>
      <c r="AA430" s="5533"/>
      <c r="AB430" s="5828"/>
      <c r="AC430" s="3706"/>
      <c r="AD430" s="3545"/>
      <c r="AE430" s="3707"/>
      <c r="AF430" s="3707"/>
      <c r="AG430" s="10680"/>
    </row>
    <row r="431" spans="1:33">
      <c r="A431" s="10663"/>
      <c r="B431" s="10512" t="s">
        <v>183</v>
      </c>
      <c r="C431" s="10444" t="s">
        <v>227</v>
      </c>
      <c r="D431" s="10444" t="s">
        <v>228</v>
      </c>
      <c r="E431" s="10444" t="s">
        <v>229</v>
      </c>
      <c r="F431" s="10451" t="s">
        <v>230</v>
      </c>
      <c r="G431" s="10444" t="s">
        <v>132</v>
      </c>
      <c r="H431" s="10444" t="s">
        <v>133</v>
      </c>
      <c r="I431" s="10444" t="s">
        <v>4651</v>
      </c>
      <c r="J431" s="10444" t="s">
        <v>4652</v>
      </c>
      <c r="K431" s="10444" t="s">
        <v>4653</v>
      </c>
      <c r="L431" s="10666">
        <v>4</v>
      </c>
      <c r="M431" s="10666">
        <v>8</v>
      </c>
      <c r="N431" s="10666">
        <v>8</v>
      </c>
      <c r="O431" s="10444" t="s">
        <v>4654</v>
      </c>
      <c r="P431" s="10444" t="s">
        <v>4655</v>
      </c>
      <c r="Q431" s="10449" t="s">
        <v>4624</v>
      </c>
      <c r="R431" s="3892"/>
      <c r="S431" s="5689"/>
      <c r="T431" s="5689"/>
      <c r="U431" s="3758"/>
      <c r="V431" s="5504"/>
      <c r="W431" s="3658"/>
      <c r="X431" s="5534"/>
      <c r="Y431" s="5534"/>
      <c r="Z431" s="5534"/>
      <c r="AA431" s="5535"/>
      <c r="AB431" s="5822"/>
      <c r="AC431" s="3893"/>
      <c r="AD431" s="3658"/>
      <c r="AE431" s="3660"/>
      <c r="AF431" s="3660"/>
      <c r="AG431" s="10464"/>
    </row>
    <row r="432" spans="1:33">
      <c r="A432" s="10663"/>
      <c r="B432" s="10659"/>
      <c r="C432" s="10656"/>
      <c r="D432" s="10656"/>
      <c r="E432" s="10656"/>
      <c r="F432" s="10656"/>
      <c r="G432" s="10656"/>
      <c r="H432" s="10656"/>
      <c r="I432" s="10656"/>
      <c r="J432" s="10656"/>
      <c r="K432" s="10656"/>
      <c r="L432" s="10667"/>
      <c r="M432" s="10667"/>
      <c r="N432" s="10667"/>
      <c r="O432" s="10656"/>
      <c r="P432" s="10656"/>
      <c r="Q432" s="10672"/>
      <c r="R432" s="3867"/>
      <c r="S432" s="5681"/>
      <c r="T432" s="5681"/>
      <c r="U432" s="3495"/>
      <c r="V432" s="5499"/>
      <c r="W432" s="3496"/>
      <c r="X432" s="5523"/>
      <c r="Y432" s="5523"/>
      <c r="Z432" s="5523"/>
      <c r="AA432" s="5524"/>
      <c r="AB432" s="5779"/>
      <c r="AC432" s="3847"/>
      <c r="AD432" s="3496"/>
      <c r="AE432" s="3666"/>
      <c r="AF432" s="3666"/>
      <c r="AG432" s="10678"/>
    </row>
    <row r="433" spans="1:33">
      <c r="A433" s="10663"/>
      <c r="B433" s="10659"/>
      <c r="C433" s="10656"/>
      <c r="D433" s="10656"/>
      <c r="E433" s="10656"/>
      <c r="F433" s="10656"/>
      <c r="G433" s="10656"/>
      <c r="H433" s="10656"/>
      <c r="I433" s="10656"/>
      <c r="J433" s="10656"/>
      <c r="K433" s="10656"/>
      <c r="L433" s="10667"/>
      <c r="M433" s="10667"/>
      <c r="N433" s="10667"/>
      <c r="O433" s="10656"/>
      <c r="P433" s="10656"/>
      <c r="Q433" s="10672"/>
      <c r="R433" s="3867"/>
      <c r="S433" s="5681"/>
      <c r="T433" s="5681"/>
      <c r="U433" s="3495"/>
      <c r="V433" s="5499"/>
      <c r="W433" s="3496"/>
      <c r="X433" s="5523"/>
      <c r="Y433" s="5523"/>
      <c r="Z433" s="5523"/>
      <c r="AA433" s="5524"/>
      <c r="AB433" s="5779"/>
      <c r="AC433" s="3847"/>
      <c r="AD433" s="3496"/>
      <c r="AE433" s="3666"/>
      <c r="AF433" s="3666"/>
      <c r="AG433" s="10678"/>
    </row>
    <row r="434" spans="1:33">
      <c r="A434" s="10663"/>
      <c r="B434" s="10659"/>
      <c r="C434" s="10656"/>
      <c r="D434" s="10656"/>
      <c r="E434" s="10656"/>
      <c r="F434" s="10656"/>
      <c r="G434" s="10656"/>
      <c r="H434" s="10656"/>
      <c r="I434" s="10656"/>
      <c r="J434" s="10656"/>
      <c r="K434" s="10656"/>
      <c r="L434" s="10667"/>
      <c r="M434" s="10667"/>
      <c r="N434" s="10667"/>
      <c r="O434" s="10656"/>
      <c r="P434" s="10656"/>
      <c r="Q434" s="10672"/>
      <c r="R434" s="3868"/>
      <c r="S434" s="5682"/>
      <c r="T434" s="5682"/>
      <c r="U434" s="3495"/>
      <c r="V434" s="5499"/>
      <c r="W434" s="3496"/>
      <c r="X434" s="5523"/>
      <c r="Y434" s="5523"/>
      <c r="Z434" s="5523"/>
      <c r="AA434" s="5524"/>
      <c r="AB434" s="5779"/>
      <c r="AC434" s="3847"/>
      <c r="AD434" s="3496"/>
      <c r="AE434" s="3666"/>
      <c r="AF434" s="3666"/>
      <c r="AG434" s="10678"/>
    </row>
    <row r="435" spans="1:33" ht="31.5" customHeight="1">
      <c r="A435" s="10663"/>
      <c r="B435" s="10661"/>
      <c r="C435" s="10658"/>
      <c r="D435" s="10658"/>
      <c r="E435" s="10658"/>
      <c r="F435" s="10658"/>
      <c r="G435" s="10658"/>
      <c r="H435" s="10658"/>
      <c r="I435" s="10658"/>
      <c r="J435" s="10658"/>
      <c r="K435" s="10658"/>
      <c r="L435" s="10668"/>
      <c r="M435" s="10668"/>
      <c r="N435" s="10668"/>
      <c r="O435" s="10658"/>
      <c r="P435" s="10658"/>
      <c r="Q435" s="10673"/>
      <c r="R435" s="3879"/>
      <c r="S435" s="5683"/>
      <c r="T435" s="5683"/>
      <c r="U435" s="3759"/>
      <c r="V435" s="5509"/>
      <c r="W435" s="3714"/>
      <c r="X435" s="5544"/>
      <c r="Y435" s="5544"/>
      <c r="Z435" s="5544"/>
      <c r="AA435" s="5545"/>
      <c r="AB435" s="5823"/>
      <c r="AC435" s="3717"/>
      <c r="AD435" s="3714"/>
      <c r="AE435" s="3718"/>
      <c r="AF435" s="3718"/>
      <c r="AG435" s="10679"/>
    </row>
    <row r="436" spans="1:33">
      <c r="A436" s="10663"/>
      <c r="B436" s="10516" t="s">
        <v>183</v>
      </c>
      <c r="C436" s="10433" t="s">
        <v>227</v>
      </c>
      <c r="D436" s="10433" t="s">
        <v>228</v>
      </c>
      <c r="E436" s="10433" t="s">
        <v>229</v>
      </c>
      <c r="F436" s="10442" t="s">
        <v>230</v>
      </c>
      <c r="G436" s="10433" t="s">
        <v>132</v>
      </c>
      <c r="H436" s="10433" t="s">
        <v>159</v>
      </c>
      <c r="I436" s="10433" t="s">
        <v>4656</v>
      </c>
      <c r="J436" s="10433" t="s">
        <v>4657</v>
      </c>
      <c r="K436" s="10433" t="s">
        <v>4658</v>
      </c>
      <c r="L436" s="10676">
        <v>1</v>
      </c>
      <c r="M436" s="10676">
        <v>0</v>
      </c>
      <c r="N436" s="10676">
        <v>1</v>
      </c>
      <c r="O436" s="10433" t="s">
        <v>4659</v>
      </c>
      <c r="P436" s="10433" t="s">
        <v>4660</v>
      </c>
      <c r="Q436" s="10439" t="s">
        <v>4624</v>
      </c>
      <c r="R436" s="3885"/>
      <c r="S436" s="5684"/>
      <c r="T436" s="5684"/>
      <c r="U436" s="3762"/>
      <c r="V436" s="5502"/>
      <c r="W436" s="3709"/>
      <c r="X436" s="5529"/>
      <c r="Y436" s="5529"/>
      <c r="Z436" s="5529"/>
      <c r="AA436" s="5530"/>
      <c r="AB436" s="5780"/>
      <c r="AC436" s="3886"/>
      <c r="AD436" s="3709"/>
      <c r="AE436" s="3724"/>
      <c r="AF436" s="3724"/>
      <c r="AG436" s="10525"/>
    </row>
    <row r="437" spans="1:33">
      <c r="A437" s="10663"/>
      <c r="B437" s="10659"/>
      <c r="C437" s="10656"/>
      <c r="D437" s="10656"/>
      <c r="E437" s="10656"/>
      <c r="F437" s="10656"/>
      <c r="G437" s="10656"/>
      <c r="H437" s="10656"/>
      <c r="I437" s="10656"/>
      <c r="J437" s="10656"/>
      <c r="K437" s="10656"/>
      <c r="L437" s="10667"/>
      <c r="M437" s="10667"/>
      <c r="N437" s="10667"/>
      <c r="O437" s="10656"/>
      <c r="P437" s="10656"/>
      <c r="Q437" s="10672"/>
      <c r="R437" s="3867"/>
      <c r="S437" s="5681"/>
      <c r="T437" s="5681"/>
      <c r="U437" s="3495"/>
      <c r="V437" s="5499"/>
      <c r="W437" s="3496"/>
      <c r="X437" s="5523"/>
      <c r="Y437" s="5523"/>
      <c r="Z437" s="5523"/>
      <c r="AA437" s="5524"/>
      <c r="AB437" s="5779"/>
      <c r="AC437" s="3847"/>
      <c r="AD437" s="3496"/>
      <c r="AE437" s="3666"/>
      <c r="AF437" s="3666"/>
      <c r="AG437" s="10678"/>
    </row>
    <row r="438" spans="1:33">
      <c r="A438" s="10663"/>
      <c r="B438" s="10659"/>
      <c r="C438" s="10656"/>
      <c r="D438" s="10656"/>
      <c r="E438" s="10656"/>
      <c r="F438" s="10656"/>
      <c r="G438" s="10656"/>
      <c r="H438" s="10656"/>
      <c r="I438" s="10656"/>
      <c r="J438" s="10656"/>
      <c r="K438" s="10656"/>
      <c r="L438" s="10667"/>
      <c r="M438" s="10667"/>
      <c r="N438" s="10667"/>
      <c r="O438" s="10656"/>
      <c r="P438" s="10656"/>
      <c r="Q438" s="10672"/>
      <c r="R438" s="3867"/>
      <c r="S438" s="5681"/>
      <c r="T438" s="5681"/>
      <c r="U438" s="3495"/>
      <c r="V438" s="5499"/>
      <c r="W438" s="3496"/>
      <c r="X438" s="5523"/>
      <c r="Y438" s="5523"/>
      <c r="Z438" s="5523"/>
      <c r="AA438" s="5524"/>
      <c r="AB438" s="5779"/>
      <c r="AC438" s="3847"/>
      <c r="AD438" s="3496"/>
      <c r="AE438" s="3666"/>
      <c r="AF438" s="3666"/>
      <c r="AG438" s="10678"/>
    </row>
    <row r="439" spans="1:33">
      <c r="A439" s="10663"/>
      <c r="B439" s="10659"/>
      <c r="C439" s="10656"/>
      <c r="D439" s="10656"/>
      <c r="E439" s="10656"/>
      <c r="F439" s="10656"/>
      <c r="G439" s="10656"/>
      <c r="H439" s="10656"/>
      <c r="I439" s="10656"/>
      <c r="J439" s="10656"/>
      <c r="K439" s="10656"/>
      <c r="L439" s="10667"/>
      <c r="M439" s="10667"/>
      <c r="N439" s="10667"/>
      <c r="O439" s="10656"/>
      <c r="P439" s="10656"/>
      <c r="Q439" s="10672"/>
      <c r="R439" s="3868"/>
      <c r="S439" s="5682"/>
      <c r="T439" s="5682"/>
      <c r="U439" s="3495"/>
      <c r="V439" s="5499"/>
      <c r="W439" s="3496"/>
      <c r="X439" s="5523"/>
      <c r="Y439" s="5523"/>
      <c r="Z439" s="5523"/>
      <c r="AA439" s="5524"/>
      <c r="AB439" s="5779"/>
      <c r="AC439" s="3847"/>
      <c r="AD439" s="3496"/>
      <c r="AE439" s="3666"/>
      <c r="AF439" s="3666"/>
      <c r="AG439" s="10678"/>
    </row>
    <row r="440" spans="1:33" ht="33" customHeight="1">
      <c r="A440" s="10663"/>
      <c r="B440" s="10660"/>
      <c r="C440" s="10657"/>
      <c r="D440" s="10657"/>
      <c r="E440" s="10657"/>
      <c r="F440" s="10657"/>
      <c r="G440" s="10657"/>
      <c r="H440" s="10657"/>
      <c r="I440" s="10657"/>
      <c r="J440" s="10657"/>
      <c r="K440" s="10657"/>
      <c r="L440" s="10674"/>
      <c r="M440" s="10674"/>
      <c r="N440" s="10674"/>
      <c r="O440" s="10657"/>
      <c r="P440" s="10657"/>
      <c r="Q440" s="10675"/>
      <c r="R440" s="3887"/>
      <c r="S440" s="5696"/>
      <c r="T440" s="5696"/>
      <c r="U440" s="3557"/>
      <c r="V440" s="5503"/>
      <c r="W440" s="3545"/>
      <c r="X440" s="5532"/>
      <c r="Y440" s="5532"/>
      <c r="Z440" s="5532"/>
      <c r="AA440" s="5533"/>
      <c r="AB440" s="5828"/>
      <c r="AC440" s="3706"/>
      <c r="AD440" s="3545"/>
      <c r="AE440" s="3707"/>
      <c r="AF440" s="3707"/>
      <c r="AG440" s="10680"/>
    </row>
    <row r="441" spans="1:33">
      <c r="A441" s="10663"/>
      <c r="B441" s="10512" t="s">
        <v>183</v>
      </c>
      <c r="C441" s="10444" t="s">
        <v>227</v>
      </c>
      <c r="D441" s="10444" t="s">
        <v>228</v>
      </c>
      <c r="E441" s="10444" t="s">
        <v>229</v>
      </c>
      <c r="F441" s="10451" t="s">
        <v>230</v>
      </c>
      <c r="G441" s="10444" t="s">
        <v>132</v>
      </c>
      <c r="H441" s="10444" t="s">
        <v>159</v>
      </c>
      <c r="I441" s="10444" t="s">
        <v>4661</v>
      </c>
      <c r="J441" s="10444" t="s">
        <v>4662</v>
      </c>
      <c r="K441" s="10444" t="s">
        <v>4663</v>
      </c>
      <c r="L441" s="10666">
        <v>0</v>
      </c>
      <c r="M441" s="10666">
        <v>1</v>
      </c>
      <c r="N441" s="10666">
        <v>1</v>
      </c>
      <c r="O441" s="10444" t="s">
        <v>4664</v>
      </c>
      <c r="P441" s="10444" t="s">
        <v>4665</v>
      </c>
      <c r="Q441" s="10449" t="s">
        <v>4624</v>
      </c>
      <c r="R441" s="3892"/>
      <c r="S441" s="5689"/>
      <c r="T441" s="5689"/>
      <c r="U441" s="3758"/>
      <c r="V441" s="5504"/>
      <c r="W441" s="3658"/>
      <c r="X441" s="5534"/>
      <c r="Y441" s="5534"/>
      <c r="Z441" s="5534"/>
      <c r="AA441" s="5535"/>
      <c r="AB441" s="5822"/>
      <c r="AC441" s="3893"/>
      <c r="AD441" s="3658"/>
      <c r="AE441" s="3660"/>
      <c r="AF441" s="3660"/>
      <c r="AG441" s="10464"/>
    </row>
    <row r="442" spans="1:33">
      <c r="A442" s="10663"/>
      <c r="B442" s="10659"/>
      <c r="C442" s="10656"/>
      <c r="D442" s="10656"/>
      <c r="E442" s="10656"/>
      <c r="F442" s="10656"/>
      <c r="G442" s="10656"/>
      <c r="H442" s="10656"/>
      <c r="I442" s="10656"/>
      <c r="J442" s="10656"/>
      <c r="K442" s="10656"/>
      <c r="L442" s="10667"/>
      <c r="M442" s="10667"/>
      <c r="N442" s="10667"/>
      <c r="O442" s="10656"/>
      <c r="P442" s="10656"/>
      <c r="Q442" s="10672"/>
      <c r="R442" s="3867"/>
      <c r="S442" s="5681"/>
      <c r="T442" s="5681"/>
      <c r="U442" s="3495"/>
      <c r="V442" s="5499"/>
      <c r="W442" s="3496"/>
      <c r="X442" s="5523"/>
      <c r="Y442" s="5523"/>
      <c r="Z442" s="5523"/>
      <c r="AA442" s="5524"/>
      <c r="AB442" s="5779"/>
      <c r="AC442" s="3847"/>
      <c r="AD442" s="3496"/>
      <c r="AE442" s="3666"/>
      <c r="AF442" s="3666"/>
      <c r="AG442" s="10678"/>
    </row>
    <row r="443" spans="1:33">
      <c r="A443" s="10663"/>
      <c r="B443" s="10659"/>
      <c r="C443" s="10656"/>
      <c r="D443" s="10656"/>
      <c r="E443" s="10656"/>
      <c r="F443" s="10656"/>
      <c r="G443" s="10656"/>
      <c r="H443" s="10656"/>
      <c r="I443" s="10656"/>
      <c r="J443" s="10656"/>
      <c r="K443" s="10656"/>
      <c r="L443" s="10667"/>
      <c r="M443" s="10667"/>
      <c r="N443" s="10667"/>
      <c r="O443" s="10656"/>
      <c r="P443" s="10656"/>
      <c r="Q443" s="10672"/>
      <c r="R443" s="3867"/>
      <c r="S443" s="5681"/>
      <c r="T443" s="5681"/>
      <c r="U443" s="3495"/>
      <c r="V443" s="5499"/>
      <c r="W443" s="3496"/>
      <c r="X443" s="5523"/>
      <c r="Y443" s="5523"/>
      <c r="Z443" s="5523"/>
      <c r="AA443" s="5524"/>
      <c r="AB443" s="5779"/>
      <c r="AC443" s="3847"/>
      <c r="AD443" s="3496"/>
      <c r="AE443" s="3666"/>
      <c r="AF443" s="3666"/>
      <c r="AG443" s="10678"/>
    </row>
    <row r="444" spans="1:33">
      <c r="A444" s="10663"/>
      <c r="B444" s="10659"/>
      <c r="C444" s="10656"/>
      <c r="D444" s="10656"/>
      <c r="E444" s="10656"/>
      <c r="F444" s="10656"/>
      <c r="G444" s="10656"/>
      <c r="H444" s="10656"/>
      <c r="I444" s="10656"/>
      <c r="J444" s="10656"/>
      <c r="K444" s="10656"/>
      <c r="L444" s="10667"/>
      <c r="M444" s="10667"/>
      <c r="N444" s="10667"/>
      <c r="O444" s="10656"/>
      <c r="P444" s="10656"/>
      <c r="Q444" s="10672"/>
      <c r="R444" s="3868"/>
      <c r="S444" s="5682"/>
      <c r="T444" s="5682"/>
      <c r="U444" s="3495"/>
      <c r="V444" s="5499"/>
      <c r="W444" s="3496"/>
      <c r="X444" s="5523"/>
      <c r="Y444" s="5523"/>
      <c r="Z444" s="5523"/>
      <c r="AA444" s="5524"/>
      <c r="AB444" s="5779"/>
      <c r="AC444" s="3847"/>
      <c r="AD444" s="3496"/>
      <c r="AE444" s="3666"/>
      <c r="AF444" s="3666"/>
      <c r="AG444" s="10678"/>
    </row>
    <row r="445" spans="1:33" ht="27" customHeight="1">
      <c r="A445" s="10663"/>
      <c r="B445" s="10661"/>
      <c r="C445" s="10658"/>
      <c r="D445" s="10658"/>
      <c r="E445" s="10658"/>
      <c r="F445" s="10658"/>
      <c r="G445" s="10658"/>
      <c r="H445" s="10658"/>
      <c r="I445" s="10658"/>
      <c r="J445" s="10658"/>
      <c r="K445" s="10658"/>
      <c r="L445" s="10668"/>
      <c r="M445" s="10668"/>
      <c r="N445" s="10668"/>
      <c r="O445" s="10658"/>
      <c r="P445" s="10658"/>
      <c r="Q445" s="10673"/>
      <c r="R445" s="3879"/>
      <c r="S445" s="5683"/>
      <c r="T445" s="5683"/>
      <c r="U445" s="3759"/>
      <c r="V445" s="5509"/>
      <c r="W445" s="3714"/>
      <c r="X445" s="5544"/>
      <c r="Y445" s="5544"/>
      <c r="Z445" s="5544"/>
      <c r="AA445" s="5545"/>
      <c r="AB445" s="5823"/>
      <c r="AC445" s="3717"/>
      <c r="AD445" s="3714"/>
      <c r="AE445" s="3718"/>
      <c r="AF445" s="3718"/>
      <c r="AG445" s="10679"/>
    </row>
    <row r="446" spans="1:33">
      <c r="A446" s="10663"/>
      <c r="B446" s="10516" t="s">
        <v>183</v>
      </c>
      <c r="C446" s="10433" t="s">
        <v>227</v>
      </c>
      <c r="D446" s="10433" t="s">
        <v>228</v>
      </c>
      <c r="E446" s="10433" t="s">
        <v>229</v>
      </c>
      <c r="F446" s="10442" t="s">
        <v>230</v>
      </c>
      <c r="G446" s="10433" t="s">
        <v>132</v>
      </c>
      <c r="H446" s="10433" t="s">
        <v>133</v>
      </c>
      <c r="I446" s="10433" t="s">
        <v>4666</v>
      </c>
      <c r="J446" s="10433" t="s">
        <v>4667</v>
      </c>
      <c r="K446" s="10433" t="s">
        <v>4668</v>
      </c>
      <c r="L446" s="10676">
        <v>0</v>
      </c>
      <c r="M446" s="10676">
        <v>1</v>
      </c>
      <c r="N446" s="10676">
        <v>1</v>
      </c>
      <c r="O446" s="10433" t="s">
        <v>4669</v>
      </c>
      <c r="P446" s="10433" t="s">
        <v>4670</v>
      </c>
      <c r="Q446" s="10439" t="s">
        <v>4624</v>
      </c>
      <c r="R446" s="3885"/>
      <c r="S446" s="5684"/>
      <c r="T446" s="5684"/>
      <c r="U446" s="3762"/>
      <c r="V446" s="5502"/>
      <c r="W446" s="3709"/>
      <c r="X446" s="5529"/>
      <c r="Y446" s="5529"/>
      <c r="Z446" s="5529"/>
      <c r="AA446" s="5530"/>
      <c r="AB446" s="5780"/>
      <c r="AC446" s="3886"/>
      <c r="AD446" s="3709"/>
      <c r="AE446" s="3724"/>
      <c r="AF446" s="3724"/>
      <c r="AG446" s="10525"/>
    </row>
    <row r="447" spans="1:33">
      <c r="A447" s="10663"/>
      <c r="B447" s="10659"/>
      <c r="C447" s="10656"/>
      <c r="D447" s="10656"/>
      <c r="E447" s="10656"/>
      <c r="F447" s="10656"/>
      <c r="G447" s="10656"/>
      <c r="H447" s="10656"/>
      <c r="I447" s="10656"/>
      <c r="J447" s="10656"/>
      <c r="K447" s="10656"/>
      <c r="L447" s="10667"/>
      <c r="M447" s="10667"/>
      <c r="N447" s="10667"/>
      <c r="O447" s="10656"/>
      <c r="P447" s="10656"/>
      <c r="Q447" s="10672"/>
      <c r="R447" s="3867"/>
      <c r="S447" s="5681"/>
      <c r="T447" s="5681"/>
      <c r="U447" s="3495"/>
      <c r="V447" s="5499"/>
      <c r="W447" s="3496"/>
      <c r="X447" s="5523"/>
      <c r="Y447" s="5523"/>
      <c r="Z447" s="5523"/>
      <c r="AA447" s="5524"/>
      <c r="AB447" s="5779"/>
      <c r="AC447" s="3847"/>
      <c r="AD447" s="3496"/>
      <c r="AE447" s="3666"/>
      <c r="AF447" s="3666"/>
      <c r="AG447" s="10678"/>
    </row>
    <row r="448" spans="1:33">
      <c r="A448" s="10663"/>
      <c r="B448" s="10659"/>
      <c r="C448" s="10656"/>
      <c r="D448" s="10656"/>
      <c r="E448" s="10656"/>
      <c r="F448" s="10656"/>
      <c r="G448" s="10656"/>
      <c r="H448" s="10656"/>
      <c r="I448" s="10656"/>
      <c r="J448" s="10656"/>
      <c r="K448" s="10656"/>
      <c r="L448" s="10667"/>
      <c r="M448" s="10667"/>
      <c r="N448" s="10667"/>
      <c r="O448" s="10656"/>
      <c r="P448" s="10656"/>
      <c r="Q448" s="10672"/>
      <c r="R448" s="3867"/>
      <c r="S448" s="5681"/>
      <c r="T448" s="5681"/>
      <c r="U448" s="3495"/>
      <c r="V448" s="5499"/>
      <c r="W448" s="3496"/>
      <c r="X448" s="5523"/>
      <c r="Y448" s="5523"/>
      <c r="Z448" s="5523"/>
      <c r="AA448" s="5524"/>
      <c r="AB448" s="5779"/>
      <c r="AC448" s="3847"/>
      <c r="AD448" s="3496"/>
      <c r="AE448" s="3666"/>
      <c r="AF448" s="3666"/>
      <c r="AG448" s="10678"/>
    </row>
    <row r="449" spans="1:33">
      <c r="A449" s="10663"/>
      <c r="B449" s="10659"/>
      <c r="C449" s="10656"/>
      <c r="D449" s="10656"/>
      <c r="E449" s="10656"/>
      <c r="F449" s="10656"/>
      <c r="G449" s="10656"/>
      <c r="H449" s="10656"/>
      <c r="I449" s="10656"/>
      <c r="J449" s="10656"/>
      <c r="K449" s="10656"/>
      <c r="L449" s="10667"/>
      <c r="M449" s="10667"/>
      <c r="N449" s="10667"/>
      <c r="O449" s="10656"/>
      <c r="P449" s="10656"/>
      <c r="Q449" s="10672"/>
      <c r="R449" s="3868"/>
      <c r="S449" s="5682"/>
      <c r="T449" s="5682"/>
      <c r="U449" s="3495"/>
      <c r="V449" s="5499"/>
      <c r="W449" s="3496"/>
      <c r="X449" s="5523"/>
      <c r="Y449" s="5523"/>
      <c r="Z449" s="5523"/>
      <c r="AA449" s="5524"/>
      <c r="AB449" s="5779"/>
      <c r="AC449" s="3847"/>
      <c r="AD449" s="3496"/>
      <c r="AE449" s="3666"/>
      <c r="AF449" s="3666"/>
      <c r="AG449" s="10678"/>
    </row>
    <row r="450" spans="1:33" ht="27.75" customHeight="1">
      <c r="A450" s="10663"/>
      <c r="B450" s="10660"/>
      <c r="C450" s="10657"/>
      <c r="D450" s="10657"/>
      <c r="E450" s="10657"/>
      <c r="F450" s="10657"/>
      <c r="G450" s="10657"/>
      <c r="H450" s="10657"/>
      <c r="I450" s="10657"/>
      <c r="J450" s="10657"/>
      <c r="K450" s="10657"/>
      <c r="L450" s="10674"/>
      <c r="M450" s="10674"/>
      <c r="N450" s="10674"/>
      <c r="O450" s="10657"/>
      <c r="P450" s="10657"/>
      <c r="Q450" s="10675"/>
      <c r="R450" s="3887"/>
      <c r="S450" s="5696"/>
      <c r="T450" s="5696"/>
      <c r="U450" s="3557"/>
      <c r="V450" s="5503"/>
      <c r="W450" s="3545"/>
      <c r="X450" s="5532"/>
      <c r="Y450" s="5532"/>
      <c r="Z450" s="5532"/>
      <c r="AA450" s="5533"/>
      <c r="AB450" s="5828"/>
      <c r="AC450" s="3706"/>
      <c r="AD450" s="3545"/>
      <c r="AE450" s="3707"/>
      <c r="AF450" s="3707"/>
      <c r="AG450" s="10680"/>
    </row>
    <row r="451" spans="1:33" ht="20.25" customHeight="1">
      <c r="A451" s="10663"/>
      <c r="B451" s="10512" t="s">
        <v>183</v>
      </c>
      <c r="C451" s="10444" t="s">
        <v>227</v>
      </c>
      <c r="D451" s="10444" t="s">
        <v>490</v>
      </c>
      <c r="E451" s="10444" t="s">
        <v>1484</v>
      </c>
      <c r="F451" s="10451" t="s">
        <v>230</v>
      </c>
      <c r="G451" s="10444" t="s">
        <v>231</v>
      </c>
      <c r="H451" s="10444" t="s">
        <v>159</v>
      </c>
      <c r="I451" s="10444" t="s">
        <v>4671</v>
      </c>
      <c r="J451" s="10444" t="s">
        <v>4672</v>
      </c>
      <c r="K451" s="10444" t="s">
        <v>4673</v>
      </c>
      <c r="L451" s="10666">
        <v>0</v>
      </c>
      <c r="M451" s="10666">
        <v>0</v>
      </c>
      <c r="N451" s="10666">
        <v>1</v>
      </c>
      <c r="O451" s="10444" t="s">
        <v>4674</v>
      </c>
      <c r="P451" s="10444" t="s">
        <v>953</v>
      </c>
      <c r="Q451" s="10449" t="s">
        <v>4645</v>
      </c>
      <c r="R451" s="3892"/>
      <c r="S451" s="5689"/>
      <c r="T451" s="5689"/>
      <c r="U451" s="3758"/>
      <c r="V451" s="5504"/>
      <c r="W451" s="3658"/>
      <c r="X451" s="5534"/>
      <c r="Y451" s="5534"/>
      <c r="Z451" s="5534"/>
      <c r="AA451" s="5535"/>
      <c r="AB451" s="5822"/>
      <c r="AC451" s="3893"/>
      <c r="AD451" s="3658"/>
      <c r="AE451" s="3660"/>
      <c r="AF451" s="3660"/>
      <c r="AG451" s="10464"/>
    </row>
    <row r="452" spans="1:33" ht="20.25" customHeight="1">
      <c r="A452" s="10663"/>
      <c r="B452" s="10659"/>
      <c r="C452" s="10656"/>
      <c r="D452" s="10656"/>
      <c r="E452" s="10656"/>
      <c r="F452" s="10656"/>
      <c r="G452" s="10656"/>
      <c r="H452" s="10656"/>
      <c r="I452" s="10656"/>
      <c r="J452" s="10656"/>
      <c r="K452" s="10656"/>
      <c r="L452" s="10667"/>
      <c r="M452" s="10667"/>
      <c r="N452" s="10667"/>
      <c r="O452" s="10656"/>
      <c r="P452" s="10656"/>
      <c r="Q452" s="10672"/>
      <c r="R452" s="3867"/>
      <c r="S452" s="5681"/>
      <c r="T452" s="5681"/>
      <c r="U452" s="3495"/>
      <c r="V452" s="5499"/>
      <c r="W452" s="3496"/>
      <c r="X452" s="5523"/>
      <c r="Y452" s="5523"/>
      <c r="Z452" s="5523"/>
      <c r="AA452" s="5524"/>
      <c r="AB452" s="5779"/>
      <c r="AC452" s="3847"/>
      <c r="AD452" s="3496"/>
      <c r="AE452" s="3666"/>
      <c r="AF452" s="3666"/>
      <c r="AG452" s="10678"/>
    </row>
    <row r="453" spans="1:33" ht="20.25" customHeight="1">
      <c r="A453" s="10663"/>
      <c r="B453" s="10659"/>
      <c r="C453" s="10656"/>
      <c r="D453" s="10656"/>
      <c r="E453" s="10656"/>
      <c r="F453" s="10656"/>
      <c r="G453" s="10656"/>
      <c r="H453" s="10656"/>
      <c r="I453" s="10656"/>
      <c r="J453" s="10656"/>
      <c r="K453" s="10656"/>
      <c r="L453" s="10667"/>
      <c r="M453" s="10667"/>
      <c r="N453" s="10667"/>
      <c r="O453" s="10656"/>
      <c r="P453" s="10656"/>
      <c r="Q453" s="10672"/>
      <c r="R453" s="3867"/>
      <c r="S453" s="5681"/>
      <c r="T453" s="5681"/>
      <c r="U453" s="3495"/>
      <c r="V453" s="5499"/>
      <c r="W453" s="3496"/>
      <c r="X453" s="5523"/>
      <c r="Y453" s="5523"/>
      <c r="Z453" s="5523"/>
      <c r="AA453" s="5524"/>
      <c r="AB453" s="5779"/>
      <c r="AC453" s="3847"/>
      <c r="AD453" s="3496"/>
      <c r="AE453" s="3666"/>
      <c r="AF453" s="3666"/>
      <c r="AG453" s="10678"/>
    </row>
    <row r="454" spans="1:33" ht="20.25" customHeight="1">
      <c r="A454" s="10663"/>
      <c r="B454" s="10659"/>
      <c r="C454" s="10656"/>
      <c r="D454" s="10656"/>
      <c r="E454" s="10656"/>
      <c r="F454" s="10656"/>
      <c r="G454" s="10656"/>
      <c r="H454" s="10656"/>
      <c r="I454" s="10656"/>
      <c r="J454" s="10656"/>
      <c r="K454" s="10656"/>
      <c r="L454" s="10667"/>
      <c r="M454" s="10667"/>
      <c r="N454" s="10667"/>
      <c r="O454" s="10656"/>
      <c r="P454" s="10656"/>
      <c r="Q454" s="10672"/>
      <c r="R454" s="3868"/>
      <c r="S454" s="5682"/>
      <c r="T454" s="5682"/>
      <c r="U454" s="3495"/>
      <c r="V454" s="5499"/>
      <c r="W454" s="3496"/>
      <c r="X454" s="5523"/>
      <c r="Y454" s="5523"/>
      <c r="Z454" s="5523"/>
      <c r="AA454" s="5524"/>
      <c r="AB454" s="5779"/>
      <c r="AC454" s="3847"/>
      <c r="AD454" s="3496"/>
      <c r="AE454" s="3666"/>
      <c r="AF454" s="3666"/>
      <c r="AG454" s="10678"/>
    </row>
    <row r="455" spans="1:33" ht="20.25" customHeight="1">
      <c r="A455" s="10663"/>
      <c r="B455" s="10661"/>
      <c r="C455" s="10658"/>
      <c r="D455" s="10658"/>
      <c r="E455" s="10658"/>
      <c r="F455" s="10658"/>
      <c r="G455" s="10658"/>
      <c r="H455" s="10658"/>
      <c r="I455" s="10658"/>
      <c r="J455" s="10658"/>
      <c r="K455" s="10658"/>
      <c r="L455" s="10668"/>
      <c r="M455" s="10668"/>
      <c r="N455" s="10668"/>
      <c r="O455" s="10658"/>
      <c r="P455" s="10658"/>
      <c r="Q455" s="10673"/>
      <c r="R455" s="3879"/>
      <c r="S455" s="5683"/>
      <c r="T455" s="5683"/>
      <c r="U455" s="3759"/>
      <c r="V455" s="5509"/>
      <c r="W455" s="3714"/>
      <c r="X455" s="5544"/>
      <c r="Y455" s="5544"/>
      <c r="Z455" s="5544"/>
      <c r="AA455" s="5545"/>
      <c r="AB455" s="5823"/>
      <c r="AC455" s="3717"/>
      <c r="AD455" s="3714"/>
      <c r="AE455" s="3718"/>
      <c r="AF455" s="3718"/>
      <c r="AG455" s="10679"/>
    </row>
    <row r="456" spans="1:33">
      <c r="A456" s="10663"/>
      <c r="B456" s="10516" t="s">
        <v>183</v>
      </c>
      <c r="C456" s="10433" t="s">
        <v>227</v>
      </c>
      <c r="D456" s="10433" t="s">
        <v>228</v>
      </c>
      <c r="E456" s="10433" t="s">
        <v>229</v>
      </c>
      <c r="F456" s="10442" t="s">
        <v>230</v>
      </c>
      <c r="G456" s="10433" t="s">
        <v>132</v>
      </c>
      <c r="H456" s="10433" t="s">
        <v>133</v>
      </c>
      <c r="I456" s="10433" t="s">
        <v>4675</v>
      </c>
      <c r="J456" s="10433" t="s">
        <v>4676</v>
      </c>
      <c r="K456" s="10433" t="s">
        <v>4677</v>
      </c>
      <c r="L456" s="10676">
        <v>20</v>
      </c>
      <c r="M456" s="10676">
        <v>20</v>
      </c>
      <c r="N456" s="10676">
        <v>20</v>
      </c>
      <c r="O456" s="10433" t="s">
        <v>4678</v>
      </c>
      <c r="P456" s="10433" t="s">
        <v>4679</v>
      </c>
      <c r="Q456" s="10439" t="s">
        <v>4680</v>
      </c>
      <c r="R456" s="3885"/>
      <c r="S456" s="5684"/>
      <c r="T456" s="5684"/>
      <c r="U456" s="3762"/>
      <c r="V456" s="5502"/>
      <c r="W456" s="3709"/>
      <c r="X456" s="5529"/>
      <c r="Y456" s="5529"/>
      <c r="Z456" s="5529"/>
      <c r="AA456" s="5530"/>
      <c r="AB456" s="5780"/>
      <c r="AC456" s="3886"/>
      <c r="AD456" s="3709"/>
      <c r="AE456" s="3724"/>
      <c r="AF456" s="3724"/>
      <c r="AG456" s="10525"/>
    </row>
    <row r="457" spans="1:33">
      <c r="A457" s="10663"/>
      <c r="B457" s="10659"/>
      <c r="C457" s="10656"/>
      <c r="D457" s="10656"/>
      <c r="E457" s="10656"/>
      <c r="F457" s="10656"/>
      <c r="G457" s="10656"/>
      <c r="H457" s="10656"/>
      <c r="I457" s="10656"/>
      <c r="J457" s="10656"/>
      <c r="K457" s="10656"/>
      <c r="L457" s="10667"/>
      <c r="M457" s="10667"/>
      <c r="N457" s="10667"/>
      <c r="O457" s="10656"/>
      <c r="P457" s="10656"/>
      <c r="Q457" s="10672"/>
      <c r="R457" s="3867"/>
      <c r="S457" s="5681"/>
      <c r="T457" s="5681"/>
      <c r="U457" s="3495"/>
      <c r="V457" s="5499"/>
      <c r="W457" s="3496"/>
      <c r="X457" s="5523"/>
      <c r="Y457" s="5523"/>
      <c r="Z457" s="5523"/>
      <c r="AA457" s="5524"/>
      <c r="AB457" s="5779"/>
      <c r="AC457" s="3847"/>
      <c r="AD457" s="3496"/>
      <c r="AE457" s="3666"/>
      <c r="AF457" s="3666"/>
      <c r="AG457" s="10678"/>
    </row>
    <row r="458" spans="1:33">
      <c r="A458" s="10663"/>
      <c r="B458" s="10659"/>
      <c r="C458" s="10656"/>
      <c r="D458" s="10656"/>
      <c r="E458" s="10656"/>
      <c r="F458" s="10656"/>
      <c r="G458" s="10656"/>
      <c r="H458" s="10656"/>
      <c r="I458" s="10656"/>
      <c r="J458" s="10656"/>
      <c r="K458" s="10656"/>
      <c r="L458" s="10667"/>
      <c r="M458" s="10667"/>
      <c r="N458" s="10667"/>
      <c r="O458" s="10656"/>
      <c r="P458" s="10656"/>
      <c r="Q458" s="10672"/>
      <c r="R458" s="3867"/>
      <c r="S458" s="5681"/>
      <c r="T458" s="5681"/>
      <c r="U458" s="3495"/>
      <c r="V458" s="5499"/>
      <c r="W458" s="3496"/>
      <c r="X458" s="5523"/>
      <c r="Y458" s="5523"/>
      <c r="Z458" s="5523"/>
      <c r="AA458" s="5524"/>
      <c r="AB458" s="5779"/>
      <c r="AC458" s="3847"/>
      <c r="AD458" s="3496"/>
      <c r="AE458" s="3666"/>
      <c r="AF458" s="3666"/>
      <c r="AG458" s="10678"/>
    </row>
    <row r="459" spans="1:33">
      <c r="A459" s="10663"/>
      <c r="B459" s="10659"/>
      <c r="C459" s="10656"/>
      <c r="D459" s="10656"/>
      <c r="E459" s="10656"/>
      <c r="F459" s="10656"/>
      <c r="G459" s="10656"/>
      <c r="H459" s="10656"/>
      <c r="I459" s="10656"/>
      <c r="J459" s="10656"/>
      <c r="K459" s="10656"/>
      <c r="L459" s="10667"/>
      <c r="M459" s="10667"/>
      <c r="N459" s="10667"/>
      <c r="O459" s="10656"/>
      <c r="P459" s="10656"/>
      <c r="Q459" s="10672"/>
      <c r="R459" s="3868"/>
      <c r="S459" s="5682"/>
      <c r="T459" s="5682"/>
      <c r="U459" s="3495"/>
      <c r="V459" s="5499"/>
      <c r="W459" s="3496"/>
      <c r="X459" s="5523"/>
      <c r="Y459" s="5523"/>
      <c r="Z459" s="5523"/>
      <c r="AA459" s="5524"/>
      <c r="AB459" s="5779"/>
      <c r="AC459" s="3847"/>
      <c r="AD459" s="3496"/>
      <c r="AE459" s="3666"/>
      <c r="AF459" s="3666"/>
      <c r="AG459" s="10678"/>
    </row>
    <row r="460" spans="1:33" ht="30" customHeight="1">
      <c r="A460" s="10663"/>
      <c r="B460" s="10660"/>
      <c r="C460" s="10657"/>
      <c r="D460" s="10657"/>
      <c r="E460" s="10657"/>
      <c r="F460" s="10657"/>
      <c r="G460" s="10657"/>
      <c r="H460" s="10657"/>
      <c r="I460" s="10657"/>
      <c r="J460" s="10657"/>
      <c r="K460" s="10657"/>
      <c r="L460" s="10674"/>
      <c r="M460" s="10674"/>
      <c r="N460" s="10674"/>
      <c r="O460" s="10657"/>
      <c r="P460" s="10657"/>
      <c r="Q460" s="10675"/>
      <c r="R460" s="3887"/>
      <c r="S460" s="5696"/>
      <c r="T460" s="5696"/>
      <c r="U460" s="3557"/>
      <c r="V460" s="5503"/>
      <c r="W460" s="3545"/>
      <c r="X460" s="5532"/>
      <c r="Y460" s="5532"/>
      <c r="Z460" s="5532"/>
      <c r="AA460" s="5533"/>
      <c r="AB460" s="5828"/>
      <c r="AC460" s="3706"/>
      <c r="AD460" s="3545"/>
      <c r="AE460" s="3707"/>
      <c r="AF460" s="3707"/>
      <c r="AG460" s="10680"/>
    </row>
    <row r="461" spans="1:33">
      <c r="A461" s="10663"/>
      <c r="B461" s="10512" t="s">
        <v>183</v>
      </c>
      <c r="C461" s="10444" t="s">
        <v>227</v>
      </c>
      <c r="D461" s="10444" t="s">
        <v>228</v>
      </c>
      <c r="E461" s="10444" t="s">
        <v>229</v>
      </c>
      <c r="F461" s="10451" t="s">
        <v>230</v>
      </c>
      <c r="G461" s="10444" t="s">
        <v>132</v>
      </c>
      <c r="H461" s="10444" t="s">
        <v>159</v>
      </c>
      <c r="I461" s="10444" t="s">
        <v>4681</v>
      </c>
      <c r="J461" s="10444" t="s">
        <v>4682</v>
      </c>
      <c r="K461" s="10444" t="s">
        <v>4683</v>
      </c>
      <c r="L461" s="10666">
        <v>1</v>
      </c>
      <c r="M461" s="10666">
        <v>1</v>
      </c>
      <c r="N461" s="10666">
        <v>1</v>
      </c>
      <c r="O461" s="10444" t="s">
        <v>4684</v>
      </c>
      <c r="P461" s="10444" t="s">
        <v>4684</v>
      </c>
      <c r="Q461" s="10449" t="s">
        <v>4680</v>
      </c>
      <c r="R461" s="3892"/>
      <c r="S461" s="5689"/>
      <c r="T461" s="5689"/>
      <c r="U461" s="3758"/>
      <c r="V461" s="5504"/>
      <c r="W461" s="3658"/>
      <c r="X461" s="5534"/>
      <c r="Y461" s="5534"/>
      <c r="Z461" s="5534"/>
      <c r="AA461" s="5535"/>
      <c r="AB461" s="5822"/>
      <c r="AC461" s="3893"/>
      <c r="AD461" s="3658"/>
      <c r="AE461" s="3660"/>
      <c r="AF461" s="3660"/>
      <c r="AG461" s="10464"/>
    </row>
    <row r="462" spans="1:33">
      <c r="A462" s="10663"/>
      <c r="B462" s="10659"/>
      <c r="C462" s="10656"/>
      <c r="D462" s="10656"/>
      <c r="E462" s="10656"/>
      <c r="F462" s="10656"/>
      <c r="G462" s="10656"/>
      <c r="H462" s="10656"/>
      <c r="I462" s="10656"/>
      <c r="J462" s="10656"/>
      <c r="K462" s="10656"/>
      <c r="L462" s="10667"/>
      <c r="M462" s="10667"/>
      <c r="N462" s="10667"/>
      <c r="O462" s="10656"/>
      <c r="P462" s="10656"/>
      <c r="Q462" s="10672"/>
      <c r="R462" s="3867"/>
      <c r="S462" s="5681"/>
      <c r="T462" s="5681"/>
      <c r="U462" s="3495"/>
      <c r="V462" s="5499"/>
      <c r="W462" s="3496"/>
      <c r="X462" s="5523"/>
      <c r="Y462" s="5523"/>
      <c r="Z462" s="5523"/>
      <c r="AA462" s="5524"/>
      <c r="AB462" s="5779"/>
      <c r="AC462" s="3847"/>
      <c r="AD462" s="3496"/>
      <c r="AE462" s="3666"/>
      <c r="AF462" s="3666"/>
      <c r="AG462" s="10678"/>
    </row>
    <row r="463" spans="1:33">
      <c r="A463" s="10663"/>
      <c r="B463" s="10659"/>
      <c r="C463" s="10656"/>
      <c r="D463" s="10656"/>
      <c r="E463" s="10656"/>
      <c r="F463" s="10656"/>
      <c r="G463" s="10656"/>
      <c r="H463" s="10656"/>
      <c r="I463" s="10656"/>
      <c r="J463" s="10656"/>
      <c r="K463" s="10656"/>
      <c r="L463" s="10667"/>
      <c r="M463" s="10667"/>
      <c r="N463" s="10667"/>
      <c r="O463" s="10656"/>
      <c r="P463" s="10656"/>
      <c r="Q463" s="10672"/>
      <c r="R463" s="3867"/>
      <c r="S463" s="5681"/>
      <c r="T463" s="5681"/>
      <c r="U463" s="3495"/>
      <c r="V463" s="5499"/>
      <c r="W463" s="3496"/>
      <c r="X463" s="5523"/>
      <c r="Y463" s="5523"/>
      <c r="Z463" s="5523"/>
      <c r="AA463" s="5524"/>
      <c r="AB463" s="5779"/>
      <c r="AC463" s="3847"/>
      <c r="AD463" s="3496"/>
      <c r="AE463" s="3666"/>
      <c r="AF463" s="3666"/>
      <c r="AG463" s="10678"/>
    </row>
    <row r="464" spans="1:33">
      <c r="A464" s="10663"/>
      <c r="B464" s="10659"/>
      <c r="C464" s="10656"/>
      <c r="D464" s="10656"/>
      <c r="E464" s="10656"/>
      <c r="F464" s="10656"/>
      <c r="G464" s="10656"/>
      <c r="H464" s="10656"/>
      <c r="I464" s="10656"/>
      <c r="J464" s="10656"/>
      <c r="K464" s="10656"/>
      <c r="L464" s="10667"/>
      <c r="M464" s="10667"/>
      <c r="N464" s="10667"/>
      <c r="O464" s="10656"/>
      <c r="P464" s="10656"/>
      <c r="Q464" s="10672"/>
      <c r="R464" s="3868"/>
      <c r="S464" s="5682"/>
      <c r="T464" s="5682"/>
      <c r="U464" s="3495"/>
      <c r="V464" s="5499"/>
      <c r="W464" s="3496"/>
      <c r="X464" s="5523"/>
      <c r="Y464" s="5523"/>
      <c r="Z464" s="5523"/>
      <c r="AA464" s="5524"/>
      <c r="AB464" s="5779"/>
      <c r="AC464" s="3847"/>
      <c r="AD464" s="3496"/>
      <c r="AE464" s="3666"/>
      <c r="AF464" s="3666"/>
      <c r="AG464" s="10678"/>
    </row>
    <row r="465" spans="1:33" ht="29.25" customHeight="1">
      <c r="A465" s="10663"/>
      <c r="B465" s="10660"/>
      <c r="C465" s="10657"/>
      <c r="D465" s="10657"/>
      <c r="E465" s="10657"/>
      <c r="F465" s="10657"/>
      <c r="G465" s="10657"/>
      <c r="H465" s="10657"/>
      <c r="I465" s="10657"/>
      <c r="J465" s="10657"/>
      <c r="K465" s="10657"/>
      <c r="L465" s="10674"/>
      <c r="M465" s="10674"/>
      <c r="N465" s="10674"/>
      <c r="O465" s="10657"/>
      <c r="P465" s="10657"/>
      <c r="Q465" s="10675"/>
      <c r="R465" s="3879"/>
      <c r="S465" s="5683"/>
      <c r="T465" s="5683"/>
      <c r="U465" s="3759"/>
      <c r="V465" s="5509"/>
      <c r="W465" s="3714"/>
      <c r="X465" s="5544"/>
      <c r="Y465" s="5544"/>
      <c r="Z465" s="5544"/>
      <c r="AA465" s="5545"/>
      <c r="AB465" s="5823"/>
      <c r="AC465" s="3717"/>
      <c r="AD465" s="3714"/>
      <c r="AE465" s="3718"/>
      <c r="AF465" s="3718"/>
      <c r="AG465" s="10680"/>
    </row>
    <row r="466" spans="1:33" s="6048" customFormat="1" ht="31.5" customHeight="1" thickBot="1">
      <c r="A466" s="10664"/>
      <c r="B466" s="10699"/>
      <c r="C466" s="10700"/>
      <c r="D466" s="10700"/>
      <c r="E466" s="10700"/>
      <c r="F466" s="10700"/>
      <c r="G466" s="10700"/>
      <c r="H466" s="10700"/>
      <c r="I466" s="10700"/>
      <c r="J466" s="10700"/>
      <c r="K466" s="10700"/>
      <c r="L466" s="10700"/>
      <c r="M466" s="10700"/>
      <c r="N466" s="10700"/>
      <c r="O466" s="10700"/>
      <c r="P466" s="10700"/>
      <c r="Q466" s="10711"/>
      <c r="R466" s="10681" t="s">
        <v>4685</v>
      </c>
      <c r="S466" s="10689"/>
      <c r="T466" s="10689"/>
      <c r="U466" s="10689"/>
      <c r="V466" s="10689"/>
      <c r="W466" s="10689"/>
      <c r="X466" s="10689"/>
      <c r="Y466" s="10690"/>
      <c r="Z466" s="6118" t="s">
        <v>292</v>
      </c>
      <c r="AA466" s="7447">
        <f>SUM(AA391:AA465)</f>
        <v>0</v>
      </c>
      <c r="AB466" s="6120"/>
      <c r="AC466" s="6119"/>
      <c r="AD466" s="10712"/>
      <c r="AE466" s="10713"/>
      <c r="AF466" s="10713"/>
      <c r="AG466" s="10714"/>
    </row>
    <row r="467" spans="1:33" ht="22.5" customHeight="1">
      <c r="A467" s="10662" t="s">
        <v>4686</v>
      </c>
      <c r="B467" s="10512" t="s">
        <v>183</v>
      </c>
      <c r="C467" s="10444" t="s">
        <v>128</v>
      </c>
      <c r="D467" s="10444" t="s">
        <v>140</v>
      </c>
      <c r="E467" s="10444" t="s">
        <v>284</v>
      </c>
      <c r="F467" s="10451" t="s">
        <v>131</v>
      </c>
      <c r="G467" s="10444" t="s">
        <v>132</v>
      </c>
      <c r="H467" s="10444" t="s">
        <v>159</v>
      </c>
      <c r="I467" s="10444" t="s">
        <v>4687</v>
      </c>
      <c r="J467" s="10444" t="s">
        <v>4609</v>
      </c>
      <c r="K467" s="10444" t="s">
        <v>4610</v>
      </c>
      <c r="L467" s="10666">
        <v>2</v>
      </c>
      <c r="M467" s="10666">
        <v>3</v>
      </c>
      <c r="N467" s="10666">
        <v>3</v>
      </c>
      <c r="O467" s="10444" t="s">
        <v>4611</v>
      </c>
      <c r="P467" s="10444" t="s">
        <v>4612</v>
      </c>
      <c r="Q467" s="10449" t="s">
        <v>4688</v>
      </c>
      <c r="R467" s="3892"/>
      <c r="S467" s="5689"/>
      <c r="T467" s="5689"/>
      <c r="U467" s="3758"/>
      <c r="V467" s="5504"/>
      <c r="W467" s="3658"/>
      <c r="X467" s="5534"/>
      <c r="Y467" s="5534"/>
      <c r="Z467" s="5534"/>
      <c r="AA467" s="5535"/>
      <c r="AB467" s="5822"/>
      <c r="AC467" s="3893"/>
      <c r="AD467" s="3658"/>
      <c r="AE467" s="3660"/>
      <c r="AF467" s="3660"/>
      <c r="AG467" s="10464"/>
    </row>
    <row r="468" spans="1:33" ht="22.5" customHeight="1">
      <c r="A468" s="10663"/>
      <c r="B468" s="10659"/>
      <c r="C468" s="10656"/>
      <c r="D468" s="10656"/>
      <c r="E468" s="10656"/>
      <c r="F468" s="10656"/>
      <c r="G468" s="10656"/>
      <c r="H468" s="10656"/>
      <c r="I468" s="10656"/>
      <c r="J468" s="10656"/>
      <c r="K468" s="10656"/>
      <c r="L468" s="10667"/>
      <c r="M468" s="10667"/>
      <c r="N468" s="10667"/>
      <c r="O468" s="10656"/>
      <c r="P468" s="10656"/>
      <c r="Q468" s="10672"/>
      <c r="R468" s="3867"/>
      <c r="S468" s="5681"/>
      <c r="T468" s="5681"/>
      <c r="U468" s="3495"/>
      <c r="V468" s="5499"/>
      <c r="W468" s="3496"/>
      <c r="X468" s="5523"/>
      <c r="Y468" s="5523"/>
      <c r="Z468" s="5523"/>
      <c r="AA468" s="5524"/>
      <c r="AB468" s="5779"/>
      <c r="AC468" s="3847"/>
      <c r="AD468" s="3496"/>
      <c r="AE468" s="3666"/>
      <c r="AF468" s="3666"/>
      <c r="AG468" s="10678"/>
    </row>
    <row r="469" spans="1:33" ht="22.5" customHeight="1">
      <c r="A469" s="10663"/>
      <c r="B469" s="10659"/>
      <c r="C469" s="10656"/>
      <c r="D469" s="10656"/>
      <c r="E469" s="10656"/>
      <c r="F469" s="10656"/>
      <c r="G469" s="10656"/>
      <c r="H469" s="10656"/>
      <c r="I469" s="10656"/>
      <c r="J469" s="10656"/>
      <c r="K469" s="10656"/>
      <c r="L469" s="10667"/>
      <c r="M469" s="10667"/>
      <c r="N469" s="10667"/>
      <c r="O469" s="10656"/>
      <c r="P469" s="10656"/>
      <c r="Q469" s="10672"/>
      <c r="R469" s="3867"/>
      <c r="S469" s="5681"/>
      <c r="T469" s="5681"/>
      <c r="U469" s="3495"/>
      <c r="V469" s="5499"/>
      <c r="W469" s="3496"/>
      <c r="X469" s="5523"/>
      <c r="Y469" s="5523"/>
      <c r="Z469" s="5523"/>
      <c r="AA469" s="5524"/>
      <c r="AB469" s="5779"/>
      <c r="AC469" s="3847"/>
      <c r="AD469" s="3496"/>
      <c r="AE469" s="3666"/>
      <c r="AF469" s="3666"/>
      <c r="AG469" s="10678"/>
    </row>
    <row r="470" spans="1:33" ht="22.5" customHeight="1">
      <c r="A470" s="10663"/>
      <c r="B470" s="10659"/>
      <c r="C470" s="10656"/>
      <c r="D470" s="10656"/>
      <c r="E470" s="10656"/>
      <c r="F470" s="10656"/>
      <c r="G470" s="10656"/>
      <c r="H470" s="10656"/>
      <c r="I470" s="10656"/>
      <c r="J470" s="10656"/>
      <c r="K470" s="10656"/>
      <c r="L470" s="10667"/>
      <c r="M470" s="10667"/>
      <c r="N470" s="10667"/>
      <c r="O470" s="10656"/>
      <c r="P470" s="10656"/>
      <c r="Q470" s="10672"/>
      <c r="R470" s="3868"/>
      <c r="S470" s="5682"/>
      <c r="T470" s="5682"/>
      <c r="U470" s="3495"/>
      <c r="V470" s="5499"/>
      <c r="W470" s="3496"/>
      <c r="X470" s="5523"/>
      <c r="Y470" s="5523"/>
      <c r="Z470" s="5523"/>
      <c r="AA470" s="5524"/>
      <c r="AB470" s="5779"/>
      <c r="AC470" s="3847"/>
      <c r="AD470" s="3496"/>
      <c r="AE470" s="3666"/>
      <c r="AF470" s="3666"/>
      <c r="AG470" s="10678"/>
    </row>
    <row r="471" spans="1:33" ht="22.5" customHeight="1">
      <c r="A471" s="10663"/>
      <c r="B471" s="10661"/>
      <c r="C471" s="10658"/>
      <c r="D471" s="10658"/>
      <c r="E471" s="10658"/>
      <c r="F471" s="10658"/>
      <c r="G471" s="10658"/>
      <c r="H471" s="10658"/>
      <c r="I471" s="10658"/>
      <c r="J471" s="10658"/>
      <c r="K471" s="10658"/>
      <c r="L471" s="10668"/>
      <c r="M471" s="10668"/>
      <c r="N471" s="10668"/>
      <c r="O471" s="10658"/>
      <c r="P471" s="10658"/>
      <c r="Q471" s="10673"/>
      <c r="R471" s="3879"/>
      <c r="S471" s="5683"/>
      <c r="T471" s="5683"/>
      <c r="U471" s="3759"/>
      <c r="V471" s="5509"/>
      <c r="W471" s="3714"/>
      <c r="X471" s="5544"/>
      <c r="Y471" s="5544"/>
      <c r="Z471" s="5544"/>
      <c r="AA471" s="5545"/>
      <c r="AB471" s="5823"/>
      <c r="AC471" s="3717"/>
      <c r="AD471" s="3714"/>
      <c r="AE471" s="3718"/>
      <c r="AF471" s="3718"/>
      <c r="AG471" s="10679"/>
    </row>
    <row r="472" spans="1:33">
      <c r="A472" s="10663"/>
      <c r="B472" s="10516" t="s">
        <v>183</v>
      </c>
      <c r="C472" s="10433" t="s">
        <v>227</v>
      </c>
      <c r="D472" s="10433" t="s">
        <v>228</v>
      </c>
      <c r="E472" s="10433" t="s">
        <v>229</v>
      </c>
      <c r="F472" s="10442" t="s">
        <v>230</v>
      </c>
      <c r="G472" s="10433" t="s">
        <v>132</v>
      </c>
      <c r="H472" s="10433" t="s">
        <v>133</v>
      </c>
      <c r="I472" s="10433" t="s">
        <v>4689</v>
      </c>
      <c r="J472" s="10433" t="s">
        <v>4615</v>
      </c>
      <c r="K472" s="10433" t="s">
        <v>4616</v>
      </c>
      <c r="L472" s="10676">
        <v>1</v>
      </c>
      <c r="M472" s="10676">
        <v>1</v>
      </c>
      <c r="N472" s="10676">
        <v>1</v>
      </c>
      <c r="O472" s="10433" t="s">
        <v>4617</v>
      </c>
      <c r="P472" s="10433" t="s">
        <v>4612</v>
      </c>
      <c r="Q472" s="10439" t="s">
        <v>4690</v>
      </c>
      <c r="R472" s="3885"/>
      <c r="S472" s="5684"/>
      <c r="T472" s="5684"/>
      <c r="U472" s="3762"/>
      <c r="V472" s="5502"/>
      <c r="W472" s="3709"/>
      <c r="X472" s="5529"/>
      <c r="Y472" s="5529"/>
      <c r="Z472" s="5529"/>
      <c r="AA472" s="5530"/>
      <c r="AB472" s="5780"/>
      <c r="AC472" s="3886"/>
      <c r="AD472" s="3709"/>
      <c r="AE472" s="3724"/>
      <c r="AF472" s="3724"/>
      <c r="AG472" s="10525"/>
    </row>
    <row r="473" spans="1:33">
      <c r="A473" s="10663"/>
      <c r="B473" s="10659"/>
      <c r="C473" s="10656"/>
      <c r="D473" s="10656"/>
      <c r="E473" s="10656"/>
      <c r="F473" s="10656"/>
      <c r="G473" s="10656"/>
      <c r="H473" s="10656"/>
      <c r="I473" s="10656"/>
      <c r="J473" s="10656"/>
      <c r="K473" s="10656"/>
      <c r="L473" s="10667"/>
      <c r="M473" s="10667"/>
      <c r="N473" s="10667"/>
      <c r="O473" s="10656"/>
      <c r="P473" s="10656"/>
      <c r="Q473" s="10672"/>
      <c r="R473" s="3867"/>
      <c r="S473" s="5681"/>
      <c r="T473" s="5681"/>
      <c r="U473" s="3495"/>
      <c r="V473" s="5499"/>
      <c r="W473" s="3496"/>
      <c r="X473" s="5523"/>
      <c r="Y473" s="5523"/>
      <c r="Z473" s="5523"/>
      <c r="AA473" s="5524"/>
      <c r="AB473" s="5779"/>
      <c r="AC473" s="3847"/>
      <c r="AD473" s="3496"/>
      <c r="AE473" s="3666"/>
      <c r="AF473" s="3666"/>
      <c r="AG473" s="10678"/>
    </row>
    <row r="474" spans="1:33">
      <c r="A474" s="10663"/>
      <c r="B474" s="10659"/>
      <c r="C474" s="10656"/>
      <c r="D474" s="10656"/>
      <c r="E474" s="10656"/>
      <c r="F474" s="10656"/>
      <c r="G474" s="10656"/>
      <c r="H474" s="10656"/>
      <c r="I474" s="10656"/>
      <c r="J474" s="10656"/>
      <c r="K474" s="10656"/>
      <c r="L474" s="10667"/>
      <c r="M474" s="10667"/>
      <c r="N474" s="10667"/>
      <c r="O474" s="10656"/>
      <c r="P474" s="10656"/>
      <c r="Q474" s="10672"/>
      <c r="R474" s="3867"/>
      <c r="S474" s="5681"/>
      <c r="T474" s="5681"/>
      <c r="U474" s="3495"/>
      <c r="V474" s="5499"/>
      <c r="W474" s="3496"/>
      <c r="X474" s="5523"/>
      <c r="Y474" s="5523"/>
      <c r="Z474" s="5523"/>
      <c r="AA474" s="5524"/>
      <c r="AB474" s="5779"/>
      <c r="AC474" s="3847"/>
      <c r="AD474" s="3496"/>
      <c r="AE474" s="3666"/>
      <c r="AF474" s="3666"/>
      <c r="AG474" s="10678"/>
    </row>
    <row r="475" spans="1:33">
      <c r="A475" s="10663"/>
      <c r="B475" s="10659"/>
      <c r="C475" s="10656"/>
      <c r="D475" s="10656"/>
      <c r="E475" s="10656"/>
      <c r="F475" s="10656"/>
      <c r="G475" s="10656"/>
      <c r="H475" s="10656"/>
      <c r="I475" s="10656"/>
      <c r="J475" s="10656"/>
      <c r="K475" s="10656"/>
      <c r="L475" s="10667"/>
      <c r="M475" s="10667"/>
      <c r="N475" s="10667"/>
      <c r="O475" s="10656"/>
      <c r="P475" s="10656"/>
      <c r="Q475" s="10672"/>
      <c r="R475" s="3868"/>
      <c r="S475" s="5682"/>
      <c r="T475" s="5682"/>
      <c r="U475" s="3495"/>
      <c r="V475" s="5499"/>
      <c r="W475" s="3496"/>
      <c r="X475" s="5523"/>
      <c r="Y475" s="5523"/>
      <c r="Z475" s="5523"/>
      <c r="AA475" s="5524"/>
      <c r="AB475" s="5779"/>
      <c r="AC475" s="3847"/>
      <c r="AD475" s="3496"/>
      <c r="AE475" s="3666"/>
      <c r="AF475" s="3666"/>
      <c r="AG475" s="10678"/>
    </row>
    <row r="476" spans="1:33" ht="33" customHeight="1">
      <c r="A476" s="10663"/>
      <c r="B476" s="10660"/>
      <c r="C476" s="10657"/>
      <c r="D476" s="10657"/>
      <c r="E476" s="10657"/>
      <c r="F476" s="10657"/>
      <c r="G476" s="10657"/>
      <c r="H476" s="10657"/>
      <c r="I476" s="10657"/>
      <c r="J476" s="10657"/>
      <c r="K476" s="10657"/>
      <c r="L476" s="10674"/>
      <c r="M476" s="10674"/>
      <c r="N476" s="10674"/>
      <c r="O476" s="10657"/>
      <c r="P476" s="10657"/>
      <c r="Q476" s="10675"/>
      <c r="R476" s="3887"/>
      <c r="S476" s="5696"/>
      <c r="T476" s="5696"/>
      <c r="U476" s="3557"/>
      <c r="V476" s="5503"/>
      <c r="W476" s="3545"/>
      <c r="X476" s="5532"/>
      <c r="Y476" s="5532"/>
      <c r="Z476" s="5532"/>
      <c r="AA476" s="5533"/>
      <c r="AB476" s="5828"/>
      <c r="AC476" s="3706"/>
      <c r="AD476" s="3545"/>
      <c r="AE476" s="3707"/>
      <c r="AF476" s="3707"/>
      <c r="AG476" s="10680"/>
    </row>
    <row r="477" spans="1:33">
      <c r="A477" s="10663"/>
      <c r="B477" s="10512" t="s">
        <v>183</v>
      </c>
      <c r="C477" s="10444" t="s">
        <v>227</v>
      </c>
      <c r="D477" s="10444" t="s">
        <v>228</v>
      </c>
      <c r="E477" s="10444" t="s">
        <v>229</v>
      </c>
      <c r="F477" s="10451" t="s">
        <v>230</v>
      </c>
      <c r="G477" s="10444" t="s">
        <v>171</v>
      </c>
      <c r="H477" s="10444" t="s">
        <v>159</v>
      </c>
      <c r="I477" s="10444" t="s">
        <v>4691</v>
      </c>
      <c r="J477" s="10444" t="s">
        <v>4620</v>
      </c>
      <c r="K477" s="10444" t="s">
        <v>4621</v>
      </c>
      <c r="L477" s="10666">
        <v>0</v>
      </c>
      <c r="M477" s="10666">
        <v>1</v>
      </c>
      <c r="N477" s="10666">
        <v>1</v>
      </c>
      <c r="O477" s="10444" t="s">
        <v>4622</v>
      </c>
      <c r="P477" s="10444" t="s">
        <v>4623</v>
      </c>
      <c r="Q477" s="10449" t="s">
        <v>4692</v>
      </c>
      <c r="R477" s="3892"/>
      <c r="S477" s="5689"/>
      <c r="T477" s="5689"/>
      <c r="U477" s="3758"/>
      <c r="V477" s="5504"/>
      <c r="W477" s="3658"/>
      <c r="X477" s="5534"/>
      <c r="Y477" s="5534"/>
      <c r="Z477" s="5534"/>
      <c r="AA477" s="5535"/>
      <c r="AB477" s="5822"/>
      <c r="AC477" s="3893"/>
      <c r="AD477" s="3658"/>
      <c r="AE477" s="3660"/>
      <c r="AF477" s="3660"/>
      <c r="AG477" s="10464"/>
    </row>
    <row r="478" spans="1:33">
      <c r="A478" s="10663"/>
      <c r="B478" s="10659"/>
      <c r="C478" s="10656"/>
      <c r="D478" s="10656"/>
      <c r="E478" s="10656"/>
      <c r="F478" s="10656"/>
      <c r="G478" s="10656"/>
      <c r="H478" s="10656"/>
      <c r="I478" s="10656"/>
      <c r="J478" s="10656"/>
      <c r="K478" s="10656"/>
      <c r="L478" s="10667"/>
      <c r="M478" s="10667"/>
      <c r="N478" s="10667"/>
      <c r="O478" s="10656"/>
      <c r="P478" s="10656"/>
      <c r="Q478" s="10672"/>
      <c r="R478" s="3867"/>
      <c r="S478" s="5681"/>
      <c r="T478" s="5681"/>
      <c r="U478" s="3495"/>
      <c r="V478" s="5499"/>
      <c r="W478" s="3496"/>
      <c r="X478" s="5523"/>
      <c r="Y478" s="5523"/>
      <c r="Z478" s="5523"/>
      <c r="AA478" s="5524"/>
      <c r="AB478" s="5779"/>
      <c r="AC478" s="3847"/>
      <c r="AD478" s="3496"/>
      <c r="AE478" s="3666"/>
      <c r="AF478" s="3666"/>
      <c r="AG478" s="10678"/>
    </row>
    <row r="479" spans="1:33">
      <c r="A479" s="10663"/>
      <c r="B479" s="10659"/>
      <c r="C479" s="10656"/>
      <c r="D479" s="10656"/>
      <c r="E479" s="10656"/>
      <c r="F479" s="10656"/>
      <c r="G479" s="10656"/>
      <c r="H479" s="10656"/>
      <c r="I479" s="10656"/>
      <c r="J479" s="10656"/>
      <c r="K479" s="10656"/>
      <c r="L479" s="10667"/>
      <c r="M479" s="10667"/>
      <c r="N479" s="10667"/>
      <c r="O479" s="10656"/>
      <c r="P479" s="10656"/>
      <c r="Q479" s="10672"/>
      <c r="R479" s="3867"/>
      <c r="S479" s="5681"/>
      <c r="T479" s="5681"/>
      <c r="U479" s="3495"/>
      <c r="V479" s="5499"/>
      <c r="W479" s="3496"/>
      <c r="X479" s="5523"/>
      <c r="Y479" s="5523"/>
      <c r="Z479" s="5523"/>
      <c r="AA479" s="5524"/>
      <c r="AB479" s="5779"/>
      <c r="AC479" s="3847"/>
      <c r="AD479" s="3496"/>
      <c r="AE479" s="3666"/>
      <c r="AF479" s="3666"/>
      <c r="AG479" s="10678"/>
    </row>
    <row r="480" spans="1:33">
      <c r="A480" s="10663"/>
      <c r="B480" s="10659"/>
      <c r="C480" s="10656"/>
      <c r="D480" s="10656"/>
      <c r="E480" s="10656"/>
      <c r="F480" s="10656"/>
      <c r="G480" s="10656"/>
      <c r="H480" s="10656"/>
      <c r="I480" s="10656"/>
      <c r="J480" s="10656"/>
      <c r="K480" s="10656"/>
      <c r="L480" s="10667"/>
      <c r="M480" s="10667"/>
      <c r="N480" s="10667"/>
      <c r="O480" s="10656"/>
      <c r="P480" s="10656"/>
      <c r="Q480" s="10672"/>
      <c r="R480" s="3868"/>
      <c r="S480" s="5682"/>
      <c r="T480" s="5682"/>
      <c r="U480" s="3495"/>
      <c r="V480" s="5499"/>
      <c r="W480" s="3496"/>
      <c r="X480" s="5523"/>
      <c r="Y480" s="5523"/>
      <c r="Z480" s="5523"/>
      <c r="AA480" s="5524"/>
      <c r="AB480" s="5779"/>
      <c r="AC480" s="3847"/>
      <c r="AD480" s="3496"/>
      <c r="AE480" s="3666"/>
      <c r="AF480" s="3666"/>
      <c r="AG480" s="10678"/>
    </row>
    <row r="481" spans="1:33" ht="28.5" customHeight="1">
      <c r="A481" s="10663"/>
      <c r="B481" s="10661"/>
      <c r="C481" s="10658"/>
      <c r="D481" s="10658"/>
      <c r="E481" s="10658"/>
      <c r="F481" s="10658"/>
      <c r="G481" s="10658"/>
      <c r="H481" s="10658"/>
      <c r="I481" s="10658"/>
      <c r="J481" s="10658"/>
      <c r="K481" s="10658"/>
      <c r="L481" s="10668"/>
      <c r="M481" s="10668"/>
      <c r="N481" s="10668"/>
      <c r="O481" s="10658"/>
      <c r="P481" s="10658"/>
      <c r="Q481" s="10673"/>
      <c r="R481" s="3879"/>
      <c r="S481" s="5683"/>
      <c r="T481" s="5683"/>
      <c r="U481" s="3759"/>
      <c r="V481" s="5509"/>
      <c r="W481" s="3714"/>
      <c r="X481" s="5544"/>
      <c r="Y481" s="5544"/>
      <c r="Z481" s="5544"/>
      <c r="AA481" s="5545"/>
      <c r="AB481" s="5823"/>
      <c r="AC481" s="3717"/>
      <c r="AD481" s="3714"/>
      <c r="AE481" s="3718"/>
      <c r="AF481" s="3718"/>
      <c r="AG481" s="10679"/>
    </row>
    <row r="482" spans="1:33" ht="20.25" customHeight="1">
      <c r="A482" s="10663"/>
      <c r="B482" s="10516" t="s">
        <v>183</v>
      </c>
      <c r="C482" s="10433" t="s">
        <v>227</v>
      </c>
      <c r="D482" s="10433" t="s">
        <v>228</v>
      </c>
      <c r="E482" s="10433" t="s">
        <v>229</v>
      </c>
      <c r="F482" s="10442" t="s">
        <v>230</v>
      </c>
      <c r="G482" s="10433" t="s">
        <v>171</v>
      </c>
      <c r="H482" s="10433" t="s">
        <v>159</v>
      </c>
      <c r="I482" s="10433" t="s">
        <v>4693</v>
      </c>
      <c r="J482" s="10433" t="s">
        <v>4626</v>
      </c>
      <c r="K482" s="10433" t="s">
        <v>4627</v>
      </c>
      <c r="L482" s="10676">
        <v>4</v>
      </c>
      <c r="M482" s="10676">
        <v>4</v>
      </c>
      <c r="N482" s="10676">
        <v>4</v>
      </c>
      <c r="O482" s="10433" t="s">
        <v>4628</v>
      </c>
      <c r="P482" s="10433" t="s">
        <v>4694</v>
      </c>
      <c r="Q482" s="10439" t="s">
        <v>4695</v>
      </c>
      <c r="R482" s="3885"/>
      <c r="S482" s="5684"/>
      <c r="T482" s="5684"/>
      <c r="U482" s="3762"/>
      <c r="V482" s="5502"/>
      <c r="W482" s="3709"/>
      <c r="X482" s="5529"/>
      <c r="Y482" s="5529"/>
      <c r="Z482" s="5529"/>
      <c r="AA482" s="5530"/>
      <c r="AB482" s="5780"/>
      <c r="AC482" s="3886"/>
      <c r="AD482" s="3709"/>
      <c r="AE482" s="3724"/>
      <c r="AF482" s="3724"/>
      <c r="AG482" s="10525"/>
    </row>
    <row r="483" spans="1:33" ht="20.25" customHeight="1">
      <c r="A483" s="10663"/>
      <c r="B483" s="10659"/>
      <c r="C483" s="10656"/>
      <c r="D483" s="10656"/>
      <c r="E483" s="10656"/>
      <c r="F483" s="10656"/>
      <c r="G483" s="10656"/>
      <c r="H483" s="10656"/>
      <c r="I483" s="10656"/>
      <c r="J483" s="10656"/>
      <c r="K483" s="10656"/>
      <c r="L483" s="10667"/>
      <c r="M483" s="10667"/>
      <c r="N483" s="10667"/>
      <c r="O483" s="10656"/>
      <c r="P483" s="10656"/>
      <c r="Q483" s="10672"/>
      <c r="R483" s="3867"/>
      <c r="S483" s="5681"/>
      <c r="T483" s="5681"/>
      <c r="U483" s="3495"/>
      <c r="V483" s="5499"/>
      <c r="W483" s="3496"/>
      <c r="X483" s="5523"/>
      <c r="Y483" s="5523"/>
      <c r="Z483" s="5523"/>
      <c r="AA483" s="5524"/>
      <c r="AB483" s="5779"/>
      <c r="AC483" s="3847"/>
      <c r="AD483" s="3496"/>
      <c r="AE483" s="3666"/>
      <c r="AF483" s="3666"/>
      <c r="AG483" s="10678"/>
    </row>
    <row r="484" spans="1:33" ht="20.25" customHeight="1">
      <c r="A484" s="10663"/>
      <c r="B484" s="10659"/>
      <c r="C484" s="10656"/>
      <c r="D484" s="10656"/>
      <c r="E484" s="10656"/>
      <c r="F484" s="10656"/>
      <c r="G484" s="10656"/>
      <c r="H484" s="10656"/>
      <c r="I484" s="10656"/>
      <c r="J484" s="10656"/>
      <c r="K484" s="10656"/>
      <c r="L484" s="10667"/>
      <c r="M484" s="10667"/>
      <c r="N484" s="10667"/>
      <c r="O484" s="10656"/>
      <c r="P484" s="10656"/>
      <c r="Q484" s="10672"/>
      <c r="R484" s="3867"/>
      <c r="S484" s="5681"/>
      <c r="T484" s="5681"/>
      <c r="U484" s="3495"/>
      <c r="V484" s="5499"/>
      <c r="W484" s="3496"/>
      <c r="X484" s="5523"/>
      <c r="Y484" s="5523"/>
      <c r="Z484" s="5523"/>
      <c r="AA484" s="5524"/>
      <c r="AB484" s="5779"/>
      <c r="AC484" s="3847"/>
      <c r="AD484" s="3496"/>
      <c r="AE484" s="3666"/>
      <c r="AF484" s="3666"/>
      <c r="AG484" s="10678"/>
    </row>
    <row r="485" spans="1:33" ht="20.25" customHeight="1">
      <c r="A485" s="10663"/>
      <c r="B485" s="10659"/>
      <c r="C485" s="10656"/>
      <c r="D485" s="10656"/>
      <c r="E485" s="10656"/>
      <c r="F485" s="10656"/>
      <c r="G485" s="10656"/>
      <c r="H485" s="10656"/>
      <c r="I485" s="10656"/>
      <c r="J485" s="10656"/>
      <c r="K485" s="10656"/>
      <c r="L485" s="10667"/>
      <c r="M485" s="10667"/>
      <c r="N485" s="10667"/>
      <c r="O485" s="10656"/>
      <c r="P485" s="10656"/>
      <c r="Q485" s="10672"/>
      <c r="R485" s="3868"/>
      <c r="S485" s="5682"/>
      <c r="T485" s="5682"/>
      <c r="U485" s="3495"/>
      <c r="V485" s="5499"/>
      <c r="W485" s="3496"/>
      <c r="X485" s="5523"/>
      <c r="Y485" s="5523"/>
      <c r="Z485" s="5523"/>
      <c r="AA485" s="5524"/>
      <c r="AB485" s="5779"/>
      <c r="AC485" s="3847"/>
      <c r="AD485" s="3496"/>
      <c r="AE485" s="3666"/>
      <c r="AF485" s="3666"/>
      <c r="AG485" s="10678"/>
    </row>
    <row r="486" spans="1:33" ht="20.25" customHeight="1">
      <c r="A486" s="10663"/>
      <c r="B486" s="10660"/>
      <c r="C486" s="10657"/>
      <c r="D486" s="10657"/>
      <c r="E486" s="10657"/>
      <c r="F486" s="10657"/>
      <c r="G486" s="10657"/>
      <c r="H486" s="10657"/>
      <c r="I486" s="10657"/>
      <c r="J486" s="10657"/>
      <c r="K486" s="10657"/>
      <c r="L486" s="10674"/>
      <c r="M486" s="10674"/>
      <c r="N486" s="10674"/>
      <c r="O486" s="10657"/>
      <c r="P486" s="10657"/>
      <c r="Q486" s="10675"/>
      <c r="R486" s="3887"/>
      <c r="S486" s="5696"/>
      <c r="T486" s="5696"/>
      <c r="U486" s="3557"/>
      <c r="V486" s="5503"/>
      <c r="W486" s="3545"/>
      <c r="X486" s="5532"/>
      <c r="Y486" s="5532"/>
      <c r="Z486" s="5532"/>
      <c r="AA486" s="5533"/>
      <c r="AB486" s="5828"/>
      <c r="AC486" s="3706"/>
      <c r="AD486" s="3545"/>
      <c r="AE486" s="3707"/>
      <c r="AF486" s="3707"/>
      <c r="AG486" s="10680"/>
    </row>
    <row r="487" spans="1:33" ht="17.25" customHeight="1">
      <c r="A487" s="10663"/>
      <c r="B487" s="10512" t="s">
        <v>183</v>
      </c>
      <c r="C487" s="10444" t="s">
        <v>227</v>
      </c>
      <c r="D487" s="10444" t="s">
        <v>185</v>
      </c>
      <c r="E487" s="10444" t="s">
        <v>1938</v>
      </c>
      <c r="F487" s="10451" t="s">
        <v>230</v>
      </c>
      <c r="G487" s="10444" t="s">
        <v>171</v>
      </c>
      <c r="H487" s="10444" t="s">
        <v>133</v>
      </c>
      <c r="I487" s="10444" t="s">
        <v>4696</v>
      </c>
      <c r="J487" s="10444" t="s">
        <v>4631</v>
      </c>
      <c r="K487" s="10444" t="s">
        <v>4697</v>
      </c>
      <c r="L487" s="10666">
        <v>2</v>
      </c>
      <c r="M487" s="10666">
        <v>0</v>
      </c>
      <c r="N487" s="10666">
        <v>2</v>
      </c>
      <c r="O487" s="10444" t="s">
        <v>4633</v>
      </c>
      <c r="P487" s="10444" t="s">
        <v>4698</v>
      </c>
      <c r="Q487" s="10449" t="s">
        <v>4699</v>
      </c>
      <c r="R487" s="3892"/>
      <c r="S487" s="5689"/>
      <c r="T487" s="5689"/>
      <c r="U487" s="3758"/>
      <c r="V487" s="5504"/>
      <c r="W487" s="3658"/>
      <c r="X487" s="5534"/>
      <c r="Y487" s="5534"/>
      <c r="Z487" s="5534"/>
      <c r="AA487" s="5535"/>
      <c r="AB487" s="5822"/>
      <c r="AC487" s="3893"/>
      <c r="AD487" s="3658"/>
      <c r="AE487" s="3660"/>
      <c r="AF487" s="3660"/>
      <c r="AG487" s="10464"/>
    </row>
    <row r="488" spans="1:33" ht="17.25" customHeight="1">
      <c r="A488" s="10663"/>
      <c r="B488" s="10659"/>
      <c r="C488" s="10656"/>
      <c r="D488" s="10656"/>
      <c r="E488" s="10656"/>
      <c r="F488" s="10656"/>
      <c r="G488" s="10656"/>
      <c r="H488" s="10656"/>
      <c r="I488" s="10656"/>
      <c r="J488" s="10656"/>
      <c r="K488" s="10656"/>
      <c r="L488" s="10667"/>
      <c r="M488" s="10667"/>
      <c r="N488" s="10667"/>
      <c r="O488" s="10656"/>
      <c r="P488" s="10656"/>
      <c r="Q488" s="10672"/>
      <c r="R488" s="3867"/>
      <c r="S488" s="5681"/>
      <c r="T488" s="5681"/>
      <c r="U488" s="3495"/>
      <c r="V488" s="5499"/>
      <c r="W488" s="3496"/>
      <c r="X488" s="5523"/>
      <c r="Y488" s="5523"/>
      <c r="Z488" s="5523"/>
      <c r="AA488" s="5524"/>
      <c r="AB488" s="5779"/>
      <c r="AC488" s="3847"/>
      <c r="AD488" s="3496"/>
      <c r="AE488" s="3666"/>
      <c r="AF488" s="3666"/>
      <c r="AG488" s="10678"/>
    </row>
    <row r="489" spans="1:33" ht="17.25" customHeight="1">
      <c r="A489" s="10663"/>
      <c r="B489" s="10659"/>
      <c r="C489" s="10656"/>
      <c r="D489" s="10656"/>
      <c r="E489" s="10656"/>
      <c r="F489" s="10656"/>
      <c r="G489" s="10656"/>
      <c r="H489" s="10656"/>
      <c r="I489" s="10656"/>
      <c r="J489" s="10656"/>
      <c r="K489" s="10656"/>
      <c r="L489" s="10667"/>
      <c r="M489" s="10667"/>
      <c r="N489" s="10667"/>
      <c r="O489" s="10656"/>
      <c r="P489" s="10656"/>
      <c r="Q489" s="10672"/>
      <c r="R489" s="3867"/>
      <c r="S489" s="5681"/>
      <c r="T489" s="5681"/>
      <c r="U489" s="3495"/>
      <c r="V489" s="5499"/>
      <c r="W489" s="3496"/>
      <c r="X489" s="5523"/>
      <c r="Y489" s="5523"/>
      <c r="Z489" s="5523"/>
      <c r="AA489" s="5524"/>
      <c r="AB489" s="5779"/>
      <c r="AC489" s="3847"/>
      <c r="AD489" s="3496"/>
      <c r="AE489" s="3666"/>
      <c r="AF489" s="3666"/>
      <c r="AG489" s="10678"/>
    </row>
    <row r="490" spans="1:33" ht="17.25" customHeight="1">
      <c r="A490" s="10663"/>
      <c r="B490" s="10659"/>
      <c r="C490" s="10656"/>
      <c r="D490" s="10656"/>
      <c r="E490" s="10656"/>
      <c r="F490" s="10656"/>
      <c r="G490" s="10656"/>
      <c r="H490" s="10656"/>
      <c r="I490" s="10656"/>
      <c r="J490" s="10656"/>
      <c r="K490" s="10656"/>
      <c r="L490" s="10667"/>
      <c r="M490" s="10667"/>
      <c r="N490" s="10667"/>
      <c r="O490" s="10656"/>
      <c r="P490" s="10656"/>
      <c r="Q490" s="10672"/>
      <c r="R490" s="3868"/>
      <c r="S490" s="5682"/>
      <c r="T490" s="5682"/>
      <c r="U490" s="3495"/>
      <c r="V490" s="5499"/>
      <c r="W490" s="3496"/>
      <c r="X490" s="5523"/>
      <c r="Y490" s="5523"/>
      <c r="Z490" s="5523"/>
      <c r="AA490" s="5524"/>
      <c r="AB490" s="5779"/>
      <c r="AC490" s="3847"/>
      <c r="AD490" s="3496"/>
      <c r="AE490" s="3666"/>
      <c r="AF490" s="3666"/>
      <c r="AG490" s="10678"/>
    </row>
    <row r="491" spans="1:33" ht="21" customHeight="1">
      <c r="A491" s="10663"/>
      <c r="B491" s="10661"/>
      <c r="C491" s="10658"/>
      <c r="D491" s="10658"/>
      <c r="E491" s="10658"/>
      <c r="F491" s="10658"/>
      <c r="G491" s="10658"/>
      <c r="H491" s="10658"/>
      <c r="I491" s="10658"/>
      <c r="J491" s="10658"/>
      <c r="K491" s="10658"/>
      <c r="L491" s="10668"/>
      <c r="M491" s="10668"/>
      <c r="N491" s="10668"/>
      <c r="O491" s="10658"/>
      <c r="P491" s="10658"/>
      <c r="Q491" s="10673"/>
      <c r="R491" s="3879"/>
      <c r="S491" s="5683"/>
      <c r="T491" s="5683"/>
      <c r="U491" s="3759"/>
      <c r="V491" s="5509"/>
      <c r="W491" s="3714"/>
      <c r="X491" s="5544"/>
      <c r="Y491" s="5544"/>
      <c r="Z491" s="5544"/>
      <c r="AA491" s="5545"/>
      <c r="AB491" s="5823"/>
      <c r="AC491" s="3717"/>
      <c r="AD491" s="3714"/>
      <c r="AE491" s="3718"/>
      <c r="AF491" s="3718"/>
      <c r="AG491" s="10679"/>
    </row>
    <row r="492" spans="1:33">
      <c r="A492" s="10663"/>
      <c r="B492" s="10516" t="s">
        <v>183</v>
      </c>
      <c r="C492" s="10433" t="s">
        <v>227</v>
      </c>
      <c r="D492" s="10433" t="s">
        <v>228</v>
      </c>
      <c r="E492" s="10433" t="s">
        <v>229</v>
      </c>
      <c r="F492" s="10442" t="s">
        <v>230</v>
      </c>
      <c r="G492" s="10433" t="s">
        <v>132</v>
      </c>
      <c r="H492" s="10433" t="s">
        <v>133</v>
      </c>
      <c r="I492" s="10433" t="s">
        <v>4636</v>
      </c>
      <c r="J492" s="10433" t="s">
        <v>4637</v>
      </c>
      <c r="K492" s="10433" t="s">
        <v>4638</v>
      </c>
      <c r="L492" s="10676">
        <v>1</v>
      </c>
      <c r="M492" s="10676">
        <v>1</v>
      </c>
      <c r="N492" s="10676">
        <v>1</v>
      </c>
      <c r="O492" s="10433" t="s">
        <v>4639</v>
      </c>
      <c r="P492" s="10433" t="s">
        <v>4612</v>
      </c>
      <c r="Q492" s="10439" t="s">
        <v>4700</v>
      </c>
      <c r="R492" s="3885"/>
      <c r="S492" s="5684"/>
      <c r="T492" s="5684"/>
      <c r="U492" s="3762"/>
      <c r="V492" s="5502"/>
      <c r="W492" s="3709"/>
      <c r="X492" s="5529"/>
      <c r="Y492" s="5529"/>
      <c r="Z492" s="5529"/>
      <c r="AA492" s="5530"/>
      <c r="AB492" s="5780"/>
      <c r="AC492" s="3886"/>
      <c r="AD492" s="3709"/>
      <c r="AE492" s="3724"/>
      <c r="AF492" s="3724"/>
      <c r="AG492" s="10525"/>
    </row>
    <row r="493" spans="1:33">
      <c r="A493" s="10663"/>
      <c r="B493" s="10659"/>
      <c r="C493" s="10656"/>
      <c r="D493" s="10656"/>
      <c r="E493" s="10656"/>
      <c r="F493" s="10656"/>
      <c r="G493" s="10656"/>
      <c r="H493" s="10656"/>
      <c r="I493" s="10656"/>
      <c r="J493" s="10656"/>
      <c r="K493" s="10656"/>
      <c r="L493" s="10667"/>
      <c r="M493" s="10667"/>
      <c r="N493" s="10667"/>
      <c r="O493" s="10656"/>
      <c r="P493" s="10656"/>
      <c r="Q493" s="10672"/>
      <c r="R493" s="3867"/>
      <c r="S493" s="5681"/>
      <c r="T493" s="5681"/>
      <c r="U493" s="3495"/>
      <c r="V493" s="5499"/>
      <c r="W493" s="3496"/>
      <c r="X493" s="5523"/>
      <c r="Y493" s="5523"/>
      <c r="Z493" s="5523"/>
      <c r="AA493" s="5524"/>
      <c r="AB493" s="5779"/>
      <c r="AC493" s="3847"/>
      <c r="AD493" s="3496"/>
      <c r="AE493" s="3666"/>
      <c r="AF493" s="3666"/>
      <c r="AG493" s="10678"/>
    </row>
    <row r="494" spans="1:33">
      <c r="A494" s="10663"/>
      <c r="B494" s="10659"/>
      <c r="C494" s="10656"/>
      <c r="D494" s="10656"/>
      <c r="E494" s="10656"/>
      <c r="F494" s="10656"/>
      <c r="G494" s="10656"/>
      <c r="H494" s="10656"/>
      <c r="I494" s="10656"/>
      <c r="J494" s="10656"/>
      <c r="K494" s="10656"/>
      <c r="L494" s="10667"/>
      <c r="M494" s="10667"/>
      <c r="N494" s="10667"/>
      <c r="O494" s="10656"/>
      <c r="P494" s="10656"/>
      <c r="Q494" s="10672"/>
      <c r="R494" s="3867"/>
      <c r="S494" s="5681"/>
      <c r="T494" s="5681"/>
      <c r="U494" s="3495"/>
      <c r="V494" s="5499"/>
      <c r="W494" s="3496"/>
      <c r="X494" s="5523"/>
      <c r="Y494" s="5523"/>
      <c r="Z494" s="5523"/>
      <c r="AA494" s="5524"/>
      <c r="AB494" s="5779"/>
      <c r="AC494" s="3847"/>
      <c r="AD494" s="3496"/>
      <c r="AE494" s="3666"/>
      <c r="AF494" s="3666"/>
      <c r="AG494" s="10678"/>
    </row>
    <row r="495" spans="1:33">
      <c r="A495" s="10663"/>
      <c r="B495" s="10659"/>
      <c r="C495" s="10656"/>
      <c r="D495" s="10656"/>
      <c r="E495" s="10656"/>
      <c r="F495" s="10656"/>
      <c r="G495" s="10656"/>
      <c r="H495" s="10656"/>
      <c r="I495" s="10656"/>
      <c r="J495" s="10656"/>
      <c r="K495" s="10656"/>
      <c r="L495" s="10667"/>
      <c r="M495" s="10667"/>
      <c r="N495" s="10667"/>
      <c r="O495" s="10656"/>
      <c r="P495" s="10656"/>
      <c r="Q495" s="10672"/>
      <c r="R495" s="3868"/>
      <c r="S495" s="5682"/>
      <c r="T495" s="5682"/>
      <c r="U495" s="3495"/>
      <c r="V495" s="5499"/>
      <c r="W495" s="3496"/>
      <c r="X495" s="5523"/>
      <c r="Y495" s="5523"/>
      <c r="Z495" s="5523"/>
      <c r="AA495" s="5524"/>
      <c r="AB495" s="5779"/>
      <c r="AC495" s="3847"/>
      <c r="AD495" s="3496"/>
      <c r="AE495" s="3666"/>
      <c r="AF495" s="3666"/>
      <c r="AG495" s="10678"/>
    </row>
    <row r="496" spans="1:33" ht="28.5" customHeight="1">
      <c r="A496" s="10663"/>
      <c r="B496" s="10660"/>
      <c r="C496" s="10657"/>
      <c r="D496" s="10657"/>
      <c r="E496" s="10657"/>
      <c r="F496" s="10657"/>
      <c r="G496" s="10657"/>
      <c r="H496" s="10657"/>
      <c r="I496" s="10657"/>
      <c r="J496" s="10657"/>
      <c r="K496" s="10657"/>
      <c r="L496" s="10674"/>
      <c r="M496" s="10674"/>
      <c r="N496" s="10674"/>
      <c r="O496" s="10657"/>
      <c r="P496" s="10657"/>
      <c r="Q496" s="10675"/>
      <c r="R496" s="3887"/>
      <c r="S496" s="5696"/>
      <c r="T496" s="5696"/>
      <c r="U496" s="3557"/>
      <c r="V496" s="5503"/>
      <c r="W496" s="3545"/>
      <c r="X496" s="5532"/>
      <c r="Y496" s="5532"/>
      <c r="Z496" s="5532"/>
      <c r="AA496" s="5533"/>
      <c r="AB496" s="5828"/>
      <c r="AC496" s="3706"/>
      <c r="AD496" s="3545"/>
      <c r="AE496" s="3707"/>
      <c r="AF496" s="3707"/>
      <c r="AG496" s="10680"/>
    </row>
    <row r="497" spans="1:33" ht="22.5" customHeight="1">
      <c r="A497" s="10663"/>
      <c r="B497" s="10512" t="s">
        <v>127</v>
      </c>
      <c r="C497" s="10444" t="s">
        <v>128</v>
      </c>
      <c r="D497" s="10444" t="s">
        <v>140</v>
      </c>
      <c r="E497" s="10444" t="s">
        <v>1691</v>
      </c>
      <c r="F497" s="10451" t="s">
        <v>131</v>
      </c>
      <c r="G497" s="10444" t="s">
        <v>213</v>
      </c>
      <c r="H497" s="10444" t="s">
        <v>189</v>
      </c>
      <c r="I497" s="10444" t="s">
        <v>4640</v>
      </c>
      <c r="J497" s="10444" t="s">
        <v>4641</v>
      </c>
      <c r="K497" s="10444" t="s">
        <v>4642</v>
      </c>
      <c r="L497" s="10666">
        <v>1</v>
      </c>
      <c r="M497" s="10666">
        <v>0</v>
      </c>
      <c r="N497" s="10666">
        <v>1</v>
      </c>
      <c r="O497" s="10444" t="s">
        <v>4643</v>
      </c>
      <c r="P497" s="10444" t="s">
        <v>4644</v>
      </c>
      <c r="Q497" s="10449" t="s">
        <v>4688</v>
      </c>
      <c r="R497" s="3892"/>
      <c r="S497" s="5689"/>
      <c r="T497" s="5689"/>
      <c r="U497" s="3758"/>
      <c r="V497" s="5504"/>
      <c r="W497" s="3658"/>
      <c r="X497" s="5534"/>
      <c r="Y497" s="5534"/>
      <c r="Z497" s="5534"/>
      <c r="AA497" s="5535"/>
      <c r="AB497" s="5822"/>
      <c r="AC497" s="3893"/>
      <c r="AD497" s="3658"/>
      <c r="AE497" s="3660"/>
      <c r="AF497" s="3660"/>
      <c r="AG497" s="10464"/>
    </row>
    <row r="498" spans="1:33" ht="22.5" customHeight="1">
      <c r="A498" s="10663"/>
      <c r="B498" s="10659"/>
      <c r="C498" s="10656"/>
      <c r="D498" s="10656"/>
      <c r="E498" s="10656"/>
      <c r="F498" s="10656"/>
      <c r="G498" s="10656"/>
      <c r="H498" s="10656"/>
      <c r="I498" s="10656"/>
      <c r="J498" s="10656"/>
      <c r="K498" s="10656"/>
      <c r="L498" s="10667"/>
      <c r="M498" s="10667"/>
      <c r="N498" s="10667"/>
      <c r="O498" s="10656"/>
      <c r="P498" s="10656"/>
      <c r="Q498" s="10672"/>
      <c r="R498" s="3867"/>
      <c r="S498" s="5681"/>
      <c r="T498" s="5681"/>
      <c r="U498" s="3495"/>
      <c r="V498" s="5499"/>
      <c r="W498" s="3496"/>
      <c r="X498" s="5523"/>
      <c r="Y498" s="5523"/>
      <c r="Z498" s="5523"/>
      <c r="AA498" s="5524"/>
      <c r="AB498" s="5779"/>
      <c r="AC498" s="3847"/>
      <c r="AD498" s="3496"/>
      <c r="AE498" s="3666"/>
      <c r="AF498" s="3666"/>
      <c r="AG498" s="10678"/>
    </row>
    <row r="499" spans="1:33" ht="22.5" customHeight="1">
      <c r="A499" s="10663"/>
      <c r="B499" s="10659"/>
      <c r="C499" s="10656"/>
      <c r="D499" s="10656"/>
      <c r="E499" s="10656"/>
      <c r="F499" s="10656"/>
      <c r="G499" s="10656"/>
      <c r="H499" s="10656"/>
      <c r="I499" s="10656"/>
      <c r="J499" s="10656"/>
      <c r="K499" s="10656"/>
      <c r="L499" s="10667"/>
      <c r="M499" s="10667"/>
      <c r="N499" s="10667"/>
      <c r="O499" s="10656"/>
      <c r="P499" s="10656"/>
      <c r="Q499" s="10672"/>
      <c r="R499" s="3867"/>
      <c r="S499" s="5681"/>
      <c r="T499" s="5681"/>
      <c r="U499" s="3495"/>
      <c r="V499" s="5499"/>
      <c r="W499" s="3496"/>
      <c r="X499" s="5523"/>
      <c r="Y499" s="5523"/>
      <c r="Z499" s="5523"/>
      <c r="AA499" s="5524"/>
      <c r="AB499" s="5779"/>
      <c r="AC499" s="3847"/>
      <c r="AD499" s="3496"/>
      <c r="AE499" s="3666"/>
      <c r="AF499" s="3666"/>
      <c r="AG499" s="10678"/>
    </row>
    <row r="500" spans="1:33" ht="22.5" customHeight="1">
      <c r="A500" s="10663"/>
      <c r="B500" s="10659"/>
      <c r="C500" s="10656"/>
      <c r="D500" s="10656"/>
      <c r="E500" s="10656"/>
      <c r="F500" s="10656"/>
      <c r="G500" s="10656"/>
      <c r="H500" s="10656"/>
      <c r="I500" s="10656"/>
      <c r="J500" s="10656"/>
      <c r="K500" s="10656"/>
      <c r="L500" s="10667"/>
      <c r="M500" s="10667"/>
      <c r="N500" s="10667"/>
      <c r="O500" s="10656"/>
      <c r="P500" s="10656"/>
      <c r="Q500" s="10672"/>
      <c r="R500" s="3868"/>
      <c r="S500" s="5682"/>
      <c r="T500" s="5682"/>
      <c r="U500" s="3495"/>
      <c r="V500" s="5499"/>
      <c r="W500" s="3496"/>
      <c r="X500" s="5523"/>
      <c r="Y500" s="5523"/>
      <c r="Z500" s="5523"/>
      <c r="AA500" s="5524"/>
      <c r="AB500" s="5779"/>
      <c r="AC500" s="3847"/>
      <c r="AD500" s="3496"/>
      <c r="AE500" s="3666"/>
      <c r="AF500" s="3666"/>
      <c r="AG500" s="10678"/>
    </row>
    <row r="501" spans="1:33" ht="22.5" customHeight="1">
      <c r="A501" s="10663"/>
      <c r="B501" s="10661"/>
      <c r="C501" s="10658"/>
      <c r="D501" s="10658"/>
      <c r="E501" s="10658"/>
      <c r="F501" s="10658"/>
      <c r="G501" s="10658"/>
      <c r="H501" s="10658"/>
      <c r="I501" s="10658"/>
      <c r="J501" s="10658"/>
      <c r="K501" s="10658"/>
      <c r="L501" s="10668"/>
      <c r="M501" s="10668"/>
      <c r="N501" s="10668"/>
      <c r="O501" s="10658"/>
      <c r="P501" s="10658"/>
      <c r="Q501" s="10673"/>
      <c r="R501" s="3879"/>
      <c r="S501" s="5683"/>
      <c r="T501" s="5683"/>
      <c r="U501" s="3759"/>
      <c r="V501" s="5509"/>
      <c r="W501" s="3714"/>
      <c r="X501" s="5544"/>
      <c r="Y501" s="5544"/>
      <c r="Z501" s="5544"/>
      <c r="AA501" s="5545"/>
      <c r="AB501" s="5823"/>
      <c r="AC501" s="3717"/>
      <c r="AD501" s="3714"/>
      <c r="AE501" s="3718"/>
      <c r="AF501" s="3718"/>
      <c r="AG501" s="10679"/>
    </row>
    <row r="502" spans="1:33" ht="21.75" customHeight="1">
      <c r="A502" s="10663"/>
      <c r="B502" s="10516" t="s">
        <v>183</v>
      </c>
      <c r="C502" s="10433" t="s">
        <v>227</v>
      </c>
      <c r="D502" s="10433" t="s">
        <v>228</v>
      </c>
      <c r="E502" s="10433" t="s">
        <v>255</v>
      </c>
      <c r="F502" s="10442" t="s">
        <v>230</v>
      </c>
      <c r="G502" s="10433" t="s">
        <v>132</v>
      </c>
      <c r="H502" s="10433" t="s">
        <v>133</v>
      </c>
      <c r="I502" s="10433" t="s">
        <v>4646</v>
      </c>
      <c r="J502" s="10433" t="s">
        <v>4647</v>
      </c>
      <c r="K502" s="10433" t="s">
        <v>4648</v>
      </c>
      <c r="L502" s="10676">
        <v>1</v>
      </c>
      <c r="M502" s="10676">
        <v>0</v>
      </c>
      <c r="N502" s="10676">
        <v>1</v>
      </c>
      <c r="O502" s="10433" t="s">
        <v>4649</v>
      </c>
      <c r="P502" s="10433" t="s">
        <v>4701</v>
      </c>
      <c r="Q502" s="10439" t="s">
        <v>4688</v>
      </c>
      <c r="R502" s="3885"/>
      <c r="S502" s="5684"/>
      <c r="T502" s="5684"/>
      <c r="U502" s="3762"/>
      <c r="V502" s="5502"/>
      <c r="W502" s="3709"/>
      <c r="X502" s="5529"/>
      <c r="Y502" s="5529"/>
      <c r="Z502" s="5529"/>
      <c r="AA502" s="5530"/>
      <c r="AB502" s="5780"/>
      <c r="AC502" s="3886"/>
      <c r="AD502" s="3709"/>
      <c r="AE502" s="3724"/>
      <c r="AF502" s="3724"/>
      <c r="AG502" s="10525"/>
    </row>
    <row r="503" spans="1:33" ht="21.75" customHeight="1">
      <c r="A503" s="10663"/>
      <c r="B503" s="10659"/>
      <c r="C503" s="10656"/>
      <c r="D503" s="10656"/>
      <c r="E503" s="10656"/>
      <c r="F503" s="10656"/>
      <c r="G503" s="10656"/>
      <c r="H503" s="10656"/>
      <c r="I503" s="10656"/>
      <c r="J503" s="10656"/>
      <c r="K503" s="10656"/>
      <c r="L503" s="10667"/>
      <c r="M503" s="10667"/>
      <c r="N503" s="10667"/>
      <c r="O503" s="10656"/>
      <c r="P503" s="10656"/>
      <c r="Q503" s="10672"/>
      <c r="R503" s="3867"/>
      <c r="S503" s="5681"/>
      <c r="T503" s="5681"/>
      <c r="U503" s="3495"/>
      <c r="V503" s="5499"/>
      <c r="W503" s="3496"/>
      <c r="X503" s="5523"/>
      <c r="Y503" s="5523"/>
      <c r="Z503" s="5523"/>
      <c r="AA503" s="5524"/>
      <c r="AB503" s="5779"/>
      <c r="AC503" s="3847"/>
      <c r="AD503" s="3496"/>
      <c r="AE503" s="3666"/>
      <c r="AF503" s="3666"/>
      <c r="AG503" s="10678"/>
    </row>
    <row r="504" spans="1:33" ht="21.75" customHeight="1">
      <c r="A504" s="10663"/>
      <c r="B504" s="10659"/>
      <c r="C504" s="10656"/>
      <c r="D504" s="10656"/>
      <c r="E504" s="10656"/>
      <c r="F504" s="10656"/>
      <c r="G504" s="10656"/>
      <c r="H504" s="10656"/>
      <c r="I504" s="10656"/>
      <c r="J504" s="10656"/>
      <c r="K504" s="10656"/>
      <c r="L504" s="10667"/>
      <c r="M504" s="10667"/>
      <c r="N504" s="10667"/>
      <c r="O504" s="10656"/>
      <c r="P504" s="10656"/>
      <c r="Q504" s="10672"/>
      <c r="R504" s="3867"/>
      <c r="S504" s="5681"/>
      <c r="T504" s="5681"/>
      <c r="U504" s="3495"/>
      <c r="V504" s="5499"/>
      <c r="W504" s="3496"/>
      <c r="X504" s="5523"/>
      <c r="Y504" s="5523"/>
      <c r="Z504" s="5523"/>
      <c r="AA504" s="5524"/>
      <c r="AB504" s="5779"/>
      <c r="AC504" s="3847"/>
      <c r="AD504" s="3496"/>
      <c r="AE504" s="3666"/>
      <c r="AF504" s="3666"/>
      <c r="AG504" s="10678"/>
    </row>
    <row r="505" spans="1:33" ht="21.75" customHeight="1">
      <c r="A505" s="10663"/>
      <c r="B505" s="10659"/>
      <c r="C505" s="10656"/>
      <c r="D505" s="10656"/>
      <c r="E505" s="10656"/>
      <c r="F505" s="10656"/>
      <c r="G505" s="10656"/>
      <c r="H505" s="10656"/>
      <c r="I505" s="10656"/>
      <c r="J505" s="10656"/>
      <c r="K505" s="10656"/>
      <c r="L505" s="10667"/>
      <c r="M505" s="10667"/>
      <c r="N505" s="10667"/>
      <c r="O505" s="10656"/>
      <c r="P505" s="10656"/>
      <c r="Q505" s="10672"/>
      <c r="R505" s="3868"/>
      <c r="S505" s="5682"/>
      <c r="T505" s="5682"/>
      <c r="U505" s="3495"/>
      <c r="V505" s="5499"/>
      <c r="W505" s="3496"/>
      <c r="X505" s="5523"/>
      <c r="Y505" s="5523"/>
      <c r="Z505" s="5523"/>
      <c r="AA505" s="5524"/>
      <c r="AB505" s="5779"/>
      <c r="AC505" s="3847"/>
      <c r="AD505" s="3496"/>
      <c r="AE505" s="3666"/>
      <c r="AF505" s="3666"/>
      <c r="AG505" s="10678"/>
    </row>
    <row r="506" spans="1:33" ht="21.75" customHeight="1">
      <c r="A506" s="10663"/>
      <c r="B506" s="10660"/>
      <c r="C506" s="10657"/>
      <c r="D506" s="10657"/>
      <c r="E506" s="10657"/>
      <c r="F506" s="10657"/>
      <c r="G506" s="10657"/>
      <c r="H506" s="10657"/>
      <c r="I506" s="10657"/>
      <c r="J506" s="10657"/>
      <c r="K506" s="10657"/>
      <c r="L506" s="10674"/>
      <c r="M506" s="10674"/>
      <c r="N506" s="10674"/>
      <c r="O506" s="10657"/>
      <c r="P506" s="10657"/>
      <c r="Q506" s="10675"/>
      <c r="R506" s="3887"/>
      <c r="S506" s="5696"/>
      <c r="T506" s="5696"/>
      <c r="U506" s="3557"/>
      <c r="V506" s="5503"/>
      <c r="W506" s="3545"/>
      <c r="X506" s="5532"/>
      <c r="Y506" s="5532"/>
      <c r="Z506" s="5532"/>
      <c r="AA506" s="5533"/>
      <c r="AB506" s="5828"/>
      <c r="AC506" s="3706"/>
      <c r="AD506" s="3545"/>
      <c r="AE506" s="3707"/>
      <c r="AF506" s="3707"/>
      <c r="AG506" s="10680"/>
    </row>
    <row r="507" spans="1:33">
      <c r="A507" s="10663"/>
      <c r="B507" s="10512" t="s">
        <v>183</v>
      </c>
      <c r="C507" s="10444" t="s">
        <v>227</v>
      </c>
      <c r="D507" s="10444" t="s">
        <v>228</v>
      </c>
      <c r="E507" s="10444" t="s">
        <v>229</v>
      </c>
      <c r="F507" s="10451" t="s">
        <v>230</v>
      </c>
      <c r="G507" s="10444" t="s">
        <v>132</v>
      </c>
      <c r="H507" s="10444" t="s">
        <v>133</v>
      </c>
      <c r="I507" s="10444" t="s">
        <v>4702</v>
      </c>
      <c r="J507" s="10444" t="s">
        <v>4652</v>
      </c>
      <c r="K507" s="10444" t="s">
        <v>4653</v>
      </c>
      <c r="L507" s="10666">
        <v>4</v>
      </c>
      <c r="M507" s="10666">
        <v>8</v>
      </c>
      <c r="N507" s="10666">
        <v>8</v>
      </c>
      <c r="O507" s="10444" t="s">
        <v>4654</v>
      </c>
      <c r="P507" s="10444" t="s">
        <v>4655</v>
      </c>
      <c r="Q507" s="10449" t="s">
        <v>4695</v>
      </c>
      <c r="R507" s="3892"/>
      <c r="S507" s="5689"/>
      <c r="T507" s="5689"/>
      <c r="U507" s="3758"/>
      <c r="V507" s="5504"/>
      <c r="W507" s="3658"/>
      <c r="X507" s="5534"/>
      <c r="Y507" s="5534"/>
      <c r="Z507" s="5534"/>
      <c r="AA507" s="5535"/>
      <c r="AB507" s="5822"/>
      <c r="AC507" s="3893"/>
      <c r="AD507" s="3658"/>
      <c r="AE507" s="3660"/>
      <c r="AF507" s="3660"/>
      <c r="AG507" s="10464"/>
    </row>
    <row r="508" spans="1:33">
      <c r="A508" s="10663"/>
      <c r="B508" s="10659"/>
      <c r="C508" s="10656"/>
      <c r="D508" s="10656"/>
      <c r="E508" s="10656"/>
      <c r="F508" s="10656"/>
      <c r="G508" s="10656"/>
      <c r="H508" s="10656"/>
      <c r="I508" s="10656"/>
      <c r="J508" s="10656"/>
      <c r="K508" s="10656"/>
      <c r="L508" s="10667"/>
      <c r="M508" s="10667"/>
      <c r="N508" s="10667"/>
      <c r="O508" s="10656"/>
      <c r="P508" s="10656"/>
      <c r="Q508" s="10672"/>
      <c r="R508" s="3867"/>
      <c r="S508" s="5681"/>
      <c r="T508" s="5681"/>
      <c r="U508" s="3495"/>
      <c r="V508" s="5499"/>
      <c r="W508" s="3496"/>
      <c r="X508" s="5523"/>
      <c r="Y508" s="5523"/>
      <c r="Z508" s="5523"/>
      <c r="AA508" s="5524"/>
      <c r="AB508" s="5779"/>
      <c r="AC508" s="3847"/>
      <c r="AD508" s="3496"/>
      <c r="AE508" s="3666"/>
      <c r="AF508" s="3666"/>
      <c r="AG508" s="10678"/>
    </row>
    <row r="509" spans="1:33">
      <c r="A509" s="10663"/>
      <c r="B509" s="10659"/>
      <c r="C509" s="10656"/>
      <c r="D509" s="10656"/>
      <c r="E509" s="10656"/>
      <c r="F509" s="10656"/>
      <c r="G509" s="10656"/>
      <c r="H509" s="10656"/>
      <c r="I509" s="10656"/>
      <c r="J509" s="10656"/>
      <c r="K509" s="10656"/>
      <c r="L509" s="10667"/>
      <c r="M509" s="10667"/>
      <c r="N509" s="10667"/>
      <c r="O509" s="10656"/>
      <c r="P509" s="10656"/>
      <c r="Q509" s="10672"/>
      <c r="R509" s="3867"/>
      <c r="S509" s="5681"/>
      <c r="T509" s="5681"/>
      <c r="U509" s="3495"/>
      <c r="V509" s="5499"/>
      <c r="W509" s="3496"/>
      <c r="X509" s="5523"/>
      <c r="Y509" s="5523"/>
      <c r="Z509" s="5523"/>
      <c r="AA509" s="5524"/>
      <c r="AB509" s="5779"/>
      <c r="AC509" s="3847"/>
      <c r="AD509" s="3496"/>
      <c r="AE509" s="3666"/>
      <c r="AF509" s="3666"/>
      <c r="AG509" s="10678"/>
    </row>
    <row r="510" spans="1:33">
      <c r="A510" s="10663"/>
      <c r="B510" s="10659"/>
      <c r="C510" s="10656"/>
      <c r="D510" s="10656"/>
      <c r="E510" s="10656"/>
      <c r="F510" s="10656"/>
      <c r="G510" s="10656"/>
      <c r="H510" s="10656"/>
      <c r="I510" s="10656"/>
      <c r="J510" s="10656"/>
      <c r="K510" s="10656"/>
      <c r="L510" s="10667"/>
      <c r="M510" s="10667"/>
      <c r="N510" s="10667"/>
      <c r="O510" s="10656"/>
      <c r="P510" s="10656"/>
      <c r="Q510" s="10672"/>
      <c r="R510" s="3868"/>
      <c r="S510" s="5682"/>
      <c r="T510" s="5682"/>
      <c r="U510" s="3495"/>
      <c r="V510" s="5499"/>
      <c r="W510" s="3496"/>
      <c r="X510" s="5523"/>
      <c r="Y510" s="5523"/>
      <c r="Z510" s="5523"/>
      <c r="AA510" s="5524"/>
      <c r="AB510" s="5779"/>
      <c r="AC510" s="3847"/>
      <c r="AD510" s="3496"/>
      <c r="AE510" s="3666"/>
      <c r="AF510" s="3666"/>
      <c r="AG510" s="10678"/>
    </row>
    <row r="511" spans="1:33" ht="31.5" customHeight="1">
      <c r="A511" s="10663"/>
      <c r="B511" s="10661"/>
      <c r="C511" s="10658"/>
      <c r="D511" s="10658"/>
      <c r="E511" s="10658"/>
      <c r="F511" s="10658"/>
      <c r="G511" s="10658"/>
      <c r="H511" s="10658"/>
      <c r="I511" s="10658"/>
      <c r="J511" s="10658"/>
      <c r="K511" s="10658"/>
      <c r="L511" s="10668"/>
      <c r="M511" s="10668"/>
      <c r="N511" s="10668"/>
      <c r="O511" s="10658"/>
      <c r="P511" s="10658"/>
      <c r="Q511" s="10673"/>
      <c r="R511" s="3879"/>
      <c r="S511" s="5683"/>
      <c r="T511" s="5683"/>
      <c r="U511" s="3759"/>
      <c r="V511" s="5509"/>
      <c r="W511" s="3714"/>
      <c r="X511" s="5544"/>
      <c r="Y511" s="5544"/>
      <c r="Z511" s="5544"/>
      <c r="AA511" s="5545"/>
      <c r="AB511" s="5823"/>
      <c r="AC511" s="3717"/>
      <c r="AD511" s="3714"/>
      <c r="AE511" s="3718"/>
      <c r="AF511" s="3718"/>
      <c r="AG511" s="10679"/>
    </row>
    <row r="512" spans="1:33">
      <c r="A512" s="10663"/>
      <c r="B512" s="10516" t="s">
        <v>183</v>
      </c>
      <c r="C512" s="10433" t="s">
        <v>227</v>
      </c>
      <c r="D512" s="10433" t="s">
        <v>228</v>
      </c>
      <c r="E512" s="10433" t="s">
        <v>229</v>
      </c>
      <c r="F512" s="10442" t="s">
        <v>230</v>
      </c>
      <c r="G512" s="10433" t="s">
        <v>132</v>
      </c>
      <c r="H512" s="10433" t="s">
        <v>159</v>
      </c>
      <c r="I512" s="10433" t="s">
        <v>4656</v>
      </c>
      <c r="J512" s="10433" t="s">
        <v>4657</v>
      </c>
      <c r="K512" s="10433" t="s">
        <v>4658</v>
      </c>
      <c r="L512" s="10676">
        <v>1</v>
      </c>
      <c r="M512" s="10676">
        <v>0</v>
      </c>
      <c r="N512" s="10676">
        <v>1</v>
      </c>
      <c r="O512" s="10433" t="s">
        <v>4659</v>
      </c>
      <c r="P512" s="10433" t="s">
        <v>4623</v>
      </c>
      <c r="Q512" s="10439" t="s">
        <v>4695</v>
      </c>
      <c r="R512" s="3885"/>
      <c r="S512" s="5684"/>
      <c r="T512" s="5684"/>
      <c r="U512" s="3762"/>
      <c r="V512" s="5502"/>
      <c r="W512" s="3709"/>
      <c r="X512" s="5529"/>
      <c r="Y512" s="5529"/>
      <c r="Z512" s="5529"/>
      <c r="AA512" s="5530"/>
      <c r="AB512" s="5780"/>
      <c r="AC512" s="3886"/>
      <c r="AD512" s="3709"/>
      <c r="AE512" s="3724"/>
      <c r="AF512" s="3724"/>
      <c r="AG512" s="10525"/>
    </row>
    <row r="513" spans="1:33">
      <c r="A513" s="10663"/>
      <c r="B513" s="10659"/>
      <c r="C513" s="10656"/>
      <c r="D513" s="10656"/>
      <c r="E513" s="10656"/>
      <c r="F513" s="10656"/>
      <c r="G513" s="10656"/>
      <c r="H513" s="10656"/>
      <c r="I513" s="10656"/>
      <c r="J513" s="10656"/>
      <c r="K513" s="10656"/>
      <c r="L513" s="10667"/>
      <c r="M513" s="10667"/>
      <c r="N513" s="10667"/>
      <c r="O513" s="10656"/>
      <c r="P513" s="10656"/>
      <c r="Q513" s="10672"/>
      <c r="R513" s="3867"/>
      <c r="S513" s="5681"/>
      <c r="T513" s="5681"/>
      <c r="U513" s="3495"/>
      <c r="V513" s="5499"/>
      <c r="W513" s="3496"/>
      <c r="X513" s="5523"/>
      <c r="Y513" s="5523"/>
      <c r="Z513" s="5523"/>
      <c r="AA513" s="5524"/>
      <c r="AB513" s="5779"/>
      <c r="AC513" s="3847"/>
      <c r="AD513" s="3496"/>
      <c r="AE513" s="3666"/>
      <c r="AF513" s="3666"/>
      <c r="AG513" s="10678"/>
    </row>
    <row r="514" spans="1:33">
      <c r="A514" s="10663"/>
      <c r="B514" s="10659"/>
      <c r="C514" s="10656"/>
      <c r="D514" s="10656"/>
      <c r="E514" s="10656"/>
      <c r="F514" s="10656"/>
      <c r="G514" s="10656"/>
      <c r="H514" s="10656"/>
      <c r="I514" s="10656"/>
      <c r="J514" s="10656"/>
      <c r="K514" s="10656"/>
      <c r="L514" s="10667"/>
      <c r="M514" s="10667"/>
      <c r="N514" s="10667"/>
      <c r="O514" s="10656"/>
      <c r="P514" s="10656"/>
      <c r="Q514" s="10672"/>
      <c r="R514" s="3867"/>
      <c r="S514" s="5681"/>
      <c r="T514" s="5681"/>
      <c r="U514" s="3495"/>
      <c r="V514" s="5499"/>
      <c r="W514" s="3496"/>
      <c r="X514" s="5523"/>
      <c r="Y514" s="5523"/>
      <c r="Z514" s="5523"/>
      <c r="AA514" s="5524"/>
      <c r="AB514" s="5779"/>
      <c r="AC514" s="3847"/>
      <c r="AD514" s="3496"/>
      <c r="AE514" s="3666"/>
      <c r="AF514" s="3666"/>
      <c r="AG514" s="10678"/>
    </row>
    <row r="515" spans="1:33">
      <c r="A515" s="10663"/>
      <c r="B515" s="10659"/>
      <c r="C515" s="10656"/>
      <c r="D515" s="10656"/>
      <c r="E515" s="10656"/>
      <c r="F515" s="10656"/>
      <c r="G515" s="10656"/>
      <c r="H515" s="10656"/>
      <c r="I515" s="10656"/>
      <c r="J515" s="10656"/>
      <c r="K515" s="10656"/>
      <c r="L515" s="10667"/>
      <c r="M515" s="10667"/>
      <c r="N515" s="10667"/>
      <c r="O515" s="10656"/>
      <c r="P515" s="10656"/>
      <c r="Q515" s="10672"/>
      <c r="R515" s="3868"/>
      <c r="S515" s="5682"/>
      <c r="T515" s="5682"/>
      <c r="U515" s="3495"/>
      <c r="V515" s="5499"/>
      <c r="W515" s="3496"/>
      <c r="X515" s="5523"/>
      <c r="Y515" s="5523"/>
      <c r="Z515" s="5523"/>
      <c r="AA515" s="5524"/>
      <c r="AB515" s="5779"/>
      <c r="AC515" s="3847"/>
      <c r="AD515" s="3496"/>
      <c r="AE515" s="3666"/>
      <c r="AF515" s="3666"/>
      <c r="AG515" s="10678"/>
    </row>
    <row r="516" spans="1:33" ht="28.5" customHeight="1">
      <c r="A516" s="10663"/>
      <c r="B516" s="10660"/>
      <c r="C516" s="10657"/>
      <c r="D516" s="10657"/>
      <c r="E516" s="10657"/>
      <c r="F516" s="10657"/>
      <c r="G516" s="10657"/>
      <c r="H516" s="10657"/>
      <c r="I516" s="10657"/>
      <c r="J516" s="10657"/>
      <c r="K516" s="10657"/>
      <c r="L516" s="10674"/>
      <c r="M516" s="10674"/>
      <c r="N516" s="10674"/>
      <c r="O516" s="10657"/>
      <c r="P516" s="10657"/>
      <c r="Q516" s="10675"/>
      <c r="R516" s="3887"/>
      <c r="S516" s="5696"/>
      <c r="T516" s="5696"/>
      <c r="U516" s="3557"/>
      <c r="V516" s="5503"/>
      <c r="W516" s="3545"/>
      <c r="X516" s="5532"/>
      <c r="Y516" s="5532"/>
      <c r="Z516" s="5532"/>
      <c r="AA516" s="5533"/>
      <c r="AB516" s="5828"/>
      <c r="AC516" s="3706"/>
      <c r="AD516" s="3545"/>
      <c r="AE516" s="3707"/>
      <c r="AF516" s="3707"/>
      <c r="AG516" s="10680"/>
    </row>
    <row r="517" spans="1:33">
      <c r="A517" s="10663"/>
      <c r="B517" s="10512" t="s">
        <v>183</v>
      </c>
      <c r="C517" s="10444" t="s">
        <v>227</v>
      </c>
      <c r="D517" s="10444" t="s">
        <v>228</v>
      </c>
      <c r="E517" s="10444" t="s">
        <v>229</v>
      </c>
      <c r="F517" s="10451" t="s">
        <v>230</v>
      </c>
      <c r="G517" s="10444" t="s">
        <v>132</v>
      </c>
      <c r="H517" s="10444" t="s">
        <v>159</v>
      </c>
      <c r="I517" s="10444" t="s">
        <v>4661</v>
      </c>
      <c r="J517" s="10444" t="s">
        <v>4662</v>
      </c>
      <c r="K517" s="10444" t="s">
        <v>4663</v>
      </c>
      <c r="L517" s="10666">
        <v>0</v>
      </c>
      <c r="M517" s="10666">
        <v>1</v>
      </c>
      <c r="N517" s="10666">
        <v>1</v>
      </c>
      <c r="O517" s="10444" t="s">
        <v>4664</v>
      </c>
      <c r="P517" s="10444" t="s">
        <v>4665</v>
      </c>
      <c r="Q517" s="10449" t="s">
        <v>4695</v>
      </c>
      <c r="R517" s="3892"/>
      <c r="S517" s="5689"/>
      <c r="T517" s="5689"/>
      <c r="U517" s="3758"/>
      <c r="V517" s="5504"/>
      <c r="W517" s="3658"/>
      <c r="X517" s="5534"/>
      <c r="Y517" s="5534"/>
      <c r="Z517" s="5534"/>
      <c r="AA517" s="5535"/>
      <c r="AB517" s="5822"/>
      <c r="AC517" s="3893"/>
      <c r="AD517" s="3658"/>
      <c r="AE517" s="3660"/>
      <c r="AF517" s="3660"/>
      <c r="AG517" s="10464"/>
    </row>
    <row r="518" spans="1:33">
      <c r="A518" s="10663"/>
      <c r="B518" s="10659"/>
      <c r="C518" s="10656"/>
      <c r="D518" s="10656"/>
      <c r="E518" s="10656"/>
      <c r="F518" s="10656"/>
      <c r="G518" s="10656"/>
      <c r="H518" s="10656"/>
      <c r="I518" s="10656"/>
      <c r="J518" s="10656"/>
      <c r="K518" s="10656"/>
      <c r="L518" s="10667"/>
      <c r="M518" s="10667"/>
      <c r="N518" s="10667"/>
      <c r="O518" s="10656"/>
      <c r="P518" s="10656"/>
      <c r="Q518" s="10672"/>
      <c r="R518" s="3867"/>
      <c r="S518" s="5681"/>
      <c r="T518" s="5681"/>
      <c r="U518" s="3495"/>
      <c r="V518" s="5499"/>
      <c r="W518" s="3496"/>
      <c r="X518" s="5523"/>
      <c r="Y518" s="5523"/>
      <c r="Z518" s="5523"/>
      <c r="AA518" s="5524"/>
      <c r="AB518" s="5779"/>
      <c r="AC518" s="3847"/>
      <c r="AD518" s="3496"/>
      <c r="AE518" s="3666"/>
      <c r="AF518" s="3666"/>
      <c r="AG518" s="10678"/>
    </row>
    <row r="519" spans="1:33">
      <c r="A519" s="10663"/>
      <c r="B519" s="10659"/>
      <c r="C519" s="10656"/>
      <c r="D519" s="10656"/>
      <c r="E519" s="10656"/>
      <c r="F519" s="10656"/>
      <c r="G519" s="10656"/>
      <c r="H519" s="10656"/>
      <c r="I519" s="10656"/>
      <c r="J519" s="10656"/>
      <c r="K519" s="10656"/>
      <c r="L519" s="10667"/>
      <c r="M519" s="10667"/>
      <c r="N519" s="10667"/>
      <c r="O519" s="10656"/>
      <c r="P519" s="10656"/>
      <c r="Q519" s="10672"/>
      <c r="R519" s="3867"/>
      <c r="S519" s="5681"/>
      <c r="T519" s="5681"/>
      <c r="U519" s="3495"/>
      <c r="V519" s="5499"/>
      <c r="W519" s="3496"/>
      <c r="X519" s="5523"/>
      <c r="Y519" s="5523"/>
      <c r="Z519" s="5523"/>
      <c r="AA519" s="5524"/>
      <c r="AB519" s="5779"/>
      <c r="AC519" s="3847"/>
      <c r="AD519" s="3496"/>
      <c r="AE519" s="3666"/>
      <c r="AF519" s="3666"/>
      <c r="AG519" s="10678"/>
    </row>
    <row r="520" spans="1:33">
      <c r="A520" s="10663"/>
      <c r="B520" s="10659"/>
      <c r="C520" s="10656"/>
      <c r="D520" s="10656"/>
      <c r="E520" s="10656"/>
      <c r="F520" s="10656"/>
      <c r="G520" s="10656"/>
      <c r="H520" s="10656"/>
      <c r="I520" s="10656"/>
      <c r="J520" s="10656"/>
      <c r="K520" s="10656"/>
      <c r="L520" s="10667"/>
      <c r="M520" s="10667"/>
      <c r="N520" s="10667"/>
      <c r="O520" s="10656"/>
      <c r="P520" s="10656"/>
      <c r="Q520" s="10672"/>
      <c r="R520" s="3868"/>
      <c r="S520" s="5682"/>
      <c r="T520" s="5682"/>
      <c r="U520" s="3495"/>
      <c r="V520" s="5499"/>
      <c r="W520" s="3496"/>
      <c r="X520" s="5523"/>
      <c r="Y520" s="5523"/>
      <c r="Z520" s="5523"/>
      <c r="AA520" s="5524"/>
      <c r="AB520" s="5779"/>
      <c r="AC520" s="3847"/>
      <c r="AD520" s="3496"/>
      <c r="AE520" s="3666"/>
      <c r="AF520" s="3666"/>
      <c r="AG520" s="10678"/>
    </row>
    <row r="521" spans="1:33" ht="32.25" customHeight="1">
      <c r="A521" s="10663"/>
      <c r="B521" s="10661"/>
      <c r="C521" s="10658"/>
      <c r="D521" s="10658"/>
      <c r="E521" s="10658"/>
      <c r="F521" s="10658"/>
      <c r="G521" s="10658"/>
      <c r="H521" s="10658"/>
      <c r="I521" s="10658"/>
      <c r="J521" s="10658"/>
      <c r="K521" s="10658"/>
      <c r="L521" s="10668"/>
      <c r="M521" s="10668"/>
      <c r="N521" s="10668"/>
      <c r="O521" s="10658"/>
      <c r="P521" s="10658"/>
      <c r="Q521" s="10673"/>
      <c r="R521" s="3879"/>
      <c r="S521" s="5683"/>
      <c r="T521" s="5683"/>
      <c r="U521" s="3759"/>
      <c r="V521" s="5509"/>
      <c r="W521" s="3714"/>
      <c r="X521" s="5544"/>
      <c r="Y521" s="5544"/>
      <c r="Z521" s="5544"/>
      <c r="AA521" s="5545"/>
      <c r="AB521" s="5823"/>
      <c r="AC521" s="3717"/>
      <c r="AD521" s="3714"/>
      <c r="AE521" s="3718"/>
      <c r="AF521" s="3718"/>
      <c r="AG521" s="10679"/>
    </row>
    <row r="522" spans="1:33">
      <c r="A522" s="10663"/>
      <c r="B522" s="10516" t="s">
        <v>183</v>
      </c>
      <c r="C522" s="10433" t="s">
        <v>227</v>
      </c>
      <c r="D522" s="10433" t="s">
        <v>228</v>
      </c>
      <c r="E522" s="10433" t="s">
        <v>229</v>
      </c>
      <c r="F522" s="10442" t="s">
        <v>230</v>
      </c>
      <c r="G522" s="10433" t="s">
        <v>132</v>
      </c>
      <c r="H522" s="10433" t="s">
        <v>133</v>
      </c>
      <c r="I522" s="10433" t="s">
        <v>4703</v>
      </c>
      <c r="J522" s="10433" t="s">
        <v>4667</v>
      </c>
      <c r="K522" s="10433" t="s">
        <v>4668</v>
      </c>
      <c r="L522" s="10676">
        <v>0</v>
      </c>
      <c r="M522" s="10676">
        <v>1</v>
      </c>
      <c r="N522" s="10676">
        <v>1</v>
      </c>
      <c r="O522" s="10433" t="s">
        <v>4669</v>
      </c>
      <c r="P522" s="10433" t="s">
        <v>4670</v>
      </c>
      <c r="Q522" s="10439" t="s">
        <v>4704</v>
      </c>
      <c r="R522" s="3885"/>
      <c r="S522" s="5684"/>
      <c r="T522" s="5684"/>
      <c r="U522" s="3762"/>
      <c r="V522" s="5502"/>
      <c r="W522" s="3709"/>
      <c r="X522" s="5529"/>
      <c r="Y522" s="5529"/>
      <c r="Z522" s="5529"/>
      <c r="AA522" s="5530"/>
      <c r="AB522" s="5780"/>
      <c r="AC522" s="3886"/>
      <c r="AD522" s="3709"/>
      <c r="AE522" s="3724"/>
      <c r="AF522" s="3724"/>
      <c r="AG522" s="10525"/>
    </row>
    <row r="523" spans="1:33">
      <c r="A523" s="10663"/>
      <c r="B523" s="10659"/>
      <c r="C523" s="10656"/>
      <c r="D523" s="10656"/>
      <c r="E523" s="10656"/>
      <c r="F523" s="10656"/>
      <c r="G523" s="10656"/>
      <c r="H523" s="10656"/>
      <c r="I523" s="10656"/>
      <c r="J523" s="10656"/>
      <c r="K523" s="10656"/>
      <c r="L523" s="10667"/>
      <c r="M523" s="10667"/>
      <c r="N523" s="10667"/>
      <c r="O523" s="10656"/>
      <c r="P523" s="10656"/>
      <c r="Q523" s="10672"/>
      <c r="R523" s="3867"/>
      <c r="S523" s="5681"/>
      <c r="T523" s="5681"/>
      <c r="U523" s="3495"/>
      <c r="V523" s="5499"/>
      <c r="W523" s="3496"/>
      <c r="X523" s="5523"/>
      <c r="Y523" s="5523"/>
      <c r="Z523" s="5523"/>
      <c r="AA523" s="5524"/>
      <c r="AB523" s="5779"/>
      <c r="AC523" s="3847"/>
      <c r="AD523" s="3496"/>
      <c r="AE523" s="3666"/>
      <c r="AF523" s="3666"/>
      <c r="AG523" s="10678"/>
    </row>
    <row r="524" spans="1:33">
      <c r="A524" s="10663"/>
      <c r="B524" s="10659"/>
      <c r="C524" s="10656"/>
      <c r="D524" s="10656"/>
      <c r="E524" s="10656"/>
      <c r="F524" s="10656"/>
      <c r="G524" s="10656"/>
      <c r="H524" s="10656"/>
      <c r="I524" s="10656"/>
      <c r="J524" s="10656"/>
      <c r="K524" s="10656"/>
      <c r="L524" s="10667"/>
      <c r="M524" s="10667"/>
      <c r="N524" s="10667"/>
      <c r="O524" s="10656"/>
      <c r="P524" s="10656"/>
      <c r="Q524" s="10672"/>
      <c r="R524" s="3867"/>
      <c r="S524" s="5681"/>
      <c r="T524" s="5681"/>
      <c r="U524" s="3495"/>
      <c r="V524" s="5499"/>
      <c r="W524" s="3496"/>
      <c r="X524" s="5523"/>
      <c r="Y524" s="5523"/>
      <c r="Z524" s="5523"/>
      <c r="AA524" s="5524"/>
      <c r="AB524" s="5779"/>
      <c r="AC524" s="3847"/>
      <c r="AD524" s="3496"/>
      <c r="AE524" s="3666"/>
      <c r="AF524" s="3666"/>
      <c r="AG524" s="10678"/>
    </row>
    <row r="525" spans="1:33">
      <c r="A525" s="10663"/>
      <c r="B525" s="10659"/>
      <c r="C525" s="10656"/>
      <c r="D525" s="10656"/>
      <c r="E525" s="10656"/>
      <c r="F525" s="10656"/>
      <c r="G525" s="10656"/>
      <c r="H525" s="10656"/>
      <c r="I525" s="10656"/>
      <c r="J525" s="10656"/>
      <c r="K525" s="10656"/>
      <c r="L525" s="10667"/>
      <c r="M525" s="10667"/>
      <c r="N525" s="10667"/>
      <c r="O525" s="10656"/>
      <c r="P525" s="10656"/>
      <c r="Q525" s="10672"/>
      <c r="R525" s="3868"/>
      <c r="S525" s="5682"/>
      <c r="T525" s="5682"/>
      <c r="U525" s="3495"/>
      <c r="V525" s="5499"/>
      <c r="W525" s="3496"/>
      <c r="X525" s="5523"/>
      <c r="Y525" s="5523"/>
      <c r="Z525" s="5523"/>
      <c r="AA525" s="5524"/>
      <c r="AB525" s="5779"/>
      <c r="AC525" s="3847"/>
      <c r="AD525" s="3496"/>
      <c r="AE525" s="3666"/>
      <c r="AF525" s="3666"/>
      <c r="AG525" s="10678"/>
    </row>
    <row r="526" spans="1:33" ht="30" customHeight="1">
      <c r="A526" s="10663"/>
      <c r="B526" s="10660"/>
      <c r="C526" s="10657"/>
      <c r="D526" s="10657"/>
      <c r="E526" s="10657"/>
      <c r="F526" s="10657"/>
      <c r="G526" s="10657"/>
      <c r="H526" s="10657"/>
      <c r="I526" s="10657"/>
      <c r="J526" s="10657"/>
      <c r="K526" s="10657"/>
      <c r="L526" s="10674"/>
      <c r="M526" s="10674"/>
      <c r="N526" s="10674"/>
      <c r="O526" s="10657"/>
      <c r="P526" s="10657"/>
      <c r="Q526" s="10675"/>
      <c r="R526" s="3887"/>
      <c r="S526" s="5696"/>
      <c r="T526" s="5696"/>
      <c r="U526" s="3557"/>
      <c r="V526" s="5503"/>
      <c r="W526" s="3545"/>
      <c r="X526" s="5532"/>
      <c r="Y526" s="5532"/>
      <c r="Z526" s="5532"/>
      <c r="AA526" s="5533"/>
      <c r="AB526" s="5828"/>
      <c r="AC526" s="3706"/>
      <c r="AD526" s="3545"/>
      <c r="AE526" s="3707"/>
      <c r="AF526" s="3707"/>
      <c r="AG526" s="10680"/>
    </row>
    <row r="527" spans="1:33" ht="21.75" customHeight="1">
      <c r="A527" s="10663"/>
      <c r="B527" s="10512" t="s">
        <v>183</v>
      </c>
      <c r="C527" s="10444" t="s">
        <v>227</v>
      </c>
      <c r="D527" s="10444" t="s">
        <v>490</v>
      </c>
      <c r="E527" s="10444" t="s">
        <v>1484</v>
      </c>
      <c r="F527" s="10451" t="s">
        <v>230</v>
      </c>
      <c r="G527" s="10444" t="s">
        <v>231</v>
      </c>
      <c r="H527" s="10444" t="s">
        <v>159</v>
      </c>
      <c r="I527" s="10444" t="s">
        <v>4671</v>
      </c>
      <c r="J527" s="10444" t="s">
        <v>4672</v>
      </c>
      <c r="K527" s="10444" t="s">
        <v>4673</v>
      </c>
      <c r="L527" s="10666">
        <v>0</v>
      </c>
      <c r="M527" s="10666">
        <v>0</v>
      </c>
      <c r="N527" s="10666">
        <v>1</v>
      </c>
      <c r="O527" s="10444" t="s">
        <v>4674</v>
      </c>
      <c r="P527" s="10444" t="s">
        <v>953</v>
      </c>
      <c r="Q527" s="10449" t="s">
        <v>4688</v>
      </c>
      <c r="R527" s="3892"/>
      <c r="S527" s="5689"/>
      <c r="T527" s="5689"/>
      <c r="U527" s="3758"/>
      <c r="V527" s="5504"/>
      <c r="W527" s="3658"/>
      <c r="X527" s="5534"/>
      <c r="Y527" s="5534"/>
      <c r="Z527" s="5534"/>
      <c r="AA527" s="5535"/>
      <c r="AB527" s="5822"/>
      <c r="AC527" s="3893"/>
      <c r="AD527" s="3658"/>
      <c r="AE527" s="3660"/>
      <c r="AF527" s="3660"/>
      <c r="AG527" s="10464"/>
    </row>
    <row r="528" spans="1:33" ht="21.75" customHeight="1">
      <c r="A528" s="10663"/>
      <c r="B528" s="10659"/>
      <c r="C528" s="10656"/>
      <c r="D528" s="10656"/>
      <c r="E528" s="10656"/>
      <c r="F528" s="10656"/>
      <c r="G528" s="10656"/>
      <c r="H528" s="10656"/>
      <c r="I528" s="10656"/>
      <c r="J528" s="10656"/>
      <c r="K528" s="10656"/>
      <c r="L528" s="10667"/>
      <c r="M528" s="10667"/>
      <c r="N528" s="10667"/>
      <c r="O528" s="10656"/>
      <c r="P528" s="10656"/>
      <c r="Q528" s="10672"/>
      <c r="R528" s="3867"/>
      <c r="S528" s="5681"/>
      <c r="T528" s="5681"/>
      <c r="U528" s="3495"/>
      <c r="V528" s="5499"/>
      <c r="W528" s="3496"/>
      <c r="X528" s="5523"/>
      <c r="Y528" s="5523"/>
      <c r="Z528" s="5523"/>
      <c r="AA528" s="5524"/>
      <c r="AB528" s="5779"/>
      <c r="AC528" s="3847"/>
      <c r="AD528" s="3496"/>
      <c r="AE528" s="3666"/>
      <c r="AF528" s="3666"/>
      <c r="AG528" s="10678"/>
    </row>
    <row r="529" spans="1:33" ht="21.75" customHeight="1">
      <c r="A529" s="10663"/>
      <c r="B529" s="10659"/>
      <c r="C529" s="10656"/>
      <c r="D529" s="10656"/>
      <c r="E529" s="10656"/>
      <c r="F529" s="10656"/>
      <c r="G529" s="10656"/>
      <c r="H529" s="10656"/>
      <c r="I529" s="10656"/>
      <c r="J529" s="10656"/>
      <c r="K529" s="10656"/>
      <c r="L529" s="10667"/>
      <c r="M529" s="10667"/>
      <c r="N529" s="10667"/>
      <c r="O529" s="10656"/>
      <c r="P529" s="10656"/>
      <c r="Q529" s="10672"/>
      <c r="R529" s="3867"/>
      <c r="S529" s="5681"/>
      <c r="T529" s="5681"/>
      <c r="U529" s="3495"/>
      <c r="V529" s="5499"/>
      <c r="W529" s="3496"/>
      <c r="X529" s="5523"/>
      <c r="Y529" s="5523"/>
      <c r="Z529" s="5523"/>
      <c r="AA529" s="5524"/>
      <c r="AB529" s="5779"/>
      <c r="AC529" s="3847"/>
      <c r="AD529" s="3496"/>
      <c r="AE529" s="3666"/>
      <c r="AF529" s="3666"/>
      <c r="AG529" s="10678"/>
    </row>
    <row r="530" spans="1:33" ht="21.75" customHeight="1">
      <c r="A530" s="10663"/>
      <c r="B530" s="10659"/>
      <c r="C530" s="10656"/>
      <c r="D530" s="10656"/>
      <c r="E530" s="10656"/>
      <c r="F530" s="10656"/>
      <c r="G530" s="10656"/>
      <c r="H530" s="10656"/>
      <c r="I530" s="10656"/>
      <c r="J530" s="10656"/>
      <c r="K530" s="10656"/>
      <c r="L530" s="10667"/>
      <c r="M530" s="10667"/>
      <c r="N530" s="10667"/>
      <c r="O530" s="10656"/>
      <c r="P530" s="10656"/>
      <c r="Q530" s="10672"/>
      <c r="R530" s="3868"/>
      <c r="S530" s="5682"/>
      <c r="T530" s="5682"/>
      <c r="U530" s="3495"/>
      <c r="V530" s="5499"/>
      <c r="W530" s="3496"/>
      <c r="X530" s="5523"/>
      <c r="Y530" s="5523"/>
      <c r="Z530" s="5523"/>
      <c r="AA530" s="5524"/>
      <c r="AB530" s="5779"/>
      <c r="AC530" s="3847"/>
      <c r="AD530" s="3496"/>
      <c r="AE530" s="3666"/>
      <c r="AF530" s="3666"/>
      <c r="AG530" s="10678"/>
    </row>
    <row r="531" spans="1:33" ht="21.75" customHeight="1">
      <c r="A531" s="10663"/>
      <c r="B531" s="10661"/>
      <c r="C531" s="10658"/>
      <c r="D531" s="10658"/>
      <c r="E531" s="10658"/>
      <c r="F531" s="10658"/>
      <c r="G531" s="10658"/>
      <c r="H531" s="10658"/>
      <c r="I531" s="10658"/>
      <c r="J531" s="10658"/>
      <c r="K531" s="10658"/>
      <c r="L531" s="10668"/>
      <c r="M531" s="10668"/>
      <c r="N531" s="10668"/>
      <c r="O531" s="10658"/>
      <c r="P531" s="10658"/>
      <c r="Q531" s="10673"/>
      <c r="R531" s="3879"/>
      <c r="S531" s="5683"/>
      <c r="T531" s="5683"/>
      <c r="U531" s="3759"/>
      <c r="V531" s="5509"/>
      <c r="W531" s="3714"/>
      <c r="X531" s="5544"/>
      <c r="Y531" s="5544"/>
      <c r="Z531" s="5544"/>
      <c r="AA531" s="5545"/>
      <c r="AB531" s="5823"/>
      <c r="AC531" s="3717"/>
      <c r="AD531" s="3714"/>
      <c r="AE531" s="3718"/>
      <c r="AF531" s="3718"/>
      <c r="AG531" s="10679"/>
    </row>
    <row r="532" spans="1:33">
      <c r="A532" s="10663"/>
      <c r="B532" s="10516" t="s">
        <v>183</v>
      </c>
      <c r="C532" s="10433" t="s">
        <v>227</v>
      </c>
      <c r="D532" s="10433" t="s">
        <v>228</v>
      </c>
      <c r="E532" s="10433" t="s">
        <v>229</v>
      </c>
      <c r="F532" s="10442" t="s">
        <v>230</v>
      </c>
      <c r="G532" s="10433" t="s">
        <v>132</v>
      </c>
      <c r="H532" s="10433" t="s">
        <v>133</v>
      </c>
      <c r="I532" s="10433" t="s">
        <v>4675</v>
      </c>
      <c r="J532" s="10433" t="s">
        <v>4676</v>
      </c>
      <c r="K532" s="10433" t="s">
        <v>4677</v>
      </c>
      <c r="L532" s="10676">
        <v>20</v>
      </c>
      <c r="M532" s="10676">
        <v>20</v>
      </c>
      <c r="N532" s="10676">
        <v>20</v>
      </c>
      <c r="O532" s="10433" t="s">
        <v>4678</v>
      </c>
      <c r="P532" s="10433" t="s">
        <v>4679</v>
      </c>
      <c r="Q532" s="10439" t="s">
        <v>4695</v>
      </c>
      <c r="R532" s="3885"/>
      <c r="S532" s="5684"/>
      <c r="T532" s="5684"/>
      <c r="U532" s="3762"/>
      <c r="V532" s="5502"/>
      <c r="W532" s="3709"/>
      <c r="X532" s="5529"/>
      <c r="Y532" s="5529"/>
      <c r="Z532" s="5529"/>
      <c r="AA532" s="5530"/>
      <c r="AB532" s="5780"/>
      <c r="AC532" s="3886"/>
      <c r="AD532" s="3709"/>
      <c r="AE532" s="3724"/>
      <c r="AF532" s="3724"/>
      <c r="AG532" s="10525"/>
    </row>
    <row r="533" spans="1:33">
      <c r="A533" s="10663"/>
      <c r="B533" s="10659"/>
      <c r="C533" s="10656"/>
      <c r="D533" s="10656"/>
      <c r="E533" s="10656"/>
      <c r="F533" s="10656"/>
      <c r="G533" s="10656"/>
      <c r="H533" s="10656"/>
      <c r="I533" s="10656"/>
      <c r="J533" s="10656"/>
      <c r="K533" s="10656"/>
      <c r="L533" s="10667"/>
      <c r="M533" s="10667"/>
      <c r="N533" s="10667"/>
      <c r="O533" s="10656"/>
      <c r="P533" s="10656"/>
      <c r="Q533" s="10672"/>
      <c r="R533" s="3867"/>
      <c r="S533" s="5681"/>
      <c r="T533" s="5681"/>
      <c r="U533" s="3495"/>
      <c r="V533" s="5499"/>
      <c r="W533" s="3496"/>
      <c r="X533" s="5523"/>
      <c r="Y533" s="5523"/>
      <c r="Z533" s="5523"/>
      <c r="AA533" s="5524"/>
      <c r="AB533" s="5779"/>
      <c r="AC533" s="3847"/>
      <c r="AD533" s="3496"/>
      <c r="AE533" s="3666"/>
      <c r="AF533" s="3666"/>
      <c r="AG533" s="10678"/>
    </row>
    <row r="534" spans="1:33">
      <c r="A534" s="10663"/>
      <c r="B534" s="10659"/>
      <c r="C534" s="10656"/>
      <c r="D534" s="10656"/>
      <c r="E534" s="10656"/>
      <c r="F534" s="10656"/>
      <c r="G534" s="10656"/>
      <c r="H534" s="10656"/>
      <c r="I534" s="10656"/>
      <c r="J534" s="10656"/>
      <c r="K534" s="10656"/>
      <c r="L534" s="10667"/>
      <c r="M534" s="10667"/>
      <c r="N534" s="10667"/>
      <c r="O534" s="10656"/>
      <c r="P534" s="10656"/>
      <c r="Q534" s="10672"/>
      <c r="R534" s="3867"/>
      <c r="S534" s="5681"/>
      <c r="T534" s="5681"/>
      <c r="U534" s="3495"/>
      <c r="V534" s="5499"/>
      <c r="W534" s="3496"/>
      <c r="X534" s="5523"/>
      <c r="Y534" s="5523"/>
      <c r="Z534" s="5523"/>
      <c r="AA534" s="5524"/>
      <c r="AB534" s="5779"/>
      <c r="AC534" s="3847"/>
      <c r="AD534" s="3496"/>
      <c r="AE534" s="3666"/>
      <c r="AF534" s="3666"/>
      <c r="AG534" s="10678"/>
    </row>
    <row r="535" spans="1:33">
      <c r="A535" s="10663"/>
      <c r="B535" s="10659"/>
      <c r="C535" s="10656"/>
      <c r="D535" s="10656"/>
      <c r="E535" s="10656"/>
      <c r="F535" s="10656"/>
      <c r="G535" s="10656"/>
      <c r="H535" s="10656"/>
      <c r="I535" s="10656"/>
      <c r="J535" s="10656"/>
      <c r="K535" s="10656"/>
      <c r="L535" s="10667"/>
      <c r="M535" s="10667"/>
      <c r="N535" s="10667"/>
      <c r="O535" s="10656"/>
      <c r="P535" s="10656"/>
      <c r="Q535" s="10672"/>
      <c r="R535" s="3868"/>
      <c r="S535" s="5682"/>
      <c r="T535" s="5682"/>
      <c r="U535" s="3495"/>
      <c r="V535" s="5499"/>
      <c r="W535" s="3496"/>
      <c r="X535" s="5523"/>
      <c r="Y535" s="5523"/>
      <c r="Z535" s="5523"/>
      <c r="AA535" s="5524"/>
      <c r="AB535" s="5779"/>
      <c r="AC535" s="3847"/>
      <c r="AD535" s="3496"/>
      <c r="AE535" s="3666"/>
      <c r="AF535" s="3666"/>
      <c r="AG535" s="10678"/>
    </row>
    <row r="536" spans="1:33" ht="30.75" customHeight="1">
      <c r="A536" s="10663"/>
      <c r="B536" s="10660"/>
      <c r="C536" s="10657"/>
      <c r="D536" s="10657"/>
      <c r="E536" s="10657"/>
      <c r="F536" s="10657"/>
      <c r="G536" s="10657"/>
      <c r="H536" s="10657"/>
      <c r="I536" s="10657"/>
      <c r="J536" s="10657"/>
      <c r="K536" s="10657"/>
      <c r="L536" s="10674"/>
      <c r="M536" s="10674"/>
      <c r="N536" s="10674"/>
      <c r="O536" s="10657"/>
      <c r="P536" s="10657"/>
      <c r="Q536" s="10675"/>
      <c r="R536" s="3887"/>
      <c r="S536" s="5696"/>
      <c r="T536" s="5696"/>
      <c r="U536" s="3557"/>
      <c r="V536" s="5503"/>
      <c r="W536" s="3545"/>
      <c r="X536" s="5532"/>
      <c r="Y536" s="5532"/>
      <c r="Z536" s="5532"/>
      <c r="AA536" s="5533"/>
      <c r="AB536" s="5828"/>
      <c r="AC536" s="3706"/>
      <c r="AD536" s="3545"/>
      <c r="AE536" s="3707"/>
      <c r="AF536" s="3707"/>
      <c r="AG536" s="10680"/>
    </row>
    <row r="537" spans="1:33">
      <c r="A537" s="10663"/>
      <c r="B537" s="10512" t="s">
        <v>183</v>
      </c>
      <c r="C537" s="10444" t="s">
        <v>227</v>
      </c>
      <c r="D537" s="10444" t="s">
        <v>228</v>
      </c>
      <c r="E537" s="10444" t="s">
        <v>229</v>
      </c>
      <c r="F537" s="10451" t="s">
        <v>230</v>
      </c>
      <c r="G537" s="10444" t="s">
        <v>132</v>
      </c>
      <c r="H537" s="10444" t="s">
        <v>159</v>
      </c>
      <c r="I537" s="10444" t="s">
        <v>4681</v>
      </c>
      <c r="J537" s="10444" t="s">
        <v>4682</v>
      </c>
      <c r="K537" s="10444" t="s">
        <v>4683</v>
      </c>
      <c r="L537" s="10666">
        <v>1</v>
      </c>
      <c r="M537" s="10666">
        <v>1</v>
      </c>
      <c r="N537" s="10666">
        <v>1</v>
      </c>
      <c r="O537" s="10444" t="s">
        <v>4684</v>
      </c>
      <c r="P537" s="10444" t="s">
        <v>4684</v>
      </c>
      <c r="Q537" s="10449" t="s">
        <v>4704</v>
      </c>
      <c r="R537" s="3892"/>
      <c r="S537" s="5689"/>
      <c r="T537" s="5689"/>
      <c r="U537" s="3758"/>
      <c r="V537" s="5504"/>
      <c r="W537" s="3658"/>
      <c r="X537" s="5534"/>
      <c r="Y537" s="5534"/>
      <c r="Z537" s="5534"/>
      <c r="AA537" s="5535"/>
      <c r="AB537" s="5822"/>
      <c r="AC537" s="3893"/>
      <c r="AD537" s="3658"/>
      <c r="AE537" s="3660"/>
      <c r="AF537" s="3660"/>
      <c r="AG537" s="10464"/>
    </row>
    <row r="538" spans="1:33">
      <c r="A538" s="10663"/>
      <c r="B538" s="10659"/>
      <c r="C538" s="10656"/>
      <c r="D538" s="10656"/>
      <c r="E538" s="10656"/>
      <c r="F538" s="10656"/>
      <c r="G538" s="10656"/>
      <c r="H538" s="10656"/>
      <c r="I538" s="10656"/>
      <c r="J538" s="10656"/>
      <c r="K538" s="10656"/>
      <c r="L538" s="10667"/>
      <c r="M538" s="10667"/>
      <c r="N538" s="10667"/>
      <c r="O538" s="10656"/>
      <c r="P538" s="10656"/>
      <c r="Q538" s="10672"/>
      <c r="R538" s="3867"/>
      <c r="S538" s="5681"/>
      <c r="T538" s="5681"/>
      <c r="U538" s="3495"/>
      <c r="V538" s="5499"/>
      <c r="W538" s="3496"/>
      <c r="X538" s="5523"/>
      <c r="Y538" s="5523"/>
      <c r="Z538" s="5523"/>
      <c r="AA538" s="5524"/>
      <c r="AB538" s="5779"/>
      <c r="AC538" s="3847"/>
      <c r="AD538" s="3496"/>
      <c r="AE538" s="3666"/>
      <c r="AF538" s="3666"/>
      <c r="AG538" s="10678"/>
    </row>
    <row r="539" spans="1:33">
      <c r="A539" s="10663"/>
      <c r="B539" s="10659"/>
      <c r="C539" s="10656"/>
      <c r="D539" s="10656"/>
      <c r="E539" s="10656"/>
      <c r="F539" s="10656"/>
      <c r="G539" s="10656"/>
      <c r="H539" s="10656"/>
      <c r="I539" s="10656"/>
      <c r="J539" s="10656"/>
      <c r="K539" s="10656"/>
      <c r="L539" s="10667"/>
      <c r="M539" s="10667"/>
      <c r="N539" s="10667"/>
      <c r="O539" s="10656"/>
      <c r="P539" s="10656"/>
      <c r="Q539" s="10672"/>
      <c r="R539" s="3867"/>
      <c r="S539" s="5681"/>
      <c r="T539" s="5681"/>
      <c r="U539" s="3495"/>
      <c r="V539" s="5499"/>
      <c r="W539" s="3496"/>
      <c r="X539" s="5523"/>
      <c r="Y539" s="5523"/>
      <c r="Z539" s="5523"/>
      <c r="AA539" s="5524"/>
      <c r="AB539" s="5779"/>
      <c r="AC539" s="3847"/>
      <c r="AD539" s="3496"/>
      <c r="AE539" s="3666"/>
      <c r="AF539" s="3666"/>
      <c r="AG539" s="10678"/>
    </row>
    <row r="540" spans="1:33">
      <c r="A540" s="10663"/>
      <c r="B540" s="10659"/>
      <c r="C540" s="10656"/>
      <c r="D540" s="10656"/>
      <c r="E540" s="10656"/>
      <c r="F540" s="10656"/>
      <c r="G540" s="10656"/>
      <c r="H540" s="10656"/>
      <c r="I540" s="10656"/>
      <c r="J540" s="10656"/>
      <c r="K540" s="10656"/>
      <c r="L540" s="10667"/>
      <c r="M540" s="10667"/>
      <c r="N540" s="10667"/>
      <c r="O540" s="10656"/>
      <c r="P540" s="10656"/>
      <c r="Q540" s="10672"/>
      <c r="R540" s="3868"/>
      <c r="S540" s="5682"/>
      <c r="T540" s="5682"/>
      <c r="U540" s="3495"/>
      <c r="V540" s="5499"/>
      <c r="W540" s="3496"/>
      <c r="X540" s="5523"/>
      <c r="Y540" s="5523"/>
      <c r="Z540" s="5523"/>
      <c r="AA540" s="5524"/>
      <c r="AB540" s="5779"/>
      <c r="AC540" s="3847"/>
      <c r="AD540" s="3496"/>
      <c r="AE540" s="3666"/>
      <c r="AF540" s="3666"/>
      <c r="AG540" s="10678"/>
    </row>
    <row r="541" spans="1:33" ht="27.75" customHeight="1">
      <c r="A541" s="10663"/>
      <c r="B541" s="10660"/>
      <c r="C541" s="10657"/>
      <c r="D541" s="10657"/>
      <c r="E541" s="10657"/>
      <c r="F541" s="10657"/>
      <c r="G541" s="10657"/>
      <c r="H541" s="10657"/>
      <c r="I541" s="10657"/>
      <c r="J541" s="10657"/>
      <c r="K541" s="10657"/>
      <c r="L541" s="10674"/>
      <c r="M541" s="10674"/>
      <c r="N541" s="10674"/>
      <c r="O541" s="10657"/>
      <c r="P541" s="10657"/>
      <c r="Q541" s="10675"/>
      <c r="R541" s="3879"/>
      <c r="S541" s="5683"/>
      <c r="T541" s="5683"/>
      <c r="U541" s="3759"/>
      <c r="V541" s="5509"/>
      <c r="W541" s="3714"/>
      <c r="X541" s="5544"/>
      <c r="Y541" s="5544"/>
      <c r="Z541" s="5544"/>
      <c r="AA541" s="5545"/>
      <c r="AB541" s="5823"/>
      <c r="AC541" s="3717"/>
      <c r="AD541" s="3714"/>
      <c r="AE541" s="3718"/>
      <c r="AF541" s="3718"/>
      <c r="AG541" s="10680"/>
    </row>
    <row r="542" spans="1:33" s="4835" customFormat="1" ht="27" customHeight="1" thickBot="1">
      <c r="A542" s="10664"/>
      <c r="B542" s="10708"/>
      <c r="C542" s="10709"/>
      <c r="D542" s="10709"/>
      <c r="E542" s="10709"/>
      <c r="F542" s="10709"/>
      <c r="G542" s="10709"/>
      <c r="H542" s="10709"/>
      <c r="I542" s="10709"/>
      <c r="J542" s="10709"/>
      <c r="K542" s="10709"/>
      <c r="L542" s="10709"/>
      <c r="M542" s="10709"/>
      <c r="N542" s="10709"/>
      <c r="O542" s="10709"/>
      <c r="P542" s="10709"/>
      <c r="Q542" s="10710"/>
      <c r="R542" s="10681" t="s">
        <v>4705</v>
      </c>
      <c r="S542" s="10715"/>
      <c r="T542" s="10715"/>
      <c r="U542" s="10715"/>
      <c r="V542" s="10715"/>
      <c r="W542" s="10715"/>
      <c r="X542" s="10715"/>
      <c r="Y542" s="10716"/>
      <c r="Z542" s="6118" t="s">
        <v>292</v>
      </c>
      <c r="AA542" s="7447">
        <f>SUM(AA467:AA541)</f>
        <v>0</v>
      </c>
      <c r="AB542" s="6120"/>
      <c r="AC542" s="6119"/>
      <c r="AD542" s="10712"/>
      <c r="AE542" s="10717"/>
      <c r="AF542" s="10717"/>
      <c r="AG542" s="10718"/>
    </row>
    <row r="543" spans="1:33" ht="20.25" customHeight="1">
      <c r="A543" s="10662" t="s">
        <v>4706</v>
      </c>
      <c r="B543" s="10512" t="s">
        <v>183</v>
      </c>
      <c r="C543" s="10444" t="s">
        <v>128</v>
      </c>
      <c r="D543" s="10444" t="s">
        <v>140</v>
      </c>
      <c r="E543" s="10444" t="s">
        <v>284</v>
      </c>
      <c r="F543" s="10451" t="s">
        <v>131</v>
      </c>
      <c r="G543" s="10444" t="s">
        <v>132</v>
      </c>
      <c r="H543" s="10444" t="s">
        <v>159</v>
      </c>
      <c r="I543" s="10444" t="s">
        <v>4687</v>
      </c>
      <c r="J543" s="10444" t="s">
        <v>4609</v>
      </c>
      <c r="K543" s="10444" t="s">
        <v>4610</v>
      </c>
      <c r="L543" s="10666">
        <v>2</v>
      </c>
      <c r="M543" s="10666">
        <v>3</v>
      </c>
      <c r="N543" s="10666">
        <v>3</v>
      </c>
      <c r="O543" s="10444" t="s">
        <v>4707</v>
      </c>
      <c r="P543" s="10444" t="s">
        <v>4612</v>
      </c>
      <c r="Q543" s="10449" t="s">
        <v>4708</v>
      </c>
      <c r="R543" s="3892"/>
      <c r="S543" s="5689"/>
      <c r="T543" s="5689"/>
      <c r="U543" s="3758"/>
      <c r="V543" s="5504"/>
      <c r="W543" s="3658"/>
      <c r="X543" s="5534"/>
      <c r="Y543" s="5534"/>
      <c r="Z543" s="5534"/>
      <c r="AA543" s="5535"/>
      <c r="AB543" s="5822"/>
      <c r="AC543" s="3893"/>
      <c r="AD543" s="3658"/>
      <c r="AE543" s="3660"/>
      <c r="AF543" s="3660"/>
      <c r="AG543" s="10464"/>
    </row>
    <row r="544" spans="1:33" ht="20.25" customHeight="1">
      <c r="A544" s="10663"/>
      <c r="B544" s="10659"/>
      <c r="C544" s="10656"/>
      <c r="D544" s="10656"/>
      <c r="E544" s="10656"/>
      <c r="F544" s="10656"/>
      <c r="G544" s="10656"/>
      <c r="H544" s="10656"/>
      <c r="I544" s="10656"/>
      <c r="J544" s="10656"/>
      <c r="K544" s="10656"/>
      <c r="L544" s="10667"/>
      <c r="M544" s="10667"/>
      <c r="N544" s="10667"/>
      <c r="O544" s="10656"/>
      <c r="P544" s="10656"/>
      <c r="Q544" s="10672"/>
      <c r="R544" s="3867"/>
      <c r="S544" s="5681"/>
      <c r="T544" s="5681"/>
      <c r="U544" s="3495"/>
      <c r="V544" s="5499"/>
      <c r="W544" s="3496"/>
      <c r="X544" s="5523"/>
      <c r="Y544" s="5523"/>
      <c r="Z544" s="5523"/>
      <c r="AA544" s="5524"/>
      <c r="AB544" s="5779"/>
      <c r="AC544" s="3847"/>
      <c r="AD544" s="3496"/>
      <c r="AE544" s="3666"/>
      <c r="AF544" s="3666"/>
      <c r="AG544" s="10678"/>
    </row>
    <row r="545" spans="1:33" ht="20.25" customHeight="1">
      <c r="A545" s="10663"/>
      <c r="B545" s="10659"/>
      <c r="C545" s="10656"/>
      <c r="D545" s="10656"/>
      <c r="E545" s="10656"/>
      <c r="F545" s="10656"/>
      <c r="G545" s="10656"/>
      <c r="H545" s="10656"/>
      <c r="I545" s="10656"/>
      <c r="J545" s="10656"/>
      <c r="K545" s="10656"/>
      <c r="L545" s="10667"/>
      <c r="M545" s="10667"/>
      <c r="N545" s="10667"/>
      <c r="O545" s="10656"/>
      <c r="P545" s="10656"/>
      <c r="Q545" s="10672"/>
      <c r="R545" s="3867"/>
      <c r="S545" s="5681"/>
      <c r="T545" s="5681"/>
      <c r="U545" s="3495"/>
      <c r="V545" s="5499"/>
      <c r="W545" s="3496"/>
      <c r="X545" s="5523"/>
      <c r="Y545" s="5523"/>
      <c r="Z545" s="5523"/>
      <c r="AA545" s="5524"/>
      <c r="AB545" s="5779"/>
      <c r="AC545" s="3847"/>
      <c r="AD545" s="3496"/>
      <c r="AE545" s="3666"/>
      <c r="AF545" s="3666"/>
      <c r="AG545" s="10678"/>
    </row>
    <row r="546" spans="1:33" ht="20.25" customHeight="1">
      <c r="A546" s="10663"/>
      <c r="B546" s="10659"/>
      <c r="C546" s="10656"/>
      <c r="D546" s="10656"/>
      <c r="E546" s="10656"/>
      <c r="F546" s="10656"/>
      <c r="G546" s="10656"/>
      <c r="H546" s="10656"/>
      <c r="I546" s="10656"/>
      <c r="J546" s="10656"/>
      <c r="K546" s="10656"/>
      <c r="L546" s="10667"/>
      <c r="M546" s="10667"/>
      <c r="N546" s="10667"/>
      <c r="O546" s="10656"/>
      <c r="P546" s="10656"/>
      <c r="Q546" s="10672"/>
      <c r="R546" s="3868"/>
      <c r="S546" s="5682"/>
      <c r="T546" s="5682"/>
      <c r="U546" s="3495"/>
      <c r="V546" s="5499"/>
      <c r="W546" s="3496"/>
      <c r="X546" s="5523"/>
      <c r="Y546" s="5523"/>
      <c r="Z546" s="5523"/>
      <c r="AA546" s="5524"/>
      <c r="AB546" s="5779"/>
      <c r="AC546" s="3847"/>
      <c r="AD546" s="3496"/>
      <c r="AE546" s="3666"/>
      <c r="AF546" s="3666"/>
      <c r="AG546" s="10678"/>
    </row>
    <row r="547" spans="1:33" ht="20.25" customHeight="1">
      <c r="A547" s="10663"/>
      <c r="B547" s="10661"/>
      <c r="C547" s="10658"/>
      <c r="D547" s="10658"/>
      <c r="E547" s="10658"/>
      <c r="F547" s="10658"/>
      <c r="G547" s="10658"/>
      <c r="H547" s="10658"/>
      <c r="I547" s="10658"/>
      <c r="J547" s="10658"/>
      <c r="K547" s="10658"/>
      <c r="L547" s="10668"/>
      <c r="M547" s="10668"/>
      <c r="N547" s="10668"/>
      <c r="O547" s="10658"/>
      <c r="P547" s="10658"/>
      <c r="Q547" s="10673"/>
      <c r="R547" s="3879"/>
      <c r="S547" s="5683"/>
      <c r="T547" s="5683"/>
      <c r="U547" s="3759"/>
      <c r="V547" s="5509"/>
      <c r="W547" s="3714"/>
      <c r="X547" s="5544"/>
      <c r="Y547" s="5544"/>
      <c r="Z547" s="5544"/>
      <c r="AA547" s="5545"/>
      <c r="AB547" s="5823"/>
      <c r="AC547" s="3717"/>
      <c r="AD547" s="3714"/>
      <c r="AE547" s="3718"/>
      <c r="AF547" s="3718"/>
      <c r="AG547" s="10679"/>
    </row>
    <row r="548" spans="1:33" ht="17.25" customHeight="1">
      <c r="A548" s="10663"/>
      <c r="B548" s="10516" t="s">
        <v>183</v>
      </c>
      <c r="C548" s="10433" t="s">
        <v>227</v>
      </c>
      <c r="D548" s="10433" t="s">
        <v>228</v>
      </c>
      <c r="E548" s="10433" t="s">
        <v>229</v>
      </c>
      <c r="F548" s="10442" t="s">
        <v>230</v>
      </c>
      <c r="G548" s="10433" t="s">
        <v>132</v>
      </c>
      <c r="H548" s="10433" t="s">
        <v>133</v>
      </c>
      <c r="I548" s="10433" t="s">
        <v>4689</v>
      </c>
      <c r="J548" s="10433" t="s">
        <v>4615</v>
      </c>
      <c r="K548" s="10433" t="s">
        <v>4616</v>
      </c>
      <c r="L548" s="10676">
        <v>1</v>
      </c>
      <c r="M548" s="10676">
        <v>1</v>
      </c>
      <c r="N548" s="10676">
        <v>1</v>
      </c>
      <c r="O548" s="10433" t="s">
        <v>4617</v>
      </c>
      <c r="P548" s="10433" t="s">
        <v>4612</v>
      </c>
      <c r="Q548" s="10439" t="s">
        <v>4709</v>
      </c>
      <c r="R548" s="3885"/>
      <c r="S548" s="5684"/>
      <c r="T548" s="5684"/>
      <c r="U548" s="3762"/>
      <c r="V548" s="5502"/>
      <c r="W548" s="3709"/>
      <c r="X548" s="5529"/>
      <c r="Y548" s="5529"/>
      <c r="Z548" s="5529"/>
      <c r="AA548" s="5530"/>
      <c r="AB548" s="5780"/>
      <c r="AC548" s="3886"/>
      <c r="AD548" s="3709"/>
      <c r="AE548" s="3724"/>
      <c r="AF548" s="3724"/>
      <c r="AG548" s="10525"/>
    </row>
    <row r="549" spans="1:33" ht="17.25" customHeight="1">
      <c r="A549" s="10663"/>
      <c r="B549" s="10659"/>
      <c r="C549" s="10656"/>
      <c r="D549" s="10656"/>
      <c r="E549" s="10656"/>
      <c r="F549" s="10656"/>
      <c r="G549" s="10656"/>
      <c r="H549" s="10656"/>
      <c r="I549" s="10656"/>
      <c r="J549" s="10656"/>
      <c r="K549" s="10656"/>
      <c r="L549" s="10667"/>
      <c r="M549" s="10667"/>
      <c r="N549" s="10667"/>
      <c r="O549" s="10656"/>
      <c r="P549" s="10656"/>
      <c r="Q549" s="10672"/>
      <c r="R549" s="3867"/>
      <c r="S549" s="5681"/>
      <c r="T549" s="5681"/>
      <c r="U549" s="3495"/>
      <c r="V549" s="5499"/>
      <c r="W549" s="3496"/>
      <c r="X549" s="5523"/>
      <c r="Y549" s="5523"/>
      <c r="Z549" s="5523"/>
      <c r="AA549" s="5524"/>
      <c r="AB549" s="5779"/>
      <c r="AC549" s="3847"/>
      <c r="AD549" s="3496"/>
      <c r="AE549" s="3666"/>
      <c r="AF549" s="3666"/>
      <c r="AG549" s="10678"/>
    </row>
    <row r="550" spans="1:33" ht="17.25" customHeight="1">
      <c r="A550" s="10663"/>
      <c r="B550" s="10659"/>
      <c r="C550" s="10656"/>
      <c r="D550" s="10656"/>
      <c r="E550" s="10656"/>
      <c r="F550" s="10656"/>
      <c r="G550" s="10656"/>
      <c r="H550" s="10656"/>
      <c r="I550" s="10656"/>
      <c r="J550" s="10656"/>
      <c r="K550" s="10656"/>
      <c r="L550" s="10667"/>
      <c r="M550" s="10667"/>
      <c r="N550" s="10667"/>
      <c r="O550" s="10656"/>
      <c r="P550" s="10656"/>
      <c r="Q550" s="10672"/>
      <c r="R550" s="3867"/>
      <c r="S550" s="5681"/>
      <c r="T550" s="5681"/>
      <c r="U550" s="3495"/>
      <c r="V550" s="5499"/>
      <c r="W550" s="3496"/>
      <c r="X550" s="5523"/>
      <c r="Y550" s="5523"/>
      <c r="Z550" s="5523"/>
      <c r="AA550" s="5524"/>
      <c r="AB550" s="5779"/>
      <c r="AC550" s="3847"/>
      <c r="AD550" s="3496"/>
      <c r="AE550" s="3666"/>
      <c r="AF550" s="3666"/>
      <c r="AG550" s="10678"/>
    </row>
    <row r="551" spans="1:33" ht="17.25" customHeight="1">
      <c r="A551" s="10663"/>
      <c r="B551" s="10659"/>
      <c r="C551" s="10656"/>
      <c r="D551" s="10656"/>
      <c r="E551" s="10656"/>
      <c r="F551" s="10656"/>
      <c r="G551" s="10656"/>
      <c r="H551" s="10656"/>
      <c r="I551" s="10656"/>
      <c r="J551" s="10656"/>
      <c r="K551" s="10656"/>
      <c r="L551" s="10667"/>
      <c r="M551" s="10667"/>
      <c r="N551" s="10667"/>
      <c r="O551" s="10656"/>
      <c r="P551" s="10656"/>
      <c r="Q551" s="10672"/>
      <c r="R551" s="3868"/>
      <c r="S551" s="5682"/>
      <c r="T551" s="5682"/>
      <c r="U551" s="3495"/>
      <c r="V551" s="5499"/>
      <c r="W551" s="3496"/>
      <c r="X551" s="5523"/>
      <c r="Y551" s="5523"/>
      <c r="Z551" s="5523"/>
      <c r="AA551" s="5524"/>
      <c r="AB551" s="5779"/>
      <c r="AC551" s="3847"/>
      <c r="AD551" s="3496"/>
      <c r="AE551" s="3666"/>
      <c r="AF551" s="3666"/>
      <c r="AG551" s="10678"/>
    </row>
    <row r="552" spans="1:33" ht="17.25" customHeight="1">
      <c r="A552" s="10663"/>
      <c r="B552" s="10660"/>
      <c r="C552" s="10657"/>
      <c r="D552" s="10657"/>
      <c r="E552" s="10657"/>
      <c r="F552" s="10657"/>
      <c r="G552" s="10657"/>
      <c r="H552" s="10657"/>
      <c r="I552" s="10657"/>
      <c r="J552" s="10657"/>
      <c r="K552" s="10657"/>
      <c r="L552" s="10674"/>
      <c r="M552" s="10674"/>
      <c r="N552" s="10674"/>
      <c r="O552" s="10657"/>
      <c r="P552" s="10657"/>
      <c r="Q552" s="10675"/>
      <c r="R552" s="3887"/>
      <c r="S552" s="5696"/>
      <c r="T552" s="5696"/>
      <c r="U552" s="3557"/>
      <c r="V552" s="5503"/>
      <c r="W552" s="3545"/>
      <c r="X552" s="5532"/>
      <c r="Y552" s="5532"/>
      <c r="Z552" s="5532"/>
      <c r="AA552" s="5533"/>
      <c r="AB552" s="5828"/>
      <c r="AC552" s="3706"/>
      <c r="AD552" s="3545"/>
      <c r="AE552" s="3707"/>
      <c r="AF552" s="3707"/>
      <c r="AG552" s="10680"/>
    </row>
    <row r="553" spans="1:33">
      <c r="A553" s="10663"/>
      <c r="B553" s="10512" t="s">
        <v>183</v>
      </c>
      <c r="C553" s="10444" t="s">
        <v>227</v>
      </c>
      <c r="D553" s="10444" t="s">
        <v>228</v>
      </c>
      <c r="E553" s="10444" t="s">
        <v>229</v>
      </c>
      <c r="F553" s="10451" t="s">
        <v>230</v>
      </c>
      <c r="G553" s="10444" t="s">
        <v>171</v>
      </c>
      <c r="H553" s="10444" t="s">
        <v>159</v>
      </c>
      <c r="I553" s="10444" t="s">
        <v>4691</v>
      </c>
      <c r="J553" s="10444" t="s">
        <v>4620</v>
      </c>
      <c r="K553" s="10444" t="s">
        <v>4621</v>
      </c>
      <c r="L553" s="10666">
        <v>0</v>
      </c>
      <c r="M553" s="10666">
        <v>1</v>
      </c>
      <c r="N553" s="10666">
        <v>1</v>
      </c>
      <c r="O553" s="10444" t="s">
        <v>4622</v>
      </c>
      <c r="P553" s="10444" t="s">
        <v>4623</v>
      </c>
      <c r="Q553" s="10449" t="s">
        <v>4710</v>
      </c>
      <c r="R553" s="3892"/>
      <c r="S553" s="5689"/>
      <c r="T553" s="5689"/>
      <c r="U553" s="3758"/>
      <c r="V553" s="5504"/>
      <c r="W553" s="3658"/>
      <c r="X553" s="5534"/>
      <c r="Y553" s="5534"/>
      <c r="Z553" s="5534"/>
      <c r="AA553" s="5535"/>
      <c r="AB553" s="5822"/>
      <c r="AC553" s="3893"/>
      <c r="AD553" s="3658"/>
      <c r="AE553" s="3660"/>
      <c r="AF553" s="3660"/>
      <c r="AG553" s="10464"/>
    </row>
    <row r="554" spans="1:33">
      <c r="A554" s="10663"/>
      <c r="B554" s="10659"/>
      <c r="C554" s="10656"/>
      <c r="D554" s="10656"/>
      <c r="E554" s="10656"/>
      <c r="F554" s="10656"/>
      <c r="G554" s="10656"/>
      <c r="H554" s="10656"/>
      <c r="I554" s="10656"/>
      <c r="J554" s="10656"/>
      <c r="K554" s="10656"/>
      <c r="L554" s="10667"/>
      <c r="M554" s="10667"/>
      <c r="N554" s="10667"/>
      <c r="O554" s="10656"/>
      <c r="P554" s="10656"/>
      <c r="Q554" s="10672"/>
      <c r="R554" s="3867"/>
      <c r="S554" s="5681"/>
      <c r="T554" s="5681"/>
      <c r="U554" s="3495"/>
      <c r="V554" s="5499"/>
      <c r="W554" s="3496"/>
      <c r="X554" s="5523"/>
      <c r="Y554" s="5523"/>
      <c r="Z554" s="5523"/>
      <c r="AA554" s="5524"/>
      <c r="AB554" s="5779"/>
      <c r="AC554" s="3847"/>
      <c r="AD554" s="3496"/>
      <c r="AE554" s="3666"/>
      <c r="AF554" s="3666"/>
      <c r="AG554" s="10678"/>
    </row>
    <row r="555" spans="1:33">
      <c r="A555" s="10663"/>
      <c r="B555" s="10659"/>
      <c r="C555" s="10656"/>
      <c r="D555" s="10656"/>
      <c r="E555" s="10656"/>
      <c r="F555" s="10656"/>
      <c r="G555" s="10656"/>
      <c r="H555" s="10656"/>
      <c r="I555" s="10656"/>
      <c r="J555" s="10656"/>
      <c r="K555" s="10656"/>
      <c r="L555" s="10667"/>
      <c r="M555" s="10667"/>
      <c r="N555" s="10667"/>
      <c r="O555" s="10656"/>
      <c r="P555" s="10656"/>
      <c r="Q555" s="10672"/>
      <c r="R555" s="3867"/>
      <c r="S555" s="5681"/>
      <c r="T555" s="5681"/>
      <c r="U555" s="3495"/>
      <c r="V555" s="5499"/>
      <c r="W555" s="3496"/>
      <c r="X555" s="5523"/>
      <c r="Y555" s="5523"/>
      <c r="Z555" s="5523"/>
      <c r="AA555" s="5524"/>
      <c r="AB555" s="5779"/>
      <c r="AC555" s="3847"/>
      <c r="AD555" s="3496"/>
      <c r="AE555" s="3666"/>
      <c r="AF555" s="3666"/>
      <c r="AG555" s="10678"/>
    </row>
    <row r="556" spans="1:33">
      <c r="A556" s="10663"/>
      <c r="B556" s="10659"/>
      <c r="C556" s="10656"/>
      <c r="D556" s="10656"/>
      <c r="E556" s="10656"/>
      <c r="F556" s="10656"/>
      <c r="G556" s="10656"/>
      <c r="H556" s="10656"/>
      <c r="I556" s="10656"/>
      <c r="J556" s="10656"/>
      <c r="K556" s="10656"/>
      <c r="L556" s="10667"/>
      <c r="M556" s="10667"/>
      <c r="N556" s="10667"/>
      <c r="O556" s="10656"/>
      <c r="P556" s="10656"/>
      <c r="Q556" s="10672"/>
      <c r="R556" s="3868"/>
      <c r="S556" s="5682"/>
      <c r="T556" s="5682"/>
      <c r="U556" s="3495"/>
      <c r="V556" s="5499"/>
      <c r="W556" s="3496"/>
      <c r="X556" s="5523"/>
      <c r="Y556" s="5523"/>
      <c r="Z556" s="5523"/>
      <c r="AA556" s="5524"/>
      <c r="AB556" s="5779"/>
      <c r="AC556" s="3847"/>
      <c r="AD556" s="3496"/>
      <c r="AE556" s="3666"/>
      <c r="AF556" s="3666"/>
      <c r="AG556" s="10678"/>
    </row>
    <row r="557" spans="1:33" ht="28.5" customHeight="1">
      <c r="A557" s="10663"/>
      <c r="B557" s="10661"/>
      <c r="C557" s="10658"/>
      <c r="D557" s="10658"/>
      <c r="E557" s="10658"/>
      <c r="F557" s="10658"/>
      <c r="G557" s="10658"/>
      <c r="H557" s="10658"/>
      <c r="I557" s="10658"/>
      <c r="J557" s="10658"/>
      <c r="K557" s="10658"/>
      <c r="L557" s="10668"/>
      <c r="M557" s="10668"/>
      <c r="N557" s="10668"/>
      <c r="O557" s="10658"/>
      <c r="P557" s="10658"/>
      <c r="Q557" s="10673"/>
      <c r="R557" s="3879"/>
      <c r="S557" s="5683"/>
      <c r="T557" s="5683"/>
      <c r="U557" s="3759"/>
      <c r="V557" s="5509"/>
      <c r="W557" s="3714"/>
      <c r="X557" s="5544"/>
      <c r="Y557" s="5544"/>
      <c r="Z557" s="5544"/>
      <c r="AA557" s="5545"/>
      <c r="AB557" s="5823"/>
      <c r="AC557" s="3717"/>
      <c r="AD557" s="3714"/>
      <c r="AE557" s="3718"/>
      <c r="AF557" s="3718"/>
      <c r="AG557" s="10679"/>
    </row>
    <row r="558" spans="1:33" ht="18" customHeight="1">
      <c r="A558" s="10663"/>
      <c r="B558" s="10516" t="s">
        <v>183</v>
      </c>
      <c r="C558" s="10433" t="s">
        <v>227</v>
      </c>
      <c r="D558" s="10433" t="s">
        <v>228</v>
      </c>
      <c r="E558" s="10433" t="s">
        <v>229</v>
      </c>
      <c r="F558" s="10442" t="s">
        <v>230</v>
      </c>
      <c r="G558" s="10433" t="s">
        <v>171</v>
      </c>
      <c r="H558" s="10433" t="s">
        <v>159</v>
      </c>
      <c r="I558" s="10433" t="s">
        <v>4693</v>
      </c>
      <c r="J558" s="10433" t="s">
        <v>4626</v>
      </c>
      <c r="K558" s="10433" t="s">
        <v>4627</v>
      </c>
      <c r="L558" s="10676">
        <v>4</v>
      </c>
      <c r="M558" s="10676">
        <v>4</v>
      </c>
      <c r="N558" s="10676">
        <v>4</v>
      </c>
      <c r="O558" s="10433" t="s">
        <v>4628</v>
      </c>
      <c r="P558" s="10433" t="s">
        <v>4629</v>
      </c>
      <c r="Q558" s="10439" t="s">
        <v>4710</v>
      </c>
      <c r="R558" s="3885"/>
      <c r="S558" s="5684"/>
      <c r="T558" s="5684"/>
      <c r="U558" s="3762"/>
      <c r="V558" s="5502"/>
      <c r="W558" s="3709"/>
      <c r="X558" s="5529"/>
      <c r="Y558" s="5529"/>
      <c r="Z558" s="5529"/>
      <c r="AA558" s="5530"/>
      <c r="AB558" s="5780"/>
      <c r="AC558" s="3886"/>
      <c r="AD558" s="3709"/>
      <c r="AE558" s="3724"/>
      <c r="AF558" s="3724"/>
      <c r="AG558" s="10525"/>
    </row>
    <row r="559" spans="1:33" ht="18" customHeight="1">
      <c r="A559" s="10663"/>
      <c r="B559" s="10659"/>
      <c r="C559" s="10656"/>
      <c r="D559" s="10656"/>
      <c r="E559" s="10656"/>
      <c r="F559" s="10656"/>
      <c r="G559" s="10656"/>
      <c r="H559" s="10656"/>
      <c r="I559" s="10656"/>
      <c r="J559" s="10656"/>
      <c r="K559" s="10656"/>
      <c r="L559" s="10667"/>
      <c r="M559" s="10667"/>
      <c r="N559" s="10667"/>
      <c r="O559" s="10656"/>
      <c r="P559" s="10656"/>
      <c r="Q559" s="10672"/>
      <c r="R559" s="3867"/>
      <c r="S559" s="5681"/>
      <c r="T559" s="5681"/>
      <c r="U559" s="3495"/>
      <c r="V559" s="5499"/>
      <c r="W559" s="3496"/>
      <c r="X559" s="5523"/>
      <c r="Y559" s="5523"/>
      <c r="Z559" s="5523"/>
      <c r="AA559" s="5524"/>
      <c r="AB559" s="5779"/>
      <c r="AC559" s="3847"/>
      <c r="AD559" s="3496"/>
      <c r="AE559" s="3666"/>
      <c r="AF559" s="3666"/>
      <c r="AG559" s="10678"/>
    </row>
    <row r="560" spans="1:33" ht="18" customHeight="1">
      <c r="A560" s="10663"/>
      <c r="B560" s="10659"/>
      <c r="C560" s="10656"/>
      <c r="D560" s="10656"/>
      <c r="E560" s="10656"/>
      <c r="F560" s="10656"/>
      <c r="G560" s="10656"/>
      <c r="H560" s="10656"/>
      <c r="I560" s="10656"/>
      <c r="J560" s="10656"/>
      <c r="K560" s="10656"/>
      <c r="L560" s="10667"/>
      <c r="M560" s="10667"/>
      <c r="N560" s="10667"/>
      <c r="O560" s="10656"/>
      <c r="P560" s="10656"/>
      <c r="Q560" s="10672"/>
      <c r="R560" s="3867"/>
      <c r="S560" s="5681"/>
      <c r="T560" s="5681"/>
      <c r="U560" s="3495"/>
      <c r="V560" s="5499"/>
      <c r="W560" s="3496"/>
      <c r="X560" s="5523"/>
      <c r="Y560" s="5523"/>
      <c r="Z560" s="5523"/>
      <c r="AA560" s="5524"/>
      <c r="AB560" s="5779"/>
      <c r="AC560" s="3847"/>
      <c r="AD560" s="3496"/>
      <c r="AE560" s="3666"/>
      <c r="AF560" s="3666"/>
      <c r="AG560" s="10678"/>
    </row>
    <row r="561" spans="1:33" ht="18" customHeight="1">
      <c r="A561" s="10663"/>
      <c r="B561" s="10659"/>
      <c r="C561" s="10656"/>
      <c r="D561" s="10656"/>
      <c r="E561" s="10656"/>
      <c r="F561" s="10656"/>
      <c r="G561" s="10656"/>
      <c r="H561" s="10656"/>
      <c r="I561" s="10656"/>
      <c r="J561" s="10656"/>
      <c r="K561" s="10656"/>
      <c r="L561" s="10667"/>
      <c r="M561" s="10667"/>
      <c r="N561" s="10667"/>
      <c r="O561" s="10656"/>
      <c r="P561" s="10656"/>
      <c r="Q561" s="10672"/>
      <c r="R561" s="3868"/>
      <c r="S561" s="5682"/>
      <c r="T561" s="5682"/>
      <c r="U561" s="3495"/>
      <c r="V561" s="5499"/>
      <c r="W561" s="3496"/>
      <c r="X561" s="5523"/>
      <c r="Y561" s="5523"/>
      <c r="Z561" s="5523"/>
      <c r="AA561" s="5524"/>
      <c r="AB561" s="5779"/>
      <c r="AC561" s="3847"/>
      <c r="AD561" s="3496"/>
      <c r="AE561" s="3666"/>
      <c r="AF561" s="3666"/>
      <c r="AG561" s="10678"/>
    </row>
    <row r="562" spans="1:33" ht="18" customHeight="1">
      <c r="A562" s="10663"/>
      <c r="B562" s="10660"/>
      <c r="C562" s="10657"/>
      <c r="D562" s="10657"/>
      <c r="E562" s="10657"/>
      <c r="F562" s="10657"/>
      <c r="G562" s="10657"/>
      <c r="H562" s="10657"/>
      <c r="I562" s="10657"/>
      <c r="J562" s="10657"/>
      <c r="K562" s="10657"/>
      <c r="L562" s="10674"/>
      <c r="M562" s="10674"/>
      <c r="N562" s="10674"/>
      <c r="O562" s="10657"/>
      <c r="P562" s="10657"/>
      <c r="Q562" s="10675"/>
      <c r="R562" s="3887"/>
      <c r="S562" s="5696"/>
      <c r="T562" s="5696"/>
      <c r="U562" s="3557"/>
      <c r="V562" s="5503"/>
      <c r="W562" s="3545"/>
      <c r="X562" s="5532"/>
      <c r="Y562" s="5532"/>
      <c r="Z562" s="5532"/>
      <c r="AA562" s="5533"/>
      <c r="AB562" s="5828"/>
      <c r="AC562" s="3706"/>
      <c r="AD562" s="3545"/>
      <c r="AE562" s="3707"/>
      <c r="AF562" s="3707"/>
      <c r="AG562" s="10680"/>
    </row>
    <row r="563" spans="1:33" ht="18" customHeight="1">
      <c r="A563" s="10663"/>
      <c r="B563" s="10512" t="s">
        <v>183</v>
      </c>
      <c r="C563" s="10444" t="s">
        <v>1291</v>
      </c>
      <c r="D563" s="10444" t="s">
        <v>185</v>
      </c>
      <c r="E563" s="10444" t="s">
        <v>1938</v>
      </c>
      <c r="F563" s="10451" t="s">
        <v>230</v>
      </c>
      <c r="G563" s="10444" t="s">
        <v>171</v>
      </c>
      <c r="H563" s="10444" t="s">
        <v>133</v>
      </c>
      <c r="I563" s="10444" t="s">
        <v>4696</v>
      </c>
      <c r="J563" s="10444" t="s">
        <v>4711</v>
      </c>
      <c r="K563" s="10444" t="s">
        <v>4632</v>
      </c>
      <c r="L563" s="10666">
        <v>2</v>
      </c>
      <c r="M563" s="10666">
        <v>0</v>
      </c>
      <c r="N563" s="10666">
        <v>2</v>
      </c>
      <c r="O563" s="10444" t="s">
        <v>4633</v>
      </c>
      <c r="P563" s="10444" t="s">
        <v>4698</v>
      </c>
      <c r="Q563" s="10449" t="s">
        <v>4712</v>
      </c>
      <c r="R563" s="3892"/>
      <c r="S563" s="5689"/>
      <c r="T563" s="5689"/>
      <c r="U563" s="3758"/>
      <c r="V563" s="5504"/>
      <c r="W563" s="3658"/>
      <c r="X563" s="5534"/>
      <c r="Y563" s="5534"/>
      <c r="Z563" s="5534"/>
      <c r="AA563" s="5535"/>
      <c r="AB563" s="5822"/>
      <c r="AC563" s="3893"/>
      <c r="AD563" s="3658"/>
      <c r="AE563" s="3660"/>
      <c r="AF563" s="3660"/>
      <c r="AG563" s="10464"/>
    </row>
    <row r="564" spans="1:33" ht="18" customHeight="1">
      <c r="A564" s="10663"/>
      <c r="B564" s="10659"/>
      <c r="C564" s="10656"/>
      <c r="D564" s="10656"/>
      <c r="E564" s="10656"/>
      <c r="F564" s="10656"/>
      <c r="G564" s="10656"/>
      <c r="H564" s="10656"/>
      <c r="I564" s="10656"/>
      <c r="J564" s="10656"/>
      <c r="K564" s="10656"/>
      <c r="L564" s="10667"/>
      <c r="M564" s="10667"/>
      <c r="N564" s="10667"/>
      <c r="O564" s="10656"/>
      <c r="P564" s="10656"/>
      <c r="Q564" s="10672"/>
      <c r="R564" s="3867"/>
      <c r="S564" s="5681"/>
      <c r="T564" s="5681"/>
      <c r="U564" s="3495"/>
      <c r="V564" s="5499"/>
      <c r="W564" s="3496"/>
      <c r="X564" s="5523"/>
      <c r="Y564" s="5523"/>
      <c r="Z564" s="5523"/>
      <c r="AA564" s="5524"/>
      <c r="AB564" s="5779"/>
      <c r="AC564" s="3847"/>
      <c r="AD564" s="3496"/>
      <c r="AE564" s="3666"/>
      <c r="AF564" s="3666"/>
      <c r="AG564" s="10678"/>
    </row>
    <row r="565" spans="1:33" ht="18" customHeight="1">
      <c r="A565" s="10663"/>
      <c r="B565" s="10659"/>
      <c r="C565" s="10656"/>
      <c r="D565" s="10656"/>
      <c r="E565" s="10656"/>
      <c r="F565" s="10656"/>
      <c r="G565" s="10656"/>
      <c r="H565" s="10656"/>
      <c r="I565" s="10656"/>
      <c r="J565" s="10656"/>
      <c r="K565" s="10656"/>
      <c r="L565" s="10667"/>
      <c r="M565" s="10667"/>
      <c r="N565" s="10667"/>
      <c r="O565" s="10656"/>
      <c r="P565" s="10656"/>
      <c r="Q565" s="10672"/>
      <c r="R565" s="3867"/>
      <c r="S565" s="5681"/>
      <c r="T565" s="5681"/>
      <c r="U565" s="3495"/>
      <c r="V565" s="5499"/>
      <c r="W565" s="3496"/>
      <c r="X565" s="5523"/>
      <c r="Y565" s="5523"/>
      <c r="Z565" s="5523"/>
      <c r="AA565" s="5524"/>
      <c r="AB565" s="5779"/>
      <c r="AC565" s="3847"/>
      <c r="AD565" s="3496"/>
      <c r="AE565" s="3666"/>
      <c r="AF565" s="3666"/>
      <c r="AG565" s="10678"/>
    </row>
    <row r="566" spans="1:33" ht="18" customHeight="1">
      <c r="A566" s="10663"/>
      <c r="B566" s="10659"/>
      <c r="C566" s="10656"/>
      <c r="D566" s="10656"/>
      <c r="E566" s="10656"/>
      <c r="F566" s="10656"/>
      <c r="G566" s="10656"/>
      <c r="H566" s="10656"/>
      <c r="I566" s="10656"/>
      <c r="J566" s="10656"/>
      <c r="K566" s="10656"/>
      <c r="L566" s="10667"/>
      <c r="M566" s="10667"/>
      <c r="N566" s="10667"/>
      <c r="O566" s="10656"/>
      <c r="P566" s="10656"/>
      <c r="Q566" s="10672"/>
      <c r="R566" s="3868"/>
      <c r="S566" s="5682"/>
      <c r="T566" s="5682"/>
      <c r="U566" s="3495"/>
      <c r="V566" s="5499"/>
      <c r="W566" s="3496"/>
      <c r="X566" s="5523"/>
      <c r="Y566" s="5523"/>
      <c r="Z566" s="5523"/>
      <c r="AA566" s="5524"/>
      <c r="AB566" s="5779"/>
      <c r="AC566" s="3847"/>
      <c r="AD566" s="3496"/>
      <c r="AE566" s="3666"/>
      <c r="AF566" s="3666"/>
      <c r="AG566" s="10678"/>
    </row>
    <row r="567" spans="1:33" ht="18" customHeight="1">
      <c r="A567" s="10663"/>
      <c r="B567" s="10661"/>
      <c r="C567" s="10658"/>
      <c r="D567" s="10658"/>
      <c r="E567" s="10658"/>
      <c r="F567" s="10658"/>
      <c r="G567" s="10658"/>
      <c r="H567" s="10658"/>
      <c r="I567" s="10658"/>
      <c r="J567" s="10658"/>
      <c r="K567" s="10658"/>
      <c r="L567" s="10668"/>
      <c r="M567" s="10668"/>
      <c r="N567" s="10668"/>
      <c r="O567" s="10658"/>
      <c r="P567" s="10658"/>
      <c r="Q567" s="10673"/>
      <c r="R567" s="3879"/>
      <c r="S567" s="5683"/>
      <c r="T567" s="5683"/>
      <c r="U567" s="3759"/>
      <c r="V567" s="5509"/>
      <c r="W567" s="3714"/>
      <c r="X567" s="5544"/>
      <c r="Y567" s="5544"/>
      <c r="Z567" s="5544"/>
      <c r="AA567" s="5545"/>
      <c r="AB567" s="5823"/>
      <c r="AC567" s="3717"/>
      <c r="AD567" s="3714"/>
      <c r="AE567" s="3718"/>
      <c r="AF567" s="3718"/>
      <c r="AG567" s="10679"/>
    </row>
    <row r="568" spans="1:33">
      <c r="A568" s="10663"/>
      <c r="B568" s="10516" t="s">
        <v>183</v>
      </c>
      <c r="C568" s="10433" t="s">
        <v>227</v>
      </c>
      <c r="D568" s="10433" t="s">
        <v>228</v>
      </c>
      <c r="E568" s="10433" t="s">
        <v>229</v>
      </c>
      <c r="F568" s="10442" t="s">
        <v>230</v>
      </c>
      <c r="G568" s="10433" t="s">
        <v>132</v>
      </c>
      <c r="H568" s="10433" t="s">
        <v>133</v>
      </c>
      <c r="I568" s="10433" t="s">
        <v>4636</v>
      </c>
      <c r="J568" s="10433" t="s">
        <v>4637</v>
      </c>
      <c r="K568" s="10433" t="s">
        <v>4713</v>
      </c>
      <c r="L568" s="10676">
        <v>1</v>
      </c>
      <c r="M568" s="10676">
        <v>1</v>
      </c>
      <c r="N568" s="10676">
        <v>1</v>
      </c>
      <c r="O568" s="10433" t="s">
        <v>4639</v>
      </c>
      <c r="P568" s="10433" t="s">
        <v>4612</v>
      </c>
      <c r="Q568" s="10439" t="s">
        <v>4712</v>
      </c>
      <c r="R568" s="3885"/>
      <c r="S568" s="5684"/>
      <c r="T568" s="5684"/>
      <c r="U568" s="3762"/>
      <c r="V568" s="5502"/>
      <c r="W568" s="3709"/>
      <c r="X568" s="5529"/>
      <c r="Y568" s="5529"/>
      <c r="Z568" s="5529"/>
      <c r="AA568" s="5530"/>
      <c r="AB568" s="5780"/>
      <c r="AC568" s="3886"/>
      <c r="AD568" s="3709"/>
      <c r="AE568" s="3724"/>
      <c r="AF568" s="3724"/>
      <c r="AG568" s="10525"/>
    </row>
    <row r="569" spans="1:33">
      <c r="A569" s="10663"/>
      <c r="B569" s="10659"/>
      <c r="C569" s="10656"/>
      <c r="D569" s="10656"/>
      <c r="E569" s="10656"/>
      <c r="F569" s="10656"/>
      <c r="G569" s="10656"/>
      <c r="H569" s="10656"/>
      <c r="I569" s="10656"/>
      <c r="J569" s="10656"/>
      <c r="K569" s="10656"/>
      <c r="L569" s="10667"/>
      <c r="M569" s="10667"/>
      <c r="N569" s="10667"/>
      <c r="O569" s="10656"/>
      <c r="P569" s="10656"/>
      <c r="Q569" s="10672"/>
      <c r="R569" s="3867"/>
      <c r="S569" s="5681"/>
      <c r="T569" s="5681"/>
      <c r="U569" s="3495"/>
      <c r="V569" s="5499"/>
      <c r="W569" s="3496"/>
      <c r="X569" s="5523"/>
      <c r="Y569" s="5523"/>
      <c r="Z569" s="5523"/>
      <c r="AA569" s="5524"/>
      <c r="AB569" s="5779"/>
      <c r="AC569" s="3847"/>
      <c r="AD569" s="3496"/>
      <c r="AE569" s="3666"/>
      <c r="AF569" s="3666"/>
      <c r="AG569" s="10678"/>
    </row>
    <row r="570" spans="1:33">
      <c r="A570" s="10663"/>
      <c r="B570" s="10659"/>
      <c r="C570" s="10656"/>
      <c r="D570" s="10656"/>
      <c r="E570" s="10656"/>
      <c r="F570" s="10656"/>
      <c r="G570" s="10656"/>
      <c r="H570" s="10656"/>
      <c r="I570" s="10656"/>
      <c r="J570" s="10656"/>
      <c r="K570" s="10656"/>
      <c r="L570" s="10667"/>
      <c r="M570" s="10667"/>
      <c r="N570" s="10667"/>
      <c r="O570" s="10656"/>
      <c r="P570" s="10656"/>
      <c r="Q570" s="10672"/>
      <c r="R570" s="3867"/>
      <c r="S570" s="5681"/>
      <c r="T570" s="5681"/>
      <c r="U570" s="3495"/>
      <c r="V570" s="5499"/>
      <c r="W570" s="3496"/>
      <c r="X570" s="5523"/>
      <c r="Y570" s="5523"/>
      <c r="Z570" s="5523"/>
      <c r="AA570" s="5524"/>
      <c r="AB570" s="5779"/>
      <c r="AC570" s="3847"/>
      <c r="AD570" s="3496"/>
      <c r="AE570" s="3666"/>
      <c r="AF570" s="3666"/>
      <c r="AG570" s="10678"/>
    </row>
    <row r="571" spans="1:33">
      <c r="A571" s="10663"/>
      <c r="B571" s="10659"/>
      <c r="C571" s="10656"/>
      <c r="D571" s="10656"/>
      <c r="E571" s="10656"/>
      <c r="F571" s="10656"/>
      <c r="G571" s="10656"/>
      <c r="H571" s="10656"/>
      <c r="I571" s="10656"/>
      <c r="J571" s="10656"/>
      <c r="K571" s="10656"/>
      <c r="L571" s="10667"/>
      <c r="M571" s="10667"/>
      <c r="N571" s="10667"/>
      <c r="O571" s="10656"/>
      <c r="P571" s="10656"/>
      <c r="Q571" s="10672"/>
      <c r="R571" s="3868"/>
      <c r="S571" s="5682"/>
      <c r="T571" s="5682"/>
      <c r="U571" s="3495"/>
      <c r="V571" s="5499"/>
      <c r="W571" s="3496"/>
      <c r="X571" s="5523"/>
      <c r="Y571" s="5523"/>
      <c r="Z571" s="5523"/>
      <c r="AA571" s="5524"/>
      <c r="AB571" s="5779"/>
      <c r="AC571" s="3847"/>
      <c r="AD571" s="3496"/>
      <c r="AE571" s="3666"/>
      <c r="AF571" s="3666"/>
      <c r="AG571" s="10678"/>
    </row>
    <row r="572" spans="1:33" ht="32.25" customHeight="1">
      <c r="A572" s="10663"/>
      <c r="B572" s="10660"/>
      <c r="C572" s="10657"/>
      <c r="D572" s="10657"/>
      <c r="E572" s="10657"/>
      <c r="F572" s="10657"/>
      <c r="G572" s="10657"/>
      <c r="H572" s="10657"/>
      <c r="I572" s="10657"/>
      <c r="J572" s="10657"/>
      <c r="K572" s="10657"/>
      <c r="L572" s="10674"/>
      <c r="M572" s="10674"/>
      <c r="N572" s="10674"/>
      <c r="O572" s="10657"/>
      <c r="P572" s="10657"/>
      <c r="Q572" s="10675"/>
      <c r="R572" s="3887"/>
      <c r="S572" s="5696"/>
      <c r="T572" s="5696"/>
      <c r="U572" s="3557"/>
      <c r="V572" s="5503"/>
      <c r="W572" s="3545"/>
      <c r="X572" s="5532"/>
      <c r="Y572" s="5532"/>
      <c r="Z572" s="5532"/>
      <c r="AA572" s="5533"/>
      <c r="AB572" s="5828"/>
      <c r="AC572" s="3706"/>
      <c r="AD572" s="3545"/>
      <c r="AE572" s="3707"/>
      <c r="AF572" s="3707"/>
      <c r="AG572" s="10680"/>
    </row>
    <row r="573" spans="1:33" ht="19.5" customHeight="1">
      <c r="A573" s="10663"/>
      <c r="B573" s="10512" t="s">
        <v>127</v>
      </c>
      <c r="C573" s="10444" t="s">
        <v>128</v>
      </c>
      <c r="D573" s="10444" t="s">
        <v>140</v>
      </c>
      <c r="E573" s="10444" t="s">
        <v>1691</v>
      </c>
      <c r="F573" s="10451" t="s">
        <v>131</v>
      </c>
      <c r="G573" s="10444" t="s">
        <v>213</v>
      </c>
      <c r="H573" s="10444" t="s">
        <v>189</v>
      </c>
      <c r="I573" s="10444" t="s">
        <v>4640</v>
      </c>
      <c r="J573" s="10444" t="s">
        <v>4641</v>
      </c>
      <c r="K573" s="10444" t="s">
        <v>4642</v>
      </c>
      <c r="L573" s="10666">
        <v>1</v>
      </c>
      <c r="M573" s="10666">
        <v>0</v>
      </c>
      <c r="N573" s="10666">
        <v>1</v>
      </c>
      <c r="O573" s="10444" t="s">
        <v>4643</v>
      </c>
      <c r="P573" s="10444" t="s">
        <v>4644</v>
      </c>
      <c r="Q573" s="10449" t="s">
        <v>4708</v>
      </c>
      <c r="R573" s="3892"/>
      <c r="S573" s="5689"/>
      <c r="T573" s="5689"/>
      <c r="U573" s="3758"/>
      <c r="V573" s="5504"/>
      <c r="W573" s="3658"/>
      <c r="X573" s="5534"/>
      <c r="Y573" s="5534"/>
      <c r="Z573" s="5534"/>
      <c r="AA573" s="5535"/>
      <c r="AB573" s="5822"/>
      <c r="AC573" s="3893"/>
      <c r="AD573" s="3658"/>
      <c r="AE573" s="3660"/>
      <c r="AF573" s="3660"/>
      <c r="AG573" s="10464"/>
    </row>
    <row r="574" spans="1:33" ht="19.5" customHeight="1">
      <c r="A574" s="10663"/>
      <c r="B574" s="10659"/>
      <c r="C574" s="10656"/>
      <c r="D574" s="10656"/>
      <c r="E574" s="10656"/>
      <c r="F574" s="10656"/>
      <c r="G574" s="10656"/>
      <c r="H574" s="10656"/>
      <c r="I574" s="10656"/>
      <c r="J574" s="10656"/>
      <c r="K574" s="10656"/>
      <c r="L574" s="10667"/>
      <c r="M574" s="10667"/>
      <c r="N574" s="10667"/>
      <c r="O574" s="10656"/>
      <c r="P574" s="10656"/>
      <c r="Q574" s="10672"/>
      <c r="R574" s="3867"/>
      <c r="S574" s="5681"/>
      <c r="T574" s="5681"/>
      <c r="U574" s="3495"/>
      <c r="V574" s="5499"/>
      <c r="W574" s="3496"/>
      <c r="X574" s="5523"/>
      <c r="Y574" s="5523"/>
      <c r="Z574" s="5523"/>
      <c r="AA574" s="5524"/>
      <c r="AB574" s="5779"/>
      <c r="AC574" s="3847"/>
      <c r="AD574" s="3496"/>
      <c r="AE574" s="3666"/>
      <c r="AF574" s="3666"/>
      <c r="AG574" s="10678"/>
    </row>
    <row r="575" spans="1:33" ht="19.5" customHeight="1">
      <c r="A575" s="10663"/>
      <c r="B575" s="10659"/>
      <c r="C575" s="10656"/>
      <c r="D575" s="10656"/>
      <c r="E575" s="10656"/>
      <c r="F575" s="10656"/>
      <c r="G575" s="10656"/>
      <c r="H575" s="10656"/>
      <c r="I575" s="10656"/>
      <c r="J575" s="10656"/>
      <c r="K575" s="10656"/>
      <c r="L575" s="10667"/>
      <c r="M575" s="10667"/>
      <c r="N575" s="10667"/>
      <c r="O575" s="10656"/>
      <c r="P575" s="10656"/>
      <c r="Q575" s="10672"/>
      <c r="R575" s="3867"/>
      <c r="S575" s="5681"/>
      <c r="T575" s="5681"/>
      <c r="U575" s="3495"/>
      <c r="V575" s="5499"/>
      <c r="W575" s="3496"/>
      <c r="X575" s="5523"/>
      <c r="Y575" s="5523"/>
      <c r="Z575" s="5523"/>
      <c r="AA575" s="5524"/>
      <c r="AB575" s="5779"/>
      <c r="AC575" s="3847"/>
      <c r="AD575" s="3496"/>
      <c r="AE575" s="3666"/>
      <c r="AF575" s="3666"/>
      <c r="AG575" s="10678"/>
    </row>
    <row r="576" spans="1:33" ht="19.5" customHeight="1">
      <c r="A576" s="10663"/>
      <c r="B576" s="10659"/>
      <c r="C576" s="10656"/>
      <c r="D576" s="10656"/>
      <c r="E576" s="10656"/>
      <c r="F576" s="10656"/>
      <c r="G576" s="10656"/>
      <c r="H576" s="10656"/>
      <c r="I576" s="10656"/>
      <c r="J576" s="10656"/>
      <c r="K576" s="10656"/>
      <c r="L576" s="10667"/>
      <c r="M576" s="10667"/>
      <c r="N576" s="10667"/>
      <c r="O576" s="10656"/>
      <c r="P576" s="10656"/>
      <c r="Q576" s="10672"/>
      <c r="R576" s="3868"/>
      <c r="S576" s="5682"/>
      <c r="T576" s="5682"/>
      <c r="U576" s="3495"/>
      <c r="V576" s="5499"/>
      <c r="W576" s="3496"/>
      <c r="X576" s="5523"/>
      <c r="Y576" s="5523"/>
      <c r="Z576" s="5523"/>
      <c r="AA576" s="5524"/>
      <c r="AB576" s="5779"/>
      <c r="AC576" s="3847"/>
      <c r="AD576" s="3496"/>
      <c r="AE576" s="3666"/>
      <c r="AF576" s="3666"/>
      <c r="AG576" s="10678"/>
    </row>
    <row r="577" spans="1:33" ht="39.75" customHeight="1">
      <c r="A577" s="10663"/>
      <c r="B577" s="10661"/>
      <c r="C577" s="10658"/>
      <c r="D577" s="10658"/>
      <c r="E577" s="10658"/>
      <c r="F577" s="10658"/>
      <c r="G577" s="10658"/>
      <c r="H577" s="10658"/>
      <c r="I577" s="10658"/>
      <c r="J577" s="10658"/>
      <c r="K577" s="10658"/>
      <c r="L577" s="10668"/>
      <c r="M577" s="10668"/>
      <c r="N577" s="10668"/>
      <c r="O577" s="10658"/>
      <c r="P577" s="10658"/>
      <c r="Q577" s="10673"/>
      <c r="R577" s="3879"/>
      <c r="S577" s="5683"/>
      <c r="T577" s="5683"/>
      <c r="U577" s="3759"/>
      <c r="V577" s="5509"/>
      <c r="W577" s="3714"/>
      <c r="X577" s="5544"/>
      <c r="Y577" s="5544"/>
      <c r="Z577" s="5544"/>
      <c r="AA577" s="5545"/>
      <c r="AB577" s="5823"/>
      <c r="AC577" s="3717"/>
      <c r="AD577" s="3714"/>
      <c r="AE577" s="3718"/>
      <c r="AF577" s="3718"/>
      <c r="AG577" s="10679"/>
    </row>
    <row r="578" spans="1:33" ht="21.75" customHeight="1">
      <c r="A578" s="10663"/>
      <c r="B578" s="10516" t="s">
        <v>183</v>
      </c>
      <c r="C578" s="10433" t="s">
        <v>227</v>
      </c>
      <c r="D578" s="10433" t="s">
        <v>228</v>
      </c>
      <c r="E578" s="10433" t="s">
        <v>255</v>
      </c>
      <c r="F578" s="10442" t="s">
        <v>230</v>
      </c>
      <c r="G578" s="10433" t="s">
        <v>132</v>
      </c>
      <c r="H578" s="10433" t="s">
        <v>133</v>
      </c>
      <c r="I578" s="10433" t="s">
        <v>4646</v>
      </c>
      <c r="J578" s="10433" t="s">
        <v>4647</v>
      </c>
      <c r="K578" s="10433" t="s">
        <v>4648</v>
      </c>
      <c r="L578" s="10676">
        <v>1</v>
      </c>
      <c r="M578" s="10676">
        <v>0</v>
      </c>
      <c r="N578" s="10676">
        <v>1</v>
      </c>
      <c r="O578" s="10433" t="s">
        <v>4649</v>
      </c>
      <c r="P578" s="10433" t="s">
        <v>4701</v>
      </c>
      <c r="Q578" s="10439" t="s">
        <v>4708</v>
      </c>
      <c r="R578" s="3885"/>
      <c r="S578" s="5684"/>
      <c r="T578" s="5684"/>
      <c r="U578" s="3762"/>
      <c r="V578" s="5502"/>
      <c r="W578" s="3709"/>
      <c r="X578" s="5529"/>
      <c r="Y578" s="5529"/>
      <c r="Z578" s="5529"/>
      <c r="AA578" s="5530"/>
      <c r="AB578" s="5780"/>
      <c r="AC578" s="3886"/>
      <c r="AD578" s="3709"/>
      <c r="AE578" s="3724"/>
      <c r="AF578" s="3724"/>
      <c r="AG578" s="10525"/>
    </row>
    <row r="579" spans="1:33" ht="21.75" customHeight="1">
      <c r="A579" s="10663"/>
      <c r="B579" s="10659"/>
      <c r="C579" s="10656"/>
      <c r="D579" s="10656"/>
      <c r="E579" s="10656"/>
      <c r="F579" s="10656"/>
      <c r="G579" s="10656"/>
      <c r="H579" s="10656"/>
      <c r="I579" s="10656"/>
      <c r="J579" s="10656"/>
      <c r="K579" s="10656"/>
      <c r="L579" s="10667"/>
      <c r="M579" s="10667"/>
      <c r="N579" s="10667"/>
      <c r="O579" s="10656"/>
      <c r="P579" s="10656"/>
      <c r="Q579" s="10672"/>
      <c r="R579" s="3867"/>
      <c r="S579" s="5681"/>
      <c r="T579" s="5681"/>
      <c r="U579" s="3495"/>
      <c r="V579" s="5499"/>
      <c r="W579" s="3496"/>
      <c r="X579" s="5523"/>
      <c r="Y579" s="5523"/>
      <c r="Z579" s="5523"/>
      <c r="AA579" s="5524"/>
      <c r="AB579" s="5779"/>
      <c r="AC579" s="3847"/>
      <c r="AD579" s="3496"/>
      <c r="AE579" s="3666"/>
      <c r="AF579" s="3666"/>
      <c r="AG579" s="10678"/>
    </row>
    <row r="580" spans="1:33" ht="21.75" customHeight="1">
      <c r="A580" s="10663"/>
      <c r="B580" s="10659"/>
      <c r="C580" s="10656"/>
      <c r="D580" s="10656"/>
      <c r="E580" s="10656"/>
      <c r="F580" s="10656"/>
      <c r="G580" s="10656"/>
      <c r="H580" s="10656"/>
      <c r="I580" s="10656"/>
      <c r="J580" s="10656"/>
      <c r="K580" s="10656"/>
      <c r="L580" s="10667"/>
      <c r="M580" s="10667"/>
      <c r="N580" s="10667"/>
      <c r="O580" s="10656"/>
      <c r="P580" s="10656"/>
      <c r="Q580" s="10672"/>
      <c r="R580" s="3867"/>
      <c r="S580" s="5681"/>
      <c r="T580" s="5681"/>
      <c r="U580" s="3495"/>
      <c r="V580" s="5499"/>
      <c r="W580" s="3496"/>
      <c r="X580" s="5523"/>
      <c r="Y580" s="5523"/>
      <c r="Z580" s="5523"/>
      <c r="AA580" s="5524"/>
      <c r="AB580" s="5779"/>
      <c r="AC580" s="3847"/>
      <c r="AD580" s="3496"/>
      <c r="AE580" s="3666"/>
      <c r="AF580" s="3666"/>
      <c r="AG580" s="10678"/>
    </row>
    <row r="581" spans="1:33" ht="21.75" customHeight="1">
      <c r="A581" s="10663"/>
      <c r="B581" s="10659"/>
      <c r="C581" s="10656"/>
      <c r="D581" s="10656"/>
      <c r="E581" s="10656"/>
      <c r="F581" s="10656"/>
      <c r="G581" s="10656"/>
      <c r="H581" s="10656"/>
      <c r="I581" s="10656"/>
      <c r="J581" s="10656"/>
      <c r="K581" s="10656"/>
      <c r="L581" s="10667"/>
      <c r="M581" s="10667"/>
      <c r="N581" s="10667"/>
      <c r="O581" s="10656"/>
      <c r="P581" s="10656"/>
      <c r="Q581" s="10672"/>
      <c r="R581" s="3868"/>
      <c r="S581" s="5682"/>
      <c r="T581" s="5682"/>
      <c r="U581" s="3495"/>
      <c r="V581" s="5499"/>
      <c r="W581" s="3496"/>
      <c r="X581" s="5523"/>
      <c r="Y581" s="5523"/>
      <c r="Z581" s="5523"/>
      <c r="AA581" s="5524"/>
      <c r="AB581" s="5779"/>
      <c r="AC581" s="3847"/>
      <c r="AD581" s="3496"/>
      <c r="AE581" s="3666"/>
      <c r="AF581" s="3666"/>
      <c r="AG581" s="10678"/>
    </row>
    <row r="582" spans="1:33" ht="21.75" customHeight="1">
      <c r="A582" s="10663"/>
      <c r="B582" s="10660"/>
      <c r="C582" s="10657"/>
      <c r="D582" s="10657"/>
      <c r="E582" s="10657"/>
      <c r="F582" s="10657"/>
      <c r="G582" s="10657"/>
      <c r="H582" s="10657"/>
      <c r="I582" s="10657"/>
      <c r="J582" s="10657"/>
      <c r="K582" s="10657"/>
      <c r="L582" s="10674"/>
      <c r="M582" s="10674"/>
      <c r="N582" s="10674"/>
      <c r="O582" s="10657"/>
      <c r="P582" s="10657"/>
      <c r="Q582" s="10675"/>
      <c r="R582" s="3887"/>
      <c r="S582" s="5696"/>
      <c r="T582" s="5696"/>
      <c r="U582" s="3557"/>
      <c r="V582" s="5503"/>
      <c r="W582" s="3545"/>
      <c r="X582" s="5532"/>
      <c r="Y582" s="5532"/>
      <c r="Z582" s="5532"/>
      <c r="AA582" s="5533"/>
      <c r="AB582" s="5828"/>
      <c r="AC582" s="3706"/>
      <c r="AD582" s="3545"/>
      <c r="AE582" s="3707"/>
      <c r="AF582" s="3707"/>
      <c r="AG582" s="10680"/>
    </row>
    <row r="583" spans="1:33">
      <c r="A583" s="10663"/>
      <c r="B583" s="10512" t="s">
        <v>183</v>
      </c>
      <c r="C583" s="10444" t="s">
        <v>227</v>
      </c>
      <c r="D583" s="10444" t="s">
        <v>228</v>
      </c>
      <c r="E583" s="10444" t="s">
        <v>229</v>
      </c>
      <c r="F583" s="10451" t="s">
        <v>230</v>
      </c>
      <c r="G583" s="10444" t="s">
        <v>132</v>
      </c>
      <c r="H583" s="10444" t="s">
        <v>133</v>
      </c>
      <c r="I583" s="10444" t="s">
        <v>4702</v>
      </c>
      <c r="J583" s="10444" t="s">
        <v>4652</v>
      </c>
      <c r="K583" s="10444" t="s">
        <v>4653</v>
      </c>
      <c r="L583" s="10666">
        <v>4</v>
      </c>
      <c r="M583" s="10666">
        <v>8</v>
      </c>
      <c r="N583" s="10666">
        <v>8</v>
      </c>
      <c r="O583" s="10444" t="s">
        <v>4654</v>
      </c>
      <c r="P583" s="10444" t="s">
        <v>4655</v>
      </c>
      <c r="Q583" s="10449" t="s">
        <v>4714</v>
      </c>
      <c r="R583" s="3892"/>
      <c r="S583" s="5689"/>
      <c r="T583" s="5689"/>
      <c r="U583" s="3758"/>
      <c r="V583" s="5504"/>
      <c r="W583" s="3658"/>
      <c r="X583" s="5534"/>
      <c r="Y583" s="5534"/>
      <c r="Z583" s="5534"/>
      <c r="AA583" s="5535"/>
      <c r="AB583" s="5822"/>
      <c r="AC583" s="3893"/>
      <c r="AD583" s="3658"/>
      <c r="AE583" s="3660"/>
      <c r="AF583" s="3660"/>
      <c r="AG583" s="10464"/>
    </row>
    <row r="584" spans="1:33">
      <c r="A584" s="10663"/>
      <c r="B584" s="10659"/>
      <c r="C584" s="10656"/>
      <c r="D584" s="10656"/>
      <c r="E584" s="10656"/>
      <c r="F584" s="10656"/>
      <c r="G584" s="10656"/>
      <c r="H584" s="10656"/>
      <c r="I584" s="10656"/>
      <c r="J584" s="10656"/>
      <c r="K584" s="10656"/>
      <c r="L584" s="10667"/>
      <c r="M584" s="10667"/>
      <c r="N584" s="10667"/>
      <c r="O584" s="10656"/>
      <c r="P584" s="10656"/>
      <c r="Q584" s="10672"/>
      <c r="R584" s="3867"/>
      <c r="S584" s="5681"/>
      <c r="T584" s="5681"/>
      <c r="U584" s="3495"/>
      <c r="V584" s="5499"/>
      <c r="W584" s="3496"/>
      <c r="X584" s="5523"/>
      <c r="Y584" s="5523"/>
      <c r="Z584" s="5523"/>
      <c r="AA584" s="5524"/>
      <c r="AB584" s="5779"/>
      <c r="AC584" s="3847"/>
      <c r="AD584" s="3496"/>
      <c r="AE584" s="3666"/>
      <c r="AF584" s="3666"/>
      <c r="AG584" s="10678"/>
    </row>
    <row r="585" spans="1:33">
      <c r="A585" s="10663"/>
      <c r="B585" s="10659"/>
      <c r="C585" s="10656"/>
      <c r="D585" s="10656"/>
      <c r="E585" s="10656"/>
      <c r="F585" s="10656"/>
      <c r="G585" s="10656"/>
      <c r="H585" s="10656"/>
      <c r="I585" s="10656"/>
      <c r="J585" s="10656"/>
      <c r="K585" s="10656"/>
      <c r="L585" s="10667"/>
      <c r="M585" s="10667"/>
      <c r="N585" s="10667"/>
      <c r="O585" s="10656"/>
      <c r="P585" s="10656"/>
      <c r="Q585" s="10672"/>
      <c r="R585" s="3867"/>
      <c r="S585" s="5681"/>
      <c r="T585" s="5681"/>
      <c r="U585" s="3495"/>
      <c r="V585" s="5499"/>
      <c r="W585" s="3496"/>
      <c r="X585" s="5523"/>
      <c r="Y585" s="5523"/>
      <c r="Z585" s="5523"/>
      <c r="AA585" s="5524"/>
      <c r="AB585" s="5779"/>
      <c r="AC585" s="3847"/>
      <c r="AD585" s="3496"/>
      <c r="AE585" s="3666"/>
      <c r="AF585" s="3666"/>
      <c r="AG585" s="10678"/>
    </row>
    <row r="586" spans="1:33">
      <c r="A586" s="10663"/>
      <c r="B586" s="10659"/>
      <c r="C586" s="10656"/>
      <c r="D586" s="10656"/>
      <c r="E586" s="10656"/>
      <c r="F586" s="10656"/>
      <c r="G586" s="10656"/>
      <c r="H586" s="10656"/>
      <c r="I586" s="10656"/>
      <c r="J586" s="10656"/>
      <c r="K586" s="10656"/>
      <c r="L586" s="10667"/>
      <c r="M586" s="10667"/>
      <c r="N586" s="10667"/>
      <c r="O586" s="10656"/>
      <c r="P586" s="10656"/>
      <c r="Q586" s="10672"/>
      <c r="R586" s="3868"/>
      <c r="S586" s="5682"/>
      <c r="T586" s="5682"/>
      <c r="U586" s="3495"/>
      <c r="V586" s="5499"/>
      <c r="W586" s="3496"/>
      <c r="X586" s="5523"/>
      <c r="Y586" s="5523"/>
      <c r="Z586" s="5523"/>
      <c r="AA586" s="5524"/>
      <c r="AB586" s="5779"/>
      <c r="AC586" s="3847"/>
      <c r="AD586" s="3496"/>
      <c r="AE586" s="3666"/>
      <c r="AF586" s="3666"/>
      <c r="AG586" s="10678"/>
    </row>
    <row r="587" spans="1:33" ht="29.25" customHeight="1">
      <c r="A587" s="10663"/>
      <c r="B587" s="10661"/>
      <c r="C587" s="10658"/>
      <c r="D587" s="10658"/>
      <c r="E587" s="10658"/>
      <c r="F587" s="10658"/>
      <c r="G587" s="10658"/>
      <c r="H587" s="10658"/>
      <c r="I587" s="10658"/>
      <c r="J587" s="10658"/>
      <c r="K587" s="10658"/>
      <c r="L587" s="10668"/>
      <c r="M587" s="10668"/>
      <c r="N587" s="10668"/>
      <c r="O587" s="10658"/>
      <c r="P587" s="10658"/>
      <c r="Q587" s="10673"/>
      <c r="R587" s="3879"/>
      <c r="S587" s="5683"/>
      <c r="T587" s="5683"/>
      <c r="U587" s="3759"/>
      <c r="V587" s="5509"/>
      <c r="W587" s="3714"/>
      <c r="X587" s="5544"/>
      <c r="Y587" s="5544"/>
      <c r="Z587" s="5544"/>
      <c r="AA587" s="5545"/>
      <c r="AB587" s="5823"/>
      <c r="AC587" s="3717"/>
      <c r="AD587" s="3714"/>
      <c r="AE587" s="3718"/>
      <c r="AF587" s="3718"/>
      <c r="AG587" s="10679"/>
    </row>
    <row r="588" spans="1:33">
      <c r="A588" s="10663"/>
      <c r="B588" s="10516" t="s">
        <v>183</v>
      </c>
      <c r="C588" s="10433" t="s">
        <v>227</v>
      </c>
      <c r="D588" s="10433" t="s">
        <v>228</v>
      </c>
      <c r="E588" s="10433" t="s">
        <v>229</v>
      </c>
      <c r="F588" s="10442" t="s">
        <v>230</v>
      </c>
      <c r="G588" s="10433" t="s">
        <v>132</v>
      </c>
      <c r="H588" s="10433" t="s">
        <v>159</v>
      </c>
      <c r="I588" s="10433" t="s">
        <v>4656</v>
      </c>
      <c r="J588" s="10433" t="s">
        <v>4657</v>
      </c>
      <c r="K588" s="10433" t="s">
        <v>4658</v>
      </c>
      <c r="L588" s="10676">
        <v>1</v>
      </c>
      <c r="M588" s="10676">
        <v>0</v>
      </c>
      <c r="N588" s="10676">
        <v>1</v>
      </c>
      <c r="O588" s="10433" t="s">
        <v>4659</v>
      </c>
      <c r="P588" s="10433" t="s">
        <v>4660</v>
      </c>
      <c r="Q588" s="10439" t="s">
        <v>4704</v>
      </c>
      <c r="R588" s="3885"/>
      <c r="S588" s="5684"/>
      <c r="T588" s="5684"/>
      <c r="U588" s="3762"/>
      <c r="V588" s="5502"/>
      <c r="W588" s="3709"/>
      <c r="X588" s="5529"/>
      <c r="Y588" s="5529"/>
      <c r="Z588" s="5529"/>
      <c r="AA588" s="5530"/>
      <c r="AB588" s="5780"/>
      <c r="AC588" s="3886"/>
      <c r="AD588" s="3709"/>
      <c r="AE588" s="3724"/>
      <c r="AF588" s="3724"/>
      <c r="AG588" s="10525"/>
    </row>
    <row r="589" spans="1:33">
      <c r="A589" s="10663"/>
      <c r="B589" s="10659"/>
      <c r="C589" s="10656"/>
      <c r="D589" s="10656"/>
      <c r="E589" s="10656"/>
      <c r="F589" s="10656"/>
      <c r="G589" s="10656"/>
      <c r="H589" s="10656"/>
      <c r="I589" s="10656"/>
      <c r="J589" s="10656"/>
      <c r="K589" s="10656"/>
      <c r="L589" s="10667"/>
      <c r="M589" s="10667"/>
      <c r="N589" s="10667"/>
      <c r="O589" s="10656"/>
      <c r="P589" s="10656"/>
      <c r="Q589" s="10672"/>
      <c r="R589" s="3867"/>
      <c r="S589" s="5681"/>
      <c r="T589" s="5681"/>
      <c r="U589" s="3495"/>
      <c r="V589" s="5499"/>
      <c r="W589" s="3496"/>
      <c r="X589" s="5523"/>
      <c r="Y589" s="5523"/>
      <c r="Z589" s="5523"/>
      <c r="AA589" s="5524"/>
      <c r="AB589" s="5779"/>
      <c r="AC589" s="3847"/>
      <c r="AD589" s="3496"/>
      <c r="AE589" s="3666"/>
      <c r="AF589" s="3666"/>
      <c r="AG589" s="10678"/>
    </row>
    <row r="590" spans="1:33">
      <c r="A590" s="10663"/>
      <c r="B590" s="10659"/>
      <c r="C590" s="10656"/>
      <c r="D590" s="10656"/>
      <c r="E590" s="10656"/>
      <c r="F590" s="10656"/>
      <c r="G590" s="10656"/>
      <c r="H590" s="10656"/>
      <c r="I590" s="10656"/>
      <c r="J590" s="10656"/>
      <c r="K590" s="10656"/>
      <c r="L590" s="10667"/>
      <c r="M590" s="10667"/>
      <c r="N590" s="10667"/>
      <c r="O590" s="10656"/>
      <c r="P590" s="10656"/>
      <c r="Q590" s="10672"/>
      <c r="R590" s="3867"/>
      <c r="S590" s="5681"/>
      <c r="T590" s="5681"/>
      <c r="U590" s="3495"/>
      <c r="V590" s="5499"/>
      <c r="W590" s="3496"/>
      <c r="X590" s="5523"/>
      <c r="Y590" s="5523"/>
      <c r="Z590" s="5523"/>
      <c r="AA590" s="5524"/>
      <c r="AB590" s="5779"/>
      <c r="AC590" s="3847"/>
      <c r="AD590" s="3496"/>
      <c r="AE590" s="3666"/>
      <c r="AF590" s="3666"/>
      <c r="AG590" s="10678"/>
    </row>
    <row r="591" spans="1:33">
      <c r="A591" s="10663"/>
      <c r="B591" s="10659"/>
      <c r="C591" s="10656"/>
      <c r="D591" s="10656"/>
      <c r="E591" s="10656"/>
      <c r="F591" s="10656"/>
      <c r="G591" s="10656"/>
      <c r="H591" s="10656"/>
      <c r="I591" s="10656"/>
      <c r="J591" s="10656"/>
      <c r="K591" s="10656"/>
      <c r="L591" s="10667"/>
      <c r="M591" s="10667"/>
      <c r="N591" s="10667"/>
      <c r="O591" s="10656"/>
      <c r="P591" s="10656"/>
      <c r="Q591" s="10672"/>
      <c r="R591" s="3868"/>
      <c r="S591" s="5682"/>
      <c r="T591" s="5682"/>
      <c r="U591" s="3495"/>
      <c r="V591" s="5499"/>
      <c r="W591" s="3496"/>
      <c r="X591" s="5523"/>
      <c r="Y591" s="5523"/>
      <c r="Z591" s="5523"/>
      <c r="AA591" s="5524"/>
      <c r="AB591" s="5779"/>
      <c r="AC591" s="3847"/>
      <c r="AD591" s="3496"/>
      <c r="AE591" s="3666"/>
      <c r="AF591" s="3666"/>
      <c r="AG591" s="10678"/>
    </row>
    <row r="592" spans="1:33" ht="28.5" customHeight="1">
      <c r="A592" s="10663"/>
      <c r="B592" s="10660"/>
      <c r="C592" s="10657"/>
      <c r="D592" s="10657"/>
      <c r="E592" s="10657"/>
      <c r="F592" s="10657"/>
      <c r="G592" s="10657"/>
      <c r="H592" s="10657"/>
      <c r="I592" s="10657"/>
      <c r="J592" s="10657"/>
      <c r="K592" s="10657"/>
      <c r="L592" s="10674"/>
      <c r="M592" s="10674"/>
      <c r="N592" s="10674"/>
      <c r="O592" s="10657"/>
      <c r="P592" s="10657"/>
      <c r="Q592" s="10675"/>
      <c r="R592" s="3887"/>
      <c r="S592" s="5696"/>
      <c r="T592" s="5696"/>
      <c r="U592" s="3557"/>
      <c r="V592" s="5503"/>
      <c r="W592" s="3545"/>
      <c r="X592" s="5532"/>
      <c r="Y592" s="5532"/>
      <c r="Z592" s="5532"/>
      <c r="AA592" s="5533"/>
      <c r="AB592" s="5828"/>
      <c r="AC592" s="3706"/>
      <c r="AD592" s="3545"/>
      <c r="AE592" s="3707"/>
      <c r="AF592" s="3707"/>
      <c r="AG592" s="10680"/>
    </row>
    <row r="593" spans="1:33">
      <c r="A593" s="10663"/>
      <c r="B593" s="10512" t="s">
        <v>183</v>
      </c>
      <c r="C593" s="10444" t="s">
        <v>227</v>
      </c>
      <c r="D593" s="10444" t="s">
        <v>228</v>
      </c>
      <c r="E593" s="10444" t="s">
        <v>229</v>
      </c>
      <c r="F593" s="10451" t="s">
        <v>230</v>
      </c>
      <c r="G593" s="10444" t="s">
        <v>132</v>
      </c>
      <c r="H593" s="10444" t="s">
        <v>159</v>
      </c>
      <c r="I593" s="10444" t="s">
        <v>4661</v>
      </c>
      <c r="J593" s="10444" t="s">
        <v>4662</v>
      </c>
      <c r="K593" s="10444" t="s">
        <v>4663</v>
      </c>
      <c r="L593" s="10666">
        <v>0</v>
      </c>
      <c r="M593" s="10666">
        <v>1</v>
      </c>
      <c r="N593" s="10666">
        <v>1</v>
      </c>
      <c r="O593" s="10444" t="s">
        <v>4664</v>
      </c>
      <c r="P593" s="10444" t="s">
        <v>4665</v>
      </c>
      <c r="Q593" s="10449" t="s">
        <v>4714</v>
      </c>
      <c r="R593" s="3892"/>
      <c r="S593" s="5689"/>
      <c r="T593" s="5689"/>
      <c r="U593" s="3758"/>
      <c r="V593" s="5504"/>
      <c r="W593" s="3658"/>
      <c r="X593" s="5534"/>
      <c r="Y593" s="5534"/>
      <c r="Z593" s="5534"/>
      <c r="AA593" s="5535"/>
      <c r="AB593" s="5822"/>
      <c r="AC593" s="3893"/>
      <c r="AD593" s="3658"/>
      <c r="AE593" s="3660"/>
      <c r="AF593" s="3660"/>
      <c r="AG593" s="10464"/>
    </row>
    <row r="594" spans="1:33">
      <c r="A594" s="10663"/>
      <c r="B594" s="10659"/>
      <c r="C594" s="10656"/>
      <c r="D594" s="10656"/>
      <c r="E594" s="10656"/>
      <c r="F594" s="10656"/>
      <c r="G594" s="10656"/>
      <c r="H594" s="10656"/>
      <c r="I594" s="10656"/>
      <c r="J594" s="10656"/>
      <c r="K594" s="10656"/>
      <c r="L594" s="10667"/>
      <c r="M594" s="10667"/>
      <c r="N594" s="10667"/>
      <c r="O594" s="10656"/>
      <c r="P594" s="10656"/>
      <c r="Q594" s="10672"/>
      <c r="R594" s="3867"/>
      <c r="S594" s="5681"/>
      <c r="T594" s="5681"/>
      <c r="U594" s="3495"/>
      <c r="V594" s="5499"/>
      <c r="W594" s="3496"/>
      <c r="X594" s="5523"/>
      <c r="Y594" s="5523"/>
      <c r="Z594" s="5523"/>
      <c r="AA594" s="5524"/>
      <c r="AB594" s="5779"/>
      <c r="AC594" s="3847"/>
      <c r="AD594" s="3496"/>
      <c r="AE594" s="3666"/>
      <c r="AF594" s="3666"/>
      <c r="AG594" s="10678"/>
    </row>
    <row r="595" spans="1:33">
      <c r="A595" s="10663"/>
      <c r="B595" s="10659"/>
      <c r="C595" s="10656"/>
      <c r="D595" s="10656"/>
      <c r="E595" s="10656"/>
      <c r="F595" s="10656"/>
      <c r="G595" s="10656"/>
      <c r="H595" s="10656"/>
      <c r="I595" s="10656"/>
      <c r="J595" s="10656"/>
      <c r="K595" s="10656"/>
      <c r="L595" s="10667"/>
      <c r="M595" s="10667"/>
      <c r="N595" s="10667"/>
      <c r="O595" s="10656"/>
      <c r="P595" s="10656"/>
      <c r="Q595" s="10672"/>
      <c r="R595" s="3867"/>
      <c r="S595" s="5681"/>
      <c r="T595" s="5681"/>
      <c r="U595" s="3495"/>
      <c r="V595" s="5499"/>
      <c r="W595" s="3496"/>
      <c r="X595" s="5523"/>
      <c r="Y595" s="5523"/>
      <c r="Z595" s="5523"/>
      <c r="AA595" s="5524"/>
      <c r="AB595" s="5779"/>
      <c r="AC595" s="3847"/>
      <c r="AD595" s="3496"/>
      <c r="AE595" s="3666"/>
      <c r="AF595" s="3666"/>
      <c r="AG595" s="10678"/>
    </row>
    <row r="596" spans="1:33">
      <c r="A596" s="10663"/>
      <c r="B596" s="10659"/>
      <c r="C596" s="10656"/>
      <c r="D596" s="10656"/>
      <c r="E596" s="10656"/>
      <c r="F596" s="10656"/>
      <c r="G596" s="10656"/>
      <c r="H596" s="10656"/>
      <c r="I596" s="10656"/>
      <c r="J596" s="10656"/>
      <c r="K596" s="10656"/>
      <c r="L596" s="10667"/>
      <c r="M596" s="10667"/>
      <c r="N596" s="10667"/>
      <c r="O596" s="10656"/>
      <c r="P596" s="10656"/>
      <c r="Q596" s="10672"/>
      <c r="R596" s="3868"/>
      <c r="S596" s="5682"/>
      <c r="T596" s="5682"/>
      <c r="U596" s="3495"/>
      <c r="V596" s="5499"/>
      <c r="W596" s="3496"/>
      <c r="X596" s="5523"/>
      <c r="Y596" s="5523"/>
      <c r="Z596" s="5523"/>
      <c r="AA596" s="5524"/>
      <c r="AB596" s="5779"/>
      <c r="AC596" s="3847"/>
      <c r="AD596" s="3496"/>
      <c r="AE596" s="3666"/>
      <c r="AF596" s="3666"/>
      <c r="AG596" s="10678"/>
    </row>
    <row r="597" spans="1:33" ht="28.5" customHeight="1">
      <c r="A597" s="10663"/>
      <c r="B597" s="10661"/>
      <c r="C597" s="10658"/>
      <c r="D597" s="10658"/>
      <c r="E597" s="10658"/>
      <c r="F597" s="10658"/>
      <c r="G597" s="10658"/>
      <c r="H597" s="10658"/>
      <c r="I597" s="10658"/>
      <c r="J597" s="10658"/>
      <c r="K597" s="10658"/>
      <c r="L597" s="10668"/>
      <c r="M597" s="10668"/>
      <c r="N597" s="10668"/>
      <c r="O597" s="10658"/>
      <c r="P597" s="10658"/>
      <c r="Q597" s="10673"/>
      <c r="R597" s="3879"/>
      <c r="S597" s="5683"/>
      <c r="T597" s="5683"/>
      <c r="U597" s="3759"/>
      <c r="V597" s="5509"/>
      <c r="W597" s="3714"/>
      <c r="X597" s="5544"/>
      <c r="Y597" s="5544"/>
      <c r="Z597" s="5544"/>
      <c r="AA597" s="5545"/>
      <c r="AB597" s="5823"/>
      <c r="AC597" s="3717"/>
      <c r="AD597" s="3714"/>
      <c r="AE597" s="3718"/>
      <c r="AF597" s="3718"/>
      <c r="AG597" s="10679"/>
    </row>
    <row r="598" spans="1:33">
      <c r="A598" s="10663"/>
      <c r="B598" s="10516" t="s">
        <v>183</v>
      </c>
      <c r="C598" s="10433" t="s">
        <v>227</v>
      </c>
      <c r="D598" s="10433" t="s">
        <v>228</v>
      </c>
      <c r="E598" s="10433" t="s">
        <v>229</v>
      </c>
      <c r="F598" s="10442" t="s">
        <v>230</v>
      </c>
      <c r="G598" s="10433" t="s">
        <v>132</v>
      </c>
      <c r="H598" s="10433" t="s">
        <v>133</v>
      </c>
      <c r="I598" s="10433" t="s">
        <v>4703</v>
      </c>
      <c r="J598" s="10433" t="s">
        <v>4667</v>
      </c>
      <c r="K598" s="10433" t="s">
        <v>4668</v>
      </c>
      <c r="L598" s="10676">
        <v>0</v>
      </c>
      <c r="M598" s="10676">
        <v>1</v>
      </c>
      <c r="N598" s="10676">
        <v>1</v>
      </c>
      <c r="O598" s="10433" t="s">
        <v>4669</v>
      </c>
      <c r="P598" s="10433" t="s">
        <v>4670</v>
      </c>
      <c r="Q598" s="10439" t="s">
        <v>4714</v>
      </c>
      <c r="R598" s="3885"/>
      <c r="S598" s="5684"/>
      <c r="T598" s="5684"/>
      <c r="U598" s="3762"/>
      <c r="V598" s="5502"/>
      <c r="W598" s="3709"/>
      <c r="X598" s="5529"/>
      <c r="Y598" s="5529"/>
      <c r="Z598" s="5529"/>
      <c r="AA598" s="5530"/>
      <c r="AB598" s="5780"/>
      <c r="AC598" s="3886"/>
      <c r="AD598" s="3709"/>
      <c r="AE598" s="3724"/>
      <c r="AF598" s="3724"/>
      <c r="AG598" s="10525"/>
    </row>
    <row r="599" spans="1:33">
      <c r="A599" s="10663"/>
      <c r="B599" s="10659"/>
      <c r="C599" s="10656"/>
      <c r="D599" s="10656"/>
      <c r="E599" s="10656"/>
      <c r="F599" s="10656"/>
      <c r="G599" s="10656"/>
      <c r="H599" s="10656"/>
      <c r="I599" s="10656"/>
      <c r="J599" s="10656"/>
      <c r="K599" s="10656"/>
      <c r="L599" s="10667"/>
      <c r="M599" s="10667"/>
      <c r="N599" s="10667"/>
      <c r="O599" s="10656"/>
      <c r="P599" s="10656"/>
      <c r="Q599" s="10672"/>
      <c r="R599" s="3867"/>
      <c r="S599" s="5681"/>
      <c r="T599" s="5681"/>
      <c r="U599" s="3495"/>
      <c r="V599" s="5499"/>
      <c r="W599" s="3496"/>
      <c r="X599" s="5523"/>
      <c r="Y599" s="5523"/>
      <c r="Z599" s="5523"/>
      <c r="AA599" s="5524"/>
      <c r="AB599" s="5779"/>
      <c r="AC599" s="3847"/>
      <c r="AD599" s="3496"/>
      <c r="AE599" s="3666"/>
      <c r="AF599" s="3666"/>
      <c r="AG599" s="10678"/>
    </row>
    <row r="600" spans="1:33">
      <c r="A600" s="10663"/>
      <c r="B600" s="10659"/>
      <c r="C600" s="10656"/>
      <c r="D600" s="10656"/>
      <c r="E600" s="10656"/>
      <c r="F600" s="10656"/>
      <c r="G600" s="10656"/>
      <c r="H600" s="10656"/>
      <c r="I600" s="10656"/>
      <c r="J600" s="10656"/>
      <c r="K600" s="10656"/>
      <c r="L600" s="10667"/>
      <c r="M600" s="10667"/>
      <c r="N600" s="10667"/>
      <c r="O600" s="10656"/>
      <c r="P600" s="10656"/>
      <c r="Q600" s="10672"/>
      <c r="R600" s="3867"/>
      <c r="S600" s="5681"/>
      <c r="T600" s="5681"/>
      <c r="U600" s="3495"/>
      <c r="V600" s="5499"/>
      <c r="W600" s="3496"/>
      <c r="X600" s="5523"/>
      <c r="Y600" s="5523"/>
      <c r="Z600" s="5523"/>
      <c r="AA600" s="5524"/>
      <c r="AB600" s="5779"/>
      <c r="AC600" s="3847"/>
      <c r="AD600" s="3496"/>
      <c r="AE600" s="3666"/>
      <c r="AF600" s="3666"/>
      <c r="AG600" s="10678"/>
    </row>
    <row r="601" spans="1:33">
      <c r="A601" s="10663"/>
      <c r="B601" s="10659"/>
      <c r="C601" s="10656"/>
      <c r="D601" s="10656"/>
      <c r="E601" s="10656"/>
      <c r="F601" s="10656"/>
      <c r="G601" s="10656"/>
      <c r="H601" s="10656"/>
      <c r="I601" s="10656"/>
      <c r="J601" s="10656"/>
      <c r="K601" s="10656"/>
      <c r="L601" s="10667"/>
      <c r="M601" s="10667"/>
      <c r="N601" s="10667"/>
      <c r="O601" s="10656"/>
      <c r="P601" s="10656"/>
      <c r="Q601" s="10672"/>
      <c r="R601" s="3868"/>
      <c r="S601" s="5682"/>
      <c r="T601" s="5682"/>
      <c r="U601" s="3495"/>
      <c r="V601" s="5499"/>
      <c r="W601" s="3496"/>
      <c r="X601" s="5523"/>
      <c r="Y601" s="5523"/>
      <c r="Z601" s="5523"/>
      <c r="AA601" s="5524"/>
      <c r="AB601" s="5779"/>
      <c r="AC601" s="3847"/>
      <c r="AD601" s="3496"/>
      <c r="AE601" s="3666"/>
      <c r="AF601" s="3666"/>
      <c r="AG601" s="10678"/>
    </row>
    <row r="602" spans="1:33" ht="28.5" customHeight="1">
      <c r="A602" s="10663"/>
      <c r="B602" s="10660"/>
      <c r="C602" s="10657"/>
      <c r="D602" s="10657"/>
      <c r="E602" s="10657"/>
      <c r="F602" s="10657"/>
      <c r="G602" s="10657"/>
      <c r="H602" s="10657"/>
      <c r="I602" s="10657"/>
      <c r="J602" s="10657"/>
      <c r="K602" s="10657"/>
      <c r="L602" s="10674"/>
      <c r="M602" s="10674"/>
      <c r="N602" s="10674"/>
      <c r="O602" s="10657"/>
      <c r="P602" s="10657"/>
      <c r="Q602" s="10675"/>
      <c r="R602" s="3887"/>
      <c r="S602" s="5696"/>
      <c r="T602" s="5696"/>
      <c r="U602" s="3557"/>
      <c r="V602" s="5503"/>
      <c r="W602" s="3545"/>
      <c r="X602" s="5532"/>
      <c r="Y602" s="5532"/>
      <c r="Z602" s="5532"/>
      <c r="AA602" s="5533"/>
      <c r="AB602" s="5828"/>
      <c r="AC602" s="3706"/>
      <c r="AD602" s="3545"/>
      <c r="AE602" s="3707"/>
      <c r="AF602" s="3707"/>
      <c r="AG602" s="10680"/>
    </row>
    <row r="603" spans="1:33" ht="20.25" customHeight="1">
      <c r="A603" s="10663"/>
      <c r="B603" s="10512" t="s">
        <v>183</v>
      </c>
      <c r="C603" s="10444" t="s">
        <v>227</v>
      </c>
      <c r="D603" s="10444" t="s">
        <v>490</v>
      </c>
      <c r="E603" s="10444" t="s">
        <v>1484</v>
      </c>
      <c r="F603" s="10451" t="s">
        <v>230</v>
      </c>
      <c r="G603" s="10444" t="s">
        <v>231</v>
      </c>
      <c r="H603" s="10444" t="s">
        <v>159</v>
      </c>
      <c r="I603" s="10444" t="s">
        <v>4671</v>
      </c>
      <c r="J603" s="10444" t="s">
        <v>4672</v>
      </c>
      <c r="K603" s="10444" t="s">
        <v>4673</v>
      </c>
      <c r="L603" s="10666">
        <v>0</v>
      </c>
      <c r="M603" s="10666">
        <v>0</v>
      </c>
      <c r="N603" s="10666">
        <v>1</v>
      </c>
      <c r="O603" s="10444" t="s">
        <v>4674</v>
      </c>
      <c r="P603" s="10444" t="s">
        <v>953</v>
      </c>
      <c r="Q603" s="10449" t="s">
        <v>4708</v>
      </c>
      <c r="R603" s="3892"/>
      <c r="S603" s="5689"/>
      <c r="T603" s="5689"/>
      <c r="U603" s="3758"/>
      <c r="V603" s="5504"/>
      <c r="W603" s="3658"/>
      <c r="X603" s="5534"/>
      <c r="Y603" s="5534"/>
      <c r="Z603" s="5534"/>
      <c r="AA603" s="5535"/>
      <c r="AB603" s="5822"/>
      <c r="AC603" s="3893"/>
      <c r="AD603" s="3658"/>
      <c r="AE603" s="3660"/>
      <c r="AF603" s="3660"/>
      <c r="AG603" s="10464"/>
    </row>
    <row r="604" spans="1:33" ht="20.25" customHeight="1">
      <c r="A604" s="10663"/>
      <c r="B604" s="10659"/>
      <c r="C604" s="10656"/>
      <c r="D604" s="10656"/>
      <c r="E604" s="10656"/>
      <c r="F604" s="10656"/>
      <c r="G604" s="10656"/>
      <c r="H604" s="10656"/>
      <c r="I604" s="10656"/>
      <c r="J604" s="10656"/>
      <c r="K604" s="10656"/>
      <c r="L604" s="10667"/>
      <c r="M604" s="10667"/>
      <c r="N604" s="10667"/>
      <c r="O604" s="10656"/>
      <c r="P604" s="10656"/>
      <c r="Q604" s="10672"/>
      <c r="R604" s="3867"/>
      <c r="S604" s="5681"/>
      <c r="T604" s="5681"/>
      <c r="U604" s="3495"/>
      <c r="V604" s="5499"/>
      <c r="W604" s="3496"/>
      <c r="X604" s="5523"/>
      <c r="Y604" s="5523"/>
      <c r="Z604" s="5523"/>
      <c r="AA604" s="5524"/>
      <c r="AB604" s="5779"/>
      <c r="AC604" s="3847"/>
      <c r="AD604" s="3496"/>
      <c r="AE604" s="3666"/>
      <c r="AF604" s="3666"/>
      <c r="AG604" s="10678"/>
    </row>
    <row r="605" spans="1:33" ht="20.25" customHeight="1">
      <c r="A605" s="10663"/>
      <c r="B605" s="10659"/>
      <c r="C605" s="10656"/>
      <c r="D605" s="10656"/>
      <c r="E605" s="10656"/>
      <c r="F605" s="10656"/>
      <c r="G605" s="10656"/>
      <c r="H605" s="10656"/>
      <c r="I605" s="10656"/>
      <c r="J605" s="10656"/>
      <c r="K605" s="10656"/>
      <c r="L605" s="10667"/>
      <c r="M605" s="10667"/>
      <c r="N605" s="10667"/>
      <c r="O605" s="10656"/>
      <c r="P605" s="10656"/>
      <c r="Q605" s="10672"/>
      <c r="R605" s="3867"/>
      <c r="S605" s="5681"/>
      <c r="T605" s="5681"/>
      <c r="U605" s="3495"/>
      <c r="V605" s="5499"/>
      <c r="W605" s="3496"/>
      <c r="X605" s="5523"/>
      <c r="Y605" s="5523"/>
      <c r="Z605" s="5523"/>
      <c r="AA605" s="5524"/>
      <c r="AB605" s="5779"/>
      <c r="AC605" s="3847"/>
      <c r="AD605" s="3496"/>
      <c r="AE605" s="3666"/>
      <c r="AF605" s="3666"/>
      <c r="AG605" s="10678"/>
    </row>
    <row r="606" spans="1:33" ht="20.25" customHeight="1">
      <c r="A606" s="10663"/>
      <c r="B606" s="10659"/>
      <c r="C606" s="10656"/>
      <c r="D606" s="10656"/>
      <c r="E606" s="10656"/>
      <c r="F606" s="10656"/>
      <c r="G606" s="10656"/>
      <c r="H606" s="10656"/>
      <c r="I606" s="10656"/>
      <c r="J606" s="10656"/>
      <c r="K606" s="10656"/>
      <c r="L606" s="10667"/>
      <c r="M606" s="10667"/>
      <c r="N606" s="10667"/>
      <c r="O606" s="10656"/>
      <c r="P606" s="10656"/>
      <c r="Q606" s="10672"/>
      <c r="R606" s="3868"/>
      <c r="S606" s="5682"/>
      <c r="T606" s="5682"/>
      <c r="U606" s="3495"/>
      <c r="V606" s="5499"/>
      <c r="W606" s="3496"/>
      <c r="X606" s="5523"/>
      <c r="Y606" s="5523"/>
      <c r="Z606" s="5523"/>
      <c r="AA606" s="5524"/>
      <c r="AB606" s="5779"/>
      <c r="AC606" s="3847"/>
      <c r="AD606" s="3496"/>
      <c r="AE606" s="3666"/>
      <c r="AF606" s="3666"/>
      <c r="AG606" s="10678"/>
    </row>
    <row r="607" spans="1:33" ht="20.25" customHeight="1">
      <c r="A607" s="10663"/>
      <c r="B607" s="10661"/>
      <c r="C607" s="10658"/>
      <c r="D607" s="10658"/>
      <c r="E607" s="10658"/>
      <c r="F607" s="10658"/>
      <c r="G607" s="10658"/>
      <c r="H607" s="10658"/>
      <c r="I607" s="10658"/>
      <c r="J607" s="10658"/>
      <c r="K607" s="10658"/>
      <c r="L607" s="10668"/>
      <c r="M607" s="10668"/>
      <c r="N607" s="10668"/>
      <c r="O607" s="10658"/>
      <c r="P607" s="10658"/>
      <c r="Q607" s="10673"/>
      <c r="R607" s="3879"/>
      <c r="S607" s="5683"/>
      <c r="T607" s="5683"/>
      <c r="U607" s="3759"/>
      <c r="V607" s="5509"/>
      <c r="W607" s="3714"/>
      <c r="X607" s="5544"/>
      <c r="Y607" s="5544"/>
      <c r="Z607" s="5544"/>
      <c r="AA607" s="5545"/>
      <c r="AB607" s="5823"/>
      <c r="AC607" s="3717"/>
      <c r="AD607" s="3714"/>
      <c r="AE607" s="3718"/>
      <c r="AF607" s="3718"/>
      <c r="AG607" s="10679"/>
    </row>
    <row r="608" spans="1:33">
      <c r="A608" s="10663"/>
      <c r="B608" s="10516" t="s">
        <v>183</v>
      </c>
      <c r="C608" s="10433" t="s">
        <v>227</v>
      </c>
      <c r="D608" s="10433" t="s">
        <v>228</v>
      </c>
      <c r="E608" s="10433" t="s">
        <v>229</v>
      </c>
      <c r="F608" s="10442" t="s">
        <v>230</v>
      </c>
      <c r="G608" s="10433" t="s">
        <v>132</v>
      </c>
      <c r="H608" s="10433" t="s">
        <v>133</v>
      </c>
      <c r="I608" s="10433" t="s">
        <v>4675</v>
      </c>
      <c r="J608" s="10433" t="s">
        <v>4676</v>
      </c>
      <c r="K608" s="10433" t="s">
        <v>4677</v>
      </c>
      <c r="L608" s="10676">
        <v>20</v>
      </c>
      <c r="M608" s="10676">
        <v>20</v>
      </c>
      <c r="N608" s="10676">
        <v>20</v>
      </c>
      <c r="O608" s="10433" t="s">
        <v>4678</v>
      </c>
      <c r="P608" s="10433" t="s">
        <v>4679</v>
      </c>
      <c r="Q608" s="10439" t="s">
        <v>4714</v>
      </c>
      <c r="R608" s="3885"/>
      <c r="S608" s="5684"/>
      <c r="T608" s="5684"/>
      <c r="U608" s="3762"/>
      <c r="V608" s="5502"/>
      <c r="W608" s="3709"/>
      <c r="X608" s="5529"/>
      <c r="Y608" s="5529"/>
      <c r="Z608" s="5529"/>
      <c r="AA608" s="5530"/>
      <c r="AB608" s="5780"/>
      <c r="AC608" s="3886"/>
      <c r="AD608" s="3709"/>
      <c r="AE608" s="3724"/>
      <c r="AF608" s="3724"/>
      <c r="AG608" s="10525"/>
    </row>
    <row r="609" spans="1:33">
      <c r="A609" s="10663"/>
      <c r="B609" s="10659"/>
      <c r="C609" s="10656"/>
      <c r="D609" s="10656"/>
      <c r="E609" s="10656"/>
      <c r="F609" s="10656"/>
      <c r="G609" s="10656"/>
      <c r="H609" s="10656"/>
      <c r="I609" s="10656"/>
      <c r="J609" s="10656"/>
      <c r="K609" s="10656"/>
      <c r="L609" s="10667"/>
      <c r="M609" s="10667"/>
      <c r="N609" s="10667"/>
      <c r="O609" s="10656"/>
      <c r="P609" s="10656"/>
      <c r="Q609" s="10672"/>
      <c r="R609" s="3867"/>
      <c r="S609" s="5681"/>
      <c r="T609" s="5681"/>
      <c r="U609" s="3495"/>
      <c r="V609" s="5499"/>
      <c r="W609" s="3496"/>
      <c r="X609" s="5523"/>
      <c r="Y609" s="5523"/>
      <c r="Z609" s="5523"/>
      <c r="AA609" s="5524"/>
      <c r="AB609" s="5779"/>
      <c r="AC609" s="3847"/>
      <c r="AD609" s="3496"/>
      <c r="AE609" s="3666"/>
      <c r="AF609" s="3666"/>
      <c r="AG609" s="10678"/>
    </row>
    <row r="610" spans="1:33">
      <c r="A610" s="10663"/>
      <c r="B610" s="10659"/>
      <c r="C610" s="10656"/>
      <c r="D610" s="10656"/>
      <c r="E610" s="10656"/>
      <c r="F610" s="10656"/>
      <c r="G610" s="10656"/>
      <c r="H610" s="10656"/>
      <c r="I610" s="10656"/>
      <c r="J610" s="10656"/>
      <c r="K610" s="10656"/>
      <c r="L610" s="10667"/>
      <c r="M610" s="10667"/>
      <c r="N610" s="10667"/>
      <c r="O610" s="10656"/>
      <c r="P610" s="10656"/>
      <c r="Q610" s="10672"/>
      <c r="R610" s="3867"/>
      <c r="S610" s="5681"/>
      <c r="T610" s="5681"/>
      <c r="U610" s="3495"/>
      <c r="V610" s="5499"/>
      <c r="W610" s="3496"/>
      <c r="X610" s="5523"/>
      <c r="Y610" s="5523"/>
      <c r="Z610" s="5523"/>
      <c r="AA610" s="5524"/>
      <c r="AB610" s="5779"/>
      <c r="AC610" s="3847"/>
      <c r="AD610" s="3496"/>
      <c r="AE610" s="3666"/>
      <c r="AF610" s="3666"/>
      <c r="AG610" s="10678"/>
    </row>
    <row r="611" spans="1:33">
      <c r="A611" s="10663"/>
      <c r="B611" s="10659"/>
      <c r="C611" s="10656"/>
      <c r="D611" s="10656"/>
      <c r="E611" s="10656"/>
      <c r="F611" s="10656"/>
      <c r="G611" s="10656"/>
      <c r="H611" s="10656"/>
      <c r="I611" s="10656"/>
      <c r="J611" s="10656"/>
      <c r="K611" s="10656"/>
      <c r="L611" s="10667"/>
      <c r="M611" s="10667"/>
      <c r="N611" s="10667"/>
      <c r="O611" s="10656"/>
      <c r="P611" s="10656"/>
      <c r="Q611" s="10672"/>
      <c r="R611" s="3868"/>
      <c r="S611" s="5682"/>
      <c r="T611" s="5682"/>
      <c r="U611" s="3495"/>
      <c r="V611" s="5499"/>
      <c r="W611" s="3496"/>
      <c r="X611" s="5523"/>
      <c r="Y611" s="5523"/>
      <c r="Z611" s="5523"/>
      <c r="AA611" s="5524"/>
      <c r="AB611" s="5779"/>
      <c r="AC611" s="3847"/>
      <c r="AD611" s="3496"/>
      <c r="AE611" s="3666"/>
      <c r="AF611" s="3666"/>
      <c r="AG611" s="10678"/>
    </row>
    <row r="612" spans="1:33" ht="30.75" customHeight="1">
      <c r="A612" s="10663"/>
      <c r="B612" s="10660"/>
      <c r="C612" s="10657"/>
      <c r="D612" s="10657"/>
      <c r="E612" s="10657"/>
      <c r="F612" s="10657"/>
      <c r="G612" s="10657"/>
      <c r="H612" s="10657"/>
      <c r="I612" s="10657"/>
      <c r="J612" s="10657"/>
      <c r="K612" s="10657"/>
      <c r="L612" s="10674"/>
      <c r="M612" s="10674"/>
      <c r="N612" s="10674"/>
      <c r="O612" s="10657"/>
      <c r="P612" s="10657"/>
      <c r="Q612" s="10675"/>
      <c r="R612" s="3887"/>
      <c r="S612" s="5696"/>
      <c r="T612" s="5696"/>
      <c r="U612" s="3557"/>
      <c r="V612" s="5503"/>
      <c r="W612" s="3545"/>
      <c r="X612" s="5532"/>
      <c r="Y612" s="5532"/>
      <c r="Z612" s="5532"/>
      <c r="AA612" s="5533"/>
      <c r="AB612" s="5828"/>
      <c r="AC612" s="3706"/>
      <c r="AD612" s="3545"/>
      <c r="AE612" s="3707"/>
      <c r="AF612" s="3707"/>
      <c r="AG612" s="10680"/>
    </row>
    <row r="613" spans="1:33">
      <c r="A613" s="10663"/>
      <c r="B613" s="10512" t="s">
        <v>183</v>
      </c>
      <c r="C613" s="10444" t="s">
        <v>227</v>
      </c>
      <c r="D613" s="10444" t="s">
        <v>228</v>
      </c>
      <c r="E613" s="10444" t="s">
        <v>229</v>
      </c>
      <c r="F613" s="10451" t="s">
        <v>230</v>
      </c>
      <c r="G613" s="10444" t="s">
        <v>132</v>
      </c>
      <c r="H613" s="10444" t="s">
        <v>159</v>
      </c>
      <c r="I613" s="10444" t="s">
        <v>4681</v>
      </c>
      <c r="J613" s="10444" t="s">
        <v>4682</v>
      </c>
      <c r="K613" s="10444" t="s">
        <v>4683</v>
      </c>
      <c r="L613" s="10666">
        <v>1</v>
      </c>
      <c r="M613" s="10666">
        <v>1</v>
      </c>
      <c r="N613" s="10666">
        <v>1</v>
      </c>
      <c r="O613" s="10444" t="s">
        <v>4684</v>
      </c>
      <c r="P613" s="10444" t="s">
        <v>4684</v>
      </c>
      <c r="Q613" s="10449" t="s">
        <v>4714</v>
      </c>
      <c r="R613" s="3892"/>
      <c r="S613" s="5689"/>
      <c r="T613" s="5689"/>
      <c r="U613" s="3758"/>
      <c r="V613" s="5504"/>
      <c r="W613" s="3658"/>
      <c r="X613" s="5534"/>
      <c r="Y613" s="5534"/>
      <c r="Z613" s="5534"/>
      <c r="AA613" s="5535"/>
      <c r="AB613" s="5822"/>
      <c r="AC613" s="3893"/>
      <c r="AD613" s="3658"/>
      <c r="AE613" s="3660"/>
      <c r="AF613" s="3660"/>
      <c r="AG613" s="10464"/>
    </row>
    <row r="614" spans="1:33">
      <c r="A614" s="10663"/>
      <c r="B614" s="10659"/>
      <c r="C614" s="10656"/>
      <c r="D614" s="10656"/>
      <c r="E614" s="10656"/>
      <c r="F614" s="10656"/>
      <c r="G614" s="10656"/>
      <c r="H614" s="10656"/>
      <c r="I614" s="10656"/>
      <c r="J614" s="10656"/>
      <c r="K614" s="10656"/>
      <c r="L614" s="10667"/>
      <c r="M614" s="10667"/>
      <c r="N614" s="10667"/>
      <c r="O614" s="10656"/>
      <c r="P614" s="10656"/>
      <c r="Q614" s="10672"/>
      <c r="R614" s="3867"/>
      <c r="S614" s="5681"/>
      <c r="T614" s="5681"/>
      <c r="U614" s="3495"/>
      <c r="V614" s="5499"/>
      <c r="W614" s="3496"/>
      <c r="X614" s="5523"/>
      <c r="Y614" s="5523"/>
      <c r="Z614" s="5523"/>
      <c r="AA614" s="5524"/>
      <c r="AB614" s="5779"/>
      <c r="AC614" s="3847"/>
      <c r="AD614" s="3496"/>
      <c r="AE614" s="3666"/>
      <c r="AF614" s="3666"/>
      <c r="AG614" s="10678"/>
    </row>
    <row r="615" spans="1:33">
      <c r="A615" s="10663"/>
      <c r="B615" s="10659"/>
      <c r="C615" s="10656"/>
      <c r="D615" s="10656"/>
      <c r="E615" s="10656"/>
      <c r="F615" s="10656"/>
      <c r="G615" s="10656"/>
      <c r="H615" s="10656"/>
      <c r="I615" s="10656"/>
      <c r="J615" s="10656"/>
      <c r="K615" s="10656"/>
      <c r="L615" s="10667"/>
      <c r="M615" s="10667"/>
      <c r="N615" s="10667"/>
      <c r="O615" s="10656"/>
      <c r="P615" s="10656"/>
      <c r="Q615" s="10672"/>
      <c r="R615" s="3867"/>
      <c r="S615" s="5681"/>
      <c r="T615" s="5681"/>
      <c r="U615" s="3495"/>
      <c r="V615" s="5499"/>
      <c r="W615" s="3496"/>
      <c r="X615" s="5523"/>
      <c r="Y615" s="5523"/>
      <c r="Z615" s="5523"/>
      <c r="AA615" s="5524"/>
      <c r="AB615" s="5779"/>
      <c r="AC615" s="3847"/>
      <c r="AD615" s="3496"/>
      <c r="AE615" s="3666"/>
      <c r="AF615" s="3666"/>
      <c r="AG615" s="10678"/>
    </row>
    <row r="616" spans="1:33">
      <c r="A616" s="10663"/>
      <c r="B616" s="10659"/>
      <c r="C616" s="10656"/>
      <c r="D616" s="10656"/>
      <c r="E616" s="10656"/>
      <c r="F616" s="10656"/>
      <c r="G616" s="10656"/>
      <c r="H616" s="10656"/>
      <c r="I616" s="10656"/>
      <c r="J616" s="10656"/>
      <c r="K616" s="10656"/>
      <c r="L616" s="10667"/>
      <c r="M616" s="10667"/>
      <c r="N616" s="10667"/>
      <c r="O616" s="10656"/>
      <c r="P616" s="10656"/>
      <c r="Q616" s="10672"/>
      <c r="R616" s="3868"/>
      <c r="S616" s="5682"/>
      <c r="T616" s="5682"/>
      <c r="U616" s="3495"/>
      <c r="V616" s="5499"/>
      <c r="W616" s="3496"/>
      <c r="X616" s="5523"/>
      <c r="Y616" s="5523"/>
      <c r="Z616" s="5523"/>
      <c r="AA616" s="5524"/>
      <c r="AB616" s="5779"/>
      <c r="AC616" s="3847"/>
      <c r="AD616" s="3496"/>
      <c r="AE616" s="3666"/>
      <c r="AF616" s="3666"/>
      <c r="AG616" s="10678"/>
    </row>
    <row r="617" spans="1:33" ht="33.75" customHeight="1">
      <c r="A617" s="10663"/>
      <c r="B617" s="10660"/>
      <c r="C617" s="10657"/>
      <c r="D617" s="10657"/>
      <c r="E617" s="10657"/>
      <c r="F617" s="10657"/>
      <c r="G617" s="10657"/>
      <c r="H617" s="10657"/>
      <c r="I617" s="10657"/>
      <c r="J617" s="10657"/>
      <c r="K617" s="10657"/>
      <c r="L617" s="10674"/>
      <c r="M617" s="10674"/>
      <c r="N617" s="10674"/>
      <c r="O617" s="10657"/>
      <c r="P617" s="10657"/>
      <c r="Q617" s="10675"/>
      <c r="R617" s="3879"/>
      <c r="S617" s="5683"/>
      <c r="T617" s="5683"/>
      <c r="U617" s="3759"/>
      <c r="V617" s="5509"/>
      <c r="W617" s="3714"/>
      <c r="X617" s="5544"/>
      <c r="Y617" s="5544"/>
      <c r="Z617" s="5544"/>
      <c r="AA617" s="5545"/>
      <c r="AB617" s="5823"/>
      <c r="AC617" s="3717"/>
      <c r="AD617" s="3714"/>
      <c r="AE617" s="3718"/>
      <c r="AF617" s="3718"/>
      <c r="AG617" s="10679"/>
    </row>
    <row r="618" spans="1:33" s="6048" customFormat="1" ht="30" customHeight="1" thickBot="1">
      <c r="A618" s="10664"/>
      <c r="B618" s="10699"/>
      <c r="C618" s="10700"/>
      <c r="D618" s="10700"/>
      <c r="E618" s="10700"/>
      <c r="F618" s="10700"/>
      <c r="G618" s="10700"/>
      <c r="H618" s="10700"/>
      <c r="I618" s="10700"/>
      <c r="J618" s="10700"/>
      <c r="K618" s="10700"/>
      <c r="L618" s="10700"/>
      <c r="M618" s="10700"/>
      <c r="N618" s="10700"/>
      <c r="O618" s="10700"/>
      <c r="P618" s="10700"/>
      <c r="Q618" s="10711"/>
      <c r="R618" s="10681" t="s">
        <v>4715</v>
      </c>
      <c r="S618" s="10689"/>
      <c r="T618" s="10689"/>
      <c r="U618" s="10689"/>
      <c r="V618" s="10689"/>
      <c r="W618" s="10689"/>
      <c r="X618" s="10689"/>
      <c r="Y618" s="10690"/>
      <c r="Z618" s="6118" t="s">
        <v>292</v>
      </c>
      <c r="AA618" s="7447">
        <f>SUM(AA543:AA617)</f>
        <v>0</v>
      </c>
      <c r="AB618" s="6120"/>
      <c r="AC618" s="6119"/>
      <c r="AD618" s="10712"/>
      <c r="AE618" s="10713"/>
      <c r="AF618" s="10713"/>
      <c r="AG618" s="10714"/>
    </row>
    <row r="619" spans="1:33" ht="21" customHeight="1">
      <c r="A619" s="10686" t="s">
        <v>4716</v>
      </c>
      <c r="B619" s="10512" t="s">
        <v>183</v>
      </c>
      <c r="C619" s="10444" t="s">
        <v>128</v>
      </c>
      <c r="D619" s="10444" t="s">
        <v>140</v>
      </c>
      <c r="E619" s="10444" t="s">
        <v>284</v>
      </c>
      <c r="F619" s="10451" t="s">
        <v>131</v>
      </c>
      <c r="G619" s="10444" t="s">
        <v>132</v>
      </c>
      <c r="H619" s="10444" t="s">
        <v>159</v>
      </c>
      <c r="I619" s="10444" t="s">
        <v>4687</v>
      </c>
      <c r="J619" s="10444" t="s">
        <v>4609</v>
      </c>
      <c r="K619" s="10444" t="s">
        <v>4610</v>
      </c>
      <c r="L619" s="10666">
        <v>2</v>
      </c>
      <c r="M619" s="10666">
        <v>3</v>
      </c>
      <c r="N619" s="10666">
        <v>3</v>
      </c>
      <c r="O619" s="10444" t="s">
        <v>4707</v>
      </c>
      <c r="P619" s="10444" t="s">
        <v>4612</v>
      </c>
      <c r="Q619" s="10449" t="s">
        <v>4717</v>
      </c>
      <c r="R619" s="3892"/>
      <c r="S619" s="5689"/>
      <c r="T619" s="5689"/>
      <c r="U619" s="3758"/>
      <c r="V619" s="5504"/>
      <c r="W619" s="3658"/>
      <c r="X619" s="5534"/>
      <c r="Y619" s="5534"/>
      <c r="Z619" s="5534"/>
      <c r="AA619" s="5535"/>
      <c r="AB619" s="5822"/>
      <c r="AC619" s="3893"/>
      <c r="AD619" s="3658"/>
      <c r="AE619" s="3660"/>
      <c r="AF619" s="3660"/>
      <c r="AG619" s="10464"/>
    </row>
    <row r="620" spans="1:33" ht="21" customHeight="1">
      <c r="A620" s="10687"/>
      <c r="B620" s="10659"/>
      <c r="C620" s="10656"/>
      <c r="D620" s="10656"/>
      <c r="E620" s="10656"/>
      <c r="F620" s="10656"/>
      <c r="G620" s="10656"/>
      <c r="H620" s="10656"/>
      <c r="I620" s="10656"/>
      <c r="J620" s="10656"/>
      <c r="K620" s="10656"/>
      <c r="L620" s="10667"/>
      <c r="M620" s="10667"/>
      <c r="N620" s="10667"/>
      <c r="O620" s="10656"/>
      <c r="P620" s="10656"/>
      <c r="Q620" s="10672"/>
      <c r="R620" s="3867"/>
      <c r="S620" s="5681"/>
      <c r="T620" s="5681"/>
      <c r="U620" s="3495"/>
      <c r="V620" s="5499"/>
      <c r="W620" s="3496"/>
      <c r="X620" s="5523"/>
      <c r="Y620" s="5523"/>
      <c r="Z620" s="5523"/>
      <c r="AA620" s="5524"/>
      <c r="AB620" s="5779"/>
      <c r="AC620" s="3847"/>
      <c r="AD620" s="3496"/>
      <c r="AE620" s="3666"/>
      <c r="AF620" s="3666"/>
      <c r="AG620" s="10678"/>
    </row>
    <row r="621" spans="1:33" ht="21" customHeight="1">
      <c r="A621" s="10687"/>
      <c r="B621" s="10659"/>
      <c r="C621" s="10656"/>
      <c r="D621" s="10656"/>
      <c r="E621" s="10656"/>
      <c r="F621" s="10656"/>
      <c r="G621" s="10656"/>
      <c r="H621" s="10656"/>
      <c r="I621" s="10656"/>
      <c r="J621" s="10656"/>
      <c r="K621" s="10656"/>
      <c r="L621" s="10667"/>
      <c r="M621" s="10667"/>
      <c r="N621" s="10667"/>
      <c r="O621" s="10656"/>
      <c r="P621" s="10656"/>
      <c r="Q621" s="10672"/>
      <c r="R621" s="3867"/>
      <c r="S621" s="5681"/>
      <c r="T621" s="5681"/>
      <c r="U621" s="3495"/>
      <c r="V621" s="5499"/>
      <c r="W621" s="3496"/>
      <c r="X621" s="5523"/>
      <c r="Y621" s="5523"/>
      <c r="Z621" s="5523"/>
      <c r="AA621" s="5524"/>
      <c r="AB621" s="5779"/>
      <c r="AC621" s="3847"/>
      <c r="AD621" s="3496"/>
      <c r="AE621" s="3666"/>
      <c r="AF621" s="3666"/>
      <c r="AG621" s="10678"/>
    </row>
    <row r="622" spans="1:33" ht="21" customHeight="1">
      <c r="A622" s="10687"/>
      <c r="B622" s="10659"/>
      <c r="C622" s="10656"/>
      <c r="D622" s="10656"/>
      <c r="E622" s="10656"/>
      <c r="F622" s="10656"/>
      <c r="G622" s="10656"/>
      <c r="H622" s="10656"/>
      <c r="I622" s="10656"/>
      <c r="J622" s="10656"/>
      <c r="K622" s="10656"/>
      <c r="L622" s="10667"/>
      <c r="M622" s="10667"/>
      <c r="N622" s="10667"/>
      <c r="O622" s="10656"/>
      <c r="P622" s="10656"/>
      <c r="Q622" s="10672"/>
      <c r="R622" s="3868"/>
      <c r="S622" s="5682"/>
      <c r="T622" s="5682"/>
      <c r="U622" s="3495"/>
      <c r="V622" s="5499"/>
      <c r="W622" s="3496"/>
      <c r="X622" s="5523"/>
      <c r="Y622" s="5523"/>
      <c r="Z622" s="5523"/>
      <c r="AA622" s="5524"/>
      <c r="AB622" s="5779"/>
      <c r="AC622" s="3847"/>
      <c r="AD622" s="3496"/>
      <c r="AE622" s="3666"/>
      <c r="AF622" s="3666"/>
      <c r="AG622" s="10678"/>
    </row>
    <row r="623" spans="1:33" ht="21" customHeight="1">
      <c r="A623" s="10687"/>
      <c r="B623" s="10661"/>
      <c r="C623" s="10658"/>
      <c r="D623" s="10658"/>
      <c r="E623" s="10658"/>
      <c r="F623" s="10658"/>
      <c r="G623" s="10658"/>
      <c r="H623" s="10658"/>
      <c r="I623" s="10658"/>
      <c r="J623" s="10658"/>
      <c r="K623" s="10658"/>
      <c r="L623" s="10668"/>
      <c r="M623" s="10668"/>
      <c r="N623" s="10668"/>
      <c r="O623" s="10658"/>
      <c r="P623" s="10658"/>
      <c r="Q623" s="10673"/>
      <c r="R623" s="3879"/>
      <c r="S623" s="5683"/>
      <c r="T623" s="5683"/>
      <c r="U623" s="3759"/>
      <c r="V623" s="5509"/>
      <c r="W623" s="3714"/>
      <c r="X623" s="5544"/>
      <c r="Y623" s="5544"/>
      <c r="Z623" s="5544"/>
      <c r="AA623" s="5545"/>
      <c r="AB623" s="5823"/>
      <c r="AC623" s="3717"/>
      <c r="AD623" s="3714"/>
      <c r="AE623" s="3718"/>
      <c r="AF623" s="3718"/>
      <c r="AG623" s="10679"/>
    </row>
    <row r="624" spans="1:33" ht="19.5" customHeight="1">
      <c r="A624" s="10687"/>
      <c r="B624" s="10516" t="s">
        <v>183</v>
      </c>
      <c r="C624" s="10433" t="s">
        <v>227</v>
      </c>
      <c r="D624" s="10433" t="s">
        <v>228</v>
      </c>
      <c r="E624" s="10433" t="s">
        <v>229</v>
      </c>
      <c r="F624" s="10442" t="s">
        <v>230</v>
      </c>
      <c r="G624" s="10433" t="s">
        <v>132</v>
      </c>
      <c r="H624" s="10433" t="s">
        <v>133</v>
      </c>
      <c r="I624" s="10433" t="s">
        <v>4689</v>
      </c>
      <c r="J624" s="10433" t="s">
        <v>4615</v>
      </c>
      <c r="K624" s="10433" t="s">
        <v>4616</v>
      </c>
      <c r="L624" s="10676">
        <v>1</v>
      </c>
      <c r="M624" s="10676">
        <v>1</v>
      </c>
      <c r="N624" s="10676">
        <v>1</v>
      </c>
      <c r="O624" s="10433" t="s">
        <v>4617</v>
      </c>
      <c r="P624" s="10433" t="s">
        <v>4612</v>
      </c>
      <c r="Q624" s="10439" t="s">
        <v>4718</v>
      </c>
      <c r="R624" s="3885"/>
      <c r="S624" s="5684"/>
      <c r="T624" s="5684"/>
      <c r="U624" s="3762"/>
      <c r="V624" s="5502"/>
      <c r="W624" s="3709"/>
      <c r="X624" s="5529"/>
      <c r="Y624" s="5529"/>
      <c r="Z624" s="5529"/>
      <c r="AA624" s="5530"/>
      <c r="AB624" s="5780"/>
      <c r="AC624" s="3886"/>
      <c r="AD624" s="3709"/>
      <c r="AE624" s="3724"/>
      <c r="AF624" s="3724"/>
      <c r="AG624" s="10525"/>
    </row>
    <row r="625" spans="1:33" ht="19.5" customHeight="1">
      <c r="A625" s="10687"/>
      <c r="B625" s="10659"/>
      <c r="C625" s="10656"/>
      <c r="D625" s="10656"/>
      <c r="E625" s="10656"/>
      <c r="F625" s="10656"/>
      <c r="G625" s="10656"/>
      <c r="H625" s="10656"/>
      <c r="I625" s="10656"/>
      <c r="J625" s="10656"/>
      <c r="K625" s="10656"/>
      <c r="L625" s="10667"/>
      <c r="M625" s="10667"/>
      <c r="N625" s="10667"/>
      <c r="O625" s="10656"/>
      <c r="P625" s="10656"/>
      <c r="Q625" s="10672"/>
      <c r="R625" s="3867"/>
      <c r="S625" s="5681"/>
      <c r="T625" s="5681"/>
      <c r="U625" s="3495"/>
      <c r="V625" s="5499"/>
      <c r="W625" s="3496"/>
      <c r="X625" s="5523"/>
      <c r="Y625" s="5523"/>
      <c r="Z625" s="5523"/>
      <c r="AA625" s="5524"/>
      <c r="AB625" s="5779"/>
      <c r="AC625" s="3847"/>
      <c r="AD625" s="3496"/>
      <c r="AE625" s="3666"/>
      <c r="AF625" s="3666"/>
      <c r="AG625" s="10678"/>
    </row>
    <row r="626" spans="1:33" ht="19.5" customHeight="1">
      <c r="A626" s="10687"/>
      <c r="B626" s="10659"/>
      <c r="C626" s="10656"/>
      <c r="D626" s="10656"/>
      <c r="E626" s="10656"/>
      <c r="F626" s="10656"/>
      <c r="G626" s="10656"/>
      <c r="H626" s="10656"/>
      <c r="I626" s="10656"/>
      <c r="J626" s="10656"/>
      <c r="K626" s="10656"/>
      <c r="L626" s="10667"/>
      <c r="M626" s="10667"/>
      <c r="N626" s="10667"/>
      <c r="O626" s="10656"/>
      <c r="P626" s="10656"/>
      <c r="Q626" s="10672"/>
      <c r="R626" s="3867"/>
      <c r="S626" s="5681"/>
      <c r="T626" s="5681"/>
      <c r="U626" s="3495"/>
      <c r="V626" s="5499"/>
      <c r="W626" s="3496"/>
      <c r="X626" s="5523"/>
      <c r="Y626" s="5523"/>
      <c r="Z626" s="5523"/>
      <c r="AA626" s="5524"/>
      <c r="AB626" s="5779"/>
      <c r="AC626" s="3847"/>
      <c r="AD626" s="3496"/>
      <c r="AE626" s="3666"/>
      <c r="AF626" s="3666"/>
      <c r="AG626" s="10678"/>
    </row>
    <row r="627" spans="1:33" ht="19.5" customHeight="1">
      <c r="A627" s="10687"/>
      <c r="B627" s="10659"/>
      <c r="C627" s="10656"/>
      <c r="D627" s="10656"/>
      <c r="E627" s="10656"/>
      <c r="F627" s="10656"/>
      <c r="G627" s="10656"/>
      <c r="H627" s="10656"/>
      <c r="I627" s="10656"/>
      <c r="J627" s="10656"/>
      <c r="K627" s="10656"/>
      <c r="L627" s="10667"/>
      <c r="M627" s="10667"/>
      <c r="N627" s="10667"/>
      <c r="O627" s="10656"/>
      <c r="P627" s="10656"/>
      <c r="Q627" s="10672"/>
      <c r="R627" s="3868"/>
      <c r="S627" s="5682"/>
      <c r="T627" s="5682"/>
      <c r="U627" s="3495"/>
      <c r="V627" s="5499"/>
      <c r="W627" s="3496"/>
      <c r="X627" s="5523"/>
      <c r="Y627" s="5523"/>
      <c r="Z627" s="5523"/>
      <c r="AA627" s="5524"/>
      <c r="AB627" s="5779"/>
      <c r="AC627" s="3847"/>
      <c r="AD627" s="3496"/>
      <c r="AE627" s="3666"/>
      <c r="AF627" s="3666"/>
      <c r="AG627" s="10678"/>
    </row>
    <row r="628" spans="1:33" ht="19.5" customHeight="1">
      <c r="A628" s="10687"/>
      <c r="B628" s="10660"/>
      <c r="C628" s="10657"/>
      <c r="D628" s="10657"/>
      <c r="E628" s="10657"/>
      <c r="F628" s="10657"/>
      <c r="G628" s="10657"/>
      <c r="H628" s="10657"/>
      <c r="I628" s="10657"/>
      <c r="J628" s="10657"/>
      <c r="K628" s="10657"/>
      <c r="L628" s="10674"/>
      <c r="M628" s="10674"/>
      <c r="N628" s="10674"/>
      <c r="O628" s="10657"/>
      <c r="P628" s="10657"/>
      <c r="Q628" s="10675"/>
      <c r="R628" s="3887"/>
      <c r="S628" s="5696"/>
      <c r="T628" s="5696"/>
      <c r="U628" s="3557"/>
      <c r="V628" s="5503"/>
      <c r="W628" s="3545"/>
      <c r="X628" s="5532"/>
      <c r="Y628" s="5532"/>
      <c r="Z628" s="5532"/>
      <c r="AA628" s="5533"/>
      <c r="AB628" s="5828"/>
      <c r="AC628" s="3706"/>
      <c r="AD628" s="3545"/>
      <c r="AE628" s="3707"/>
      <c r="AF628" s="3707"/>
      <c r="AG628" s="10680"/>
    </row>
    <row r="629" spans="1:33">
      <c r="A629" s="10687"/>
      <c r="B629" s="10512" t="s">
        <v>183</v>
      </c>
      <c r="C629" s="10444" t="s">
        <v>227</v>
      </c>
      <c r="D629" s="10444" t="s">
        <v>228</v>
      </c>
      <c r="E629" s="10444" t="s">
        <v>229</v>
      </c>
      <c r="F629" s="10451" t="s">
        <v>230</v>
      </c>
      <c r="G629" s="10444" t="s">
        <v>171</v>
      </c>
      <c r="H629" s="10444" t="s">
        <v>159</v>
      </c>
      <c r="I629" s="10444" t="s">
        <v>4691</v>
      </c>
      <c r="J629" s="10444" t="s">
        <v>4620</v>
      </c>
      <c r="K629" s="10444" t="s">
        <v>4621</v>
      </c>
      <c r="L629" s="10666">
        <v>0</v>
      </c>
      <c r="M629" s="10666">
        <v>1</v>
      </c>
      <c r="N629" s="10666">
        <v>1</v>
      </c>
      <c r="O629" s="10444" t="s">
        <v>4622</v>
      </c>
      <c r="P629" s="10444" t="s">
        <v>4623</v>
      </c>
      <c r="Q629" s="10449" t="s">
        <v>4719</v>
      </c>
      <c r="R629" s="3892"/>
      <c r="S629" s="5689"/>
      <c r="T629" s="5689"/>
      <c r="U629" s="3758"/>
      <c r="V629" s="5504"/>
      <c r="W629" s="3658"/>
      <c r="X629" s="5534"/>
      <c r="Y629" s="5534"/>
      <c r="Z629" s="5534"/>
      <c r="AA629" s="5535"/>
      <c r="AB629" s="5822"/>
      <c r="AC629" s="3893"/>
      <c r="AD629" s="3658"/>
      <c r="AE629" s="3660"/>
      <c r="AF629" s="3660"/>
      <c r="AG629" s="10464"/>
    </row>
    <row r="630" spans="1:33">
      <c r="A630" s="10687"/>
      <c r="B630" s="10659"/>
      <c r="C630" s="10656"/>
      <c r="D630" s="10656"/>
      <c r="E630" s="10656"/>
      <c r="F630" s="10656"/>
      <c r="G630" s="10656"/>
      <c r="H630" s="10656"/>
      <c r="I630" s="10656"/>
      <c r="J630" s="10656"/>
      <c r="K630" s="10656"/>
      <c r="L630" s="10667"/>
      <c r="M630" s="10667"/>
      <c r="N630" s="10667"/>
      <c r="O630" s="10656"/>
      <c r="P630" s="10656"/>
      <c r="Q630" s="10672"/>
      <c r="R630" s="3867"/>
      <c r="S630" s="5681"/>
      <c r="T630" s="5681"/>
      <c r="U630" s="3495"/>
      <c r="V630" s="5499"/>
      <c r="W630" s="3496"/>
      <c r="X630" s="5523"/>
      <c r="Y630" s="5523"/>
      <c r="Z630" s="5523"/>
      <c r="AA630" s="5524"/>
      <c r="AB630" s="5779"/>
      <c r="AC630" s="3847"/>
      <c r="AD630" s="3496"/>
      <c r="AE630" s="3666"/>
      <c r="AF630" s="3666"/>
      <c r="AG630" s="10678"/>
    </row>
    <row r="631" spans="1:33">
      <c r="A631" s="10687"/>
      <c r="B631" s="10659"/>
      <c r="C631" s="10656"/>
      <c r="D631" s="10656"/>
      <c r="E631" s="10656"/>
      <c r="F631" s="10656"/>
      <c r="G631" s="10656"/>
      <c r="H631" s="10656"/>
      <c r="I631" s="10656"/>
      <c r="J631" s="10656"/>
      <c r="K631" s="10656"/>
      <c r="L631" s="10667"/>
      <c r="M631" s="10667"/>
      <c r="N631" s="10667"/>
      <c r="O631" s="10656"/>
      <c r="P631" s="10656"/>
      <c r="Q631" s="10672"/>
      <c r="R631" s="3867"/>
      <c r="S631" s="5681"/>
      <c r="T631" s="5681"/>
      <c r="U631" s="3495"/>
      <c r="V631" s="5499"/>
      <c r="W631" s="3496"/>
      <c r="X631" s="5523"/>
      <c r="Y631" s="5523"/>
      <c r="Z631" s="5523"/>
      <c r="AA631" s="5524"/>
      <c r="AB631" s="5779"/>
      <c r="AC631" s="3847"/>
      <c r="AD631" s="3496"/>
      <c r="AE631" s="3666"/>
      <c r="AF631" s="3666"/>
      <c r="AG631" s="10678"/>
    </row>
    <row r="632" spans="1:33">
      <c r="A632" s="10687"/>
      <c r="B632" s="10659"/>
      <c r="C632" s="10656"/>
      <c r="D632" s="10656"/>
      <c r="E632" s="10656"/>
      <c r="F632" s="10656"/>
      <c r="G632" s="10656"/>
      <c r="H632" s="10656"/>
      <c r="I632" s="10656"/>
      <c r="J632" s="10656"/>
      <c r="K632" s="10656"/>
      <c r="L632" s="10667"/>
      <c r="M632" s="10667"/>
      <c r="N632" s="10667"/>
      <c r="O632" s="10656"/>
      <c r="P632" s="10656"/>
      <c r="Q632" s="10672"/>
      <c r="R632" s="3868"/>
      <c r="S632" s="5682"/>
      <c r="T632" s="5682"/>
      <c r="U632" s="3495"/>
      <c r="V632" s="5499"/>
      <c r="W632" s="3496"/>
      <c r="X632" s="5523"/>
      <c r="Y632" s="5523"/>
      <c r="Z632" s="5523"/>
      <c r="AA632" s="5524"/>
      <c r="AB632" s="5779"/>
      <c r="AC632" s="3847"/>
      <c r="AD632" s="3496"/>
      <c r="AE632" s="3666"/>
      <c r="AF632" s="3666"/>
      <c r="AG632" s="10678"/>
    </row>
    <row r="633" spans="1:33" ht="28.5" customHeight="1">
      <c r="A633" s="10687"/>
      <c r="B633" s="10661"/>
      <c r="C633" s="10658"/>
      <c r="D633" s="10658"/>
      <c r="E633" s="10658"/>
      <c r="F633" s="10658"/>
      <c r="G633" s="10658"/>
      <c r="H633" s="10658"/>
      <c r="I633" s="10658"/>
      <c r="J633" s="10658"/>
      <c r="K633" s="10658"/>
      <c r="L633" s="10668"/>
      <c r="M633" s="10668"/>
      <c r="N633" s="10668"/>
      <c r="O633" s="10658"/>
      <c r="P633" s="10658"/>
      <c r="Q633" s="10673"/>
      <c r="R633" s="3879"/>
      <c r="S633" s="5683"/>
      <c r="T633" s="5683"/>
      <c r="U633" s="3759"/>
      <c r="V633" s="5509"/>
      <c r="W633" s="3714"/>
      <c r="X633" s="5544"/>
      <c r="Y633" s="5544"/>
      <c r="Z633" s="5544"/>
      <c r="AA633" s="5545"/>
      <c r="AB633" s="5823"/>
      <c r="AC633" s="3717"/>
      <c r="AD633" s="3714"/>
      <c r="AE633" s="3718"/>
      <c r="AF633" s="3718"/>
      <c r="AG633" s="10679"/>
    </row>
    <row r="634" spans="1:33" ht="18.75" customHeight="1">
      <c r="A634" s="10687"/>
      <c r="B634" s="10516" t="s">
        <v>183</v>
      </c>
      <c r="C634" s="10433" t="s">
        <v>227</v>
      </c>
      <c r="D634" s="10433" t="s">
        <v>228</v>
      </c>
      <c r="E634" s="10433" t="s">
        <v>229</v>
      </c>
      <c r="F634" s="10442" t="s">
        <v>230</v>
      </c>
      <c r="G634" s="10433" t="s">
        <v>171</v>
      </c>
      <c r="H634" s="10433" t="s">
        <v>159</v>
      </c>
      <c r="I634" s="10433" t="s">
        <v>4693</v>
      </c>
      <c r="J634" s="10433" t="s">
        <v>4626</v>
      </c>
      <c r="K634" s="10433" t="s">
        <v>4627</v>
      </c>
      <c r="L634" s="10676">
        <v>4</v>
      </c>
      <c r="M634" s="10676">
        <v>4</v>
      </c>
      <c r="N634" s="10676">
        <v>4</v>
      </c>
      <c r="O634" s="10433" t="s">
        <v>4628</v>
      </c>
      <c r="P634" s="10433" t="s">
        <v>4629</v>
      </c>
      <c r="Q634" s="10439" t="s">
        <v>4719</v>
      </c>
      <c r="R634" s="3885"/>
      <c r="S634" s="5684"/>
      <c r="T634" s="5684"/>
      <c r="U634" s="3762"/>
      <c r="V634" s="5502"/>
      <c r="W634" s="3709"/>
      <c r="X634" s="5529"/>
      <c r="Y634" s="5529"/>
      <c r="Z634" s="5529"/>
      <c r="AA634" s="5530"/>
      <c r="AB634" s="5780"/>
      <c r="AC634" s="3886"/>
      <c r="AD634" s="3709"/>
      <c r="AE634" s="3724"/>
      <c r="AF634" s="3724"/>
      <c r="AG634" s="10525"/>
    </row>
    <row r="635" spans="1:33" ht="18.75" customHeight="1">
      <c r="A635" s="10687"/>
      <c r="B635" s="10659"/>
      <c r="C635" s="10656"/>
      <c r="D635" s="10656"/>
      <c r="E635" s="10656"/>
      <c r="F635" s="10656"/>
      <c r="G635" s="10656"/>
      <c r="H635" s="10656"/>
      <c r="I635" s="10656"/>
      <c r="J635" s="10656"/>
      <c r="K635" s="10656"/>
      <c r="L635" s="10667"/>
      <c r="M635" s="10667"/>
      <c r="N635" s="10667"/>
      <c r="O635" s="10656"/>
      <c r="P635" s="10656"/>
      <c r="Q635" s="10672"/>
      <c r="R635" s="3867"/>
      <c r="S635" s="5681"/>
      <c r="T635" s="5681"/>
      <c r="U635" s="3495"/>
      <c r="V635" s="5499"/>
      <c r="W635" s="3496"/>
      <c r="X635" s="5523"/>
      <c r="Y635" s="5523"/>
      <c r="Z635" s="5523"/>
      <c r="AA635" s="5524"/>
      <c r="AB635" s="5779"/>
      <c r="AC635" s="3847"/>
      <c r="AD635" s="3496"/>
      <c r="AE635" s="3666"/>
      <c r="AF635" s="3666"/>
      <c r="AG635" s="10678"/>
    </row>
    <row r="636" spans="1:33" ht="18.75" customHeight="1">
      <c r="A636" s="10687"/>
      <c r="B636" s="10659"/>
      <c r="C636" s="10656"/>
      <c r="D636" s="10656"/>
      <c r="E636" s="10656"/>
      <c r="F636" s="10656"/>
      <c r="G636" s="10656"/>
      <c r="H636" s="10656"/>
      <c r="I636" s="10656"/>
      <c r="J636" s="10656"/>
      <c r="K636" s="10656"/>
      <c r="L636" s="10667"/>
      <c r="M636" s="10667"/>
      <c r="N636" s="10667"/>
      <c r="O636" s="10656"/>
      <c r="P636" s="10656"/>
      <c r="Q636" s="10672"/>
      <c r="R636" s="3867"/>
      <c r="S636" s="5681"/>
      <c r="T636" s="5681"/>
      <c r="U636" s="3495"/>
      <c r="V636" s="5499"/>
      <c r="W636" s="3496"/>
      <c r="X636" s="5523"/>
      <c r="Y636" s="5523"/>
      <c r="Z636" s="5523"/>
      <c r="AA636" s="5524"/>
      <c r="AB636" s="5779"/>
      <c r="AC636" s="3847"/>
      <c r="AD636" s="3496"/>
      <c r="AE636" s="3666"/>
      <c r="AF636" s="3666"/>
      <c r="AG636" s="10678"/>
    </row>
    <row r="637" spans="1:33" ht="18.75" customHeight="1">
      <c r="A637" s="10687"/>
      <c r="B637" s="10659"/>
      <c r="C637" s="10656"/>
      <c r="D637" s="10656"/>
      <c r="E637" s="10656"/>
      <c r="F637" s="10656"/>
      <c r="G637" s="10656"/>
      <c r="H637" s="10656"/>
      <c r="I637" s="10656"/>
      <c r="J637" s="10656"/>
      <c r="K637" s="10656"/>
      <c r="L637" s="10667"/>
      <c r="M637" s="10667"/>
      <c r="N637" s="10667"/>
      <c r="O637" s="10656"/>
      <c r="P637" s="10656"/>
      <c r="Q637" s="10672"/>
      <c r="R637" s="3868"/>
      <c r="S637" s="5682"/>
      <c r="T637" s="5682"/>
      <c r="U637" s="3495"/>
      <c r="V637" s="5499"/>
      <c r="W637" s="3496"/>
      <c r="X637" s="5523"/>
      <c r="Y637" s="5523"/>
      <c r="Z637" s="5523"/>
      <c r="AA637" s="5524"/>
      <c r="AB637" s="5779"/>
      <c r="AC637" s="3847"/>
      <c r="AD637" s="3496"/>
      <c r="AE637" s="3666"/>
      <c r="AF637" s="3666"/>
      <c r="AG637" s="10678"/>
    </row>
    <row r="638" spans="1:33" ht="18.75" customHeight="1">
      <c r="A638" s="10687"/>
      <c r="B638" s="10660"/>
      <c r="C638" s="10657"/>
      <c r="D638" s="10657"/>
      <c r="E638" s="10657"/>
      <c r="F638" s="10657"/>
      <c r="G638" s="10657"/>
      <c r="H638" s="10657"/>
      <c r="I638" s="10657"/>
      <c r="J638" s="10657"/>
      <c r="K638" s="10657"/>
      <c r="L638" s="10674"/>
      <c r="M638" s="10674"/>
      <c r="N638" s="10674"/>
      <c r="O638" s="10657"/>
      <c r="P638" s="10657"/>
      <c r="Q638" s="10675"/>
      <c r="R638" s="3887"/>
      <c r="S638" s="5696"/>
      <c r="T638" s="5696"/>
      <c r="U638" s="3557"/>
      <c r="V638" s="5503"/>
      <c r="W638" s="3545"/>
      <c r="X638" s="5532"/>
      <c r="Y638" s="5532"/>
      <c r="Z638" s="5532"/>
      <c r="AA638" s="5533"/>
      <c r="AB638" s="5828"/>
      <c r="AC638" s="3706"/>
      <c r="AD638" s="3545"/>
      <c r="AE638" s="3707"/>
      <c r="AF638" s="3707"/>
      <c r="AG638" s="10680"/>
    </row>
    <row r="639" spans="1:33" ht="18.75" customHeight="1">
      <c r="A639" s="10687"/>
      <c r="B639" s="10512" t="s">
        <v>183</v>
      </c>
      <c r="C639" s="10444" t="s">
        <v>1291</v>
      </c>
      <c r="D639" s="10444" t="s">
        <v>185</v>
      </c>
      <c r="E639" s="10444" t="s">
        <v>1938</v>
      </c>
      <c r="F639" s="10451" t="s">
        <v>230</v>
      </c>
      <c r="G639" s="10444" t="s">
        <v>171</v>
      </c>
      <c r="H639" s="10444" t="s">
        <v>133</v>
      </c>
      <c r="I639" s="10444" t="s">
        <v>4696</v>
      </c>
      <c r="J639" s="10444" t="s">
        <v>4631</v>
      </c>
      <c r="K639" s="10444" t="s">
        <v>4632</v>
      </c>
      <c r="L639" s="10666">
        <v>2</v>
      </c>
      <c r="M639" s="10666">
        <v>0</v>
      </c>
      <c r="N639" s="10666">
        <v>2</v>
      </c>
      <c r="O639" s="10444" t="s">
        <v>4720</v>
      </c>
      <c r="P639" s="10444" t="s">
        <v>4698</v>
      </c>
      <c r="Q639" s="10449" t="s">
        <v>4721</v>
      </c>
      <c r="R639" s="3892"/>
      <c r="S639" s="5689"/>
      <c r="T639" s="5689"/>
      <c r="U639" s="3758"/>
      <c r="V639" s="5504"/>
      <c r="W639" s="3658"/>
      <c r="X639" s="5534"/>
      <c r="Y639" s="5534"/>
      <c r="Z639" s="5534"/>
      <c r="AA639" s="5535"/>
      <c r="AB639" s="5822"/>
      <c r="AC639" s="3893"/>
      <c r="AD639" s="3658"/>
      <c r="AE639" s="3660"/>
      <c r="AF639" s="3660"/>
      <c r="AG639" s="10464"/>
    </row>
    <row r="640" spans="1:33" ht="18.75" customHeight="1">
      <c r="A640" s="10687"/>
      <c r="B640" s="10659"/>
      <c r="C640" s="10656"/>
      <c r="D640" s="10656"/>
      <c r="E640" s="10656"/>
      <c r="F640" s="10656"/>
      <c r="G640" s="10656"/>
      <c r="H640" s="10656"/>
      <c r="I640" s="10656"/>
      <c r="J640" s="10656"/>
      <c r="K640" s="10656"/>
      <c r="L640" s="10667"/>
      <c r="M640" s="10667"/>
      <c r="N640" s="10667"/>
      <c r="O640" s="10656"/>
      <c r="P640" s="10656"/>
      <c r="Q640" s="10672"/>
      <c r="R640" s="3867"/>
      <c r="S640" s="5681"/>
      <c r="T640" s="5681"/>
      <c r="U640" s="3495"/>
      <c r="V640" s="5499"/>
      <c r="W640" s="3496"/>
      <c r="X640" s="5523"/>
      <c r="Y640" s="5523"/>
      <c r="Z640" s="5523"/>
      <c r="AA640" s="5524"/>
      <c r="AB640" s="5779"/>
      <c r="AC640" s="3847"/>
      <c r="AD640" s="3496"/>
      <c r="AE640" s="3666"/>
      <c r="AF640" s="3666"/>
      <c r="AG640" s="10678"/>
    </row>
    <row r="641" spans="1:33" ht="18.75" customHeight="1">
      <c r="A641" s="10687"/>
      <c r="B641" s="10659"/>
      <c r="C641" s="10656"/>
      <c r="D641" s="10656"/>
      <c r="E641" s="10656"/>
      <c r="F641" s="10656"/>
      <c r="G641" s="10656"/>
      <c r="H641" s="10656"/>
      <c r="I641" s="10656"/>
      <c r="J641" s="10656"/>
      <c r="K641" s="10656"/>
      <c r="L641" s="10667"/>
      <c r="M641" s="10667"/>
      <c r="N641" s="10667"/>
      <c r="O641" s="10656"/>
      <c r="P641" s="10656"/>
      <c r="Q641" s="10672"/>
      <c r="R641" s="3867"/>
      <c r="S641" s="5681"/>
      <c r="T641" s="5681"/>
      <c r="U641" s="3495"/>
      <c r="V641" s="5499"/>
      <c r="W641" s="3496"/>
      <c r="X641" s="5523"/>
      <c r="Y641" s="5523"/>
      <c r="Z641" s="5523"/>
      <c r="AA641" s="5524"/>
      <c r="AB641" s="5779"/>
      <c r="AC641" s="3847"/>
      <c r="AD641" s="3496"/>
      <c r="AE641" s="3666"/>
      <c r="AF641" s="3666"/>
      <c r="AG641" s="10678"/>
    </row>
    <row r="642" spans="1:33" ht="18.75" customHeight="1">
      <c r="A642" s="10687"/>
      <c r="B642" s="10659"/>
      <c r="C642" s="10656"/>
      <c r="D642" s="10656"/>
      <c r="E642" s="10656"/>
      <c r="F642" s="10656"/>
      <c r="G642" s="10656"/>
      <c r="H642" s="10656"/>
      <c r="I642" s="10656"/>
      <c r="J642" s="10656"/>
      <c r="K642" s="10656"/>
      <c r="L642" s="10667"/>
      <c r="M642" s="10667"/>
      <c r="N642" s="10667"/>
      <c r="O642" s="10656"/>
      <c r="P642" s="10656"/>
      <c r="Q642" s="10672"/>
      <c r="R642" s="3868"/>
      <c r="S642" s="5682"/>
      <c r="T642" s="5682"/>
      <c r="U642" s="3495"/>
      <c r="V642" s="5499"/>
      <c r="W642" s="3496"/>
      <c r="X642" s="5523"/>
      <c r="Y642" s="5523"/>
      <c r="Z642" s="5523"/>
      <c r="AA642" s="5524"/>
      <c r="AB642" s="5779"/>
      <c r="AC642" s="3847"/>
      <c r="AD642" s="3496"/>
      <c r="AE642" s="3666"/>
      <c r="AF642" s="3666"/>
      <c r="AG642" s="10678"/>
    </row>
    <row r="643" spans="1:33" ht="18.75" customHeight="1">
      <c r="A643" s="10687"/>
      <c r="B643" s="10661"/>
      <c r="C643" s="10658"/>
      <c r="D643" s="10658"/>
      <c r="E643" s="10658"/>
      <c r="F643" s="10658"/>
      <c r="G643" s="10658"/>
      <c r="H643" s="10658"/>
      <c r="I643" s="10658"/>
      <c r="J643" s="10658"/>
      <c r="K643" s="10658"/>
      <c r="L643" s="10668"/>
      <c r="M643" s="10668"/>
      <c r="N643" s="10668"/>
      <c r="O643" s="10658"/>
      <c r="P643" s="10658"/>
      <c r="Q643" s="10673"/>
      <c r="R643" s="3879"/>
      <c r="S643" s="5683"/>
      <c r="T643" s="5683"/>
      <c r="U643" s="3759"/>
      <c r="V643" s="5509"/>
      <c r="W643" s="3714"/>
      <c r="X643" s="5544"/>
      <c r="Y643" s="5544"/>
      <c r="Z643" s="5544"/>
      <c r="AA643" s="5545"/>
      <c r="AB643" s="5823"/>
      <c r="AC643" s="3717"/>
      <c r="AD643" s="3714"/>
      <c r="AE643" s="3718"/>
      <c r="AF643" s="3718"/>
      <c r="AG643" s="10679"/>
    </row>
    <row r="644" spans="1:33">
      <c r="A644" s="10687"/>
      <c r="B644" s="10516" t="s">
        <v>183</v>
      </c>
      <c r="C644" s="10433" t="s">
        <v>227</v>
      </c>
      <c r="D644" s="10433" t="s">
        <v>228</v>
      </c>
      <c r="E644" s="10433" t="s">
        <v>229</v>
      </c>
      <c r="F644" s="10442" t="s">
        <v>230</v>
      </c>
      <c r="G644" s="10433" t="s">
        <v>132</v>
      </c>
      <c r="H644" s="10433" t="s">
        <v>133</v>
      </c>
      <c r="I644" s="10433" t="s">
        <v>4636</v>
      </c>
      <c r="J644" s="10433" t="s">
        <v>4637</v>
      </c>
      <c r="K644" s="10433" t="s">
        <v>4713</v>
      </c>
      <c r="L644" s="10676">
        <v>1</v>
      </c>
      <c r="M644" s="10676">
        <v>1</v>
      </c>
      <c r="N644" s="10676">
        <v>1</v>
      </c>
      <c r="O644" s="10433" t="s">
        <v>4639</v>
      </c>
      <c r="P644" s="10433" t="s">
        <v>4612</v>
      </c>
      <c r="Q644" s="10439" t="s">
        <v>4721</v>
      </c>
      <c r="R644" s="3885"/>
      <c r="S644" s="5684"/>
      <c r="T644" s="5684"/>
      <c r="U644" s="3762"/>
      <c r="V644" s="5502"/>
      <c r="W644" s="3709"/>
      <c r="X644" s="5529"/>
      <c r="Y644" s="5529"/>
      <c r="Z644" s="5529"/>
      <c r="AA644" s="5530"/>
      <c r="AB644" s="5780"/>
      <c r="AC644" s="3886"/>
      <c r="AD644" s="3709"/>
      <c r="AE644" s="3724"/>
      <c r="AF644" s="3724"/>
      <c r="AG644" s="10525"/>
    </row>
    <row r="645" spans="1:33">
      <c r="A645" s="10687"/>
      <c r="B645" s="10659"/>
      <c r="C645" s="10656"/>
      <c r="D645" s="10656"/>
      <c r="E645" s="10656"/>
      <c r="F645" s="10656"/>
      <c r="G645" s="10656"/>
      <c r="H645" s="10656"/>
      <c r="I645" s="10656"/>
      <c r="J645" s="10656"/>
      <c r="K645" s="10656"/>
      <c r="L645" s="10667"/>
      <c r="M645" s="10667"/>
      <c r="N645" s="10667"/>
      <c r="O645" s="10656"/>
      <c r="P645" s="10656"/>
      <c r="Q645" s="10672"/>
      <c r="R645" s="3867"/>
      <c r="S645" s="5681"/>
      <c r="T645" s="5681"/>
      <c r="U645" s="3495"/>
      <c r="V645" s="5499"/>
      <c r="W645" s="3496"/>
      <c r="X645" s="5523"/>
      <c r="Y645" s="5523"/>
      <c r="Z645" s="5523"/>
      <c r="AA645" s="5524"/>
      <c r="AB645" s="5779"/>
      <c r="AC645" s="3847"/>
      <c r="AD645" s="3496"/>
      <c r="AE645" s="3666"/>
      <c r="AF645" s="3666"/>
      <c r="AG645" s="10678"/>
    </row>
    <row r="646" spans="1:33">
      <c r="A646" s="10687"/>
      <c r="B646" s="10659"/>
      <c r="C646" s="10656"/>
      <c r="D646" s="10656"/>
      <c r="E646" s="10656"/>
      <c r="F646" s="10656"/>
      <c r="G646" s="10656"/>
      <c r="H646" s="10656"/>
      <c r="I646" s="10656"/>
      <c r="J646" s="10656"/>
      <c r="K646" s="10656"/>
      <c r="L646" s="10667"/>
      <c r="M646" s="10667"/>
      <c r="N646" s="10667"/>
      <c r="O646" s="10656"/>
      <c r="P646" s="10656"/>
      <c r="Q646" s="10672"/>
      <c r="R646" s="3867"/>
      <c r="S646" s="5681"/>
      <c r="T646" s="5681"/>
      <c r="U646" s="3495"/>
      <c r="V646" s="5499"/>
      <c r="W646" s="3496"/>
      <c r="X646" s="5523"/>
      <c r="Y646" s="5523"/>
      <c r="Z646" s="5523"/>
      <c r="AA646" s="5524"/>
      <c r="AB646" s="5779"/>
      <c r="AC646" s="3847"/>
      <c r="AD646" s="3496"/>
      <c r="AE646" s="3666"/>
      <c r="AF646" s="3666"/>
      <c r="AG646" s="10678"/>
    </row>
    <row r="647" spans="1:33">
      <c r="A647" s="10687"/>
      <c r="B647" s="10659"/>
      <c r="C647" s="10656"/>
      <c r="D647" s="10656"/>
      <c r="E647" s="10656"/>
      <c r="F647" s="10656"/>
      <c r="G647" s="10656"/>
      <c r="H647" s="10656"/>
      <c r="I647" s="10656"/>
      <c r="J647" s="10656"/>
      <c r="K647" s="10656"/>
      <c r="L647" s="10667"/>
      <c r="M647" s="10667"/>
      <c r="N647" s="10667"/>
      <c r="O647" s="10656"/>
      <c r="P647" s="10656"/>
      <c r="Q647" s="10672"/>
      <c r="R647" s="3868"/>
      <c r="S647" s="5682"/>
      <c r="T647" s="5682"/>
      <c r="U647" s="3495"/>
      <c r="V647" s="5499"/>
      <c r="W647" s="3496"/>
      <c r="X647" s="5523"/>
      <c r="Y647" s="5523"/>
      <c r="Z647" s="5523"/>
      <c r="AA647" s="5524"/>
      <c r="AB647" s="5779"/>
      <c r="AC647" s="3847"/>
      <c r="AD647" s="3496"/>
      <c r="AE647" s="3666"/>
      <c r="AF647" s="3666"/>
      <c r="AG647" s="10678"/>
    </row>
    <row r="648" spans="1:33" ht="27.75" customHeight="1">
      <c r="A648" s="10687"/>
      <c r="B648" s="10660"/>
      <c r="C648" s="10657"/>
      <c r="D648" s="10657"/>
      <c r="E648" s="10657"/>
      <c r="F648" s="10657"/>
      <c r="G648" s="10657"/>
      <c r="H648" s="10657"/>
      <c r="I648" s="10657"/>
      <c r="J648" s="10657"/>
      <c r="K648" s="10657"/>
      <c r="L648" s="10674"/>
      <c r="M648" s="10674"/>
      <c r="N648" s="10674"/>
      <c r="O648" s="10657"/>
      <c r="P648" s="10657"/>
      <c r="Q648" s="10675"/>
      <c r="R648" s="3887"/>
      <c r="S648" s="5696"/>
      <c r="T648" s="5696"/>
      <c r="U648" s="3557"/>
      <c r="V648" s="5503"/>
      <c r="W648" s="3545"/>
      <c r="X648" s="5532"/>
      <c r="Y648" s="5532"/>
      <c r="Z648" s="5532"/>
      <c r="AA648" s="5533"/>
      <c r="AB648" s="5828"/>
      <c r="AC648" s="3706"/>
      <c r="AD648" s="3545"/>
      <c r="AE648" s="3707"/>
      <c r="AF648" s="3707"/>
      <c r="AG648" s="10680"/>
    </row>
    <row r="649" spans="1:33" ht="21.75" customHeight="1">
      <c r="A649" s="10687"/>
      <c r="B649" s="10512" t="s">
        <v>127</v>
      </c>
      <c r="C649" s="10444" t="s">
        <v>128</v>
      </c>
      <c r="D649" s="10444" t="s">
        <v>140</v>
      </c>
      <c r="E649" s="10444" t="s">
        <v>1691</v>
      </c>
      <c r="F649" s="10451" t="s">
        <v>131</v>
      </c>
      <c r="G649" s="10444" t="s">
        <v>213</v>
      </c>
      <c r="H649" s="10444" t="s">
        <v>189</v>
      </c>
      <c r="I649" s="10444" t="s">
        <v>4640</v>
      </c>
      <c r="J649" s="10444" t="s">
        <v>4641</v>
      </c>
      <c r="K649" s="10444" t="s">
        <v>4642</v>
      </c>
      <c r="L649" s="10666">
        <v>1</v>
      </c>
      <c r="M649" s="10666">
        <v>0</v>
      </c>
      <c r="N649" s="10666">
        <v>1</v>
      </c>
      <c r="O649" s="10444" t="s">
        <v>4643</v>
      </c>
      <c r="P649" s="10444" t="s">
        <v>4644</v>
      </c>
      <c r="Q649" s="10449" t="s">
        <v>4722</v>
      </c>
      <c r="R649" s="3892"/>
      <c r="S649" s="5689"/>
      <c r="T649" s="5689"/>
      <c r="U649" s="3758"/>
      <c r="V649" s="5504"/>
      <c r="W649" s="3658"/>
      <c r="X649" s="5534"/>
      <c r="Y649" s="5534"/>
      <c r="Z649" s="5534"/>
      <c r="AA649" s="5535"/>
      <c r="AB649" s="5822"/>
      <c r="AC649" s="3893"/>
      <c r="AD649" s="3658"/>
      <c r="AE649" s="3660"/>
      <c r="AF649" s="3660"/>
      <c r="AG649" s="10464"/>
    </row>
    <row r="650" spans="1:33" ht="21.75" customHeight="1">
      <c r="A650" s="10687"/>
      <c r="B650" s="10659"/>
      <c r="C650" s="10656"/>
      <c r="D650" s="10656"/>
      <c r="E650" s="10656"/>
      <c r="F650" s="10656"/>
      <c r="G650" s="10656"/>
      <c r="H650" s="10656"/>
      <c r="I650" s="10656"/>
      <c r="J650" s="10656"/>
      <c r="K650" s="10656"/>
      <c r="L650" s="10667"/>
      <c r="M650" s="10667"/>
      <c r="N650" s="10667"/>
      <c r="O650" s="10656"/>
      <c r="P650" s="10656"/>
      <c r="Q650" s="10672"/>
      <c r="R650" s="3867"/>
      <c r="S650" s="5681"/>
      <c r="T650" s="5681"/>
      <c r="U650" s="3495"/>
      <c r="V650" s="5499"/>
      <c r="W650" s="3496"/>
      <c r="X650" s="5523"/>
      <c r="Y650" s="5523"/>
      <c r="Z650" s="5523"/>
      <c r="AA650" s="5524"/>
      <c r="AB650" s="5779"/>
      <c r="AC650" s="3847"/>
      <c r="AD650" s="3496"/>
      <c r="AE650" s="3666"/>
      <c r="AF650" s="3666"/>
      <c r="AG650" s="10678"/>
    </row>
    <row r="651" spans="1:33" ht="21.75" customHeight="1">
      <c r="A651" s="10687"/>
      <c r="B651" s="10659"/>
      <c r="C651" s="10656"/>
      <c r="D651" s="10656"/>
      <c r="E651" s="10656"/>
      <c r="F651" s="10656"/>
      <c r="G651" s="10656"/>
      <c r="H651" s="10656"/>
      <c r="I651" s="10656"/>
      <c r="J651" s="10656"/>
      <c r="K651" s="10656"/>
      <c r="L651" s="10667"/>
      <c r="M651" s="10667"/>
      <c r="N651" s="10667"/>
      <c r="O651" s="10656"/>
      <c r="P651" s="10656"/>
      <c r="Q651" s="10672"/>
      <c r="R651" s="3867"/>
      <c r="S651" s="5681"/>
      <c r="T651" s="5681"/>
      <c r="U651" s="3495"/>
      <c r="V651" s="5499"/>
      <c r="W651" s="3496"/>
      <c r="X651" s="5523"/>
      <c r="Y651" s="5523"/>
      <c r="Z651" s="5523"/>
      <c r="AA651" s="5524"/>
      <c r="AB651" s="5779"/>
      <c r="AC651" s="3847"/>
      <c r="AD651" s="3496"/>
      <c r="AE651" s="3666"/>
      <c r="AF651" s="3666"/>
      <c r="AG651" s="10678"/>
    </row>
    <row r="652" spans="1:33" ht="21.75" customHeight="1">
      <c r="A652" s="10687"/>
      <c r="B652" s="10659"/>
      <c r="C652" s="10656"/>
      <c r="D652" s="10656"/>
      <c r="E652" s="10656"/>
      <c r="F652" s="10656"/>
      <c r="G652" s="10656"/>
      <c r="H652" s="10656"/>
      <c r="I652" s="10656"/>
      <c r="J652" s="10656"/>
      <c r="K652" s="10656"/>
      <c r="L652" s="10667"/>
      <c r="M652" s="10667"/>
      <c r="N652" s="10667"/>
      <c r="O652" s="10656"/>
      <c r="P652" s="10656"/>
      <c r="Q652" s="10672"/>
      <c r="R652" s="3868"/>
      <c r="S652" s="5682"/>
      <c r="T652" s="5682"/>
      <c r="U652" s="3495"/>
      <c r="V652" s="5499"/>
      <c r="W652" s="3496"/>
      <c r="X652" s="5523"/>
      <c r="Y652" s="5523"/>
      <c r="Z652" s="5523"/>
      <c r="AA652" s="5524"/>
      <c r="AB652" s="5779"/>
      <c r="AC652" s="3847"/>
      <c r="AD652" s="3496"/>
      <c r="AE652" s="3666"/>
      <c r="AF652" s="3666"/>
      <c r="AG652" s="10678"/>
    </row>
    <row r="653" spans="1:33" ht="21.75" customHeight="1">
      <c r="A653" s="10687"/>
      <c r="B653" s="10661"/>
      <c r="C653" s="10658"/>
      <c r="D653" s="10658"/>
      <c r="E653" s="10658"/>
      <c r="F653" s="10658"/>
      <c r="G653" s="10658"/>
      <c r="H653" s="10658"/>
      <c r="I653" s="10658"/>
      <c r="J653" s="10658"/>
      <c r="K653" s="10658"/>
      <c r="L653" s="10668"/>
      <c r="M653" s="10668"/>
      <c r="N653" s="10668"/>
      <c r="O653" s="10658"/>
      <c r="P653" s="10658"/>
      <c r="Q653" s="10673"/>
      <c r="R653" s="3879"/>
      <c r="S653" s="5683"/>
      <c r="T653" s="5683"/>
      <c r="U653" s="3759"/>
      <c r="V653" s="5509"/>
      <c r="W653" s="3714"/>
      <c r="X653" s="5544"/>
      <c r="Y653" s="5544"/>
      <c r="Z653" s="5544"/>
      <c r="AA653" s="5545"/>
      <c r="AB653" s="5823"/>
      <c r="AC653" s="3717"/>
      <c r="AD653" s="3714"/>
      <c r="AE653" s="3718"/>
      <c r="AF653" s="3718"/>
      <c r="AG653" s="10679"/>
    </row>
    <row r="654" spans="1:33" ht="21" customHeight="1">
      <c r="A654" s="10687"/>
      <c r="B654" s="10516" t="s">
        <v>183</v>
      </c>
      <c r="C654" s="10433" t="s">
        <v>227</v>
      </c>
      <c r="D654" s="10433" t="s">
        <v>228</v>
      </c>
      <c r="E654" s="10433" t="s">
        <v>255</v>
      </c>
      <c r="F654" s="10442" t="s">
        <v>230</v>
      </c>
      <c r="G654" s="10433" t="s">
        <v>132</v>
      </c>
      <c r="H654" s="10433" t="s">
        <v>133</v>
      </c>
      <c r="I654" s="10433" t="s">
        <v>4646</v>
      </c>
      <c r="J654" s="10433" t="s">
        <v>4647</v>
      </c>
      <c r="K654" s="10433" t="s">
        <v>4648</v>
      </c>
      <c r="L654" s="10676">
        <v>1</v>
      </c>
      <c r="M654" s="10676">
        <v>0</v>
      </c>
      <c r="N654" s="10676">
        <v>1</v>
      </c>
      <c r="O654" s="10433" t="s">
        <v>4649</v>
      </c>
      <c r="P654" s="10433" t="s">
        <v>4701</v>
      </c>
      <c r="Q654" s="10439" t="s">
        <v>4722</v>
      </c>
      <c r="R654" s="3885"/>
      <c r="S654" s="5684"/>
      <c r="T654" s="5684"/>
      <c r="U654" s="3762"/>
      <c r="V654" s="5502"/>
      <c r="W654" s="3709"/>
      <c r="X654" s="5529"/>
      <c r="Y654" s="5529"/>
      <c r="Z654" s="5529"/>
      <c r="AA654" s="5530"/>
      <c r="AB654" s="5780"/>
      <c r="AC654" s="3886"/>
      <c r="AD654" s="3709"/>
      <c r="AE654" s="3724"/>
      <c r="AF654" s="3724"/>
      <c r="AG654" s="10525"/>
    </row>
    <row r="655" spans="1:33" ht="21" customHeight="1">
      <c r="A655" s="10687"/>
      <c r="B655" s="10659"/>
      <c r="C655" s="10656"/>
      <c r="D655" s="10656"/>
      <c r="E655" s="10656"/>
      <c r="F655" s="10656"/>
      <c r="G655" s="10656"/>
      <c r="H655" s="10656"/>
      <c r="I655" s="10656"/>
      <c r="J655" s="10656"/>
      <c r="K655" s="10656"/>
      <c r="L655" s="10667"/>
      <c r="M655" s="10667"/>
      <c r="N655" s="10667"/>
      <c r="O655" s="10656"/>
      <c r="P655" s="10656"/>
      <c r="Q655" s="10672"/>
      <c r="R655" s="3867"/>
      <c r="S655" s="5681"/>
      <c r="T655" s="5681"/>
      <c r="U655" s="3495"/>
      <c r="V655" s="5499"/>
      <c r="W655" s="3496"/>
      <c r="X655" s="5523"/>
      <c r="Y655" s="5523"/>
      <c r="Z655" s="5523"/>
      <c r="AA655" s="5524"/>
      <c r="AB655" s="5779"/>
      <c r="AC655" s="3847"/>
      <c r="AD655" s="3496"/>
      <c r="AE655" s="3666"/>
      <c r="AF655" s="3666"/>
      <c r="AG655" s="10678"/>
    </row>
    <row r="656" spans="1:33" ht="21" customHeight="1">
      <c r="A656" s="10687"/>
      <c r="B656" s="10659"/>
      <c r="C656" s="10656"/>
      <c r="D656" s="10656"/>
      <c r="E656" s="10656"/>
      <c r="F656" s="10656"/>
      <c r="G656" s="10656"/>
      <c r="H656" s="10656"/>
      <c r="I656" s="10656"/>
      <c r="J656" s="10656"/>
      <c r="K656" s="10656"/>
      <c r="L656" s="10667"/>
      <c r="M656" s="10667"/>
      <c r="N656" s="10667"/>
      <c r="O656" s="10656"/>
      <c r="P656" s="10656"/>
      <c r="Q656" s="10672"/>
      <c r="R656" s="3867"/>
      <c r="S656" s="5681"/>
      <c r="T656" s="5681"/>
      <c r="U656" s="3495"/>
      <c r="V656" s="5499"/>
      <c r="W656" s="3496"/>
      <c r="X656" s="5523"/>
      <c r="Y656" s="5523"/>
      <c r="Z656" s="5523"/>
      <c r="AA656" s="5524"/>
      <c r="AB656" s="5779"/>
      <c r="AC656" s="3847"/>
      <c r="AD656" s="3496"/>
      <c r="AE656" s="3666"/>
      <c r="AF656" s="3666"/>
      <c r="AG656" s="10678"/>
    </row>
    <row r="657" spans="1:33" ht="21" customHeight="1">
      <c r="A657" s="10687"/>
      <c r="B657" s="10659"/>
      <c r="C657" s="10656"/>
      <c r="D657" s="10656"/>
      <c r="E657" s="10656"/>
      <c r="F657" s="10656"/>
      <c r="G657" s="10656"/>
      <c r="H657" s="10656"/>
      <c r="I657" s="10656"/>
      <c r="J657" s="10656"/>
      <c r="K657" s="10656"/>
      <c r="L657" s="10667"/>
      <c r="M657" s="10667"/>
      <c r="N657" s="10667"/>
      <c r="O657" s="10656"/>
      <c r="P657" s="10656"/>
      <c r="Q657" s="10672"/>
      <c r="R657" s="3868"/>
      <c r="S657" s="5682"/>
      <c r="T657" s="5682"/>
      <c r="U657" s="3495"/>
      <c r="V657" s="5499"/>
      <c r="W657" s="3496"/>
      <c r="X657" s="5523"/>
      <c r="Y657" s="5523"/>
      <c r="Z657" s="5523"/>
      <c r="AA657" s="5524"/>
      <c r="AB657" s="5779"/>
      <c r="AC657" s="3847"/>
      <c r="AD657" s="3496"/>
      <c r="AE657" s="3666"/>
      <c r="AF657" s="3666"/>
      <c r="AG657" s="10678"/>
    </row>
    <row r="658" spans="1:33" ht="21" customHeight="1">
      <c r="A658" s="10687"/>
      <c r="B658" s="10660"/>
      <c r="C658" s="10657"/>
      <c r="D658" s="10657"/>
      <c r="E658" s="10657"/>
      <c r="F658" s="10657"/>
      <c r="G658" s="10657"/>
      <c r="H658" s="10657"/>
      <c r="I658" s="10657"/>
      <c r="J658" s="10657"/>
      <c r="K658" s="10657"/>
      <c r="L658" s="10674"/>
      <c r="M658" s="10674"/>
      <c r="N658" s="10674"/>
      <c r="O658" s="10657"/>
      <c r="P658" s="10657"/>
      <c r="Q658" s="10675"/>
      <c r="R658" s="3887"/>
      <c r="S658" s="5696"/>
      <c r="T658" s="5696"/>
      <c r="U658" s="3557"/>
      <c r="V658" s="5503"/>
      <c r="W658" s="3545"/>
      <c r="X658" s="5532"/>
      <c r="Y658" s="5532"/>
      <c r="Z658" s="5532"/>
      <c r="AA658" s="5533"/>
      <c r="AB658" s="5828"/>
      <c r="AC658" s="3706"/>
      <c r="AD658" s="3545"/>
      <c r="AE658" s="3707"/>
      <c r="AF658" s="3707"/>
      <c r="AG658" s="10680"/>
    </row>
    <row r="659" spans="1:33">
      <c r="A659" s="10687"/>
      <c r="B659" s="10512" t="s">
        <v>183</v>
      </c>
      <c r="C659" s="10444" t="s">
        <v>227</v>
      </c>
      <c r="D659" s="10444" t="s">
        <v>228</v>
      </c>
      <c r="E659" s="10444" t="s">
        <v>229</v>
      </c>
      <c r="F659" s="10451" t="s">
        <v>230</v>
      </c>
      <c r="G659" s="10444" t="s">
        <v>132</v>
      </c>
      <c r="H659" s="10444" t="s">
        <v>133</v>
      </c>
      <c r="I659" s="10444" t="s">
        <v>4702</v>
      </c>
      <c r="J659" s="10444" t="s">
        <v>4652</v>
      </c>
      <c r="K659" s="10444" t="s">
        <v>4653</v>
      </c>
      <c r="L659" s="10666">
        <v>4</v>
      </c>
      <c r="M659" s="10666">
        <v>8</v>
      </c>
      <c r="N659" s="10666">
        <v>8</v>
      </c>
      <c r="O659" s="10444" t="s">
        <v>4723</v>
      </c>
      <c r="P659" s="10444" t="s">
        <v>4655</v>
      </c>
      <c r="Q659" s="10449" t="s">
        <v>4719</v>
      </c>
      <c r="R659" s="3892"/>
      <c r="S659" s="5689"/>
      <c r="T659" s="5689"/>
      <c r="U659" s="3758"/>
      <c r="V659" s="5504"/>
      <c r="W659" s="3658"/>
      <c r="X659" s="5534"/>
      <c r="Y659" s="5534"/>
      <c r="Z659" s="5534"/>
      <c r="AA659" s="5535"/>
      <c r="AB659" s="5822"/>
      <c r="AC659" s="3893"/>
      <c r="AD659" s="3658"/>
      <c r="AE659" s="3660"/>
      <c r="AF659" s="3660"/>
      <c r="AG659" s="10464"/>
    </row>
    <row r="660" spans="1:33">
      <c r="A660" s="10687"/>
      <c r="B660" s="10659"/>
      <c r="C660" s="10656"/>
      <c r="D660" s="10656"/>
      <c r="E660" s="10656"/>
      <c r="F660" s="10656"/>
      <c r="G660" s="10656"/>
      <c r="H660" s="10656"/>
      <c r="I660" s="10656"/>
      <c r="J660" s="10656"/>
      <c r="K660" s="10656"/>
      <c r="L660" s="10667"/>
      <c r="M660" s="10667"/>
      <c r="N660" s="10667"/>
      <c r="O660" s="10656"/>
      <c r="P660" s="10656"/>
      <c r="Q660" s="10672"/>
      <c r="R660" s="3867"/>
      <c r="S660" s="5681"/>
      <c r="T660" s="5681"/>
      <c r="U660" s="3495"/>
      <c r="V660" s="5499"/>
      <c r="W660" s="3496"/>
      <c r="X660" s="5523"/>
      <c r="Y660" s="5523"/>
      <c r="Z660" s="5523"/>
      <c r="AA660" s="5524"/>
      <c r="AB660" s="5779"/>
      <c r="AC660" s="3847"/>
      <c r="AD660" s="3496"/>
      <c r="AE660" s="3666"/>
      <c r="AF660" s="3666"/>
      <c r="AG660" s="10678"/>
    </row>
    <row r="661" spans="1:33">
      <c r="A661" s="10687"/>
      <c r="B661" s="10659"/>
      <c r="C661" s="10656"/>
      <c r="D661" s="10656"/>
      <c r="E661" s="10656"/>
      <c r="F661" s="10656"/>
      <c r="G661" s="10656"/>
      <c r="H661" s="10656"/>
      <c r="I661" s="10656"/>
      <c r="J661" s="10656"/>
      <c r="K661" s="10656"/>
      <c r="L661" s="10667"/>
      <c r="M661" s="10667"/>
      <c r="N661" s="10667"/>
      <c r="O661" s="10656"/>
      <c r="P661" s="10656"/>
      <c r="Q661" s="10672"/>
      <c r="R661" s="3867"/>
      <c r="S661" s="5681"/>
      <c r="T661" s="5681"/>
      <c r="U661" s="3495"/>
      <c r="V661" s="5499"/>
      <c r="W661" s="3496"/>
      <c r="X661" s="5523"/>
      <c r="Y661" s="5523"/>
      <c r="Z661" s="5523"/>
      <c r="AA661" s="5524"/>
      <c r="AB661" s="5779"/>
      <c r="AC661" s="3847"/>
      <c r="AD661" s="3496"/>
      <c r="AE661" s="3666"/>
      <c r="AF661" s="3666"/>
      <c r="AG661" s="10678"/>
    </row>
    <row r="662" spans="1:33">
      <c r="A662" s="10687"/>
      <c r="B662" s="10659"/>
      <c r="C662" s="10656"/>
      <c r="D662" s="10656"/>
      <c r="E662" s="10656"/>
      <c r="F662" s="10656"/>
      <c r="G662" s="10656"/>
      <c r="H662" s="10656"/>
      <c r="I662" s="10656"/>
      <c r="J662" s="10656"/>
      <c r="K662" s="10656"/>
      <c r="L662" s="10667"/>
      <c r="M662" s="10667"/>
      <c r="N662" s="10667"/>
      <c r="O662" s="10656"/>
      <c r="P662" s="10656"/>
      <c r="Q662" s="10672"/>
      <c r="R662" s="3868"/>
      <c r="S662" s="5682"/>
      <c r="T662" s="5682"/>
      <c r="U662" s="3495"/>
      <c r="V662" s="5499"/>
      <c r="W662" s="3496"/>
      <c r="X662" s="5523"/>
      <c r="Y662" s="5523"/>
      <c r="Z662" s="5523"/>
      <c r="AA662" s="5524"/>
      <c r="AB662" s="5779"/>
      <c r="AC662" s="3847"/>
      <c r="AD662" s="3496"/>
      <c r="AE662" s="3666"/>
      <c r="AF662" s="3666"/>
      <c r="AG662" s="10678"/>
    </row>
    <row r="663" spans="1:33" ht="30" customHeight="1">
      <c r="A663" s="10687"/>
      <c r="B663" s="10661"/>
      <c r="C663" s="10658"/>
      <c r="D663" s="10658"/>
      <c r="E663" s="10658"/>
      <c r="F663" s="10658"/>
      <c r="G663" s="10658"/>
      <c r="H663" s="10658"/>
      <c r="I663" s="10658"/>
      <c r="J663" s="10658"/>
      <c r="K663" s="10658"/>
      <c r="L663" s="10668"/>
      <c r="M663" s="10668"/>
      <c r="N663" s="10668"/>
      <c r="O663" s="10658"/>
      <c r="P663" s="10658"/>
      <c r="Q663" s="10673"/>
      <c r="R663" s="3879"/>
      <c r="S663" s="5683"/>
      <c r="T663" s="5683"/>
      <c r="U663" s="3759"/>
      <c r="V663" s="5509"/>
      <c r="W663" s="3714"/>
      <c r="X663" s="5544"/>
      <c r="Y663" s="5544"/>
      <c r="Z663" s="5544"/>
      <c r="AA663" s="5545"/>
      <c r="AB663" s="5823"/>
      <c r="AC663" s="3717"/>
      <c r="AD663" s="3714"/>
      <c r="AE663" s="3718"/>
      <c r="AF663" s="3718"/>
      <c r="AG663" s="10679"/>
    </row>
    <row r="664" spans="1:33">
      <c r="A664" s="10687"/>
      <c r="B664" s="10516" t="s">
        <v>183</v>
      </c>
      <c r="C664" s="10433" t="s">
        <v>227</v>
      </c>
      <c r="D664" s="10433" t="s">
        <v>228</v>
      </c>
      <c r="E664" s="10433" t="s">
        <v>229</v>
      </c>
      <c r="F664" s="10442" t="s">
        <v>230</v>
      </c>
      <c r="G664" s="10433" t="s">
        <v>132</v>
      </c>
      <c r="H664" s="10433" t="s">
        <v>159</v>
      </c>
      <c r="I664" s="10433" t="s">
        <v>4656</v>
      </c>
      <c r="J664" s="10433" t="s">
        <v>4657</v>
      </c>
      <c r="K664" s="10433" t="s">
        <v>4658</v>
      </c>
      <c r="L664" s="10676">
        <v>1</v>
      </c>
      <c r="M664" s="10676">
        <v>0</v>
      </c>
      <c r="N664" s="10676">
        <v>1</v>
      </c>
      <c r="O664" s="10433" t="s">
        <v>4659</v>
      </c>
      <c r="P664" s="10433" t="s">
        <v>4660</v>
      </c>
      <c r="Q664" s="10439" t="s">
        <v>4719</v>
      </c>
      <c r="R664" s="3885"/>
      <c r="S664" s="5684"/>
      <c r="T664" s="5684"/>
      <c r="U664" s="3762"/>
      <c r="V664" s="5502"/>
      <c r="W664" s="3709"/>
      <c r="X664" s="5529"/>
      <c r="Y664" s="5529"/>
      <c r="Z664" s="5529"/>
      <c r="AA664" s="5530"/>
      <c r="AB664" s="5780"/>
      <c r="AC664" s="3886"/>
      <c r="AD664" s="3709"/>
      <c r="AE664" s="3724"/>
      <c r="AF664" s="3724"/>
      <c r="AG664" s="10525"/>
    </row>
    <row r="665" spans="1:33">
      <c r="A665" s="10687"/>
      <c r="B665" s="10659"/>
      <c r="C665" s="10656"/>
      <c r="D665" s="10656"/>
      <c r="E665" s="10656"/>
      <c r="F665" s="10656"/>
      <c r="G665" s="10656"/>
      <c r="H665" s="10656"/>
      <c r="I665" s="10656"/>
      <c r="J665" s="10656"/>
      <c r="K665" s="10656"/>
      <c r="L665" s="10667"/>
      <c r="M665" s="10667"/>
      <c r="N665" s="10667"/>
      <c r="O665" s="10656"/>
      <c r="P665" s="10656"/>
      <c r="Q665" s="10672"/>
      <c r="R665" s="3867"/>
      <c r="S665" s="5681"/>
      <c r="T665" s="5681"/>
      <c r="U665" s="3495"/>
      <c r="V665" s="5499"/>
      <c r="W665" s="3496"/>
      <c r="X665" s="5523"/>
      <c r="Y665" s="5523"/>
      <c r="Z665" s="5523"/>
      <c r="AA665" s="5524"/>
      <c r="AB665" s="5779"/>
      <c r="AC665" s="3847"/>
      <c r="AD665" s="3496"/>
      <c r="AE665" s="3666"/>
      <c r="AF665" s="3666"/>
      <c r="AG665" s="10678"/>
    </row>
    <row r="666" spans="1:33">
      <c r="A666" s="10687"/>
      <c r="B666" s="10659"/>
      <c r="C666" s="10656"/>
      <c r="D666" s="10656"/>
      <c r="E666" s="10656"/>
      <c r="F666" s="10656"/>
      <c r="G666" s="10656"/>
      <c r="H666" s="10656"/>
      <c r="I666" s="10656"/>
      <c r="J666" s="10656"/>
      <c r="K666" s="10656"/>
      <c r="L666" s="10667"/>
      <c r="M666" s="10667"/>
      <c r="N666" s="10667"/>
      <c r="O666" s="10656"/>
      <c r="P666" s="10656"/>
      <c r="Q666" s="10672"/>
      <c r="R666" s="3867"/>
      <c r="S666" s="5681"/>
      <c r="T666" s="5681"/>
      <c r="U666" s="3495"/>
      <c r="V666" s="5499"/>
      <c r="W666" s="3496"/>
      <c r="X666" s="5523"/>
      <c r="Y666" s="5523"/>
      <c r="Z666" s="5523"/>
      <c r="AA666" s="5524"/>
      <c r="AB666" s="5779"/>
      <c r="AC666" s="3847"/>
      <c r="AD666" s="3496"/>
      <c r="AE666" s="3666"/>
      <c r="AF666" s="3666"/>
      <c r="AG666" s="10678"/>
    </row>
    <row r="667" spans="1:33">
      <c r="A667" s="10687"/>
      <c r="B667" s="10659"/>
      <c r="C667" s="10656"/>
      <c r="D667" s="10656"/>
      <c r="E667" s="10656"/>
      <c r="F667" s="10656"/>
      <c r="G667" s="10656"/>
      <c r="H667" s="10656"/>
      <c r="I667" s="10656"/>
      <c r="J667" s="10656"/>
      <c r="K667" s="10656"/>
      <c r="L667" s="10667"/>
      <c r="M667" s="10667"/>
      <c r="N667" s="10667"/>
      <c r="O667" s="10656"/>
      <c r="P667" s="10656"/>
      <c r="Q667" s="10672"/>
      <c r="R667" s="3868"/>
      <c r="S667" s="5682"/>
      <c r="T667" s="5682"/>
      <c r="U667" s="3495"/>
      <c r="V667" s="5499"/>
      <c r="W667" s="3496"/>
      <c r="X667" s="5523"/>
      <c r="Y667" s="5523"/>
      <c r="Z667" s="5523"/>
      <c r="AA667" s="5524"/>
      <c r="AB667" s="5779"/>
      <c r="AC667" s="3847"/>
      <c r="AD667" s="3496"/>
      <c r="AE667" s="3666"/>
      <c r="AF667" s="3666"/>
      <c r="AG667" s="10678"/>
    </row>
    <row r="668" spans="1:33" ht="30" customHeight="1">
      <c r="A668" s="10687"/>
      <c r="B668" s="10660"/>
      <c r="C668" s="10657"/>
      <c r="D668" s="10657"/>
      <c r="E668" s="10657"/>
      <c r="F668" s="10657"/>
      <c r="G668" s="10657"/>
      <c r="H668" s="10657"/>
      <c r="I668" s="10657"/>
      <c r="J668" s="10657"/>
      <c r="K668" s="10657"/>
      <c r="L668" s="10674"/>
      <c r="M668" s="10674"/>
      <c r="N668" s="10674"/>
      <c r="O668" s="10657"/>
      <c r="P668" s="10657"/>
      <c r="Q668" s="10675"/>
      <c r="R668" s="3887"/>
      <c r="S668" s="5696"/>
      <c r="T668" s="5696"/>
      <c r="U668" s="3557"/>
      <c r="V668" s="5503"/>
      <c r="W668" s="3545"/>
      <c r="X668" s="5532"/>
      <c r="Y668" s="5532"/>
      <c r="Z668" s="5532"/>
      <c r="AA668" s="5533"/>
      <c r="AB668" s="5828"/>
      <c r="AC668" s="3706"/>
      <c r="AD668" s="3545"/>
      <c r="AE668" s="3707"/>
      <c r="AF668" s="3707"/>
      <c r="AG668" s="10680"/>
    </row>
    <row r="669" spans="1:33">
      <c r="A669" s="10687"/>
      <c r="B669" s="10512" t="s">
        <v>183</v>
      </c>
      <c r="C669" s="10444" t="s">
        <v>227</v>
      </c>
      <c r="D669" s="10444" t="s">
        <v>228</v>
      </c>
      <c r="E669" s="10444" t="s">
        <v>229</v>
      </c>
      <c r="F669" s="10451" t="s">
        <v>230</v>
      </c>
      <c r="G669" s="10444" t="s">
        <v>132</v>
      </c>
      <c r="H669" s="10444" t="s">
        <v>159</v>
      </c>
      <c r="I669" s="10444" t="s">
        <v>4661</v>
      </c>
      <c r="J669" s="10444" t="s">
        <v>4662</v>
      </c>
      <c r="K669" s="10444" t="s">
        <v>4663</v>
      </c>
      <c r="L669" s="10666">
        <v>0</v>
      </c>
      <c r="M669" s="10666">
        <v>1</v>
      </c>
      <c r="N669" s="10666">
        <v>1</v>
      </c>
      <c r="O669" s="10444" t="s">
        <v>4664</v>
      </c>
      <c r="P669" s="10444" t="s">
        <v>4665</v>
      </c>
      <c r="Q669" s="10449" t="s">
        <v>4719</v>
      </c>
      <c r="R669" s="3892"/>
      <c r="S669" s="5689"/>
      <c r="T669" s="5689"/>
      <c r="U669" s="3758"/>
      <c r="V669" s="5504"/>
      <c r="W669" s="3658"/>
      <c r="X669" s="5534"/>
      <c r="Y669" s="5534"/>
      <c r="Z669" s="5534"/>
      <c r="AA669" s="5535"/>
      <c r="AB669" s="5822"/>
      <c r="AC669" s="3893"/>
      <c r="AD669" s="3658"/>
      <c r="AE669" s="3660"/>
      <c r="AF669" s="3660"/>
      <c r="AG669" s="10464"/>
    </row>
    <row r="670" spans="1:33">
      <c r="A670" s="10687"/>
      <c r="B670" s="10659"/>
      <c r="C670" s="10656"/>
      <c r="D670" s="10656"/>
      <c r="E670" s="10656"/>
      <c r="F670" s="10656"/>
      <c r="G670" s="10656"/>
      <c r="H670" s="10656"/>
      <c r="I670" s="10656"/>
      <c r="J670" s="10656"/>
      <c r="K670" s="10656"/>
      <c r="L670" s="10667"/>
      <c r="M670" s="10667"/>
      <c r="N670" s="10667"/>
      <c r="O670" s="10656"/>
      <c r="P670" s="10656"/>
      <c r="Q670" s="10672"/>
      <c r="R670" s="3867"/>
      <c r="S670" s="5681"/>
      <c r="T670" s="5681"/>
      <c r="U670" s="3495"/>
      <c r="V670" s="5499"/>
      <c r="W670" s="3496"/>
      <c r="X670" s="5523"/>
      <c r="Y670" s="5523"/>
      <c r="Z670" s="5523"/>
      <c r="AA670" s="5524"/>
      <c r="AB670" s="5779"/>
      <c r="AC670" s="3847"/>
      <c r="AD670" s="3496"/>
      <c r="AE670" s="3666"/>
      <c r="AF670" s="3666"/>
      <c r="AG670" s="10678"/>
    </row>
    <row r="671" spans="1:33">
      <c r="A671" s="10687"/>
      <c r="B671" s="10659"/>
      <c r="C671" s="10656"/>
      <c r="D671" s="10656"/>
      <c r="E671" s="10656"/>
      <c r="F671" s="10656"/>
      <c r="G671" s="10656"/>
      <c r="H671" s="10656"/>
      <c r="I671" s="10656"/>
      <c r="J671" s="10656"/>
      <c r="K671" s="10656"/>
      <c r="L671" s="10667"/>
      <c r="M671" s="10667"/>
      <c r="N671" s="10667"/>
      <c r="O671" s="10656"/>
      <c r="P671" s="10656"/>
      <c r="Q671" s="10672"/>
      <c r="R671" s="3867"/>
      <c r="S671" s="5681"/>
      <c r="T671" s="5681"/>
      <c r="U671" s="3495"/>
      <c r="V671" s="5499"/>
      <c r="W671" s="3496"/>
      <c r="X671" s="5523"/>
      <c r="Y671" s="5523"/>
      <c r="Z671" s="5523"/>
      <c r="AA671" s="5524"/>
      <c r="AB671" s="5779"/>
      <c r="AC671" s="3847"/>
      <c r="AD671" s="3496"/>
      <c r="AE671" s="3666"/>
      <c r="AF671" s="3666"/>
      <c r="AG671" s="10678"/>
    </row>
    <row r="672" spans="1:33">
      <c r="A672" s="10687"/>
      <c r="B672" s="10659"/>
      <c r="C672" s="10656"/>
      <c r="D672" s="10656"/>
      <c r="E672" s="10656"/>
      <c r="F672" s="10656"/>
      <c r="G672" s="10656"/>
      <c r="H672" s="10656"/>
      <c r="I672" s="10656"/>
      <c r="J672" s="10656"/>
      <c r="K672" s="10656"/>
      <c r="L672" s="10667"/>
      <c r="M672" s="10667"/>
      <c r="N672" s="10667"/>
      <c r="O672" s="10656"/>
      <c r="P672" s="10656"/>
      <c r="Q672" s="10672"/>
      <c r="R672" s="3868"/>
      <c r="S672" s="5682"/>
      <c r="T672" s="5682"/>
      <c r="U672" s="3495"/>
      <c r="V672" s="5499"/>
      <c r="W672" s="3496"/>
      <c r="X672" s="5523"/>
      <c r="Y672" s="5523"/>
      <c r="Z672" s="5523"/>
      <c r="AA672" s="5524"/>
      <c r="AB672" s="5779"/>
      <c r="AC672" s="3847"/>
      <c r="AD672" s="3496"/>
      <c r="AE672" s="3666"/>
      <c r="AF672" s="3666"/>
      <c r="AG672" s="10678"/>
    </row>
    <row r="673" spans="1:33" ht="31.5" customHeight="1">
      <c r="A673" s="10687"/>
      <c r="B673" s="10661"/>
      <c r="C673" s="10658"/>
      <c r="D673" s="10658"/>
      <c r="E673" s="10658"/>
      <c r="F673" s="10658"/>
      <c r="G673" s="10658"/>
      <c r="H673" s="10658"/>
      <c r="I673" s="10658"/>
      <c r="J673" s="10658"/>
      <c r="K673" s="10658"/>
      <c r="L673" s="10668"/>
      <c r="M673" s="10668"/>
      <c r="N673" s="10668"/>
      <c r="O673" s="10658"/>
      <c r="P673" s="10658"/>
      <c r="Q673" s="10673"/>
      <c r="R673" s="3879"/>
      <c r="S673" s="5683"/>
      <c r="T673" s="5683"/>
      <c r="U673" s="3759"/>
      <c r="V673" s="5509"/>
      <c r="W673" s="3714"/>
      <c r="X673" s="5544"/>
      <c r="Y673" s="5544"/>
      <c r="Z673" s="5544"/>
      <c r="AA673" s="5545"/>
      <c r="AB673" s="5823"/>
      <c r="AC673" s="3717"/>
      <c r="AD673" s="3714"/>
      <c r="AE673" s="3718"/>
      <c r="AF673" s="3718"/>
      <c r="AG673" s="10679"/>
    </row>
    <row r="674" spans="1:33">
      <c r="A674" s="10687"/>
      <c r="B674" s="10516" t="s">
        <v>183</v>
      </c>
      <c r="C674" s="10433" t="s">
        <v>227</v>
      </c>
      <c r="D674" s="10433" t="s">
        <v>228</v>
      </c>
      <c r="E674" s="10433" t="s">
        <v>229</v>
      </c>
      <c r="F674" s="10442" t="s">
        <v>230</v>
      </c>
      <c r="G674" s="10433" t="s">
        <v>132</v>
      </c>
      <c r="H674" s="10433" t="s">
        <v>133</v>
      </c>
      <c r="I674" s="10433" t="s">
        <v>4703</v>
      </c>
      <c r="J674" s="10433" t="s">
        <v>4667</v>
      </c>
      <c r="K674" s="10433" t="s">
        <v>4668</v>
      </c>
      <c r="L674" s="10676">
        <v>0</v>
      </c>
      <c r="M674" s="10676">
        <v>1</v>
      </c>
      <c r="N674" s="10676">
        <v>1</v>
      </c>
      <c r="O674" s="10433" t="s">
        <v>4669</v>
      </c>
      <c r="P674" s="10433" t="s">
        <v>4670</v>
      </c>
      <c r="Q674" s="10439" t="s">
        <v>4719</v>
      </c>
      <c r="R674" s="3885"/>
      <c r="S674" s="5684"/>
      <c r="T674" s="5684"/>
      <c r="U674" s="3762"/>
      <c r="V674" s="5502"/>
      <c r="W674" s="3709"/>
      <c r="X674" s="5529"/>
      <c r="Y674" s="5529"/>
      <c r="Z674" s="5529"/>
      <c r="AA674" s="5530"/>
      <c r="AB674" s="5780"/>
      <c r="AC674" s="3886"/>
      <c r="AD674" s="3709"/>
      <c r="AE674" s="3724"/>
      <c r="AF674" s="3724"/>
      <c r="AG674" s="10525"/>
    </row>
    <row r="675" spans="1:33">
      <c r="A675" s="10687"/>
      <c r="B675" s="10659"/>
      <c r="C675" s="10656"/>
      <c r="D675" s="10656"/>
      <c r="E675" s="10656"/>
      <c r="F675" s="10656"/>
      <c r="G675" s="10656"/>
      <c r="H675" s="10656"/>
      <c r="I675" s="10656"/>
      <c r="J675" s="10656"/>
      <c r="K675" s="10656"/>
      <c r="L675" s="10667"/>
      <c r="M675" s="10667"/>
      <c r="N675" s="10667"/>
      <c r="O675" s="10656"/>
      <c r="P675" s="10656"/>
      <c r="Q675" s="10672"/>
      <c r="R675" s="3867"/>
      <c r="S675" s="5681"/>
      <c r="T675" s="5681"/>
      <c r="U675" s="3495"/>
      <c r="V675" s="5499"/>
      <c r="W675" s="3496"/>
      <c r="X675" s="5523"/>
      <c r="Y675" s="5523"/>
      <c r="Z675" s="5523"/>
      <c r="AA675" s="5524"/>
      <c r="AB675" s="5779"/>
      <c r="AC675" s="3847"/>
      <c r="AD675" s="3496"/>
      <c r="AE675" s="3666"/>
      <c r="AF675" s="3666"/>
      <c r="AG675" s="10678"/>
    </row>
    <row r="676" spans="1:33">
      <c r="A676" s="10687"/>
      <c r="B676" s="10659"/>
      <c r="C676" s="10656"/>
      <c r="D676" s="10656"/>
      <c r="E676" s="10656"/>
      <c r="F676" s="10656"/>
      <c r="G676" s="10656"/>
      <c r="H676" s="10656"/>
      <c r="I676" s="10656"/>
      <c r="J676" s="10656"/>
      <c r="K676" s="10656"/>
      <c r="L676" s="10667"/>
      <c r="M676" s="10667"/>
      <c r="N676" s="10667"/>
      <c r="O676" s="10656"/>
      <c r="P676" s="10656"/>
      <c r="Q676" s="10672"/>
      <c r="R676" s="3867"/>
      <c r="S676" s="5681"/>
      <c r="T676" s="5681"/>
      <c r="U676" s="3495"/>
      <c r="V676" s="5499"/>
      <c r="W676" s="3496"/>
      <c r="X676" s="5523"/>
      <c r="Y676" s="5523"/>
      <c r="Z676" s="5523"/>
      <c r="AA676" s="5524"/>
      <c r="AB676" s="5779"/>
      <c r="AC676" s="3847"/>
      <c r="AD676" s="3496"/>
      <c r="AE676" s="3666"/>
      <c r="AF676" s="3666"/>
      <c r="AG676" s="10678"/>
    </row>
    <row r="677" spans="1:33">
      <c r="A677" s="10687"/>
      <c r="B677" s="10659"/>
      <c r="C677" s="10656"/>
      <c r="D677" s="10656"/>
      <c r="E677" s="10656"/>
      <c r="F677" s="10656"/>
      <c r="G677" s="10656"/>
      <c r="H677" s="10656"/>
      <c r="I677" s="10656"/>
      <c r="J677" s="10656"/>
      <c r="K677" s="10656"/>
      <c r="L677" s="10667"/>
      <c r="M677" s="10667"/>
      <c r="N677" s="10667"/>
      <c r="O677" s="10656"/>
      <c r="P677" s="10656"/>
      <c r="Q677" s="10672"/>
      <c r="R677" s="3868"/>
      <c r="S677" s="5682"/>
      <c r="T677" s="5682"/>
      <c r="U677" s="3495"/>
      <c r="V677" s="5499"/>
      <c r="W677" s="3496"/>
      <c r="X677" s="5523"/>
      <c r="Y677" s="5523"/>
      <c r="Z677" s="5523"/>
      <c r="AA677" s="5524"/>
      <c r="AB677" s="5779"/>
      <c r="AC677" s="3847"/>
      <c r="AD677" s="3496"/>
      <c r="AE677" s="3666"/>
      <c r="AF677" s="3666"/>
      <c r="AG677" s="10678"/>
    </row>
    <row r="678" spans="1:33" ht="30.75" customHeight="1">
      <c r="A678" s="10687"/>
      <c r="B678" s="10660"/>
      <c r="C678" s="10657"/>
      <c r="D678" s="10657"/>
      <c r="E678" s="10657"/>
      <c r="F678" s="10657"/>
      <c r="G678" s="10657"/>
      <c r="H678" s="10657"/>
      <c r="I678" s="10657"/>
      <c r="J678" s="10657"/>
      <c r="K678" s="10657"/>
      <c r="L678" s="10674"/>
      <c r="M678" s="10674"/>
      <c r="N678" s="10674"/>
      <c r="O678" s="10657"/>
      <c r="P678" s="10657"/>
      <c r="Q678" s="10675"/>
      <c r="R678" s="3887"/>
      <c r="S678" s="5696"/>
      <c r="T678" s="5696"/>
      <c r="U678" s="3557"/>
      <c r="V678" s="5503"/>
      <c r="W678" s="3545"/>
      <c r="X678" s="5532"/>
      <c r="Y678" s="5532"/>
      <c r="Z678" s="5532"/>
      <c r="AA678" s="5533"/>
      <c r="AB678" s="5828"/>
      <c r="AC678" s="3706"/>
      <c r="AD678" s="3545"/>
      <c r="AE678" s="3707"/>
      <c r="AF678" s="3707"/>
      <c r="AG678" s="10680"/>
    </row>
    <row r="679" spans="1:33" ht="21" customHeight="1">
      <c r="A679" s="10687"/>
      <c r="B679" s="10512" t="s">
        <v>183</v>
      </c>
      <c r="C679" s="10444" t="s">
        <v>227</v>
      </c>
      <c r="D679" s="10444" t="s">
        <v>490</v>
      </c>
      <c r="E679" s="10444" t="s">
        <v>1484</v>
      </c>
      <c r="F679" s="10451" t="s">
        <v>230</v>
      </c>
      <c r="G679" s="10444" t="s">
        <v>231</v>
      </c>
      <c r="H679" s="10444" t="s">
        <v>159</v>
      </c>
      <c r="I679" s="10444" t="s">
        <v>4671</v>
      </c>
      <c r="J679" s="10444" t="s">
        <v>4672</v>
      </c>
      <c r="K679" s="10444" t="s">
        <v>4673</v>
      </c>
      <c r="L679" s="10666">
        <v>0</v>
      </c>
      <c r="M679" s="10666">
        <v>0</v>
      </c>
      <c r="N679" s="10666">
        <v>1</v>
      </c>
      <c r="O679" s="10444" t="s">
        <v>4674</v>
      </c>
      <c r="P679" s="10444" t="s">
        <v>953</v>
      </c>
      <c r="Q679" s="10449" t="s">
        <v>4724</v>
      </c>
      <c r="R679" s="3892"/>
      <c r="S679" s="5689"/>
      <c r="T679" s="5689"/>
      <c r="U679" s="3758"/>
      <c r="V679" s="5504"/>
      <c r="W679" s="3658"/>
      <c r="X679" s="5534"/>
      <c r="Y679" s="5534"/>
      <c r="Z679" s="5534"/>
      <c r="AA679" s="5535"/>
      <c r="AB679" s="5822"/>
      <c r="AC679" s="3893"/>
      <c r="AD679" s="3658"/>
      <c r="AE679" s="3660"/>
      <c r="AF679" s="3660"/>
      <c r="AG679" s="10464"/>
    </row>
    <row r="680" spans="1:33" ht="21" customHeight="1">
      <c r="A680" s="10687"/>
      <c r="B680" s="10659"/>
      <c r="C680" s="10656"/>
      <c r="D680" s="10656"/>
      <c r="E680" s="10656"/>
      <c r="F680" s="10656"/>
      <c r="G680" s="10656"/>
      <c r="H680" s="10656"/>
      <c r="I680" s="10656"/>
      <c r="J680" s="10656"/>
      <c r="K680" s="10656"/>
      <c r="L680" s="10667"/>
      <c r="M680" s="10667"/>
      <c r="N680" s="10667"/>
      <c r="O680" s="10656"/>
      <c r="P680" s="10656"/>
      <c r="Q680" s="10672"/>
      <c r="R680" s="3867"/>
      <c r="S680" s="5681"/>
      <c r="T680" s="5681"/>
      <c r="U680" s="3495"/>
      <c r="V680" s="5499"/>
      <c r="W680" s="3496"/>
      <c r="X680" s="5523"/>
      <c r="Y680" s="5523"/>
      <c r="Z680" s="5523"/>
      <c r="AA680" s="5524"/>
      <c r="AB680" s="5779"/>
      <c r="AC680" s="3847"/>
      <c r="AD680" s="3496"/>
      <c r="AE680" s="3666"/>
      <c r="AF680" s="3666"/>
      <c r="AG680" s="10678"/>
    </row>
    <row r="681" spans="1:33" ht="21" customHeight="1">
      <c r="A681" s="10687"/>
      <c r="B681" s="10659"/>
      <c r="C681" s="10656"/>
      <c r="D681" s="10656"/>
      <c r="E681" s="10656"/>
      <c r="F681" s="10656"/>
      <c r="G681" s="10656"/>
      <c r="H681" s="10656"/>
      <c r="I681" s="10656"/>
      <c r="J681" s="10656"/>
      <c r="K681" s="10656"/>
      <c r="L681" s="10667"/>
      <c r="M681" s="10667"/>
      <c r="N681" s="10667"/>
      <c r="O681" s="10656"/>
      <c r="P681" s="10656"/>
      <c r="Q681" s="10672"/>
      <c r="R681" s="3867"/>
      <c r="S681" s="5681"/>
      <c r="T681" s="5681"/>
      <c r="U681" s="3495"/>
      <c r="V681" s="5499"/>
      <c r="W681" s="3496"/>
      <c r="X681" s="5523"/>
      <c r="Y681" s="5523"/>
      <c r="Z681" s="5523"/>
      <c r="AA681" s="5524"/>
      <c r="AB681" s="5779"/>
      <c r="AC681" s="3847"/>
      <c r="AD681" s="3496"/>
      <c r="AE681" s="3666"/>
      <c r="AF681" s="3666"/>
      <c r="AG681" s="10678"/>
    </row>
    <row r="682" spans="1:33" ht="21" customHeight="1">
      <c r="A682" s="10687"/>
      <c r="B682" s="10659"/>
      <c r="C682" s="10656"/>
      <c r="D682" s="10656"/>
      <c r="E682" s="10656"/>
      <c r="F682" s="10656"/>
      <c r="G682" s="10656"/>
      <c r="H682" s="10656"/>
      <c r="I682" s="10656"/>
      <c r="J682" s="10656"/>
      <c r="K682" s="10656"/>
      <c r="L682" s="10667"/>
      <c r="M682" s="10667"/>
      <c r="N682" s="10667"/>
      <c r="O682" s="10656"/>
      <c r="P682" s="10656"/>
      <c r="Q682" s="10672"/>
      <c r="R682" s="3868"/>
      <c r="S682" s="5682"/>
      <c r="T682" s="5682"/>
      <c r="U682" s="3495"/>
      <c r="V682" s="5499"/>
      <c r="W682" s="3496"/>
      <c r="X682" s="5523"/>
      <c r="Y682" s="5523"/>
      <c r="Z682" s="5523"/>
      <c r="AA682" s="5524"/>
      <c r="AB682" s="5779"/>
      <c r="AC682" s="3847"/>
      <c r="AD682" s="3496"/>
      <c r="AE682" s="3666"/>
      <c r="AF682" s="3666"/>
      <c r="AG682" s="10678"/>
    </row>
    <row r="683" spans="1:33" ht="21" customHeight="1">
      <c r="A683" s="10687"/>
      <c r="B683" s="10661"/>
      <c r="C683" s="10658"/>
      <c r="D683" s="10658"/>
      <c r="E683" s="10658"/>
      <c r="F683" s="10658"/>
      <c r="G683" s="10658"/>
      <c r="H683" s="10658"/>
      <c r="I683" s="10658"/>
      <c r="J683" s="10658"/>
      <c r="K683" s="10658"/>
      <c r="L683" s="10668"/>
      <c r="M683" s="10668"/>
      <c r="N683" s="10668"/>
      <c r="O683" s="10658"/>
      <c r="P683" s="10658"/>
      <c r="Q683" s="10673"/>
      <c r="R683" s="3879"/>
      <c r="S683" s="5683"/>
      <c r="T683" s="5683"/>
      <c r="U683" s="3759"/>
      <c r="V683" s="5509"/>
      <c r="W683" s="3714"/>
      <c r="X683" s="5544"/>
      <c r="Y683" s="5544"/>
      <c r="Z683" s="5544"/>
      <c r="AA683" s="5545"/>
      <c r="AB683" s="5823"/>
      <c r="AC683" s="3717"/>
      <c r="AD683" s="3714"/>
      <c r="AE683" s="3718"/>
      <c r="AF683" s="3718"/>
      <c r="AG683" s="10679"/>
    </row>
    <row r="684" spans="1:33">
      <c r="A684" s="10687"/>
      <c r="B684" s="10516" t="s">
        <v>183</v>
      </c>
      <c r="C684" s="10433" t="s">
        <v>227</v>
      </c>
      <c r="D684" s="10433" t="s">
        <v>228</v>
      </c>
      <c r="E684" s="10433" t="s">
        <v>229</v>
      </c>
      <c r="F684" s="10442" t="s">
        <v>230</v>
      </c>
      <c r="G684" s="10433" t="s">
        <v>132</v>
      </c>
      <c r="H684" s="10433" t="s">
        <v>133</v>
      </c>
      <c r="I684" s="10433" t="s">
        <v>4675</v>
      </c>
      <c r="J684" s="10433" t="s">
        <v>4676</v>
      </c>
      <c r="K684" s="10433" t="s">
        <v>4677</v>
      </c>
      <c r="L684" s="10676">
        <v>20</v>
      </c>
      <c r="M684" s="10676">
        <v>20</v>
      </c>
      <c r="N684" s="10676">
        <v>20</v>
      </c>
      <c r="O684" s="10433" t="s">
        <v>4678</v>
      </c>
      <c r="P684" s="10433" t="s">
        <v>4679</v>
      </c>
      <c r="Q684" s="10439" t="s">
        <v>4719</v>
      </c>
      <c r="R684" s="3885"/>
      <c r="S684" s="5684"/>
      <c r="T684" s="5684"/>
      <c r="U684" s="3762"/>
      <c r="V684" s="5502"/>
      <c r="W684" s="3709"/>
      <c r="X684" s="5529"/>
      <c r="Y684" s="5529"/>
      <c r="Z684" s="5529"/>
      <c r="AA684" s="5530"/>
      <c r="AB684" s="5780"/>
      <c r="AC684" s="3886"/>
      <c r="AD684" s="3709"/>
      <c r="AE684" s="3724"/>
      <c r="AF684" s="3724"/>
      <c r="AG684" s="10525"/>
    </row>
    <row r="685" spans="1:33">
      <c r="A685" s="10687"/>
      <c r="B685" s="10659"/>
      <c r="C685" s="10656"/>
      <c r="D685" s="10656"/>
      <c r="E685" s="10656"/>
      <c r="F685" s="10656"/>
      <c r="G685" s="10656"/>
      <c r="H685" s="10656"/>
      <c r="I685" s="10656"/>
      <c r="J685" s="10656"/>
      <c r="K685" s="10656"/>
      <c r="L685" s="10667"/>
      <c r="M685" s="10667"/>
      <c r="N685" s="10667"/>
      <c r="O685" s="10656"/>
      <c r="P685" s="10656"/>
      <c r="Q685" s="10672"/>
      <c r="R685" s="3867"/>
      <c r="S685" s="5681"/>
      <c r="T685" s="5681"/>
      <c r="U685" s="3495"/>
      <c r="V685" s="5499"/>
      <c r="W685" s="3496"/>
      <c r="X685" s="5523"/>
      <c r="Y685" s="5523"/>
      <c r="Z685" s="5523"/>
      <c r="AA685" s="5524"/>
      <c r="AB685" s="5779"/>
      <c r="AC685" s="3847"/>
      <c r="AD685" s="3496"/>
      <c r="AE685" s="3666"/>
      <c r="AF685" s="3666"/>
      <c r="AG685" s="10678"/>
    </row>
    <row r="686" spans="1:33">
      <c r="A686" s="10687"/>
      <c r="B686" s="10659"/>
      <c r="C686" s="10656"/>
      <c r="D686" s="10656"/>
      <c r="E686" s="10656"/>
      <c r="F686" s="10656"/>
      <c r="G686" s="10656"/>
      <c r="H686" s="10656"/>
      <c r="I686" s="10656"/>
      <c r="J686" s="10656"/>
      <c r="K686" s="10656"/>
      <c r="L686" s="10667"/>
      <c r="M686" s="10667"/>
      <c r="N686" s="10667"/>
      <c r="O686" s="10656"/>
      <c r="P686" s="10656"/>
      <c r="Q686" s="10672"/>
      <c r="R686" s="3867"/>
      <c r="S686" s="5681"/>
      <c r="T686" s="5681"/>
      <c r="U686" s="3495"/>
      <c r="V686" s="5499"/>
      <c r="W686" s="3496"/>
      <c r="X686" s="5523"/>
      <c r="Y686" s="5523"/>
      <c r="Z686" s="5523"/>
      <c r="AA686" s="5524"/>
      <c r="AB686" s="5779"/>
      <c r="AC686" s="3847"/>
      <c r="AD686" s="3496"/>
      <c r="AE686" s="3666"/>
      <c r="AF686" s="3666"/>
      <c r="AG686" s="10678"/>
    </row>
    <row r="687" spans="1:33">
      <c r="A687" s="10687"/>
      <c r="B687" s="10659"/>
      <c r="C687" s="10656"/>
      <c r="D687" s="10656"/>
      <c r="E687" s="10656"/>
      <c r="F687" s="10656"/>
      <c r="G687" s="10656"/>
      <c r="H687" s="10656"/>
      <c r="I687" s="10656"/>
      <c r="J687" s="10656"/>
      <c r="K687" s="10656"/>
      <c r="L687" s="10667"/>
      <c r="M687" s="10667"/>
      <c r="N687" s="10667"/>
      <c r="O687" s="10656"/>
      <c r="P687" s="10656"/>
      <c r="Q687" s="10672"/>
      <c r="R687" s="3868"/>
      <c r="S687" s="5682"/>
      <c r="T687" s="5682"/>
      <c r="U687" s="3495"/>
      <c r="V687" s="5499"/>
      <c r="W687" s="3496"/>
      <c r="X687" s="5523"/>
      <c r="Y687" s="5523"/>
      <c r="Z687" s="5523"/>
      <c r="AA687" s="5524"/>
      <c r="AB687" s="5779"/>
      <c r="AC687" s="3847"/>
      <c r="AD687" s="3496"/>
      <c r="AE687" s="3666"/>
      <c r="AF687" s="3666"/>
      <c r="AG687" s="10678"/>
    </row>
    <row r="688" spans="1:33" ht="28.5" customHeight="1">
      <c r="A688" s="10687"/>
      <c r="B688" s="10660"/>
      <c r="C688" s="10657"/>
      <c r="D688" s="10657"/>
      <c r="E688" s="10657"/>
      <c r="F688" s="10657"/>
      <c r="G688" s="10657"/>
      <c r="H688" s="10657"/>
      <c r="I688" s="10657"/>
      <c r="J688" s="10657"/>
      <c r="K688" s="10657"/>
      <c r="L688" s="10674"/>
      <c r="M688" s="10674"/>
      <c r="N688" s="10674"/>
      <c r="O688" s="10657"/>
      <c r="P688" s="10657"/>
      <c r="Q688" s="10675"/>
      <c r="R688" s="3879"/>
      <c r="S688" s="5683"/>
      <c r="T688" s="5683"/>
      <c r="U688" s="3759"/>
      <c r="V688" s="5509"/>
      <c r="W688" s="3714"/>
      <c r="X688" s="5544"/>
      <c r="Y688" s="5544"/>
      <c r="Z688" s="5544"/>
      <c r="AA688" s="5545"/>
      <c r="AB688" s="5823"/>
      <c r="AC688" s="3717"/>
      <c r="AD688" s="3714"/>
      <c r="AE688" s="3718"/>
      <c r="AF688" s="3718"/>
      <c r="AG688" s="10679"/>
    </row>
    <row r="689" spans="1:33">
      <c r="A689" s="10687"/>
      <c r="B689" s="10512" t="s">
        <v>183</v>
      </c>
      <c r="C689" s="10444" t="s">
        <v>227</v>
      </c>
      <c r="D689" s="10444" t="s">
        <v>228</v>
      </c>
      <c r="E689" s="10444" t="s">
        <v>229</v>
      </c>
      <c r="F689" s="10451" t="s">
        <v>230</v>
      </c>
      <c r="G689" s="10444" t="s">
        <v>132</v>
      </c>
      <c r="H689" s="10444" t="s">
        <v>159</v>
      </c>
      <c r="I689" s="10444" t="s">
        <v>4681</v>
      </c>
      <c r="J689" s="10444" t="s">
        <v>4682</v>
      </c>
      <c r="K689" s="10444" t="s">
        <v>4683</v>
      </c>
      <c r="L689" s="10666">
        <v>1</v>
      </c>
      <c r="M689" s="10666">
        <v>1</v>
      </c>
      <c r="N689" s="10666">
        <v>1</v>
      </c>
      <c r="O689" s="10444" t="s">
        <v>4684</v>
      </c>
      <c r="P689" s="10444" t="s">
        <v>4684</v>
      </c>
      <c r="Q689" s="10449" t="s">
        <v>4719</v>
      </c>
      <c r="R689" s="3885"/>
      <c r="S689" s="5684"/>
      <c r="T689" s="5684"/>
      <c r="U689" s="3762"/>
      <c r="V689" s="5502"/>
      <c r="W689" s="3709"/>
      <c r="X689" s="5529"/>
      <c r="Y689" s="5529"/>
      <c r="Z689" s="5529"/>
      <c r="AA689" s="5530"/>
      <c r="AB689" s="5780"/>
      <c r="AC689" s="3886"/>
      <c r="AD689" s="3709"/>
      <c r="AE689" s="3724"/>
      <c r="AF689" s="3724"/>
      <c r="AG689" s="10525"/>
    </row>
    <row r="690" spans="1:33">
      <c r="A690" s="10687"/>
      <c r="B690" s="10659"/>
      <c r="C690" s="10656"/>
      <c r="D690" s="10656"/>
      <c r="E690" s="10656"/>
      <c r="F690" s="10656"/>
      <c r="G690" s="10656"/>
      <c r="H690" s="10656"/>
      <c r="I690" s="10656"/>
      <c r="J690" s="10656"/>
      <c r="K690" s="10656"/>
      <c r="L690" s="10667"/>
      <c r="M690" s="10667"/>
      <c r="N690" s="10667"/>
      <c r="O690" s="10656"/>
      <c r="P690" s="10656"/>
      <c r="Q690" s="10672"/>
      <c r="R690" s="3867"/>
      <c r="S690" s="5681"/>
      <c r="T690" s="5681"/>
      <c r="U690" s="3495"/>
      <c r="V690" s="5499"/>
      <c r="W690" s="3496"/>
      <c r="X690" s="5523"/>
      <c r="Y690" s="5523"/>
      <c r="Z690" s="5523"/>
      <c r="AA690" s="5524"/>
      <c r="AB690" s="5779"/>
      <c r="AC690" s="3847"/>
      <c r="AD690" s="3496"/>
      <c r="AE690" s="3666"/>
      <c r="AF690" s="3666"/>
      <c r="AG690" s="10678"/>
    </row>
    <row r="691" spans="1:33">
      <c r="A691" s="10687"/>
      <c r="B691" s="10659"/>
      <c r="C691" s="10656"/>
      <c r="D691" s="10656"/>
      <c r="E691" s="10656"/>
      <c r="F691" s="10656"/>
      <c r="G691" s="10656"/>
      <c r="H691" s="10656"/>
      <c r="I691" s="10656"/>
      <c r="J691" s="10656"/>
      <c r="K691" s="10656"/>
      <c r="L691" s="10667"/>
      <c r="M691" s="10667"/>
      <c r="N691" s="10667"/>
      <c r="O691" s="10656"/>
      <c r="P691" s="10656"/>
      <c r="Q691" s="10672"/>
      <c r="R691" s="3867"/>
      <c r="S691" s="5681"/>
      <c r="T691" s="5681"/>
      <c r="U691" s="3495"/>
      <c r="V691" s="5499"/>
      <c r="W691" s="3496"/>
      <c r="X691" s="5523"/>
      <c r="Y691" s="5523"/>
      <c r="Z691" s="5523"/>
      <c r="AA691" s="5524"/>
      <c r="AB691" s="5779"/>
      <c r="AC691" s="3847"/>
      <c r="AD691" s="3496"/>
      <c r="AE691" s="3666"/>
      <c r="AF691" s="3666"/>
      <c r="AG691" s="10678"/>
    </row>
    <row r="692" spans="1:33">
      <c r="A692" s="10687"/>
      <c r="B692" s="10659"/>
      <c r="C692" s="10656"/>
      <c r="D692" s="10656"/>
      <c r="E692" s="10656"/>
      <c r="F692" s="10656"/>
      <c r="G692" s="10656"/>
      <c r="H692" s="10656"/>
      <c r="I692" s="10656"/>
      <c r="J692" s="10656"/>
      <c r="K692" s="10656"/>
      <c r="L692" s="10667"/>
      <c r="M692" s="10667"/>
      <c r="N692" s="10667"/>
      <c r="O692" s="10656"/>
      <c r="P692" s="10656"/>
      <c r="Q692" s="10672"/>
      <c r="R692" s="3868"/>
      <c r="S692" s="5682"/>
      <c r="T692" s="5682"/>
      <c r="U692" s="3495"/>
      <c r="V692" s="5499"/>
      <c r="W692" s="3496"/>
      <c r="X692" s="5523"/>
      <c r="Y692" s="5523"/>
      <c r="Z692" s="5523"/>
      <c r="AA692" s="5524"/>
      <c r="AB692" s="5779"/>
      <c r="AC692" s="3847"/>
      <c r="AD692" s="3496"/>
      <c r="AE692" s="3666"/>
      <c r="AF692" s="3666"/>
      <c r="AG692" s="10678"/>
    </row>
    <row r="693" spans="1:33" ht="26.25" customHeight="1">
      <c r="A693" s="10687"/>
      <c r="B693" s="10660"/>
      <c r="C693" s="10657"/>
      <c r="D693" s="10657"/>
      <c r="E693" s="10657"/>
      <c r="F693" s="10657"/>
      <c r="G693" s="10657"/>
      <c r="H693" s="10657"/>
      <c r="I693" s="10657"/>
      <c r="J693" s="10657"/>
      <c r="K693" s="10657"/>
      <c r="L693" s="10674"/>
      <c r="M693" s="10674"/>
      <c r="N693" s="10674"/>
      <c r="O693" s="10657"/>
      <c r="P693" s="10657"/>
      <c r="Q693" s="10675"/>
      <c r="R693" s="3887"/>
      <c r="S693" s="5696"/>
      <c r="T693" s="5696"/>
      <c r="U693" s="3557"/>
      <c r="V693" s="5503"/>
      <c r="W693" s="3545"/>
      <c r="X693" s="5532"/>
      <c r="Y693" s="5532"/>
      <c r="Z693" s="5532"/>
      <c r="AA693" s="5533"/>
      <c r="AB693" s="5828"/>
      <c r="AC693" s="3706"/>
      <c r="AD693" s="3545"/>
      <c r="AE693" s="3707"/>
      <c r="AF693" s="3707"/>
      <c r="AG693" s="10680"/>
    </row>
    <row r="694" spans="1:33" s="6107" customFormat="1" ht="25.5" customHeight="1" thickBot="1">
      <c r="A694" s="10688"/>
      <c r="B694" s="10669"/>
      <c r="C694" s="10670"/>
      <c r="D694" s="10670"/>
      <c r="E694" s="10670"/>
      <c r="F694" s="10670"/>
      <c r="G694" s="10670"/>
      <c r="H694" s="10670"/>
      <c r="I694" s="10670"/>
      <c r="J694" s="10670"/>
      <c r="K694" s="10670"/>
      <c r="L694" s="10670"/>
      <c r="M694" s="10670"/>
      <c r="N694" s="10670"/>
      <c r="O694" s="10670"/>
      <c r="P694" s="10670"/>
      <c r="Q694" s="10671"/>
      <c r="R694" s="10681" t="s">
        <v>4725</v>
      </c>
      <c r="S694" s="10682"/>
      <c r="T694" s="10682"/>
      <c r="U694" s="10682"/>
      <c r="V694" s="10682"/>
      <c r="W694" s="10682"/>
      <c r="X694" s="10682"/>
      <c r="Y694" s="10682"/>
      <c r="Z694" s="6117" t="s">
        <v>292</v>
      </c>
      <c r="AA694" s="7448">
        <f>SUM(AA619:AA693)</f>
        <v>0</v>
      </c>
      <c r="AB694" s="5390"/>
      <c r="AC694" s="5390"/>
      <c r="AD694" s="10683"/>
      <c r="AE694" s="10670"/>
      <c r="AF694" s="10670"/>
      <c r="AG694" s="10684"/>
    </row>
    <row r="695" spans="1:33" ht="29.25" customHeight="1" thickBot="1">
      <c r="A695" s="6235"/>
      <c r="B695" s="2942"/>
      <c r="C695" s="2942"/>
      <c r="D695" s="2942"/>
      <c r="E695" s="2942"/>
      <c r="F695" s="2942"/>
      <c r="G695" s="2942"/>
      <c r="H695" s="2942"/>
      <c r="I695" s="2942"/>
      <c r="J695" s="2942"/>
      <c r="K695" s="2942"/>
      <c r="L695" s="2942"/>
      <c r="M695" s="2942"/>
      <c r="N695" s="2942"/>
      <c r="O695" s="2942"/>
      <c r="P695" s="2942"/>
      <c r="Q695" s="2942"/>
      <c r="R695" s="5875" t="s">
        <v>4726</v>
      </c>
      <c r="S695" s="5873"/>
      <c r="T695" s="5873"/>
      <c r="U695" s="5873"/>
      <c r="V695" s="5873"/>
      <c r="W695" s="5873"/>
      <c r="X695" s="5873"/>
      <c r="Y695" s="5873"/>
      <c r="Z695" s="502" t="s">
        <v>292</v>
      </c>
      <c r="AA695" s="5401">
        <f>SUM(AA107,AA288,AA349,AA390,AA466,AA542,AA618,AA694)</f>
        <v>297763.44626666664</v>
      </c>
      <c r="AB695" s="360"/>
      <c r="AC695" s="360"/>
      <c r="AD695" s="10685"/>
      <c r="AE695" s="9675"/>
      <c r="AF695" s="9675"/>
      <c r="AG695" s="9676"/>
    </row>
    <row r="696" spans="1:33" ht="17.25" thickTop="1">
      <c r="A696" s="13"/>
      <c r="B696" s="6" t="s">
        <v>656</v>
      </c>
      <c r="C696" s="100"/>
      <c r="D696" s="100"/>
      <c r="E696" s="100"/>
      <c r="F696" s="100"/>
      <c r="G696" s="100"/>
      <c r="H696" s="100"/>
      <c r="I696" s="100"/>
      <c r="J696" s="100"/>
      <c r="K696" s="100"/>
      <c r="L696" s="100"/>
      <c r="M696" s="100"/>
      <c r="N696" s="100"/>
      <c r="O696" s="100"/>
      <c r="P696" s="100"/>
      <c r="Q696" s="100"/>
      <c r="R696" s="141" t="s">
        <v>533</v>
      </c>
      <c r="S696" s="2147"/>
      <c r="T696" s="2147"/>
      <c r="U696" s="2147"/>
      <c r="V696" s="2147"/>
      <c r="W696" s="2147"/>
      <c r="X696" s="2147"/>
      <c r="Y696" s="2147"/>
      <c r="Z696" s="2865"/>
      <c r="AA696" s="2873"/>
      <c r="AB696" s="2018"/>
      <c r="AC696" s="2018"/>
      <c r="AD696" s="2147"/>
      <c r="AE696" s="2147"/>
      <c r="AF696" s="2147"/>
      <c r="AG696" s="2147"/>
    </row>
    <row r="697" spans="1:33" ht="16.5">
      <c r="A697" s="13"/>
      <c r="B697" s="6" t="s">
        <v>658</v>
      </c>
      <c r="C697" s="100"/>
      <c r="D697" s="100"/>
      <c r="E697" s="100"/>
      <c r="F697" s="100"/>
      <c r="G697" s="100"/>
      <c r="H697" s="100"/>
      <c r="I697" s="100"/>
      <c r="J697" s="100"/>
      <c r="K697" s="100"/>
      <c r="L697" s="100"/>
      <c r="M697" s="100"/>
      <c r="N697" s="100"/>
      <c r="O697" s="100"/>
      <c r="P697" s="100"/>
      <c r="Q697" s="100"/>
      <c r="R697" s="141"/>
      <c r="S697" s="2147"/>
      <c r="T697" s="2147"/>
      <c r="U697" s="2147"/>
      <c r="V697" s="2147"/>
      <c r="W697" s="2147"/>
      <c r="X697" s="2147"/>
      <c r="Y697" s="2147"/>
      <c r="Z697" s="2147"/>
      <c r="AA697" s="2147"/>
      <c r="AB697" s="2148"/>
      <c r="AC697" s="2148"/>
      <c r="AD697" s="2147"/>
      <c r="AE697" s="2147"/>
      <c r="AF697" s="2147"/>
      <c r="AG697" s="2147"/>
    </row>
    <row r="698" spans="1:33" ht="16.5" customHeight="1">
      <c r="A698" s="2163"/>
      <c r="B698" s="2164" t="s">
        <v>658</v>
      </c>
      <c r="C698" s="2153"/>
      <c r="D698" s="2153"/>
      <c r="E698" s="2153"/>
      <c r="F698" s="2153"/>
      <c r="G698" s="2153"/>
      <c r="H698" s="2153"/>
      <c r="I698" s="2153"/>
      <c r="J698" s="2153"/>
      <c r="K698" s="2153"/>
      <c r="L698" s="2153"/>
      <c r="M698" s="2153"/>
      <c r="N698" s="2153"/>
      <c r="O698" s="2153"/>
      <c r="P698" s="2153"/>
      <c r="Q698" s="2153"/>
      <c r="R698" s="2165"/>
      <c r="S698" s="2165"/>
      <c r="T698" s="5935" t="s">
        <v>3415</v>
      </c>
      <c r="U698" s="5935"/>
      <c r="V698" s="5935"/>
      <c r="W698" s="5935"/>
      <c r="X698" s="5935"/>
      <c r="Y698" s="5935"/>
      <c r="AA698" s="2149"/>
      <c r="AB698" s="2150"/>
      <c r="AC698" s="2151"/>
      <c r="AD698" s="2199"/>
      <c r="AF698" s="2152"/>
      <c r="AG698" s="2152"/>
    </row>
    <row r="699" spans="1:33" ht="17.25" thickBot="1">
      <c r="A699" s="2163"/>
      <c r="B699" s="2153"/>
      <c r="C699" s="2153"/>
      <c r="D699" s="2153"/>
      <c r="E699" s="2153"/>
      <c r="F699" s="2153"/>
      <c r="G699" s="2153"/>
      <c r="H699" s="2153"/>
      <c r="I699" s="2153"/>
      <c r="J699" s="2153"/>
      <c r="K699" s="2153"/>
      <c r="L699" s="2153"/>
      <c r="M699" s="2153"/>
      <c r="N699" s="2153"/>
      <c r="O699" s="2153"/>
      <c r="P699" s="2153"/>
      <c r="Q699" s="2153"/>
      <c r="R699" s="2165"/>
      <c r="S699" s="2149"/>
      <c r="T699" s="559"/>
      <c r="U699" s="2159"/>
      <c r="V699" s="2159"/>
      <c r="W699" s="2160"/>
      <c r="X699" s="2161"/>
      <c r="Y699" s="2159"/>
      <c r="Z699" s="2159"/>
      <c r="AA699" s="2149"/>
      <c r="AB699" s="2151"/>
      <c r="AC699" s="2151"/>
      <c r="AD699" s="2153"/>
      <c r="AE699" s="2153"/>
      <c r="AF699" s="2152"/>
      <c r="AG699" s="2152"/>
    </row>
    <row r="700" spans="1:33" ht="18" customHeight="1" thickTop="1">
      <c r="A700" s="2163"/>
      <c r="B700" s="2153"/>
      <c r="C700" s="2153"/>
      <c r="D700" s="2153"/>
      <c r="E700" s="2153"/>
      <c r="F700" s="2153"/>
      <c r="G700" s="2153"/>
      <c r="H700" s="2153"/>
      <c r="I700" s="2153"/>
      <c r="J700" s="2153"/>
      <c r="K700" s="2153"/>
      <c r="L700" s="2153"/>
      <c r="M700" s="2153"/>
      <c r="N700" s="2153"/>
      <c r="O700" s="2153"/>
      <c r="P700" s="2153"/>
      <c r="Q700" s="2153"/>
      <c r="R700" s="7"/>
      <c r="S700" s="2154"/>
      <c r="T700" s="5905" t="s">
        <v>5</v>
      </c>
      <c r="U700" s="5906" t="s">
        <v>6</v>
      </c>
      <c r="V700" s="5907" t="s">
        <v>7</v>
      </c>
      <c r="W700" s="5908" t="s">
        <v>352</v>
      </c>
      <c r="X700" s="5908" t="s">
        <v>9</v>
      </c>
      <c r="Y700" s="5909" t="s">
        <v>353</v>
      </c>
      <c r="Z700" s="559"/>
      <c r="AA700" s="2154"/>
      <c r="AB700" s="372"/>
      <c r="AC700" s="372"/>
      <c r="AD700" s="334"/>
      <c r="AE700" s="334"/>
      <c r="AF700" s="1"/>
      <c r="AG700" s="2152"/>
    </row>
    <row r="701" spans="1:33" ht="33">
      <c r="A701" s="2163"/>
      <c r="B701" s="2153"/>
      <c r="C701" s="2153"/>
      <c r="D701" s="2153"/>
      <c r="E701" s="2153"/>
      <c r="F701" s="2153"/>
      <c r="G701" s="2153"/>
      <c r="H701" s="2153"/>
      <c r="I701" s="2153"/>
      <c r="J701" s="2153"/>
      <c r="K701" s="2153"/>
      <c r="L701" s="2153"/>
      <c r="M701" s="2153"/>
      <c r="N701" s="2153"/>
      <c r="O701" s="2149"/>
      <c r="P701" s="2149"/>
      <c r="Q701" s="2149"/>
      <c r="R701" s="29"/>
      <c r="S701" s="2154"/>
      <c r="T701" s="948" t="s">
        <v>79</v>
      </c>
      <c r="U701" s="953" t="s">
        <v>761</v>
      </c>
      <c r="V701" s="926">
        <v>530601</v>
      </c>
      <c r="W701" s="690" t="s">
        <v>17</v>
      </c>
      <c r="X701" s="690" t="s">
        <v>18</v>
      </c>
      <c r="Y701" s="136">
        <f>+AA59</f>
        <v>0</v>
      </c>
      <c r="Z701" s="559"/>
      <c r="AA701" s="2156"/>
      <c r="AB701" s="372"/>
      <c r="AC701" s="372"/>
      <c r="AD701" s="101"/>
      <c r="AE701" s="335"/>
      <c r="AF701" s="1"/>
      <c r="AG701" s="2152"/>
    </row>
    <row r="702" spans="1:33" ht="33">
      <c r="A702" s="2163"/>
      <c r="B702" s="2153"/>
      <c r="C702" s="2153"/>
      <c r="D702" s="2153"/>
      <c r="E702" s="2153"/>
      <c r="F702" s="2153"/>
      <c r="G702" s="2153"/>
      <c r="H702" s="2153"/>
      <c r="I702" s="2153"/>
      <c r="J702" s="2153"/>
      <c r="K702" s="2153"/>
      <c r="L702" s="2153"/>
      <c r="M702" s="2153"/>
      <c r="N702" s="2153"/>
      <c r="O702" s="2149"/>
      <c r="P702" s="2149"/>
      <c r="Q702" s="2149"/>
      <c r="R702" s="29"/>
      <c r="S702" s="2154"/>
      <c r="T702" s="948" t="s">
        <v>79</v>
      </c>
      <c r="U702" s="953" t="s">
        <v>3817</v>
      </c>
      <c r="V702" s="926">
        <v>530805</v>
      </c>
      <c r="W702" s="690" t="s">
        <v>17</v>
      </c>
      <c r="X702" s="690" t="s">
        <v>25</v>
      </c>
      <c r="Y702" s="136">
        <f>+AA32</f>
        <v>157.33333333333334</v>
      </c>
      <c r="Z702" s="559"/>
      <c r="AA702" s="2156"/>
      <c r="AB702" s="372"/>
      <c r="AC702" s="372"/>
      <c r="AD702" s="101"/>
      <c r="AE702" s="335"/>
      <c r="AF702" s="1"/>
      <c r="AG702" s="2152"/>
    </row>
    <row r="703" spans="1:33" ht="66">
      <c r="A703" s="2163"/>
      <c r="B703" s="2153"/>
      <c r="C703" s="2153"/>
      <c r="D703" s="2153"/>
      <c r="E703" s="2153"/>
      <c r="F703" s="2153"/>
      <c r="G703" s="2153"/>
      <c r="H703" s="2153"/>
      <c r="I703" s="2153"/>
      <c r="J703" s="2153"/>
      <c r="K703" s="2153"/>
      <c r="L703" s="2153"/>
      <c r="M703" s="2153"/>
      <c r="N703" s="2153"/>
      <c r="O703" s="2149"/>
      <c r="P703" s="2149"/>
      <c r="Q703" s="2149"/>
      <c r="R703" s="29"/>
      <c r="S703" s="2154"/>
      <c r="T703" s="948" t="s">
        <v>79</v>
      </c>
      <c r="U703" s="953" t="s">
        <v>2234</v>
      </c>
      <c r="V703" s="926">
        <v>530811</v>
      </c>
      <c r="W703" s="690" t="s">
        <v>17</v>
      </c>
      <c r="X703" s="690" t="s">
        <v>25</v>
      </c>
      <c r="Y703" s="136">
        <f>+AA25+AA30</f>
        <v>6457.39</v>
      </c>
      <c r="Z703" s="559"/>
      <c r="AA703" s="2156"/>
      <c r="AB703" s="372"/>
      <c r="AC703" s="372"/>
      <c r="AD703" s="101"/>
      <c r="AE703" s="335"/>
      <c r="AF703" s="1"/>
      <c r="AG703" s="2152"/>
    </row>
    <row r="704" spans="1:33" ht="33">
      <c r="A704" s="2163"/>
      <c r="B704" s="2153"/>
      <c r="C704" s="2153"/>
      <c r="D704" s="2153"/>
      <c r="E704" s="2153"/>
      <c r="F704" s="2153"/>
      <c r="G704" s="2153"/>
      <c r="H704" s="2153"/>
      <c r="I704" s="2153"/>
      <c r="J704" s="2153"/>
      <c r="K704" s="2153"/>
      <c r="L704" s="2153"/>
      <c r="M704" s="2153"/>
      <c r="N704" s="2153"/>
      <c r="O704" s="2149"/>
      <c r="P704" s="2149"/>
      <c r="Q704" s="2149"/>
      <c r="R704" s="29"/>
      <c r="S704" s="2154"/>
      <c r="T704" s="948" t="s">
        <v>79</v>
      </c>
      <c r="U704" s="953" t="s">
        <v>2694</v>
      </c>
      <c r="V704" s="926">
        <v>530813</v>
      </c>
      <c r="W704" s="690" t="s">
        <v>17</v>
      </c>
      <c r="X704" s="690" t="s">
        <v>25</v>
      </c>
      <c r="Y704" s="136">
        <f>+AA31+AA190</f>
        <v>308.76333333333332</v>
      </c>
      <c r="Z704" s="559"/>
      <c r="AA704" s="2154"/>
      <c r="AB704" s="372"/>
      <c r="AC704" s="372"/>
      <c r="AD704" s="101"/>
      <c r="AE704" s="335"/>
      <c r="AF704" s="1"/>
      <c r="AG704" s="2152"/>
    </row>
    <row r="705" spans="1:33" ht="33">
      <c r="A705" s="2163"/>
      <c r="B705" s="2153"/>
      <c r="C705" s="2153"/>
      <c r="D705" s="2153"/>
      <c r="E705" s="2153"/>
      <c r="F705" s="2153"/>
      <c r="G705" s="2153"/>
      <c r="H705" s="2153"/>
      <c r="I705" s="2153"/>
      <c r="J705" s="2153"/>
      <c r="K705" s="2153"/>
      <c r="L705" s="2153"/>
      <c r="M705" s="2153"/>
      <c r="N705" s="2153"/>
      <c r="O705" s="2149"/>
      <c r="P705" s="2149"/>
      <c r="Q705" s="2149"/>
      <c r="R705" s="29"/>
      <c r="S705" s="2154"/>
      <c r="T705" s="948" t="s">
        <v>79</v>
      </c>
      <c r="U705" s="953" t="s">
        <v>39</v>
      </c>
      <c r="V705" s="926">
        <v>531404</v>
      </c>
      <c r="W705" s="690" t="s">
        <v>17</v>
      </c>
      <c r="X705" s="690" t="s">
        <v>25</v>
      </c>
      <c r="Y705" s="136">
        <f>+AA19</f>
        <v>100</v>
      </c>
      <c r="Z705" s="559"/>
      <c r="AA705" s="2154"/>
      <c r="AB705" s="372"/>
      <c r="AC705" s="372"/>
      <c r="AD705" s="101"/>
      <c r="AE705" s="335"/>
      <c r="AF705" s="1"/>
      <c r="AG705" s="2152"/>
    </row>
    <row r="706" spans="1:33" ht="33">
      <c r="A706" s="2163"/>
      <c r="B706" s="2153"/>
      <c r="C706" s="2153"/>
      <c r="D706" s="2153"/>
      <c r="E706" s="2153"/>
      <c r="F706" s="2153"/>
      <c r="G706" s="2153"/>
      <c r="H706" s="2153"/>
      <c r="I706" s="2153"/>
      <c r="J706" s="2153"/>
      <c r="K706" s="2153"/>
      <c r="L706" s="2153"/>
      <c r="M706" s="2153"/>
      <c r="N706" s="2153"/>
      <c r="O706" s="2149"/>
      <c r="P706" s="2149"/>
      <c r="Q706" s="2149"/>
      <c r="R706" s="29"/>
      <c r="S706" s="2154"/>
      <c r="T706" s="948" t="s">
        <v>79</v>
      </c>
      <c r="U706" s="953" t="s">
        <v>4163</v>
      </c>
      <c r="V706" s="926">
        <v>531406</v>
      </c>
      <c r="W706" s="690" t="s">
        <v>17</v>
      </c>
      <c r="X706" s="690" t="s">
        <v>25</v>
      </c>
      <c r="Y706" s="136">
        <f>+AA14</f>
        <v>521</v>
      </c>
      <c r="Z706" s="559"/>
      <c r="AA706" s="2154"/>
      <c r="AB706" s="372"/>
      <c r="AC706" s="372"/>
      <c r="AD706" s="101"/>
      <c r="AE706" s="335"/>
      <c r="AF706" s="1"/>
      <c r="AG706" s="2152"/>
    </row>
    <row r="707" spans="1:33" ht="33">
      <c r="A707" s="2163"/>
      <c r="B707" s="2153"/>
      <c r="C707" s="2153"/>
      <c r="D707" s="2153"/>
      <c r="E707" s="2153"/>
      <c r="F707" s="2153"/>
      <c r="G707" s="2153"/>
      <c r="H707" s="2153"/>
      <c r="I707" s="2153"/>
      <c r="J707" s="2153"/>
      <c r="K707" s="2153"/>
      <c r="L707" s="2153"/>
      <c r="M707" s="2153"/>
      <c r="N707" s="2153"/>
      <c r="O707" s="2149"/>
      <c r="P707" s="2149"/>
      <c r="Q707" s="2149"/>
      <c r="R707" s="29"/>
      <c r="S707" s="2154"/>
      <c r="T707" s="948" t="s">
        <v>79</v>
      </c>
      <c r="U707" s="953" t="s">
        <v>40</v>
      </c>
      <c r="V707" s="926">
        <v>531407</v>
      </c>
      <c r="W707" s="690" t="s">
        <v>17</v>
      </c>
      <c r="X707" s="690" t="s">
        <v>25</v>
      </c>
      <c r="Y707" s="7959">
        <f>+AA22+AA108+AA169+AA217+AA222+AA250+AA263+AA289</f>
        <v>760.50480000000005</v>
      </c>
      <c r="Z707" s="559"/>
      <c r="AA707" s="2154"/>
      <c r="AB707" s="372"/>
      <c r="AC707" s="372"/>
      <c r="AD707" s="101"/>
      <c r="AE707" s="335"/>
      <c r="AF707" s="1"/>
      <c r="AG707" s="2152"/>
    </row>
    <row r="708" spans="1:33" ht="33">
      <c r="A708" s="2163"/>
      <c r="B708" s="2153"/>
      <c r="C708" s="2153"/>
      <c r="D708" s="2153"/>
      <c r="E708" s="2153"/>
      <c r="F708" s="2153"/>
      <c r="G708" s="2153"/>
      <c r="H708" s="2153"/>
      <c r="I708" s="2153"/>
      <c r="J708" s="2153"/>
      <c r="K708" s="2153"/>
      <c r="L708" s="2153"/>
      <c r="M708" s="2153"/>
      <c r="N708" s="2153"/>
      <c r="O708" s="2149"/>
      <c r="P708" s="2149"/>
      <c r="Q708" s="2149"/>
      <c r="R708" s="29"/>
      <c r="S708" s="2154"/>
      <c r="T708" s="948" t="s">
        <v>79</v>
      </c>
      <c r="U708" s="953" t="s">
        <v>4206</v>
      </c>
      <c r="V708" s="926">
        <v>531601</v>
      </c>
      <c r="W708" s="690" t="s">
        <v>17</v>
      </c>
      <c r="X708" s="690" t="s">
        <v>25</v>
      </c>
      <c r="Y708" s="136">
        <f>+AA28</f>
        <v>0</v>
      </c>
      <c r="Z708" s="559"/>
      <c r="AA708" s="2154"/>
      <c r="AB708" s="372"/>
      <c r="AC708" s="372"/>
      <c r="AD708" s="101"/>
      <c r="AE708" s="335"/>
      <c r="AF708" s="1"/>
      <c r="AG708" s="2152"/>
    </row>
    <row r="709" spans="1:33" ht="33">
      <c r="A709" s="13"/>
      <c r="B709" s="100"/>
      <c r="C709" s="100"/>
      <c r="D709" s="100"/>
      <c r="E709" s="100"/>
      <c r="F709" s="100"/>
      <c r="G709" s="100"/>
      <c r="H709" s="100"/>
      <c r="I709" s="100"/>
      <c r="J709" s="100"/>
      <c r="K709" s="100"/>
      <c r="L709" s="100"/>
      <c r="M709" s="100"/>
      <c r="N709" s="100"/>
      <c r="O709" s="29"/>
      <c r="P709" s="29"/>
      <c r="Q709" s="29"/>
      <c r="R709" s="29"/>
      <c r="S709" s="2154"/>
      <c r="T709" s="948" t="s">
        <v>79</v>
      </c>
      <c r="U709" s="953" t="s">
        <v>40</v>
      </c>
      <c r="V709" s="926">
        <v>840107</v>
      </c>
      <c r="W709" s="690" t="s">
        <v>17</v>
      </c>
      <c r="X709" s="690" t="s">
        <v>18</v>
      </c>
      <c r="Y709" s="136">
        <f>+AA385</f>
        <v>1530.1984000000002</v>
      </c>
      <c r="Z709" s="559"/>
      <c r="AA709" s="2154"/>
      <c r="AB709" s="372"/>
      <c r="AC709" s="372"/>
      <c r="AD709" s="101"/>
      <c r="AE709" s="335"/>
      <c r="AF709" s="1"/>
      <c r="AG709" s="1"/>
    </row>
    <row r="710" spans="1:33" ht="49.5">
      <c r="A710" s="2163"/>
      <c r="B710" s="2153"/>
      <c r="C710" s="2153"/>
      <c r="D710" s="2153"/>
      <c r="E710" s="2153"/>
      <c r="F710" s="2153"/>
      <c r="G710" s="2153"/>
      <c r="H710" s="2153"/>
      <c r="I710" s="2153"/>
      <c r="J710" s="2153"/>
      <c r="K710" s="2153"/>
      <c r="L710" s="2153"/>
      <c r="M710" s="2153"/>
      <c r="N710" s="2153"/>
      <c r="O710" s="2149"/>
      <c r="P710" s="2149"/>
      <c r="Q710" s="2149"/>
      <c r="R710" s="29"/>
      <c r="S710" s="2154"/>
      <c r="T710" s="948" t="s">
        <v>80</v>
      </c>
      <c r="U710" s="953" t="s">
        <v>281</v>
      </c>
      <c r="V710" s="926">
        <v>530402</v>
      </c>
      <c r="W710" s="690" t="s">
        <v>17</v>
      </c>
      <c r="X710" s="690" t="s">
        <v>25</v>
      </c>
      <c r="Y710" s="136">
        <f>+AA62</f>
        <v>40550.85</v>
      </c>
      <c r="Z710" s="559"/>
      <c r="AA710" s="2154"/>
      <c r="AB710" s="372"/>
      <c r="AC710" s="372"/>
      <c r="AD710" s="101"/>
      <c r="AE710" s="335"/>
      <c r="AF710" s="1"/>
      <c r="AG710" s="2152"/>
    </row>
    <row r="711" spans="1:33" ht="49.5">
      <c r="A711" s="2163"/>
      <c r="B711" s="2153"/>
      <c r="C711" s="2153"/>
      <c r="D711" s="2153"/>
      <c r="E711" s="2153"/>
      <c r="F711" s="2153"/>
      <c r="G711" s="2153"/>
      <c r="H711" s="2153"/>
      <c r="I711" s="2153"/>
      <c r="J711" s="2153"/>
      <c r="K711" s="2153"/>
      <c r="L711" s="2153"/>
      <c r="M711" s="2153"/>
      <c r="N711" s="2153"/>
      <c r="O711" s="2149"/>
      <c r="P711" s="2149"/>
      <c r="Q711" s="2149"/>
      <c r="R711" s="29"/>
      <c r="S711" s="2154"/>
      <c r="T711" s="948" t="s">
        <v>80</v>
      </c>
      <c r="U711" s="953" t="s">
        <v>281</v>
      </c>
      <c r="V711" s="926">
        <v>530402</v>
      </c>
      <c r="W711" s="690" t="s">
        <v>17</v>
      </c>
      <c r="X711" s="690" t="s">
        <v>26</v>
      </c>
      <c r="Y711" s="136">
        <f>+AA65</f>
        <v>31960.45</v>
      </c>
      <c r="Z711" s="559"/>
      <c r="AA711" s="2154"/>
      <c r="AB711" s="372"/>
      <c r="AC711" s="372"/>
      <c r="AD711" s="101"/>
      <c r="AE711" s="335"/>
      <c r="AF711" s="1"/>
      <c r="AG711" s="2152"/>
    </row>
    <row r="712" spans="1:33" ht="33">
      <c r="A712" s="2163"/>
      <c r="B712" s="2153"/>
      <c r="C712" s="2153"/>
      <c r="D712" s="2153"/>
      <c r="E712" s="2153"/>
      <c r="F712" s="2153"/>
      <c r="G712" s="2153"/>
      <c r="H712" s="2153"/>
      <c r="I712" s="2153"/>
      <c r="J712" s="2153"/>
      <c r="K712" s="2153"/>
      <c r="L712" s="2153"/>
      <c r="M712" s="2153"/>
      <c r="N712" s="2153"/>
      <c r="O712" s="2149"/>
      <c r="P712" s="2149"/>
      <c r="Q712" s="2149"/>
      <c r="R712" s="29"/>
      <c r="S712" s="2154"/>
      <c r="T712" s="948" t="s">
        <v>80</v>
      </c>
      <c r="U712" s="953" t="s">
        <v>505</v>
      </c>
      <c r="V712" s="926">
        <v>530404</v>
      </c>
      <c r="W712" s="690" t="s">
        <v>17</v>
      </c>
      <c r="X712" s="690" t="s">
        <v>18</v>
      </c>
      <c r="Y712" s="136">
        <f>+AA123</f>
        <v>11000</v>
      </c>
      <c r="Z712" s="559"/>
      <c r="AA712" s="2154"/>
      <c r="AB712" s="372"/>
      <c r="AC712" s="372"/>
      <c r="AD712" s="101"/>
      <c r="AE712" s="335"/>
      <c r="AF712" s="1"/>
      <c r="AG712" s="2152"/>
    </row>
    <row r="713" spans="1:33" ht="33">
      <c r="A713" s="2163"/>
      <c r="B713" s="2153"/>
      <c r="C713" s="2153"/>
      <c r="D713" s="2153"/>
      <c r="E713" s="2153"/>
      <c r="F713" s="2153"/>
      <c r="G713" s="2153"/>
      <c r="H713" s="2153"/>
      <c r="I713" s="2153"/>
      <c r="J713" s="2153"/>
      <c r="K713" s="2153"/>
      <c r="L713" s="2153"/>
      <c r="M713" s="2153"/>
      <c r="N713" s="2153"/>
      <c r="O713" s="2149"/>
      <c r="P713" s="2149"/>
      <c r="Q713" s="2149"/>
      <c r="R713" s="29"/>
      <c r="S713" s="2154"/>
      <c r="T713" s="948" t="s">
        <v>80</v>
      </c>
      <c r="U713" s="953" t="s">
        <v>4321</v>
      </c>
      <c r="V713" s="926">
        <v>530810</v>
      </c>
      <c r="W713" s="690" t="s">
        <v>17</v>
      </c>
      <c r="X713" s="690" t="s">
        <v>25</v>
      </c>
      <c r="Y713" s="136">
        <f>+AA127</f>
        <v>0</v>
      </c>
      <c r="Z713" s="559"/>
      <c r="AA713" s="2154"/>
      <c r="AB713" s="372"/>
      <c r="AC713" s="372"/>
      <c r="AD713" s="101"/>
      <c r="AE713" s="335"/>
      <c r="AF713" s="1"/>
      <c r="AG713" s="2152"/>
    </row>
    <row r="714" spans="1:33" ht="33">
      <c r="A714" s="2163"/>
      <c r="B714" s="2153"/>
      <c r="C714" s="2153"/>
      <c r="D714" s="2153"/>
      <c r="E714" s="2153"/>
      <c r="F714" s="2153"/>
      <c r="G714" s="2153"/>
      <c r="H714" s="2153"/>
      <c r="I714" s="2153"/>
      <c r="J714" s="2153"/>
      <c r="K714" s="2153"/>
      <c r="L714" s="2153"/>
      <c r="M714" s="2153"/>
      <c r="N714" s="2153"/>
      <c r="O714" s="2149"/>
      <c r="P714" s="2149"/>
      <c r="Q714" s="2149"/>
      <c r="R714" s="29"/>
      <c r="S714" s="2154"/>
      <c r="T714" s="948" t="s">
        <v>80</v>
      </c>
      <c r="U714" s="953" t="s">
        <v>4428</v>
      </c>
      <c r="V714" s="926">
        <v>530814</v>
      </c>
      <c r="W714" s="690" t="s">
        <v>17</v>
      </c>
      <c r="X714" s="690" t="s">
        <v>18</v>
      </c>
      <c r="Y714" s="136">
        <f>+AA228</f>
        <v>190.39999999999998</v>
      </c>
      <c r="Z714" s="559"/>
      <c r="AA714" s="2154"/>
      <c r="AB714" s="372"/>
      <c r="AC714" s="372"/>
      <c r="AD714" s="101"/>
      <c r="AE714" s="335"/>
      <c r="AF714" s="1"/>
      <c r="AG714" s="2152"/>
    </row>
    <row r="715" spans="1:33" ht="33">
      <c r="A715" s="2163"/>
      <c r="B715" s="2153"/>
      <c r="C715" s="2153"/>
      <c r="D715" s="2153"/>
      <c r="E715" s="2153"/>
      <c r="F715" s="2153"/>
      <c r="G715" s="2153"/>
      <c r="H715" s="2153"/>
      <c r="I715" s="2153"/>
      <c r="J715" s="2153"/>
      <c r="K715" s="2153"/>
      <c r="L715" s="2153"/>
      <c r="M715" s="2153"/>
      <c r="N715" s="2153"/>
      <c r="O715" s="2149"/>
      <c r="P715" s="2149"/>
      <c r="Q715" s="2149"/>
      <c r="R715" s="29"/>
      <c r="S715" s="2154"/>
      <c r="T715" s="948" t="s">
        <v>80</v>
      </c>
      <c r="U715" s="953" t="s">
        <v>4443</v>
      </c>
      <c r="V715" s="926">
        <v>530823</v>
      </c>
      <c r="W715" s="690" t="s">
        <v>17</v>
      </c>
      <c r="X715" s="690" t="s">
        <v>18</v>
      </c>
      <c r="Y715" s="136">
        <f>+AA240</f>
        <v>173.99</v>
      </c>
      <c r="Z715" s="559"/>
      <c r="AA715" s="2154"/>
      <c r="AB715" s="372"/>
      <c r="AC715" s="372"/>
      <c r="AD715" s="101"/>
      <c r="AE715" s="335"/>
      <c r="AF715" s="1"/>
      <c r="AG715" s="2152"/>
    </row>
    <row r="716" spans="1:33" ht="33">
      <c r="A716" s="2163"/>
      <c r="B716" s="2153"/>
      <c r="C716" s="2153"/>
      <c r="D716" s="2153"/>
      <c r="E716" s="2153"/>
      <c r="F716" s="2153"/>
      <c r="G716" s="2153"/>
      <c r="H716" s="2153"/>
      <c r="I716" s="2153"/>
      <c r="J716" s="2153"/>
      <c r="K716" s="2153"/>
      <c r="L716" s="2153"/>
      <c r="M716" s="2153"/>
      <c r="N716" s="2153"/>
      <c r="O716" s="2149"/>
      <c r="P716" s="2149"/>
      <c r="Q716" s="2149"/>
      <c r="R716" s="29"/>
      <c r="S716" s="2154"/>
      <c r="T716" s="948" t="s">
        <v>80</v>
      </c>
      <c r="U716" s="953" t="s">
        <v>4323</v>
      </c>
      <c r="V716" s="926">
        <v>530829</v>
      </c>
      <c r="W716" s="690" t="s">
        <v>17</v>
      </c>
      <c r="X716" s="690" t="s">
        <v>26</v>
      </c>
      <c r="Y716" s="136">
        <f>+AA130</f>
        <v>333</v>
      </c>
      <c r="Z716" s="559"/>
      <c r="AA716" s="2154"/>
      <c r="AB716" s="372"/>
      <c r="AC716" s="372"/>
      <c r="AD716" s="101"/>
      <c r="AE716" s="335"/>
      <c r="AF716" s="1"/>
      <c r="AG716" s="2152"/>
    </row>
    <row r="717" spans="1:33" ht="33">
      <c r="A717" s="2163"/>
      <c r="B717" s="2153"/>
      <c r="C717" s="2153"/>
      <c r="D717" s="2153"/>
      <c r="E717" s="2153"/>
      <c r="F717" s="2153"/>
      <c r="G717" s="2153"/>
      <c r="H717" s="2153"/>
      <c r="I717" s="2153"/>
      <c r="J717" s="2153"/>
      <c r="K717" s="2153"/>
      <c r="L717" s="2153"/>
      <c r="M717" s="2153"/>
      <c r="N717" s="2153"/>
      <c r="O717" s="2149"/>
      <c r="P717" s="2149"/>
      <c r="Q717" s="2149"/>
      <c r="R717" s="29"/>
      <c r="S717" s="2154"/>
      <c r="T717" s="948" t="s">
        <v>80</v>
      </c>
      <c r="U717" s="953" t="s">
        <v>591</v>
      </c>
      <c r="V717" s="926">
        <v>531403</v>
      </c>
      <c r="W717" s="690" t="s">
        <v>17</v>
      </c>
      <c r="X717" s="690" t="s">
        <v>26</v>
      </c>
      <c r="Y717" s="136">
        <f>AA40</f>
        <v>371.76000000000005</v>
      </c>
      <c r="Z717" s="559"/>
      <c r="AA717" s="2154"/>
      <c r="AB717" s="372"/>
      <c r="AC717" s="372"/>
      <c r="AD717" s="101"/>
      <c r="AE717" s="335"/>
      <c r="AF717" s="1"/>
      <c r="AG717" s="2152"/>
    </row>
    <row r="718" spans="1:33" ht="33">
      <c r="A718" s="2163"/>
      <c r="B718" s="2153"/>
      <c r="C718" s="2153"/>
      <c r="D718" s="2153"/>
      <c r="E718" s="2153"/>
      <c r="F718" s="2153"/>
      <c r="G718" s="2153"/>
      <c r="H718" s="2153"/>
      <c r="I718" s="2153"/>
      <c r="J718" s="2153"/>
      <c r="K718" s="2153"/>
      <c r="L718" s="2153"/>
      <c r="M718" s="2153"/>
      <c r="N718" s="2153"/>
      <c r="O718" s="2149"/>
      <c r="P718" s="2149"/>
      <c r="Q718" s="2149"/>
      <c r="R718" s="29"/>
      <c r="S718" s="2154"/>
      <c r="T718" s="948" t="s">
        <v>80</v>
      </c>
      <c r="U718" s="953" t="s">
        <v>39</v>
      </c>
      <c r="V718" s="926">
        <v>531404</v>
      </c>
      <c r="W718" s="690" t="s">
        <v>17</v>
      </c>
      <c r="X718" s="690" t="s">
        <v>26</v>
      </c>
      <c r="Y718" s="136">
        <f>+AA214+AA225+AA232+AA253</f>
        <v>798.28</v>
      </c>
      <c r="Z718" s="559"/>
      <c r="AA718" s="2154"/>
      <c r="AB718" s="372"/>
      <c r="AC718" s="372"/>
      <c r="AD718" s="101"/>
      <c r="AE718" s="335"/>
      <c r="AF718" s="1"/>
      <c r="AG718" s="2152"/>
    </row>
    <row r="719" spans="1:33" ht="33">
      <c r="A719" s="2163"/>
      <c r="B719" s="2153"/>
      <c r="C719" s="2153"/>
      <c r="D719" s="2153"/>
      <c r="E719" s="2153"/>
      <c r="F719" s="2153"/>
      <c r="G719" s="2153"/>
      <c r="H719" s="2153"/>
      <c r="I719" s="2153"/>
      <c r="J719" s="2153"/>
      <c r="K719" s="2153"/>
      <c r="L719" s="2153"/>
      <c r="M719" s="2153"/>
      <c r="N719" s="2153"/>
      <c r="O719" s="2149"/>
      <c r="P719" s="2149"/>
      <c r="Q719" s="2149"/>
      <c r="R719" s="29"/>
      <c r="S719" s="2154"/>
      <c r="T719" s="948" t="s">
        <v>80</v>
      </c>
      <c r="U719" s="953" t="s">
        <v>40</v>
      </c>
      <c r="V719" s="926">
        <v>531407</v>
      </c>
      <c r="W719" s="690" t="s">
        <v>17</v>
      </c>
      <c r="X719" s="690" t="s">
        <v>25</v>
      </c>
      <c r="Y719" s="136">
        <f>+AA197</f>
        <v>1881.52</v>
      </c>
      <c r="Z719" s="559"/>
      <c r="AA719" s="2154"/>
      <c r="AB719" s="372"/>
      <c r="AC719" s="372"/>
      <c r="AD719" s="101"/>
      <c r="AE719" s="335"/>
      <c r="AF719" s="1"/>
      <c r="AG719" s="2152"/>
    </row>
    <row r="720" spans="1:33" ht="33">
      <c r="A720" s="2163"/>
      <c r="B720" s="2153"/>
      <c r="C720" s="2153"/>
      <c r="D720" s="2153"/>
      <c r="E720" s="2153"/>
      <c r="F720" s="2153"/>
      <c r="G720" s="2153"/>
      <c r="H720" s="2153"/>
      <c r="I720" s="2153"/>
      <c r="J720" s="2153"/>
      <c r="K720" s="2153"/>
      <c r="L720" s="2153"/>
      <c r="M720" s="2153"/>
      <c r="N720" s="2153"/>
      <c r="O720" s="2149"/>
      <c r="P720" s="2149"/>
      <c r="Q720" s="2149"/>
      <c r="R720" s="29"/>
      <c r="S720" s="2154"/>
      <c r="T720" s="948" t="s">
        <v>80</v>
      </c>
      <c r="U720" s="953" t="s">
        <v>591</v>
      </c>
      <c r="V720" s="926">
        <v>840103</v>
      </c>
      <c r="W720" s="690" t="s">
        <v>17</v>
      </c>
      <c r="X720" s="690" t="s">
        <v>26</v>
      </c>
      <c r="Y720" s="136">
        <f>+AA37</f>
        <v>2800.0016000000005</v>
      </c>
      <c r="Z720" s="559"/>
      <c r="AA720" s="2154"/>
      <c r="AB720" s="372"/>
      <c r="AC720" s="372"/>
      <c r="AD720" s="101"/>
      <c r="AE720" s="335"/>
      <c r="AF720" s="1"/>
      <c r="AG720" s="2152"/>
    </row>
    <row r="721" spans="1:33" ht="33">
      <c r="A721" s="2163"/>
      <c r="B721" s="2153"/>
      <c r="C721" s="2153"/>
      <c r="D721" s="2153"/>
      <c r="E721" s="2153"/>
      <c r="F721" s="2153"/>
      <c r="G721" s="2153"/>
      <c r="H721" s="2153"/>
      <c r="I721" s="2153"/>
      <c r="J721" s="2153"/>
      <c r="K721" s="2153"/>
      <c r="L721" s="2153"/>
      <c r="M721" s="2153"/>
      <c r="N721" s="2153"/>
      <c r="O721" s="2149"/>
      <c r="P721" s="2149"/>
      <c r="Q721" s="2149"/>
      <c r="R721" s="29"/>
      <c r="S721" s="2154"/>
      <c r="T721" s="948" t="s">
        <v>80</v>
      </c>
      <c r="U721" s="953" t="s">
        <v>39</v>
      </c>
      <c r="V721" s="926">
        <v>840104</v>
      </c>
      <c r="W721" s="690" t="s">
        <v>17</v>
      </c>
      <c r="X721" s="690" t="s">
        <v>25</v>
      </c>
      <c r="Y721" s="136">
        <f>+AA47</f>
        <v>65824.59</v>
      </c>
      <c r="Z721" s="559"/>
      <c r="AA721" s="2154"/>
      <c r="AB721" s="372"/>
      <c r="AC721" s="372"/>
      <c r="AD721" s="101"/>
      <c r="AE721" s="335"/>
      <c r="AF721" s="1"/>
      <c r="AG721" s="2152"/>
    </row>
    <row r="722" spans="1:33" ht="33">
      <c r="A722" s="2163"/>
      <c r="B722" s="2153"/>
      <c r="C722" s="2153"/>
      <c r="D722" s="2153"/>
      <c r="E722" s="2153"/>
      <c r="F722" s="2153"/>
      <c r="G722" s="2153"/>
      <c r="H722" s="2153"/>
      <c r="I722" s="2153"/>
      <c r="J722" s="2153"/>
      <c r="K722" s="2153"/>
      <c r="L722" s="2153"/>
      <c r="M722" s="2153"/>
      <c r="N722" s="2153"/>
      <c r="O722" s="2149"/>
      <c r="P722" s="2149"/>
      <c r="Q722" s="2149"/>
      <c r="R722" s="29"/>
      <c r="S722" s="2154"/>
      <c r="T722" s="948" t="s">
        <v>80</v>
      </c>
      <c r="U722" s="953" t="s">
        <v>39</v>
      </c>
      <c r="V722" s="926">
        <v>840104</v>
      </c>
      <c r="W722" s="690" t="s">
        <v>17</v>
      </c>
      <c r="X722" s="690" t="s">
        <v>26</v>
      </c>
      <c r="Y722" s="136">
        <f>AA50</f>
        <v>11800</v>
      </c>
      <c r="Z722" s="559"/>
      <c r="AA722" s="2154"/>
      <c r="AB722" s="372"/>
      <c r="AC722" s="372"/>
      <c r="AD722" s="101"/>
      <c r="AE722" s="335"/>
      <c r="AF722" s="1"/>
      <c r="AG722" s="2152"/>
    </row>
    <row r="723" spans="1:33" ht="33">
      <c r="A723" s="13"/>
      <c r="B723" s="100"/>
      <c r="C723" s="100"/>
      <c r="D723" s="100"/>
      <c r="E723" s="100"/>
      <c r="F723" s="100"/>
      <c r="G723" s="100"/>
      <c r="H723" s="100"/>
      <c r="I723" s="100"/>
      <c r="J723" s="100"/>
      <c r="K723" s="100"/>
      <c r="L723" s="100"/>
      <c r="M723" s="100"/>
      <c r="N723" s="100"/>
      <c r="O723" s="29"/>
      <c r="P723" s="29"/>
      <c r="Q723" s="29"/>
      <c r="R723" s="29"/>
      <c r="S723" s="2154"/>
      <c r="T723" s="948" t="s">
        <v>80</v>
      </c>
      <c r="U723" s="953" t="s">
        <v>39</v>
      </c>
      <c r="V723" s="926">
        <v>840104</v>
      </c>
      <c r="W723" s="690" t="s">
        <v>17</v>
      </c>
      <c r="X723" s="690" t="s">
        <v>18</v>
      </c>
      <c r="Y723" s="136">
        <f>+AA52+AA146+AA204+AA235+AA244</f>
        <v>102143.41480000001</v>
      </c>
      <c r="Z723" s="559"/>
      <c r="AA723" s="2155"/>
      <c r="AB723" s="372"/>
      <c r="AC723" s="372"/>
      <c r="AD723" s="101"/>
      <c r="AE723" s="335"/>
      <c r="AF723" s="1"/>
      <c r="AG723" s="1"/>
    </row>
    <row r="724" spans="1:33" ht="33">
      <c r="A724" s="13"/>
      <c r="B724" s="100"/>
      <c r="C724" s="100"/>
      <c r="D724" s="100"/>
      <c r="E724" s="100"/>
      <c r="F724" s="100"/>
      <c r="G724" s="100"/>
      <c r="H724" s="100"/>
      <c r="I724" s="100"/>
      <c r="J724" s="100"/>
      <c r="K724" s="100"/>
      <c r="L724" s="100"/>
      <c r="M724" s="100"/>
      <c r="N724" s="100"/>
      <c r="O724" s="29"/>
      <c r="P724" s="29"/>
      <c r="Q724" s="29"/>
      <c r="R724" s="29"/>
      <c r="S724" s="2154"/>
      <c r="T724" s="948" t="s">
        <v>80</v>
      </c>
      <c r="U724" s="953" t="s">
        <v>39</v>
      </c>
      <c r="V724" s="926">
        <v>840104</v>
      </c>
      <c r="W724" s="690" t="s">
        <v>17</v>
      </c>
      <c r="X724" s="690" t="s">
        <v>673</v>
      </c>
      <c r="Y724" s="136">
        <f>AA55</f>
        <v>17700</v>
      </c>
      <c r="Z724" s="559"/>
      <c r="AA724" s="2155"/>
      <c r="AB724" s="372"/>
      <c r="AC724" s="372"/>
      <c r="AD724" s="101"/>
      <c r="AE724" s="335"/>
      <c r="AF724" s="1"/>
      <c r="AG724" s="1"/>
    </row>
    <row r="725" spans="1:33" ht="49.5">
      <c r="A725" s="13"/>
      <c r="B725" s="100"/>
      <c r="C725" s="100"/>
      <c r="D725" s="100"/>
      <c r="E725" s="100"/>
      <c r="F725" s="100"/>
      <c r="G725" s="100"/>
      <c r="H725" s="100"/>
      <c r="I725" s="100"/>
      <c r="J725" s="100"/>
      <c r="K725" s="100"/>
      <c r="L725" s="100"/>
      <c r="M725" s="100"/>
      <c r="N725" s="100"/>
      <c r="O725" s="29"/>
      <c r="P725" s="29"/>
      <c r="Q725" s="29"/>
      <c r="R725" s="29"/>
      <c r="S725" s="2154"/>
      <c r="T725" s="948" t="s">
        <v>81</v>
      </c>
      <c r="U725" s="953" t="s">
        <v>40</v>
      </c>
      <c r="V725" s="926">
        <v>840107</v>
      </c>
      <c r="W725" s="690" t="s">
        <v>17</v>
      </c>
      <c r="X725" s="690" t="s">
        <v>18</v>
      </c>
      <c r="Y725" s="136">
        <f>AA195</f>
        <v>400</v>
      </c>
      <c r="Z725" s="559"/>
      <c r="AA725" s="2156"/>
      <c r="AB725" s="372"/>
      <c r="AC725" s="372"/>
      <c r="AD725" s="101"/>
      <c r="AE725" s="335"/>
      <c r="AF725" s="1"/>
      <c r="AG725" s="1"/>
    </row>
    <row r="726" spans="1:33" ht="18" customHeight="1" thickBot="1">
      <c r="A726" s="13"/>
      <c r="B726" s="100"/>
      <c r="C726" s="100"/>
      <c r="D726" s="100"/>
      <c r="E726" s="100"/>
      <c r="F726" s="100"/>
      <c r="G726" s="100"/>
      <c r="H726" s="100"/>
      <c r="I726" s="100"/>
      <c r="J726" s="100"/>
      <c r="K726" s="100"/>
      <c r="L726" s="100"/>
      <c r="M726" s="100"/>
      <c r="N726" s="100"/>
      <c r="O726" s="29"/>
      <c r="P726" s="29"/>
      <c r="Q726" s="29"/>
      <c r="R726" s="29"/>
      <c r="S726" s="2154"/>
      <c r="T726" s="5930"/>
      <c r="U726" s="5931" t="s">
        <v>67</v>
      </c>
      <c r="V726" s="5932"/>
      <c r="W726" s="5932"/>
      <c r="X726" s="5926" t="s">
        <v>292</v>
      </c>
      <c r="Y726" s="5936">
        <f>SUM(Y701:Y725)</f>
        <v>297763.4462666667</v>
      </c>
      <c r="Z726" s="559"/>
      <c r="AA726" s="2154"/>
      <c r="AB726" s="372"/>
      <c r="AC726" s="372"/>
      <c r="AD726" s="100"/>
      <c r="AE726" s="100"/>
      <c r="AF726" s="1"/>
      <c r="AG726" s="1"/>
    </row>
    <row r="727" spans="1:33" ht="15.95" customHeight="1" thickTop="1">
      <c r="A727" s="2163"/>
      <c r="B727" s="2153"/>
      <c r="C727" s="2153"/>
      <c r="D727" s="2153"/>
      <c r="E727" s="2153"/>
      <c r="F727" s="2153"/>
      <c r="G727" s="2153"/>
      <c r="H727" s="2153"/>
      <c r="I727" s="2153"/>
      <c r="J727" s="2153"/>
      <c r="K727" s="2153"/>
      <c r="L727" s="2153"/>
      <c r="M727" s="2153"/>
      <c r="N727" s="2153"/>
      <c r="O727" s="2149"/>
      <c r="P727" s="2149"/>
      <c r="Q727" s="2149"/>
      <c r="R727" s="29"/>
      <c r="S727" s="29"/>
      <c r="T727" s="596"/>
      <c r="U727" s="596"/>
      <c r="V727" s="2162"/>
      <c r="W727" s="595"/>
      <c r="X727" s="2157"/>
      <c r="Y727" s="596"/>
      <c r="AA727" s="28"/>
      <c r="AB727" s="368"/>
      <c r="AC727" s="368"/>
      <c r="AD727" s="100"/>
      <c r="AE727" s="106"/>
      <c r="AF727" s="1"/>
      <c r="AG727" s="2152"/>
    </row>
    <row r="728" spans="1:33" ht="15.95" customHeight="1" thickBot="1">
      <c r="A728" s="2163"/>
      <c r="B728" s="2153"/>
      <c r="C728" s="2153"/>
      <c r="D728" s="2153"/>
      <c r="E728" s="2153"/>
      <c r="F728" s="2153"/>
      <c r="G728" s="2153"/>
      <c r="H728" s="2153"/>
      <c r="I728" s="2153"/>
      <c r="J728" s="2153"/>
      <c r="K728" s="2153"/>
      <c r="L728" s="2153"/>
      <c r="M728" s="2153"/>
      <c r="N728" s="2153"/>
      <c r="O728" s="2149"/>
      <c r="P728" s="2149"/>
      <c r="Q728" s="2149"/>
      <c r="R728" s="29"/>
      <c r="S728" s="29"/>
      <c r="T728" s="596"/>
      <c r="U728" s="596"/>
      <c r="V728" s="596"/>
      <c r="W728" s="235"/>
      <c r="X728" s="85"/>
      <c r="Y728" s="28"/>
      <c r="AA728" s="28"/>
      <c r="AB728" s="368"/>
      <c r="AC728" s="368"/>
      <c r="AD728" s="100"/>
      <c r="AE728" s="106"/>
      <c r="AF728" s="1"/>
      <c r="AG728" s="2152"/>
    </row>
    <row r="729" spans="1:33" ht="15.95" customHeight="1" thickTop="1">
      <c r="A729" s="2163"/>
      <c r="B729" s="2153"/>
      <c r="C729" s="2153"/>
      <c r="D729" s="2153"/>
      <c r="E729" s="2153"/>
      <c r="F729" s="2153"/>
      <c r="G729" s="2153"/>
      <c r="H729" s="2153"/>
      <c r="I729" s="2153"/>
      <c r="J729" s="2153"/>
      <c r="K729" s="2153"/>
      <c r="L729" s="2153"/>
      <c r="M729" s="2153"/>
      <c r="N729" s="2153"/>
      <c r="O729" s="2149"/>
      <c r="P729" s="2149"/>
      <c r="Q729" s="2149"/>
      <c r="R729" s="29"/>
      <c r="S729" s="29"/>
      <c r="T729" s="8764" t="s">
        <v>356</v>
      </c>
      <c r="U729" s="9941"/>
      <c r="V729" s="9942"/>
      <c r="W729" s="595"/>
      <c r="X729" s="237" t="s">
        <v>357</v>
      </c>
      <c r="Y729" s="37" t="str">
        <f>IF(Y726=AA695,"OK","NO")</f>
        <v>OK</v>
      </c>
      <c r="AA729" s="28"/>
      <c r="AB729" s="368"/>
      <c r="AC729" s="368"/>
      <c r="AD729" s="127"/>
      <c r="AE729" s="100"/>
      <c r="AF729" s="1"/>
      <c r="AG729" s="2152"/>
    </row>
    <row r="730" spans="1:33" ht="15.95" customHeight="1">
      <c r="A730" s="2163"/>
      <c r="B730" s="2153"/>
      <c r="C730" s="2153"/>
      <c r="D730" s="2153"/>
      <c r="E730" s="2153"/>
      <c r="F730" s="2153"/>
      <c r="G730" s="2153"/>
      <c r="H730" s="2153"/>
      <c r="I730" s="2153"/>
      <c r="J730" s="2153"/>
      <c r="K730" s="2153"/>
      <c r="L730" s="2153"/>
      <c r="M730" s="2153"/>
      <c r="N730" s="2153"/>
      <c r="O730" s="2149"/>
      <c r="P730" s="2149"/>
      <c r="Q730" s="2149"/>
      <c r="R730" s="29"/>
      <c r="S730" s="29"/>
      <c r="T730" s="4656" t="s">
        <v>358</v>
      </c>
      <c r="U730" s="555"/>
      <c r="V730" s="321">
        <f>+Y702+Y703+Y704+Y705+Y706+Y707+Y708+Y710+Y713+Y719+Y721</f>
        <v>116561.95146666665</v>
      </c>
      <c r="W730" s="595"/>
      <c r="X730" s="85"/>
      <c r="Y730" s="37" t="str">
        <f>IF(V734=AA695,"OK","NO")</f>
        <v>OK</v>
      </c>
      <c r="AA730" s="28"/>
      <c r="AB730" s="368"/>
      <c r="AC730" s="368"/>
      <c r="AD730" s="127"/>
      <c r="AE730" s="100"/>
      <c r="AF730" s="1"/>
      <c r="AG730" s="2152"/>
    </row>
    <row r="731" spans="1:33" ht="15.95" customHeight="1">
      <c r="A731" s="2163"/>
      <c r="B731" s="2153"/>
      <c r="C731" s="2153"/>
      <c r="D731" s="2153"/>
      <c r="E731" s="2153"/>
      <c r="F731" s="2153"/>
      <c r="G731" s="2153"/>
      <c r="H731" s="2153"/>
      <c r="I731" s="2153"/>
      <c r="J731" s="2153"/>
      <c r="K731" s="2153"/>
      <c r="L731" s="2153"/>
      <c r="M731" s="2153"/>
      <c r="N731" s="2153"/>
      <c r="O731" s="2149"/>
      <c r="P731" s="2149"/>
      <c r="Q731" s="2149"/>
      <c r="R731" s="29"/>
      <c r="S731" s="29"/>
      <c r="T731" s="4657" t="s">
        <v>359</v>
      </c>
      <c r="U731" s="556"/>
      <c r="V731" s="321">
        <f>+Y711+Y716+Y717+Y718+Y720+Y722</f>
        <v>48063.491600000001</v>
      </c>
      <c r="W731" s="595"/>
      <c r="X731" s="85"/>
      <c r="Y731" s="37" t="str">
        <f>IF(V744=AA695,"OK","NO")</f>
        <v>OK</v>
      </c>
      <c r="AA731" s="28"/>
      <c r="AB731" s="368"/>
      <c r="AC731" s="368"/>
      <c r="AD731" s="127"/>
      <c r="AE731" s="100"/>
      <c r="AF731" s="1"/>
      <c r="AG731" s="2152"/>
    </row>
    <row r="732" spans="1:33" ht="15.95" customHeight="1">
      <c r="A732" s="2163"/>
      <c r="B732" s="2153"/>
      <c r="C732" s="2153"/>
      <c r="D732" s="2153"/>
      <c r="E732" s="2153"/>
      <c r="F732" s="2153"/>
      <c r="G732" s="2153"/>
      <c r="H732" s="2153"/>
      <c r="I732" s="2153"/>
      <c r="J732" s="2153"/>
      <c r="K732" s="2153"/>
      <c r="L732" s="2153"/>
      <c r="M732" s="2153"/>
      <c r="N732" s="2153"/>
      <c r="O732" s="2149"/>
      <c r="P732" s="2149"/>
      <c r="Q732" s="2149"/>
      <c r="R732" s="29"/>
      <c r="S732" s="29"/>
      <c r="T732" s="4657" t="s">
        <v>360</v>
      </c>
      <c r="U732" s="556"/>
      <c r="V732" s="321">
        <f>+Y701+Y709+Y712+Y714+Y715+Y723+Y725</f>
        <v>115438.00320000001</v>
      </c>
      <c r="W732" s="595"/>
      <c r="X732" s="238"/>
      <c r="Y732" s="37" t="str">
        <f>IF(Y726=Resumen!C421,"OK","NO")</f>
        <v>OK</v>
      </c>
      <c r="AA732" s="28"/>
      <c r="AB732" s="368"/>
      <c r="AC732" s="368"/>
      <c r="AD732" s="127"/>
      <c r="AE732" s="100"/>
      <c r="AF732" s="1"/>
      <c r="AG732" s="2152"/>
    </row>
    <row r="733" spans="1:33" ht="15.95" customHeight="1">
      <c r="A733" s="2163"/>
      <c r="B733" s="2153"/>
      <c r="C733" s="2153"/>
      <c r="D733" s="2153"/>
      <c r="E733" s="2153"/>
      <c r="F733" s="2153"/>
      <c r="G733" s="2153"/>
      <c r="H733" s="2153"/>
      <c r="I733" s="2153"/>
      <c r="J733" s="2153"/>
      <c r="K733" s="2153"/>
      <c r="L733" s="2153"/>
      <c r="M733" s="2153"/>
      <c r="N733" s="2153"/>
      <c r="O733" s="2149"/>
      <c r="P733" s="2149"/>
      <c r="Q733" s="2149"/>
      <c r="R733" s="29"/>
      <c r="S733" s="29"/>
      <c r="T733" s="4657" t="s">
        <v>361</v>
      </c>
      <c r="U733" s="556"/>
      <c r="V733" s="2818">
        <f>+Y724</f>
        <v>17700</v>
      </c>
      <c r="W733" s="595"/>
      <c r="X733" s="238"/>
      <c r="Y733" s="28"/>
      <c r="AA733" s="28"/>
      <c r="AB733" s="368"/>
      <c r="AC733" s="368"/>
      <c r="AD733" s="127"/>
      <c r="AE733" s="100"/>
      <c r="AF733" s="1"/>
      <c r="AG733" s="2152"/>
    </row>
    <row r="734" spans="1:33" ht="15.95" customHeight="1">
      <c r="A734" s="2163"/>
      <c r="B734" s="2153"/>
      <c r="C734" s="2153"/>
      <c r="D734" s="2153"/>
      <c r="E734" s="2153"/>
      <c r="F734" s="2153"/>
      <c r="G734" s="2153"/>
      <c r="H734" s="2153"/>
      <c r="I734" s="2153"/>
      <c r="J734" s="2153"/>
      <c r="K734" s="2153"/>
      <c r="L734" s="2153"/>
      <c r="M734" s="2153"/>
      <c r="N734" s="2153"/>
      <c r="O734" s="2149"/>
      <c r="P734" s="2149"/>
      <c r="Q734" s="2149"/>
      <c r="R734" s="29"/>
      <c r="S734" s="29"/>
      <c r="T734" s="4658" t="s">
        <v>67</v>
      </c>
      <c r="U734" s="558"/>
      <c r="V734" s="508">
        <f>SUM(V730:V733)</f>
        <v>297763.44626666664</v>
      </c>
      <c r="W734" s="595"/>
      <c r="X734" s="238"/>
      <c r="Y734" s="28"/>
      <c r="AA734" s="28"/>
      <c r="AB734" s="368"/>
      <c r="AC734" s="368"/>
      <c r="AD734" s="127"/>
      <c r="AE734" s="100"/>
      <c r="AF734" s="1"/>
      <c r="AG734" s="2152"/>
    </row>
    <row r="735" spans="1:33" ht="15.95" customHeight="1">
      <c r="A735" s="2163"/>
      <c r="B735" s="2153"/>
      <c r="C735" s="2153"/>
      <c r="D735" s="2153"/>
      <c r="E735" s="2153"/>
      <c r="F735" s="2153"/>
      <c r="G735" s="2153"/>
      <c r="H735" s="2153"/>
      <c r="I735" s="2153"/>
      <c r="J735" s="2153"/>
      <c r="K735" s="2153"/>
      <c r="L735" s="2153"/>
      <c r="M735" s="2153"/>
      <c r="N735" s="2153"/>
      <c r="O735" s="2149"/>
      <c r="P735" s="2149"/>
      <c r="Q735" s="2149"/>
      <c r="R735" s="29"/>
      <c r="S735" s="29"/>
      <c r="T735" s="8758" t="s">
        <v>362</v>
      </c>
      <c r="U735" s="9943"/>
      <c r="V735" s="9944"/>
      <c r="W735" s="595"/>
      <c r="X735" s="239"/>
      <c r="Y735" s="28"/>
      <c r="AA735" s="28"/>
      <c r="AB735" s="368"/>
      <c r="AC735" s="368"/>
      <c r="AD735" s="127"/>
      <c r="AE735" s="100"/>
      <c r="AF735" s="1"/>
      <c r="AG735" s="2152"/>
    </row>
    <row r="736" spans="1:33" ht="15.95" customHeight="1">
      <c r="A736" s="2163"/>
      <c r="B736" s="2153"/>
      <c r="C736" s="2153"/>
      <c r="D736" s="2153"/>
      <c r="E736" s="2153"/>
      <c r="F736" s="2153"/>
      <c r="G736" s="2153"/>
      <c r="H736" s="2153"/>
      <c r="I736" s="2153"/>
      <c r="J736" s="2153"/>
      <c r="K736" s="2153"/>
      <c r="L736" s="2153"/>
      <c r="M736" s="2153"/>
      <c r="N736" s="2153"/>
      <c r="O736" s="2149"/>
      <c r="P736" s="2149"/>
      <c r="Q736" s="2149"/>
      <c r="R736" s="29"/>
      <c r="S736" s="29"/>
      <c r="T736" s="4826" t="s">
        <v>363</v>
      </c>
      <c r="U736" s="555"/>
      <c r="V736" s="321">
        <v>0</v>
      </c>
      <c r="W736" s="595"/>
      <c r="X736" s="239"/>
      <c r="Y736" s="28"/>
      <c r="AA736" s="28"/>
      <c r="AB736" s="368"/>
      <c r="AC736" s="368"/>
      <c r="AD736" s="127"/>
      <c r="AE736" s="100"/>
      <c r="AF736" s="1"/>
      <c r="AG736" s="2152"/>
    </row>
    <row r="737" spans="1:33" ht="15.95" customHeight="1">
      <c r="A737" s="2163"/>
      <c r="B737" s="2153"/>
      <c r="C737" s="2153"/>
      <c r="D737" s="2153"/>
      <c r="E737" s="2153"/>
      <c r="F737" s="2153"/>
      <c r="G737" s="2153"/>
      <c r="H737" s="2153"/>
      <c r="I737" s="2153"/>
      <c r="J737" s="2153"/>
      <c r="K737" s="2153"/>
      <c r="L737" s="2153"/>
      <c r="M737" s="2153"/>
      <c r="N737" s="2153"/>
      <c r="O737" s="2149"/>
      <c r="P737" s="2149"/>
      <c r="Q737" s="2149"/>
      <c r="R737" s="29"/>
      <c r="S737" s="29"/>
      <c r="T737" s="4827" t="s">
        <v>364</v>
      </c>
      <c r="U737" s="556"/>
      <c r="V737" s="321">
        <f>+SUM(Y701:Y708)+SUM(Y710:Y719)</f>
        <v>95565.241466666659</v>
      </c>
      <c r="W737" s="595"/>
      <c r="X737" s="239"/>
      <c r="Y737" s="28"/>
      <c r="AA737" s="28"/>
      <c r="AB737" s="368"/>
      <c r="AC737" s="368"/>
      <c r="AD737" s="127"/>
      <c r="AE737" s="100"/>
      <c r="AF737" s="1"/>
      <c r="AG737" s="2152"/>
    </row>
    <row r="738" spans="1:33" ht="15.95" customHeight="1">
      <c r="A738" s="2163"/>
      <c r="B738" s="2153"/>
      <c r="C738" s="2153"/>
      <c r="D738" s="2153"/>
      <c r="E738" s="2153"/>
      <c r="F738" s="2153"/>
      <c r="G738" s="2153"/>
      <c r="H738" s="2153"/>
      <c r="I738" s="2153"/>
      <c r="J738" s="2153"/>
      <c r="K738" s="2153"/>
      <c r="L738" s="2153"/>
      <c r="M738" s="2153"/>
      <c r="N738" s="2153"/>
      <c r="O738" s="2149"/>
      <c r="P738" s="2149"/>
      <c r="Q738" s="2149"/>
      <c r="R738" s="29"/>
      <c r="S738" s="29"/>
      <c r="T738" s="4827" t="s">
        <v>365</v>
      </c>
      <c r="U738" s="556"/>
      <c r="V738" s="321">
        <v>0</v>
      </c>
      <c r="W738" s="595"/>
      <c r="X738" s="2071"/>
      <c r="Y738" s="28"/>
      <c r="AA738" s="28"/>
      <c r="AB738" s="368"/>
      <c r="AC738" s="368"/>
      <c r="AD738" s="127"/>
      <c r="AE738" s="100"/>
      <c r="AF738" s="1"/>
      <c r="AG738" s="2152"/>
    </row>
    <row r="739" spans="1:33" ht="15.95" customHeight="1">
      <c r="A739" s="2163"/>
      <c r="B739" s="2153"/>
      <c r="C739" s="2153"/>
      <c r="D739" s="2153"/>
      <c r="E739" s="2153"/>
      <c r="F739" s="2153"/>
      <c r="G739" s="2153"/>
      <c r="H739" s="2153"/>
      <c r="I739" s="2153"/>
      <c r="J739" s="2153"/>
      <c r="K739" s="2153"/>
      <c r="L739" s="2153"/>
      <c r="M739" s="2153"/>
      <c r="N739" s="2153"/>
      <c r="O739" s="2149"/>
      <c r="P739" s="2149"/>
      <c r="Q739" s="2149"/>
      <c r="R739" s="29"/>
      <c r="S739" s="29"/>
      <c r="T739" s="4827" t="s">
        <v>366</v>
      </c>
      <c r="U739" s="556"/>
      <c r="V739" s="321">
        <v>0</v>
      </c>
      <c r="W739" s="595"/>
      <c r="X739" s="238"/>
      <c r="Y739" s="28"/>
      <c r="AA739" s="28"/>
      <c r="AB739" s="368"/>
      <c r="AC739" s="368"/>
      <c r="AD739" s="127"/>
      <c r="AE739" s="100"/>
      <c r="AF739" s="1"/>
      <c r="AG739" s="2152"/>
    </row>
    <row r="740" spans="1:33" ht="15.95" customHeight="1">
      <c r="A740" s="2163"/>
      <c r="B740" s="2153"/>
      <c r="C740" s="2153"/>
      <c r="D740" s="2153"/>
      <c r="E740" s="2153"/>
      <c r="F740" s="2153"/>
      <c r="G740" s="2153"/>
      <c r="H740" s="2153"/>
      <c r="I740" s="2153"/>
      <c r="J740" s="2153"/>
      <c r="K740" s="2153"/>
      <c r="L740" s="2153"/>
      <c r="M740" s="2153"/>
      <c r="N740" s="2153"/>
      <c r="O740" s="2153"/>
      <c r="P740" s="2149"/>
      <c r="Q740" s="2149"/>
      <c r="R740" s="29"/>
      <c r="S740" s="29"/>
      <c r="T740" s="4827" t="s">
        <v>367</v>
      </c>
      <c r="U740" s="556"/>
      <c r="V740" s="321">
        <v>0</v>
      </c>
      <c r="W740" s="595"/>
      <c r="X740" s="2072"/>
      <c r="Y740" s="1745"/>
      <c r="AA740" s="2075"/>
      <c r="AB740" s="2075"/>
      <c r="AC740" s="2075"/>
      <c r="AD740" s="2075"/>
      <c r="AE740" s="100"/>
      <c r="AF740" s="1"/>
      <c r="AG740" s="2152"/>
    </row>
    <row r="741" spans="1:33" ht="15.75" customHeight="1">
      <c r="A741" s="2163"/>
      <c r="B741" s="2153"/>
      <c r="C741" s="2153"/>
      <c r="D741" s="2153"/>
      <c r="E741" s="2153"/>
      <c r="F741" s="2153"/>
      <c r="G741" s="2153"/>
      <c r="H741" s="2153"/>
      <c r="I741" s="2153"/>
      <c r="J741" s="2153"/>
      <c r="K741" s="2153"/>
      <c r="L741" s="2153"/>
      <c r="M741" s="2153"/>
      <c r="N741" s="2153"/>
      <c r="O741" s="2153"/>
      <c r="P741" s="2149"/>
      <c r="Q741" s="2149"/>
      <c r="R741" s="29"/>
      <c r="S741" s="29"/>
      <c r="T741" s="4827" t="s">
        <v>368</v>
      </c>
      <c r="U741" s="556"/>
      <c r="V741" s="321">
        <v>0</v>
      </c>
      <c r="W741" s="595"/>
      <c r="X741" s="2072"/>
      <c r="Y741" s="2067"/>
      <c r="AA741" s="2067"/>
      <c r="AB741" s="2066"/>
      <c r="AC741" s="2066"/>
      <c r="AD741" s="2067"/>
      <c r="AE741" s="100"/>
      <c r="AF741" s="1"/>
      <c r="AG741" s="2152"/>
    </row>
    <row r="742" spans="1:33" ht="15.95" customHeight="1">
      <c r="A742" s="2163"/>
      <c r="B742" s="2153"/>
      <c r="C742" s="2153"/>
      <c r="D742" s="2153"/>
      <c r="E742" s="2153"/>
      <c r="F742" s="2153"/>
      <c r="G742" s="2153"/>
      <c r="H742" s="2153"/>
      <c r="I742" s="2153"/>
      <c r="J742" s="2153"/>
      <c r="K742" s="2153"/>
      <c r="L742" s="2153"/>
      <c r="M742" s="2153"/>
      <c r="N742" s="2153"/>
      <c r="O742" s="2153"/>
      <c r="P742" s="2149"/>
      <c r="Q742" s="2149"/>
      <c r="R742" s="29"/>
      <c r="S742" s="29"/>
      <c r="T742" s="4827" t="s">
        <v>369</v>
      </c>
      <c r="U742" s="556"/>
      <c r="V742" s="321">
        <f>+Y709+SUM(Y720:Y725)</f>
        <v>202198.20480000001</v>
      </c>
      <c r="W742" s="595"/>
      <c r="X742" s="2072"/>
      <c r="Y742" s="2073"/>
      <c r="AA742" s="85"/>
      <c r="AB742" s="2068"/>
      <c r="AC742" s="2068"/>
      <c r="AD742" s="2100"/>
      <c r="AE742" s="100"/>
      <c r="AF742" s="1"/>
      <c r="AG742" s="2152"/>
    </row>
    <row r="743" spans="1:33" ht="15.95" customHeight="1">
      <c r="A743" s="2163"/>
      <c r="B743" s="2153"/>
      <c r="C743" s="2153"/>
      <c r="D743" s="2153"/>
      <c r="E743" s="2153"/>
      <c r="F743" s="2153"/>
      <c r="G743" s="2153"/>
      <c r="H743" s="2153"/>
      <c r="I743" s="2153"/>
      <c r="J743" s="2153"/>
      <c r="K743" s="2153"/>
      <c r="L743" s="2153"/>
      <c r="M743" s="2153"/>
      <c r="N743" s="2153"/>
      <c r="O743" s="2153"/>
      <c r="P743" s="2149"/>
      <c r="Q743" s="2149"/>
      <c r="R743" s="29"/>
      <c r="S743" s="29"/>
      <c r="T743" s="4827" t="s">
        <v>370</v>
      </c>
      <c r="U743" s="556"/>
      <c r="V743" s="2818">
        <v>0</v>
      </c>
      <c r="W743" s="595"/>
      <c r="X743" s="2074"/>
      <c r="Y743" s="29"/>
      <c r="AA743" s="29"/>
      <c r="AB743" s="372"/>
      <c r="AC743" s="372"/>
      <c r="AD743" s="127"/>
      <c r="AE743" s="100"/>
      <c r="AF743" s="1"/>
      <c r="AG743" s="2152"/>
    </row>
    <row r="744" spans="1:33" ht="15.95" customHeight="1" thickBot="1">
      <c r="A744" s="2163"/>
      <c r="B744" s="2153"/>
      <c r="C744" s="2153"/>
      <c r="D744" s="2153"/>
      <c r="E744" s="2153"/>
      <c r="F744" s="2153"/>
      <c r="G744" s="2153"/>
      <c r="H744" s="2153"/>
      <c r="I744" s="2153"/>
      <c r="J744" s="2153"/>
      <c r="K744" s="2153"/>
      <c r="L744" s="2153"/>
      <c r="M744" s="2153"/>
      <c r="N744" s="2153"/>
      <c r="O744" s="2153"/>
      <c r="P744" s="2149"/>
      <c r="Q744" s="2149"/>
      <c r="R744" s="29"/>
      <c r="S744" s="29"/>
      <c r="T744" s="4652" t="s">
        <v>67</v>
      </c>
      <c r="U744" s="557"/>
      <c r="V744" s="450">
        <f>SUM(V736:V743)</f>
        <v>297763.44626666664</v>
      </c>
      <c r="W744" s="595"/>
      <c r="X744" s="2071"/>
      <c r="Y744" s="28"/>
      <c r="AA744" s="28"/>
      <c r="AB744" s="368"/>
      <c r="AC744" s="368"/>
      <c r="AD744" s="127"/>
      <c r="AE744" s="100"/>
      <c r="AF744" s="1"/>
      <c r="AG744" s="2152"/>
    </row>
    <row r="745" spans="1:33" ht="15.95" customHeight="1" thickTop="1">
      <c r="A745" s="2163"/>
      <c r="B745" s="2153"/>
      <c r="C745" s="2153"/>
      <c r="D745" s="2153"/>
      <c r="E745" s="2153"/>
      <c r="F745" s="2153"/>
      <c r="G745" s="2153"/>
      <c r="H745" s="2153"/>
      <c r="I745" s="2153"/>
      <c r="J745" s="2153"/>
      <c r="K745" s="2153"/>
      <c r="L745" s="2153"/>
      <c r="M745" s="2153"/>
      <c r="N745" s="2153"/>
      <c r="O745" s="2153"/>
      <c r="P745" s="2149"/>
      <c r="Q745" s="2149"/>
      <c r="R745" s="29"/>
      <c r="S745" s="29"/>
      <c r="T745" s="596"/>
      <c r="U745" s="596"/>
      <c r="V745" s="2158"/>
      <c r="W745" s="235"/>
      <c r="X745" s="85"/>
      <c r="Y745" s="28"/>
      <c r="AA745" s="28"/>
      <c r="AB745" s="368"/>
      <c r="AC745" s="368"/>
      <c r="AD745" s="127"/>
      <c r="AE745" s="100"/>
      <c r="AF745" s="1"/>
      <c r="AG745" s="2152"/>
    </row>
  </sheetData>
  <mergeCells count="1994">
    <mergeCell ref="A6:A8"/>
    <mergeCell ref="A1:AG1"/>
    <mergeCell ref="A2:AG2"/>
    <mergeCell ref="A3:AG3"/>
    <mergeCell ref="A4:AG4"/>
    <mergeCell ref="K159:K163"/>
    <mergeCell ref="L159:L163"/>
    <mergeCell ref="M159:M163"/>
    <mergeCell ref="N159:N163"/>
    <mergeCell ref="O159:O163"/>
    <mergeCell ref="P159:P163"/>
    <mergeCell ref="Q159:Q163"/>
    <mergeCell ref="AG159:AG163"/>
    <mergeCell ref="D159:D163"/>
    <mergeCell ref="E159:E163"/>
    <mergeCell ref="F159:F163"/>
    <mergeCell ref="G159:G163"/>
    <mergeCell ref="H159:H163"/>
    <mergeCell ref="I159:I163"/>
    <mergeCell ref="J159:J163"/>
    <mergeCell ref="K133:K137"/>
    <mergeCell ref="L133:L137"/>
    <mergeCell ref="M133:M137"/>
    <mergeCell ref="N133:N137"/>
    <mergeCell ref="O133:O137"/>
    <mergeCell ref="P133:P137"/>
    <mergeCell ref="Q133:Q137"/>
    <mergeCell ref="AG133:AG137"/>
    <mergeCell ref="D133:D137"/>
    <mergeCell ref="E133:E137"/>
    <mergeCell ref="F133:F137"/>
    <mergeCell ref="G133:G137"/>
    <mergeCell ref="H133:H137"/>
    <mergeCell ref="I133:I137"/>
    <mergeCell ref="J133:J137"/>
    <mergeCell ref="K138:K142"/>
    <mergeCell ref="L138:L142"/>
    <mergeCell ref="I143:I148"/>
    <mergeCell ref="J143:J148"/>
    <mergeCell ref="K164:K168"/>
    <mergeCell ref="L164:L168"/>
    <mergeCell ref="M164:M168"/>
    <mergeCell ref="N164:N168"/>
    <mergeCell ref="O164:O168"/>
    <mergeCell ref="P164:P168"/>
    <mergeCell ref="Q164:Q168"/>
    <mergeCell ref="AG164:AG168"/>
    <mergeCell ref="D164:D168"/>
    <mergeCell ref="E164:E168"/>
    <mergeCell ref="F164:F168"/>
    <mergeCell ref="G164:G168"/>
    <mergeCell ref="H164:H168"/>
    <mergeCell ref="I164:I168"/>
    <mergeCell ref="J164:J168"/>
    <mergeCell ref="K154:K158"/>
    <mergeCell ref="L154:L158"/>
    <mergeCell ref="M154:M158"/>
    <mergeCell ref="N154:N158"/>
    <mergeCell ref="O154:O158"/>
    <mergeCell ref="P154:P158"/>
    <mergeCell ref="Q154:Q158"/>
    <mergeCell ref="AG154:AG158"/>
    <mergeCell ref="D154:D158"/>
    <mergeCell ref="E154:E158"/>
    <mergeCell ref="F154:F158"/>
    <mergeCell ref="G154:G158"/>
    <mergeCell ref="H154:H158"/>
    <mergeCell ref="I154:I158"/>
    <mergeCell ref="J154:J158"/>
    <mergeCell ref="M204:M216"/>
    <mergeCell ref="N204:N216"/>
    <mergeCell ref="O204:O216"/>
    <mergeCell ref="P204:P216"/>
    <mergeCell ref="Q204:Q216"/>
    <mergeCell ref="AG204:AG216"/>
    <mergeCell ref="M138:M142"/>
    <mergeCell ref="N138:N142"/>
    <mergeCell ref="O138:O142"/>
    <mergeCell ref="P138:P142"/>
    <mergeCell ref="Q138:Q142"/>
    <mergeCell ref="AG138:AG142"/>
    <mergeCell ref="K149:K153"/>
    <mergeCell ref="L149:L153"/>
    <mergeCell ref="M149:M153"/>
    <mergeCell ref="N149:N153"/>
    <mergeCell ref="O149:O153"/>
    <mergeCell ref="P149:P153"/>
    <mergeCell ref="Q149:Q153"/>
    <mergeCell ref="AG149:AG153"/>
    <mergeCell ref="K190:K203"/>
    <mergeCell ref="L190:L203"/>
    <mergeCell ref="M190:M203"/>
    <mergeCell ref="N190:N203"/>
    <mergeCell ref="O190:O203"/>
    <mergeCell ref="P190:P203"/>
    <mergeCell ref="Q190:Q203"/>
    <mergeCell ref="D138:D142"/>
    <mergeCell ref="E138:E142"/>
    <mergeCell ref="F138:F142"/>
    <mergeCell ref="G138:G142"/>
    <mergeCell ref="H138:H142"/>
    <mergeCell ref="I138:I142"/>
    <mergeCell ref="J138:J142"/>
    <mergeCell ref="K143:K148"/>
    <mergeCell ref="L143:L148"/>
    <mergeCell ref="M143:M148"/>
    <mergeCell ref="N143:N148"/>
    <mergeCell ref="O143:O148"/>
    <mergeCell ref="P143:P148"/>
    <mergeCell ref="Q143:Q148"/>
    <mergeCell ref="AG143:AG148"/>
    <mergeCell ref="D143:D148"/>
    <mergeCell ref="E143:E148"/>
    <mergeCell ref="F143:F148"/>
    <mergeCell ref="G143:G148"/>
    <mergeCell ref="H143:H148"/>
    <mergeCell ref="K268:K272"/>
    <mergeCell ref="L268:L272"/>
    <mergeCell ref="M268:M272"/>
    <mergeCell ref="N268:N272"/>
    <mergeCell ref="O268:O272"/>
    <mergeCell ref="P268:P272"/>
    <mergeCell ref="Q268:Q272"/>
    <mergeCell ref="K273:K277"/>
    <mergeCell ref="L273:L277"/>
    <mergeCell ref="M273:M277"/>
    <mergeCell ref="N273:N277"/>
    <mergeCell ref="O273:O277"/>
    <mergeCell ref="P273:P277"/>
    <mergeCell ref="Q273:Q277"/>
    <mergeCell ref="Q180:Q184"/>
    <mergeCell ref="AG180:AG184"/>
    <mergeCell ref="AG185:AG189"/>
    <mergeCell ref="K217:K221"/>
    <mergeCell ref="L222:L231"/>
    <mergeCell ref="M222:M231"/>
    <mergeCell ref="N222:N231"/>
    <mergeCell ref="O222:O231"/>
    <mergeCell ref="P222:P231"/>
    <mergeCell ref="Q222:Q231"/>
    <mergeCell ref="K222:K231"/>
    <mergeCell ref="L232:L243"/>
    <mergeCell ref="M232:M243"/>
    <mergeCell ref="N232:N243"/>
    <mergeCell ref="O232:O243"/>
    <mergeCell ref="P232:P243"/>
    <mergeCell ref="Q232:Q243"/>
    <mergeCell ref="K204:K216"/>
    <mergeCell ref="K283:K287"/>
    <mergeCell ref="L283:L287"/>
    <mergeCell ref="M283:M287"/>
    <mergeCell ref="N283:N287"/>
    <mergeCell ref="O283:O287"/>
    <mergeCell ref="P283:P287"/>
    <mergeCell ref="Q283:Q287"/>
    <mergeCell ref="B288:Q288"/>
    <mergeCell ref="K278:K282"/>
    <mergeCell ref="L278:L282"/>
    <mergeCell ref="M278:M282"/>
    <mergeCell ref="N278:N282"/>
    <mergeCell ref="O278:O282"/>
    <mergeCell ref="P278:P282"/>
    <mergeCell ref="Q278:Q282"/>
    <mergeCell ref="AG217:AG221"/>
    <mergeCell ref="AG222:AG231"/>
    <mergeCell ref="AG232:AG243"/>
    <mergeCell ref="AG244:AG252"/>
    <mergeCell ref="AG253:AG267"/>
    <mergeCell ref="AG268:AG272"/>
    <mergeCell ref="AG273:AG277"/>
    <mergeCell ref="L217:L221"/>
    <mergeCell ref="M217:M221"/>
    <mergeCell ref="N217:N221"/>
    <mergeCell ref="O217:O221"/>
    <mergeCell ref="P217:P221"/>
    <mergeCell ref="Q217:Q221"/>
    <mergeCell ref="K232:K243"/>
    <mergeCell ref="K244:K252"/>
    <mergeCell ref="L244:L252"/>
    <mergeCell ref="M244:M252"/>
    <mergeCell ref="AG289:AG293"/>
    <mergeCell ref="AG294:AG298"/>
    <mergeCell ref="AG299:AG303"/>
    <mergeCell ref="AG304:AG308"/>
    <mergeCell ref="AG309:AG313"/>
    <mergeCell ref="AG314:AG318"/>
    <mergeCell ref="AG319:AG323"/>
    <mergeCell ref="AG324:AG328"/>
    <mergeCell ref="AG329:AG333"/>
    <mergeCell ref="AG334:AG338"/>
    <mergeCell ref="AG339:AG343"/>
    <mergeCell ref="AG344:AG348"/>
    <mergeCell ref="AG350:AG354"/>
    <mergeCell ref="AG355:AG359"/>
    <mergeCell ref="AG360:AG364"/>
    <mergeCell ref="AG365:AG369"/>
    <mergeCell ref="AG370:AG374"/>
    <mergeCell ref="AG396:AG400"/>
    <mergeCell ref="AG401:AG405"/>
    <mergeCell ref="AG406:AG410"/>
    <mergeCell ref="AG411:AG415"/>
    <mergeCell ref="AG416:AG420"/>
    <mergeCell ref="AG421:AG425"/>
    <mergeCell ref="AG426:AG430"/>
    <mergeCell ref="AG467:AG471"/>
    <mergeCell ref="AG472:AG476"/>
    <mergeCell ref="AG477:AG481"/>
    <mergeCell ref="AG431:AG435"/>
    <mergeCell ref="AG436:AG440"/>
    <mergeCell ref="AG441:AG445"/>
    <mergeCell ref="AG446:AG450"/>
    <mergeCell ref="AG451:AG455"/>
    <mergeCell ref="AG456:AG460"/>
    <mergeCell ref="AG461:AG465"/>
    <mergeCell ref="O319:O323"/>
    <mergeCell ref="P319:P323"/>
    <mergeCell ref="Q319:Q323"/>
    <mergeCell ref="B349:Q349"/>
    <mergeCell ref="R349:Y349"/>
    <mergeCell ref="AD349:AG349"/>
    <mergeCell ref="B390:Q390"/>
    <mergeCell ref="R390:Y390"/>
    <mergeCell ref="AD390:AG390"/>
    <mergeCell ref="B466:Q466"/>
    <mergeCell ref="R466:Y466"/>
    <mergeCell ref="AD466:AG466"/>
    <mergeCell ref="K324:K328"/>
    <mergeCell ref="L324:L328"/>
    <mergeCell ref="M324:M328"/>
    <mergeCell ref="N324:N328"/>
    <mergeCell ref="O324:O328"/>
    <mergeCell ref="P324:P328"/>
    <mergeCell ref="Q324:Q328"/>
    <mergeCell ref="K401:K405"/>
    <mergeCell ref="L401:L405"/>
    <mergeCell ref="M401:M405"/>
    <mergeCell ref="N401:N405"/>
    <mergeCell ref="O401:O405"/>
    <mergeCell ref="P401:P405"/>
    <mergeCell ref="Q401:Q405"/>
    <mergeCell ref="K406:K410"/>
    <mergeCell ref="L406:L410"/>
    <mergeCell ref="AG375:AG379"/>
    <mergeCell ref="AG380:AG384"/>
    <mergeCell ref="AG385:AG389"/>
    <mergeCell ref="AG391:AG395"/>
    <mergeCell ref="M406:M410"/>
    <mergeCell ref="N406:N410"/>
    <mergeCell ref="O406:O410"/>
    <mergeCell ref="P406:P410"/>
    <mergeCell ref="Q406:Q410"/>
    <mergeCell ref="K411:K415"/>
    <mergeCell ref="L411:L415"/>
    <mergeCell ref="M411:M415"/>
    <mergeCell ref="N411:N415"/>
    <mergeCell ref="O411:O415"/>
    <mergeCell ref="P411:P415"/>
    <mergeCell ref="Q411:Q415"/>
    <mergeCell ref="K416:K420"/>
    <mergeCell ref="L416:L420"/>
    <mergeCell ref="M416:M420"/>
    <mergeCell ref="N416:N420"/>
    <mergeCell ref="O416:O420"/>
    <mergeCell ref="P416:P420"/>
    <mergeCell ref="Q416:Q420"/>
    <mergeCell ref="K421:K425"/>
    <mergeCell ref="L421:L425"/>
    <mergeCell ref="M421:M425"/>
    <mergeCell ref="N421:N425"/>
    <mergeCell ref="O421:O425"/>
    <mergeCell ref="P421:P425"/>
    <mergeCell ref="Q421:Q425"/>
    <mergeCell ref="K426:K430"/>
    <mergeCell ref="L426:L430"/>
    <mergeCell ref="M426:M430"/>
    <mergeCell ref="N426:N430"/>
    <mergeCell ref="O426:O430"/>
    <mergeCell ref="P426:P430"/>
    <mergeCell ref="Q426:Q430"/>
    <mergeCell ref="K431:K435"/>
    <mergeCell ref="L431:L435"/>
    <mergeCell ref="M431:M435"/>
    <mergeCell ref="N431:N435"/>
    <mergeCell ref="O431:O435"/>
    <mergeCell ref="P431:P435"/>
    <mergeCell ref="Q431:Q435"/>
    <mergeCell ref="K436:K440"/>
    <mergeCell ref="L436:L440"/>
    <mergeCell ref="M436:M440"/>
    <mergeCell ref="N436:N440"/>
    <mergeCell ref="O436:O440"/>
    <mergeCell ref="P436:P440"/>
    <mergeCell ref="Q436:Q440"/>
    <mergeCell ref="K441:K445"/>
    <mergeCell ref="L441:L445"/>
    <mergeCell ref="M441:M445"/>
    <mergeCell ref="N441:N445"/>
    <mergeCell ref="O441:O445"/>
    <mergeCell ref="P441:P445"/>
    <mergeCell ref="Q441:Q445"/>
    <mergeCell ref="K446:K450"/>
    <mergeCell ref="L446:L450"/>
    <mergeCell ref="M446:M450"/>
    <mergeCell ref="N446:N450"/>
    <mergeCell ref="O446:O450"/>
    <mergeCell ref="P446:P450"/>
    <mergeCell ref="Q446:Q450"/>
    <mergeCell ref="K451:K455"/>
    <mergeCell ref="L451:L455"/>
    <mergeCell ref="M451:M455"/>
    <mergeCell ref="N451:N455"/>
    <mergeCell ref="O451:O455"/>
    <mergeCell ref="P451:P455"/>
    <mergeCell ref="Q451:Q455"/>
    <mergeCell ref="K456:K460"/>
    <mergeCell ref="L456:L460"/>
    <mergeCell ref="M456:M460"/>
    <mergeCell ref="N456:N460"/>
    <mergeCell ref="O456:O460"/>
    <mergeCell ref="P456:P460"/>
    <mergeCell ref="Q456:Q460"/>
    <mergeCell ref="K472:K476"/>
    <mergeCell ref="L472:L476"/>
    <mergeCell ref="M472:M476"/>
    <mergeCell ref="N472:N476"/>
    <mergeCell ref="O472:O476"/>
    <mergeCell ref="P472:P476"/>
    <mergeCell ref="Q472:Q476"/>
    <mergeCell ref="K477:K481"/>
    <mergeCell ref="L477:L481"/>
    <mergeCell ref="M477:M481"/>
    <mergeCell ref="N477:N481"/>
    <mergeCell ref="O477:O481"/>
    <mergeCell ref="P477:P481"/>
    <mergeCell ref="Q477:Q481"/>
    <mergeCell ref="K461:K465"/>
    <mergeCell ref="L461:L465"/>
    <mergeCell ref="M461:M465"/>
    <mergeCell ref="N461:N465"/>
    <mergeCell ref="O461:O465"/>
    <mergeCell ref="P461:P465"/>
    <mergeCell ref="Q461:Q465"/>
    <mergeCell ref="K467:K471"/>
    <mergeCell ref="L467:L471"/>
    <mergeCell ref="M467:M471"/>
    <mergeCell ref="N467:N471"/>
    <mergeCell ref="O467:O471"/>
    <mergeCell ref="P467:P471"/>
    <mergeCell ref="Q467:Q471"/>
    <mergeCell ref="AG517:AG521"/>
    <mergeCell ref="AG522:AG526"/>
    <mergeCell ref="AG527:AG531"/>
    <mergeCell ref="AG532:AG536"/>
    <mergeCell ref="AG537:AG541"/>
    <mergeCell ref="R542:Y542"/>
    <mergeCell ref="AD542:AG542"/>
    <mergeCell ref="AG482:AG486"/>
    <mergeCell ref="AG487:AG491"/>
    <mergeCell ref="AG492:AG496"/>
    <mergeCell ref="AG497:AG501"/>
    <mergeCell ref="AG502:AG506"/>
    <mergeCell ref="AG507:AG511"/>
    <mergeCell ref="AG512:AG516"/>
    <mergeCell ref="AG543:AG547"/>
    <mergeCell ref="AG548:AG552"/>
    <mergeCell ref="AG553:AG557"/>
    <mergeCell ref="AG558:AG562"/>
    <mergeCell ref="AG563:AG567"/>
    <mergeCell ref="AG568:AG572"/>
    <mergeCell ref="AG573:AG577"/>
    <mergeCell ref="AG613:AG617"/>
    <mergeCell ref="R618:Y618"/>
    <mergeCell ref="AD618:AG618"/>
    <mergeCell ref="AG578:AG582"/>
    <mergeCell ref="AG583:AG587"/>
    <mergeCell ref="AG588:AG592"/>
    <mergeCell ref="AG593:AG597"/>
    <mergeCell ref="AG598:AG602"/>
    <mergeCell ref="AG603:AG607"/>
    <mergeCell ref="AG608:AG612"/>
    <mergeCell ref="AG619:AG623"/>
    <mergeCell ref="K482:K486"/>
    <mergeCell ref="L482:L486"/>
    <mergeCell ref="M482:M486"/>
    <mergeCell ref="N482:N486"/>
    <mergeCell ref="O482:O486"/>
    <mergeCell ref="P482:P486"/>
    <mergeCell ref="Q482:Q486"/>
    <mergeCell ref="K487:K491"/>
    <mergeCell ref="L487:L491"/>
    <mergeCell ref="M487:M491"/>
    <mergeCell ref="N487:N491"/>
    <mergeCell ref="O487:O491"/>
    <mergeCell ref="P487:P491"/>
    <mergeCell ref="Q487:Q491"/>
    <mergeCell ref="K492:K496"/>
    <mergeCell ref="L492:L496"/>
    <mergeCell ref="M492:M496"/>
    <mergeCell ref="N492:N496"/>
    <mergeCell ref="O492:O496"/>
    <mergeCell ref="P492:P496"/>
    <mergeCell ref="Q492:Q496"/>
    <mergeCell ref="K497:K501"/>
    <mergeCell ref="L497:L501"/>
    <mergeCell ref="M497:M501"/>
    <mergeCell ref="N497:N501"/>
    <mergeCell ref="O497:O501"/>
    <mergeCell ref="P497:P501"/>
    <mergeCell ref="Q497:Q501"/>
    <mergeCell ref="K502:K506"/>
    <mergeCell ref="L502:L506"/>
    <mergeCell ref="M502:M506"/>
    <mergeCell ref="N502:N506"/>
    <mergeCell ref="O502:O506"/>
    <mergeCell ref="P502:P506"/>
    <mergeCell ref="Q502:Q506"/>
    <mergeCell ref="K507:K511"/>
    <mergeCell ref="L507:L511"/>
    <mergeCell ref="M507:M511"/>
    <mergeCell ref="N507:N511"/>
    <mergeCell ref="O507:O511"/>
    <mergeCell ref="P507:P511"/>
    <mergeCell ref="Q507:Q511"/>
    <mergeCell ref="K512:K516"/>
    <mergeCell ref="L512:L516"/>
    <mergeCell ref="M512:M516"/>
    <mergeCell ref="N512:N516"/>
    <mergeCell ref="O512:O516"/>
    <mergeCell ref="P512:P516"/>
    <mergeCell ref="Q512:Q516"/>
    <mergeCell ref="K517:K521"/>
    <mergeCell ref="L517:L521"/>
    <mergeCell ref="M517:M521"/>
    <mergeCell ref="N517:N521"/>
    <mergeCell ref="O517:O521"/>
    <mergeCell ref="P517:P521"/>
    <mergeCell ref="Q517:Q521"/>
    <mergeCell ref="K522:K526"/>
    <mergeCell ref="L522:L526"/>
    <mergeCell ref="M522:M526"/>
    <mergeCell ref="N522:N526"/>
    <mergeCell ref="O522:O526"/>
    <mergeCell ref="P522:P526"/>
    <mergeCell ref="Q522:Q526"/>
    <mergeCell ref="B542:Q542"/>
    <mergeCell ref="B618:Q618"/>
    <mergeCell ref="K527:K531"/>
    <mergeCell ref="L527:L531"/>
    <mergeCell ref="M527:M531"/>
    <mergeCell ref="N527:N531"/>
    <mergeCell ref="O527:O531"/>
    <mergeCell ref="P527:P531"/>
    <mergeCell ref="Q527:Q531"/>
    <mergeCell ref="K532:K536"/>
    <mergeCell ref="L532:L536"/>
    <mergeCell ref="M532:M536"/>
    <mergeCell ref="N532:N536"/>
    <mergeCell ref="O532:O536"/>
    <mergeCell ref="P532:P536"/>
    <mergeCell ref="Q532:Q536"/>
    <mergeCell ref="K537:K541"/>
    <mergeCell ref="L537:L541"/>
    <mergeCell ref="M537:M541"/>
    <mergeCell ref="N537:N541"/>
    <mergeCell ref="O537:O541"/>
    <mergeCell ref="P537:P541"/>
    <mergeCell ref="Q537:Q541"/>
    <mergeCell ref="K543:K547"/>
    <mergeCell ref="L543:L547"/>
    <mergeCell ref="M543:M547"/>
    <mergeCell ref="N543:N547"/>
    <mergeCell ref="O543:O547"/>
    <mergeCell ref="P543:P547"/>
    <mergeCell ref="Q543:Q547"/>
    <mergeCell ref="K548:K552"/>
    <mergeCell ref="L548:L552"/>
    <mergeCell ref="M548:M552"/>
    <mergeCell ref="N548:N552"/>
    <mergeCell ref="O548:O552"/>
    <mergeCell ref="P548:P552"/>
    <mergeCell ref="Q548:Q552"/>
    <mergeCell ref="K553:K557"/>
    <mergeCell ref="L553:L557"/>
    <mergeCell ref="M553:M557"/>
    <mergeCell ref="N553:N557"/>
    <mergeCell ref="O553:O557"/>
    <mergeCell ref="P553:P557"/>
    <mergeCell ref="Q553:Q557"/>
    <mergeCell ref="K558:K562"/>
    <mergeCell ref="L558:L562"/>
    <mergeCell ref="M558:M562"/>
    <mergeCell ref="N558:N562"/>
    <mergeCell ref="O558:O562"/>
    <mergeCell ref="P558:P562"/>
    <mergeCell ref="Q558:Q562"/>
    <mergeCell ref="K563:K567"/>
    <mergeCell ref="L563:L567"/>
    <mergeCell ref="M563:M567"/>
    <mergeCell ref="N563:N567"/>
    <mergeCell ref="O563:O567"/>
    <mergeCell ref="P563:P567"/>
    <mergeCell ref="Q563:Q567"/>
    <mergeCell ref="K568:K572"/>
    <mergeCell ref="L568:L572"/>
    <mergeCell ref="M568:M572"/>
    <mergeCell ref="N568:N572"/>
    <mergeCell ref="O568:O572"/>
    <mergeCell ref="P568:P572"/>
    <mergeCell ref="Q568:Q572"/>
    <mergeCell ref="K573:K577"/>
    <mergeCell ref="L573:L577"/>
    <mergeCell ref="M573:M577"/>
    <mergeCell ref="N573:N577"/>
    <mergeCell ref="O573:O577"/>
    <mergeCell ref="P573:P577"/>
    <mergeCell ref="Q573:Q577"/>
    <mergeCell ref="K578:K582"/>
    <mergeCell ref="L578:L582"/>
    <mergeCell ref="M578:M582"/>
    <mergeCell ref="N578:N582"/>
    <mergeCell ref="O578:O582"/>
    <mergeCell ref="P578:P582"/>
    <mergeCell ref="Q578:Q582"/>
    <mergeCell ref="K583:K587"/>
    <mergeCell ref="L583:L587"/>
    <mergeCell ref="M583:M587"/>
    <mergeCell ref="N583:N587"/>
    <mergeCell ref="O583:O587"/>
    <mergeCell ref="P583:P587"/>
    <mergeCell ref="Q583:Q587"/>
    <mergeCell ref="K588:K592"/>
    <mergeCell ref="L588:L592"/>
    <mergeCell ref="M588:M592"/>
    <mergeCell ref="N588:N592"/>
    <mergeCell ref="O588:O592"/>
    <mergeCell ref="P588:P592"/>
    <mergeCell ref="Q588:Q592"/>
    <mergeCell ref="K593:K597"/>
    <mergeCell ref="L593:L597"/>
    <mergeCell ref="M593:M597"/>
    <mergeCell ref="N593:N597"/>
    <mergeCell ref="O593:O597"/>
    <mergeCell ref="P593:P597"/>
    <mergeCell ref="Q593:Q597"/>
    <mergeCell ref="K598:K602"/>
    <mergeCell ref="L598:L602"/>
    <mergeCell ref="M598:M602"/>
    <mergeCell ref="N598:N602"/>
    <mergeCell ref="O598:O602"/>
    <mergeCell ref="P598:P602"/>
    <mergeCell ref="Q598:Q602"/>
    <mergeCell ref="K603:K607"/>
    <mergeCell ref="L603:L607"/>
    <mergeCell ref="M603:M607"/>
    <mergeCell ref="N603:N607"/>
    <mergeCell ref="O603:O607"/>
    <mergeCell ref="P603:P607"/>
    <mergeCell ref="Q603:Q607"/>
    <mergeCell ref="K608:K612"/>
    <mergeCell ref="L608:L612"/>
    <mergeCell ref="M608:M612"/>
    <mergeCell ref="N608:N612"/>
    <mergeCell ref="O608:O612"/>
    <mergeCell ref="P608:P612"/>
    <mergeCell ref="Q608:Q612"/>
    <mergeCell ref="H7:H8"/>
    <mergeCell ref="I7:I8"/>
    <mergeCell ref="J7:J8"/>
    <mergeCell ref="K7:K8"/>
    <mergeCell ref="L7:N7"/>
    <mergeCell ref="O7:O8"/>
    <mergeCell ref="P7:P8"/>
    <mergeCell ref="Q7:Q8"/>
    <mergeCell ref="K37:K41"/>
    <mergeCell ref="L37:L41"/>
    <mergeCell ref="M37:M41"/>
    <mergeCell ref="N37:N41"/>
    <mergeCell ref="O37:O41"/>
    <mergeCell ref="P37:P41"/>
    <mergeCell ref="Q37:Q41"/>
    <mergeCell ref="K47:K66"/>
    <mergeCell ref="L47:L66"/>
    <mergeCell ref="M47:M66"/>
    <mergeCell ref="F37:F41"/>
    <mergeCell ref="G37:G41"/>
    <mergeCell ref="H37:H41"/>
    <mergeCell ref="I37:I41"/>
    <mergeCell ref="J37:J41"/>
    <mergeCell ref="C37:C41"/>
    <mergeCell ref="B42:B46"/>
    <mergeCell ref="D42:D46"/>
    <mergeCell ref="E42:E46"/>
    <mergeCell ref="F42:F46"/>
    <mergeCell ref="G42:G46"/>
    <mergeCell ref="H42:H46"/>
    <mergeCell ref="D7:D8"/>
    <mergeCell ref="E7:E8"/>
    <mergeCell ref="D9:D13"/>
    <mergeCell ref="E9:E13"/>
    <mergeCell ref="F9:F13"/>
    <mergeCell ref="G9:G13"/>
    <mergeCell ref="H9:H13"/>
    <mergeCell ref="F7:F8"/>
    <mergeCell ref="G7:G8"/>
    <mergeCell ref="D14:D36"/>
    <mergeCell ref="E14:E36"/>
    <mergeCell ref="F14:F36"/>
    <mergeCell ref="G14:G36"/>
    <mergeCell ref="H14:H36"/>
    <mergeCell ref="B7:B8"/>
    <mergeCell ref="C7:C8"/>
    <mergeCell ref="N47:N66"/>
    <mergeCell ref="O47:O66"/>
    <mergeCell ref="P47:P66"/>
    <mergeCell ref="Q47:Q66"/>
    <mergeCell ref="D47:D66"/>
    <mergeCell ref="E47:E66"/>
    <mergeCell ref="F47:F66"/>
    <mergeCell ref="G47:G66"/>
    <mergeCell ref="H47:H66"/>
    <mergeCell ref="I47:I66"/>
    <mergeCell ref="J47:J66"/>
    <mergeCell ref="K67:K71"/>
    <mergeCell ref="L67:L71"/>
    <mergeCell ref="M67:M71"/>
    <mergeCell ref="N67:N71"/>
    <mergeCell ref="O67:O71"/>
    <mergeCell ref="P67:P71"/>
    <mergeCell ref="Q67:Q71"/>
    <mergeCell ref="D67:D71"/>
    <mergeCell ref="E67:E71"/>
    <mergeCell ref="F67:F71"/>
    <mergeCell ref="G67:G71"/>
    <mergeCell ref="H67:H71"/>
    <mergeCell ref="I67:I71"/>
    <mergeCell ref="J67:J71"/>
    <mergeCell ref="K97:K101"/>
    <mergeCell ref="L97:L101"/>
    <mergeCell ref="M97:M101"/>
    <mergeCell ref="N97:N101"/>
    <mergeCell ref="O97:O101"/>
    <mergeCell ref="P97:P101"/>
    <mergeCell ref="Q97:Q101"/>
    <mergeCell ref="D97:D101"/>
    <mergeCell ref="E97:E101"/>
    <mergeCell ref="F97:F101"/>
    <mergeCell ref="G97:G101"/>
    <mergeCell ref="H97:H101"/>
    <mergeCell ref="I97:I101"/>
    <mergeCell ref="J97:J101"/>
    <mergeCell ref="K92:K96"/>
    <mergeCell ref="L92:L96"/>
    <mergeCell ref="M92:M96"/>
    <mergeCell ref="N92:N96"/>
    <mergeCell ref="O92:O96"/>
    <mergeCell ref="P92:P96"/>
    <mergeCell ref="Q92:Q96"/>
    <mergeCell ref="D92:D96"/>
    <mergeCell ref="O87:O91"/>
    <mergeCell ref="P87:P91"/>
    <mergeCell ref="Q87:Q91"/>
    <mergeCell ref="D87:D91"/>
    <mergeCell ref="E87:E91"/>
    <mergeCell ref="F87:F91"/>
    <mergeCell ref="G87:G91"/>
    <mergeCell ref="H87:H91"/>
    <mergeCell ref="I87:I91"/>
    <mergeCell ref="J87:J91"/>
    <mergeCell ref="K82:K86"/>
    <mergeCell ref="L82:L86"/>
    <mergeCell ref="M82:M86"/>
    <mergeCell ref="N82:N86"/>
    <mergeCell ref="O82:O86"/>
    <mergeCell ref="P82:P86"/>
    <mergeCell ref="Q82:Q86"/>
    <mergeCell ref="D82:D86"/>
    <mergeCell ref="E82:E86"/>
    <mergeCell ref="F82:F86"/>
    <mergeCell ref="G82:G86"/>
    <mergeCell ref="H82:H86"/>
    <mergeCell ref="I82:I86"/>
    <mergeCell ref="J82:J86"/>
    <mergeCell ref="K102:K106"/>
    <mergeCell ref="L102:L106"/>
    <mergeCell ref="M102:M106"/>
    <mergeCell ref="N102:N106"/>
    <mergeCell ref="O102:O106"/>
    <mergeCell ref="P102:P106"/>
    <mergeCell ref="Q102:Q106"/>
    <mergeCell ref="D102:D106"/>
    <mergeCell ref="E102:E106"/>
    <mergeCell ref="F102:F106"/>
    <mergeCell ref="G102:G106"/>
    <mergeCell ref="H102:H106"/>
    <mergeCell ref="I102:I106"/>
    <mergeCell ref="J102:J106"/>
    <mergeCell ref="K77:K81"/>
    <mergeCell ref="L77:L81"/>
    <mergeCell ref="M77:M81"/>
    <mergeCell ref="N77:N81"/>
    <mergeCell ref="O77:O81"/>
    <mergeCell ref="P77:P81"/>
    <mergeCell ref="Q77:Q81"/>
    <mergeCell ref="D77:D81"/>
    <mergeCell ref="E77:E81"/>
    <mergeCell ref="F77:F81"/>
    <mergeCell ref="G77:G81"/>
    <mergeCell ref="H77:H81"/>
    <mergeCell ref="I77:I81"/>
    <mergeCell ref="J77:J81"/>
    <mergeCell ref="K87:K91"/>
    <mergeCell ref="L87:L91"/>
    <mergeCell ref="M87:M91"/>
    <mergeCell ref="N87:N91"/>
    <mergeCell ref="E113:E117"/>
    <mergeCell ref="F113:F117"/>
    <mergeCell ref="G113:G117"/>
    <mergeCell ref="H113:H117"/>
    <mergeCell ref="I113:I117"/>
    <mergeCell ref="J113:J117"/>
    <mergeCell ref="B14:B36"/>
    <mergeCell ref="B37:B41"/>
    <mergeCell ref="C42:C46"/>
    <mergeCell ref="B47:B66"/>
    <mergeCell ref="C47:C66"/>
    <mergeCell ref="C67:C71"/>
    <mergeCell ref="C72:C76"/>
    <mergeCell ref="C77:C81"/>
    <mergeCell ref="C82:C86"/>
    <mergeCell ref="C87:C91"/>
    <mergeCell ref="C92:C96"/>
    <mergeCell ref="B97:B101"/>
    <mergeCell ref="B102:B106"/>
    <mergeCell ref="C97:C101"/>
    <mergeCell ref="C102:C106"/>
    <mergeCell ref="D108:D112"/>
    <mergeCell ref="E108:E112"/>
    <mergeCell ref="F108:F112"/>
    <mergeCell ref="G108:G112"/>
    <mergeCell ref="H108:H112"/>
    <mergeCell ref="B92:B96"/>
    <mergeCell ref="C108:C112"/>
    <mergeCell ref="B113:B117"/>
    <mergeCell ref="D37:D41"/>
    <mergeCell ref="E37:E41"/>
    <mergeCell ref="E92:E96"/>
    <mergeCell ref="I6:Q6"/>
    <mergeCell ref="R6:AG6"/>
    <mergeCell ref="R7:X7"/>
    <mergeCell ref="AD7:AF7"/>
    <mergeCell ref="AG7:AG8"/>
    <mergeCell ref="B6:C6"/>
    <mergeCell ref="D6:H6"/>
    <mergeCell ref="P9:P13"/>
    <mergeCell ref="Q9:Q13"/>
    <mergeCell ref="AG9:AG13"/>
    <mergeCell ref="I9:I13"/>
    <mergeCell ref="J9:J13"/>
    <mergeCell ref="K9:K13"/>
    <mergeCell ref="L9:L13"/>
    <mergeCell ref="M9:M13"/>
    <mergeCell ref="N9:N13"/>
    <mergeCell ref="O9:O13"/>
    <mergeCell ref="A9:A66"/>
    <mergeCell ref="C9:C13"/>
    <mergeCell ref="C14:C36"/>
    <mergeCell ref="A108:A288"/>
    <mergeCell ref="C689:C693"/>
    <mergeCell ref="C649:C653"/>
    <mergeCell ref="C654:C658"/>
    <mergeCell ref="B659:B663"/>
    <mergeCell ref="D113:D117"/>
    <mergeCell ref="P14:P36"/>
    <mergeCell ref="Q14:Q36"/>
    <mergeCell ref="AG14:AG36"/>
    <mergeCell ref="AG37:AG41"/>
    <mergeCell ref="I14:I36"/>
    <mergeCell ref="J14:J36"/>
    <mergeCell ref="K14:K36"/>
    <mergeCell ref="L14:L36"/>
    <mergeCell ref="M14:M36"/>
    <mergeCell ref="N14:N36"/>
    <mergeCell ref="O14:O36"/>
    <mergeCell ref="I42:I46"/>
    <mergeCell ref="J42:J46"/>
    <mergeCell ref="K42:K46"/>
    <mergeCell ref="L42:L46"/>
    <mergeCell ref="M42:M46"/>
    <mergeCell ref="N42:N46"/>
    <mergeCell ref="O42:O46"/>
    <mergeCell ref="AG82:AG86"/>
    <mergeCell ref="AG87:AG91"/>
    <mergeCell ref="AG92:AG96"/>
    <mergeCell ref="AG97:AG101"/>
    <mergeCell ref="AG102:AG106"/>
    <mergeCell ref="B107:N107"/>
    <mergeCell ref="R107:Y107"/>
    <mergeCell ref="P42:P46"/>
    <mergeCell ref="Q42:Q46"/>
    <mergeCell ref="AG42:AG46"/>
    <mergeCell ref="AG47:AG66"/>
    <mergeCell ref="AG67:AG71"/>
    <mergeCell ref="AG72:AG76"/>
    <mergeCell ref="AG77:AG81"/>
    <mergeCell ref="K72:K76"/>
    <mergeCell ref="L72:L76"/>
    <mergeCell ref="M72:M76"/>
    <mergeCell ref="N72:N76"/>
    <mergeCell ref="O72:O76"/>
    <mergeCell ref="P72:P76"/>
    <mergeCell ref="Q72:Q76"/>
    <mergeCell ref="D72:D76"/>
    <mergeCell ref="E72:E76"/>
    <mergeCell ref="F72:F76"/>
    <mergeCell ref="G72:G76"/>
    <mergeCell ref="H72:H76"/>
    <mergeCell ref="I72:I76"/>
    <mergeCell ref="J72:J76"/>
    <mergeCell ref="B72:B76"/>
    <mergeCell ref="B77:B81"/>
    <mergeCell ref="B82:B86"/>
    <mergeCell ref="B87:B91"/>
    <mergeCell ref="F92:F96"/>
    <mergeCell ref="G92:G96"/>
    <mergeCell ref="H92:H96"/>
    <mergeCell ref="I92:I96"/>
    <mergeCell ref="J92:J96"/>
    <mergeCell ref="P108:P112"/>
    <mergeCell ref="Q108:Q112"/>
    <mergeCell ref="AG108:AG112"/>
    <mergeCell ref="M113:M117"/>
    <mergeCell ref="N113:N117"/>
    <mergeCell ref="O113:O117"/>
    <mergeCell ref="P113:P117"/>
    <mergeCell ref="Q113:Q117"/>
    <mergeCell ref="AG113:AG117"/>
    <mergeCell ref="I108:I112"/>
    <mergeCell ref="J108:J112"/>
    <mergeCell ref="K108:K112"/>
    <mergeCell ref="L108:L112"/>
    <mergeCell ref="M108:M112"/>
    <mergeCell ref="N108:N112"/>
    <mergeCell ref="O108:O112"/>
    <mergeCell ref="K118:K122"/>
    <mergeCell ref="L118:L122"/>
    <mergeCell ref="M118:M122"/>
    <mergeCell ref="N118:N122"/>
    <mergeCell ref="O118:O122"/>
    <mergeCell ref="P118:P122"/>
    <mergeCell ref="Q118:Q122"/>
    <mergeCell ref="AG118:AG122"/>
    <mergeCell ref="K113:K117"/>
    <mergeCell ref="L113:L117"/>
    <mergeCell ref="D118:D122"/>
    <mergeCell ref="E118:E122"/>
    <mergeCell ref="F118:F122"/>
    <mergeCell ref="G118:G122"/>
    <mergeCell ref="H118:H122"/>
    <mergeCell ref="I118:I122"/>
    <mergeCell ref="J118:J122"/>
    <mergeCell ref="K123:K132"/>
    <mergeCell ref="L123:L132"/>
    <mergeCell ref="M123:M132"/>
    <mergeCell ref="N123:N132"/>
    <mergeCell ref="O123:O132"/>
    <mergeCell ref="P123:P132"/>
    <mergeCell ref="Q123:Q132"/>
    <mergeCell ref="AG123:AG132"/>
    <mergeCell ref="D123:D132"/>
    <mergeCell ref="E123:E132"/>
    <mergeCell ref="F123:F132"/>
    <mergeCell ref="G123:G132"/>
    <mergeCell ref="H123:H132"/>
    <mergeCell ref="I123:I132"/>
    <mergeCell ref="J123:J132"/>
    <mergeCell ref="D149:D153"/>
    <mergeCell ref="E149:E153"/>
    <mergeCell ref="F149:F153"/>
    <mergeCell ref="G149:G153"/>
    <mergeCell ref="H149:H153"/>
    <mergeCell ref="I149:I153"/>
    <mergeCell ref="J149:J153"/>
    <mergeCell ref="L169:L173"/>
    <mergeCell ref="M169:M173"/>
    <mergeCell ref="N169:N173"/>
    <mergeCell ref="O169:O173"/>
    <mergeCell ref="P169:P173"/>
    <mergeCell ref="Q169:Q173"/>
    <mergeCell ref="AG169:AG173"/>
    <mergeCell ref="I169:I267"/>
    <mergeCell ref="J169:J267"/>
    <mergeCell ref="K253:K267"/>
    <mergeCell ref="L253:L267"/>
    <mergeCell ref="M253:M267"/>
    <mergeCell ref="N253:N267"/>
    <mergeCell ref="O253:O267"/>
    <mergeCell ref="P253:P267"/>
    <mergeCell ref="Q253:Q267"/>
    <mergeCell ref="L204:L216"/>
    <mergeCell ref="AG174:AG179"/>
    <mergeCell ref="K169:K173"/>
    <mergeCell ref="L174:L179"/>
    <mergeCell ref="M174:M179"/>
    <mergeCell ref="N174:N179"/>
    <mergeCell ref="O174:O179"/>
    <mergeCell ref="P174:P179"/>
    <mergeCell ref="Q174:Q179"/>
    <mergeCell ref="AG190:AG203"/>
    <mergeCell ref="K185:K189"/>
    <mergeCell ref="L185:L189"/>
    <mergeCell ref="M185:M189"/>
    <mergeCell ref="N185:N189"/>
    <mergeCell ref="O185:O189"/>
    <mergeCell ref="P185:P189"/>
    <mergeCell ref="Q185:Q189"/>
    <mergeCell ref="K174:K179"/>
    <mergeCell ref="K180:K184"/>
    <mergeCell ref="L180:L184"/>
    <mergeCell ref="M180:M184"/>
    <mergeCell ref="N180:N184"/>
    <mergeCell ref="O180:O184"/>
    <mergeCell ref="P180:P184"/>
    <mergeCell ref="N244:N252"/>
    <mergeCell ref="O244:O252"/>
    <mergeCell ref="P244:P252"/>
    <mergeCell ref="Q244:Q252"/>
    <mergeCell ref="AG278:AG282"/>
    <mergeCell ref="AG283:AG287"/>
    <mergeCell ref="R288:Y288"/>
    <mergeCell ref="K329:K333"/>
    <mergeCell ref="L329:L333"/>
    <mergeCell ref="M329:M333"/>
    <mergeCell ref="N329:N333"/>
    <mergeCell ref="O329:O333"/>
    <mergeCell ref="P329:P333"/>
    <mergeCell ref="Q329:Q333"/>
    <mergeCell ref="K334:K338"/>
    <mergeCell ref="L334:L338"/>
    <mergeCell ref="M334:M338"/>
    <mergeCell ref="N334:N338"/>
    <mergeCell ref="O334:O338"/>
    <mergeCell ref="P334:P338"/>
    <mergeCell ref="Q334:Q338"/>
    <mergeCell ref="M304:M308"/>
    <mergeCell ref="N304:N308"/>
    <mergeCell ref="O304:O308"/>
    <mergeCell ref="P304:P308"/>
    <mergeCell ref="Q304:Q308"/>
    <mergeCell ref="K309:K313"/>
    <mergeCell ref="L309:L313"/>
    <mergeCell ref="M309:M313"/>
    <mergeCell ref="N309:N313"/>
    <mergeCell ref="O309:O313"/>
    <mergeCell ref="P309:P313"/>
    <mergeCell ref="K319:K323"/>
    <mergeCell ref="L319:L323"/>
    <mergeCell ref="M319:M323"/>
    <mergeCell ref="N319:N323"/>
    <mergeCell ref="K339:K343"/>
    <mergeCell ref="L339:L343"/>
    <mergeCell ref="M339:M343"/>
    <mergeCell ref="N339:N343"/>
    <mergeCell ref="O339:O343"/>
    <mergeCell ref="P339:P343"/>
    <mergeCell ref="Q339:Q343"/>
    <mergeCell ref="K344:K348"/>
    <mergeCell ref="L344:L348"/>
    <mergeCell ref="M344:M348"/>
    <mergeCell ref="N344:N348"/>
    <mergeCell ref="O344:O348"/>
    <mergeCell ref="P344:P348"/>
    <mergeCell ref="Q344:Q348"/>
    <mergeCell ref="K350:K354"/>
    <mergeCell ref="L350:L354"/>
    <mergeCell ref="M350:M354"/>
    <mergeCell ref="N350:N354"/>
    <mergeCell ref="O350:O354"/>
    <mergeCell ref="P350:P354"/>
    <mergeCell ref="Q350:Q354"/>
    <mergeCell ref="K355:K359"/>
    <mergeCell ref="L355:L359"/>
    <mergeCell ref="M355:M359"/>
    <mergeCell ref="N355:N359"/>
    <mergeCell ref="O355:O359"/>
    <mergeCell ref="P355:P359"/>
    <mergeCell ref="Q355:Q359"/>
    <mergeCell ref="K360:K364"/>
    <mergeCell ref="L360:L364"/>
    <mergeCell ref="M360:M364"/>
    <mergeCell ref="N360:N364"/>
    <mergeCell ref="O360:O364"/>
    <mergeCell ref="P360:P364"/>
    <mergeCell ref="Q360:Q364"/>
    <mergeCell ref="K365:K369"/>
    <mergeCell ref="L365:L369"/>
    <mergeCell ref="M365:M369"/>
    <mergeCell ref="N365:N369"/>
    <mergeCell ref="O365:O369"/>
    <mergeCell ref="P365:P369"/>
    <mergeCell ref="Q365:Q369"/>
    <mergeCell ref="K370:K374"/>
    <mergeCell ref="L370:L374"/>
    <mergeCell ref="M370:M374"/>
    <mergeCell ref="N370:N374"/>
    <mergeCell ref="O370:O374"/>
    <mergeCell ref="P370:P374"/>
    <mergeCell ref="Q370:Q374"/>
    <mergeCell ref="K375:K379"/>
    <mergeCell ref="L375:L379"/>
    <mergeCell ref="M375:M379"/>
    <mergeCell ref="N375:N379"/>
    <mergeCell ref="O375:O379"/>
    <mergeCell ref="P375:P379"/>
    <mergeCell ref="Q375:Q379"/>
    <mergeCell ref="K380:K384"/>
    <mergeCell ref="L380:L384"/>
    <mergeCell ref="M380:M384"/>
    <mergeCell ref="N380:N384"/>
    <mergeCell ref="O380:O384"/>
    <mergeCell ref="P380:P384"/>
    <mergeCell ref="Q380:Q384"/>
    <mergeCell ref="K385:K389"/>
    <mergeCell ref="L385:L389"/>
    <mergeCell ref="M385:M389"/>
    <mergeCell ref="N385:N389"/>
    <mergeCell ref="O385:O389"/>
    <mergeCell ref="P385:P389"/>
    <mergeCell ref="Q385:Q389"/>
    <mergeCell ref="K391:K395"/>
    <mergeCell ref="L391:L395"/>
    <mergeCell ref="M391:M395"/>
    <mergeCell ref="N391:N395"/>
    <mergeCell ref="O391:O395"/>
    <mergeCell ref="P391:P395"/>
    <mergeCell ref="Q391:Q395"/>
    <mergeCell ref="K396:K400"/>
    <mergeCell ref="L396:L400"/>
    <mergeCell ref="M396:M400"/>
    <mergeCell ref="N396:N400"/>
    <mergeCell ref="O396:O400"/>
    <mergeCell ref="P396:P400"/>
    <mergeCell ref="Q396:Q400"/>
    <mergeCell ref="O613:O617"/>
    <mergeCell ref="P613:P617"/>
    <mergeCell ref="Q613:Q617"/>
    <mergeCell ref="K619:K623"/>
    <mergeCell ref="L619:L623"/>
    <mergeCell ref="M619:M623"/>
    <mergeCell ref="N619:N623"/>
    <mergeCell ref="O619:O623"/>
    <mergeCell ref="P619:P623"/>
    <mergeCell ref="Q619:Q623"/>
    <mergeCell ref="AG624:AG628"/>
    <mergeCell ref="AG629:AG633"/>
    <mergeCell ref="AG634:AG638"/>
    <mergeCell ref="K624:K628"/>
    <mergeCell ref="L624:L628"/>
    <mergeCell ref="M624:M628"/>
    <mergeCell ref="N624:N628"/>
    <mergeCell ref="O624:O628"/>
    <mergeCell ref="P624:P628"/>
    <mergeCell ref="Q624:Q628"/>
    <mergeCell ref="K629:K633"/>
    <mergeCell ref="L629:L633"/>
    <mergeCell ref="M629:M633"/>
    <mergeCell ref="N629:N633"/>
    <mergeCell ref="O629:O633"/>
    <mergeCell ref="P629:P633"/>
    <mergeCell ref="Q629:Q633"/>
    <mergeCell ref="K634:K638"/>
    <mergeCell ref="P634:P638"/>
    <mergeCell ref="Q634:Q638"/>
    <mergeCell ref="A619:A694"/>
    <mergeCell ref="B619:B623"/>
    <mergeCell ref="B624:B628"/>
    <mergeCell ref="B629:B633"/>
    <mergeCell ref="B634:B638"/>
    <mergeCell ref="B639:B643"/>
    <mergeCell ref="B644:B648"/>
    <mergeCell ref="B689:B693"/>
    <mergeCell ref="C644:C648"/>
    <mergeCell ref="B649:B653"/>
    <mergeCell ref="B654:B658"/>
    <mergeCell ref="D659:D663"/>
    <mergeCell ref="E659:E663"/>
    <mergeCell ref="K613:K617"/>
    <mergeCell ref="L613:L617"/>
    <mergeCell ref="M613:M617"/>
    <mergeCell ref="N613:N617"/>
    <mergeCell ref="N669:N673"/>
    <mergeCell ref="K674:K678"/>
    <mergeCell ref="L674:L678"/>
    <mergeCell ref="M674:M678"/>
    <mergeCell ref="N674:N678"/>
    <mergeCell ref="K649:K653"/>
    <mergeCell ref="L649:L653"/>
    <mergeCell ref="M649:M653"/>
    <mergeCell ref="N649:N653"/>
    <mergeCell ref="K654:K658"/>
    <mergeCell ref="L654:L658"/>
    <mergeCell ref="M654:M658"/>
    <mergeCell ref="N654:N658"/>
    <mergeCell ref="K664:K668"/>
    <mergeCell ref="L664:L668"/>
    <mergeCell ref="AG639:AG643"/>
    <mergeCell ref="AG644:AG648"/>
    <mergeCell ref="AG649:AG653"/>
    <mergeCell ref="AG654:AG658"/>
    <mergeCell ref="AG659:AG663"/>
    <mergeCell ref="AG664:AG668"/>
    <mergeCell ref="AG669:AG673"/>
    <mergeCell ref="AG674:AG678"/>
    <mergeCell ref="AG679:AG683"/>
    <mergeCell ref="AG684:AG688"/>
    <mergeCell ref="AG689:AG693"/>
    <mergeCell ref="R694:Y694"/>
    <mergeCell ref="AD694:AG694"/>
    <mergeCell ref="AD695:AG695"/>
    <mergeCell ref="O639:O643"/>
    <mergeCell ref="P639:P643"/>
    <mergeCell ref="Q639:Q643"/>
    <mergeCell ref="O669:O673"/>
    <mergeCell ref="P669:P673"/>
    <mergeCell ref="Q669:Q673"/>
    <mergeCell ref="O674:O678"/>
    <mergeCell ref="P674:P678"/>
    <mergeCell ref="Q674:Q678"/>
    <mergeCell ref="O649:O653"/>
    <mergeCell ref="P649:P653"/>
    <mergeCell ref="Q649:Q653"/>
    <mergeCell ref="O654:O658"/>
    <mergeCell ref="P654:P658"/>
    <mergeCell ref="Q654:Q658"/>
    <mergeCell ref="M664:M668"/>
    <mergeCell ref="N664:N668"/>
    <mergeCell ref="O664:O668"/>
    <mergeCell ref="P664:P668"/>
    <mergeCell ref="Q664:Q668"/>
    <mergeCell ref="L294:L298"/>
    <mergeCell ref="M294:M298"/>
    <mergeCell ref="N294:N298"/>
    <mergeCell ref="O294:O298"/>
    <mergeCell ref="P294:P298"/>
    <mergeCell ref="Q294:Q298"/>
    <mergeCell ref="K299:K303"/>
    <mergeCell ref="L299:L303"/>
    <mergeCell ref="M299:M303"/>
    <mergeCell ref="N299:N303"/>
    <mergeCell ref="O299:O303"/>
    <mergeCell ref="P299:P303"/>
    <mergeCell ref="Q299:Q303"/>
    <mergeCell ref="K304:K308"/>
    <mergeCell ref="L304:L308"/>
    <mergeCell ref="Q309:Q313"/>
    <mergeCell ref="K314:K318"/>
    <mergeCell ref="L314:L318"/>
    <mergeCell ref="M314:M318"/>
    <mergeCell ref="N314:N318"/>
    <mergeCell ref="O314:O318"/>
    <mergeCell ref="P314:P318"/>
    <mergeCell ref="Q314:Q318"/>
    <mergeCell ref="L634:L638"/>
    <mergeCell ref="M634:M638"/>
    <mergeCell ref="N634:N638"/>
    <mergeCell ref="O634:O638"/>
    <mergeCell ref="K639:K643"/>
    <mergeCell ref="L639:L643"/>
    <mergeCell ref="M639:M643"/>
    <mergeCell ref="N639:N643"/>
    <mergeCell ref="K659:K663"/>
    <mergeCell ref="L659:L663"/>
    <mergeCell ref="M659:M663"/>
    <mergeCell ref="N659:N663"/>
    <mergeCell ref="O659:O663"/>
    <mergeCell ref="P659:P663"/>
    <mergeCell ref="Q659:Q663"/>
    <mergeCell ref="K644:K648"/>
    <mergeCell ref="L644:L648"/>
    <mergeCell ref="M644:M648"/>
    <mergeCell ref="N644:N648"/>
    <mergeCell ref="O644:O648"/>
    <mergeCell ref="P644:P648"/>
    <mergeCell ref="Q644:Q648"/>
    <mergeCell ref="K689:K693"/>
    <mergeCell ref="L689:L693"/>
    <mergeCell ref="M689:M693"/>
    <mergeCell ref="N689:N693"/>
    <mergeCell ref="O689:O693"/>
    <mergeCell ref="P689:P693"/>
    <mergeCell ref="Q689:Q693"/>
    <mergeCell ref="K684:K688"/>
    <mergeCell ref="L684:L688"/>
    <mergeCell ref="M684:M688"/>
    <mergeCell ref="N684:N688"/>
    <mergeCell ref="O684:O688"/>
    <mergeCell ref="P684:P688"/>
    <mergeCell ref="Q684:Q688"/>
    <mergeCell ref="K679:K683"/>
    <mergeCell ref="L679:L683"/>
    <mergeCell ref="M679:M683"/>
    <mergeCell ref="N679:N683"/>
    <mergeCell ref="O679:O683"/>
    <mergeCell ref="P679:P683"/>
    <mergeCell ref="Q679:Q683"/>
    <mergeCell ref="K669:K673"/>
    <mergeCell ref="L669:L673"/>
    <mergeCell ref="M669:M673"/>
    <mergeCell ref="B664:B668"/>
    <mergeCell ref="C659:C663"/>
    <mergeCell ref="C664:C668"/>
    <mergeCell ref="B669:B673"/>
    <mergeCell ref="B674:B678"/>
    <mergeCell ref="C669:C673"/>
    <mergeCell ref="C674:C678"/>
    <mergeCell ref="B679:B683"/>
    <mergeCell ref="B684:B688"/>
    <mergeCell ref="C679:C683"/>
    <mergeCell ref="C684:C688"/>
    <mergeCell ref="A289:A349"/>
    <mergeCell ref="B289:B293"/>
    <mergeCell ref="B694:Q694"/>
    <mergeCell ref="K289:K293"/>
    <mergeCell ref="L289:L293"/>
    <mergeCell ref="M289:M293"/>
    <mergeCell ref="N289:N293"/>
    <mergeCell ref="O289:O293"/>
    <mergeCell ref="P289:P293"/>
    <mergeCell ref="Q289:Q293"/>
    <mergeCell ref="K294:K298"/>
    <mergeCell ref="C421:C425"/>
    <mergeCell ref="C426:C430"/>
    <mergeCell ref="C375:C379"/>
    <mergeCell ref="B329:B333"/>
    <mergeCell ref="B334:B338"/>
    <mergeCell ref="B339:B343"/>
    <mergeCell ref="B344:B348"/>
    <mergeCell ref="B532:B536"/>
    <mergeCell ref="C532:C536"/>
    <mergeCell ref="B537:B541"/>
    <mergeCell ref="B431:B435"/>
    <mergeCell ref="B436:B440"/>
    <mergeCell ref="C431:C435"/>
    <mergeCell ref="C436:C440"/>
    <mergeCell ref="B441:B445"/>
    <mergeCell ref="B446:B450"/>
    <mergeCell ref="C441:C445"/>
    <mergeCell ref="C446:C450"/>
    <mergeCell ref="B451:B455"/>
    <mergeCell ref="B456:B460"/>
    <mergeCell ref="C451:C455"/>
    <mergeCell ref="C456:C460"/>
    <mergeCell ref="C583:C587"/>
    <mergeCell ref="B588:B592"/>
    <mergeCell ref="C588:C592"/>
    <mergeCell ref="C543:C547"/>
    <mergeCell ref="B548:B552"/>
    <mergeCell ref="C548:C552"/>
    <mergeCell ref="B553:B557"/>
    <mergeCell ref="C553:C557"/>
    <mergeCell ref="C507:C511"/>
    <mergeCell ref="B512:B516"/>
    <mergeCell ref="C512:C516"/>
    <mergeCell ref="B517:B521"/>
    <mergeCell ref="C517:C521"/>
    <mergeCell ref="B522:B526"/>
    <mergeCell ref="C522:C526"/>
    <mergeCell ref="B527:B531"/>
    <mergeCell ref="C527:C531"/>
    <mergeCell ref="C593:C597"/>
    <mergeCell ref="B593:B597"/>
    <mergeCell ref="B598:B602"/>
    <mergeCell ref="B477:B481"/>
    <mergeCell ref="B482:B486"/>
    <mergeCell ref="C482:C486"/>
    <mergeCell ref="A391:A466"/>
    <mergeCell ref="B391:B395"/>
    <mergeCell ref="B396:B400"/>
    <mergeCell ref="B401:B405"/>
    <mergeCell ref="B406:B410"/>
    <mergeCell ref="B411:B415"/>
    <mergeCell ref="B416:B420"/>
    <mergeCell ref="B461:B465"/>
    <mergeCell ref="C461:C465"/>
    <mergeCell ref="C391:C395"/>
    <mergeCell ref="C396:C400"/>
    <mergeCell ref="C401:C405"/>
    <mergeCell ref="C406:C410"/>
    <mergeCell ref="C411:C415"/>
    <mergeCell ref="C416:C420"/>
    <mergeCell ref="B421:B425"/>
    <mergeCell ref="B426:B430"/>
    <mergeCell ref="B487:B491"/>
    <mergeCell ref="C487:C491"/>
    <mergeCell ref="B492:B496"/>
    <mergeCell ref="C492:C496"/>
    <mergeCell ref="B497:B501"/>
    <mergeCell ref="C497:C501"/>
    <mergeCell ref="B502:B506"/>
    <mergeCell ref="C502:C506"/>
    <mergeCell ref="B507:B511"/>
    <mergeCell ref="A467:A542"/>
    <mergeCell ref="B467:B471"/>
    <mergeCell ref="C467:C471"/>
    <mergeCell ref="B472:B476"/>
    <mergeCell ref="C472:C476"/>
    <mergeCell ref="C477:C481"/>
    <mergeCell ref="C537:C541"/>
    <mergeCell ref="C603:C607"/>
    <mergeCell ref="B608:B612"/>
    <mergeCell ref="C608:C612"/>
    <mergeCell ref="B613:B617"/>
    <mergeCell ref="C613:C617"/>
    <mergeCell ref="C619:C623"/>
    <mergeCell ref="C624:C628"/>
    <mergeCell ref="C629:C633"/>
    <mergeCell ref="C634:C638"/>
    <mergeCell ref="C639:C643"/>
    <mergeCell ref="B558:B562"/>
    <mergeCell ref="C558:C562"/>
    <mergeCell ref="B563:B567"/>
    <mergeCell ref="C563:C567"/>
    <mergeCell ref="B568:B572"/>
    <mergeCell ref="C568:C572"/>
    <mergeCell ref="B573:B577"/>
    <mergeCell ref="C573:C577"/>
    <mergeCell ref="B578:B582"/>
    <mergeCell ref="C578:C582"/>
    <mergeCell ref="C598:C602"/>
    <mergeCell ref="B603:B607"/>
    <mergeCell ref="A543:A618"/>
    <mergeCell ref="B543:B547"/>
    <mergeCell ref="B583:B587"/>
    <mergeCell ref="G344:G348"/>
    <mergeCell ref="H344:H348"/>
    <mergeCell ref="D350:D354"/>
    <mergeCell ref="G309:G313"/>
    <mergeCell ref="H309:H313"/>
    <mergeCell ref="D299:D303"/>
    <mergeCell ref="D304:D308"/>
    <mergeCell ref="E304:E308"/>
    <mergeCell ref="F304:F308"/>
    <mergeCell ref="G304:G308"/>
    <mergeCell ref="H304:H308"/>
    <mergeCell ref="D309:D313"/>
    <mergeCell ref="F319:F323"/>
    <mergeCell ref="G319:G323"/>
    <mergeCell ref="D314:D318"/>
    <mergeCell ref="E314:E318"/>
    <mergeCell ref="F314:F318"/>
    <mergeCell ref="G314:G318"/>
    <mergeCell ref="H314:H318"/>
    <mergeCell ref="E319:E323"/>
    <mergeCell ref="H319:H323"/>
    <mergeCell ref="E309:E313"/>
    <mergeCell ref="F309:F313"/>
    <mergeCell ref="H370:H374"/>
    <mergeCell ref="C370:C374"/>
    <mergeCell ref="G329:G333"/>
    <mergeCell ref="H329:H333"/>
    <mergeCell ref="G334:G338"/>
    <mergeCell ref="H334:H338"/>
    <mergeCell ref="G339:G343"/>
    <mergeCell ref="H339:H343"/>
    <mergeCell ref="D319:D323"/>
    <mergeCell ref="D324:D328"/>
    <mergeCell ref="E324:E328"/>
    <mergeCell ref="F324:F328"/>
    <mergeCell ref="G324:G328"/>
    <mergeCell ref="H324:H328"/>
    <mergeCell ref="D329:D333"/>
    <mergeCell ref="E329:E333"/>
    <mergeCell ref="F329:F333"/>
    <mergeCell ref="D334:D338"/>
    <mergeCell ref="E334:E338"/>
    <mergeCell ref="F334:F338"/>
    <mergeCell ref="E339:E343"/>
    <mergeCell ref="F339:F343"/>
    <mergeCell ref="C360:C364"/>
    <mergeCell ref="C365:C369"/>
    <mergeCell ref="E350:E354"/>
    <mergeCell ref="F350:F354"/>
    <mergeCell ref="G350:G354"/>
    <mergeCell ref="H350:H354"/>
    <mergeCell ref="D339:D343"/>
    <mergeCell ref="D344:D348"/>
    <mergeCell ref="E344:E348"/>
    <mergeCell ref="F344:F348"/>
    <mergeCell ref="G375:G379"/>
    <mergeCell ref="H375:H379"/>
    <mergeCell ref="F385:F389"/>
    <mergeCell ref="G385:G389"/>
    <mergeCell ref="C380:C384"/>
    <mergeCell ref="D380:D384"/>
    <mergeCell ref="E380:E384"/>
    <mergeCell ref="F380:F384"/>
    <mergeCell ref="G380:G384"/>
    <mergeCell ref="H380:H384"/>
    <mergeCell ref="C385:C389"/>
    <mergeCell ref="H385:H389"/>
    <mergeCell ref="C319:C323"/>
    <mergeCell ref="C324:C328"/>
    <mergeCell ref="C329:C333"/>
    <mergeCell ref="C334:C338"/>
    <mergeCell ref="F365:F369"/>
    <mergeCell ref="G365:G369"/>
    <mergeCell ref="D360:D364"/>
    <mergeCell ref="E360:E364"/>
    <mergeCell ref="F360:F364"/>
    <mergeCell ref="G360:G364"/>
    <mergeCell ref="H360:H364"/>
    <mergeCell ref="D365:D369"/>
    <mergeCell ref="E365:E369"/>
    <mergeCell ref="H365:H369"/>
    <mergeCell ref="C339:C343"/>
    <mergeCell ref="C344:C348"/>
    <mergeCell ref="D370:D374"/>
    <mergeCell ref="E370:E374"/>
    <mergeCell ref="F370:F374"/>
    <mergeCell ref="G370:G374"/>
    <mergeCell ref="A350:A390"/>
    <mergeCell ref="B350:B354"/>
    <mergeCell ref="B355:B359"/>
    <mergeCell ref="B370:B374"/>
    <mergeCell ref="B375:B379"/>
    <mergeCell ref="B380:B384"/>
    <mergeCell ref="B385:B389"/>
    <mergeCell ref="C350:C354"/>
    <mergeCell ref="C355:C359"/>
    <mergeCell ref="D355:D359"/>
    <mergeCell ref="E355:E359"/>
    <mergeCell ref="F355:F359"/>
    <mergeCell ref="G355:G359"/>
    <mergeCell ref="H355:H359"/>
    <mergeCell ref="D385:D389"/>
    <mergeCell ref="E385:E389"/>
    <mergeCell ref="B9:B13"/>
    <mergeCell ref="B108:B112"/>
    <mergeCell ref="B149:B153"/>
    <mergeCell ref="C149:C153"/>
    <mergeCell ref="B154:B158"/>
    <mergeCell ref="C154:C158"/>
    <mergeCell ref="B159:B163"/>
    <mergeCell ref="C159:C163"/>
    <mergeCell ref="B164:B168"/>
    <mergeCell ref="C164:C168"/>
    <mergeCell ref="B268:B272"/>
    <mergeCell ref="C268:C272"/>
    <mergeCell ref="B273:B277"/>
    <mergeCell ref="C273:C277"/>
    <mergeCell ref="A67:A107"/>
    <mergeCell ref="B67:B71"/>
    <mergeCell ref="I268:I272"/>
    <mergeCell ref="J268:J272"/>
    <mergeCell ref="I273:I277"/>
    <mergeCell ref="J273:J277"/>
    <mergeCell ref="J278:J282"/>
    <mergeCell ref="I278:I282"/>
    <mergeCell ref="I283:I287"/>
    <mergeCell ref="I289:I293"/>
    <mergeCell ref="I294:I298"/>
    <mergeCell ref="J294:J298"/>
    <mergeCell ref="I299:I303"/>
    <mergeCell ref="J299:J303"/>
    <mergeCell ref="I304:I308"/>
    <mergeCell ref="J304:J308"/>
    <mergeCell ref="I309:I313"/>
    <mergeCell ref="J309:J313"/>
    <mergeCell ref="I314:I318"/>
    <mergeCell ref="J314:J318"/>
    <mergeCell ref="J319:J323"/>
    <mergeCell ref="I319:I323"/>
    <mergeCell ref="I324:I328"/>
    <mergeCell ref="I329:I333"/>
    <mergeCell ref="I334:I338"/>
    <mergeCell ref="I339:I343"/>
    <mergeCell ref="I344:I348"/>
    <mergeCell ref="I350:I354"/>
    <mergeCell ref="J360:J364"/>
    <mergeCell ref="J365:J369"/>
    <mergeCell ref="J370:J374"/>
    <mergeCell ref="J375:J379"/>
    <mergeCell ref="J380:J384"/>
    <mergeCell ref="J385:J389"/>
    <mergeCell ref="J391:J395"/>
    <mergeCell ref="J396:J400"/>
    <mergeCell ref="J324:J328"/>
    <mergeCell ref="J329:J333"/>
    <mergeCell ref="J334:J338"/>
    <mergeCell ref="J339:J343"/>
    <mergeCell ref="J344:J348"/>
    <mergeCell ref="J350:J354"/>
    <mergeCell ref="J355:J359"/>
    <mergeCell ref="I391:I395"/>
    <mergeCell ref="I396:I400"/>
    <mergeCell ref="I355:I359"/>
    <mergeCell ref="I360:I364"/>
    <mergeCell ref="I365:I369"/>
    <mergeCell ref="I370:I374"/>
    <mergeCell ref="I375:I379"/>
    <mergeCell ref="I380:I384"/>
    <mergeCell ref="I385:I389"/>
    <mergeCell ref="C113:C117"/>
    <mergeCell ref="B118:B122"/>
    <mergeCell ref="C118:C122"/>
    <mergeCell ref="B123:B132"/>
    <mergeCell ref="C123:C132"/>
    <mergeCell ref="B133:B137"/>
    <mergeCell ref="C133:C137"/>
    <mergeCell ref="B138:B142"/>
    <mergeCell ref="C138:C142"/>
    <mergeCell ref="J283:J287"/>
    <mergeCell ref="J289:J293"/>
    <mergeCell ref="F299:F303"/>
    <mergeCell ref="G299:G303"/>
    <mergeCell ref="D294:D298"/>
    <mergeCell ref="E294:E298"/>
    <mergeCell ref="F294:F298"/>
    <mergeCell ref="G294:G298"/>
    <mergeCell ref="H294:H298"/>
    <mergeCell ref="E299:E303"/>
    <mergeCell ref="H299:H303"/>
    <mergeCell ref="B143:B148"/>
    <mergeCell ref="C143:C148"/>
    <mergeCell ref="D169:D267"/>
    <mergeCell ref="E169:E267"/>
    <mergeCell ref="F169:F267"/>
    <mergeCell ref="G169:G267"/>
    <mergeCell ref="H169:H267"/>
    <mergeCell ref="F273:F277"/>
    <mergeCell ref="G273:G277"/>
    <mergeCell ref="D268:D272"/>
    <mergeCell ref="E268:E272"/>
    <mergeCell ref="F268:F272"/>
    <mergeCell ref="G268:G272"/>
    <mergeCell ref="H268:H272"/>
    <mergeCell ref="E273:E277"/>
    <mergeCell ref="H273:H277"/>
    <mergeCell ref="G283:G287"/>
    <mergeCell ref="H283:H287"/>
    <mergeCell ref="D273:D277"/>
    <mergeCell ref="D278:D282"/>
    <mergeCell ref="E278:E282"/>
    <mergeCell ref="F278:F282"/>
    <mergeCell ref="G278:G282"/>
    <mergeCell ref="H278:H282"/>
    <mergeCell ref="D283:D287"/>
    <mergeCell ref="E283:E287"/>
    <mergeCell ref="F283:F287"/>
    <mergeCell ref="D289:D293"/>
    <mergeCell ref="E289:E293"/>
    <mergeCell ref="F289:F293"/>
    <mergeCell ref="G289:G293"/>
    <mergeCell ref="H289:H293"/>
    <mergeCell ref="B169:B267"/>
    <mergeCell ref="C169:C267"/>
    <mergeCell ref="B278:B282"/>
    <mergeCell ref="C278:C282"/>
    <mergeCell ref="B283:B287"/>
    <mergeCell ref="C283:C287"/>
    <mergeCell ref="C289:C293"/>
    <mergeCell ref="C294:C298"/>
    <mergeCell ref="C299:C303"/>
    <mergeCell ref="C304:C308"/>
    <mergeCell ref="B319:B323"/>
    <mergeCell ref="B324:B328"/>
    <mergeCell ref="C309:C313"/>
    <mergeCell ref="C314:C318"/>
    <mergeCell ref="D391:D395"/>
    <mergeCell ref="E391:E395"/>
    <mergeCell ref="F391:F395"/>
    <mergeCell ref="D375:D379"/>
    <mergeCell ref="E375:E379"/>
    <mergeCell ref="F375:F379"/>
    <mergeCell ref="B294:B298"/>
    <mergeCell ref="B299:B303"/>
    <mergeCell ref="B304:B308"/>
    <mergeCell ref="B309:B313"/>
    <mergeCell ref="B314:B318"/>
    <mergeCell ref="B360:B364"/>
    <mergeCell ref="B365:B369"/>
    <mergeCell ref="G391:G395"/>
    <mergeCell ref="H391:H395"/>
    <mergeCell ref="D421:D425"/>
    <mergeCell ref="E421:E425"/>
    <mergeCell ref="F421:F425"/>
    <mergeCell ref="G421:G425"/>
    <mergeCell ref="H421:H425"/>
    <mergeCell ref="I421:I425"/>
    <mergeCell ref="J421:J425"/>
    <mergeCell ref="D426:D430"/>
    <mergeCell ref="E426:E430"/>
    <mergeCell ref="F426:F430"/>
    <mergeCell ref="G426:G430"/>
    <mergeCell ref="H426:H430"/>
    <mergeCell ref="I426:I430"/>
    <mergeCell ref="J426:J430"/>
    <mergeCell ref="D431:D435"/>
    <mergeCell ref="E431:E435"/>
    <mergeCell ref="F431:F435"/>
    <mergeCell ref="G431:G435"/>
    <mergeCell ref="H431:H435"/>
    <mergeCell ref="I431:I435"/>
    <mergeCell ref="J431:J435"/>
    <mergeCell ref="D396:D400"/>
    <mergeCell ref="E396:E400"/>
    <mergeCell ref="F396:F400"/>
    <mergeCell ref="G396:G400"/>
    <mergeCell ref="H396:H400"/>
    <mergeCell ref="H411:H415"/>
    <mergeCell ref="I411:I415"/>
    <mergeCell ref="J411:J415"/>
    <mergeCell ref="D416:D420"/>
    <mergeCell ref="D436:D440"/>
    <mergeCell ref="E436:E440"/>
    <mergeCell ref="F436:F440"/>
    <mergeCell ref="G436:G440"/>
    <mergeCell ref="H436:H440"/>
    <mergeCell ref="I436:I440"/>
    <mergeCell ref="J436:J440"/>
    <mergeCell ref="D441:D445"/>
    <mergeCell ref="E441:E445"/>
    <mergeCell ref="F441:F445"/>
    <mergeCell ref="G441:G445"/>
    <mergeCell ref="H441:H445"/>
    <mergeCell ref="I441:I445"/>
    <mergeCell ref="J441:J445"/>
    <mergeCell ref="D446:D450"/>
    <mergeCell ref="E446:E450"/>
    <mergeCell ref="F446:F450"/>
    <mergeCell ref="G446:G450"/>
    <mergeCell ref="H446:H450"/>
    <mergeCell ref="I446:I450"/>
    <mergeCell ref="J446:J450"/>
    <mergeCell ref="D451:D455"/>
    <mergeCell ref="E451:E455"/>
    <mergeCell ref="F451:F455"/>
    <mergeCell ref="G451:G455"/>
    <mergeCell ref="H451:H455"/>
    <mergeCell ref="I451:I455"/>
    <mergeCell ref="J451:J455"/>
    <mergeCell ref="D456:D460"/>
    <mergeCell ref="E456:E460"/>
    <mergeCell ref="F456:F460"/>
    <mergeCell ref="G456:G460"/>
    <mergeCell ref="H456:H460"/>
    <mergeCell ref="I456:I460"/>
    <mergeCell ref="J456:J460"/>
    <mergeCell ref="D472:D476"/>
    <mergeCell ref="E472:E476"/>
    <mergeCell ref="F472:F476"/>
    <mergeCell ref="G472:G476"/>
    <mergeCell ref="H472:H476"/>
    <mergeCell ref="I472:I476"/>
    <mergeCell ref="J472:J476"/>
    <mergeCell ref="I467:I471"/>
    <mergeCell ref="J467:J471"/>
    <mergeCell ref="D477:D481"/>
    <mergeCell ref="E477:E481"/>
    <mergeCell ref="F477:F481"/>
    <mergeCell ref="G477:G481"/>
    <mergeCell ref="H477:H481"/>
    <mergeCell ref="I477:I481"/>
    <mergeCell ref="J477:J481"/>
    <mergeCell ref="D482:D486"/>
    <mergeCell ref="E482:E486"/>
    <mergeCell ref="F482:F486"/>
    <mergeCell ref="G482:G486"/>
    <mergeCell ref="H482:H486"/>
    <mergeCell ref="I482:I486"/>
    <mergeCell ref="J482:J486"/>
    <mergeCell ref="D487:D491"/>
    <mergeCell ref="E487:E491"/>
    <mergeCell ref="F487:F491"/>
    <mergeCell ref="G487:G491"/>
    <mergeCell ref="H487:H491"/>
    <mergeCell ref="I487:I491"/>
    <mergeCell ref="J487:J491"/>
    <mergeCell ref="D492:D496"/>
    <mergeCell ref="E492:E496"/>
    <mergeCell ref="F492:F496"/>
    <mergeCell ref="G492:G496"/>
    <mergeCell ref="H492:H496"/>
    <mergeCell ref="I492:I496"/>
    <mergeCell ref="J492:J496"/>
    <mergeCell ref="D497:D501"/>
    <mergeCell ref="E497:E501"/>
    <mergeCell ref="F497:F501"/>
    <mergeCell ref="G497:G501"/>
    <mergeCell ref="H497:H501"/>
    <mergeCell ref="I497:I501"/>
    <mergeCell ref="J497:J501"/>
    <mergeCell ref="D502:D506"/>
    <mergeCell ref="E502:E506"/>
    <mergeCell ref="F502:F506"/>
    <mergeCell ref="G502:G506"/>
    <mergeCell ref="H502:H506"/>
    <mergeCell ref="I502:I506"/>
    <mergeCell ref="J502:J506"/>
    <mergeCell ref="D507:D511"/>
    <mergeCell ref="E507:E511"/>
    <mergeCell ref="F507:F511"/>
    <mergeCell ref="G507:G511"/>
    <mergeCell ref="H507:H511"/>
    <mergeCell ref="I507:I511"/>
    <mergeCell ref="J507:J511"/>
    <mergeCell ref="D512:D516"/>
    <mergeCell ref="E512:E516"/>
    <mergeCell ref="F512:F516"/>
    <mergeCell ref="G512:G516"/>
    <mergeCell ref="H512:H516"/>
    <mergeCell ref="I512:I516"/>
    <mergeCell ref="J512:J516"/>
    <mergeCell ref="D517:D521"/>
    <mergeCell ref="E517:E521"/>
    <mergeCell ref="F517:F521"/>
    <mergeCell ref="G517:G521"/>
    <mergeCell ref="H517:H521"/>
    <mergeCell ref="I517:I521"/>
    <mergeCell ref="J517:J521"/>
    <mergeCell ref="D553:D557"/>
    <mergeCell ref="E553:E557"/>
    <mergeCell ref="F553:F557"/>
    <mergeCell ref="G553:G557"/>
    <mergeCell ref="H553:H557"/>
    <mergeCell ref="I553:I557"/>
    <mergeCell ref="J553:J557"/>
    <mergeCell ref="D558:D562"/>
    <mergeCell ref="D522:D526"/>
    <mergeCell ref="E522:E526"/>
    <mergeCell ref="F522:F526"/>
    <mergeCell ref="G522:G526"/>
    <mergeCell ref="H522:H526"/>
    <mergeCell ref="I522:I526"/>
    <mergeCell ref="J522:J526"/>
    <mergeCell ref="D527:D531"/>
    <mergeCell ref="E527:E531"/>
    <mergeCell ref="F527:F531"/>
    <mergeCell ref="G527:G531"/>
    <mergeCell ref="H527:H531"/>
    <mergeCell ref="I527:I531"/>
    <mergeCell ref="J527:J531"/>
    <mergeCell ref="D532:D536"/>
    <mergeCell ref="E532:E536"/>
    <mergeCell ref="F532:F536"/>
    <mergeCell ref="G532:G536"/>
    <mergeCell ref="H532:H536"/>
    <mergeCell ref="I532:I536"/>
    <mergeCell ref="J532:J536"/>
    <mergeCell ref="D537:D541"/>
    <mergeCell ref="E537:E541"/>
    <mergeCell ref="F537:F541"/>
    <mergeCell ref="G537:G541"/>
    <mergeCell ref="H537:H541"/>
    <mergeCell ref="I537:I541"/>
    <mergeCell ref="J537:J541"/>
    <mergeCell ref="D543:D547"/>
    <mergeCell ref="E543:E547"/>
    <mergeCell ref="F543:F547"/>
    <mergeCell ref="G543:G547"/>
    <mergeCell ref="H543:H547"/>
    <mergeCell ref="I543:I547"/>
    <mergeCell ref="J543:J547"/>
    <mergeCell ref="D548:D552"/>
    <mergeCell ref="E548:E552"/>
    <mergeCell ref="F548:F552"/>
    <mergeCell ref="G548:G552"/>
    <mergeCell ref="H548:H552"/>
    <mergeCell ref="I548:I552"/>
    <mergeCell ref="J548:J552"/>
    <mergeCell ref="E558:E562"/>
    <mergeCell ref="F558:F562"/>
    <mergeCell ref="G558:G562"/>
    <mergeCell ref="H558:H562"/>
    <mergeCell ref="I558:I562"/>
    <mergeCell ref="J558:J562"/>
    <mergeCell ref="D563:D567"/>
    <mergeCell ref="E563:E567"/>
    <mergeCell ref="F563:F567"/>
    <mergeCell ref="G563:G567"/>
    <mergeCell ref="H563:H567"/>
    <mergeCell ref="I563:I567"/>
    <mergeCell ref="J563:J567"/>
    <mergeCell ref="I568:I572"/>
    <mergeCell ref="J568:J572"/>
    <mergeCell ref="D573:D577"/>
    <mergeCell ref="E573:E577"/>
    <mergeCell ref="F573:F577"/>
    <mergeCell ref="G573:G577"/>
    <mergeCell ref="H573:H577"/>
    <mergeCell ref="I573:I577"/>
    <mergeCell ref="J573:J577"/>
    <mergeCell ref="D568:D572"/>
    <mergeCell ref="E568:E572"/>
    <mergeCell ref="F568:F572"/>
    <mergeCell ref="G568:G572"/>
    <mergeCell ref="H568:H572"/>
    <mergeCell ref="D578:D582"/>
    <mergeCell ref="E578:E582"/>
    <mergeCell ref="F578:F582"/>
    <mergeCell ref="G578:G582"/>
    <mergeCell ref="H578:H582"/>
    <mergeCell ref="I578:I582"/>
    <mergeCell ref="J578:J582"/>
    <mergeCell ref="D624:D628"/>
    <mergeCell ref="E624:E628"/>
    <mergeCell ref="F624:F628"/>
    <mergeCell ref="G624:G628"/>
    <mergeCell ref="H624:H628"/>
    <mergeCell ref="I624:I628"/>
    <mergeCell ref="J624:J628"/>
    <mergeCell ref="J608:J612"/>
    <mergeCell ref="G613:G617"/>
    <mergeCell ref="H613:H617"/>
    <mergeCell ref="I613:I617"/>
    <mergeCell ref="J613:J617"/>
    <mergeCell ref="D619:D623"/>
    <mergeCell ref="E619:E623"/>
    <mergeCell ref="F629:F633"/>
    <mergeCell ref="G629:G633"/>
    <mergeCell ref="I639:I643"/>
    <mergeCell ref="J639:J643"/>
    <mergeCell ref="G634:G638"/>
    <mergeCell ref="H634:H638"/>
    <mergeCell ref="I634:I638"/>
    <mergeCell ref="J634:J638"/>
    <mergeCell ref="D639:D643"/>
    <mergeCell ref="E639:E643"/>
    <mergeCell ref="F639:F643"/>
    <mergeCell ref="E634:E638"/>
    <mergeCell ref="F634:F638"/>
    <mergeCell ref="G659:G663"/>
    <mergeCell ref="H659:H663"/>
    <mergeCell ref="I659:I663"/>
    <mergeCell ref="J659:J663"/>
    <mergeCell ref="G669:G673"/>
    <mergeCell ref="H669:H673"/>
    <mergeCell ref="I669:I673"/>
    <mergeCell ref="J669:J673"/>
    <mergeCell ref="D654:D658"/>
    <mergeCell ref="E654:E658"/>
    <mergeCell ref="F654:F658"/>
    <mergeCell ref="G654:G658"/>
    <mergeCell ref="H654:H658"/>
    <mergeCell ref="I654:I658"/>
    <mergeCell ref="J654:J658"/>
    <mergeCell ref="J461:J465"/>
    <mergeCell ref="D467:D471"/>
    <mergeCell ref="E467:E471"/>
    <mergeCell ref="F467:F471"/>
    <mergeCell ref="G467:G471"/>
    <mergeCell ref="H467:H471"/>
    <mergeCell ref="D603:D607"/>
    <mergeCell ref="E603:E607"/>
    <mergeCell ref="F603:F607"/>
    <mergeCell ref="G603:G607"/>
    <mergeCell ref="H603:H607"/>
    <mergeCell ref="I603:I607"/>
    <mergeCell ref="J603:J607"/>
    <mergeCell ref="D608:D612"/>
    <mergeCell ref="E608:E612"/>
    <mergeCell ref="F608:F612"/>
    <mergeCell ref="G608:G612"/>
    <mergeCell ref="H608:H612"/>
    <mergeCell ref="I608:I612"/>
    <mergeCell ref="D629:D633"/>
    <mergeCell ref="E629:E633"/>
    <mergeCell ref="D679:D683"/>
    <mergeCell ref="E679:E683"/>
    <mergeCell ref="F679:F683"/>
    <mergeCell ref="G679:G683"/>
    <mergeCell ref="H679:H683"/>
    <mergeCell ref="I679:I683"/>
    <mergeCell ref="J679:J683"/>
    <mergeCell ref="F401:F405"/>
    <mergeCell ref="G401:G405"/>
    <mergeCell ref="H401:H405"/>
    <mergeCell ref="I401:I405"/>
    <mergeCell ref="J401:J405"/>
    <mergeCell ref="D401:D405"/>
    <mergeCell ref="E401:E405"/>
    <mergeCell ref="D406:D410"/>
    <mergeCell ref="E406:E410"/>
    <mergeCell ref="F406:F410"/>
    <mergeCell ref="G406:G410"/>
    <mergeCell ref="H406:H410"/>
    <mergeCell ref="I406:I410"/>
    <mergeCell ref="J406:J410"/>
    <mergeCell ref="D411:D415"/>
    <mergeCell ref="E411:E415"/>
    <mergeCell ref="F411:F415"/>
    <mergeCell ref="G411:G415"/>
    <mergeCell ref="F659:F663"/>
    <mergeCell ref="H664:H668"/>
    <mergeCell ref="I664:I668"/>
    <mergeCell ref="J664:J668"/>
    <mergeCell ref="D669:D673"/>
    <mergeCell ref="E669:E673"/>
    <mergeCell ref="F669:F673"/>
    <mergeCell ref="E416:E420"/>
    <mergeCell ref="F416:F420"/>
    <mergeCell ref="G416:G420"/>
    <mergeCell ref="H416:H420"/>
    <mergeCell ref="I416:I420"/>
    <mergeCell ref="J416:J420"/>
    <mergeCell ref="D689:D693"/>
    <mergeCell ref="E689:E693"/>
    <mergeCell ref="F689:F693"/>
    <mergeCell ref="G689:G693"/>
    <mergeCell ref="H689:H693"/>
    <mergeCell ref="I689:I693"/>
    <mergeCell ref="J689:J693"/>
    <mergeCell ref="D684:D688"/>
    <mergeCell ref="E684:E688"/>
    <mergeCell ref="F684:F688"/>
    <mergeCell ref="G684:G688"/>
    <mergeCell ref="H684:H688"/>
    <mergeCell ref="I684:I688"/>
    <mergeCell ref="J684:J688"/>
    <mergeCell ref="D461:D465"/>
    <mergeCell ref="E461:E465"/>
    <mergeCell ref="F461:F465"/>
    <mergeCell ref="G461:G465"/>
    <mergeCell ref="H461:H465"/>
    <mergeCell ref="I461:I465"/>
    <mergeCell ref="D674:D678"/>
    <mergeCell ref="E674:E678"/>
    <mergeCell ref="F674:F678"/>
    <mergeCell ref="G674:G678"/>
    <mergeCell ref="I598:I602"/>
    <mergeCell ref="J598:J602"/>
    <mergeCell ref="H674:H678"/>
    <mergeCell ref="I674:I678"/>
    <mergeCell ref="D583:D587"/>
    <mergeCell ref="E583:E587"/>
    <mergeCell ref="F583:F587"/>
    <mergeCell ref="G583:G587"/>
    <mergeCell ref="H583:H587"/>
    <mergeCell ref="I583:I587"/>
    <mergeCell ref="J583:J587"/>
    <mergeCell ref="D588:D592"/>
    <mergeCell ref="E588:E592"/>
    <mergeCell ref="F588:F592"/>
    <mergeCell ref="G588:G592"/>
    <mergeCell ref="H588:H592"/>
    <mergeCell ref="I588:I592"/>
    <mergeCell ref="J588:J592"/>
    <mergeCell ref="D593:D597"/>
    <mergeCell ref="E593:E597"/>
    <mergeCell ref="F593:F597"/>
    <mergeCell ref="G593:G597"/>
    <mergeCell ref="H593:H597"/>
    <mergeCell ref="I593:I597"/>
    <mergeCell ref="J593:J597"/>
    <mergeCell ref="J674:J678"/>
    <mergeCell ref="F664:F668"/>
    <mergeCell ref="G664:G668"/>
    <mergeCell ref="E598:E602"/>
    <mergeCell ref="F598:F602"/>
    <mergeCell ref="G598:G602"/>
    <mergeCell ref="H598:H602"/>
    <mergeCell ref="D664:D668"/>
    <mergeCell ref="E664:E668"/>
    <mergeCell ref="T735:V735"/>
    <mergeCell ref="Y7:AC7"/>
    <mergeCell ref="D644:D648"/>
    <mergeCell ref="E644:E648"/>
    <mergeCell ref="F644:F648"/>
    <mergeCell ref="G644:G648"/>
    <mergeCell ref="H644:H648"/>
    <mergeCell ref="I644:I648"/>
    <mergeCell ref="J644:J648"/>
    <mergeCell ref="D649:D653"/>
    <mergeCell ref="E649:E653"/>
    <mergeCell ref="F649:F653"/>
    <mergeCell ref="G649:G653"/>
    <mergeCell ref="H649:H653"/>
    <mergeCell ref="I649:I653"/>
    <mergeCell ref="J649:J653"/>
    <mergeCell ref="H629:H633"/>
    <mergeCell ref="I629:I633"/>
    <mergeCell ref="J629:J633"/>
    <mergeCell ref="D634:D638"/>
    <mergeCell ref="F619:F623"/>
    <mergeCell ref="G619:G623"/>
    <mergeCell ref="H619:H623"/>
    <mergeCell ref="I619:I623"/>
    <mergeCell ref="J619:J623"/>
    <mergeCell ref="G639:G643"/>
    <mergeCell ref="H639:H643"/>
    <mergeCell ref="D613:D617"/>
    <mergeCell ref="E613:E617"/>
    <mergeCell ref="F613:F617"/>
    <mergeCell ref="T729:V729"/>
    <mergeCell ref="D598:D602"/>
  </mergeCells>
  <dataValidations count="5">
    <dataValidation type="list" allowBlank="1" showInputMessage="1" showErrorMessage="1" prompt="Orientación: - Escoja un Lineamiento Estratégico de la lista despegable." sqref="E9 E674 E613 E608 E603 E598 E593 E588 E583 E578 E573 E568 E563 E558 E553 E548 E543 E532 E527 E522 E517 E512 E507 E502 E497 E492 E487 E482 E477 E472 E467 E456 E451 E446 E441 E436 E431 E426 E421 E416 E411 E406 E401 E396 E391 E350 E289 E108 E14" xr:uid="{00000000-0002-0000-1500-000000000000}">
      <formula1>INDIRECT($D9)</formula1>
    </dataValidation>
    <dataValidation type="list" allowBlank="1" showInputMessage="1" showErrorMessage="1" prompt="Orientación: - Escoja un Eje Estratégico de la lista despegable." sqref="D9 D674 D613 D608 D603 D598 D593 D588 D583 D578 D573 D568 D563 D558 D553 D548 D543 D532 D527 D522 D517 D512 D507 D502 D497 D492 D487 D482 D477 D472 D467 D456 D451 D446 D441 D436 D431 D426 D421 D416 D411 D406 D401 D396 D391 D350 D289 D108 D14" xr:uid="{00000000-0002-0000-1500-000001000000}">
      <formula1>INDIRECT($F9)</formula1>
    </dataValidation>
    <dataValidation type="list" allowBlank="1" showErrorMessage="1" sqref="E37 E689 E684 E679 E669 E664 E659 E654 E649 E644 E639 E634 E629 E624 E619 E537 E461 E385 E380 E375 E370 E365 E360 E355 E344 E339 E334 E329 E324 E319 E314 E309 E304 E299 E294 E283 E278 E273 E268 E169 E164 E159 E154 E149 E143 E138 E133 E123 E118 E113 E102 E97 E92 E87 E82 E77 E72 E67 E47 E42" xr:uid="{00000000-0002-0000-1500-000002000000}">
      <formula1>INDIRECT($D37)</formula1>
    </dataValidation>
    <dataValidation type="list" allowBlank="1" showErrorMessage="1" sqref="D37 D689 D684 D679 D669 D664 D659 D654 D649 D644 D639 D634 D629 D624 D619 D537 D461 D385 D380 D375 D370 D365 D360 D355 D344 D339 D334 D329 D324 D319 D314 D309 D304 D299 D294 D283 D278 D273 D268 D169 D164 D159 D154 D149 D143 D138 D133 D123 D118 D113 D102 D97 D92 D87 D82 D77 D72 D67 D47 D42" xr:uid="{00000000-0002-0000-1500-000003000000}">
      <formula1>INDIRECT($F37)</formula1>
    </dataValidation>
    <dataValidation type="decimal" allowBlank="1" showInputMessage="1" showErrorMessage="1" prompt="DPLAN - Sólo debe ingresar valores, NO porcentajes." sqref="L9:N9 L47:N47 L67:N67 L77:N77 L82:N82 L92:N92 L97:N97 L102:N102 L108:N108 L133:N133 L138:N138 L149:N149 L154:N154 L164:N164 L169:N169 L174 N174 L180:N180 L185:N185 L190:N190 L204:N207 L217:N217 L222:N222 L232:N232 L244:N244 L253:N253 L268:N268 L273:N273 L278:N278 L283:N283 L289:N289 L309:N309 L314:N314 L324:N324 L329:N329 L339:N339 L344:N344 L350:N350 L375:N375 L380:N380 L391:N391 L396:N396 L401:N401 L406:N406 L411:N411 L416:N416 L421:N421 L426:N426 L431:N431 L436:N436 L441:N441 L446:N446 L451:N451 L456:N456 L467:N467 L472:N472 L477:N477 L482:N482 L487:N487 L492:N492 L497:N497 L502:N502 L507:N507 L512:N512 L517:N517 L522:N522 L527:N527 L532:N532 L543:N543 L548:N548 L553:N553 L558:N558 L563:N563 L568:N568 L573:N573 L578:N578 L583:N583 L588:N588 L593:N593 L598:N598 L603:N603 L608:N608 L674:N674" xr:uid="{00000000-0002-0000-15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&amp;LFacultad de Ciencias Agropecuarias&amp;C&amp;P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r:uid="{00000000-0002-0000-1500-000005000000}">
          <x14:formula1>
            <xm:f>'https://utmachalaeduec-my.sharepoint.com/personal/planificacion_utmachala_edu_ec/Documents/Gestión 2023/G.06 EMISION DE INSUMOS PARA ELAB. DE LA PROF, PRESUPUESTARIA Y SUS REFORMAS/REFORMA N° 002-2023/[PEDI]PEDI'!#REF!</xm:f>
          </x14:formula1>
          <xm:sqref>F9 F14 F108 F289 F350 F391 F396 F401 F406 F411 F416 F421 F426 F431 F436 F441 F446 F451 F456 F467 F472 F477 F482 F487 F492 F497 F502 F507 F512 F517 F522 F527 F532 F543 F548 F553 F558 F563 F568 F573 F578 F583 F588 F593 F598 F603 F608 F613 F674</xm:sqref>
        </x14:dataValidation>
        <x14:dataValidation type="list" allowBlank="1" showInputMessage="1" showErrorMessage="1" prompt="Orientación: - Escoja una Estrategia DAFO de la lista despegable." xr:uid="{00000000-0002-0000-15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H9 H14 H108 H289 H350 H391 H396 H401 H406 H411 H416 H421 H426 H431 H436 H441 H446 H451 H456 H467 H472 H477 H482 H487 H492 H497 H502 H507 H512 H517 H522 H527 H532 H543 H548 H553 H558 H563 H568 H573 H578 H583 H588 H593 H598 H603 H608 H613 H674</xm:sqref>
        </x14:dataValidation>
        <x14:dataValidation type="list" allowBlank="1" showInputMessage="1" showErrorMessage="1" prompt="Orientación: - Escoja una Política Pública/Meta Nacional de la lista despegable." xr:uid="{00000000-0002-0000-1500-000007000000}">
          <x14:formula1>
            <xm:f>'https://utmachalaeduec-my.sharepoint.com/personal/planificacion_utmachala_edu_ec/Documents/Gestión 2023/G.06 EMISION DE INSUMOS PARA ELAB. DE LA PROF, PRESUPUESTARIA Y SUS REFORMAS/REFORMA N° 002-2023/[PND]PND'!#REF!</xm:f>
          </x14:formula1>
          <xm:sqref>C9 C14 C47 C108 C289 C350 C391 C396 C401 C406 C411 C416 C421 C426 C431 C436 C441 C446 C451 C456 C467 C472 C477 C482 C487 C492 C497 C502 C507 C512 C517 C522 C527 C532 C543 C548 C553 C558 C563 C568 C573 C578 C583 C588 C593 C598 C603 C608 C613 C674</xm:sqref>
        </x14:dataValidation>
        <x14:dataValidation type="list" allowBlank="1" showErrorMessage="1" xr:uid="{00000000-0002-0000-15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H37 H42 H47 H67 H72 H77 H82 H87 H92 H97 H102 H113 H118 H123 H133 H138 H143 H149 H154 H159 H164 H169 H268 H273 H278 H283 H294 H299 H304 H309 H314 H319 H324 H329 H334 H339 H344 H355 H360 H365 H370 H375 H380 H385 H461 H537 H619 H624 H629 H634 H639 H644 H649 H654 H659 H664 H669 H679 H684 H689</xm:sqref>
        </x14:dataValidation>
        <x14:dataValidation type="list" allowBlank="1" showInputMessage="1" showErrorMessage="1" prompt="Orientación: - Escoja un Objetivo Nacional de la lista despegable." xr:uid="{00000000-0002-0000-1500-000009000000}">
          <x14:formula1>
            <xm:f>'https://utmachalaeduec-my.sharepoint.com/personal/planificacion_utmachala_edu_ec/Documents/Gestión 2023/G.06 EMISION DE INSUMOS PARA ELAB. DE LA PROF, PRESUPUESTARIA Y SUS REFORMAS/REFORMA N° 002-2023/[PND]PND'!#REF!</xm:f>
          </x14:formula1>
          <xm:sqref>B9 B108 B289 B350 B391 B396 B401 B406 B411 B416 B421 B426 B431 B436 B441 B446 B451 B456 B467 B472 B477 B482 B487 B492 B497 B502 B507 B512 B517 B522 B527 B532 B543 B548 B553 B558 B563 B568 B573 B578 B583 B588 B593 B598 B603 B608 B613 B674</xm:sqref>
        </x14:dataValidation>
        <x14:dataValidation type="list" allowBlank="1" showErrorMessage="1" xr:uid="{00000000-0002-0000-1500-00000A000000}">
          <x14:formula1>
            <xm:f>('https://utmachalaeduec-my.sharepoint.com/personal/planificacion_utmachala_edu_ec/Documents/Gestión 2023/G.06 EMISION DE INSUMOS PARA ELAB. DE LA PROF, PRESUPUESTARIA Y SUS REFORMAS/REFORMA N° 002-2023/[PEDI]PEDI'!#REF!)</xm:f>
          </x14:formula1>
          <xm:sqref>G37 G42 G47 G67 G72 G77 G82 G87 G92 G97 G102 G113 G118 G123 G133 G138 G143 G149 G154 G159 G164 G169 G268 G273 G278 G283 G294 G299 G304 G309 G314 G319 G324 G329 G334 G339 G344 G355 G360 G365 G370 G375 G380 G385 G461 G537 G619 G624 G629 G634 G639 G644 G649 G654 G659 G664 G669 G679 G684 G689</xm:sqref>
        </x14:dataValidation>
        <x14:dataValidation type="list" allowBlank="1" showErrorMessage="1" xr:uid="{00000000-0002-0000-1500-00000B000000}">
          <x14:formula1>
            <xm:f>'https://utmachalaeduec-my.sharepoint.com/personal/planificacion_utmachala_edu_ec/Documents/Gestión 2023/G.06 EMISION DE INSUMOS PARA ELAB. DE LA PROF, PRESUPUESTARIA Y SUS REFORMAS/REFORMA N° 002-2023/[PEDI]PEDI'!#REF!</xm:f>
          </x14:formula1>
          <xm:sqref>F37 F42 F47 F67 F72 F77 F82 F87 F92 F97 F102 F113 F118 F123 F133 F138 F143 F149 F154 F159 F164 F169 F268 F273 F278 F283 F294 F299 F304 F309 F314 F319 F324 F329 F334 F339 F344 F355 F360 F365 F370 F375 F380 F385 F461 F537 F619 F624 F629 F634 F639 F644 F649 F654 F659 F664 F669 F679 F684 F689</xm:sqref>
        </x14:dataValidation>
        <x14:dataValidation type="list" allowBlank="1" showErrorMessage="1" xr:uid="{00000000-0002-0000-1500-00000C000000}">
          <x14:formula1>
            <xm:f>'https://utmachalaeduec-my.sharepoint.com/personal/planificacion_utmachala_edu_ec/Documents/Gestión 2023/G.06 EMISION DE INSUMOS PARA ELAB. DE LA PROF, PRESUPUESTARIA Y SUS REFORMAS/REFORMA N° 002-2023/[PND]PND'!#REF!</xm:f>
          </x14:formula1>
          <xm:sqref>B14 B47 B37:C37 B42:C42 B67:C67 B72:C72 B77:C77 B82:C82 B87:C87 B92:C92 B97:C97 B102:C102 B113:C113 B118:C118 B123:C123 B133:C133 B138:C138 B143:C143 B149:C149 B154:C154 B159:C159 B164:C164 B169:C169 B268:C268 B273:C273 B278:C278 B283:C283 B294:C294 B299:C299 B304:C304 B309:C309 B314:C314 B319:C319 B324:C324 B329:C329 B334:C334 B339:C339 B344:C344 B355:C355 B360:C360 B365:C365 B370:C370 B375:C375 B380:C380 B385:C385 B461:C461 B537:C537 B619:C619 B624:C624 B629:C629 B634:C634 B639:C639 B644:C644 B649:C649 B654:C654 B659:C659 B664:C664 B669:C669 B679:C679 B684:C684 B689:C689</xm:sqref>
        </x14:dataValidation>
        <x14:dataValidation type="list" allowBlank="1" showInputMessage="1" showErrorMessage="1" prompt="Orientación: - Escoja un Producto Institucional de la lista despegable." xr:uid="{00000000-0002-0000-1500-00000D000000}">
          <x14:formula1>
            <xm:f>('https://utmachalaeduec-my.sharepoint.com/personal/planificacion_utmachala_edu_ec/Documents/Gestión 2023/G.06 EMISION DE INSUMOS PARA ELAB. DE LA PROF, PRESUPUESTARIA Y SUS REFORMAS/REFORMA N° 002-2023/[PEDI]PEDI'!#REF!)</xm:f>
          </x14:formula1>
          <xm:sqref>G9 G14 G108 G289 G350 G391 G396 G401 G406 G411 G416 G421 G426 G431 G436 G441 G446 G451 G456 G467 G472 G477 G482 G487 G492 G497 G502 G507 G512 G517 G522 G527 G532 G543 G548 G553 G558 G563 G568 G573 G578 G583 G588 G593 G598 G603 G608 G613 G674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36C09"/>
  </sheetPr>
  <dimension ref="A1:DC745"/>
  <sheetViews>
    <sheetView showGridLines="0" topLeftCell="S688" zoomScaleNormal="100" workbookViewId="0">
      <selection activeCell="V736" sqref="V736"/>
    </sheetView>
  </sheetViews>
  <sheetFormatPr baseColWidth="10" defaultColWidth="12.42578125" defaultRowHeight="16.5" customHeight="1"/>
  <cols>
    <col min="1" max="1" width="8.7109375" style="433" customWidth="1"/>
    <col min="2" max="5" width="25.7109375" style="437" customWidth="1"/>
    <col min="6" max="6" width="26.7109375" style="437" customWidth="1"/>
    <col min="7" max="11" width="25.7109375" style="437" customWidth="1"/>
    <col min="12" max="14" width="8.7109375" style="437" customWidth="1"/>
    <col min="15" max="17" width="25.7109375" style="437" customWidth="1"/>
    <col min="18" max="18" width="22.7109375" style="438" customWidth="1"/>
    <col min="19" max="20" width="18.7109375" style="438" customWidth="1"/>
    <col min="21" max="21" width="40.7109375" style="433" customWidth="1"/>
    <col min="22" max="22" width="16.28515625" style="433" customWidth="1"/>
    <col min="23" max="24" width="12.7109375" style="433" customWidth="1"/>
    <col min="25" max="25" width="13.28515625" style="433" bestFit="1" customWidth="1"/>
    <col min="26" max="26" width="12.7109375" style="433" customWidth="1"/>
    <col min="27" max="27" width="13.42578125" style="439" bestFit="1" customWidth="1"/>
    <col min="28" max="28" width="12.140625" style="1841" customWidth="1"/>
    <col min="29" max="29" width="10.28515625" style="440" customWidth="1"/>
    <col min="30" max="32" width="8.7109375" style="433" customWidth="1"/>
    <col min="33" max="33" width="19.7109375" style="433" customWidth="1"/>
    <col min="34" max="16384" width="12.42578125" style="433"/>
  </cols>
  <sheetData>
    <row r="1" spans="1:107" ht="45.75"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row>
    <row r="2" spans="1:107"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row>
    <row r="3" spans="1:107" ht="30.75">
      <c r="A3" s="8828" t="s">
        <v>4727</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row>
    <row r="4" spans="1:107"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row>
    <row r="5" spans="1:107" s="1392" customFormat="1" ht="15">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1002"/>
      <c r="AA5" s="1002"/>
      <c r="AB5" s="1002"/>
      <c r="AC5" s="1378"/>
      <c r="AD5" s="1378"/>
      <c r="AE5" s="1002"/>
      <c r="AF5" s="1002"/>
      <c r="AG5" s="1002"/>
    </row>
    <row r="6" spans="1:107" s="1393" customFormat="1" ht="24.75" customHeight="1">
      <c r="A6" s="10803" t="s">
        <v>89</v>
      </c>
      <c r="B6" s="8832" t="s">
        <v>90</v>
      </c>
      <c r="C6" s="9356"/>
      <c r="D6" s="9010" t="s">
        <v>91</v>
      </c>
      <c r="E6" s="9357"/>
      <c r="F6" s="9357"/>
      <c r="G6" s="9357"/>
      <c r="H6" s="9357"/>
      <c r="I6" s="8988" t="s">
        <v>92</v>
      </c>
      <c r="J6" s="9343"/>
      <c r="K6" s="9343"/>
      <c r="L6" s="9343"/>
      <c r="M6" s="9343"/>
      <c r="N6" s="9343"/>
      <c r="O6" s="9343"/>
      <c r="P6" s="9343"/>
      <c r="Q6" s="9344"/>
      <c r="R6" s="10806" t="s">
        <v>93</v>
      </c>
      <c r="S6" s="10807"/>
      <c r="T6" s="10807"/>
      <c r="U6" s="10807"/>
      <c r="V6" s="10807"/>
      <c r="W6" s="10807"/>
      <c r="X6" s="10807"/>
      <c r="Y6" s="10807"/>
      <c r="Z6" s="10807"/>
      <c r="AA6" s="10807"/>
      <c r="AB6" s="10807"/>
      <c r="AC6" s="10807"/>
      <c r="AD6" s="10807"/>
      <c r="AE6" s="10807"/>
      <c r="AF6" s="10807"/>
      <c r="AG6" s="10808"/>
      <c r="AH6" s="1757"/>
      <c r="AI6" s="1757"/>
      <c r="AJ6" s="1757"/>
      <c r="AK6" s="1757"/>
      <c r="AL6" s="1757"/>
      <c r="AM6" s="1757"/>
      <c r="AN6" s="1757"/>
      <c r="AO6" s="1757"/>
      <c r="AP6" s="1757"/>
      <c r="AQ6" s="1757"/>
      <c r="AR6" s="1757"/>
      <c r="AS6" s="1757"/>
      <c r="AT6" s="1757"/>
      <c r="AU6" s="1757"/>
      <c r="AV6" s="1757"/>
      <c r="AW6" s="1757"/>
      <c r="AX6" s="1757"/>
      <c r="AY6" s="1757"/>
      <c r="AZ6" s="1757"/>
      <c r="BA6" s="1757"/>
      <c r="BB6" s="1757"/>
      <c r="BC6" s="1757"/>
      <c r="BD6" s="1757"/>
      <c r="BE6" s="1757"/>
      <c r="BF6" s="1757"/>
      <c r="BG6" s="1757"/>
      <c r="BH6" s="1757"/>
      <c r="BI6" s="1757"/>
      <c r="BJ6" s="1757"/>
      <c r="BK6" s="1757"/>
      <c r="BL6" s="1757"/>
      <c r="BM6" s="1757"/>
      <c r="BN6" s="1757"/>
      <c r="BO6" s="1757"/>
      <c r="BP6" s="1757"/>
      <c r="BQ6" s="1757"/>
      <c r="BR6" s="1757"/>
      <c r="BS6" s="1757"/>
      <c r="BT6" s="1757"/>
      <c r="BU6" s="1757"/>
      <c r="BV6" s="1757"/>
      <c r="BW6" s="1757"/>
      <c r="BX6" s="1757"/>
      <c r="BY6" s="1757"/>
      <c r="BZ6" s="1757"/>
      <c r="CA6" s="1757"/>
      <c r="CB6" s="1757"/>
      <c r="CC6" s="1757"/>
      <c r="CD6" s="1757"/>
      <c r="CE6" s="1757"/>
      <c r="CF6" s="1757"/>
      <c r="CG6" s="1757"/>
      <c r="CH6" s="1757"/>
      <c r="CI6" s="1757"/>
      <c r="CJ6" s="1757"/>
      <c r="CK6" s="1757"/>
      <c r="CL6" s="1757"/>
      <c r="CM6" s="1757"/>
      <c r="CN6" s="1757"/>
      <c r="CO6" s="1757"/>
      <c r="CP6" s="1757"/>
      <c r="CQ6" s="1757"/>
      <c r="CR6" s="1757"/>
      <c r="CS6" s="1757"/>
      <c r="CT6" s="1757"/>
      <c r="CU6" s="1757"/>
      <c r="CV6" s="1757"/>
      <c r="CW6" s="1757"/>
      <c r="CX6" s="1757"/>
      <c r="CY6" s="1757"/>
      <c r="CZ6" s="1757"/>
      <c r="DA6" s="1757"/>
      <c r="DB6" s="1757"/>
      <c r="DC6" s="1757"/>
    </row>
    <row r="7" spans="1:107" s="1393" customFormat="1" ht="39.75" customHeight="1">
      <c r="A7" s="10804"/>
      <c r="B7" s="9146" t="s">
        <v>94</v>
      </c>
      <c r="C7" s="9147" t="s">
        <v>95</v>
      </c>
      <c r="D7" s="9012" t="s">
        <v>96</v>
      </c>
      <c r="E7" s="9012" t="s">
        <v>97</v>
      </c>
      <c r="F7" s="9012" t="s">
        <v>98</v>
      </c>
      <c r="G7" s="9012" t="s">
        <v>99</v>
      </c>
      <c r="H7" s="9012" t="s">
        <v>100</v>
      </c>
      <c r="I7" s="9014" t="s">
        <v>101</v>
      </c>
      <c r="J7" s="9016" t="s">
        <v>102</v>
      </c>
      <c r="K7" s="9016" t="s">
        <v>103</v>
      </c>
      <c r="L7" s="9016" t="s">
        <v>104</v>
      </c>
      <c r="M7" s="9361"/>
      <c r="N7" s="9361"/>
      <c r="O7" s="9016" t="s">
        <v>105</v>
      </c>
      <c r="P7" s="9016" t="s">
        <v>106</v>
      </c>
      <c r="Q7" s="9019" t="s">
        <v>107</v>
      </c>
      <c r="R7" s="10809" t="s">
        <v>108</v>
      </c>
      <c r="S7" s="10810"/>
      <c r="T7" s="10810"/>
      <c r="U7" s="10810"/>
      <c r="V7" s="10810"/>
      <c r="W7" s="10810"/>
      <c r="X7" s="10810"/>
      <c r="Y7" s="10727" t="s">
        <v>109</v>
      </c>
      <c r="Z7" s="10727"/>
      <c r="AA7" s="10727"/>
      <c r="AB7" s="10727"/>
      <c r="AC7" s="10727"/>
      <c r="AD7" s="10727" t="s">
        <v>110</v>
      </c>
      <c r="AE7" s="10727"/>
      <c r="AF7" s="10727"/>
      <c r="AG7" s="10811" t="s">
        <v>111</v>
      </c>
      <c r="AH7" s="1757"/>
      <c r="AI7" s="1757"/>
      <c r="AJ7" s="1757"/>
      <c r="AK7" s="1757"/>
      <c r="AL7" s="1757"/>
      <c r="AM7" s="1757"/>
      <c r="AN7" s="1757"/>
      <c r="AO7" s="1757"/>
      <c r="AP7" s="1757"/>
      <c r="AQ7" s="1757"/>
      <c r="AR7" s="1757"/>
      <c r="AS7" s="1757"/>
      <c r="AT7" s="1757"/>
      <c r="AU7" s="1757"/>
      <c r="AV7" s="1757"/>
      <c r="AW7" s="1757"/>
      <c r="AX7" s="1757"/>
      <c r="AY7" s="1757"/>
      <c r="AZ7" s="1757"/>
      <c r="BA7" s="1757"/>
      <c r="BB7" s="1757"/>
      <c r="BC7" s="1757"/>
      <c r="BD7" s="1757"/>
      <c r="BE7" s="1757"/>
      <c r="BF7" s="1757"/>
      <c r="BG7" s="1757"/>
      <c r="BH7" s="1757"/>
      <c r="BI7" s="1757"/>
      <c r="BJ7" s="1757"/>
      <c r="BK7" s="1757"/>
      <c r="BL7" s="1757"/>
      <c r="BM7" s="1757"/>
      <c r="BN7" s="1757"/>
      <c r="BO7" s="1757"/>
      <c r="BP7" s="1757"/>
      <c r="BQ7" s="1757"/>
      <c r="BR7" s="1757"/>
      <c r="BS7" s="1757"/>
      <c r="BT7" s="1757"/>
      <c r="BU7" s="1757"/>
      <c r="BV7" s="1757"/>
      <c r="BW7" s="1757"/>
      <c r="BX7" s="1757"/>
      <c r="BY7" s="1757"/>
      <c r="BZ7" s="1757"/>
      <c r="CA7" s="1757"/>
      <c r="CB7" s="1757"/>
      <c r="CC7" s="1757"/>
      <c r="CD7" s="1757"/>
      <c r="CE7" s="1757"/>
      <c r="CF7" s="1757"/>
      <c r="CG7" s="1757"/>
      <c r="CH7" s="1757"/>
      <c r="CI7" s="1757"/>
      <c r="CJ7" s="1757"/>
      <c r="CK7" s="1757"/>
      <c r="CL7" s="1757"/>
      <c r="CM7" s="1757"/>
      <c r="CN7" s="1757"/>
      <c r="CO7" s="1757"/>
      <c r="CP7" s="1757"/>
      <c r="CQ7" s="1757"/>
      <c r="CR7" s="1757"/>
      <c r="CS7" s="1757"/>
      <c r="CT7" s="1757"/>
      <c r="CU7" s="1757"/>
      <c r="CV7" s="1757"/>
      <c r="CW7" s="1757"/>
      <c r="CX7" s="1757"/>
      <c r="CY7" s="1757"/>
      <c r="CZ7" s="1757"/>
      <c r="DA7" s="1757"/>
      <c r="DB7" s="1757"/>
      <c r="DC7" s="1757"/>
    </row>
    <row r="8" spans="1:107" s="1393" customFormat="1" ht="51.75" customHeight="1" thickBot="1">
      <c r="A8" s="10805"/>
      <c r="B8" s="9414"/>
      <c r="C8" s="9415"/>
      <c r="D8" s="9358"/>
      <c r="E8" s="9358"/>
      <c r="F8" s="9358"/>
      <c r="G8" s="9358"/>
      <c r="H8" s="9358"/>
      <c r="I8" s="9359"/>
      <c r="J8" s="9360"/>
      <c r="K8" s="9360"/>
      <c r="L8" s="5094" t="s">
        <v>112</v>
      </c>
      <c r="M8" s="5094" t="s">
        <v>113</v>
      </c>
      <c r="N8" s="5094" t="s">
        <v>114</v>
      </c>
      <c r="O8" s="9360"/>
      <c r="P8" s="9360"/>
      <c r="Q8" s="9362"/>
      <c r="R8" s="5140" t="s">
        <v>115</v>
      </c>
      <c r="S8" s="5141" t="s">
        <v>116</v>
      </c>
      <c r="T8" s="5142" t="s">
        <v>117</v>
      </c>
      <c r="U8" s="5142" t="s">
        <v>118</v>
      </c>
      <c r="V8" s="5142" t="s">
        <v>119</v>
      </c>
      <c r="W8" s="5142" t="s">
        <v>4728</v>
      </c>
      <c r="X8" s="5143" t="s">
        <v>121</v>
      </c>
      <c r="Y8" s="5144" t="s">
        <v>122</v>
      </c>
      <c r="Z8" s="5144" t="s">
        <v>123</v>
      </c>
      <c r="AA8" s="5144" t="s">
        <v>124</v>
      </c>
      <c r="AB8" s="5144" t="s">
        <v>125</v>
      </c>
      <c r="AC8" s="5144" t="s">
        <v>1100</v>
      </c>
      <c r="AD8" s="5144" t="s">
        <v>112</v>
      </c>
      <c r="AE8" s="5144" t="s">
        <v>113</v>
      </c>
      <c r="AF8" s="5144" t="s">
        <v>114</v>
      </c>
      <c r="AG8" s="10812"/>
      <c r="AH8" s="1757"/>
      <c r="AI8" s="1757"/>
      <c r="AJ8" s="1757"/>
      <c r="AK8" s="1757"/>
      <c r="AL8" s="1757"/>
      <c r="AM8" s="1757"/>
      <c r="AN8" s="1757"/>
      <c r="AO8" s="1757"/>
      <c r="AP8" s="1757"/>
      <c r="AQ8" s="1757"/>
      <c r="AR8" s="1757"/>
      <c r="AS8" s="1757"/>
      <c r="AT8" s="1757"/>
      <c r="AU8" s="1757"/>
      <c r="AV8" s="1757"/>
      <c r="AW8" s="1757"/>
      <c r="AX8" s="1757"/>
      <c r="AY8" s="1757"/>
      <c r="AZ8" s="1757"/>
      <c r="BA8" s="1757"/>
      <c r="BB8" s="1757"/>
      <c r="BC8" s="1757"/>
      <c r="BD8" s="1757"/>
      <c r="BE8" s="1757"/>
      <c r="BF8" s="1757"/>
      <c r="BG8" s="1757"/>
      <c r="BH8" s="1757"/>
      <c r="BI8" s="1757"/>
      <c r="BJ8" s="1757"/>
      <c r="BK8" s="1757"/>
      <c r="BL8" s="1757"/>
      <c r="BM8" s="1757"/>
      <c r="BN8" s="1757"/>
      <c r="BO8" s="1757"/>
      <c r="BP8" s="1757"/>
      <c r="BQ8" s="1757"/>
      <c r="BR8" s="1757"/>
      <c r="BS8" s="1757"/>
      <c r="BT8" s="1757"/>
      <c r="BU8" s="1757"/>
      <c r="BV8" s="1757"/>
      <c r="BW8" s="1757"/>
      <c r="BX8" s="1757"/>
      <c r="BY8" s="1757"/>
      <c r="BZ8" s="1757"/>
      <c r="CA8" s="1757"/>
      <c r="CB8" s="1757"/>
      <c r="CC8" s="1757"/>
      <c r="CD8" s="1757"/>
      <c r="CE8" s="1757"/>
      <c r="CF8" s="1757"/>
      <c r="CG8" s="1757"/>
      <c r="CH8" s="1757"/>
      <c r="CI8" s="1757"/>
      <c r="CJ8" s="1757"/>
      <c r="CK8" s="1757"/>
      <c r="CL8" s="1757"/>
      <c r="CM8" s="1757"/>
      <c r="CN8" s="1757"/>
      <c r="CO8" s="1757"/>
      <c r="CP8" s="1757"/>
      <c r="CQ8" s="1757"/>
      <c r="CR8" s="1757"/>
      <c r="CS8" s="1757"/>
      <c r="CT8" s="1757"/>
      <c r="CU8" s="1757"/>
      <c r="CV8" s="1757"/>
      <c r="CW8" s="1757"/>
      <c r="CX8" s="1757"/>
      <c r="CY8" s="1757"/>
      <c r="CZ8" s="1757"/>
      <c r="DA8" s="1757"/>
      <c r="DB8" s="1757"/>
      <c r="DC8" s="1757"/>
    </row>
    <row r="9" spans="1:107" s="1395" customFormat="1" ht="31.5" customHeight="1">
      <c r="A9" s="10813" t="s">
        <v>4188</v>
      </c>
      <c r="B9" s="10815" t="s">
        <v>127</v>
      </c>
      <c r="C9" s="10816" t="s">
        <v>128</v>
      </c>
      <c r="D9" s="10816" t="s">
        <v>129</v>
      </c>
      <c r="E9" s="10816" t="s">
        <v>268</v>
      </c>
      <c r="F9" s="10817" t="s">
        <v>131</v>
      </c>
      <c r="G9" s="10816" t="s">
        <v>132</v>
      </c>
      <c r="H9" s="10816" t="s">
        <v>159</v>
      </c>
      <c r="I9" s="10816" t="s">
        <v>4729</v>
      </c>
      <c r="J9" s="10816" t="s">
        <v>4730</v>
      </c>
      <c r="K9" s="10818" t="s">
        <v>4731</v>
      </c>
      <c r="L9" s="10819">
        <v>1</v>
      </c>
      <c r="M9" s="10819">
        <v>1</v>
      </c>
      <c r="N9" s="10819">
        <v>1</v>
      </c>
      <c r="O9" s="10818" t="s">
        <v>4732</v>
      </c>
      <c r="P9" s="10818" t="s">
        <v>4733</v>
      </c>
      <c r="Q9" s="10821" t="s">
        <v>4734</v>
      </c>
      <c r="R9" s="5170"/>
      <c r="S9" s="5209"/>
      <c r="T9" s="5209"/>
      <c r="U9" s="5246"/>
      <c r="V9" s="5278"/>
      <c r="W9" s="5299"/>
      <c r="X9" s="7471"/>
      <c r="Y9" s="7471"/>
      <c r="Z9" s="7471"/>
      <c r="AA9" s="7472"/>
      <c r="AB9" s="5322"/>
      <c r="AC9" s="1394"/>
      <c r="AD9" s="5299"/>
      <c r="AE9" s="5344"/>
      <c r="AF9" s="5345"/>
      <c r="AG9" s="10780"/>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58"/>
      <c r="BX9" s="1758"/>
      <c r="BY9" s="1758"/>
      <c r="BZ9" s="1758"/>
      <c r="CA9" s="1758"/>
      <c r="CB9" s="1758"/>
      <c r="CC9" s="1758"/>
      <c r="CD9" s="1758"/>
      <c r="CE9" s="1758"/>
      <c r="CF9" s="1758"/>
      <c r="CG9" s="1758"/>
      <c r="CH9" s="1758"/>
      <c r="CI9" s="1758"/>
      <c r="CJ9" s="1758"/>
      <c r="CK9" s="1758"/>
      <c r="CL9" s="1758"/>
      <c r="CM9" s="1758"/>
      <c r="CN9" s="1758"/>
      <c r="CO9" s="1758"/>
      <c r="CP9" s="1758"/>
      <c r="CQ9" s="1758"/>
      <c r="CR9" s="1758"/>
      <c r="CS9" s="1758"/>
      <c r="CT9" s="1758"/>
      <c r="CU9" s="1758"/>
      <c r="CV9" s="1758"/>
      <c r="CW9" s="1758"/>
      <c r="CX9" s="1758"/>
      <c r="CY9" s="1758"/>
      <c r="CZ9" s="1758"/>
      <c r="DA9" s="1758"/>
      <c r="DB9" s="1758"/>
      <c r="DC9" s="1758"/>
    </row>
    <row r="10" spans="1:107" s="1395" customFormat="1" ht="31.5" customHeight="1">
      <c r="A10" s="10813"/>
      <c r="B10" s="10757"/>
      <c r="C10" s="10756"/>
      <c r="D10" s="10756"/>
      <c r="E10" s="10756"/>
      <c r="F10" s="10793"/>
      <c r="G10" s="10756"/>
      <c r="H10" s="10756"/>
      <c r="I10" s="10756"/>
      <c r="J10" s="10756"/>
      <c r="K10" s="10762"/>
      <c r="L10" s="10820"/>
      <c r="M10" s="10820"/>
      <c r="N10" s="10820"/>
      <c r="O10" s="10762"/>
      <c r="P10" s="10762"/>
      <c r="Q10" s="10763"/>
      <c r="R10" s="5171"/>
      <c r="S10" s="5210"/>
      <c r="T10" s="5210"/>
      <c r="U10" s="5247"/>
      <c r="V10" s="5279"/>
      <c r="W10" s="5300"/>
      <c r="X10" s="7473"/>
      <c r="Y10" s="7473"/>
      <c r="Z10" s="7473"/>
      <c r="AA10" s="7474"/>
      <c r="AB10" s="5323"/>
      <c r="AC10" s="1396"/>
      <c r="AD10" s="5300"/>
      <c r="AE10" s="5346"/>
      <c r="AF10" s="5346"/>
      <c r="AG10" s="10777"/>
      <c r="AH10" s="1758"/>
      <c r="AI10" s="1758"/>
      <c r="AJ10" s="1758"/>
      <c r="AK10" s="1758"/>
      <c r="AL10" s="1758"/>
      <c r="AM10" s="1758"/>
      <c r="AN10" s="1758"/>
      <c r="AO10" s="1758"/>
      <c r="AP10" s="1758"/>
      <c r="AQ10" s="1758"/>
      <c r="AR10" s="1758"/>
      <c r="AS10" s="1758"/>
      <c r="AT10" s="1758"/>
      <c r="AU10" s="1758"/>
      <c r="AV10" s="1758"/>
      <c r="AW10" s="1758"/>
      <c r="AX10" s="1758"/>
      <c r="AY10" s="1758"/>
      <c r="AZ10" s="1758"/>
      <c r="BA10" s="1758"/>
      <c r="BB10" s="1758"/>
      <c r="BC10" s="1758"/>
      <c r="BD10" s="1758"/>
      <c r="BE10" s="1758"/>
      <c r="BF10" s="1758"/>
      <c r="BG10" s="1758"/>
      <c r="BH10" s="1758"/>
      <c r="BI10" s="1758"/>
      <c r="BJ10" s="1758"/>
      <c r="BK10" s="1758"/>
      <c r="BL10" s="1758"/>
      <c r="BM10" s="1758"/>
      <c r="BN10" s="1758"/>
      <c r="BO10" s="1758"/>
      <c r="BP10" s="1758"/>
      <c r="BQ10" s="1758"/>
      <c r="BR10" s="1758"/>
      <c r="BS10" s="1758"/>
      <c r="BT10" s="1758"/>
      <c r="BU10" s="1758"/>
      <c r="BV10" s="1758"/>
      <c r="BW10" s="1758"/>
      <c r="BX10" s="1758"/>
      <c r="BY10" s="1758"/>
      <c r="BZ10" s="1758"/>
      <c r="CA10" s="1758"/>
      <c r="CB10" s="1758"/>
      <c r="CC10" s="1758"/>
      <c r="CD10" s="1758"/>
      <c r="CE10" s="1758"/>
      <c r="CF10" s="1758"/>
      <c r="CG10" s="1758"/>
      <c r="CH10" s="1758"/>
      <c r="CI10" s="1758"/>
      <c r="CJ10" s="1758"/>
      <c r="CK10" s="1758"/>
      <c r="CL10" s="1758"/>
      <c r="CM10" s="1758"/>
      <c r="CN10" s="1758"/>
      <c r="CO10" s="1758"/>
      <c r="CP10" s="1758"/>
      <c r="CQ10" s="1758"/>
      <c r="CR10" s="1758"/>
      <c r="CS10" s="1758"/>
      <c r="CT10" s="1758"/>
      <c r="CU10" s="1758"/>
      <c r="CV10" s="1758"/>
      <c r="CW10" s="1758"/>
      <c r="CX10" s="1758"/>
      <c r="CY10" s="1758"/>
      <c r="CZ10" s="1758"/>
      <c r="DA10" s="1758"/>
      <c r="DB10" s="1758"/>
      <c r="DC10" s="1758"/>
    </row>
    <row r="11" spans="1:107" s="1395" customFormat="1" ht="31.5" customHeight="1">
      <c r="A11" s="10813"/>
      <c r="B11" s="10757"/>
      <c r="C11" s="10756"/>
      <c r="D11" s="10756"/>
      <c r="E11" s="10756"/>
      <c r="F11" s="10793"/>
      <c r="G11" s="10756"/>
      <c r="H11" s="10756"/>
      <c r="I11" s="10756"/>
      <c r="J11" s="10756"/>
      <c r="K11" s="10762"/>
      <c r="L11" s="10820"/>
      <c r="M11" s="10820"/>
      <c r="N11" s="10820"/>
      <c r="O11" s="10762"/>
      <c r="P11" s="10762"/>
      <c r="Q11" s="10763"/>
      <c r="R11" s="5171"/>
      <c r="S11" s="5210"/>
      <c r="T11" s="5210"/>
      <c r="U11" s="5247"/>
      <c r="V11" s="5279"/>
      <c r="W11" s="5300"/>
      <c r="X11" s="7473"/>
      <c r="Y11" s="7473"/>
      <c r="Z11" s="7473"/>
      <c r="AA11" s="7474"/>
      <c r="AB11" s="5323"/>
      <c r="AC11" s="1396"/>
      <c r="AD11" s="5300"/>
      <c r="AE11" s="5346"/>
      <c r="AF11" s="5346"/>
      <c r="AG11" s="10777"/>
      <c r="AH11" s="1758"/>
      <c r="AI11" s="1758"/>
      <c r="AJ11" s="1758"/>
      <c r="AK11" s="1758"/>
      <c r="AL11" s="1758"/>
      <c r="AM11" s="1758"/>
      <c r="AN11" s="1758"/>
      <c r="AO11" s="1758"/>
      <c r="AP11" s="1758"/>
      <c r="AQ11" s="1758"/>
      <c r="AR11" s="1758"/>
      <c r="AS11" s="1758"/>
      <c r="AT11" s="1758"/>
      <c r="AU11" s="1758"/>
      <c r="AV11" s="1758"/>
      <c r="AW11" s="1758"/>
      <c r="AX11" s="1758"/>
      <c r="AY11" s="1758"/>
      <c r="AZ11" s="1758"/>
      <c r="BA11" s="1758"/>
      <c r="BB11" s="1758"/>
      <c r="BC11" s="1758"/>
      <c r="BD11" s="1758"/>
      <c r="BE11" s="1758"/>
      <c r="BF11" s="1758"/>
      <c r="BG11" s="1758"/>
      <c r="BH11" s="1758"/>
      <c r="BI11" s="1758"/>
      <c r="BJ11" s="1758"/>
      <c r="BK11" s="1758"/>
      <c r="BL11" s="1758"/>
      <c r="BM11" s="1758"/>
      <c r="BN11" s="1758"/>
      <c r="BO11" s="1758"/>
      <c r="BP11" s="1758"/>
      <c r="BQ11" s="1758"/>
      <c r="BR11" s="1758"/>
      <c r="BS11" s="1758"/>
      <c r="BT11" s="1758"/>
      <c r="BU11" s="1758"/>
      <c r="BV11" s="1758"/>
      <c r="BW11" s="1758"/>
      <c r="BX11" s="1758"/>
      <c r="BY11" s="1758"/>
      <c r="BZ11" s="1758"/>
      <c r="CA11" s="1758"/>
      <c r="CB11" s="1758"/>
      <c r="CC11" s="1758"/>
      <c r="CD11" s="1758"/>
      <c r="CE11" s="1758"/>
      <c r="CF11" s="1758"/>
      <c r="CG11" s="1758"/>
      <c r="CH11" s="1758"/>
      <c r="CI11" s="1758"/>
      <c r="CJ11" s="1758"/>
      <c r="CK11" s="1758"/>
      <c r="CL11" s="1758"/>
      <c r="CM11" s="1758"/>
      <c r="CN11" s="1758"/>
      <c r="CO11" s="1758"/>
      <c r="CP11" s="1758"/>
      <c r="CQ11" s="1758"/>
      <c r="CR11" s="1758"/>
      <c r="CS11" s="1758"/>
      <c r="CT11" s="1758"/>
      <c r="CU11" s="1758"/>
      <c r="CV11" s="1758"/>
      <c r="CW11" s="1758"/>
      <c r="CX11" s="1758"/>
      <c r="CY11" s="1758"/>
      <c r="CZ11" s="1758"/>
      <c r="DA11" s="1758"/>
      <c r="DB11" s="1758"/>
      <c r="DC11" s="1758"/>
    </row>
    <row r="12" spans="1:107" s="1395" customFormat="1" ht="31.5" customHeight="1">
      <c r="A12" s="10813"/>
      <c r="B12" s="10757"/>
      <c r="C12" s="10756"/>
      <c r="D12" s="10756"/>
      <c r="E12" s="10756"/>
      <c r="F12" s="10793"/>
      <c r="G12" s="10756"/>
      <c r="H12" s="10756"/>
      <c r="I12" s="10756"/>
      <c r="J12" s="10756"/>
      <c r="K12" s="10762"/>
      <c r="L12" s="10820"/>
      <c r="M12" s="10820"/>
      <c r="N12" s="10820"/>
      <c r="O12" s="10762"/>
      <c r="P12" s="10762"/>
      <c r="Q12" s="10763"/>
      <c r="R12" s="5171"/>
      <c r="S12" s="5210"/>
      <c r="T12" s="5210"/>
      <c r="U12" s="5247"/>
      <c r="V12" s="5279"/>
      <c r="W12" s="5300"/>
      <c r="X12" s="7473"/>
      <c r="Y12" s="7473"/>
      <c r="Z12" s="7473"/>
      <c r="AA12" s="7474"/>
      <c r="AB12" s="5323"/>
      <c r="AC12" s="1396"/>
      <c r="AD12" s="5300"/>
      <c r="AE12" s="5346"/>
      <c r="AF12" s="5346"/>
      <c r="AG12" s="10777"/>
      <c r="AH12" s="1758"/>
      <c r="AI12" s="1758"/>
      <c r="AJ12" s="1758"/>
      <c r="AK12" s="1758"/>
      <c r="AL12" s="1758"/>
      <c r="AM12" s="1758"/>
      <c r="AN12" s="1758"/>
      <c r="AO12" s="1758"/>
      <c r="AP12" s="1758"/>
      <c r="AQ12" s="1758"/>
      <c r="AR12" s="1758"/>
      <c r="AS12" s="1758"/>
      <c r="AT12" s="1758"/>
      <c r="AU12" s="1758"/>
      <c r="AV12" s="1758"/>
      <c r="AW12" s="1758"/>
      <c r="AX12" s="1758"/>
      <c r="AY12" s="1758"/>
      <c r="AZ12" s="1758"/>
      <c r="BA12" s="1758"/>
      <c r="BB12" s="1758"/>
      <c r="BC12" s="1758"/>
      <c r="BD12" s="1758"/>
      <c r="BE12" s="1758"/>
      <c r="BF12" s="1758"/>
      <c r="BG12" s="1758"/>
      <c r="BH12" s="1758"/>
      <c r="BI12" s="1758"/>
      <c r="BJ12" s="1758"/>
      <c r="BK12" s="1758"/>
      <c r="BL12" s="1758"/>
      <c r="BM12" s="1758"/>
      <c r="BN12" s="1758"/>
      <c r="BO12" s="1758"/>
      <c r="BP12" s="1758"/>
      <c r="BQ12" s="1758"/>
      <c r="BR12" s="1758"/>
      <c r="BS12" s="1758"/>
      <c r="BT12" s="1758"/>
      <c r="BU12" s="1758"/>
      <c r="BV12" s="1758"/>
      <c r="BW12" s="1758"/>
      <c r="BX12" s="1758"/>
      <c r="BY12" s="1758"/>
      <c r="BZ12" s="1758"/>
      <c r="CA12" s="1758"/>
      <c r="CB12" s="1758"/>
      <c r="CC12" s="1758"/>
      <c r="CD12" s="1758"/>
      <c r="CE12" s="1758"/>
      <c r="CF12" s="1758"/>
      <c r="CG12" s="1758"/>
      <c r="CH12" s="1758"/>
      <c r="CI12" s="1758"/>
      <c r="CJ12" s="1758"/>
      <c r="CK12" s="1758"/>
      <c r="CL12" s="1758"/>
      <c r="CM12" s="1758"/>
      <c r="CN12" s="1758"/>
      <c r="CO12" s="1758"/>
      <c r="CP12" s="1758"/>
      <c r="CQ12" s="1758"/>
      <c r="CR12" s="1758"/>
      <c r="CS12" s="1758"/>
      <c r="CT12" s="1758"/>
      <c r="CU12" s="1758"/>
      <c r="CV12" s="1758"/>
      <c r="CW12" s="1758"/>
      <c r="CX12" s="1758"/>
      <c r="CY12" s="1758"/>
      <c r="CZ12" s="1758"/>
      <c r="DA12" s="1758"/>
      <c r="DB12" s="1758"/>
      <c r="DC12" s="1758"/>
    </row>
    <row r="13" spans="1:107" s="1395" customFormat="1" ht="31.5" customHeight="1">
      <c r="A13" s="10813"/>
      <c r="B13" s="10757"/>
      <c r="C13" s="10756"/>
      <c r="D13" s="10756"/>
      <c r="E13" s="10756"/>
      <c r="F13" s="10793"/>
      <c r="G13" s="10756"/>
      <c r="H13" s="10756"/>
      <c r="I13" s="10756"/>
      <c r="J13" s="10756"/>
      <c r="K13" s="10762"/>
      <c r="L13" s="10820"/>
      <c r="M13" s="10820"/>
      <c r="N13" s="10820"/>
      <c r="O13" s="10762"/>
      <c r="P13" s="10762"/>
      <c r="Q13" s="10763"/>
      <c r="R13" s="5172"/>
      <c r="S13" s="5211"/>
      <c r="T13" s="5211"/>
      <c r="U13" s="5248"/>
      <c r="V13" s="5280"/>
      <c r="W13" s="5301"/>
      <c r="X13" s="7475"/>
      <c r="Y13" s="7475"/>
      <c r="Z13" s="7475"/>
      <c r="AA13" s="7476"/>
      <c r="AB13" s="5324"/>
      <c r="AC13" s="1397"/>
      <c r="AD13" s="5301"/>
      <c r="AE13" s="5347"/>
      <c r="AF13" s="5348"/>
      <c r="AG13" s="10778"/>
      <c r="AH13" s="1758"/>
      <c r="AI13" s="1758"/>
      <c r="AJ13" s="1758"/>
      <c r="AK13" s="1758"/>
      <c r="AL13" s="1758"/>
      <c r="AM13" s="1758"/>
      <c r="AN13" s="1758"/>
      <c r="AO13" s="1758"/>
      <c r="AP13" s="1758"/>
      <c r="AQ13" s="1758"/>
      <c r="AR13" s="1758"/>
      <c r="AS13" s="1758"/>
      <c r="AT13" s="1758"/>
      <c r="AU13" s="1758"/>
      <c r="AV13" s="1758"/>
      <c r="AW13" s="1758"/>
      <c r="AX13" s="1758"/>
      <c r="AY13" s="1758"/>
      <c r="AZ13" s="1758"/>
      <c r="BA13" s="1758"/>
      <c r="BB13" s="1758"/>
      <c r="BC13" s="1758"/>
      <c r="BD13" s="1758"/>
      <c r="BE13" s="1758"/>
      <c r="BF13" s="1758"/>
      <c r="BG13" s="1758"/>
      <c r="BH13" s="1758"/>
      <c r="BI13" s="1758"/>
      <c r="BJ13" s="1758"/>
      <c r="BK13" s="1758"/>
      <c r="BL13" s="1758"/>
      <c r="BM13" s="1758"/>
      <c r="BN13" s="1758"/>
      <c r="BO13" s="1758"/>
      <c r="BP13" s="1758"/>
      <c r="BQ13" s="1758"/>
      <c r="BR13" s="1758"/>
      <c r="BS13" s="1758"/>
      <c r="BT13" s="1758"/>
      <c r="BU13" s="1758"/>
      <c r="BV13" s="1758"/>
      <c r="BW13" s="1758"/>
      <c r="BX13" s="1758"/>
      <c r="BY13" s="1758"/>
      <c r="BZ13" s="1758"/>
      <c r="CA13" s="1758"/>
      <c r="CB13" s="1758"/>
      <c r="CC13" s="1758"/>
      <c r="CD13" s="1758"/>
      <c r="CE13" s="1758"/>
      <c r="CF13" s="1758"/>
      <c r="CG13" s="1758"/>
      <c r="CH13" s="1758"/>
      <c r="CI13" s="1758"/>
      <c r="CJ13" s="1758"/>
      <c r="CK13" s="1758"/>
      <c r="CL13" s="1758"/>
      <c r="CM13" s="1758"/>
      <c r="CN13" s="1758"/>
      <c r="CO13" s="1758"/>
      <c r="CP13" s="1758"/>
      <c r="CQ13" s="1758"/>
      <c r="CR13" s="1758"/>
      <c r="CS13" s="1758"/>
      <c r="CT13" s="1758"/>
      <c r="CU13" s="1758"/>
      <c r="CV13" s="1758"/>
      <c r="CW13" s="1758"/>
      <c r="CX13" s="1758"/>
      <c r="CY13" s="1758"/>
      <c r="CZ13" s="1758"/>
      <c r="DA13" s="1758"/>
      <c r="DB13" s="1758"/>
      <c r="DC13" s="1758"/>
    </row>
    <row r="14" spans="1:107" s="1395" customFormat="1" ht="31.5" customHeight="1">
      <c r="A14" s="10813"/>
      <c r="B14" s="10757" t="s">
        <v>127</v>
      </c>
      <c r="C14" s="10756" t="s">
        <v>128</v>
      </c>
      <c r="D14" s="10756" t="s">
        <v>129</v>
      </c>
      <c r="E14" s="10756" t="s">
        <v>268</v>
      </c>
      <c r="F14" s="10793" t="s">
        <v>131</v>
      </c>
      <c r="G14" s="10756" t="s">
        <v>132</v>
      </c>
      <c r="H14" s="10756" t="s">
        <v>159</v>
      </c>
      <c r="I14" s="10756" t="s">
        <v>4735</v>
      </c>
      <c r="J14" s="10756" t="s">
        <v>4196</v>
      </c>
      <c r="K14" s="10762" t="s">
        <v>4736</v>
      </c>
      <c r="L14" s="10761">
        <v>1</v>
      </c>
      <c r="M14" s="10761">
        <v>1</v>
      </c>
      <c r="N14" s="10761">
        <v>1</v>
      </c>
      <c r="O14" s="10762" t="s">
        <v>4737</v>
      </c>
      <c r="P14" s="10762" t="s">
        <v>4738</v>
      </c>
      <c r="Q14" s="10763" t="s">
        <v>4739</v>
      </c>
      <c r="R14" s="5173"/>
      <c r="S14" s="5212"/>
      <c r="T14" s="5212"/>
      <c r="U14" s="5249"/>
      <c r="V14" s="5281"/>
      <c r="W14" s="5302"/>
      <c r="X14" s="7477"/>
      <c r="Y14" s="7477"/>
      <c r="Z14" s="7477"/>
      <c r="AA14" s="7478"/>
      <c r="AB14" s="5325"/>
      <c r="AC14" s="1398"/>
      <c r="AD14" s="5302"/>
      <c r="AE14" s="5349"/>
      <c r="AF14" s="5349"/>
      <c r="AG14" s="10777"/>
      <c r="AH14" s="1758"/>
      <c r="AI14" s="1758"/>
      <c r="AJ14" s="1758"/>
      <c r="AK14" s="1758"/>
      <c r="AL14" s="1758"/>
      <c r="AM14" s="1758"/>
      <c r="AN14" s="1758"/>
      <c r="AO14" s="1758"/>
      <c r="AP14" s="1758"/>
      <c r="AQ14" s="1758"/>
      <c r="AR14" s="1758"/>
      <c r="AS14" s="1758"/>
      <c r="AT14" s="1758"/>
      <c r="AU14" s="1758"/>
      <c r="AV14" s="1758"/>
      <c r="AW14" s="1758"/>
      <c r="AX14" s="1758"/>
      <c r="AY14" s="1758"/>
      <c r="AZ14" s="1758"/>
      <c r="BA14" s="1758"/>
      <c r="BB14" s="1758"/>
      <c r="BC14" s="1758"/>
      <c r="BD14" s="1758"/>
      <c r="BE14" s="1758"/>
      <c r="BF14" s="1758"/>
      <c r="BG14" s="1758"/>
      <c r="BH14" s="1758"/>
      <c r="BI14" s="1758"/>
      <c r="BJ14" s="1758"/>
      <c r="BK14" s="1758"/>
      <c r="BL14" s="1758"/>
      <c r="BM14" s="1758"/>
      <c r="BN14" s="1758"/>
      <c r="BO14" s="1758"/>
      <c r="BP14" s="1758"/>
      <c r="BQ14" s="1758"/>
      <c r="BR14" s="1758"/>
      <c r="BS14" s="1758"/>
      <c r="BT14" s="1758"/>
      <c r="BU14" s="1758"/>
      <c r="BV14" s="1758"/>
      <c r="BW14" s="1758"/>
      <c r="BX14" s="1758"/>
      <c r="BY14" s="1758"/>
      <c r="BZ14" s="1758"/>
      <c r="CA14" s="1758"/>
      <c r="CB14" s="1758"/>
      <c r="CC14" s="1758"/>
      <c r="CD14" s="1758"/>
      <c r="CE14" s="1758"/>
      <c r="CF14" s="1758"/>
      <c r="CG14" s="1758"/>
      <c r="CH14" s="1758"/>
      <c r="CI14" s="1758"/>
      <c r="CJ14" s="1758"/>
      <c r="CK14" s="1758"/>
      <c r="CL14" s="1758"/>
      <c r="CM14" s="1758"/>
      <c r="CN14" s="1758"/>
      <c r="CO14" s="1758"/>
      <c r="CP14" s="1758"/>
      <c r="CQ14" s="1758"/>
      <c r="CR14" s="1758"/>
      <c r="CS14" s="1758"/>
      <c r="CT14" s="1758"/>
      <c r="CU14" s="1758"/>
      <c r="CV14" s="1758"/>
      <c r="CW14" s="1758"/>
      <c r="CX14" s="1758"/>
      <c r="CY14" s="1758"/>
      <c r="CZ14" s="1758"/>
      <c r="DA14" s="1758"/>
      <c r="DB14" s="1758"/>
      <c r="DC14" s="1758"/>
    </row>
    <row r="15" spans="1:107" s="1395" customFormat="1" ht="31.5" customHeight="1">
      <c r="A15" s="10813"/>
      <c r="B15" s="10757"/>
      <c r="C15" s="10756"/>
      <c r="D15" s="10756"/>
      <c r="E15" s="10756"/>
      <c r="F15" s="10793"/>
      <c r="G15" s="10756"/>
      <c r="H15" s="10756"/>
      <c r="I15" s="10756"/>
      <c r="J15" s="10756"/>
      <c r="K15" s="10762"/>
      <c r="L15" s="10761"/>
      <c r="M15" s="10761"/>
      <c r="N15" s="10761"/>
      <c r="O15" s="10762"/>
      <c r="P15" s="10762"/>
      <c r="Q15" s="10763"/>
      <c r="R15" s="5171"/>
      <c r="S15" s="5213"/>
      <c r="T15" s="5213"/>
      <c r="U15" s="5247"/>
      <c r="V15" s="5279"/>
      <c r="W15" s="5300"/>
      <c r="X15" s="7473"/>
      <c r="Y15" s="7473"/>
      <c r="Z15" s="7473"/>
      <c r="AA15" s="7474"/>
      <c r="AB15" s="5323"/>
      <c r="AC15" s="1396"/>
      <c r="AD15" s="5300"/>
      <c r="AE15" s="5346"/>
      <c r="AF15" s="5346"/>
      <c r="AG15" s="10777"/>
      <c r="AH15" s="1758"/>
      <c r="AI15" s="1758"/>
      <c r="AJ15" s="1758"/>
      <c r="AK15" s="1758"/>
      <c r="AL15" s="1758"/>
      <c r="AM15" s="1758"/>
      <c r="AN15" s="1758"/>
      <c r="AO15" s="1758"/>
      <c r="AP15" s="1758"/>
      <c r="AQ15" s="1758"/>
      <c r="AR15" s="1758"/>
      <c r="AS15" s="1758"/>
      <c r="AT15" s="1758"/>
      <c r="AU15" s="1758"/>
      <c r="AV15" s="1758"/>
      <c r="AW15" s="1758"/>
      <c r="AX15" s="1758"/>
      <c r="AY15" s="1758"/>
      <c r="AZ15" s="1758"/>
      <c r="BA15" s="1758"/>
      <c r="BB15" s="1758"/>
      <c r="BC15" s="1758"/>
      <c r="BD15" s="1758"/>
      <c r="BE15" s="1758"/>
      <c r="BF15" s="1758"/>
      <c r="BG15" s="1758"/>
      <c r="BH15" s="1758"/>
      <c r="BI15" s="1758"/>
      <c r="BJ15" s="1758"/>
      <c r="BK15" s="1758"/>
      <c r="BL15" s="1758"/>
      <c r="BM15" s="1758"/>
      <c r="BN15" s="1758"/>
      <c r="BO15" s="1758"/>
      <c r="BP15" s="1758"/>
      <c r="BQ15" s="1758"/>
      <c r="BR15" s="1758"/>
      <c r="BS15" s="1758"/>
      <c r="BT15" s="1758"/>
      <c r="BU15" s="1758"/>
      <c r="BV15" s="1758"/>
      <c r="BW15" s="1758"/>
      <c r="BX15" s="1758"/>
      <c r="BY15" s="1758"/>
      <c r="BZ15" s="1758"/>
      <c r="CA15" s="1758"/>
      <c r="CB15" s="1758"/>
      <c r="CC15" s="1758"/>
      <c r="CD15" s="1758"/>
      <c r="CE15" s="1758"/>
      <c r="CF15" s="1758"/>
      <c r="CG15" s="1758"/>
      <c r="CH15" s="1758"/>
      <c r="CI15" s="1758"/>
      <c r="CJ15" s="1758"/>
      <c r="CK15" s="1758"/>
      <c r="CL15" s="1758"/>
      <c r="CM15" s="1758"/>
      <c r="CN15" s="1758"/>
      <c r="CO15" s="1758"/>
      <c r="CP15" s="1758"/>
      <c r="CQ15" s="1758"/>
      <c r="CR15" s="1758"/>
      <c r="CS15" s="1758"/>
      <c r="CT15" s="1758"/>
      <c r="CU15" s="1758"/>
      <c r="CV15" s="1758"/>
      <c r="CW15" s="1758"/>
      <c r="CX15" s="1758"/>
      <c r="CY15" s="1758"/>
      <c r="CZ15" s="1758"/>
      <c r="DA15" s="1758"/>
      <c r="DB15" s="1758"/>
      <c r="DC15" s="1758"/>
    </row>
    <row r="16" spans="1:107" s="1395" customFormat="1" ht="31.5" customHeight="1">
      <c r="A16" s="10813"/>
      <c r="B16" s="10757"/>
      <c r="C16" s="10756"/>
      <c r="D16" s="10756"/>
      <c r="E16" s="10756"/>
      <c r="F16" s="10793"/>
      <c r="G16" s="10756"/>
      <c r="H16" s="10756"/>
      <c r="I16" s="10756"/>
      <c r="J16" s="10756"/>
      <c r="K16" s="10762"/>
      <c r="L16" s="10761"/>
      <c r="M16" s="10761"/>
      <c r="N16" s="10761"/>
      <c r="O16" s="10762"/>
      <c r="P16" s="10762"/>
      <c r="Q16" s="10763"/>
      <c r="R16" s="5174"/>
      <c r="S16" s="5214"/>
      <c r="T16" s="5214"/>
      <c r="U16" s="5250"/>
      <c r="V16" s="5281"/>
      <c r="W16" s="5302"/>
      <c r="X16" s="7477"/>
      <c r="Y16" s="7473"/>
      <c r="Z16" s="7473"/>
      <c r="AA16" s="7474"/>
      <c r="AB16" s="5323"/>
      <c r="AC16" s="1396"/>
      <c r="AD16" s="5300"/>
      <c r="AE16" s="5346"/>
      <c r="AF16" s="5346"/>
      <c r="AG16" s="10777"/>
      <c r="AH16" s="1758"/>
      <c r="AI16" s="1758"/>
      <c r="AJ16" s="1758"/>
      <c r="AK16" s="1758"/>
      <c r="AL16" s="1758"/>
      <c r="AM16" s="1758"/>
      <c r="AN16" s="1758"/>
      <c r="AO16" s="1758"/>
      <c r="AP16" s="1758"/>
      <c r="AQ16" s="1758"/>
      <c r="AR16" s="1758"/>
      <c r="AS16" s="1758"/>
      <c r="AT16" s="1758"/>
      <c r="AU16" s="1758"/>
      <c r="AV16" s="1758"/>
      <c r="AW16" s="1758"/>
      <c r="AX16" s="1758"/>
      <c r="AY16" s="1758"/>
      <c r="AZ16" s="1758"/>
      <c r="BA16" s="1758"/>
      <c r="BB16" s="1758"/>
      <c r="BC16" s="1758"/>
      <c r="BD16" s="1758"/>
      <c r="BE16" s="1758"/>
      <c r="BF16" s="1758"/>
      <c r="BG16" s="1758"/>
      <c r="BH16" s="1758"/>
      <c r="BI16" s="1758"/>
      <c r="BJ16" s="1758"/>
      <c r="BK16" s="1758"/>
      <c r="BL16" s="1758"/>
      <c r="BM16" s="1758"/>
      <c r="BN16" s="1758"/>
      <c r="BO16" s="1758"/>
      <c r="BP16" s="1758"/>
      <c r="BQ16" s="1758"/>
      <c r="BR16" s="1758"/>
      <c r="BS16" s="1758"/>
      <c r="BT16" s="1758"/>
      <c r="BU16" s="1758"/>
      <c r="BV16" s="1758"/>
      <c r="BW16" s="1758"/>
      <c r="BX16" s="1758"/>
      <c r="BY16" s="1758"/>
      <c r="BZ16" s="1758"/>
      <c r="CA16" s="1758"/>
      <c r="CB16" s="1758"/>
      <c r="CC16" s="1758"/>
      <c r="CD16" s="1758"/>
      <c r="CE16" s="1758"/>
      <c r="CF16" s="1758"/>
      <c r="CG16" s="1758"/>
      <c r="CH16" s="1758"/>
      <c r="CI16" s="1758"/>
      <c r="CJ16" s="1758"/>
      <c r="CK16" s="1758"/>
      <c r="CL16" s="1758"/>
      <c r="CM16" s="1758"/>
      <c r="CN16" s="1758"/>
      <c r="CO16" s="1758"/>
      <c r="CP16" s="1758"/>
      <c r="CQ16" s="1758"/>
      <c r="CR16" s="1758"/>
      <c r="CS16" s="1758"/>
      <c r="CT16" s="1758"/>
      <c r="CU16" s="1758"/>
      <c r="CV16" s="1758"/>
      <c r="CW16" s="1758"/>
      <c r="CX16" s="1758"/>
      <c r="CY16" s="1758"/>
      <c r="CZ16" s="1758"/>
      <c r="DA16" s="1758"/>
      <c r="DB16" s="1758"/>
      <c r="DC16" s="1758"/>
    </row>
    <row r="17" spans="1:107" s="1395" customFormat="1" ht="31.5" customHeight="1">
      <c r="A17" s="10813"/>
      <c r="B17" s="10757"/>
      <c r="C17" s="10756"/>
      <c r="D17" s="10756"/>
      <c r="E17" s="10756"/>
      <c r="F17" s="10793"/>
      <c r="G17" s="10756"/>
      <c r="H17" s="10756"/>
      <c r="I17" s="10756"/>
      <c r="J17" s="10756"/>
      <c r="K17" s="10762"/>
      <c r="L17" s="10761"/>
      <c r="M17" s="10761"/>
      <c r="N17" s="10761"/>
      <c r="O17" s="10762"/>
      <c r="P17" s="10762"/>
      <c r="Q17" s="10763"/>
      <c r="R17" s="5173"/>
      <c r="S17" s="5212"/>
      <c r="T17" s="5212"/>
      <c r="U17" s="5250"/>
      <c r="V17" s="5281"/>
      <c r="W17" s="5302"/>
      <c r="X17" s="7477"/>
      <c r="Y17" s="7473"/>
      <c r="Z17" s="7473"/>
      <c r="AA17" s="7474"/>
      <c r="AB17" s="5323"/>
      <c r="AC17" s="1396"/>
      <c r="AD17" s="5300"/>
      <c r="AE17" s="5346"/>
      <c r="AF17" s="5346"/>
      <c r="AG17" s="10777"/>
      <c r="AH17" s="1758"/>
      <c r="AI17" s="1758"/>
      <c r="AJ17" s="1758"/>
      <c r="AK17" s="1758"/>
      <c r="AL17" s="1758"/>
      <c r="AM17" s="1758"/>
      <c r="AN17" s="1758"/>
      <c r="AO17" s="1758"/>
      <c r="AP17" s="1758"/>
      <c r="AQ17" s="1758"/>
      <c r="AR17" s="1758"/>
      <c r="AS17" s="1758"/>
      <c r="AT17" s="1758"/>
      <c r="AU17" s="1758"/>
      <c r="AV17" s="1758"/>
      <c r="AW17" s="1758"/>
      <c r="AX17" s="1758"/>
      <c r="AY17" s="1758"/>
      <c r="AZ17" s="1758"/>
      <c r="BA17" s="1758"/>
      <c r="BB17" s="1758"/>
      <c r="BC17" s="1758"/>
      <c r="BD17" s="1758"/>
      <c r="BE17" s="1758"/>
      <c r="BF17" s="1758"/>
      <c r="BG17" s="1758"/>
      <c r="BH17" s="1758"/>
      <c r="BI17" s="1758"/>
      <c r="BJ17" s="1758"/>
      <c r="BK17" s="1758"/>
      <c r="BL17" s="1758"/>
      <c r="BM17" s="1758"/>
      <c r="BN17" s="1758"/>
      <c r="BO17" s="1758"/>
      <c r="BP17" s="1758"/>
      <c r="BQ17" s="1758"/>
      <c r="BR17" s="1758"/>
      <c r="BS17" s="1758"/>
      <c r="BT17" s="1758"/>
      <c r="BU17" s="1758"/>
      <c r="BV17" s="1758"/>
      <c r="BW17" s="1758"/>
      <c r="BX17" s="1758"/>
      <c r="BY17" s="1758"/>
      <c r="BZ17" s="1758"/>
      <c r="CA17" s="1758"/>
      <c r="CB17" s="1758"/>
      <c r="CC17" s="1758"/>
      <c r="CD17" s="1758"/>
      <c r="CE17" s="1758"/>
      <c r="CF17" s="1758"/>
      <c r="CG17" s="1758"/>
      <c r="CH17" s="1758"/>
      <c r="CI17" s="1758"/>
      <c r="CJ17" s="1758"/>
      <c r="CK17" s="1758"/>
      <c r="CL17" s="1758"/>
      <c r="CM17" s="1758"/>
      <c r="CN17" s="1758"/>
      <c r="CO17" s="1758"/>
      <c r="CP17" s="1758"/>
      <c r="CQ17" s="1758"/>
      <c r="CR17" s="1758"/>
      <c r="CS17" s="1758"/>
      <c r="CT17" s="1758"/>
      <c r="CU17" s="1758"/>
      <c r="CV17" s="1758"/>
      <c r="CW17" s="1758"/>
      <c r="CX17" s="1758"/>
      <c r="CY17" s="1758"/>
      <c r="CZ17" s="1758"/>
      <c r="DA17" s="1758"/>
      <c r="DB17" s="1758"/>
      <c r="DC17" s="1758"/>
    </row>
    <row r="18" spans="1:107" s="1395" customFormat="1" ht="28.5" customHeight="1">
      <c r="A18" s="10813"/>
      <c r="B18" s="10757"/>
      <c r="C18" s="10756"/>
      <c r="D18" s="10756"/>
      <c r="E18" s="10756"/>
      <c r="F18" s="10793"/>
      <c r="G18" s="10756"/>
      <c r="H18" s="10756"/>
      <c r="I18" s="10756"/>
      <c r="J18" s="10756"/>
      <c r="K18" s="10762"/>
      <c r="L18" s="10761"/>
      <c r="M18" s="10761"/>
      <c r="N18" s="10761"/>
      <c r="O18" s="10762"/>
      <c r="P18" s="10762"/>
      <c r="Q18" s="10763"/>
      <c r="R18" s="5175"/>
      <c r="S18" s="5215"/>
      <c r="T18" s="5215"/>
      <c r="U18" s="5251"/>
      <c r="V18" s="5282"/>
      <c r="W18" s="5303"/>
      <c r="X18" s="7479"/>
      <c r="Y18" s="7479"/>
      <c r="Z18" s="7479"/>
      <c r="AA18" s="7480"/>
      <c r="AB18" s="5326"/>
      <c r="AC18" s="1399"/>
      <c r="AD18" s="5303"/>
      <c r="AE18" s="5348"/>
      <c r="AF18" s="5348"/>
      <c r="AG18" s="10778"/>
      <c r="AH18" s="1758"/>
      <c r="AI18" s="1758"/>
      <c r="AJ18" s="1758"/>
      <c r="AK18" s="1758"/>
      <c r="AL18" s="1758"/>
      <c r="AM18" s="1758"/>
      <c r="AN18" s="1758"/>
      <c r="AO18" s="1758"/>
      <c r="AP18" s="1758"/>
      <c r="AQ18" s="1758"/>
      <c r="AR18" s="1758"/>
      <c r="AS18" s="1758"/>
      <c r="AT18" s="1758"/>
      <c r="AU18" s="1758"/>
      <c r="AV18" s="1758"/>
      <c r="AW18" s="1758"/>
      <c r="AX18" s="1758"/>
      <c r="AY18" s="1758"/>
      <c r="AZ18" s="1758"/>
      <c r="BA18" s="1758"/>
      <c r="BB18" s="1758"/>
      <c r="BC18" s="1758"/>
      <c r="BD18" s="1758"/>
      <c r="BE18" s="1758"/>
      <c r="BF18" s="1758"/>
      <c r="BG18" s="1758"/>
      <c r="BH18" s="1758"/>
      <c r="BI18" s="1758"/>
      <c r="BJ18" s="1758"/>
      <c r="BK18" s="1758"/>
      <c r="BL18" s="1758"/>
      <c r="BM18" s="1758"/>
      <c r="BN18" s="1758"/>
      <c r="BO18" s="1758"/>
      <c r="BP18" s="1758"/>
      <c r="BQ18" s="1758"/>
      <c r="BR18" s="1758"/>
      <c r="BS18" s="1758"/>
      <c r="BT18" s="1758"/>
      <c r="BU18" s="1758"/>
      <c r="BV18" s="1758"/>
      <c r="BW18" s="1758"/>
      <c r="BX18" s="1758"/>
      <c r="BY18" s="1758"/>
      <c r="BZ18" s="1758"/>
      <c r="CA18" s="1758"/>
      <c r="CB18" s="1758"/>
      <c r="CC18" s="1758"/>
      <c r="CD18" s="1758"/>
      <c r="CE18" s="1758"/>
      <c r="CF18" s="1758"/>
      <c r="CG18" s="1758"/>
      <c r="CH18" s="1758"/>
      <c r="CI18" s="1758"/>
      <c r="CJ18" s="1758"/>
      <c r="CK18" s="1758"/>
      <c r="CL18" s="1758"/>
      <c r="CM18" s="1758"/>
      <c r="CN18" s="1758"/>
      <c r="CO18" s="1758"/>
      <c r="CP18" s="1758"/>
      <c r="CQ18" s="1758"/>
      <c r="CR18" s="1758"/>
      <c r="CS18" s="1758"/>
      <c r="CT18" s="1758"/>
      <c r="CU18" s="1758"/>
      <c r="CV18" s="1758"/>
      <c r="CW18" s="1758"/>
      <c r="CX18" s="1758"/>
      <c r="CY18" s="1758"/>
      <c r="CZ18" s="1758"/>
      <c r="DA18" s="1758"/>
      <c r="DB18" s="1758"/>
      <c r="DC18" s="1758"/>
    </row>
    <row r="19" spans="1:107" s="1395" customFormat="1" ht="28.5" customHeight="1">
      <c r="A19" s="10813"/>
      <c r="B19" s="10757" t="s">
        <v>183</v>
      </c>
      <c r="C19" s="10756" t="s">
        <v>227</v>
      </c>
      <c r="D19" s="10756" t="s">
        <v>490</v>
      </c>
      <c r="E19" s="10756" t="s">
        <v>2210</v>
      </c>
      <c r="F19" s="10793" t="s">
        <v>230</v>
      </c>
      <c r="G19" s="10756" t="s">
        <v>132</v>
      </c>
      <c r="H19" s="10756" t="s">
        <v>133</v>
      </c>
      <c r="I19" s="10756" t="s">
        <v>4740</v>
      </c>
      <c r="J19" s="10756" t="s">
        <v>4213</v>
      </c>
      <c r="K19" s="10762" t="s">
        <v>4741</v>
      </c>
      <c r="L19" s="10761">
        <v>1</v>
      </c>
      <c r="M19" s="10761">
        <v>0</v>
      </c>
      <c r="N19" s="10761">
        <v>1</v>
      </c>
      <c r="O19" s="10762" t="s">
        <v>4742</v>
      </c>
      <c r="P19" s="10762" t="s">
        <v>4743</v>
      </c>
      <c r="Q19" s="10763" t="s">
        <v>4744</v>
      </c>
      <c r="R19" s="5173"/>
      <c r="S19" s="5212"/>
      <c r="T19" s="5212"/>
      <c r="U19" s="5249"/>
      <c r="V19" s="5281"/>
      <c r="W19" s="5302"/>
      <c r="X19" s="7477"/>
      <c r="Y19" s="7477"/>
      <c r="Z19" s="7477"/>
      <c r="AA19" s="7478"/>
      <c r="AB19" s="5325"/>
      <c r="AC19" s="1398"/>
      <c r="AD19" s="5302"/>
      <c r="AE19" s="5349"/>
      <c r="AF19" s="5349"/>
      <c r="AG19" s="10777"/>
      <c r="AH19" s="1758"/>
      <c r="AI19" s="1758"/>
      <c r="AJ19" s="1758"/>
      <c r="AK19" s="1758"/>
      <c r="AL19" s="1758"/>
      <c r="AM19" s="1758"/>
      <c r="AN19" s="1758"/>
      <c r="AO19" s="1758"/>
      <c r="AP19" s="1758"/>
      <c r="AQ19" s="1758"/>
      <c r="AR19" s="1758"/>
      <c r="AS19" s="1758"/>
      <c r="AT19" s="1758"/>
      <c r="AU19" s="1758"/>
      <c r="AV19" s="1758"/>
      <c r="AW19" s="1758"/>
      <c r="AX19" s="1758"/>
      <c r="AY19" s="1758"/>
      <c r="AZ19" s="1758"/>
      <c r="BA19" s="1758"/>
      <c r="BB19" s="1758"/>
      <c r="BC19" s="1758"/>
      <c r="BD19" s="1758"/>
      <c r="BE19" s="1758"/>
      <c r="BF19" s="1758"/>
      <c r="BG19" s="1758"/>
      <c r="BH19" s="1758"/>
      <c r="BI19" s="1758"/>
      <c r="BJ19" s="1758"/>
      <c r="BK19" s="1758"/>
      <c r="BL19" s="1758"/>
      <c r="BM19" s="1758"/>
      <c r="BN19" s="1758"/>
      <c r="BO19" s="1758"/>
      <c r="BP19" s="1758"/>
      <c r="BQ19" s="1758"/>
      <c r="BR19" s="1758"/>
      <c r="BS19" s="1758"/>
      <c r="BT19" s="1758"/>
      <c r="BU19" s="1758"/>
      <c r="BV19" s="1758"/>
      <c r="BW19" s="1758"/>
      <c r="BX19" s="1758"/>
      <c r="BY19" s="1758"/>
      <c r="BZ19" s="1758"/>
      <c r="CA19" s="1758"/>
      <c r="CB19" s="1758"/>
      <c r="CC19" s="1758"/>
      <c r="CD19" s="1758"/>
      <c r="CE19" s="1758"/>
      <c r="CF19" s="1758"/>
      <c r="CG19" s="1758"/>
      <c r="CH19" s="1758"/>
      <c r="CI19" s="1758"/>
      <c r="CJ19" s="1758"/>
      <c r="CK19" s="1758"/>
      <c r="CL19" s="1758"/>
      <c r="CM19" s="1758"/>
      <c r="CN19" s="1758"/>
      <c r="CO19" s="1758"/>
      <c r="CP19" s="1758"/>
      <c r="CQ19" s="1758"/>
      <c r="CR19" s="1758"/>
      <c r="CS19" s="1758"/>
      <c r="CT19" s="1758"/>
      <c r="CU19" s="1758"/>
      <c r="CV19" s="1758"/>
      <c r="CW19" s="1758"/>
      <c r="CX19" s="1758"/>
      <c r="CY19" s="1758"/>
      <c r="CZ19" s="1758"/>
      <c r="DA19" s="1758"/>
      <c r="DB19" s="1758"/>
      <c r="DC19" s="1758"/>
    </row>
    <row r="20" spans="1:107" s="1395" customFormat="1" ht="28.5" customHeight="1">
      <c r="A20" s="10813"/>
      <c r="B20" s="10757"/>
      <c r="C20" s="10756"/>
      <c r="D20" s="10756"/>
      <c r="E20" s="10756"/>
      <c r="F20" s="10793"/>
      <c r="G20" s="10756"/>
      <c r="H20" s="10756"/>
      <c r="I20" s="10756"/>
      <c r="J20" s="10756"/>
      <c r="K20" s="10762"/>
      <c r="L20" s="10761"/>
      <c r="M20" s="10761"/>
      <c r="N20" s="10761"/>
      <c r="O20" s="10762"/>
      <c r="P20" s="10762"/>
      <c r="Q20" s="10763"/>
      <c r="R20" s="5171"/>
      <c r="S20" s="5213"/>
      <c r="T20" s="5213"/>
      <c r="U20" s="5247"/>
      <c r="V20" s="5279"/>
      <c r="W20" s="5300"/>
      <c r="X20" s="7473"/>
      <c r="Y20" s="7473"/>
      <c r="Z20" s="7473"/>
      <c r="AA20" s="7474"/>
      <c r="AB20" s="5323"/>
      <c r="AC20" s="1396"/>
      <c r="AD20" s="5300"/>
      <c r="AE20" s="5346"/>
      <c r="AF20" s="5346"/>
      <c r="AG20" s="10777"/>
      <c r="AH20" s="1758"/>
      <c r="AI20" s="1758"/>
      <c r="AJ20" s="1758"/>
      <c r="AK20" s="1758"/>
      <c r="AL20" s="1758"/>
      <c r="AM20" s="1758"/>
      <c r="AN20" s="1758"/>
      <c r="AO20" s="1758"/>
      <c r="AP20" s="1758"/>
      <c r="AQ20" s="1758"/>
      <c r="AR20" s="1758"/>
      <c r="AS20" s="1758"/>
      <c r="AT20" s="1758"/>
      <c r="AU20" s="1758"/>
      <c r="AV20" s="1758"/>
      <c r="AW20" s="1758"/>
      <c r="AX20" s="1758"/>
      <c r="AY20" s="1758"/>
      <c r="AZ20" s="1758"/>
      <c r="BA20" s="1758"/>
      <c r="BB20" s="1758"/>
      <c r="BC20" s="1758"/>
      <c r="BD20" s="1758"/>
      <c r="BE20" s="1758"/>
      <c r="BF20" s="1758"/>
      <c r="BG20" s="1758"/>
      <c r="BH20" s="1758"/>
      <c r="BI20" s="1758"/>
      <c r="BJ20" s="1758"/>
      <c r="BK20" s="1758"/>
      <c r="BL20" s="1758"/>
      <c r="BM20" s="1758"/>
      <c r="BN20" s="1758"/>
      <c r="BO20" s="1758"/>
      <c r="BP20" s="1758"/>
      <c r="BQ20" s="1758"/>
      <c r="BR20" s="1758"/>
      <c r="BS20" s="1758"/>
      <c r="BT20" s="1758"/>
      <c r="BU20" s="1758"/>
      <c r="BV20" s="1758"/>
      <c r="BW20" s="1758"/>
      <c r="BX20" s="1758"/>
      <c r="BY20" s="1758"/>
      <c r="BZ20" s="1758"/>
      <c r="CA20" s="1758"/>
      <c r="CB20" s="1758"/>
      <c r="CC20" s="1758"/>
      <c r="CD20" s="1758"/>
      <c r="CE20" s="1758"/>
      <c r="CF20" s="1758"/>
      <c r="CG20" s="1758"/>
      <c r="CH20" s="1758"/>
      <c r="CI20" s="1758"/>
      <c r="CJ20" s="1758"/>
      <c r="CK20" s="1758"/>
      <c r="CL20" s="1758"/>
      <c r="CM20" s="1758"/>
      <c r="CN20" s="1758"/>
      <c r="CO20" s="1758"/>
      <c r="CP20" s="1758"/>
      <c r="CQ20" s="1758"/>
      <c r="CR20" s="1758"/>
      <c r="CS20" s="1758"/>
      <c r="CT20" s="1758"/>
      <c r="CU20" s="1758"/>
      <c r="CV20" s="1758"/>
      <c r="CW20" s="1758"/>
      <c r="CX20" s="1758"/>
      <c r="CY20" s="1758"/>
      <c r="CZ20" s="1758"/>
      <c r="DA20" s="1758"/>
      <c r="DB20" s="1758"/>
      <c r="DC20" s="1758"/>
    </row>
    <row r="21" spans="1:107" s="1395" customFormat="1" ht="28.5" customHeight="1">
      <c r="A21" s="10813"/>
      <c r="B21" s="10757"/>
      <c r="C21" s="10756"/>
      <c r="D21" s="10756"/>
      <c r="E21" s="10756"/>
      <c r="F21" s="10793"/>
      <c r="G21" s="10756"/>
      <c r="H21" s="10756"/>
      <c r="I21" s="10756"/>
      <c r="J21" s="10756"/>
      <c r="K21" s="10762"/>
      <c r="L21" s="10761"/>
      <c r="M21" s="10761"/>
      <c r="N21" s="10761"/>
      <c r="O21" s="10762"/>
      <c r="P21" s="10762"/>
      <c r="Q21" s="10763"/>
      <c r="R21" s="5174"/>
      <c r="S21" s="5214"/>
      <c r="T21" s="5214"/>
      <c r="U21" s="5250"/>
      <c r="V21" s="5281"/>
      <c r="W21" s="5302"/>
      <c r="X21" s="7477"/>
      <c r="Y21" s="7473"/>
      <c r="Z21" s="7473"/>
      <c r="AA21" s="7474"/>
      <c r="AB21" s="5323"/>
      <c r="AC21" s="1396"/>
      <c r="AD21" s="5300"/>
      <c r="AE21" s="5346"/>
      <c r="AF21" s="5346"/>
      <c r="AG21" s="10777"/>
      <c r="AH21" s="1758"/>
      <c r="AI21" s="1758"/>
      <c r="AJ21" s="1758"/>
      <c r="AK21" s="1758"/>
      <c r="AL21" s="1758"/>
      <c r="AM21" s="1758"/>
      <c r="AN21" s="1758"/>
      <c r="AO21" s="1758"/>
      <c r="AP21" s="1758"/>
      <c r="AQ21" s="1758"/>
      <c r="AR21" s="1758"/>
      <c r="AS21" s="1758"/>
      <c r="AT21" s="1758"/>
      <c r="AU21" s="1758"/>
      <c r="AV21" s="1758"/>
      <c r="AW21" s="1758"/>
      <c r="AX21" s="1758"/>
      <c r="AY21" s="1758"/>
      <c r="AZ21" s="1758"/>
      <c r="BA21" s="1758"/>
      <c r="BB21" s="1758"/>
      <c r="BC21" s="1758"/>
      <c r="BD21" s="1758"/>
      <c r="BE21" s="1758"/>
      <c r="BF21" s="1758"/>
      <c r="BG21" s="1758"/>
      <c r="BH21" s="1758"/>
      <c r="BI21" s="1758"/>
      <c r="BJ21" s="1758"/>
      <c r="BK21" s="1758"/>
      <c r="BL21" s="1758"/>
      <c r="BM21" s="1758"/>
      <c r="BN21" s="1758"/>
      <c r="BO21" s="1758"/>
      <c r="BP21" s="1758"/>
      <c r="BQ21" s="1758"/>
      <c r="BR21" s="1758"/>
      <c r="BS21" s="1758"/>
      <c r="BT21" s="1758"/>
      <c r="BU21" s="1758"/>
      <c r="BV21" s="1758"/>
      <c r="BW21" s="1758"/>
      <c r="BX21" s="1758"/>
      <c r="BY21" s="1758"/>
      <c r="BZ21" s="1758"/>
      <c r="CA21" s="1758"/>
      <c r="CB21" s="1758"/>
      <c r="CC21" s="1758"/>
      <c r="CD21" s="1758"/>
      <c r="CE21" s="1758"/>
      <c r="CF21" s="1758"/>
      <c r="CG21" s="1758"/>
      <c r="CH21" s="1758"/>
      <c r="CI21" s="1758"/>
      <c r="CJ21" s="1758"/>
      <c r="CK21" s="1758"/>
      <c r="CL21" s="1758"/>
      <c r="CM21" s="1758"/>
      <c r="CN21" s="1758"/>
      <c r="CO21" s="1758"/>
      <c r="CP21" s="1758"/>
      <c r="CQ21" s="1758"/>
      <c r="CR21" s="1758"/>
      <c r="CS21" s="1758"/>
      <c r="CT21" s="1758"/>
      <c r="CU21" s="1758"/>
      <c r="CV21" s="1758"/>
      <c r="CW21" s="1758"/>
      <c r="CX21" s="1758"/>
      <c r="CY21" s="1758"/>
      <c r="CZ21" s="1758"/>
      <c r="DA21" s="1758"/>
      <c r="DB21" s="1758"/>
      <c r="DC21" s="1758"/>
    </row>
    <row r="22" spans="1:107" s="1395" customFormat="1" ht="28.5" customHeight="1">
      <c r="A22" s="10813"/>
      <c r="B22" s="10757"/>
      <c r="C22" s="10756"/>
      <c r="D22" s="10756"/>
      <c r="E22" s="10756"/>
      <c r="F22" s="10793"/>
      <c r="G22" s="10756"/>
      <c r="H22" s="10756"/>
      <c r="I22" s="10756"/>
      <c r="J22" s="10756"/>
      <c r="K22" s="10762"/>
      <c r="L22" s="10761"/>
      <c r="M22" s="10761"/>
      <c r="N22" s="10761"/>
      <c r="O22" s="10762"/>
      <c r="P22" s="10762"/>
      <c r="Q22" s="10763"/>
      <c r="R22" s="5173"/>
      <c r="S22" s="5212"/>
      <c r="T22" s="5212"/>
      <c r="U22" s="5250"/>
      <c r="V22" s="5281"/>
      <c r="W22" s="5302"/>
      <c r="X22" s="7477"/>
      <c r="Y22" s="7473"/>
      <c r="Z22" s="7473"/>
      <c r="AA22" s="7474"/>
      <c r="AB22" s="5323"/>
      <c r="AC22" s="1396"/>
      <c r="AD22" s="5300"/>
      <c r="AE22" s="5346"/>
      <c r="AF22" s="5346"/>
      <c r="AG22" s="10777"/>
      <c r="AH22" s="1758"/>
      <c r="AI22" s="1758"/>
      <c r="AJ22" s="1758"/>
      <c r="AK22" s="1758"/>
      <c r="AL22" s="1758"/>
      <c r="AM22" s="1758"/>
      <c r="AN22" s="1758"/>
      <c r="AO22" s="1758"/>
      <c r="AP22" s="1758"/>
      <c r="AQ22" s="1758"/>
      <c r="AR22" s="1758"/>
      <c r="AS22" s="1758"/>
      <c r="AT22" s="1758"/>
      <c r="AU22" s="1758"/>
      <c r="AV22" s="1758"/>
      <c r="AW22" s="1758"/>
      <c r="AX22" s="1758"/>
      <c r="AY22" s="1758"/>
      <c r="AZ22" s="1758"/>
      <c r="BA22" s="1758"/>
      <c r="BB22" s="1758"/>
      <c r="BC22" s="1758"/>
      <c r="BD22" s="1758"/>
      <c r="BE22" s="1758"/>
      <c r="BF22" s="1758"/>
      <c r="BG22" s="1758"/>
      <c r="BH22" s="1758"/>
      <c r="BI22" s="1758"/>
      <c r="BJ22" s="1758"/>
      <c r="BK22" s="1758"/>
      <c r="BL22" s="1758"/>
      <c r="BM22" s="1758"/>
      <c r="BN22" s="1758"/>
      <c r="BO22" s="1758"/>
      <c r="BP22" s="1758"/>
      <c r="BQ22" s="1758"/>
      <c r="BR22" s="1758"/>
      <c r="BS22" s="1758"/>
      <c r="BT22" s="1758"/>
      <c r="BU22" s="1758"/>
      <c r="BV22" s="1758"/>
      <c r="BW22" s="1758"/>
      <c r="BX22" s="1758"/>
      <c r="BY22" s="1758"/>
      <c r="BZ22" s="1758"/>
      <c r="CA22" s="1758"/>
      <c r="CB22" s="1758"/>
      <c r="CC22" s="1758"/>
      <c r="CD22" s="1758"/>
      <c r="CE22" s="1758"/>
      <c r="CF22" s="1758"/>
      <c r="CG22" s="1758"/>
      <c r="CH22" s="1758"/>
      <c r="CI22" s="1758"/>
      <c r="CJ22" s="1758"/>
      <c r="CK22" s="1758"/>
      <c r="CL22" s="1758"/>
      <c r="CM22" s="1758"/>
      <c r="CN22" s="1758"/>
      <c r="CO22" s="1758"/>
      <c r="CP22" s="1758"/>
      <c r="CQ22" s="1758"/>
      <c r="CR22" s="1758"/>
      <c r="CS22" s="1758"/>
      <c r="CT22" s="1758"/>
      <c r="CU22" s="1758"/>
      <c r="CV22" s="1758"/>
      <c r="CW22" s="1758"/>
      <c r="CX22" s="1758"/>
      <c r="CY22" s="1758"/>
      <c r="CZ22" s="1758"/>
      <c r="DA22" s="1758"/>
      <c r="DB22" s="1758"/>
      <c r="DC22" s="1758"/>
    </row>
    <row r="23" spans="1:107" s="1395" customFormat="1" ht="28.5" customHeight="1">
      <c r="A23" s="10813"/>
      <c r="B23" s="10757"/>
      <c r="C23" s="10756"/>
      <c r="D23" s="10756"/>
      <c r="E23" s="10756"/>
      <c r="F23" s="10793"/>
      <c r="G23" s="10756"/>
      <c r="H23" s="10756"/>
      <c r="I23" s="10756"/>
      <c r="J23" s="10756"/>
      <c r="K23" s="10762"/>
      <c r="L23" s="10761"/>
      <c r="M23" s="10761"/>
      <c r="N23" s="10761"/>
      <c r="O23" s="10762"/>
      <c r="P23" s="10762"/>
      <c r="Q23" s="10763"/>
      <c r="R23" s="5175"/>
      <c r="S23" s="5215"/>
      <c r="T23" s="5215"/>
      <c r="U23" s="5251"/>
      <c r="V23" s="5282"/>
      <c r="W23" s="5303"/>
      <c r="X23" s="7479"/>
      <c r="Y23" s="7479"/>
      <c r="Z23" s="7479"/>
      <c r="AA23" s="7480"/>
      <c r="AB23" s="5326"/>
      <c r="AC23" s="1399"/>
      <c r="AD23" s="5303"/>
      <c r="AE23" s="5348"/>
      <c r="AF23" s="5348"/>
      <c r="AG23" s="10778"/>
      <c r="AH23" s="1758"/>
      <c r="AI23" s="1758"/>
      <c r="AJ23" s="1758"/>
      <c r="AK23" s="1758"/>
      <c r="AL23" s="1758"/>
      <c r="AM23" s="1758"/>
      <c r="AN23" s="1758"/>
      <c r="AO23" s="1758"/>
      <c r="AP23" s="1758"/>
      <c r="AQ23" s="1758"/>
      <c r="AR23" s="1758"/>
      <c r="AS23" s="1758"/>
      <c r="AT23" s="1758"/>
      <c r="AU23" s="1758"/>
      <c r="AV23" s="1758"/>
      <c r="AW23" s="1758"/>
      <c r="AX23" s="1758"/>
      <c r="AY23" s="1758"/>
      <c r="AZ23" s="1758"/>
      <c r="BA23" s="1758"/>
      <c r="BB23" s="1758"/>
      <c r="BC23" s="1758"/>
      <c r="BD23" s="1758"/>
      <c r="BE23" s="1758"/>
      <c r="BF23" s="1758"/>
      <c r="BG23" s="1758"/>
      <c r="BH23" s="1758"/>
      <c r="BI23" s="1758"/>
      <c r="BJ23" s="1758"/>
      <c r="BK23" s="1758"/>
      <c r="BL23" s="1758"/>
      <c r="BM23" s="1758"/>
      <c r="BN23" s="1758"/>
      <c r="BO23" s="1758"/>
      <c r="BP23" s="1758"/>
      <c r="BQ23" s="1758"/>
      <c r="BR23" s="1758"/>
      <c r="BS23" s="1758"/>
      <c r="BT23" s="1758"/>
      <c r="BU23" s="1758"/>
      <c r="BV23" s="1758"/>
      <c r="BW23" s="1758"/>
      <c r="BX23" s="1758"/>
      <c r="BY23" s="1758"/>
      <c r="BZ23" s="1758"/>
      <c r="CA23" s="1758"/>
      <c r="CB23" s="1758"/>
      <c r="CC23" s="1758"/>
      <c r="CD23" s="1758"/>
      <c r="CE23" s="1758"/>
      <c r="CF23" s="1758"/>
      <c r="CG23" s="1758"/>
      <c r="CH23" s="1758"/>
      <c r="CI23" s="1758"/>
      <c r="CJ23" s="1758"/>
      <c r="CK23" s="1758"/>
      <c r="CL23" s="1758"/>
      <c r="CM23" s="1758"/>
      <c r="CN23" s="1758"/>
      <c r="CO23" s="1758"/>
      <c r="CP23" s="1758"/>
      <c r="CQ23" s="1758"/>
      <c r="CR23" s="1758"/>
      <c r="CS23" s="1758"/>
      <c r="CT23" s="1758"/>
      <c r="CU23" s="1758"/>
      <c r="CV23" s="1758"/>
      <c r="CW23" s="1758"/>
      <c r="CX23" s="1758"/>
      <c r="CY23" s="1758"/>
      <c r="CZ23" s="1758"/>
      <c r="DA23" s="1758"/>
      <c r="DB23" s="1758"/>
      <c r="DC23" s="1758"/>
    </row>
    <row r="24" spans="1:107" s="1395" customFormat="1" ht="28.5" customHeight="1">
      <c r="A24" s="10813"/>
      <c r="B24" s="10757" t="s">
        <v>127</v>
      </c>
      <c r="C24" s="10756" t="s">
        <v>128</v>
      </c>
      <c r="D24" s="10756" t="s">
        <v>140</v>
      </c>
      <c r="E24" s="10756" t="s">
        <v>238</v>
      </c>
      <c r="F24" s="10793" t="s">
        <v>131</v>
      </c>
      <c r="G24" s="10756" t="s">
        <v>132</v>
      </c>
      <c r="H24" s="10756" t="s">
        <v>159</v>
      </c>
      <c r="I24" s="10756" t="s">
        <v>4745</v>
      </c>
      <c r="J24" s="10756" t="s">
        <v>4746</v>
      </c>
      <c r="K24" s="10762" t="s">
        <v>4747</v>
      </c>
      <c r="L24" s="10761">
        <v>0</v>
      </c>
      <c r="M24" s="10758">
        <v>0</v>
      </c>
      <c r="N24" s="10761">
        <v>1</v>
      </c>
      <c r="O24" s="10762" t="s">
        <v>4748</v>
      </c>
      <c r="P24" s="10762" t="s">
        <v>4749</v>
      </c>
      <c r="Q24" s="10763" t="s">
        <v>4750</v>
      </c>
      <c r="R24" s="5173"/>
      <c r="S24" s="5212"/>
      <c r="T24" s="5212"/>
      <c r="U24" s="5249"/>
      <c r="V24" s="5281"/>
      <c r="W24" s="5302"/>
      <c r="X24" s="7477"/>
      <c r="Y24" s="7477"/>
      <c r="Z24" s="7477"/>
      <c r="AA24" s="7478"/>
      <c r="AB24" s="5325"/>
      <c r="AC24" s="1398"/>
      <c r="AD24" s="5302"/>
      <c r="AE24" s="5349"/>
      <c r="AF24" s="5349"/>
      <c r="AG24" s="10777"/>
      <c r="AH24" s="1758"/>
      <c r="AI24" s="1758"/>
      <c r="AJ24" s="1758"/>
      <c r="AK24" s="1758"/>
      <c r="AL24" s="1758"/>
      <c r="AM24" s="1758"/>
      <c r="AN24" s="1758"/>
      <c r="AO24" s="1758"/>
      <c r="AP24" s="1758"/>
      <c r="AQ24" s="1758"/>
      <c r="AR24" s="1758"/>
      <c r="AS24" s="1758"/>
      <c r="AT24" s="1758"/>
      <c r="AU24" s="1758"/>
      <c r="AV24" s="1758"/>
      <c r="AW24" s="1758"/>
      <c r="AX24" s="1758"/>
      <c r="AY24" s="1758"/>
      <c r="AZ24" s="1758"/>
      <c r="BA24" s="1758"/>
      <c r="BB24" s="1758"/>
      <c r="BC24" s="1758"/>
      <c r="BD24" s="1758"/>
      <c r="BE24" s="1758"/>
      <c r="BF24" s="1758"/>
      <c r="BG24" s="1758"/>
      <c r="BH24" s="1758"/>
      <c r="BI24" s="1758"/>
      <c r="BJ24" s="1758"/>
      <c r="BK24" s="1758"/>
      <c r="BL24" s="1758"/>
      <c r="BM24" s="1758"/>
      <c r="BN24" s="1758"/>
      <c r="BO24" s="1758"/>
      <c r="BP24" s="1758"/>
      <c r="BQ24" s="1758"/>
      <c r="BR24" s="1758"/>
      <c r="BS24" s="1758"/>
      <c r="BT24" s="1758"/>
      <c r="BU24" s="1758"/>
      <c r="BV24" s="1758"/>
      <c r="BW24" s="1758"/>
      <c r="BX24" s="1758"/>
      <c r="BY24" s="1758"/>
      <c r="BZ24" s="1758"/>
      <c r="CA24" s="1758"/>
      <c r="CB24" s="1758"/>
      <c r="CC24" s="1758"/>
      <c r="CD24" s="1758"/>
      <c r="CE24" s="1758"/>
      <c r="CF24" s="1758"/>
      <c r="CG24" s="1758"/>
      <c r="CH24" s="1758"/>
      <c r="CI24" s="1758"/>
      <c r="CJ24" s="1758"/>
      <c r="CK24" s="1758"/>
      <c r="CL24" s="1758"/>
      <c r="CM24" s="1758"/>
      <c r="CN24" s="1758"/>
      <c r="CO24" s="1758"/>
      <c r="CP24" s="1758"/>
      <c r="CQ24" s="1758"/>
      <c r="CR24" s="1758"/>
      <c r="CS24" s="1758"/>
      <c r="CT24" s="1758"/>
      <c r="CU24" s="1758"/>
      <c r="CV24" s="1758"/>
      <c r="CW24" s="1758"/>
      <c r="CX24" s="1758"/>
      <c r="CY24" s="1758"/>
      <c r="CZ24" s="1758"/>
      <c r="DA24" s="1758"/>
      <c r="DB24" s="1758"/>
      <c r="DC24" s="1758"/>
    </row>
    <row r="25" spans="1:107" s="1395" customFormat="1" ht="28.5" customHeight="1">
      <c r="A25" s="10813"/>
      <c r="B25" s="10757"/>
      <c r="C25" s="10756"/>
      <c r="D25" s="10756"/>
      <c r="E25" s="10756"/>
      <c r="F25" s="10793"/>
      <c r="G25" s="10756"/>
      <c r="H25" s="10756"/>
      <c r="I25" s="10756"/>
      <c r="J25" s="10756"/>
      <c r="K25" s="10762"/>
      <c r="L25" s="10761"/>
      <c r="M25" s="10759"/>
      <c r="N25" s="10761"/>
      <c r="O25" s="10762"/>
      <c r="P25" s="10762"/>
      <c r="Q25" s="10763"/>
      <c r="R25" s="5171"/>
      <c r="S25" s="5213"/>
      <c r="T25" s="5213"/>
      <c r="U25" s="5247"/>
      <c r="V25" s="5279"/>
      <c r="W25" s="5300"/>
      <c r="X25" s="7473"/>
      <c r="Y25" s="7473"/>
      <c r="Z25" s="7473"/>
      <c r="AA25" s="7474"/>
      <c r="AB25" s="5323"/>
      <c r="AC25" s="1396"/>
      <c r="AD25" s="5300"/>
      <c r="AE25" s="5346"/>
      <c r="AF25" s="5346"/>
      <c r="AG25" s="10777"/>
      <c r="AH25" s="1758"/>
      <c r="AI25" s="1758"/>
      <c r="AJ25" s="1758"/>
      <c r="AK25" s="1758"/>
      <c r="AL25" s="1758"/>
      <c r="AM25" s="1758"/>
      <c r="AN25" s="1758"/>
      <c r="AO25" s="1758"/>
      <c r="AP25" s="1758"/>
      <c r="AQ25" s="1758"/>
      <c r="AR25" s="1758"/>
      <c r="AS25" s="1758"/>
      <c r="AT25" s="1758"/>
      <c r="AU25" s="1758"/>
      <c r="AV25" s="1758"/>
      <c r="AW25" s="1758"/>
      <c r="AX25" s="1758"/>
      <c r="AY25" s="1758"/>
      <c r="AZ25" s="1758"/>
      <c r="BA25" s="1758"/>
      <c r="BB25" s="1758"/>
      <c r="BC25" s="1758"/>
      <c r="BD25" s="1758"/>
      <c r="BE25" s="1758"/>
      <c r="BF25" s="1758"/>
      <c r="BG25" s="1758"/>
      <c r="BH25" s="1758"/>
      <c r="BI25" s="1758"/>
      <c r="BJ25" s="1758"/>
      <c r="BK25" s="1758"/>
      <c r="BL25" s="1758"/>
      <c r="BM25" s="1758"/>
      <c r="BN25" s="1758"/>
      <c r="BO25" s="1758"/>
      <c r="BP25" s="1758"/>
      <c r="BQ25" s="1758"/>
      <c r="BR25" s="1758"/>
      <c r="BS25" s="1758"/>
      <c r="BT25" s="1758"/>
      <c r="BU25" s="1758"/>
      <c r="BV25" s="1758"/>
      <c r="BW25" s="1758"/>
      <c r="BX25" s="1758"/>
      <c r="BY25" s="1758"/>
      <c r="BZ25" s="1758"/>
      <c r="CA25" s="1758"/>
      <c r="CB25" s="1758"/>
      <c r="CC25" s="1758"/>
      <c r="CD25" s="1758"/>
      <c r="CE25" s="1758"/>
      <c r="CF25" s="1758"/>
      <c r="CG25" s="1758"/>
      <c r="CH25" s="1758"/>
      <c r="CI25" s="1758"/>
      <c r="CJ25" s="1758"/>
      <c r="CK25" s="1758"/>
      <c r="CL25" s="1758"/>
      <c r="CM25" s="1758"/>
      <c r="CN25" s="1758"/>
      <c r="CO25" s="1758"/>
      <c r="CP25" s="1758"/>
      <c r="CQ25" s="1758"/>
      <c r="CR25" s="1758"/>
      <c r="CS25" s="1758"/>
      <c r="CT25" s="1758"/>
      <c r="CU25" s="1758"/>
      <c r="CV25" s="1758"/>
      <c r="CW25" s="1758"/>
      <c r="CX25" s="1758"/>
      <c r="CY25" s="1758"/>
      <c r="CZ25" s="1758"/>
      <c r="DA25" s="1758"/>
      <c r="DB25" s="1758"/>
      <c r="DC25" s="1758"/>
    </row>
    <row r="26" spans="1:107" s="1395" customFormat="1" ht="28.5" customHeight="1">
      <c r="A26" s="10813"/>
      <c r="B26" s="10757"/>
      <c r="C26" s="10756"/>
      <c r="D26" s="10756"/>
      <c r="E26" s="10756"/>
      <c r="F26" s="10793"/>
      <c r="G26" s="10756"/>
      <c r="H26" s="10756"/>
      <c r="I26" s="10756"/>
      <c r="J26" s="10756"/>
      <c r="K26" s="10762"/>
      <c r="L26" s="10761"/>
      <c r="M26" s="10759"/>
      <c r="N26" s="10761"/>
      <c r="O26" s="10762"/>
      <c r="P26" s="10762"/>
      <c r="Q26" s="10763"/>
      <c r="R26" s="5174"/>
      <c r="S26" s="5214"/>
      <c r="T26" s="5214"/>
      <c r="U26" s="5250"/>
      <c r="V26" s="5281"/>
      <c r="W26" s="5302"/>
      <c r="X26" s="7477"/>
      <c r="Y26" s="7473"/>
      <c r="Z26" s="7473"/>
      <c r="AA26" s="7474"/>
      <c r="AB26" s="5323"/>
      <c r="AC26" s="1396"/>
      <c r="AD26" s="5300"/>
      <c r="AE26" s="5346"/>
      <c r="AF26" s="5346"/>
      <c r="AG26" s="10777"/>
      <c r="AH26" s="1758"/>
      <c r="AI26" s="1758"/>
      <c r="AJ26" s="1758"/>
      <c r="AK26" s="1758"/>
      <c r="AL26" s="1758"/>
      <c r="AM26" s="1758"/>
      <c r="AN26" s="1758"/>
      <c r="AO26" s="1758"/>
      <c r="AP26" s="1758"/>
      <c r="AQ26" s="1758"/>
      <c r="AR26" s="1758"/>
      <c r="AS26" s="1758"/>
      <c r="AT26" s="1758"/>
      <c r="AU26" s="1758"/>
      <c r="AV26" s="1758"/>
      <c r="AW26" s="1758"/>
      <c r="AX26" s="1758"/>
      <c r="AY26" s="1758"/>
      <c r="AZ26" s="1758"/>
      <c r="BA26" s="1758"/>
      <c r="BB26" s="1758"/>
      <c r="BC26" s="1758"/>
      <c r="BD26" s="1758"/>
      <c r="BE26" s="1758"/>
      <c r="BF26" s="1758"/>
      <c r="BG26" s="1758"/>
      <c r="BH26" s="1758"/>
      <c r="BI26" s="1758"/>
      <c r="BJ26" s="1758"/>
      <c r="BK26" s="1758"/>
      <c r="BL26" s="1758"/>
      <c r="BM26" s="1758"/>
      <c r="BN26" s="1758"/>
      <c r="BO26" s="1758"/>
      <c r="BP26" s="1758"/>
      <c r="BQ26" s="1758"/>
      <c r="BR26" s="1758"/>
      <c r="BS26" s="1758"/>
      <c r="BT26" s="1758"/>
      <c r="BU26" s="1758"/>
      <c r="BV26" s="1758"/>
      <c r="BW26" s="1758"/>
      <c r="BX26" s="1758"/>
      <c r="BY26" s="1758"/>
      <c r="BZ26" s="1758"/>
      <c r="CA26" s="1758"/>
      <c r="CB26" s="1758"/>
      <c r="CC26" s="1758"/>
      <c r="CD26" s="1758"/>
      <c r="CE26" s="1758"/>
      <c r="CF26" s="1758"/>
      <c r="CG26" s="1758"/>
      <c r="CH26" s="1758"/>
      <c r="CI26" s="1758"/>
      <c r="CJ26" s="1758"/>
      <c r="CK26" s="1758"/>
      <c r="CL26" s="1758"/>
      <c r="CM26" s="1758"/>
      <c r="CN26" s="1758"/>
      <c r="CO26" s="1758"/>
      <c r="CP26" s="1758"/>
      <c r="CQ26" s="1758"/>
      <c r="CR26" s="1758"/>
      <c r="CS26" s="1758"/>
      <c r="CT26" s="1758"/>
      <c r="CU26" s="1758"/>
      <c r="CV26" s="1758"/>
      <c r="CW26" s="1758"/>
      <c r="CX26" s="1758"/>
      <c r="CY26" s="1758"/>
      <c r="CZ26" s="1758"/>
      <c r="DA26" s="1758"/>
      <c r="DB26" s="1758"/>
      <c r="DC26" s="1758"/>
    </row>
    <row r="27" spans="1:107" s="1395" customFormat="1" ht="28.5" customHeight="1">
      <c r="A27" s="10813"/>
      <c r="B27" s="10757"/>
      <c r="C27" s="10756"/>
      <c r="D27" s="10756"/>
      <c r="E27" s="10756"/>
      <c r="F27" s="10793"/>
      <c r="G27" s="10756"/>
      <c r="H27" s="10756"/>
      <c r="I27" s="10756"/>
      <c r="J27" s="10756"/>
      <c r="K27" s="10762"/>
      <c r="L27" s="10761"/>
      <c r="M27" s="10759"/>
      <c r="N27" s="10761"/>
      <c r="O27" s="10762"/>
      <c r="P27" s="10762"/>
      <c r="Q27" s="10763"/>
      <c r="R27" s="5173"/>
      <c r="S27" s="5212"/>
      <c r="T27" s="5212"/>
      <c r="U27" s="5250"/>
      <c r="V27" s="5281"/>
      <c r="W27" s="5302"/>
      <c r="X27" s="7477"/>
      <c r="Y27" s="7473"/>
      <c r="Z27" s="7473"/>
      <c r="AA27" s="7474"/>
      <c r="AB27" s="5323"/>
      <c r="AC27" s="1396"/>
      <c r="AD27" s="5300"/>
      <c r="AE27" s="5346"/>
      <c r="AF27" s="5346"/>
      <c r="AG27" s="10777"/>
      <c r="AH27" s="1758"/>
      <c r="AI27" s="1758"/>
      <c r="AJ27" s="1758"/>
      <c r="AK27" s="1758"/>
      <c r="AL27" s="1758"/>
      <c r="AM27" s="1758"/>
      <c r="AN27" s="1758"/>
      <c r="AO27" s="1758"/>
      <c r="AP27" s="1758"/>
      <c r="AQ27" s="1758"/>
      <c r="AR27" s="1758"/>
      <c r="AS27" s="1758"/>
      <c r="AT27" s="1758"/>
      <c r="AU27" s="1758"/>
      <c r="AV27" s="1758"/>
      <c r="AW27" s="1758"/>
      <c r="AX27" s="1758"/>
      <c r="AY27" s="1758"/>
      <c r="AZ27" s="1758"/>
      <c r="BA27" s="1758"/>
      <c r="BB27" s="1758"/>
      <c r="BC27" s="1758"/>
      <c r="BD27" s="1758"/>
      <c r="BE27" s="1758"/>
      <c r="BF27" s="1758"/>
      <c r="BG27" s="1758"/>
      <c r="BH27" s="1758"/>
      <c r="BI27" s="1758"/>
      <c r="BJ27" s="1758"/>
      <c r="BK27" s="1758"/>
      <c r="BL27" s="1758"/>
      <c r="BM27" s="1758"/>
      <c r="BN27" s="1758"/>
      <c r="BO27" s="1758"/>
      <c r="BP27" s="1758"/>
      <c r="BQ27" s="1758"/>
      <c r="BR27" s="1758"/>
      <c r="BS27" s="1758"/>
      <c r="BT27" s="1758"/>
      <c r="BU27" s="1758"/>
      <c r="BV27" s="1758"/>
      <c r="BW27" s="1758"/>
      <c r="BX27" s="1758"/>
      <c r="BY27" s="1758"/>
      <c r="BZ27" s="1758"/>
      <c r="CA27" s="1758"/>
      <c r="CB27" s="1758"/>
      <c r="CC27" s="1758"/>
      <c r="CD27" s="1758"/>
      <c r="CE27" s="1758"/>
      <c r="CF27" s="1758"/>
      <c r="CG27" s="1758"/>
      <c r="CH27" s="1758"/>
      <c r="CI27" s="1758"/>
      <c r="CJ27" s="1758"/>
      <c r="CK27" s="1758"/>
      <c r="CL27" s="1758"/>
      <c r="CM27" s="1758"/>
      <c r="CN27" s="1758"/>
      <c r="CO27" s="1758"/>
      <c r="CP27" s="1758"/>
      <c r="CQ27" s="1758"/>
      <c r="CR27" s="1758"/>
      <c r="CS27" s="1758"/>
      <c r="CT27" s="1758"/>
      <c r="CU27" s="1758"/>
      <c r="CV27" s="1758"/>
      <c r="CW27" s="1758"/>
      <c r="CX27" s="1758"/>
      <c r="CY27" s="1758"/>
      <c r="CZ27" s="1758"/>
      <c r="DA27" s="1758"/>
      <c r="DB27" s="1758"/>
      <c r="DC27" s="1758"/>
    </row>
    <row r="28" spans="1:107" s="1395" customFormat="1" ht="28.5" customHeight="1">
      <c r="A28" s="10813"/>
      <c r="B28" s="10757"/>
      <c r="C28" s="10756"/>
      <c r="D28" s="10756"/>
      <c r="E28" s="10756"/>
      <c r="F28" s="10793"/>
      <c r="G28" s="10756"/>
      <c r="H28" s="10756"/>
      <c r="I28" s="10756"/>
      <c r="J28" s="10756"/>
      <c r="K28" s="10762"/>
      <c r="L28" s="10761"/>
      <c r="M28" s="10760"/>
      <c r="N28" s="10761"/>
      <c r="O28" s="10762"/>
      <c r="P28" s="10762"/>
      <c r="Q28" s="10763"/>
      <c r="R28" s="5175"/>
      <c r="S28" s="5215"/>
      <c r="T28" s="5215"/>
      <c r="U28" s="5251"/>
      <c r="V28" s="5282"/>
      <c r="W28" s="5303"/>
      <c r="X28" s="7479"/>
      <c r="Y28" s="7479"/>
      <c r="Z28" s="7479"/>
      <c r="AA28" s="7480"/>
      <c r="AB28" s="5326"/>
      <c r="AC28" s="1399"/>
      <c r="AD28" s="5303"/>
      <c r="AE28" s="5348"/>
      <c r="AF28" s="5348"/>
      <c r="AG28" s="10778"/>
      <c r="AH28" s="1758"/>
      <c r="AI28" s="1758"/>
      <c r="AJ28" s="1758"/>
      <c r="AK28" s="1758"/>
      <c r="AL28" s="1758"/>
      <c r="AM28" s="1758"/>
      <c r="AN28" s="1758"/>
      <c r="AO28" s="1758"/>
      <c r="AP28" s="1758"/>
      <c r="AQ28" s="1758"/>
      <c r="AR28" s="1758"/>
      <c r="AS28" s="1758"/>
      <c r="AT28" s="1758"/>
      <c r="AU28" s="1758"/>
      <c r="AV28" s="1758"/>
      <c r="AW28" s="1758"/>
      <c r="AX28" s="1758"/>
      <c r="AY28" s="1758"/>
      <c r="AZ28" s="1758"/>
      <c r="BA28" s="1758"/>
      <c r="BB28" s="1758"/>
      <c r="BC28" s="1758"/>
      <c r="BD28" s="1758"/>
      <c r="BE28" s="1758"/>
      <c r="BF28" s="1758"/>
      <c r="BG28" s="1758"/>
      <c r="BH28" s="1758"/>
      <c r="BI28" s="1758"/>
      <c r="BJ28" s="1758"/>
      <c r="BK28" s="1758"/>
      <c r="BL28" s="1758"/>
      <c r="BM28" s="1758"/>
      <c r="BN28" s="1758"/>
      <c r="BO28" s="1758"/>
      <c r="BP28" s="1758"/>
      <c r="BQ28" s="1758"/>
      <c r="BR28" s="1758"/>
      <c r="BS28" s="1758"/>
      <c r="BT28" s="1758"/>
      <c r="BU28" s="1758"/>
      <c r="BV28" s="1758"/>
      <c r="BW28" s="1758"/>
      <c r="BX28" s="1758"/>
      <c r="BY28" s="1758"/>
      <c r="BZ28" s="1758"/>
      <c r="CA28" s="1758"/>
      <c r="CB28" s="1758"/>
      <c r="CC28" s="1758"/>
      <c r="CD28" s="1758"/>
      <c r="CE28" s="1758"/>
      <c r="CF28" s="1758"/>
      <c r="CG28" s="1758"/>
      <c r="CH28" s="1758"/>
      <c r="CI28" s="1758"/>
      <c r="CJ28" s="1758"/>
      <c r="CK28" s="1758"/>
      <c r="CL28" s="1758"/>
      <c r="CM28" s="1758"/>
      <c r="CN28" s="1758"/>
      <c r="CO28" s="1758"/>
      <c r="CP28" s="1758"/>
      <c r="CQ28" s="1758"/>
      <c r="CR28" s="1758"/>
      <c r="CS28" s="1758"/>
      <c r="CT28" s="1758"/>
      <c r="CU28" s="1758"/>
      <c r="CV28" s="1758"/>
      <c r="CW28" s="1758"/>
      <c r="CX28" s="1758"/>
      <c r="CY28" s="1758"/>
      <c r="CZ28" s="1758"/>
      <c r="DA28" s="1758"/>
      <c r="DB28" s="1758"/>
      <c r="DC28" s="1758"/>
    </row>
    <row r="29" spans="1:107" s="1395" customFormat="1" ht="40.5" customHeight="1">
      <c r="A29" s="10813"/>
      <c r="B29" s="10757" t="s">
        <v>183</v>
      </c>
      <c r="C29" s="10756" t="s">
        <v>227</v>
      </c>
      <c r="D29" s="10756" t="s">
        <v>228</v>
      </c>
      <c r="E29" s="10756" t="s">
        <v>255</v>
      </c>
      <c r="F29" s="10793" t="s">
        <v>230</v>
      </c>
      <c r="G29" s="10756" t="s">
        <v>171</v>
      </c>
      <c r="H29" s="10756" t="s">
        <v>159</v>
      </c>
      <c r="I29" s="10756" t="s">
        <v>4751</v>
      </c>
      <c r="J29" s="10796" t="s">
        <v>4228</v>
      </c>
      <c r="K29" s="10762" t="s">
        <v>4752</v>
      </c>
      <c r="L29" s="10761">
        <v>1</v>
      </c>
      <c r="M29" s="10758">
        <v>0</v>
      </c>
      <c r="N29" s="10761">
        <v>1</v>
      </c>
      <c r="O29" s="10762" t="s">
        <v>4753</v>
      </c>
      <c r="P29" s="10762" t="s">
        <v>4754</v>
      </c>
      <c r="Q29" s="10763" t="s">
        <v>4755</v>
      </c>
      <c r="R29" s="8391" t="s">
        <v>81</v>
      </c>
      <c r="S29" s="8392" t="s">
        <v>4756</v>
      </c>
      <c r="T29" s="8392"/>
      <c r="U29" s="8393" t="s">
        <v>761</v>
      </c>
      <c r="V29" s="8394"/>
      <c r="W29" s="8395"/>
      <c r="X29" s="8614"/>
      <c r="Y29" s="8614"/>
      <c r="Z29" s="8614"/>
      <c r="AA29" s="8615">
        <f>+Z30</f>
        <v>349.05000000000291</v>
      </c>
      <c r="AB29" s="8396" t="s">
        <v>673</v>
      </c>
      <c r="AC29" s="8402"/>
      <c r="AD29" s="8395"/>
      <c r="AE29" s="8403"/>
      <c r="AF29" s="8403"/>
      <c r="AG29" s="10777"/>
      <c r="AH29" s="1758"/>
      <c r="AI29" s="1758"/>
      <c r="AJ29" s="1758"/>
      <c r="AK29" s="1758"/>
      <c r="AL29" s="1758"/>
      <c r="AM29" s="1758"/>
      <c r="AN29" s="1758"/>
      <c r="AO29" s="1758"/>
      <c r="AP29" s="1758"/>
      <c r="AQ29" s="1758"/>
      <c r="AR29" s="1758"/>
      <c r="AS29" s="1758"/>
      <c r="AT29" s="1758"/>
      <c r="AU29" s="1758"/>
      <c r="AV29" s="1758"/>
      <c r="AW29" s="1758"/>
      <c r="AX29" s="1758"/>
      <c r="AY29" s="1758"/>
      <c r="AZ29" s="1758"/>
      <c r="BA29" s="1758"/>
      <c r="BB29" s="1758"/>
      <c r="BC29" s="1758"/>
      <c r="BD29" s="1758"/>
      <c r="BE29" s="1758"/>
      <c r="BF29" s="1758"/>
      <c r="BG29" s="1758"/>
      <c r="BH29" s="1758"/>
      <c r="BI29" s="1758"/>
      <c r="BJ29" s="1758"/>
      <c r="BK29" s="1758"/>
      <c r="BL29" s="1758"/>
      <c r="BM29" s="1758"/>
      <c r="BN29" s="1758"/>
      <c r="BO29" s="1758"/>
      <c r="BP29" s="1758"/>
      <c r="BQ29" s="1758"/>
      <c r="BR29" s="1758"/>
      <c r="BS29" s="1758"/>
      <c r="BT29" s="1758"/>
      <c r="BU29" s="1758"/>
      <c r="BV29" s="1758"/>
      <c r="BW29" s="1758"/>
      <c r="BX29" s="1758"/>
      <c r="BY29" s="1758"/>
      <c r="BZ29" s="1758"/>
      <c r="CA29" s="1758"/>
      <c r="CB29" s="1758"/>
      <c r="CC29" s="1758"/>
      <c r="CD29" s="1758"/>
      <c r="CE29" s="1758"/>
      <c r="CF29" s="1758"/>
      <c r="CG29" s="1758"/>
      <c r="CH29" s="1758"/>
      <c r="CI29" s="1758"/>
      <c r="CJ29" s="1758"/>
      <c r="CK29" s="1758"/>
      <c r="CL29" s="1758"/>
      <c r="CM29" s="1758"/>
      <c r="CN29" s="1758"/>
      <c r="CO29" s="1758"/>
      <c r="CP29" s="1758"/>
      <c r="CQ29" s="1758"/>
      <c r="CR29" s="1758"/>
      <c r="CS29" s="1758"/>
      <c r="CT29" s="1758"/>
      <c r="CU29" s="1758"/>
      <c r="CV29" s="1758"/>
      <c r="CW29" s="1758"/>
      <c r="CX29" s="1758"/>
      <c r="CY29" s="1758"/>
      <c r="CZ29" s="1758"/>
      <c r="DA29" s="1758"/>
      <c r="DB29" s="1758"/>
      <c r="DC29" s="1758"/>
    </row>
    <row r="30" spans="1:107" s="1395" customFormat="1" ht="76.5" customHeight="1">
      <c r="A30" s="10813"/>
      <c r="B30" s="10757"/>
      <c r="C30" s="10756"/>
      <c r="D30" s="10756"/>
      <c r="E30" s="10756"/>
      <c r="F30" s="10793"/>
      <c r="G30" s="10756"/>
      <c r="H30" s="10756"/>
      <c r="I30" s="10756"/>
      <c r="J30" s="10796"/>
      <c r="K30" s="10762"/>
      <c r="L30" s="10761"/>
      <c r="M30" s="10759"/>
      <c r="N30" s="10761"/>
      <c r="O30" s="10762"/>
      <c r="P30" s="10762"/>
      <c r="Q30" s="10763"/>
      <c r="R30" s="8397"/>
      <c r="S30" s="8398"/>
      <c r="T30" s="8398"/>
      <c r="U30" s="8399" t="s">
        <v>4757</v>
      </c>
      <c r="V30" s="8400">
        <v>1</v>
      </c>
      <c r="W30" s="5369" t="s">
        <v>152</v>
      </c>
      <c r="X30" s="8616">
        <f>70000-69650.95</f>
        <v>349.05000000000291</v>
      </c>
      <c r="Y30" s="8616">
        <f>+X30</f>
        <v>349.05000000000291</v>
      </c>
      <c r="Z30" s="8616">
        <f>+Y30</f>
        <v>349.05000000000291</v>
      </c>
      <c r="AA30" s="8617"/>
      <c r="AB30" s="8401"/>
      <c r="AC30" s="8404"/>
      <c r="AD30" s="5369"/>
      <c r="AE30" s="5369"/>
      <c r="AF30" s="8405" t="s">
        <v>153</v>
      </c>
      <c r="AG30" s="10777"/>
      <c r="AH30" s="1758"/>
      <c r="AI30" s="1758"/>
      <c r="AJ30" s="1758"/>
      <c r="AK30" s="1758"/>
      <c r="AL30" s="1758"/>
      <c r="AM30" s="1758"/>
      <c r="AN30" s="1758"/>
      <c r="AO30" s="1758"/>
      <c r="AP30" s="1758"/>
      <c r="AQ30" s="1758"/>
      <c r="AR30" s="1758"/>
      <c r="AS30" s="1758"/>
      <c r="AT30" s="1758"/>
      <c r="AU30" s="1758"/>
      <c r="AV30" s="1758"/>
      <c r="AW30" s="1758"/>
      <c r="AX30" s="1758"/>
      <c r="AY30" s="1758"/>
      <c r="AZ30" s="1758"/>
      <c r="BA30" s="1758"/>
      <c r="BB30" s="1758"/>
      <c r="BC30" s="1758"/>
      <c r="BD30" s="1758"/>
      <c r="BE30" s="1758"/>
      <c r="BF30" s="1758"/>
      <c r="BG30" s="1758"/>
      <c r="BH30" s="1758"/>
      <c r="BI30" s="1758"/>
      <c r="BJ30" s="1758"/>
      <c r="BK30" s="1758"/>
      <c r="BL30" s="1758"/>
      <c r="BM30" s="1758"/>
      <c r="BN30" s="1758"/>
      <c r="BO30" s="1758"/>
      <c r="BP30" s="1758"/>
      <c r="BQ30" s="1758"/>
      <c r="BR30" s="1758"/>
      <c r="BS30" s="1758"/>
      <c r="BT30" s="1758"/>
      <c r="BU30" s="1758"/>
      <c r="BV30" s="1758"/>
      <c r="BW30" s="1758"/>
      <c r="BX30" s="1758"/>
      <c r="BY30" s="1758"/>
      <c r="BZ30" s="1758"/>
      <c r="CA30" s="1758"/>
      <c r="CB30" s="1758"/>
      <c r="CC30" s="1758"/>
      <c r="CD30" s="1758"/>
      <c r="CE30" s="1758"/>
      <c r="CF30" s="1758"/>
      <c r="CG30" s="1758"/>
      <c r="CH30" s="1758"/>
      <c r="CI30" s="1758"/>
      <c r="CJ30" s="1758"/>
      <c r="CK30" s="1758"/>
      <c r="CL30" s="1758"/>
      <c r="CM30" s="1758"/>
      <c r="CN30" s="1758"/>
      <c r="CO30" s="1758"/>
      <c r="CP30" s="1758"/>
      <c r="CQ30" s="1758"/>
      <c r="CR30" s="1758"/>
      <c r="CS30" s="1758"/>
      <c r="CT30" s="1758"/>
      <c r="CU30" s="1758"/>
      <c r="CV30" s="1758"/>
      <c r="CW30" s="1758"/>
      <c r="CX30" s="1758"/>
      <c r="CY30" s="1758"/>
      <c r="CZ30" s="1758"/>
      <c r="DA30" s="1758"/>
      <c r="DB30" s="1758"/>
      <c r="DC30" s="1758"/>
    </row>
    <row r="31" spans="1:107" s="1395" customFormat="1" ht="28.5" customHeight="1">
      <c r="A31" s="10813"/>
      <c r="B31" s="10757"/>
      <c r="C31" s="10756"/>
      <c r="D31" s="10756"/>
      <c r="E31" s="10756"/>
      <c r="F31" s="10793"/>
      <c r="G31" s="10756"/>
      <c r="H31" s="10756"/>
      <c r="I31" s="10756"/>
      <c r="J31" s="10796"/>
      <c r="K31" s="10762"/>
      <c r="L31" s="10761"/>
      <c r="M31" s="10759"/>
      <c r="N31" s="10761"/>
      <c r="O31" s="10762"/>
      <c r="P31" s="10762"/>
      <c r="Q31" s="10763"/>
      <c r="R31" s="5171"/>
      <c r="S31" s="5213"/>
      <c r="T31" s="5213"/>
      <c r="U31" s="5247"/>
      <c r="V31" s="5279"/>
      <c r="W31" s="5300"/>
      <c r="X31" s="7473"/>
      <c r="Y31" s="7473"/>
      <c r="Z31" s="7473"/>
      <c r="AA31" s="7474"/>
      <c r="AB31" s="5323"/>
      <c r="AC31" s="1396"/>
      <c r="AD31" s="5300"/>
      <c r="AE31" s="5300"/>
      <c r="AF31" s="5346"/>
      <c r="AG31" s="10777"/>
      <c r="AH31" s="1758"/>
      <c r="AI31" s="1758"/>
      <c r="AJ31" s="1758"/>
      <c r="AK31" s="1758"/>
      <c r="AL31" s="1758"/>
      <c r="AM31" s="1758"/>
      <c r="AN31" s="1758"/>
      <c r="AO31" s="1758"/>
      <c r="AP31" s="1758"/>
      <c r="AQ31" s="1758"/>
      <c r="AR31" s="1758"/>
      <c r="AS31" s="1758"/>
      <c r="AT31" s="1758"/>
      <c r="AU31" s="1758"/>
      <c r="AV31" s="1758"/>
      <c r="AW31" s="1758"/>
      <c r="AX31" s="1758"/>
      <c r="AY31" s="1758"/>
      <c r="AZ31" s="1758"/>
      <c r="BA31" s="1758"/>
      <c r="BB31" s="1758"/>
      <c r="BC31" s="1758"/>
      <c r="BD31" s="1758"/>
      <c r="BE31" s="1758"/>
      <c r="BF31" s="1758"/>
      <c r="BG31" s="1758"/>
      <c r="BH31" s="1758"/>
      <c r="BI31" s="1758"/>
      <c r="BJ31" s="1758"/>
      <c r="BK31" s="1758"/>
      <c r="BL31" s="1758"/>
      <c r="BM31" s="1758"/>
      <c r="BN31" s="1758"/>
      <c r="BO31" s="1758"/>
      <c r="BP31" s="1758"/>
      <c r="BQ31" s="1758"/>
      <c r="BR31" s="1758"/>
      <c r="BS31" s="1758"/>
      <c r="BT31" s="1758"/>
      <c r="BU31" s="1758"/>
      <c r="BV31" s="1758"/>
      <c r="BW31" s="1758"/>
      <c r="BX31" s="1758"/>
      <c r="BY31" s="1758"/>
      <c r="BZ31" s="1758"/>
      <c r="CA31" s="1758"/>
      <c r="CB31" s="1758"/>
      <c r="CC31" s="1758"/>
      <c r="CD31" s="1758"/>
      <c r="CE31" s="1758"/>
      <c r="CF31" s="1758"/>
      <c r="CG31" s="1758"/>
      <c r="CH31" s="1758"/>
      <c r="CI31" s="1758"/>
      <c r="CJ31" s="1758"/>
      <c r="CK31" s="1758"/>
      <c r="CL31" s="1758"/>
      <c r="CM31" s="1758"/>
      <c r="CN31" s="1758"/>
      <c r="CO31" s="1758"/>
      <c r="CP31" s="1758"/>
      <c r="CQ31" s="1758"/>
      <c r="CR31" s="1758"/>
      <c r="CS31" s="1758"/>
      <c r="CT31" s="1758"/>
      <c r="CU31" s="1758"/>
      <c r="CV31" s="1758"/>
      <c r="CW31" s="1758"/>
      <c r="CX31" s="1758"/>
      <c r="CY31" s="1758"/>
      <c r="CZ31" s="1758"/>
      <c r="DA31" s="1758"/>
      <c r="DB31" s="1758"/>
      <c r="DC31" s="1758"/>
    </row>
    <row r="32" spans="1:107" s="1395" customFormat="1" ht="28.5" customHeight="1">
      <c r="A32" s="10813"/>
      <c r="B32" s="10757"/>
      <c r="C32" s="10756"/>
      <c r="D32" s="10756"/>
      <c r="E32" s="10756"/>
      <c r="F32" s="10793"/>
      <c r="G32" s="10756"/>
      <c r="H32" s="10756"/>
      <c r="I32" s="10756"/>
      <c r="J32" s="10796"/>
      <c r="K32" s="10762"/>
      <c r="L32" s="10761"/>
      <c r="M32" s="10759"/>
      <c r="N32" s="10761"/>
      <c r="O32" s="10762"/>
      <c r="P32" s="10762"/>
      <c r="Q32" s="10763"/>
      <c r="R32" s="5171"/>
      <c r="S32" s="5213"/>
      <c r="T32" s="5213"/>
      <c r="U32" s="5247"/>
      <c r="V32" s="5279"/>
      <c r="W32" s="5300"/>
      <c r="X32" s="7473"/>
      <c r="Y32" s="7473"/>
      <c r="Z32" s="7473"/>
      <c r="AA32" s="7474"/>
      <c r="AB32" s="5323"/>
      <c r="AC32" s="1396"/>
      <c r="AD32" s="5300"/>
      <c r="AE32" s="5300"/>
      <c r="AF32" s="5346"/>
      <c r="AG32" s="10777"/>
      <c r="AH32" s="1758"/>
      <c r="AI32" s="1758"/>
      <c r="AJ32" s="1758"/>
      <c r="AK32" s="1758"/>
      <c r="AL32" s="1758"/>
      <c r="AM32" s="1758"/>
      <c r="AN32" s="1758"/>
      <c r="AO32" s="1758"/>
      <c r="AP32" s="1758"/>
      <c r="AQ32" s="1758"/>
      <c r="AR32" s="1758"/>
      <c r="AS32" s="1758"/>
      <c r="AT32" s="1758"/>
      <c r="AU32" s="1758"/>
      <c r="AV32" s="1758"/>
      <c r="AW32" s="1758"/>
      <c r="AX32" s="1758"/>
      <c r="AY32" s="1758"/>
      <c r="AZ32" s="1758"/>
      <c r="BA32" s="1758"/>
      <c r="BB32" s="1758"/>
      <c r="BC32" s="1758"/>
      <c r="BD32" s="1758"/>
      <c r="BE32" s="1758"/>
      <c r="BF32" s="1758"/>
      <c r="BG32" s="1758"/>
      <c r="BH32" s="1758"/>
      <c r="BI32" s="1758"/>
      <c r="BJ32" s="1758"/>
      <c r="BK32" s="1758"/>
      <c r="BL32" s="1758"/>
      <c r="BM32" s="1758"/>
      <c r="BN32" s="1758"/>
      <c r="BO32" s="1758"/>
      <c r="BP32" s="1758"/>
      <c r="BQ32" s="1758"/>
      <c r="BR32" s="1758"/>
      <c r="BS32" s="1758"/>
      <c r="BT32" s="1758"/>
      <c r="BU32" s="1758"/>
      <c r="BV32" s="1758"/>
      <c r="BW32" s="1758"/>
      <c r="BX32" s="1758"/>
      <c r="BY32" s="1758"/>
      <c r="BZ32" s="1758"/>
      <c r="CA32" s="1758"/>
      <c r="CB32" s="1758"/>
      <c r="CC32" s="1758"/>
      <c r="CD32" s="1758"/>
      <c r="CE32" s="1758"/>
      <c r="CF32" s="1758"/>
      <c r="CG32" s="1758"/>
      <c r="CH32" s="1758"/>
      <c r="CI32" s="1758"/>
      <c r="CJ32" s="1758"/>
      <c r="CK32" s="1758"/>
      <c r="CL32" s="1758"/>
      <c r="CM32" s="1758"/>
      <c r="CN32" s="1758"/>
      <c r="CO32" s="1758"/>
      <c r="CP32" s="1758"/>
      <c r="CQ32" s="1758"/>
      <c r="CR32" s="1758"/>
      <c r="CS32" s="1758"/>
      <c r="CT32" s="1758"/>
      <c r="CU32" s="1758"/>
      <c r="CV32" s="1758"/>
      <c r="CW32" s="1758"/>
      <c r="CX32" s="1758"/>
      <c r="CY32" s="1758"/>
      <c r="CZ32" s="1758"/>
      <c r="DA32" s="1758"/>
      <c r="DB32" s="1758"/>
      <c r="DC32" s="1758"/>
    </row>
    <row r="33" spans="1:107" s="1395" customFormat="1" ht="28.5" customHeight="1">
      <c r="A33" s="10814"/>
      <c r="B33" s="10757"/>
      <c r="C33" s="10756"/>
      <c r="D33" s="10756"/>
      <c r="E33" s="10756"/>
      <c r="F33" s="10793"/>
      <c r="G33" s="10756"/>
      <c r="H33" s="10756"/>
      <c r="I33" s="10756"/>
      <c r="J33" s="10796"/>
      <c r="K33" s="10762"/>
      <c r="L33" s="10761"/>
      <c r="M33" s="10760"/>
      <c r="N33" s="10761"/>
      <c r="O33" s="10762"/>
      <c r="P33" s="10762"/>
      <c r="Q33" s="10763"/>
      <c r="R33" s="5175"/>
      <c r="S33" s="5215"/>
      <c r="T33" s="5215"/>
      <c r="U33" s="5251"/>
      <c r="V33" s="5282"/>
      <c r="W33" s="5303"/>
      <c r="X33" s="7479"/>
      <c r="Y33" s="7479"/>
      <c r="Z33" s="7479"/>
      <c r="AA33" s="7480"/>
      <c r="AB33" s="5326"/>
      <c r="AC33" s="1399"/>
      <c r="AD33" s="5303"/>
      <c r="AE33" s="5303"/>
      <c r="AF33" s="5348"/>
      <c r="AG33" s="10778"/>
      <c r="AH33" s="1758"/>
      <c r="AI33" s="1758"/>
      <c r="AJ33" s="1758"/>
      <c r="AK33" s="1758"/>
      <c r="AL33" s="1758"/>
      <c r="AM33" s="1758"/>
      <c r="AN33" s="1758"/>
      <c r="AO33" s="1758"/>
      <c r="AP33" s="1758"/>
      <c r="AQ33" s="1758"/>
      <c r="AR33" s="1758"/>
      <c r="AS33" s="1758"/>
      <c r="AT33" s="1758"/>
      <c r="AU33" s="1758"/>
      <c r="AV33" s="1758"/>
      <c r="AW33" s="1758"/>
      <c r="AX33" s="1758"/>
      <c r="AY33" s="1758"/>
      <c r="AZ33" s="1758"/>
      <c r="BA33" s="1758"/>
      <c r="BB33" s="1758"/>
      <c r="BC33" s="1758"/>
      <c r="BD33" s="1758"/>
      <c r="BE33" s="1758"/>
      <c r="BF33" s="1758"/>
      <c r="BG33" s="1758"/>
      <c r="BH33" s="1758"/>
      <c r="BI33" s="1758"/>
      <c r="BJ33" s="1758"/>
      <c r="BK33" s="1758"/>
      <c r="BL33" s="1758"/>
      <c r="BM33" s="1758"/>
      <c r="BN33" s="1758"/>
      <c r="BO33" s="1758"/>
      <c r="BP33" s="1758"/>
      <c r="BQ33" s="1758"/>
      <c r="BR33" s="1758"/>
      <c r="BS33" s="1758"/>
      <c r="BT33" s="1758"/>
      <c r="BU33" s="1758"/>
      <c r="BV33" s="1758"/>
      <c r="BW33" s="1758"/>
      <c r="BX33" s="1758"/>
      <c r="BY33" s="1758"/>
      <c r="BZ33" s="1758"/>
      <c r="CA33" s="1758"/>
      <c r="CB33" s="1758"/>
      <c r="CC33" s="1758"/>
      <c r="CD33" s="1758"/>
      <c r="CE33" s="1758"/>
      <c r="CF33" s="1758"/>
      <c r="CG33" s="1758"/>
      <c r="CH33" s="1758"/>
      <c r="CI33" s="1758"/>
      <c r="CJ33" s="1758"/>
      <c r="CK33" s="1758"/>
      <c r="CL33" s="1758"/>
      <c r="CM33" s="1758"/>
      <c r="CN33" s="1758"/>
      <c r="CO33" s="1758"/>
      <c r="CP33" s="1758"/>
      <c r="CQ33" s="1758"/>
      <c r="CR33" s="1758"/>
      <c r="CS33" s="1758"/>
      <c r="CT33" s="1758"/>
      <c r="CU33" s="1758"/>
      <c r="CV33" s="1758"/>
      <c r="CW33" s="1758"/>
      <c r="CX33" s="1758"/>
      <c r="CY33" s="1758"/>
      <c r="CZ33" s="1758"/>
      <c r="DA33" s="1758"/>
      <c r="DB33" s="1758"/>
      <c r="DC33" s="1758"/>
    </row>
    <row r="34" spans="1:107" s="1395" customFormat="1" ht="24" customHeight="1">
      <c r="A34" s="10823" t="s">
        <v>4188</v>
      </c>
      <c r="B34" s="10757" t="s">
        <v>127</v>
      </c>
      <c r="C34" s="10756" t="s">
        <v>128</v>
      </c>
      <c r="D34" s="10756" t="s">
        <v>140</v>
      </c>
      <c r="E34" s="10756" t="s">
        <v>141</v>
      </c>
      <c r="F34" s="10793" t="s">
        <v>131</v>
      </c>
      <c r="G34" s="10756" t="s">
        <v>132</v>
      </c>
      <c r="H34" s="10756" t="s">
        <v>189</v>
      </c>
      <c r="I34" s="10824" t="s">
        <v>4758</v>
      </c>
      <c r="J34" s="10796" t="s">
        <v>4759</v>
      </c>
      <c r="K34" s="10762" t="s">
        <v>4760</v>
      </c>
      <c r="L34" s="10820">
        <v>1</v>
      </c>
      <c r="M34" s="10737">
        <v>0</v>
      </c>
      <c r="N34" s="10820">
        <v>0</v>
      </c>
      <c r="O34" s="10762" t="s">
        <v>4761</v>
      </c>
      <c r="P34" s="10762" t="s">
        <v>4762</v>
      </c>
      <c r="Q34" s="10763" t="s">
        <v>4763</v>
      </c>
      <c r="R34" s="5173"/>
      <c r="S34" s="5212"/>
      <c r="T34" s="5212"/>
      <c r="U34" s="5253"/>
      <c r="V34" s="5284"/>
      <c r="W34" s="5305"/>
      <c r="X34" s="7481"/>
      <c r="Y34" s="7477"/>
      <c r="Z34" s="7477"/>
      <c r="AA34" s="7482"/>
      <c r="AB34" s="5327"/>
      <c r="AC34" s="1400"/>
      <c r="AD34" s="5305"/>
      <c r="AE34" s="5350"/>
      <c r="AF34" s="5350"/>
      <c r="AG34" s="10779"/>
      <c r="AH34" s="1758"/>
      <c r="AI34" s="1758"/>
      <c r="AJ34" s="1758"/>
      <c r="AK34" s="1758"/>
      <c r="AL34" s="1758"/>
      <c r="AM34" s="1758"/>
      <c r="AN34" s="1758"/>
      <c r="AO34" s="1758"/>
      <c r="AP34" s="1758"/>
      <c r="AQ34" s="1758"/>
      <c r="AR34" s="1758"/>
      <c r="AS34" s="1758"/>
      <c r="AT34" s="1758"/>
      <c r="AU34" s="1758"/>
      <c r="AV34" s="1758"/>
      <c r="AW34" s="1758"/>
      <c r="AX34" s="1758"/>
      <c r="AY34" s="1758"/>
      <c r="AZ34" s="1758"/>
      <c r="BA34" s="1758"/>
      <c r="BB34" s="1758"/>
      <c r="BC34" s="1758"/>
      <c r="BD34" s="1758"/>
      <c r="BE34" s="1758"/>
      <c r="BF34" s="1758"/>
      <c r="BG34" s="1758"/>
      <c r="BH34" s="1758"/>
      <c r="BI34" s="1758"/>
      <c r="BJ34" s="1758"/>
      <c r="BK34" s="1758"/>
      <c r="BL34" s="1758"/>
      <c r="BM34" s="1758"/>
      <c r="BN34" s="1758"/>
      <c r="BO34" s="1758"/>
      <c r="BP34" s="1758"/>
      <c r="BQ34" s="1758"/>
      <c r="BR34" s="1758"/>
      <c r="BS34" s="1758"/>
      <c r="BT34" s="1758"/>
      <c r="BU34" s="1758"/>
      <c r="BV34" s="1758"/>
      <c r="BW34" s="1758"/>
      <c r="BX34" s="1758"/>
      <c r="BY34" s="1758"/>
      <c r="BZ34" s="1758"/>
      <c r="CA34" s="1758"/>
      <c r="CB34" s="1758"/>
      <c r="CC34" s="1758"/>
      <c r="CD34" s="1758"/>
      <c r="CE34" s="1758"/>
      <c r="CF34" s="1758"/>
      <c r="CG34" s="1758"/>
      <c r="CH34" s="1758"/>
      <c r="CI34" s="1758"/>
      <c r="CJ34" s="1758"/>
      <c r="CK34" s="1758"/>
      <c r="CL34" s="1758"/>
      <c r="CM34" s="1758"/>
      <c r="CN34" s="1758"/>
      <c r="CO34" s="1758"/>
      <c r="CP34" s="1758"/>
      <c r="CQ34" s="1758"/>
      <c r="CR34" s="1758"/>
      <c r="CS34" s="1758"/>
      <c r="CT34" s="1758"/>
      <c r="CU34" s="1758"/>
      <c r="CV34" s="1758"/>
      <c r="CW34" s="1758"/>
      <c r="CX34" s="1758"/>
      <c r="CY34" s="1758"/>
      <c r="CZ34" s="1758"/>
      <c r="DA34" s="1758"/>
      <c r="DB34" s="1758"/>
      <c r="DC34" s="1758"/>
    </row>
    <row r="35" spans="1:107" s="1395" customFormat="1" ht="24" customHeight="1">
      <c r="A35" s="10813"/>
      <c r="B35" s="10757"/>
      <c r="C35" s="10756"/>
      <c r="D35" s="10756"/>
      <c r="E35" s="10756"/>
      <c r="F35" s="10793"/>
      <c r="G35" s="10756"/>
      <c r="H35" s="10756"/>
      <c r="I35" s="10824"/>
      <c r="J35" s="10796"/>
      <c r="K35" s="10762"/>
      <c r="L35" s="10820"/>
      <c r="M35" s="10738"/>
      <c r="N35" s="10820"/>
      <c r="O35" s="10762"/>
      <c r="P35" s="10762"/>
      <c r="Q35" s="10763"/>
      <c r="R35" s="5176"/>
      <c r="S35" s="5216"/>
      <c r="T35" s="5216"/>
      <c r="U35" s="5254"/>
      <c r="V35" s="5285"/>
      <c r="W35" s="5306"/>
      <c r="X35" s="7483"/>
      <c r="Y35" s="7473"/>
      <c r="Z35" s="7473"/>
      <c r="AA35" s="7484"/>
      <c r="AB35" s="5328"/>
      <c r="AC35" s="1401"/>
      <c r="AD35" s="5306"/>
      <c r="AE35" s="5346"/>
      <c r="AF35" s="5346"/>
      <c r="AG35" s="10777"/>
      <c r="AH35" s="1758"/>
      <c r="AI35" s="1758"/>
      <c r="AJ35" s="1758"/>
      <c r="AK35" s="1758"/>
      <c r="AL35" s="1758"/>
      <c r="AM35" s="1758"/>
      <c r="AN35" s="1758"/>
      <c r="AO35" s="1758"/>
      <c r="AP35" s="1758"/>
      <c r="AQ35" s="1758"/>
      <c r="AR35" s="1758"/>
      <c r="AS35" s="1758"/>
      <c r="AT35" s="1758"/>
      <c r="AU35" s="1758"/>
      <c r="AV35" s="1758"/>
      <c r="AW35" s="1758"/>
      <c r="AX35" s="1758"/>
      <c r="AY35" s="1758"/>
      <c r="AZ35" s="1758"/>
      <c r="BA35" s="1758"/>
      <c r="BB35" s="1758"/>
      <c r="BC35" s="1758"/>
      <c r="BD35" s="1758"/>
      <c r="BE35" s="1758"/>
      <c r="BF35" s="1758"/>
      <c r="BG35" s="1758"/>
      <c r="BH35" s="1758"/>
      <c r="BI35" s="1758"/>
      <c r="BJ35" s="1758"/>
      <c r="BK35" s="1758"/>
      <c r="BL35" s="1758"/>
      <c r="BM35" s="1758"/>
      <c r="BN35" s="1758"/>
      <c r="BO35" s="1758"/>
      <c r="BP35" s="1758"/>
      <c r="BQ35" s="1758"/>
      <c r="BR35" s="1758"/>
      <c r="BS35" s="1758"/>
      <c r="BT35" s="1758"/>
      <c r="BU35" s="1758"/>
      <c r="BV35" s="1758"/>
      <c r="BW35" s="1758"/>
      <c r="BX35" s="1758"/>
      <c r="BY35" s="1758"/>
      <c r="BZ35" s="1758"/>
      <c r="CA35" s="1758"/>
      <c r="CB35" s="1758"/>
      <c r="CC35" s="1758"/>
      <c r="CD35" s="1758"/>
      <c r="CE35" s="1758"/>
      <c r="CF35" s="1758"/>
      <c r="CG35" s="1758"/>
      <c r="CH35" s="1758"/>
      <c r="CI35" s="1758"/>
      <c r="CJ35" s="1758"/>
      <c r="CK35" s="1758"/>
      <c r="CL35" s="1758"/>
      <c r="CM35" s="1758"/>
      <c r="CN35" s="1758"/>
      <c r="CO35" s="1758"/>
      <c r="CP35" s="1758"/>
      <c r="CQ35" s="1758"/>
      <c r="CR35" s="1758"/>
      <c r="CS35" s="1758"/>
      <c r="CT35" s="1758"/>
      <c r="CU35" s="1758"/>
      <c r="CV35" s="1758"/>
      <c r="CW35" s="1758"/>
      <c r="CX35" s="1758"/>
      <c r="CY35" s="1758"/>
      <c r="CZ35" s="1758"/>
      <c r="DA35" s="1758"/>
      <c r="DB35" s="1758"/>
      <c r="DC35" s="1758"/>
    </row>
    <row r="36" spans="1:107" s="1395" customFormat="1" ht="24" customHeight="1">
      <c r="A36" s="10813"/>
      <c r="B36" s="10757"/>
      <c r="C36" s="10756"/>
      <c r="D36" s="10756"/>
      <c r="E36" s="10756"/>
      <c r="F36" s="10793"/>
      <c r="G36" s="10756"/>
      <c r="H36" s="10756"/>
      <c r="I36" s="10824"/>
      <c r="J36" s="10796"/>
      <c r="K36" s="10762"/>
      <c r="L36" s="10820"/>
      <c r="M36" s="10738"/>
      <c r="N36" s="10820"/>
      <c r="O36" s="10762"/>
      <c r="P36" s="10762"/>
      <c r="Q36" s="10763"/>
      <c r="R36" s="5176"/>
      <c r="S36" s="5216"/>
      <c r="T36" s="5216"/>
      <c r="U36" s="5254"/>
      <c r="V36" s="5285"/>
      <c r="W36" s="5306"/>
      <c r="X36" s="7483"/>
      <c r="Y36" s="7473"/>
      <c r="Z36" s="7473"/>
      <c r="AA36" s="7484"/>
      <c r="AB36" s="5328"/>
      <c r="AC36" s="1401"/>
      <c r="AD36" s="5306"/>
      <c r="AE36" s="5346"/>
      <c r="AF36" s="5346"/>
      <c r="AG36" s="10777"/>
      <c r="AH36" s="1758"/>
      <c r="AI36" s="1758"/>
      <c r="AJ36" s="1758"/>
      <c r="AK36" s="1758"/>
      <c r="AL36" s="1758"/>
      <c r="AM36" s="1758"/>
      <c r="AN36" s="1758"/>
      <c r="AO36" s="1758"/>
      <c r="AP36" s="1758"/>
      <c r="AQ36" s="1758"/>
      <c r="AR36" s="1758"/>
      <c r="AS36" s="1758"/>
      <c r="AT36" s="1758"/>
      <c r="AU36" s="1758"/>
      <c r="AV36" s="1758"/>
      <c r="AW36" s="1758"/>
      <c r="AX36" s="1758"/>
      <c r="AY36" s="1758"/>
      <c r="AZ36" s="1758"/>
      <c r="BA36" s="1758"/>
      <c r="BB36" s="1758"/>
      <c r="BC36" s="1758"/>
      <c r="BD36" s="1758"/>
      <c r="BE36" s="1758"/>
      <c r="BF36" s="1758"/>
      <c r="BG36" s="1758"/>
      <c r="BH36" s="1758"/>
      <c r="BI36" s="1758"/>
      <c r="BJ36" s="1758"/>
      <c r="BK36" s="1758"/>
      <c r="BL36" s="1758"/>
      <c r="BM36" s="1758"/>
      <c r="BN36" s="1758"/>
      <c r="BO36" s="1758"/>
      <c r="BP36" s="1758"/>
      <c r="BQ36" s="1758"/>
      <c r="BR36" s="1758"/>
      <c r="BS36" s="1758"/>
      <c r="BT36" s="1758"/>
      <c r="BU36" s="1758"/>
      <c r="BV36" s="1758"/>
      <c r="BW36" s="1758"/>
      <c r="BX36" s="1758"/>
      <c r="BY36" s="1758"/>
      <c r="BZ36" s="1758"/>
      <c r="CA36" s="1758"/>
      <c r="CB36" s="1758"/>
      <c r="CC36" s="1758"/>
      <c r="CD36" s="1758"/>
      <c r="CE36" s="1758"/>
      <c r="CF36" s="1758"/>
      <c r="CG36" s="1758"/>
      <c r="CH36" s="1758"/>
      <c r="CI36" s="1758"/>
      <c r="CJ36" s="1758"/>
      <c r="CK36" s="1758"/>
      <c r="CL36" s="1758"/>
      <c r="CM36" s="1758"/>
      <c r="CN36" s="1758"/>
      <c r="CO36" s="1758"/>
      <c r="CP36" s="1758"/>
      <c r="CQ36" s="1758"/>
      <c r="CR36" s="1758"/>
      <c r="CS36" s="1758"/>
      <c r="CT36" s="1758"/>
      <c r="CU36" s="1758"/>
      <c r="CV36" s="1758"/>
      <c r="CW36" s="1758"/>
      <c r="CX36" s="1758"/>
      <c r="CY36" s="1758"/>
      <c r="CZ36" s="1758"/>
      <c r="DA36" s="1758"/>
      <c r="DB36" s="1758"/>
      <c r="DC36" s="1758"/>
    </row>
    <row r="37" spans="1:107" s="1395" customFormat="1" ht="24" customHeight="1">
      <c r="A37" s="10813"/>
      <c r="B37" s="10757"/>
      <c r="C37" s="10756"/>
      <c r="D37" s="10756"/>
      <c r="E37" s="10756"/>
      <c r="F37" s="10793"/>
      <c r="G37" s="10756"/>
      <c r="H37" s="10756"/>
      <c r="I37" s="10824"/>
      <c r="J37" s="10796"/>
      <c r="K37" s="10762"/>
      <c r="L37" s="10820"/>
      <c r="M37" s="10738"/>
      <c r="N37" s="10820"/>
      <c r="O37" s="10762"/>
      <c r="P37" s="10762"/>
      <c r="Q37" s="10763"/>
      <c r="R37" s="5176"/>
      <c r="S37" s="5216"/>
      <c r="T37" s="5216"/>
      <c r="U37" s="5254"/>
      <c r="V37" s="5285"/>
      <c r="W37" s="5306"/>
      <c r="X37" s="7483"/>
      <c r="Y37" s="7473"/>
      <c r="Z37" s="7473"/>
      <c r="AA37" s="7484"/>
      <c r="AB37" s="5328"/>
      <c r="AC37" s="1401"/>
      <c r="AD37" s="5306"/>
      <c r="AE37" s="5346"/>
      <c r="AF37" s="5346"/>
      <c r="AG37" s="10777"/>
      <c r="AH37" s="1758"/>
      <c r="AI37" s="1758"/>
      <c r="AJ37" s="1758"/>
      <c r="AK37" s="1758"/>
      <c r="AL37" s="1758"/>
      <c r="AM37" s="1758"/>
      <c r="AN37" s="1758"/>
      <c r="AO37" s="1758"/>
      <c r="AP37" s="1758"/>
      <c r="AQ37" s="1758"/>
      <c r="AR37" s="1758"/>
      <c r="AS37" s="1758"/>
      <c r="AT37" s="1758"/>
      <c r="AU37" s="1758"/>
      <c r="AV37" s="1758"/>
      <c r="AW37" s="1758"/>
      <c r="AX37" s="1758"/>
      <c r="AY37" s="1758"/>
      <c r="AZ37" s="1758"/>
      <c r="BA37" s="1758"/>
      <c r="BB37" s="1758"/>
      <c r="BC37" s="1758"/>
      <c r="BD37" s="1758"/>
      <c r="BE37" s="1758"/>
      <c r="BF37" s="1758"/>
      <c r="BG37" s="1758"/>
      <c r="BH37" s="1758"/>
      <c r="BI37" s="1758"/>
      <c r="BJ37" s="1758"/>
      <c r="BK37" s="1758"/>
      <c r="BL37" s="1758"/>
      <c r="BM37" s="1758"/>
      <c r="BN37" s="1758"/>
      <c r="BO37" s="1758"/>
      <c r="BP37" s="1758"/>
      <c r="BQ37" s="1758"/>
      <c r="BR37" s="1758"/>
      <c r="BS37" s="1758"/>
      <c r="BT37" s="1758"/>
      <c r="BU37" s="1758"/>
      <c r="BV37" s="1758"/>
      <c r="BW37" s="1758"/>
      <c r="BX37" s="1758"/>
      <c r="BY37" s="1758"/>
      <c r="BZ37" s="1758"/>
      <c r="CA37" s="1758"/>
      <c r="CB37" s="1758"/>
      <c r="CC37" s="1758"/>
      <c r="CD37" s="1758"/>
      <c r="CE37" s="1758"/>
      <c r="CF37" s="1758"/>
      <c r="CG37" s="1758"/>
      <c r="CH37" s="1758"/>
      <c r="CI37" s="1758"/>
      <c r="CJ37" s="1758"/>
      <c r="CK37" s="1758"/>
      <c r="CL37" s="1758"/>
      <c r="CM37" s="1758"/>
      <c r="CN37" s="1758"/>
      <c r="CO37" s="1758"/>
      <c r="CP37" s="1758"/>
      <c r="CQ37" s="1758"/>
      <c r="CR37" s="1758"/>
      <c r="CS37" s="1758"/>
      <c r="CT37" s="1758"/>
      <c r="CU37" s="1758"/>
      <c r="CV37" s="1758"/>
      <c r="CW37" s="1758"/>
      <c r="CX37" s="1758"/>
      <c r="CY37" s="1758"/>
      <c r="CZ37" s="1758"/>
      <c r="DA37" s="1758"/>
      <c r="DB37" s="1758"/>
      <c r="DC37" s="1758"/>
    </row>
    <row r="38" spans="1:107" s="1395" customFormat="1" ht="24" customHeight="1">
      <c r="A38" s="10813"/>
      <c r="B38" s="10757"/>
      <c r="C38" s="10756"/>
      <c r="D38" s="10756"/>
      <c r="E38" s="10756"/>
      <c r="F38" s="10793"/>
      <c r="G38" s="10756"/>
      <c r="H38" s="10756"/>
      <c r="I38" s="10824"/>
      <c r="J38" s="10796"/>
      <c r="K38" s="10762"/>
      <c r="L38" s="10820"/>
      <c r="M38" s="10739"/>
      <c r="N38" s="10820"/>
      <c r="O38" s="10762"/>
      <c r="P38" s="10762"/>
      <c r="Q38" s="10763"/>
      <c r="R38" s="5177"/>
      <c r="S38" s="5217"/>
      <c r="T38" s="5217"/>
      <c r="U38" s="5255"/>
      <c r="V38" s="5286"/>
      <c r="W38" s="5307"/>
      <c r="X38" s="7485"/>
      <c r="Y38" s="7479"/>
      <c r="Z38" s="7479"/>
      <c r="AA38" s="7486"/>
      <c r="AB38" s="5329"/>
      <c r="AC38" s="1402"/>
      <c r="AD38" s="5307"/>
      <c r="AE38" s="5348"/>
      <c r="AF38" s="5348"/>
      <c r="AG38" s="10778"/>
      <c r="AH38" s="1758"/>
      <c r="AI38" s="1758"/>
      <c r="AJ38" s="1758"/>
      <c r="AK38" s="1758"/>
      <c r="AL38" s="1758"/>
      <c r="AM38" s="1758"/>
      <c r="AN38" s="1758"/>
      <c r="AO38" s="1758"/>
      <c r="AP38" s="1758"/>
      <c r="AQ38" s="1758"/>
      <c r="AR38" s="1758"/>
      <c r="AS38" s="1758"/>
      <c r="AT38" s="1758"/>
      <c r="AU38" s="1758"/>
      <c r="AV38" s="1758"/>
      <c r="AW38" s="1758"/>
      <c r="AX38" s="1758"/>
      <c r="AY38" s="1758"/>
      <c r="AZ38" s="1758"/>
      <c r="BA38" s="1758"/>
      <c r="BB38" s="1758"/>
      <c r="BC38" s="1758"/>
      <c r="BD38" s="1758"/>
      <c r="BE38" s="1758"/>
      <c r="BF38" s="1758"/>
      <c r="BG38" s="1758"/>
      <c r="BH38" s="1758"/>
      <c r="BI38" s="1758"/>
      <c r="BJ38" s="1758"/>
      <c r="BK38" s="1758"/>
      <c r="BL38" s="1758"/>
      <c r="BM38" s="1758"/>
      <c r="BN38" s="1758"/>
      <c r="BO38" s="1758"/>
      <c r="BP38" s="1758"/>
      <c r="BQ38" s="1758"/>
      <c r="BR38" s="1758"/>
      <c r="BS38" s="1758"/>
      <c r="BT38" s="1758"/>
      <c r="BU38" s="1758"/>
      <c r="BV38" s="1758"/>
      <c r="BW38" s="1758"/>
      <c r="BX38" s="1758"/>
      <c r="BY38" s="1758"/>
      <c r="BZ38" s="1758"/>
      <c r="CA38" s="1758"/>
      <c r="CB38" s="1758"/>
      <c r="CC38" s="1758"/>
      <c r="CD38" s="1758"/>
      <c r="CE38" s="1758"/>
      <c r="CF38" s="1758"/>
      <c r="CG38" s="1758"/>
      <c r="CH38" s="1758"/>
      <c r="CI38" s="1758"/>
      <c r="CJ38" s="1758"/>
      <c r="CK38" s="1758"/>
      <c r="CL38" s="1758"/>
      <c r="CM38" s="1758"/>
      <c r="CN38" s="1758"/>
      <c r="CO38" s="1758"/>
      <c r="CP38" s="1758"/>
      <c r="CQ38" s="1758"/>
      <c r="CR38" s="1758"/>
      <c r="CS38" s="1758"/>
      <c r="CT38" s="1758"/>
      <c r="CU38" s="1758"/>
      <c r="CV38" s="1758"/>
      <c r="CW38" s="1758"/>
      <c r="CX38" s="1758"/>
      <c r="CY38" s="1758"/>
      <c r="CZ38" s="1758"/>
      <c r="DA38" s="1758"/>
      <c r="DB38" s="1758"/>
      <c r="DC38" s="1758"/>
    </row>
    <row r="39" spans="1:107" s="1395" customFormat="1" ht="26.25" customHeight="1">
      <c r="A39" s="10813"/>
      <c r="B39" s="10757" t="s">
        <v>127</v>
      </c>
      <c r="C39" s="10756" t="s">
        <v>128</v>
      </c>
      <c r="D39" s="10756" t="s">
        <v>129</v>
      </c>
      <c r="E39" s="10756" t="s">
        <v>268</v>
      </c>
      <c r="F39" s="10793" t="s">
        <v>131</v>
      </c>
      <c r="G39" s="10756" t="s">
        <v>132</v>
      </c>
      <c r="H39" s="10756" t="s">
        <v>159</v>
      </c>
      <c r="I39" s="10756" t="s">
        <v>4764</v>
      </c>
      <c r="J39" s="10756" t="s">
        <v>4249</v>
      </c>
      <c r="K39" s="10822" t="s">
        <v>4765</v>
      </c>
      <c r="L39" s="10761">
        <v>1</v>
      </c>
      <c r="M39" s="10758">
        <v>0</v>
      </c>
      <c r="N39" s="10761">
        <v>1</v>
      </c>
      <c r="O39" s="10762" t="s">
        <v>4766</v>
      </c>
      <c r="P39" s="10762" t="s">
        <v>4767</v>
      </c>
      <c r="Q39" s="10763" t="s">
        <v>4768</v>
      </c>
      <c r="R39" s="5173"/>
      <c r="S39" s="5212"/>
      <c r="T39" s="5212"/>
      <c r="U39" s="5249"/>
      <c r="V39" s="5281"/>
      <c r="W39" s="5302"/>
      <c r="X39" s="7477"/>
      <c r="Y39" s="7477"/>
      <c r="Z39" s="7477"/>
      <c r="AA39" s="7478"/>
      <c r="AB39" s="5325"/>
      <c r="AC39" s="1398"/>
      <c r="AD39" s="5302"/>
      <c r="AE39" s="5349"/>
      <c r="AF39" s="5349"/>
      <c r="AG39" s="10777"/>
      <c r="AH39" s="1758"/>
      <c r="AI39" s="1758"/>
      <c r="AJ39" s="1758"/>
      <c r="AK39" s="1758"/>
      <c r="AL39" s="1758"/>
      <c r="AM39" s="1758"/>
      <c r="AN39" s="1758"/>
      <c r="AO39" s="1758"/>
      <c r="AP39" s="1758"/>
      <c r="AQ39" s="1758"/>
      <c r="AR39" s="1758"/>
      <c r="AS39" s="1758"/>
      <c r="AT39" s="1758"/>
      <c r="AU39" s="1758"/>
      <c r="AV39" s="1758"/>
      <c r="AW39" s="1758"/>
      <c r="AX39" s="1758"/>
      <c r="AY39" s="1758"/>
      <c r="AZ39" s="1758"/>
      <c r="BA39" s="1758"/>
      <c r="BB39" s="1758"/>
      <c r="BC39" s="1758"/>
      <c r="BD39" s="1758"/>
      <c r="BE39" s="1758"/>
      <c r="BF39" s="1758"/>
      <c r="BG39" s="1758"/>
      <c r="BH39" s="1758"/>
      <c r="BI39" s="1758"/>
      <c r="BJ39" s="1758"/>
      <c r="BK39" s="1758"/>
      <c r="BL39" s="1758"/>
      <c r="BM39" s="1758"/>
      <c r="BN39" s="1758"/>
      <c r="BO39" s="1758"/>
      <c r="BP39" s="1758"/>
      <c r="BQ39" s="1758"/>
      <c r="BR39" s="1758"/>
      <c r="BS39" s="1758"/>
      <c r="BT39" s="1758"/>
      <c r="BU39" s="1758"/>
      <c r="BV39" s="1758"/>
      <c r="BW39" s="1758"/>
      <c r="BX39" s="1758"/>
      <c r="BY39" s="1758"/>
      <c r="BZ39" s="1758"/>
      <c r="CA39" s="1758"/>
      <c r="CB39" s="1758"/>
      <c r="CC39" s="1758"/>
      <c r="CD39" s="1758"/>
      <c r="CE39" s="1758"/>
      <c r="CF39" s="1758"/>
      <c r="CG39" s="1758"/>
      <c r="CH39" s="1758"/>
      <c r="CI39" s="1758"/>
      <c r="CJ39" s="1758"/>
      <c r="CK39" s="1758"/>
      <c r="CL39" s="1758"/>
      <c r="CM39" s="1758"/>
      <c r="CN39" s="1758"/>
      <c r="CO39" s="1758"/>
      <c r="CP39" s="1758"/>
      <c r="CQ39" s="1758"/>
      <c r="CR39" s="1758"/>
      <c r="CS39" s="1758"/>
      <c r="CT39" s="1758"/>
      <c r="CU39" s="1758"/>
      <c r="CV39" s="1758"/>
      <c r="CW39" s="1758"/>
      <c r="CX39" s="1758"/>
      <c r="CY39" s="1758"/>
      <c r="CZ39" s="1758"/>
      <c r="DA39" s="1758"/>
      <c r="DB39" s="1758"/>
      <c r="DC39" s="1758"/>
    </row>
    <row r="40" spans="1:107" s="1395" customFormat="1" ht="26.25" customHeight="1">
      <c r="A40" s="10813"/>
      <c r="B40" s="10757"/>
      <c r="C40" s="10756"/>
      <c r="D40" s="10756"/>
      <c r="E40" s="10756"/>
      <c r="F40" s="10793"/>
      <c r="G40" s="10756"/>
      <c r="H40" s="10756"/>
      <c r="I40" s="10756"/>
      <c r="J40" s="10756"/>
      <c r="K40" s="10822"/>
      <c r="L40" s="10761"/>
      <c r="M40" s="10759"/>
      <c r="N40" s="10761"/>
      <c r="O40" s="10762"/>
      <c r="P40" s="10762"/>
      <c r="Q40" s="10763"/>
      <c r="R40" s="5171"/>
      <c r="S40" s="5213"/>
      <c r="T40" s="5213"/>
      <c r="U40" s="5247"/>
      <c r="V40" s="5279"/>
      <c r="W40" s="5300"/>
      <c r="X40" s="7473"/>
      <c r="Y40" s="7473"/>
      <c r="Z40" s="7473"/>
      <c r="AA40" s="7474"/>
      <c r="AB40" s="5323"/>
      <c r="AC40" s="1396"/>
      <c r="AD40" s="5300"/>
      <c r="AE40" s="5346"/>
      <c r="AF40" s="5346"/>
      <c r="AG40" s="10777"/>
      <c r="AH40" s="1758"/>
      <c r="AI40" s="1758"/>
      <c r="AJ40" s="1758"/>
      <c r="AK40" s="1758"/>
      <c r="AL40" s="1758"/>
      <c r="AM40" s="1758"/>
      <c r="AN40" s="1758"/>
      <c r="AO40" s="1758"/>
      <c r="AP40" s="1758"/>
      <c r="AQ40" s="1758"/>
      <c r="AR40" s="1758"/>
      <c r="AS40" s="1758"/>
      <c r="AT40" s="1758"/>
      <c r="AU40" s="1758"/>
      <c r="AV40" s="1758"/>
      <c r="AW40" s="1758"/>
      <c r="AX40" s="1758"/>
      <c r="AY40" s="1758"/>
      <c r="AZ40" s="1758"/>
      <c r="BA40" s="1758"/>
      <c r="BB40" s="1758"/>
      <c r="BC40" s="1758"/>
      <c r="BD40" s="1758"/>
      <c r="BE40" s="1758"/>
      <c r="BF40" s="1758"/>
      <c r="BG40" s="1758"/>
      <c r="BH40" s="1758"/>
      <c r="BI40" s="1758"/>
      <c r="BJ40" s="1758"/>
      <c r="BK40" s="1758"/>
      <c r="BL40" s="1758"/>
      <c r="BM40" s="1758"/>
      <c r="BN40" s="1758"/>
      <c r="BO40" s="1758"/>
      <c r="BP40" s="1758"/>
      <c r="BQ40" s="1758"/>
      <c r="BR40" s="1758"/>
      <c r="BS40" s="1758"/>
      <c r="BT40" s="1758"/>
      <c r="BU40" s="1758"/>
      <c r="BV40" s="1758"/>
      <c r="BW40" s="1758"/>
      <c r="BX40" s="1758"/>
      <c r="BY40" s="1758"/>
      <c r="BZ40" s="1758"/>
      <c r="CA40" s="1758"/>
      <c r="CB40" s="1758"/>
      <c r="CC40" s="1758"/>
      <c r="CD40" s="1758"/>
      <c r="CE40" s="1758"/>
      <c r="CF40" s="1758"/>
      <c r="CG40" s="1758"/>
      <c r="CH40" s="1758"/>
      <c r="CI40" s="1758"/>
      <c r="CJ40" s="1758"/>
      <c r="CK40" s="1758"/>
      <c r="CL40" s="1758"/>
      <c r="CM40" s="1758"/>
      <c r="CN40" s="1758"/>
      <c r="CO40" s="1758"/>
      <c r="CP40" s="1758"/>
      <c r="CQ40" s="1758"/>
      <c r="CR40" s="1758"/>
      <c r="CS40" s="1758"/>
      <c r="CT40" s="1758"/>
      <c r="CU40" s="1758"/>
      <c r="CV40" s="1758"/>
      <c r="CW40" s="1758"/>
      <c r="CX40" s="1758"/>
      <c r="CY40" s="1758"/>
      <c r="CZ40" s="1758"/>
      <c r="DA40" s="1758"/>
      <c r="DB40" s="1758"/>
      <c r="DC40" s="1758"/>
    </row>
    <row r="41" spans="1:107" s="1395" customFormat="1" ht="26.25" customHeight="1">
      <c r="A41" s="10813"/>
      <c r="B41" s="10757"/>
      <c r="C41" s="10756"/>
      <c r="D41" s="10756"/>
      <c r="E41" s="10756"/>
      <c r="F41" s="10793"/>
      <c r="G41" s="10756"/>
      <c r="H41" s="10756"/>
      <c r="I41" s="10756"/>
      <c r="J41" s="10756"/>
      <c r="K41" s="10822"/>
      <c r="L41" s="10761"/>
      <c r="M41" s="10759"/>
      <c r="N41" s="10761"/>
      <c r="O41" s="10762"/>
      <c r="P41" s="10762"/>
      <c r="Q41" s="10763"/>
      <c r="R41" s="5174"/>
      <c r="S41" s="5214"/>
      <c r="T41" s="5214"/>
      <c r="U41" s="5250"/>
      <c r="V41" s="5281"/>
      <c r="W41" s="5302"/>
      <c r="X41" s="7477"/>
      <c r="Y41" s="7473"/>
      <c r="Z41" s="7473"/>
      <c r="AA41" s="7474"/>
      <c r="AB41" s="5323"/>
      <c r="AC41" s="1396"/>
      <c r="AD41" s="5300"/>
      <c r="AE41" s="5346"/>
      <c r="AF41" s="5346"/>
      <c r="AG41" s="10777"/>
      <c r="AH41" s="1758"/>
      <c r="AI41" s="1758"/>
      <c r="AJ41" s="1758"/>
      <c r="AK41" s="1758"/>
      <c r="AL41" s="1758"/>
      <c r="AM41" s="1758"/>
      <c r="AN41" s="1758"/>
      <c r="AO41" s="1758"/>
      <c r="AP41" s="1758"/>
      <c r="AQ41" s="1758"/>
      <c r="AR41" s="1758"/>
      <c r="AS41" s="1758"/>
      <c r="AT41" s="1758"/>
      <c r="AU41" s="1758"/>
      <c r="AV41" s="1758"/>
      <c r="AW41" s="1758"/>
      <c r="AX41" s="1758"/>
      <c r="AY41" s="1758"/>
      <c r="AZ41" s="1758"/>
      <c r="BA41" s="1758"/>
      <c r="BB41" s="1758"/>
      <c r="BC41" s="1758"/>
      <c r="BD41" s="1758"/>
      <c r="BE41" s="1758"/>
      <c r="BF41" s="1758"/>
      <c r="BG41" s="1758"/>
      <c r="BH41" s="1758"/>
      <c r="BI41" s="1758"/>
      <c r="BJ41" s="1758"/>
      <c r="BK41" s="1758"/>
      <c r="BL41" s="1758"/>
      <c r="BM41" s="1758"/>
      <c r="BN41" s="1758"/>
      <c r="BO41" s="1758"/>
      <c r="BP41" s="1758"/>
      <c r="BQ41" s="1758"/>
      <c r="BR41" s="1758"/>
      <c r="BS41" s="1758"/>
      <c r="BT41" s="1758"/>
      <c r="BU41" s="1758"/>
      <c r="BV41" s="1758"/>
      <c r="BW41" s="1758"/>
      <c r="BX41" s="1758"/>
      <c r="BY41" s="1758"/>
      <c r="BZ41" s="1758"/>
      <c r="CA41" s="1758"/>
      <c r="CB41" s="1758"/>
      <c r="CC41" s="1758"/>
      <c r="CD41" s="1758"/>
      <c r="CE41" s="1758"/>
      <c r="CF41" s="1758"/>
      <c r="CG41" s="1758"/>
      <c r="CH41" s="1758"/>
      <c r="CI41" s="1758"/>
      <c r="CJ41" s="1758"/>
      <c r="CK41" s="1758"/>
      <c r="CL41" s="1758"/>
      <c r="CM41" s="1758"/>
      <c r="CN41" s="1758"/>
      <c r="CO41" s="1758"/>
      <c r="CP41" s="1758"/>
      <c r="CQ41" s="1758"/>
      <c r="CR41" s="1758"/>
      <c r="CS41" s="1758"/>
      <c r="CT41" s="1758"/>
      <c r="CU41" s="1758"/>
      <c r="CV41" s="1758"/>
      <c r="CW41" s="1758"/>
      <c r="CX41" s="1758"/>
      <c r="CY41" s="1758"/>
      <c r="CZ41" s="1758"/>
      <c r="DA41" s="1758"/>
      <c r="DB41" s="1758"/>
      <c r="DC41" s="1758"/>
    </row>
    <row r="42" spans="1:107" s="1395" customFormat="1" ht="26.25" customHeight="1">
      <c r="A42" s="10813"/>
      <c r="B42" s="10757"/>
      <c r="C42" s="10756"/>
      <c r="D42" s="10756"/>
      <c r="E42" s="10756"/>
      <c r="F42" s="10793"/>
      <c r="G42" s="10756"/>
      <c r="H42" s="10756"/>
      <c r="I42" s="10756"/>
      <c r="J42" s="10756"/>
      <c r="K42" s="10822"/>
      <c r="L42" s="10761"/>
      <c r="M42" s="10759"/>
      <c r="N42" s="10761"/>
      <c r="O42" s="10762"/>
      <c r="P42" s="10762"/>
      <c r="Q42" s="10763"/>
      <c r="R42" s="5173"/>
      <c r="S42" s="5212"/>
      <c r="T42" s="5212"/>
      <c r="U42" s="5250"/>
      <c r="V42" s="5281"/>
      <c r="W42" s="5302"/>
      <c r="X42" s="7477"/>
      <c r="Y42" s="7473"/>
      <c r="Z42" s="7473"/>
      <c r="AA42" s="7474"/>
      <c r="AB42" s="5323"/>
      <c r="AC42" s="1396"/>
      <c r="AD42" s="5300"/>
      <c r="AE42" s="5346"/>
      <c r="AF42" s="5346"/>
      <c r="AG42" s="10777"/>
      <c r="AH42" s="1758"/>
      <c r="AI42" s="1758"/>
      <c r="AJ42" s="1758"/>
      <c r="AK42" s="1758"/>
      <c r="AL42" s="1758"/>
      <c r="AM42" s="1758"/>
      <c r="AN42" s="1758"/>
      <c r="AO42" s="1758"/>
      <c r="AP42" s="1758"/>
      <c r="AQ42" s="1758"/>
      <c r="AR42" s="1758"/>
      <c r="AS42" s="1758"/>
      <c r="AT42" s="1758"/>
      <c r="AU42" s="1758"/>
      <c r="AV42" s="1758"/>
      <c r="AW42" s="1758"/>
      <c r="AX42" s="1758"/>
      <c r="AY42" s="1758"/>
      <c r="AZ42" s="1758"/>
      <c r="BA42" s="1758"/>
      <c r="BB42" s="1758"/>
      <c r="BC42" s="1758"/>
      <c r="BD42" s="1758"/>
      <c r="BE42" s="1758"/>
      <c r="BF42" s="1758"/>
      <c r="BG42" s="1758"/>
      <c r="BH42" s="1758"/>
      <c r="BI42" s="1758"/>
      <c r="BJ42" s="1758"/>
      <c r="BK42" s="1758"/>
      <c r="BL42" s="1758"/>
      <c r="BM42" s="1758"/>
      <c r="BN42" s="1758"/>
      <c r="BO42" s="1758"/>
      <c r="BP42" s="1758"/>
      <c r="BQ42" s="1758"/>
      <c r="BR42" s="1758"/>
      <c r="BS42" s="1758"/>
      <c r="BT42" s="1758"/>
      <c r="BU42" s="1758"/>
      <c r="BV42" s="1758"/>
      <c r="BW42" s="1758"/>
      <c r="BX42" s="1758"/>
      <c r="BY42" s="1758"/>
      <c r="BZ42" s="1758"/>
      <c r="CA42" s="1758"/>
      <c r="CB42" s="1758"/>
      <c r="CC42" s="1758"/>
      <c r="CD42" s="1758"/>
      <c r="CE42" s="1758"/>
      <c r="CF42" s="1758"/>
      <c r="CG42" s="1758"/>
      <c r="CH42" s="1758"/>
      <c r="CI42" s="1758"/>
      <c r="CJ42" s="1758"/>
      <c r="CK42" s="1758"/>
      <c r="CL42" s="1758"/>
      <c r="CM42" s="1758"/>
      <c r="CN42" s="1758"/>
      <c r="CO42" s="1758"/>
      <c r="CP42" s="1758"/>
      <c r="CQ42" s="1758"/>
      <c r="CR42" s="1758"/>
      <c r="CS42" s="1758"/>
      <c r="CT42" s="1758"/>
      <c r="CU42" s="1758"/>
      <c r="CV42" s="1758"/>
      <c r="CW42" s="1758"/>
      <c r="CX42" s="1758"/>
      <c r="CY42" s="1758"/>
      <c r="CZ42" s="1758"/>
      <c r="DA42" s="1758"/>
      <c r="DB42" s="1758"/>
      <c r="DC42" s="1758"/>
    </row>
    <row r="43" spans="1:107" s="1395" customFormat="1" ht="26.25" customHeight="1">
      <c r="A43" s="10813"/>
      <c r="B43" s="10757"/>
      <c r="C43" s="10756"/>
      <c r="D43" s="10756"/>
      <c r="E43" s="10756"/>
      <c r="F43" s="10793"/>
      <c r="G43" s="10756"/>
      <c r="H43" s="10756"/>
      <c r="I43" s="10756"/>
      <c r="J43" s="10756"/>
      <c r="K43" s="10822"/>
      <c r="L43" s="10761"/>
      <c r="M43" s="10760"/>
      <c r="N43" s="10761"/>
      <c r="O43" s="10762"/>
      <c r="P43" s="10762"/>
      <c r="Q43" s="10763"/>
      <c r="R43" s="5175"/>
      <c r="S43" s="5215"/>
      <c r="T43" s="5215"/>
      <c r="U43" s="5251"/>
      <c r="V43" s="5282"/>
      <c r="W43" s="5303"/>
      <c r="X43" s="7479"/>
      <c r="Y43" s="7479"/>
      <c r="Z43" s="7479"/>
      <c r="AA43" s="7480"/>
      <c r="AB43" s="5326"/>
      <c r="AC43" s="1399"/>
      <c r="AD43" s="5303"/>
      <c r="AE43" s="5348"/>
      <c r="AF43" s="5348"/>
      <c r="AG43" s="10778"/>
      <c r="AH43" s="1758"/>
      <c r="AI43" s="1758"/>
      <c r="AJ43" s="1758"/>
      <c r="AK43" s="1758"/>
      <c r="AL43" s="1758"/>
      <c r="AM43" s="1758"/>
      <c r="AN43" s="1758"/>
      <c r="AO43" s="1758"/>
      <c r="AP43" s="1758"/>
      <c r="AQ43" s="1758"/>
      <c r="AR43" s="1758"/>
      <c r="AS43" s="1758"/>
      <c r="AT43" s="1758"/>
      <c r="AU43" s="1758"/>
      <c r="AV43" s="1758"/>
      <c r="AW43" s="1758"/>
      <c r="AX43" s="1758"/>
      <c r="AY43" s="1758"/>
      <c r="AZ43" s="1758"/>
      <c r="BA43" s="1758"/>
      <c r="BB43" s="1758"/>
      <c r="BC43" s="1758"/>
      <c r="BD43" s="1758"/>
      <c r="BE43" s="1758"/>
      <c r="BF43" s="1758"/>
      <c r="BG43" s="1758"/>
      <c r="BH43" s="1758"/>
      <c r="BI43" s="1758"/>
      <c r="BJ43" s="1758"/>
      <c r="BK43" s="1758"/>
      <c r="BL43" s="1758"/>
      <c r="BM43" s="1758"/>
      <c r="BN43" s="1758"/>
      <c r="BO43" s="1758"/>
      <c r="BP43" s="1758"/>
      <c r="BQ43" s="1758"/>
      <c r="BR43" s="1758"/>
      <c r="BS43" s="1758"/>
      <c r="BT43" s="1758"/>
      <c r="BU43" s="1758"/>
      <c r="BV43" s="1758"/>
      <c r="BW43" s="1758"/>
      <c r="BX43" s="1758"/>
      <c r="BY43" s="1758"/>
      <c r="BZ43" s="1758"/>
      <c r="CA43" s="1758"/>
      <c r="CB43" s="1758"/>
      <c r="CC43" s="1758"/>
      <c r="CD43" s="1758"/>
      <c r="CE43" s="1758"/>
      <c r="CF43" s="1758"/>
      <c r="CG43" s="1758"/>
      <c r="CH43" s="1758"/>
      <c r="CI43" s="1758"/>
      <c r="CJ43" s="1758"/>
      <c r="CK43" s="1758"/>
      <c r="CL43" s="1758"/>
      <c r="CM43" s="1758"/>
      <c r="CN43" s="1758"/>
      <c r="CO43" s="1758"/>
      <c r="CP43" s="1758"/>
      <c r="CQ43" s="1758"/>
      <c r="CR43" s="1758"/>
      <c r="CS43" s="1758"/>
      <c r="CT43" s="1758"/>
      <c r="CU43" s="1758"/>
      <c r="CV43" s="1758"/>
      <c r="CW43" s="1758"/>
      <c r="CX43" s="1758"/>
      <c r="CY43" s="1758"/>
      <c r="CZ43" s="1758"/>
      <c r="DA43" s="1758"/>
      <c r="DB43" s="1758"/>
      <c r="DC43" s="1758"/>
    </row>
    <row r="44" spans="1:107" s="1395" customFormat="1" ht="30" customHeight="1">
      <c r="A44" s="10813"/>
      <c r="B44" s="10757" t="s">
        <v>183</v>
      </c>
      <c r="C44" s="10756" t="s">
        <v>128</v>
      </c>
      <c r="D44" s="10756" t="s">
        <v>129</v>
      </c>
      <c r="E44" s="10756" t="s">
        <v>914</v>
      </c>
      <c r="F44" s="10793" t="s">
        <v>131</v>
      </c>
      <c r="G44" s="10756" t="s">
        <v>247</v>
      </c>
      <c r="H44" s="10756" t="s">
        <v>189</v>
      </c>
      <c r="I44" s="10756" t="s">
        <v>4769</v>
      </c>
      <c r="J44" s="10796" t="s">
        <v>4770</v>
      </c>
      <c r="K44" s="10762" t="s">
        <v>4771</v>
      </c>
      <c r="L44" s="10761">
        <v>0</v>
      </c>
      <c r="M44" s="10758">
        <v>1</v>
      </c>
      <c r="N44" s="10761">
        <v>1</v>
      </c>
      <c r="O44" s="10762" t="s">
        <v>4772</v>
      </c>
      <c r="P44" s="10762" t="s">
        <v>4773</v>
      </c>
      <c r="Q44" s="10763" t="s">
        <v>4774</v>
      </c>
      <c r="R44" s="5173"/>
      <c r="S44" s="5212"/>
      <c r="T44" s="5212"/>
      <c r="U44" s="5249"/>
      <c r="V44" s="5281"/>
      <c r="W44" s="5302"/>
      <c r="X44" s="7477"/>
      <c r="Y44" s="7477"/>
      <c r="Z44" s="7477"/>
      <c r="AA44" s="7478"/>
      <c r="AB44" s="5325"/>
      <c r="AC44" s="1398"/>
      <c r="AD44" s="5302"/>
      <c r="AE44" s="5351"/>
      <c r="AF44" s="5351"/>
      <c r="AG44" s="10777"/>
      <c r="AH44" s="1758"/>
      <c r="AI44" s="1758"/>
      <c r="AJ44" s="1758"/>
      <c r="AK44" s="1758"/>
      <c r="AL44" s="1758"/>
      <c r="AM44" s="1758"/>
      <c r="AN44" s="1758"/>
      <c r="AO44" s="1758"/>
      <c r="AP44" s="1758"/>
      <c r="AQ44" s="1758"/>
      <c r="AR44" s="1758"/>
      <c r="AS44" s="1758"/>
      <c r="AT44" s="1758"/>
      <c r="AU44" s="1758"/>
      <c r="AV44" s="1758"/>
      <c r="AW44" s="1758"/>
      <c r="AX44" s="1758"/>
      <c r="AY44" s="1758"/>
      <c r="AZ44" s="1758"/>
      <c r="BA44" s="1758"/>
      <c r="BB44" s="1758"/>
      <c r="BC44" s="1758"/>
      <c r="BD44" s="1758"/>
      <c r="BE44" s="1758"/>
      <c r="BF44" s="1758"/>
      <c r="BG44" s="1758"/>
      <c r="BH44" s="1758"/>
      <c r="BI44" s="1758"/>
      <c r="BJ44" s="1758"/>
      <c r="BK44" s="1758"/>
      <c r="BL44" s="1758"/>
      <c r="BM44" s="1758"/>
      <c r="BN44" s="1758"/>
      <c r="BO44" s="1758"/>
      <c r="BP44" s="1758"/>
      <c r="BQ44" s="1758"/>
      <c r="BR44" s="1758"/>
      <c r="BS44" s="1758"/>
      <c r="BT44" s="1758"/>
      <c r="BU44" s="1758"/>
      <c r="BV44" s="1758"/>
      <c r="BW44" s="1758"/>
      <c r="BX44" s="1758"/>
      <c r="BY44" s="1758"/>
      <c r="BZ44" s="1758"/>
      <c r="CA44" s="1758"/>
      <c r="CB44" s="1758"/>
      <c r="CC44" s="1758"/>
      <c r="CD44" s="1758"/>
      <c r="CE44" s="1758"/>
      <c r="CF44" s="1758"/>
      <c r="CG44" s="1758"/>
      <c r="CH44" s="1758"/>
      <c r="CI44" s="1758"/>
      <c r="CJ44" s="1758"/>
      <c r="CK44" s="1758"/>
      <c r="CL44" s="1758"/>
      <c r="CM44" s="1758"/>
      <c r="CN44" s="1758"/>
      <c r="CO44" s="1758"/>
      <c r="CP44" s="1758"/>
      <c r="CQ44" s="1758"/>
      <c r="CR44" s="1758"/>
      <c r="CS44" s="1758"/>
      <c r="CT44" s="1758"/>
      <c r="CU44" s="1758"/>
      <c r="CV44" s="1758"/>
      <c r="CW44" s="1758"/>
      <c r="CX44" s="1758"/>
      <c r="CY44" s="1758"/>
      <c r="CZ44" s="1758"/>
      <c r="DA44" s="1758"/>
      <c r="DB44" s="1758"/>
      <c r="DC44" s="1758"/>
    </row>
    <row r="45" spans="1:107" s="1395" customFormat="1" ht="30" customHeight="1">
      <c r="A45" s="10813"/>
      <c r="B45" s="10757"/>
      <c r="C45" s="10756"/>
      <c r="D45" s="10756"/>
      <c r="E45" s="10756"/>
      <c r="F45" s="10793"/>
      <c r="G45" s="10756"/>
      <c r="H45" s="10756"/>
      <c r="I45" s="10756"/>
      <c r="J45" s="10796"/>
      <c r="K45" s="10762"/>
      <c r="L45" s="10761"/>
      <c r="M45" s="10759"/>
      <c r="N45" s="10761"/>
      <c r="O45" s="10762"/>
      <c r="P45" s="10762"/>
      <c r="Q45" s="10763"/>
      <c r="R45" s="5171"/>
      <c r="S45" s="5213"/>
      <c r="T45" s="5213"/>
      <c r="U45" s="5247"/>
      <c r="V45" s="5279"/>
      <c r="W45" s="5300"/>
      <c r="X45" s="7473"/>
      <c r="Y45" s="7473"/>
      <c r="Z45" s="7473"/>
      <c r="AA45" s="7474"/>
      <c r="AB45" s="5323"/>
      <c r="AC45" s="1396"/>
      <c r="AD45" s="5300"/>
      <c r="AE45" s="5300"/>
      <c r="AF45" s="5352"/>
      <c r="AG45" s="10777"/>
      <c r="AH45" s="1758"/>
      <c r="AI45" s="1758"/>
      <c r="AJ45" s="1758"/>
      <c r="AK45" s="1758"/>
      <c r="AL45" s="1758"/>
      <c r="AM45" s="1758"/>
      <c r="AN45" s="1758"/>
      <c r="AO45" s="1758"/>
      <c r="AP45" s="1758"/>
      <c r="AQ45" s="1758"/>
      <c r="AR45" s="1758"/>
      <c r="AS45" s="1758"/>
      <c r="AT45" s="1758"/>
      <c r="AU45" s="1758"/>
      <c r="AV45" s="1758"/>
      <c r="AW45" s="1758"/>
      <c r="AX45" s="1758"/>
      <c r="AY45" s="1758"/>
      <c r="AZ45" s="1758"/>
      <c r="BA45" s="1758"/>
      <c r="BB45" s="1758"/>
      <c r="BC45" s="1758"/>
      <c r="BD45" s="1758"/>
      <c r="BE45" s="1758"/>
      <c r="BF45" s="1758"/>
      <c r="BG45" s="1758"/>
      <c r="BH45" s="1758"/>
      <c r="BI45" s="1758"/>
      <c r="BJ45" s="1758"/>
      <c r="BK45" s="1758"/>
      <c r="BL45" s="1758"/>
      <c r="BM45" s="1758"/>
      <c r="BN45" s="1758"/>
      <c r="BO45" s="1758"/>
      <c r="BP45" s="1758"/>
      <c r="BQ45" s="1758"/>
      <c r="BR45" s="1758"/>
      <c r="BS45" s="1758"/>
      <c r="BT45" s="1758"/>
      <c r="BU45" s="1758"/>
      <c r="BV45" s="1758"/>
      <c r="BW45" s="1758"/>
      <c r="BX45" s="1758"/>
      <c r="BY45" s="1758"/>
      <c r="BZ45" s="1758"/>
      <c r="CA45" s="1758"/>
      <c r="CB45" s="1758"/>
      <c r="CC45" s="1758"/>
      <c r="CD45" s="1758"/>
      <c r="CE45" s="1758"/>
      <c r="CF45" s="1758"/>
      <c r="CG45" s="1758"/>
      <c r="CH45" s="1758"/>
      <c r="CI45" s="1758"/>
      <c r="CJ45" s="1758"/>
      <c r="CK45" s="1758"/>
      <c r="CL45" s="1758"/>
      <c r="CM45" s="1758"/>
      <c r="CN45" s="1758"/>
      <c r="CO45" s="1758"/>
      <c r="CP45" s="1758"/>
      <c r="CQ45" s="1758"/>
      <c r="CR45" s="1758"/>
      <c r="CS45" s="1758"/>
      <c r="CT45" s="1758"/>
      <c r="CU45" s="1758"/>
      <c r="CV45" s="1758"/>
      <c r="CW45" s="1758"/>
      <c r="CX45" s="1758"/>
      <c r="CY45" s="1758"/>
      <c r="CZ45" s="1758"/>
      <c r="DA45" s="1758"/>
      <c r="DB45" s="1758"/>
      <c r="DC45" s="1758"/>
    </row>
    <row r="46" spans="1:107" s="1395" customFormat="1" ht="30" customHeight="1">
      <c r="A46" s="10813"/>
      <c r="B46" s="10757"/>
      <c r="C46" s="10756"/>
      <c r="D46" s="10756"/>
      <c r="E46" s="10756"/>
      <c r="F46" s="10793"/>
      <c r="G46" s="10756"/>
      <c r="H46" s="10756"/>
      <c r="I46" s="10756"/>
      <c r="J46" s="10796"/>
      <c r="K46" s="10762"/>
      <c r="L46" s="10761"/>
      <c r="M46" s="10759"/>
      <c r="N46" s="10761"/>
      <c r="O46" s="10762"/>
      <c r="P46" s="10762"/>
      <c r="Q46" s="10763"/>
      <c r="R46" s="5171"/>
      <c r="S46" s="5213"/>
      <c r="T46" s="5213"/>
      <c r="U46" s="5247"/>
      <c r="V46" s="5279"/>
      <c r="W46" s="5300"/>
      <c r="X46" s="7473"/>
      <c r="Y46" s="7473"/>
      <c r="Z46" s="7473"/>
      <c r="AA46" s="7474"/>
      <c r="AB46" s="5323"/>
      <c r="AC46" s="1396"/>
      <c r="AD46" s="5300"/>
      <c r="AE46" s="5300"/>
      <c r="AF46" s="5346"/>
      <c r="AG46" s="10777"/>
      <c r="AH46" s="1758"/>
      <c r="AI46" s="1758"/>
      <c r="AJ46" s="1758"/>
      <c r="AK46" s="1758"/>
      <c r="AL46" s="1758"/>
      <c r="AM46" s="1758"/>
      <c r="AN46" s="1758"/>
      <c r="AO46" s="1758"/>
      <c r="AP46" s="1758"/>
      <c r="AQ46" s="1758"/>
      <c r="AR46" s="1758"/>
      <c r="AS46" s="1758"/>
      <c r="AT46" s="1758"/>
      <c r="AU46" s="1758"/>
      <c r="AV46" s="1758"/>
      <c r="AW46" s="1758"/>
      <c r="AX46" s="1758"/>
      <c r="AY46" s="1758"/>
      <c r="AZ46" s="1758"/>
      <c r="BA46" s="1758"/>
      <c r="BB46" s="1758"/>
      <c r="BC46" s="1758"/>
      <c r="BD46" s="1758"/>
      <c r="BE46" s="1758"/>
      <c r="BF46" s="1758"/>
      <c r="BG46" s="1758"/>
      <c r="BH46" s="1758"/>
      <c r="BI46" s="1758"/>
      <c r="BJ46" s="1758"/>
      <c r="BK46" s="1758"/>
      <c r="BL46" s="1758"/>
      <c r="BM46" s="1758"/>
      <c r="BN46" s="1758"/>
      <c r="BO46" s="1758"/>
      <c r="BP46" s="1758"/>
      <c r="BQ46" s="1758"/>
      <c r="BR46" s="1758"/>
      <c r="BS46" s="1758"/>
      <c r="BT46" s="1758"/>
      <c r="BU46" s="1758"/>
      <c r="BV46" s="1758"/>
      <c r="BW46" s="1758"/>
      <c r="BX46" s="1758"/>
      <c r="BY46" s="1758"/>
      <c r="BZ46" s="1758"/>
      <c r="CA46" s="1758"/>
      <c r="CB46" s="1758"/>
      <c r="CC46" s="1758"/>
      <c r="CD46" s="1758"/>
      <c r="CE46" s="1758"/>
      <c r="CF46" s="1758"/>
      <c r="CG46" s="1758"/>
      <c r="CH46" s="1758"/>
      <c r="CI46" s="1758"/>
      <c r="CJ46" s="1758"/>
      <c r="CK46" s="1758"/>
      <c r="CL46" s="1758"/>
      <c r="CM46" s="1758"/>
      <c r="CN46" s="1758"/>
      <c r="CO46" s="1758"/>
      <c r="CP46" s="1758"/>
      <c r="CQ46" s="1758"/>
      <c r="CR46" s="1758"/>
      <c r="CS46" s="1758"/>
      <c r="CT46" s="1758"/>
      <c r="CU46" s="1758"/>
      <c r="CV46" s="1758"/>
      <c r="CW46" s="1758"/>
      <c r="CX46" s="1758"/>
      <c r="CY46" s="1758"/>
      <c r="CZ46" s="1758"/>
      <c r="DA46" s="1758"/>
      <c r="DB46" s="1758"/>
      <c r="DC46" s="1758"/>
    </row>
    <row r="47" spans="1:107" s="1395" customFormat="1" ht="30" customHeight="1">
      <c r="A47" s="10813"/>
      <c r="B47" s="10757"/>
      <c r="C47" s="10756"/>
      <c r="D47" s="10756"/>
      <c r="E47" s="10756"/>
      <c r="F47" s="10793"/>
      <c r="G47" s="10756"/>
      <c r="H47" s="10756"/>
      <c r="I47" s="10756"/>
      <c r="J47" s="10796"/>
      <c r="K47" s="10762"/>
      <c r="L47" s="10761"/>
      <c r="M47" s="10759"/>
      <c r="N47" s="10761"/>
      <c r="O47" s="10762"/>
      <c r="P47" s="10762"/>
      <c r="Q47" s="10763"/>
      <c r="R47" s="5171"/>
      <c r="S47" s="5213"/>
      <c r="T47" s="5213"/>
      <c r="U47" s="5247"/>
      <c r="V47" s="5279"/>
      <c r="W47" s="5300"/>
      <c r="X47" s="7473"/>
      <c r="Y47" s="7473"/>
      <c r="Z47" s="7473"/>
      <c r="AA47" s="7474"/>
      <c r="AB47" s="5323"/>
      <c r="AC47" s="1396"/>
      <c r="AD47" s="5300"/>
      <c r="AE47" s="5300"/>
      <c r="AF47" s="5346"/>
      <c r="AG47" s="10777"/>
      <c r="AH47" s="1758"/>
      <c r="AI47" s="1758"/>
      <c r="AJ47" s="1758"/>
      <c r="AK47" s="1758"/>
      <c r="AL47" s="1758"/>
      <c r="AM47" s="1758"/>
      <c r="AN47" s="1758"/>
      <c r="AO47" s="1758"/>
      <c r="AP47" s="1758"/>
      <c r="AQ47" s="1758"/>
      <c r="AR47" s="1758"/>
      <c r="AS47" s="1758"/>
      <c r="AT47" s="1758"/>
      <c r="AU47" s="1758"/>
      <c r="AV47" s="1758"/>
      <c r="AW47" s="1758"/>
      <c r="AX47" s="1758"/>
      <c r="AY47" s="1758"/>
      <c r="AZ47" s="1758"/>
      <c r="BA47" s="1758"/>
      <c r="BB47" s="1758"/>
      <c r="BC47" s="1758"/>
      <c r="BD47" s="1758"/>
      <c r="BE47" s="1758"/>
      <c r="BF47" s="1758"/>
      <c r="BG47" s="1758"/>
      <c r="BH47" s="1758"/>
      <c r="BI47" s="1758"/>
      <c r="BJ47" s="1758"/>
      <c r="BK47" s="1758"/>
      <c r="BL47" s="1758"/>
      <c r="BM47" s="1758"/>
      <c r="BN47" s="1758"/>
      <c r="BO47" s="1758"/>
      <c r="BP47" s="1758"/>
      <c r="BQ47" s="1758"/>
      <c r="BR47" s="1758"/>
      <c r="BS47" s="1758"/>
      <c r="BT47" s="1758"/>
      <c r="BU47" s="1758"/>
      <c r="BV47" s="1758"/>
      <c r="BW47" s="1758"/>
      <c r="BX47" s="1758"/>
      <c r="BY47" s="1758"/>
      <c r="BZ47" s="1758"/>
      <c r="CA47" s="1758"/>
      <c r="CB47" s="1758"/>
      <c r="CC47" s="1758"/>
      <c r="CD47" s="1758"/>
      <c r="CE47" s="1758"/>
      <c r="CF47" s="1758"/>
      <c r="CG47" s="1758"/>
      <c r="CH47" s="1758"/>
      <c r="CI47" s="1758"/>
      <c r="CJ47" s="1758"/>
      <c r="CK47" s="1758"/>
      <c r="CL47" s="1758"/>
      <c r="CM47" s="1758"/>
      <c r="CN47" s="1758"/>
      <c r="CO47" s="1758"/>
      <c r="CP47" s="1758"/>
      <c r="CQ47" s="1758"/>
      <c r="CR47" s="1758"/>
      <c r="CS47" s="1758"/>
      <c r="CT47" s="1758"/>
      <c r="CU47" s="1758"/>
      <c r="CV47" s="1758"/>
      <c r="CW47" s="1758"/>
      <c r="CX47" s="1758"/>
      <c r="CY47" s="1758"/>
      <c r="CZ47" s="1758"/>
      <c r="DA47" s="1758"/>
      <c r="DB47" s="1758"/>
      <c r="DC47" s="1758"/>
    </row>
    <row r="48" spans="1:107" s="1395" customFormat="1" ht="30" customHeight="1">
      <c r="A48" s="10813"/>
      <c r="B48" s="10757"/>
      <c r="C48" s="10756"/>
      <c r="D48" s="10756"/>
      <c r="E48" s="10756"/>
      <c r="F48" s="10793"/>
      <c r="G48" s="10756"/>
      <c r="H48" s="10756"/>
      <c r="I48" s="10756"/>
      <c r="J48" s="10796"/>
      <c r="K48" s="10762"/>
      <c r="L48" s="10761"/>
      <c r="M48" s="10760"/>
      <c r="N48" s="10761"/>
      <c r="O48" s="10762"/>
      <c r="P48" s="10762"/>
      <c r="Q48" s="10763"/>
      <c r="R48" s="5175"/>
      <c r="S48" s="5215"/>
      <c r="T48" s="5215"/>
      <c r="U48" s="5251"/>
      <c r="V48" s="5282"/>
      <c r="W48" s="5303"/>
      <c r="X48" s="7479"/>
      <c r="Y48" s="7479"/>
      <c r="Z48" s="7479"/>
      <c r="AA48" s="7480"/>
      <c r="AB48" s="5326"/>
      <c r="AC48" s="1399"/>
      <c r="AD48" s="5303"/>
      <c r="AE48" s="5303"/>
      <c r="AF48" s="5348"/>
      <c r="AG48" s="10778"/>
      <c r="AH48" s="1758"/>
      <c r="AI48" s="1758"/>
      <c r="AJ48" s="1758"/>
      <c r="AK48" s="1758"/>
      <c r="AL48" s="1758"/>
      <c r="AM48" s="1758"/>
      <c r="AN48" s="1758"/>
      <c r="AO48" s="1758"/>
      <c r="AP48" s="1758"/>
      <c r="AQ48" s="1758"/>
      <c r="AR48" s="1758"/>
      <c r="AS48" s="1758"/>
      <c r="AT48" s="1758"/>
      <c r="AU48" s="1758"/>
      <c r="AV48" s="1758"/>
      <c r="AW48" s="1758"/>
      <c r="AX48" s="1758"/>
      <c r="AY48" s="1758"/>
      <c r="AZ48" s="1758"/>
      <c r="BA48" s="1758"/>
      <c r="BB48" s="1758"/>
      <c r="BC48" s="1758"/>
      <c r="BD48" s="1758"/>
      <c r="BE48" s="1758"/>
      <c r="BF48" s="1758"/>
      <c r="BG48" s="1758"/>
      <c r="BH48" s="1758"/>
      <c r="BI48" s="1758"/>
      <c r="BJ48" s="1758"/>
      <c r="BK48" s="1758"/>
      <c r="BL48" s="1758"/>
      <c r="BM48" s="1758"/>
      <c r="BN48" s="1758"/>
      <c r="BO48" s="1758"/>
      <c r="BP48" s="1758"/>
      <c r="BQ48" s="1758"/>
      <c r="BR48" s="1758"/>
      <c r="BS48" s="1758"/>
      <c r="BT48" s="1758"/>
      <c r="BU48" s="1758"/>
      <c r="BV48" s="1758"/>
      <c r="BW48" s="1758"/>
      <c r="BX48" s="1758"/>
      <c r="BY48" s="1758"/>
      <c r="BZ48" s="1758"/>
      <c r="CA48" s="1758"/>
      <c r="CB48" s="1758"/>
      <c r="CC48" s="1758"/>
      <c r="CD48" s="1758"/>
      <c r="CE48" s="1758"/>
      <c r="CF48" s="1758"/>
      <c r="CG48" s="1758"/>
      <c r="CH48" s="1758"/>
      <c r="CI48" s="1758"/>
      <c r="CJ48" s="1758"/>
      <c r="CK48" s="1758"/>
      <c r="CL48" s="1758"/>
      <c r="CM48" s="1758"/>
      <c r="CN48" s="1758"/>
      <c r="CO48" s="1758"/>
      <c r="CP48" s="1758"/>
      <c r="CQ48" s="1758"/>
      <c r="CR48" s="1758"/>
      <c r="CS48" s="1758"/>
      <c r="CT48" s="1758"/>
      <c r="CU48" s="1758"/>
      <c r="CV48" s="1758"/>
      <c r="CW48" s="1758"/>
      <c r="CX48" s="1758"/>
      <c r="CY48" s="1758"/>
      <c r="CZ48" s="1758"/>
      <c r="DA48" s="1758"/>
      <c r="DB48" s="1758"/>
      <c r="DC48" s="1758"/>
    </row>
    <row r="49" spans="1:107" s="1395" customFormat="1" ht="26.25" customHeight="1">
      <c r="A49" s="10813"/>
      <c r="B49" s="10757" t="s">
        <v>127</v>
      </c>
      <c r="C49" s="10756" t="s">
        <v>128</v>
      </c>
      <c r="D49" s="10756" t="s">
        <v>129</v>
      </c>
      <c r="E49" s="10756" t="s">
        <v>157</v>
      </c>
      <c r="F49" s="10793" t="s">
        <v>131</v>
      </c>
      <c r="G49" s="10756" t="s">
        <v>231</v>
      </c>
      <c r="H49" s="10756" t="s">
        <v>189</v>
      </c>
      <c r="I49" s="10824" t="s">
        <v>4775</v>
      </c>
      <c r="J49" s="10796" t="s">
        <v>4261</v>
      </c>
      <c r="K49" s="10762" t="s">
        <v>4776</v>
      </c>
      <c r="L49" s="10820">
        <v>0</v>
      </c>
      <c r="M49" s="10737">
        <v>1</v>
      </c>
      <c r="N49" s="10820">
        <v>1</v>
      </c>
      <c r="O49" s="10762" t="s">
        <v>4777</v>
      </c>
      <c r="P49" s="10762" t="s">
        <v>4778</v>
      </c>
      <c r="Q49" s="10763" t="s">
        <v>4750</v>
      </c>
      <c r="R49" s="5173"/>
      <c r="S49" s="5212"/>
      <c r="T49" s="5212"/>
      <c r="U49" s="5253"/>
      <c r="V49" s="5284"/>
      <c r="W49" s="5305"/>
      <c r="X49" s="7481"/>
      <c r="Y49" s="7477"/>
      <c r="Z49" s="7477"/>
      <c r="AA49" s="7482"/>
      <c r="AB49" s="5327"/>
      <c r="AC49" s="1400"/>
      <c r="AD49" s="5305"/>
      <c r="AE49" s="5350"/>
      <c r="AF49" s="5350"/>
      <c r="AG49" s="10779"/>
      <c r="AH49" s="1758"/>
      <c r="AI49" s="1758"/>
      <c r="AJ49" s="1758"/>
      <c r="AK49" s="1758"/>
      <c r="AL49" s="1758"/>
      <c r="AM49" s="1758"/>
      <c r="AN49" s="1758"/>
      <c r="AO49" s="1758"/>
      <c r="AP49" s="1758"/>
      <c r="AQ49" s="1758"/>
      <c r="AR49" s="1758"/>
      <c r="AS49" s="1758"/>
      <c r="AT49" s="1758"/>
      <c r="AU49" s="1758"/>
      <c r="AV49" s="1758"/>
      <c r="AW49" s="1758"/>
      <c r="AX49" s="1758"/>
      <c r="AY49" s="1758"/>
      <c r="AZ49" s="1758"/>
      <c r="BA49" s="1758"/>
      <c r="BB49" s="1758"/>
      <c r="BC49" s="1758"/>
      <c r="BD49" s="1758"/>
      <c r="BE49" s="1758"/>
      <c r="BF49" s="1758"/>
      <c r="BG49" s="1758"/>
      <c r="BH49" s="1758"/>
      <c r="BI49" s="1758"/>
      <c r="BJ49" s="1758"/>
      <c r="BK49" s="1758"/>
      <c r="BL49" s="1758"/>
      <c r="BM49" s="1758"/>
      <c r="BN49" s="1758"/>
      <c r="BO49" s="1758"/>
      <c r="BP49" s="1758"/>
      <c r="BQ49" s="1758"/>
      <c r="BR49" s="1758"/>
      <c r="BS49" s="1758"/>
      <c r="BT49" s="1758"/>
      <c r="BU49" s="1758"/>
      <c r="BV49" s="1758"/>
      <c r="BW49" s="1758"/>
      <c r="BX49" s="1758"/>
      <c r="BY49" s="1758"/>
      <c r="BZ49" s="1758"/>
      <c r="CA49" s="1758"/>
      <c r="CB49" s="1758"/>
      <c r="CC49" s="1758"/>
      <c r="CD49" s="1758"/>
      <c r="CE49" s="1758"/>
      <c r="CF49" s="1758"/>
      <c r="CG49" s="1758"/>
      <c r="CH49" s="1758"/>
      <c r="CI49" s="1758"/>
      <c r="CJ49" s="1758"/>
      <c r="CK49" s="1758"/>
      <c r="CL49" s="1758"/>
      <c r="CM49" s="1758"/>
      <c r="CN49" s="1758"/>
      <c r="CO49" s="1758"/>
      <c r="CP49" s="1758"/>
      <c r="CQ49" s="1758"/>
      <c r="CR49" s="1758"/>
      <c r="CS49" s="1758"/>
      <c r="CT49" s="1758"/>
      <c r="CU49" s="1758"/>
      <c r="CV49" s="1758"/>
      <c r="CW49" s="1758"/>
      <c r="CX49" s="1758"/>
      <c r="CY49" s="1758"/>
      <c r="CZ49" s="1758"/>
      <c r="DA49" s="1758"/>
      <c r="DB49" s="1758"/>
      <c r="DC49" s="1758"/>
    </row>
    <row r="50" spans="1:107" s="1395" customFormat="1" ht="26.25" customHeight="1">
      <c r="A50" s="10813"/>
      <c r="B50" s="10757"/>
      <c r="C50" s="10756"/>
      <c r="D50" s="10756"/>
      <c r="E50" s="10756"/>
      <c r="F50" s="10793"/>
      <c r="G50" s="10756"/>
      <c r="H50" s="10756"/>
      <c r="I50" s="10824"/>
      <c r="J50" s="10796"/>
      <c r="K50" s="10762"/>
      <c r="L50" s="10820"/>
      <c r="M50" s="10738"/>
      <c r="N50" s="10820"/>
      <c r="O50" s="10762"/>
      <c r="P50" s="10762"/>
      <c r="Q50" s="10763"/>
      <c r="R50" s="5176"/>
      <c r="S50" s="5216"/>
      <c r="T50" s="5216"/>
      <c r="U50" s="5254"/>
      <c r="V50" s="5285"/>
      <c r="W50" s="5306"/>
      <c r="X50" s="7483"/>
      <c r="Y50" s="7473"/>
      <c r="Z50" s="7473"/>
      <c r="AA50" s="7484"/>
      <c r="AB50" s="5328"/>
      <c r="AC50" s="1401"/>
      <c r="AD50" s="5306"/>
      <c r="AE50" s="5346"/>
      <c r="AF50" s="5346"/>
      <c r="AG50" s="10777"/>
      <c r="AH50" s="1758"/>
      <c r="AI50" s="1758"/>
      <c r="AJ50" s="1758"/>
      <c r="AK50" s="1758"/>
      <c r="AL50" s="1758"/>
      <c r="AM50" s="1758"/>
      <c r="AN50" s="1758"/>
      <c r="AO50" s="1758"/>
      <c r="AP50" s="1758"/>
      <c r="AQ50" s="1758"/>
      <c r="AR50" s="1758"/>
      <c r="AS50" s="1758"/>
      <c r="AT50" s="1758"/>
      <c r="AU50" s="1758"/>
      <c r="AV50" s="1758"/>
      <c r="AW50" s="1758"/>
      <c r="AX50" s="1758"/>
      <c r="AY50" s="1758"/>
      <c r="AZ50" s="1758"/>
      <c r="BA50" s="1758"/>
      <c r="BB50" s="1758"/>
      <c r="BC50" s="1758"/>
      <c r="BD50" s="1758"/>
      <c r="BE50" s="1758"/>
      <c r="BF50" s="1758"/>
      <c r="BG50" s="1758"/>
      <c r="BH50" s="1758"/>
      <c r="BI50" s="1758"/>
      <c r="BJ50" s="1758"/>
      <c r="BK50" s="1758"/>
      <c r="BL50" s="1758"/>
      <c r="BM50" s="1758"/>
      <c r="BN50" s="1758"/>
      <c r="BO50" s="1758"/>
      <c r="BP50" s="1758"/>
      <c r="BQ50" s="1758"/>
      <c r="BR50" s="1758"/>
      <c r="BS50" s="1758"/>
      <c r="BT50" s="1758"/>
      <c r="BU50" s="1758"/>
      <c r="BV50" s="1758"/>
      <c r="BW50" s="1758"/>
      <c r="BX50" s="1758"/>
      <c r="BY50" s="1758"/>
      <c r="BZ50" s="1758"/>
      <c r="CA50" s="1758"/>
      <c r="CB50" s="1758"/>
      <c r="CC50" s="1758"/>
      <c r="CD50" s="1758"/>
      <c r="CE50" s="1758"/>
      <c r="CF50" s="1758"/>
      <c r="CG50" s="1758"/>
      <c r="CH50" s="1758"/>
      <c r="CI50" s="1758"/>
      <c r="CJ50" s="1758"/>
      <c r="CK50" s="1758"/>
      <c r="CL50" s="1758"/>
      <c r="CM50" s="1758"/>
      <c r="CN50" s="1758"/>
      <c r="CO50" s="1758"/>
      <c r="CP50" s="1758"/>
      <c r="CQ50" s="1758"/>
      <c r="CR50" s="1758"/>
      <c r="CS50" s="1758"/>
      <c r="CT50" s="1758"/>
      <c r="CU50" s="1758"/>
      <c r="CV50" s="1758"/>
      <c r="CW50" s="1758"/>
      <c r="CX50" s="1758"/>
      <c r="CY50" s="1758"/>
      <c r="CZ50" s="1758"/>
      <c r="DA50" s="1758"/>
      <c r="DB50" s="1758"/>
      <c r="DC50" s="1758"/>
    </row>
    <row r="51" spans="1:107" s="1395" customFormat="1" ht="26.25" customHeight="1">
      <c r="A51" s="10813"/>
      <c r="B51" s="10757"/>
      <c r="C51" s="10756"/>
      <c r="D51" s="10756"/>
      <c r="E51" s="10756"/>
      <c r="F51" s="10793"/>
      <c r="G51" s="10756"/>
      <c r="H51" s="10756"/>
      <c r="I51" s="10824"/>
      <c r="J51" s="10796"/>
      <c r="K51" s="10762"/>
      <c r="L51" s="10820"/>
      <c r="M51" s="10738"/>
      <c r="N51" s="10820"/>
      <c r="O51" s="10762"/>
      <c r="P51" s="10762"/>
      <c r="Q51" s="10763"/>
      <c r="R51" s="5176"/>
      <c r="S51" s="5216"/>
      <c r="T51" s="5216"/>
      <c r="U51" s="5254"/>
      <c r="V51" s="5285"/>
      <c r="W51" s="5306"/>
      <c r="X51" s="7483"/>
      <c r="Y51" s="7473"/>
      <c r="Z51" s="7473"/>
      <c r="AA51" s="7484"/>
      <c r="AB51" s="5328"/>
      <c r="AC51" s="1401"/>
      <c r="AD51" s="5306"/>
      <c r="AE51" s="5346"/>
      <c r="AF51" s="5346"/>
      <c r="AG51" s="10777"/>
      <c r="AH51" s="1758"/>
      <c r="AI51" s="1758"/>
      <c r="AJ51" s="1758"/>
      <c r="AK51" s="1758"/>
      <c r="AL51" s="1758"/>
      <c r="AM51" s="1758"/>
      <c r="AN51" s="1758"/>
      <c r="AO51" s="1758"/>
      <c r="AP51" s="1758"/>
      <c r="AQ51" s="1758"/>
      <c r="AR51" s="1758"/>
      <c r="AS51" s="1758"/>
      <c r="AT51" s="1758"/>
      <c r="AU51" s="1758"/>
      <c r="AV51" s="1758"/>
      <c r="AW51" s="1758"/>
      <c r="AX51" s="1758"/>
      <c r="AY51" s="1758"/>
      <c r="AZ51" s="1758"/>
      <c r="BA51" s="1758"/>
      <c r="BB51" s="1758"/>
      <c r="BC51" s="1758"/>
      <c r="BD51" s="1758"/>
      <c r="BE51" s="1758"/>
      <c r="BF51" s="1758"/>
      <c r="BG51" s="1758"/>
      <c r="BH51" s="1758"/>
      <c r="BI51" s="1758"/>
      <c r="BJ51" s="1758"/>
      <c r="BK51" s="1758"/>
      <c r="BL51" s="1758"/>
      <c r="BM51" s="1758"/>
      <c r="BN51" s="1758"/>
      <c r="BO51" s="1758"/>
      <c r="BP51" s="1758"/>
      <c r="BQ51" s="1758"/>
      <c r="BR51" s="1758"/>
      <c r="BS51" s="1758"/>
      <c r="BT51" s="1758"/>
      <c r="BU51" s="1758"/>
      <c r="BV51" s="1758"/>
      <c r="BW51" s="1758"/>
      <c r="BX51" s="1758"/>
      <c r="BY51" s="1758"/>
      <c r="BZ51" s="1758"/>
      <c r="CA51" s="1758"/>
      <c r="CB51" s="1758"/>
      <c r="CC51" s="1758"/>
      <c r="CD51" s="1758"/>
      <c r="CE51" s="1758"/>
      <c r="CF51" s="1758"/>
      <c r="CG51" s="1758"/>
      <c r="CH51" s="1758"/>
      <c r="CI51" s="1758"/>
      <c r="CJ51" s="1758"/>
      <c r="CK51" s="1758"/>
      <c r="CL51" s="1758"/>
      <c r="CM51" s="1758"/>
      <c r="CN51" s="1758"/>
      <c r="CO51" s="1758"/>
      <c r="CP51" s="1758"/>
      <c r="CQ51" s="1758"/>
      <c r="CR51" s="1758"/>
      <c r="CS51" s="1758"/>
      <c r="CT51" s="1758"/>
      <c r="CU51" s="1758"/>
      <c r="CV51" s="1758"/>
      <c r="CW51" s="1758"/>
      <c r="CX51" s="1758"/>
      <c r="CY51" s="1758"/>
      <c r="CZ51" s="1758"/>
      <c r="DA51" s="1758"/>
      <c r="DB51" s="1758"/>
      <c r="DC51" s="1758"/>
    </row>
    <row r="52" spans="1:107" s="1395" customFormat="1" ht="26.25" customHeight="1">
      <c r="A52" s="10813"/>
      <c r="B52" s="10757"/>
      <c r="C52" s="10756"/>
      <c r="D52" s="10756"/>
      <c r="E52" s="10756"/>
      <c r="F52" s="10793"/>
      <c r="G52" s="10756"/>
      <c r="H52" s="10756"/>
      <c r="I52" s="10824"/>
      <c r="J52" s="10796"/>
      <c r="K52" s="10762"/>
      <c r="L52" s="10820"/>
      <c r="M52" s="10738"/>
      <c r="N52" s="10820"/>
      <c r="O52" s="10762"/>
      <c r="P52" s="10762"/>
      <c r="Q52" s="10763"/>
      <c r="R52" s="5176"/>
      <c r="S52" s="5216"/>
      <c r="T52" s="5216"/>
      <c r="U52" s="5254"/>
      <c r="V52" s="5285"/>
      <c r="W52" s="5306"/>
      <c r="X52" s="7483"/>
      <c r="Y52" s="7473"/>
      <c r="Z52" s="7473"/>
      <c r="AA52" s="7484"/>
      <c r="AB52" s="5328"/>
      <c r="AC52" s="1401"/>
      <c r="AD52" s="5306"/>
      <c r="AE52" s="5346"/>
      <c r="AF52" s="5346"/>
      <c r="AG52" s="10777"/>
      <c r="AH52" s="1758"/>
      <c r="AI52" s="1758"/>
      <c r="AJ52" s="1758"/>
      <c r="AK52" s="1758"/>
      <c r="AL52" s="1758"/>
      <c r="AM52" s="1758"/>
      <c r="AN52" s="1758"/>
      <c r="AO52" s="1758"/>
      <c r="AP52" s="1758"/>
      <c r="AQ52" s="1758"/>
      <c r="AR52" s="1758"/>
      <c r="AS52" s="1758"/>
      <c r="AT52" s="1758"/>
      <c r="AU52" s="1758"/>
      <c r="AV52" s="1758"/>
      <c r="AW52" s="1758"/>
      <c r="AX52" s="1758"/>
      <c r="AY52" s="1758"/>
      <c r="AZ52" s="1758"/>
      <c r="BA52" s="1758"/>
      <c r="BB52" s="1758"/>
      <c r="BC52" s="1758"/>
      <c r="BD52" s="1758"/>
      <c r="BE52" s="1758"/>
      <c r="BF52" s="1758"/>
      <c r="BG52" s="1758"/>
      <c r="BH52" s="1758"/>
      <c r="BI52" s="1758"/>
      <c r="BJ52" s="1758"/>
      <c r="BK52" s="1758"/>
      <c r="BL52" s="1758"/>
      <c r="BM52" s="1758"/>
      <c r="BN52" s="1758"/>
      <c r="BO52" s="1758"/>
      <c r="BP52" s="1758"/>
      <c r="BQ52" s="1758"/>
      <c r="BR52" s="1758"/>
      <c r="BS52" s="1758"/>
      <c r="BT52" s="1758"/>
      <c r="BU52" s="1758"/>
      <c r="BV52" s="1758"/>
      <c r="BW52" s="1758"/>
      <c r="BX52" s="1758"/>
      <c r="BY52" s="1758"/>
      <c r="BZ52" s="1758"/>
      <c r="CA52" s="1758"/>
      <c r="CB52" s="1758"/>
      <c r="CC52" s="1758"/>
      <c r="CD52" s="1758"/>
      <c r="CE52" s="1758"/>
      <c r="CF52" s="1758"/>
      <c r="CG52" s="1758"/>
      <c r="CH52" s="1758"/>
      <c r="CI52" s="1758"/>
      <c r="CJ52" s="1758"/>
      <c r="CK52" s="1758"/>
      <c r="CL52" s="1758"/>
      <c r="CM52" s="1758"/>
      <c r="CN52" s="1758"/>
      <c r="CO52" s="1758"/>
      <c r="CP52" s="1758"/>
      <c r="CQ52" s="1758"/>
      <c r="CR52" s="1758"/>
      <c r="CS52" s="1758"/>
      <c r="CT52" s="1758"/>
      <c r="CU52" s="1758"/>
      <c r="CV52" s="1758"/>
      <c r="CW52" s="1758"/>
      <c r="CX52" s="1758"/>
      <c r="CY52" s="1758"/>
      <c r="CZ52" s="1758"/>
      <c r="DA52" s="1758"/>
      <c r="DB52" s="1758"/>
      <c r="DC52" s="1758"/>
    </row>
    <row r="53" spans="1:107" s="1395" customFormat="1" ht="26.25" customHeight="1">
      <c r="A53" s="10813"/>
      <c r="B53" s="10757"/>
      <c r="C53" s="10756"/>
      <c r="D53" s="10756"/>
      <c r="E53" s="10756"/>
      <c r="F53" s="10793"/>
      <c r="G53" s="10756"/>
      <c r="H53" s="10756"/>
      <c r="I53" s="10824"/>
      <c r="J53" s="10796"/>
      <c r="K53" s="10762"/>
      <c r="L53" s="10820"/>
      <c r="M53" s="10739"/>
      <c r="N53" s="10820"/>
      <c r="O53" s="10762"/>
      <c r="P53" s="10762"/>
      <c r="Q53" s="10763"/>
      <c r="R53" s="5177"/>
      <c r="S53" s="5217"/>
      <c r="T53" s="5217"/>
      <c r="U53" s="5255"/>
      <c r="V53" s="5286"/>
      <c r="W53" s="5307"/>
      <c r="X53" s="7485"/>
      <c r="Y53" s="7479"/>
      <c r="Z53" s="7479"/>
      <c r="AA53" s="7486"/>
      <c r="AB53" s="5329"/>
      <c r="AC53" s="1402"/>
      <c r="AD53" s="5307"/>
      <c r="AE53" s="5348"/>
      <c r="AF53" s="5348"/>
      <c r="AG53" s="10778"/>
      <c r="AH53" s="1758"/>
      <c r="AI53" s="1758"/>
      <c r="AJ53" s="1758"/>
      <c r="AK53" s="1758"/>
      <c r="AL53" s="1758"/>
      <c r="AM53" s="1758"/>
      <c r="AN53" s="1758"/>
      <c r="AO53" s="1758"/>
      <c r="AP53" s="1758"/>
      <c r="AQ53" s="1758"/>
      <c r="AR53" s="1758"/>
      <c r="AS53" s="1758"/>
      <c r="AT53" s="1758"/>
      <c r="AU53" s="1758"/>
      <c r="AV53" s="1758"/>
      <c r="AW53" s="1758"/>
      <c r="AX53" s="1758"/>
      <c r="AY53" s="1758"/>
      <c r="AZ53" s="1758"/>
      <c r="BA53" s="1758"/>
      <c r="BB53" s="1758"/>
      <c r="BC53" s="1758"/>
      <c r="BD53" s="1758"/>
      <c r="BE53" s="1758"/>
      <c r="BF53" s="1758"/>
      <c r="BG53" s="1758"/>
      <c r="BH53" s="1758"/>
      <c r="BI53" s="1758"/>
      <c r="BJ53" s="1758"/>
      <c r="BK53" s="1758"/>
      <c r="BL53" s="1758"/>
      <c r="BM53" s="1758"/>
      <c r="BN53" s="1758"/>
      <c r="BO53" s="1758"/>
      <c r="BP53" s="1758"/>
      <c r="BQ53" s="1758"/>
      <c r="BR53" s="1758"/>
      <c r="BS53" s="1758"/>
      <c r="BT53" s="1758"/>
      <c r="BU53" s="1758"/>
      <c r="BV53" s="1758"/>
      <c r="BW53" s="1758"/>
      <c r="BX53" s="1758"/>
      <c r="BY53" s="1758"/>
      <c r="BZ53" s="1758"/>
      <c r="CA53" s="1758"/>
      <c r="CB53" s="1758"/>
      <c r="CC53" s="1758"/>
      <c r="CD53" s="1758"/>
      <c r="CE53" s="1758"/>
      <c r="CF53" s="1758"/>
      <c r="CG53" s="1758"/>
      <c r="CH53" s="1758"/>
      <c r="CI53" s="1758"/>
      <c r="CJ53" s="1758"/>
      <c r="CK53" s="1758"/>
      <c r="CL53" s="1758"/>
      <c r="CM53" s="1758"/>
      <c r="CN53" s="1758"/>
      <c r="CO53" s="1758"/>
      <c r="CP53" s="1758"/>
      <c r="CQ53" s="1758"/>
      <c r="CR53" s="1758"/>
      <c r="CS53" s="1758"/>
      <c r="CT53" s="1758"/>
      <c r="CU53" s="1758"/>
      <c r="CV53" s="1758"/>
      <c r="CW53" s="1758"/>
      <c r="CX53" s="1758"/>
      <c r="CY53" s="1758"/>
      <c r="CZ53" s="1758"/>
      <c r="DA53" s="1758"/>
      <c r="DB53" s="1758"/>
      <c r="DC53" s="1758"/>
    </row>
    <row r="54" spans="1:107" s="1395" customFormat="1" ht="21.75" customHeight="1">
      <c r="A54" s="10813"/>
      <c r="B54" s="10757" t="s">
        <v>183</v>
      </c>
      <c r="C54" s="10756" t="s">
        <v>227</v>
      </c>
      <c r="D54" s="10756" t="s">
        <v>228</v>
      </c>
      <c r="E54" s="10756" t="s">
        <v>255</v>
      </c>
      <c r="F54" s="10793" t="s">
        <v>230</v>
      </c>
      <c r="G54" s="10756" t="s">
        <v>132</v>
      </c>
      <c r="H54" s="10756" t="s">
        <v>214</v>
      </c>
      <c r="I54" s="10756" t="s">
        <v>4779</v>
      </c>
      <c r="J54" s="10756" t="s">
        <v>4268</v>
      </c>
      <c r="K54" s="10762" t="s">
        <v>4780</v>
      </c>
      <c r="L54" s="10761">
        <v>0</v>
      </c>
      <c r="M54" s="10758">
        <v>1</v>
      </c>
      <c r="N54" s="10761">
        <v>1</v>
      </c>
      <c r="O54" s="10762" t="s">
        <v>4781</v>
      </c>
      <c r="P54" s="10762" t="s">
        <v>4782</v>
      </c>
      <c r="Q54" s="10763" t="s">
        <v>4763</v>
      </c>
      <c r="R54" s="5173"/>
      <c r="S54" s="5212"/>
      <c r="T54" s="5212"/>
      <c r="U54" s="5249"/>
      <c r="V54" s="5281"/>
      <c r="W54" s="5302"/>
      <c r="X54" s="7477"/>
      <c r="Y54" s="7477"/>
      <c r="Z54" s="7477"/>
      <c r="AA54" s="7478"/>
      <c r="AB54" s="5325"/>
      <c r="AC54" s="1398"/>
      <c r="AD54" s="5302"/>
      <c r="AE54" s="5349"/>
      <c r="AF54" s="5349"/>
      <c r="AG54" s="10777"/>
      <c r="AH54" s="1758"/>
      <c r="AI54" s="1758"/>
      <c r="AJ54" s="1758"/>
      <c r="AK54" s="1758"/>
      <c r="AL54" s="1758"/>
      <c r="AM54" s="1758"/>
      <c r="AN54" s="1758"/>
      <c r="AO54" s="1758"/>
      <c r="AP54" s="1758"/>
      <c r="AQ54" s="1758"/>
      <c r="AR54" s="1758"/>
      <c r="AS54" s="1758"/>
      <c r="AT54" s="1758"/>
      <c r="AU54" s="1758"/>
      <c r="AV54" s="1758"/>
      <c r="AW54" s="1758"/>
      <c r="AX54" s="1758"/>
      <c r="AY54" s="1758"/>
      <c r="AZ54" s="1758"/>
      <c r="BA54" s="1758"/>
      <c r="BB54" s="1758"/>
      <c r="BC54" s="1758"/>
      <c r="BD54" s="1758"/>
      <c r="BE54" s="1758"/>
      <c r="BF54" s="1758"/>
      <c r="BG54" s="1758"/>
      <c r="BH54" s="1758"/>
      <c r="BI54" s="1758"/>
      <c r="BJ54" s="1758"/>
      <c r="BK54" s="1758"/>
      <c r="BL54" s="1758"/>
      <c r="BM54" s="1758"/>
      <c r="BN54" s="1758"/>
      <c r="BO54" s="1758"/>
      <c r="BP54" s="1758"/>
      <c r="BQ54" s="1758"/>
      <c r="BR54" s="1758"/>
      <c r="BS54" s="1758"/>
      <c r="BT54" s="1758"/>
      <c r="BU54" s="1758"/>
      <c r="BV54" s="1758"/>
      <c r="BW54" s="1758"/>
      <c r="BX54" s="1758"/>
      <c r="BY54" s="1758"/>
      <c r="BZ54" s="1758"/>
      <c r="CA54" s="1758"/>
      <c r="CB54" s="1758"/>
      <c r="CC54" s="1758"/>
      <c r="CD54" s="1758"/>
      <c r="CE54" s="1758"/>
      <c r="CF54" s="1758"/>
      <c r="CG54" s="1758"/>
      <c r="CH54" s="1758"/>
      <c r="CI54" s="1758"/>
      <c r="CJ54" s="1758"/>
      <c r="CK54" s="1758"/>
      <c r="CL54" s="1758"/>
      <c r="CM54" s="1758"/>
      <c r="CN54" s="1758"/>
      <c r="CO54" s="1758"/>
      <c r="CP54" s="1758"/>
      <c r="CQ54" s="1758"/>
      <c r="CR54" s="1758"/>
      <c r="CS54" s="1758"/>
      <c r="CT54" s="1758"/>
      <c r="CU54" s="1758"/>
      <c r="CV54" s="1758"/>
      <c r="CW54" s="1758"/>
      <c r="CX54" s="1758"/>
      <c r="CY54" s="1758"/>
      <c r="CZ54" s="1758"/>
      <c r="DA54" s="1758"/>
      <c r="DB54" s="1758"/>
      <c r="DC54" s="1758"/>
    </row>
    <row r="55" spans="1:107" s="1395" customFormat="1" ht="21.75" customHeight="1">
      <c r="A55" s="10813"/>
      <c r="B55" s="10757"/>
      <c r="C55" s="10756"/>
      <c r="D55" s="10756"/>
      <c r="E55" s="10756"/>
      <c r="F55" s="10793"/>
      <c r="G55" s="10756"/>
      <c r="H55" s="10756"/>
      <c r="I55" s="10756"/>
      <c r="J55" s="10756"/>
      <c r="K55" s="10762"/>
      <c r="L55" s="10761"/>
      <c r="M55" s="10759"/>
      <c r="N55" s="10761"/>
      <c r="O55" s="10762"/>
      <c r="P55" s="10762"/>
      <c r="Q55" s="10763"/>
      <c r="R55" s="5171"/>
      <c r="S55" s="5213"/>
      <c r="T55" s="5213"/>
      <c r="U55" s="5247"/>
      <c r="V55" s="5279"/>
      <c r="W55" s="5300"/>
      <c r="X55" s="7473"/>
      <c r="Y55" s="7473"/>
      <c r="Z55" s="7473"/>
      <c r="AA55" s="7474"/>
      <c r="AB55" s="5323"/>
      <c r="AC55" s="1396"/>
      <c r="AD55" s="5300"/>
      <c r="AE55" s="5346"/>
      <c r="AF55" s="5346"/>
      <c r="AG55" s="10777"/>
      <c r="AH55" s="1758"/>
      <c r="AI55" s="1758"/>
      <c r="AJ55" s="1758"/>
      <c r="AK55" s="1758"/>
      <c r="AL55" s="1758"/>
      <c r="AM55" s="1758"/>
      <c r="AN55" s="1758"/>
      <c r="AO55" s="1758"/>
      <c r="AP55" s="1758"/>
      <c r="AQ55" s="1758"/>
      <c r="AR55" s="1758"/>
      <c r="AS55" s="1758"/>
      <c r="AT55" s="1758"/>
      <c r="AU55" s="1758"/>
      <c r="AV55" s="1758"/>
      <c r="AW55" s="1758"/>
      <c r="AX55" s="1758"/>
      <c r="AY55" s="1758"/>
      <c r="AZ55" s="1758"/>
      <c r="BA55" s="1758"/>
      <c r="BB55" s="1758"/>
      <c r="BC55" s="1758"/>
      <c r="BD55" s="1758"/>
      <c r="BE55" s="1758"/>
      <c r="BF55" s="1758"/>
      <c r="BG55" s="1758"/>
      <c r="BH55" s="1758"/>
      <c r="BI55" s="1758"/>
      <c r="BJ55" s="1758"/>
      <c r="BK55" s="1758"/>
      <c r="BL55" s="1758"/>
      <c r="BM55" s="1758"/>
      <c r="BN55" s="1758"/>
      <c r="BO55" s="1758"/>
      <c r="BP55" s="1758"/>
      <c r="BQ55" s="1758"/>
      <c r="BR55" s="1758"/>
      <c r="BS55" s="1758"/>
      <c r="BT55" s="1758"/>
      <c r="BU55" s="1758"/>
      <c r="BV55" s="1758"/>
      <c r="BW55" s="1758"/>
      <c r="BX55" s="1758"/>
      <c r="BY55" s="1758"/>
      <c r="BZ55" s="1758"/>
      <c r="CA55" s="1758"/>
      <c r="CB55" s="1758"/>
      <c r="CC55" s="1758"/>
      <c r="CD55" s="1758"/>
      <c r="CE55" s="1758"/>
      <c r="CF55" s="1758"/>
      <c r="CG55" s="1758"/>
      <c r="CH55" s="1758"/>
      <c r="CI55" s="1758"/>
      <c r="CJ55" s="1758"/>
      <c r="CK55" s="1758"/>
      <c r="CL55" s="1758"/>
      <c r="CM55" s="1758"/>
      <c r="CN55" s="1758"/>
      <c r="CO55" s="1758"/>
      <c r="CP55" s="1758"/>
      <c r="CQ55" s="1758"/>
      <c r="CR55" s="1758"/>
      <c r="CS55" s="1758"/>
      <c r="CT55" s="1758"/>
      <c r="CU55" s="1758"/>
      <c r="CV55" s="1758"/>
      <c r="CW55" s="1758"/>
      <c r="CX55" s="1758"/>
      <c r="CY55" s="1758"/>
      <c r="CZ55" s="1758"/>
      <c r="DA55" s="1758"/>
      <c r="DB55" s="1758"/>
      <c r="DC55" s="1758"/>
    </row>
    <row r="56" spans="1:107" s="1395" customFormat="1" ht="21.75" customHeight="1">
      <c r="A56" s="10813"/>
      <c r="B56" s="10757"/>
      <c r="C56" s="10756"/>
      <c r="D56" s="10756"/>
      <c r="E56" s="10756"/>
      <c r="F56" s="10793"/>
      <c r="G56" s="10756"/>
      <c r="H56" s="10756"/>
      <c r="I56" s="10756"/>
      <c r="J56" s="10756"/>
      <c r="K56" s="10762"/>
      <c r="L56" s="10761"/>
      <c r="M56" s="10759"/>
      <c r="N56" s="10761"/>
      <c r="O56" s="10762"/>
      <c r="P56" s="10762"/>
      <c r="Q56" s="10763"/>
      <c r="R56" s="5174"/>
      <c r="S56" s="5214"/>
      <c r="T56" s="5214"/>
      <c r="U56" s="5250"/>
      <c r="V56" s="5281"/>
      <c r="W56" s="5302"/>
      <c r="X56" s="7477"/>
      <c r="Y56" s="7473"/>
      <c r="Z56" s="7473"/>
      <c r="AA56" s="7474"/>
      <c r="AB56" s="5323"/>
      <c r="AC56" s="1396"/>
      <c r="AD56" s="5300"/>
      <c r="AE56" s="5346"/>
      <c r="AF56" s="5346"/>
      <c r="AG56" s="10777"/>
      <c r="AH56" s="1758"/>
      <c r="AI56" s="1758"/>
      <c r="AJ56" s="1758"/>
      <c r="AK56" s="1758"/>
      <c r="AL56" s="1758"/>
      <c r="AM56" s="1758"/>
      <c r="AN56" s="1758"/>
      <c r="AO56" s="1758"/>
      <c r="AP56" s="1758"/>
      <c r="AQ56" s="1758"/>
      <c r="AR56" s="1758"/>
      <c r="AS56" s="1758"/>
      <c r="AT56" s="1758"/>
      <c r="AU56" s="1758"/>
      <c r="AV56" s="1758"/>
      <c r="AW56" s="1758"/>
      <c r="AX56" s="1758"/>
      <c r="AY56" s="1758"/>
      <c r="AZ56" s="1758"/>
      <c r="BA56" s="1758"/>
      <c r="BB56" s="1758"/>
      <c r="BC56" s="1758"/>
      <c r="BD56" s="1758"/>
      <c r="BE56" s="1758"/>
      <c r="BF56" s="1758"/>
      <c r="BG56" s="1758"/>
      <c r="BH56" s="1758"/>
      <c r="BI56" s="1758"/>
      <c r="BJ56" s="1758"/>
      <c r="BK56" s="1758"/>
      <c r="BL56" s="1758"/>
      <c r="BM56" s="1758"/>
      <c r="BN56" s="1758"/>
      <c r="BO56" s="1758"/>
      <c r="BP56" s="1758"/>
      <c r="BQ56" s="1758"/>
      <c r="BR56" s="1758"/>
      <c r="BS56" s="1758"/>
      <c r="BT56" s="1758"/>
      <c r="BU56" s="1758"/>
      <c r="BV56" s="1758"/>
      <c r="BW56" s="1758"/>
      <c r="BX56" s="1758"/>
      <c r="BY56" s="1758"/>
      <c r="BZ56" s="1758"/>
      <c r="CA56" s="1758"/>
      <c r="CB56" s="1758"/>
      <c r="CC56" s="1758"/>
      <c r="CD56" s="1758"/>
      <c r="CE56" s="1758"/>
      <c r="CF56" s="1758"/>
      <c r="CG56" s="1758"/>
      <c r="CH56" s="1758"/>
      <c r="CI56" s="1758"/>
      <c r="CJ56" s="1758"/>
      <c r="CK56" s="1758"/>
      <c r="CL56" s="1758"/>
      <c r="CM56" s="1758"/>
      <c r="CN56" s="1758"/>
      <c r="CO56" s="1758"/>
      <c r="CP56" s="1758"/>
      <c r="CQ56" s="1758"/>
      <c r="CR56" s="1758"/>
      <c r="CS56" s="1758"/>
      <c r="CT56" s="1758"/>
      <c r="CU56" s="1758"/>
      <c r="CV56" s="1758"/>
      <c r="CW56" s="1758"/>
      <c r="CX56" s="1758"/>
      <c r="CY56" s="1758"/>
      <c r="CZ56" s="1758"/>
      <c r="DA56" s="1758"/>
      <c r="DB56" s="1758"/>
      <c r="DC56" s="1758"/>
    </row>
    <row r="57" spans="1:107" s="1395" customFormat="1" ht="21.75" customHeight="1">
      <c r="A57" s="10813"/>
      <c r="B57" s="10757"/>
      <c r="C57" s="10756"/>
      <c r="D57" s="10756"/>
      <c r="E57" s="10756"/>
      <c r="F57" s="10793"/>
      <c r="G57" s="10756"/>
      <c r="H57" s="10756"/>
      <c r="I57" s="10756"/>
      <c r="J57" s="10756"/>
      <c r="K57" s="10762"/>
      <c r="L57" s="10761"/>
      <c r="M57" s="10759"/>
      <c r="N57" s="10761"/>
      <c r="O57" s="10762"/>
      <c r="P57" s="10762"/>
      <c r="Q57" s="10763"/>
      <c r="R57" s="5173"/>
      <c r="S57" s="5212"/>
      <c r="T57" s="5212"/>
      <c r="U57" s="5250"/>
      <c r="V57" s="5281"/>
      <c r="W57" s="5302"/>
      <c r="X57" s="7477"/>
      <c r="Y57" s="7473"/>
      <c r="Z57" s="7473"/>
      <c r="AA57" s="7474"/>
      <c r="AB57" s="5323"/>
      <c r="AC57" s="1396"/>
      <c r="AD57" s="5300"/>
      <c r="AE57" s="5346"/>
      <c r="AF57" s="5346"/>
      <c r="AG57" s="10777"/>
      <c r="AH57" s="1758"/>
      <c r="AI57" s="1758"/>
      <c r="AJ57" s="1758"/>
      <c r="AK57" s="1758"/>
      <c r="AL57" s="1758"/>
      <c r="AM57" s="1758"/>
      <c r="AN57" s="1758"/>
      <c r="AO57" s="1758"/>
      <c r="AP57" s="1758"/>
      <c r="AQ57" s="1758"/>
      <c r="AR57" s="1758"/>
      <c r="AS57" s="1758"/>
      <c r="AT57" s="1758"/>
      <c r="AU57" s="1758"/>
      <c r="AV57" s="1758"/>
      <c r="AW57" s="1758"/>
      <c r="AX57" s="1758"/>
      <c r="AY57" s="1758"/>
      <c r="AZ57" s="1758"/>
      <c r="BA57" s="1758"/>
      <c r="BB57" s="1758"/>
      <c r="BC57" s="1758"/>
      <c r="BD57" s="1758"/>
      <c r="BE57" s="1758"/>
      <c r="BF57" s="1758"/>
      <c r="BG57" s="1758"/>
      <c r="BH57" s="1758"/>
      <c r="BI57" s="1758"/>
      <c r="BJ57" s="1758"/>
      <c r="BK57" s="1758"/>
      <c r="BL57" s="1758"/>
      <c r="BM57" s="1758"/>
      <c r="BN57" s="1758"/>
      <c r="BO57" s="1758"/>
      <c r="BP57" s="1758"/>
      <c r="BQ57" s="1758"/>
      <c r="BR57" s="1758"/>
      <c r="BS57" s="1758"/>
      <c r="BT57" s="1758"/>
      <c r="BU57" s="1758"/>
      <c r="BV57" s="1758"/>
      <c r="BW57" s="1758"/>
      <c r="BX57" s="1758"/>
      <c r="BY57" s="1758"/>
      <c r="BZ57" s="1758"/>
      <c r="CA57" s="1758"/>
      <c r="CB57" s="1758"/>
      <c r="CC57" s="1758"/>
      <c r="CD57" s="1758"/>
      <c r="CE57" s="1758"/>
      <c r="CF57" s="1758"/>
      <c r="CG57" s="1758"/>
      <c r="CH57" s="1758"/>
      <c r="CI57" s="1758"/>
      <c r="CJ57" s="1758"/>
      <c r="CK57" s="1758"/>
      <c r="CL57" s="1758"/>
      <c r="CM57" s="1758"/>
      <c r="CN57" s="1758"/>
      <c r="CO57" s="1758"/>
      <c r="CP57" s="1758"/>
      <c r="CQ57" s="1758"/>
      <c r="CR57" s="1758"/>
      <c r="CS57" s="1758"/>
      <c r="CT57" s="1758"/>
      <c r="CU57" s="1758"/>
      <c r="CV57" s="1758"/>
      <c r="CW57" s="1758"/>
      <c r="CX57" s="1758"/>
      <c r="CY57" s="1758"/>
      <c r="CZ57" s="1758"/>
      <c r="DA57" s="1758"/>
      <c r="DB57" s="1758"/>
      <c r="DC57" s="1758"/>
    </row>
    <row r="58" spans="1:107" s="1395" customFormat="1" ht="21.75" customHeight="1">
      <c r="A58" s="10813"/>
      <c r="B58" s="10757"/>
      <c r="C58" s="10756"/>
      <c r="D58" s="10756"/>
      <c r="E58" s="10756"/>
      <c r="F58" s="10793"/>
      <c r="G58" s="10756"/>
      <c r="H58" s="10756"/>
      <c r="I58" s="10756"/>
      <c r="J58" s="10756"/>
      <c r="K58" s="10762"/>
      <c r="L58" s="10761"/>
      <c r="M58" s="10760"/>
      <c r="N58" s="10761"/>
      <c r="O58" s="10762"/>
      <c r="P58" s="10762"/>
      <c r="Q58" s="10763"/>
      <c r="R58" s="5175"/>
      <c r="S58" s="5215"/>
      <c r="T58" s="5215"/>
      <c r="U58" s="5251"/>
      <c r="V58" s="5282"/>
      <c r="W58" s="5303"/>
      <c r="X58" s="7479"/>
      <c r="Y58" s="7479"/>
      <c r="Z58" s="7479"/>
      <c r="AA58" s="7480"/>
      <c r="AB58" s="5326"/>
      <c r="AC58" s="1399"/>
      <c r="AD58" s="5303"/>
      <c r="AE58" s="5348"/>
      <c r="AF58" s="5348"/>
      <c r="AG58" s="10778"/>
      <c r="AH58" s="1758"/>
      <c r="AI58" s="1758"/>
      <c r="AJ58" s="1758"/>
      <c r="AK58" s="1758"/>
      <c r="AL58" s="1758"/>
      <c r="AM58" s="1758"/>
      <c r="AN58" s="1758"/>
      <c r="AO58" s="1758"/>
      <c r="AP58" s="1758"/>
      <c r="AQ58" s="1758"/>
      <c r="AR58" s="1758"/>
      <c r="AS58" s="1758"/>
      <c r="AT58" s="1758"/>
      <c r="AU58" s="1758"/>
      <c r="AV58" s="1758"/>
      <c r="AW58" s="1758"/>
      <c r="AX58" s="1758"/>
      <c r="AY58" s="1758"/>
      <c r="AZ58" s="1758"/>
      <c r="BA58" s="1758"/>
      <c r="BB58" s="1758"/>
      <c r="BC58" s="1758"/>
      <c r="BD58" s="1758"/>
      <c r="BE58" s="1758"/>
      <c r="BF58" s="1758"/>
      <c r="BG58" s="1758"/>
      <c r="BH58" s="1758"/>
      <c r="BI58" s="1758"/>
      <c r="BJ58" s="1758"/>
      <c r="BK58" s="1758"/>
      <c r="BL58" s="1758"/>
      <c r="BM58" s="1758"/>
      <c r="BN58" s="1758"/>
      <c r="BO58" s="1758"/>
      <c r="BP58" s="1758"/>
      <c r="BQ58" s="1758"/>
      <c r="BR58" s="1758"/>
      <c r="BS58" s="1758"/>
      <c r="BT58" s="1758"/>
      <c r="BU58" s="1758"/>
      <c r="BV58" s="1758"/>
      <c r="BW58" s="1758"/>
      <c r="BX58" s="1758"/>
      <c r="BY58" s="1758"/>
      <c r="BZ58" s="1758"/>
      <c r="CA58" s="1758"/>
      <c r="CB58" s="1758"/>
      <c r="CC58" s="1758"/>
      <c r="CD58" s="1758"/>
      <c r="CE58" s="1758"/>
      <c r="CF58" s="1758"/>
      <c r="CG58" s="1758"/>
      <c r="CH58" s="1758"/>
      <c r="CI58" s="1758"/>
      <c r="CJ58" s="1758"/>
      <c r="CK58" s="1758"/>
      <c r="CL58" s="1758"/>
      <c r="CM58" s="1758"/>
      <c r="CN58" s="1758"/>
      <c r="CO58" s="1758"/>
      <c r="CP58" s="1758"/>
      <c r="CQ58" s="1758"/>
      <c r="CR58" s="1758"/>
      <c r="CS58" s="1758"/>
      <c r="CT58" s="1758"/>
      <c r="CU58" s="1758"/>
      <c r="CV58" s="1758"/>
      <c r="CW58" s="1758"/>
      <c r="CX58" s="1758"/>
      <c r="CY58" s="1758"/>
      <c r="CZ58" s="1758"/>
      <c r="DA58" s="1758"/>
      <c r="DB58" s="1758"/>
      <c r="DC58" s="1758"/>
    </row>
    <row r="59" spans="1:107" s="1395" customFormat="1" ht="33.75" customHeight="1">
      <c r="A59" s="10813"/>
      <c r="B59" s="10757" t="s">
        <v>127</v>
      </c>
      <c r="C59" s="10756" t="s">
        <v>128</v>
      </c>
      <c r="D59" s="10756" t="s">
        <v>129</v>
      </c>
      <c r="E59" s="10756" t="s">
        <v>268</v>
      </c>
      <c r="F59" s="10793" t="s">
        <v>131</v>
      </c>
      <c r="G59" s="10756" t="s">
        <v>132</v>
      </c>
      <c r="H59" s="10756" t="s">
        <v>159</v>
      </c>
      <c r="I59" s="10825" t="s">
        <v>4783</v>
      </c>
      <c r="J59" s="10796" t="s">
        <v>4784</v>
      </c>
      <c r="K59" s="10762" t="s">
        <v>4736</v>
      </c>
      <c r="L59" s="10761">
        <v>0</v>
      </c>
      <c r="M59" s="10758">
        <v>1</v>
      </c>
      <c r="N59" s="10761">
        <v>1</v>
      </c>
      <c r="O59" s="10762" t="s">
        <v>4785</v>
      </c>
      <c r="P59" s="10762" t="s">
        <v>4786</v>
      </c>
      <c r="Q59" s="10763" t="s">
        <v>4787</v>
      </c>
      <c r="R59" s="5173"/>
      <c r="S59" s="5212"/>
      <c r="T59" s="5212"/>
      <c r="U59" s="5249"/>
      <c r="V59" s="5281"/>
      <c r="W59" s="5302"/>
      <c r="X59" s="7477"/>
      <c r="Y59" s="7477"/>
      <c r="Z59" s="7477"/>
      <c r="AA59" s="7478"/>
      <c r="AB59" s="5325"/>
      <c r="AC59" s="1398"/>
      <c r="AD59" s="5302"/>
      <c r="AE59" s="5351"/>
      <c r="AF59" s="5351"/>
      <c r="AG59" s="10777"/>
      <c r="AH59" s="1758"/>
      <c r="AI59" s="1758"/>
      <c r="AJ59" s="1758"/>
      <c r="AK59" s="1758"/>
      <c r="AL59" s="1758"/>
      <c r="AM59" s="1758"/>
      <c r="AN59" s="1758"/>
      <c r="AO59" s="1758"/>
      <c r="AP59" s="1758"/>
      <c r="AQ59" s="1758"/>
      <c r="AR59" s="1758"/>
      <c r="AS59" s="1758"/>
      <c r="AT59" s="1758"/>
      <c r="AU59" s="1758"/>
      <c r="AV59" s="1758"/>
      <c r="AW59" s="1758"/>
      <c r="AX59" s="1758"/>
      <c r="AY59" s="1758"/>
      <c r="AZ59" s="1758"/>
      <c r="BA59" s="1758"/>
      <c r="BB59" s="1758"/>
      <c r="BC59" s="1758"/>
      <c r="BD59" s="1758"/>
      <c r="BE59" s="1758"/>
      <c r="BF59" s="1758"/>
      <c r="BG59" s="1758"/>
      <c r="BH59" s="1758"/>
      <c r="BI59" s="1758"/>
      <c r="BJ59" s="1758"/>
      <c r="BK59" s="1758"/>
      <c r="BL59" s="1758"/>
      <c r="BM59" s="1758"/>
      <c r="BN59" s="1758"/>
      <c r="BO59" s="1758"/>
      <c r="BP59" s="1758"/>
      <c r="BQ59" s="1758"/>
      <c r="BR59" s="1758"/>
      <c r="BS59" s="1758"/>
      <c r="BT59" s="1758"/>
      <c r="BU59" s="1758"/>
      <c r="BV59" s="1758"/>
      <c r="BW59" s="1758"/>
      <c r="BX59" s="1758"/>
      <c r="BY59" s="1758"/>
      <c r="BZ59" s="1758"/>
      <c r="CA59" s="1758"/>
      <c r="CB59" s="1758"/>
      <c r="CC59" s="1758"/>
      <c r="CD59" s="1758"/>
      <c r="CE59" s="1758"/>
      <c r="CF59" s="1758"/>
      <c r="CG59" s="1758"/>
      <c r="CH59" s="1758"/>
      <c r="CI59" s="1758"/>
      <c r="CJ59" s="1758"/>
      <c r="CK59" s="1758"/>
      <c r="CL59" s="1758"/>
      <c r="CM59" s="1758"/>
      <c r="CN59" s="1758"/>
      <c r="CO59" s="1758"/>
      <c r="CP59" s="1758"/>
      <c r="CQ59" s="1758"/>
      <c r="CR59" s="1758"/>
      <c r="CS59" s="1758"/>
      <c r="CT59" s="1758"/>
      <c r="CU59" s="1758"/>
      <c r="CV59" s="1758"/>
      <c r="CW59" s="1758"/>
      <c r="CX59" s="1758"/>
      <c r="CY59" s="1758"/>
      <c r="CZ59" s="1758"/>
      <c r="DA59" s="1758"/>
      <c r="DB59" s="1758"/>
      <c r="DC59" s="1758"/>
    </row>
    <row r="60" spans="1:107" s="1395" customFormat="1" ht="33.75" customHeight="1">
      <c r="A60" s="10813"/>
      <c r="B60" s="10757"/>
      <c r="C60" s="10756"/>
      <c r="D60" s="10756"/>
      <c r="E60" s="10756"/>
      <c r="F60" s="10793"/>
      <c r="G60" s="10756"/>
      <c r="H60" s="10756"/>
      <c r="I60" s="10825"/>
      <c r="J60" s="10796"/>
      <c r="K60" s="10762"/>
      <c r="L60" s="10761"/>
      <c r="M60" s="10759"/>
      <c r="N60" s="10761"/>
      <c r="O60" s="10762"/>
      <c r="P60" s="10762"/>
      <c r="Q60" s="10763"/>
      <c r="R60" s="5171"/>
      <c r="S60" s="5213"/>
      <c r="T60" s="5213"/>
      <c r="U60" s="5247"/>
      <c r="V60" s="5279"/>
      <c r="W60" s="5300"/>
      <c r="X60" s="7473"/>
      <c r="Y60" s="7473"/>
      <c r="Z60" s="7473"/>
      <c r="AA60" s="7474"/>
      <c r="AB60" s="5323"/>
      <c r="AC60" s="1396"/>
      <c r="AD60" s="5300"/>
      <c r="AE60" s="5300"/>
      <c r="AF60" s="5352"/>
      <c r="AG60" s="10777"/>
      <c r="AH60" s="1758"/>
      <c r="AI60" s="1758"/>
      <c r="AJ60" s="1758"/>
      <c r="AK60" s="1758"/>
      <c r="AL60" s="1758"/>
      <c r="AM60" s="1758"/>
      <c r="AN60" s="1758"/>
      <c r="AO60" s="1758"/>
      <c r="AP60" s="1758"/>
      <c r="AQ60" s="1758"/>
      <c r="AR60" s="1758"/>
      <c r="AS60" s="1758"/>
      <c r="AT60" s="1758"/>
      <c r="AU60" s="1758"/>
      <c r="AV60" s="1758"/>
      <c r="AW60" s="1758"/>
      <c r="AX60" s="1758"/>
      <c r="AY60" s="1758"/>
      <c r="AZ60" s="1758"/>
      <c r="BA60" s="1758"/>
      <c r="BB60" s="1758"/>
      <c r="BC60" s="1758"/>
      <c r="BD60" s="1758"/>
      <c r="BE60" s="1758"/>
      <c r="BF60" s="1758"/>
      <c r="BG60" s="1758"/>
      <c r="BH60" s="1758"/>
      <c r="BI60" s="1758"/>
      <c r="BJ60" s="1758"/>
      <c r="BK60" s="1758"/>
      <c r="BL60" s="1758"/>
      <c r="BM60" s="1758"/>
      <c r="BN60" s="1758"/>
      <c r="BO60" s="1758"/>
      <c r="BP60" s="1758"/>
      <c r="BQ60" s="1758"/>
      <c r="BR60" s="1758"/>
      <c r="BS60" s="1758"/>
      <c r="BT60" s="1758"/>
      <c r="BU60" s="1758"/>
      <c r="BV60" s="1758"/>
      <c r="BW60" s="1758"/>
      <c r="BX60" s="1758"/>
      <c r="BY60" s="1758"/>
      <c r="BZ60" s="1758"/>
      <c r="CA60" s="1758"/>
      <c r="CB60" s="1758"/>
      <c r="CC60" s="1758"/>
      <c r="CD60" s="1758"/>
      <c r="CE60" s="1758"/>
      <c r="CF60" s="1758"/>
      <c r="CG60" s="1758"/>
      <c r="CH60" s="1758"/>
      <c r="CI60" s="1758"/>
      <c r="CJ60" s="1758"/>
      <c r="CK60" s="1758"/>
      <c r="CL60" s="1758"/>
      <c r="CM60" s="1758"/>
      <c r="CN60" s="1758"/>
      <c r="CO60" s="1758"/>
      <c r="CP60" s="1758"/>
      <c r="CQ60" s="1758"/>
      <c r="CR60" s="1758"/>
      <c r="CS60" s="1758"/>
      <c r="CT60" s="1758"/>
      <c r="CU60" s="1758"/>
      <c r="CV60" s="1758"/>
      <c r="CW60" s="1758"/>
      <c r="CX60" s="1758"/>
      <c r="CY60" s="1758"/>
      <c r="CZ60" s="1758"/>
      <c r="DA60" s="1758"/>
      <c r="DB60" s="1758"/>
      <c r="DC60" s="1758"/>
    </row>
    <row r="61" spans="1:107" s="1395" customFormat="1" ht="33.75" customHeight="1">
      <c r="A61" s="10813"/>
      <c r="B61" s="10757"/>
      <c r="C61" s="10756"/>
      <c r="D61" s="10756"/>
      <c r="E61" s="10756"/>
      <c r="F61" s="10793"/>
      <c r="G61" s="10756"/>
      <c r="H61" s="10756"/>
      <c r="I61" s="10825"/>
      <c r="J61" s="10796"/>
      <c r="K61" s="10762"/>
      <c r="L61" s="10761"/>
      <c r="M61" s="10759"/>
      <c r="N61" s="10761"/>
      <c r="O61" s="10762"/>
      <c r="P61" s="10762"/>
      <c r="Q61" s="10763"/>
      <c r="R61" s="5171"/>
      <c r="S61" s="5213"/>
      <c r="T61" s="5213"/>
      <c r="U61" s="5247"/>
      <c r="V61" s="5279"/>
      <c r="W61" s="5300"/>
      <c r="X61" s="7473"/>
      <c r="Y61" s="7473"/>
      <c r="Z61" s="7473"/>
      <c r="AA61" s="7474"/>
      <c r="AB61" s="5323"/>
      <c r="AC61" s="1396"/>
      <c r="AD61" s="5300"/>
      <c r="AE61" s="5300"/>
      <c r="AF61" s="5346"/>
      <c r="AG61" s="10777"/>
      <c r="AH61" s="1758"/>
      <c r="AI61" s="1758"/>
      <c r="AJ61" s="1758"/>
      <c r="AK61" s="1758"/>
      <c r="AL61" s="1758"/>
      <c r="AM61" s="1758"/>
      <c r="AN61" s="1758"/>
      <c r="AO61" s="1758"/>
      <c r="AP61" s="1758"/>
      <c r="AQ61" s="1758"/>
      <c r="AR61" s="1758"/>
      <c r="AS61" s="1758"/>
      <c r="AT61" s="1758"/>
      <c r="AU61" s="1758"/>
      <c r="AV61" s="1758"/>
      <c r="AW61" s="1758"/>
      <c r="AX61" s="1758"/>
      <c r="AY61" s="1758"/>
      <c r="AZ61" s="1758"/>
      <c r="BA61" s="1758"/>
      <c r="BB61" s="1758"/>
      <c r="BC61" s="1758"/>
      <c r="BD61" s="1758"/>
      <c r="BE61" s="1758"/>
      <c r="BF61" s="1758"/>
      <c r="BG61" s="1758"/>
      <c r="BH61" s="1758"/>
      <c r="BI61" s="1758"/>
      <c r="BJ61" s="1758"/>
      <c r="BK61" s="1758"/>
      <c r="BL61" s="1758"/>
      <c r="BM61" s="1758"/>
      <c r="BN61" s="1758"/>
      <c r="BO61" s="1758"/>
      <c r="BP61" s="1758"/>
      <c r="BQ61" s="1758"/>
      <c r="BR61" s="1758"/>
      <c r="BS61" s="1758"/>
      <c r="BT61" s="1758"/>
      <c r="BU61" s="1758"/>
      <c r="BV61" s="1758"/>
      <c r="BW61" s="1758"/>
      <c r="BX61" s="1758"/>
      <c r="BY61" s="1758"/>
      <c r="BZ61" s="1758"/>
      <c r="CA61" s="1758"/>
      <c r="CB61" s="1758"/>
      <c r="CC61" s="1758"/>
      <c r="CD61" s="1758"/>
      <c r="CE61" s="1758"/>
      <c r="CF61" s="1758"/>
      <c r="CG61" s="1758"/>
      <c r="CH61" s="1758"/>
      <c r="CI61" s="1758"/>
      <c r="CJ61" s="1758"/>
      <c r="CK61" s="1758"/>
      <c r="CL61" s="1758"/>
      <c r="CM61" s="1758"/>
      <c r="CN61" s="1758"/>
      <c r="CO61" s="1758"/>
      <c r="CP61" s="1758"/>
      <c r="CQ61" s="1758"/>
      <c r="CR61" s="1758"/>
      <c r="CS61" s="1758"/>
      <c r="CT61" s="1758"/>
      <c r="CU61" s="1758"/>
      <c r="CV61" s="1758"/>
      <c r="CW61" s="1758"/>
      <c r="CX61" s="1758"/>
      <c r="CY61" s="1758"/>
      <c r="CZ61" s="1758"/>
      <c r="DA61" s="1758"/>
      <c r="DB61" s="1758"/>
      <c r="DC61" s="1758"/>
    </row>
    <row r="62" spans="1:107" s="1395" customFormat="1" ht="33.75" customHeight="1">
      <c r="A62" s="10813"/>
      <c r="B62" s="10757"/>
      <c r="C62" s="10756"/>
      <c r="D62" s="10756"/>
      <c r="E62" s="10756"/>
      <c r="F62" s="10793"/>
      <c r="G62" s="10756"/>
      <c r="H62" s="10756"/>
      <c r="I62" s="10825"/>
      <c r="J62" s="10796"/>
      <c r="K62" s="10762"/>
      <c r="L62" s="10761"/>
      <c r="M62" s="10759"/>
      <c r="N62" s="10761"/>
      <c r="O62" s="10762"/>
      <c r="P62" s="10762"/>
      <c r="Q62" s="10763"/>
      <c r="R62" s="5171"/>
      <c r="S62" s="5213"/>
      <c r="T62" s="5213"/>
      <c r="U62" s="5247"/>
      <c r="V62" s="5279"/>
      <c r="W62" s="5300"/>
      <c r="X62" s="7473"/>
      <c r="Y62" s="7473"/>
      <c r="Z62" s="7473"/>
      <c r="AA62" s="7474"/>
      <c r="AB62" s="5323"/>
      <c r="AC62" s="1396"/>
      <c r="AD62" s="5300"/>
      <c r="AE62" s="5300"/>
      <c r="AF62" s="5346"/>
      <c r="AG62" s="10777"/>
      <c r="AH62" s="1758"/>
      <c r="AI62" s="1758"/>
      <c r="AJ62" s="1758"/>
      <c r="AK62" s="1758"/>
      <c r="AL62" s="1758"/>
      <c r="AM62" s="1758"/>
      <c r="AN62" s="1758"/>
      <c r="AO62" s="1758"/>
      <c r="AP62" s="1758"/>
      <c r="AQ62" s="1758"/>
      <c r="AR62" s="1758"/>
      <c r="AS62" s="1758"/>
      <c r="AT62" s="1758"/>
      <c r="AU62" s="1758"/>
      <c r="AV62" s="1758"/>
      <c r="AW62" s="1758"/>
      <c r="AX62" s="1758"/>
      <c r="AY62" s="1758"/>
      <c r="AZ62" s="1758"/>
      <c r="BA62" s="1758"/>
      <c r="BB62" s="1758"/>
      <c r="BC62" s="1758"/>
      <c r="BD62" s="1758"/>
      <c r="BE62" s="1758"/>
      <c r="BF62" s="1758"/>
      <c r="BG62" s="1758"/>
      <c r="BH62" s="1758"/>
      <c r="BI62" s="1758"/>
      <c r="BJ62" s="1758"/>
      <c r="BK62" s="1758"/>
      <c r="BL62" s="1758"/>
      <c r="BM62" s="1758"/>
      <c r="BN62" s="1758"/>
      <c r="BO62" s="1758"/>
      <c r="BP62" s="1758"/>
      <c r="BQ62" s="1758"/>
      <c r="BR62" s="1758"/>
      <c r="BS62" s="1758"/>
      <c r="BT62" s="1758"/>
      <c r="BU62" s="1758"/>
      <c r="BV62" s="1758"/>
      <c r="BW62" s="1758"/>
      <c r="BX62" s="1758"/>
      <c r="BY62" s="1758"/>
      <c r="BZ62" s="1758"/>
      <c r="CA62" s="1758"/>
      <c r="CB62" s="1758"/>
      <c r="CC62" s="1758"/>
      <c r="CD62" s="1758"/>
      <c r="CE62" s="1758"/>
      <c r="CF62" s="1758"/>
      <c r="CG62" s="1758"/>
      <c r="CH62" s="1758"/>
      <c r="CI62" s="1758"/>
      <c r="CJ62" s="1758"/>
      <c r="CK62" s="1758"/>
      <c r="CL62" s="1758"/>
      <c r="CM62" s="1758"/>
      <c r="CN62" s="1758"/>
      <c r="CO62" s="1758"/>
      <c r="CP62" s="1758"/>
      <c r="CQ62" s="1758"/>
      <c r="CR62" s="1758"/>
      <c r="CS62" s="1758"/>
      <c r="CT62" s="1758"/>
      <c r="CU62" s="1758"/>
      <c r="CV62" s="1758"/>
      <c r="CW62" s="1758"/>
      <c r="CX62" s="1758"/>
      <c r="CY62" s="1758"/>
      <c r="CZ62" s="1758"/>
      <c r="DA62" s="1758"/>
      <c r="DB62" s="1758"/>
      <c r="DC62" s="1758"/>
    </row>
    <row r="63" spans="1:107" s="1395" customFormat="1" ht="33.75" customHeight="1">
      <c r="A63" s="10813"/>
      <c r="B63" s="10757"/>
      <c r="C63" s="10756"/>
      <c r="D63" s="10756"/>
      <c r="E63" s="10756"/>
      <c r="F63" s="10793"/>
      <c r="G63" s="10756"/>
      <c r="H63" s="10756"/>
      <c r="I63" s="10825"/>
      <c r="J63" s="10796"/>
      <c r="K63" s="10762"/>
      <c r="L63" s="10761"/>
      <c r="M63" s="10760"/>
      <c r="N63" s="10761"/>
      <c r="O63" s="10762"/>
      <c r="P63" s="10762"/>
      <c r="Q63" s="10763"/>
      <c r="R63" s="5175"/>
      <c r="S63" s="5215"/>
      <c r="T63" s="5215"/>
      <c r="U63" s="5251"/>
      <c r="V63" s="5282"/>
      <c r="W63" s="5303"/>
      <c r="X63" s="7479"/>
      <c r="Y63" s="7479"/>
      <c r="Z63" s="7479"/>
      <c r="AA63" s="7480"/>
      <c r="AB63" s="5326"/>
      <c r="AC63" s="1399"/>
      <c r="AD63" s="5303"/>
      <c r="AE63" s="5303"/>
      <c r="AF63" s="5348"/>
      <c r="AG63" s="10778"/>
      <c r="AH63" s="1758"/>
      <c r="AI63" s="1758"/>
      <c r="AJ63" s="1758"/>
      <c r="AK63" s="1758"/>
      <c r="AL63" s="1758"/>
      <c r="AM63" s="1758"/>
      <c r="AN63" s="1758"/>
      <c r="AO63" s="1758"/>
      <c r="AP63" s="1758"/>
      <c r="AQ63" s="1758"/>
      <c r="AR63" s="1758"/>
      <c r="AS63" s="1758"/>
      <c r="AT63" s="1758"/>
      <c r="AU63" s="1758"/>
      <c r="AV63" s="1758"/>
      <c r="AW63" s="1758"/>
      <c r="AX63" s="1758"/>
      <c r="AY63" s="1758"/>
      <c r="AZ63" s="1758"/>
      <c r="BA63" s="1758"/>
      <c r="BB63" s="1758"/>
      <c r="BC63" s="1758"/>
      <c r="BD63" s="1758"/>
      <c r="BE63" s="1758"/>
      <c r="BF63" s="1758"/>
      <c r="BG63" s="1758"/>
      <c r="BH63" s="1758"/>
      <c r="BI63" s="1758"/>
      <c r="BJ63" s="1758"/>
      <c r="BK63" s="1758"/>
      <c r="BL63" s="1758"/>
      <c r="BM63" s="1758"/>
      <c r="BN63" s="1758"/>
      <c r="BO63" s="1758"/>
      <c r="BP63" s="1758"/>
      <c r="BQ63" s="1758"/>
      <c r="BR63" s="1758"/>
      <c r="BS63" s="1758"/>
      <c r="BT63" s="1758"/>
      <c r="BU63" s="1758"/>
      <c r="BV63" s="1758"/>
      <c r="BW63" s="1758"/>
      <c r="BX63" s="1758"/>
      <c r="BY63" s="1758"/>
      <c r="BZ63" s="1758"/>
      <c r="CA63" s="1758"/>
      <c r="CB63" s="1758"/>
      <c r="CC63" s="1758"/>
      <c r="CD63" s="1758"/>
      <c r="CE63" s="1758"/>
      <c r="CF63" s="1758"/>
      <c r="CG63" s="1758"/>
      <c r="CH63" s="1758"/>
      <c r="CI63" s="1758"/>
      <c r="CJ63" s="1758"/>
      <c r="CK63" s="1758"/>
      <c r="CL63" s="1758"/>
      <c r="CM63" s="1758"/>
      <c r="CN63" s="1758"/>
      <c r="CO63" s="1758"/>
      <c r="CP63" s="1758"/>
      <c r="CQ63" s="1758"/>
      <c r="CR63" s="1758"/>
      <c r="CS63" s="1758"/>
      <c r="CT63" s="1758"/>
      <c r="CU63" s="1758"/>
      <c r="CV63" s="1758"/>
      <c r="CW63" s="1758"/>
      <c r="CX63" s="1758"/>
      <c r="CY63" s="1758"/>
      <c r="CZ63" s="1758"/>
      <c r="DA63" s="1758"/>
      <c r="DB63" s="1758"/>
      <c r="DC63" s="1758"/>
    </row>
    <row r="64" spans="1:107" s="1395" customFormat="1" ht="24.75" customHeight="1">
      <c r="A64" s="10813"/>
      <c r="B64" s="10757" t="s">
        <v>127</v>
      </c>
      <c r="C64" s="10756" t="s">
        <v>128</v>
      </c>
      <c r="D64" s="10756" t="s">
        <v>129</v>
      </c>
      <c r="E64" s="10756" t="s">
        <v>268</v>
      </c>
      <c r="F64" s="10793" t="s">
        <v>131</v>
      </c>
      <c r="G64" s="10756" t="s">
        <v>132</v>
      </c>
      <c r="H64" s="10756" t="s">
        <v>159</v>
      </c>
      <c r="I64" s="10824" t="s">
        <v>4788</v>
      </c>
      <c r="J64" s="10796" t="s">
        <v>286</v>
      </c>
      <c r="K64" s="10762" t="s">
        <v>4789</v>
      </c>
      <c r="L64" s="10820">
        <v>0</v>
      </c>
      <c r="M64" s="10737">
        <v>0</v>
      </c>
      <c r="N64" s="10820">
        <v>2</v>
      </c>
      <c r="O64" s="10762" t="s">
        <v>4790</v>
      </c>
      <c r="P64" s="10762" t="s">
        <v>4791</v>
      </c>
      <c r="Q64" s="10763" t="s">
        <v>4792</v>
      </c>
      <c r="R64" s="5173"/>
      <c r="S64" s="5212"/>
      <c r="T64" s="5212"/>
      <c r="U64" s="5253"/>
      <c r="V64" s="5284"/>
      <c r="W64" s="5305"/>
      <c r="X64" s="7481"/>
      <c r="Y64" s="7477"/>
      <c r="Z64" s="7477"/>
      <c r="AA64" s="7482"/>
      <c r="AB64" s="5327"/>
      <c r="AC64" s="1400"/>
      <c r="AD64" s="5305"/>
      <c r="AE64" s="5350"/>
      <c r="AF64" s="5350"/>
      <c r="AG64" s="10779"/>
      <c r="AH64" s="1758"/>
      <c r="AI64" s="1758"/>
      <c r="AJ64" s="1758"/>
      <c r="AK64" s="1758"/>
      <c r="AL64" s="1758"/>
      <c r="AM64" s="1758"/>
      <c r="AN64" s="1758"/>
      <c r="AO64" s="1758"/>
      <c r="AP64" s="1758"/>
      <c r="AQ64" s="1758"/>
      <c r="AR64" s="1758"/>
      <c r="AS64" s="1758"/>
      <c r="AT64" s="1758"/>
      <c r="AU64" s="1758"/>
      <c r="AV64" s="1758"/>
      <c r="AW64" s="1758"/>
      <c r="AX64" s="1758"/>
      <c r="AY64" s="1758"/>
      <c r="AZ64" s="1758"/>
      <c r="BA64" s="1758"/>
      <c r="BB64" s="1758"/>
      <c r="BC64" s="1758"/>
      <c r="BD64" s="1758"/>
      <c r="BE64" s="1758"/>
      <c r="BF64" s="1758"/>
      <c r="BG64" s="1758"/>
      <c r="BH64" s="1758"/>
      <c r="BI64" s="1758"/>
      <c r="BJ64" s="1758"/>
      <c r="BK64" s="1758"/>
      <c r="BL64" s="1758"/>
      <c r="BM64" s="1758"/>
      <c r="BN64" s="1758"/>
      <c r="BO64" s="1758"/>
      <c r="BP64" s="1758"/>
      <c r="BQ64" s="1758"/>
      <c r="BR64" s="1758"/>
      <c r="BS64" s="1758"/>
      <c r="BT64" s="1758"/>
      <c r="BU64" s="1758"/>
      <c r="BV64" s="1758"/>
      <c r="BW64" s="1758"/>
      <c r="BX64" s="1758"/>
      <c r="BY64" s="1758"/>
      <c r="BZ64" s="1758"/>
      <c r="CA64" s="1758"/>
      <c r="CB64" s="1758"/>
      <c r="CC64" s="1758"/>
      <c r="CD64" s="1758"/>
      <c r="CE64" s="1758"/>
      <c r="CF64" s="1758"/>
      <c r="CG64" s="1758"/>
      <c r="CH64" s="1758"/>
      <c r="CI64" s="1758"/>
      <c r="CJ64" s="1758"/>
      <c r="CK64" s="1758"/>
      <c r="CL64" s="1758"/>
      <c r="CM64" s="1758"/>
      <c r="CN64" s="1758"/>
      <c r="CO64" s="1758"/>
      <c r="CP64" s="1758"/>
      <c r="CQ64" s="1758"/>
      <c r="CR64" s="1758"/>
      <c r="CS64" s="1758"/>
      <c r="CT64" s="1758"/>
      <c r="CU64" s="1758"/>
      <c r="CV64" s="1758"/>
      <c r="CW64" s="1758"/>
      <c r="CX64" s="1758"/>
      <c r="CY64" s="1758"/>
      <c r="CZ64" s="1758"/>
      <c r="DA64" s="1758"/>
      <c r="DB64" s="1758"/>
      <c r="DC64" s="1758"/>
    </row>
    <row r="65" spans="1:107" s="1395" customFormat="1" ht="24.75" customHeight="1">
      <c r="A65" s="10813"/>
      <c r="B65" s="10757"/>
      <c r="C65" s="10756"/>
      <c r="D65" s="10756"/>
      <c r="E65" s="10756"/>
      <c r="F65" s="10793"/>
      <c r="G65" s="10756"/>
      <c r="H65" s="10756"/>
      <c r="I65" s="10824"/>
      <c r="J65" s="10796"/>
      <c r="K65" s="10762"/>
      <c r="L65" s="10820"/>
      <c r="M65" s="10738"/>
      <c r="N65" s="10820"/>
      <c r="O65" s="10762"/>
      <c r="P65" s="10762"/>
      <c r="Q65" s="10763"/>
      <c r="R65" s="5176"/>
      <c r="S65" s="5216"/>
      <c r="T65" s="5216"/>
      <c r="U65" s="5254"/>
      <c r="V65" s="5285"/>
      <c r="W65" s="5306"/>
      <c r="X65" s="7483"/>
      <c r="Y65" s="7473"/>
      <c r="Z65" s="7473"/>
      <c r="AA65" s="7484"/>
      <c r="AB65" s="5328"/>
      <c r="AC65" s="1401"/>
      <c r="AD65" s="5306"/>
      <c r="AE65" s="5346"/>
      <c r="AF65" s="5346"/>
      <c r="AG65" s="10777"/>
      <c r="AH65" s="1758"/>
      <c r="AI65" s="1758"/>
      <c r="AJ65" s="1758"/>
      <c r="AK65" s="1758"/>
      <c r="AL65" s="1758"/>
      <c r="AM65" s="1758"/>
      <c r="AN65" s="1758"/>
      <c r="AO65" s="1758"/>
      <c r="AP65" s="1758"/>
      <c r="AQ65" s="1758"/>
      <c r="AR65" s="1758"/>
      <c r="AS65" s="1758"/>
      <c r="AT65" s="1758"/>
      <c r="AU65" s="1758"/>
      <c r="AV65" s="1758"/>
      <c r="AW65" s="1758"/>
      <c r="AX65" s="1758"/>
      <c r="AY65" s="1758"/>
      <c r="AZ65" s="1758"/>
      <c r="BA65" s="1758"/>
      <c r="BB65" s="1758"/>
      <c r="BC65" s="1758"/>
      <c r="BD65" s="1758"/>
      <c r="BE65" s="1758"/>
      <c r="BF65" s="1758"/>
      <c r="BG65" s="1758"/>
      <c r="BH65" s="1758"/>
      <c r="BI65" s="1758"/>
      <c r="BJ65" s="1758"/>
      <c r="BK65" s="1758"/>
      <c r="BL65" s="1758"/>
      <c r="BM65" s="1758"/>
      <c r="BN65" s="1758"/>
      <c r="BO65" s="1758"/>
      <c r="BP65" s="1758"/>
      <c r="BQ65" s="1758"/>
      <c r="BR65" s="1758"/>
      <c r="BS65" s="1758"/>
      <c r="BT65" s="1758"/>
      <c r="BU65" s="1758"/>
      <c r="BV65" s="1758"/>
      <c r="BW65" s="1758"/>
      <c r="BX65" s="1758"/>
      <c r="BY65" s="1758"/>
      <c r="BZ65" s="1758"/>
      <c r="CA65" s="1758"/>
      <c r="CB65" s="1758"/>
      <c r="CC65" s="1758"/>
      <c r="CD65" s="1758"/>
      <c r="CE65" s="1758"/>
      <c r="CF65" s="1758"/>
      <c r="CG65" s="1758"/>
      <c r="CH65" s="1758"/>
      <c r="CI65" s="1758"/>
      <c r="CJ65" s="1758"/>
      <c r="CK65" s="1758"/>
      <c r="CL65" s="1758"/>
      <c r="CM65" s="1758"/>
      <c r="CN65" s="1758"/>
      <c r="CO65" s="1758"/>
      <c r="CP65" s="1758"/>
      <c r="CQ65" s="1758"/>
      <c r="CR65" s="1758"/>
      <c r="CS65" s="1758"/>
      <c r="CT65" s="1758"/>
      <c r="CU65" s="1758"/>
      <c r="CV65" s="1758"/>
      <c r="CW65" s="1758"/>
      <c r="CX65" s="1758"/>
      <c r="CY65" s="1758"/>
      <c r="CZ65" s="1758"/>
      <c r="DA65" s="1758"/>
      <c r="DB65" s="1758"/>
      <c r="DC65" s="1758"/>
    </row>
    <row r="66" spans="1:107" s="1395" customFormat="1" ht="24.75" customHeight="1">
      <c r="A66" s="10813"/>
      <c r="B66" s="10757"/>
      <c r="C66" s="10756"/>
      <c r="D66" s="10756"/>
      <c r="E66" s="10756"/>
      <c r="F66" s="10793"/>
      <c r="G66" s="10756"/>
      <c r="H66" s="10756"/>
      <c r="I66" s="10824"/>
      <c r="J66" s="10796"/>
      <c r="K66" s="10762"/>
      <c r="L66" s="10820"/>
      <c r="M66" s="10738"/>
      <c r="N66" s="10820"/>
      <c r="O66" s="10762"/>
      <c r="P66" s="10762"/>
      <c r="Q66" s="10763"/>
      <c r="R66" s="5176"/>
      <c r="S66" s="5216"/>
      <c r="T66" s="5216"/>
      <c r="U66" s="5254"/>
      <c r="V66" s="5285"/>
      <c r="W66" s="5306"/>
      <c r="X66" s="7483"/>
      <c r="Y66" s="7473"/>
      <c r="Z66" s="7473"/>
      <c r="AA66" s="7484"/>
      <c r="AB66" s="5328"/>
      <c r="AC66" s="1401"/>
      <c r="AD66" s="5306"/>
      <c r="AE66" s="5346"/>
      <c r="AF66" s="5346"/>
      <c r="AG66" s="10777"/>
      <c r="AH66" s="1758"/>
      <c r="AI66" s="1758"/>
      <c r="AJ66" s="1758"/>
      <c r="AK66" s="1758"/>
      <c r="AL66" s="1758"/>
      <c r="AM66" s="1758"/>
      <c r="AN66" s="1758"/>
      <c r="AO66" s="1758"/>
      <c r="AP66" s="1758"/>
      <c r="AQ66" s="1758"/>
      <c r="AR66" s="1758"/>
      <c r="AS66" s="1758"/>
      <c r="AT66" s="1758"/>
      <c r="AU66" s="1758"/>
      <c r="AV66" s="1758"/>
      <c r="AW66" s="1758"/>
      <c r="AX66" s="1758"/>
      <c r="AY66" s="1758"/>
      <c r="AZ66" s="1758"/>
      <c r="BA66" s="1758"/>
      <c r="BB66" s="1758"/>
      <c r="BC66" s="1758"/>
      <c r="BD66" s="1758"/>
      <c r="BE66" s="1758"/>
      <c r="BF66" s="1758"/>
      <c r="BG66" s="1758"/>
      <c r="BH66" s="1758"/>
      <c r="BI66" s="1758"/>
      <c r="BJ66" s="1758"/>
      <c r="BK66" s="1758"/>
      <c r="BL66" s="1758"/>
      <c r="BM66" s="1758"/>
      <c r="BN66" s="1758"/>
      <c r="BO66" s="1758"/>
      <c r="BP66" s="1758"/>
      <c r="BQ66" s="1758"/>
      <c r="BR66" s="1758"/>
      <c r="BS66" s="1758"/>
      <c r="BT66" s="1758"/>
      <c r="BU66" s="1758"/>
      <c r="BV66" s="1758"/>
      <c r="BW66" s="1758"/>
      <c r="BX66" s="1758"/>
      <c r="BY66" s="1758"/>
      <c r="BZ66" s="1758"/>
      <c r="CA66" s="1758"/>
      <c r="CB66" s="1758"/>
      <c r="CC66" s="1758"/>
      <c r="CD66" s="1758"/>
      <c r="CE66" s="1758"/>
      <c r="CF66" s="1758"/>
      <c r="CG66" s="1758"/>
      <c r="CH66" s="1758"/>
      <c r="CI66" s="1758"/>
      <c r="CJ66" s="1758"/>
      <c r="CK66" s="1758"/>
      <c r="CL66" s="1758"/>
      <c r="CM66" s="1758"/>
      <c r="CN66" s="1758"/>
      <c r="CO66" s="1758"/>
      <c r="CP66" s="1758"/>
      <c r="CQ66" s="1758"/>
      <c r="CR66" s="1758"/>
      <c r="CS66" s="1758"/>
      <c r="CT66" s="1758"/>
      <c r="CU66" s="1758"/>
      <c r="CV66" s="1758"/>
      <c r="CW66" s="1758"/>
      <c r="CX66" s="1758"/>
      <c r="CY66" s="1758"/>
      <c r="CZ66" s="1758"/>
      <c r="DA66" s="1758"/>
      <c r="DB66" s="1758"/>
      <c r="DC66" s="1758"/>
    </row>
    <row r="67" spans="1:107" s="1395" customFormat="1" ht="24.75" customHeight="1">
      <c r="A67" s="10813"/>
      <c r="B67" s="10757"/>
      <c r="C67" s="10756"/>
      <c r="D67" s="10756"/>
      <c r="E67" s="10756"/>
      <c r="F67" s="10793"/>
      <c r="G67" s="10756"/>
      <c r="H67" s="10756"/>
      <c r="I67" s="10824"/>
      <c r="J67" s="10796"/>
      <c r="K67" s="10762"/>
      <c r="L67" s="10820"/>
      <c r="M67" s="10738"/>
      <c r="N67" s="10820"/>
      <c r="O67" s="10762"/>
      <c r="P67" s="10762"/>
      <c r="Q67" s="10763"/>
      <c r="R67" s="5176"/>
      <c r="S67" s="5216"/>
      <c r="T67" s="5216"/>
      <c r="U67" s="5254"/>
      <c r="V67" s="5285"/>
      <c r="W67" s="5306"/>
      <c r="X67" s="7483"/>
      <c r="Y67" s="7473"/>
      <c r="Z67" s="7473"/>
      <c r="AA67" s="7484"/>
      <c r="AB67" s="5328"/>
      <c r="AC67" s="1401"/>
      <c r="AD67" s="5306"/>
      <c r="AE67" s="5346"/>
      <c r="AF67" s="5346"/>
      <c r="AG67" s="10777"/>
      <c r="AH67" s="1758"/>
      <c r="AI67" s="1758"/>
      <c r="AJ67" s="1758"/>
      <c r="AK67" s="1758"/>
      <c r="AL67" s="1758"/>
      <c r="AM67" s="1758"/>
      <c r="AN67" s="1758"/>
      <c r="AO67" s="1758"/>
      <c r="AP67" s="1758"/>
      <c r="AQ67" s="1758"/>
      <c r="AR67" s="1758"/>
      <c r="AS67" s="1758"/>
      <c r="AT67" s="1758"/>
      <c r="AU67" s="1758"/>
      <c r="AV67" s="1758"/>
      <c r="AW67" s="1758"/>
      <c r="AX67" s="1758"/>
      <c r="AY67" s="1758"/>
      <c r="AZ67" s="1758"/>
      <c r="BA67" s="1758"/>
      <c r="BB67" s="1758"/>
      <c r="BC67" s="1758"/>
      <c r="BD67" s="1758"/>
      <c r="BE67" s="1758"/>
      <c r="BF67" s="1758"/>
      <c r="BG67" s="1758"/>
      <c r="BH67" s="1758"/>
      <c r="BI67" s="1758"/>
      <c r="BJ67" s="1758"/>
      <c r="BK67" s="1758"/>
      <c r="BL67" s="1758"/>
      <c r="BM67" s="1758"/>
      <c r="BN67" s="1758"/>
      <c r="BO67" s="1758"/>
      <c r="BP67" s="1758"/>
      <c r="BQ67" s="1758"/>
      <c r="BR67" s="1758"/>
      <c r="BS67" s="1758"/>
      <c r="BT67" s="1758"/>
      <c r="BU67" s="1758"/>
      <c r="BV67" s="1758"/>
      <c r="BW67" s="1758"/>
      <c r="BX67" s="1758"/>
      <c r="BY67" s="1758"/>
      <c r="BZ67" s="1758"/>
      <c r="CA67" s="1758"/>
      <c r="CB67" s="1758"/>
      <c r="CC67" s="1758"/>
      <c r="CD67" s="1758"/>
      <c r="CE67" s="1758"/>
      <c r="CF67" s="1758"/>
      <c r="CG67" s="1758"/>
      <c r="CH67" s="1758"/>
      <c r="CI67" s="1758"/>
      <c r="CJ67" s="1758"/>
      <c r="CK67" s="1758"/>
      <c r="CL67" s="1758"/>
      <c r="CM67" s="1758"/>
      <c r="CN67" s="1758"/>
      <c r="CO67" s="1758"/>
      <c r="CP67" s="1758"/>
      <c r="CQ67" s="1758"/>
      <c r="CR67" s="1758"/>
      <c r="CS67" s="1758"/>
      <c r="CT67" s="1758"/>
      <c r="CU67" s="1758"/>
      <c r="CV67" s="1758"/>
      <c r="CW67" s="1758"/>
      <c r="CX67" s="1758"/>
      <c r="CY67" s="1758"/>
      <c r="CZ67" s="1758"/>
      <c r="DA67" s="1758"/>
      <c r="DB67" s="1758"/>
      <c r="DC67" s="1758"/>
    </row>
    <row r="68" spans="1:107" s="1395" customFormat="1" ht="24.75" customHeight="1">
      <c r="A68" s="10813"/>
      <c r="B68" s="10757"/>
      <c r="C68" s="10756"/>
      <c r="D68" s="10756"/>
      <c r="E68" s="10756"/>
      <c r="F68" s="10793"/>
      <c r="G68" s="10756"/>
      <c r="H68" s="10756"/>
      <c r="I68" s="10824"/>
      <c r="J68" s="10796"/>
      <c r="K68" s="10762"/>
      <c r="L68" s="10820"/>
      <c r="M68" s="10739"/>
      <c r="N68" s="10820"/>
      <c r="O68" s="10762"/>
      <c r="P68" s="10762"/>
      <c r="Q68" s="10763"/>
      <c r="R68" s="5177"/>
      <c r="S68" s="5217"/>
      <c r="T68" s="5217"/>
      <c r="U68" s="5255"/>
      <c r="V68" s="5286"/>
      <c r="W68" s="5307"/>
      <c r="X68" s="7485"/>
      <c r="Y68" s="7479"/>
      <c r="Z68" s="7479"/>
      <c r="AA68" s="7486"/>
      <c r="AB68" s="5329"/>
      <c r="AC68" s="1402"/>
      <c r="AD68" s="5307"/>
      <c r="AE68" s="5348"/>
      <c r="AF68" s="5348"/>
      <c r="AG68" s="10778"/>
      <c r="AH68" s="1758"/>
      <c r="AI68" s="1758"/>
      <c r="AJ68" s="1758"/>
      <c r="AK68" s="1758"/>
      <c r="AL68" s="1758"/>
      <c r="AM68" s="1758"/>
      <c r="AN68" s="1758"/>
      <c r="AO68" s="1758"/>
      <c r="AP68" s="1758"/>
      <c r="AQ68" s="1758"/>
      <c r="AR68" s="1758"/>
      <c r="AS68" s="1758"/>
      <c r="AT68" s="1758"/>
      <c r="AU68" s="1758"/>
      <c r="AV68" s="1758"/>
      <c r="AW68" s="1758"/>
      <c r="AX68" s="1758"/>
      <c r="AY68" s="1758"/>
      <c r="AZ68" s="1758"/>
      <c r="BA68" s="1758"/>
      <c r="BB68" s="1758"/>
      <c r="BC68" s="1758"/>
      <c r="BD68" s="1758"/>
      <c r="BE68" s="1758"/>
      <c r="BF68" s="1758"/>
      <c r="BG68" s="1758"/>
      <c r="BH68" s="1758"/>
      <c r="BI68" s="1758"/>
      <c r="BJ68" s="1758"/>
      <c r="BK68" s="1758"/>
      <c r="BL68" s="1758"/>
      <c r="BM68" s="1758"/>
      <c r="BN68" s="1758"/>
      <c r="BO68" s="1758"/>
      <c r="BP68" s="1758"/>
      <c r="BQ68" s="1758"/>
      <c r="BR68" s="1758"/>
      <c r="BS68" s="1758"/>
      <c r="BT68" s="1758"/>
      <c r="BU68" s="1758"/>
      <c r="BV68" s="1758"/>
      <c r="BW68" s="1758"/>
      <c r="BX68" s="1758"/>
      <c r="BY68" s="1758"/>
      <c r="BZ68" s="1758"/>
      <c r="CA68" s="1758"/>
      <c r="CB68" s="1758"/>
      <c r="CC68" s="1758"/>
      <c r="CD68" s="1758"/>
      <c r="CE68" s="1758"/>
      <c r="CF68" s="1758"/>
      <c r="CG68" s="1758"/>
      <c r="CH68" s="1758"/>
      <c r="CI68" s="1758"/>
      <c r="CJ68" s="1758"/>
      <c r="CK68" s="1758"/>
      <c r="CL68" s="1758"/>
      <c r="CM68" s="1758"/>
      <c r="CN68" s="1758"/>
      <c r="CO68" s="1758"/>
      <c r="CP68" s="1758"/>
      <c r="CQ68" s="1758"/>
      <c r="CR68" s="1758"/>
      <c r="CS68" s="1758"/>
      <c r="CT68" s="1758"/>
      <c r="CU68" s="1758"/>
      <c r="CV68" s="1758"/>
      <c r="CW68" s="1758"/>
      <c r="CX68" s="1758"/>
      <c r="CY68" s="1758"/>
      <c r="CZ68" s="1758"/>
      <c r="DA68" s="1758"/>
      <c r="DB68" s="1758"/>
      <c r="DC68" s="1758"/>
    </row>
    <row r="69" spans="1:107" s="1395" customFormat="1" ht="24" customHeight="1">
      <c r="A69" s="10813"/>
      <c r="B69" s="10757" t="s">
        <v>127</v>
      </c>
      <c r="C69" s="10756" t="s">
        <v>128</v>
      </c>
      <c r="D69" s="10756" t="s">
        <v>129</v>
      </c>
      <c r="E69" s="10756" t="s">
        <v>268</v>
      </c>
      <c r="F69" s="10793" t="s">
        <v>131</v>
      </c>
      <c r="G69" s="10756" t="s">
        <v>132</v>
      </c>
      <c r="H69" s="10756" t="s">
        <v>159</v>
      </c>
      <c r="I69" s="10824" t="s">
        <v>1721</v>
      </c>
      <c r="J69" s="10796" t="s">
        <v>1378</v>
      </c>
      <c r="K69" s="10762" t="s">
        <v>4557</v>
      </c>
      <c r="L69" s="10820">
        <v>240</v>
      </c>
      <c r="M69" s="10737">
        <v>210</v>
      </c>
      <c r="N69" s="10820">
        <v>200</v>
      </c>
      <c r="O69" s="10762" t="s">
        <v>4793</v>
      </c>
      <c r="P69" s="10762" t="s">
        <v>4794</v>
      </c>
      <c r="Q69" s="10763" t="s">
        <v>4795</v>
      </c>
      <c r="R69" s="5178"/>
      <c r="S69" s="5218"/>
      <c r="T69" s="5218"/>
      <c r="U69" s="5256"/>
      <c r="V69" s="5284"/>
      <c r="W69" s="5305"/>
      <c r="X69" s="7481"/>
      <c r="Y69" s="7487"/>
      <c r="Z69" s="7487"/>
      <c r="AA69" s="7482"/>
      <c r="AB69" s="5327"/>
      <c r="AC69" s="1400"/>
      <c r="AD69" s="5305"/>
      <c r="AE69" s="5350"/>
      <c r="AF69" s="5350"/>
      <c r="AG69" s="10779"/>
      <c r="AH69" s="1758"/>
      <c r="AI69" s="1758"/>
      <c r="AJ69" s="1758"/>
      <c r="AK69" s="1758"/>
      <c r="AL69" s="1758"/>
      <c r="AM69" s="1758"/>
      <c r="AN69" s="1758"/>
      <c r="AO69" s="1758"/>
      <c r="AP69" s="1758"/>
      <c r="AQ69" s="1758"/>
      <c r="AR69" s="1758"/>
      <c r="AS69" s="1758"/>
      <c r="AT69" s="1758"/>
      <c r="AU69" s="1758"/>
      <c r="AV69" s="1758"/>
      <c r="AW69" s="1758"/>
      <c r="AX69" s="1758"/>
      <c r="AY69" s="1758"/>
      <c r="AZ69" s="1758"/>
      <c r="BA69" s="1758"/>
      <c r="BB69" s="1758"/>
      <c r="BC69" s="1758"/>
      <c r="BD69" s="1758"/>
      <c r="BE69" s="1758"/>
      <c r="BF69" s="1758"/>
      <c r="BG69" s="1758"/>
      <c r="BH69" s="1758"/>
      <c r="BI69" s="1758"/>
      <c r="BJ69" s="1758"/>
      <c r="BK69" s="1758"/>
      <c r="BL69" s="1758"/>
      <c r="BM69" s="1758"/>
      <c r="BN69" s="1758"/>
      <c r="BO69" s="1758"/>
      <c r="BP69" s="1758"/>
      <c r="BQ69" s="1758"/>
      <c r="BR69" s="1758"/>
      <c r="BS69" s="1758"/>
      <c r="BT69" s="1758"/>
      <c r="BU69" s="1758"/>
      <c r="BV69" s="1758"/>
      <c r="BW69" s="1758"/>
      <c r="BX69" s="1758"/>
      <c r="BY69" s="1758"/>
      <c r="BZ69" s="1758"/>
      <c r="CA69" s="1758"/>
      <c r="CB69" s="1758"/>
      <c r="CC69" s="1758"/>
      <c r="CD69" s="1758"/>
      <c r="CE69" s="1758"/>
      <c r="CF69" s="1758"/>
      <c r="CG69" s="1758"/>
      <c r="CH69" s="1758"/>
      <c r="CI69" s="1758"/>
      <c r="CJ69" s="1758"/>
      <c r="CK69" s="1758"/>
      <c r="CL69" s="1758"/>
      <c r="CM69" s="1758"/>
      <c r="CN69" s="1758"/>
      <c r="CO69" s="1758"/>
      <c r="CP69" s="1758"/>
      <c r="CQ69" s="1758"/>
      <c r="CR69" s="1758"/>
      <c r="CS69" s="1758"/>
      <c r="CT69" s="1758"/>
      <c r="CU69" s="1758"/>
      <c r="CV69" s="1758"/>
      <c r="CW69" s="1758"/>
      <c r="CX69" s="1758"/>
      <c r="CY69" s="1758"/>
      <c r="CZ69" s="1758"/>
      <c r="DA69" s="1758"/>
      <c r="DB69" s="1758"/>
      <c r="DC69" s="1758"/>
    </row>
    <row r="70" spans="1:107" s="1395" customFormat="1" ht="24" customHeight="1">
      <c r="A70" s="10813"/>
      <c r="B70" s="10757"/>
      <c r="C70" s="10756"/>
      <c r="D70" s="10756"/>
      <c r="E70" s="10756"/>
      <c r="F70" s="10793"/>
      <c r="G70" s="10756"/>
      <c r="H70" s="10756"/>
      <c r="I70" s="10824"/>
      <c r="J70" s="10796"/>
      <c r="K70" s="10762"/>
      <c r="L70" s="10820"/>
      <c r="M70" s="10738"/>
      <c r="N70" s="10820"/>
      <c r="O70" s="10762"/>
      <c r="P70" s="10762"/>
      <c r="Q70" s="10763"/>
      <c r="R70" s="5179"/>
      <c r="S70" s="5219"/>
      <c r="T70" s="5219"/>
      <c r="U70" s="5254"/>
      <c r="V70" s="5285"/>
      <c r="W70" s="5306"/>
      <c r="X70" s="7483"/>
      <c r="Y70" s="7473"/>
      <c r="Z70" s="7473"/>
      <c r="AA70" s="7484"/>
      <c r="AB70" s="5328"/>
      <c r="AC70" s="1401"/>
      <c r="AD70" s="5306"/>
      <c r="AE70" s="5346"/>
      <c r="AF70" s="5346"/>
      <c r="AG70" s="10777"/>
      <c r="AH70" s="1758"/>
      <c r="AI70" s="1758"/>
      <c r="AJ70" s="1758"/>
      <c r="AK70" s="1758"/>
      <c r="AL70" s="1758"/>
      <c r="AM70" s="1758"/>
      <c r="AN70" s="1758"/>
      <c r="AO70" s="1758"/>
      <c r="AP70" s="1758"/>
      <c r="AQ70" s="1758"/>
      <c r="AR70" s="1758"/>
      <c r="AS70" s="1758"/>
      <c r="AT70" s="1758"/>
      <c r="AU70" s="1758"/>
      <c r="AV70" s="1758"/>
      <c r="AW70" s="1758"/>
      <c r="AX70" s="1758"/>
      <c r="AY70" s="1758"/>
      <c r="AZ70" s="1758"/>
      <c r="BA70" s="1758"/>
      <c r="BB70" s="1758"/>
      <c r="BC70" s="1758"/>
      <c r="BD70" s="1758"/>
      <c r="BE70" s="1758"/>
      <c r="BF70" s="1758"/>
      <c r="BG70" s="1758"/>
      <c r="BH70" s="1758"/>
      <c r="BI70" s="1758"/>
      <c r="BJ70" s="1758"/>
      <c r="BK70" s="1758"/>
      <c r="BL70" s="1758"/>
      <c r="BM70" s="1758"/>
      <c r="BN70" s="1758"/>
      <c r="BO70" s="1758"/>
      <c r="BP70" s="1758"/>
      <c r="BQ70" s="1758"/>
      <c r="BR70" s="1758"/>
      <c r="BS70" s="1758"/>
      <c r="BT70" s="1758"/>
      <c r="BU70" s="1758"/>
      <c r="BV70" s="1758"/>
      <c r="BW70" s="1758"/>
      <c r="BX70" s="1758"/>
      <c r="BY70" s="1758"/>
      <c r="BZ70" s="1758"/>
      <c r="CA70" s="1758"/>
      <c r="CB70" s="1758"/>
      <c r="CC70" s="1758"/>
      <c r="CD70" s="1758"/>
      <c r="CE70" s="1758"/>
      <c r="CF70" s="1758"/>
      <c r="CG70" s="1758"/>
      <c r="CH70" s="1758"/>
      <c r="CI70" s="1758"/>
      <c r="CJ70" s="1758"/>
      <c r="CK70" s="1758"/>
      <c r="CL70" s="1758"/>
      <c r="CM70" s="1758"/>
      <c r="CN70" s="1758"/>
      <c r="CO70" s="1758"/>
      <c r="CP70" s="1758"/>
      <c r="CQ70" s="1758"/>
      <c r="CR70" s="1758"/>
      <c r="CS70" s="1758"/>
      <c r="CT70" s="1758"/>
      <c r="CU70" s="1758"/>
      <c r="CV70" s="1758"/>
      <c r="CW70" s="1758"/>
      <c r="CX70" s="1758"/>
      <c r="CY70" s="1758"/>
      <c r="CZ70" s="1758"/>
      <c r="DA70" s="1758"/>
      <c r="DB70" s="1758"/>
      <c r="DC70" s="1758"/>
    </row>
    <row r="71" spans="1:107" s="1395" customFormat="1" ht="24" customHeight="1">
      <c r="A71" s="10813"/>
      <c r="B71" s="10757"/>
      <c r="C71" s="10756"/>
      <c r="D71" s="10756"/>
      <c r="E71" s="10756"/>
      <c r="F71" s="10793"/>
      <c r="G71" s="10756"/>
      <c r="H71" s="10756"/>
      <c r="I71" s="10824"/>
      <c r="J71" s="10796"/>
      <c r="K71" s="10762"/>
      <c r="L71" s="10820"/>
      <c r="M71" s="10738"/>
      <c r="N71" s="10820"/>
      <c r="O71" s="10762"/>
      <c r="P71" s="10762"/>
      <c r="Q71" s="10763"/>
      <c r="R71" s="5176"/>
      <c r="S71" s="5216"/>
      <c r="T71" s="5216"/>
      <c r="U71" s="5254"/>
      <c r="V71" s="5285"/>
      <c r="W71" s="5306"/>
      <c r="X71" s="7483"/>
      <c r="Y71" s="7473"/>
      <c r="Z71" s="7473"/>
      <c r="AA71" s="7484"/>
      <c r="AB71" s="5328"/>
      <c r="AC71" s="1401"/>
      <c r="AD71" s="5306"/>
      <c r="AE71" s="5346"/>
      <c r="AF71" s="5346"/>
      <c r="AG71" s="10777"/>
      <c r="AH71" s="1758"/>
      <c r="AI71" s="1758"/>
      <c r="AJ71" s="1758"/>
      <c r="AK71" s="1758"/>
      <c r="AL71" s="1758"/>
      <c r="AM71" s="1758"/>
      <c r="AN71" s="1758"/>
      <c r="AO71" s="1758"/>
      <c r="AP71" s="1758"/>
      <c r="AQ71" s="1758"/>
      <c r="AR71" s="1758"/>
      <c r="AS71" s="1758"/>
      <c r="AT71" s="1758"/>
      <c r="AU71" s="1758"/>
      <c r="AV71" s="1758"/>
      <c r="AW71" s="1758"/>
      <c r="AX71" s="1758"/>
      <c r="AY71" s="1758"/>
      <c r="AZ71" s="1758"/>
      <c r="BA71" s="1758"/>
      <c r="BB71" s="1758"/>
      <c r="BC71" s="1758"/>
      <c r="BD71" s="1758"/>
      <c r="BE71" s="1758"/>
      <c r="BF71" s="1758"/>
      <c r="BG71" s="1758"/>
      <c r="BH71" s="1758"/>
      <c r="BI71" s="1758"/>
      <c r="BJ71" s="1758"/>
      <c r="BK71" s="1758"/>
      <c r="BL71" s="1758"/>
      <c r="BM71" s="1758"/>
      <c r="BN71" s="1758"/>
      <c r="BO71" s="1758"/>
      <c r="BP71" s="1758"/>
      <c r="BQ71" s="1758"/>
      <c r="BR71" s="1758"/>
      <c r="BS71" s="1758"/>
      <c r="BT71" s="1758"/>
      <c r="BU71" s="1758"/>
      <c r="BV71" s="1758"/>
      <c r="BW71" s="1758"/>
      <c r="BX71" s="1758"/>
      <c r="BY71" s="1758"/>
      <c r="BZ71" s="1758"/>
      <c r="CA71" s="1758"/>
      <c r="CB71" s="1758"/>
      <c r="CC71" s="1758"/>
      <c r="CD71" s="1758"/>
      <c r="CE71" s="1758"/>
      <c r="CF71" s="1758"/>
      <c r="CG71" s="1758"/>
      <c r="CH71" s="1758"/>
      <c r="CI71" s="1758"/>
      <c r="CJ71" s="1758"/>
      <c r="CK71" s="1758"/>
      <c r="CL71" s="1758"/>
      <c r="CM71" s="1758"/>
      <c r="CN71" s="1758"/>
      <c r="CO71" s="1758"/>
      <c r="CP71" s="1758"/>
      <c r="CQ71" s="1758"/>
      <c r="CR71" s="1758"/>
      <c r="CS71" s="1758"/>
      <c r="CT71" s="1758"/>
      <c r="CU71" s="1758"/>
      <c r="CV71" s="1758"/>
      <c r="CW71" s="1758"/>
      <c r="CX71" s="1758"/>
      <c r="CY71" s="1758"/>
      <c r="CZ71" s="1758"/>
      <c r="DA71" s="1758"/>
      <c r="DB71" s="1758"/>
      <c r="DC71" s="1758"/>
    </row>
    <row r="72" spans="1:107" s="1395" customFormat="1" ht="24" customHeight="1">
      <c r="A72" s="10813"/>
      <c r="B72" s="10757"/>
      <c r="C72" s="10756"/>
      <c r="D72" s="10756"/>
      <c r="E72" s="10756"/>
      <c r="F72" s="10793"/>
      <c r="G72" s="10756"/>
      <c r="H72" s="10756"/>
      <c r="I72" s="10824"/>
      <c r="J72" s="10796"/>
      <c r="K72" s="10762"/>
      <c r="L72" s="10820"/>
      <c r="M72" s="10738"/>
      <c r="N72" s="10820"/>
      <c r="O72" s="10762"/>
      <c r="P72" s="10762"/>
      <c r="Q72" s="10763"/>
      <c r="R72" s="5180"/>
      <c r="S72" s="5220"/>
      <c r="T72" s="5220"/>
      <c r="U72" s="5257"/>
      <c r="V72" s="5287"/>
      <c r="W72" s="5308"/>
      <c r="X72" s="7488"/>
      <c r="Y72" s="7489"/>
      <c r="Z72" s="7489"/>
      <c r="AA72" s="7490"/>
      <c r="AB72" s="5330"/>
      <c r="AC72" s="1403"/>
      <c r="AD72" s="5308"/>
      <c r="AE72" s="5346"/>
      <c r="AF72" s="5346"/>
      <c r="AG72" s="10777"/>
      <c r="AH72" s="1758"/>
      <c r="AI72" s="1758"/>
      <c r="AJ72" s="1758"/>
      <c r="AK72" s="1758"/>
      <c r="AL72" s="1758"/>
      <c r="AM72" s="1758"/>
      <c r="AN72" s="1758"/>
      <c r="AO72" s="1758"/>
      <c r="AP72" s="1758"/>
      <c r="AQ72" s="1758"/>
      <c r="AR72" s="1758"/>
      <c r="AS72" s="1758"/>
      <c r="AT72" s="1758"/>
      <c r="AU72" s="1758"/>
      <c r="AV72" s="1758"/>
      <c r="AW72" s="1758"/>
      <c r="AX72" s="1758"/>
      <c r="AY72" s="1758"/>
      <c r="AZ72" s="1758"/>
      <c r="BA72" s="1758"/>
      <c r="BB72" s="1758"/>
      <c r="BC72" s="1758"/>
      <c r="BD72" s="1758"/>
      <c r="BE72" s="1758"/>
      <c r="BF72" s="1758"/>
      <c r="BG72" s="1758"/>
      <c r="BH72" s="1758"/>
      <c r="BI72" s="1758"/>
      <c r="BJ72" s="1758"/>
      <c r="BK72" s="1758"/>
      <c r="BL72" s="1758"/>
      <c r="BM72" s="1758"/>
      <c r="BN72" s="1758"/>
      <c r="BO72" s="1758"/>
      <c r="BP72" s="1758"/>
      <c r="BQ72" s="1758"/>
      <c r="BR72" s="1758"/>
      <c r="BS72" s="1758"/>
      <c r="BT72" s="1758"/>
      <c r="BU72" s="1758"/>
      <c r="BV72" s="1758"/>
      <c r="BW72" s="1758"/>
      <c r="BX72" s="1758"/>
      <c r="BY72" s="1758"/>
      <c r="BZ72" s="1758"/>
      <c r="CA72" s="1758"/>
      <c r="CB72" s="1758"/>
      <c r="CC72" s="1758"/>
      <c r="CD72" s="1758"/>
      <c r="CE72" s="1758"/>
      <c r="CF72" s="1758"/>
      <c r="CG72" s="1758"/>
      <c r="CH72" s="1758"/>
      <c r="CI72" s="1758"/>
      <c r="CJ72" s="1758"/>
      <c r="CK72" s="1758"/>
      <c r="CL72" s="1758"/>
      <c r="CM72" s="1758"/>
      <c r="CN72" s="1758"/>
      <c r="CO72" s="1758"/>
      <c r="CP72" s="1758"/>
      <c r="CQ72" s="1758"/>
      <c r="CR72" s="1758"/>
      <c r="CS72" s="1758"/>
      <c r="CT72" s="1758"/>
      <c r="CU72" s="1758"/>
      <c r="CV72" s="1758"/>
      <c r="CW72" s="1758"/>
      <c r="CX72" s="1758"/>
      <c r="CY72" s="1758"/>
      <c r="CZ72" s="1758"/>
      <c r="DA72" s="1758"/>
      <c r="DB72" s="1758"/>
      <c r="DC72" s="1758"/>
    </row>
    <row r="73" spans="1:107" s="1395" customFormat="1" ht="24" customHeight="1">
      <c r="A73" s="10813"/>
      <c r="B73" s="10757"/>
      <c r="C73" s="10756"/>
      <c r="D73" s="10756"/>
      <c r="E73" s="10756"/>
      <c r="F73" s="10793"/>
      <c r="G73" s="10756"/>
      <c r="H73" s="10756"/>
      <c r="I73" s="10824"/>
      <c r="J73" s="10796"/>
      <c r="K73" s="10762"/>
      <c r="L73" s="10820"/>
      <c r="M73" s="10739"/>
      <c r="N73" s="10820"/>
      <c r="O73" s="10762"/>
      <c r="P73" s="10762"/>
      <c r="Q73" s="10763"/>
      <c r="R73" s="5181"/>
      <c r="S73" s="5221"/>
      <c r="T73" s="5221"/>
      <c r="U73" s="5258"/>
      <c r="V73" s="5288"/>
      <c r="W73" s="5309"/>
      <c r="X73" s="7491"/>
      <c r="Y73" s="7492"/>
      <c r="Z73" s="7492"/>
      <c r="AA73" s="7493"/>
      <c r="AB73" s="5331"/>
      <c r="AC73" s="1404"/>
      <c r="AD73" s="5309"/>
      <c r="AE73" s="5348"/>
      <c r="AF73" s="5348"/>
      <c r="AG73" s="10778"/>
      <c r="AH73" s="1758"/>
      <c r="AI73" s="1758"/>
      <c r="AJ73" s="1758"/>
      <c r="AK73" s="1758"/>
      <c r="AL73" s="1758"/>
      <c r="AM73" s="1758"/>
      <c r="AN73" s="1758"/>
      <c r="AO73" s="1758"/>
      <c r="AP73" s="1758"/>
      <c r="AQ73" s="1758"/>
      <c r="AR73" s="1758"/>
      <c r="AS73" s="1758"/>
      <c r="AT73" s="1758"/>
      <c r="AU73" s="1758"/>
      <c r="AV73" s="1758"/>
      <c r="AW73" s="1758"/>
      <c r="AX73" s="1758"/>
      <c r="AY73" s="1758"/>
      <c r="AZ73" s="1758"/>
      <c r="BA73" s="1758"/>
      <c r="BB73" s="1758"/>
      <c r="BC73" s="1758"/>
      <c r="BD73" s="1758"/>
      <c r="BE73" s="1758"/>
      <c r="BF73" s="1758"/>
      <c r="BG73" s="1758"/>
      <c r="BH73" s="1758"/>
      <c r="BI73" s="1758"/>
      <c r="BJ73" s="1758"/>
      <c r="BK73" s="1758"/>
      <c r="BL73" s="1758"/>
      <c r="BM73" s="1758"/>
      <c r="BN73" s="1758"/>
      <c r="BO73" s="1758"/>
      <c r="BP73" s="1758"/>
      <c r="BQ73" s="1758"/>
      <c r="BR73" s="1758"/>
      <c r="BS73" s="1758"/>
      <c r="BT73" s="1758"/>
      <c r="BU73" s="1758"/>
      <c r="BV73" s="1758"/>
      <c r="BW73" s="1758"/>
      <c r="BX73" s="1758"/>
      <c r="BY73" s="1758"/>
      <c r="BZ73" s="1758"/>
      <c r="CA73" s="1758"/>
      <c r="CB73" s="1758"/>
      <c r="CC73" s="1758"/>
      <c r="CD73" s="1758"/>
      <c r="CE73" s="1758"/>
      <c r="CF73" s="1758"/>
      <c r="CG73" s="1758"/>
      <c r="CH73" s="1758"/>
      <c r="CI73" s="1758"/>
      <c r="CJ73" s="1758"/>
      <c r="CK73" s="1758"/>
      <c r="CL73" s="1758"/>
      <c r="CM73" s="1758"/>
      <c r="CN73" s="1758"/>
      <c r="CO73" s="1758"/>
      <c r="CP73" s="1758"/>
      <c r="CQ73" s="1758"/>
      <c r="CR73" s="1758"/>
      <c r="CS73" s="1758"/>
      <c r="CT73" s="1758"/>
      <c r="CU73" s="1758"/>
      <c r="CV73" s="1758"/>
      <c r="CW73" s="1758"/>
      <c r="CX73" s="1758"/>
      <c r="CY73" s="1758"/>
      <c r="CZ73" s="1758"/>
      <c r="DA73" s="1758"/>
      <c r="DB73" s="1758"/>
      <c r="DC73" s="1758"/>
    </row>
    <row r="74" spans="1:107" s="6132" customFormat="1" ht="22.5" customHeight="1">
      <c r="A74" s="6241"/>
      <c r="B74" s="6127"/>
      <c r="C74" s="6127"/>
      <c r="D74" s="6127"/>
      <c r="E74" s="6127"/>
      <c r="F74" s="6127"/>
      <c r="G74" s="6127"/>
      <c r="H74" s="6127"/>
      <c r="I74" s="6127"/>
      <c r="J74" s="6127"/>
      <c r="K74" s="6127"/>
      <c r="L74" s="6128"/>
      <c r="M74" s="6128"/>
      <c r="N74" s="6128"/>
      <c r="O74" s="6127"/>
      <c r="P74" s="6127"/>
      <c r="Q74" s="6129"/>
      <c r="R74" s="5391" t="s">
        <v>4289</v>
      </c>
      <c r="S74" s="5393"/>
      <c r="T74" s="5393"/>
      <c r="U74" s="5392"/>
      <c r="V74" s="7464"/>
      <c r="W74" s="5392"/>
      <c r="X74" s="5393"/>
      <c r="Y74" s="5393"/>
      <c r="Z74" s="5394" t="s">
        <v>292</v>
      </c>
      <c r="AA74" s="7468">
        <f>SUM(AA9:AA73)</f>
        <v>349.05000000000291</v>
      </c>
      <c r="AB74" s="6130"/>
      <c r="AC74" s="6131"/>
      <c r="AD74" s="10789"/>
      <c r="AE74" s="10790"/>
      <c r="AF74" s="10790"/>
      <c r="AG74" s="10791"/>
    </row>
    <row r="75" spans="1:107" s="1395" customFormat="1" ht="30.75" customHeight="1">
      <c r="A75" s="10826" t="s">
        <v>4290</v>
      </c>
      <c r="B75" s="10730" t="s">
        <v>183</v>
      </c>
      <c r="C75" s="10733" t="s">
        <v>227</v>
      </c>
      <c r="D75" s="10733" t="s">
        <v>228</v>
      </c>
      <c r="E75" s="10733" t="s">
        <v>229</v>
      </c>
      <c r="F75" s="10752" t="s">
        <v>230</v>
      </c>
      <c r="G75" s="10733" t="s">
        <v>132</v>
      </c>
      <c r="H75" s="10733" t="s">
        <v>133</v>
      </c>
      <c r="I75" s="10753" t="s">
        <v>4796</v>
      </c>
      <c r="J75" s="10733" t="s">
        <v>4797</v>
      </c>
      <c r="K75" s="10747" t="s">
        <v>4293</v>
      </c>
      <c r="L75" s="10746">
        <v>2</v>
      </c>
      <c r="M75" s="10759">
        <v>0</v>
      </c>
      <c r="N75" s="10746">
        <v>2</v>
      </c>
      <c r="O75" s="10747" t="s">
        <v>4798</v>
      </c>
      <c r="P75" s="10747" t="s">
        <v>4799</v>
      </c>
      <c r="Q75" s="10792" t="s">
        <v>4800</v>
      </c>
      <c r="R75" s="5182"/>
      <c r="S75" s="5222"/>
      <c r="T75" s="5222"/>
      <c r="U75" s="5259"/>
      <c r="V75" s="5289"/>
      <c r="W75" s="5310"/>
      <c r="X75" s="7494"/>
      <c r="Y75" s="7494"/>
      <c r="Z75" s="7494"/>
      <c r="AA75" s="7495"/>
      <c r="AB75" s="5332"/>
      <c r="AC75" s="1405"/>
      <c r="AD75" s="5310"/>
      <c r="AE75" s="5345"/>
      <c r="AF75" s="5345"/>
      <c r="AG75" s="10780" t="s">
        <v>4801</v>
      </c>
      <c r="AH75" s="1758"/>
      <c r="AI75" s="1758"/>
      <c r="AJ75" s="1758"/>
      <c r="AK75" s="1758"/>
      <c r="AL75" s="1758"/>
      <c r="AM75" s="1758"/>
      <c r="AN75" s="1758"/>
      <c r="AO75" s="1758"/>
      <c r="AP75" s="1758"/>
      <c r="AQ75" s="1758"/>
      <c r="AR75" s="1758"/>
      <c r="AS75" s="1758"/>
      <c r="AT75" s="1758"/>
      <c r="AU75" s="1758"/>
      <c r="AV75" s="1758"/>
      <c r="AW75" s="1758"/>
      <c r="AX75" s="1758"/>
      <c r="AY75" s="1758"/>
      <c r="AZ75" s="1758"/>
      <c r="BA75" s="1758"/>
      <c r="BB75" s="1758"/>
      <c r="BC75" s="1758"/>
      <c r="BD75" s="1758"/>
      <c r="BE75" s="1758"/>
      <c r="BF75" s="1758"/>
      <c r="BG75" s="1758"/>
      <c r="BH75" s="1758"/>
      <c r="BI75" s="1758"/>
      <c r="BJ75" s="1758"/>
      <c r="BK75" s="1758"/>
      <c r="BL75" s="1758"/>
      <c r="BM75" s="1758"/>
      <c r="BN75" s="1758"/>
      <c r="BO75" s="1758"/>
      <c r="BP75" s="1758"/>
      <c r="BQ75" s="1758"/>
      <c r="BR75" s="1758"/>
      <c r="BS75" s="1758"/>
      <c r="BT75" s="1758"/>
      <c r="BU75" s="1758"/>
      <c r="BV75" s="1758"/>
      <c r="BW75" s="1758"/>
      <c r="BX75" s="1758"/>
      <c r="BY75" s="1758"/>
      <c r="BZ75" s="1758"/>
      <c r="CA75" s="1758"/>
      <c r="CB75" s="1758"/>
      <c r="CC75" s="1758"/>
      <c r="CD75" s="1758"/>
      <c r="CE75" s="1758"/>
      <c r="CF75" s="1758"/>
      <c r="CG75" s="1758"/>
      <c r="CH75" s="1758"/>
      <c r="CI75" s="1758"/>
      <c r="CJ75" s="1758"/>
      <c r="CK75" s="1758"/>
      <c r="CL75" s="1758"/>
      <c r="CM75" s="1758"/>
      <c r="CN75" s="1758"/>
      <c r="CO75" s="1758"/>
      <c r="CP75" s="1758"/>
      <c r="CQ75" s="1758"/>
      <c r="CR75" s="1758"/>
      <c r="CS75" s="1758"/>
      <c r="CT75" s="1758"/>
      <c r="CU75" s="1758"/>
      <c r="CV75" s="1758"/>
      <c r="CW75" s="1758"/>
      <c r="CX75" s="1758"/>
      <c r="CY75" s="1758"/>
      <c r="CZ75" s="1758"/>
      <c r="DA75" s="1758"/>
      <c r="DB75" s="1758"/>
      <c r="DC75" s="1758"/>
    </row>
    <row r="76" spans="1:107" s="1395" customFormat="1" ht="30.75" customHeight="1">
      <c r="A76" s="10827"/>
      <c r="B76" s="10731"/>
      <c r="C76" s="10728"/>
      <c r="D76" s="10728"/>
      <c r="E76" s="10728"/>
      <c r="F76" s="10744"/>
      <c r="G76" s="10728"/>
      <c r="H76" s="10728"/>
      <c r="I76" s="10754"/>
      <c r="J76" s="10728"/>
      <c r="K76" s="10735"/>
      <c r="L76" s="10738"/>
      <c r="M76" s="10759"/>
      <c r="N76" s="10738"/>
      <c r="O76" s="10735"/>
      <c r="P76" s="10735"/>
      <c r="Q76" s="10750"/>
      <c r="R76" s="5171"/>
      <c r="S76" s="5213"/>
      <c r="T76" s="5213"/>
      <c r="U76" s="5247"/>
      <c r="V76" s="5279"/>
      <c r="W76" s="5300"/>
      <c r="X76" s="7473"/>
      <c r="Y76" s="7473"/>
      <c r="Z76" s="7473"/>
      <c r="AA76" s="7474"/>
      <c r="AB76" s="5323"/>
      <c r="AC76" s="1396"/>
      <c r="AD76" s="5300"/>
      <c r="AE76" s="5346"/>
      <c r="AF76" s="5346"/>
      <c r="AG76" s="10777"/>
      <c r="AH76" s="1758"/>
      <c r="AI76" s="1758"/>
      <c r="AJ76" s="1758"/>
      <c r="AK76" s="1758"/>
      <c r="AL76" s="1758"/>
      <c r="AM76" s="1758"/>
      <c r="AN76" s="1758"/>
      <c r="AO76" s="1758"/>
      <c r="AP76" s="1758"/>
      <c r="AQ76" s="1758"/>
      <c r="AR76" s="1758"/>
      <c r="AS76" s="1758"/>
      <c r="AT76" s="1758"/>
      <c r="AU76" s="1758"/>
      <c r="AV76" s="1758"/>
      <c r="AW76" s="1758"/>
      <c r="AX76" s="1758"/>
      <c r="AY76" s="1758"/>
      <c r="AZ76" s="1758"/>
      <c r="BA76" s="1758"/>
      <c r="BB76" s="1758"/>
      <c r="BC76" s="1758"/>
      <c r="BD76" s="1758"/>
      <c r="BE76" s="1758"/>
      <c r="BF76" s="1758"/>
      <c r="BG76" s="1758"/>
      <c r="BH76" s="1758"/>
      <c r="BI76" s="1758"/>
      <c r="BJ76" s="1758"/>
      <c r="BK76" s="1758"/>
      <c r="BL76" s="1758"/>
      <c r="BM76" s="1758"/>
      <c r="BN76" s="1758"/>
      <c r="BO76" s="1758"/>
      <c r="BP76" s="1758"/>
      <c r="BQ76" s="1758"/>
      <c r="BR76" s="1758"/>
      <c r="BS76" s="1758"/>
      <c r="BT76" s="1758"/>
      <c r="BU76" s="1758"/>
      <c r="BV76" s="1758"/>
      <c r="BW76" s="1758"/>
      <c r="BX76" s="1758"/>
      <c r="BY76" s="1758"/>
      <c r="BZ76" s="1758"/>
      <c r="CA76" s="1758"/>
      <c r="CB76" s="1758"/>
      <c r="CC76" s="1758"/>
      <c r="CD76" s="1758"/>
      <c r="CE76" s="1758"/>
      <c r="CF76" s="1758"/>
      <c r="CG76" s="1758"/>
      <c r="CH76" s="1758"/>
      <c r="CI76" s="1758"/>
      <c r="CJ76" s="1758"/>
      <c r="CK76" s="1758"/>
      <c r="CL76" s="1758"/>
      <c r="CM76" s="1758"/>
      <c r="CN76" s="1758"/>
      <c r="CO76" s="1758"/>
      <c r="CP76" s="1758"/>
      <c r="CQ76" s="1758"/>
      <c r="CR76" s="1758"/>
      <c r="CS76" s="1758"/>
      <c r="CT76" s="1758"/>
      <c r="CU76" s="1758"/>
      <c r="CV76" s="1758"/>
      <c r="CW76" s="1758"/>
      <c r="CX76" s="1758"/>
      <c r="CY76" s="1758"/>
      <c r="CZ76" s="1758"/>
      <c r="DA76" s="1758"/>
      <c r="DB76" s="1758"/>
      <c r="DC76" s="1758"/>
    </row>
    <row r="77" spans="1:107" s="1395" customFormat="1" ht="30.75" customHeight="1">
      <c r="A77" s="10827"/>
      <c r="B77" s="10731"/>
      <c r="C77" s="10728"/>
      <c r="D77" s="10728"/>
      <c r="E77" s="10728"/>
      <c r="F77" s="10744"/>
      <c r="G77" s="10728"/>
      <c r="H77" s="10728"/>
      <c r="I77" s="10754"/>
      <c r="J77" s="10728"/>
      <c r="K77" s="10735"/>
      <c r="L77" s="10738"/>
      <c r="M77" s="10759"/>
      <c r="N77" s="10738"/>
      <c r="O77" s="10735"/>
      <c r="P77" s="10735"/>
      <c r="Q77" s="10750"/>
      <c r="R77" s="5174"/>
      <c r="S77" s="5214"/>
      <c r="T77" s="5214"/>
      <c r="U77" s="5250"/>
      <c r="V77" s="5281"/>
      <c r="W77" s="5302"/>
      <c r="X77" s="7477"/>
      <c r="Y77" s="7473"/>
      <c r="Z77" s="7473"/>
      <c r="AA77" s="7474"/>
      <c r="AB77" s="5323"/>
      <c r="AC77" s="1396"/>
      <c r="AD77" s="5300"/>
      <c r="AE77" s="5346"/>
      <c r="AF77" s="5346"/>
      <c r="AG77" s="10777"/>
      <c r="AH77" s="1758"/>
      <c r="AI77" s="1758"/>
      <c r="AJ77" s="1758"/>
      <c r="AK77" s="1758"/>
      <c r="AL77" s="1758"/>
      <c r="AM77" s="1758"/>
      <c r="AN77" s="1758"/>
      <c r="AO77" s="1758"/>
      <c r="AP77" s="1758"/>
      <c r="AQ77" s="1758"/>
      <c r="AR77" s="1758"/>
      <c r="AS77" s="1758"/>
      <c r="AT77" s="1758"/>
      <c r="AU77" s="1758"/>
      <c r="AV77" s="1758"/>
      <c r="AW77" s="1758"/>
      <c r="AX77" s="1758"/>
      <c r="AY77" s="1758"/>
      <c r="AZ77" s="1758"/>
      <c r="BA77" s="1758"/>
      <c r="BB77" s="1758"/>
      <c r="BC77" s="1758"/>
      <c r="BD77" s="1758"/>
      <c r="BE77" s="1758"/>
      <c r="BF77" s="1758"/>
      <c r="BG77" s="1758"/>
      <c r="BH77" s="1758"/>
      <c r="BI77" s="1758"/>
      <c r="BJ77" s="1758"/>
      <c r="BK77" s="1758"/>
      <c r="BL77" s="1758"/>
      <c r="BM77" s="1758"/>
      <c r="BN77" s="1758"/>
      <c r="BO77" s="1758"/>
      <c r="BP77" s="1758"/>
      <c r="BQ77" s="1758"/>
      <c r="BR77" s="1758"/>
      <c r="BS77" s="1758"/>
      <c r="BT77" s="1758"/>
      <c r="BU77" s="1758"/>
      <c r="BV77" s="1758"/>
      <c r="BW77" s="1758"/>
      <c r="BX77" s="1758"/>
      <c r="BY77" s="1758"/>
      <c r="BZ77" s="1758"/>
      <c r="CA77" s="1758"/>
      <c r="CB77" s="1758"/>
      <c r="CC77" s="1758"/>
      <c r="CD77" s="1758"/>
      <c r="CE77" s="1758"/>
      <c r="CF77" s="1758"/>
      <c r="CG77" s="1758"/>
      <c r="CH77" s="1758"/>
      <c r="CI77" s="1758"/>
      <c r="CJ77" s="1758"/>
      <c r="CK77" s="1758"/>
      <c r="CL77" s="1758"/>
      <c r="CM77" s="1758"/>
      <c r="CN77" s="1758"/>
      <c r="CO77" s="1758"/>
      <c r="CP77" s="1758"/>
      <c r="CQ77" s="1758"/>
      <c r="CR77" s="1758"/>
      <c r="CS77" s="1758"/>
      <c r="CT77" s="1758"/>
      <c r="CU77" s="1758"/>
      <c r="CV77" s="1758"/>
      <c r="CW77" s="1758"/>
      <c r="CX77" s="1758"/>
      <c r="CY77" s="1758"/>
      <c r="CZ77" s="1758"/>
      <c r="DA77" s="1758"/>
      <c r="DB77" s="1758"/>
      <c r="DC77" s="1758"/>
    </row>
    <row r="78" spans="1:107" s="1395" customFormat="1" ht="30.75" customHeight="1">
      <c r="A78" s="10827"/>
      <c r="B78" s="10731"/>
      <c r="C78" s="10728"/>
      <c r="D78" s="10728"/>
      <c r="E78" s="10728"/>
      <c r="F78" s="10744"/>
      <c r="G78" s="10728"/>
      <c r="H78" s="10728"/>
      <c r="I78" s="10754"/>
      <c r="J78" s="10728"/>
      <c r="K78" s="10735"/>
      <c r="L78" s="10738"/>
      <c r="M78" s="10759"/>
      <c r="N78" s="10738"/>
      <c r="O78" s="10735"/>
      <c r="P78" s="10735"/>
      <c r="Q78" s="10750"/>
      <c r="R78" s="5173"/>
      <c r="S78" s="5212"/>
      <c r="T78" s="5212"/>
      <c r="U78" s="5250"/>
      <c r="V78" s="5281"/>
      <c r="W78" s="5302"/>
      <c r="X78" s="7477"/>
      <c r="Y78" s="7473"/>
      <c r="Z78" s="7473"/>
      <c r="AA78" s="7474"/>
      <c r="AB78" s="5323"/>
      <c r="AC78" s="1396"/>
      <c r="AD78" s="5300"/>
      <c r="AE78" s="5346"/>
      <c r="AF78" s="5346"/>
      <c r="AG78" s="10777"/>
      <c r="AH78" s="1758"/>
      <c r="AI78" s="1758"/>
      <c r="AJ78" s="1758"/>
      <c r="AK78" s="1758"/>
      <c r="AL78" s="1758"/>
      <c r="AM78" s="1758"/>
      <c r="AN78" s="1758"/>
      <c r="AO78" s="1758"/>
      <c r="AP78" s="1758"/>
      <c r="AQ78" s="1758"/>
      <c r="AR78" s="1758"/>
      <c r="AS78" s="1758"/>
      <c r="AT78" s="1758"/>
      <c r="AU78" s="1758"/>
      <c r="AV78" s="1758"/>
      <c r="AW78" s="1758"/>
      <c r="AX78" s="1758"/>
      <c r="AY78" s="1758"/>
      <c r="AZ78" s="1758"/>
      <c r="BA78" s="1758"/>
      <c r="BB78" s="1758"/>
      <c r="BC78" s="1758"/>
      <c r="BD78" s="1758"/>
      <c r="BE78" s="1758"/>
      <c r="BF78" s="1758"/>
      <c r="BG78" s="1758"/>
      <c r="BH78" s="1758"/>
      <c r="BI78" s="1758"/>
      <c r="BJ78" s="1758"/>
      <c r="BK78" s="1758"/>
      <c r="BL78" s="1758"/>
      <c r="BM78" s="1758"/>
      <c r="BN78" s="1758"/>
      <c r="BO78" s="1758"/>
      <c r="BP78" s="1758"/>
      <c r="BQ78" s="1758"/>
      <c r="BR78" s="1758"/>
      <c r="BS78" s="1758"/>
      <c r="BT78" s="1758"/>
      <c r="BU78" s="1758"/>
      <c r="BV78" s="1758"/>
      <c r="BW78" s="1758"/>
      <c r="BX78" s="1758"/>
      <c r="BY78" s="1758"/>
      <c r="BZ78" s="1758"/>
      <c r="CA78" s="1758"/>
      <c r="CB78" s="1758"/>
      <c r="CC78" s="1758"/>
      <c r="CD78" s="1758"/>
      <c r="CE78" s="1758"/>
      <c r="CF78" s="1758"/>
      <c r="CG78" s="1758"/>
      <c r="CH78" s="1758"/>
      <c r="CI78" s="1758"/>
      <c r="CJ78" s="1758"/>
      <c r="CK78" s="1758"/>
      <c r="CL78" s="1758"/>
      <c r="CM78" s="1758"/>
      <c r="CN78" s="1758"/>
      <c r="CO78" s="1758"/>
      <c r="CP78" s="1758"/>
      <c r="CQ78" s="1758"/>
      <c r="CR78" s="1758"/>
      <c r="CS78" s="1758"/>
      <c r="CT78" s="1758"/>
      <c r="CU78" s="1758"/>
      <c r="CV78" s="1758"/>
      <c r="CW78" s="1758"/>
      <c r="CX78" s="1758"/>
      <c r="CY78" s="1758"/>
      <c r="CZ78" s="1758"/>
      <c r="DA78" s="1758"/>
      <c r="DB78" s="1758"/>
      <c r="DC78" s="1758"/>
    </row>
    <row r="79" spans="1:107" s="1395" customFormat="1" ht="30.75" customHeight="1">
      <c r="A79" s="10827"/>
      <c r="B79" s="10732"/>
      <c r="C79" s="10729"/>
      <c r="D79" s="10729"/>
      <c r="E79" s="10729"/>
      <c r="F79" s="10745"/>
      <c r="G79" s="10729"/>
      <c r="H79" s="10729"/>
      <c r="I79" s="10755"/>
      <c r="J79" s="10729"/>
      <c r="K79" s="10736"/>
      <c r="L79" s="10739"/>
      <c r="M79" s="10760"/>
      <c r="N79" s="10739"/>
      <c r="O79" s="10736"/>
      <c r="P79" s="10736"/>
      <c r="Q79" s="10751"/>
      <c r="R79" s="5175"/>
      <c r="S79" s="5215"/>
      <c r="T79" s="5215"/>
      <c r="U79" s="5251"/>
      <c r="V79" s="5282"/>
      <c r="W79" s="5303"/>
      <c r="X79" s="7479"/>
      <c r="Y79" s="7479"/>
      <c r="Z79" s="7479"/>
      <c r="AA79" s="7480"/>
      <c r="AB79" s="5326"/>
      <c r="AC79" s="1399"/>
      <c r="AD79" s="5303"/>
      <c r="AE79" s="5348"/>
      <c r="AF79" s="5348"/>
      <c r="AG79" s="10778"/>
      <c r="AH79" s="1758"/>
      <c r="AI79" s="1758"/>
      <c r="AJ79" s="1758"/>
      <c r="AK79" s="1758"/>
      <c r="AL79" s="1758"/>
      <c r="AM79" s="1758"/>
      <c r="AN79" s="1758"/>
      <c r="AO79" s="1758"/>
      <c r="AP79" s="1758"/>
      <c r="AQ79" s="1758"/>
      <c r="AR79" s="1758"/>
      <c r="AS79" s="1758"/>
      <c r="AT79" s="1758"/>
      <c r="AU79" s="1758"/>
      <c r="AV79" s="1758"/>
      <c r="AW79" s="1758"/>
      <c r="AX79" s="1758"/>
      <c r="AY79" s="1758"/>
      <c r="AZ79" s="1758"/>
      <c r="BA79" s="1758"/>
      <c r="BB79" s="1758"/>
      <c r="BC79" s="1758"/>
      <c r="BD79" s="1758"/>
      <c r="BE79" s="1758"/>
      <c r="BF79" s="1758"/>
      <c r="BG79" s="1758"/>
      <c r="BH79" s="1758"/>
      <c r="BI79" s="1758"/>
      <c r="BJ79" s="1758"/>
      <c r="BK79" s="1758"/>
      <c r="BL79" s="1758"/>
      <c r="BM79" s="1758"/>
      <c r="BN79" s="1758"/>
      <c r="BO79" s="1758"/>
      <c r="BP79" s="1758"/>
      <c r="BQ79" s="1758"/>
      <c r="BR79" s="1758"/>
      <c r="BS79" s="1758"/>
      <c r="BT79" s="1758"/>
      <c r="BU79" s="1758"/>
      <c r="BV79" s="1758"/>
      <c r="BW79" s="1758"/>
      <c r="BX79" s="1758"/>
      <c r="BY79" s="1758"/>
      <c r="BZ79" s="1758"/>
      <c r="CA79" s="1758"/>
      <c r="CB79" s="1758"/>
      <c r="CC79" s="1758"/>
      <c r="CD79" s="1758"/>
      <c r="CE79" s="1758"/>
      <c r="CF79" s="1758"/>
      <c r="CG79" s="1758"/>
      <c r="CH79" s="1758"/>
      <c r="CI79" s="1758"/>
      <c r="CJ79" s="1758"/>
      <c r="CK79" s="1758"/>
      <c r="CL79" s="1758"/>
      <c r="CM79" s="1758"/>
      <c r="CN79" s="1758"/>
      <c r="CO79" s="1758"/>
      <c r="CP79" s="1758"/>
      <c r="CQ79" s="1758"/>
      <c r="CR79" s="1758"/>
      <c r="CS79" s="1758"/>
      <c r="CT79" s="1758"/>
      <c r="CU79" s="1758"/>
      <c r="CV79" s="1758"/>
      <c r="CW79" s="1758"/>
      <c r="CX79" s="1758"/>
      <c r="CY79" s="1758"/>
      <c r="CZ79" s="1758"/>
      <c r="DA79" s="1758"/>
      <c r="DB79" s="1758"/>
      <c r="DC79" s="1758"/>
    </row>
    <row r="80" spans="1:107" s="1395" customFormat="1" ht="20.25" customHeight="1">
      <c r="A80" s="10827"/>
      <c r="B80" s="10731" t="s">
        <v>183</v>
      </c>
      <c r="C80" s="10728" t="s">
        <v>227</v>
      </c>
      <c r="D80" s="10728" t="s">
        <v>228</v>
      </c>
      <c r="E80" s="10728" t="s">
        <v>229</v>
      </c>
      <c r="F80" s="10744" t="s">
        <v>230</v>
      </c>
      <c r="G80" s="10728" t="s">
        <v>132</v>
      </c>
      <c r="H80" s="10728" t="s">
        <v>133</v>
      </c>
      <c r="I80" s="10728" t="s">
        <v>4802</v>
      </c>
      <c r="J80" s="10742" t="s">
        <v>4299</v>
      </c>
      <c r="K80" s="10735" t="s">
        <v>4300</v>
      </c>
      <c r="L80" s="10759">
        <v>10</v>
      </c>
      <c r="M80" s="10759">
        <v>10</v>
      </c>
      <c r="N80" s="10759">
        <v>10</v>
      </c>
      <c r="O80" s="10735" t="s">
        <v>4803</v>
      </c>
      <c r="P80" s="10735" t="s">
        <v>4804</v>
      </c>
      <c r="Q80" s="10750" t="s">
        <v>4805</v>
      </c>
      <c r="R80" s="5173"/>
      <c r="S80" s="5212"/>
      <c r="T80" s="5212"/>
      <c r="U80" s="5249"/>
      <c r="V80" s="5281"/>
      <c r="W80" s="5302"/>
      <c r="X80" s="7477"/>
      <c r="Y80" s="7477"/>
      <c r="Z80" s="7477"/>
      <c r="AA80" s="7478"/>
      <c r="AB80" s="5325"/>
      <c r="AC80" s="1398"/>
      <c r="AD80" s="5302"/>
      <c r="AE80" s="5349"/>
      <c r="AF80" s="5349"/>
      <c r="AG80" s="10777"/>
      <c r="AH80" s="1758"/>
      <c r="AI80" s="1758"/>
      <c r="AJ80" s="1758"/>
      <c r="AK80" s="1758"/>
      <c r="AL80" s="1758"/>
      <c r="AM80" s="1758"/>
      <c r="AN80" s="1758"/>
      <c r="AO80" s="1758"/>
      <c r="AP80" s="1758"/>
      <c r="AQ80" s="1758"/>
      <c r="AR80" s="1758"/>
      <c r="AS80" s="1758"/>
      <c r="AT80" s="1758"/>
      <c r="AU80" s="1758"/>
      <c r="AV80" s="1758"/>
      <c r="AW80" s="1758"/>
      <c r="AX80" s="1758"/>
      <c r="AY80" s="1758"/>
      <c r="AZ80" s="1758"/>
      <c r="BA80" s="1758"/>
      <c r="BB80" s="1758"/>
      <c r="BC80" s="1758"/>
      <c r="BD80" s="1758"/>
      <c r="BE80" s="1758"/>
      <c r="BF80" s="1758"/>
      <c r="BG80" s="1758"/>
      <c r="BH80" s="1758"/>
      <c r="BI80" s="1758"/>
      <c r="BJ80" s="1758"/>
      <c r="BK80" s="1758"/>
      <c r="BL80" s="1758"/>
      <c r="BM80" s="1758"/>
      <c r="BN80" s="1758"/>
      <c r="BO80" s="1758"/>
      <c r="BP80" s="1758"/>
      <c r="BQ80" s="1758"/>
      <c r="BR80" s="1758"/>
      <c r="BS80" s="1758"/>
      <c r="BT80" s="1758"/>
      <c r="BU80" s="1758"/>
      <c r="BV80" s="1758"/>
      <c r="BW80" s="1758"/>
      <c r="BX80" s="1758"/>
      <c r="BY80" s="1758"/>
      <c r="BZ80" s="1758"/>
      <c r="CA80" s="1758"/>
      <c r="CB80" s="1758"/>
      <c r="CC80" s="1758"/>
      <c r="CD80" s="1758"/>
      <c r="CE80" s="1758"/>
      <c r="CF80" s="1758"/>
      <c r="CG80" s="1758"/>
      <c r="CH80" s="1758"/>
      <c r="CI80" s="1758"/>
      <c r="CJ80" s="1758"/>
      <c r="CK80" s="1758"/>
      <c r="CL80" s="1758"/>
      <c r="CM80" s="1758"/>
      <c r="CN80" s="1758"/>
      <c r="CO80" s="1758"/>
      <c r="CP80" s="1758"/>
      <c r="CQ80" s="1758"/>
      <c r="CR80" s="1758"/>
      <c r="CS80" s="1758"/>
      <c r="CT80" s="1758"/>
      <c r="CU80" s="1758"/>
      <c r="CV80" s="1758"/>
      <c r="CW80" s="1758"/>
      <c r="CX80" s="1758"/>
      <c r="CY80" s="1758"/>
      <c r="CZ80" s="1758"/>
      <c r="DA80" s="1758"/>
      <c r="DB80" s="1758"/>
      <c r="DC80" s="1758"/>
    </row>
    <row r="81" spans="1:107" s="1395" customFormat="1" ht="20.25" customHeight="1">
      <c r="A81" s="10827"/>
      <c r="B81" s="10731"/>
      <c r="C81" s="10728"/>
      <c r="D81" s="10728"/>
      <c r="E81" s="10728"/>
      <c r="F81" s="10744"/>
      <c r="G81" s="10728"/>
      <c r="H81" s="10728"/>
      <c r="I81" s="10728"/>
      <c r="J81" s="10728"/>
      <c r="K81" s="10735"/>
      <c r="L81" s="10759"/>
      <c r="M81" s="10759"/>
      <c r="N81" s="10759"/>
      <c r="O81" s="10735"/>
      <c r="P81" s="10735"/>
      <c r="Q81" s="10750"/>
      <c r="R81" s="5171"/>
      <c r="S81" s="5213"/>
      <c r="T81" s="5213"/>
      <c r="U81" s="5247"/>
      <c r="V81" s="5279"/>
      <c r="W81" s="5300"/>
      <c r="X81" s="7473"/>
      <c r="Y81" s="7473"/>
      <c r="Z81" s="7473"/>
      <c r="AA81" s="7474"/>
      <c r="AB81" s="5323"/>
      <c r="AC81" s="1396"/>
      <c r="AD81" s="5300"/>
      <c r="AE81" s="5346"/>
      <c r="AF81" s="5346"/>
      <c r="AG81" s="10777"/>
      <c r="AH81" s="1758"/>
      <c r="AI81" s="1758"/>
      <c r="AJ81" s="1758"/>
      <c r="AK81" s="1758"/>
      <c r="AL81" s="1758"/>
      <c r="AM81" s="1758"/>
      <c r="AN81" s="1758"/>
      <c r="AO81" s="1758"/>
      <c r="AP81" s="1758"/>
      <c r="AQ81" s="1758"/>
      <c r="AR81" s="1758"/>
      <c r="AS81" s="1758"/>
      <c r="AT81" s="1758"/>
      <c r="AU81" s="1758"/>
      <c r="AV81" s="1758"/>
      <c r="AW81" s="1758"/>
      <c r="AX81" s="1758"/>
      <c r="AY81" s="1758"/>
      <c r="AZ81" s="1758"/>
      <c r="BA81" s="1758"/>
      <c r="BB81" s="1758"/>
      <c r="BC81" s="1758"/>
      <c r="BD81" s="1758"/>
      <c r="BE81" s="1758"/>
      <c r="BF81" s="1758"/>
      <c r="BG81" s="1758"/>
      <c r="BH81" s="1758"/>
      <c r="BI81" s="1758"/>
      <c r="BJ81" s="1758"/>
      <c r="BK81" s="1758"/>
      <c r="BL81" s="1758"/>
      <c r="BM81" s="1758"/>
      <c r="BN81" s="1758"/>
      <c r="BO81" s="1758"/>
      <c r="BP81" s="1758"/>
      <c r="BQ81" s="1758"/>
      <c r="BR81" s="1758"/>
      <c r="BS81" s="1758"/>
      <c r="BT81" s="1758"/>
      <c r="BU81" s="1758"/>
      <c r="BV81" s="1758"/>
      <c r="BW81" s="1758"/>
      <c r="BX81" s="1758"/>
      <c r="BY81" s="1758"/>
      <c r="BZ81" s="1758"/>
      <c r="CA81" s="1758"/>
      <c r="CB81" s="1758"/>
      <c r="CC81" s="1758"/>
      <c r="CD81" s="1758"/>
      <c r="CE81" s="1758"/>
      <c r="CF81" s="1758"/>
      <c r="CG81" s="1758"/>
      <c r="CH81" s="1758"/>
      <c r="CI81" s="1758"/>
      <c r="CJ81" s="1758"/>
      <c r="CK81" s="1758"/>
      <c r="CL81" s="1758"/>
      <c r="CM81" s="1758"/>
      <c r="CN81" s="1758"/>
      <c r="CO81" s="1758"/>
      <c r="CP81" s="1758"/>
      <c r="CQ81" s="1758"/>
      <c r="CR81" s="1758"/>
      <c r="CS81" s="1758"/>
      <c r="CT81" s="1758"/>
      <c r="CU81" s="1758"/>
      <c r="CV81" s="1758"/>
      <c r="CW81" s="1758"/>
      <c r="CX81" s="1758"/>
      <c r="CY81" s="1758"/>
      <c r="CZ81" s="1758"/>
      <c r="DA81" s="1758"/>
      <c r="DB81" s="1758"/>
      <c r="DC81" s="1758"/>
    </row>
    <row r="82" spans="1:107" s="1395" customFormat="1" ht="20.25" customHeight="1">
      <c r="A82" s="10827"/>
      <c r="B82" s="10731"/>
      <c r="C82" s="10728"/>
      <c r="D82" s="10728"/>
      <c r="E82" s="10728"/>
      <c r="F82" s="10744"/>
      <c r="G82" s="10728"/>
      <c r="H82" s="10728"/>
      <c r="I82" s="10728"/>
      <c r="J82" s="10728"/>
      <c r="K82" s="10735"/>
      <c r="L82" s="10759"/>
      <c r="M82" s="10759"/>
      <c r="N82" s="10759"/>
      <c r="O82" s="10735"/>
      <c r="P82" s="10735"/>
      <c r="Q82" s="10750"/>
      <c r="R82" s="5174"/>
      <c r="S82" s="5214"/>
      <c r="T82" s="5214"/>
      <c r="U82" s="5250"/>
      <c r="V82" s="5281"/>
      <c r="W82" s="5302"/>
      <c r="X82" s="7477"/>
      <c r="Y82" s="7473"/>
      <c r="Z82" s="7473"/>
      <c r="AA82" s="7474"/>
      <c r="AB82" s="5323"/>
      <c r="AC82" s="1396"/>
      <c r="AD82" s="5300"/>
      <c r="AE82" s="5346"/>
      <c r="AF82" s="5346"/>
      <c r="AG82" s="10777"/>
      <c r="AH82" s="1758"/>
      <c r="AI82" s="1758"/>
      <c r="AJ82" s="1758"/>
      <c r="AK82" s="1758"/>
      <c r="AL82" s="1758"/>
      <c r="AM82" s="1758"/>
      <c r="AN82" s="1758"/>
      <c r="AO82" s="1758"/>
      <c r="AP82" s="1758"/>
      <c r="AQ82" s="1758"/>
      <c r="AR82" s="1758"/>
      <c r="AS82" s="1758"/>
      <c r="AT82" s="1758"/>
      <c r="AU82" s="1758"/>
      <c r="AV82" s="1758"/>
      <c r="AW82" s="1758"/>
      <c r="AX82" s="1758"/>
      <c r="AY82" s="1758"/>
      <c r="AZ82" s="1758"/>
      <c r="BA82" s="1758"/>
      <c r="BB82" s="1758"/>
      <c r="BC82" s="1758"/>
      <c r="BD82" s="1758"/>
      <c r="BE82" s="1758"/>
      <c r="BF82" s="1758"/>
      <c r="BG82" s="1758"/>
      <c r="BH82" s="1758"/>
      <c r="BI82" s="1758"/>
      <c r="BJ82" s="1758"/>
      <c r="BK82" s="1758"/>
      <c r="BL82" s="1758"/>
      <c r="BM82" s="1758"/>
      <c r="BN82" s="1758"/>
      <c r="BO82" s="1758"/>
      <c r="BP82" s="1758"/>
      <c r="BQ82" s="1758"/>
      <c r="BR82" s="1758"/>
      <c r="BS82" s="1758"/>
      <c r="BT82" s="1758"/>
      <c r="BU82" s="1758"/>
      <c r="BV82" s="1758"/>
      <c r="BW82" s="1758"/>
      <c r="BX82" s="1758"/>
      <c r="BY82" s="1758"/>
      <c r="BZ82" s="1758"/>
      <c r="CA82" s="1758"/>
      <c r="CB82" s="1758"/>
      <c r="CC82" s="1758"/>
      <c r="CD82" s="1758"/>
      <c r="CE82" s="1758"/>
      <c r="CF82" s="1758"/>
      <c r="CG82" s="1758"/>
      <c r="CH82" s="1758"/>
      <c r="CI82" s="1758"/>
      <c r="CJ82" s="1758"/>
      <c r="CK82" s="1758"/>
      <c r="CL82" s="1758"/>
      <c r="CM82" s="1758"/>
      <c r="CN82" s="1758"/>
      <c r="CO82" s="1758"/>
      <c r="CP82" s="1758"/>
      <c r="CQ82" s="1758"/>
      <c r="CR82" s="1758"/>
      <c r="CS82" s="1758"/>
      <c r="CT82" s="1758"/>
      <c r="CU82" s="1758"/>
      <c r="CV82" s="1758"/>
      <c r="CW82" s="1758"/>
      <c r="CX82" s="1758"/>
      <c r="CY82" s="1758"/>
      <c r="CZ82" s="1758"/>
      <c r="DA82" s="1758"/>
      <c r="DB82" s="1758"/>
      <c r="DC82" s="1758"/>
    </row>
    <row r="83" spans="1:107" s="1395" customFormat="1" ht="20.25" customHeight="1">
      <c r="A83" s="10827"/>
      <c r="B83" s="10731"/>
      <c r="C83" s="10728"/>
      <c r="D83" s="10728"/>
      <c r="E83" s="10728"/>
      <c r="F83" s="10744"/>
      <c r="G83" s="10728"/>
      <c r="H83" s="10728"/>
      <c r="I83" s="10728"/>
      <c r="J83" s="10728"/>
      <c r="K83" s="10735"/>
      <c r="L83" s="10759"/>
      <c r="M83" s="10759"/>
      <c r="N83" s="10759"/>
      <c r="O83" s="10735"/>
      <c r="P83" s="10735"/>
      <c r="Q83" s="10750"/>
      <c r="R83" s="5173"/>
      <c r="S83" s="5212"/>
      <c r="T83" s="5212"/>
      <c r="U83" s="5250"/>
      <c r="V83" s="5281"/>
      <c r="W83" s="5302"/>
      <c r="X83" s="7477"/>
      <c r="Y83" s="7473"/>
      <c r="Z83" s="7473"/>
      <c r="AA83" s="7474"/>
      <c r="AB83" s="5323"/>
      <c r="AC83" s="1396"/>
      <c r="AD83" s="5300"/>
      <c r="AE83" s="5346"/>
      <c r="AF83" s="5346"/>
      <c r="AG83" s="10777"/>
      <c r="AH83" s="1758"/>
      <c r="AI83" s="1758"/>
      <c r="AJ83" s="1758"/>
      <c r="AK83" s="1758"/>
      <c r="AL83" s="1758"/>
      <c r="AM83" s="1758"/>
      <c r="AN83" s="1758"/>
      <c r="AO83" s="1758"/>
      <c r="AP83" s="1758"/>
      <c r="AQ83" s="1758"/>
      <c r="AR83" s="1758"/>
      <c r="AS83" s="1758"/>
      <c r="AT83" s="1758"/>
      <c r="AU83" s="1758"/>
      <c r="AV83" s="1758"/>
      <c r="AW83" s="1758"/>
      <c r="AX83" s="1758"/>
      <c r="AY83" s="1758"/>
      <c r="AZ83" s="1758"/>
      <c r="BA83" s="1758"/>
      <c r="BB83" s="1758"/>
      <c r="BC83" s="1758"/>
      <c r="BD83" s="1758"/>
      <c r="BE83" s="1758"/>
      <c r="BF83" s="1758"/>
      <c r="BG83" s="1758"/>
      <c r="BH83" s="1758"/>
      <c r="BI83" s="1758"/>
      <c r="BJ83" s="1758"/>
      <c r="BK83" s="1758"/>
      <c r="BL83" s="1758"/>
      <c r="BM83" s="1758"/>
      <c r="BN83" s="1758"/>
      <c r="BO83" s="1758"/>
      <c r="BP83" s="1758"/>
      <c r="BQ83" s="1758"/>
      <c r="BR83" s="1758"/>
      <c r="BS83" s="1758"/>
      <c r="BT83" s="1758"/>
      <c r="BU83" s="1758"/>
      <c r="BV83" s="1758"/>
      <c r="BW83" s="1758"/>
      <c r="BX83" s="1758"/>
      <c r="BY83" s="1758"/>
      <c r="BZ83" s="1758"/>
      <c r="CA83" s="1758"/>
      <c r="CB83" s="1758"/>
      <c r="CC83" s="1758"/>
      <c r="CD83" s="1758"/>
      <c r="CE83" s="1758"/>
      <c r="CF83" s="1758"/>
      <c r="CG83" s="1758"/>
      <c r="CH83" s="1758"/>
      <c r="CI83" s="1758"/>
      <c r="CJ83" s="1758"/>
      <c r="CK83" s="1758"/>
      <c r="CL83" s="1758"/>
      <c r="CM83" s="1758"/>
      <c r="CN83" s="1758"/>
      <c r="CO83" s="1758"/>
      <c r="CP83" s="1758"/>
      <c r="CQ83" s="1758"/>
      <c r="CR83" s="1758"/>
      <c r="CS83" s="1758"/>
      <c r="CT83" s="1758"/>
      <c r="CU83" s="1758"/>
      <c r="CV83" s="1758"/>
      <c r="CW83" s="1758"/>
      <c r="CX83" s="1758"/>
      <c r="CY83" s="1758"/>
      <c r="CZ83" s="1758"/>
      <c r="DA83" s="1758"/>
      <c r="DB83" s="1758"/>
      <c r="DC83" s="1758"/>
    </row>
    <row r="84" spans="1:107" s="1395" customFormat="1" ht="20.25" customHeight="1">
      <c r="A84" s="10827"/>
      <c r="B84" s="10732"/>
      <c r="C84" s="10729"/>
      <c r="D84" s="10729"/>
      <c r="E84" s="10729"/>
      <c r="F84" s="10745"/>
      <c r="G84" s="10729"/>
      <c r="H84" s="10729"/>
      <c r="I84" s="10729"/>
      <c r="J84" s="10729"/>
      <c r="K84" s="10736"/>
      <c r="L84" s="10760"/>
      <c r="M84" s="10760"/>
      <c r="N84" s="10760"/>
      <c r="O84" s="10736"/>
      <c r="P84" s="10736"/>
      <c r="Q84" s="10751"/>
      <c r="R84" s="5175"/>
      <c r="S84" s="5215"/>
      <c r="T84" s="5215"/>
      <c r="U84" s="5251"/>
      <c r="V84" s="5282"/>
      <c r="W84" s="5303"/>
      <c r="X84" s="7479"/>
      <c r="Y84" s="7479"/>
      <c r="Z84" s="7479"/>
      <c r="AA84" s="7480"/>
      <c r="AB84" s="5326"/>
      <c r="AC84" s="1399"/>
      <c r="AD84" s="5303"/>
      <c r="AE84" s="5348"/>
      <c r="AF84" s="5348"/>
      <c r="AG84" s="10778"/>
      <c r="AH84" s="1758"/>
      <c r="AI84" s="1758"/>
      <c r="AJ84" s="1758"/>
      <c r="AK84" s="1758"/>
      <c r="AL84" s="1758"/>
      <c r="AM84" s="1758"/>
      <c r="AN84" s="1758"/>
      <c r="AO84" s="1758"/>
      <c r="AP84" s="1758"/>
      <c r="AQ84" s="1758"/>
      <c r="AR84" s="1758"/>
      <c r="AS84" s="1758"/>
      <c r="AT84" s="1758"/>
      <c r="AU84" s="1758"/>
      <c r="AV84" s="1758"/>
      <c r="AW84" s="1758"/>
      <c r="AX84" s="1758"/>
      <c r="AY84" s="1758"/>
      <c r="AZ84" s="1758"/>
      <c r="BA84" s="1758"/>
      <c r="BB84" s="1758"/>
      <c r="BC84" s="1758"/>
      <c r="BD84" s="1758"/>
      <c r="BE84" s="1758"/>
      <c r="BF84" s="1758"/>
      <c r="BG84" s="1758"/>
      <c r="BH84" s="1758"/>
      <c r="BI84" s="1758"/>
      <c r="BJ84" s="1758"/>
      <c r="BK84" s="1758"/>
      <c r="BL84" s="1758"/>
      <c r="BM84" s="1758"/>
      <c r="BN84" s="1758"/>
      <c r="BO84" s="1758"/>
      <c r="BP84" s="1758"/>
      <c r="BQ84" s="1758"/>
      <c r="BR84" s="1758"/>
      <c r="BS84" s="1758"/>
      <c r="BT84" s="1758"/>
      <c r="BU84" s="1758"/>
      <c r="BV84" s="1758"/>
      <c r="BW84" s="1758"/>
      <c r="BX84" s="1758"/>
      <c r="BY84" s="1758"/>
      <c r="BZ84" s="1758"/>
      <c r="CA84" s="1758"/>
      <c r="CB84" s="1758"/>
      <c r="CC84" s="1758"/>
      <c r="CD84" s="1758"/>
      <c r="CE84" s="1758"/>
      <c r="CF84" s="1758"/>
      <c r="CG84" s="1758"/>
      <c r="CH84" s="1758"/>
      <c r="CI84" s="1758"/>
      <c r="CJ84" s="1758"/>
      <c r="CK84" s="1758"/>
      <c r="CL84" s="1758"/>
      <c r="CM84" s="1758"/>
      <c r="CN84" s="1758"/>
      <c r="CO84" s="1758"/>
      <c r="CP84" s="1758"/>
      <c r="CQ84" s="1758"/>
      <c r="CR84" s="1758"/>
      <c r="CS84" s="1758"/>
      <c r="CT84" s="1758"/>
      <c r="CU84" s="1758"/>
      <c r="CV84" s="1758"/>
      <c r="CW84" s="1758"/>
      <c r="CX84" s="1758"/>
      <c r="CY84" s="1758"/>
      <c r="CZ84" s="1758"/>
      <c r="DA84" s="1758"/>
      <c r="DB84" s="1758"/>
      <c r="DC84" s="1758"/>
    </row>
    <row r="85" spans="1:107" s="1395" customFormat="1" ht="31.5" customHeight="1">
      <c r="A85" s="10827"/>
      <c r="B85" s="10731" t="s">
        <v>183</v>
      </c>
      <c r="C85" s="10728" t="s">
        <v>227</v>
      </c>
      <c r="D85" s="10728" t="s">
        <v>490</v>
      </c>
      <c r="E85" s="10728" t="s">
        <v>1484</v>
      </c>
      <c r="F85" s="10744" t="s">
        <v>230</v>
      </c>
      <c r="G85" s="10728" t="s">
        <v>231</v>
      </c>
      <c r="H85" s="10728" t="s">
        <v>159</v>
      </c>
      <c r="I85" s="10728" t="s">
        <v>4806</v>
      </c>
      <c r="J85" s="10742" t="s">
        <v>4305</v>
      </c>
      <c r="K85" s="10735" t="s">
        <v>4807</v>
      </c>
      <c r="L85" s="10759">
        <v>0</v>
      </c>
      <c r="M85" s="10759">
        <v>0</v>
      </c>
      <c r="N85" s="10759">
        <v>0</v>
      </c>
      <c r="O85" s="10735"/>
      <c r="P85" s="10735"/>
      <c r="Q85" s="10750"/>
      <c r="R85" s="5173"/>
      <c r="S85" s="5212"/>
      <c r="T85" s="5212"/>
      <c r="U85" s="5249"/>
      <c r="V85" s="5281"/>
      <c r="W85" s="5302"/>
      <c r="X85" s="7477"/>
      <c r="Y85" s="7477"/>
      <c r="Z85" s="7477"/>
      <c r="AA85" s="7478"/>
      <c r="AB85" s="5325"/>
      <c r="AC85" s="1398"/>
      <c r="AD85" s="5302"/>
      <c r="AE85" s="5349"/>
      <c r="AF85" s="5349"/>
      <c r="AG85" s="10779" t="s">
        <v>4808</v>
      </c>
      <c r="AH85" s="1758"/>
      <c r="AI85" s="1758"/>
      <c r="AJ85" s="1758"/>
      <c r="AK85" s="1758"/>
      <c r="AL85" s="1758"/>
      <c r="AM85" s="1758"/>
      <c r="AN85" s="1758"/>
      <c r="AO85" s="1758"/>
      <c r="AP85" s="1758"/>
      <c r="AQ85" s="1758"/>
      <c r="AR85" s="1758"/>
      <c r="AS85" s="1758"/>
      <c r="AT85" s="1758"/>
      <c r="AU85" s="1758"/>
      <c r="AV85" s="1758"/>
      <c r="AW85" s="1758"/>
      <c r="AX85" s="1758"/>
      <c r="AY85" s="1758"/>
      <c r="AZ85" s="1758"/>
      <c r="BA85" s="1758"/>
      <c r="BB85" s="1758"/>
      <c r="BC85" s="1758"/>
      <c r="BD85" s="1758"/>
      <c r="BE85" s="1758"/>
      <c r="BF85" s="1758"/>
      <c r="BG85" s="1758"/>
      <c r="BH85" s="1758"/>
      <c r="BI85" s="1758"/>
      <c r="BJ85" s="1758"/>
      <c r="BK85" s="1758"/>
      <c r="BL85" s="1758"/>
      <c r="BM85" s="1758"/>
      <c r="BN85" s="1758"/>
      <c r="BO85" s="1758"/>
      <c r="BP85" s="1758"/>
      <c r="BQ85" s="1758"/>
      <c r="BR85" s="1758"/>
      <c r="BS85" s="1758"/>
      <c r="BT85" s="1758"/>
      <c r="BU85" s="1758"/>
      <c r="BV85" s="1758"/>
      <c r="BW85" s="1758"/>
      <c r="BX85" s="1758"/>
      <c r="BY85" s="1758"/>
      <c r="BZ85" s="1758"/>
      <c r="CA85" s="1758"/>
      <c r="CB85" s="1758"/>
      <c r="CC85" s="1758"/>
      <c r="CD85" s="1758"/>
      <c r="CE85" s="1758"/>
      <c r="CF85" s="1758"/>
      <c r="CG85" s="1758"/>
      <c r="CH85" s="1758"/>
      <c r="CI85" s="1758"/>
      <c r="CJ85" s="1758"/>
      <c r="CK85" s="1758"/>
      <c r="CL85" s="1758"/>
      <c r="CM85" s="1758"/>
      <c r="CN85" s="1758"/>
      <c r="CO85" s="1758"/>
      <c r="CP85" s="1758"/>
      <c r="CQ85" s="1758"/>
      <c r="CR85" s="1758"/>
      <c r="CS85" s="1758"/>
      <c r="CT85" s="1758"/>
      <c r="CU85" s="1758"/>
      <c r="CV85" s="1758"/>
      <c r="CW85" s="1758"/>
      <c r="CX85" s="1758"/>
      <c r="CY85" s="1758"/>
      <c r="CZ85" s="1758"/>
      <c r="DA85" s="1758"/>
      <c r="DB85" s="1758"/>
      <c r="DC85" s="1758"/>
    </row>
    <row r="86" spans="1:107" s="1395" customFormat="1" ht="31.5" customHeight="1">
      <c r="A86" s="10827"/>
      <c r="B86" s="10731"/>
      <c r="C86" s="10728"/>
      <c r="D86" s="10728"/>
      <c r="E86" s="10728"/>
      <c r="F86" s="10744"/>
      <c r="G86" s="10728"/>
      <c r="H86" s="10728"/>
      <c r="I86" s="10728"/>
      <c r="J86" s="10728"/>
      <c r="K86" s="10735"/>
      <c r="L86" s="10759"/>
      <c r="M86" s="10759"/>
      <c r="N86" s="10759"/>
      <c r="O86" s="10735"/>
      <c r="P86" s="10735"/>
      <c r="Q86" s="10750"/>
      <c r="R86" s="5171"/>
      <c r="S86" s="5213"/>
      <c r="T86" s="5213"/>
      <c r="U86" s="5247"/>
      <c r="V86" s="5279"/>
      <c r="W86" s="5300"/>
      <c r="X86" s="7473"/>
      <c r="Y86" s="7473"/>
      <c r="Z86" s="7473"/>
      <c r="AA86" s="7474"/>
      <c r="AB86" s="5323"/>
      <c r="AC86" s="1396"/>
      <c r="AD86" s="5300"/>
      <c r="AE86" s="5346"/>
      <c r="AF86" s="5346"/>
      <c r="AG86" s="10777"/>
      <c r="AH86" s="1758"/>
      <c r="AI86" s="1758"/>
      <c r="AJ86" s="1758"/>
      <c r="AK86" s="1758"/>
      <c r="AL86" s="1758"/>
      <c r="AM86" s="1758"/>
      <c r="AN86" s="1758"/>
      <c r="AO86" s="1758"/>
      <c r="AP86" s="1758"/>
      <c r="AQ86" s="1758"/>
      <c r="AR86" s="1758"/>
      <c r="AS86" s="1758"/>
      <c r="AT86" s="1758"/>
      <c r="AU86" s="1758"/>
      <c r="AV86" s="1758"/>
      <c r="AW86" s="1758"/>
      <c r="AX86" s="1758"/>
      <c r="AY86" s="1758"/>
      <c r="AZ86" s="1758"/>
      <c r="BA86" s="1758"/>
      <c r="BB86" s="1758"/>
      <c r="BC86" s="1758"/>
      <c r="BD86" s="1758"/>
      <c r="BE86" s="1758"/>
      <c r="BF86" s="1758"/>
      <c r="BG86" s="1758"/>
      <c r="BH86" s="1758"/>
      <c r="BI86" s="1758"/>
      <c r="BJ86" s="1758"/>
      <c r="BK86" s="1758"/>
      <c r="BL86" s="1758"/>
      <c r="BM86" s="1758"/>
      <c r="BN86" s="1758"/>
      <c r="BO86" s="1758"/>
      <c r="BP86" s="1758"/>
      <c r="BQ86" s="1758"/>
      <c r="BR86" s="1758"/>
      <c r="BS86" s="1758"/>
      <c r="BT86" s="1758"/>
      <c r="BU86" s="1758"/>
      <c r="BV86" s="1758"/>
      <c r="BW86" s="1758"/>
      <c r="BX86" s="1758"/>
      <c r="BY86" s="1758"/>
      <c r="BZ86" s="1758"/>
      <c r="CA86" s="1758"/>
      <c r="CB86" s="1758"/>
      <c r="CC86" s="1758"/>
      <c r="CD86" s="1758"/>
      <c r="CE86" s="1758"/>
      <c r="CF86" s="1758"/>
      <c r="CG86" s="1758"/>
      <c r="CH86" s="1758"/>
      <c r="CI86" s="1758"/>
      <c r="CJ86" s="1758"/>
      <c r="CK86" s="1758"/>
      <c r="CL86" s="1758"/>
      <c r="CM86" s="1758"/>
      <c r="CN86" s="1758"/>
      <c r="CO86" s="1758"/>
      <c r="CP86" s="1758"/>
      <c r="CQ86" s="1758"/>
      <c r="CR86" s="1758"/>
      <c r="CS86" s="1758"/>
      <c r="CT86" s="1758"/>
      <c r="CU86" s="1758"/>
      <c r="CV86" s="1758"/>
      <c r="CW86" s="1758"/>
      <c r="CX86" s="1758"/>
      <c r="CY86" s="1758"/>
      <c r="CZ86" s="1758"/>
      <c r="DA86" s="1758"/>
      <c r="DB86" s="1758"/>
      <c r="DC86" s="1758"/>
    </row>
    <row r="87" spans="1:107" s="1395" customFormat="1" ht="31.5" customHeight="1">
      <c r="A87" s="10827"/>
      <c r="B87" s="10731"/>
      <c r="C87" s="10728"/>
      <c r="D87" s="10728"/>
      <c r="E87" s="10728"/>
      <c r="F87" s="10744"/>
      <c r="G87" s="10728"/>
      <c r="H87" s="10728"/>
      <c r="I87" s="10728"/>
      <c r="J87" s="10728"/>
      <c r="K87" s="10735"/>
      <c r="L87" s="10759"/>
      <c r="M87" s="10759"/>
      <c r="N87" s="10759"/>
      <c r="O87" s="10735"/>
      <c r="P87" s="10735"/>
      <c r="Q87" s="10750"/>
      <c r="R87" s="5174"/>
      <c r="S87" s="5214"/>
      <c r="T87" s="5214"/>
      <c r="U87" s="5250"/>
      <c r="V87" s="5281"/>
      <c r="W87" s="5302"/>
      <c r="X87" s="7477"/>
      <c r="Y87" s="7473"/>
      <c r="Z87" s="7473"/>
      <c r="AA87" s="7474"/>
      <c r="AB87" s="5323"/>
      <c r="AC87" s="1396"/>
      <c r="AD87" s="5300"/>
      <c r="AE87" s="5346"/>
      <c r="AF87" s="5346"/>
      <c r="AG87" s="10777"/>
      <c r="AH87" s="1758"/>
      <c r="AI87" s="1758"/>
      <c r="AJ87" s="1758"/>
      <c r="AK87" s="1758"/>
      <c r="AL87" s="1758"/>
      <c r="AM87" s="1758"/>
      <c r="AN87" s="1758"/>
      <c r="AO87" s="1758"/>
      <c r="AP87" s="1758"/>
      <c r="AQ87" s="1758"/>
      <c r="AR87" s="1758"/>
      <c r="AS87" s="1758"/>
      <c r="AT87" s="1758"/>
      <c r="AU87" s="1758"/>
      <c r="AV87" s="1758"/>
      <c r="AW87" s="1758"/>
      <c r="AX87" s="1758"/>
      <c r="AY87" s="1758"/>
      <c r="AZ87" s="1758"/>
      <c r="BA87" s="1758"/>
      <c r="BB87" s="1758"/>
      <c r="BC87" s="1758"/>
      <c r="BD87" s="1758"/>
      <c r="BE87" s="1758"/>
      <c r="BF87" s="1758"/>
      <c r="BG87" s="1758"/>
      <c r="BH87" s="1758"/>
      <c r="BI87" s="1758"/>
      <c r="BJ87" s="1758"/>
      <c r="BK87" s="1758"/>
      <c r="BL87" s="1758"/>
      <c r="BM87" s="1758"/>
      <c r="BN87" s="1758"/>
      <c r="BO87" s="1758"/>
      <c r="BP87" s="1758"/>
      <c r="BQ87" s="1758"/>
      <c r="BR87" s="1758"/>
      <c r="BS87" s="1758"/>
      <c r="BT87" s="1758"/>
      <c r="BU87" s="1758"/>
      <c r="BV87" s="1758"/>
      <c r="BW87" s="1758"/>
      <c r="BX87" s="1758"/>
      <c r="BY87" s="1758"/>
      <c r="BZ87" s="1758"/>
      <c r="CA87" s="1758"/>
      <c r="CB87" s="1758"/>
      <c r="CC87" s="1758"/>
      <c r="CD87" s="1758"/>
      <c r="CE87" s="1758"/>
      <c r="CF87" s="1758"/>
      <c r="CG87" s="1758"/>
      <c r="CH87" s="1758"/>
      <c r="CI87" s="1758"/>
      <c r="CJ87" s="1758"/>
      <c r="CK87" s="1758"/>
      <c r="CL87" s="1758"/>
      <c r="CM87" s="1758"/>
      <c r="CN87" s="1758"/>
      <c r="CO87" s="1758"/>
      <c r="CP87" s="1758"/>
      <c r="CQ87" s="1758"/>
      <c r="CR87" s="1758"/>
      <c r="CS87" s="1758"/>
      <c r="CT87" s="1758"/>
      <c r="CU87" s="1758"/>
      <c r="CV87" s="1758"/>
      <c r="CW87" s="1758"/>
      <c r="CX87" s="1758"/>
      <c r="CY87" s="1758"/>
      <c r="CZ87" s="1758"/>
      <c r="DA87" s="1758"/>
      <c r="DB87" s="1758"/>
      <c r="DC87" s="1758"/>
    </row>
    <row r="88" spans="1:107" s="1395" customFormat="1" ht="31.5" customHeight="1">
      <c r="A88" s="10827"/>
      <c r="B88" s="10731"/>
      <c r="C88" s="10728"/>
      <c r="D88" s="10728"/>
      <c r="E88" s="10728"/>
      <c r="F88" s="10744"/>
      <c r="G88" s="10728"/>
      <c r="H88" s="10728"/>
      <c r="I88" s="10728"/>
      <c r="J88" s="10728"/>
      <c r="K88" s="10735"/>
      <c r="L88" s="10759"/>
      <c r="M88" s="10759"/>
      <c r="N88" s="10759"/>
      <c r="O88" s="10735"/>
      <c r="P88" s="10735"/>
      <c r="Q88" s="10750"/>
      <c r="R88" s="5173"/>
      <c r="S88" s="5212"/>
      <c r="T88" s="5212"/>
      <c r="U88" s="5250"/>
      <c r="V88" s="5281"/>
      <c r="W88" s="5302"/>
      <c r="X88" s="7477"/>
      <c r="Y88" s="7473"/>
      <c r="Z88" s="7473"/>
      <c r="AA88" s="7474"/>
      <c r="AB88" s="5323"/>
      <c r="AC88" s="1396"/>
      <c r="AD88" s="5300"/>
      <c r="AE88" s="5346"/>
      <c r="AF88" s="5346"/>
      <c r="AG88" s="10777"/>
      <c r="AH88" s="1758"/>
      <c r="AI88" s="1758"/>
      <c r="AJ88" s="1758"/>
      <c r="AK88" s="1758"/>
      <c r="AL88" s="1758"/>
      <c r="AM88" s="1758"/>
      <c r="AN88" s="1758"/>
      <c r="AO88" s="1758"/>
      <c r="AP88" s="1758"/>
      <c r="AQ88" s="1758"/>
      <c r="AR88" s="1758"/>
      <c r="AS88" s="1758"/>
      <c r="AT88" s="1758"/>
      <c r="AU88" s="1758"/>
      <c r="AV88" s="1758"/>
      <c r="AW88" s="1758"/>
      <c r="AX88" s="1758"/>
      <c r="AY88" s="1758"/>
      <c r="AZ88" s="1758"/>
      <c r="BA88" s="1758"/>
      <c r="BB88" s="1758"/>
      <c r="BC88" s="1758"/>
      <c r="BD88" s="1758"/>
      <c r="BE88" s="1758"/>
      <c r="BF88" s="1758"/>
      <c r="BG88" s="1758"/>
      <c r="BH88" s="1758"/>
      <c r="BI88" s="1758"/>
      <c r="BJ88" s="1758"/>
      <c r="BK88" s="1758"/>
      <c r="BL88" s="1758"/>
      <c r="BM88" s="1758"/>
      <c r="BN88" s="1758"/>
      <c r="BO88" s="1758"/>
      <c r="BP88" s="1758"/>
      <c r="BQ88" s="1758"/>
      <c r="BR88" s="1758"/>
      <c r="BS88" s="1758"/>
      <c r="BT88" s="1758"/>
      <c r="BU88" s="1758"/>
      <c r="BV88" s="1758"/>
      <c r="BW88" s="1758"/>
      <c r="BX88" s="1758"/>
      <c r="BY88" s="1758"/>
      <c r="BZ88" s="1758"/>
      <c r="CA88" s="1758"/>
      <c r="CB88" s="1758"/>
      <c r="CC88" s="1758"/>
      <c r="CD88" s="1758"/>
      <c r="CE88" s="1758"/>
      <c r="CF88" s="1758"/>
      <c r="CG88" s="1758"/>
      <c r="CH88" s="1758"/>
      <c r="CI88" s="1758"/>
      <c r="CJ88" s="1758"/>
      <c r="CK88" s="1758"/>
      <c r="CL88" s="1758"/>
      <c r="CM88" s="1758"/>
      <c r="CN88" s="1758"/>
      <c r="CO88" s="1758"/>
      <c r="CP88" s="1758"/>
      <c r="CQ88" s="1758"/>
      <c r="CR88" s="1758"/>
      <c r="CS88" s="1758"/>
      <c r="CT88" s="1758"/>
      <c r="CU88" s="1758"/>
      <c r="CV88" s="1758"/>
      <c r="CW88" s="1758"/>
      <c r="CX88" s="1758"/>
      <c r="CY88" s="1758"/>
      <c r="CZ88" s="1758"/>
      <c r="DA88" s="1758"/>
      <c r="DB88" s="1758"/>
      <c r="DC88" s="1758"/>
    </row>
    <row r="89" spans="1:107" s="1395" customFormat="1" ht="31.5" customHeight="1">
      <c r="A89" s="10827"/>
      <c r="B89" s="10732"/>
      <c r="C89" s="10729"/>
      <c r="D89" s="10729"/>
      <c r="E89" s="10729"/>
      <c r="F89" s="10745"/>
      <c r="G89" s="10729"/>
      <c r="H89" s="10729"/>
      <c r="I89" s="10729"/>
      <c r="J89" s="10729"/>
      <c r="K89" s="10736"/>
      <c r="L89" s="10760"/>
      <c r="M89" s="10760"/>
      <c r="N89" s="10760"/>
      <c r="O89" s="10736"/>
      <c r="P89" s="10736"/>
      <c r="Q89" s="10751"/>
      <c r="R89" s="5175"/>
      <c r="S89" s="5215"/>
      <c r="T89" s="5215"/>
      <c r="U89" s="5251"/>
      <c r="V89" s="5282"/>
      <c r="W89" s="5303"/>
      <c r="X89" s="7479"/>
      <c r="Y89" s="7479"/>
      <c r="Z89" s="7479"/>
      <c r="AA89" s="7480"/>
      <c r="AB89" s="5326"/>
      <c r="AC89" s="1399"/>
      <c r="AD89" s="5303"/>
      <c r="AE89" s="5348"/>
      <c r="AF89" s="5348"/>
      <c r="AG89" s="10778"/>
      <c r="AH89" s="1758"/>
      <c r="AI89" s="1758"/>
      <c r="AJ89" s="1758"/>
      <c r="AK89" s="1758"/>
      <c r="AL89" s="1758"/>
      <c r="AM89" s="1758"/>
      <c r="AN89" s="1758"/>
      <c r="AO89" s="1758"/>
      <c r="AP89" s="1758"/>
      <c r="AQ89" s="1758"/>
      <c r="AR89" s="1758"/>
      <c r="AS89" s="1758"/>
      <c r="AT89" s="1758"/>
      <c r="AU89" s="1758"/>
      <c r="AV89" s="1758"/>
      <c r="AW89" s="1758"/>
      <c r="AX89" s="1758"/>
      <c r="AY89" s="1758"/>
      <c r="AZ89" s="1758"/>
      <c r="BA89" s="1758"/>
      <c r="BB89" s="1758"/>
      <c r="BC89" s="1758"/>
      <c r="BD89" s="1758"/>
      <c r="BE89" s="1758"/>
      <c r="BF89" s="1758"/>
      <c r="BG89" s="1758"/>
      <c r="BH89" s="1758"/>
      <c r="BI89" s="1758"/>
      <c r="BJ89" s="1758"/>
      <c r="BK89" s="1758"/>
      <c r="BL89" s="1758"/>
      <c r="BM89" s="1758"/>
      <c r="BN89" s="1758"/>
      <c r="BO89" s="1758"/>
      <c r="BP89" s="1758"/>
      <c r="BQ89" s="1758"/>
      <c r="BR89" s="1758"/>
      <c r="BS89" s="1758"/>
      <c r="BT89" s="1758"/>
      <c r="BU89" s="1758"/>
      <c r="BV89" s="1758"/>
      <c r="BW89" s="1758"/>
      <c r="BX89" s="1758"/>
      <c r="BY89" s="1758"/>
      <c r="BZ89" s="1758"/>
      <c r="CA89" s="1758"/>
      <c r="CB89" s="1758"/>
      <c r="CC89" s="1758"/>
      <c r="CD89" s="1758"/>
      <c r="CE89" s="1758"/>
      <c r="CF89" s="1758"/>
      <c r="CG89" s="1758"/>
      <c r="CH89" s="1758"/>
      <c r="CI89" s="1758"/>
      <c r="CJ89" s="1758"/>
      <c r="CK89" s="1758"/>
      <c r="CL89" s="1758"/>
      <c r="CM89" s="1758"/>
      <c r="CN89" s="1758"/>
      <c r="CO89" s="1758"/>
      <c r="CP89" s="1758"/>
      <c r="CQ89" s="1758"/>
      <c r="CR89" s="1758"/>
      <c r="CS89" s="1758"/>
      <c r="CT89" s="1758"/>
      <c r="CU89" s="1758"/>
      <c r="CV89" s="1758"/>
      <c r="CW89" s="1758"/>
      <c r="CX89" s="1758"/>
      <c r="CY89" s="1758"/>
      <c r="CZ89" s="1758"/>
      <c r="DA89" s="1758"/>
      <c r="DB89" s="1758"/>
      <c r="DC89" s="1758"/>
    </row>
    <row r="90" spans="1:107" s="1395" customFormat="1" ht="33" customHeight="1">
      <c r="A90" s="10827"/>
      <c r="B90" s="10731" t="s">
        <v>183</v>
      </c>
      <c r="C90" s="10728" t="s">
        <v>227</v>
      </c>
      <c r="D90" s="10728" t="s">
        <v>228</v>
      </c>
      <c r="E90" s="10728" t="s">
        <v>229</v>
      </c>
      <c r="F90" s="10744" t="s">
        <v>230</v>
      </c>
      <c r="G90" s="10728" t="s">
        <v>132</v>
      </c>
      <c r="H90" s="10728" t="s">
        <v>159</v>
      </c>
      <c r="I90" s="10742" t="s">
        <v>4809</v>
      </c>
      <c r="J90" s="10742" t="s">
        <v>4312</v>
      </c>
      <c r="K90" s="10735" t="s">
        <v>4313</v>
      </c>
      <c r="L90" s="10759">
        <v>0</v>
      </c>
      <c r="M90" s="10759">
        <v>6</v>
      </c>
      <c r="N90" s="10759">
        <v>6</v>
      </c>
      <c r="O90" s="10735" t="s">
        <v>4810</v>
      </c>
      <c r="P90" s="10735" t="s">
        <v>4811</v>
      </c>
      <c r="Q90" s="10750" t="s">
        <v>4812</v>
      </c>
      <c r="R90" s="5173"/>
      <c r="S90" s="5212"/>
      <c r="T90" s="5212"/>
      <c r="U90" s="5249"/>
      <c r="V90" s="5281"/>
      <c r="W90" s="5302"/>
      <c r="X90" s="7477"/>
      <c r="Y90" s="7477"/>
      <c r="Z90" s="7477"/>
      <c r="AA90" s="7478"/>
      <c r="AB90" s="5325"/>
      <c r="AC90" s="1398"/>
      <c r="AD90" s="5302"/>
      <c r="AE90" s="5349"/>
      <c r="AF90" s="5349"/>
      <c r="AG90" s="10777" t="s">
        <v>4813</v>
      </c>
      <c r="AH90" s="1758"/>
      <c r="AI90" s="1758"/>
      <c r="AJ90" s="1758"/>
      <c r="AK90" s="1758"/>
      <c r="AL90" s="1758"/>
      <c r="AM90" s="1758"/>
      <c r="AN90" s="1758"/>
      <c r="AO90" s="1758"/>
      <c r="AP90" s="1758"/>
      <c r="AQ90" s="1758"/>
      <c r="AR90" s="1758"/>
      <c r="AS90" s="1758"/>
      <c r="AT90" s="1758"/>
      <c r="AU90" s="1758"/>
      <c r="AV90" s="1758"/>
      <c r="AW90" s="1758"/>
      <c r="AX90" s="1758"/>
      <c r="AY90" s="1758"/>
      <c r="AZ90" s="1758"/>
      <c r="BA90" s="1758"/>
      <c r="BB90" s="1758"/>
      <c r="BC90" s="1758"/>
      <c r="BD90" s="1758"/>
      <c r="BE90" s="1758"/>
      <c r="BF90" s="1758"/>
      <c r="BG90" s="1758"/>
      <c r="BH90" s="1758"/>
      <c r="BI90" s="1758"/>
      <c r="BJ90" s="1758"/>
      <c r="BK90" s="1758"/>
      <c r="BL90" s="1758"/>
      <c r="BM90" s="1758"/>
      <c r="BN90" s="1758"/>
      <c r="BO90" s="1758"/>
      <c r="BP90" s="1758"/>
      <c r="BQ90" s="1758"/>
      <c r="BR90" s="1758"/>
      <c r="BS90" s="1758"/>
      <c r="BT90" s="1758"/>
      <c r="BU90" s="1758"/>
      <c r="BV90" s="1758"/>
      <c r="BW90" s="1758"/>
      <c r="BX90" s="1758"/>
      <c r="BY90" s="1758"/>
      <c r="BZ90" s="1758"/>
      <c r="CA90" s="1758"/>
      <c r="CB90" s="1758"/>
      <c r="CC90" s="1758"/>
      <c r="CD90" s="1758"/>
      <c r="CE90" s="1758"/>
      <c r="CF90" s="1758"/>
      <c r="CG90" s="1758"/>
      <c r="CH90" s="1758"/>
      <c r="CI90" s="1758"/>
      <c r="CJ90" s="1758"/>
      <c r="CK90" s="1758"/>
      <c r="CL90" s="1758"/>
      <c r="CM90" s="1758"/>
      <c r="CN90" s="1758"/>
      <c r="CO90" s="1758"/>
      <c r="CP90" s="1758"/>
      <c r="CQ90" s="1758"/>
      <c r="CR90" s="1758"/>
      <c r="CS90" s="1758"/>
      <c r="CT90" s="1758"/>
      <c r="CU90" s="1758"/>
      <c r="CV90" s="1758"/>
      <c r="CW90" s="1758"/>
      <c r="CX90" s="1758"/>
      <c r="CY90" s="1758"/>
      <c r="CZ90" s="1758"/>
      <c r="DA90" s="1758"/>
      <c r="DB90" s="1758"/>
      <c r="DC90" s="1758"/>
    </row>
    <row r="91" spans="1:107" s="1395" customFormat="1" ht="33" customHeight="1">
      <c r="A91" s="10827"/>
      <c r="B91" s="10731"/>
      <c r="C91" s="10728"/>
      <c r="D91" s="10728"/>
      <c r="E91" s="10728"/>
      <c r="F91" s="10744"/>
      <c r="G91" s="10728"/>
      <c r="H91" s="10728"/>
      <c r="I91" s="10728"/>
      <c r="J91" s="10728"/>
      <c r="K91" s="10735"/>
      <c r="L91" s="10759"/>
      <c r="M91" s="10759"/>
      <c r="N91" s="10759"/>
      <c r="O91" s="10735"/>
      <c r="P91" s="10735"/>
      <c r="Q91" s="10750"/>
      <c r="R91" s="5171"/>
      <c r="S91" s="5213"/>
      <c r="T91" s="5213"/>
      <c r="U91" s="5247"/>
      <c r="V91" s="5279"/>
      <c r="W91" s="5300"/>
      <c r="X91" s="7473"/>
      <c r="Y91" s="7473"/>
      <c r="Z91" s="7473"/>
      <c r="AA91" s="7474"/>
      <c r="AB91" s="5323"/>
      <c r="AC91" s="1396"/>
      <c r="AD91" s="5300"/>
      <c r="AE91" s="5346"/>
      <c r="AF91" s="5346"/>
      <c r="AG91" s="10777"/>
      <c r="AH91" s="1758"/>
      <c r="AI91" s="1758"/>
      <c r="AJ91" s="1758"/>
      <c r="AK91" s="1758"/>
      <c r="AL91" s="1758"/>
      <c r="AM91" s="1758"/>
      <c r="AN91" s="1758"/>
      <c r="AO91" s="1758"/>
      <c r="AP91" s="1758"/>
      <c r="AQ91" s="1758"/>
      <c r="AR91" s="1758"/>
      <c r="AS91" s="1758"/>
      <c r="AT91" s="1758"/>
      <c r="AU91" s="1758"/>
      <c r="AV91" s="1758"/>
      <c r="AW91" s="1758"/>
      <c r="AX91" s="1758"/>
      <c r="AY91" s="1758"/>
      <c r="AZ91" s="1758"/>
      <c r="BA91" s="1758"/>
      <c r="BB91" s="1758"/>
      <c r="BC91" s="1758"/>
      <c r="BD91" s="1758"/>
      <c r="BE91" s="1758"/>
      <c r="BF91" s="1758"/>
      <c r="BG91" s="1758"/>
      <c r="BH91" s="1758"/>
      <c r="BI91" s="1758"/>
      <c r="BJ91" s="1758"/>
      <c r="BK91" s="1758"/>
      <c r="BL91" s="1758"/>
      <c r="BM91" s="1758"/>
      <c r="BN91" s="1758"/>
      <c r="BO91" s="1758"/>
      <c r="BP91" s="1758"/>
      <c r="BQ91" s="1758"/>
      <c r="BR91" s="1758"/>
      <c r="BS91" s="1758"/>
      <c r="BT91" s="1758"/>
      <c r="BU91" s="1758"/>
      <c r="BV91" s="1758"/>
      <c r="BW91" s="1758"/>
      <c r="BX91" s="1758"/>
      <c r="BY91" s="1758"/>
      <c r="BZ91" s="1758"/>
      <c r="CA91" s="1758"/>
      <c r="CB91" s="1758"/>
      <c r="CC91" s="1758"/>
      <c r="CD91" s="1758"/>
      <c r="CE91" s="1758"/>
      <c r="CF91" s="1758"/>
      <c r="CG91" s="1758"/>
      <c r="CH91" s="1758"/>
      <c r="CI91" s="1758"/>
      <c r="CJ91" s="1758"/>
      <c r="CK91" s="1758"/>
      <c r="CL91" s="1758"/>
      <c r="CM91" s="1758"/>
      <c r="CN91" s="1758"/>
      <c r="CO91" s="1758"/>
      <c r="CP91" s="1758"/>
      <c r="CQ91" s="1758"/>
      <c r="CR91" s="1758"/>
      <c r="CS91" s="1758"/>
      <c r="CT91" s="1758"/>
      <c r="CU91" s="1758"/>
      <c r="CV91" s="1758"/>
      <c r="CW91" s="1758"/>
      <c r="CX91" s="1758"/>
      <c r="CY91" s="1758"/>
      <c r="CZ91" s="1758"/>
      <c r="DA91" s="1758"/>
      <c r="DB91" s="1758"/>
      <c r="DC91" s="1758"/>
    </row>
    <row r="92" spans="1:107" s="1395" customFormat="1" ht="33" customHeight="1">
      <c r="A92" s="10827"/>
      <c r="B92" s="10731"/>
      <c r="C92" s="10728"/>
      <c r="D92" s="10728"/>
      <c r="E92" s="10728"/>
      <c r="F92" s="10744"/>
      <c r="G92" s="10728"/>
      <c r="H92" s="10728"/>
      <c r="I92" s="10728"/>
      <c r="J92" s="10728"/>
      <c r="K92" s="10735"/>
      <c r="L92" s="10759"/>
      <c r="M92" s="10759"/>
      <c r="N92" s="10759"/>
      <c r="O92" s="10735"/>
      <c r="P92" s="10735"/>
      <c r="Q92" s="10750"/>
      <c r="R92" s="5174"/>
      <c r="S92" s="5214"/>
      <c r="T92" s="5214"/>
      <c r="U92" s="5250"/>
      <c r="V92" s="5281"/>
      <c r="W92" s="5302"/>
      <c r="X92" s="7477"/>
      <c r="Y92" s="7473"/>
      <c r="Z92" s="7473"/>
      <c r="AA92" s="7474"/>
      <c r="AB92" s="5323"/>
      <c r="AC92" s="1396"/>
      <c r="AD92" s="5300"/>
      <c r="AE92" s="5346"/>
      <c r="AF92" s="5346"/>
      <c r="AG92" s="10777"/>
      <c r="AH92" s="1758"/>
      <c r="AI92" s="1758"/>
      <c r="AJ92" s="1758"/>
      <c r="AK92" s="1758"/>
      <c r="AL92" s="1758"/>
      <c r="AM92" s="1758"/>
      <c r="AN92" s="1758"/>
      <c r="AO92" s="1758"/>
      <c r="AP92" s="1758"/>
      <c r="AQ92" s="1758"/>
      <c r="AR92" s="1758"/>
      <c r="AS92" s="1758"/>
      <c r="AT92" s="1758"/>
      <c r="AU92" s="1758"/>
      <c r="AV92" s="1758"/>
      <c r="AW92" s="1758"/>
      <c r="AX92" s="1758"/>
      <c r="AY92" s="1758"/>
      <c r="AZ92" s="1758"/>
      <c r="BA92" s="1758"/>
      <c r="BB92" s="1758"/>
      <c r="BC92" s="1758"/>
      <c r="BD92" s="1758"/>
      <c r="BE92" s="1758"/>
      <c r="BF92" s="1758"/>
      <c r="BG92" s="1758"/>
      <c r="BH92" s="1758"/>
      <c r="BI92" s="1758"/>
      <c r="BJ92" s="1758"/>
      <c r="BK92" s="1758"/>
      <c r="BL92" s="1758"/>
      <c r="BM92" s="1758"/>
      <c r="BN92" s="1758"/>
      <c r="BO92" s="1758"/>
      <c r="BP92" s="1758"/>
      <c r="BQ92" s="1758"/>
      <c r="BR92" s="1758"/>
      <c r="BS92" s="1758"/>
      <c r="BT92" s="1758"/>
      <c r="BU92" s="1758"/>
      <c r="BV92" s="1758"/>
      <c r="BW92" s="1758"/>
      <c r="BX92" s="1758"/>
      <c r="BY92" s="1758"/>
      <c r="BZ92" s="1758"/>
      <c r="CA92" s="1758"/>
      <c r="CB92" s="1758"/>
      <c r="CC92" s="1758"/>
      <c r="CD92" s="1758"/>
      <c r="CE92" s="1758"/>
      <c r="CF92" s="1758"/>
      <c r="CG92" s="1758"/>
      <c r="CH92" s="1758"/>
      <c r="CI92" s="1758"/>
      <c r="CJ92" s="1758"/>
      <c r="CK92" s="1758"/>
      <c r="CL92" s="1758"/>
      <c r="CM92" s="1758"/>
      <c r="CN92" s="1758"/>
      <c r="CO92" s="1758"/>
      <c r="CP92" s="1758"/>
      <c r="CQ92" s="1758"/>
      <c r="CR92" s="1758"/>
      <c r="CS92" s="1758"/>
      <c r="CT92" s="1758"/>
      <c r="CU92" s="1758"/>
      <c r="CV92" s="1758"/>
      <c r="CW92" s="1758"/>
      <c r="CX92" s="1758"/>
      <c r="CY92" s="1758"/>
      <c r="CZ92" s="1758"/>
      <c r="DA92" s="1758"/>
      <c r="DB92" s="1758"/>
      <c r="DC92" s="1758"/>
    </row>
    <row r="93" spans="1:107" s="1395" customFormat="1" ht="33" customHeight="1">
      <c r="A93" s="10827"/>
      <c r="B93" s="10731"/>
      <c r="C93" s="10728"/>
      <c r="D93" s="10728"/>
      <c r="E93" s="10728"/>
      <c r="F93" s="10744"/>
      <c r="G93" s="10728"/>
      <c r="H93" s="10728"/>
      <c r="I93" s="10728"/>
      <c r="J93" s="10728"/>
      <c r="K93" s="10735"/>
      <c r="L93" s="10759"/>
      <c r="M93" s="10759"/>
      <c r="N93" s="10759"/>
      <c r="O93" s="10735"/>
      <c r="P93" s="10735"/>
      <c r="Q93" s="10750"/>
      <c r="R93" s="5173"/>
      <c r="S93" s="5212"/>
      <c r="T93" s="5212"/>
      <c r="U93" s="5250"/>
      <c r="V93" s="5281"/>
      <c r="W93" s="5302"/>
      <c r="X93" s="7477"/>
      <c r="Y93" s="7473"/>
      <c r="Z93" s="7473"/>
      <c r="AA93" s="7474"/>
      <c r="AB93" s="5323"/>
      <c r="AC93" s="1396"/>
      <c r="AD93" s="5300"/>
      <c r="AE93" s="5346"/>
      <c r="AF93" s="5346"/>
      <c r="AG93" s="10777"/>
      <c r="AH93" s="1758"/>
      <c r="AI93" s="1758"/>
      <c r="AJ93" s="1758"/>
      <c r="AK93" s="1758"/>
      <c r="AL93" s="1758"/>
      <c r="AM93" s="1758"/>
      <c r="AN93" s="1758"/>
      <c r="AO93" s="1758"/>
      <c r="AP93" s="1758"/>
      <c r="AQ93" s="1758"/>
      <c r="AR93" s="1758"/>
      <c r="AS93" s="1758"/>
      <c r="AT93" s="1758"/>
      <c r="AU93" s="1758"/>
      <c r="AV93" s="1758"/>
      <c r="AW93" s="1758"/>
      <c r="AX93" s="1758"/>
      <c r="AY93" s="1758"/>
      <c r="AZ93" s="1758"/>
      <c r="BA93" s="1758"/>
      <c r="BB93" s="1758"/>
      <c r="BC93" s="1758"/>
      <c r="BD93" s="1758"/>
      <c r="BE93" s="1758"/>
      <c r="BF93" s="1758"/>
      <c r="BG93" s="1758"/>
      <c r="BH93" s="1758"/>
      <c r="BI93" s="1758"/>
      <c r="BJ93" s="1758"/>
      <c r="BK93" s="1758"/>
      <c r="BL93" s="1758"/>
      <c r="BM93" s="1758"/>
      <c r="BN93" s="1758"/>
      <c r="BO93" s="1758"/>
      <c r="BP93" s="1758"/>
      <c r="BQ93" s="1758"/>
      <c r="BR93" s="1758"/>
      <c r="BS93" s="1758"/>
      <c r="BT93" s="1758"/>
      <c r="BU93" s="1758"/>
      <c r="BV93" s="1758"/>
      <c r="BW93" s="1758"/>
      <c r="BX93" s="1758"/>
      <c r="BY93" s="1758"/>
      <c r="BZ93" s="1758"/>
      <c r="CA93" s="1758"/>
      <c r="CB93" s="1758"/>
      <c r="CC93" s="1758"/>
      <c r="CD93" s="1758"/>
      <c r="CE93" s="1758"/>
      <c r="CF93" s="1758"/>
      <c r="CG93" s="1758"/>
      <c r="CH93" s="1758"/>
      <c r="CI93" s="1758"/>
      <c r="CJ93" s="1758"/>
      <c r="CK93" s="1758"/>
      <c r="CL93" s="1758"/>
      <c r="CM93" s="1758"/>
      <c r="CN93" s="1758"/>
      <c r="CO93" s="1758"/>
      <c r="CP93" s="1758"/>
      <c r="CQ93" s="1758"/>
      <c r="CR93" s="1758"/>
      <c r="CS93" s="1758"/>
      <c r="CT93" s="1758"/>
      <c r="CU93" s="1758"/>
      <c r="CV93" s="1758"/>
      <c r="CW93" s="1758"/>
      <c r="CX93" s="1758"/>
      <c r="CY93" s="1758"/>
      <c r="CZ93" s="1758"/>
      <c r="DA93" s="1758"/>
      <c r="DB93" s="1758"/>
      <c r="DC93" s="1758"/>
    </row>
    <row r="94" spans="1:107" s="1395" customFormat="1" ht="33" customHeight="1">
      <c r="A94" s="10827"/>
      <c r="B94" s="10732"/>
      <c r="C94" s="10729"/>
      <c r="D94" s="10729"/>
      <c r="E94" s="10729"/>
      <c r="F94" s="10745"/>
      <c r="G94" s="10729"/>
      <c r="H94" s="10729"/>
      <c r="I94" s="10729"/>
      <c r="J94" s="10729"/>
      <c r="K94" s="10736"/>
      <c r="L94" s="10760"/>
      <c r="M94" s="10760"/>
      <c r="N94" s="10760"/>
      <c r="O94" s="10736"/>
      <c r="P94" s="10736"/>
      <c r="Q94" s="10751"/>
      <c r="R94" s="5175"/>
      <c r="S94" s="5215"/>
      <c r="T94" s="5215"/>
      <c r="U94" s="5251"/>
      <c r="V94" s="5282"/>
      <c r="W94" s="5303"/>
      <c r="X94" s="7479"/>
      <c r="Y94" s="7479"/>
      <c r="Z94" s="7479"/>
      <c r="AA94" s="7480"/>
      <c r="AB94" s="5326"/>
      <c r="AC94" s="1399"/>
      <c r="AD94" s="5303"/>
      <c r="AE94" s="5348"/>
      <c r="AF94" s="5348"/>
      <c r="AG94" s="10778"/>
      <c r="AH94" s="1758"/>
      <c r="AI94" s="1758"/>
      <c r="AJ94" s="1758"/>
      <c r="AK94" s="1758"/>
      <c r="AL94" s="1758"/>
      <c r="AM94" s="1758"/>
      <c r="AN94" s="1758"/>
      <c r="AO94" s="1758"/>
      <c r="AP94" s="1758"/>
      <c r="AQ94" s="1758"/>
      <c r="AR94" s="1758"/>
      <c r="AS94" s="1758"/>
      <c r="AT94" s="1758"/>
      <c r="AU94" s="1758"/>
      <c r="AV94" s="1758"/>
      <c r="AW94" s="1758"/>
      <c r="AX94" s="1758"/>
      <c r="AY94" s="1758"/>
      <c r="AZ94" s="1758"/>
      <c r="BA94" s="1758"/>
      <c r="BB94" s="1758"/>
      <c r="BC94" s="1758"/>
      <c r="BD94" s="1758"/>
      <c r="BE94" s="1758"/>
      <c r="BF94" s="1758"/>
      <c r="BG94" s="1758"/>
      <c r="BH94" s="1758"/>
      <c r="BI94" s="1758"/>
      <c r="BJ94" s="1758"/>
      <c r="BK94" s="1758"/>
      <c r="BL94" s="1758"/>
      <c r="BM94" s="1758"/>
      <c r="BN94" s="1758"/>
      <c r="BO94" s="1758"/>
      <c r="BP94" s="1758"/>
      <c r="BQ94" s="1758"/>
      <c r="BR94" s="1758"/>
      <c r="BS94" s="1758"/>
      <c r="BT94" s="1758"/>
      <c r="BU94" s="1758"/>
      <c r="BV94" s="1758"/>
      <c r="BW94" s="1758"/>
      <c r="BX94" s="1758"/>
      <c r="BY94" s="1758"/>
      <c r="BZ94" s="1758"/>
      <c r="CA94" s="1758"/>
      <c r="CB94" s="1758"/>
      <c r="CC94" s="1758"/>
      <c r="CD94" s="1758"/>
      <c r="CE94" s="1758"/>
      <c r="CF94" s="1758"/>
      <c r="CG94" s="1758"/>
      <c r="CH94" s="1758"/>
      <c r="CI94" s="1758"/>
      <c r="CJ94" s="1758"/>
      <c r="CK94" s="1758"/>
      <c r="CL94" s="1758"/>
      <c r="CM94" s="1758"/>
      <c r="CN94" s="1758"/>
      <c r="CO94" s="1758"/>
      <c r="CP94" s="1758"/>
      <c r="CQ94" s="1758"/>
      <c r="CR94" s="1758"/>
      <c r="CS94" s="1758"/>
      <c r="CT94" s="1758"/>
      <c r="CU94" s="1758"/>
      <c r="CV94" s="1758"/>
      <c r="CW94" s="1758"/>
      <c r="CX94" s="1758"/>
      <c r="CY94" s="1758"/>
      <c r="CZ94" s="1758"/>
      <c r="DA94" s="1758"/>
      <c r="DB94" s="1758"/>
      <c r="DC94" s="1758"/>
    </row>
    <row r="95" spans="1:107" s="1395" customFormat="1" ht="53.25" customHeight="1">
      <c r="A95" s="10827"/>
      <c r="B95" s="10731" t="s">
        <v>183</v>
      </c>
      <c r="C95" s="10728" t="s">
        <v>227</v>
      </c>
      <c r="D95" s="10728" t="s">
        <v>228</v>
      </c>
      <c r="E95" s="10728" t="s">
        <v>255</v>
      </c>
      <c r="F95" s="10744" t="s">
        <v>230</v>
      </c>
      <c r="G95" s="10728" t="s">
        <v>132</v>
      </c>
      <c r="H95" s="10728" t="s">
        <v>133</v>
      </c>
      <c r="I95" s="10753" t="s">
        <v>4814</v>
      </c>
      <c r="J95" s="10832" t="s">
        <v>4326</v>
      </c>
      <c r="K95" s="10735" t="s">
        <v>4327</v>
      </c>
      <c r="L95" s="10759">
        <v>1</v>
      </c>
      <c r="M95" s="10759">
        <v>0</v>
      </c>
      <c r="N95" s="10759">
        <v>1</v>
      </c>
      <c r="O95" s="10735" t="s">
        <v>4815</v>
      </c>
      <c r="P95" s="10735" t="s">
        <v>4816</v>
      </c>
      <c r="Q95" s="10750" t="s">
        <v>4817</v>
      </c>
      <c r="R95" s="5173"/>
      <c r="S95" s="5212"/>
      <c r="T95" s="5212"/>
      <c r="U95" s="5249"/>
      <c r="V95" s="5281"/>
      <c r="W95" s="5302"/>
      <c r="X95" s="7477"/>
      <c r="Y95" s="7477"/>
      <c r="Z95" s="7477"/>
      <c r="AA95" s="7478"/>
      <c r="AB95" s="5325"/>
      <c r="AC95" s="1398"/>
      <c r="AD95" s="5302"/>
      <c r="AE95" s="5349"/>
      <c r="AF95" s="5349"/>
      <c r="AG95" s="10777" t="s">
        <v>4818</v>
      </c>
      <c r="AH95" s="1758"/>
      <c r="AI95" s="1758"/>
      <c r="AJ95" s="1758"/>
      <c r="AK95" s="1758"/>
      <c r="AL95" s="1758"/>
      <c r="AM95" s="1758"/>
      <c r="AN95" s="1758"/>
      <c r="AO95" s="1758"/>
      <c r="AP95" s="1758"/>
      <c r="AQ95" s="1758"/>
      <c r="AR95" s="1758"/>
      <c r="AS95" s="1758"/>
      <c r="AT95" s="1758"/>
      <c r="AU95" s="1758"/>
      <c r="AV95" s="1758"/>
      <c r="AW95" s="1758"/>
      <c r="AX95" s="1758"/>
      <c r="AY95" s="1758"/>
      <c r="AZ95" s="1758"/>
      <c r="BA95" s="1758"/>
      <c r="BB95" s="1758"/>
      <c r="BC95" s="1758"/>
      <c r="BD95" s="1758"/>
      <c r="BE95" s="1758"/>
      <c r="BF95" s="1758"/>
      <c r="BG95" s="1758"/>
      <c r="BH95" s="1758"/>
      <c r="BI95" s="1758"/>
      <c r="BJ95" s="1758"/>
      <c r="BK95" s="1758"/>
      <c r="BL95" s="1758"/>
      <c r="BM95" s="1758"/>
      <c r="BN95" s="1758"/>
      <c r="BO95" s="1758"/>
      <c r="BP95" s="1758"/>
      <c r="BQ95" s="1758"/>
      <c r="BR95" s="1758"/>
      <c r="BS95" s="1758"/>
      <c r="BT95" s="1758"/>
      <c r="BU95" s="1758"/>
      <c r="BV95" s="1758"/>
      <c r="BW95" s="1758"/>
      <c r="BX95" s="1758"/>
      <c r="BY95" s="1758"/>
      <c r="BZ95" s="1758"/>
      <c r="CA95" s="1758"/>
      <c r="CB95" s="1758"/>
      <c r="CC95" s="1758"/>
      <c r="CD95" s="1758"/>
      <c r="CE95" s="1758"/>
      <c r="CF95" s="1758"/>
      <c r="CG95" s="1758"/>
      <c r="CH95" s="1758"/>
      <c r="CI95" s="1758"/>
      <c r="CJ95" s="1758"/>
      <c r="CK95" s="1758"/>
      <c r="CL95" s="1758"/>
      <c r="CM95" s="1758"/>
      <c r="CN95" s="1758"/>
      <c r="CO95" s="1758"/>
      <c r="CP95" s="1758"/>
      <c r="CQ95" s="1758"/>
      <c r="CR95" s="1758"/>
      <c r="CS95" s="1758"/>
      <c r="CT95" s="1758"/>
      <c r="CU95" s="1758"/>
      <c r="CV95" s="1758"/>
      <c r="CW95" s="1758"/>
      <c r="CX95" s="1758"/>
      <c r="CY95" s="1758"/>
      <c r="CZ95" s="1758"/>
      <c r="DA95" s="1758"/>
      <c r="DB95" s="1758"/>
      <c r="DC95" s="1758"/>
    </row>
    <row r="96" spans="1:107" s="1395" customFormat="1" ht="53.25" customHeight="1">
      <c r="A96" s="10827"/>
      <c r="B96" s="10731"/>
      <c r="C96" s="10728"/>
      <c r="D96" s="10728"/>
      <c r="E96" s="10728"/>
      <c r="F96" s="10744"/>
      <c r="G96" s="10728"/>
      <c r="H96" s="10728"/>
      <c r="I96" s="10754"/>
      <c r="J96" s="10801"/>
      <c r="K96" s="10735"/>
      <c r="L96" s="10759"/>
      <c r="M96" s="10759"/>
      <c r="N96" s="10759"/>
      <c r="O96" s="10735"/>
      <c r="P96" s="10735"/>
      <c r="Q96" s="10750"/>
      <c r="R96" s="5183"/>
      <c r="S96" s="5223"/>
      <c r="T96" s="5223"/>
      <c r="U96" s="5260"/>
      <c r="V96" s="5290"/>
      <c r="W96" s="5311"/>
      <c r="X96" s="7489"/>
      <c r="Y96" s="7489"/>
      <c r="Z96" s="7489"/>
      <c r="AA96" s="7496"/>
      <c r="AB96" s="5333"/>
      <c r="AC96" s="1406"/>
      <c r="AD96" s="5311"/>
      <c r="AE96" s="5353"/>
      <c r="AF96" s="5346"/>
      <c r="AG96" s="10777"/>
      <c r="AH96" s="1758"/>
      <c r="AI96" s="1758"/>
      <c r="AJ96" s="1758"/>
      <c r="AK96" s="1758"/>
      <c r="AL96" s="1758"/>
      <c r="AM96" s="1758"/>
      <c r="AN96" s="1758"/>
      <c r="AO96" s="1758"/>
      <c r="AP96" s="1758"/>
      <c r="AQ96" s="1758"/>
      <c r="AR96" s="1758"/>
      <c r="AS96" s="1758"/>
      <c r="AT96" s="1758"/>
      <c r="AU96" s="1758"/>
      <c r="AV96" s="1758"/>
      <c r="AW96" s="1758"/>
      <c r="AX96" s="1758"/>
      <c r="AY96" s="1758"/>
      <c r="AZ96" s="1758"/>
      <c r="BA96" s="1758"/>
      <c r="BB96" s="1758"/>
      <c r="BC96" s="1758"/>
      <c r="BD96" s="1758"/>
      <c r="BE96" s="1758"/>
      <c r="BF96" s="1758"/>
      <c r="BG96" s="1758"/>
      <c r="BH96" s="1758"/>
      <c r="BI96" s="1758"/>
      <c r="BJ96" s="1758"/>
      <c r="BK96" s="1758"/>
      <c r="BL96" s="1758"/>
      <c r="BM96" s="1758"/>
      <c r="BN96" s="1758"/>
      <c r="BO96" s="1758"/>
      <c r="BP96" s="1758"/>
      <c r="BQ96" s="1758"/>
      <c r="BR96" s="1758"/>
      <c r="BS96" s="1758"/>
      <c r="BT96" s="1758"/>
      <c r="BU96" s="1758"/>
      <c r="BV96" s="1758"/>
      <c r="BW96" s="1758"/>
      <c r="BX96" s="1758"/>
      <c r="BY96" s="1758"/>
      <c r="BZ96" s="1758"/>
      <c r="CA96" s="1758"/>
      <c r="CB96" s="1758"/>
      <c r="CC96" s="1758"/>
      <c r="CD96" s="1758"/>
      <c r="CE96" s="1758"/>
      <c r="CF96" s="1758"/>
      <c r="CG96" s="1758"/>
      <c r="CH96" s="1758"/>
      <c r="CI96" s="1758"/>
      <c r="CJ96" s="1758"/>
      <c r="CK96" s="1758"/>
      <c r="CL96" s="1758"/>
      <c r="CM96" s="1758"/>
      <c r="CN96" s="1758"/>
      <c r="CO96" s="1758"/>
      <c r="CP96" s="1758"/>
      <c r="CQ96" s="1758"/>
      <c r="CR96" s="1758"/>
      <c r="CS96" s="1758"/>
      <c r="CT96" s="1758"/>
      <c r="CU96" s="1758"/>
      <c r="CV96" s="1758"/>
      <c r="CW96" s="1758"/>
      <c r="CX96" s="1758"/>
      <c r="CY96" s="1758"/>
      <c r="CZ96" s="1758"/>
      <c r="DA96" s="1758"/>
      <c r="DB96" s="1758"/>
      <c r="DC96" s="1758"/>
    </row>
    <row r="97" spans="1:107" s="1395" customFormat="1" ht="53.25" customHeight="1">
      <c r="A97" s="10827"/>
      <c r="B97" s="10731"/>
      <c r="C97" s="10728"/>
      <c r="D97" s="10728"/>
      <c r="E97" s="10728"/>
      <c r="F97" s="10744"/>
      <c r="G97" s="10728"/>
      <c r="H97" s="10728"/>
      <c r="I97" s="10754"/>
      <c r="J97" s="10801"/>
      <c r="K97" s="10735"/>
      <c r="L97" s="10759"/>
      <c r="M97" s="10759"/>
      <c r="N97" s="10759"/>
      <c r="O97" s="10735"/>
      <c r="P97" s="10735"/>
      <c r="Q97" s="10750"/>
      <c r="R97" s="5184"/>
      <c r="S97" s="5224"/>
      <c r="T97" s="5224"/>
      <c r="U97" s="5261"/>
      <c r="V97" s="5291"/>
      <c r="W97" s="5312"/>
      <c r="X97" s="7497"/>
      <c r="Y97" s="7489"/>
      <c r="Z97" s="7489"/>
      <c r="AA97" s="7496"/>
      <c r="AB97" s="5333"/>
      <c r="AC97" s="1406"/>
      <c r="AD97" s="5311"/>
      <c r="AE97" s="5353"/>
      <c r="AF97" s="5346"/>
      <c r="AG97" s="10777"/>
      <c r="AH97" s="1758"/>
      <c r="AI97" s="1758"/>
      <c r="AJ97" s="1758"/>
      <c r="AK97" s="1758"/>
      <c r="AL97" s="1758"/>
      <c r="AM97" s="1758"/>
      <c r="AN97" s="1758"/>
      <c r="AO97" s="1758"/>
      <c r="AP97" s="1758"/>
      <c r="AQ97" s="1758"/>
      <c r="AR97" s="1758"/>
      <c r="AS97" s="1758"/>
      <c r="AT97" s="1758"/>
      <c r="AU97" s="1758"/>
      <c r="AV97" s="1758"/>
      <c r="AW97" s="1758"/>
      <c r="AX97" s="1758"/>
      <c r="AY97" s="1758"/>
      <c r="AZ97" s="1758"/>
      <c r="BA97" s="1758"/>
      <c r="BB97" s="1758"/>
      <c r="BC97" s="1758"/>
      <c r="BD97" s="1758"/>
      <c r="BE97" s="1758"/>
      <c r="BF97" s="1758"/>
      <c r="BG97" s="1758"/>
      <c r="BH97" s="1758"/>
      <c r="BI97" s="1758"/>
      <c r="BJ97" s="1758"/>
      <c r="BK97" s="1758"/>
      <c r="BL97" s="1758"/>
      <c r="BM97" s="1758"/>
      <c r="BN97" s="1758"/>
      <c r="BO97" s="1758"/>
      <c r="BP97" s="1758"/>
      <c r="BQ97" s="1758"/>
      <c r="BR97" s="1758"/>
      <c r="BS97" s="1758"/>
      <c r="BT97" s="1758"/>
      <c r="BU97" s="1758"/>
      <c r="BV97" s="1758"/>
      <c r="BW97" s="1758"/>
      <c r="BX97" s="1758"/>
      <c r="BY97" s="1758"/>
      <c r="BZ97" s="1758"/>
      <c r="CA97" s="1758"/>
      <c r="CB97" s="1758"/>
      <c r="CC97" s="1758"/>
      <c r="CD97" s="1758"/>
      <c r="CE97" s="1758"/>
      <c r="CF97" s="1758"/>
      <c r="CG97" s="1758"/>
      <c r="CH97" s="1758"/>
      <c r="CI97" s="1758"/>
      <c r="CJ97" s="1758"/>
      <c r="CK97" s="1758"/>
      <c r="CL97" s="1758"/>
      <c r="CM97" s="1758"/>
      <c r="CN97" s="1758"/>
      <c r="CO97" s="1758"/>
      <c r="CP97" s="1758"/>
      <c r="CQ97" s="1758"/>
      <c r="CR97" s="1758"/>
      <c r="CS97" s="1758"/>
      <c r="CT97" s="1758"/>
      <c r="CU97" s="1758"/>
      <c r="CV97" s="1758"/>
      <c r="CW97" s="1758"/>
      <c r="CX97" s="1758"/>
      <c r="CY97" s="1758"/>
      <c r="CZ97" s="1758"/>
      <c r="DA97" s="1758"/>
      <c r="DB97" s="1758"/>
      <c r="DC97" s="1758"/>
    </row>
    <row r="98" spans="1:107" s="1395" customFormat="1" ht="53.25" customHeight="1">
      <c r="A98" s="10827"/>
      <c r="B98" s="10731"/>
      <c r="C98" s="10728"/>
      <c r="D98" s="10728"/>
      <c r="E98" s="10728"/>
      <c r="F98" s="10744"/>
      <c r="G98" s="10728"/>
      <c r="H98" s="10728"/>
      <c r="I98" s="10754"/>
      <c r="J98" s="10801"/>
      <c r="K98" s="10735"/>
      <c r="L98" s="10759"/>
      <c r="M98" s="10759"/>
      <c r="N98" s="10759"/>
      <c r="O98" s="10735"/>
      <c r="P98" s="10735"/>
      <c r="Q98" s="10750"/>
      <c r="R98" s="5185"/>
      <c r="S98" s="5225"/>
      <c r="T98" s="5225"/>
      <c r="U98" s="5261"/>
      <c r="V98" s="5292"/>
      <c r="W98" s="5312"/>
      <c r="X98" s="7497"/>
      <c r="Y98" s="7489"/>
      <c r="Z98" s="7489"/>
      <c r="AA98" s="7496"/>
      <c r="AB98" s="5333"/>
      <c r="AC98" s="1406"/>
      <c r="AD98" s="5311"/>
      <c r="AE98" s="5353"/>
      <c r="AF98" s="5346"/>
      <c r="AG98" s="10777"/>
      <c r="AH98" s="1758"/>
      <c r="AI98" s="1758"/>
      <c r="AJ98" s="1758"/>
      <c r="AK98" s="1758"/>
      <c r="AL98" s="1758"/>
      <c r="AM98" s="1758"/>
      <c r="AN98" s="1758"/>
      <c r="AO98" s="1758"/>
      <c r="AP98" s="1758"/>
      <c r="AQ98" s="1758"/>
      <c r="AR98" s="1758"/>
      <c r="AS98" s="1758"/>
      <c r="AT98" s="1758"/>
      <c r="AU98" s="1758"/>
      <c r="AV98" s="1758"/>
      <c r="AW98" s="1758"/>
      <c r="AX98" s="1758"/>
      <c r="AY98" s="1758"/>
      <c r="AZ98" s="1758"/>
      <c r="BA98" s="1758"/>
      <c r="BB98" s="1758"/>
      <c r="BC98" s="1758"/>
      <c r="BD98" s="1758"/>
      <c r="BE98" s="1758"/>
      <c r="BF98" s="1758"/>
      <c r="BG98" s="1758"/>
      <c r="BH98" s="1758"/>
      <c r="BI98" s="1758"/>
      <c r="BJ98" s="1758"/>
      <c r="BK98" s="1758"/>
      <c r="BL98" s="1758"/>
      <c r="BM98" s="1758"/>
      <c r="BN98" s="1758"/>
      <c r="BO98" s="1758"/>
      <c r="BP98" s="1758"/>
      <c r="BQ98" s="1758"/>
      <c r="BR98" s="1758"/>
      <c r="BS98" s="1758"/>
      <c r="BT98" s="1758"/>
      <c r="BU98" s="1758"/>
      <c r="BV98" s="1758"/>
      <c r="BW98" s="1758"/>
      <c r="BX98" s="1758"/>
      <c r="BY98" s="1758"/>
      <c r="BZ98" s="1758"/>
      <c r="CA98" s="1758"/>
      <c r="CB98" s="1758"/>
      <c r="CC98" s="1758"/>
      <c r="CD98" s="1758"/>
      <c r="CE98" s="1758"/>
      <c r="CF98" s="1758"/>
      <c r="CG98" s="1758"/>
      <c r="CH98" s="1758"/>
      <c r="CI98" s="1758"/>
      <c r="CJ98" s="1758"/>
      <c r="CK98" s="1758"/>
      <c r="CL98" s="1758"/>
      <c r="CM98" s="1758"/>
      <c r="CN98" s="1758"/>
      <c r="CO98" s="1758"/>
      <c r="CP98" s="1758"/>
      <c r="CQ98" s="1758"/>
      <c r="CR98" s="1758"/>
      <c r="CS98" s="1758"/>
      <c r="CT98" s="1758"/>
      <c r="CU98" s="1758"/>
      <c r="CV98" s="1758"/>
      <c r="CW98" s="1758"/>
      <c r="CX98" s="1758"/>
      <c r="CY98" s="1758"/>
      <c r="CZ98" s="1758"/>
      <c r="DA98" s="1758"/>
      <c r="DB98" s="1758"/>
      <c r="DC98" s="1758"/>
    </row>
    <row r="99" spans="1:107" s="1395" customFormat="1" ht="53.25" customHeight="1">
      <c r="A99" s="10827"/>
      <c r="B99" s="10732"/>
      <c r="C99" s="10729"/>
      <c r="D99" s="10729"/>
      <c r="E99" s="10729"/>
      <c r="F99" s="10745"/>
      <c r="G99" s="10729"/>
      <c r="H99" s="10729"/>
      <c r="I99" s="10755"/>
      <c r="J99" s="10802"/>
      <c r="K99" s="10736"/>
      <c r="L99" s="10760"/>
      <c r="M99" s="10760"/>
      <c r="N99" s="10760"/>
      <c r="O99" s="10736"/>
      <c r="P99" s="10736"/>
      <c r="Q99" s="10751"/>
      <c r="R99" s="5186"/>
      <c r="S99" s="5226"/>
      <c r="T99" s="5226"/>
      <c r="U99" s="5262"/>
      <c r="V99" s="5293"/>
      <c r="W99" s="5313"/>
      <c r="X99" s="7492"/>
      <c r="Y99" s="7492"/>
      <c r="Z99" s="7492"/>
      <c r="AA99" s="7498"/>
      <c r="AB99" s="5334"/>
      <c r="AC99" s="1407"/>
      <c r="AD99" s="5313"/>
      <c r="AE99" s="5354"/>
      <c r="AF99" s="5348"/>
      <c r="AG99" s="10778"/>
      <c r="AH99" s="1758"/>
      <c r="AI99" s="1758"/>
      <c r="AJ99" s="1758"/>
      <c r="AK99" s="1758"/>
      <c r="AL99" s="1758"/>
      <c r="AM99" s="1758"/>
      <c r="AN99" s="1758"/>
      <c r="AO99" s="1758"/>
      <c r="AP99" s="1758"/>
      <c r="AQ99" s="1758"/>
      <c r="AR99" s="1758"/>
      <c r="AS99" s="1758"/>
      <c r="AT99" s="1758"/>
      <c r="AU99" s="1758"/>
      <c r="AV99" s="1758"/>
      <c r="AW99" s="1758"/>
      <c r="AX99" s="1758"/>
      <c r="AY99" s="1758"/>
      <c r="AZ99" s="1758"/>
      <c r="BA99" s="1758"/>
      <c r="BB99" s="1758"/>
      <c r="BC99" s="1758"/>
      <c r="BD99" s="1758"/>
      <c r="BE99" s="1758"/>
      <c r="BF99" s="1758"/>
      <c r="BG99" s="1758"/>
      <c r="BH99" s="1758"/>
      <c r="BI99" s="1758"/>
      <c r="BJ99" s="1758"/>
      <c r="BK99" s="1758"/>
      <c r="BL99" s="1758"/>
      <c r="BM99" s="1758"/>
      <c r="BN99" s="1758"/>
      <c r="BO99" s="1758"/>
      <c r="BP99" s="1758"/>
      <c r="BQ99" s="1758"/>
      <c r="BR99" s="1758"/>
      <c r="BS99" s="1758"/>
      <c r="BT99" s="1758"/>
      <c r="BU99" s="1758"/>
      <c r="BV99" s="1758"/>
      <c r="BW99" s="1758"/>
      <c r="BX99" s="1758"/>
      <c r="BY99" s="1758"/>
      <c r="BZ99" s="1758"/>
      <c r="CA99" s="1758"/>
      <c r="CB99" s="1758"/>
      <c r="CC99" s="1758"/>
      <c r="CD99" s="1758"/>
      <c r="CE99" s="1758"/>
      <c r="CF99" s="1758"/>
      <c r="CG99" s="1758"/>
      <c r="CH99" s="1758"/>
      <c r="CI99" s="1758"/>
      <c r="CJ99" s="1758"/>
      <c r="CK99" s="1758"/>
      <c r="CL99" s="1758"/>
      <c r="CM99" s="1758"/>
      <c r="CN99" s="1758"/>
      <c r="CO99" s="1758"/>
      <c r="CP99" s="1758"/>
      <c r="CQ99" s="1758"/>
      <c r="CR99" s="1758"/>
      <c r="CS99" s="1758"/>
      <c r="CT99" s="1758"/>
      <c r="CU99" s="1758"/>
      <c r="CV99" s="1758"/>
      <c r="CW99" s="1758"/>
      <c r="CX99" s="1758"/>
      <c r="CY99" s="1758"/>
      <c r="CZ99" s="1758"/>
      <c r="DA99" s="1758"/>
      <c r="DB99" s="1758"/>
      <c r="DC99" s="1758"/>
    </row>
    <row r="100" spans="1:107" s="1395" customFormat="1" ht="33.950000000000003" customHeight="1">
      <c r="A100" s="10827"/>
      <c r="B100" s="10731" t="s">
        <v>183</v>
      </c>
      <c r="C100" s="10728" t="s">
        <v>227</v>
      </c>
      <c r="D100" s="10728" t="s">
        <v>228</v>
      </c>
      <c r="E100" s="10728" t="s">
        <v>229</v>
      </c>
      <c r="F100" s="10744" t="s">
        <v>230</v>
      </c>
      <c r="G100" s="10728" t="s">
        <v>132</v>
      </c>
      <c r="H100" s="10728" t="s">
        <v>159</v>
      </c>
      <c r="I100" s="10829" t="s">
        <v>4819</v>
      </c>
      <c r="J100" s="10800" t="s">
        <v>4820</v>
      </c>
      <c r="K100" s="10735" t="s">
        <v>4821</v>
      </c>
      <c r="L100" s="10759">
        <v>10</v>
      </c>
      <c r="M100" s="10758">
        <v>100</v>
      </c>
      <c r="N100" s="10759">
        <v>80</v>
      </c>
      <c r="O100" s="10735" t="s">
        <v>4822</v>
      </c>
      <c r="P100" s="10735" t="s">
        <v>4823</v>
      </c>
      <c r="Q100" s="10831" t="s">
        <v>4824</v>
      </c>
      <c r="R100" s="5187" t="s">
        <v>79</v>
      </c>
      <c r="S100" s="5227" t="s">
        <v>4825</v>
      </c>
      <c r="T100" s="5227"/>
      <c r="U100" s="5263" t="s">
        <v>40</v>
      </c>
      <c r="V100" s="5294"/>
      <c r="W100" s="5314"/>
      <c r="X100" s="7487"/>
      <c r="Y100" s="7487"/>
      <c r="Z100" s="7487"/>
      <c r="AA100" s="7499">
        <f>SUM(Z101:Z102)</f>
        <v>6575.22</v>
      </c>
      <c r="AB100" s="5337" t="s">
        <v>18</v>
      </c>
      <c r="AC100" s="6138"/>
      <c r="AD100" s="5312"/>
      <c r="AE100" s="5355"/>
      <c r="AF100" s="5351"/>
      <c r="AG100" s="10777" t="s">
        <v>4826</v>
      </c>
      <c r="AH100" s="1758"/>
      <c r="AI100" s="1758"/>
      <c r="AJ100" s="1758"/>
      <c r="AK100" s="1758"/>
      <c r="AL100" s="1758"/>
      <c r="AM100" s="1758"/>
      <c r="AN100" s="1758"/>
      <c r="AO100" s="1758"/>
      <c r="AP100" s="1758"/>
      <c r="AQ100" s="1758"/>
      <c r="AR100" s="1758"/>
      <c r="AS100" s="1758"/>
      <c r="AT100" s="1758"/>
      <c r="AU100" s="1758"/>
      <c r="AV100" s="1758"/>
      <c r="AW100" s="1758"/>
      <c r="AX100" s="1758"/>
      <c r="AY100" s="1758"/>
      <c r="AZ100" s="1758"/>
      <c r="BA100" s="1758"/>
      <c r="BB100" s="1758"/>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8"/>
      <c r="BY100" s="1758"/>
      <c r="BZ100" s="1758"/>
      <c r="CA100" s="1758"/>
      <c r="CB100" s="1758"/>
      <c r="CC100" s="1758"/>
      <c r="CD100" s="1758"/>
      <c r="CE100" s="1758"/>
      <c r="CF100" s="1758"/>
      <c r="CG100" s="1758"/>
      <c r="CH100" s="1758"/>
      <c r="CI100" s="1758"/>
      <c r="CJ100" s="1758"/>
      <c r="CK100" s="1758"/>
      <c r="CL100" s="1758"/>
      <c r="CM100" s="1758"/>
      <c r="CN100" s="1758"/>
      <c r="CO100" s="1758"/>
      <c r="CP100" s="1758"/>
      <c r="CQ100" s="1758"/>
      <c r="CR100" s="1758"/>
      <c r="CS100" s="1758"/>
      <c r="CT100" s="1758"/>
      <c r="CU100" s="1758"/>
      <c r="CV100" s="1758"/>
      <c r="CW100" s="1758"/>
      <c r="CX100" s="1758"/>
      <c r="CY100" s="1758"/>
      <c r="CZ100" s="1758"/>
      <c r="DA100" s="1758"/>
      <c r="DB100" s="1758"/>
      <c r="DC100" s="1758"/>
    </row>
    <row r="101" spans="1:107" s="1395" customFormat="1" ht="24.95" customHeight="1">
      <c r="A101" s="10827"/>
      <c r="B101" s="10731"/>
      <c r="C101" s="10728"/>
      <c r="D101" s="10728"/>
      <c r="E101" s="10728"/>
      <c r="F101" s="10744"/>
      <c r="G101" s="10728"/>
      <c r="H101" s="10728"/>
      <c r="I101" s="10830"/>
      <c r="J101" s="10801"/>
      <c r="K101" s="10735"/>
      <c r="L101" s="10759"/>
      <c r="M101" s="10759"/>
      <c r="N101" s="10759"/>
      <c r="O101" s="10735"/>
      <c r="P101" s="10735"/>
      <c r="Q101" s="10750"/>
      <c r="R101" s="5188"/>
      <c r="S101" s="5210"/>
      <c r="T101" s="5210" t="s">
        <v>4827</v>
      </c>
      <c r="U101" s="5252" t="s">
        <v>4828</v>
      </c>
      <c r="V101" s="5283">
        <v>14</v>
      </c>
      <c r="W101" s="5304" t="s">
        <v>180</v>
      </c>
      <c r="X101" s="6252">
        <f>(6293/14)</f>
        <v>449.5</v>
      </c>
      <c r="Y101" s="6252">
        <f>+V101*X101</f>
        <v>6293</v>
      </c>
      <c r="Z101" s="6252">
        <f>Y101</f>
        <v>6293</v>
      </c>
      <c r="AA101" s="7474"/>
      <c r="AB101" s="5323"/>
      <c r="AC101" s="1406"/>
      <c r="AD101" s="5356"/>
      <c r="AE101" s="5357" t="s">
        <v>153</v>
      </c>
      <c r="AF101" s="5352"/>
      <c r="AG101" s="10777"/>
      <c r="AH101" s="1758"/>
      <c r="AI101" s="1758"/>
      <c r="AJ101" s="1758"/>
      <c r="AK101" s="1758"/>
      <c r="AL101" s="1758"/>
      <c r="AM101" s="1758"/>
      <c r="AN101" s="1758"/>
      <c r="AO101" s="1758"/>
      <c r="AP101" s="1758"/>
      <c r="AQ101" s="1758"/>
      <c r="AR101" s="1758"/>
      <c r="AS101" s="1758"/>
      <c r="AT101" s="1758"/>
      <c r="AU101" s="1758"/>
      <c r="AV101" s="1758"/>
      <c r="AW101" s="1758"/>
      <c r="AX101" s="1758"/>
      <c r="AY101" s="1758"/>
      <c r="AZ101" s="1758"/>
      <c r="BA101" s="1758"/>
      <c r="BB101" s="1758"/>
      <c r="BC101" s="1758"/>
      <c r="BD101" s="1758"/>
      <c r="BE101" s="1758"/>
      <c r="BF101" s="1758"/>
      <c r="BG101" s="1758"/>
      <c r="BH101" s="1758"/>
      <c r="BI101" s="1758"/>
      <c r="BJ101" s="1758"/>
      <c r="BK101" s="1758"/>
      <c r="BL101" s="1758"/>
      <c r="BM101" s="1758"/>
      <c r="BN101" s="1758"/>
      <c r="BO101" s="1758"/>
      <c r="BP101" s="1758"/>
      <c r="BQ101" s="1758"/>
      <c r="BR101" s="1758"/>
      <c r="BS101" s="1758"/>
      <c r="BT101" s="1758"/>
      <c r="BU101" s="1758"/>
      <c r="BV101" s="1758"/>
      <c r="BW101" s="1758"/>
      <c r="BX101" s="1758"/>
      <c r="BY101" s="1758"/>
      <c r="BZ101" s="1758"/>
      <c r="CA101" s="1758"/>
      <c r="CB101" s="1758"/>
      <c r="CC101" s="1758"/>
      <c r="CD101" s="1758"/>
      <c r="CE101" s="1758"/>
      <c r="CF101" s="1758"/>
      <c r="CG101" s="1758"/>
      <c r="CH101" s="1758"/>
      <c r="CI101" s="1758"/>
      <c r="CJ101" s="1758"/>
      <c r="CK101" s="1758"/>
      <c r="CL101" s="1758"/>
      <c r="CM101" s="1758"/>
      <c r="CN101" s="1758"/>
      <c r="CO101" s="1758"/>
      <c r="CP101" s="1758"/>
      <c r="CQ101" s="1758"/>
      <c r="CR101" s="1758"/>
      <c r="CS101" s="1758"/>
      <c r="CT101" s="1758"/>
      <c r="CU101" s="1758"/>
      <c r="CV101" s="1758"/>
      <c r="CW101" s="1758"/>
      <c r="CX101" s="1758"/>
      <c r="CY101" s="1758"/>
      <c r="CZ101" s="1758"/>
      <c r="DA101" s="1758"/>
      <c r="DB101" s="1758"/>
      <c r="DC101" s="1758"/>
    </row>
    <row r="102" spans="1:107" s="1395" customFormat="1" ht="24.95" customHeight="1">
      <c r="A102" s="10827"/>
      <c r="B102" s="10731"/>
      <c r="C102" s="10728"/>
      <c r="D102" s="10728"/>
      <c r="E102" s="10728"/>
      <c r="F102" s="10744"/>
      <c r="G102" s="10728"/>
      <c r="H102" s="10728"/>
      <c r="I102" s="10830"/>
      <c r="J102" s="10801"/>
      <c r="K102" s="10735"/>
      <c r="L102" s="10759"/>
      <c r="M102" s="10759"/>
      <c r="N102" s="10759"/>
      <c r="O102" s="10735"/>
      <c r="P102" s="10735"/>
      <c r="Q102" s="10750"/>
      <c r="R102" s="5188"/>
      <c r="S102" s="5210"/>
      <c r="T102" s="5210" t="s">
        <v>4829</v>
      </c>
      <c r="U102" s="5252" t="s">
        <v>4830</v>
      </c>
      <c r="V102" s="5283">
        <v>1</v>
      </c>
      <c r="W102" s="5304" t="s">
        <v>180</v>
      </c>
      <c r="X102" s="6252">
        <f>282.22</f>
        <v>282.22000000000003</v>
      </c>
      <c r="Y102" s="6252">
        <f>+V102*X102</f>
        <v>282.22000000000003</v>
      </c>
      <c r="Z102" s="6252">
        <f>Y102</f>
        <v>282.22000000000003</v>
      </c>
      <c r="AA102" s="7474"/>
      <c r="AB102" s="5323"/>
      <c r="AC102" s="1406"/>
      <c r="AD102" s="5311"/>
      <c r="AE102" s="5357" t="s">
        <v>153</v>
      </c>
      <c r="AF102" s="5346"/>
      <c r="AG102" s="10777"/>
      <c r="AH102" s="1758"/>
      <c r="AI102" s="1758"/>
      <c r="AJ102" s="1758"/>
      <c r="AK102" s="1758"/>
      <c r="AL102" s="1758"/>
      <c r="AM102" s="1758"/>
      <c r="AN102" s="1758"/>
      <c r="AO102" s="1758"/>
      <c r="AP102" s="1758"/>
      <c r="AQ102" s="1758"/>
      <c r="AR102" s="1758"/>
      <c r="AS102" s="1758"/>
      <c r="AT102" s="1758"/>
      <c r="AU102" s="1758"/>
      <c r="AV102" s="1758"/>
      <c r="AW102" s="1758"/>
      <c r="AX102" s="1758"/>
      <c r="AY102" s="1758"/>
      <c r="AZ102" s="1758"/>
      <c r="BA102" s="1758"/>
      <c r="BB102" s="1758"/>
      <c r="BC102" s="1758"/>
      <c r="BD102" s="1758"/>
      <c r="BE102" s="1758"/>
      <c r="BF102" s="1758"/>
      <c r="BG102" s="1758"/>
      <c r="BH102" s="1758"/>
      <c r="BI102" s="1758"/>
      <c r="BJ102" s="1758"/>
      <c r="BK102" s="1758"/>
      <c r="BL102" s="1758"/>
      <c r="BM102" s="1758"/>
      <c r="BN102" s="1758"/>
      <c r="BO102" s="1758"/>
      <c r="BP102" s="1758"/>
      <c r="BQ102" s="1758"/>
      <c r="BR102" s="1758"/>
      <c r="BS102" s="1758"/>
      <c r="BT102" s="1758"/>
      <c r="BU102" s="1758"/>
      <c r="BV102" s="1758"/>
      <c r="BW102" s="1758"/>
      <c r="BX102" s="1758"/>
      <c r="BY102" s="1758"/>
      <c r="BZ102" s="1758"/>
      <c r="CA102" s="1758"/>
      <c r="CB102" s="1758"/>
      <c r="CC102" s="1758"/>
      <c r="CD102" s="1758"/>
      <c r="CE102" s="1758"/>
      <c r="CF102" s="1758"/>
      <c r="CG102" s="1758"/>
      <c r="CH102" s="1758"/>
      <c r="CI102" s="1758"/>
      <c r="CJ102" s="1758"/>
      <c r="CK102" s="1758"/>
      <c r="CL102" s="1758"/>
      <c r="CM102" s="1758"/>
      <c r="CN102" s="1758"/>
      <c r="CO102" s="1758"/>
      <c r="CP102" s="1758"/>
      <c r="CQ102" s="1758"/>
      <c r="CR102" s="1758"/>
      <c r="CS102" s="1758"/>
      <c r="CT102" s="1758"/>
      <c r="CU102" s="1758"/>
      <c r="CV102" s="1758"/>
      <c r="CW102" s="1758"/>
      <c r="CX102" s="1758"/>
      <c r="CY102" s="1758"/>
      <c r="CZ102" s="1758"/>
      <c r="DA102" s="1758"/>
      <c r="DB102" s="1758"/>
      <c r="DC102" s="1758"/>
    </row>
    <row r="103" spans="1:107" s="1395" customFormat="1" ht="24.95" customHeight="1">
      <c r="A103" s="10827"/>
      <c r="B103" s="10731"/>
      <c r="C103" s="10728"/>
      <c r="D103" s="10728"/>
      <c r="E103" s="10728"/>
      <c r="F103" s="10744"/>
      <c r="G103" s="10728"/>
      <c r="H103" s="10728"/>
      <c r="I103" s="10830"/>
      <c r="J103" s="10801"/>
      <c r="K103" s="10735"/>
      <c r="L103" s="10759"/>
      <c r="M103" s="10759"/>
      <c r="N103" s="10759"/>
      <c r="O103" s="10735"/>
      <c r="P103" s="10735"/>
      <c r="Q103" s="10750"/>
      <c r="R103" s="7778" t="s">
        <v>4831</v>
      </c>
      <c r="S103" s="7779">
        <v>840107</v>
      </c>
      <c r="T103" s="5210"/>
      <c r="U103" s="7777" t="s">
        <v>40</v>
      </c>
      <c r="V103" s="5279"/>
      <c r="W103" s="5300"/>
      <c r="X103" s="7473"/>
      <c r="Y103" s="7473"/>
      <c r="Z103" s="7473"/>
      <c r="AA103" s="8267">
        <f>+Z104</f>
        <v>56522</v>
      </c>
      <c r="AB103" s="7781" t="s">
        <v>18</v>
      </c>
      <c r="AC103" s="1406"/>
      <c r="AD103" s="5311"/>
      <c r="AE103" s="5357"/>
      <c r="AF103" s="5346"/>
      <c r="AG103" s="10777"/>
      <c r="AH103" s="1758"/>
      <c r="AI103" s="1758"/>
      <c r="AJ103" s="1758"/>
      <c r="AK103" s="1758"/>
      <c r="AL103" s="1758"/>
      <c r="AM103" s="1758"/>
      <c r="AN103" s="1758"/>
      <c r="AO103" s="1758"/>
      <c r="AP103" s="1758"/>
      <c r="AQ103" s="1758"/>
      <c r="AR103" s="1758"/>
      <c r="AS103" s="1758"/>
      <c r="AT103" s="1758"/>
      <c r="AU103" s="1758"/>
      <c r="AV103" s="1758"/>
      <c r="AW103" s="1758"/>
      <c r="AX103" s="1758"/>
      <c r="AY103" s="1758"/>
      <c r="AZ103" s="1758"/>
      <c r="BA103" s="1758"/>
      <c r="BB103" s="1758"/>
      <c r="BC103" s="1758"/>
      <c r="BD103" s="1758"/>
      <c r="BE103" s="1758"/>
      <c r="BF103" s="1758"/>
      <c r="BG103" s="1758"/>
      <c r="BH103" s="1758"/>
      <c r="BI103" s="1758"/>
      <c r="BJ103" s="1758"/>
      <c r="BK103" s="1758"/>
      <c r="BL103" s="1758"/>
      <c r="BM103" s="1758"/>
      <c r="BN103" s="1758"/>
      <c r="BO103" s="1758"/>
      <c r="BP103" s="1758"/>
      <c r="BQ103" s="1758"/>
      <c r="BR103" s="1758"/>
      <c r="BS103" s="1758"/>
      <c r="BT103" s="1758"/>
      <c r="BU103" s="1758"/>
      <c r="BV103" s="1758"/>
      <c r="BW103" s="1758"/>
      <c r="BX103" s="1758"/>
      <c r="BY103" s="1758"/>
      <c r="BZ103" s="1758"/>
      <c r="CA103" s="1758"/>
      <c r="CB103" s="1758"/>
      <c r="CC103" s="1758"/>
      <c r="CD103" s="1758"/>
      <c r="CE103" s="1758"/>
      <c r="CF103" s="1758"/>
      <c r="CG103" s="1758"/>
      <c r="CH103" s="1758"/>
      <c r="CI103" s="1758"/>
      <c r="CJ103" s="1758"/>
      <c r="CK103" s="1758"/>
      <c r="CL103" s="1758"/>
      <c r="CM103" s="1758"/>
      <c r="CN103" s="1758"/>
      <c r="CO103" s="1758"/>
      <c r="CP103" s="1758"/>
      <c r="CQ103" s="1758"/>
      <c r="CR103" s="1758"/>
      <c r="CS103" s="1758"/>
      <c r="CT103" s="1758"/>
      <c r="CU103" s="1758"/>
      <c r="CV103" s="1758"/>
      <c r="CW103" s="1758"/>
      <c r="CX103" s="1758"/>
      <c r="CY103" s="1758"/>
      <c r="CZ103" s="1758"/>
      <c r="DA103" s="1758"/>
      <c r="DB103" s="1758"/>
      <c r="DC103" s="1758"/>
    </row>
    <row r="104" spans="1:107" s="1395" customFormat="1" ht="24.95" customHeight="1">
      <c r="A104" s="10827"/>
      <c r="B104" s="10731"/>
      <c r="C104" s="10728"/>
      <c r="D104" s="10728"/>
      <c r="E104" s="10728"/>
      <c r="F104" s="10744"/>
      <c r="G104" s="10728"/>
      <c r="H104" s="10728"/>
      <c r="I104" s="10830"/>
      <c r="J104" s="10801"/>
      <c r="K104" s="10735"/>
      <c r="L104" s="10759"/>
      <c r="M104" s="10759"/>
      <c r="N104" s="10759"/>
      <c r="O104" s="10735"/>
      <c r="P104" s="10735"/>
      <c r="Q104" s="10750"/>
      <c r="R104" s="7774"/>
      <c r="S104" s="5210"/>
      <c r="T104" s="7780">
        <v>4523000812</v>
      </c>
      <c r="U104" s="8406" t="s">
        <v>4832</v>
      </c>
      <c r="V104" s="8264">
        <v>1</v>
      </c>
      <c r="W104" s="8265" t="s">
        <v>479</v>
      </c>
      <c r="X104" s="8266">
        <f>27342+29180</f>
        <v>56522</v>
      </c>
      <c r="Y104" s="8266">
        <f>+V104*X104</f>
        <v>56522</v>
      </c>
      <c r="Z104" s="8266">
        <f>Y104</f>
        <v>56522</v>
      </c>
      <c r="AA104" s="8267"/>
      <c r="AB104" s="5323"/>
      <c r="AC104" s="1406"/>
      <c r="AD104" s="5311"/>
      <c r="AE104" s="5357"/>
      <c r="AF104" s="7775" t="s">
        <v>153</v>
      </c>
      <c r="AG104" s="10777"/>
      <c r="AH104" s="1758"/>
      <c r="AI104" s="1758"/>
      <c r="AJ104" s="1758"/>
      <c r="AK104" s="1758"/>
      <c r="AL104" s="1758"/>
      <c r="AM104" s="1758"/>
      <c r="AN104" s="1758"/>
      <c r="AO104" s="1758"/>
      <c r="AP104" s="1758"/>
      <c r="AQ104" s="1758"/>
      <c r="AR104" s="1758"/>
      <c r="AS104" s="1758"/>
      <c r="AT104" s="1758"/>
      <c r="AU104" s="1758"/>
      <c r="AV104" s="1758"/>
      <c r="AW104" s="1758"/>
      <c r="AX104" s="1758"/>
      <c r="AY104" s="1758"/>
      <c r="AZ104" s="1758"/>
      <c r="BA104" s="1758"/>
      <c r="BB104" s="1758"/>
      <c r="BC104" s="1758"/>
      <c r="BD104" s="1758"/>
      <c r="BE104" s="1758"/>
      <c r="BF104" s="1758"/>
      <c r="BG104" s="1758"/>
      <c r="BH104" s="1758"/>
      <c r="BI104" s="1758"/>
      <c r="BJ104" s="1758"/>
      <c r="BK104" s="1758"/>
      <c r="BL104" s="1758"/>
      <c r="BM104" s="1758"/>
      <c r="BN104" s="1758"/>
      <c r="BO104" s="1758"/>
      <c r="BP104" s="1758"/>
      <c r="BQ104" s="1758"/>
      <c r="BR104" s="1758"/>
      <c r="BS104" s="1758"/>
      <c r="BT104" s="1758"/>
      <c r="BU104" s="1758"/>
      <c r="BV104" s="1758"/>
      <c r="BW104" s="1758"/>
      <c r="BX104" s="1758"/>
      <c r="BY104" s="1758"/>
      <c r="BZ104" s="1758"/>
      <c r="CA104" s="1758"/>
      <c r="CB104" s="1758"/>
      <c r="CC104" s="1758"/>
      <c r="CD104" s="1758"/>
      <c r="CE104" s="1758"/>
      <c r="CF104" s="1758"/>
      <c r="CG104" s="1758"/>
      <c r="CH104" s="1758"/>
      <c r="CI104" s="1758"/>
      <c r="CJ104" s="1758"/>
      <c r="CK104" s="1758"/>
      <c r="CL104" s="1758"/>
      <c r="CM104" s="1758"/>
      <c r="CN104" s="1758"/>
      <c r="CO104" s="1758"/>
      <c r="CP104" s="1758"/>
      <c r="CQ104" s="1758"/>
      <c r="CR104" s="1758"/>
      <c r="CS104" s="1758"/>
      <c r="CT104" s="1758"/>
      <c r="CU104" s="1758"/>
      <c r="CV104" s="1758"/>
      <c r="CW104" s="1758"/>
      <c r="CX104" s="1758"/>
      <c r="CY104" s="1758"/>
      <c r="CZ104" s="1758"/>
      <c r="DA104" s="1758"/>
      <c r="DB104" s="1758"/>
      <c r="DC104" s="1758"/>
    </row>
    <row r="105" spans="1:107" s="1395" customFormat="1" ht="24.95" customHeight="1">
      <c r="A105" s="10827"/>
      <c r="B105" s="10731"/>
      <c r="C105" s="10728"/>
      <c r="D105" s="10728"/>
      <c r="E105" s="10728"/>
      <c r="F105" s="10744"/>
      <c r="G105" s="10728"/>
      <c r="H105" s="10728"/>
      <c r="I105" s="10830"/>
      <c r="J105" s="10801"/>
      <c r="K105" s="10735"/>
      <c r="L105" s="10759"/>
      <c r="M105" s="10759"/>
      <c r="N105" s="10759"/>
      <c r="O105" s="10735"/>
      <c r="P105" s="10735"/>
      <c r="Q105" s="10750"/>
      <c r="R105" s="7774"/>
      <c r="S105" s="5210"/>
      <c r="T105" s="7780"/>
      <c r="U105" s="8406"/>
      <c r="V105" s="8264"/>
      <c r="W105" s="8265"/>
      <c r="X105" s="8266"/>
      <c r="Y105" s="7770"/>
      <c r="Z105" s="7770"/>
      <c r="AA105" s="7474"/>
      <c r="AB105" s="5323"/>
      <c r="AC105" s="1406"/>
      <c r="AD105" s="5311"/>
      <c r="AE105" s="5357"/>
      <c r="AF105" s="7775"/>
      <c r="AG105" s="10777"/>
      <c r="AH105" s="1758"/>
      <c r="AI105" s="1758"/>
      <c r="AJ105" s="1758"/>
      <c r="AK105" s="1758"/>
      <c r="AL105" s="1758"/>
      <c r="AM105" s="1758"/>
      <c r="AN105" s="1758"/>
      <c r="AO105" s="1758"/>
      <c r="AP105" s="1758"/>
      <c r="AQ105" s="1758"/>
      <c r="AR105" s="1758"/>
      <c r="AS105" s="1758"/>
      <c r="AT105" s="1758"/>
      <c r="AU105" s="1758"/>
      <c r="AV105" s="1758"/>
      <c r="AW105" s="1758"/>
      <c r="AX105" s="1758"/>
      <c r="AY105" s="1758"/>
      <c r="AZ105" s="1758"/>
      <c r="BA105" s="1758"/>
      <c r="BB105" s="1758"/>
      <c r="BC105" s="1758"/>
      <c r="BD105" s="1758"/>
      <c r="BE105" s="1758"/>
      <c r="BF105" s="1758"/>
      <c r="BG105" s="1758"/>
      <c r="BH105" s="1758"/>
      <c r="BI105" s="1758"/>
      <c r="BJ105" s="1758"/>
      <c r="BK105" s="1758"/>
      <c r="BL105" s="1758"/>
      <c r="BM105" s="1758"/>
      <c r="BN105" s="1758"/>
      <c r="BO105" s="1758"/>
      <c r="BP105" s="1758"/>
      <c r="BQ105" s="1758"/>
      <c r="BR105" s="1758"/>
      <c r="BS105" s="1758"/>
      <c r="BT105" s="1758"/>
      <c r="BU105" s="1758"/>
      <c r="BV105" s="1758"/>
      <c r="BW105" s="1758"/>
      <c r="BX105" s="1758"/>
      <c r="BY105" s="1758"/>
      <c r="BZ105" s="1758"/>
      <c r="CA105" s="1758"/>
      <c r="CB105" s="1758"/>
      <c r="CC105" s="1758"/>
      <c r="CD105" s="1758"/>
      <c r="CE105" s="1758"/>
      <c r="CF105" s="1758"/>
      <c r="CG105" s="1758"/>
      <c r="CH105" s="1758"/>
      <c r="CI105" s="1758"/>
      <c r="CJ105" s="1758"/>
      <c r="CK105" s="1758"/>
      <c r="CL105" s="1758"/>
      <c r="CM105" s="1758"/>
      <c r="CN105" s="1758"/>
      <c r="CO105" s="1758"/>
      <c r="CP105" s="1758"/>
      <c r="CQ105" s="1758"/>
      <c r="CR105" s="1758"/>
      <c r="CS105" s="1758"/>
      <c r="CT105" s="1758"/>
      <c r="CU105" s="1758"/>
      <c r="CV105" s="1758"/>
      <c r="CW105" s="1758"/>
      <c r="CX105" s="1758"/>
      <c r="CY105" s="1758"/>
      <c r="CZ105" s="1758"/>
      <c r="DA105" s="1758"/>
      <c r="DB105" s="1758"/>
      <c r="DC105" s="1758"/>
    </row>
    <row r="106" spans="1:107" s="1395" customFormat="1" ht="24.95" customHeight="1">
      <c r="A106" s="10827"/>
      <c r="B106" s="10731"/>
      <c r="C106" s="10728"/>
      <c r="D106" s="10728"/>
      <c r="E106" s="10728"/>
      <c r="F106" s="10744"/>
      <c r="G106" s="10728"/>
      <c r="H106" s="10728"/>
      <c r="I106" s="10830"/>
      <c r="J106" s="10801"/>
      <c r="K106" s="10735"/>
      <c r="L106" s="10759"/>
      <c r="M106" s="10759"/>
      <c r="N106" s="10759"/>
      <c r="O106" s="10735"/>
      <c r="P106" s="10735"/>
      <c r="Q106" s="10750"/>
      <c r="R106" s="7774"/>
      <c r="S106" s="5210"/>
      <c r="T106" s="7780"/>
      <c r="U106" s="7776"/>
      <c r="V106" s="7772"/>
      <c r="W106" s="7771"/>
      <c r="X106" s="7770"/>
      <c r="Y106" s="7770"/>
      <c r="Z106" s="7770"/>
      <c r="AA106" s="7474"/>
      <c r="AB106" s="5323"/>
      <c r="AC106" s="1406"/>
      <c r="AD106" s="5311"/>
      <c r="AE106" s="5357"/>
      <c r="AF106" s="7775"/>
      <c r="AG106" s="10777"/>
      <c r="AH106" s="1758"/>
      <c r="AI106" s="1758"/>
      <c r="AJ106" s="1758"/>
      <c r="AK106" s="1758"/>
      <c r="AL106" s="1758"/>
      <c r="AM106" s="1758"/>
      <c r="AN106" s="1758"/>
      <c r="AO106" s="1758"/>
      <c r="AP106" s="1758"/>
      <c r="AQ106" s="1758"/>
      <c r="AR106" s="1758"/>
      <c r="AS106" s="1758"/>
      <c r="AT106" s="1758"/>
      <c r="AU106" s="1758"/>
      <c r="AV106" s="1758"/>
      <c r="AW106" s="1758"/>
      <c r="AX106" s="1758"/>
      <c r="AY106" s="1758"/>
      <c r="AZ106" s="1758"/>
      <c r="BA106" s="1758"/>
      <c r="BB106" s="1758"/>
      <c r="BC106" s="1758"/>
      <c r="BD106" s="1758"/>
      <c r="BE106" s="1758"/>
      <c r="BF106" s="1758"/>
      <c r="BG106" s="1758"/>
      <c r="BH106" s="1758"/>
      <c r="BI106" s="1758"/>
      <c r="BJ106" s="1758"/>
      <c r="BK106" s="1758"/>
      <c r="BL106" s="1758"/>
      <c r="BM106" s="1758"/>
      <c r="BN106" s="1758"/>
      <c r="BO106" s="1758"/>
      <c r="BP106" s="1758"/>
      <c r="BQ106" s="1758"/>
      <c r="BR106" s="1758"/>
      <c r="BS106" s="1758"/>
      <c r="BT106" s="1758"/>
      <c r="BU106" s="1758"/>
      <c r="BV106" s="1758"/>
      <c r="BW106" s="1758"/>
      <c r="BX106" s="1758"/>
      <c r="BY106" s="1758"/>
      <c r="BZ106" s="1758"/>
      <c r="CA106" s="1758"/>
      <c r="CB106" s="1758"/>
      <c r="CC106" s="1758"/>
      <c r="CD106" s="1758"/>
      <c r="CE106" s="1758"/>
      <c r="CF106" s="1758"/>
      <c r="CG106" s="1758"/>
      <c r="CH106" s="1758"/>
      <c r="CI106" s="1758"/>
      <c r="CJ106" s="1758"/>
      <c r="CK106" s="1758"/>
      <c r="CL106" s="1758"/>
      <c r="CM106" s="1758"/>
      <c r="CN106" s="1758"/>
      <c r="CO106" s="1758"/>
      <c r="CP106" s="1758"/>
      <c r="CQ106" s="1758"/>
      <c r="CR106" s="1758"/>
      <c r="CS106" s="1758"/>
      <c r="CT106" s="1758"/>
      <c r="CU106" s="1758"/>
      <c r="CV106" s="1758"/>
      <c r="CW106" s="1758"/>
      <c r="CX106" s="1758"/>
      <c r="CY106" s="1758"/>
      <c r="CZ106" s="1758"/>
      <c r="DA106" s="1758"/>
      <c r="DB106" s="1758"/>
      <c r="DC106" s="1758"/>
    </row>
    <row r="107" spans="1:107" s="1395" customFormat="1" ht="24.95" customHeight="1">
      <c r="A107" s="10827"/>
      <c r="B107" s="10731"/>
      <c r="C107" s="10728"/>
      <c r="D107" s="10728"/>
      <c r="E107" s="10728"/>
      <c r="F107" s="10744"/>
      <c r="G107" s="10728"/>
      <c r="H107" s="10728"/>
      <c r="I107" s="10830"/>
      <c r="J107" s="10801"/>
      <c r="K107" s="10735"/>
      <c r="L107" s="10759"/>
      <c r="M107" s="10759"/>
      <c r="N107" s="10759"/>
      <c r="O107" s="10735"/>
      <c r="P107" s="10735"/>
      <c r="Q107" s="10750"/>
      <c r="R107" s="7774"/>
      <c r="S107" s="5210"/>
      <c r="T107" s="7780"/>
      <c r="U107" s="7776"/>
      <c r="V107" s="7772"/>
      <c r="W107" s="7771"/>
      <c r="X107" s="7770"/>
      <c r="Y107" s="7770"/>
      <c r="Z107" s="7770"/>
      <c r="AA107" s="7474"/>
      <c r="AB107" s="5323"/>
      <c r="AC107" s="1406"/>
      <c r="AD107" s="5311"/>
      <c r="AE107" s="5357"/>
      <c r="AF107" s="7775"/>
      <c r="AG107" s="10777"/>
      <c r="AH107" s="1758"/>
      <c r="AI107" s="1758"/>
      <c r="AJ107" s="1758"/>
      <c r="AK107" s="1758"/>
      <c r="AL107" s="1758"/>
      <c r="AM107" s="1758"/>
      <c r="AN107" s="1758"/>
      <c r="AO107" s="1758"/>
      <c r="AP107" s="1758"/>
      <c r="AQ107" s="1758"/>
      <c r="AR107" s="1758"/>
      <c r="AS107" s="1758"/>
      <c r="AT107" s="1758"/>
      <c r="AU107" s="1758"/>
      <c r="AV107" s="1758"/>
      <c r="AW107" s="1758"/>
      <c r="AX107" s="1758"/>
      <c r="AY107" s="1758"/>
      <c r="AZ107" s="1758"/>
      <c r="BA107" s="1758"/>
      <c r="BB107" s="1758"/>
      <c r="BC107" s="1758"/>
      <c r="BD107" s="1758"/>
      <c r="BE107" s="1758"/>
      <c r="BF107" s="1758"/>
      <c r="BG107" s="1758"/>
      <c r="BH107" s="1758"/>
      <c r="BI107" s="1758"/>
      <c r="BJ107" s="1758"/>
      <c r="BK107" s="1758"/>
      <c r="BL107" s="1758"/>
      <c r="BM107" s="1758"/>
      <c r="BN107" s="1758"/>
      <c r="BO107" s="1758"/>
      <c r="BP107" s="1758"/>
      <c r="BQ107" s="1758"/>
      <c r="BR107" s="1758"/>
      <c r="BS107" s="1758"/>
      <c r="BT107" s="1758"/>
      <c r="BU107" s="1758"/>
      <c r="BV107" s="1758"/>
      <c r="BW107" s="1758"/>
      <c r="BX107" s="1758"/>
      <c r="BY107" s="1758"/>
      <c r="BZ107" s="1758"/>
      <c r="CA107" s="1758"/>
      <c r="CB107" s="1758"/>
      <c r="CC107" s="1758"/>
      <c r="CD107" s="1758"/>
      <c r="CE107" s="1758"/>
      <c r="CF107" s="1758"/>
      <c r="CG107" s="1758"/>
      <c r="CH107" s="1758"/>
      <c r="CI107" s="1758"/>
      <c r="CJ107" s="1758"/>
      <c r="CK107" s="1758"/>
      <c r="CL107" s="1758"/>
      <c r="CM107" s="1758"/>
      <c r="CN107" s="1758"/>
      <c r="CO107" s="1758"/>
      <c r="CP107" s="1758"/>
      <c r="CQ107" s="1758"/>
      <c r="CR107" s="1758"/>
      <c r="CS107" s="1758"/>
      <c r="CT107" s="1758"/>
      <c r="CU107" s="1758"/>
      <c r="CV107" s="1758"/>
      <c r="CW107" s="1758"/>
      <c r="CX107" s="1758"/>
      <c r="CY107" s="1758"/>
      <c r="CZ107" s="1758"/>
      <c r="DA107" s="1758"/>
      <c r="DB107" s="1758"/>
      <c r="DC107" s="1758"/>
    </row>
    <row r="108" spans="1:107" s="1395" customFormat="1" ht="24.95" customHeight="1">
      <c r="A108" s="10827"/>
      <c r="B108" s="10731"/>
      <c r="C108" s="10728"/>
      <c r="D108" s="10728"/>
      <c r="E108" s="10728"/>
      <c r="F108" s="10744"/>
      <c r="G108" s="10728"/>
      <c r="H108" s="10728"/>
      <c r="I108" s="10830"/>
      <c r="J108" s="10801"/>
      <c r="K108" s="10735"/>
      <c r="L108" s="10759"/>
      <c r="M108" s="10759"/>
      <c r="N108" s="10759"/>
      <c r="O108" s="10735"/>
      <c r="P108" s="10735"/>
      <c r="Q108" s="10750"/>
      <c r="R108" s="5189" t="s">
        <v>79</v>
      </c>
      <c r="S108" s="5228" t="s">
        <v>4833</v>
      </c>
      <c r="T108" s="5228"/>
      <c r="U108" s="5264" t="s">
        <v>591</v>
      </c>
      <c r="V108" s="5279"/>
      <c r="W108" s="5300"/>
      <c r="X108" s="7473"/>
      <c r="Y108" s="7473"/>
      <c r="Z108" s="7473"/>
      <c r="AA108" s="6251">
        <f>+Z109</f>
        <v>1517.88</v>
      </c>
      <c r="AB108" s="5323" t="s">
        <v>18</v>
      </c>
      <c r="AC108" s="1406"/>
      <c r="AD108" s="5311"/>
      <c r="AE108" s="5357"/>
      <c r="AF108" s="5346"/>
      <c r="AG108" s="10777"/>
      <c r="AH108" s="1758"/>
      <c r="AI108" s="1758"/>
      <c r="AJ108" s="1758"/>
      <c r="AK108" s="1758"/>
      <c r="AL108" s="1758"/>
      <c r="AM108" s="1758"/>
      <c r="AN108" s="1758"/>
      <c r="AO108" s="1758"/>
      <c r="AP108" s="1758"/>
      <c r="AQ108" s="1758"/>
      <c r="AR108" s="1758"/>
      <c r="AS108" s="1758"/>
      <c r="AT108" s="1758"/>
      <c r="AU108" s="1758"/>
      <c r="AV108" s="1758"/>
      <c r="AW108" s="1758"/>
      <c r="AX108" s="1758"/>
      <c r="AY108" s="1758"/>
      <c r="AZ108" s="1758"/>
      <c r="BA108" s="1758"/>
      <c r="BB108" s="1758"/>
      <c r="BC108" s="1758"/>
      <c r="BD108" s="1758"/>
      <c r="BE108" s="1758"/>
      <c r="BF108" s="1758"/>
      <c r="BG108" s="1758"/>
      <c r="BH108" s="1758"/>
      <c r="BI108" s="1758"/>
      <c r="BJ108" s="1758"/>
      <c r="BK108" s="1758"/>
      <c r="BL108" s="1758"/>
      <c r="BM108" s="1758"/>
      <c r="BN108" s="1758"/>
      <c r="BO108" s="1758"/>
      <c r="BP108" s="1758"/>
      <c r="BQ108" s="1758"/>
      <c r="BR108" s="1758"/>
      <c r="BS108" s="1758"/>
      <c r="BT108" s="1758"/>
      <c r="BU108" s="1758"/>
      <c r="BV108" s="1758"/>
      <c r="BW108" s="1758"/>
      <c r="BX108" s="1758"/>
      <c r="BY108" s="1758"/>
      <c r="BZ108" s="1758"/>
      <c r="CA108" s="1758"/>
      <c r="CB108" s="1758"/>
      <c r="CC108" s="1758"/>
      <c r="CD108" s="1758"/>
      <c r="CE108" s="1758"/>
      <c r="CF108" s="1758"/>
      <c r="CG108" s="1758"/>
      <c r="CH108" s="1758"/>
      <c r="CI108" s="1758"/>
      <c r="CJ108" s="1758"/>
      <c r="CK108" s="1758"/>
      <c r="CL108" s="1758"/>
      <c r="CM108" s="1758"/>
      <c r="CN108" s="1758"/>
      <c r="CO108" s="1758"/>
      <c r="CP108" s="1758"/>
      <c r="CQ108" s="1758"/>
      <c r="CR108" s="1758"/>
      <c r="CS108" s="1758"/>
      <c r="CT108" s="1758"/>
      <c r="CU108" s="1758"/>
      <c r="CV108" s="1758"/>
      <c r="CW108" s="1758"/>
      <c r="CX108" s="1758"/>
      <c r="CY108" s="1758"/>
      <c r="CZ108" s="1758"/>
      <c r="DA108" s="1758"/>
      <c r="DB108" s="1758"/>
      <c r="DC108" s="1758"/>
    </row>
    <row r="109" spans="1:107" s="1395" customFormat="1" ht="24.95" customHeight="1">
      <c r="A109" s="10827"/>
      <c r="B109" s="10731"/>
      <c r="C109" s="10728"/>
      <c r="D109" s="10728"/>
      <c r="E109" s="10728"/>
      <c r="F109" s="10744"/>
      <c r="G109" s="10728"/>
      <c r="H109" s="10728"/>
      <c r="I109" s="10830"/>
      <c r="J109" s="10801"/>
      <c r="K109" s="10735"/>
      <c r="L109" s="10759"/>
      <c r="M109" s="10759"/>
      <c r="N109" s="10759"/>
      <c r="O109" s="10735"/>
      <c r="P109" s="10735"/>
      <c r="Q109" s="10750"/>
      <c r="R109" s="5190"/>
      <c r="S109" s="5228"/>
      <c r="T109" s="5228"/>
      <c r="U109" s="5265" t="s">
        <v>4834</v>
      </c>
      <c r="V109" s="5283">
        <v>26</v>
      </c>
      <c r="W109" s="5304" t="s">
        <v>180</v>
      </c>
      <c r="X109" s="6252">
        <f>1517.88/26</f>
        <v>58.38</v>
      </c>
      <c r="Y109" s="6252">
        <f>V109*X109</f>
        <v>1517.88</v>
      </c>
      <c r="Z109" s="6252">
        <f>Y109</f>
        <v>1517.88</v>
      </c>
      <c r="AA109" s="7474"/>
      <c r="AB109" s="5323"/>
      <c r="AC109" s="1406"/>
      <c r="AD109" s="5311"/>
      <c r="AE109" s="5357" t="s">
        <v>153</v>
      </c>
      <c r="AF109" s="5346"/>
      <c r="AG109" s="10777"/>
      <c r="AH109" s="1758"/>
      <c r="AI109" s="1758"/>
      <c r="AJ109" s="1758"/>
      <c r="AK109" s="1758"/>
      <c r="AL109" s="1758"/>
      <c r="AM109" s="1758"/>
      <c r="AN109" s="1758"/>
      <c r="AO109" s="1758"/>
      <c r="AP109" s="1758"/>
      <c r="AQ109" s="1758"/>
      <c r="AR109" s="1758"/>
      <c r="AS109" s="1758"/>
      <c r="AT109" s="1758"/>
      <c r="AU109" s="1758"/>
      <c r="AV109" s="1758"/>
      <c r="AW109" s="1758"/>
      <c r="AX109" s="1758"/>
      <c r="AY109" s="1758"/>
      <c r="AZ109" s="1758"/>
      <c r="BA109" s="1758"/>
      <c r="BB109" s="1758"/>
      <c r="BC109" s="1758"/>
      <c r="BD109" s="1758"/>
      <c r="BE109" s="1758"/>
      <c r="BF109" s="1758"/>
      <c r="BG109" s="1758"/>
      <c r="BH109" s="1758"/>
      <c r="BI109" s="1758"/>
      <c r="BJ109" s="1758"/>
      <c r="BK109" s="1758"/>
      <c r="BL109" s="1758"/>
      <c r="BM109" s="1758"/>
      <c r="BN109" s="1758"/>
      <c r="BO109" s="1758"/>
      <c r="BP109" s="1758"/>
      <c r="BQ109" s="1758"/>
      <c r="BR109" s="1758"/>
      <c r="BS109" s="1758"/>
      <c r="BT109" s="1758"/>
      <c r="BU109" s="1758"/>
      <c r="BV109" s="1758"/>
      <c r="BW109" s="1758"/>
      <c r="BX109" s="1758"/>
      <c r="BY109" s="1758"/>
      <c r="BZ109" s="1758"/>
      <c r="CA109" s="1758"/>
      <c r="CB109" s="1758"/>
      <c r="CC109" s="1758"/>
      <c r="CD109" s="1758"/>
      <c r="CE109" s="1758"/>
      <c r="CF109" s="1758"/>
      <c r="CG109" s="1758"/>
      <c r="CH109" s="1758"/>
      <c r="CI109" s="1758"/>
      <c r="CJ109" s="1758"/>
      <c r="CK109" s="1758"/>
      <c r="CL109" s="1758"/>
      <c r="CM109" s="1758"/>
      <c r="CN109" s="1758"/>
      <c r="CO109" s="1758"/>
      <c r="CP109" s="1758"/>
      <c r="CQ109" s="1758"/>
      <c r="CR109" s="1758"/>
      <c r="CS109" s="1758"/>
      <c r="CT109" s="1758"/>
      <c r="CU109" s="1758"/>
      <c r="CV109" s="1758"/>
      <c r="CW109" s="1758"/>
      <c r="CX109" s="1758"/>
      <c r="CY109" s="1758"/>
      <c r="CZ109" s="1758"/>
      <c r="DA109" s="1758"/>
      <c r="DB109" s="1758"/>
      <c r="DC109" s="1758"/>
    </row>
    <row r="110" spans="1:107" s="1395" customFormat="1" ht="33.950000000000003" customHeight="1">
      <c r="A110" s="10827"/>
      <c r="B110" s="10731"/>
      <c r="C110" s="10728"/>
      <c r="D110" s="10728"/>
      <c r="E110" s="10728"/>
      <c r="F110" s="10744"/>
      <c r="G110" s="10728"/>
      <c r="H110" s="10728"/>
      <c r="I110" s="10830"/>
      <c r="J110" s="10801"/>
      <c r="K110" s="10735"/>
      <c r="L110" s="10759"/>
      <c r="M110" s="10759"/>
      <c r="N110" s="10759"/>
      <c r="O110" s="10735"/>
      <c r="P110" s="10735"/>
      <c r="Q110" s="10750"/>
      <c r="R110" s="5191" t="s">
        <v>79</v>
      </c>
      <c r="S110" s="5229" t="s">
        <v>4835</v>
      </c>
      <c r="T110" s="5228"/>
      <c r="U110" s="5264" t="s">
        <v>40</v>
      </c>
      <c r="V110" s="5279"/>
      <c r="W110" s="5300"/>
      <c r="X110" s="7473"/>
      <c r="Y110" s="7473"/>
      <c r="Z110" s="7473"/>
      <c r="AA110" s="7474">
        <f>+Z111</f>
        <v>231.45920000000001</v>
      </c>
      <c r="AB110" s="5323" t="s">
        <v>25</v>
      </c>
      <c r="AC110" s="1406"/>
      <c r="AD110" s="5311"/>
      <c r="AE110" s="5357"/>
      <c r="AF110" s="5346"/>
      <c r="AG110" s="10777"/>
      <c r="AH110" s="1758"/>
      <c r="AI110" s="1758"/>
      <c r="AJ110" s="1758"/>
      <c r="AK110" s="1758"/>
      <c r="AL110" s="1758"/>
      <c r="AM110" s="1758"/>
      <c r="AN110" s="1758"/>
      <c r="AO110" s="1758"/>
      <c r="AP110" s="1758"/>
      <c r="AQ110" s="1758"/>
      <c r="AR110" s="1758"/>
      <c r="AS110" s="1758"/>
      <c r="AT110" s="1758"/>
      <c r="AU110" s="1758"/>
      <c r="AV110" s="1758"/>
      <c r="AW110" s="1758"/>
      <c r="AX110" s="1758"/>
      <c r="AY110" s="1758"/>
      <c r="AZ110" s="1758"/>
      <c r="BA110" s="1758"/>
      <c r="BB110" s="1758"/>
      <c r="BC110" s="1758"/>
      <c r="BD110" s="1758"/>
      <c r="BE110" s="1758"/>
      <c r="BF110" s="1758"/>
      <c r="BG110" s="1758"/>
      <c r="BH110" s="1758"/>
      <c r="BI110" s="1758"/>
      <c r="BJ110" s="1758"/>
      <c r="BK110" s="1758"/>
      <c r="BL110" s="1758"/>
      <c r="BM110" s="1758"/>
      <c r="BN110" s="1758"/>
      <c r="BO110" s="1758"/>
      <c r="BP110" s="1758"/>
      <c r="BQ110" s="1758"/>
      <c r="BR110" s="1758"/>
      <c r="BS110" s="1758"/>
      <c r="BT110" s="1758"/>
      <c r="BU110" s="1758"/>
      <c r="BV110" s="1758"/>
      <c r="BW110" s="1758"/>
      <c r="BX110" s="1758"/>
      <c r="BY110" s="1758"/>
      <c r="BZ110" s="1758"/>
      <c r="CA110" s="1758"/>
      <c r="CB110" s="1758"/>
      <c r="CC110" s="1758"/>
      <c r="CD110" s="1758"/>
      <c r="CE110" s="1758"/>
      <c r="CF110" s="1758"/>
      <c r="CG110" s="1758"/>
      <c r="CH110" s="1758"/>
      <c r="CI110" s="1758"/>
      <c r="CJ110" s="1758"/>
      <c r="CK110" s="1758"/>
      <c r="CL110" s="1758"/>
      <c r="CM110" s="1758"/>
      <c r="CN110" s="1758"/>
      <c r="CO110" s="1758"/>
      <c r="CP110" s="1758"/>
      <c r="CQ110" s="1758"/>
      <c r="CR110" s="1758"/>
      <c r="CS110" s="1758"/>
      <c r="CT110" s="1758"/>
      <c r="CU110" s="1758"/>
      <c r="CV110" s="1758"/>
      <c r="CW110" s="1758"/>
      <c r="CX110" s="1758"/>
      <c r="CY110" s="1758"/>
      <c r="CZ110" s="1758"/>
      <c r="DA110" s="1758"/>
      <c r="DB110" s="1758"/>
      <c r="DC110" s="1758"/>
    </row>
    <row r="111" spans="1:107" s="1395" customFormat="1" ht="24.95" customHeight="1">
      <c r="A111" s="10827"/>
      <c r="B111" s="10731"/>
      <c r="C111" s="10728"/>
      <c r="D111" s="10728"/>
      <c r="E111" s="10728"/>
      <c r="F111" s="10744"/>
      <c r="G111" s="10728"/>
      <c r="H111" s="10728"/>
      <c r="I111" s="10830"/>
      <c r="J111" s="10801"/>
      <c r="K111" s="10735"/>
      <c r="L111" s="10759"/>
      <c r="M111" s="10760"/>
      <c r="N111" s="10759"/>
      <c r="O111" s="10735"/>
      <c r="P111" s="10735"/>
      <c r="Q111" s="10751"/>
      <c r="R111" s="5186"/>
      <c r="S111" s="5230"/>
      <c r="T111" s="5230" t="s">
        <v>4836</v>
      </c>
      <c r="U111" s="5251" t="s">
        <v>4837</v>
      </c>
      <c r="V111" s="5282">
        <v>4</v>
      </c>
      <c r="W111" s="5303" t="s">
        <v>180</v>
      </c>
      <c r="X111" s="7479">
        <v>51.664999999999999</v>
      </c>
      <c r="Y111" s="7479">
        <f>+V111*X111</f>
        <v>206.66</v>
      </c>
      <c r="Z111" s="7479">
        <f>(+Y111*1.12)</f>
        <v>231.45920000000001</v>
      </c>
      <c r="AA111" s="7500"/>
      <c r="AB111" s="6139"/>
      <c r="AC111" s="1759"/>
      <c r="AD111" s="5358"/>
      <c r="AE111" s="5359" t="s">
        <v>153</v>
      </c>
      <c r="AF111" s="5344"/>
      <c r="AG111" s="10777"/>
      <c r="AH111" s="1758"/>
      <c r="AI111" s="1758"/>
      <c r="AJ111" s="1758"/>
      <c r="AK111" s="1758"/>
      <c r="AL111" s="1758"/>
      <c r="AM111" s="1758"/>
      <c r="AN111" s="1758"/>
      <c r="AO111" s="1758"/>
      <c r="AP111" s="1758"/>
      <c r="AQ111" s="1758"/>
      <c r="AR111" s="1758"/>
      <c r="AS111" s="1758"/>
      <c r="AT111" s="1758"/>
      <c r="AU111" s="1758"/>
      <c r="AV111" s="1758"/>
      <c r="AW111" s="1758"/>
      <c r="AX111" s="1758"/>
      <c r="AY111" s="1758"/>
      <c r="AZ111" s="1758"/>
      <c r="BA111" s="1758"/>
      <c r="BB111" s="1758"/>
      <c r="BC111" s="1758"/>
      <c r="BD111" s="1758"/>
      <c r="BE111" s="1758"/>
      <c r="BF111" s="1758"/>
      <c r="BG111" s="1758"/>
      <c r="BH111" s="1758"/>
      <c r="BI111" s="1758"/>
      <c r="BJ111" s="1758"/>
      <c r="BK111" s="1758"/>
      <c r="BL111" s="1758"/>
      <c r="BM111" s="1758"/>
      <c r="BN111" s="1758"/>
      <c r="BO111" s="1758"/>
      <c r="BP111" s="1758"/>
      <c r="BQ111" s="1758"/>
      <c r="BR111" s="1758"/>
      <c r="BS111" s="1758"/>
      <c r="BT111" s="1758"/>
      <c r="BU111" s="1758"/>
      <c r="BV111" s="1758"/>
      <c r="BW111" s="1758"/>
      <c r="BX111" s="1758"/>
      <c r="BY111" s="1758"/>
      <c r="BZ111" s="1758"/>
      <c r="CA111" s="1758"/>
      <c r="CB111" s="1758"/>
      <c r="CC111" s="1758"/>
      <c r="CD111" s="1758"/>
      <c r="CE111" s="1758"/>
      <c r="CF111" s="1758"/>
      <c r="CG111" s="1758"/>
      <c r="CH111" s="1758"/>
      <c r="CI111" s="1758"/>
      <c r="CJ111" s="1758"/>
      <c r="CK111" s="1758"/>
      <c r="CL111" s="1758"/>
      <c r="CM111" s="1758"/>
      <c r="CN111" s="1758"/>
      <c r="CO111" s="1758"/>
      <c r="CP111" s="1758"/>
      <c r="CQ111" s="1758"/>
      <c r="CR111" s="1758"/>
      <c r="CS111" s="1758"/>
      <c r="CT111" s="1758"/>
      <c r="CU111" s="1758"/>
      <c r="CV111" s="1758"/>
      <c r="CW111" s="1758"/>
      <c r="CX111" s="1758"/>
      <c r="CY111" s="1758"/>
      <c r="CZ111" s="1758"/>
      <c r="DA111" s="1758"/>
      <c r="DB111" s="1758"/>
      <c r="DC111" s="1758"/>
    </row>
    <row r="112" spans="1:107" s="1395" customFormat="1" ht="49.5" customHeight="1">
      <c r="A112" s="10827"/>
      <c r="B112" s="10748" t="s">
        <v>127</v>
      </c>
      <c r="C112" s="10742" t="s">
        <v>128</v>
      </c>
      <c r="D112" s="10742" t="s">
        <v>140</v>
      </c>
      <c r="E112" s="10742" t="s">
        <v>141</v>
      </c>
      <c r="F112" s="10743" t="s">
        <v>131</v>
      </c>
      <c r="G112" s="10742" t="s">
        <v>213</v>
      </c>
      <c r="H112" s="10742" t="s">
        <v>189</v>
      </c>
      <c r="I112" s="10829" t="s">
        <v>4838</v>
      </c>
      <c r="J112" s="10800" t="s">
        <v>4332</v>
      </c>
      <c r="K112" s="10734" t="s">
        <v>4839</v>
      </c>
      <c r="L112" s="10737">
        <v>0</v>
      </c>
      <c r="M112" s="10759">
        <v>6</v>
      </c>
      <c r="N112" s="10737">
        <v>6</v>
      </c>
      <c r="O112" s="10734" t="s">
        <v>4840</v>
      </c>
      <c r="P112" s="10734" t="s">
        <v>4841</v>
      </c>
      <c r="Q112" s="10750" t="s">
        <v>4842</v>
      </c>
      <c r="R112" s="5185"/>
      <c r="S112" s="5225"/>
      <c r="T112" s="5225"/>
      <c r="U112" s="5266"/>
      <c r="V112" s="5295"/>
      <c r="W112" s="5315"/>
      <c r="X112" s="7501"/>
      <c r="Y112" s="7497"/>
      <c r="Z112" s="7497"/>
      <c r="AA112" s="7502"/>
      <c r="AB112" s="5335"/>
      <c r="AC112" s="1409"/>
      <c r="AD112" s="5360"/>
      <c r="AE112" s="5361"/>
      <c r="AF112" s="5350"/>
      <c r="AG112" s="10779" t="s">
        <v>4843</v>
      </c>
      <c r="AH112" s="1758"/>
      <c r="AI112" s="1758"/>
      <c r="AJ112" s="1758"/>
      <c r="AK112" s="1758"/>
      <c r="AL112" s="1758"/>
      <c r="AM112" s="1758"/>
      <c r="AN112" s="1758"/>
      <c r="AO112" s="1758"/>
      <c r="AP112" s="1758"/>
      <c r="AQ112" s="1758"/>
      <c r="AR112" s="1758"/>
      <c r="AS112" s="1758"/>
      <c r="AT112" s="1758"/>
      <c r="AU112" s="1758"/>
      <c r="AV112" s="1758"/>
      <c r="AW112" s="1758"/>
      <c r="AX112" s="1758"/>
      <c r="AY112" s="1758"/>
      <c r="AZ112" s="1758"/>
      <c r="BA112" s="1758"/>
      <c r="BB112" s="1758"/>
      <c r="BC112" s="1758"/>
      <c r="BD112" s="1758"/>
      <c r="BE112" s="1758"/>
      <c r="BF112" s="1758"/>
      <c r="BG112" s="1758"/>
      <c r="BH112" s="1758"/>
      <c r="BI112" s="1758"/>
      <c r="BJ112" s="1758"/>
      <c r="BK112" s="1758"/>
      <c r="BL112" s="1758"/>
      <c r="BM112" s="1758"/>
      <c r="BN112" s="1758"/>
      <c r="BO112" s="1758"/>
      <c r="BP112" s="1758"/>
      <c r="BQ112" s="1758"/>
      <c r="BR112" s="1758"/>
      <c r="BS112" s="1758"/>
      <c r="BT112" s="1758"/>
      <c r="BU112" s="1758"/>
      <c r="BV112" s="1758"/>
      <c r="BW112" s="1758"/>
      <c r="BX112" s="1758"/>
      <c r="BY112" s="1758"/>
      <c r="BZ112" s="1758"/>
      <c r="CA112" s="1758"/>
      <c r="CB112" s="1758"/>
      <c r="CC112" s="1758"/>
      <c r="CD112" s="1758"/>
      <c r="CE112" s="1758"/>
      <c r="CF112" s="1758"/>
      <c r="CG112" s="1758"/>
      <c r="CH112" s="1758"/>
      <c r="CI112" s="1758"/>
      <c r="CJ112" s="1758"/>
      <c r="CK112" s="1758"/>
      <c r="CL112" s="1758"/>
      <c r="CM112" s="1758"/>
      <c r="CN112" s="1758"/>
      <c r="CO112" s="1758"/>
      <c r="CP112" s="1758"/>
      <c r="CQ112" s="1758"/>
      <c r="CR112" s="1758"/>
      <c r="CS112" s="1758"/>
      <c r="CT112" s="1758"/>
      <c r="CU112" s="1758"/>
      <c r="CV112" s="1758"/>
      <c r="CW112" s="1758"/>
      <c r="CX112" s="1758"/>
      <c r="CY112" s="1758"/>
      <c r="CZ112" s="1758"/>
      <c r="DA112" s="1758"/>
      <c r="DB112" s="1758"/>
      <c r="DC112" s="1758"/>
    </row>
    <row r="113" spans="1:107" s="1395" customFormat="1" ht="49.5" customHeight="1">
      <c r="A113" s="10827"/>
      <c r="B113" s="10731"/>
      <c r="C113" s="10728"/>
      <c r="D113" s="10728"/>
      <c r="E113" s="10728"/>
      <c r="F113" s="10744"/>
      <c r="G113" s="10728"/>
      <c r="H113" s="10728"/>
      <c r="I113" s="10830"/>
      <c r="J113" s="10801"/>
      <c r="K113" s="10735"/>
      <c r="L113" s="10738"/>
      <c r="M113" s="10759"/>
      <c r="N113" s="10738"/>
      <c r="O113" s="10735"/>
      <c r="P113" s="10735"/>
      <c r="Q113" s="10750"/>
      <c r="R113" s="5180"/>
      <c r="S113" s="5220"/>
      <c r="T113" s="5220"/>
      <c r="U113" s="5257"/>
      <c r="V113" s="5287"/>
      <c r="W113" s="5308"/>
      <c r="X113" s="7488"/>
      <c r="Y113" s="7489"/>
      <c r="Z113" s="7489"/>
      <c r="AA113" s="7490"/>
      <c r="AB113" s="5330"/>
      <c r="AC113" s="1403"/>
      <c r="AD113" s="5308"/>
      <c r="AE113" s="5353"/>
      <c r="AF113" s="5346"/>
      <c r="AG113" s="10777"/>
      <c r="AH113" s="1758"/>
      <c r="AI113" s="1758"/>
      <c r="AJ113" s="1758"/>
      <c r="AK113" s="1758"/>
      <c r="AL113" s="1758"/>
      <c r="AM113" s="1758"/>
      <c r="AN113" s="1758"/>
      <c r="AO113" s="1758"/>
      <c r="AP113" s="1758"/>
      <c r="AQ113" s="1758"/>
      <c r="AR113" s="1758"/>
      <c r="AS113" s="1758"/>
      <c r="AT113" s="1758"/>
      <c r="AU113" s="1758"/>
      <c r="AV113" s="1758"/>
      <c r="AW113" s="1758"/>
      <c r="AX113" s="1758"/>
      <c r="AY113" s="1758"/>
      <c r="AZ113" s="1758"/>
      <c r="BA113" s="1758"/>
      <c r="BB113" s="1758"/>
      <c r="BC113" s="1758"/>
      <c r="BD113" s="1758"/>
      <c r="BE113" s="1758"/>
      <c r="BF113" s="1758"/>
      <c r="BG113" s="1758"/>
      <c r="BH113" s="1758"/>
      <c r="BI113" s="1758"/>
      <c r="BJ113" s="1758"/>
      <c r="BK113" s="1758"/>
      <c r="BL113" s="1758"/>
      <c r="BM113" s="1758"/>
      <c r="BN113" s="1758"/>
      <c r="BO113" s="1758"/>
      <c r="BP113" s="1758"/>
      <c r="BQ113" s="1758"/>
      <c r="BR113" s="1758"/>
      <c r="BS113" s="1758"/>
      <c r="BT113" s="1758"/>
      <c r="BU113" s="1758"/>
      <c r="BV113" s="1758"/>
      <c r="BW113" s="1758"/>
      <c r="BX113" s="1758"/>
      <c r="BY113" s="1758"/>
      <c r="BZ113" s="1758"/>
      <c r="CA113" s="1758"/>
      <c r="CB113" s="1758"/>
      <c r="CC113" s="1758"/>
      <c r="CD113" s="1758"/>
      <c r="CE113" s="1758"/>
      <c r="CF113" s="1758"/>
      <c r="CG113" s="1758"/>
      <c r="CH113" s="1758"/>
      <c r="CI113" s="1758"/>
      <c r="CJ113" s="1758"/>
      <c r="CK113" s="1758"/>
      <c r="CL113" s="1758"/>
      <c r="CM113" s="1758"/>
      <c r="CN113" s="1758"/>
      <c r="CO113" s="1758"/>
      <c r="CP113" s="1758"/>
      <c r="CQ113" s="1758"/>
      <c r="CR113" s="1758"/>
      <c r="CS113" s="1758"/>
      <c r="CT113" s="1758"/>
      <c r="CU113" s="1758"/>
      <c r="CV113" s="1758"/>
      <c r="CW113" s="1758"/>
      <c r="CX113" s="1758"/>
      <c r="CY113" s="1758"/>
      <c r="CZ113" s="1758"/>
      <c r="DA113" s="1758"/>
      <c r="DB113" s="1758"/>
      <c r="DC113" s="1758"/>
    </row>
    <row r="114" spans="1:107" s="1395" customFormat="1" ht="49.5" customHeight="1">
      <c r="A114" s="10827"/>
      <c r="B114" s="10731"/>
      <c r="C114" s="10728"/>
      <c r="D114" s="10728"/>
      <c r="E114" s="10728"/>
      <c r="F114" s="10744"/>
      <c r="G114" s="10728"/>
      <c r="H114" s="10728"/>
      <c r="I114" s="10830"/>
      <c r="J114" s="10801"/>
      <c r="K114" s="10735"/>
      <c r="L114" s="10738"/>
      <c r="M114" s="10759"/>
      <c r="N114" s="10738"/>
      <c r="O114" s="10735"/>
      <c r="P114" s="10735"/>
      <c r="Q114" s="10750"/>
      <c r="R114" s="5180"/>
      <c r="S114" s="5220"/>
      <c r="T114" s="5220"/>
      <c r="U114" s="5257"/>
      <c r="V114" s="5287"/>
      <c r="W114" s="5308"/>
      <c r="X114" s="7488"/>
      <c r="Y114" s="7489"/>
      <c r="Z114" s="7489"/>
      <c r="AA114" s="7490"/>
      <c r="AB114" s="5330"/>
      <c r="AC114" s="1403"/>
      <c r="AD114" s="5308"/>
      <c r="AE114" s="5353"/>
      <c r="AF114" s="5346"/>
      <c r="AG114" s="10777"/>
      <c r="AH114" s="1758"/>
      <c r="AI114" s="1758"/>
      <c r="AJ114" s="1758"/>
      <c r="AK114" s="1758"/>
      <c r="AL114" s="1758"/>
      <c r="AM114" s="1758"/>
      <c r="AN114" s="1758"/>
      <c r="AO114" s="1758"/>
      <c r="AP114" s="1758"/>
      <c r="AQ114" s="1758"/>
      <c r="AR114" s="1758"/>
      <c r="AS114" s="1758"/>
      <c r="AT114" s="1758"/>
      <c r="AU114" s="1758"/>
      <c r="AV114" s="1758"/>
      <c r="AW114" s="1758"/>
      <c r="AX114" s="1758"/>
      <c r="AY114" s="1758"/>
      <c r="AZ114" s="1758"/>
      <c r="BA114" s="1758"/>
      <c r="BB114" s="1758"/>
      <c r="BC114" s="1758"/>
      <c r="BD114" s="1758"/>
      <c r="BE114" s="1758"/>
      <c r="BF114" s="1758"/>
      <c r="BG114" s="1758"/>
      <c r="BH114" s="1758"/>
      <c r="BI114" s="1758"/>
      <c r="BJ114" s="1758"/>
      <c r="BK114" s="1758"/>
      <c r="BL114" s="1758"/>
      <c r="BM114" s="1758"/>
      <c r="BN114" s="1758"/>
      <c r="BO114" s="1758"/>
      <c r="BP114" s="1758"/>
      <c r="BQ114" s="1758"/>
      <c r="BR114" s="1758"/>
      <c r="BS114" s="1758"/>
      <c r="BT114" s="1758"/>
      <c r="BU114" s="1758"/>
      <c r="BV114" s="1758"/>
      <c r="BW114" s="1758"/>
      <c r="BX114" s="1758"/>
      <c r="BY114" s="1758"/>
      <c r="BZ114" s="1758"/>
      <c r="CA114" s="1758"/>
      <c r="CB114" s="1758"/>
      <c r="CC114" s="1758"/>
      <c r="CD114" s="1758"/>
      <c r="CE114" s="1758"/>
      <c r="CF114" s="1758"/>
      <c r="CG114" s="1758"/>
      <c r="CH114" s="1758"/>
      <c r="CI114" s="1758"/>
      <c r="CJ114" s="1758"/>
      <c r="CK114" s="1758"/>
      <c r="CL114" s="1758"/>
      <c r="CM114" s="1758"/>
      <c r="CN114" s="1758"/>
      <c r="CO114" s="1758"/>
      <c r="CP114" s="1758"/>
      <c r="CQ114" s="1758"/>
      <c r="CR114" s="1758"/>
      <c r="CS114" s="1758"/>
      <c r="CT114" s="1758"/>
      <c r="CU114" s="1758"/>
      <c r="CV114" s="1758"/>
      <c r="CW114" s="1758"/>
      <c r="CX114" s="1758"/>
      <c r="CY114" s="1758"/>
      <c r="CZ114" s="1758"/>
      <c r="DA114" s="1758"/>
      <c r="DB114" s="1758"/>
      <c r="DC114" s="1758"/>
    </row>
    <row r="115" spans="1:107" s="1395" customFormat="1" ht="49.5" customHeight="1">
      <c r="A115" s="10828"/>
      <c r="B115" s="10731"/>
      <c r="C115" s="10728"/>
      <c r="D115" s="10728"/>
      <c r="E115" s="10728"/>
      <c r="F115" s="10744"/>
      <c r="G115" s="10728"/>
      <c r="H115" s="10728"/>
      <c r="I115" s="10830"/>
      <c r="J115" s="10801"/>
      <c r="K115" s="10735"/>
      <c r="L115" s="10738"/>
      <c r="M115" s="10759"/>
      <c r="N115" s="10738"/>
      <c r="O115" s="10735"/>
      <c r="P115" s="10735"/>
      <c r="Q115" s="10750"/>
      <c r="R115" s="5176"/>
      <c r="S115" s="5216"/>
      <c r="T115" s="5216"/>
      <c r="U115" s="5254"/>
      <c r="V115" s="5285"/>
      <c r="W115" s="5306"/>
      <c r="X115" s="7483"/>
      <c r="Y115" s="7473"/>
      <c r="Z115" s="7473"/>
      <c r="AA115" s="7484"/>
      <c r="AB115" s="5328"/>
      <c r="AC115" s="1401"/>
      <c r="AD115" s="5306"/>
      <c r="AE115" s="5346"/>
      <c r="AF115" s="5346"/>
      <c r="AG115" s="10777"/>
      <c r="AH115" s="1758"/>
      <c r="AI115" s="1758"/>
      <c r="AJ115" s="1758"/>
      <c r="AK115" s="1758"/>
      <c r="AL115" s="1758"/>
      <c r="AM115" s="1758"/>
      <c r="AN115" s="1758"/>
      <c r="AO115" s="1758"/>
      <c r="AP115" s="1758"/>
      <c r="AQ115" s="1758"/>
      <c r="AR115" s="1758"/>
      <c r="AS115" s="1758"/>
      <c r="AT115" s="1758"/>
      <c r="AU115" s="1758"/>
      <c r="AV115" s="1758"/>
      <c r="AW115" s="1758"/>
      <c r="AX115" s="1758"/>
      <c r="AY115" s="1758"/>
      <c r="AZ115" s="1758"/>
      <c r="BA115" s="1758"/>
      <c r="BB115" s="1758"/>
      <c r="BC115" s="1758"/>
      <c r="BD115" s="1758"/>
      <c r="BE115" s="1758"/>
      <c r="BF115" s="1758"/>
      <c r="BG115" s="1758"/>
      <c r="BH115" s="1758"/>
      <c r="BI115" s="1758"/>
      <c r="BJ115" s="1758"/>
      <c r="BK115" s="1758"/>
      <c r="BL115" s="1758"/>
      <c r="BM115" s="1758"/>
      <c r="BN115" s="1758"/>
      <c r="BO115" s="1758"/>
      <c r="BP115" s="1758"/>
      <c r="BQ115" s="1758"/>
      <c r="BR115" s="1758"/>
      <c r="BS115" s="1758"/>
      <c r="BT115" s="1758"/>
      <c r="BU115" s="1758"/>
      <c r="BV115" s="1758"/>
      <c r="BW115" s="1758"/>
      <c r="BX115" s="1758"/>
      <c r="BY115" s="1758"/>
      <c r="BZ115" s="1758"/>
      <c r="CA115" s="1758"/>
      <c r="CB115" s="1758"/>
      <c r="CC115" s="1758"/>
      <c r="CD115" s="1758"/>
      <c r="CE115" s="1758"/>
      <c r="CF115" s="1758"/>
      <c r="CG115" s="1758"/>
      <c r="CH115" s="1758"/>
      <c r="CI115" s="1758"/>
      <c r="CJ115" s="1758"/>
      <c r="CK115" s="1758"/>
      <c r="CL115" s="1758"/>
      <c r="CM115" s="1758"/>
      <c r="CN115" s="1758"/>
      <c r="CO115" s="1758"/>
      <c r="CP115" s="1758"/>
      <c r="CQ115" s="1758"/>
      <c r="CR115" s="1758"/>
      <c r="CS115" s="1758"/>
      <c r="CT115" s="1758"/>
      <c r="CU115" s="1758"/>
      <c r="CV115" s="1758"/>
      <c r="CW115" s="1758"/>
      <c r="CX115" s="1758"/>
      <c r="CY115" s="1758"/>
      <c r="CZ115" s="1758"/>
      <c r="DA115" s="1758"/>
      <c r="DB115" s="1758"/>
      <c r="DC115" s="1758"/>
    </row>
    <row r="116" spans="1:107" s="1395" customFormat="1" ht="49.5" customHeight="1">
      <c r="A116" s="10835" t="s">
        <v>4290</v>
      </c>
      <c r="B116" s="10732"/>
      <c r="C116" s="10729"/>
      <c r="D116" s="10729"/>
      <c r="E116" s="10729"/>
      <c r="F116" s="10745"/>
      <c r="G116" s="10729"/>
      <c r="H116" s="10729"/>
      <c r="I116" s="10833"/>
      <c r="J116" s="10834"/>
      <c r="K116" s="10736"/>
      <c r="L116" s="10739"/>
      <c r="M116" s="10760"/>
      <c r="N116" s="10739"/>
      <c r="O116" s="10736"/>
      <c r="P116" s="10736"/>
      <c r="Q116" s="10751"/>
      <c r="R116" s="5177"/>
      <c r="S116" s="5217"/>
      <c r="T116" s="5217"/>
      <c r="U116" s="5255"/>
      <c r="V116" s="5286"/>
      <c r="W116" s="5307"/>
      <c r="X116" s="7485"/>
      <c r="Y116" s="7479"/>
      <c r="Z116" s="7479"/>
      <c r="AA116" s="7486"/>
      <c r="AB116" s="5329"/>
      <c r="AC116" s="1402"/>
      <c r="AD116" s="5307"/>
      <c r="AE116" s="5348"/>
      <c r="AF116" s="5348"/>
      <c r="AG116" s="10778"/>
      <c r="AH116" s="1758"/>
      <c r="AI116" s="1758"/>
      <c r="AJ116" s="1758"/>
      <c r="AK116" s="1758"/>
      <c r="AL116" s="1758"/>
      <c r="AM116" s="1758"/>
      <c r="AN116" s="1758"/>
      <c r="AO116" s="1758"/>
      <c r="AP116" s="1758"/>
      <c r="AQ116" s="1758"/>
      <c r="AR116" s="1758"/>
      <c r="AS116" s="1758"/>
      <c r="AT116" s="1758"/>
      <c r="AU116" s="1758"/>
      <c r="AV116" s="1758"/>
      <c r="AW116" s="1758"/>
      <c r="AX116" s="1758"/>
      <c r="AY116" s="1758"/>
      <c r="AZ116" s="1758"/>
      <c r="BA116" s="1758"/>
      <c r="BB116" s="1758"/>
      <c r="BC116" s="1758"/>
      <c r="BD116" s="1758"/>
      <c r="BE116" s="1758"/>
      <c r="BF116" s="1758"/>
      <c r="BG116" s="1758"/>
      <c r="BH116" s="1758"/>
      <c r="BI116" s="1758"/>
      <c r="BJ116" s="1758"/>
      <c r="BK116" s="1758"/>
      <c r="BL116" s="1758"/>
      <c r="BM116" s="1758"/>
      <c r="BN116" s="1758"/>
      <c r="BO116" s="1758"/>
      <c r="BP116" s="1758"/>
      <c r="BQ116" s="1758"/>
      <c r="BR116" s="1758"/>
      <c r="BS116" s="1758"/>
      <c r="BT116" s="1758"/>
      <c r="BU116" s="1758"/>
      <c r="BV116" s="1758"/>
      <c r="BW116" s="1758"/>
      <c r="BX116" s="1758"/>
      <c r="BY116" s="1758"/>
      <c r="BZ116" s="1758"/>
      <c r="CA116" s="1758"/>
      <c r="CB116" s="1758"/>
      <c r="CC116" s="1758"/>
      <c r="CD116" s="1758"/>
      <c r="CE116" s="1758"/>
      <c r="CF116" s="1758"/>
      <c r="CG116" s="1758"/>
      <c r="CH116" s="1758"/>
      <c r="CI116" s="1758"/>
      <c r="CJ116" s="1758"/>
      <c r="CK116" s="1758"/>
      <c r="CL116" s="1758"/>
      <c r="CM116" s="1758"/>
      <c r="CN116" s="1758"/>
      <c r="CO116" s="1758"/>
      <c r="CP116" s="1758"/>
      <c r="CQ116" s="1758"/>
      <c r="CR116" s="1758"/>
      <c r="CS116" s="1758"/>
      <c r="CT116" s="1758"/>
      <c r="CU116" s="1758"/>
      <c r="CV116" s="1758"/>
      <c r="CW116" s="1758"/>
      <c r="CX116" s="1758"/>
      <c r="CY116" s="1758"/>
      <c r="CZ116" s="1758"/>
      <c r="DA116" s="1758"/>
      <c r="DB116" s="1758"/>
      <c r="DC116" s="1758"/>
    </row>
    <row r="117" spans="1:107" s="1395" customFormat="1" ht="48" customHeight="1">
      <c r="A117" s="10827"/>
      <c r="B117" s="10748" t="s">
        <v>183</v>
      </c>
      <c r="C117" s="10742" t="s">
        <v>227</v>
      </c>
      <c r="D117" s="10742" t="s">
        <v>185</v>
      </c>
      <c r="E117" s="10742" t="s">
        <v>1938</v>
      </c>
      <c r="F117" s="10743" t="s">
        <v>230</v>
      </c>
      <c r="G117" s="10742" t="s">
        <v>171</v>
      </c>
      <c r="H117" s="10742" t="s">
        <v>133</v>
      </c>
      <c r="I117" s="10728" t="s">
        <v>4844</v>
      </c>
      <c r="J117" s="10742" t="s">
        <v>4338</v>
      </c>
      <c r="K117" s="10734" t="s">
        <v>4845</v>
      </c>
      <c r="L117" s="10737">
        <v>0</v>
      </c>
      <c r="M117" s="10759">
        <v>1</v>
      </c>
      <c r="N117" s="10737">
        <v>1</v>
      </c>
      <c r="O117" s="10734" t="s">
        <v>4846</v>
      </c>
      <c r="P117" s="10734" t="s">
        <v>4847</v>
      </c>
      <c r="Q117" s="10750" t="s">
        <v>4842</v>
      </c>
      <c r="R117" s="5173"/>
      <c r="S117" s="5212"/>
      <c r="T117" s="5212"/>
      <c r="U117" s="5253"/>
      <c r="V117" s="5284"/>
      <c r="W117" s="5305"/>
      <c r="X117" s="7481"/>
      <c r="Y117" s="7477"/>
      <c r="Z117" s="7477"/>
      <c r="AA117" s="7482"/>
      <c r="AB117" s="5327"/>
      <c r="AC117" s="1400"/>
      <c r="AD117" s="5305"/>
      <c r="AE117" s="5350"/>
      <c r="AF117" s="5350"/>
      <c r="AG117" s="10779" t="s">
        <v>4843</v>
      </c>
      <c r="AH117" s="1758"/>
      <c r="AI117" s="1758"/>
      <c r="AJ117" s="1758"/>
      <c r="AK117" s="1758"/>
      <c r="AL117" s="1758"/>
      <c r="AM117" s="1758"/>
      <c r="AN117" s="1758"/>
      <c r="AO117" s="1758"/>
      <c r="AP117" s="1758"/>
      <c r="AQ117" s="1758"/>
      <c r="AR117" s="1758"/>
      <c r="AS117" s="1758"/>
      <c r="AT117" s="1758"/>
      <c r="AU117" s="1758"/>
      <c r="AV117" s="1758"/>
      <c r="AW117" s="1758"/>
      <c r="AX117" s="1758"/>
      <c r="AY117" s="1758"/>
      <c r="AZ117" s="1758"/>
      <c r="BA117" s="1758"/>
      <c r="BB117" s="1758"/>
      <c r="BC117" s="1758"/>
      <c r="BD117" s="1758"/>
      <c r="BE117" s="1758"/>
      <c r="BF117" s="1758"/>
      <c r="BG117" s="1758"/>
      <c r="BH117" s="1758"/>
      <c r="BI117" s="1758"/>
      <c r="BJ117" s="1758"/>
      <c r="BK117" s="1758"/>
      <c r="BL117" s="1758"/>
      <c r="BM117" s="1758"/>
      <c r="BN117" s="1758"/>
      <c r="BO117" s="1758"/>
      <c r="BP117" s="1758"/>
      <c r="BQ117" s="1758"/>
      <c r="BR117" s="1758"/>
      <c r="BS117" s="1758"/>
      <c r="BT117" s="1758"/>
      <c r="BU117" s="1758"/>
      <c r="BV117" s="1758"/>
      <c r="BW117" s="1758"/>
      <c r="BX117" s="1758"/>
      <c r="BY117" s="1758"/>
      <c r="BZ117" s="1758"/>
      <c r="CA117" s="1758"/>
      <c r="CB117" s="1758"/>
      <c r="CC117" s="1758"/>
      <c r="CD117" s="1758"/>
      <c r="CE117" s="1758"/>
      <c r="CF117" s="1758"/>
      <c r="CG117" s="1758"/>
      <c r="CH117" s="1758"/>
      <c r="CI117" s="1758"/>
      <c r="CJ117" s="1758"/>
      <c r="CK117" s="1758"/>
      <c r="CL117" s="1758"/>
      <c r="CM117" s="1758"/>
      <c r="CN117" s="1758"/>
      <c r="CO117" s="1758"/>
      <c r="CP117" s="1758"/>
      <c r="CQ117" s="1758"/>
      <c r="CR117" s="1758"/>
      <c r="CS117" s="1758"/>
      <c r="CT117" s="1758"/>
      <c r="CU117" s="1758"/>
      <c r="CV117" s="1758"/>
      <c r="CW117" s="1758"/>
      <c r="CX117" s="1758"/>
      <c r="CY117" s="1758"/>
      <c r="CZ117" s="1758"/>
      <c r="DA117" s="1758"/>
      <c r="DB117" s="1758"/>
      <c r="DC117" s="1758"/>
    </row>
    <row r="118" spans="1:107" s="1395" customFormat="1" ht="48" customHeight="1">
      <c r="A118" s="10827"/>
      <c r="B118" s="10731"/>
      <c r="C118" s="10728"/>
      <c r="D118" s="10728"/>
      <c r="E118" s="10728"/>
      <c r="F118" s="10744"/>
      <c r="G118" s="10728"/>
      <c r="H118" s="10728"/>
      <c r="I118" s="10728"/>
      <c r="J118" s="10728"/>
      <c r="K118" s="10735"/>
      <c r="L118" s="10738"/>
      <c r="M118" s="10759"/>
      <c r="N118" s="10738"/>
      <c r="O118" s="10735"/>
      <c r="P118" s="10735"/>
      <c r="Q118" s="10750"/>
      <c r="R118" s="5176"/>
      <c r="S118" s="5216"/>
      <c r="T118" s="5216"/>
      <c r="U118" s="5254"/>
      <c r="V118" s="5285"/>
      <c r="W118" s="5306"/>
      <c r="X118" s="7483"/>
      <c r="Y118" s="7473"/>
      <c r="Z118" s="7473"/>
      <c r="AA118" s="7484"/>
      <c r="AB118" s="5328"/>
      <c r="AC118" s="1401"/>
      <c r="AD118" s="5306"/>
      <c r="AE118" s="5346"/>
      <c r="AF118" s="5346"/>
      <c r="AG118" s="10777"/>
      <c r="AH118" s="1758"/>
      <c r="AI118" s="1758"/>
      <c r="AJ118" s="1758"/>
      <c r="AK118" s="1758"/>
      <c r="AL118" s="1758"/>
      <c r="AM118" s="1758"/>
      <c r="AN118" s="1758"/>
      <c r="AO118" s="1758"/>
      <c r="AP118" s="1758"/>
      <c r="AQ118" s="1758"/>
      <c r="AR118" s="1758"/>
      <c r="AS118" s="1758"/>
      <c r="AT118" s="1758"/>
      <c r="AU118" s="1758"/>
      <c r="AV118" s="1758"/>
      <c r="AW118" s="1758"/>
      <c r="AX118" s="1758"/>
      <c r="AY118" s="1758"/>
      <c r="AZ118" s="1758"/>
      <c r="BA118" s="1758"/>
      <c r="BB118" s="1758"/>
      <c r="BC118" s="1758"/>
      <c r="BD118" s="1758"/>
      <c r="BE118" s="1758"/>
      <c r="BF118" s="1758"/>
      <c r="BG118" s="1758"/>
      <c r="BH118" s="1758"/>
      <c r="BI118" s="1758"/>
      <c r="BJ118" s="1758"/>
      <c r="BK118" s="1758"/>
      <c r="BL118" s="1758"/>
      <c r="BM118" s="1758"/>
      <c r="BN118" s="1758"/>
      <c r="BO118" s="1758"/>
      <c r="BP118" s="1758"/>
      <c r="BQ118" s="1758"/>
      <c r="BR118" s="1758"/>
      <c r="BS118" s="1758"/>
      <c r="BT118" s="1758"/>
      <c r="BU118" s="1758"/>
      <c r="BV118" s="1758"/>
      <c r="BW118" s="1758"/>
      <c r="BX118" s="1758"/>
      <c r="BY118" s="1758"/>
      <c r="BZ118" s="1758"/>
      <c r="CA118" s="1758"/>
      <c r="CB118" s="1758"/>
      <c r="CC118" s="1758"/>
      <c r="CD118" s="1758"/>
      <c r="CE118" s="1758"/>
      <c r="CF118" s="1758"/>
      <c r="CG118" s="1758"/>
      <c r="CH118" s="1758"/>
      <c r="CI118" s="1758"/>
      <c r="CJ118" s="1758"/>
      <c r="CK118" s="1758"/>
      <c r="CL118" s="1758"/>
      <c r="CM118" s="1758"/>
      <c r="CN118" s="1758"/>
      <c r="CO118" s="1758"/>
      <c r="CP118" s="1758"/>
      <c r="CQ118" s="1758"/>
      <c r="CR118" s="1758"/>
      <c r="CS118" s="1758"/>
      <c r="CT118" s="1758"/>
      <c r="CU118" s="1758"/>
      <c r="CV118" s="1758"/>
      <c r="CW118" s="1758"/>
      <c r="CX118" s="1758"/>
      <c r="CY118" s="1758"/>
      <c r="CZ118" s="1758"/>
      <c r="DA118" s="1758"/>
      <c r="DB118" s="1758"/>
      <c r="DC118" s="1758"/>
    </row>
    <row r="119" spans="1:107" s="1395" customFormat="1" ht="48" customHeight="1">
      <c r="A119" s="10827"/>
      <c r="B119" s="10731"/>
      <c r="C119" s="10728"/>
      <c r="D119" s="10728"/>
      <c r="E119" s="10728"/>
      <c r="F119" s="10744"/>
      <c r="G119" s="10728"/>
      <c r="H119" s="10728"/>
      <c r="I119" s="10728"/>
      <c r="J119" s="10728"/>
      <c r="K119" s="10735"/>
      <c r="L119" s="10738"/>
      <c r="M119" s="10759"/>
      <c r="N119" s="10738"/>
      <c r="O119" s="10735"/>
      <c r="P119" s="10735"/>
      <c r="Q119" s="10750"/>
      <c r="R119" s="5176"/>
      <c r="S119" s="5216"/>
      <c r="T119" s="5216"/>
      <c r="U119" s="5254"/>
      <c r="V119" s="5285"/>
      <c r="W119" s="5306"/>
      <c r="X119" s="7483"/>
      <c r="Y119" s="7473"/>
      <c r="Z119" s="7473"/>
      <c r="AA119" s="7484"/>
      <c r="AB119" s="5328"/>
      <c r="AC119" s="1401"/>
      <c r="AD119" s="5306"/>
      <c r="AE119" s="5346"/>
      <c r="AF119" s="5346"/>
      <c r="AG119" s="10777"/>
      <c r="AH119" s="1758"/>
      <c r="AI119" s="1758"/>
      <c r="AJ119" s="1758"/>
      <c r="AK119" s="1758"/>
      <c r="AL119" s="1758"/>
      <c r="AM119" s="1758"/>
      <c r="AN119" s="1758"/>
      <c r="AO119" s="1758"/>
      <c r="AP119" s="1758"/>
      <c r="AQ119" s="1758"/>
      <c r="AR119" s="1758"/>
      <c r="AS119" s="1758"/>
      <c r="AT119" s="1758"/>
      <c r="AU119" s="1758"/>
      <c r="AV119" s="1758"/>
      <c r="AW119" s="1758"/>
      <c r="AX119" s="1758"/>
      <c r="AY119" s="1758"/>
      <c r="AZ119" s="1758"/>
      <c r="BA119" s="1758"/>
      <c r="BB119" s="1758"/>
      <c r="BC119" s="1758"/>
      <c r="BD119" s="1758"/>
      <c r="BE119" s="1758"/>
      <c r="BF119" s="1758"/>
      <c r="BG119" s="1758"/>
      <c r="BH119" s="1758"/>
      <c r="BI119" s="1758"/>
      <c r="BJ119" s="1758"/>
      <c r="BK119" s="1758"/>
      <c r="BL119" s="1758"/>
      <c r="BM119" s="1758"/>
      <c r="BN119" s="1758"/>
      <c r="BO119" s="1758"/>
      <c r="BP119" s="1758"/>
      <c r="BQ119" s="1758"/>
      <c r="BR119" s="1758"/>
      <c r="BS119" s="1758"/>
      <c r="BT119" s="1758"/>
      <c r="BU119" s="1758"/>
      <c r="BV119" s="1758"/>
      <c r="BW119" s="1758"/>
      <c r="BX119" s="1758"/>
      <c r="BY119" s="1758"/>
      <c r="BZ119" s="1758"/>
      <c r="CA119" s="1758"/>
      <c r="CB119" s="1758"/>
      <c r="CC119" s="1758"/>
      <c r="CD119" s="1758"/>
      <c r="CE119" s="1758"/>
      <c r="CF119" s="1758"/>
      <c r="CG119" s="1758"/>
      <c r="CH119" s="1758"/>
      <c r="CI119" s="1758"/>
      <c r="CJ119" s="1758"/>
      <c r="CK119" s="1758"/>
      <c r="CL119" s="1758"/>
      <c r="CM119" s="1758"/>
      <c r="CN119" s="1758"/>
      <c r="CO119" s="1758"/>
      <c r="CP119" s="1758"/>
      <c r="CQ119" s="1758"/>
      <c r="CR119" s="1758"/>
      <c r="CS119" s="1758"/>
      <c r="CT119" s="1758"/>
      <c r="CU119" s="1758"/>
      <c r="CV119" s="1758"/>
      <c r="CW119" s="1758"/>
      <c r="CX119" s="1758"/>
      <c r="CY119" s="1758"/>
      <c r="CZ119" s="1758"/>
      <c r="DA119" s="1758"/>
      <c r="DB119" s="1758"/>
      <c r="DC119" s="1758"/>
    </row>
    <row r="120" spans="1:107" s="1395" customFormat="1" ht="48" customHeight="1">
      <c r="A120" s="10827"/>
      <c r="B120" s="10731"/>
      <c r="C120" s="10728"/>
      <c r="D120" s="10728"/>
      <c r="E120" s="10728"/>
      <c r="F120" s="10744"/>
      <c r="G120" s="10728"/>
      <c r="H120" s="10728"/>
      <c r="I120" s="10728"/>
      <c r="J120" s="10728"/>
      <c r="K120" s="10735"/>
      <c r="L120" s="10738"/>
      <c r="M120" s="10759"/>
      <c r="N120" s="10738"/>
      <c r="O120" s="10735"/>
      <c r="P120" s="10735"/>
      <c r="Q120" s="10750"/>
      <c r="R120" s="5176"/>
      <c r="S120" s="5216"/>
      <c r="T120" s="5216"/>
      <c r="U120" s="5254"/>
      <c r="V120" s="5285"/>
      <c r="W120" s="5306"/>
      <c r="X120" s="7483"/>
      <c r="Y120" s="7473"/>
      <c r="Z120" s="7473"/>
      <c r="AA120" s="7484"/>
      <c r="AB120" s="5328"/>
      <c r="AC120" s="1401"/>
      <c r="AD120" s="5306"/>
      <c r="AE120" s="5346"/>
      <c r="AF120" s="5346"/>
      <c r="AG120" s="10777"/>
      <c r="AH120" s="1758"/>
      <c r="AI120" s="1758"/>
      <c r="AJ120" s="1758"/>
      <c r="AK120" s="1758"/>
      <c r="AL120" s="1758"/>
      <c r="AM120" s="1758"/>
      <c r="AN120" s="1758"/>
      <c r="AO120" s="1758"/>
      <c r="AP120" s="1758"/>
      <c r="AQ120" s="1758"/>
      <c r="AR120" s="1758"/>
      <c r="AS120" s="1758"/>
      <c r="AT120" s="1758"/>
      <c r="AU120" s="1758"/>
      <c r="AV120" s="1758"/>
      <c r="AW120" s="1758"/>
      <c r="AX120" s="1758"/>
      <c r="AY120" s="1758"/>
      <c r="AZ120" s="1758"/>
      <c r="BA120" s="1758"/>
      <c r="BB120" s="1758"/>
      <c r="BC120" s="1758"/>
      <c r="BD120" s="1758"/>
      <c r="BE120" s="1758"/>
      <c r="BF120" s="1758"/>
      <c r="BG120" s="1758"/>
      <c r="BH120" s="1758"/>
      <c r="BI120" s="1758"/>
      <c r="BJ120" s="1758"/>
      <c r="BK120" s="1758"/>
      <c r="BL120" s="1758"/>
      <c r="BM120" s="1758"/>
      <c r="BN120" s="1758"/>
      <c r="BO120" s="1758"/>
      <c r="BP120" s="1758"/>
      <c r="BQ120" s="1758"/>
      <c r="BR120" s="1758"/>
      <c r="BS120" s="1758"/>
      <c r="BT120" s="1758"/>
      <c r="BU120" s="1758"/>
      <c r="BV120" s="1758"/>
      <c r="BW120" s="1758"/>
      <c r="BX120" s="1758"/>
      <c r="BY120" s="1758"/>
      <c r="BZ120" s="1758"/>
      <c r="CA120" s="1758"/>
      <c r="CB120" s="1758"/>
      <c r="CC120" s="1758"/>
      <c r="CD120" s="1758"/>
      <c r="CE120" s="1758"/>
      <c r="CF120" s="1758"/>
      <c r="CG120" s="1758"/>
      <c r="CH120" s="1758"/>
      <c r="CI120" s="1758"/>
      <c r="CJ120" s="1758"/>
      <c r="CK120" s="1758"/>
      <c r="CL120" s="1758"/>
      <c r="CM120" s="1758"/>
      <c r="CN120" s="1758"/>
      <c r="CO120" s="1758"/>
      <c r="CP120" s="1758"/>
      <c r="CQ120" s="1758"/>
      <c r="CR120" s="1758"/>
      <c r="CS120" s="1758"/>
      <c r="CT120" s="1758"/>
      <c r="CU120" s="1758"/>
      <c r="CV120" s="1758"/>
      <c r="CW120" s="1758"/>
      <c r="CX120" s="1758"/>
      <c r="CY120" s="1758"/>
      <c r="CZ120" s="1758"/>
      <c r="DA120" s="1758"/>
      <c r="DB120" s="1758"/>
      <c r="DC120" s="1758"/>
    </row>
    <row r="121" spans="1:107" s="1395" customFormat="1" ht="48" customHeight="1">
      <c r="A121" s="10827"/>
      <c r="B121" s="10732"/>
      <c r="C121" s="10729"/>
      <c r="D121" s="10729"/>
      <c r="E121" s="10729"/>
      <c r="F121" s="10745"/>
      <c r="G121" s="10729"/>
      <c r="H121" s="10729"/>
      <c r="I121" s="10729"/>
      <c r="J121" s="10729"/>
      <c r="K121" s="10736"/>
      <c r="L121" s="10739"/>
      <c r="M121" s="10760"/>
      <c r="N121" s="10739"/>
      <c r="O121" s="10736"/>
      <c r="P121" s="10736"/>
      <c r="Q121" s="10751"/>
      <c r="R121" s="5177"/>
      <c r="S121" s="5217"/>
      <c r="T121" s="5217"/>
      <c r="U121" s="5255"/>
      <c r="V121" s="5286"/>
      <c r="W121" s="5307"/>
      <c r="X121" s="7485"/>
      <c r="Y121" s="7479"/>
      <c r="Z121" s="7479"/>
      <c r="AA121" s="7486"/>
      <c r="AB121" s="5329"/>
      <c r="AC121" s="1402"/>
      <c r="AD121" s="5307"/>
      <c r="AE121" s="5348"/>
      <c r="AF121" s="5348"/>
      <c r="AG121" s="10778"/>
      <c r="AH121" s="1758"/>
      <c r="AI121" s="1758"/>
      <c r="AJ121" s="1758"/>
      <c r="AK121" s="1758"/>
      <c r="AL121" s="1758"/>
      <c r="AM121" s="1758"/>
      <c r="AN121" s="1758"/>
      <c r="AO121" s="1758"/>
      <c r="AP121" s="1758"/>
      <c r="AQ121" s="1758"/>
      <c r="AR121" s="1758"/>
      <c r="AS121" s="1758"/>
      <c r="AT121" s="1758"/>
      <c r="AU121" s="1758"/>
      <c r="AV121" s="1758"/>
      <c r="AW121" s="1758"/>
      <c r="AX121" s="1758"/>
      <c r="AY121" s="1758"/>
      <c r="AZ121" s="1758"/>
      <c r="BA121" s="1758"/>
      <c r="BB121" s="1758"/>
      <c r="BC121" s="1758"/>
      <c r="BD121" s="1758"/>
      <c r="BE121" s="1758"/>
      <c r="BF121" s="1758"/>
      <c r="BG121" s="1758"/>
      <c r="BH121" s="1758"/>
      <c r="BI121" s="1758"/>
      <c r="BJ121" s="1758"/>
      <c r="BK121" s="1758"/>
      <c r="BL121" s="1758"/>
      <c r="BM121" s="1758"/>
      <c r="BN121" s="1758"/>
      <c r="BO121" s="1758"/>
      <c r="BP121" s="1758"/>
      <c r="BQ121" s="1758"/>
      <c r="BR121" s="1758"/>
      <c r="BS121" s="1758"/>
      <c r="BT121" s="1758"/>
      <c r="BU121" s="1758"/>
      <c r="BV121" s="1758"/>
      <c r="BW121" s="1758"/>
      <c r="BX121" s="1758"/>
      <c r="BY121" s="1758"/>
      <c r="BZ121" s="1758"/>
      <c r="CA121" s="1758"/>
      <c r="CB121" s="1758"/>
      <c r="CC121" s="1758"/>
      <c r="CD121" s="1758"/>
      <c r="CE121" s="1758"/>
      <c r="CF121" s="1758"/>
      <c r="CG121" s="1758"/>
      <c r="CH121" s="1758"/>
      <c r="CI121" s="1758"/>
      <c r="CJ121" s="1758"/>
      <c r="CK121" s="1758"/>
      <c r="CL121" s="1758"/>
      <c r="CM121" s="1758"/>
      <c r="CN121" s="1758"/>
      <c r="CO121" s="1758"/>
      <c r="CP121" s="1758"/>
      <c r="CQ121" s="1758"/>
      <c r="CR121" s="1758"/>
      <c r="CS121" s="1758"/>
      <c r="CT121" s="1758"/>
      <c r="CU121" s="1758"/>
      <c r="CV121" s="1758"/>
      <c r="CW121" s="1758"/>
      <c r="CX121" s="1758"/>
      <c r="CY121" s="1758"/>
      <c r="CZ121" s="1758"/>
      <c r="DA121" s="1758"/>
      <c r="DB121" s="1758"/>
      <c r="DC121" s="1758"/>
    </row>
    <row r="122" spans="1:107" s="1395" customFormat="1" ht="25.5" customHeight="1">
      <c r="A122" s="10827"/>
      <c r="B122" s="10731" t="s">
        <v>127</v>
      </c>
      <c r="C122" s="10728" t="s">
        <v>128</v>
      </c>
      <c r="D122" s="10728" t="s">
        <v>129</v>
      </c>
      <c r="E122" s="10728" t="s">
        <v>157</v>
      </c>
      <c r="F122" s="10744" t="s">
        <v>131</v>
      </c>
      <c r="G122" s="10728" t="s">
        <v>158</v>
      </c>
      <c r="H122" s="10728" t="s">
        <v>133</v>
      </c>
      <c r="I122" s="10753" t="s">
        <v>4848</v>
      </c>
      <c r="J122" s="10832" t="s">
        <v>4348</v>
      </c>
      <c r="K122" s="10735" t="s">
        <v>4349</v>
      </c>
      <c r="L122" s="10759">
        <v>0</v>
      </c>
      <c r="M122" s="10759">
        <v>0</v>
      </c>
      <c r="N122" s="10759">
        <v>2</v>
      </c>
      <c r="O122" s="10735" t="s">
        <v>4849</v>
      </c>
      <c r="P122" s="10735" t="s">
        <v>4850</v>
      </c>
      <c r="Q122" s="10750" t="s">
        <v>4851</v>
      </c>
      <c r="R122" s="5173"/>
      <c r="S122" s="5212"/>
      <c r="T122" s="5212"/>
      <c r="U122" s="5249"/>
      <c r="V122" s="5281"/>
      <c r="W122" s="5302"/>
      <c r="X122" s="7477"/>
      <c r="Y122" s="7477"/>
      <c r="Z122" s="7477"/>
      <c r="AA122" s="7478"/>
      <c r="AB122" s="5325"/>
      <c r="AC122" s="1398"/>
      <c r="AD122" s="5302"/>
      <c r="AE122" s="5349"/>
      <c r="AF122" s="5349"/>
      <c r="AG122" s="10779"/>
      <c r="AH122" s="1758"/>
      <c r="AI122" s="1758"/>
      <c r="AJ122" s="1758"/>
      <c r="AK122" s="1758"/>
      <c r="AL122" s="1758"/>
      <c r="AM122" s="1758"/>
      <c r="AN122" s="1758"/>
      <c r="AO122" s="1758"/>
      <c r="AP122" s="1758"/>
      <c r="AQ122" s="1758"/>
      <c r="AR122" s="1758"/>
      <c r="AS122" s="1758"/>
      <c r="AT122" s="1758"/>
      <c r="AU122" s="1758"/>
      <c r="AV122" s="1758"/>
      <c r="AW122" s="1758"/>
      <c r="AX122" s="1758"/>
      <c r="AY122" s="1758"/>
      <c r="AZ122" s="1758"/>
      <c r="BA122" s="1758"/>
      <c r="BB122" s="1758"/>
      <c r="BC122" s="1758"/>
      <c r="BD122" s="1758"/>
      <c r="BE122" s="1758"/>
      <c r="BF122" s="1758"/>
      <c r="BG122" s="1758"/>
      <c r="BH122" s="1758"/>
      <c r="BI122" s="1758"/>
      <c r="BJ122" s="1758"/>
      <c r="BK122" s="1758"/>
      <c r="BL122" s="1758"/>
      <c r="BM122" s="1758"/>
      <c r="BN122" s="1758"/>
      <c r="BO122" s="1758"/>
      <c r="BP122" s="1758"/>
      <c r="BQ122" s="1758"/>
      <c r="BR122" s="1758"/>
      <c r="BS122" s="1758"/>
      <c r="BT122" s="1758"/>
      <c r="BU122" s="1758"/>
      <c r="BV122" s="1758"/>
      <c r="BW122" s="1758"/>
      <c r="BX122" s="1758"/>
      <c r="BY122" s="1758"/>
      <c r="BZ122" s="1758"/>
      <c r="CA122" s="1758"/>
      <c r="CB122" s="1758"/>
      <c r="CC122" s="1758"/>
      <c r="CD122" s="1758"/>
      <c r="CE122" s="1758"/>
      <c r="CF122" s="1758"/>
      <c r="CG122" s="1758"/>
      <c r="CH122" s="1758"/>
      <c r="CI122" s="1758"/>
      <c r="CJ122" s="1758"/>
      <c r="CK122" s="1758"/>
      <c r="CL122" s="1758"/>
      <c r="CM122" s="1758"/>
      <c r="CN122" s="1758"/>
      <c r="CO122" s="1758"/>
      <c r="CP122" s="1758"/>
      <c r="CQ122" s="1758"/>
      <c r="CR122" s="1758"/>
      <c r="CS122" s="1758"/>
      <c r="CT122" s="1758"/>
      <c r="CU122" s="1758"/>
      <c r="CV122" s="1758"/>
      <c r="CW122" s="1758"/>
      <c r="CX122" s="1758"/>
      <c r="CY122" s="1758"/>
      <c r="CZ122" s="1758"/>
      <c r="DA122" s="1758"/>
      <c r="DB122" s="1758"/>
      <c r="DC122" s="1758"/>
    </row>
    <row r="123" spans="1:107" s="1395" customFormat="1" ht="25.5" customHeight="1">
      <c r="A123" s="10827"/>
      <c r="B123" s="10731"/>
      <c r="C123" s="10728"/>
      <c r="D123" s="10728"/>
      <c r="E123" s="10728"/>
      <c r="F123" s="10744"/>
      <c r="G123" s="10728"/>
      <c r="H123" s="10728"/>
      <c r="I123" s="10754"/>
      <c r="J123" s="10801"/>
      <c r="K123" s="10735"/>
      <c r="L123" s="10759"/>
      <c r="M123" s="10759"/>
      <c r="N123" s="10759"/>
      <c r="O123" s="10735"/>
      <c r="P123" s="10735"/>
      <c r="Q123" s="10750"/>
      <c r="R123" s="5171"/>
      <c r="S123" s="5213"/>
      <c r="T123" s="5213"/>
      <c r="U123" s="5247"/>
      <c r="V123" s="5279"/>
      <c r="W123" s="5300"/>
      <c r="X123" s="7473"/>
      <c r="Y123" s="7473"/>
      <c r="Z123" s="7473"/>
      <c r="AA123" s="7474"/>
      <c r="AB123" s="5323"/>
      <c r="AC123" s="1396"/>
      <c r="AD123" s="5300"/>
      <c r="AE123" s="5346"/>
      <c r="AF123" s="5346"/>
      <c r="AG123" s="10777"/>
      <c r="AH123" s="1758"/>
      <c r="AI123" s="1758"/>
      <c r="AJ123" s="1758"/>
      <c r="AK123" s="1758"/>
      <c r="AL123" s="1758"/>
      <c r="AM123" s="1758"/>
      <c r="AN123" s="1758"/>
      <c r="AO123" s="1758"/>
      <c r="AP123" s="1758"/>
      <c r="AQ123" s="1758"/>
      <c r="AR123" s="1758"/>
      <c r="AS123" s="1758"/>
      <c r="AT123" s="1758"/>
      <c r="AU123" s="1758"/>
      <c r="AV123" s="1758"/>
      <c r="AW123" s="1758"/>
      <c r="AX123" s="1758"/>
      <c r="AY123" s="1758"/>
      <c r="AZ123" s="1758"/>
      <c r="BA123" s="1758"/>
      <c r="BB123" s="1758"/>
      <c r="BC123" s="1758"/>
      <c r="BD123" s="1758"/>
      <c r="BE123" s="1758"/>
      <c r="BF123" s="1758"/>
      <c r="BG123" s="1758"/>
      <c r="BH123" s="1758"/>
      <c r="BI123" s="1758"/>
      <c r="BJ123" s="1758"/>
      <c r="BK123" s="1758"/>
      <c r="BL123" s="1758"/>
      <c r="BM123" s="1758"/>
      <c r="BN123" s="1758"/>
      <c r="BO123" s="1758"/>
      <c r="BP123" s="1758"/>
      <c r="BQ123" s="1758"/>
      <c r="BR123" s="1758"/>
      <c r="BS123" s="1758"/>
      <c r="BT123" s="1758"/>
      <c r="BU123" s="1758"/>
      <c r="BV123" s="1758"/>
      <c r="BW123" s="1758"/>
      <c r="BX123" s="1758"/>
      <c r="BY123" s="1758"/>
      <c r="BZ123" s="1758"/>
      <c r="CA123" s="1758"/>
      <c r="CB123" s="1758"/>
      <c r="CC123" s="1758"/>
      <c r="CD123" s="1758"/>
      <c r="CE123" s="1758"/>
      <c r="CF123" s="1758"/>
      <c r="CG123" s="1758"/>
      <c r="CH123" s="1758"/>
      <c r="CI123" s="1758"/>
      <c r="CJ123" s="1758"/>
      <c r="CK123" s="1758"/>
      <c r="CL123" s="1758"/>
      <c r="CM123" s="1758"/>
      <c r="CN123" s="1758"/>
      <c r="CO123" s="1758"/>
      <c r="CP123" s="1758"/>
      <c r="CQ123" s="1758"/>
      <c r="CR123" s="1758"/>
      <c r="CS123" s="1758"/>
      <c r="CT123" s="1758"/>
      <c r="CU123" s="1758"/>
      <c r="CV123" s="1758"/>
      <c r="CW123" s="1758"/>
      <c r="CX123" s="1758"/>
      <c r="CY123" s="1758"/>
      <c r="CZ123" s="1758"/>
      <c r="DA123" s="1758"/>
      <c r="DB123" s="1758"/>
      <c r="DC123" s="1758"/>
    </row>
    <row r="124" spans="1:107" s="1395" customFormat="1" ht="25.5" customHeight="1">
      <c r="A124" s="10827"/>
      <c r="B124" s="10731"/>
      <c r="C124" s="10728"/>
      <c r="D124" s="10728"/>
      <c r="E124" s="10728"/>
      <c r="F124" s="10744"/>
      <c r="G124" s="10728"/>
      <c r="H124" s="10728"/>
      <c r="I124" s="10754"/>
      <c r="J124" s="10801"/>
      <c r="K124" s="10735"/>
      <c r="L124" s="10759"/>
      <c r="M124" s="10759"/>
      <c r="N124" s="10759"/>
      <c r="O124" s="10735"/>
      <c r="P124" s="10735"/>
      <c r="Q124" s="10750"/>
      <c r="R124" s="5174"/>
      <c r="S124" s="5214"/>
      <c r="T124" s="5214"/>
      <c r="U124" s="5250"/>
      <c r="V124" s="5281"/>
      <c r="W124" s="5302"/>
      <c r="X124" s="7477"/>
      <c r="Y124" s="7473"/>
      <c r="Z124" s="7473"/>
      <c r="AA124" s="7474"/>
      <c r="AB124" s="5323"/>
      <c r="AC124" s="1396"/>
      <c r="AD124" s="5300"/>
      <c r="AE124" s="5346"/>
      <c r="AF124" s="5346"/>
      <c r="AG124" s="10777"/>
      <c r="AH124" s="1758"/>
      <c r="AI124" s="1758"/>
      <c r="AJ124" s="1758"/>
      <c r="AK124" s="1758"/>
      <c r="AL124" s="1758"/>
      <c r="AM124" s="1758"/>
      <c r="AN124" s="1758"/>
      <c r="AO124" s="1758"/>
      <c r="AP124" s="1758"/>
      <c r="AQ124" s="1758"/>
      <c r="AR124" s="1758"/>
      <c r="AS124" s="1758"/>
      <c r="AT124" s="1758"/>
      <c r="AU124" s="1758"/>
      <c r="AV124" s="1758"/>
      <c r="AW124" s="1758"/>
      <c r="AX124" s="1758"/>
      <c r="AY124" s="1758"/>
      <c r="AZ124" s="1758"/>
      <c r="BA124" s="1758"/>
      <c r="BB124" s="1758"/>
      <c r="BC124" s="1758"/>
      <c r="BD124" s="1758"/>
      <c r="BE124" s="1758"/>
      <c r="BF124" s="1758"/>
      <c r="BG124" s="1758"/>
      <c r="BH124" s="1758"/>
      <c r="BI124" s="1758"/>
      <c r="BJ124" s="1758"/>
      <c r="BK124" s="1758"/>
      <c r="BL124" s="1758"/>
      <c r="BM124" s="1758"/>
      <c r="BN124" s="1758"/>
      <c r="BO124" s="1758"/>
      <c r="BP124" s="1758"/>
      <c r="BQ124" s="1758"/>
      <c r="BR124" s="1758"/>
      <c r="BS124" s="1758"/>
      <c r="BT124" s="1758"/>
      <c r="BU124" s="1758"/>
      <c r="BV124" s="1758"/>
      <c r="BW124" s="1758"/>
      <c r="BX124" s="1758"/>
      <c r="BY124" s="1758"/>
      <c r="BZ124" s="1758"/>
      <c r="CA124" s="1758"/>
      <c r="CB124" s="1758"/>
      <c r="CC124" s="1758"/>
      <c r="CD124" s="1758"/>
      <c r="CE124" s="1758"/>
      <c r="CF124" s="1758"/>
      <c r="CG124" s="1758"/>
      <c r="CH124" s="1758"/>
      <c r="CI124" s="1758"/>
      <c r="CJ124" s="1758"/>
      <c r="CK124" s="1758"/>
      <c r="CL124" s="1758"/>
      <c r="CM124" s="1758"/>
      <c r="CN124" s="1758"/>
      <c r="CO124" s="1758"/>
      <c r="CP124" s="1758"/>
      <c r="CQ124" s="1758"/>
      <c r="CR124" s="1758"/>
      <c r="CS124" s="1758"/>
      <c r="CT124" s="1758"/>
      <c r="CU124" s="1758"/>
      <c r="CV124" s="1758"/>
      <c r="CW124" s="1758"/>
      <c r="CX124" s="1758"/>
      <c r="CY124" s="1758"/>
      <c r="CZ124" s="1758"/>
      <c r="DA124" s="1758"/>
      <c r="DB124" s="1758"/>
      <c r="DC124" s="1758"/>
    </row>
    <row r="125" spans="1:107" s="1395" customFormat="1" ht="25.5" customHeight="1">
      <c r="A125" s="10827"/>
      <c r="B125" s="10731"/>
      <c r="C125" s="10728"/>
      <c r="D125" s="10728"/>
      <c r="E125" s="10728"/>
      <c r="F125" s="10744"/>
      <c r="G125" s="10728"/>
      <c r="H125" s="10728"/>
      <c r="I125" s="10754"/>
      <c r="J125" s="10801"/>
      <c r="K125" s="10735"/>
      <c r="L125" s="10759"/>
      <c r="M125" s="10759"/>
      <c r="N125" s="10759"/>
      <c r="O125" s="10735"/>
      <c r="P125" s="10735"/>
      <c r="Q125" s="10750"/>
      <c r="R125" s="5173"/>
      <c r="S125" s="5212"/>
      <c r="T125" s="5212"/>
      <c r="U125" s="5250"/>
      <c r="V125" s="5281"/>
      <c r="W125" s="5302"/>
      <c r="X125" s="7477"/>
      <c r="Y125" s="7473"/>
      <c r="Z125" s="7473"/>
      <c r="AA125" s="7474"/>
      <c r="AB125" s="5323"/>
      <c r="AC125" s="1396"/>
      <c r="AD125" s="5300"/>
      <c r="AE125" s="5346"/>
      <c r="AF125" s="5346"/>
      <c r="AG125" s="10777"/>
      <c r="AH125" s="1758"/>
      <c r="AI125" s="1758"/>
      <c r="AJ125" s="1758"/>
      <c r="AK125" s="1758"/>
      <c r="AL125" s="1758"/>
      <c r="AM125" s="1758"/>
      <c r="AN125" s="1758"/>
      <c r="AO125" s="1758"/>
      <c r="AP125" s="1758"/>
      <c r="AQ125" s="1758"/>
      <c r="AR125" s="1758"/>
      <c r="AS125" s="1758"/>
      <c r="AT125" s="1758"/>
      <c r="AU125" s="1758"/>
      <c r="AV125" s="1758"/>
      <c r="AW125" s="1758"/>
      <c r="AX125" s="1758"/>
      <c r="AY125" s="1758"/>
      <c r="AZ125" s="1758"/>
      <c r="BA125" s="1758"/>
      <c r="BB125" s="1758"/>
      <c r="BC125" s="1758"/>
      <c r="BD125" s="1758"/>
      <c r="BE125" s="1758"/>
      <c r="BF125" s="1758"/>
      <c r="BG125" s="1758"/>
      <c r="BH125" s="1758"/>
      <c r="BI125" s="1758"/>
      <c r="BJ125" s="1758"/>
      <c r="BK125" s="1758"/>
      <c r="BL125" s="1758"/>
      <c r="BM125" s="1758"/>
      <c r="BN125" s="1758"/>
      <c r="BO125" s="1758"/>
      <c r="BP125" s="1758"/>
      <c r="BQ125" s="1758"/>
      <c r="BR125" s="1758"/>
      <c r="BS125" s="1758"/>
      <c r="BT125" s="1758"/>
      <c r="BU125" s="1758"/>
      <c r="BV125" s="1758"/>
      <c r="BW125" s="1758"/>
      <c r="BX125" s="1758"/>
      <c r="BY125" s="1758"/>
      <c r="BZ125" s="1758"/>
      <c r="CA125" s="1758"/>
      <c r="CB125" s="1758"/>
      <c r="CC125" s="1758"/>
      <c r="CD125" s="1758"/>
      <c r="CE125" s="1758"/>
      <c r="CF125" s="1758"/>
      <c r="CG125" s="1758"/>
      <c r="CH125" s="1758"/>
      <c r="CI125" s="1758"/>
      <c r="CJ125" s="1758"/>
      <c r="CK125" s="1758"/>
      <c r="CL125" s="1758"/>
      <c r="CM125" s="1758"/>
      <c r="CN125" s="1758"/>
      <c r="CO125" s="1758"/>
      <c r="CP125" s="1758"/>
      <c r="CQ125" s="1758"/>
      <c r="CR125" s="1758"/>
      <c r="CS125" s="1758"/>
      <c r="CT125" s="1758"/>
      <c r="CU125" s="1758"/>
      <c r="CV125" s="1758"/>
      <c r="CW125" s="1758"/>
      <c r="CX125" s="1758"/>
      <c r="CY125" s="1758"/>
      <c r="CZ125" s="1758"/>
      <c r="DA125" s="1758"/>
      <c r="DB125" s="1758"/>
      <c r="DC125" s="1758"/>
    </row>
    <row r="126" spans="1:107" s="1395" customFormat="1" ht="25.5" customHeight="1">
      <c r="A126" s="10827"/>
      <c r="B126" s="10732"/>
      <c r="C126" s="10729"/>
      <c r="D126" s="10729"/>
      <c r="E126" s="10729"/>
      <c r="F126" s="10745"/>
      <c r="G126" s="10729"/>
      <c r="H126" s="10729"/>
      <c r="I126" s="10755"/>
      <c r="J126" s="10802"/>
      <c r="K126" s="10736"/>
      <c r="L126" s="10760"/>
      <c r="M126" s="10760"/>
      <c r="N126" s="10760"/>
      <c r="O126" s="10736"/>
      <c r="P126" s="10736"/>
      <c r="Q126" s="10751"/>
      <c r="R126" s="5175"/>
      <c r="S126" s="5215"/>
      <c r="T126" s="5215"/>
      <c r="U126" s="5251"/>
      <c r="V126" s="5282"/>
      <c r="W126" s="5303"/>
      <c r="X126" s="7479"/>
      <c r="Y126" s="7479"/>
      <c r="Z126" s="7479"/>
      <c r="AA126" s="7480"/>
      <c r="AB126" s="5326"/>
      <c r="AC126" s="1399"/>
      <c r="AD126" s="5303"/>
      <c r="AE126" s="5348"/>
      <c r="AF126" s="5348"/>
      <c r="AG126" s="10778"/>
      <c r="AH126" s="1758"/>
      <c r="AI126" s="1758"/>
      <c r="AJ126" s="1758"/>
      <c r="AK126" s="1758"/>
      <c r="AL126" s="1758"/>
      <c r="AM126" s="1758"/>
      <c r="AN126" s="1758"/>
      <c r="AO126" s="1758"/>
      <c r="AP126" s="1758"/>
      <c r="AQ126" s="1758"/>
      <c r="AR126" s="1758"/>
      <c r="AS126" s="1758"/>
      <c r="AT126" s="1758"/>
      <c r="AU126" s="1758"/>
      <c r="AV126" s="1758"/>
      <c r="AW126" s="1758"/>
      <c r="AX126" s="1758"/>
      <c r="AY126" s="1758"/>
      <c r="AZ126" s="1758"/>
      <c r="BA126" s="1758"/>
      <c r="BB126" s="1758"/>
      <c r="BC126" s="1758"/>
      <c r="BD126" s="1758"/>
      <c r="BE126" s="1758"/>
      <c r="BF126" s="1758"/>
      <c r="BG126" s="1758"/>
      <c r="BH126" s="1758"/>
      <c r="BI126" s="1758"/>
      <c r="BJ126" s="1758"/>
      <c r="BK126" s="1758"/>
      <c r="BL126" s="1758"/>
      <c r="BM126" s="1758"/>
      <c r="BN126" s="1758"/>
      <c r="BO126" s="1758"/>
      <c r="BP126" s="1758"/>
      <c r="BQ126" s="1758"/>
      <c r="BR126" s="1758"/>
      <c r="BS126" s="1758"/>
      <c r="BT126" s="1758"/>
      <c r="BU126" s="1758"/>
      <c r="BV126" s="1758"/>
      <c r="BW126" s="1758"/>
      <c r="BX126" s="1758"/>
      <c r="BY126" s="1758"/>
      <c r="BZ126" s="1758"/>
      <c r="CA126" s="1758"/>
      <c r="CB126" s="1758"/>
      <c r="CC126" s="1758"/>
      <c r="CD126" s="1758"/>
      <c r="CE126" s="1758"/>
      <c r="CF126" s="1758"/>
      <c r="CG126" s="1758"/>
      <c r="CH126" s="1758"/>
      <c r="CI126" s="1758"/>
      <c r="CJ126" s="1758"/>
      <c r="CK126" s="1758"/>
      <c r="CL126" s="1758"/>
      <c r="CM126" s="1758"/>
      <c r="CN126" s="1758"/>
      <c r="CO126" s="1758"/>
      <c r="CP126" s="1758"/>
      <c r="CQ126" s="1758"/>
      <c r="CR126" s="1758"/>
      <c r="CS126" s="1758"/>
      <c r="CT126" s="1758"/>
      <c r="CU126" s="1758"/>
      <c r="CV126" s="1758"/>
      <c r="CW126" s="1758"/>
      <c r="CX126" s="1758"/>
      <c r="CY126" s="1758"/>
      <c r="CZ126" s="1758"/>
      <c r="DA126" s="1758"/>
      <c r="DB126" s="1758"/>
      <c r="DC126" s="1758"/>
    </row>
    <row r="127" spans="1:107" s="1395" customFormat="1" ht="54.75" customHeight="1">
      <c r="A127" s="10827"/>
      <c r="B127" s="10731" t="s">
        <v>183</v>
      </c>
      <c r="C127" s="10728" t="s">
        <v>227</v>
      </c>
      <c r="D127" s="10728" t="s">
        <v>228</v>
      </c>
      <c r="E127" s="10728" t="s">
        <v>229</v>
      </c>
      <c r="F127" s="10744" t="s">
        <v>230</v>
      </c>
      <c r="G127" s="10728" t="s">
        <v>171</v>
      </c>
      <c r="H127" s="10728" t="s">
        <v>159</v>
      </c>
      <c r="I127" s="10829" t="s">
        <v>4852</v>
      </c>
      <c r="J127" s="10800" t="s">
        <v>4355</v>
      </c>
      <c r="K127" s="10735" t="s">
        <v>4853</v>
      </c>
      <c r="L127" s="10759">
        <v>0</v>
      </c>
      <c r="M127" s="10759">
        <v>6</v>
      </c>
      <c r="N127" s="10759">
        <v>6</v>
      </c>
      <c r="O127" s="10735" t="s">
        <v>4854</v>
      </c>
      <c r="P127" s="10735" t="s">
        <v>4855</v>
      </c>
      <c r="Q127" s="10750" t="s">
        <v>4856</v>
      </c>
      <c r="R127" s="5173"/>
      <c r="S127" s="5212"/>
      <c r="T127" s="5212"/>
      <c r="U127" s="5249"/>
      <c r="V127" s="5281"/>
      <c r="W127" s="5302"/>
      <c r="X127" s="7477"/>
      <c r="Y127" s="7477"/>
      <c r="Z127" s="7477"/>
      <c r="AA127" s="7478"/>
      <c r="AB127" s="5325"/>
      <c r="AC127" s="1398"/>
      <c r="AD127" s="5302"/>
      <c r="AE127" s="5349"/>
      <c r="AF127" s="5349"/>
      <c r="AG127" s="10779" t="s">
        <v>4843</v>
      </c>
      <c r="AH127" s="1758"/>
      <c r="AI127" s="1758"/>
      <c r="AJ127" s="1758"/>
      <c r="AK127" s="1758"/>
      <c r="AL127" s="1758"/>
      <c r="AM127" s="1758"/>
      <c r="AN127" s="1758"/>
      <c r="AO127" s="1758"/>
      <c r="AP127" s="1758"/>
      <c r="AQ127" s="1758"/>
      <c r="AR127" s="1758"/>
      <c r="AS127" s="1758"/>
      <c r="AT127" s="1758"/>
      <c r="AU127" s="1758"/>
      <c r="AV127" s="1758"/>
      <c r="AW127" s="1758"/>
      <c r="AX127" s="1758"/>
      <c r="AY127" s="1758"/>
      <c r="AZ127" s="1758"/>
      <c r="BA127" s="1758"/>
      <c r="BB127" s="1758"/>
      <c r="BC127" s="1758"/>
      <c r="BD127" s="1758"/>
      <c r="BE127" s="1758"/>
      <c r="BF127" s="1758"/>
      <c r="BG127" s="1758"/>
      <c r="BH127" s="1758"/>
      <c r="BI127" s="1758"/>
      <c r="BJ127" s="1758"/>
      <c r="BK127" s="1758"/>
      <c r="BL127" s="1758"/>
      <c r="BM127" s="1758"/>
      <c r="BN127" s="1758"/>
      <c r="BO127" s="1758"/>
      <c r="BP127" s="1758"/>
      <c r="BQ127" s="1758"/>
      <c r="BR127" s="1758"/>
      <c r="BS127" s="1758"/>
      <c r="BT127" s="1758"/>
      <c r="BU127" s="1758"/>
      <c r="BV127" s="1758"/>
      <c r="BW127" s="1758"/>
      <c r="BX127" s="1758"/>
      <c r="BY127" s="1758"/>
      <c r="BZ127" s="1758"/>
      <c r="CA127" s="1758"/>
      <c r="CB127" s="1758"/>
      <c r="CC127" s="1758"/>
      <c r="CD127" s="1758"/>
      <c r="CE127" s="1758"/>
      <c r="CF127" s="1758"/>
      <c r="CG127" s="1758"/>
      <c r="CH127" s="1758"/>
      <c r="CI127" s="1758"/>
      <c r="CJ127" s="1758"/>
      <c r="CK127" s="1758"/>
      <c r="CL127" s="1758"/>
      <c r="CM127" s="1758"/>
      <c r="CN127" s="1758"/>
      <c r="CO127" s="1758"/>
      <c r="CP127" s="1758"/>
      <c r="CQ127" s="1758"/>
      <c r="CR127" s="1758"/>
      <c r="CS127" s="1758"/>
      <c r="CT127" s="1758"/>
      <c r="CU127" s="1758"/>
      <c r="CV127" s="1758"/>
      <c r="CW127" s="1758"/>
      <c r="CX127" s="1758"/>
      <c r="CY127" s="1758"/>
      <c r="CZ127" s="1758"/>
      <c r="DA127" s="1758"/>
      <c r="DB127" s="1758"/>
      <c r="DC127" s="1758"/>
    </row>
    <row r="128" spans="1:107" s="1395" customFormat="1" ht="54.75" customHeight="1">
      <c r="A128" s="10827"/>
      <c r="B128" s="10731"/>
      <c r="C128" s="10728"/>
      <c r="D128" s="10728"/>
      <c r="E128" s="10728"/>
      <c r="F128" s="10744"/>
      <c r="G128" s="10728"/>
      <c r="H128" s="10728"/>
      <c r="I128" s="10830"/>
      <c r="J128" s="10801"/>
      <c r="K128" s="10735"/>
      <c r="L128" s="10759"/>
      <c r="M128" s="10759"/>
      <c r="N128" s="10759"/>
      <c r="O128" s="10735"/>
      <c r="P128" s="10735"/>
      <c r="Q128" s="10750"/>
      <c r="R128" s="5171"/>
      <c r="S128" s="5213"/>
      <c r="T128" s="5213"/>
      <c r="U128" s="5247"/>
      <c r="V128" s="5279"/>
      <c r="W128" s="5300"/>
      <c r="X128" s="7473"/>
      <c r="Y128" s="7473"/>
      <c r="Z128" s="7473"/>
      <c r="AA128" s="7474"/>
      <c r="AB128" s="5323"/>
      <c r="AC128" s="1396"/>
      <c r="AD128" s="5300"/>
      <c r="AE128" s="5346"/>
      <c r="AF128" s="5346"/>
      <c r="AG128" s="10777"/>
      <c r="AH128" s="1758"/>
      <c r="AI128" s="1758"/>
      <c r="AJ128" s="1758"/>
      <c r="AK128" s="1758"/>
      <c r="AL128" s="1758"/>
      <c r="AM128" s="1758"/>
      <c r="AN128" s="1758"/>
      <c r="AO128" s="1758"/>
      <c r="AP128" s="1758"/>
      <c r="AQ128" s="1758"/>
      <c r="AR128" s="1758"/>
      <c r="AS128" s="1758"/>
      <c r="AT128" s="1758"/>
      <c r="AU128" s="1758"/>
      <c r="AV128" s="1758"/>
      <c r="AW128" s="1758"/>
      <c r="AX128" s="1758"/>
      <c r="AY128" s="1758"/>
      <c r="AZ128" s="1758"/>
      <c r="BA128" s="1758"/>
      <c r="BB128" s="1758"/>
      <c r="BC128" s="1758"/>
      <c r="BD128" s="1758"/>
      <c r="BE128" s="1758"/>
      <c r="BF128" s="1758"/>
      <c r="BG128" s="1758"/>
      <c r="BH128" s="1758"/>
      <c r="BI128" s="1758"/>
      <c r="BJ128" s="1758"/>
      <c r="BK128" s="1758"/>
      <c r="BL128" s="1758"/>
      <c r="BM128" s="1758"/>
      <c r="BN128" s="1758"/>
      <c r="BO128" s="1758"/>
      <c r="BP128" s="1758"/>
      <c r="BQ128" s="1758"/>
      <c r="BR128" s="1758"/>
      <c r="BS128" s="1758"/>
      <c r="BT128" s="1758"/>
      <c r="BU128" s="1758"/>
      <c r="BV128" s="1758"/>
      <c r="BW128" s="1758"/>
      <c r="BX128" s="1758"/>
      <c r="BY128" s="1758"/>
      <c r="BZ128" s="1758"/>
      <c r="CA128" s="1758"/>
      <c r="CB128" s="1758"/>
      <c r="CC128" s="1758"/>
      <c r="CD128" s="1758"/>
      <c r="CE128" s="1758"/>
      <c r="CF128" s="1758"/>
      <c r="CG128" s="1758"/>
      <c r="CH128" s="1758"/>
      <c r="CI128" s="1758"/>
      <c r="CJ128" s="1758"/>
      <c r="CK128" s="1758"/>
      <c r="CL128" s="1758"/>
      <c r="CM128" s="1758"/>
      <c r="CN128" s="1758"/>
      <c r="CO128" s="1758"/>
      <c r="CP128" s="1758"/>
      <c r="CQ128" s="1758"/>
      <c r="CR128" s="1758"/>
      <c r="CS128" s="1758"/>
      <c r="CT128" s="1758"/>
      <c r="CU128" s="1758"/>
      <c r="CV128" s="1758"/>
      <c r="CW128" s="1758"/>
      <c r="CX128" s="1758"/>
      <c r="CY128" s="1758"/>
      <c r="CZ128" s="1758"/>
      <c r="DA128" s="1758"/>
      <c r="DB128" s="1758"/>
      <c r="DC128" s="1758"/>
    </row>
    <row r="129" spans="1:107" s="1395" customFormat="1" ht="54.75" customHeight="1">
      <c r="A129" s="10827"/>
      <c r="B129" s="10731"/>
      <c r="C129" s="10728"/>
      <c r="D129" s="10728"/>
      <c r="E129" s="10728"/>
      <c r="F129" s="10744"/>
      <c r="G129" s="10728"/>
      <c r="H129" s="10728"/>
      <c r="I129" s="10830"/>
      <c r="J129" s="10801"/>
      <c r="K129" s="10735"/>
      <c r="L129" s="10759"/>
      <c r="M129" s="10759"/>
      <c r="N129" s="10759"/>
      <c r="O129" s="10735"/>
      <c r="P129" s="10735"/>
      <c r="Q129" s="10750"/>
      <c r="R129" s="5174"/>
      <c r="S129" s="5214"/>
      <c r="T129" s="5214"/>
      <c r="U129" s="5250"/>
      <c r="V129" s="5281"/>
      <c r="W129" s="5302"/>
      <c r="X129" s="7477"/>
      <c r="Y129" s="7473"/>
      <c r="Z129" s="7473"/>
      <c r="AA129" s="7474"/>
      <c r="AB129" s="5323"/>
      <c r="AC129" s="1396"/>
      <c r="AD129" s="5300"/>
      <c r="AE129" s="5346"/>
      <c r="AF129" s="5346"/>
      <c r="AG129" s="10777"/>
      <c r="AH129" s="1758"/>
      <c r="AI129" s="1758"/>
      <c r="AJ129" s="1758"/>
      <c r="AK129" s="1758"/>
      <c r="AL129" s="1758"/>
      <c r="AM129" s="1758"/>
      <c r="AN129" s="1758"/>
      <c r="AO129" s="1758"/>
      <c r="AP129" s="1758"/>
      <c r="AQ129" s="1758"/>
      <c r="AR129" s="1758"/>
      <c r="AS129" s="1758"/>
      <c r="AT129" s="1758"/>
      <c r="AU129" s="1758"/>
      <c r="AV129" s="1758"/>
      <c r="AW129" s="1758"/>
      <c r="AX129" s="1758"/>
      <c r="AY129" s="1758"/>
      <c r="AZ129" s="1758"/>
      <c r="BA129" s="1758"/>
      <c r="BB129" s="1758"/>
      <c r="BC129" s="1758"/>
      <c r="BD129" s="1758"/>
      <c r="BE129" s="1758"/>
      <c r="BF129" s="1758"/>
      <c r="BG129" s="1758"/>
      <c r="BH129" s="1758"/>
      <c r="BI129" s="1758"/>
      <c r="BJ129" s="1758"/>
      <c r="BK129" s="1758"/>
      <c r="BL129" s="1758"/>
      <c r="BM129" s="1758"/>
      <c r="BN129" s="1758"/>
      <c r="BO129" s="1758"/>
      <c r="BP129" s="1758"/>
      <c r="BQ129" s="1758"/>
      <c r="BR129" s="1758"/>
      <c r="BS129" s="1758"/>
      <c r="BT129" s="1758"/>
      <c r="BU129" s="1758"/>
      <c r="BV129" s="1758"/>
      <c r="BW129" s="1758"/>
      <c r="BX129" s="1758"/>
      <c r="BY129" s="1758"/>
      <c r="BZ129" s="1758"/>
      <c r="CA129" s="1758"/>
      <c r="CB129" s="1758"/>
      <c r="CC129" s="1758"/>
      <c r="CD129" s="1758"/>
      <c r="CE129" s="1758"/>
      <c r="CF129" s="1758"/>
      <c r="CG129" s="1758"/>
      <c r="CH129" s="1758"/>
      <c r="CI129" s="1758"/>
      <c r="CJ129" s="1758"/>
      <c r="CK129" s="1758"/>
      <c r="CL129" s="1758"/>
      <c r="CM129" s="1758"/>
      <c r="CN129" s="1758"/>
      <c r="CO129" s="1758"/>
      <c r="CP129" s="1758"/>
      <c r="CQ129" s="1758"/>
      <c r="CR129" s="1758"/>
      <c r="CS129" s="1758"/>
      <c r="CT129" s="1758"/>
      <c r="CU129" s="1758"/>
      <c r="CV129" s="1758"/>
      <c r="CW129" s="1758"/>
      <c r="CX129" s="1758"/>
      <c r="CY129" s="1758"/>
      <c r="CZ129" s="1758"/>
      <c r="DA129" s="1758"/>
      <c r="DB129" s="1758"/>
      <c r="DC129" s="1758"/>
    </row>
    <row r="130" spans="1:107" s="1395" customFormat="1" ht="54.75" customHeight="1">
      <c r="A130" s="10827"/>
      <c r="B130" s="10731"/>
      <c r="C130" s="10728"/>
      <c r="D130" s="10728"/>
      <c r="E130" s="10728"/>
      <c r="F130" s="10744"/>
      <c r="G130" s="10728"/>
      <c r="H130" s="10728"/>
      <c r="I130" s="10830"/>
      <c r="J130" s="10801"/>
      <c r="K130" s="10735"/>
      <c r="L130" s="10759"/>
      <c r="M130" s="10759"/>
      <c r="N130" s="10759"/>
      <c r="O130" s="10735"/>
      <c r="P130" s="10735"/>
      <c r="Q130" s="10750"/>
      <c r="R130" s="5173"/>
      <c r="S130" s="5212"/>
      <c r="T130" s="5212"/>
      <c r="U130" s="5250"/>
      <c r="V130" s="5281"/>
      <c r="W130" s="5302"/>
      <c r="X130" s="7477"/>
      <c r="Y130" s="7473"/>
      <c r="Z130" s="7473"/>
      <c r="AA130" s="7474"/>
      <c r="AB130" s="5323"/>
      <c r="AC130" s="1396"/>
      <c r="AD130" s="5300"/>
      <c r="AE130" s="5346"/>
      <c r="AF130" s="5346"/>
      <c r="AG130" s="10777"/>
      <c r="AH130" s="1758"/>
      <c r="AI130" s="1758"/>
      <c r="AJ130" s="1758"/>
      <c r="AK130" s="1758"/>
      <c r="AL130" s="1758"/>
      <c r="AM130" s="1758"/>
      <c r="AN130" s="1758"/>
      <c r="AO130" s="1758"/>
      <c r="AP130" s="1758"/>
      <c r="AQ130" s="1758"/>
      <c r="AR130" s="1758"/>
      <c r="AS130" s="1758"/>
      <c r="AT130" s="1758"/>
      <c r="AU130" s="1758"/>
      <c r="AV130" s="1758"/>
      <c r="AW130" s="1758"/>
      <c r="AX130" s="1758"/>
      <c r="AY130" s="1758"/>
      <c r="AZ130" s="1758"/>
      <c r="BA130" s="1758"/>
      <c r="BB130" s="1758"/>
      <c r="BC130" s="1758"/>
      <c r="BD130" s="1758"/>
      <c r="BE130" s="1758"/>
      <c r="BF130" s="1758"/>
      <c r="BG130" s="1758"/>
      <c r="BH130" s="1758"/>
      <c r="BI130" s="1758"/>
      <c r="BJ130" s="1758"/>
      <c r="BK130" s="1758"/>
      <c r="BL130" s="1758"/>
      <c r="BM130" s="1758"/>
      <c r="BN130" s="1758"/>
      <c r="BO130" s="1758"/>
      <c r="BP130" s="1758"/>
      <c r="BQ130" s="1758"/>
      <c r="BR130" s="1758"/>
      <c r="BS130" s="1758"/>
      <c r="BT130" s="1758"/>
      <c r="BU130" s="1758"/>
      <c r="BV130" s="1758"/>
      <c r="BW130" s="1758"/>
      <c r="BX130" s="1758"/>
      <c r="BY130" s="1758"/>
      <c r="BZ130" s="1758"/>
      <c r="CA130" s="1758"/>
      <c r="CB130" s="1758"/>
      <c r="CC130" s="1758"/>
      <c r="CD130" s="1758"/>
      <c r="CE130" s="1758"/>
      <c r="CF130" s="1758"/>
      <c r="CG130" s="1758"/>
      <c r="CH130" s="1758"/>
      <c r="CI130" s="1758"/>
      <c r="CJ130" s="1758"/>
      <c r="CK130" s="1758"/>
      <c r="CL130" s="1758"/>
      <c r="CM130" s="1758"/>
      <c r="CN130" s="1758"/>
      <c r="CO130" s="1758"/>
      <c r="CP130" s="1758"/>
      <c r="CQ130" s="1758"/>
      <c r="CR130" s="1758"/>
      <c r="CS130" s="1758"/>
      <c r="CT130" s="1758"/>
      <c r="CU130" s="1758"/>
      <c r="CV130" s="1758"/>
      <c r="CW130" s="1758"/>
      <c r="CX130" s="1758"/>
      <c r="CY130" s="1758"/>
      <c r="CZ130" s="1758"/>
      <c r="DA130" s="1758"/>
      <c r="DB130" s="1758"/>
      <c r="DC130" s="1758"/>
    </row>
    <row r="131" spans="1:107" s="1410" customFormat="1" ht="54.75" customHeight="1">
      <c r="A131" s="10827"/>
      <c r="B131" s="10732"/>
      <c r="C131" s="10729"/>
      <c r="D131" s="10729"/>
      <c r="E131" s="10729"/>
      <c r="F131" s="10745"/>
      <c r="G131" s="10729"/>
      <c r="H131" s="10729"/>
      <c r="I131" s="10833"/>
      <c r="J131" s="10834"/>
      <c r="K131" s="10736"/>
      <c r="L131" s="10760"/>
      <c r="M131" s="10760"/>
      <c r="N131" s="10760"/>
      <c r="O131" s="10736"/>
      <c r="P131" s="10736"/>
      <c r="Q131" s="10751"/>
      <c r="R131" s="5175"/>
      <c r="S131" s="5215"/>
      <c r="T131" s="5215"/>
      <c r="U131" s="5251"/>
      <c r="V131" s="5282"/>
      <c r="W131" s="5303"/>
      <c r="X131" s="7479"/>
      <c r="Y131" s="7479"/>
      <c r="Z131" s="7479"/>
      <c r="AA131" s="7480"/>
      <c r="AB131" s="5326"/>
      <c r="AC131" s="1399"/>
      <c r="AD131" s="5303"/>
      <c r="AE131" s="5348"/>
      <c r="AF131" s="5348"/>
      <c r="AG131" s="10778"/>
      <c r="AH131" s="2817"/>
      <c r="AI131" s="2817"/>
      <c r="AJ131" s="2817"/>
      <c r="AK131" s="2817"/>
      <c r="AL131" s="2817"/>
      <c r="AM131" s="2817"/>
      <c r="AN131" s="2817"/>
      <c r="AO131" s="2817"/>
      <c r="AP131" s="2817"/>
      <c r="AQ131" s="2817"/>
      <c r="AR131" s="2817"/>
      <c r="AS131" s="2817"/>
      <c r="AT131" s="2817"/>
      <c r="AU131" s="2817"/>
      <c r="AV131" s="2817"/>
      <c r="AW131" s="2817"/>
      <c r="AX131" s="2817"/>
      <c r="AY131" s="2817"/>
      <c r="AZ131" s="2817"/>
      <c r="BA131" s="2817"/>
      <c r="BB131" s="2817"/>
      <c r="BC131" s="2817"/>
      <c r="BD131" s="2817"/>
      <c r="BE131" s="2817"/>
      <c r="BF131" s="2817"/>
      <c r="BG131" s="2817"/>
      <c r="BH131" s="2817"/>
      <c r="BI131" s="2817"/>
      <c r="BJ131" s="2817"/>
      <c r="BK131" s="2817"/>
      <c r="BL131" s="2817"/>
      <c r="BM131" s="2817"/>
      <c r="BN131" s="2817"/>
      <c r="BO131" s="2817"/>
      <c r="BP131" s="2817"/>
      <c r="BQ131" s="2817"/>
      <c r="BR131" s="2817"/>
      <c r="BS131" s="2817"/>
      <c r="BT131" s="2817"/>
      <c r="BU131" s="2817"/>
      <c r="BV131" s="2817"/>
      <c r="BW131" s="2817"/>
      <c r="BX131" s="2817"/>
      <c r="BY131" s="2817"/>
      <c r="BZ131" s="2817"/>
      <c r="CA131" s="2817"/>
      <c r="CB131" s="2817"/>
      <c r="CC131" s="2817"/>
      <c r="CD131" s="2817"/>
      <c r="CE131" s="2817"/>
      <c r="CF131" s="2817"/>
      <c r="CG131" s="2817"/>
      <c r="CH131" s="2817"/>
      <c r="CI131" s="2817"/>
      <c r="CJ131" s="2817"/>
      <c r="CK131" s="2817"/>
      <c r="CL131" s="2817"/>
      <c r="CM131" s="2817"/>
      <c r="CN131" s="2817"/>
      <c r="CO131" s="2817"/>
      <c r="CP131" s="2817"/>
      <c r="CQ131" s="2817"/>
      <c r="CR131" s="2817"/>
      <c r="CS131" s="2817"/>
      <c r="CT131" s="2817"/>
      <c r="CU131" s="2817"/>
      <c r="CV131" s="2817"/>
      <c r="CW131" s="2817"/>
      <c r="CX131" s="2817"/>
      <c r="CY131" s="2817"/>
      <c r="CZ131" s="2817"/>
      <c r="DA131" s="2817"/>
      <c r="DB131" s="2817"/>
      <c r="DC131" s="2817"/>
    </row>
    <row r="132" spans="1:107" s="1395" customFormat="1" ht="53.25" customHeight="1">
      <c r="A132" s="10827"/>
      <c r="B132" s="10731" t="s">
        <v>183</v>
      </c>
      <c r="C132" s="10728" t="s">
        <v>227</v>
      </c>
      <c r="D132" s="10728" t="s">
        <v>228</v>
      </c>
      <c r="E132" s="10728" t="s">
        <v>229</v>
      </c>
      <c r="F132" s="10744" t="s">
        <v>230</v>
      </c>
      <c r="G132" s="10728" t="s">
        <v>132</v>
      </c>
      <c r="H132" s="10728" t="s">
        <v>159</v>
      </c>
      <c r="I132" s="10728" t="s">
        <v>4857</v>
      </c>
      <c r="J132" s="10728" t="s">
        <v>4362</v>
      </c>
      <c r="K132" s="10735" t="s">
        <v>4858</v>
      </c>
      <c r="L132" s="10759">
        <v>0</v>
      </c>
      <c r="M132" s="10759">
        <v>1</v>
      </c>
      <c r="N132" s="10759">
        <v>1</v>
      </c>
      <c r="O132" s="10735" t="s">
        <v>4859</v>
      </c>
      <c r="P132" s="10735" t="s">
        <v>4860</v>
      </c>
      <c r="Q132" s="10750" t="s">
        <v>4817</v>
      </c>
      <c r="R132" s="5173"/>
      <c r="S132" s="5212"/>
      <c r="T132" s="5212"/>
      <c r="U132" s="5249"/>
      <c r="V132" s="5281"/>
      <c r="W132" s="5302"/>
      <c r="X132" s="7477"/>
      <c r="Y132" s="7477"/>
      <c r="Z132" s="7477"/>
      <c r="AA132" s="7478"/>
      <c r="AB132" s="5325"/>
      <c r="AC132" s="1398"/>
      <c r="AD132" s="5302"/>
      <c r="AE132" s="5351"/>
      <c r="AF132" s="5351"/>
      <c r="AG132" s="10779" t="s">
        <v>4843</v>
      </c>
      <c r="AH132" s="1758"/>
      <c r="AI132" s="1758"/>
      <c r="AJ132" s="1758"/>
      <c r="AK132" s="1758"/>
      <c r="AL132" s="1758"/>
      <c r="AM132" s="1758"/>
      <c r="AN132" s="1758"/>
      <c r="AO132" s="1758"/>
      <c r="AP132" s="1758"/>
      <c r="AQ132" s="1758"/>
      <c r="AR132" s="1758"/>
      <c r="AS132" s="1758"/>
      <c r="AT132" s="1758"/>
      <c r="AU132" s="1758"/>
      <c r="AV132" s="1758"/>
      <c r="AW132" s="1758"/>
      <c r="AX132" s="1758"/>
      <c r="AY132" s="1758"/>
      <c r="AZ132" s="1758"/>
      <c r="BA132" s="1758"/>
      <c r="BB132" s="1758"/>
      <c r="BC132" s="1758"/>
      <c r="BD132" s="1758"/>
      <c r="BE132" s="1758"/>
      <c r="BF132" s="1758"/>
      <c r="BG132" s="1758"/>
      <c r="BH132" s="1758"/>
      <c r="BI132" s="1758"/>
      <c r="BJ132" s="1758"/>
      <c r="BK132" s="1758"/>
      <c r="BL132" s="1758"/>
      <c r="BM132" s="1758"/>
      <c r="BN132" s="1758"/>
      <c r="BO132" s="1758"/>
      <c r="BP132" s="1758"/>
      <c r="BQ132" s="1758"/>
      <c r="BR132" s="1758"/>
      <c r="BS132" s="1758"/>
      <c r="BT132" s="1758"/>
      <c r="BU132" s="1758"/>
      <c r="BV132" s="1758"/>
      <c r="BW132" s="1758"/>
      <c r="BX132" s="1758"/>
      <c r="BY132" s="1758"/>
      <c r="BZ132" s="1758"/>
      <c r="CA132" s="1758"/>
      <c r="CB132" s="1758"/>
      <c r="CC132" s="1758"/>
      <c r="CD132" s="1758"/>
      <c r="CE132" s="1758"/>
      <c r="CF132" s="1758"/>
      <c r="CG132" s="1758"/>
      <c r="CH132" s="1758"/>
      <c r="CI132" s="1758"/>
      <c r="CJ132" s="1758"/>
      <c r="CK132" s="1758"/>
      <c r="CL132" s="1758"/>
      <c r="CM132" s="1758"/>
      <c r="CN132" s="1758"/>
      <c r="CO132" s="1758"/>
      <c r="CP132" s="1758"/>
      <c r="CQ132" s="1758"/>
      <c r="CR132" s="1758"/>
      <c r="CS132" s="1758"/>
      <c r="CT132" s="1758"/>
      <c r="CU132" s="1758"/>
      <c r="CV132" s="1758"/>
      <c r="CW132" s="1758"/>
      <c r="CX132" s="1758"/>
      <c r="CY132" s="1758"/>
      <c r="CZ132" s="1758"/>
      <c r="DA132" s="1758"/>
      <c r="DB132" s="1758"/>
      <c r="DC132" s="1758"/>
    </row>
    <row r="133" spans="1:107" s="1395" customFormat="1" ht="53.25" customHeight="1">
      <c r="A133" s="10827"/>
      <c r="B133" s="10731"/>
      <c r="C133" s="10728"/>
      <c r="D133" s="10728"/>
      <c r="E133" s="10728"/>
      <c r="F133" s="10744"/>
      <c r="G133" s="10728"/>
      <c r="H133" s="10728"/>
      <c r="I133" s="10728"/>
      <c r="J133" s="10728"/>
      <c r="K133" s="10735"/>
      <c r="L133" s="10759"/>
      <c r="M133" s="10759"/>
      <c r="N133" s="10759"/>
      <c r="O133" s="10735"/>
      <c r="P133" s="10735"/>
      <c r="Q133" s="10750"/>
      <c r="R133" s="5171"/>
      <c r="S133" s="5213"/>
      <c r="T133" s="5213"/>
      <c r="U133" s="5247"/>
      <c r="V133" s="5279"/>
      <c r="W133" s="5300"/>
      <c r="X133" s="7473"/>
      <c r="Y133" s="7473"/>
      <c r="Z133" s="7473"/>
      <c r="AA133" s="7474"/>
      <c r="AB133" s="5323"/>
      <c r="AC133" s="1396"/>
      <c r="AD133" s="5300"/>
      <c r="AE133" s="5300"/>
      <c r="AF133" s="5352"/>
      <c r="AG133" s="10777"/>
      <c r="AH133" s="1758"/>
      <c r="AI133" s="1758"/>
      <c r="AJ133" s="1758"/>
      <c r="AK133" s="1758"/>
      <c r="AL133" s="1758"/>
      <c r="AM133" s="1758"/>
      <c r="AN133" s="1758"/>
      <c r="AO133" s="1758"/>
      <c r="AP133" s="1758"/>
      <c r="AQ133" s="1758"/>
      <c r="AR133" s="1758"/>
      <c r="AS133" s="1758"/>
      <c r="AT133" s="1758"/>
      <c r="AU133" s="1758"/>
      <c r="AV133" s="1758"/>
      <c r="AW133" s="1758"/>
      <c r="AX133" s="1758"/>
      <c r="AY133" s="1758"/>
      <c r="AZ133" s="1758"/>
      <c r="BA133" s="1758"/>
      <c r="BB133" s="1758"/>
      <c r="BC133" s="1758"/>
      <c r="BD133" s="1758"/>
      <c r="BE133" s="1758"/>
      <c r="BF133" s="1758"/>
      <c r="BG133" s="1758"/>
      <c r="BH133" s="1758"/>
      <c r="BI133" s="1758"/>
      <c r="BJ133" s="1758"/>
      <c r="BK133" s="1758"/>
      <c r="BL133" s="1758"/>
      <c r="BM133" s="1758"/>
      <c r="BN133" s="1758"/>
      <c r="BO133" s="1758"/>
      <c r="BP133" s="1758"/>
      <c r="BQ133" s="1758"/>
      <c r="BR133" s="1758"/>
      <c r="BS133" s="1758"/>
      <c r="BT133" s="1758"/>
      <c r="BU133" s="1758"/>
      <c r="BV133" s="1758"/>
      <c r="BW133" s="1758"/>
      <c r="BX133" s="1758"/>
      <c r="BY133" s="1758"/>
      <c r="BZ133" s="1758"/>
      <c r="CA133" s="1758"/>
      <c r="CB133" s="1758"/>
      <c r="CC133" s="1758"/>
      <c r="CD133" s="1758"/>
      <c r="CE133" s="1758"/>
      <c r="CF133" s="1758"/>
      <c r="CG133" s="1758"/>
      <c r="CH133" s="1758"/>
      <c r="CI133" s="1758"/>
      <c r="CJ133" s="1758"/>
      <c r="CK133" s="1758"/>
      <c r="CL133" s="1758"/>
      <c r="CM133" s="1758"/>
      <c r="CN133" s="1758"/>
      <c r="CO133" s="1758"/>
      <c r="CP133" s="1758"/>
      <c r="CQ133" s="1758"/>
      <c r="CR133" s="1758"/>
      <c r="CS133" s="1758"/>
      <c r="CT133" s="1758"/>
      <c r="CU133" s="1758"/>
      <c r="CV133" s="1758"/>
      <c r="CW133" s="1758"/>
      <c r="CX133" s="1758"/>
      <c r="CY133" s="1758"/>
      <c r="CZ133" s="1758"/>
      <c r="DA133" s="1758"/>
      <c r="DB133" s="1758"/>
      <c r="DC133" s="1758"/>
    </row>
    <row r="134" spans="1:107" s="1395" customFormat="1" ht="53.25" customHeight="1">
      <c r="A134" s="10827"/>
      <c r="B134" s="10731"/>
      <c r="C134" s="10728"/>
      <c r="D134" s="10728"/>
      <c r="E134" s="10728"/>
      <c r="F134" s="10744"/>
      <c r="G134" s="10728"/>
      <c r="H134" s="10728"/>
      <c r="I134" s="10728"/>
      <c r="J134" s="10728"/>
      <c r="K134" s="10735"/>
      <c r="L134" s="10759"/>
      <c r="M134" s="10759"/>
      <c r="N134" s="10759"/>
      <c r="O134" s="10735"/>
      <c r="P134" s="10735"/>
      <c r="Q134" s="10750"/>
      <c r="R134" s="5171"/>
      <c r="S134" s="5213"/>
      <c r="T134" s="5213"/>
      <c r="U134" s="5247"/>
      <c r="V134" s="5279"/>
      <c r="W134" s="5300"/>
      <c r="X134" s="7473"/>
      <c r="Y134" s="7473"/>
      <c r="Z134" s="7473"/>
      <c r="AA134" s="7474"/>
      <c r="AB134" s="5323"/>
      <c r="AC134" s="1396"/>
      <c r="AD134" s="5300"/>
      <c r="AE134" s="5300"/>
      <c r="AF134" s="5346"/>
      <c r="AG134" s="10777"/>
      <c r="AH134" s="1758"/>
      <c r="AI134" s="1758"/>
      <c r="AJ134" s="1758"/>
      <c r="AK134" s="1758"/>
      <c r="AL134" s="1758"/>
      <c r="AM134" s="1758"/>
      <c r="AN134" s="1758"/>
      <c r="AO134" s="1758"/>
      <c r="AP134" s="1758"/>
      <c r="AQ134" s="1758"/>
      <c r="AR134" s="1758"/>
      <c r="AS134" s="1758"/>
      <c r="AT134" s="1758"/>
      <c r="AU134" s="1758"/>
      <c r="AV134" s="1758"/>
      <c r="AW134" s="1758"/>
      <c r="AX134" s="1758"/>
      <c r="AY134" s="1758"/>
      <c r="AZ134" s="1758"/>
      <c r="BA134" s="1758"/>
      <c r="BB134" s="1758"/>
      <c r="BC134" s="1758"/>
      <c r="BD134" s="1758"/>
      <c r="BE134" s="1758"/>
      <c r="BF134" s="1758"/>
      <c r="BG134" s="1758"/>
      <c r="BH134" s="1758"/>
      <c r="BI134" s="1758"/>
      <c r="BJ134" s="1758"/>
      <c r="BK134" s="1758"/>
      <c r="BL134" s="1758"/>
      <c r="BM134" s="1758"/>
      <c r="BN134" s="1758"/>
      <c r="BO134" s="1758"/>
      <c r="BP134" s="1758"/>
      <c r="BQ134" s="1758"/>
      <c r="BR134" s="1758"/>
      <c r="BS134" s="1758"/>
      <c r="BT134" s="1758"/>
      <c r="BU134" s="1758"/>
      <c r="BV134" s="1758"/>
      <c r="BW134" s="1758"/>
      <c r="BX134" s="1758"/>
      <c r="BY134" s="1758"/>
      <c r="BZ134" s="1758"/>
      <c r="CA134" s="1758"/>
      <c r="CB134" s="1758"/>
      <c r="CC134" s="1758"/>
      <c r="CD134" s="1758"/>
      <c r="CE134" s="1758"/>
      <c r="CF134" s="1758"/>
      <c r="CG134" s="1758"/>
      <c r="CH134" s="1758"/>
      <c r="CI134" s="1758"/>
      <c r="CJ134" s="1758"/>
      <c r="CK134" s="1758"/>
      <c r="CL134" s="1758"/>
      <c r="CM134" s="1758"/>
      <c r="CN134" s="1758"/>
      <c r="CO134" s="1758"/>
      <c r="CP134" s="1758"/>
      <c r="CQ134" s="1758"/>
      <c r="CR134" s="1758"/>
      <c r="CS134" s="1758"/>
      <c r="CT134" s="1758"/>
      <c r="CU134" s="1758"/>
      <c r="CV134" s="1758"/>
      <c r="CW134" s="1758"/>
      <c r="CX134" s="1758"/>
      <c r="CY134" s="1758"/>
      <c r="CZ134" s="1758"/>
      <c r="DA134" s="1758"/>
      <c r="DB134" s="1758"/>
      <c r="DC134" s="1758"/>
    </row>
    <row r="135" spans="1:107" s="1395" customFormat="1" ht="53.25" customHeight="1">
      <c r="A135" s="10827"/>
      <c r="B135" s="10731"/>
      <c r="C135" s="10728"/>
      <c r="D135" s="10728"/>
      <c r="E135" s="10728"/>
      <c r="F135" s="10744"/>
      <c r="G135" s="10728"/>
      <c r="H135" s="10728"/>
      <c r="I135" s="10728"/>
      <c r="J135" s="10728"/>
      <c r="K135" s="10735"/>
      <c r="L135" s="10759"/>
      <c r="M135" s="10759"/>
      <c r="N135" s="10759"/>
      <c r="O135" s="10735"/>
      <c r="P135" s="10735"/>
      <c r="Q135" s="10750"/>
      <c r="R135" s="5171"/>
      <c r="S135" s="5213"/>
      <c r="T135" s="5213"/>
      <c r="U135" s="5247"/>
      <c r="V135" s="5279"/>
      <c r="W135" s="5300"/>
      <c r="X135" s="7473"/>
      <c r="Y135" s="7473"/>
      <c r="Z135" s="7473"/>
      <c r="AA135" s="7474"/>
      <c r="AB135" s="5323"/>
      <c r="AC135" s="1396"/>
      <c r="AD135" s="5300"/>
      <c r="AE135" s="5300"/>
      <c r="AF135" s="5346"/>
      <c r="AG135" s="10777"/>
      <c r="AH135" s="1758"/>
      <c r="AI135" s="1758"/>
      <c r="AJ135" s="1758"/>
      <c r="AK135" s="1758"/>
      <c r="AL135" s="1758"/>
      <c r="AM135" s="1758"/>
      <c r="AN135" s="1758"/>
      <c r="AO135" s="1758"/>
      <c r="AP135" s="1758"/>
      <c r="AQ135" s="1758"/>
      <c r="AR135" s="1758"/>
      <c r="AS135" s="1758"/>
      <c r="AT135" s="1758"/>
      <c r="AU135" s="1758"/>
      <c r="AV135" s="1758"/>
      <c r="AW135" s="1758"/>
      <c r="AX135" s="1758"/>
      <c r="AY135" s="1758"/>
      <c r="AZ135" s="1758"/>
      <c r="BA135" s="1758"/>
      <c r="BB135" s="1758"/>
      <c r="BC135" s="1758"/>
      <c r="BD135" s="1758"/>
      <c r="BE135" s="1758"/>
      <c r="BF135" s="1758"/>
      <c r="BG135" s="1758"/>
      <c r="BH135" s="1758"/>
      <c r="BI135" s="1758"/>
      <c r="BJ135" s="1758"/>
      <c r="BK135" s="1758"/>
      <c r="BL135" s="1758"/>
      <c r="BM135" s="1758"/>
      <c r="BN135" s="1758"/>
      <c r="BO135" s="1758"/>
      <c r="BP135" s="1758"/>
      <c r="BQ135" s="1758"/>
      <c r="BR135" s="1758"/>
      <c r="BS135" s="1758"/>
      <c r="BT135" s="1758"/>
      <c r="BU135" s="1758"/>
      <c r="BV135" s="1758"/>
      <c r="BW135" s="1758"/>
      <c r="BX135" s="1758"/>
      <c r="BY135" s="1758"/>
      <c r="BZ135" s="1758"/>
      <c r="CA135" s="1758"/>
      <c r="CB135" s="1758"/>
      <c r="CC135" s="1758"/>
      <c r="CD135" s="1758"/>
      <c r="CE135" s="1758"/>
      <c r="CF135" s="1758"/>
      <c r="CG135" s="1758"/>
      <c r="CH135" s="1758"/>
      <c r="CI135" s="1758"/>
      <c r="CJ135" s="1758"/>
      <c r="CK135" s="1758"/>
      <c r="CL135" s="1758"/>
      <c r="CM135" s="1758"/>
      <c r="CN135" s="1758"/>
      <c r="CO135" s="1758"/>
      <c r="CP135" s="1758"/>
      <c r="CQ135" s="1758"/>
      <c r="CR135" s="1758"/>
      <c r="CS135" s="1758"/>
      <c r="CT135" s="1758"/>
      <c r="CU135" s="1758"/>
      <c r="CV135" s="1758"/>
      <c r="CW135" s="1758"/>
      <c r="CX135" s="1758"/>
      <c r="CY135" s="1758"/>
      <c r="CZ135" s="1758"/>
      <c r="DA135" s="1758"/>
      <c r="DB135" s="1758"/>
      <c r="DC135" s="1758"/>
    </row>
    <row r="136" spans="1:107" s="1395" customFormat="1" ht="53.25" customHeight="1">
      <c r="A136" s="10827"/>
      <c r="B136" s="10732"/>
      <c r="C136" s="10729"/>
      <c r="D136" s="10729"/>
      <c r="E136" s="10729"/>
      <c r="F136" s="10745"/>
      <c r="G136" s="10729"/>
      <c r="H136" s="10729"/>
      <c r="I136" s="10729"/>
      <c r="J136" s="10728"/>
      <c r="K136" s="10736"/>
      <c r="L136" s="10760"/>
      <c r="M136" s="10760"/>
      <c r="N136" s="10760"/>
      <c r="O136" s="10736"/>
      <c r="P136" s="10736"/>
      <c r="Q136" s="10751"/>
      <c r="R136" s="5175"/>
      <c r="S136" s="5215"/>
      <c r="T136" s="5215"/>
      <c r="U136" s="5251"/>
      <c r="V136" s="5282"/>
      <c r="W136" s="5303"/>
      <c r="X136" s="7479"/>
      <c r="Y136" s="7479"/>
      <c r="Z136" s="7479"/>
      <c r="AA136" s="7480"/>
      <c r="AB136" s="5326"/>
      <c r="AC136" s="1399"/>
      <c r="AD136" s="5303"/>
      <c r="AE136" s="5303"/>
      <c r="AF136" s="5348"/>
      <c r="AG136" s="10778"/>
      <c r="AH136" s="1758"/>
      <c r="AI136" s="1758"/>
      <c r="AJ136" s="1758"/>
      <c r="AK136" s="1758"/>
      <c r="AL136" s="1758"/>
      <c r="AM136" s="1758"/>
      <c r="AN136" s="1758"/>
      <c r="AO136" s="1758"/>
      <c r="AP136" s="1758"/>
      <c r="AQ136" s="1758"/>
      <c r="AR136" s="1758"/>
      <c r="AS136" s="1758"/>
      <c r="AT136" s="1758"/>
      <c r="AU136" s="1758"/>
      <c r="AV136" s="1758"/>
      <c r="AW136" s="1758"/>
      <c r="AX136" s="1758"/>
      <c r="AY136" s="1758"/>
      <c r="AZ136" s="1758"/>
      <c r="BA136" s="1758"/>
      <c r="BB136" s="1758"/>
      <c r="BC136" s="1758"/>
      <c r="BD136" s="1758"/>
      <c r="BE136" s="1758"/>
      <c r="BF136" s="1758"/>
      <c r="BG136" s="1758"/>
      <c r="BH136" s="1758"/>
      <c r="BI136" s="1758"/>
      <c r="BJ136" s="1758"/>
      <c r="BK136" s="1758"/>
      <c r="BL136" s="1758"/>
      <c r="BM136" s="1758"/>
      <c r="BN136" s="1758"/>
      <c r="BO136" s="1758"/>
      <c r="BP136" s="1758"/>
      <c r="BQ136" s="1758"/>
      <c r="BR136" s="1758"/>
      <c r="BS136" s="1758"/>
      <c r="BT136" s="1758"/>
      <c r="BU136" s="1758"/>
      <c r="BV136" s="1758"/>
      <c r="BW136" s="1758"/>
      <c r="BX136" s="1758"/>
      <c r="BY136" s="1758"/>
      <c r="BZ136" s="1758"/>
      <c r="CA136" s="1758"/>
      <c r="CB136" s="1758"/>
      <c r="CC136" s="1758"/>
      <c r="CD136" s="1758"/>
      <c r="CE136" s="1758"/>
      <c r="CF136" s="1758"/>
      <c r="CG136" s="1758"/>
      <c r="CH136" s="1758"/>
      <c r="CI136" s="1758"/>
      <c r="CJ136" s="1758"/>
      <c r="CK136" s="1758"/>
      <c r="CL136" s="1758"/>
      <c r="CM136" s="1758"/>
      <c r="CN136" s="1758"/>
      <c r="CO136" s="1758"/>
      <c r="CP136" s="1758"/>
      <c r="CQ136" s="1758"/>
      <c r="CR136" s="1758"/>
      <c r="CS136" s="1758"/>
      <c r="CT136" s="1758"/>
      <c r="CU136" s="1758"/>
      <c r="CV136" s="1758"/>
      <c r="CW136" s="1758"/>
      <c r="CX136" s="1758"/>
      <c r="CY136" s="1758"/>
      <c r="CZ136" s="1758"/>
      <c r="DA136" s="1758"/>
      <c r="DB136" s="1758"/>
      <c r="DC136" s="1758"/>
    </row>
    <row r="137" spans="1:107" s="1395" customFormat="1" ht="48" customHeight="1">
      <c r="A137" s="10827"/>
      <c r="B137" s="10748" t="s">
        <v>183</v>
      </c>
      <c r="C137" s="10742" t="s">
        <v>227</v>
      </c>
      <c r="D137" s="10742" t="s">
        <v>228</v>
      </c>
      <c r="E137" s="10742" t="s">
        <v>2272</v>
      </c>
      <c r="F137" s="10743" t="s">
        <v>230</v>
      </c>
      <c r="G137" s="10742" t="s">
        <v>158</v>
      </c>
      <c r="H137" s="10742" t="s">
        <v>133</v>
      </c>
      <c r="I137" s="10753" t="s">
        <v>4861</v>
      </c>
      <c r="J137" s="10832" t="s">
        <v>4368</v>
      </c>
      <c r="K137" s="10734" t="s">
        <v>4369</v>
      </c>
      <c r="L137" s="10737">
        <v>0</v>
      </c>
      <c r="M137" s="10759">
        <v>1</v>
      </c>
      <c r="N137" s="10737">
        <v>1</v>
      </c>
      <c r="O137" s="10734" t="s">
        <v>4862</v>
      </c>
      <c r="P137" s="10734" t="s">
        <v>4863</v>
      </c>
      <c r="Q137" s="10750" t="s">
        <v>4864</v>
      </c>
      <c r="R137" s="5173"/>
      <c r="S137" s="5212"/>
      <c r="T137" s="5212"/>
      <c r="U137" s="5253"/>
      <c r="V137" s="5284"/>
      <c r="W137" s="5305"/>
      <c r="X137" s="7481"/>
      <c r="Y137" s="7477"/>
      <c r="Z137" s="7477"/>
      <c r="AA137" s="7482"/>
      <c r="AB137" s="5327"/>
      <c r="AC137" s="1400"/>
      <c r="AD137" s="5305"/>
      <c r="AE137" s="5350"/>
      <c r="AF137" s="5350"/>
      <c r="AG137" s="10779" t="s">
        <v>4843</v>
      </c>
      <c r="AH137" s="1758"/>
      <c r="AI137" s="1758"/>
      <c r="AJ137" s="1758"/>
      <c r="AK137" s="1758"/>
      <c r="AL137" s="1758"/>
      <c r="AM137" s="1758"/>
      <c r="AN137" s="1758"/>
      <c r="AO137" s="1758"/>
      <c r="AP137" s="1758"/>
      <c r="AQ137" s="1758"/>
      <c r="AR137" s="1758"/>
      <c r="AS137" s="1758"/>
      <c r="AT137" s="1758"/>
      <c r="AU137" s="1758"/>
      <c r="AV137" s="1758"/>
      <c r="AW137" s="1758"/>
      <c r="AX137" s="1758"/>
      <c r="AY137" s="1758"/>
      <c r="AZ137" s="1758"/>
      <c r="BA137" s="1758"/>
      <c r="BB137" s="1758"/>
      <c r="BC137" s="1758"/>
      <c r="BD137" s="1758"/>
      <c r="BE137" s="1758"/>
      <c r="BF137" s="1758"/>
      <c r="BG137" s="1758"/>
      <c r="BH137" s="1758"/>
      <c r="BI137" s="1758"/>
      <c r="BJ137" s="1758"/>
      <c r="BK137" s="1758"/>
      <c r="BL137" s="1758"/>
      <c r="BM137" s="1758"/>
      <c r="BN137" s="1758"/>
      <c r="BO137" s="1758"/>
      <c r="BP137" s="1758"/>
      <c r="BQ137" s="1758"/>
      <c r="BR137" s="1758"/>
      <c r="BS137" s="1758"/>
      <c r="BT137" s="1758"/>
      <c r="BU137" s="1758"/>
      <c r="BV137" s="1758"/>
      <c r="BW137" s="1758"/>
      <c r="BX137" s="1758"/>
      <c r="BY137" s="1758"/>
      <c r="BZ137" s="1758"/>
      <c r="CA137" s="1758"/>
      <c r="CB137" s="1758"/>
      <c r="CC137" s="1758"/>
      <c r="CD137" s="1758"/>
      <c r="CE137" s="1758"/>
      <c r="CF137" s="1758"/>
      <c r="CG137" s="1758"/>
      <c r="CH137" s="1758"/>
      <c r="CI137" s="1758"/>
      <c r="CJ137" s="1758"/>
      <c r="CK137" s="1758"/>
      <c r="CL137" s="1758"/>
      <c r="CM137" s="1758"/>
      <c r="CN137" s="1758"/>
      <c r="CO137" s="1758"/>
      <c r="CP137" s="1758"/>
      <c r="CQ137" s="1758"/>
      <c r="CR137" s="1758"/>
      <c r="CS137" s="1758"/>
      <c r="CT137" s="1758"/>
      <c r="CU137" s="1758"/>
      <c r="CV137" s="1758"/>
      <c r="CW137" s="1758"/>
      <c r="CX137" s="1758"/>
      <c r="CY137" s="1758"/>
      <c r="CZ137" s="1758"/>
      <c r="DA137" s="1758"/>
      <c r="DB137" s="1758"/>
      <c r="DC137" s="1758"/>
    </row>
    <row r="138" spans="1:107" s="1395" customFormat="1" ht="48" customHeight="1">
      <c r="A138" s="10827"/>
      <c r="B138" s="10731"/>
      <c r="C138" s="10728"/>
      <c r="D138" s="10728"/>
      <c r="E138" s="10728"/>
      <c r="F138" s="10744"/>
      <c r="G138" s="10728"/>
      <c r="H138" s="10728"/>
      <c r="I138" s="10754"/>
      <c r="J138" s="10801"/>
      <c r="K138" s="10735"/>
      <c r="L138" s="10738"/>
      <c r="M138" s="10759"/>
      <c r="N138" s="10738"/>
      <c r="O138" s="10735"/>
      <c r="P138" s="10735"/>
      <c r="Q138" s="10750"/>
      <c r="R138" s="5176"/>
      <c r="S138" s="5216"/>
      <c r="T138" s="5216"/>
      <c r="U138" s="5254"/>
      <c r="V138" s="5285"/>
      <c r="W138" s="5306"/>
      <c r="X138" s="7483"/>
      <c r="Y138" s="7473"/>
      <c r="Z138" s="7473"/>
      <c r="AA138" s="7484"/>
      <c r="AB138" s="5328"/>
      <c r="AC138" s="1401"/>
      <c r="AD138" s="5306"/>
      <c r="AE138" s="5346"/>
      <c r="AF138" s="5346"/>
      <c r="AG138" s="10777"/>
      <c r="AH138" s="1758"/>
      <c r="AI138" s="1758"/>
      <c r="AJ138" s="1758"/>
      <c r="AK138" s="1758"/>
      <c r="AL138" s="1758"/>
      <c r="AM138" s="1758"/>
      <c r="AN138" s="1758"/>
      <c r="AO138" s="1758"/>
      <c r="AP138" s="1758"/>
      <c r="AQ138" s="1758"/>
      <c r="AR138" s="1758"/>
      <c r="AS138" s="1758"/>
      <c r="AT138" s="1758"/>
      <c r="AU138" s="1758"/>
      <c r="AV138" s="1758"/>
      <c r="AW138" s="1758"/>
      <c r="AX138" s="1758"/>
      <c r="AY138" s="1758"/>
      <c r="AZ138" s="1758"/>
      <c r="BA138" s="1758"/>
      <c r="BB138" s="1758"/>
      <c r="BC138" s="1758"/>
      <c r="BD138" s="1758"/>
      <c r="BE138" s="1758"/>
      <c r="BF138" s="1758"/>
      <c r="BG138" s="1758"/>
      <c r="BH138" s="1758"/>
      <c r="BI138" s="1758"/>
      <c r="BJ138" s="1758"/>
      <c r="BK138" s="1758"/>
      <c r="BL138" s="1758"/>
      <c r="BM138" s="1758"/>
      <c r="BN138" s="1758"/>
      <c r="BO138" s="1758"/>
      <c r="BP138" s="1758"/>
      <c r="BQ138" s="1758"/>
      <c r="BR138" s="1758"/>
      <c r="BS138" s="1758"/>
      <c r="BT138" s="1758"/>
      <c r="BU138" s="1758"/>
      <c r="BV138" s="1758"/>
      <c r="BW138" s="1758"/>
      <c r="BX138" s="1758"/>
      <c r="BY138" s="1758"/>
      <c r="BZ138" s="1758"/>
      <c r="CA138" s="1758"/>
      <c r="CB138" s="1758"/>
      <c r="CC138" s="1758"/>
      <c r="CD138" s="1758"/>
      <c r="CE138" s="1758"/>
      <c r="CF138" s="1758"/>
      <c r="CG138" s="1758"/>
      <c r="CH138" s="1758"/>
      <c r="CI138" s="1758"/>
      <c r="CJ138" s="1758"/>
      <c r="CK138" s="1758"/>
      <c r="CL138" s="1758"/>
      <c r="CM138" s="1758"/>
      <c r="CN138" s="1758"/>
      <c r="CO138" s="1758"/>
      <c r="CP138" s="1758"/>
      <c r="CQ138" s="1758"/>
      <c r="CR138" s="1758"/>
      <c r="CS138" s="1758"/>
      <c r="CT138" s="1758"/>
      <c r="CU138" s="1758"/>
      <c r="CV138" s="1758"/>
      <c r="CW138" s="1758"/>
      <c r="CX138" s="1758"/>
      <c r="CY138" s="1758"/>
      <c r="CZ138" s="1758"/>
      <c r="DA138" s="1758"/>
      <c r="DB138" s="1758"/>
      <c r="DC138" s="1758"/>
    </row>
    <row r="139" spans="1:107" s="1395" customFormat="1" ht="48" customHeight="1">
      <c r="A139" s="10827"/>
      <c r="B139" s="10731"/>
      <c r="C139" s="10728"/>
      <c r="D139" s="10728"/>
      <c r="E139" s="10728"/>
      <c r="F139" s="10744"/>
      <c r="G139" s="10728"/>
      <c r="H139" s="10728"/>
      <c r="I139" s="10754"/>
      <c r="J139" s="10801"/>
      <c r="K139" s="10735"/>
      <c r="L139" s="10738"/>
      <c r="M139" s="10759"/>
      <c r="N139" s="10738"/>
      <c r="O139" s="10735"/>
      <c r="P139" s="10735"/>
      <c r="Q139" s="10750"/>
      <c r="R139" s="5176"/>
      <c r="S139" s="5216"/>
      <c r="T139" s="5216"/>
      <c r="U139" s="5254"/>
      <c r="V139" s="5285"/>
      <c r="W139" s="5306"/>
      <c r="X139" s="7483"/>
      <c r="Y139" s="7473"/>
      <c r="Z139" s="7473"/>
      <c r="AA139" s="7484"/>
      <c r="AB139" s="5328"/>
      <c r="AC139" s="1401"/>
      <c r="AD139" s="5306"/>
      <c r="AE139" s="5346"/>
      <c r="AF139" s="5346"/>
      <c r="AG139" s="10777"/>
      <c r="AH139" s="1758"/>
      <c r="AI139" s="1758"/>
      <c r="AJ139" s="1758"/>
      <c r="AK139" s="1758"/>
      <c r="AL139" s="1758"/>
      <c r="AM139" s="1758"/>
      <c r="AN139" s="1758"/>
      <c r="AO139" s="1758"/>
      <c r="AP139" s="1758"/>
      <c r="AQ139" s="1758"/>
      <c r="AR139" s="1758"/>
      <c r="AS139" s="1758"/>
      <c r="AT139" s="1758"/>
      <c r="AU139" s="1758"/>
      <c r="AV139" s="1758"/>
      <c r="AW139" s="1758"/>
      <c r="AX139" s="1758"/>
      <c r="AY139" s="1758"/>
      <c r="AZ139" s="1758"/>
      <c r="BA139" s="1758"/>
      <c r="BB139" s="1758"/>
      <c r="BC139" s="1758"/>
      <c r="BD139" s="1758"/>
      <c r="BE139" s="1758"/>
      <c r="BF139" s="1758"/>
      <c r="BG139" s="1758"/>
      <c r="BH139" s="1758"/>
      <c r="BI139" s="1758"/>
      <c r="BJ139" s="1758"/>
      <c r="BK139" s="1758"/>
      <c r="BL139" s="1758"/>
      <c r="BM139" s="1758"/>
      <c r="BN139" s="1758"/>
      <c r="BO139" s="1758"/>
      <c r="BP139" s="1758"/>
      <c r="BQ139" s="1758"/>
      <c r="BR139" s="1758"/>
      <c r="BS139" s="1758"/>
      <c r="BT139" s="1758"/>
      <c r="BU139" s="1758"/>
      <c r="BV139" s="1758"/>
      <c r="BW139" s="1758"/>
      <c r="BX139" s="1758"/>
      <c r="BY139" s="1758"/>
      <c r="BZ139" s="1758"/>
      <c r="CA139" s="1758"/>
      <c r="CB139" s="1758"/>
      <c r="CC139" s="1758"/>
      <c r="CD139" s="1758"/>
      <c r="CE139" s="1758"/>
      <c r="CF139" s="1758"/>
      <c r="CG139" s="1758"/>
      <c r="CH139" s="1758"/>
      <c r="CI139" s="1758"/>
      <c r="CJ139" s="1758"/>
      <c r="CK139" s="1758"/>
      <c r="CL139" s="1758"/>
      <c r="CM139" s="1758"/>
      <c r="CN139" s="1758"/>
      <c r="CO139" s="1758"/>
      <c r="CP139" s="1758"/>
      <c r="CQ139" s="1758"/>
      <c r="CR139" s="1758"/>
      <c r="CS139" s="1758"/>
      <c r="CT139" s="1758"/>
      <c r="CU139" s="1758"/>
      <c r="CV139" s="1758"/>
      <c r="CW139" s="1758"/>
      <c r="CX139" s="1758"/>
      <c r="CY139" s="1758"/>
      <c r="CZ139" s="1758"/>
      <c r="DA139" s="1758"/>
      <c r="DB139" s="1758"/>
      <c r="DC139" s="1758"/>
    </row>
    <row r="140" spans="1:107" s="1395" customFormat="1" ht="48" customHeight="1">
      <c r="A140" s="10827"/>
      <c r="B140" s="10731"/>
      <c r="C140" s="10728"/>
      <c r="D140" s="10728"/>
      <c r="E140" s="10728"/>
      <c r="F140" s="10744"/>
      <c r="G140" s="10728"/>
      <c r="H140" s="10728"/>
      <c r="I140" s="10754"/>
      <c r="J140" s="10801"/>
      <c r="K140" s="10735"/>
      <c r="L140" s="10738"/>
      <c r="M140" s="10759"/>
      <c r="N140" s="10738"/>
      <c r="O140" s="10735"/>
      <c r="P140" s="10735"/>
      <c r="Q140" s="10750"/>
      <c r="R140" s="5176"/>
      <c r="S140" s="5216"/>
      <c r="T140" s="5216"/>
      <c r="U140" s="5254"/>
      <c r="V140" s="5285"/>
      <c r="W140" s="5306"/>
      <c r="X140" s="7483"/>
      <c r="Y140" s="7473"/>
      <c r="Z140" s="7473"/>
      <c r="AA140" s="7484"/>
      <c r="AB140" s="5328"/>
      <c r="AC140" s="1401"/>
      <c r="AD140" s="5306"/>
      <c r="AE140" s="5346"/>
      <c r="AF140" s="5346"/>
      <c r="AG140" s="10777"/>
      <c r="AH140" s="1758"/>
      <c r="AI140" s="1758"/>
      <c r="AJ140" s="1758"/>
      <c r="AK140" s="1758"/>
      <c r="AL140" s="1758"/>
      <c r="AM140" s="1758"/>
      <c r="AN140" s="1758"/>
      <c r="AO140" s="1758"/>
      <c r="AP140" s="1758"/>
      <c r="AQ140" s="1758"/>
      <c r="AR140" s="1758"/>
      <c r="AS140" s="1758"/>
      <c r="AT140" s="1758"/>
      <c r="AU140" s="1758"/>
      <c r="AV140" s="1758"/>
      <c r="AW140" s="1758"/>
      <c r="AX140" s="1758"/>
      <c r="AY140" s="1758"/>
      <c r="AZ140" s="1758"/>
      <c r="BA140" s="1758"/>
      <c r="BB140" s="1758"/>
      <c r="BC140" s="1758"/>
      <c r="BD140" s="1758"/>
      <c r="BE140" s="1758"/>
      <c r="BF140" s="1758"/>
      <c r="BG140" s="1758"/>
      <c r="BH140" s="1758"/>
      <c r="BI140" s="1758"/>
      <c r="BJ140" s="1758"/>
      <c r="BK140" s="1758"/>
      <c r="BL140" s="1758"/>
      <c r="BM140" s="1758"/>
      <c r="BN140" s="1758"/>
      <c r="BO140" s="1758"/>
      <c r="BP140" s="1758"/>
      <c r="BQ140" s="1758"/>
      <c r="BR140" s="1758"/>
      <c r="BS140" s="1758"/>
      <c r="BT140" s="1758"/>
      <c r="BU140" s="1758"/>
      <c r="BV140" s="1758"/>
      <c r="BW140" s="1758"/>
      <c r="BX140" s="1758"/>
      <c r="BY140" s="1758"/>
      <c r="BZ140" s="1758"/>
      <c r="CA140" s="1758"/>
      <c r="CB140" s="1758"/>
      <c r="CC140" s="1758"/>
      <c r="CD140" s="1758"/>
      <c r="CE140" s="1758"/>
      <c r="CF140" s="1758"/>
      <c r="CG140" s="1758"/>
      <c r="CH140" s="1758"/>
      <c r="CI140" s="1758"/>
      <c r="CJ140" s="1758"/>
      <c r="CK140" s="1758"/>
      <c r="CL140" s="1758"/>
      <c r="CM140" s="1758"/>
      <c r="CN140" s="1758"/>
      <c r="CO140" s="1758"/>
      <c r="CP140" s="1758"/>
      <c r="CQ140" s="1758"/>
      <c r="CR140" s="1758"/>
      <c r="CS140" s="1758"/>
      <c r="CT140" s="1758"/>
      <c r="CU140" s="1758"/>
      <c r="CV140" s="1758"/>
      <c r="CW140" s="1758"/>
      <c r="CX140" s="1758"/>
      <c r="CY140" s="1758"/>
      <c r="CZ140" s="1758"/>
      <c r="DA140" s="1758"/>
      <c r="DB140" s="1758"/>
      <c r="DC140" s="1758"/>
    </row>
    <row r="141" spans="1:107" s="1395" customFormat="1" ht="48" customHeight="1">
      <c r="A141" s="10827"/>
      <c r="B141" s="10732"/>
      <c r="C141" s="10729"/>
      <c r="D141" s="10729"/>
      <c r="E141" s="10729"/>
      <c r="F141" s="10745"/>
      <c r="G141" s="10729"/>
      <c r="H141" s="10729"/>
      <c r="I141" s="10755"/>
      <c r="J141" s="10802"/>
      <c r="K141" s="10736"/>
      <c r="L141" s="10739"/>
      <c r="M141" s="10760"/>
      <c r="N141" s="10739"/>
      <c r="O141" s="10736"/>
      <c r="P141" s="10736"/>
      <c r="Q141" s="10751"/>
      <c r="R141" s="5177"/>
      <c r="S141" s="5217"/>
      <c r="T141" s="5217"/>
      <c r="U141" s="5255"/>
      <c r="V141" s="5286"/>
      <c r="W141" s="5307"/>
      <c r="X141" s="7485"/>
      <c r="Y141" s="7479"/>
      <c r="Z141" s="7479"/>
      <c r="AA141" s="7486"/>
      <c r="AB141" s="5329"/>
      <c r="AC141" s="1402"/>
      <c r="AD141" s="5307"/>
      <c r="AE141" s="5348"/>
      <c r="AF141" s="5348"/>
      <c r="AG141" s="10778"/>
      <c r="AH141" s="1758"/>
      <c r="AI141" s="1758"/>
      <c r="AJ141" s="1758"/>
      <c r="AK141" s="1758"/>
      <c r="AL141" s="1758"/>
      <c r="AM141" s="1758"/>
      <c r="AN141" s="1758"/>
      <c r="AO141" s="1758"/>
      <c r="AP141" s="1758"/>
      <c r="AQ141" s="1758"/>
      <c r="AR141" s="1758"/>
      <c r="AS141" s="1758"/>
      <c r="AT141" s="1758"/>
      <c r="AU141" s="1758"/>
      <c r="AV141" s="1758"/>
      <c r="AW141" s="1758"/>
      <c r="AX141" s="1758"/>
      <c r="AY141" s="1758"/>
      <c r="AZ141" s="1758"/>
      <c r="BA141" s="1758"/>
      <c r="BB141" s="1758"/>
      <c r="BC141" s="1758"/>
      <c r="BD141" s="1758"/>
      <c r="BE141" s="1758"/>
      <c r="BF141" s="1758"/>
      <c r="BG141" s="1758"/>
      <c r="BH141" s="1758"/>
      <c r="BI141" s="1758"/>
      <c r="BJ141" s="1758"/>
      <c r="BK141" s="1758"/>
      <c r="BL141" s="1758"/>
      <c r="BM141" s="1758"/>
      <c r="BN141" s="1758"/>
      <c r="BO141" s="1758"/>
      <c r="BP141" s="1758"/>
      <c r="BQ141" s="1758"/>
      <c r="BR141" s="1758"/>
      <c r="BS141" s="1758"/>
      <c r="BT141" s="1758"/>
      <c r="BU141" s="1758"/>
      <c r="BV141" s="1758"/>
      <c r="BW141" s="1758"/>
      <c r="BX141" s="1758"/>
      <c r="BY141" s="1758"/>
      <c r="BZ141" s="1758"/>
      <c r="CA141" s="1758"/>
      <c r="CB141" s="1758"/>
      <c r="CC141" s="1758"/>
      <c r="CD141" s="1758"/>
      <c r="CE141" s="1758"/>
      <c r="CF141" s="1758"/>
      <c r="CG141" s="1758"/>
      <c r="CH141" s="1758"/>
      <c r="CI141" s="1758"/>
      <c r="CJ141" s="1758"/>
      <c r="CK141" s="1758"/>
      <c r="CL141" s="1758"/>
      <c r="CM141" s="1758"/>
      <c r="CN141" s="1758"/>
      <c r="CO141" s="1758"/>
      <c r="CP141" s="1758"/>
      <c r="CQ141" s="1758"/>
      <c r="CR141" s="1758"/>
      <c r="CS141" s="1758"/>
      <c r="CT141" s="1758"/>
      <c r="CU141" s="1758"/>
      <c r="CV141" s="1758"/>
      <c r="CW141" s="1758"/>
      <c r="CX141" s="1758"/>
      <c r="CY141" s="1758"/>
      <c r="CZ141" s="1758"/>
      <c r="DA141" s="1758"/>
      <c r="DB141" s="1758"/>
      <c r="DC141" s="1758"/>
    </row>
    <row r="142" spans="1:107" s="1395" customFormat="1" ht="21" customHeight="1">
      <c r="A142" s="10827"/>
      <c r="B142" s="10731" t="s">
        <v>183</v>
      </c>
      <c r="C142" s="10728" t="s">
        <v>227</v>
      </c>
      <c r="D142" s="10728" t="s">
        <v>228</v>
      </c>
      <c r="E142" s="10728" t="s">
        <v>229</v>
      </c>
      <c r="F142" s="10744" t="s">
        <v>230</v>
      </c>
      <c r="G142" s="10728" t="s">
        <v>132</v>
      </c>
      <c r="H142" s="10728" t="s">
        <v>159</v>
      </c>
      <c r="I142" s="10728" t="s">
        <v>4865</v>
      </c>
      <c r="J142" s="10800" t="s">
        <v>4375</v>
      </c>
      <c r="K142" s="10735" t="s">
        <v>4821</v>
      </c>
      <c r="L142" s="10759">
        <v>0</v>
      </c>
      <c r="M142" s="10759">
        <v>0</v>
      </c>
      <c r="N142" s="10759">
        <v>0</v>
      </c>
      <c r="O142" s="10735"/>
      <c r="P142" s="10735"/>
      <c r="Q142" s="10750"/>
      <c r="R142" s="5173"/>
      <c r="S142" s="5212"/>
      <c r="T142" s="5212"/>
      <c r="U142" s="5249"/>
      <c r="V142" s="5281"/>
      <c r="W142" s="5302"/>
      <c r="X142" s="7477"/>
      <c r="Y142" s="7477"/>
      <c r="Z142" s="7477"/>
      <c r="AA142" s="7478"/>
      <c r="AB142" s="5325"/>
      <c r="AC142" s="1398"/>
      <c r="AD142" s="5302"/>
      <c r="AE142" s="5349"/>
      <c r="AF142" s="5349"/>
      <c r="AG142" s="10777" t="s">
        <v>4866</v>
      </c>
      <c r="AH142" s="1758"/>
      <c r="AI142" s="1758"/>
      <c r="AJ142" s="1758"/>
      <c r="AK142" s="1758"/>
      <c r="AL142" s="1758"/>
      <c r="AM142" s="1758"/>
      <c r="AN142" s="1758"/>
      <c r="AO142" s="1758"/>
      <c r="AP142" s="1758"/>
      <c r="AQ142" s="1758"/>
      <c r="AR142" s="1758"/>
      <c r="AS142" s="1758"/>
      <c r="AT142" s="1758"/>
      <c r="AU142" s="1758"/>
      <c r="AV142" s="1758"/>
      <c r="AW142" s="1758"/>
      <c r="AX142" s="1758"/>
      <c r="AY142" s="1758"/>
      <c r="AZ142" s="1758"/>
      <c r="BA142" s="1758"/>
      <c r="BB142" s="1758"/>
      <c r="BC142" s="1758"/>
      <c r="BD142" s="1758"/>
      <c r="BE142" s="1758"/>
      <c r="BF142" s="1758"/>
      <c r="BG142" s="1758"/>
      <c r="BH142" s="1758"/>
      <c r="BI142" s="1758"/>
      <c r="BJ142" s="1758"/>
      <c r="BK142" s="1758"/>
      <c r="BL142" s="1758"/>
      <c r="BM142" s="1758"/>
      <c r="BN142" s="1758"/>
      <c r="BO142" s="1758"/>
      <c r="BP142" s="1758"/>
      <c r="BQ142" s="1758"/>
      <c r="BR142" s="1758"/>
      <c r="BS142" s="1758"/>
      <c r="BT142" s="1758"/>
      <c r="BU142" s="1758"/>
      <c r="BV142" s="1758"/>
      <c r="BW142" s="1758"/>
      <c r="BX142" s="1758"/>
      <c r="BY142" s="1758"/>
      <c r="BZ142" s="1758"/>
      <c r="CA142" s="1758"/>
      <c r="CB142" s="1758"/>
      <c r="CC142" s="1758"/>
      <c r="CD142" s="1758"/>
      <c r="CE142" s="1758"/>
      <c r="CF142" s="1758"/>
      <c r="CG142" s="1758"/>
      <c r="CH142" s="1758"/>
      <c r="CI142" s="1758"/>
      <c r="CJ142" s="1758"/>
      <c r="CK142" s="1758"/>
      <c r="CL142" s="1758"/>
      <c r="CM142" s="1758"/>
      <c r="CN142" s="1758"/>
      <c r="CO142" s="1758"/>
      <c r="CP142" s="1758"/>
      <c r="CQ142" s="1758"/>
      <c r="CR142" s="1758"/>
      <c r="CS142" s="1758"/>
      <c r="CT142" s="1758"/>
      <c r="CU142" s="1758"/>
      <c r="CV142" s="1758"/>
      <c r="CW142" s="1758"/>
      <c r="CX142" s="1758"/>
      <c r="CY142" s="1758"/>
      <c r="CZ142" s="1758"/>
      <c r="DA142" s="1758"/>
      <c r="DB142" s="1758"/>
      <c r="DC142" s="1758"/>
    </row>
    <row r="143" spans="1:107" s="1395" customFormat="1" ht="21" customHeight="1">
      <c r="A143" s="10827"/>
      <c r="B143" s="10731"/>
      <c r="C143" s="10728"/>
      <c r="D143" s="10728"/>
      <c r="E143" s="10728"/>
      <c r="F143" s="10744"/>
      <c r="G143" s="10728"/>
      <c r="H143" s="10728"/>
      <c r="I143" s="10728"/>
      <c r="J143" s="10801"/>
      <c r="K143" s="10735"/>
      <c r="L143" s="10759"/>
      <c r="M143" s="10759"/>
      <c r="N143" s="10759"/>
      <c r="O143" s="10735"/>
      <c r="P143" s="10735"/>
      <c r="Q143" s="10750"/>
      <c r="R143" s="5171"/>
      <c r="S143" s="5213"/>
      <c r="T143" s="5213"/>
      <c r="U143" s="5247"/>
      <c r="V143" s="5279"/>
      <c r="W143" s="5300"/>
      <c r="X143" s="7473"/>
      <c r="Y143" s="7473"/>
      <c r="Z143" s="7473"/>
      <c r="AA143" s="7474"/>
      <c r="AB143" s="5323"/>
      <c r="AC143" s="1396"/>
      <c r="AD143" s="5300"/>
      <c r="AE143" s="5346"/>
      <c r="AF143" s="5346"/>
      <c r="AG143" s="10777"/>
      <c r="AH143" s="1758"/>
      <c r="AI143" s="1758"/>
      <c r="AJ143" s="1758"/>
      <c r="AK143" s="1758"/>
      <c r="AL143" s="1758"/>
      <c r="AM143" s="1758"/>
      <c r="AN143" s="1758"/>
      <c r="AO143" s="1758"/>
      <c r="AP143" s="1758"/>
      <c r="AQ143" s="1758"/>
      <c r="AR143" s="1758"/>
      <c r="AS143" s="1758"/>
      <c r="AT143" s="1758"/>
      <c r="AU143" s="1758"/>
      <c r="AV143" s="1758"/>
      <c r="AW143" s="1758"/>
      <c r="AX143" s="1758"/>
      <c r="AY143" s="1758"/>
      <c r="AZ143" s="1758"/>
      <c r="BA143" s="1758"/>
      <c r="BB143" s="1758"/>
      <c r="BC143" s="1758"/>
      <c r="BD143" s="1758"/>
      <c r="BE143" s="1758"/>
      <c r="BF143" s="1758"/>
      <c r="BG143" s="1758"/>
      <c r="BH143" s="1758"/>
      <c r="BI143" s="1758"/>
      <c r="BJ143" s="1758"/>
      <c r="BK143" s="1758"/>
      <c r="BL143" s="1758"/>
      <c r="BM143" s="1758"/>
      <c r="BN143" s="1758"/>
      <c r="BO143" s="1758"/>
      <c r="BP143" s="1758"/>
      <c r="BQ143" s="1758"/>
      <c r="BR143" s="1758"/>
      <c r="BS143" s="1758"/>
      <c r="BT143" s="1758"/>
      <c r="BU143" s="1758"/>
      <c r="BV143" s="1758"/>
      <c r="BW143" s="1758"/>
      <c r="BX143" s="1758"/>
      <c r="BY143" s="1758"/>
      <c r="BZ143" s="1758"/>
      <c r="CA143" s="1758"/>
      <c r="CB143" s="1758"/>
      <c r="CC143" s="1758"/>
      <c r="CD143" s="1758"/>
      <c r="CE143" s="1758"/>
      <c r="CF143" s="1758"/>
      <c r="CG143" s="1758"/>
      <c r="CH143" s="1758"/>
      <c r="CI143" s="1758"/>
      <c r="CJ143" s="1758"/>
      <c r="CK143" s="1758"/>
      <c r="CL143" s="1758"/>
      <c r="CM143" s="1758"/>
      <c r="CN143" s="1758"/>
      <c r="CO143" s="1758"/>
      <c r="CP143" s="1758"/>
      <c r="CQ143" s="1758"/>
      <c r="CR143" s="1758"/>
      <c r="CS143" s="1758"/>
      <c r="CT143" s="1758"/>
      <c r="CU143" s="1758"/>
      <c r="CV143" s="1758"/>
      <c r="CW143" s="1758"/>
      <c r="CX143" s="1758"/>
      <c r="CY143" s="1758"/>
      <c r="CZ143" s="1758"/>
      <c r="DA143" s="1758"/>
      <c r="DB143" s="1758"/>
      <c r="DC143" s="1758"/>
    </row>
    <row r="144" spans="1:107" s="1395" customFormat="1" ht="21" customHeight="1">
      <c r="A144" s="10827"/>
      <c r="B144" s="10731"/>
      <c r="C144" s="10728"/>
      <c r="D144" s="10728"/>
      <c r="E144" s="10728"/>
      <c r="F144" s="10744"/>
      <c r="G144" s="10728"/>
      <c r="H144" s="10728"/>
      <c r="I144" s="10728"/>
      <c r="J144" s="10801"/>
      <c r="K144" s="10735"/>
      <c r="L144" s="10759"/>
      <c r="M144" s="10759"/>
      <c r="N144" s="10759"/>
      <c r="O144" s="10735"/>
      <c r="P144" s="10735"/>
      <c r="Q144" s="10750"/>
      <c r="R144" s="5174"/>
      <c r="S144" s="5214"/>
      <c r="T144" s="5214"/>
      <c r="U144" s="5250"/>
      <c r="V144" s="5281"/>
      <c r="W144" s="5302"/>
      <c r="X144" s="7477"/>
      <c r="Y144" s="7473"/>
      <c r="Z144" s="7473"/>
      <c r="AA144" s="7474"/>
      <c r="AB144" s="5323"/>
      <c r="AC144" s="1396"/>
      <c r="AD144" s="5300"/>
      <c r="AE144" s="5346"/>
      <c r="AF144" s="5346"/>
      <c r="AG144" s="10777"/>
      <c r="AH144" s="1758"/>
      <c r="AI144" s="1758"/>
      <c r="AJ144" s="1758"/>
      <c r="AK144" s="1758"/>
      <c r="AL144" s="1758"/>
      <c r="AM144" s="1758"/>
      <c r="AN144" s="1758"/>
      <c r="AO144" s="1758"/>
      <c r="AP144" s="1758"/>
      <c r="AQ144" s="1758"/>
      <c r="AR144" s="1758"/>
      <c r="AS144" s="1758"/>
      <c r="AT144" s="1758"/>
      <c r="AU144" s="1758"/>
      <c r="AV144" s="1758"/>
      <c r="AW144" s="1758"/>
      <c r="AX144" s="1758"/>
      <c r="AY144" s="1758"/>
      <c r="AZ144" s="1758"/>
      <c r="BA144" s="1758"/>
      <c r="BB144" s="1758"/>
      <c r="BC144" s="1758"/>
      <c r="BD144" s="1758"/>
      <c r="BE144" s="1758"/>
      <c r="BF144" s="1758"/>
      <c r="BG144" s="1758"/>
      <c r="BH144" s="1758"/>
      <c r="BI144" s="1758"/>
      <c r="BJ144" s="1758"/>
      <c r="BK144" s="1758"/>
      <c r="BL144" s="1758"/>
      <c r="BM144" s="1758"/>
      <c r="BN144" s="1758"/>
      <c r="BO144" s="1758"/>
      <c r="BP144" s="1758"/>
      <c r="BQ144" s="1758"/>
      <c r="BR144" s="1758"/>
      <c r="BS144" s="1758"/>
      <c r="BT144" s="1758"/>
      <c r="BU144" s="1758"/>
      <c r="BV144" s="1758"/>
      <c r="BW144" s="1758"/>
      <c r="BX144" s="1758"/>
      <c r="BY144" s="1758"/>
      <c r="BZ144" s="1758"/>
      <c r="CA144" s="1758"/>
      <c r="CB144" s="1758"/>
      <c r="CC144" s="1758"/>
      <c r="CD144" s="1758"/>
      <c r="CE144" s="1758"/>
      <c r="CF144" s="1758"/>
      <c r="CG144" s="1758"/>
      <c r="CH144" s="1758"/>
      <c r="CI144" s="1758"/>
      <c r="CJ144" s="1758"/>
      <c r="CK144" s="1758"/>
      <c r="CL144" s="1758"/>
      <c r="CM144" s="1758"/>
      <c r="CN144" s="1758"/>
      <c r="CO144" s="1758"/>
      <c r="CP144" s="1758"/>
      <c r="CQ144" s="1758"/>
      <c r="CR144" s="1758"/>
      <c r="CS144" s="1758"/>
      <c r="CT144" s="1758"/>
      <c r="CU144" s="1758"/>
      <c r="CV144" s="1758"/>
      <c r="CW144" s="1758"/>
      <c r="CX144" s="1758"/>
      <c r="CY144" s="1758"/>
      <c r="CZ144" s="1758"/>
      <c r="DA144" s="1758"/>
      <c r="DB144" s="1758"/>
      <c r="DC144" s="1758"/>
    </row>
    <row r="145" spans="1:107" s="1395" customFormat="1" ht="21" customHeight="1">
      <c r="A145" s="10827"/>
      <c r="B145" s="10731"/>
      <c r="C145" s="10728"/>
      <c r="D145" s="10728"/>
      <c r="E145" s="10728"/>
      <c r="F145" s="10744"/>
      <c r="G145" s="10728"/>
      <c r="H145" s="10728"/>
      <c r="I145" s="10728"/>
      <c r="J145" s="10801"/>
      <c r="K145" s="10735"/>
      <c r="L145" s="10759"/>
      <c r="M145" s="10759"/>
      <c r="N145" s="10759"/>
      <c r="O145" s="10735"/>
      <c r="P145" s="10735"/>
      <c r="Q145" s="10750"/>
      <c r="R145" s="5173"/>
      <c r="S145" s="5212"/>
      <c r="T145" s="5212"/>
      <c r="U145" s="5250"/>
      <c r="V145" s="5281"/>
      <c r="W145" s="5302"/>
      <c r="X145" s="7477"/>
      <c r="Y145" s="7473"/>
      <c r="Z145" s="7473"/>
      <c r="AA145" s="7474"/>
      <c r="AB145" s="5323"/>
      <c r="AC145" s="1396"/>
      <c r="AD145" s="5300"/>
      <c r="AE145" s="5346"/>
      <c r="AF145" s="5346"/>
      <c r="AG145" s="10777"/>
      <c r="AH145" s="1758"/>
      <c r="AI145" s="1758"/>
      <c r="AJ145" s="1758"/>
      <c r="AK145" s="1758"/>
      <c r="AL145" s="1758"/>
      <c r="AM145" s="1758"/>
      <c r="AN145" s="1758"/>
      <c r="AO145" s="1758"/>
      <c r="AP145" s="1758"/>
      <c r="AQ145" s="1758"/>
      <c r="AR145" s="1758"/>
      <c r="AS145" s="1758"/>
      <c r="AT145" s="1758"/>
      <c r="AU145" s="1758"/>
      <c r="AV145" s="1758"/>
      <c r="AW145" s="1758"/>
      <c r="AX145" s="1758"/>
      <c r="AY145" s="1758"/>
      <c r="AZ145" s="1758"/>
      <c r="BA145" s="1758"/>
      <c r="BB145" s="1758"/>
      <c r="BC145" s="1758"/>
      <c r="BD145" s="1758"/>
      <c r="BE145" s="1758"/>
      <c r="BF145" s="1758"/>
      <c r="BG145" s="1758"/>
      <c r="BH145" s="1758"/>
      <c r="BI145" s="1758"/>
      <c r="BJ145" s="1758"/>
      <c r="BK145" s="1758"/>
      <c r="BL145" s="1758"/>
      <c r="BM145" s="1758"/>
      <c r="BN145" s="1758"/>
      <c r="BO145" s="1758"/>
      <c r="BP145" s="1758"/>
      <c r="BQ145" s="1758"/>
      <c r="BR145" s="1758"/>
      <c r="BS145" s="1758"/>
      <c r="BT145" s="1758"/>
      <c r="BU145" s="1758"/>
      <c r="BV145" s="1758"/>
      <c r="BW145" s="1758"/>
      <c r="BX145" s="1758"/>
      <c r="BY145" s="1758"/>
      <c r="BZ145" s="1758"/>
      <c r="CA145" s="1758"/>
      <c r="CB145" s="1758"/>
      <c r="CC145" s="1758"/>
      <c r="CD145" s="1758"/>
      <c r="CE145" s="1758"/>
      <c r="CF145" s="1758"/>
      <c r="CG145" s="1758"/>
      <c r="CH145" s="1758"/>
      <c r="CI145" s="1758"/>
      <c r="CJ145" s="1758"/>
      <c r="CK145" s="1758"/>
      <c r="CL145" s="1758"/>
      <c r="CM145" s="1758"/>
      <c r="CN145" s="1758"/>
      <c r="CO145" s="1758"/>
      <c r="CP145" s="1758"/>
      <c r="CQ145" s="1758"/>
      <c r="CR145" s="1758"/>
      <c r="CS145" s="1758"/>
      <c r="CT145" s="1758"/>
      <c r="CU145" s="1758"/>
      <c r="CV145" s="1758"/>
      <c r="CW145" s="1758"/>
      <c r="CX145" s="1758"/>
      <c r="CY145" s="1758"/>
      <c r="CZ145" s="1758"/>
      <c r="DA145" s="1758"/>
      <c r="DB145" s="1758"/>
      <c r="DC145" s="1758"/>
    </row>
    <row r="146" spans="1:107" s="1395" customFormat="1" ht="21" customHeight="1">
      <c r="A146" s="10827"/>
      <c r="B146" s="10732"/>
      <c r="C146" s="10729"/>
      <c r="D146" s="10729"/>
      <c r="E146" s="10729"/>
      <c r="F146" s="10745"/>
      <c r="G146" s="10729"/>
      <c r="H146" s="10729"/>
      <c r="I146" s="10729"/>
      <c r="J146" s="10834"/>
      <c r="K146" s="10736"/>
      <c r="L146" s="10760"/>
      <c r="M146" s="10760"/>
      <c r="N146" s="10760"/>
      <c r="O146" s="10736"/>
      <c r="P146" s="10736"/>
      <c r="Q146" s="10751"/>
      <c r="R146" s="5175"/>
      <c r="S146" s="5215"/>
      <c r="T146" s="5215"/>
      <c r="U146" s="5251"/>
      <c r="V146" s="5282"/>
      <c r="W146" s="5303"/>
      <c r="X146" s="7479"/>
      <c r="Y146" s="7479"/>
      <c r="Z146" s="7479"/>
      <c r="AA146" s="7480"/>
      <c r="AB146" s="5326"/>
      <c r="AC146" s="1399"/>
      <c r="AD146" s="5303"/>
      <c r="AE146" s="5348"/>
      <c r="AF146" s="5348"/>
      <c r="AG146" s="10778"/>
      <c r="AH146" s="1758"/>
      <c r="AI146" s="1758"/>
      <c r="AJ146" s="1758"/>
      <c r="AK146" s="1758"/>
      <c r="AL146" s="1758"/>
      <c r="AM146" s="1758"/>
      <c r="AN146" s="1758"/>
      <c r="AO146" s="1758"/>
      <c r="AP146" s="1758"/>
      <c r="AQ146" s="1758"/>
      <c r="AR146" s="1758"/>
      <c r="AS146" s="1758"/>
      <c r="AT146" s="1758"/>
      <c r="AU146" s="1758"/>
      <c r="AV146" s="1758"/>
      <c r="AW146" s="1758"/>
      <c r="AX146" s="1758"/>
      <c r="AY146" s="1758"/>
      <c r="AZ146" s="1758"/>
      <c r="BA146" s="1758"/>
      <c r="BB146" s="1758"/>
      <c r="BC146" s="1758"/>
      <c r="BD146" s="1758"/>
      <c r="BE146" s="1758"/>
      <c r="BF146" s="1758"/>
      <c r="BG146" s="1758"/>
      <c r="BH146" s="1758"/>
      <c r="BI146" s="1758"/>
      <c r="BJ146" s="1758"/>
      <c r="BK146" s="1758"/>
      <c r="BL146" s="1758"/>
      <c r="BM146" s="1758"/>
      <c r="BN146" s="1758"/>
      <c r="BO146" s="1758"/>
      <c r="BP146" s="1758"/>
      <c r="BQ146" s="1758"/>
      <c r="BR146" s="1758"/>
      <c r="BS146" s="1758"/>
      <c r="BT146" s="1758"/>
      <c r="BU146" s="1758"/>
      <c r="BV146" s="1758"/>
      <c r="BW146" s="1758"/>
      <c r="BX146" s="1758"/>
      <c r="BY146" s="1758"/>
      <c r="BZ146" s="1758"/>
      <c r="CA146" s="1758"/>
      <c r="CB146" s="1758"/>
      <c r="CC146" s="1758"/>
      <c r="CD146" s="1758"/>
      <c r="CE146" s="1758"/>
      <c r="CF146" s="1758"/>
      <c r="CG146" s="1758"/>
      <c r="CH146" s="1758"/>
      <c r="CI146" s="1758"/>
      <c r="CJ146" s="1758"/>
      <c r="CK146" s="1758"/>
      <c r="CL146" s="1758"/>
      <c r="CM146" s="1758"/>
      <c r="CN146" s="1758"/>
      <c r="CO146" s="1758"/>
      <c r="CP146" s="1758"/>
      <c r="CQ146" s="1758"/>
      <c r="CR146" s="1758"/>
      <c r="CS146" s="1758"/>
      <c r="CT146" s="1758"/>
      <c r="CU146" s="1758"/>
      <c r="CV146" s="1758"/>
      <c r="CW146" s="1758"/>
      <c r="CX146" s="1758"/>
      <c r="CY146" s="1758"/>
      <c r="CZ146" s="1758"/>
      <c r="DA146" s="1758"/>
      <c r="DB146" s="1758"/>
      <c r="DC146" s="1758"/>
    </row>
    <row r="147" spans="1:107" s="1395" customFormat="1" ht="54" customHeight="1">
      <c r="A147" s="10827"/>
      <c r="B147" s="10731" t="s">
        <v>183</v>
      </c>
      <c r="C147" s="10728" t="s">
        <v>227</v>
      </c>
      <c r="D147" s="10728" t="s">
        <v>228</v>
      </c>
      <c r="E147" s="10728" t="s">
        <v>229</v>
      </c>
      <c r="F147" s="10744" t="s">
        <v>230</v>
      </c>
      <c r="G147" s="10728" t="s">
        <v>132</v>
      </c>
      <c r="H147" s="10728" t="s">
        <v>159</v>
      </c>
      <c r="I147" s="10753" t="s">
        <v>4867</v>
      </c>
      <c r="J147" s="10832" t="s">
        <v>4868</v>
      </c>
      <c r="K147" s="10735" t="s">
        <v>4869</v>
      </c>
      <c r="L147" s="10759">
        <v>0</v>
      </c>
      <c r="M147" s="10759">
        <v>12</v>
      </c>
      <c r="N147" s="10759">
        <v>12</v>
      </c>
      <c r="O147" s="10735" t="s">
        <v>4870</v>
      </c>
      <c r="P147" s="10735" t="s">
        <v>4871</v>
      </c>
      <c r="Q147" s="10750" t="s">
        <v>4817</v>
      </c>
      <c r="R147" s="5173"/>
      <c r="S147" s="5212"/>
      <c r="T147" s="5212"/>
      <c r="U147" s="5249"/>
      <c r="V147" s="5281"/>
      <c r="W147" s="5302"/>
      <c r="X147" s="7477"/>
      <c r="Y147" s="7477"/>
      <c r="Z147" s="7477"/>
      <c r="AA147" s="7478"/>
      <c r="AB147" s="5325"/>
      <c r="AC147" s="1398"/>
      <c r="AD147" s="5302"/>
      <c r="AE147" s="5351"/>
      <c r="AF147" s="5351"/>
      <c r="AG147" s="10779" t="s">
        <v>4843</v>
      </c>
      <c r="AH147" s="1758"/>
      <c r="AI147" s="1758"/>
      <c r="AJ147" s="1758"/>
      <c r="AK147" s="1758"/>
      <c r="AL147" s="1758"/>
      <c r="AM147" s="1758"/>
      <c r="AN147" s="1758"/>
      <c r="AO147" s="1758"/>
      <c r="AP147" s="1758"/>
      <c r="AQ147" s="1758"/>
      <c r="AR147" s="1758"/>
      <c r="AS147" s="1758"/>
      <c r="AT147" s="1758"/>
      <c r="AU147" s="1758"/>
      <c r="AV147" s="1758"/>
      <c r="AW147" s="1758"/>
      <c r="AX147" s="1758"/>
      <c r="AY147" s="1758"/>
      <c r="AZ147" s="1758"/>
      <c r="BA147" s="1758"/>
      <c r="BB147" s="1758"/>
      <c r="BC147" s="1758"/>
      <c r="BD147" s="1758"/>
      <c r="BE147" s="1758"/>
      <c r="BF147" s="1758"/>
      <c r="BG147" s="1758"/>
      <c r="BH147" s="1758"/>
      <c r="BI147" s="1758"/>
      <c r="BJ147" s="1758"/>
      <c r="BK147" s="1758"/>
      <c r="BL147" s="1758"/>
      <c r="BM147" s="1758"/>
      <c r="BN147" s="1758"/>
      <c r="BO147" s="1758"/>
      <c r="BP147" s="1758"/>
      <c r="BQ147" s="1758"/>
      <c r="BR147" s="1758"/>
      <c r="BS147" s="1758"/>
      <c r="BT147" s="1758"/>
      <c r="BU147" s="1758"/>
      <c r="BV147" s="1758"/>
      <c r="BW147" s="1758"/>
      <c r="BX147" s="1758"/>
      <c r="BY147" s="1758"/>
      <c r="BZ147" s="1758"/>
      <c r="CA147" s="1758"/>
      <c r="CB147" s="1758"/>
      <c r="CC147" s="1758"/>
      <c r="CD147" s="1758"/>
      <c r="CE147" s="1758"/>
      <c r="CF147" s="1758"/>
      <c r="CG147" s="1758"/>
      <c r="CH147" s="1758"/>
      <c r="CI147" s="1758"/>
      <c r="CJ147" s="1758"/>
      <c r="CK147" s="1758"/>
      <c r="CL147" s="1758"/>
      <c r="CM147" s="1758"/>
      <c r="CN147" s="1758"/>
      <c r="CO147" s="1758"/>
      <c r="CP147" s="1758"/>
      <c r="CQ147" s="1758"/>
      <c r="CR147" s="1758"/>
      <c r="CS147" s="1758"/>
      <c r="CT147" s="1758"/>
      <c r="CU147" s="1758"/>
      <c r="CV147" s="1758"/>
      <c r="CW147" s="1758"/>
      <c r="CX147" s="1758"/>
      <c r="CY147" s="1758"/>
      <c r="CZ147" s="1758"/>
      <c r="DA147" s="1758"/>
      <c r="DB147" s="1758"/>
      <c r="DC147" s="1758"/>
    </row>
    <row r="148" spans="1:107" s="1395" customFormat="1" ht="54" customHeight="1">
      <c r="A148" s="10827"/>
      <c r="B148" s="10731"/>
      <c r="C148" s="10728"/>
      <c r="D148" s="10728"/>
      <c r="E148" s="10728"/>
      <c r="F148" s="10744"/>
      <c r="G148" s="10728"/>
      <c r="H148" s="10728"/>
      <c r="I148" s="10754"/>
      <c r="J148" s="10801"/>
      <c r="K148" s="10735"/>
      <c r="L148" s="10759"/>
      <c r="M148" s="10759"/>
      <c r="N148" s="10759"/>
      <c r="O148" s="10735"/>
      <c r="P148" s="10735"/>
      <c r="Q148" s="10750"/>
      <c r="R148" s="5171"/>
      <c r="S148" s="5213"/>
      <c r="T148" s="5213"/>
      <c r="U148" s="5247"/>
      <c r="V148" s="5279"/>
      <c r="W148" s="5300"/>
      <c r="X148" s="7473"/>
      <c r="Y148" s="7473"/>
      <c r="Z148" s="7473"/>
      <c r="AA148" s="7474"/>
      <c r="AB148" s="5323"/>
      <c r="AC148" s="1396"/>
      <c r="AD148" s="5300"/>
      <c r="AE148" s="5300"/>
      <c r="AF148" s="5352"/>
      <c r="AG148" s="10777"/>
      <c r="AH148" s="1758"/>
      <c r="AI148" s="1758"/>
      <c r="AJ148" s="1758"/>
      <c r="AK148" s="1758"/>
      <c r="AL148" s="1758"/>
      <c r="AM148" s="1758"/>
      <c r="AN148" s="1758"/>
      <c r="AO148" s="1758"/>
      <c r="AP148" s="1758"/>
      <c r="AQ148" s="1758"/>
      <c r="AR148" s="1758"/>
      <c r="AS148" s="1758"/>
      <c r="AT148" s="1758"/>
      <c r="AU148" s="1758"/>
      <c r="AV148" s="1758"/>
      <c r="AW148" s="1758"/>
      <c r="AX148" s="1758"/>
      <c r="AY148" s="1758"/>
      <c r="AZ148" s="1758"/>
      <c r="BA148" s="1758"/>
      <c r="BB148" s="1758"/>
      <c r="BC148" s="1758"/>
      <c r="BD148" s="1758"/>
      <c r="BE148" s="1758"/>
      <c r="BF148" s="1758"/>
      <c r="BG148" s="1758"/>
      <c r="BH148" s="1758"/>
      <c r="BI148" s="1758"/>
      <c r="BJ148" s="1758"/>
      <c r="BK148" s="1758"/>
      <c r="BL148" s="1758"/>
      <c r="BM148" s="1758"/>
      <c r="BN148" s="1758"/>
      <c r="BO148" s="1758"/>
      <c r="BP148" s="1758"/>
      <c r="BQ148" s="1758"/>
      <c r="BR148" s="1758"/>
      <c r="BS148" s="1758"/>
      <c r="BT148" s="1758"/>
      <c r="BU148" s="1758"/>
      <c r="BV148" s="1758"/>
      <c r="BW148" s="1758"/>
      <c r="BX148" s="1758"/>
      <c r="BY148" s="1758"/>
      <c r="BZ148" s="1758"/>
      <c r="CA148" s="1758"/>
      <c r="CB148" s="1758"/>
      <c r="CC148" s="1758"/>
      <c r="CD148" s="1758"/>
      <c r="CE148" s="1758"/>
      <c r="CF148" s="1758"/>
      <c r="CG148" s="1758"/>
      <c r="CH148" s="1758"/>
      <c r="CI148" s="1758"/>
      <c r="CJ148" s="1758"/>
      <c r="CK148" s="1758"/>
      <c r="CL148" s="1758"/>
      <c r="CM148" s="1758"/>
      <c r="CN148" s="1758"/>
      <c r="CO148" s="1758"/>
      <c r="CP148" s="1758"/>
      <c r="CQ148" s="1758"/>
      <c r="CR148" s="1758"/>
      <c r="CS148" s="1758"/>
      <c r="CT148" s="1758"/>
      <c r="CU148" s="1758"/>
      <c r="CV148" s="1758"/>
      <c r="CW148" s="1758"/>
      <c r="CX148" s="1758"/>
      <c r="CY148" s="1758"/>
      <c r="CZ148" s="1758"/>
      <c r="DA148" s="1758"/>
      <c r="DB148" s="1758"/>
      <c r="DC148" s="1758"/>
    </row>
    <row r="149" spans="1:107" s="1395" customFormat="1" ht="54" customHeight="1">
      <c r="A149" s="10827"/>
      <c r="B149" s="10731"/>
      <c r="C149" s="10728"/>
      <c r="D149" s="10728"/>
      <c r="E149" s="10728"/>
      <c r="F149" s="10744"/>
      <c r="G149" s="10728"/>
      <c r="H149" s="10728"/>
      <c r="I149" s="10754"/>
      <c r="J149" s="10801"/>
      <c r="K149" s="10735"/>
      <c r="L149" s="10759"/>
      <c r="M149" s="10759"/>
      <c r="N149" s="10759"/>
      <c r="O149" s="10735"/>
      <c r="P149" s="10735"/>
      <c r="Q149" s="10750"/>
      <c r="R149" s="5171"/>
      <c r="S149" s="5213"/>
      <c r="T149" s="5213"/>
      <c r="U149" s="5247"/>
      <c r="V149" s="5279"/>
      <c r="W149" s="5300"/>
      <c r="X149" s="7473"/>
      <c r="Y149" s="7473"/>
      <c r="Z149" s="7473"/>
      <c r="AA149" s="7474"/>
      <c r="AB149" s="5323"/>
      <c r="AC149" s="1396"/>
      <c r="AD149" s="5300"/>
      <c r="AE149" s="5300"/>
      <c r="AF149" s="5346"/>
      <c r="AG149" s="10777"/>
      <c r="AH149" s="1758"/>
      <c r="AI149" s="1758"/>
      <c r="AJ149" s="1758"/>
      <c r="AK149" s="1758"/>
      <c r="AL149" s="1758"/>
      <c r="AM149" s="1758"/>
      <c r="AN149" s="1758"/>
      <c r="AO149" s="1758"/>
      <c r="AP149" s="1758"/>
      <c r="AQ149" s="1758"/>
      <c r="AR149" s="1758"/>
      <c r="AS149" s="1758"/>
      <c r="AT149" s="1758"/>
      <c r="AU149" s="1758"/>
      <c r="AV149" s="1758"/>
      <c r="AW149" s="1758"/>
      <c r="AX149" s="1758"/>
      <c r="AY149" s="1758"/>
      <c r="AZ149" s="1758"/>
      <c r="BA149" s="1758"/>
      <c r="BB149" s="1758"/>
      <c r="BC149" s="1758"/>
      <c r="BD149" s="1758"/>
      <c r="BE149" s="1758"/>
      <c r="BF149" s="1758"/>
      <c r="BG149" s="1758"/>
      <c r="BH149" s="1758"/>
      <c r="BI149" s="1758"/>
      <c r="BJ149" s="1758"/>
      <c r="BK149" s="1758"/>
      <c r="BL149" s="1758"/>
      <c r="BM149" s="1758"/>
      <c r="BN149" s="1758"/>
      <c r="BO149" s="1758"/>
      <c r="BP149" s="1758"/>
      <c r="BQ149" s="1758"/>
      <c r="BR149" s="1758"/>
      <c r="BS149" s="1758"/>
      <c r="BT149" s="1758"/>
      <c r="BU149" s="1758"/>
      <c r="BV149" s="1758"/>
      <c r="BW149" s="1758"/>
      <c r="BX149" s="1758"/>
      <c r="BY149" s="1758"/>
      <c r="BZ149" s="1758"/>
      <c r="CA149" s="1758"/>
      <c r="CB149" s="1758"/>
      <c r="CC149" s="1758"/>
      <c r="CD149" s="1758"/>
      <c r="CE149" s="1758"/>
      <c r="CF149" s="1758"/>
      <c r="CG149" s="1758"/>
      <c r="CH149" s="1758"/>
      <c r="CI149" s="1758"/>
      <c r="CJ149" s="1758"/>
      <c r="CK149" s="1758"/>
      <c r="CL149" s="1758"/>
      <c r="CM149" s="1758"/>
      <c r="CN149" s="1758"/>
      <c r="CO149" s="1758"/>
      <c r="CP149" s="1758"/>
      <c r="CQ149" s="1758"/>
      <c r="CR149" s="1758"/>
      <c r="CS149" s="1758"/>
      <c r="CT149" s="1758"/>
      <c r="CU149" s="1758"/>
      <c r="CV149" s="1758"/>
      <c r="CW149" s="1758"/>
      <c r="CX149" s="1758"/>
      <c r="CY149" s="1758"/>
      <c r="CZ149" s="1758"/>
      <c r="DA149" s="1758"/>
      <c r="DB149" s="1758"/>
      <c r="DC149" s="1758"/>
    </row>
    <row r="150" spans="1:107" s="1395" customFormat="1" ht="54" customHeight="1">
      <c r="A150" s="10827"/>
      <c r="B150" s="10731"/>
      <c r="C150" s="10728"/>
      <c r="D150" s="10728"/>
      <c r="E150" s="10728"/>
      <c r="F150" s="10744"/>
      <c r="G150" s="10728"/>
      <c r="H150" s="10728"/>
      <c r="I150" s="10754"/>
      <c r="J150" s="10801"/>
      <c r="K150" s="10735"/>
      <c r="L150" s="10759"/>
      <c r="M150" s="10759"/>
      <c r="N150" s="10759"/>
      <c r="O150" s="10735"/>
      <c r="P150" s="10735"/>
      <c r="Q150" s="10750"/>
      <c r="R150" s="5171"/>
      <c r="S150" s="5213"/>
      <c r="T150" s="5213"/>
      <c r="U150" s="5247"/>
      <c r="V150" s="5279"/>
      <c r="W150" s="5300"/>
      <c r="X150" s="7473"/>
      <c r="Y150" s="7473"/>
      <c r="Z150" s="7473"/>
      <c r="AA150" s="7474"/>
      <c r="AB150" s="5323"/>
      <c r="AC150" s="1396"/>
      <c r="AD150" s="5300"/>
      <c r="AE150" s="5300"/>
      <c r="AF150" s="5346"/>
      <c r="AG150" s="10777"/>
      <c r="AH150" s="1758"/>
      <c r="AI150" s="1758"/>
      <c r="AJ150" s="1758"/>
      <c r="AK150" s="1758"/>
      <c r="AL150" s="1758"/>
      <c r="AM150" s="1758"/>
      <c r="AN150" s="1758"/>
      <c r="AO150" s="1758"/>
      <c r="AP150" s="1758"/>
      <c r="AQ150" s="1758"/>
      <c r="AR150" s="1758"/>
      <c r="AS150" s="1758"/>
      <c r="AT150" s="1758"/>
      <c r="AU150" s="1758"/>
      <c r="AV150" s="1758"/>
      <c r="AW150" s="1758"/>
      <c r="AX150" s="1758"/>
      <c r="AY150" s="1758"/>
      <c r="AZ150" s="1758"/>
      <c r="BA150" s="1758"/>
      <c r="BB150" s="1758"/>
      <c r="BC150" s="1758"/>
      <c r="BD150" s="1758"/>
      <c r="BE150" s="1758"/>
      <c r="BF150" s="1758"/>
      <c r="BG150" s="1758"/>
      <c r="BH150" s="1758"/>
      <c r="BI150" s="1758"/>
      <c r="BJ150" s="1758"/>
      <c r="BK150" s="1758"/>
      <c r="BL150" s="1758"/>
      <c r="BM150" s="1758"/>
      <c r="BN150" s="1758"/>
      <c r="BO150" s="1758"/>
      <c r="BP150" s="1758"/>
      <c r="BQ150" s="1758"/>
      <c r="BR150" s="1758"/>
      <c r="BS150" s="1758"/>
      <c r="BT150" s="1758"/>
      <c r="BU150" s="1758"/>
      <c r="BV150" s="1758"/>
      <c r="BW150" s="1758"/>
      <c r="BX150" s="1758"/>
      <c r="BY150" s="1758"/>
      <c r="BZ150" s="1758"/>
      <c r="CA150" s="1758"/>
      <c r="CB150" s="1758"/>
      <c r="CC150" s="1758"/>
      <c r="CD150" s="1758"/>
      <c r="CE150" s="1758"/>
      <c r="CF150" s="1758"/>
      <c r="CG150" s="1758"/>
      <c r="CH150" s="1758"/>
      <c r="CI150" s="1758"/>
      <c r="CJ150" s="1758"/>
      <c r="CK150" s="1758"/>
      <c r="CL150" s="1758"/>
      <c r="CM150" s="1758"/>
      <c r="CN150" s="1758"/>
      <c r="CO150" s="1758"/>
      <c r="CP150" s="1758"/>
      <c r="CQ150" s="1758"/>
      <c r="CR150" s="1758"/>
      <c r="CS150" s="1758"/>
      <c r="CT150" s="1758"/>
      <c r="CU150" s="1758"/>
      <c r="CV150" s="1758"/>
      <c r="CW150" s="1758"/>
      <c r="CX150" s="1758"/>
      <c r="CY150" s="1758"/>
      <c r="CZ150" s="1758"/>
      <c r="DA150" s="1758"/>
      <c r="DB150" s="1758"/>
      <c r="DC150" s="1758"/>
    </row>
    <row r="151" spans="1:107" s="1395" customFormat="1" ht="54" customHeight="1">
      <c r="A151" s="10827"/>
      <c r="B151" s="10732"/>
      <c r="C151" s="10729"/>
      <c r="D151" s="10729"/>
      <c r="E151" s="10729"/>
      <c r="F151" s="10745"/>
      <c r="G151" s="10729"/>
      <c r="H151" s="10729"/>
      <c r="I151" s="10755"/>
      <c r="J151" s="10802"/>
      <c r="K151" s="10736"/>
      <c r="L151" s="10760"/>
      <c r="M151" s="10760"/>
      <c r="N151" s="10760"/>
      <c r="O151" s="10736"/>
      <c r="P151" s="10736"/>
      <c r="Q151" s="10751"/>
      <c r="R151" s="5175"/>
      <c r="S151" s="5215"/>
      <c r="T151" s="5215"/>
      <c r="U151" s="5251"/>
      <c r="V151" s="5282"/>
      <c r="W151" s="5303"/>
      <c r="X151" s="7479"/>
      <c r="Y151" s="7479"/>
      <c r="Z151" s="7479"/>
      <c r="AA151" s="7480"/>
      <c r="AB151" s="5326"/>
      <c r="AC151" s="1399"/>
      <c r="AD151" s="5303"/>
      <c r="AE151" s="5303"/>
      <c r="AF151" s="5348"/>
      <c r="AG151" s="10778"/>
      <c r="AH151" s="1758"/>
      <c r="AI151" s="1758"/>
      <c r="AJ151" s="1758"/>
      <c r="AK151" s="1758"/>
      <c r="AL151" s="1758"/>
      <c r="AM151" s="1758"/>
      <c r="AN151" s="1758"/>
      <c r="AO151" s="1758"/>
      <c r="AP151" s="1758"/>
      <c r="AQ151" s="1758"/>
      <c r="AR151" s="1758"/>
      <c r="AS151" s="1758"/>
      <c r="AT151" s="1758"/>
      <c r="AU151" s="1758"/>
      <c r="AV151" s="1758"/>
      <c r="AW151" s="1758"/>
      <c r="AX151" s="1758"/>
      <c r="AY151" s="1758"/>
      <c r="AZ151" s="1758"/>
      <c r="BA151" s="1758"/>
      <c r="BB151" s="1758"/>
      <c r="BC151" s="1758"/>
      <c r="BD151" s="1758"/>
      <c r="BE151" s="1758"/>
      <c r="BF151" s="1758"/>
      <c r="BG151" s="1758"/>
      <c r="BH151" s="1758"/>
      <c r="BI151" s="1758"/>
      <c r="BJ151" s="1758"/>
      <c r="BK151" s="1758"/>
      <c r="BL151" s="1758"/>
      <c r="BM151" s="1758"/>
      <c r="BN151" s="1758"/>
      <c r="BO151" s="1758"/>
      <c r="BP151" s="1758"/>
      <c r="BQ151" s="1758"/>
      <c r="BR151" s="1758"/>
      <c r="BS151" s="1758"/>
      <c r="BT151" s="1758"/>
      <c r="BU151" s="1758"/>
      <c r="BV151" s="1758"/>
      <c r="BW151" s="1758"/>
      <c r="BX151" s="1758"/>
      <c r="BY151" s="1758"/>
      <c r="BZ151" s="1758"/>
      <c r="CA151" s="1758"/>
      <c r="CB151" s="1758"/>
      <c r="CC151" s="1758"/>
      <c r="CD151" s="1758"/>
      <c r="CE151" s="1758"/>
      <c r="CF151" s="1758"/>
      <c r="CG151" s="1758"/>
      <c r="CH151" s="1758"/>
      <c r="CI151" s="1758"/>
      <c r="CJ151" s="1758"/>
      <c r="CK151" s="1758"/>
      <c r="CL151" s="1758"/>
      <c r="CM151" s="1758"/>
      <c r="CN151" s="1758"/>
      <c r="CO151" s="1758"/>
      <c r="CP151" s="1758"/>
      <c r="CQ151" s="1758"/>
      <c r="CR151" s="1758"/>
      <c r="CS151" s="1758"/>
      <c r="CT151" s="1758"/>
      <c r="CU151" s="1758"/>
      <c r="CV151" s="1758"/>
      <c r="CW151" s="1758"/>
      <c r="CX151" s="1758"/>
      <c r="CY151" s="1758"/>
      <c r="CZ151" s="1758"/>
      <c r="DA151" s="1758"/>
      <c r="DB151" s="1758"/>
      <c r="DC151" s="1758"/>
    </row>
    <row r="152" spans="1:107" s="1395" customFormat="1" ht="49.5" customHeight="1">
      <c r="A152" s="10827"/>
      <c r="B152" s="10748" t="s">
        <v>127</v>
      </c>
      <c r="C152" s="10742" t="s">
        <v>128</v>
      </c>
      <c r="D152" s="10742" t="s">
        <v>140</v>
      </c>
      <c r="E152" s="10742" t="s">
        <v>1691</v>
      </c>
      <c r="F152" s="10743" t="s">
        <v>131</v>
      </c>
      <c r="G152" s="10742" t="s">
        <v>132</v>
      </c>
      <c r="H152" s="10742" t="s">
        <v>133</v>
      </c>
      <c r="I152" s="10829" t="s">
        <v>4872</v>
      </c>
      <c r="J152" s="10832" t="s">
        <v>4476</v>
      </c>
      <c r="K152" s="10734" t="s">
        <v>4873</v>
      </c>
      <c r="L152" s="10737">
        <v>5</v>
      </c>
      <c r="M152" s="10759">
        <v>5</v>
      </c>
      <c r="N152" s="10737">
        <v>10</v>
      </c>
      <c r="O152" s="10734" t="s">
        <v>4874</v>
      </c>
      <c r="P152" s="10734" t="s">
        <v>4875</v>
      </c>
      <c r="Q152" s="10750" t="s">
        <v>4864</v>
      </c>
      <c r="R152" s="5178"/>
      <c r="S152" s="5218"/>
      <c r="T152" s="5218"/>
      <c r="U152" s="5256"/>
      <c r="V152" s="5284"/>
      <c r="W152" s="5305"/>
      <c r="X152" s="7481"/>
      <c r="Y152" s="7487"/>
      <c r="Z152" s="7487"/>
      <c r="AA152" s="7482"/>
      <c r="AB152" s="5327"/>
      <c r="AC152" s="1400"/>
      <c r="AD152" s="5305"/>
      <c r="AE152" s="5350"/>
      <c r="AF152" s="5350"/>
      <c r="AG152" s="10779" t="s">
        <v>4843</v>
      </c>
      <c r="AH152" s="1758"/>
      <c r="AI152" s="1758"/>
      <c r="AJ152" s="1758"/>
      <c r="AK152" s="1758"/>
      <c r="AL152" s="1758"/>
      <c r="AM152" s="1758"/>
      <c r="AN152" s="1758"/>
      <c r="AO152" s="1758"/>
      <c r="AP152" s="1758"/>
      <c r="AQ152" s="1758"/>
      <c r="AR152" s="1758"/>
      <c r="AS152" s="1758"/>
      <c r="AT152" s="1758"/>
      <c r="AU152" s="1758"/>
      <c r="AV152" s="1758"/>
      <c r="AW152" s="1758"/>
      <c r="AX152" s="1758"/>
      <c r="AY152" s="1758"/>
      <c r="AZ152" s="1758"/>
      <c r="BA152" s="1758"/>
      <c r="BB152" s="1758"/>
      <c r="BC152" s="1758"/>
      <c r="BD152" s="1758"/>
      <c r="BE152" s="1758"/>
      <c r="BF152" s="1758"/>
      <c r="BG152" s="1758"/>
      <c r="BH152" s="1758"/>
      <c r="BI152" s="1758"/>
      <c r="BJ152" s="1758"/>
      <c r="BK152" s="1758"/>
      <c r="BL152" s="1758"/>
      <c r="BM152" s="1758"/>
      <c r="BN152" s="1758"/>
      <c r="BO152" s="1758"/>
      <c r="BP152" s="1758"/>
      <c r="BQ152" s="1758"/>
      <c r="BR152" s="1758"/>
      <c r="BS152" s="1758"/>
      <c r="BT152" s="1758"/>
      <c r="BU152" s="1758"/>
      <c r="BV152" s="1758"/>
      <c r="BW152" s="1758"/>
      <c r="BX152" s="1758"/>
      <c r="BY152" s="1758"/>
      <c r="BZ152" s="1758"/>
      <c r="CA152" s="1758"/>
      <c r="CB152" s="1758"/>
      <c r="CC152" s="1758"/>
      <c r="CD152" s="1758"/>
      <c r="CE152" s="1758"/>
      <c r="CF152" s="1758"/>
      <c r="CG152" s="1758"/>
      <c r="CH152" s="1758"/>
      <c r="CI152" s="1758"/>
      <c r="CJ152" s="1758"/>
      <c r="CK152" s="1758"/>
      <c r="CL152" s="1758"/>
      <c r="CM152" s="1758"/>
      <c r="CN152" s="1758"/>
      <c r="CO152" s="1758"/>
      <c r="CP152" s="1758"/>
      <c r="CQ152" s="1758"/>
      <c r="CR152" s="1758"/>
      <c r="CS152" s="1758"/>
      <c r="CT152" s="1758"/>
      <c r="CU152" s="1758"/>
      <c r="CV152" s="1758"/>
      <c r="CW152" s="1758"/>
      <c r="CX152" s="1758"/>
      <c r="CY152" s="1758"/>
      <c r="CZ152" s="1758"/>
      <c r="DA152" s="1758"/>
      <c r="DB152" s="1758"/>
      <c r="DC152" s="1758"/>
    </row>
    <row r="153" spans="1:107" s="1395" customFormat="1" ht="49.5" customHeight="1">
      <c r="A153" s="10827"/>
      <c r="B153" s="10731"/>
      <c r="C153" s="10728"/>
      <c r="D153" s="10728"/>
      <c r="E153" s="10728"/>
      <c r="F153" s="10744"/>
      <c r="G153" s="10728"/>
      <c r="H153" s="10728"/>
      <c r="I153" s="10830"/>
      <c r="J153" s="10801"/>
      <c r="K153" s="10735"/>
      <c r="L153" s="10738"/>
      <c r="M153" s="10759"/>
      <c r="N153" s="10738"/>
      <c r="O153" s="10735"/>
      <c r="P153" s="10735"/>
      <c r="Q153" s="10750"/>
      <c r="R153" s="5179"/>
      <c r="S153" s="5219"/>
      <c r="T153" s="5219"/>
      <c r="U153" s="5254"/>
      <c r="V153" s="5285"/>
      <c r="W153" s="5306"/>
      <c r="X153" s="7483"/>
      <c r="Y153" s="7473"/>
      <c r="Z153" s="7473"/>
      <c r="AA153" s="7484"/>
      <c r="AB153" s="5328"/>
      <c r="AC153" s="1401"/>
      <c r="AD153" s="5306"/>
      <c r="AE153" s="5346"/>
      <c r="AF153" s="5346"/>
      <c r="AG153" s="10777"/>
      <c r="AH153" s="1758"/>
      <c r="AI153" s="1758"/>
      <c r="AJ153" s="1758"/>
      <c r="AK153" s="1758"/>
      <c r="AL153" s="1758"/>
      <c r="AM153" s="1758"/>
      <c r="AN153" s="1758"/>
      <c r="AO153" s="1758"/>
      <c r="AP153" s="1758"/>
      <c r="AQ153" s="1758"/>
      <c r="AR153" s="1758"/>
      <c r="AS153" s="1758"/>
      <c r="AT153" s="1758"/>
      <c r="AU153" s="1758"/>
      <c r="AV153" s="1758"/>
      <c r="AW153" s="1758"/>
      <c r="AX153" s="1758"/>
      <c r="AY153" s="1758"/>
      <c r="AZ153" s="1758"/>
      <c r="BA153" s="1758"/>
      <c r="BB153" s="1758"/>
      <c r="BC153" s="1758"/>
      <c r="BD153" s="1758"/>
      <c r="BE153" s="1758"/>
      <c r="BF153" s="1758"/>
      <c r="BG153" s="1758"/>
      <c r="BH153" s="1758"/>
      <c r="BI153" s="1758"/>
      <c r="BJ153" s="1758"/>
      <c r="BK153" s="1758"/>
      <c r="BL153" s="1758"/>
      <c r="BM153" s="1758"/>
      <c r="BN153" s="1758"/>
      <c r="BO153" s="1758"/>
      <c r="BP153" s="1758"/>
      <c r="BQ153" s="1758"/>
      <c r="BR153" s="1758"/>
      <c r="BS153" s="1758"/>
      <c r="BT153" s="1758"/>
      <c r="BU153" s="1758"/>
      <c r="BV153" s="1758"/>
      <c r="BW153" s="1758"/>
      <c r="BX153" s="1758"/>
      <c r="BY153" s="1758"/>
      <c r="BZ153" s="1758"/>
      <c r="CA153" s="1758"/>
      <c r="CB153" s="1758"/>
      <c r="CC153" s="1758"/>
      <c r="CD153" s="1758"/>
      <c r="CE153" s="1758"/>
      <c r="CF153" s="1758"/>
      <c r="CG153" s="1758"/>
      <c r="CH153" s="1758"/>
      <c r="CI153" s="1758"/>
      <c r="CJ153" s="1758"/>
      <c r="CK153" s="1758"/>
      <c r="CL153" s="1758"/>
      <c r="CM153" s="1758"/>
      <c r="CN153" s="1758"/>
      <c r="CO153" s="1758"/>
      <c r="CP153" s="1758"/>
      <c r="CQ153" s="1758"/>
      <c r="CR153" s="1758"/>
      <c r="CS153" s="1758"/>
      <c r="CT153" s="1758"/>
      <c r="CU153" s="1758"/>
      <c r="CV153" s="1758"/>
      <c r="CW153" s="1758"/>
      <c r="CX153" s="1758"/>
      <c r="CY153" s="1758"/>
      <c r="CZ153" s="1758"/>
      <c r="DA153" s="1758"/>
      <c r="DB153" s="1758"/>
      <c r="DC153" s="1758"/>
    </row>
    <row r="154" spans="1:107" s="1395" customFormat="1" ht="49.5" customHeight="1">
      <c r="A154" s="10827"/>
      <c r="B154" s="10731"/>
      <c r="C154" s="10728"/>
      <c r="D154" s="10728"/>
      <c r="E154" s="10728"/>
      <c r="F154" s="10744"/>
      <c r="G154" s="10728"/>
      <c r="H154" s="10728"/>
      <c r="I154" s="10830"/>
      <c r="J154" s="10801"/>
      <c r="K154" s="10735"/>
      <c r="L154" s="10738"/>
      <c r="M154" s="10759"/>
      <c r="N154" s="10738"/>
      <c r="O154" s="10735"/>
      <c r="P154" s="10735"/>
      <c r="Q154" s="10750"/>
      <c r="R154" s="5176"/>
      <c r="S154" s="5216"/>
      <c r="T154" s="5216"/>
      <c r="U154" s="5254"/>
      <c r="V154" s="5285"/>
      <c r="W154" s="5306"/>
      <c r="X154" s="7483"/>
      <c r="Y154" s="7473"/>
      <c r="Z154" s="7473"/>
      <c r="AA154" s="7484"/>
      <c r="AB154" s="5328"/>
      <c r="AC154" s="1401"/>
      <c r="AD154" s="5306"/>
      <c r="AE154" s="5346"/>
      <c r="AF154" s="5346"/>
      <c r="AG154" s="10777"/>
      <c r="AH154" s="1758"/>
      <c r="AI154" s="1758"/>
      <c r="AJ154" s="1758"/>
      <c r="AK154" s="1758"/>
      <c r="AL154" s="1758"/>
      <c r="AM154" s="1758"/>
      <c r="AN154" s="1758"/>
      <c r="AO154" s="1758"/>
      <c r="AP154" s="1758"/>
      <c r="AQ154" s="1758"/>
      <c r="AR154" s="1758"/>
      <c r="AS154" s="1758"/>
      <c r="AT154" s="1758"/>
      <c r="AU154" s="1758"/>
      <c r="AV154" s="1758"/>
      <c r="AW154" s="1758"/>
      <c r="AX154" s="1758"/>
      <c r="AY154" s="1758"/>
      <c r="AZ154" s="1758"/>
      <c r="BA154" s="1758"/>
      <c r="BB154" s="1758"/>
      <c r="BC154" s="1758"/>
      <c r="BD154" s="1758"/>
      <c r="BE154" s="1758"/>
      <c r="BF154" s="1758"/>
      <c r="BG154" s="1758"/>
      <c r="BH154" s="1758"/>
      <c r="BI154" s="1758"/>
      <c r="BJ154" s="1758"/>
      <c r="BK154" s="1758"/>
      <c r="BL154" s="1758"/>
      <c r="BM154" s="1758"/>
      <c r="BN154" s="1758"/>
      <c r="BO154" s="1758"/>
      <c r="BP154" s="1758"/>
      <c r="BQ154" s="1758"/>
      <c r="BR154" s="1758"/>
      <c r="BS154" s="1758"/>
      <c r="BT154" s="1758"/>
      <c r="BU154" s="1758"/>
      <c r="BV154" s="1758"/>
      <c r="BW154" s="1758"/>
      <c r="BX154" s="1758"/>
      <c r="BY154" s="1758"/>
      <c r="BZ154" s="1758"/>
      <c r="CA154" s="1758"/>
      <c r="CB154" s="1758"/>
      <c r="CC154" s="1758"/>
      <c r="CD154" s="1758"/>
      <c r="CE154" s="1758"/>
      <c r="CF154" s="1758"/>
      <c r="CG154" s="1758"/>
      <c r="CH154" s="1758"/>
      <c r="CI154" s="1758"/>
      <c r="CJ154" s="1758"/>
      <c r="CK154" s="1758"/>
      <c r="CL154" s="1758"/>
      <c r="CM154" s="1758"/>
      <c r="CN154" s="1758"/>
      <c r="CO154" s="1758"/>
      <c r="CP154" s="1758"/>
      <c r="CQ154" s="1758"/>
      <c r="CR154" s="1758"/>
      <c r="CS154" s="1758"/>
      <c r="CT154" s="1758"/>
      <c r="CU154" s="1758"/>
      <c r="CV154" s="1758"/>
      <c r="CW154" s="1758"/>
      <c r="CX154" s="1758"/>
      <c r="CY154" s="1758"/>
      <c r="CZ154" s="1758"/>
      <c r="DA154" s="1758"/>
      <c r="DB154" s="1758"/>
      <c r="DC154" s="1758"/>
    </row>
    <row r="155" spans="1:107" s="1395" customFormat="1" ht="49.5" customHeight="1">
      <c r="A155" s="10828"/>
      <c r="B155" s="10731"/>
      <c r="C155" s="10728"/>
      <c r="D155" s="10728"/>
      <c r="E155" s="10728"/>
      <c r="F155" s="10744"/>
      <c r="G155" s="10728"/>
      <c r="H155" s="10728"/>
      <c r="I155" s="10830"/>
      <c r="J155" s="10801"/>
      <c r="K155" s="10735"/>
      <c r="L155" s="10738"/>
      <c r="M155" s="10759"/>
      <c r="N155" s="10738"/>
      <c r="O155" s="10735"/>
      <c r="P155" s="10735"/>
      <c r="Q155" s="10750"/>
      <c r="R155" s="5176"/>
      <c r="S155" s="5216"/>
      <c r="T155" s="5216"/>
      <c r="U155" s="5254"/>
      <c r="V155" s="5285"/>
      <c r="W155" s="5306"/>
      <c r="X155" s="7483"/>
      <c r="Y155" s="7473"/>
      <c r="Z155" s="7473"/>
      <c r="AA155" s="7484"/>
      <c r="AB155" s="5328"/>
      <c r="AC155" s="1401"/>
      <c r="AD155" s="5306"/>
      <c r="AE155" s="5346"/>
      <c r="AF155" s="5346"/>
      <c r="AG155" s="10777"/>
      <c r="AH155" s="1758"/>
      <c r="AI155" s="1758"/>
      <c r="AJ155" s="1758"/>
      <c r="AK155" s="1758"/>
      <c r="AL155" s="1758"/>
      <c r="AM155" s="1758"/>
      <c r="AN155" s="1758"/>
      <c r="AO155" s="1758"/>
      <c r="AP155" s="1758"/>
      <c r="AQ155" s="1758"/>
      <c r="AR155" s="1758"/>
      <c r="AS155" s="1758"/>
      <c r="AT155" s="1758"/>
      <c r="AU155" s="1758"/>
      <c r="AV155" s="1758"/>
      <c r="AW155" s="1758"/>
      <c r="AX155" s="1758"/>
      <c r="AY155" s="1758"/>
      <c r="AZ155" s="1758"/>
      <c r="BA155" s="1758"/>
      <c r="BB155" s="1758"/>
      <c r="BC155" s="1758"/>
      <c r="BD155" s="1758"/>
      <c r="BE155" s="1758"/>
      <c r="BF155" s="1758"/>
      <c r="BG155" s="1758"/>
      <c r="BH155" s="1758"/>
      <c r="BI155" s="1758"/>
      <c r="BJ155" s="1758"/>
      <c r="BK155" s="1758"/>
      <c r="BL155" s="1758"/>
      <c r="BM155" s="1758"/>
      <c r="BN155" s="1758"/>
      <c r="BO155" s="1758"/>
      <c r="BP155" s="1758"/>
      <c r="BQ155" s="1758"/>
      <c r="BR155" s="1758"/>
      <c r="BS155" s="1758"/>
      <c r="BT155" s="1758"/>
      <c r="BU155" s="1758"/>
      <c r="BV155" s="1758"/>
      <c r="BW155" s="1758"/>
      <c r="BX155" s="1758"/>
      <c r="BY155" s="1758"/>
      <c r="BZ155" s="1758"/>
      <c r="CA155" s="1758"/>
      <c r="CB155" s="1758"/>
      <c r="CC155" s="1758"/>
      <c r="CD155" s="1758"/>
      <c r="CE155" s="1758"/>
      <c r="CF155" s="1758"/>
      <c r="CG155" s="1758"/>
      <c r="CH155" s="1758"/>
      <c r="CI155" s="1758"/>
      <c r="CJ155" s="1758"/>
      <c r="CK155" s="1758"/>
      <c r="CL155" s="1758"/>
      <c r="CM155" s="1758"/>
      <c r="CN155" s="1758"/>
      <c r="CO155" s="1758"/>
      <c r="CP155" s="1758"/>
      <c r="CQ155" s="1758"/>
      <c r="CR155" s="1758"/>
      <c r="CS155" s="1758"/>
      <c r="CT155" s="1758"/>
      <c r="CU155" s="1758"/>
      <c r="CV155" s="1758"/>
      <c r="CW155" s="1758"/>
      <c r="CX155" s="1758"/>
      <c r="CY155" s="1758"/>
      <c r="CZ155" s="1758"/>
      <c r="DA155" s="1758"/>
      <c r="DB155" s="1758"/>
      <c r="DC155" s="1758"/>
    </row>
    <row r="156" spans="1:107" s="1395" customFormat="1" ht="49.5" customHeight="1">
      <c r="A156" s="10835" t="s">
        <v>4290</v>
      </c>
      <c r="B156" s="10732"/>
      <c r="C156" s="10729"/>
      <c r="D156" s="10729"/>
      <c r="E156" s="10729"/>
      <c r="F156" s="10745"/>
      <c r="G156" s="10729"/>
      <c r="H156" s="10729"/>
      <c r="I156" s="10833"/>
      <c r="J156" s="10834"/>
      <c r="K156" s="10736"/>
      <c r="L156" s="10739"/>
      <c r="M156" s="10760"/>
      <c r="N156" s="10739"/>
      <c r="O156" s="10736"/>
      <c r="P156" s="10736"/>
      <c r="Q156" s="10751"/>
      <c r="R156" s="5177"/>
      <c r="S156" s="5217"/>
      <c r="T156" s="5217"/>
      <c r="U156" s="5255"/>
      <c r="V156" s="5286"/>
      <c r="W156" s="5307"/>
      <c r="X156" s="7485"/>
      <c r="Y156" s="7479"/>
      <c r="Z156" s="7479"/>
      <c r="AA156" s="7486"/>
      <c r="AB156" s="5329"/>
      <c r="AC156" s="1402"/>
      <c r="AD156" s="5307"/>
      <c r="AE156" s="5348"/>
      <c r="AF156" s="5348"/>
      <c r="AG156" s="10778"/>
      <c r="AH156" s="1758"/>
      <c r="AI156" s="1758"/>
      <c r="AJ156" s="1758"/>
      <c r="AK156" s="1758"/>
      <c r="AL156" s="1758"/>
      <c r="AM156" s="1758"/>
      <c r="AN156" s="1758"/>
      <c r="AO156" s="1758"/>
      <c r="AP156" s="1758"/>
      <c r="AQ156" s="1758"/>
      <c r="AR156" s="1758"/>
      <c r="AS156" s="1758"/>
      <c r="AT156" s="1758"/>
      <c r="AU156" s="1758"/>
      <c r="AV156" s="1758"/>
      <c r="AW156" s="1758"/>
      <c r="AX156" s="1758"/>
      <c r="AY156" s="1758"/>
      <c r="AZ156" s="1758"/>
      <c r="BA156" s="1758"/>
      <c r="BB156" s="1758"/>
      <c r="BC156" s="1758"/>
      <c r="BD156" s="1758"/>
      <c r="BE156" s="1758"/>
      <c r="BF156" s="1758"/>
      <c r="BG156" s="1758"/>
      <c r="BH156" s="1758"/>
      <c r="BI156" s="1758"/>
      <c r="BJ156" s="1758"/>
      <c r="BK156" s="1758"/>
      <c r="BL156" s="1758"/>
      <c r="BM156" s="1758"/>
      <c r="BN156" s="1758"/>
      <c r="BO156" s="1758"/>
      <c r="BP156" s="1758"/>
      <c r="BQ156" s="1758"/>
      <c r="BR156" s="1758"/>
      <c r="BS156" s="1758"/>
      <c r="BT156" s="1758"/>
      <c r="BU156" s="1758"/>
      <c r="BV156" s="1758"/>
      <c r="BW156" s="1758"/>
      <c r="BX156" s="1758"/>
      <c r="BY156" s="1758"/>
      <c r="BZ156" s="1758"/>
      <c r="CA156" s="1758"/>
      <c r="CB156" s="1758"/>
      <c r="CC156" s="1758"/>
      <c r="CD156" s="1758"/>
      <c r="CE156" s="1758"/>
      <c r="CF156" s="1758"/>
      <c r="CG156" s="1758"/>
      <c r="CH156" s="1758"/>
      <c r="CI156" s="1758"/>
      <c r="CJ156" s="1758"/>
      <c r="CK156" s="1758"/>
      <c r="CL156" s="1758"/>
      <c r="CM156" s="1758"/>
      <c r="CN156" s="1758"/>
      <c r="CO156" s="1758"/>
      <c r="CP156" s="1758"/>
      <c r="CQ156" s="1758"/>
      <c r="CR156" s="1758"/>
      <c r="CS156" s="1758"/>
      <c r="CT156" s="1758"/>
      <c r="CU156" s="1758"/>
      <c r="CV156" s="1758"/>
      <c r="CW156" s="1758"/>
      <c r="CX156" s="1758"/>
      <c r="CY156" s="1758"/>
      <c r="CZ156" s="1758"/>
      <c r="DA156" s="1758"/>
      <c r="DB156" s="1758"/>
      <c r="DC156" s="1758"/>
    </row>
    <row r="157" spans="1:107" s="1395" customFormat="1" ht="25.5" customHeight="1">
      <c r="A157" s="10827"/>
      <c r="B157" s="10748" t="s">
        <v>127</v>
      </c>
      <c r="C157" s="10742" t="s">
        <v>128</v>
      </c>
      <c r="D157" s="10742" t="s">
        <v>129</v>
      </c>
      <c r="E157" s="10742" t="s">
        <v>157</v>
      </c>
      <c r="F157" s="10743" t="s">
        <v>131</v>
      </c>
      <c r="G157" s="10742" t="s">
        <v>132</v>
      </c>
      <c r="H157" s="10742" t="s">
        <v>159</v>
      </c>
      <c r="I157" s="10829" t="s">
        <v>4876</v>
      </c>
      <c r="J157" s="10800" t="s">
        <v>286</v>
      </c>
      <c r="K157" s="10734" t="s">
        <v>4877</v>
      </c>
      <c r="L157" s="10737">
        <v>1</v>
      </c>
      <c r="M157" s="10759">
        <v>0</v>
      </c>
      <c r="N157" s="10737">
        <v>2</v>
      </c>
      <c r="O157" s="10734" t="s">
        <v>4878</v>
      </c>
      <c r="P157" s="10734" t="s">
        <v>4879</v>
      </c>
      <c r="Q157" s="10831" t="s">
        <v>4800</v>
      </c>
      <c r="R157" s="5173"/>
      <c r="S157" s="5212"/>
      <c r="T157" s="5212"/>
      <c r="U157" s="5253"/>
      <c r="V157" s="5284"/>
      <c r="W157" s="5305"/>
      <c r="X157" s="7481"/>
      <c r="Y157" s="7477"/>
      <c r="Z157" s="7477"/>
      <c r="AA157" s="7482"/>
      <c r="AB157" s="5327"/>
      <c r="AC157" s="1400"/>
      <c r="AD157" s="5305"/>
      <c r="AE157" s="5350"/>
      <c r="AF157" s="5350"/>
      <c r="AG157" s="10779"/>
      <c r="AH157" s="1758"/>
      <c r="AI157" s="1758"/>
      <c r="AJ157" s="1758"/>
      <c r="AK157" s="1758"/>
      <c r="AL157" s="1758"/>
      <c r="AM157" s="1758"/>
      <c r="AN157" s="1758"/>
      <c r="AO157" s="1758"/>
      <c r="AP157" s="1758"/>
      <c r="AQ157" s="1758"/>
      <c r="AR157" s="1758"/>
      <c r="AS157" s="1758"/>
      <c r="AT157" s="1758"/>
      <c r="AU157" s="1758"/>
      <c r="AV157" s="1758"/>
      <c r="AW157" s="1758"/>
      <c r="AX157" s="1758"/>
      <c r="AY157" s="1758"/>
      <c r="AZ157" s="1758"/>
      <c r="BA157" s="1758"/>
      <c r="BB157" s="1758"/>
      <c r="BC157" s="1758"/>
      <c r="BD157" s="1758"/>
      <c r="BE157" s="1758"/>
      <c r="BF157" s="1758"/>
      <c r="BG157" s="1758"/>
      <c r="BH157" s="1758"/>
      <c r="BI157" s="1758"/>
      <c r="BJ157" s="1758"/>
      <c r="BK157" s="1758"/>
      <c r="BL157" s="1758"/>
      <c r="BM157" s="1758"/>
      <c r="BN157" s="1758"/>
      <c r="BO157" s="1758"/>
      <c r="BP157" s="1758"/>
      <c r="BQ157" s="1758"/>
      <c r="BR157" s="1758"/>
      <c r="BS157" s="1758"/>
      <c r="BT157" s="1758"/>
      <c r="BU157" s="1758"/>
      <c r="BV157" s="1758"/>
      <c r="BW157" s="1758"/>
      <c r="BX157" s="1758"/>
      <c r="BY157" s="1758"/>
      <c r="BZ157" s="1758"/>
      <c r="CA157" s="1758"/>
      <c r="CB157" s="1758"/>
      <c r="CC157" s="1758"/>
      <c r="CD157" s="1758"/>
      <c r="CE157" s="1758"/>
      <c r="CF157" s="1758"/>
      <c r="CG157" s="1758"/>
      <c r="CH157" s="1758"/>
      <c r="CI157" s="1758"/>
      <c r="CJ157" s="1758"/>
      <c r="CK157" s="1758"/>
      <c r="CL157" s="1758"/>
      <c r="CM157" s="1758"/>
      <c r="CN157" s="1758"/>
      <c r="CO157" s="1758"/>
      <c r="CP157" s="1758"/>
      <c r="CQ157" s="1758"/>
      <c r="CR157" s="1758"/>
      <c r="CS157" s="1758"/>
      <c r="CT157" s="1758"/>
      <c r="CU157" s="1758"/>
      <c r="CV157" s="1758"/>
      <c r="CW157" s="1758"/>
      <c r="CX157" s="1758"/>
      <c r="CY157" s="1758"/>
      <c r="CZ157" s="1758"/>
      <c r="DA157" s="1758"/>
      <c r="DB157" s="1758"/>
      <c r="DC157" s="1758"/>
    </row>
    <row r="158" spans="1:107" s="1395" customFormat="1" ht="25.5" customHeight="1">
      <c r="A158" s="10827"/>
      <c r="B158" s="10731"/>
      <c r="C158" s="10728"/>
      <c r="D158" s="10728"/>
      <c r="E158" s="10728"/>
      <c r="F158" s="10744"/>
      <c r="G158" s="10728"/>
      <c r="H158" s="10728"/>
      <c r="I158" s="10830"/>
      <c r="J158" s="10801"/>
      <c r="K158" s="10735"/>
      <c r="L158" s="10738"/>
      <c r="M158" s="10759"/>
      <c r="N158" s="10738"/>
      <c r="O158" s="10735"/>
      <c r="P158" s="10735"/>
      <c r="Q158" s="10750"/>
      <c r="R158" s="5176"/>
      <c r="S158" s="5216"/>
      <c r="T158" s="5216"/>
      <c r="U158" s="5254"/>
      <c r="V158" s="5285"/>
      <c r="W158" s="5306"/>
      <c r="X158" s="7483"/>
      <c r="Y158" s="7473"/>
      <c r="Z158" s="7473"/>
      <c r="AA158" s="7484"/>
      <c r="AB158" s="5328"/>
      <c r="AC158" s="1401"/>
      <c r="AD158" s="5306"/>
      <c r="AE158" s="5346"/>
      <c r="AF158" s="5346"/>
      <c r="AG158" s="10777"/>
      <c r="AH158" s="1758"/>
      <c r="AI158" s="1758"/>
      <c r="AJ158" s="1758"/>
      <c r="AK158" s="1758"/>
      <c r="AL158" s="1758"/>
      <c r="AM158" s="1758"/>
      <c r="AN158" s="1758"/>
      <c r="AO158" s="1758"/>
      <c r="AP158" s="1758"/>
      <c r="AQ158" s="1758"/>
      <c r="AR158" s="1758"/>
      <c r="AS158" s="1758"/>
      <c r="AT158" s="1758"/>
      <c r="AU158" s="1758"/>
      <c r="AV158" s="1758"/>
      <c r="AW158" s="1758"/>
      <c r="AX158" s="1758"/>
      <c r="AY158" s="1758"/>
      <c r="AZ158" s="1758"/>
      <c r="BA158" s="1758"/>
      <c r="BB158" s="1758"/>
      <c r="BC158" s="1758"/>
      <c r="BD158" s="1758"/>
      <c r="BE158" s="1758"/>
      <c r="BF158" s="1758"/>
      <c r="BG158" s="1758"/>
      <c r="BH158" s="1758"/>
      <c r="BI158" s="1758"/>
      <c r="BJ158" s="1758"/>
      <c r="BK158" s="1758"/>
      <c r="BL158" s="1758"/>
      <c r="BM158" s="1758"/>
      <c r="BN158" s="1758"/>
      <c r="BO158" s="1758"/>
      <c r="BP158" s="1758"/>
      <c r="BQ158" s="1758"/>
      <c r="BR158" s="1758"/>
      <c r="BS158" s="1758"/>
      <c r="BT158" s="1758"/>
      <c r="BU158" s="1758"/>
      <c r="BV158" s="1758"/>
      <c r="BW158" s="1758"/>
      <c r="BX158" s="1758"/>
      <c r="BY158" s="1758"/>
      <c r="BZ158" s="1758"/>
      <c r="CA158" s="1758"/>
      <c r="CB158" s="1758"/>
      <c r="CC158" s="1758"/>
      <c r="CD158" s="1758"/>
      <c r="CE158" s="1758"/>
      <c r="CF158" s="1758"/>
      <c r="CG158" s="1758"/>
      <c r="CH158" s="1758"/>
      <c r="CI158" s="1758"/>
      <c r="CJ158" s="1758"/>
      <c r="CK158" s="1758"/>
      <c r="CL158" s="1758"/>
      <c r="CM158" s="1758"/>
      <c r="CN158" s="1758"/>
      <c r="CO158" s="1758"/>
      <c r="CP158" s="1758"/>
      <c r="CQ158" s="1758"/>
      <c r="CR158" s="1758"/>
      <c r="CS158" s="1758"/>
      <c r="CT158" s="1758"/>
      <c r="CU158" s="1758"/>
      <c r="CV158" s="1758"/>
      <c r="CW158" s="1758"/>
      <c r="CX158" s="1758"/>
      <c r="CY158" s="1758"/>
      <c r="CZ158" s="1758"/>
      <c r="DA158" s="1758"/>
      <c r="DB158" s="1758"/>
      <c r="DC158" s="1758"/>
    </row>
    <row r="159" spans="1:107" s="1395" customFormat="1" ht="25.5" customHeight="1">
      <c r="A159" s="10827"/>
      <c r="B159" s="10731"/>
      <c r="C159" s="10728"/>
      <c r="D159" s="10728"/>
      <c r="E159" s="10728"/>
      <c r="F159" s="10744"/>
      <c r="G159" s="10728"/>
      <c r="H159" s="10728"/>
      <c r="I159" s="10830"/>
      <c r="J159" s="10801"/>
      <c r="K159" s="10735"/>
      <c r="L159" s="10738"/>
      <c r="M159" s="10759"/>
      <c r="N159" s="10738"/>
      <c r="O159" s="10735"/>
      <c r="P159" s="10735"/>
      <c r="Q159" s="10750"/>
      <c r="R159" s="5176"/>
      <c r="S159" s="5216"/>
      <c r="T159" s="5216"/>
      <c r="U159" s="5254"/>
      <c r="V159" s="5285"/>
      <c r="W159" s="5306"/>
      <c r="X159" s="7483"/>
      <c r="Y159" s="7473"/>
      <c r="Z159" s="7473"/>
      <c r="AA159" s="7484"/>
      <c r="AB159" s="5328"/>
      <c r="AC159" s="1401"/>
      <c r="AD159" s="5306"/>
      <c r="AE159" s="5346"/>
      <c r="AF159" s="5346"/>
      <c r="AG159" s="10777"/>
      <c r="AH159" s="1758"/>
      <c r="AI159" s="1758"/>
      <c r="AJ159" s="1758"/>
      <c r="AK159" s="1758"/>
      <c r="AL159" s="1758"/>
      <c r="AM159" s="1758"/>
      <c r="AN159" s="1758"/>
      <c r="AO159" s="1758"/>
      <c r="AP159" s="1758"/>
      <c r="AQ159" s="1758"/>
      <c r="AR159" s="1758"/>
      <c r="AS159" s="1758"/>
      <c r="AT159" s="1758"/>
      <c r="AU159" s="1758"/>
      <c r="AV159" s="1758"/>
      <c r="AW159" s="1758"/>
      <c r="AX159" s="1758"/>
      <c r="AY159" s="1758"/>
      <c r="AZ159" s="1758"/>
      <c r="BA159" s="1758"/>
      <c r="BB159" s="1758"/>
      <c r="BC159" s="1758"/>
      <c r="BD159" s="1758"/>
      <c r="BE159" s="1758"/>
      <c r="BF159" s="1758"/>
      <c r="BG159" s="1758"/>
      <c r="BH159" s="1758"/>
      <c r="BI159" s="1758"/>
      <c r="BJ159" s="1758"/>
      <c r="BK159" s="1758"/>
      <c r="BL159" s="1758"/>
      <c r="BM159" s="1758"/>
      <c r="BN159" s="1758"/>
      <c r="BO159" s="1758"/>
      <c r="BP159" s="1758"/>
      <c r="BQ159" s="1758"/>
      <c r="BR159" s="1758"/>
      <c r="BS159" s="1758"/>
      <c r="BT159" s="1758"/>
      <c r="BU159" s="1758"/>
      <c r="BV159" s="1758"/>
      <c r="BW159" s="1758"/>
      <c r="BX159" s="1758"/>
      <c r="BY159" s="1758"/>
      <c r="BZ159" s="1758"/>
      <c r="CA159" s="1758"/>
      <c r="CB159" s="1758"/>
      <c r="CC159" s="1758"/>
      <c r="CD159" s="1758"/>
      <c r="CE159" s="1758"/>
      <c r="CF159" s="1758"/>
      <c r="CG159" s="1758"/>
      <c r="CH159" s="1758"/>
      <c r="CI159" s="1758"/>
      <c r="CJ159" s="1758"/>
      <c r="CK159" s="1758"/>
      <c r="CL159" s="1758"/>
      <c r="CM159" s="1758"/>
      <c r="CN159" s="1758"/>
      <c r="CO159" s="1758"/>
      <c r="CP159" s="1758"/>
      <c r="CQ159" s="1758"/>
      <c r="CR159" s="1758"/>
      <c r="CS159" s="1758"/>
      <c r="CT159" s="1758"/>
      <c r="CU159" s="1758"/>
      <c r="CV159" s="1758"/>
      <c r="CW159" s="1758"/>
      <c r="CX159" s="1758"/>
      <c r="CY159" s="1758"/>
      <c r="CZ159" s="1758"/>
      <c r="DA159" s="1758"/>
      <c r="DB159" s="1758"/>
      <c r="DC159" s="1758"/>
    </row>
    <row r="160" spans="1:107" s="1395" customFormat="1" ht="25.5" customHeight="1">
      <c r="A160" s="10827"/>
      <c r="B160" s="10731"/>
      <c r="C160" s="10728"/>
      <c r="D160" s="10728"/>
      <c r="E160" s="10728"/>
      <c r="F160" s="10744"/>
      <c r="G160" s="10728"/>
      <c r="H160" s="10728"/>
      <c r="I160" s="10830"/>
      <c r="J160" s="10801"/>
      <c r="K160" s="10735"/>
      <c r="L160" s="10738"/>
      <c r="M160" s="10759"/>
      <c r="N160" s="10738"/>
      <c r="O160" s="10735"/>
      <c r="P160" s="10735"/>
      <c r="Q160" s="10750"/>
      <c r="R160" s="5176"/>
      <c r="S160" s="5216"/>
      <c r="T160" s="5216"/>
      <c r="U160" s="5254"/>
      <c r="V160" s="5285"/>
      <c r="W160" s="5306"/>
      <c r="X160" s="7483"/>
      <c r="Y160" s="7473"/>
      <c r="Z160" s="7473"/>
      <c r="AA160" s="7484"/>
      <c r="AB160" s="5328"/>
      <c r="AC160" s="1401"/>
      <c r="AD160" s="5306"/>
      <c r="AE160" s="5346"/>
      <c r="AF160" s="5346"/>
      <c r="AG160" s="10777"/>
      <c r="AH160" s="1758"/>
      <c r="AI160" s="1758"/>
      <c r="AJ160" s="1758"/>
      <c r="AK160" s="1758"/>
      <c r="AL160" s="1758"/>
      <c r="AM160" s="1758"/>
      <c r="AN160" s="1758"/>
      <c r="AO160" s="1758"/>
      <c r="AP160" s="1758"/>
      <c r="AQ160" s="1758"/>
      <c r="AR160" s="1758"/>
      <c r="AS160" s="1758"/>
      <c r="AT160" s="1758"/>
      <c r="AU160" s="1758"/>
      <c r="AV160" s="1758"/>
      <c r="AW160" s="1758"/>
      <c r="AX160" s="1758"/>
      <c r="AY160" s="1758"/>
      <c r="AZ160" s="1758"/>
      <c r="BA160" s="1758"/>
      <c r="BB160" s="1758"/>
      <c r="BC160" s="1758"/>
      <c r="BD160" s="1758"/>
      <c r="BE160" s="1758"/>
      <c r="BF160" s="1758"/>
      <c r="BG160" s="1758"/>
      <c r="BH160" s="1758"/>
      <c r="BI160" s="1758"/>
      <c r="BJ160" s="1758"/>
      <c r="BK160" s="1758"/>
      <c r="BL160" s="1758"/>
      <c r="BM160" s="1758"/>
      <c r="BN160" s="1758"/>
      <c r="BO160" s="1758"/>
      <c r="BP160" s="1758"/>
      <c r="BQ160" s="1758"/>
      <c r="BR160" s="1758"/>
      <c r="BS160" s="1758"/>
      <c r="BT160" s="1758"/>
      <c r="BU160" s="1758"/>
      <c r="BV160" s="1758"/>
      <c r="BW160" s="1758"/>
      <c r="BX160" s="1758"/>
      <c r="BY160" s="1758"/>
      <c r="BZ160" s="1758"/>
      <c r="CA160" s="1758"/>
      <c r="CB160" s="1758"/>
      <c r="CC160" s="1758"/>
      <c r="CD160" s="1758"/>
      <c r="CE160" s="1758"/>
      <c r="CF160" s="1758"/>
      <c r="CG160" s="1758"/>
      <c r="CH160" s="1758"/>
      <c r="CI160" s="1758"/>
      <c r="CJ160" s="1758"/>
      <c r="CK160" s="1758"/>
      <c r="CL160" s="1758"/>
      <c r="CM160" s="1758"/>
      <c r="CN160" s="1758"/>
      <c r="CO160" s="1758"/>
      <c r="CP160" s="1758"/>
      <c r="CQ160" s="1758"/>
      <c r="CR160" s="1758"/>
      <c r="CS160" s="1758"/>
      <c r="CT160" s="1758"/>
      <c r="CU160" s="1758"/>
      <c r="CV160" s="1758"/>
      <c r="CW160" s="1758"/>
      <c r="CX160" s="1758"/>
      <c r="CY160" s="1758"/>
      <c r="CZ160" s="1758"/>
      <c r="DA160" s="1758"/>
      <c r="DB160" s="1758"/>
      <c r="DC160" s="1758"/>
    </row>
    <row r="161" spans="1:107" s="1395" customFormat="1" ht="25.5" customHeight="1">
      <c r="A161" s="10827"/>
      <c r="B161" s="10732"/>
      <c r="C161" s="10729"/>
      <c r="D161" s="10729"/>
      <c r="E161" s="10729"/>
      <c r="F161" s="10745"/>
      <c r="G161" s="10729"/>
      <c r="H161" s="10729"/>
      <c r="I161" s="10833"/>
      <c r="J161" s="10834"/>
      <c r="K161" s="10736"/>
      <c r="L161" s="10739"/>
      <c r="M161" s="10760"/>
      <c r="N161" s="10739"/>
      <c r="O161" s="10736"/>
      <c r="P161" s="10736"/>
      <c r="Q161" s="10751"/>
      <c r="R161" s="5177"/>
      <c r="S161" s="5217"/>
      <c r="T161" s="5217"/>
      <c r="U161" s="5255"/>
      <c r="V161" s="5286"/>
      <c r="W161" s="5307"/>
      <c r="X161" s="7485"/>
      <c r="Y161" s="7479"/>
      <c r="Z161" s="7479"/>
      <c r="AA161" s="7486"/>
      <c r="AB161" s="5329"/>
      <c r="AC161" s="1402"/>
      <c r="AD161" s="5307"/>
      <c r="AE161" s="5348"/>
      <c r="AF161" s="5348"/>
      <c r="AG161" s="10778"/>
      <c r="AH161" s="1758"/>
      <c r="AI161" s="1758"/>
      <c r="AJ161" s="1758"/>
      <c r="AK161" s="1758"/>
      <c r="AL161" s="1758"/>
      <c r="AM161" s="1758"/>
      <c r="AN161" s="1758"/>
      <c r="AO161" s="1758"/>
      <c r="AP161" s="1758"/>
      <c r="AQ161" s="1758"/>
      <c r="AR161" s="1758"/>
      <c r="AS161" s="1758"/>
      <c r="AT161" s="1758"/>
      <c r="AU161" s="1758"/>
      <c r="AV161" s="1758"/>
      <c r="AW161" s="1758"/>
      <c r="AX161" s="1758"/>
      <c r="AY161" s="1758"/>
      <c r="AZ161" s="1758"/>
      <c r="BA161" s="1758"/>
      <c r="BB161" s="1758"/>
      <c r="BC161" s="1758"/>
      <c r="BD161" s="1758"/>
      <c r="BE161" s="1758"/>
      <c r="BF161" s="1758"/>
      <c r="BG161" s="1758"/>
      <c r="BH161" s="1758"/>
      <c r="BI161" s="1758"/>
      <c r="BJ161" s="1758"/>
      <c r="BK161" s="1758"/>
      <c r="BL161" s="1758"/>
      <c r="BM161" s="1758"/>
      <c r="BN161" s="1758"/>
      <c r="BO161" s="1758"/>
      <c r="BP161" s="1758"/>
      <c r="BQ161" s="1758"/>
      <c r="BR161" s="1758"/>
      <c r="BS161" s="1758"/>
      <c r="BT161" s="1758"/>
      <c r="BU161" s="1758"/>
      <c r="BV161" s="1758"/>
      <c r="BW161" s="1758"/>
      <c r="BX161" s="1758"/>
      <c r="BY161" s="1758"/>
      <c r="BZ161" s="1758"/>
      <c r="CA161" s="1758"/>
      <c r="CB161" s="1758"/>
      <c r="CC161" s="1758"/>
      <c r="CD161" s="1758"/>
      <c r="CE161" s="1758"/>
      <c r="CF161" s="1758"/>
      <c r="CG161" s="1758"/>
      <c r="CH161" s="1758"/>
      <c r="CI161" s="1758"/>
      <c r="CJ161" s="1758"/>
      <c r="CK161" s="1758"/>
      <c r="CL161" s="1758"/>
      <c r="CM161" s="1758"/>
      <c r="CN161" s="1758"/>
      <c r="CO161" s="1758"/>
      <c r="CP161" s="1758"/>
      <c r="CQ161" s="1758"/>
      <c r="CR161" s="1758"/>
      <c r="CS161" s="1758"/>
      <c r="CT161" s="1758"/>
      <c r="CU161" s="1758"/>
      <c r="CV161" s="1758"/>
      <c r="CW161" s="1758"/>
      <c r="CX161" s="1758"/>
      <c r="CY161" s="1758"/>
      <c r="CZ161" s="1758"/>
      <c r="DA161" s="1758"/>
      <c r="DB161" s="1758"/>
      <c r="DC161" s="1758"/>
    </row>
    <row r="162" spans="1:107" s="1395" customFormat="1" ht="27.75" customHeight="1">
      <c r="A162" s="10827"/>
      <c r="B162" s="10748" t="s">
        <v>127</v>
      </c>
      <c r="C162" s="10742" t="s">
        <v>128</v>
      </c>
      <c r="D162" s="10742" t="s">
        <v>129</v>
      </c>
      <c r="E162" s="10742" t="s">
        <v>157</v>
      </c>
      <c r="F162" s="10743" t="s">
        <v>131</v>
      </c>
      <c r="G162" s="10742" t="s">
        <v>132</v>
      </c>
      <c r="H162" s="10742" t="s">
        <v>159</v>
      </c>
      <c r="I162" s="10829" t="s">
        <v>4880</v>
      </c>
      <c r="J162" s="10832" t="s">
        <v>1378</v>
      </c>
      <c r="K162" s="10734" t="s">
        <v>1265</v>
      </c>
      <c r="L162" s="10737">
        <v>0</v>
      </c>
      <c r="M162" s="10759">
        <v>1</v>
      </c>
      <c r="N162" s="10737">
        <v>0</v>
      </c>
      <c r="O162" s="10734" t="s">
        <v>4881</v>
      </c>
      <c r="P162" s="10734" t="s">
        <v>4882</v>
      </c>
      <c r="Q162" s="10831" t="s">
        <v>4883</v>
      </c>
      <c r="R162" s="5178"/>
      <c r="S162" s="5218"/>
      <c r="T162" s="5218"/>
      <c r="U162" s="5256"/>
      <c r="V162" s="5284"/>
      <c r="W162" s="5305"/>
      <c r="X162" s="7481"/>
      <c r="Y162" s="7487"/>
      <c r="Z162" s="7487"/>
      <c r="AA162" s="7482"/>
      <c r="AB162" s="5327"/>
      <c r="AC162" s="1400"/>
      <c r="AD162" s="5305"/>
      <c r="AE162" s="5350"/>
      <c r="AF162" s="5350"/>
      <c r="AG162" s="10779"/>
      <c r="AH162" s="1758"/>
      <c r="AI162" s="1758"/>
      <c r="AJ162" s="1758"/>
      <c r="AK162" s="1758"/>
      <c r="AL162" s="1758"/>
      <c r="AM162" s="1758"/>
      <c r="AN162" s="1758"/>
      <c r="AO162" s="1758"/>
      <c r="AP162" s="1758"/>
      <c r="AQ162" s="1758"/>
      <c r="AR162" s="1758"/>
      <c r="AS162" s="1758"/>
      <c r="AT162" s="1758"/>
      <c r="AU162" s="1758"/>
      <c r="AV162" s="1758"/>
      <c r="AW162" s="1758"/>
      <c r="AX162" s="1758"/>
      <c r="AY162" s="1758"/>
      <c r="AZ162" s="1758"/>
      <c r="BA162" s="1758"/>
      <c r="BB162" s="1758"/>
      <c r="BC162" s="1758"/>
      <c r="BD162" s="1758"/>
      <c r="BE162" s="1758"/>
      <c r="BF162" s="1758"/>
      <c r="BG162" s="1758"/>
      <c r="BH162" s="1758"/>
      <c r="BI162" s="1758"/>
      <c r="BJ162" s="1758"/>
      <c r="BK162" s="1758"/>
      <c r="BL162" s="1758"/>
      <c r="BM162" s="1758"/>
      <c r="BN162" s="1758"/>
      <c r="BO162" s="1758"/>
      <c r="BP162" s="1758"/>
      <c r="BQ162" s="1758"/>
      <c r="BR162" s="1758"/>
      <c r="BS162" s="1758"/>
      <c r="BT162" s="1758"/>
      <c r="BU162" s="1758"/>
      <c r="BV162" s="1758"/>
      <c r="BW162" s="1758"/>
      <c r="BX162" s="1758"/>
      <c r="BY162" s="1758"/>
      <c r="BZ162" s="1758"/>
      <c r="CA162" s="1758"/>
      <c r="CB162" s="1758"/>
      <c r="CC162" s="1758"/>
      <c r="CD162" s="1758"/>
      <c r="CE162" s="1758"/>
      <c r="CF162" s="1758"/>
      <c r="CG162" s="1758"/>
      <c r="CH162" s="1758"/>
      <c r="CI162" s="1758"/>
      <c r="CJ162" s="1758"/>
      <c r="CK162" s="1758"/>
      <c r="CL162" s="1758"/>
      <c r="CM162" s="1758"/>
      <c r="CN162" s="1758"/>
      <c r="CO162" s="1758"/>
      <c r="CP162" s="1758"/>
      <c r="CQ162" s="1758"/>
      <c r="CR162" s="1758"/>
      <c r="CS162" s="1758"/>
      <c r="CT162" s="1758"/>
      <c r="CU162" s="1758"/>
      <c r="CV162" s="1758"/>
      <c r="CW162" s="1758"/>
      <c r="CX162" s="1758"/>
      <c r="CY162" s="1758"/>
      <c r="CZ162" s="1758"/>
      <c r="DA162" s="1758"/>
      <c r="DB162" s="1758"/>
      <c r="DC162" s="1758"/>
    </row>
    <row r="163" spans="1:107" s="1395" customFormat="1" ht="27.75" customHeight="1">
      <c r="A163" s="10827"/>
      <c r="B163" s="10731"/>
      <c r="C163" s="10728"/>
      <c r="D163" s="10728"/>
      <c r="E163" s="10728"/>
      <c r="F163" s="10744"/>
      <c r="G163" s="10728"/>
      <c r="H163" s="10728"/>
      <c r="I163" s="10830"/>
      <c r="J163" s="10801"/>
      <c r="K163" s="10735"/>
      <c r="L163" s="10738"/>
      <c r="M163" s="10759"/>
      <c r="N163" s="10738"/>
      <c r="O163" s="10735"/>
      <c r="P163" s="10735"/>
      <c r="Q163" s="10750"/>
      <c r="R163" s="5179"/>
      <c r="S163" s="5219"/>
      <c r="T163" s="5219"/>
      <c r="U163" s="5254"/>
      <c r="V163" s="5285"/>
      <c r="W163" s="5306"/>
      <c r="X163" s="7483"/>
      <c r="Y163" s="7473"/>
      <c r="Z163" s="7473"/>
      <c r="AA163" s="7484"/>
      <c r="AB163" s="5328"/>
      <c r="AC163" s="1401"/>
      <c r="AD163" s="5306"/>
      <c r="AE163" s="5346"/>
      <c r="AF163" s="5346"/>
      <c r="AG163" s="10777"/>
      <c r="AH163" s="1758"/>
      <c r="AI163" s="1758"/>
      <c r="AJ163" s="1758"/>
      <c r="AK163" s="1758"/>
      <c r="AL163" s="1758"/>
      <c r="AM163" s="1758"/>
      <c r="AN163" s="1758"/>
      <c r="AO163" s="1758"/>
      <c r="AP163" s="1758"/>
      <c r="AQ163" s="1758"/>
      <c r="AR163" s="1758"/>
      <c r="AS163" s="1758"/>
      <c r="AT163" s="1758"/>
      <c r="AU163" s="1758"/>
      <c r="AV163" s="1758"/>
      <c r="AW163" s="1758"/>
      <c r="AX163" s="1758"/>
      <c r="AY163" s="1758"/>
      <c r="AZ163" s="1758"/>
      <c r="BA163" s="1758"/>
      <c r="BB163" s="1758"/>
      <c r="BC163" s="1758"/>
      <c r="BD163" s="1758"/>
      <c r="BE163" s="1758"/>
      <c r="BF163" s="1758"/>
      <c r="BG163" s="1758"/>
      <c r="BH163" s="1758"/>
      <c r="BI163" s="1758"/>
      <c r="BJ163" s="1758"/>
      <c r="BK163" s="1758"/>
      <c r="BL163" s="1758"/>
      <c r="BM163" s="1758"/>
      <c r="BN163" s="1758"/>
      <c r="BO163" s="1758"/>
      <c r="BP163" s="1758"/>
      <c r="BQ163" s="1758"/>
      <c r="BR163" s="1758"/>
      <c r="BS163" s="1758"/>
      <c r="BT163" s="1758"/>
      <c r="BU163" s="1758"/>
      <c r="BV163" s="1758"/>
      <c r="BW163" s="1758"/>
      <c r="BX163" s="1758"/>
      <c r="BY163" s="1758"/>
      <c r="BZ163" s="1758"/>
      <c r="CA163" s="1758"/>
      <c r="CB163" s="1758"/>
      <c r="CC163" s="1758"/>
      <c r="CD163" s="1758"/>
      <c r="CE163" s="1758"/>
      <c r="CF163" s="1758"/>
      <c r="CG163" s="1758"/>
      <c r="CH163" s="1758"/>
      <c r="CI163" s="1758"/>
      <c r="CJ163" s="1758"/>
      <c r="CK163" s="1758"/>
      <c r="CL163" s="1758"/>
      <c r="CM163" s="1758"/>
      <c r="CN163" s="1758"/>
      <c r="CO163" s="1758"/>
      <c r="CP163" s="1758"/>
      <c r="CQ163" s="1758"/>
      <c r="CR163" s="1758"/>
      <c r="CS163" s="1758"/>
      <c r="CT163" s="1758"/>
      <c r="CU163" s="1758"/>
      <c r="CV163" s="1758"/>
      <c r="CW163" s="1758"/>
      <c r="CX163" s="1758"/>
      <c r="CY163" s="1758"/>
      <c r="CZ163" s="1758"/>
      <c r="DA163" s="1758"/>
      <c r="DB163" s="1758"/>
      <c r="DC163" s="1758"/>
    </row>
    <row r="164" spans="1:107" s="1395" customFormat="1" ht="27.75" customHeight="1">
      <c r="A164" s="10827"/>
      <c r="B164" s="10731"/>
      <c r="C164" s="10728"/>
      <c r="D164" s="10728"/>
      <c r="E164" s="10728"/>
      <c r="F164" s="10744"/>
      <c r="G164" s="10728"/>
      <c r="H164" s="10728"/>
      <c r="I164" s="10830"/>
      <c r="J164" s="10801"/>
      <c r="K164" s="10735"/>
      <c r="L164" s="10738"/>
      <c r="M164" s="10759"/>
      <c r="N164" s="10738"/>
      <c r="O164" s="10735"/>
      <c r="P164" s="10735"/>
      <c r="Q164" s="10750"/>
      <c r="R164" s="5176"/>
      <c r="S164" s="5216"/>
      <c r="T164" s="5216"/>
      <c r="U164" s="5254"/>
      <c r="V164" s="5285"/>
      <c r="W164" s="5306"/>
      <c r="X164" s="7483"/>
      <c r="Y164" s="7473"/>
      <c r="Z164" s="7473"/>
      <c r="AA164" s="7484"/>
      <c r="AB164" s="5328"/>
      <c r="AC164" s="1401"/>
      <c r="AD164" s="5306"/>
      <c r="AE164" s="5346"/>
      <c r="AF164" s="5346"/>
      <c r="AG164" s="10777"/>
      <c r="AH164" s="1758"/>
      <c r="AI164" s="1758"/>
      <c r="AJ164" s="1758"/>
      <c r="AK164" s="1758"/>
      <c r="AL164" s="1758"/>
      <c r="AM164" s="1758"/>
      <c r="AN164" s="1758"/>
      <c r="AO164" s="1758"/>
      <c r="AP164" s="1758"/>
      <c r="AQ164" s="1758"/>
      <c r="AR164" s="1758"/>
      <c r="AS164" s="1758"/>
      <c r="AT164" s="1758"/>
      <c r="AU164" s="1758"/>
      <c r="AV164" s="1758"/>
      <c r="AW164" s="1758"/>
      <c r="AX164" s="1758"/>
      <c r="AY164" s="1758"/>
      <c r="AZ164" s="1758"/>
      <c r="BA164" s="1758"/>
      <c r="BB164" s="1758"/>
      <c r="BC164" s="1758"/>
      <c r="BD164" s="1758"/>
      <c r="BE164" s="1758"/>
      <c r="BF164" s="1758"/>
      <c r="BG164" s="1758"/>
      <c r="BH164" s="1758"/>
      <c r="BI164" s="1758"/>
      <c r="BJ164" s="1758"/>
      <c r="BK164" s="1758"/>
      <c r="BL164" s="1758"/>
      <c r="BM164" s="1758"/>
      <c r="BN164" s="1758"/>
      <c r="BO164" s="1758"/>
      <c r="BP164" s="1758"/>
      <c r="BQ164" s="1758"/>
      <c r="BR164" s="1758"/>
      <c r="BS164" s="1758"/>
      <c r="BT164" s="1758"/>
      <c r="BU164" s="1758"/>
      <c r="BV164" s="1758"/>
      <c r="BW164" s="1758"/>
      <c r="BX164" s="1758"/>
      <c r="BY164" s="1758"/>
      <c r="BZ164" s="1758"/>
      <c r="CA164" s="1758"/>
      <c r="CB164" s="1758"/>
      <c r="CC164" s="1758"/>
      <c r="CD164" s="1758"/>
      <c r="CE164" s="1758"/>
      <c r="CF164" s="1758"/>
      <c r="CG164" s="1758"/>
      <c r="CH164" s="1758"/>
      <c r="CI164" s="1758"/>
      <c r="CJ164" s="1758"/>
      <c r="CK164" s="1758"/>
      <c r="CL164" s="1758"/>
      <c r="CM164" s="1758"/>
      <c r="CN164" s="1758"/>
      <c r="CO164" s="1758"/>
      <c r="CP164" s="1758"/>
      <c r="CQ164" s="1758"/>
      <c r="CR164" s="1758"/>
      <c r="CS164" s="1758"/>
      <c r="CT164" s="1758"/>
      <c r="CU164" s="1758"/>
      <c r="CV164" s="1758"/>
      <c r="CW164" s="1758"/>
      <c r="CX164" s="1758"/>
      <c r="CY164" s="1758"/>
      <c r="CZ164" s="1758"/>
      <c r="DA164" s="1758"/>
      <c r="DB164" s="1758"/>
      <c r="DC164" s="1758"/>
    </row>
    <row r="165" spans="1:107" s="1395" customFormat="1" ht="27.75" customHeight="1">
      <c r="A165" s="10827"/>
      <c r="B165" s="10731"/>
      <c r="C165" s="10728"/>
      <c r="D165" s="10728"/>
      <c r="E165" s="10728"/>
      <c r="F165" s="10744"/>
      <c r="G165" s="10728"/>
      <c r="H165" s="10728"/>
      <c r="I165" s="10830"/>
      <c r="J165" s="10801"/>
      <c r="K165" s="10735"/>
      <c r="L165" s="10738"/>
      <c r="M165" s="10759"/>
      <c r="N165" s="10738"/>
      <c r="O165" s="10735"/>
      <c r="P165" s="10735"/>
      <c r="Q165" s="10750"/>
      <c r="R165" s="5176"/>
      <c r="S165" s="5216"/>
      <c r="T165" s="5216"/>
      <c r="U165" s="5254"/>
      <c r="V165" s="5285"/>
      <c r="W165" s="5306"/>
      <c r="X165" s="7483"/>
      <c r="Y165" s="7473"/>
      <c r="Z165" s="7473"/>
      <c r="AA165" s="7484"/>
      <c r="AB165" s="5328"/>
      <c r="AC165" s="1401"/>
      <c r="AD165" s="5306"/>
      <c r="AE165" s="5346"/>
      <c r="AF165" s="5346"/>
      <c r="AG165" s="10777"/>
      <c r="AH165" s="1758"/>
      <c r="AI165" s="1758"/>
      <c r="AJ165" s="1758"/>
      <c r="AK165" s="1758"/>
      <c r="AL165" s="1758"/>
      <c r="AM165" s="1758"/>
      <c r="AN165" s="1758"/>
      <c r="AO165" s="1758"/>
      <c r="AP165" s="1758"/>
      <c r="AQ165" s="1758"/>
      <c r="AR165" s="1758"/>
      <c r="AS165" s="1758"/>
      <c r="AT165" s="1758"/>
      <c r="AU165" s="1758"/>
      <c r="AV165" s="1758"/>
      <c r="AW165" s="1758"/>
      <c r="AX165" s="1758"/>
      <c r="AY165" s="1758"/>
      <c r="AZ165" s="1758"/>
      <c r="BA165" s="1758"/>
      <c r="BB165" s="1758"/>
      <c r="BC165" s="1758"/>
      <c r="BD165" s="1758"/>
      <c r="BE165" s="1758"/>
      <c r="BF165" s="1758"/>
      <c r="BG165" s="1758"/>
      <c r="BH165" s="1758"/>
      <c r="BI165" s="1758"/>
      <c r="BJ165" s="1758"/>
      <c r="BK165" s="1758"/>
      <c r="BL165" s="1758"/>
      <c r="BM165" s="1758"/>
      <c r="BN165" s="1758"/>
      <c r="BO165" s="1758"/>
      <c r="BP165" s="1758"/>
      <c r="BQ165" s="1758"/>
      <c r="BR165" s="1758"/>
      <c r="BS165" s="1758"/>
      <c r="BT165" s="1758"/>
      <c r="BU165" s="1758"/>
      <c r="BV165" s="1758"/>
      <c r="BW165" s="1758"/>
      <c r="BX165" s="1758"/>
      <c r="BY165" s="1758"/>
      <c r="BZ165" s="1758"/>
      <c r="CA165" s="1758"/>
      <c r="CB165" s="1758"/>
      <c r="CC165" s="1758"/>
      <c r="CD165" s="1758"/>
      <c r="CE165" s="1758"/>
      <c r="CF165" s="1758"/>
      <c r="CG165" s="1758"/>
      <c r="CH165" s="1758"/>
      <c r="CI165" s="1758"/>
      <c r="CJ165" s="1758"/>
      <c r="CK165" s="1758"/>
      <c r="CL165" s="1758"/>
      <c r="CM165" s="1758"/>
      <c r="CN165" s="1758"/>
      <c r="CO165" s="1758"/>
      <c r="CP165" s="1758"/>
      <c r="CQ165" s="1758"/>
      <c r="CR165" s="1758"/>
      <c r="CS165" s="1758"/>
      <c r="CT165" s="1758"/>
      <c r="CU165" s="1758"/>
      <c r="CV165" s="1758"/>
      <c r="CW165" s="1758"/>
      <c r="CX165" s="1758"/>
      <c r="CY165" s="1758"/>
      <c r="CZ165" s="1758"/>
      <c r="DA165" s="1758"/>
      <c r="DB165" s="1758"/>
      <c r="DC165" s="1758"/>
    </row>
    <row r="166" spans="1:107" s="1395" customFormat="1" ht="27.75" customHeight="1">
      <c r="A166" s="10827"/>
      <c r="B166" s="10732"/>
      <c r="C166" s="10729"/>
      <c r="D166" s="10729"/>
      <c r="E166" s="10729"/>
      <c r="F166" s="10745"/>
      <c r="G166" s="10729"/>
      <c r="H166" s="10729"/>
      <c r="I166" s="10833"/>
      <c r="J166" s="10834"/>
      <c r="K166" s="10736"/>
      <c r="L166" s="10739"/>
      <c r="M166" s="10760"/>
      <c r="N166" s="10739"/>
      <c r="O166" s="10736"/>
      <c r="P166" s="10736"/>
      <c r="Q166" s="10751"/>
      <c r="R166" s="5177"/>
      <c r="S166" s="5217"/>
      <c r="T166" s="5217"/>
      <c r="U166" s="5255"/>
      <c r="V166" s="5286"/>
      <c r="W166" s="5307"/>
      <c r="X166" s="7485"/>
      <c r="Y166" s="7479"/>
      <c r="Z166" s="7479"/>
      <c r="AA166" s="7486"/>
      <c r="AB166" s="5329"/>
      <c r="AC166" s="1402"/>
      <c r="AD166" s="5307"/>
      <c r="AE166" s="5348"/>
      <c r="AF166" s="5348"/>
      <c r="AG166" s="10778"/>
      <c r="AH166" s="1758"/>
      <c r="AI166" s="1758"/>
      <c r="AJ166" s="1758"/>
      <c r="AK166" s="1758"/>
      <c r="AL166" s="1758"/>
      <c r="AM166" s="1758"/>
      <c r="AN166" s="1758"/>
      <c r="AO166" s="1758"/>
      <c r="AP166" s="1758"/>
      <c r="AQ166" s="1758"/>
      <c r="AR166" s="1758"/>
      <c r="AS166" s="1758"/>
      <c r="AT166" s="1758"/>
      <c r="AU166" s="1758"/>
      <c r="AV166" s="1758"/>
      <c r="AW166" s="1758"/>
      <c r="AX166" s="1758"/>
      <c r="AY166" s="1758"/>
      <c r="AZ166" s="1758"/>
      <c r="BA166" s="1758"/>
      <c r="BB166" s="1758"/>
      <c r="BC166" s="1758"/>
      <c r="BD166" s="1758"/>
      <c r="BE166" s="1758"/>
      <c r="BF166" s="1758"/>
      <c r="BG166" s="1758"/>
      <c r="BH166" s="1758"/>
      <c r="BI166" s="1758"/>
      <c r="BJ166" s="1758"/>
      <c r="BK166" s="1758"/>
      <c r="BL166" s="1758"/>
      <c r="BM166" s="1758"/>
      <c r="BN166" s="1758"/>
      <c r="BO166" s="1758"/>
      <c r="BP166" s="1758"/>
      <c r="BQ166" s="1758"/>
      <c r="BR166" s="1758"/>
      <c r="BS166" s="1758"/>
      <c r="BT166" s="1758"/>
      <c r="BU166" s="1758"/>
      <c r="BV166" s="1758"/>
      <c r="BW166" s="1758"/>
      <c r="BX166" s="1758"/>
      <c r="BY166" s="1758"/>
      <c r="BZ166" s="1758"/>
      <c r="CA166" s="1758"/>
      <c r="CB166" s="1758"/>
      <c r="CC166" s="1758"/>
      <c r="CD166" s="1758"/>
      <c r="CE166" s="1758"/>
      <c r="CF166" s="1758"/>
      <c r="CG166" s="1758"/>
      <c r="CH166" s="1758"/>
      <c r="CI166" s="1758"/>
      <c r="CJ166" s="1758"/>
      <c r="CK166" s="1758"/>
      <c r="CL166" s="1758"/>
      <c r="CM166" s="1758"/>
      <c r="CN166" s="1758"/>
      <c r="CO166" s="1758"/>
      <c r="CP166" s="1758"/>
      <c r="CQ166" s="1758"/>
      <c r="CR166" s="1758"/>
      <c r="CS166" s="1758"/>
      <c r="CT166" s="1758"/>
      <c r="CU166" s="1758"/>
      <c r="CV166" s="1758"/>
      <c r="CW166" s="1758"/>
      <c r="CX166" s="1758"/>
      <c r="CY166" s="1758"/>
      <c r="CZ166" s="1758"/>
      <c r="DA166" s="1758"/>
      <c r="DB166" s="1758"/>
      <c r="DC166" s="1758"/>
    </row>
    <row r="167" spans="1:107" s="6132" customFormat="1" ht="22.5" customHeight="1">
      <c r="A167" s="6242"/>
      <c r="B167" s="6127"/>
      <c r="C167" s="6127"/>
      <c r="D167" s="6127"/>
      <c r="E167" s="6127"/>
      <c r="F167" s="6127"/>
      <c r="G167" s="6127"/>
      <c r="H167" s="6127"/>
      <c r="I167" s="6127"/>
      <c r="J167" s="6127"/>
      <c r="K167" s="6127"/>
      <c r="L167" s="6128"/>
      <c r="M167" s="6128"/>
      <c r="N167" s="6128"/>
      <c r="O167" s="6127"/>
      <c r="P167" s="6127"/>
      <c r="Q167" s="6129"/>
      <c r="R167" s="5391" t="s">
        <v>4491</v>
      </c>
      <c r="S167" s="5393"/>
      <c r="T167" s="5393"/>
      <c r="U167" s="5392"/>
      <c r="V167" s="7464"/>
      <c r="W167" s="5392"/>
      <c r="X167" s="5393"/>
      <c r="Y167" s="5393"/>
      <c r="Z167" s="5394" t="s">
        <v>292</v>
      </c>
      <c r="AA167" s="7468">
        <f>SUM(AA75:AA166)</f>
        <v>64846.559199999996</v>
      </c>
      <c r="AB167" s="6130"/>
      <c r="AC167" s="6131"/>
      <c r="AD167" s="10789"/>
      <c r="AE167" s="10790"/>
      <c r="AF167" s="10790"/>
      <c r="AG167" s="10791"/>
    </row>
    <row r="168" spans="1:107" s="1001" customFormat="1" ht="42" customHeight="1">
      <c r="A168" s="10836" t="s">
        <v>4492</v>
      </c>
      <c r="B168" s="10839" t="s">
        <v>127</v>
      </c>
      <c r="C168" s="10841" t="s">
        <v>128</v>
      </c>
      <c r="D168" s="10841" t="s">
        <v>129</v>
      </c>
      <c r="E168" s="10841" t="s">
        <v>268</v>
      </c>
      <c r="F168" s="10843" t="s">
        <v>131</v>
      </c>
      <c r="G168" s="10841" t="s">
        <v>798</v>
      </c>
      <c r="H168" s="10841" t="s">
        <v>159</v>
      </c>
      <c r="I168" s="10841" t="s">
        <v>4884</v>
      </c>
      <c r="J168" s="10841" t="s">
        <v>4494</v>
      </c>
      <c r="K168" s="10841" t="s">
        <v>4885</v>
      </c>
      <c r="L168" s="10844">
        <v>1</v>
      </c>
      <c r="M168" s="10847">
        <v>0</v>
      </c>
      <c r="N168" s="10844">
        <v>1</v>
      </c>
      <c r="O168" s="10849" t="s">
        <v>4886</v>
      </c>
      <c r="P168" s="10841" t="s">
        <v>4887</v>
      </c>
      <c r="Q168" s="10850" t="s">
        <v>4888</v>
      </c>
      <c r="R168" s="5192"/>
      <c r="S168" s="4843"/>
      <c r="T168" s="4843"/>
      <c r="U168" s="5267"/>
      <c r="V168" s="4861"/>
      <c r="W168" s="43"/>
      <c r="X168" s="4896"/>
      <c r="Y168" s="4896"/>
      <c r="Z168" s="4896"/>
      <c r="AA168" s="4897"/>
      <c r="AB168" s="5336"/>
      <c r="AC168" s="1411"/>
      <c r="AD168" s="43"/>
      <c r="AE168" s="45"/>
      <c r="AF168" s="217"/>
      <c r="AG168" s="10851" t="s">
        <v>4889</v>
      </c>
    </row>
    <row r="169" spans="1:107" s="1001" customFormat="1" ht="42" customHeight="1">
      <c r="A169" s="10837"/>
      <c r="B169" s="10765"/>
      <c r="C169" s="10768"/>
      <c r="D169" s="10768"/>
      <c r="E169" s="10768"/>
      <c r="F169" s="10768"/>
      <c r="G169" s="10768"/>
      <c r="H169" s="10768"/>
      <c r="I169" s="10768"/>
      <c r="J169" s="10768"/>
      <c r="K169" s="10768"/>
      <c r="L169" s="10845"/>
      <c r="M169" s="10848"/>
      <c r="N169" s="10845"/>
      <c r="O169" s="10768"/>
      <c r="P169" s="10768"/>
      <c r="Q169" s="10798"/>
      <c r="R169" s="5193"/>
      <c r="S169" s="4853"/>
      <c r="T169" s="4853"/>
      <c r="U169" s="47"/>
      <c r="V169" s="4869"/>
      <c r="W169" s="48"/>
      <c r="X169" s="4910"/>
      <c r="Y169" s="4910"/>
      <c r="Z169" s="4910"/>
      <c r="AA169" s="4911"/>
      <c r="AB169" s="4880"/>
      <c r="AC169" s="1412"/>
      <c r="AD169" s="48"/>
      <c r="AE169" s="51"/>
      <c r="AF169" s="218"/>
      <c r="AG169" s="10794"/>
    </row>
    <row r="170" spans="1:107" s="1001" customFormat="1" ht="42" customHeight="1">
      <c r="A170" s="10837"/>
      <c r="B170" s="10765"/>
      <c r="C170" s="10768"/>
      <c r="D170" s="10768"/>
      <c r="E170" s="10768"/>
      <c r="F170" s="10768"/>
      <c r="G170" s="10768"/>
      <c r="H170" s="10768"/>
      <c r="I170" s="10768"/>
      <c r="J170" s="10768"/>
      <c r="K170" s="10768"/>
      <c r="L170" s="10845"/>
      <c r="M170" s="10848"/>
      <c r="N170" s="10845"/>
      <c r="O170" s="10768"/>
      <c r="P170" s="10768"/>
      <c r="Q170" s="10798"/>
      <c r="R170" s="5194"/>
      <c r="S170" s="4860"/>
      <c r="T170" s="4860"/>
      <c r="U170" s="52"/>
      <c r="V170" s="4872"/>
      <c r="W170" s="53"/>
      <c r="X170" s="4917"/>
      <c r="Y170" s="4910"/>
      <c r="Z170" s="4910"/>
      <c r="AA170" s="4911"/>
      <c r="AB170" s="4880"/>
      <c r="AC170" s="1412"/>
      <c r="AD170" s="48"/>
      <c r="AE170" s="51"/>
      <c r="AF170" s="218"/>
      <c r="AG170" s="10794"/>
    </row>
    <row r="171" spans="1:107" s="1001" customFormat="1" ht="42" customHeight="1">
      <c r="A171" s="10837"/>
      <c r="B171" s="10765"/>
      <c r="C171" s="10768"/>
      <c r="D171" s="10768"/>
      <c r="E171" s="10768"/>
      <c r="F171" s="10768"/>
      <c r="G171" s="10768"/>
      <c r="H171" s="10768"/>
      <c r="I171" s="10768"/>
      <c r="J171" s="10768"/>
      <c r="K171" s="10768"/>
      <c r="L171" s="10845"/>
      <c r="M171" s="10848"/>
      <c r="N171" s="10845"/>
      <c r="O171" s="10768"/>
      <c r="P171" s="10768"/>
      <c r="Q171" s="10798"/>
      <c r="R171" s="5195"/>
      <c r="S171" s="4849"/>
      <c r="T171" s="4849"/>
      <c r="U171" s="52"/>
      <c r="V171" s="4872"/>
      <c r="W171" s="53"/>
      <c r="X171" s="4917"/>
      <c r="Y171" s="4910"/>
      <c r="Z171" s="4910"/>
      <c r="AA171" s="4911"/>
      <c r="AB171" s="4880"/>
      <c r="AC171" s="1412"/>
      <c r="AD171" s="48"/>
      <c r="AE171" s="51"/>
      <c r="AF171" s="218"/>
      <c r="AG171" s="10794"/>
    </row>
    <row r="172" spans="1:107" s="1001" customFormat="1" ht="42" customHeight="1">
      <c r="A172" s="10837"/>
      <c r="B172" s="10840"/>
      <c r="C172" s="10842"/>
      <c r="D172" s="10842"/>
      <c r="E172" s="10842"/>
      <c r="F172" s="10842"/>
      <c r="G172" s="10842"/>
      <c r="H172" s="10842"/>
      <c r="I172" s="10842"/>
      <c r="J172" s="10842"/>
      <c r="K172" s="10842"/>
      <c r="L172" s="10846"/>
      <c r="M172" s="10848"/>
      <c r="N172" s="10846"/>
      <c r="O172" s="10842"/>
      <c r="P172" s="10842"/>
      <c r="Q172" s="10799"/>
      <c r="R172" s="5196"/>
      <c r="S172" s="4855"/>
      <c r="T172" s="4855"/>
      <c r="U172" s="71"/>
      <c r="V172" s="4871"/>
      <c r="W172" s="64"/>
      <c r="X172" s="4914"/>
      <c r="Y172" s="4914"/>
      <c r="Z172" s="4914"/>
      <c r="AA172" s="4916"/>
      <c r="AB172" s="4882"/>
      <c r="AC172" s="1413"/>
      <c r="AD172" s="64"/>
      <c r="AE172" s="65"/>
      <c r="AF172" s="219"/>
      <c r="AG172" s="10795"/>
    </row>
    <row r="173" spans="1:107" s="1001" customFormat="1" ht="30" customHeight="1">
      <c r="A173" s="10837"/>
      <c r="B173" s="10764" t="s">
        <v>127</v>
      </c>
      <c r="C173" s="10767" t="s">
        <v>128</v>
      </c>
      <c r="D173" s="10767" t="s">
        <v>129</v>
      </c>
      <c r="E173" s="10767" t="s">
        <v>268</v>
      </c>
      <c r="F173" s="10770" t="s">
        <v>131</v>
      </c>
      <c r="G173" s="10767" t="s">
        <v>132</v>
      </c>
      <c r="H173" s="10767" t="s">
        <v>159</v>
      </c>
      <c r="I173" s="10767" t="s">
        <v>4890</v>
      </c>
      <c r="J173" s="10767" t="s">
        <v>4500</v>
      </c>
      <c r="K173" s="10767" t="s">
        <v>4891</v>
      </c>
      <c r="L173" s="10852">
        <v>35</v>
      </c>
      <c r="M173" s="10854">
        <v>0</v>
      </c>
      <c r="N173" s="10852">
        <v>35</v>
      </c>
      <c r="O173" s="10767" t="s">
        <v>4892</v>
      </c>
      <c r="P173" s="10767" t="s">
        <v>4893</v>
      </c>
      <c r="Q173" s="10856" t="s">
        <v>4894</v>
      </c>
      <c r="R173" s="8407" t="s">
        <v>4831</v>
      </c>
      <c r="S173" s="8261">
        <v>840107</v>
      </c>
      <c r="T173" s="8270"/>
      <c r="U173" s="8263" t="s">
        <v>40</v>
      </c>
      <c r="V173" s="8264"/>
      <c r="W173" s="8265"/>
      <c r="X173" s="8266"/>
      <c r="Y173" s="8266"/>
      <c r="Z173" s="8266"/>
      <c r="AA173" s="8267">
        <f>+Z174+Z175</f>
        <v>860</v>
      </c>
      <c r="AB173" s="8268" t="s">
        <v>18</v>
      </c>
      <c r="AC173" s="1414"/>
      <c r="AD173" s="53"/>
      <c r="AE173" s="73"/>
      <c r="AF173" s="435"/>
      <c r="AG173" s="9878"/>
    </row>
    <row r="174" spans="1:107" s="1001" customFormat="1" ht="30" customHeight="1">
      <c r="A174" s="10837"/>
      <c r="B174" s="10765"/>
      <c r="C174" s="10768"/>
      <c r="D174" s="10768"/>
      <c r="E174" s="10768"/>
      <c r="F174" s="10768"/>
      <c r="G174" s="10768"/>
      <c r="H174" s="10768"/>
      <c r="I174" s="10768"/>
      <c r="J174" s="10768"/>
      <c r="K174" s="10768"/>
      <c r="L174" s="10845"/>
      <c r="M174" s="10848"/>
      <c r="N174" s="10845"/>
      <c r="O174" s="10768"/>
      <c r="P174" s="10768"/>
      <c r="Q174" s="10798"/>
      <c r="R174" s="5193"/>
      <c r="S174" s="4853"/>
      <c r="T174" s="4853"/>
      <c r="U174" s="8408" t="s">
        <v>4895</v>
      </c>
      <c r="V174" s="8097">
        <v>2</v>
      </c>
      <c r="W174" s="8098" t="s">
        <v>180</v>
      </c>
      <c r="X174" s="7981">
        <v>430</v>
      </c>
      <c r="Y174" s="7981">
        <f>X174*V174</f>
        <v>860</v>
      </c>
      <c r="Z174" s="7981">
        <f>Y174</f>
        <v>860</v>
      </c>
      <c r="AA174" s="4911"/>
      <c r="AB174" s="4880"/>
      <c r="AC174" s="1412"/>
      <c r="AD174" s="48"/>
      <c r="AE174" s="51"/>
      <c r="AF174" s="218" t="s">
        <v>153</v>
      </c>
      <c r="AG174" s="10794"/>
    </row>
    <row r="175" spans="1:107" s="1001" customFormat="1" ht="30" customHeight="1">
      <c r="A175" s="10837"/>
      <c r="B175" s="10765"/>
      <c r="C175" s="10768"/>
      <c r="D175" s="10768"/>
      <c r="E175" s="10768"/>
      <c r="F175" s="10768"/>
      <c r="G175" s="10768"/>
      <c r="H175" s="10768"/>
      <c r="I175" s="10768"/>
      <c r="J175" s="10768"/>
      <c r="K175" s="10768"/>
      <c r="L175" s="10845"/>
      <c r="M175" s="10848"/>
      <c r="N175" s="10845"/>
      <c r="O175" s="10768"/>
      <c r="P175" s="10768"/>
      <c r="Q175" s="10798"/>
      <c r="R175" s="5194"/>
      <c r="S175" s="4860"/>
      <c r="T175" s="4860"/>
      <c r="U175" s="52"/>
      <c r="V175" s="4872"/>
      <c r="W175" s="53"/>
      <c r="X175" s="4917"/>
      <c r="Y175" s="4910"/>
      <c r="Z175" s="4910"/>
      <c r="AA175" s="4911"/>
      <c r="AB175" s="4880"/>
      <c r="AC175" s="1412"/>
      <c r="AD175" s="48"/>
      <c r="AE175" s="51"/>
      <c r="AF175" s="218"/>
      <c r="AG175" s="10794"/>
    </row>
    <row r="176" spans="1:107" s="1001" customFormat="1" ht="30" customHeight="1">
      <c r="A176" s="10837"/>
      <c r="B176" s="10765"/>
      <c r="C176" s="10768"/>
      <c r="D176" s="10768"/>
      <c r="E176" s="10768"/>
      <c r="F176" s="10768"/>
      <c r="G176" s="10768"/>
      <c r="H176" s="10768"/>
      <c r="I176" s="10768"/>
      <c r="J176" s="10768"/>
      <c r="K176" s="10768"/>
      <c r="L176" s="10845"/>
      <c r="M176" s="10848"/>
      <c r="N176" s="10845"/>
      <c r="O176" s="10768"/>
      <c r="P176" s="10768"/>
      <c r="Q176" s="10798"/>
      <c r="R176" s="5195"/>
      <c r="S176" s="4849"/>
      <c r="T176" s="4849"/>
      <c r="U176" s="52"/>
      <c r="V176" s="4872"/>
      <c r="W176" s="53"/>
      <c r="X176" s="4917"/>
      <c r="Y176" s="4910"/>
      <c r="Z176" s="4910"/>
      <c r="AA176" s="4911"/>
      <c r="AB176" s="4880"/>
      <c r="AC176" s="1412"/>
      <c r="AD176" s="48"/>
      <c r="AE176" s="51"/>
      <c r="AF176" s="218"/>
      <c r="AG176" s="10794"/>
    </row>
    <row r="177" spans="1:33" s="1001" customFormat="1" ht="30" customHeight="1">
      <c r="A177" s="10837"/>
      <c r="B177" s="10766"/>
      <c r="C177" s="10769"/>
      <c r="D177" s="10769"/>
      <c r="E177" s="10769"/>
      <c r="F177" s="10769"/>
      <c r="G177" s="10769"/>
      <c r="H177" s="10769"/>
      <c r="I177" s="10769"/>
      <c r="J177" s="10769"/>
      <c r="K177" s="10769"/>
      <c r="L177" s="10853"/>
      <c r="M177" s="10855"/>
      <c r="N177" s="10853"/>
      <c r="O177" s="10769"/>
      <c r="P177" s="10769"/>
      <c r="Q177" s="10857"/>
      <c r="R177" s="5196"/>
      <c r="S177" s="4855"/>
      <c r="T177" s="4855"/>
      <c r="U177" s="71"/>
      <c r="V177" s="4871"/>
      <c r="W177" s="64"/>
      <c r="X177" s="4914"/>
      <c r="Y177" s="4914"/>
      <c r="Z177" s="4914"/>
      <c r="AA177" s="4916"/>
      <c r="AB177" s="4882"/>
      <c r="AC177" s="1413"/>
      <c r="AD177" s="64"/>
      <c r="AE177" s="65"/>
      <c r="AF177" s="219"/>
      <c r="AG177" s="10795"/>
    </row>
    <row r="178" spans="1:33" s="1001" customFormat="1" ht="35.25" customHeight="1">
      <c r="A178" s="10837"/>
      <c r="B178" s="10858" t="s">
        <v>127</v>
      </c>
      <c r="C178" s="10859" t="s">
        <v>128</v>
      </c>
      <c r="D178" s="10859" t="s">
        <v>129</v>
      </c>
      <c r="E178" s="10859" t="s">
        <v>268</v>
      </c>
      <c r="F178" s="10860" t="s">
        <v>131</v>
      </c>
      <c r="G178" s="10859" t="s">
        <v>132</v>
      </c>
      <c r="H178" s="10859" t="s">
        <v>159</v>
      </c>
      <c r="I178" s="10859" t="s">
        <v>4896</v>
      </c>
      <c r="J178" s="10859" t="s">
        <v>4505</v>
      </c>
      <c r="K178" s="10859" t="s">
        <v>4897</v>
      </c>
      <c r="L178" s="10861">
        <v>15</v>
      </c>
      <c r="M178" s="10848">
        <v>0</v>
      </c>
      <c r="N178" s="10861">
        <v>15</v>
      </c>
      <c r="O178" s="10859" t="s">
        <v>4898</v>
      </c>
      <c r="P178" s="10859" t="s">
        <v>4899</v>
      </c>
      <c r="Q178" s="10797" t="s">
        <v>4900</v>
      </c>
      <c r="R178" s="5195"/>
      <c r="S178" s="4849"/>
      <c r="T178" s="4849"/>
      <c r="U178" s="66"/>
      <c r="V178" s="4872"/>
      <c r="W178" s="53"/>
      <c r="X178" s="4917"/>
      <c r="Y178" s="4917"/>
      <c r="Z178" s="4917"/>
      <c r="AA178" s="4918"/>
      <c r="AB178" s="4875"/>
      <c r="AC178" s="1414"/>
      <c r="AD178" s="53"/>
      <c r="AE178" s="73"/>
      <c r="AF178" s="435"/>
      <c r="AG178" s="10862" t="s">
        <v>4889</v>
      </c>
    </row>
    <row r="179" spans="1:33" s="1001" customFormat="1" ht="35.25" customHeight="1">
      <c r="A179" s="10837"/>
      <c r="B179" s="10765"/>
      <c r="C179" s="10768"/>
      <c r="D179" s="10768"/>
      <c r="E179" s="10768"/>
      <c r="F179" s="10768"/>
      <c r="G179" s="10768"/>
      <c r="H179" s="10768"/>
      <c r="I179" s="10768"/>
      <c r="J179" s="10768"/>
      <c r="K179" s="10768"/>
      <c r="L179" s="10845"/>
      <c r="M179" s="10848"/>
      <c r="N179" s="10845"/>
      <c r="O179" s="10768"/>
      <c r="P179" s="10768"/>
      <c r="Q179" s="10798"/>
      <c r="R179" s="5193"/>
      <c r="S179" s="4853"/>
      <c r="T179" s="4853"/>
      <c r="U179" s="47"/>
      <c r="V179" s="4869"/>
      <c r="W179" s="48"/>
      <c r="X179" s="4910"/>
      <c r="Y179" s="4910"/>
      <c r="Z179" s="4910"/>
      <c r="AA179" s="4911"/>
      <c r="AB179" s="4880"/>
      <c r="AC179" s="1412"/>
      <c r="AD179" s="48"/>
      <c r="AE179" s="51"/>
      <c r="AF179" s="218"/>
      <c r="AG179" s="10794"/>
    </row>
    <row r="180" spans="1:33" s="1001" customFormat="1" ht="35.25" customHeight="1">
      <c r="A180" s="10837"/>
      <c r="B180" s="10765"/>
      <c r="C180" s="10768"/>
      <c r="D180" s="10768"/>
      <c r="E180" s="10768"/>
      <c r="F180" s="10768"/>
      <c r="G180" s="10768"/>
      <c r="H180" s="10768"/>
      <c r="I180" s="10768"/>
      <c r="J180" s="10768"/>
      <c r="K180" s="10768"/>
      <c r="L180" s="10845"/>
      <c r="M180" s="10848"/>
      <c r="N180" s="10845"/>
      <c r="O180" s="10768"/>
      <c r="P180" s="10768"/>
      <c r="Q180" s="10798"/>
      <c r="R180" s="5194"/>
      <c r="S180" s="4860"/>
      <c r="T180" s="4860"/>
      <c r="U180" s="52"/>
      <c r="V180" s="4872"/>
      <c r="W180" s="53"/>
      <c r="X180" s="4917"/>
      <c r="Y180" s="4910"/>
      <c r="Z180" s="4910"/>
      <c r="AA180" s="4911"/>
      <c r="AB180" s="4880"/>
      <c r="AC180" s="1412"/>
      <c r="AD180" s="48"/>
      <c r="AE180" s="51"/>
      <c r="AF180" s="218"/>
      <c r="AG180" s="10794"/>
    </row>
    <row r="181" spans="1:33" s="1001" customFormat="1" ht="35.25" customHeight="1">
      <c r="A181" s="10837"/>
      <c r="B181" s="10765"/>
      <c r="C181" s="10768"/>
      <c r="D181" s="10768"/>
      <c r="E181" s="10768"/>
      <c r="F181" s="10768"/>
      <c r="G181" s="10768"/>
      <c r="H181" s="10768"/>
      <c r="I181" s="10768"/>
      <c r="J181" s="10768"/>
      <c r="K181" s="10768"/>
      <c r="L181" s="10845"/>
      <c r="M181" s="10848"/>
      <c r="N181" s="10845"/>
      <c r="O181" s="10768"/>
      <c r="P181" s="10768"/>
      <c r="Q181" s="10798"/>
      <c r="R181" s="5195"/>
      <c r="S181" s="4849"/>
      <c r="T181" s="4849"/>
      <c r="U181" s="52"/>
      <c r="V181" s="4872"/>
      <c r="W181" s="53"/>
      <c r="X181" s="4917"/>
      <c r="Y181" s="4910"/>
      <c r="Z181" s="4910"/>
      <c r="AA181" s="4911"/>
      <c r="AB181" s="4880"/>
      <c r="AC181" s="1412"/>
      <c r="AD181" s="48"/>
      <c r="AE181" s="51"/>
      <c r="AF181" s="218"/>
      <c r="AG181" s="10794"/>
    </row>
    <row r="182" spans="1:33" s="1001" customFormat="1" ht="35.25" customHeight="1">
      <c r="A182" s="10837"/>
      <c r="B182" s="10840"/>
      <c r="C182" s="10842"/>
      <c r="D182" s="10842"/>
      <c r="E182" s="10842"/>
      <c r="F182" s="10842"/>
      <c r="G182" s="10842"/>
      <c r="H182" s="10842"/>
      <c r="I182" s="10842"/>
      <c r="J182" s="10842"/>
      <c r="K182" s="10842"/>
      <c r="L182" s="10846"/>
      <c r="M182" s="10848"/>
      <c r="N182" s="10846"/>
      <c r="O182" s="10842"/>
      <c r="P182" s="10842"/>
      <c r="Q182" s="10799"/>
      <c r="R182" s="5196"/>
      <c r="S182" s="4855"/>
      <c r="T182" s="4855"/>
      <c r="U182" s="71"/>
      <c r="V182" s="4871"/>
      <c r="W182" s="64"/>
      <c r="X182" s="4914"/>
      <c r="Y182" s="4914"/>
      <c r="Z182" s="4914"/>
      <c r="AA182" s="4916"/>
      <c r="AB182" s="4882"/>
      <c r="AC182" s="1413"/>
      <c r="AD182" s="64"/>
      <c r="AE182" s="65"/>
      <c r="AF182" s="219"/>
      <c r="AG182" s="10795"/>
    </row>
    <row r="183" spans="1:33" s="1001" customFormat="1" ht="26.25" customHeight="1">
      <c r="A183" s="10837"/>
      <c r="B183" s="10764" t="s">
        <v>127</v>
      </c>
      <c r="C183" s="10767" t="s">
        <v>128</v>
      </c>
      <c r="D183" s="10767" t="s">
        <v>129</v>
      </c>
      <c r="E183" s="10767" t="s">
        <v>268</v>
      </c>
      <c r="F183" s="10770" t="s">
        <v>131</v>
      </c>
      <c r="G183" s="10767" t="s">
        <v>132</v>
      </c>
      <c r="H183" s="10767" t="s">
        <v>159</v>
      </c>
      <c r="I183" s="10771" t="s">
        <v>4901</v>
      </c>
      <c r="J183" s="10767" t="s">
        <v>4511</v>
      </c>
      <c r="K183" s="10771" t="s">
        <v>4901</v>
      </c>
      <c r="L183" s="10866" t="s">
        <v>4901</v>
      </c>
      <c r="M183" s="10866" t="s">
        <v>4901</v>
      </c>
      <c r="N183" s="10866" t="s">
        <v>4901</v>
      </c>
      <c r="O183" s="10771" t="s">
        <v>4901</v>
      </c>
      <c r="P183" s="10771" t="s">
        <v>4901</v>
      </c>
      <c r="Q183" s="10863" t="s">
        <v>4901</v>
      </c>
      <c r="R183" s="5195"/>
      <c r="S183" s="4849"/>
      <c r="T183" s="4849"/>
      <c r="U183" s="66"/>
      <c r="V183" s="4872"/>
      <c r="W183" s="53"/>
      <c r="X183" s="4917"/>
      <c r="Y183" s="4917"/>
      <c r="Z183" s="4917"/>
      <c r="AA183" s="4918"/>
      <c r="AB183" s="4875"/>
      <c r="AC183" s="1414"/>
      <c r="AD183" s="53"/>
      <c r="AE183" s="73"/>
      <c r="AF183" s="435"/>
      <c r="AG183" s="9885" t="s">
        <v>4902</v>
      </c>
    </row>
    <row r="184" spans="1:33" s="1001" customFormat="1" ht="26.25" customHeight="1">
      <c r="A184" s="10837"/>
      <c r="B184" s="10765"/>
      <c r="C184" s="10768"/>
      <c r="D184" s="10768"/>
      <c r="E184" s="10768"/>
      <c r="F184" s="10768"/>
      <c r="G184" s="10768"/>
      <c r="H184" s="10768"/>
      <c r="I184" s="10772"/>
      <c r="J184" s="10768"/>
      <c r="K184" s="10772"/>
      <c r="L184" s="10867"/>
      <c r="M184" s="10867"/>
      <c r="N184" s="10867"/>
      <c r="O184" s="10772"/>
      <c r="P184" s="10772"/>
      <c r="Q184" s="10864"/>
      <c r="R184" s="5193"/>
      <c r="S184" s="4853"/>
      <c r="T184" s="4853"/>
      <c r="U184" s="47"/>
      <c r="V184" s="4869"/>
      <c r="W184" s="48"/>
      <c r="X184" s="4910"/>
      <c r="Y184" s="4910"/>
      <c r="Z184" s="4910"/>
      <c r="AA184" s="4911"/>
      <c r="AB184" s="4880"/>
      <c r="AC184" s="1412"/>
      <c r="AD184" s="48"/>
      <c r="AE184" s="51"/>
      <c r="AF184" s="218"/>
      <c r="AG184" s="10794"/>
    </row>
    <row r="185" spans="1:33" s="1001" customFormat="1" ht="26.25" customHeight="1">
      <c r="A185" s="10837"/>
      <c r="B185" s="10765"/>
      <c r="C185" s="10768"/>
      <c r="D185" s="10768"/>
      <c r="E185" s="10768"/>
      <c r="F185" s="10768"/>
      <c r="G185" s="10768"/>
      <c r="H185" s="10768"/>
      <c r="I185" s="10772"/>
      <c r="J185" s="10768"/>
      <c r="K185" s="10772"/>
      <c r="L185" s="10867"/>
      <c r="M185" s="10867"/>
      <c r="N185" s="10867"/>
      <c r="O185" s="10772"/>
      <c r="P185" s="10772"/>
      <c r="Q185" s="10864"/>
      <c r="R185" s="5194"/>
      <c r="S185" s="4860"/>
      <c r="T185" s="4860"/>
      <c r="U185" s="52"/>
      <c r="V185" s="4872"/>
      <c r="W185" s="53"/>
      <c r="X185" s="4917"/>
      <c r="Y185" s="4910"/>
      <c r="Z185" s="4910"/>
      <c r="AA185" s="4911"/>
      <c r="AB185" s="4880"/>
      <c r="AC185" s="1412"/>
      <c r="AD185" s="48"/>
      <c r="AE185" s="51"/>
      <c r="AF185" s="218"/>
      <c r="AG185" s="10794"/>
    </row>
    <row r="186" spans="1:33" s="1001" customFormat="1" ht="26.25" customHeight="1">
      <c r="A186" s="10837"/>
      <c r="B186" s="10765"/>
      <c r="C186" s="10768"/>
      <c r="D186" s="10768"/>
      <c r="E186" s="10768"/>
      <c r="F186" s="10768"/>
      <c r="G186" s="10768"/>
      <c r="H186" s="10768"/>
      <c r="I186" s="10772"/>
      <c r="J186" s="10768"/>
      <c r="K186" s="10772"/>
      <c r="L186" s="10867"/>
      <c r="M186" s="10867"/>
      <c r="N186" s="10867"/>
      <c r="O186" s="10772"/>
      <c r="P186" s="10772"/>
      <c r="Q186" s="10864"/>
      <c r="R186" s="5195"/>
      <c r="S186" s="4849"/>
      <c r="T186" s="4849"/>
      <c r="U186" s="52"/>
      <c r="V186" s="4872"/>
      <c r="W186" s="53"/>
      <c r="X186" s="4917"/>
      <c r="Y186" s="4910"/>
      <c r="Z186" s="4910"/>
      <c r="AA186" s="4911"/>
      <c r="AB186" s="4880"/>
      <c r="AC186" s="1412"/>
      <c r="AD186" s="48"/>
      <c r="AE186" s="51"/>
      <c r="AF186" s="218"/>
      <c r="AG186" s="10794"/>
    </row>
    <row r="187" spans="1:33" s="1001" customFormat="1" ht="26.25" customHeight="1">
      <c r="A187" s="10837"/>
      <c r="B187" s="10766"/>
      <c r="C187" s="10769"/>
      <c r="D187" s="10769"/>
      <c r="E187" s="10769"/>
      <c r="F187" s="10769"/>
      <c r="G187" s="10769"/>
      <c r="H187" s="10769"/>
      <c r="I187" s="10773"/>
      <c r="J187" s="10769"/>
      <c r="K187" s="10773"/>
      <c r="L187" s="10868"/>
      <c r="M187" s="10868"/>
      <c r="N187" s="10868"/>
      <c r="O187" s="10773"/>
      <c r="P187" s="10773"/>
      <c r="Q187" s="10865"/>
      <c r="R187" s="5196"/>
      <c r="S187" s="4855"/>
      <c r="T187" s="4855"/>
      <c r="U187" s="71"/>
      <c r="V187" s="4871"/>
      <c r="W187" s="64"/>
      <c r="X187" s="4914"/>
      <c r="Y187" s="4914"/>
      <c r="Z187" s="4914"/>
      <c r="AA187" s="4916"/>
      <c r="AB187" s="4882"/>
      <c r="AC187" s="1413"/>
      <c r="AD187" s="64"/>
      <c r="AE187" s="65"/>
      <c r="AF187" s="219"/>
      <c r="AG187" s="10795"/>
    </row>
    <row r="188" spans="1:33" s="1001" customFormat="1" ht="33" customHeight="1">
      <c r="A188" s="10837"/>
      <c r="B188" s="10858" t="s">
        <v>127</v>
      </c>
      <c r="C188" s="10859" t="s">
        <v>128</v>
      </c>
      <c r="D188" s="10859" t="s">
        <v>129</v>
      </c>
      <c r="E188" s="10859" t="s">
        <v>268</v>
      </c>
      <c r="F188" s="10860" t="s">
        <v>131</v>
      </c>
      <c r="G188" s="10859" t="s">
        <v>132</v>
      </c>
      <c r="H188" s="10859" t="s">
        <v>159</v>
      </c>
      <c r="I188" s="10859" t="s">
        <v>4903</v>
      </c>
      <c r="J188" s="10859" t="s">
        <v>4517</v>
      </c>
      <c r="K188" s="10859" t="s">
        <v>4904</v>
      </c>
      <c r="L188" s="10861">
        <v>10</v>
      </c>
      <c r="M188" s="10861">
        <v>10</v>
      </c>
      <c r="N188" s="10861">
        <v>10</v>
      </c>
      <c r="O188" s="10859" t="s">
        <v>4905</v>
      </c>
      <c r="P188" s="10859" t="s">
        <v>4906</v>
      </c>
      <c r="Q188" s="10797" t="s">
        <v>4907</v>
      </c>
      <c r="R188" s="5195"/>
      <c r="S188" s="4849"/>
      <c r="T188" s="4849"/>
      <c r="U188" s="66"/>
      <c r="V188" s="4872"/>
      <c r="W188" s="53"/>
      <c r="X188" s="4917"/>
      <c r="Y188" s="4917"/>
      <c r="Z188" s="4917"/>
      <c r="AA188" s="4918"/>
      <c r="AB188" s="4875"/>
      <c r="AC188" s="1414"/>
      <c r="AD188" s="53"/>
      <c r="AE188" s="68"/>
      <c r="AF188" s="5362"/>
      <c r="AG188" s="9885" t="s">
        <v>4908</v>
      </c>
    </row>
    <row r="189" spans="1:33" s="1001" customFormat="1" ht="33" customHeight="1">
      <c r="A189" s="10837"/>
      <c r="B189" s="10765"/>
      <c r="C189" s="10768"/>
      <c r="D189" s="10768"/>
      <c r="E189" s="10768"/>
      <c r="F189" s="10768"/>
      <c r="G189" s="10768"/>
      <c r="H189" s="10768"/>
      <c r="I189" s="10768"/>
      <c r="J189" s="10768"/>
      <c r="K189" s="10768"/>
      <c r="L189" s="10845"/>
      <c r="M189" s="10845"/>
      <c r="N189" s="10845"/>
      <c r="O189" s="10768"/>
      <c r="P189" s="10768"/>
      <c r="Q189" s="10798"/>
      <c r="R189" s="5193"/>
      <c r="S189" s="4853"/>
      <c r="T189" s="4853"/>
      <c r="U189" s="47"/>
      <c r="V189" s="4869"/>
      <c r="W189" s="48"/>
      <c r="X189" s="4910"/>
      <c r="Y189" s="4910"/>
      <c r="Z189" s="4910"/>
      <c r="AA189" s="4911"/>
      <c r="AB189" s="4880"/>
      <c r="AC189" s="1412"/>
      <c r="AD189" s="48"/>
      <c r="AE189" s="48"/>
      <c r="AF189" s="5363"/>
      <c r="AG189" s="10794"/>
    </row>
    <row r="190" spans="1:33" s="1001" customFormat="1" ht="33" customHeight="1">
      <c r="A190" s="10838"/>
      <c r="B190" s="10765"/>
      <c r="C190" s="10768"/>
      <c r="D190" s="10768"/>
      <c r="E190" s="10768"/>
      <c r="F190" s="10768"/>
      <c r="G190" s="10768"/>
      <c r="H190" s="10768"/>
      <c r="I190" s="10768"/>
      <c r="J190" s="10768"/>
      <c r="K190" s="10768"/>
      <c r="L190" s="10845"/>
      <c r="M190" s="10845"/>
      <c r="N190" s="10845"/>
      <c r="O190" s="10768"/>
      <c r="P190" s="10768"/>
      <c r="Q190" s="10798"/>
      <c r="R190" s="5193"/>
      <c r="S190" s="4853"/>
      <c r="T190" s="4853"/>
      <c r="U190" s="47"/>
      <c r="V190" s="4869"/>
      <c r="W190" s="48"/>
      <c r="X190" s="4910"/>
      <c r="Y190" s="4910"/>
      <c r="Z190" s="4910"/>
      <c r="AA190" s="4911"/>
      <c r="AB190" s="4880"/>
      <c r="AC190" s="1412"/>
      <c r="AD190" s="48"/>
      <c r="AE190" s="48"/>
      <c r="AF190" s="218"/>
      <c r="AG190" s="10794"/>
    </row>
    <row r="191" spans="1:33" s="1001" customFormat="1" ht="33" customHeight="1">
      <c r="A191" s="10869" t="s">
        <v>4492</v>
      </c>
      <c r="B191" s="10765"/>
      <c r="C191" s="10768"/>
      <c r="D191" s="10768"/>
      <c r="E191" s="10768"/>
      <c r="F191" s="10768"/>
      <c r="G191" s="10768"/>
      <c r="H191" s="10768"/>
      <c r="I191" s="10768"/>
      <c r="J191" s="10768"/>
      <c r="K191" s="10768"/>
      <c r="L191" s="10845"/>
      <c r="M191" s="10845"/>
      <c r="N191" s="10845"/>
      <c r="O191" s="10768"/>
      <c r="P191" s="10768"/>
      <c r="Q191" s="10798"/>
      <c r="R191" s="5193"/>
      <c r="S191" s="4853"/>
      <c r="T191" s="4853"/>
      <c r="U191" s="47"/>
      <c r="V191" s="4869"/>
      <c r="W191" s="48"/>
      <c r="X191" s="4910"/>
      <c r="Y191" s="4910"/>
      <c r="Z191" s="4910"/>
      <c r="AA191" s="4911"/>
      <c r="AB191" s="4880"/>
      <c r="AC191" s="1412"/>
      <c r="AD191" s="48"/>
      <c r="AE191" s="48"/>
      <c r="AF191" s="218"/>
      <c r="AG191" s="10794"/>
    </row>
    <row r="192" spans="1:33" s="1001" customFormat="1" ht="33" customHeight="1">
      <c r="A192" s="10837"/>
      <c r="B192" s="10840"/>
      <c r="C192" s="10842"/>
      <c r="D192" s="10842"/>
      <c r="E192" s="10842"/>
      <c r="F192" s="10842"/>
      <c r="G192" s="10842"/>
      <c r="H192" s="10842"/>
      <c r="I192" s="10842"/>
      <c r="J192" s="10842"/>
      <c r="K192" s="10842"/>
      <c r="L192" s="10846"/>
      <c r="M192" s="10846"/>
      <c r="N192" s="10846"/>
      <c r="O192" s="10842"/>
      <c r="P192" s="10842"/>
      <c r="Q192" s="10799"/>
      <c r="R192" s="5196"/>
      <c r="S192" s="4855"/>
      <c r="T192" s="4855"/>
      <c r="U192" s="71"/>
      <c r="V192" s="4871"/>
      <c r="W192" s="64"/>
      <c r="X192" s="4914"/>
      <c r="Y192" s="4914"/>
      <c r="Z192" s="4914"/>
      <c r="AA192" s="4916"/>
      <c r="AB192" s="4882"/>
      <c r="AC192" s="1413"/>
      <c r="AD192" s="64"/>
      <c r="AE192" s="64"/>
      <c r="AF192" s="219"/>
      <c r="AG192" s="10795"/>
    </row>
    <row r="193" spans="1:33" s="1001" customFormat="1" ht="48" customHeight="1">
      <c r="A193" s="10837"/>
      <c r="B193" s="10764" t="s">
        <v>127</v>
      </c>
      <c r="C193" s="10767" t="s">
        <v>128</v>
      </c>
      <c r="D193" s="10767" t="s">
        <v>129</v>
      </c>
      <c r="E193" s="10767" t="s">
        <v>268</v>
      </c>
      <c r="F193" s="10770" t="s">
        <v>131</v>
      </c>
      <c r="G193" s="10767" t="s">
        <v>132</v>
      </c>
      <c r="H193" s="10767" t="s">
        <v>159</v>
      </c>
      <c r="I193" s="10767" t="s">
        <v>4909</v>
      </c>
      <c r="J193" s="10767" t="s">
        <v>4523</v>
      </c>
      <c r="K193" s="10767" t="s">
        <v>4910</v>
      </c>
      <c r="L193" s="10852">
        <v>1</v>
      </c>
      <c r="M193" s="10854">
        <v>0</v>
      </c>
      <c r="N193" s="10852">
        <v>1</v>
      </c>
      <c r="O193" s="10767" t="s">
        <v>4911</v>
      </c>
      <c r="P193" s="10767" t="s">
        <v>4912</v>
      </c>
      <c r="Q193" s="10856" t="s">
        <v>4913</v>
      </c>
      <c r="R193" s="5195"/>
      <c r="S193" s="4849"/>
      <c r="T193" s="4849"/>
      <c r="U193" s="135"/>
      <c r="V193" s="4874"/>
      <c r="W193" s="76"/>
      <c r="X193" s="4922"/>
      <c r="Y193" s="4917"/>
      <c r="Z193" s="4917"/>
      <c r="AA193" s="4923"/>
      <c r="AB193" s="4883"/>
      <c r="AC193" s="1415"/>
      <c r="AD193" s="76"/>
      <c r="AE193" s="79"/>
      <c r="AF193" s="436"/>
      <c r="AG193" s="9885" t="s">
        <v>4914</v>
      </c>
    </row>
    <row r="194" spans="1:33" s="1001" customFormat="1" ht="48" customHeight="1">
      <c r="A194" s="10837"/>
      <c r="B194" s="10765"/>
      <c r="C194" s="10768"/>
      <c r="D194" s="10768"/>
      <c r="E194" s="10768"/>
      <c r="F194" s="10768"/>
      <c r="G194" s="10768"/>
      <c r="H194" s="10768"/>
      <c r="I194" s="10768"/>
      <c r="J194" s="10768"/>
      <c r="K194" s="10768"/>
      <c r="L194" s="10845"/>
      <c r="M194" s="10848"/>
      <c r="N194" s="10845"/>
      <c r="O194" s="10768"/>
      <c r="P194" s="10768"/>
      <c r="Q194" s="10798"/>
      <c r="R194" s="5193"/>
      <c r="S194" s="4853"/>
      <c r="T194" s="4853"/>
      <c r="U194" s="47"/>
      <c r="V194" s="4869"/>
      <c r="W194" s="48"/>
      <c r="X194" s="4910"/>
      <c r="Y194" s="4910"/>
      <c r="Z194" s="4910"/>
      <c r="AA194" s="4911"/>
      <c r="AB194" s="4880"/>
      <c r="AC194" s="1412"/>
      <c r="AD194" s="48"/>
      <c r="AE194" s="51"/>
      <c r="AF194" s="218"/>
      <c r="AG194" s="10794"/>
    </row>
    <row r="195" spans="1:33" s="1001" customFormat="1" ht="48" customHeight="1">
      <c r="A195" s="10837"/>
      <c r="B195" s="10765"/>
      <c r="C195" s="10768"/>
      <c r="D195" s="10768"/>
      <c r="E195" s="10768"/>
      <c r="F195" s="10768"/>
      <c r="G195" s="10768"/>
      <c r="H195" s="10768"/>
      <c r="I195" s="10768"/>
      <c r="J195" s="10768"/>
      <c r="K195" s="10768"/>
      <c r="L195" s="10845"/>
      <c r="M195" s="10848"/>
      <c r="N195" s="10845"/>
      <c r="O195" s="10768"/>
      <c r="P195" s="10768"/>
      <c r="Q195" s="10798"/>
      <c r="R195" s="5193"/>
      <c r="S195" s="4853"/>
      <c r="T195" s="4853"/>
      <c r="U195" s="47"/>
      <c r="V195" s="4869"/>
      <c r="W195" s="48"/>
      <c r="X195" s="4910"/>
      <c r="Y195" s="4910"/>
      <c r="Z195" s="4910"/>
      <c r="AA195" s="4911"/>
      <c r="AB195" s="4880"/>
      <c r="AC195" s="1412"/>
      <c r="AD195" s="48"/>
      <c r="AE195" s="51"/>
      <c r="AF195" s="218"/>
      <c r="AG195" s="10794"/>
    </row>
    <row r="196" spans="1:33" s="1001" customFormat="1" ht="48" customHeight="1">
      <c r="A196" s="10837"/>
      <c r="B196" s="10765"/>
      <c r="C196" s="10768"/>
      <c r="D196" s="10768"/>
      <c r="E196" s="10768"/>
      <c r="F196" s="10768"/>
      <c r="G196" s="10768"/>
      <c r="H196" s="10768"/>
      <c r="I196" s="10768"/>
      <c r="J196" s="10768"/>
      <c r="K196" s="10768"/>
      <c r="L196" s="10845"/>
      <c r="M196" s="10848"/>
      <c r="N196" s="10845"/>
      <c r="O196" s="10768"/>
      <c r="P196" s="10768"/>
      <c r="Q196" s="10798"/>
      <c r="R196" s="5193"/>
      <c r="S196" s="4853"/>
      <c r="T196" s="4853"/>
      <c r="U196" s="47"/>
      <c r="V196" s="4869"/>
      <c r="W196" s="48"/>
      <c r="X196" s="4910"/>
      <c r="Y196" s="4910"/>
      <c r="Z196" s="4910"/>
      <c r="AA196" s="4911"/>
      <c r="AB196" s="4880"/>
      <c r="AC196" s="1412"/>
      <c r="AD196" s="48"/>
      <c r="AE196" s="51"/>
      <c r="AF196" s="218"/>
      <c r="AG196" s="10794"/>
    </row>
    <row r="197" spans="1:33" s="1001" customFormat="1" ht="48" customHeight="1">
      <c r="A197" s="10837"/>
      <c r="B197" s="10766"/>
      <c r="C197" s="10769"/>
      <c r="D197" s="10769"/>
      <c r="E197" s="10769"/>
      <c r="F197" s="10769"/>
      <c r="G197" s="10769"/>
      <c r="H197" s="10769"/>
      <c r="I197" s="10769"/>
      <c r="J197" s="10769"/>
      <c r="K197" s="10769"/>
      <c r="L197" s="10853"/>
      <c r="M197" s="10855"/>
      <c r="N197" s="10853"/>
      <c r="O197" s="10769"/>
      <c r="P197" s="10769"/>
      <c r="Q197" s="10857"/>
      <c r="R197" s="5196"/>
      <c r="S197" s="4855"/>
      <c r="T197" s="4855"/>
      <c r="U197" s="71"/>
      <c r="V197" s="4871"/>
      <c r="W197" s="64"/>
      <c r="X197" s="4914"/>
      <c r="Y197" s="4914"/>
      <c r="Z197" s="4914"/>
      <c r="AA197" s="4916"/>
      <c r="AB197" s="4882"/>
      <c r="AC197" s="1413"/>
      <c r="AD197" s="64"/>
      <c r="AE197" s="65"/>
      <c r="AF197" s="219"/>
      <c r="AG197" s="10795"/>
    </row>
    <row r="198" spans="1:33" s="1001" customFormat="1" ht="51.75" customHeight="1">
      <c r="A198" s="10837"/>
      <c r="B198" s="10858" t="s">
        <v>127</v>
      </c>
      <c r="C198" s="10859" t="s">
        <v>128</v>
      </c>
      <c r="D198" s="10859" t="s">
        <v>129</v>
      </c>
      <c r="E198" s="10859" t="s">
        <v>268</v>
      </c>
      <c r="F198" s="10860" t="s">
        <v>131</v>
      </c>
      <c r="G198" s="10859" t="s">
        <v>132</v>
      </c>
      <c r="H198" s="10859" t="s">
        <v>159</v>
      </c>
      <c r="I198" s="10859" t="s">
        <v>4915</v>
      </c>
      <c r="J198" s="10859" t="s">
        <v>4529</v>
      </c>
      <c r="K198" s="10859" t="s">
        <v>4916</v>
      </c>
      <c r="L198" s="10861">
        <v>1</v>
      </c>
      <c r="M198" s="10848">
        <v>0</v>
      </c>
      <c r="N198" s="10861">
        <v>1</v>
      </c>
      <c r="O198" s="10859" t="s">
        <v>4917</v>
      </c>
      <c r="P198" s="10859" t="s">
        <v>4918</v>
      </c>
      <c r="Q198" s="10797" t="s">
        <v>4919</v>
      </c>
      <c r="R198" s="5195"/>
      <c r="S198" s="4849"/>
      <c r="T198" s="4849"/>
      <c r="U198" s="66"/>
      <c r="V198" s="4872"/>
      <c r="W198" s="53"/>
      <c r="X198" s="4917"/>
      <c r="Y198" s="4917"/>
      <c r="Z198" s="4917"/>
      <c r="AA198" s="4918"/>
      <c r="AB198" s="4875"/>
      <c r="AC198" s="1414"/>
      <c r="AD198" s="53"/>
      <c r="AE198" s="73"/>
      <c r="AF198" s="435"/>
      <c r="AG198" s="9885" t="s">
        <v>4920</v>
      </c>
    </row>
    <row r="199" spans="1:33" s="1001" customFormat="1" ht="51.75" customHeight="1">
      <c r="A199" s="10837"/>
      <c r="B199" s="10765"/>
      <c r="C199" s="10768"/>
      <c r="D199" s="10768"/>
      <c r="E199" s="10768"/>
      <c r="F199" s="10768"/>
      <c r="G199" s="10768"/>
      <c r="H199" s="10768"/>
      <c r="I199" s="10768"/>
      <c r="J199" s="10768"/>
      <c r="K199" s="10768"/>
      <c r="L199" s="10845"/>
      <c r="M199" s="10848"/>
      <c r="N199" s="10845"/>
      <c r="O199" s="10768"/>
      <c r="P199" s="10768"/>
      <c r="Q199" s="10798"/>
      <c r="R199" s="5193"/>
      <c r="S199" s="4853"/>
      <c r="T199" s="4853"/>
      <c r="U199" s="47"/>
      <c r="V199" s="4869"/>
      <c r="W199" s="48"/>
      <c r="X199" s="4910"/>
      <c r="Y199" s="4910"/>
      <c r="Z199" s="4910"/>
      <c r="AA199" s="4911"/>
      <c r="AB199" s="4880"/>
      <c r="AC199" s="1412"/>
      <c r="AD199" s="48"/>
      <c r="AE199" s="51"/>
      <c r="AF199" s="218"/>
      <c r="AG199" s="10794"/>
    </row>
    <row r="200" spans="1:33" s="1001" customFormat="1" ht="51.75" customHeight="1">
      <c r="A200" s="10837"/>
      <c r="B200" s="10765"/>
      <c r="C200" s="10768"/>
      <c r="D200" s="10768"/>
      <c r="E200" s="10768"/>
      <c r="F200" s="10768"/>
      <c r="G200" s="10768"/>
      <c r="H200" s="10768"/>
      <c r="I200" s="10768"/>
      <c r="J200" s="10768"/>
      <c r="K200" s="10768"/>
      <c r="L200" s="10845"/>
      <c r="M200" s="10848"/>
      <c r="N200" s="10845"/>
      <c r="O200" s="10768"/>
      <c r="P200" s="10768"/>
      <c r="Q200" s="10798"/>
      <c r="R200" s="5194"/>
      <c r="S200" s="4860"/>
      <c r="T200" s="4860"/>
      <c r="U200" s="52"/>
      <c r="V200" s="4872"/>
      <c r="W200" s="53"/>
      <c r="X200" s="4917"/>
      <c r="Y200" s="4910"/>
      <c r="Z200" s="4910"/>
      <c r="AA200" s="4911"/>
      <c r="AB200" s="4880"/>
      <c r="AC200" s="1412"/>
      <c r="AD200" s="48"/>
      <c r="AE200" s="51"/>
      <c r="AF200" s="218"/>
      <c r="AG200" s="10794"/>
    </row>
    <row r="201" spans="1:33" s="1001" customFormat="1" ht="51.75" customHeight="1">
      <c r="A201" s="10837"/>
      <c r="B201" s="10765"/>
      <c r="C201" s="10768"/>
      <c r="D201" s="10768"/>
      <c r="E201" s="10768"/>
      <c r="F201" s="10768"/>
      <c r="G201" s="10768"/>
      <c r="H201" s="10768"/>
      <c r="I201" s="10768"/>
      <c r="J201" s="10768"/>
      <c r="K201" s="10768"/>
      <c r="L201" s="10845"/>
      <c r="M201" s="10848"/>
      <c r="N201" s="10845"/>
      <c r="O201" s="10768"/>
      <c r="P201" s="10768"/>
      <c r="Q201" s="10798"/>
      <c r="R201" s="5195"/>
      <c r="S201" s="4849"/>
      <c r="T201" s="4849"/>
      <c r="U201" s="52"/>
      <c r="V201" s="4872"/>
      <c r="W201" s="53"/>
      <c r="X201" s="4917"/>
      <c r="Y201" s="4910"/>
      <c r="Z201" s="4910"/>
      <c r="AA201" s="4911"/>
      <c r="AB201" s="4880"/>
      <c r="AC201" s="1412"/>
      <c r="AD201" s="48"/>
      <c r="AE201" s="51"/>
      <c r="AF201" s="218"/>
      <c r="AG201" s="10794"/>
    </row>
    <row r="202" spans="1:33" s="1001" customFormat="1" ht="51.75" customHeight="1">
      <c r="A202" s="10837"/>
      <c r="B202" s="10840"/>
      <c r="C202" s="10842"/>
      <c r="D202" s="10842"/>
      <c r="E202" s="10842"/>
      <c r="F202" s="10842"/>
      <c r="G202" s="10842"/>
      <c r="H202" s="10842"/>
      <c r="I202" s="10842"/>
      <c r="J202" s="10842"/>
      <c r="K202" s="10842"/>
      <c r="L202" s="10846"/>
      <c r="M202" s="10848"/>
      <c r="N202" s="10846"/>
      <c r="O202" s="10842"/>
      <c r="P202" s="10842"/>
      <c r="Q202" s="10799"/>
      <c r="R202" s="5196"/>
      <c r="S202" s="4855"/>
      <c r="T202" s="4855"/>
      <c r="U202" s="71"/>
      <c r="V202" s="4871"/>
      <c r="W202" s="64"/>
      <c r="X202" s="4914"/>
      <c r="Y202" s="4914"/>
      <c r="Z202" s="4914"/>
      <c r="AA202" s="4916"/>
      <c r="AB202" s="4882"/>
      <c r="AC202" s="1413"/>
      <c r="AD202" s="64"/>
      <c r="AE202" s="65"/>
      <c r="AF202" s="219"/>
      <c r="AG202" s="10795"/>
    </row>
    <row r="203" spans="1:33" s="1001" customFormat="1" ht="44.25" customHeight="1">
      <c r="A203" s="10837"/>
      <c r="B203" s="10764" t="s">
        <v>127</v>
      </c>
      <c r="C203" s="10767" t="s">
        <v>128</v>
      </c>
      <c r="D203" s="10767" t="s">
        <v>129</v>
      </c>
      <c r="E203" s="10767" t="s">
        <v>268</v>
      </c>
      <c r="F203" s="10770" t="s">
        <v>131</v>
      </c>
      <c r="G203" s="10767" t="s">
        <v>132</v>
      </c>
      <c r="H203" s="10767" t="s">
        <v>159</v>
      </c>
      <c r="I203" s="10767" t="s">
        <v>4921</v>
      </c>
      <c r="J203" s="10767" t="s">
        <v>4535</v>
      </c>
      <c r="K203" s="10767" t="s">
        <v>4922</v>
      </c>
      <c r="L203" s="10852">
        <v>6</v>
      </c>
      <c r="M203" s="10854">
        <v>0</v>
      </c>
      <c r="N203" s="10852">
        <v>6</v>
      </c>
      <c r="O203" s="10767" t="s">
        <v>4923</v>
      </c>
      <c r="P203" s="10767" t="s">
        <v>4924</v>
      </c>
      <c r="Q203" s="10856" t="s">
        <v>4925</v>
      </c>
      <c r="R203" s="5195"/>
      <c r="S203" s="4849"/>
      <c r="T203" s="4849"/>
      <c r="U203" s="66"/>
      <c r="V203" s="4872"/>
      <c r="W203" s="53"/>
      <c r="X203" s="4917"/>
      <c r="Y203" s="4917"/>
      <c r="Z203" s="4917"/>
      <c r="AA203" s="4918"/>
      <c r="AB203" s="4875"/>
      <c r="AC203" s="1414"/>
      <c r="AD203" s="53"/>
      <c r="AE203" s="68"/>
      <c r="AF203" s="5362"/>
      <c r="AG203" s="9885" t="s">
        <v>4920</v>
      </c>
    </row>
    <row r="204" spans="1:33" s="1001" customFormat="1" ht="44.25" customHeight="1">
      <c r="A204" s="10837"/>
      <c r="B204" s="10765"/>
      <c r="C204" s="10768"/>
      <c r="D204" s="10768"/>
      <c r="E204" s="10768"/>
      <c r="F204" s="10768"/>
      <c r="G204" s="10768"/>
      <c r="H204" s="10768"/>
      <c r="I204" s="10768"/>
      <c r="J204" s="10768"/>
      <c r="K204" s="10768"/>
      <c r="L204" s="10845"/>
      <c r="M204" s="10848"/>
      <c r="N204" s="10845"/>
      <c r="O204" s="10768"/>
      <c r="P204" s="10768"/>
      <c r="Q204" s="10798"/>
      <c r="R204" s="5193"/>
      <c r="S204" s="4853"/>
      <c r="T204" s="4853"/>
      <c r="U204" s="47"/>
      <c r="V204" s="4869"/>
      <c r="W204" s="48"/>
      <c r="X204" s="4910"/>
      <c r="Y204" s="4910"/>
      <c r="Z204" s="4910"/>
      <c r="AA204" s="4911"/>
      <c r="AB204" s="4880"/>
      <c r="AC204" s="1412"/>
      <c r="AD204" s="48"/>
      <c r="AE204" s="48"/>
      <c r="AF204" s="5363"/>
      <c r="AG204" s="10794"/>
    </row>
    <row r="205" spans="1:33" s="1001" customFormat="1" ht="44.25" customHeight="1">
      <c r="A205" s="10837"/>
      <c r="B205" s="10765"/>
      <c r="C205" s="10768"/>
      <c r="D205" s="10768"/>
      <c r="E205" s="10768"/>
      <c r="F205" s="10768"/>
      <c r="G205" s="10768"/>
      <c r="H205" s="10768"/>
      <c r="I205" s="10768"/>
      <c r="J205" s="10768"/>
      <c r="K205" s="10768"/>
      <c r="L205" s="10845"/>
      <c r="M205" s="10848"/>
      <c r="N205" s="10845"/>
      <c r="O205" s="10768"/>
      <c r="P205" s="10768"/>
      <c r="Q205" s="10798"/>
      <c r="R205" s="5193"/>
      <c r="S205" s="4853"/>
      <c r="T205" s="4853"/>
      <c r="U205" s="47"/>
      <c r="V205" s="4869"/>
      <c r="W205" s="48"/>
      <c r="X205" s="4910"/>
      <c r="Y205" s="4910"/>
      <c r="Z205" s="4910"/>
      <c r="AA205" s="4911"/>
      <c r="AB205" s="4880"/>
      <c r="AC205" s="1412"/>
      <c r="AD205" s="48"/>
      <c r="AE205" s="48"/>
      <c r="AF205" s="218"/>
      <c r="AG205" s="10794"/>
    </row>
    <row r="206" spans="1:33" s="1001" customFormat="1" ht="44.25" customHeight="1">
      <c r="A206" s="10837"/>
      <c r="B206" s="10765"/>
      <c r="C206" s="10768"/>
      <c r="D206" s="10768"/>
      <c r="E206" s="10768"/>
      <c r="F206" s="10768"/>
      <c r="G206" s="10768"/>
      <c r="H206" s="10768"/>
      <c r="I206" s="10768"/>
      <c r="J206" s="10768"/>
      <c r="K206" s="10768"/>
      <c r="L206" s="10845"/>
      <c r="M206" s="10848"/>
      <c r="N206" s="10845"/>
      <c r="O206" s="10768"/>
      <c r="P206" s="10768"/>
      <c r="Q206" s="10798"/>
      <c r="R206" s="5193"/>
      <c r="S206" s="4853"/>
      <c r="T206" s="4853"/>
      <c r="U206" s="47"/>
      <c r="V206" s="4869"/>
      <c r="W206" s="48"/>
      <c r="X206" s="4910"/>
      <c r="Y206" s="4910"/>
      <c r="Z206" s="4910"/>
      <c r="AA206" s="4911"/>
      <c r="AB206" s="4880"/>
      <c r="AC206" s="1412"/>
      <c r="AD206" s="48"/>
      <c r="AE206" s="48"/>
      <c r="AF206" s="218"/>
      <c r="AG206" s="10794"/>
    </row>
    <row r="207" spans="1:33" s="1001" customFormat="1" ht="69" customHeight="1">
      <c r="A207" s="10837"/>
      <c r="B207" s="10766"/>
      <c r="C207" s="10769"/>
      <c r="D207" s="10769"/>
      <c r="E207" s="10769"/>
      <c r="F207" s="10769"/>
      <c r="G207" s="10769"/>
      <c r="H207" s="10769"/>
      <c r="I207" s="10769"/>
      <c r="J207" s="10769"/>
      <c r="K207" s="10769"/>
      <c r="L207" s="10853"/>
      <c r="M207" s="10855"/>
      <c r="N207" s="10853"/>
      <c r="O207" s="10769"/>
      <c r="P207" s="10769"/>
      <c r="Q207" s="10857"/>
      <c r="R207" s="5196"/>
      <c r="S207" s="4855"/>
      <c r="T207" s="4855"/>
      <c r="U207" s="71"/>
      <c r="V207" s="4871"/>
      <c r="W207" s="64"/>
      <c r="X207" s="4914"/>
      <c r="Y207" s="4914"/>
      <c r="Z207" s="4914"/>
      <c r="AA207" s="4916"/>
      <c r="AB207" s="4882"/>
      <c r="AC207" s="1413"/>
      <c r="AD207" s="64"/>
      <c r="AE207" s="64"/>
      <c r="AF207" s="219"/>
      <c r="AG207" s="10795"/>
    </row>
    <row r="208" spans="1:33" s="1001" customFormat="1" ht="41.25" customHeight="1">
      <c r="A208" s="10837"/>
      <c r="B208" s="10858" t="s">
        <v>127</v>
      </c>
      <c r="C208" s="10859" t="s">
        <v>128</v>
      </c>
      <c r="D208" s="10859" t="s">
        <v>129</v>
      </c>
      <c r="E208" s="10859" t="s">
        <v>268</v>
      </c>
      <c r="F208" s="10860" t="s">
        <v>131</v>
      </c>
      <c r="G208" s="10859" t="s">
        <v>132</v>
      </c>
      <c r="H208" s="10859" t="s">
        <v>159</v>
      </c>
      <c r="I208" s="10859" t="s">
        <v>4926</v>
      </c>
      <c r="J208" s="10859" t="s">
        <v>4541</v>
      </c>
      <c r="K208" s="10859" t="s">
        <v>4927</v>
      </c>
      <c r="L208" s="10861">
        <v>400</v>
      </c>
      <c r="M208" s="10861">
        <v>400</v>
      </c>
      <c r="N208" s="10861">
        <v>400</v>
      </c>
      <c r="O208" s="10859" t="s">
        <v>4928</v>
      </c>
      <c r="P208" s="10859" t="s">
        <v>4929</v>
      </c>
      <c r="Q208" s="10797" t="s">
        <v>4930</v>
      </c>
      <c r="R208" s="5195"/>
      <c r="S208" s="4849"/>
      <c r="T208" s="4849"/>
      <c r="U208" s="135"/>
      <c r="V208" s="4874"/>
      <c r="W208" s="76"/>
      <c r="X208" s="4922"/>
      <c r="Y208" s="4917"/>
      <c r="Z208" s="4917"/>
      <c r="AA208" s="4923"/>
      <c r="AB208" s="4883"/>
      <c r="AC208" s="1415"/>
      <c r="AD208" s="76"/>
      <c r="AE208" s="79"/>
      <c r="AF208" s="436"/>
      <c r="AG208" s="9885"/>
    </row>
    <row r="209" spans="1:33" s="1001" customFormat="1" ht="41.25" customHeight="1">
      <c r="A209" s="10837"/>
      <c r="B209" s="10765"/>
      <c r="C209" s="10768"/>
      <c r="D209" s="10768"/>
      <c r="E209" s="10768"/>
      <c r="F209" s="10768"/>
      <c r="G209" s="10768"/>
      <c r="H209" s="10768"/>
      <c r="I209" s="10768"/>
      <c r="J209" s="10768"/>
      <c r="K209" s="10768"/>
      <c r="L209" s="10845"/>
      <c r="M209" s="10845"/>
      <c r="N209" s="10845"/>
      <c r="O209" s="10768"/>
      <c r="P209" s="10768"/>
      <c r="Q209" s="10798"/>
      <c r="R209" s="5193"/>
      <c r="S209" s="4853"/>
      <c r="T209" s="4853"/>
      <c r="U209" s="47"/>
      <c r="V209" s="4869"/>
      <c r="W209" s="48"/>
      <c r="X209" s="4910"/>
      <c r="Y209" s="4910"/>
      <c r="Z209" s="4910"/>
      <c r="AA209" s="4911"/>
      <c r="AB209" s="4880"/>
      <c r="AC209" s="1412"/>
      <c r="AD209" s="48"/>
      <c r="AE209" s="51"/>
      <c r="AF209" s="218"/>
      <c r="AG209" s="10794"/>
    </row>
    <row r="210" spans="1:33" s="1001" customFormat="1" ht="41.25" customHeight="1">
      <c r="A210" s="10837"/>
      <c r="B210" s="10765"/>
      <c r="C210" s="10768"/>
      <c r="D210" s="10768"/>
      <c r="E210" s="10768"/>
      <c r="F210" s="10768"/>
      <c r="G210" s="10768"/>
      <c r="H210" s="10768"/>
      <c r="I210" s="10768"/>
      <c r="J210" s="10768"/>
      <c r="K210" s="10768"/>
      <c r="L210" s="10845"/>
      <c r="M210" s="10845"/>
      <c r="N210" s="10845"/>
      <c r="O210" s="10768"/>
      <c r="P210" s="10768"/>
      <c r="Q210" s="10798"/>
      <c r="R210" s="5193"/>
      <c r="S210" s="4853"/>
      <c r="T210" s="4853"/>
      <c r="U210" s="47"/>
      <c r="V210" s="4869"/>
      <c r="W210" s="48"/>
      <c r="X210" s="4910"/>
      <c r="Y210" s="4910"/>
      <c r="Z210" s="4910"/>
      <c r="AA210" s="4911"/>
      <c r="AB210" s="4880"/>
      <c r="AC210" s="1412"/>
      <c r="AD210" s="48"/>
      <c r="AE210" s="51"/>
      <c r="AF210" s="218"/>
      <c r="AG210" s="10794"/>
    </row>
    <row r="211" spans="1:33" s="1001" customFormat="1" ht="41.25" customHeight="1">
      <c r="A211" s="10837"/>
      <c r="B211" s="10765"/>
      <c r="C211" s="10768"/>
      <c r="D211" s="10768"/>
      <c r="E211" s="10768"/>
      <c r="F211" s="10768"/>
      <c r="G211" s="10768"/>
      <c r="H211" s="10768"/>
      <c r="I211" s="10768"/>
      <c r="J211" s="10768"/>
      <c r="K211" s="10768"/>
      <c r="L211" s="10845"/>
      <c r="M211" s="10845"/>
      <c r="N211" s="10845"/>
      <c r="O211" s="10768"/>
      <c r="P211" s="10768"/>
      <c r="Q211" s="10798"/>
      <c r="R211" s="5193"/>
      <c r="S211" s="4853"/>
      <c r="T211" s="4853"/>
      <c r="U211" s="47"/>
      <c r="V211" s="4869"/>
      <c r="W211" s="48"/>
      <c r="X211" s="4910"/>
      <c r="Y211" s="4910"/>
      <c r="Z211" s="4910"/>
      <c r="AA211" s="4911"/>
      <c r="AB211" s="4880"/>
      <c r="AC211" s="1412"/>
      <c r="AD211" s="48"/>
      <c r="AE211" s="51"/>
      <c r="AF211" s="218"/>
      <c r="AG211" s="10794"/>
    </row>
    <row r="212" spans="1:33" s="1001" customFormat="1" ht="41.25" customHeight="1">
      <c r="A212" s="10837"/>
      <c r="B212" s="10840"/>
      <c r="C212" s="10842"/>
      <c r="D212" s="10842"/>
      <c r="E212" s="10842"/>
      <c r="F212" s="10842"/>
      <c r="G212" s="10842"/>
      <c r="H212" s="10842"/>
      <c r="I212" s="10842"/>
      <c r="J212" s="10842"/>
      <c r="K212" s="10842"/>
      <c r="L212" s="10846"/>
      <c r="M212" s="10846"/>
      <c r="N212" s="10846"/>
      <c r="O212" s="10842"/>
      <c r="P212" s="10842"/>
      <c r="Q212" s="10799"/>
      <c r="R212" s="5196"/>
      <c r="S212" s="4855"/>
      <c r="T212" s="4855"/>
      <c r="U212" s="71"/>
      <c r="V212" s="4871"/>
      <c r="W212" s="64"/>
      <c r="X212" s="4914"/>
      <c r="Y212" s="4914"/>
      <c r="Z212" s="4914"/>
      <c r="AA212" s="4916"/>
      <c r="AB212" s="4882"/>
      <c r="AC212" s="1413"/>
      <c r="AD212" s="64"/>
      <c r="AE212" s="65"/>
      <c r="AF212" s="219"/>
      <c r="AG212" s="10795"/>
    </row>
    <row r="213" spans="1:33" s="1001" customFormat="1" ht="40.5" customHeight="1">
      <c r="A213" s="10837"/>
      <c r="B213" s="10764" t="s">
        <v>127</v>
      </c>
      <c r="C213" s="10767" t="s">
        <v>128</v>
      </c>
      <c r="D213" s="10767" t="s">
        <v>129</v>
      </c>
      <c r="E213" s="10767" t="s">
        <v>268</v>
      </c>
      <c r="F213" s="10770" t="s">
        <v>131</v>
      </c>
      <c r="G213" s="10767" t="s">
        <v>132</v>
      </c>
      <c r="H213" s="10767" t="s">
        <v>159</v>
      </c>
      <c r="I213" s="10767" t="s">
        <v>4931</v>
      </c>
      <c r="J213" s="10767" t="s">
        <v>4547</v>
      </c>
      <c r="K213" s="10767" t="s">
        <v>4932</v>
      </c>
      <c r="L213" s="10852">
        <v>1</v>
      </c>
      <c r="M213" s="10854">
        <v>0</v>
      </c>
      <c r="N213" s="10852">
        <v>1</v>
      </c>
      <c r="O213" s="10767" t="s">
        <v>4933</v>
      </c>
      <c r="P213" s="10767" t="s">
        <v>4934</v>
      </c>
      <c r="Q213" s="10856" t="s">
        <v>4930</v>
      </c>
      <c r="R213" s="5195"/>
      <c r="S213" s="4849"/>
      <c r="T213" s="4849"/>
      <c r="U213" s="66"/>
      <c r="V213" s="4872"/>
      <c r="W213" s="53"/>
      <c r="X213" s="4917"/>
      <c r="Y213" s="4917"/>
      <c r="Z213" s="4917"/>
      <c r="AA213" s="4918"/>
      <c r="AB213" s="4875"/>
      <c r="AC213" s="1414"/>
      <c r="AD213" s="53"/>
      <c r="AE213" s="73"/>
      <c r="AF213" s="435"/>
      <c r="AG213" s="9885" t="s">
        <v>4908</v>
      </c>
    </row>
    <row r="214" spans="1:33" s="1001" customFormat="1" ht="40.5" customHeight="1">
      <c r="A214" s="10837"/>
      <c r="B214" s="10765"/>
      <c r="C214" s="10768"/>
      <c r="D214" s="10768"/>
      <c r="E214" s="10768"/>
      <c r="F214" s="10768"/>
      <c r="G214" s="10768"/>
      <c r="H214" s="10768"/>
      <c r="I214" s="10768"/>
      <c r="J214" s="10768"/>
      <c r="K214" s="10768"/>
      <c r="L214" s="10845"/>
      <c r="M214" s="10848"/>
      <c r="N214" s="10845"/>
      <c r="O214" s="10768"/>
      <c r="P214" s="10768"/>
      <c r="Q214" s="10798"/>
      <c r="R214" s="5193"/>
      <c r="S214" s="4853"/>
      <c r="T214" s="4853"/>
      <c r="U214" s="47"/>
      <c r="V214" s="4869"/>
      <c r="W214" s="48"/>
      <c r="X214" s="4910"/>
      <c r="Y214" s="4910"/>
      <c r="Z214" s="4910"/>
      <c r="AA214" s="4911"/>
      <c r="AB214" s="4880"/>
      <c r="AC214" s="1412"/>
      <c r="AD214" s="48"/>
      <c r="AE214" s="51"/>
      <c r="AF214" s="218"/>
      <c r="AG214" s="10794"/>
    </row>
    <row r="215" spans="1:33" s="1001" customFormat="1" ht="40.5" customHeight="1">
      <c r="A215" s="10837"/>
      <c r="B215" s="10765"/>
      <c r="C215" s="10768"/>
      <c r="D215" s="10768"/>
      <c r="E215" s="10768"/>
      <c r="F215" s="10768"/>
      <c r="G215" s="10768"/>
      <c r="H215" s="10768"/>
      <c r="I215" s="10768"/>
      <c r="J215" s="10768"/>
      <c r="K215" s="10768"/>
      <c r="L215" s="10845"/>
      <c r="M215" s="10848"/>
      <c r="N215" s="10845"/>
      <c r="O215" s="10768"/>
      <c r="P215" s="10768"/>
      <c r="Q215" s="10798"/>
      <c r="R215" s="5194"/>
      <c r="S215" s="4860"/>
      <c r="T215" s="4860"/>
      <c r="U215" s="52"/>
      <c r="V215" s="4872"/>
      <c r="W215" s="53"/>
      <c r="X215" s="4917"/>
      <c r="Y215" s="4910"/>
      <c r="Z215" s="4910"/>
      <c r="AA215" s="4911"/>
      <c r="AB215" s="4880"/>
      <c r="AC215" s="1412"/>
      <c r="AD215" s="48"/>
      <c r="AE215" s="51"/>
      <c r="AF215" s="218"/>
      <c r="AG215" s="10794"/>
    </row>
    <row r="216" spans="1:33" s="1001" customFormat="1" ht="40.5" customHeight="1">
      <c r="A216" s="10837"/>
      <c r="B216" s="10765"/>
      <c r="C216" s="10768"/>
      <c r="D216" s="10768"/>
      <c r="E216" s="10768"/>
      <c r="F216" s="10768"/>
      <c r="G216" s="10768"/>
      <c r="H216" s="10768"/>
      <c r="I216" s="10768"/>
      <c r="J216" s="10768"/>
      <c r="K216" s="10768"/>
      <c r="L216" s="10845"/>
      <c r="M216" s="10848"/>
      <c r="N216" s="10845"/>
      <c r="O216" s="10768"/>
      <c r="P216" s="10768"/>
      <c r="Q216" s="10798"/>
      <c r="R216" s="5195"/>
      <c r="S216" s="4849"/>
      <c r="T216" s="4849"/>
      <c r="U216" s="52"/>
      <c r="V216" s="4872"/>
      <c r="W216" s="53"/>
      <c r="X216" s="4917"/>
      <c r="Y216" s="4910"/>
      <c r="Z216" s="4910"/>
      <c r="AA216" s="4911"/>
      <c r="AB216" s="4880"/>
      <c r="AC216" s="1412"/>
      <c r="AD216" s="48"/>
      <c r="AE216" s="51"/>
      <c r="AF216" s="218"/>
      <c r="AG216" s="10794"/>
    </row>
    <row r="217" spans="1:33" s="1001" customFormat="1" ht="40.5" customHeight="1">
      <c r="A217" s="10837"/>
      <c r="B217" s="10766"/>
      <c r="C217" s="10769"/>
      <c r="D217" s="10769"/>
      <c r="E217" s="10769"/>
      <c r="F217" s="10769"/>
      <c r="G217" s="10769"/>
      <c r="H217" s="10769"/>
      <c r="I217" s="10769"/>
      <c r="J217" s="10769"/>
      <c r="K217" s="10769"/>
      <c r="L217" s="10853"/>
      <c r="M217" s="10855"/>
      <c r="N217" s="10853"/>
      <c r="O217" s="10769"/>
      <c r="P217" s="10769"/>
      <c r="Q217" s="10857"/>
      <c r="R217" s="5196"/>
      <c r="S217" s="4855"/>
      <c r="T217" s="4855"/>
      <c r="U217" s="71"/>
      <c r="V217" s="4871"/>
      <c r="W217" s="64"/>
      <c r="X217" s="4914"/>
      <c r="Y217" s="4914"/>
      <c r="Z217" s="4914"/>
      <c r="AA217" s="4916"/>
      <c r="AB217" s="4882"/>
      <c r="AC217" s="1413"/>
      <c r="AD217" s="64"/>
      <c r="AE217" s="65"/>
      <c r="AF217" s="219"/>
      <c r="AG217" s="10795"/>
    </row>
    <row r="218" spans="1:33" s="1001" customFormat="1" ht="25.5" customHeight="1">
      <c r="A218" s="10837"/>
      <c r="B218" s="10764" t="s">
        <v>127</v>
      </c>
      <c r="C218" s="10767" t="s">
        <v>128</v>
      </c>
      <c r="D218" s="10767" t="s">
        <v>140</v>
      </c>
      <c r="E218" s="10767" t="s">
        <v>212</v>
      </c>
      <c r="F218" s="10770" t="s">
        <v>131</v>
      </c>
      <c r="G218" s="10767" t="s">
        <v>132</v>
      </c>
      <c r="H218" s="10767" t="s">
        <v>159</v>
      </c>
      <c r="I218" s="10767" t="s">
        <v>4935</v>
      </c>
      <c r="J218" s="10767" t="s">
        <v>286</v>
      </c>
      <c r="K218" s="10767" t="s">
        <v>4936</v>
      </c>
      <c r="L218" s="10852"/>
      <c r="M218" s="10854">
        <v>1</v>
      </c>
      <c r="N218" s="10852">
        <v>1</v>
      </c>
      <c r="O218" s="10767" t="s">
        <v>4937</v>
      </c>
      <c r="P218" s="10767" t="s">
        <v>4938</v>
      </c>
      <c r="Q218" s="10856" t="s">
        <v>4939</v>
      </c>
      <c r="R218" s="5195"/>
      <c r="S218" s="4849"/>
      <c r="T218" s="4849"/>
      <c r="U218" s="66"/>
      <c r="V218" s="4872"/>
      <c r="W218" s="53"/>
      <c r="X218" s="4917"/>
      <c r="Y218" s="4917"/>
      <c r="Z218" s="4917"/>
      <c r="AA218" s="4918"/>
      <c r="AB218" s="4875"/>
      <c r="AC218" s="1414"/>
      <c r="AD218" s="53"/>
      <c r="AE218" s="68"/>
      <c r="AF218" s="5362"/>
      <c r="AG218" s="9878"/>
    </row>
    <row r="219" spans="1:33" s="1001" customFormat="1" ht="25.5" customHeight="1">
      <c r="A219" s="10837"/>
      <c r="B219" s="10765"/>
      <c r="C219" s="10768"/>
      <c r="D219" s="10768"/>
      <c r="E219" s="10768"/>
      <c r="F219" s="10768"/>
      <c r="G219" s="10768"/>
      <c r="H219" s="10768"/>
      <c r="I219" s="10768"/>
      <c r="J219" s="10768"/>
      <c r="K219" s="10768"/>
      <c r="L219" s="10845"/>
      <c r="M219" s="10848"/>
      <c r="N219" s="10845"/>
      <c r="O219" s="10768"/>
      <c r="P219" s="10768"/>
      <c r="Q219" s="10798"/>
      <c r="R219" s="5193"/>
      <c r="S219" s="4853"/>
      <c r="T219" s="4853"/>
      <c r="U219" s="47"/>
      <c r="V219" s="4869"/>
      <c r="W219" s="48"/>
      <c r="X219" s="4910"/>
      <c r="Y219" s="4910"/>
      <c r="Z219" s="4910"/>
      <c r="AA219" s="4911"/>
      <c r="AB219" s="4880"/>
      <c r="AC219" s="1412"/>
      <c r="AD219" s="48"/>
      <c r="AE219" s="48"/>
      <c r="AF219" s="5363"/>
      <c r="AG219" s="10794"/>
    </row>
    <row r="220" spans="1:33" s="1001" customFormat="1" ht="25.5" customHeight="1">
      <c r="A220" s="10837"/>
      <c r="B220" s="10765"/>
      <c r="C220" s="10768"/>
      <c r="D220" s="10768"/>
      <c r="E220" s="10768"/>
      <c r="F220" s="10768"/>
      <c r="G220" s="10768"/>
      <c r="H220" s="10768"/>
      <c r="I220" s="10768"/>
      <c r="J220" s="10768"/>
      <c r="K220" s="10768"/>
      <c r="L220" s="10845"/>
      <c r="M220" s="10848"/>
      <c r="N220" s="10845"/>
      <c r="O220" s="10768"/>
      <c r="P220" s="10768"/>
      <c r="Q220" s="10798"/>
      <c r="R220" s="5193"/>
      <c r="S220" s="4853"/>
      <c r="T220" s="4853"/>
      <c r="U220" s="47"/>
      <c r="V220" s="4869"/>
      <c r="W220" s="48"/>
      <c r="X220" s="4910"/>
      <c r="Y220" s="4910"/>
      <c r="Z220" s="4910"/>
      <c r="AA220" s="4911"/>
      <c r="AB220" s="4880"/>
      <c r="AC220" s="1412"/>
      <c r="AD220" s="48"/>
      <c r="AE220" s="48"/>
      <c r="AF220" s="218"/>
      <c r="AG220" s="10794"/>
    </row>
    <row r="221" spans="1:33" s="1001" customFormat="1" ht="25.5" customHeight="1">
      <c r="A221" s="10837"/>
      <c r="B221" s="10765"/>
      <c r="C221" s="10768"/>
      <c r="D221" s="10768"/>
      <c r="E221" s="10768"/>
      <c r="F221" s="10768"/>
      <c r="G221" s="10768"/>
      <c r="H221" s="10768"/>
      <c r="I221" s="10768"/>
      <c r="J221" s="10768"/>
      <c r="K221" s="10768"/>
      <c r="L221" s="10845"/>
      <c r="M221" s="10848"/>
      <c r="N221" s="10845"/>
      <c r="O221" s="10768"/>
      <c r="P221" s="10768"/>
      <c r="Q221" s="10798"/>
      <c r="R221" s="5193"/>
      <c r="S221" s="4853"/>
      <c r="T221" s="4853"/>
      <c r="U221" s="47"/>
      <c r="V221" s="4869"/>
      <c r="W221" s="48"/>
      <c r="X221" s="4910"/>
      <c r="Y221" s="4910"/>
      <c r="Z221" s="4910"/>
      <c r="AA221" s="4911"/>
      <c r="AB221" s="4880"/>
      <c r="AC221" s="1412"/>
      <c r="AD221" s="48"/>
      <c r="AE221" s="48"/>
      <c r="AF221" s="218"/>
      <c r="AG221" s="10794"/>
    </row>
    <row r="222" spans="1:33" s="1001" customFormat="1" ht="25.5" customHeight="1">
      <c r="A222" s="10837"/>
      <c r="B222" s="10766"/>
      <c r="C222" s="10769"/>
      <c r="D222" s="10769"/>
      <c r="E222" s="10769"/>
      <c r="F222" s="10769"/>
      <c r="G222" s="10769"/>
      <c r="H222" s="10769"/>
      <c r="I222" s="10769"/>
      <c r="J222" s="10769"/>
      <c r="K222" s="10769"/>
      <c r="L222" s="10853"/>
      <c r="M222" s="10855"/>
      <c r="N222" s="10853"/>
      <c r="O222" s="10769"/>
      <c r="P222" s="10769"/>
      <c r="Q222" s="10857"/>
      <c r="R222" s="5196"/>
      <c r="S222" s="4855"/>
      <c r="T222" s="4855"/>
      <c r="U222" s="71"/>
      <c r="V222" s="4871"/>
      <c r="W222" s="64"/>
      <c r="X222" s="4914"/>
      <c r="Y222" s="4914"/>
      <c r="Z222" s="4914"/>
      <c r="AA222" s="4916"/>
      <c r="AB222" s="4882"/>
      <c r="AC222" s="1413"/>
      <c r="AD222" s="64"/>
      <c r="AE222" s="64"/>
      <c r="AF222" s="219"/>
      <c r="AG222" s="10795"/>
    </row>
    <row r="223" spans="1:33" s="1001" customFormat="1" ht="30" customHeight="1">
      <c r="A223" s="10837"/>
      <c r="B223" s="10858" t="s">
        <v>127</v>
      </c>
      <c r="C223" s="10859" t="s">
        <v>128</v>
      </c>
      <c r="D223" s="10859" t="s">
        <v>129</v>
      </c>
      <c r="E223" s="10859" t="s">
        <v>268</v>
      </c>
      <c r="F223" s="10860" t="s">
        <v>131</v>
      </c>
      <c r="G223" s="10859" t="s">
        <v>132</v>
      </c>
      <c r="H223" s="10859" t="s">
        <v>159</v>
      </c>
      <c r="I223" s="10859" t="s">
        <v>4940</v>
      </c>
      <c r="J223" s="10859" t="s">
        <v>1378</v>
      </c>
      <c r="K223" s="10859" t="s">
        <v>4941</v>
      </c>
      <c r="L223" s="10861">
        <v>50</v>
      </c>
      <c r="M223" s="10861">
        <v>50</v>
      </c>
      <c r="N223" s="10861">
        <v>50</v>
      </c>
      <c r="O223" s="10859" t="s">
        <v>4942</v>
      </c>
      <c r="P223" s="10859" t="s">
        <v>4943</v>
      </c>
      <c r="Q223" s="10797" t="s">
        <v>4944</v>
      </c>
      <c r="R223" s="5197"/>
      <c r="S223" s="4859"/>
      <c r="T223" s="4859"/>
      <c r="U223" s="5268"/>
      <c r="V223" s="4874"/>
      <c r="W223" s="76"/>
      <c r="X223" s="4922"/>
      <c r="Y223" s="4922"/>
      <c r="Z223" s="4922"/>
      <c r="AA223" s="4923"/>
      <c r="AB223" s="4883"/>
      <c r="AC223" s="1415"/>
      <c r="AD223" s="76"/>
      <c r="AE223" s="79"/>
      <c r="AF223" s="436"/>
      <c r="AG223" s="9885"/>
    </row>
    <row r="224" spans="1:33" s="1001" customFormat="1" ht="30" customHeight="1">
      <c r="A224" s="10837"/>
      <c r="B224" s="10765"/>
      <c r="C224" s="10768"/>
      <c r="D224" s="10768"/>
      <c r="E224" s="10768"/>
      <c r="F224" s="10768"/>
      <c r="G224" s="10768"/>
      <c r="H224" s="10768"/>
      <c r="I224" s="10768"/>
      <c r="J224" s="10768"/>
      <c r="K224" s="10768"/>
      <c r="L224" s="10845"/>
      <c r="M224" s="10845"/>
      <c r="N224" s="10845"/>
      <c r="O224" s="10768"/>
      <c r="P224" s="10768"/>
      <c r="Q224" s="10798"/>
      <c r="R224" s="5194"/>
      <c r="S224" s="4860"/>
      <c r="T224" s="4860"/>
      <c r="U224" s="47"/>
      <c r="V224" s="4869"/>
      <c r="W224" s="48"/>
      <c r="X224" s="4910"/>
      <c r="Y224" s="4910"/>
      <c r="Z224" s="4910"/>
      <c r="AA224" s="4911"/>
      <c r="AB224" s="4880"/>
      <c r="AC224" s="1412"/>
      <c r="AD224" s="48"/>
      <c r="AE224" s="51"/>
      <c r="AF224" s="218"/>
      <c r="AG224" s="10794"/>
    </row>
    <row r="225" spans="1:107" s="1001" customFormat="1" ht="30" customHeight="1">
      <c r="A225" s="10837"/>
      <c r="B225" s="10765"/>
      <c r="C225" s="10768"/>
      <c r="D225" s="10768"/>
      <c r="E225" s="10768"/>
      <c r="F225" s="10768"/>
      <c r="G225" s="10768"/>
      <c r="H225" s="10768"/>
      <c r="I225" s="10768"/>
      <c r="J225" s="10768"/>
      <c r="K225" s="10768"/>
      <c r="L225" s="10845"/>
      <c r="M225" s="10845"/>
      <c r="N225" s="10845"/>
      <c r="O225" s="10768"/>
      <c r="P225" s="10768"/>
      <c r="Q225" s="10798"/>
      <c r="R225" s="5193"/>
      <c r="S225" s="4853"/>
      <c r="T225" s="4853"/>
      <c r="U225" s="47"/>
      <c r="V225" s="4869"/>
      <c r="W225" s="48"/>
      <c r="X225" s="4910"/>
      <c r="Y225" s="4910"/>
      <c r="Z225" s="4910"/>
      <c r="AA225" s="4911"/>
      <c r="AB225" s="4880"/>
      <c r="AC225" s="1412"/>
      <c r="AD225" s="48"/>
      <c r="AE225" s="51"/>
      <c r="AF225" s="218"/>
      <c r="AG225" s="10794"/>
    </row>
    <row r="226" spans="1:107" s="1001" customFormat="1" ht="30" customHeight="1">
      <c r="A226" s="10837"/>
      <c r="B226" s="10765"/>
      <c r="C226" s="10768"/>
      <c r="D226" s="10768"/>
      <c r="E226" s="10768"/>
      <c r="F226" s="10768"/>
      <c r="G226" s="10768"/>
      <c r="H226" s="10768"/>
      <c r="I226" s="10768"/>
      <c r="J226" s="10768"/>
      <c r="K226" s="10768"/>
      <c r="L226" s="10845"/>
      <c r="M226" s="10845"/>
      <c r="N226" s="10845"/>
      <c r="O226" s="10768"/>
      <c r="P226" s="10768"/>
      <c r="Q226" s="10798"/>
      <c r="R226" s="5193"/>
      <c r="S226" s="4853"/>
      <c r="T226" s="4853"/>
      <c r="U226" s="47"/>
      <c r="V226" s="4869"/>
      <c r="W226" s="48"/>
      <c r="X226" s="4910"/>
      <c r="Y226" s="4910"/>
      <c r="Z226" s="4910"/>
      <c r="AA226" s="4911"/>
      <c r="AB226" s="4880"/>
      <c r="AC226" s="1412"/>
      <c r="AD226" s="48"/>
      <c r="AE226" s="51"/>
      <c r="AF226" s="218"/>
      <c r="AG226" s="10794"/>
    </row>
    <row r="227" spans="1:107" s="1001" customFormat="1" ht="30" customHeight="1">
      <c r="A227" s="10837"/>
      <c r="B227" s="10870"/>
      <c r="C227" s="10871"/>
      <c r="D227" s="10871"/>
      <c r="E227" s="10871"/>
      <c r="F227" s="10871"/>
      <c r="G227" s="10871"/>
      <c r="H227" s="10871"/>
      <c r="I227" s="10871"/>
      <c r="J227" s="10871"/>
      <c r="K227" s="10871"/>
      <c r="L227" s="10872"/>
      <c r="M227" s="10872"/>
      <c r="N227" s="10872"/>
      <c r="O227" s="10871"/>
      <c r="P227" s="10871"/>
      <c r="Q227" s="10873"/>
      <c r="R227" s="5196"/>
      <c r="S227" s="4855"/>
      <c r="T227" s="4855"/>
      <c r="U227" s="71"/>
      <c r="V227" s="4871"/>
      <c r="W227" s="64"/>
      <c r="X227" s="4914"/>
      <c r="Y227" s="4914"/>
      <c r="Z227" s="4914"/>
      <c r="AA227" s="4916"/>
      <c r="AB227" s="4882"/>
      <c r="AC227" s="1413"/>
      <c r="AD227" s="64"/>
      <c r="AE227" s="65"/>
      <c r="AF227" s="219"/>
      <c r="AG227" s="10795"/>
    </row>
    <row r="228" spans="1:107" s="6137" customFormat="1" ht="22.5" customHeight="1">
      <c r="A228" s="6243"/>
      <c r="B228" s="6133"/>
      <c r="C228" s="6133"/>
      <c r="D228" s="6133"/>
      <c r="E228" s="6133"/>
      <c r="F228" s="6133"/>
      <c r="G228" s="6133"/>
      <c r="H228" s="6133"/>
      <c r="I228" s="6133"/>
      <c r="J228" s="6133"/>
      <c r="K228" s="6133"/>
      <c r="L228" s="6047"/>
      <c r="M228" s="6047"/>
      <c r="N228" s="6047"/>
      <c r="O228" s="6133"/>
      <c r="P228" s="6133"/>
      <c r="Q228" s="6134"/>
      <c r="R228" s="5384" t="s">
        <v>4561</v>
      </c>
      <c r="S228" s="5320"/>
      <c r="T228" s="5320"/>
      <c r="U228" s="5269"/>
      <c r="V228" s="7465"/>
      <c r="W228" s="5269"/>
      <c r="X228" s="5320"/>
      <c r="Y228" s="5320"/>
      <c r="Z228" s="5321" t="s">
        <v>292</v>
      </c>
      <c r="AA228" s="7469">
        <f>SUM(AA168:AA227)</f>
        <v>860</v>
      </c>
      <c r="AB228" s="6135"/>
      <c r="AC228" s="6136"/>
      <c r="AD228" s="10874"/>
      <c r="AE228" s="10875"/>
      <c r="AF228" s="10875"/>
      <c r="AG228" s="10876"/>
    </row>
    <row r="229" spans="1:107" s="1395" customFormat="1" ht="78" customHeight="1">
      <c r="A229" s="10826" t="s">
        <v>4562</v>
      </c>
      <c r="B229" s="10730" t="s">
        <v>127</v>
      </c>
      <c r="C229" s="10733" t="s">
        <v>128</v>
      </c>
      <c r="D229" s="10733" t="s">
        <v>129</v>
      </c>
      <c r="E229" s="10733" t="s">
        <v>268</v>
      </c>
      <c r="F229" s="10752" t="s">
        <v>131</v>
      </c>
      <c r="G229" s="10733" t="s">
        <v>132</v>
      </c>
      <c r="H229" s="10733" t="s">
        <v>159</v>
      </c>
      <c r="I229" s="10753" t="s">
        <v>4945</v>
      </c>
      <c r="J229" s="10733" t="s">
        <v>4564</v>
      </c>
      <c r="K229" s="10747" t="s">
        <v>4565</v>
      </c>
      <c r="L229" s="10746">
        <v>10</v>
      </c>
      <c r="M229" s="10746">
        <v>10</v>
      </c>
      <c r="N229" s="10746">
        <v>10</v>
      </c>
      <c r="O229" s="10747" t="s">
        <v>4946</v>
      </c>
      <c r="P229" s="10747" t="s">
        <v>4947</v>
      </c>
      <c r="Q229" s="10792" t="s">
        <v>4948</v>
      </c>
      <c r="R229" s="5182"/>
      <c r="S229" s="5222"/>
      <c r="T229" s="5222"/>
      <c r="U229" s="5259"/>
      <c r="V229" s="5289"/>
      <c r="W229" s="5310"/>
      <c r="X229" s="7494"/>
      <c r="Y229" s="7494"/>
      <c r="Z229" s="7494"/>
      <c r="AA229" s="7495"/>
      <c r="AB229" s="5332"/>
      <c r="AC229" s="1405"/>
      <c r="AD229" s="5310"/>
      <c r="AE229" s="5345"/>
      <c r="AF229" s="5345"/>
      <c r="AG229" s="10780"/>
      <c r="AH229" s="1758"/>
      <c r="AI229" s="1758"/>
      <c r="AJ229" s="1758"/>
      <c r="AK229" s="1758"/>
      <c r="AL229" s="1758"/>
      <c r="AM229" s="1758"/>
      <c r="AN229" s="1758"/>
      <c r="AO229" s="1758"/>
      <c r="AP229" s="1758"/>
      <c r="AQ229" s="1758"/>
      <c r="AR229" s="1758"/>
      <c r="AS229" s="1758"/>
      <c r="AT229" s="1758"/>
      <c r="AU229" s="1758"/>
      <c r="AV229" s="1758"/>
      <c r="AW229" s="1758"/>
      <c r="AX229" s="1758"/>
      <c r="AY229" s="1758"/>
      <c r="AZ229" s="1758"/>
      <c r="BA229" s="1758"/>
      <c r="BB229" s="1758"/>
      <c r="BC229" s="1758"/>
      <c r="BD229" s="1758"/>
      <c r="BE229" s="1758"/>
      <c r="BF229" s="1758"/>
      <c r="BG229" s="1758"/>
      <c r="BH229" s="1758"/>
      <c r="BI229" s="1758"/>
      <c r="BJ229" s="1758"/>
      <c r="BK229" s="1758"/>
      <c r="BL229" s="1758"/>
      <c r="BM229" s="1758"/>
      <c r="BN229" s="1758"/>
      <c r="BO229" s="1758"/>
      <c r="BP229" s="1758"/>
      <c r="BQ229" s="1758"/>
      <c r="BR229" s="1758"/>
      <c r="BS229" s="1758"/>
      <c r="BT229" s="1758"/>
      <c r="BU229" s="1758"/>
      <c r="BV229" s="1758"/>
      <c r="BW229" s="1758"/>
      <c r="BX229" s="1758"/>
      <c r="BY229" s="1758"/>
      <c r="BZ229" s="1758"/>
      <c r="CA229" s="1758"/>
      <c r="CB229" s="1758"/>
      <c r="CC229" s="1758"/>
      <c r="CD229" s="1758"/>
      <c r="CE229" s="1758"/>
      <c r="CF229" s="1758"/>
      <c r="CG229" s="1758"/>
      <c r="CH229" s="1758"/>
      <c r="CI229" s="1758"/>
      <c r="CJ229" s="1758"/>
      <c r="CK229" s="1758"/>
      <c r="CL229" s="1758"/>
      <c r="CM229" s="1758"/>
      <c r="CN229" s="1758"/>
      <c r="CO229" s="1758"/>
      <c r="CP229" s="1758"/>
      <c r="CQ229" s="1758"/>
      <c r="CR229" s="1758"/>
      <c r="CS229" s="1758"/>
      <c r="CT229" s="1758"/>
      <c r="CU229" s="1758"/>
      <c r="CV229" s="1758"/>
      <c r="CW229" s="1758"/>
      <c r="CX229" s="1758"/>
      <c r="CY229" s="1758"/>
      <c r="CZ229" s="1758"/>
      <c r="DA229" s="1758"/>
      <c r="DB229" s="1758"/>
      <c r="DC229" s="1758"/>
    </row>
    <row r="230" spans="1:107" s="1395" customFormat="1" ht="78" customHeight="1">
      <c r="A230" s="10827"/>
      <c r="B230" s="10731"/>
      <c r="C230" s="10728"/>
      <c r="D230" s="10728"/>
      <c r="E230" s="10728"/>
      <c r="F230" s="10744"/>
      <c r="G230" s="10728"/>
      <c r="H230" s="10728"/>
      <c r="I230" s="10754"/>
      <c r="J230" s="10728"/>
      <c r="K230" s="10735"/>
      <c r="L230" s="10738"/>
      <c r="M230" s="10738"/>
      <c r="N230" s="10738"/>
      <c r="O230" s="10735"/>
      <c r="P230" s="10735"/>
      <c r="Q230" s="10750"/>
      <c r="R230" s="5171"/>
      <c r="S230" s="5213"/>
      <c r="T230" s="5213"/>
      <c r="U230" s="5247"/>
      <c r="V230" s="5279"/>
      <c r="W230" s="5300"/>
      <c r="X230" s="7473"/>
      <c r="Y230" s="7473"/>
      <c r="Z230" s="7473"/>
      <c r="AA230" s="7474"/>
      <c r="AB230" s="5323"/>
      <c r="AC230" s="1396"/>
      <c r="AD230" s="5300"/>
      <c r="AE230" s="5346"/>
      <c r="AF230" s="5346"/>
      <c r="AG230" s="10777"/>
      <c r="AH230" s="1758"/>
      <c r="AI230" s="1758"/>
      <c r="AJ230" s="1758"/>
      <c r="AK230" s="1758"/>
      <c r="AL230" s="1758"/>
      <c r="AM230" s="1758"/>
      <c r="AN230" s="1758"/>
      <c r="AO230" s="1758"/>
      <c r="AP230" s="1758"/>
      <c r="AQ230" s="1758"/>
      <c r="AR230" s="1758"/>
      <c r="AS230" s="1758"/>
      <c r="AT230" s="1758"/>
      <c r="AU230" s="1758"/>
      <c r="AV230" s="1758"/>
      <c r="AW230" s="1758"/>
      <c r="AX230" s="1758"/>
      <c r="AY230" s="1758"/>
      <c r="AZ230" s="1758"/>
      <c r="BA230" s="1758"/>
      <c r="BB230" s="1758"/>
      <c r="BC230" s="1758"/>
      <c r="BD230" s="1758"/>
      <c r="BE230" s="1758"/>
      <c r="BF230" s="1758"/>
      <c r="BG230" s="1758"/>
      <c r="BH230" s="1758"/>
      <c r="BI230" s="1758"/>
      <c r="BJ230" s="1758"/>
      <c r="BK230" s="1758"/>
      <c r="BL230" s="1758"/>
      <c r="BM230" s="1758"/>
      <c r="BN230" s="1758"/>
      <c r="BO230" s="1758"/>
      <c r="BP230" s="1758"/>
      <c r="BQ230" s="1758"/>
      <c r="BR230" s="1758"/>
      <c r="BS230" s="1758"/>
      <c r="BT230" s="1758"/>
      <c r="BU230" s="1758"/>
      <c r="BV230" s="1758"/>
      <c r="BW230" s="1758"/>
      <c r="BX230" s="1758"/>
      <c r="BY230" s="1758"/>
      <c r="BZ230" s="1758"/>
      <c r="CA230" s="1758"/>
      <c r="CB230" s="1758"/>
      <c r="CC230" s="1758"/>
      <c r="CD230" s="1758"/>
      <c r="CE230" s="1758"/>
      <c r="CF230" s="1758"/>
      <c r="CG230" s="1758"/>
      <c r="CH230" s="1758"/>
      <c r="CI230" s="1758"/>
      <c r="CJ230" s="1758"/>
      <c r="CK230" s="1758"/>
      <c r="CL230" s="1758"/>
      <c r="CM230" s="1758"/>
      <c r="CN230" s="1758"/>
      <c r="CO230" s="1758"/>
      <c r="CP230" s="1758"/>
      <c r="CQ230" s="1758"/>
      <c r="CR230" s="1758"/>
      <c r="CS230" s="1758"/>
      <c r="CT230" s="1758"/>
      <c r="CU230" s="1758"/>
      <c r="CV230" s="1758"/>
      <c r="CW230" s="1758"/>
      <c r="CX230" s="1758"/>
      <c r="CY230" s="1758"/>
      <c r="CZ230" s="1758"/>
      <c r="DA230" s="1758"/>
      <c r="DB230" s="1758"/>
      <c r="DC230" s="1758"/>
    </row>
    <row r="231" spans="1:107" s="1395" customFormat="1" ht="78" customHeight="1">
      <c r="A231" s="10827"/>
      <c r="B231" s="10731"/>
      <c r="C231" s="10728"/>
      <c r="D231" s="10728"/>
      <c r="E231" s="10728"/>
      <c r="F231" s="10744"/>
      <c r="G231" s="10728"/>
      <c r="H231" s="10728"/>
      <c r="I231" s="10754"/>
      <c r="J231" s="10728"/>
      <c r="K231" s="10735"/>
      <c r="L231" s="10738"/>
      <c r="M231" s="10738"/>
      <c r="N231" s="10738"/>
      <c r="O231" s="10735"/>
      <c r="P231" s="10735"/>
      <c r="Q231" s="10750"/>
      <c r="R231" s="5174"/>
      <c r="S231" s="5214"/>
      <c r="T231" s="5214"/>
      <c r="U231" s="5250"/>
      <c r="V231" s="5281"/>
      <c r="W231" s="5302"/>
      <c r="X231" s="7477"/>
      <c r="Y231" s="7473"/>
      <c r="Z231" s="7473"/>
      <c r="AA231" s="7474"/>
      <c r="AB231" s="5323"/>
      <c r="AC231" s="1396"/>
      <c r="AD231" s="5300"/>
      <c r="AE231" s="5346"/>
      <c r="AF231" s="5346"/>
      <c r="AG231" s="10777"/>
      <c r="AH231" s="1758"/>
      <c r="AI231" s="1758"/>
      <c r="AJ231" s="1758"/>
      <c r="AK231" s="1758"/>
      <c r="AL231" s="1758"/>
      <c r="AM231" s="1758"/>
      <c r="AN231" s="1758"/>
      <c r="AO231" s="1758"/>
      <c r="AP231" s="1758"/>
      <c r="AQ231" s="1758"/>
      <c r="AR231" s="1758"/>
      <c r="AS231" s="1758"/>
      <c r="AT231" s="1758"/>
      <c r="AU231" s="1758"/>
      <c r="AV231" s="1758"/>
      <c r="AW231" s="1758"/>
      <c r="AX231" s="1758"/>
      <c r="AY231" s="1758"/>
      <c r="AZ231" s="1758"/>
      <c r="BA231" s="1758"/>
      <c r="BB231" s="1758"/>
      <c r="BC231" s="1758"/>
      <c r="BD231" s="1758"/>
      <c r="BE231" s="1758"/>
      <c r="BF231" s="1758"/>
      <c r="BG231" s="1758"/>
      <c r="BH231" s="1758"/>
      <c r="BI231" s="1758"/>
      <c r="BJ231" s="1758"/>
      <c r="BK231" s="1758"/>
      <c r="BL231" s="1758"/>
      <c r="BM231" s="1758"/>
      <c r="BN231" s="1758"/>
      <c r="BO231" s="1758"/>
      <c r="BP231" s="1758"/>
      <c r="BQ231" s="1758"/>
      <c r="BR231" s="1758"/>
      <c r="BS231" s="1758"/>
      <c r="BT231" s="1758"/>
      <c r="BU231" s="1758"/>
      <c r="BV231" s="1758"/>
      <c r="BW231" s="1758"/>
      <c r="BX231" s="1758"/>
      <c r="BY231" s="1758"/>
      <c r="BZ231" s="1758"/>
      <c r="CA231" s="1758"/>
      <c r="CB231" s="1758"/>
      <c r="CC231" s="1758"/>
      <c r="CD231" s="1758"/>
      <c r="CE231" s="1758"/>
      <c r="CF231" s="1758"/>
      <c r="CG231" s="1758"/>
      <c r="CH231" s="1758"/>
      <c r="CI231" s="1758"/>
      <c r="CJ231" s="1758"/>
      <c r="CK231" s="1758"/>
      <c r="CL231" s="1758"/>
      <c r="CM231" s="1758"/>
      <c r="CN231" s="1758"/>
      <c r="CO231" s="1758"/>
      <c r="CP231" s="1758"/>
      <c r="CQ231" s="1758"/>
      <c r="CR231" s="1758"/>
      <c r="CS231" s="1758"/>
      <c r="CT231" s="1758"/>
      <c r="CU231" s="1758"/>
      <c r="CV231" s="1758"/>
      <c r="CW231" s="1758"/>
      <c r="CX231" s="1758"/>
      <c r="CY231" s="1758"/>
      <c r="CZ231" s="1758"/>
      <c r="DA231" s="1758"/>
      <c r="DB231" s="1758"/>
      <c r="DC231" s="1758"/>
    </row>
    <row r="232" spans="1:107" s="1395" customFormat="1" ht="78" customHeight="1">
      <c r="A232" s="10827"/>
      <c r="B232" s="10731"/>
      <c r="C232" s="10728"/>
      <c r="D232" s="10728"/>
      <c r="E232" s="10728"/>
      <c r="F232" s="10744"/>
      <c r="G232" s="10728"/>
      <c r="H232" s="10728"/>
      <c r="I232" s="10754"/>
      <c r="J232" s="10728"/>
      <c r="K232" s="10735"/>
      <c r="L232" s="10738"/>
      <c r="M232" s="10738"/>
      <c r="N232" s="10738"/>
      <c r="O232" s="10735"/>
      <c r="P232" s="10735"/>
      <c r="Q232" s="10750"/>
      <c r="R232" s="5173"/>
      <c r="S232" s="5212"/>
      <c r="T232" s="5212"/>
      <c r="U232" s="5250"/>
      <c r="V232" s="5281"/>
      <c r="W232" s="5302"/>
      <c r="X232" s="7477"/>
      <c r="Y232" s="7473"/>
      <c r="Z232" s="7473"/>
      <c r="AA232" s="7474"/>
      <c r="AB232" s="5323"/>
      <c r="AC232" s="1396"/>
      <c r="AD232" s="5300"/>
      <c r="AE232" s="5346"/>
      <c r="AF232" s="5346"/>
      <c r="AG232" s="10777"/>
      <c r="AH232" s="1758"/>
      <c r="AI232" s="1758"/>
      <c r="AJ232" s="1758"/>
      <c r="AK232" s="1758"/>
      <c r="AL232" s="1758"/>
      <c r="AM232" s="1758"/>
      <c r="AN232" s="1758"/>
      <c r="AO232" s="1758"/>
      <c r="AP232" s="1758"/>
      <c r="AQ232" s="1758"/>
      <c r="AR232" s="1758"/>
      <c r="AS232" s="1758"/>
      <c r="AT232" s="1758"/>
      <c r="AU232" s="1758"/>
      <c r="AV232" s="1758"/>
      <c r="AW232" s="1758"/>
      <c r="AX232" s="1758"/>
      <c r="AY232" s="1758"/>
      <c r="AZ232" s="1758"/>
      <c r="BA232" s="1758"/>
      <c r="BB232" s="1758"/>
      <c r="BC232" s="1758"/>
      <c r="BD232" s="1758"/>
      <c r="BE232" s="1758"/>
      <c r="BF232" s="1758"/>
      <c r="BG232" s="1758"/>
      <c r="BH232" s="1758"/>
      <c r="BI232" s="1758"/>
      <c r="BJ232" s="1758"/>
      <c r="BK232" s="1758"/>
      <c r="BL232" s="1758"/>
      <c r="BM232" s="1758"/>
      <c r="BN232" s="1758"/>
      <c r="BO232" s="1758"/>
      <c r="BP232" s="1758"/>
      <c r="BQ232" s="1758"/>
      <c r="BR232" s="1758"/>
      <c r="BS232" s="1758"/>
      <c r="BT232" s="1758"/>
      <c r="BU232" s="1758"/>
      <c r="BV232" s="1758"/>
      <c r="BW232" s="1758"/>
      <c r="BX232" s="1758"/>
      <c r="BY232" s="1758"/>
      <c r="BZ232" s="1758"/>
      <c r="CA232" s="1758"/>
      <c r="CB232" s="1758"/>
      <c r="CC232" s="1758"/>
      <c r="CD232" s="1758"/>
      <c r="CE232" s="1758"/>
      <c r="CF232" s="1758"/>
      <c r="CG232" s="1758"/>
      <c r="CH232" s="1758"/>
      <c r="CI232" s="1758"/>
      <c r="CJ232" s="1758"/>
      <c r="CK232" s="1758"/>
      <c r="CL232" s="1758"/>
      <c r="CM232" s="1758"/>
      <c r="CN232" s="1758"/>
      <c r="CO232" s="1758"/>
      <c r="CP232" s="1758"/>
      <c r="CQ232" s="1758"/>
      <c r="CR232" s="1758"/>
      <c r="CS232" s="1758"/>
      <c r="CT232" s="1758"/>
      <c r="CU232" s="1758"/>
      <c r="CV232" s="1758"/>
      <c r="CW232" s="1758"/>
      <c r="CX232" s="1758"/>
      <c r="CY232" s="1758"/>
      <c r="CZ232" s="1758"/>
      <c r="DA232" s="1758"/>
      <c r="DB232" s="1758"/>
      <c r="DC232" s="1758"/>
    </row>
    <row r="233" spans="1:107" s="1395" customFormat="1" ht="78" customHeight="1">
      <c r="A233" s="10827"/>
      <c r="B233" s="10732"/>
      <c r="C233" s="10729"/>
      <c r="D233" s="10729"/>
      <c r="E233" s="10729"/>
      <c r="F233" s="10745"/>
      <c r="G233" s="10729"/>
      <c r="H233" s="10729"/>
      <c r="I233" s="10755"/>
      <c r="J233" s="10729"/>
      <c r="K233" s="10736"/>
      <c r="L233" s="10739"/>
      <c r="M233" s="10739"/>
      <c r="N233" s="10739"/>
      <c r="O233" s="10736"/>
      <c r="P233" s="10736"/>
      <c r="Q233" s="10751"/>
      <c r="R233" s="5175"/>
      <c r="S233" s="5215"/>
      <c r="T233" s="5215"/>
      <c r="U233" s="5251"/>
      <c r="V233" s="5282"/>
      <c r="W233" s="5303"/>
      <c r="X233" s="7479"/>
      <c r="Y233" s="7479"/>
      <c r="Z233" s="7479"/>
      <c r="AA233" s="7480"/>
      <c r="AB233" s="5326"/>
      <c r="AC233" s="1399"/>
      <c r="AD233" s="5303"/>
      <c r="AE233" s="5348"/>
      <c r="AF233" s="5348"/>
      <c r="AG233" s="10778"/>
      <c r="AH233" s="1758"/>
      <c r="AI233" s="1758"/>
      <c r="AJ233" s="1758"/>
      <c r="AK233" s="1758"/>
      <c r="AL233" s="1758"/>
      <c r="AM233" s="1758"/>
      <c r="AN233" s="1758"/>
      <c r="AO233" s="1758"/>
      <c r="AP233" s="1758"/>
      <c r="AQ233" s="1758"/>
      <c r="AR233" s="1758"/>
      <c r="AS233" s="1758"/>
      <c r="AT233" s="1758"/>
      <c r="AU233" s="1758"/>
      <c r="AV233" s="1758"/>
      <c r="AW233" s="1758"/>
      <c r="AX233" s="1758"/>
      <c r="AY233" s="1758"/>
      <c r="AZ233" s="1758"/>
      <c r="BA233" s="1758"/>
      <c r="BB233" s="1758"/>
      <c r="BC233" s="1758"/>
      <c r="BD233" s="1758"/>
      <c r="BE233" s="1758"/>
      <c r="BF233" s="1758"/>
      <c r="BG233" s="1758"/>
      <c r="BH233" s="1758"/>
      <c r="BI233" s="1758"/>
      <c r="BJ233" s="1758"/>
      <c r="BK233" s="1758"/>
      <c r="BL233" s="1758"/>
      <c r="BM233" s="1758"/>
      <c r="BN233" s="1758"/>
      <c r="BO233" s="1758"/>
      <c r="BP233" s="1758"/>
      <c r="BQ233" s="1758"/>
      <c r="BR233" s="1758"/>
      <c r="BS233" s="1758"/>
      <c r="BT233" s="1758"/>
      <c r="BU233" s="1758"/>
      <c r="BV233" s="1758"/>
      <c r="BW233" s="1758"/>
      <c r="BX233" s="1758"/>
      <c r="BY233" s="1758"/>
      <c r="BZ233" s="1758"/>
      <c r="CA233" s="1758"/>
      <c r="CB233" s="1758"/>
      <c r="CC233" s="1758"/>
      <c r="CD233" s="1758"/>
      <c r="CE233" s="1758"/>
      <c r="CF233" s="1758"/>
      <c r="CG233" s="1758"/>
      <c r="CH233" s="1758"/>
      <c r="CI233" s="1758"/>
      <c r="CJ233" s="1758"/>
      <c r="CK233" s="1758"/>
      <c r="CL233" s="1758"/>
      <c r="CM233" s="1758"/>
      <c r="CN233" s="1758"/>
      <c r="CO233" s="1758"/>
      <c r="CP233" s="1758"/>
      <c r="CQ233" s="1758"/>
      <c r="CR233" s="1758"/>
      <c r="CS233" s="1758"/>
      <c r="CT233" s="1758"/>
      <c r="CU233" s="1758"/>
      <c r="CV233" s="1758"/>
      <c r="CW233" s="1758"/>
      <c r="CX233" s="1758"/>
      <c r="CY233" s="1758"/>
      <c r="CZ233" s="1758"/>
      <c r="DA233" s="1758"/>
      <c r="DB233" s="1758"/>
      <c r="DC233" s="1758"/>
    </row>
    <row r="234" spans="1:107" s="1395" customFormat="1" ht="25.5" customHeight="1">
      <c r="A234" s="10827"/>
      <c r="B234" s="10731" t="s">
        <v>127</v>
      </c>
      <c r="C234" s="10728" t="s">
        <v>128</v>
      </c>
      <c r="D234" s="10728" t="s">
        <v>129</v>
      </c>
      <c r="E234" s="10728" t="s">
        <v>268</v>
      </c>
      <c r="F234" s="10744" t="s">
        <v>131</v>
      </c>
      <c r="G234" s="10728" t="s">
        <v>132</v>
      </c>
      <c r="H234" s="10728" t="s">
        <v>159</v>
      </c>
      <c r="I234" s="10728" t="s">
        <v>4949</v>
      </c>
      <c r="J234" s="10728" t="s">
        <v>4570</v>
      </c>
      <c r="K234" s="10735" t="s">
        <v>4950</v>
      </c>
      <c r="L234" s="10759">
        <v>350</v>
      </c>
      <c r="M234" s="10758">
        <v>400</v>
      </c>
      <c r="N234" s="10759">
        <v>450</v>
      </c>
      <c r="O234" s="10735" t="s">
        <v>4951</v>
      </c>
      <c r="P234" s="10735" t="s">
        <v>4952</v>
      </c>
      <c r="Q234" s="10750" t="s">
        <v>4948</v>
      </c>
      <c r="R234" s="8407" t="s">
        <v>4831</v>
      </c>
      <c r="S234" s="8261">
        <v>840107</v>
      </c>
      <c r="T234" s="8270"/>
      <c r="U234" s="8263" t="s">
        <v>40</v>
      </c>
      <c r="V234" s="8264"/>
      <c r="W234" s="8265"/>
      <c r="X234" s="8266"/>
      <c r="Y234" s="8266"/>
      <c r="Z234" s="8266"/>
      <c r="AA234" s="8267">
        <f>+Z235+Z236</f>
        <v>430</v>
      </c>
      <c r="AB234" s="8268" t="s">
        <v>18</v>
      </c>
      <c r="AC234" s="1414"/>
      <c r="AD234" s="53"/>
      <c r="AE234" s="73"/>
      <c r="AF234" s="435"/>
      <c r="AG234" s="10777"/>
      <c r="AH234" s="1758"/>
      <c r="AI234" s="1758"/>
      <c r="AJ234" s="1758"/>
      <c r="AK234" s="1758"/>
      <c r="AL234" s="1758"/>
      <c r="AM234" s="1758"/>
      <c r="AN234" s="1758"/>
      <c r="AO234" s="1758"/>
      <c r="AP234" s="1758"/>
      <c r="AQ234" s="1758"/>
      <c r="AR234" s="1758"/>
      <c r="AS234" s="1758"/>
      <c r="AT234" s="1758"/>
      <c r="AU234" s="1758"/>
      <c r="AV234" s="1758"/>
      <c r="AW234" s="1758"/>
      <c r="AX234" s="1758"/>
      <c r="AY234" s="1758"/>
      <c r="AZ234" s="1758"/>
      <c r="BA234" s="1758"/>
      <c r="BB234" s="1758"/>
      <c r="BC234" s="1758"/>
      <c r="BD234" s="1758"/>
      <c r="BE234" s="1758"/>
      <c r="BF234" s="1758"/>
      <c r="BG234" s="1758"/>
      <c r="BH234" s="1758"/>
      <c r="BI234" s="1758"/>
      <c r="BJ234" s="1758"/>
      <c r="BK234" s="1758"/>
      <c r="BL234" s="1758"/>
      <c r="BM234" s="1758"/>
      <c r="BN234" s="1758"/>
      <c r="BO234" s="1758"/>
      <c r="BP234" s="1758"/>
      <c r="BQ234" s="1758"/>
      <c r="BR234" s="1758"/>
      <c r="BS234" s="1758"/>
      <c r="BT234" s="1758"/>
      <c r="BU234" s="1758"/>
      <c r="BV234" s="1758"/>
      <c r="BW234" s="1758"/>
      <c r="BX234" s="1758"/>
      <c r="BY234" s="1758"/>
      <c r="BZ234" s="1758"/>
      <c r="CA234" s="1758"/>
      <c r="CB234" s="1758"/>
      <c r="CC234" s="1758"/>
      <c r="CD234" s="1758"/>
      <c r="CE234" s="1758"/>
      <c r="CF234" s="1758"/>
      <c r="CG234" s="1758"/>
      <c r="CH234" s="1758"/>
      <c r="CI234" s="1758"/>
      <c r="CJ234" s="1758"/>
      <c r="CK234" s="1758"/>
      <c r="CL234" s="1758"/>
      <c r="CM234" s="1758"/>
      <c r="CN234" s="1758"/>
      <c r="CO234" s="1758"/>
      <c r="CP234" s="1758"/>
      <c r="CQ234" s="1758"/>
      <c r="CR234" s="1758"/>
      <c r="CS234" s="1758"/>
      <c r="CT234" s="1758"/>
      <c r="CU234" s="1758"/>
      <c r="CV234" s="1758"/>
      <c r="CW234" s="1758"/>
      <c r="CX234" s="1758"/>
      <c r="CY234" s="1758"/>
      <c r="CZ234" s="1758"/>
      <c r="DA234" s="1758"/>
      <c r="DB234" s="1758"/>
      <c r="DC234" s="1758"/>
    </row>
    <row r="235" spans="1:107" s="1395" customFormat="1" ht="25.5" customHeight="1">
      <c r="A235" s="10827"/>
      <c r="B235" s="10731"/>
      <c r="C235" s="10728"/>
      <c r="D235" s="10728"/>
      <c r="E235" s="10728"/>
      <c r="F235" s="10744"/>
      <c r="G235" s="10728"/>
      <c r="H235" s="10728"/>
      <c r="I235" s="10728"/>
      <c r="J235" s="10728"/>
      <c r="K235" s="10735"/>
      <c r="L235" s="10759"/>
      <c r="M235" s="10759"/>
      <c r="N235" s="10759"/>
      <c r="O235" s="10735"/>
      <c r="P235" s="10735"/>
      <c r="Q235" s="10750"/>
      <c r="R235" s="5193"/>
      <c r="S235" s="4853"/>
      <c r="T235" s="4853"/>
      <c r="U235" s="8408" t="s">
        <v>4895</v>
      </c>
      <c r="V235" s="8097">
        <v>1</v>
      </c>
      <c r="W235" s="8098" t="s">
        <v>180</v>
      </c>
      <c r="X235" s="7981">
        <v>430</v>
      </c>
      <c r="Y235" s="7981">
        <f>X235*V235</f>
        <v>430</v>
      </c>
      <c r="Z235" s="7981">
        <f>Y235</f>
        <v>430</v>
      </c>
      <c r="AA235" s="4911"/>
      <c r="AB235" s="4880"/>
      <c r="AC235" s="1412"/>
      <c r="AD235" s="48"/>
      <c r="AE235" s="51"/>
      <c r="AF235" s="218" t="s">
        <v>153</v>
      </c>
      <c r="AG235" s="10777"/>
      <c r="AH235" s="1758"/>
      <c r="AI235" s="1758"/>
      <c r="AJ235" s="1758"/>
      <c r="AK235" s="1758"/>
      <c r="AL235" s="1758"/>
      <c r="AM235" s="1758"/>
      <c r="AN235" s="1758"/>
      <c r="AO235" s="1758"/>
      <c r="AP235" s="1758"/>
      <c r="AQ235" s="1758"/>
      <c r="AR235" s="1758"/>
      <c r="AS235" s="1758"/>
      <c r="AT235" s="1758"/>
      <c r="AU235" s="1758"/>
      <c r="AV235" s="1758"/>
      <c r="AW235" s="1758"/>
      <c r="AX235" s="1758"/>
      <c r="AY235" s="1758"/>
      <c r="AZ235" s="1758"/>
      <c r="BA235" s="1758"/>
      <c r="BB235" s="1758"/>
      <c r="BC235" s="1758"/>
      <c r="BD235" s="1758"/>
      <c r="BE235" s="1758"/>
      <c r="BF235" s="1758"/>
      <c r="BG235" s="1758"/>
      <c r="BH235" s="1758"/>
      <c r="BI235" s="1758"/>
      <c r="BJ235" s="1758"/>
      <c r="BK235" s="1758"/>
      <c r="BL235" s="1758"/>
      <c r="BM235" s="1758"/>
      <c r="BN235" s="1758"/>
      <c r="BO235" s="1758"/>
      <c r="BP235" s="1758"/>
      <c r="BQ235" s="1758"/>
      <c r="BR235" s="1758"/>
      <c r="BS235" s="1758"/>
      <c r="BT235" s="1758"/>
      <c r="BU235" s="1758"/>
      <c r="BV235" s="1758"/>
      <c r="BW235" s="1758"/>
      <c r="BX235" s="1758"/>
      <c r="BY235" s="1758"/>
      <c r="BZ235" s="1758"/>
      <c r="CA235" s="1758"/>
      <c r="CB235" s="1758"/>
      <c r="CC235" s="1758"/>
      <c r="CD235" s="1758"/>
      <c r="CE235" s="1758"/>
      <c r="CF235" s="1758"/>
      <c r="CG235" s="1758"/>
      <c r="CH235" s="1758"/>
      <c r="CI235" s="1758"/>
      <c r="CJ235" s="1758"/>
      <c r="CK235" s="1758"/>
      <c r="CL235" s="1758"/>
      <c r="CM235" s="1758"/>
      <c r="CN235" s="1758"/>
      <c r="CO235" s="1758"/>
      <c r="CP235" s="1758"/>
      <c r="CQ235" s="1758"/>
      <c r="CR235" s="1758"/>
      <c r="CS235" s="1758"/>
      <c r="CT235" s="1758"/>
      <c r="CU235" s="1758"/>
      <c r="CV235" s="1758"/>
      <c r="CW235" s="1758"/>
      <c r="CX235" s="1758"/>
      <c r="CY235" s="1758"/>
      <c r="CZ235" s="1758"/>
      <c r="DA235" s="1758"/>
      <c r="DB235" s="1758"/>
      <c r="DC235" s="1758"/>
    </row>
    <row r="236" spans="1:107" s="1395" customFormat="1" ht="25.5" customHeight="1">
      <c r="A236" s="10827"/>
      <c r="B236" s="10731"/>
      <c r="C236" s="10728"/>
      <c r="D236" s="10728"/>
      <c r="E236" s="10728"/>
      <c r="F236" s="10744"/>
      <c r="G236" s="10728"/>
      <c r="H236" s="10728"/>
      <c r="I236" s="10728"/>
      <c r="J236" s="10728"/>
      <c r="K236" s="10735"/>
      <c r="L236" s="10759"/>
      <c r="M236" s="10759"/>
      <c r="N236" s="10759"/>
      <c r="O236" s="10735"/>
      <c r="P236" s="10735"/>
      <c r="Q236" s="10750"/>
      <c r="R236" s="5174"/>
      <c r="S236" s="5214"/>
      <c r="T236" s="5214"/>
      <c r="U236" s="5250"/>
      <c r="V236" s="5281"/>
      <c r="W236" s="5302"/>
      <c r="X236" s="7477"/>
      <c r="Y236" s="7473"/>
      <c r="Z236" s="7473"/>
      <c r="AA236" s="7474"/>
      <c r="AB236" s="5323"/>
      <c r="AC236" s="1396"/>
      <c r="AD236" s="5300"/>
      <c r="AE236" s="5346"/>
      <c r="AF236" s="5346"/>
      <c r="AG236" s="10777"/>
      <c r="AH236" s="1758"/>
      <c r="AI236" s="1758"/>
      <c r="AJ236" s="1758"/>
      <c r="AK236" s="1758"/>
      <c r="AL236" s="1758"/>
      <c r="AM236" s="1758"/>
      <c r="AN236" s="1758"/>
      <c r="AO236" s="1758"/>
      <c r="AP236" s="1758"/>
      <c r="AQ236" s="1758"/>
      <c r="AR236" s="1758"/>
      <c r="AS236" s="1758"/>
      <c r="AT236" s="1758"/>
      <c r="AU236" s="1758"/>
      <c r="AV236" s="1758"/>
      <c r="AW236" s="1758"/>
      <c r="AX236" s="1758"/>
      <c r="AY236" s="1758"/>
      <c r="AZ236" s="1758"/>
      <c r="BA236" s="1758"/>
      <c r="BB236" s="1758"/>
      <c r="BC236" s="1758"/>
      <c r="BD236" s="1758"/>
      <c r="BE236" s="1758"/>
      <c r="BF236" s="1758"/>
      <c r="BG236" s="1758"/>
      <c r="BH236" s="1758"/>
      <c r="BI236" s="1758"/>
      <c r="BJ236" s="1758"/>
      <c r="BK236" s="1758"/>
      <c r="BL236" s="1758"/>
      <c r="BM236" s="1758"/>
      <c r="BN236" s="1758"/>
      <c r="BO236" s="1758"/>
      <c r="BP236" s="1758"/>
      <c r="BQ236" s="1758"/>
      <c r="BR236" s="1758"/>
      <c r="BS236" s="1758"/>
      <c r="BT236" s="1758"/>
      <c r="BU236" s="1758"/>
      <c r="BV236" s="1758"/>
      <c r="BW236" s="1758"/>
      <c r="BX236" s="1758"/>
      <c r="BY236" s="1758"/>
      <c r="BZ236" s="1758"/>
      <c r="CA236" s="1758"/>
      <c r="CB236" s="1758"/>
      <c r="CC236" s="1758"/>
      <c r="CD236" s="1758"/>
      <c r="CE236" s="1758"/>
      <c r="CF236" s="1758"/>
      <c r="CG236" s="1758"/>
      <c r="CH236" s="1758"/>
      <c r="CI236" s="1758"/>
      <c r="CJ236" s="1758"/>
      <c r="CK236" s="1758"/>
      <c r="CL236" s="1758"/>
      <c r="CM236" s="1758"/>
      <c r="CN236" s="1758"/>
      <c r="CO236" s="1758"/>
      <c r="CP236" s="1758"/>
      <c r="CQ236" s="1758"/>
      <c r="CR236" s="1758"/>
      <c r="CS236" s="1758"/>
      <c r="CT236" s="1758"/>
      <c r="CU236" s="1758"/>
      <c r="CV236" s="1758"/>
      <c r="CW236" s="1758"/>
      <c r="CX236" s="1758"/>
      <c r="CY236" s="1758"/>
      <c r="CZ236" s="1758"/>
      <c r="DA236" s="1758"/>
      <c r="DB236" s="1758"/>
      <c r="DC236" s="1758"/>
    </row>
    <row r="237" spans="1:107" s="1395" customFormat="1" ht="25.5" customHeight="1">
      <c r="A237" s="10827"/>
      <c r="B237" s="10731"/>
      <c r="C237" s="10728"/>
      <c r="D237" s="10728"/>
      <c r="E237" s="10728"/>
      <c r="F237" s="10744"/>
      <c r="G237" s="10728"/>
      <c r="H237" s="10728"/>
      <c r="I237" s="10728"/>
      <c r="J237" s="10728"/>
      <c r="K237" s="10735"/>
      <c r="L237" s="10759"/>
      <c r="M237" s="10759"/>
      <c r="N237" s="10759"/>
      <c r="O237" s="10735"/>
      <c r="P237" s="10735"/>
      <c r="Q237" s="10750"/>
      <c r="R237" s="5173"/>
      <c r="S237" s="5212"/>
      <c r="T237" s="5212"/>
      <c r="U237" s="5250"/>
      <c r="V237" s="5281"/>
      <c r="W237" s="5302"/>
      <c r="X237" s="7477"/>
      <c r="Y237" s="7473"/>
      <c r="Z237" s="7473"/>
      <c r="AA237" s="7474"/>
      <c r="AB237" s="5323"/>
      <c r="AC237" s="1396"/>
      <c r="AD237" s="5300"/>
      <c r="AE237" s="5346"/>
      <c r="AF237" s="5346"/>
      <c r="AG237" s="10777"/>
      <c r="AH237" s="1758"/>
      <c r="AI237" s="1758"/>
      <c r="AJ237" s="1758"/>
      <c r="AK237" s="1758"/>
      <c r="AL237" s="1758"/>
      <c r="AM237" s="1758"/>
      <c r="AN237" s="1758"/>
      <c r="AO237" s="1758"/>
      <c r="AP237" s="1758"/>
      <c r="AQ237" s="1758"/>
      <c r="AR237" s="1758"/>
      <c r="AS237" s="1758"/>
      <c r="AT237" s="1758"/>
      <c r="AU237" s="1758"/>
      <c r="AV237" s="1758"/>
      <c r="AW237" s="1758"/>
      <c r="AX237" s="1758"/>
      <c r="AY237" s="1758"/>
      <c r="AZ237" s="1758"/>
      <c r="BA237" s="1758"/>
      <c r="BB237" s="1758"/>
      <c r="BC237" s="1758"/>
      <c r="BD237" s="1758"/>
      <c r="BE237" s="1758"/>
      <c r="BF237" s="1758"/>
      <c r="BG237" s="1758"/>
      <c r="BH237" s="1758"/>
      <c r="BI237" s="1758"/>
      <c r="BJ237" s="1758"/>
      <c r="BK237" s="1758"/>
      <c r="BL237" s="1758"/>
      <c r="BM237" s="1758"/>
      <c r="BN237" s="1758"/>
      <c r="BO237" s="1758"/>
      <c r="BP237" s="1758"/>
      <c r="BQ237" s="1758"/>
      <c r="BR237" s="1758"/>
      <c r="BS237" s="1758"/>
      <c r="BT237" s="1758"/>
      <c r="BU237" s="1758"/>
      <c r="BV237" s="1758"/>
      <c r="BW237" s="1758"/>
      <c r="BX237" s="1758"/>
      <c r="BY237" s="1758"/>
      <c r="BZ237" s="1758"/>
      <c r="CA237" s="1758"/>
      <c r="CB237" s="1758"/>
      <c r="CC237" s="1758"/>
      <c r="CD237" s="1758"/>
      <c r="CE237" s="1758"/>
      <c r="CF237" s="1758"/>
      <c r="CG237" s="1758"/>
      <c r="CH237" s="1758"/>
      <c r="CI237" s="1758"/>
      <c r="CJ237" s="1758"/>
      <c r="CK237" s="1758"/>
      <c r="CL237" s="1758"/>
      <c r="CM237" s="1758"/>
      <c r="CN237" s="1758"/>
      <c r="CO237" s="1758"/>
      <c r="CP237" s="1758"/>
      <c r="CQ237" s="1758"/>
      <c r="CR237" s="1758"/>
      <c r="CS237" s="1758"/>
      <c r="CT237" s="1758"/>
      <c r="CU237" s="1758"/>
      <c r="CV237" s="1758"/>
      <c r="CW237" s="1758"/>
      <c r="CX237" s="1758"/>
      <c r="CY237" s="1758"/>
      <c r="CZ237" s="1758"/>
      <c r="DA237" s="1758"/>
      <c r="DB237" s="1758"/>
      <c r="DC237" s="1758"/>
    </row>
    <row r="238" spans="1:107" s="1395" customFormat="1" ht="25.5" customHeight="1">
      <c r="A238" s="10827"/>
      <c r="B238" s="10732"/>
      <c r="C238" s="10729"/>
      <c r="D238" s="10729"/>
      <c r="E238" s="10729"/>
      <c r="F238" s="10745"/>
      <c r="G238" s="10729"/>
      <c r="H238" s="10729"/>
      <c r="I238" s="10729"/>
      <c r="J238" s="10728"/>
      <c r="K238" s="10736"/>
      <c r="L238" s="10760"/>
      <c r="M238" s="10760"/>
      <c r="N238" s="10760"/>
      <c r="O238" s="10736"/>
      <c r="P238" s="10736"/>
      <c r="Q238" s="10751"/>
      <c r="R238" s="5175"/>
      <c r="S238" s="5215"/>
      <c r="T238" s="5215"/>
      <c r="U238" s="5251"/>
      <c r="V238" s="5282"/>
      <c r="W238" s="5303"/>
      <c r="X238" s="7479"/>
      <c r="Y238" s="7479"/>
      <c r="Z238" s="7479"/>
      <c r="AA238" s="7480"/>
      <c r="AB238" s="5326"/>
      <c r="AC238" s="1399"/>
      <c r="AD238" s="5303"/>
      <c r="AE238" s="5348"/>
      <c r="AF238" s="5348"/>
      <c r="AG238" s="10778"/>
      <c r="AH238" s="1758"/>
      <c r="AI238" s="1758"/>
      <c r="AJ238" s="1758"/>
      <c r="AK238" s="1758"/>
      <c r="AL238" s="1758"/>
      <c r="AM238" s="1758"/>
      <c r="AN238" s="1758"/>
      <c r="AO238" s="1758"/>
      <c r="AP238" s="1758"/>
      <c r="AQ238" s="1758"/>
      <c r="AR238" s="1758"/>
      <c r="AS238" s="1758"/>
      <c r="AT238" s="1758"/>
      <c r="AU238" s="1758"/>
      <c r="AV238" s="1758"/>
      <c r="AW238" s="1758"/>
      <c r="AX238" s="1758"/>
      <c r="AY238" s="1758"/>
      <c r="AZ238" s="1758"/>
      <c r="BA238" s="1758"/>
      <c r="BB238" s="1758"/>
      <c r="BC238" s="1758"/>
      <c r="BD238" s="1758"/>
      <c r="BE238" s="1758"/>
      <c r="BF238" s="1758"/>
      <c r="BG238" s="1758"/>
      <c r="BH238" s="1758"/>
      <c r="BI238" s="1758"/>
      <c r="BJ238" s="1758"/>
      <c r="BK238" s="1758"/>
      <c r="BL238" s="1758"/>
      <c r="BM238" s="1758"/>
      <c r="BN238" s="1758"/>
      <c r="BO238" s="1758"/>
      <c r="BP238" s="1758"/>
      <c r="BQ238" s="1758"/>
      <c r="BR238" s="1758"/>
      <c r="BS238" s="1758"/>
      <c r="BT238" s="1758"/>
      <c r="BU238" s="1758"/>
      <c r="BV238" s="1758"/>
      <c r="BW238" s="1758"/>
      <c r="BX238" s="1758"/>
      <c r="BY238" s="1758"/>
      <c r="BZ238" s="1758"/>
      <c r="CA238" s="1758"/>
      <c r="CB238" s="1758"/>
      <c r="CC238" s="1758"/>
      <c r="CD238" s="1758"/>
      <c r="CE238" s="1758"/>
      <c r="CF238" s="1758"/>
      <c r="CG238" s="1758"/>
      <c r="CH238" s="1758"/>
      <c r="CI238" s="1758"/>
      <c r="CJ238" s="1758"/>
      <c r="CK238" s="1758"/>
      <c r="CL238" s="1758"/>
      <c r="CM238" s="1758"/>
      <c r="CN238" s="1758"/>
      <c r="CO238" s="1758"/>
      <c r="CP238" s="1758"/>
      <c r="CQ238" s="1758"/>
      <c r="CR238" s="1758"/>
      <c r="CS238" s="1758"/>
      <c r="CT238" s="1758"/>
      <c r="CU238" s="1758"/>
      <c r="CV238" s="1758"/>
      <c r="CW238" s="1758"/>
      <c r="CX238" s="1758"/>
      <c r="CY238" s="1758"/>
      <c r="CZ238" s="1758"/>
      <c r="DA238" s="1758"/>
      <c r="DB238" s="1758"/>
      <c r="DC238" s="1758"/>
    </row>
    <row r="239" spans="1:107" s="1395" customFormat="1" ht="41.25" customHeight="1">
      <c r="A239" s="10827"/>
      <c r="B239" s="10731" t="s">
        <v>127</v>
      </c>
      <c r="C239" s="10728" t="s">
        <v>128</v>
      </c>
      <c r="D239" s="10728" t="s">
        <v>129</v>
      </c>
      <c r="E239" s="10728" t="s">
        <v>268</v>
      </c>
      <c r="F239" s="10744" t="s">
        <v>131</v>
      </c>
      <c r="G239" s="10728" t="s">
        <v>132</v>
      </c>
      <c r="H239" s="10728" t="s">
        <v>159</v>
      </c>
      <c r="I239" s="10728" t="s">
        <v>4953</v>
      </c>
      <c r="J239" s="10742" t="s">
        <v>4575</v>
      </c>
      <c r="K239" s="10735" t="s">
        <v>4954</v>
      </c>
      <c r="L239" s="10759">
        <v>1800</v>
      </c>
      <c r="M239" s="10758">
        <v>2300</v>
      </c>
      <c r="N239" s="10759">
        <v>2800</v>
      </c>
      <c r="O239" s="10735" t="s">
        <v>4955</v>
      </c>
      <c r="P239" s="10735" t="s">
        <v>4956</v>
      </c>
      <c r="Q239" s="10750" t="s">
        <v>4948</v>
      </c>
      <c r="R239" s="5173"/>
      <c r="S239" s="5212"/>
      <c r="T239" s="5212"/>
      <c r="U239" s="5249"/>
      <c r="V239" s="5281"/>
      <c r="W239" s="5302"/>
      <c r="X239" s="7477"/>
      <c r="Y239" s="7477"/>
      <c r="Z239" s="7477"/>
      <c r="AA239" s="7478"/>
      <c r="AB239" s="5325"/>
      <c r="AC239" s="1398"/>
      <c r="AD239" s="5302"/>
      <c r="AE239" s="5349"/>
      <c r="AF239" s="5349"/>
      <c r="AG239" s="10777"/>
      <c r="AH239" s="1758"/>
      <c r="AI239" s="1758"/>
      <c r="AJ239" s="1758"/>
      <c r="AK239" s="1758"/>
      <c r="AL239" s="1758"/>
      <c r="AM239" s="1758"/>
      <c r="AN239" s="1758"/>
      <c r="AO239" s="1758"/>
      <c r="AP239" s="1758"/>
      <c r="AQ239" s="1758"/>
      <c r="AR239" s="1758"/>
      <c r="AS239" s="1758"/>
      <c r="AT239" s="1758"/>
      <c r="AU239" s="1758"/>
      <c r="AV239" s="1758"/>
      <c r="AW239" s="1758"/>
      <c r="AX239" s="1758"/>
      <c r="AY239" s="1758"/>
      <c r="AZ239" s="1758"/>
      <c r="BA239" s="1758"/>
      <c r="BB239" s="1758"/>
      <c r="BC239" s="1758"/>
      <c r="BD239" s="1758"/>
      <c r="BE239" s="1758"/>
      <c r="BF239" s="1758"/>
      <c r="BG239" s="1758"/>
      <c r="BH239" s="1758"/>
      <c r="BI239" s="1758"/>
      <c r="BJ239" s="1758"/>
      <c r="BK239" s="1758"/>
      <c r="BL239" s="1758"/>
      <c r="BM239" s="1758"/>
      <c r="BN239" s="1758"/>
      <c r="BO239" s="1758"/>
      <c r="BP239" s="1758"/>
      <c r="BQ239" s="1758"/>
      <c r="BR239" s="1758"/>
      <c r="BS239" s="1758"/>
      <c r="BT239" s="1758"/>
      <c r="BU239" s="1758"/>
      <c r="BV239" s="1758"/>
      <c r="BW239" s="1758"/>
      <c r="BX239" s="1758"/>
      <c r="BY239" s="1758"/>
      <c r="BZ239" s="1758"/>
      <c r="CA239" s="1758"/>
      <c r="CB239" s="1758"/>
      <c r="CC239" s="1758"/>
      <c r="CD239" s="1758"/>
      <c r="CE239" s="1758"/>
      <c r="CF239" s="1758"/>
      <c r="CG239" s="1758"/>
      <c r="CH239" s="1758"/>
      <c r="CI239" s="1758"/>
      <c r="CJ239" s="1758"/>
      <c r="CK239" s="1758"/>
      <c r="CL239" s="1758"/>
      <c r="CM239" s="1758"/>
      <c r="CN239" s="1758"/>
      <c r="CO239" s="1758"/>
      <c r="CP239" s="1758"/>
      <c r="CQ239" s="1758"/>
      <c r="CR239" s="1758"/>
      <c r="CS239" s="1758"/>
      <c r="CT239" s="1758"/>
      <c r="CU239" s="1758"/>
      <c r="CV239" s="1758"/>
      <c r="CW239" s="1758"/>
      <c r="CX239" s="1758"/>
      <c r="CY239" s="1758"/>
      <c r="CZ239" s="1758"/>
      <c r="DA239" s="1758"/>
      <c r="DB239" s="1758"/>
      <c r="DC239" s="1758"/>
    </row>
    <row r="240" spans="1:107" s="1395" customFormat="1" ht="41.25" customHeight="1">
      <c r="A240" s="10827"/>
      <c r="B240" s="10731"/>
      <c r="C240" s="10728"/>
      <c r="D240" s="10728"/>
      <c r="E240" s="10728"/>
      <c r="F240" s="10744"/>
      <c r="G240" s="10728"/>
      <c r="H240" s="10728"/>
      <c r="I240" s="10728"/>
      <c r="J240" s="10728"/>
      <c r="K240" s="10735"/>
      <c r="L240" s="10759"/>
      <c r="M240" s="10759"/>
      <c r="N240" s="10759"/>
      <c r="O240" s="10735"/>
      <c r="P240" s="10735"/>
      <c r="Q240" s="10750"/>
      <c r="R240" s="5171"/>
      <c r="S240" s="5213"/>
      <c r="T240" s="5213"/>
      <c r="U240" s="5247"/>
      <c r="V240" s="5279"/>
      <c r="W240" s="5300"/>
      <c r="X240" s="7473"/>
      <c r="Y240" s="7473"/>
      <c r="Z240" s="7473"/>
      <c r="AA240" s="7474"/>
      <c r="AB240" s="5323"/>
      <c r="AC240" s="1396"/>
      <c r="AD240" s="5300"/>
      <c r="AE240" s="5346"/>
      <c r="AF240" s="5346"/>
      <c r="AG240" s="10777"/>
      <c r="AH240" s="1758"/>
      <c r="AI240" s="1758"/>
      <c r="AJ240" s="1758"/>
      <c r="AK240" s="1758"/>
      <c r="AL240" s="1758"/>
      <c r="AM240" s="1758"/>
      <c r="AN240" s="1758"/>
      <c r="AO240" s="1758"/>
      <c r="AP240" s="1758"/>
      <c r="AQ240" s="1758"/>
      <c r="AR240" s="1758"/>
      <c r="AS240" s="1758"/>
      <c r="AT240" s="1758"/>
      <c r="AU240" s="1758"/>
      <c r="AV240" s="1758"/>
      <c r="AW240" s="1758"/>
      <c r="AX240" s="1758"/>
      <c r="AY240" s="1758"/>
      <c r="AZ240" s="1758"/>
      <c r="BA240" s="1758"/>
      <c r="BB240" s="1758"/>
      <c r="BC240" s="1758"/>
      <c r="BD240" s="1758"/>
      <c r="BE240" s="1758"/>
      <c r="BF240" s="1758"/>
      <c r="BG240" s="1758"/>
      <c r="BH240" s="1758"/>
      <c r="BI240" s="1758"/>
      <c r="BJ240" s="1758"/>
      <c r="BK240" s="1758"/>
      <c r="BL240" s="1758"/>
      <c r="BM240" s="1758"/>
      <c r="BN240" s="1758"/>
      <c r="BO240" s="1758"/>
      <c r="BP240" s="1758"/>
      <c r="BQ240" s="1758"/>
      <c r="BR240" s="1758"/>
      <c r="BS240" s="1758"/>
      <c r="BT240" s="1758"/>
      <c r="BU240" s="1758"/>
      <c r="BV240" s="1758"/>
      <c r="BW240" s="1758"/>
      <c r="BX240" s="1758"/>
      <c r="BY240" s="1758"/>
      <c r="BZ240" s="1758"/>
      <c r="CA240" s="1758"/>
      <c r="CB240" s="1758"/>
      <c r="CC240" s="1758"/>
      <c r="CD240" s="1758"/>
      <c r="CE240" s="1758"/>
      <c r="CF240" s="1758"/>
      <c r="CG240" s="1758"/>
      <c r="CH240" s="1758"/>
      <c r="CI240" s="1758"/>
      <c r="CJ240" s="1758"/>
      <c r="CK240" s="1758"/>
      <c r="CL240" s="1758"/>
      <c r="CM240" s="1758"/>
      <c r="CN240" s="1758"/>
      <c r="CO240" s="1758"/>
      <c r="CP240" s="1758"/>
      <c r="CQ240" s="1758"/>
      <c r="CR240" s="1758"/>
      <c r="CS240" s="1758"/>
      <c r="CT240" s="1758"/>
      <c r="CU240" s="1758"/>
      <c r="CV240" s="1758"/>
      <c r="CW240" s="1758"/>
      <c r="CX240" s="1758"/>
      <c r="CY240" s="1758"/>
      <c r="CZ240" s="1758"/>
      <c r="DA240" s="1758"/>
      <c r="DB240" s="1758"/>
      <c r="DC240" s="1758"/>
    </row>
    <row r="241" spans="1:107" s="1395" customFormat="1" ht="41.25" customHeight="1">
      <c r="A241" s="10827"/>
      <c r="B241" s="10731"/>
      <c r="C241" s="10728"/>
      <c r="D241" s="10728"/>
      <c r="E241" s="10728"/>
      <c r="F241" s="10744"/>
      <c r="G241" s="10728"/>
      <c r="H241" s="10728"/>
      <c r="I241" s="10728"/>
      <c r="J241" s="10728"/>
      <c r="K241" s="10735"/>
      <c r="L241" s="10759"/>
      <c r="M241" s="10759"/>
      <c r="N241" s="10759"/>
      <c r="O241" s="10735"/>
      <c r="P241" s="10735"/>
      <c r="Q241" s="10750"/>
      <c r="R241" s="5174"/>
      <c r="S241" s="5214"/>
      <c r="T241" s="5214"/>
      <c r="U241" s="5250"/>
      <c r="V241" s="5281"/>
      <c r="W241" s="5302"/>
      <c r="X241" s="7477"/>
      <c r="Y241" s="7473"/>
      <c r="Z241" s="7473"/>
      <c r="AA241" s="7474"/>
      <c r="AB241" s="5323"/>
      <c r="AC241" s="1396"/>
      <c r="AD241" s="5300"/>
      <c r="AE241" s="5346"/>
      <c r="AF241" s="5346"/>
      <c r="AG241" s="10777"/>
      <c r="AH241" s="1758"/>
      <c r="AI241" s="1758"/>
      <c r="AJ241" s="1758"/>
      <c r="AK241" s="1758"/>
      <c r="AL241" s="1758"/>
      <c r="AM241" s="1758"/>
      <c r="AN241" s="1758"/>
      <c r="AO241" s="1758"/>
      <c r="AP241" s="1758"/>
      <c r="AQ241" s="1758"/>
      <c r="AR241" s="1758"/>
      <c r="AS241" s="1758"/>
      <c r="AT241" s="1758"/>
      <c r="AU241" s="1758"/>
      <c r="AV241" s="1758"/>
      <c r="AW241" s="1758"/>
      <c r="AX241" s="1758"/>
      <c r="AY241" s="1758"/>
      <c r="AZ241" s="1758"/>
      <c r="BA241" s="1758"/>
      <c r="BB241" s="1758"/>
      <c r="BC241" s="1758"/>
      <c r="BD241" s="1758"/>
      <c r="BE241" s="1758"/>
      <c r="BF241" s="1758"/>
      <c r="BG241" s="1758"/>
      <c r="BH241" s="1758"/>
      <c r="BI241" s="1758"/>
      <c r="BJ241" s="1758"/>
      <c r="BK241" s="1758"/>
      <c r="BL241" s="1758"/>
      <c r="BM241" s="1758"/>
      <c r="BN241" s="1758"/>
      <c r="BO241" s="1758"/>
      <c r="BP241" s="1758"/>
      <c r="BQ241" s="1758"/>
      <c r="BR241" s="1758"/>
      <c r="BS241" s="1758"/>
      <c r="BT241" s="1758"/>
      <c r="BU241" s="1758"/>
      <c r="BV241" s="1758"/>
      <c r="BW241" s="1758"/>
      <c r="BX241" s="1758"/>
      <c r="BY241" s="1758"/>
      <c r="BZ241" s="1758"/>
      <c r="CA241" s="1758"/>
      <c r="CB241" s="1758"/>
      <c r="CC241" s="1758"/>
      <c r="CD241" s="1758"/>
      <c r="CE241" s="1758"/>
      <c r="CF241" s="1758"/>
      <c r="CG241" s="1758"/>
      <c r="CH241" s="1758"/>
      <c r="CI241" s="1758"/>
      <c r="CJ241" s="1758"/>
      <c r="CK241" s="1758"/>
      <c r="CL241" s="1758"/>
      <c r="CM241" s="1758"/>
      <c r="CN241" s="1758"/>
      <c r="CO241" s="1758"/>
      <c r="CP241" s="1758"/>
      <c r="CQ241" s="1758"/>
      <c r="CR241" s="1758"/>
      <c r="CS241" s="1758"/>
      <c r="CT241" s="1758"/>
      <c r="CU241" s="1758"/>
      <c r="CV241" s="1758"/>
      <c r="CW241" s="1758"/>
      <c r="CX241" s="1758"/>
      <c r="CY241" s="1758"/>
      <c r="CZ241" s="1758"/>
      <c r="DA241" s="1758"/>
      <c r="DB241" s="1758"/>
      <c r="DC241" s="1758"/>
    </row>
    <row r="242" spans="1:107" s="1395" customFormat="1" ht="41.25" customHeight="1">
      <c r="A242" s="10827"/>
      <c r="B242" s="10731"/>
      <c r="C242" s="10728"/>
      <c r="D242" s="10728"/>
      <c r="E242" s="10728"/>
      <c r="F242" s="10744"/>
      <c r="G242" s="10728"/>
      <c r="H242" s="10728"/>
      <c r="I242" s="10728"/>
      <c r="J242" s="10728"/>
      <c r="K242" s="10735"/>
      <c r="L242" s="10759"/>
      <c r="M242" s="10759"/>
      <c r="N242" s="10759"/>
      <c r="O242" s="10735"/>
      <c r="P242" s="10735"/>
      <c r="Q242" s="10750"/>
      <c r="R242" s="5173"/>
      <c r="S242" s="5212"/>
      <c r="T242" s="5212"/>
      <c r="U242" s="5250"/>
      <c r="V242" s="5281"/>
      <c r="W242" s="5302"/>
      <c r="X242" s="7477"/>
      <c r="Y242" s="7473"/>
      <c r="Z242" s="7473"/>
      <c r="AA242" s="7474"/>
      <c r="AB242" s="5323"/>
      <c r="AC242" s="1396"/>
      <c r="AD242" s="5300"/>
      <c r="AE242" s="5346"/>
      <c r="AF242" s="5346"/>
      <c r="AG242" s="10777"/>
      <c r="AH242" s="1758"/>
      <c r="AI242" s="1758"/>
      <c r="AJ242" s="1758"/>
      <c r="AK242" s="1758"/>
      <c r="AL242" s="1758"/>
      <c r="AM242" s="1758"/>
      <c r="AN242" s="1758"/>
      <c r="AO242" s="1758"/>
      <c r="AP242" s="1758"/>
      <c r="AQ242" s="1758"/>
      <c r="AR242" s="1758"/>
      <c r="AS242" s="1758"/>
      <c r="AT242" s="1758"/>
      <c r="AU242" s="1758"/>
      <c r="AV242" s="1758"/>
      <c r="AW242" s="1758"/>
      <c r="AX242" s="1758"/>
      <c r="AY242" s="1758"/>
      <c r="AZ242" s="1758"/>
      <c r="BA242" s="1758"/>
      <c r="BB242" s="1758"/>
      <c r="BC242" s="1758"/>
      <c r="BD242" s="1758"/>
      <c r="BE242" s="1758"/>
      <c r="BF242" s="1758"/>
      <c r="BG242" s="1758"/>
      <c r="BH242" s="1758"/>
      <c r="BI242" s="1758"/>
      <c r="BJ242" s="1758"/>
      <c r="BK242" s="1758"/>
      <c r="BL242" s="1758"/>
      <c r="BM242" s="1758"/>
      <c r="BN242" s="1758"/>
      <c r="BO242" s="1758"/>
      <c r="BP242" s="1758"/>
      <c r="BQ242" s="1758"/>
      <c r="BR242" s="1758"/>
      <c r="BS242" s="1758"/>
      <c r="BT242" s="1758"/>
      <c r="BU242" s="1758"/>
      <c r="BV242" s="1758"/>
      <c r="BW242" s="1758"/>
      <c r="BX242" s="1758"/>
      <c r="BY242" s="1758"/>
      <c r="BZ242" s="1758"/>
      <c r="CA242" s="1758"/>
      <c r="CB242" s="1758"/>
      <c r="CC242" s="1758"/>
      <c r="CD242" s="1758"/>
      <c r="CE242" s="1758"/>
      <c r="CF242" s="1758"/>
      <c r="CG242" s="1758"/>
      <c r="CH242" s="1758"/>
      <c r="CI242" s="1758"/>
      <c r="CJ242" s="1758"/>
      <c r="CK242" s="1758"/>
      <c r="CL242" s="1758"/>
      <c r="CM242" s="1758"/>
      <c r="CN242" s="1758"/>
      <c r="CO242" s="1758"/>
      <c r="CP242" s="1758"/>
      <c r="CQ242" s="1758"/>
      <c r="CR242" s="1758"/>
      <c r="CS242" s="1758"/>
      <c r="CT242" s="1758"/>
      <c r="CU242" s="1758"/>
      <c r="CV242" s="1758"/>
      <c r="CW242" s="1758"/>
      <c r="CX242" s="1758"/>
      <c r="CY242" s="1758"/>
      <c r="CZ242" s="1758"/>
      <c r="DA242" s="1758"/>
      <c r="DB242" s="1758"/>
      <c r="DC242" s="1758"/>
    </row>
    <row r="243" spans="1:107" s="1395" customFormat="1" ht="41.25" customHeight="1">
      <c r="A243" s="10827"/>
      <c r="B243" s="10732"/>
      <c r="C243" s="10729"/>
      <c r="D243" s="10729"/>
      <c r="E243" s="10729"/>
      <c r="F243" s="10745"/>
      <c r="G243" s="10729"/>
      <c r="H243" s="10729"/>
      <c r="I243" s="10729"/>
      <c r="J243" s="10729"/>
      <c r="K243" s="10736"/>
      <c r="L243" s="10760"/>
      <c r="M243" s="10760"/>
      <c r="N243" s="10760"/>
      <c r="O243" s="10736"/>
      <c r="P243" s="10736"/>
      <c r="Q243" s="10751"/>
      <c r="R243" s="5175"/>
      <c r="S243" s="5215"/>
      <c r="T243" s="5215"/>
      <c r="U243" s="5251"/>
      <c r="V243" s="5282"/>
      <c r="W243" s="5303"/>
      <c r="X243" s="7479"/>
      <c r="Y243" s="7479"/>
      <c r="Z243" s="7479"/>
      <c r="AA243" s="7480"/>
      <c r="AB243" s="5326"/>
      <c r="AC243" s="1399"/>
      <c r="AD243" s="5303"/>
      <c r="AE243" s="5348"/>
      <c r="AF243" s="5348"/>
      <c r="AG243" s="10778"/>
      <c r="AH243" s="1758"/>
      <c r="AI243" s="1758"/>
      <c r="AJ243" s="1758"/>
      <c r="AK243" s="1758"/>
      <c r="AL243" s="1758"/>
      <c r="AM243" s="1758"/>
      <c r="AN243" s="1758"/>
      <c r="AO243" s="1758"/>
      <c r="AP243" s="1758"/>
      <c r="AQ243" s="1758"/>
      <c r="AR243" s="1758"/>
      <c r="AS243" s="1758"/>
      <c r="AT243" s="1758"/>
      <c r="AU243" s="1758"/>
      <c r="AV243" s="1758"/>
      <c r="AW243" s="1758"/>
      <c r="AX243" s="1758"/>
      <c r="AY243" s="1758"/>
      <c r="AZ243" s="1758"/>
      <c r="BA243" s="1758"/>
      <c r="BB243" s="1758"/>
      <c r="BC243" s="1758"/>
      <c r="BD243" s="1758"/>
      <c r="BE243" s="1758"/>
      <c r="BF243" s="1758"/>
      <c r="BG243" s="1758"/>
      <c r="BH243" s="1758"/>
      <c r="BI243" s="1758"/>
      <c r="BJ243" s="1758"/>
      <c r="BK243" s="1758"/>
      <c r="BL243" s="1758"/>
      <c r="BM243" s="1758"/>
      <c r="BN243" s="1758"/>
      <c r="BO243" s="1758"/>
      <c r="BP243" s="1758"/>
      <c r="BQ243" s="1758"/>
      <c r="BR243" s="1758"/>
      <c r="BS243" s="1758"/>
      <c r="BT243" s="1758"/>
      <c r="BU243" s="1758"/>
      <c r="BV243" s="1758"/>
      <c r="BW243" s="1758"/>
      <c r="BX243" s="1758"/>
      <c r="BY243" s="1758"/>
      <c r="BZ243" s="1758"/>
      <c r="CA243" s="1758"/>
      <c r="CB243" s="1758"/>
      <c r="CC243" s="1758"/>
      <c r="CD243" s="1758"/>
      <c r="CE243" s="1758"/>
      <c r="CF243" s="1758"/>
      <c r="CG243" s="1758"/>
      <c r="CH243" s="1758"/>
      <c r="CI243" s="1758"/>
      <c r="CJ243" s="1758"/>
      <c r="CK243" s="1758"/>
      <c r="CL243" s="1758"/>
      <c r="CM243" s="1758"/>
      <c r="CN243" s="1758"/>
      <c r="CO243" s="1758"/>
      <c r="CP243" s="1758"/>
      <c r="CQ243" s="1758"/>
      <c r="CR243" s="1758"/>
      <c r="CS243" s="1758"/>
      <c r="CT243" s="1758"/>
      <c r="CU243" s="1758"/>
      <c r="CV243" s="1758"/>
      <c r="CW243" s="1758"/>
      <c r="CX243" s="1758"/>
      <c r="CY243" s="1758"/>
      <c r="CZ243" s="1758"/>
      <c r="DA243" s="1758"/>
      <c r="DB243" s="1758"/>
      <c r="DC243" s="1758"/>
    </row>
    <row r="244" spans="1:107" s="1395" customFormat="1" ht="24.75" customHeight="1">
      <c r="A244" s="10827"/>
      <c r="B244" s="10731" t="s">
        <v>127</v>
      </c>
      <c r="C244" s="10728" t="s">
        <v>128</v>
      </c>
      <c r="D244" s="10728" t="s">
        <v>129</v>
      </c>
      <c r="E244" s="10728" t="s">
        <v>268</v>
      </c>
      <c r="F244" s="10744" t="s">
        <v>131</v>
      </c>
      <c r="G244" s="10728" t="s">
        <v>132</v>
      </c>
      <c r="H244" s="10728" t="s">
        <v>159</v>
      </c>
      <c r="I244" s="10728" t="s">
        <v>4957</v>
      </c>
      <c r="J244" s="10728" t="s">
        <v>4580</v>
      </c>
      <c r="K244" s="10735" t="s">
        <v>4958</v>
      </c>
      <c r="L244" s="10759">
        <v>2</v>
      </c>
      <c r="M244" s="10758">
        <v>2</v>
      </c>
      <c r="N244" s="10759">
        <v>2</v>
      </c>
      <c r="O244" s="10735" t="s">
        <v>4959</v>
      </c>
      <c r="P244" s="10735" t="s">
        <v>4960</v>
      </c>
      <c r="Q244" s="10750" t="s">
        <v>4961</v>
      </c>
      <c r="R244" s="5173"/>
      <c r="S244" s="5212"/>
      <c r="T244" s="5212"/>
      <c r="U244" s="5249"/>
      <c r="V244" s="5281"/>
      <c r="W244" s="5302"/>
      <c r="X244" s="7477"/>
      <c r="Y244" s="7477"/>
      <c r="Z244" s="7477"/>
      <c r="AA244" s="7478"/>
      <c r="AB244" s="5325"/>
      <c r="AC244" s="1398"/>
      <c r="AD244" s="5302"/>
      <c r="AE244" s="5349"/>
      <c r="AF244" s="5349"/>
      <c r="AG244" s="10777"/>
      <c r="AH244" s="1758"/>
      <c r="AI244" s="1758"/>
      <c r="AJ244" s="1758"/>
      <c r="AK244" s="1758"/>
      <c r="AL244" s="1758"/>
      <c r="AM244" s="1758"/>
      <c r="AN244" s="1758"/>
      <c r="AO244" s="1758"/>
      <c r="AP244" s="1758"/>
      <c r="AQ244" s="1758"/>
      <c r="AR244" s="1758"/>
      <c r="AS244" s="1758"/>
      <c r="AT244" s="1758"/>
      <c r="AU244" s="1758"/>
      <c r="AV244" s="1758"/>
      <c r="AW244" s="1758"/>
      <c r="AX244" s="1758"/>
      <c r="AY244" s="1758"/>
      <c r="AZ244" s="1758"/>
      <c r="BA244" s="1758"/>
      <c r="BB244" s="1758"/>
      <c r="BC244" s="1758"/>
      <c r="BD244" s="1758"/>
      <c r="BE244" s="1758"/>
      <c r="BF244" s="1758"/>
      <c r="BG244" s="1758"/>
      <c r="BH244" s="1758"/>
      <c r="BI244" s="1758"/>
      <c r="BJ244" s="1758"/>
      <c r="BK244" s="1758"/>
      <c r="BL244" s="1758"/>
      <c r="BM244" s="1758"/>
      <c r="BN244" s="1758"/>
      <c r="BO244" s="1758"/>
      <c r="BP244" s="1758"/>
      <c r="BQ244" s="1758"/>
      <c r="BR244" s="1758"/>
      <c r="BS244" s="1758"/>
      <c r="BT244" s="1758"/>
      <c r="BU244" s="1758"/>
      <c r="BV244" s="1758"/>
      <c r="BW244" s="1758"/>
      <c r="BX244" s="1758"/>
      <c r="BY244" s="1758"/>
      <c r="BZ244" s="1758"/>
      <c r="CA244" s="1758"/>
      <c r="CB244" s="1758"/>
      <c r="CC244" s="1758"/>
      <c r="CD244" s="1758"/>
      <c r="CE244" s="1758"/>
      <c r="CF244" s="1758"/>
      <c r="CG244" s="1758"/>
      <c r="CH244" s="1758"/>
      <c r="CI244" s="1758"/>
      <c r="CJ244" s="1758"/>
      <c r="CK244" s="1758"/>
      <c r="CL244" s="1758"/>
      <c r="CM244" s="1758"/>
      <c r="CN244" s="1758"/>
      <c r="CO244" s="1758"/>
      <c r="CP244" s="1758"/>
      <c r="CQ244" s="1758"/>
      <c r="CR244" s="1758"/>
      <c r="CS244" s="1758"/>
      <c r="CT244" s="1758"/>
      <c r="CU244" s="1758"/>
      <c r="CV244" s="1758"/>
      <c r="CW244" s="1758"/>
      <c r="CX244" s="1758"/>
      <c r="CY244" s="1758"/>
      <c r="CZ244" s="1758"/>
      <c r="DA244" s="1758"/>
      <c r="DB244" s="1758"/>
      <c r="DC244" s="1758"/>
    </row>
    <row r="245" spans="1:107" s="1395" customFormat="1" ht="24.75" customHeight="1">
      <c r="A245" s="10827"/>
      <c r="B245" s="10731"/>
      <c r="C245" s="10728"/>
      <c r="D245" s="10728"/>
      <c r="E245" s="10728"/>
      <c r="F245" s="10744"/>
      <c r="G245" s="10728"/>
      <c r="H245" s="10728"/>
      <c r="I245" s="10728"/>
      <c r="J245" s="10728"/>
      <c r="K245" s="10735"/>
      <c r="L245" s="10759"/>
      <c r="M245" s="10759"/>
      <c r="N245" s="10759"/>
      <c r="O245" s="10735"/>
      <c r="P245" s="10735"/>
      <c r="Q245" s="10750"/>
      <c r="R245" s="5171"/>
      <c r="S245" s="5213"/>
      <c r="T245" s="5213"/>
      <c r="U245" s="5247"/>
      <c r="V245" s="5279"/>
      <c r="W245" s="5300"/>
      <c r="X245" s="7473"/>
      <c r="Y245" s="7473"/>
      <c r="Z245" s="7473"/>
      <c r="AA245" s="7474"/>
      <c r="AB245" s="5323"/>
      <c r="AC245" s="1396"/>
      <c r="AD245" s="5300"/>
      <c r="AE245" s="5346"/>
      <c r="AF245" s="5346"/>
      <c r="AG245" s="10777"/>
      <c r="AH245" s="1758"/>
      <c r="AI245" s="1758"/>
      <c r="AJ245" s="1758"/>
      <c r="AK245" s="1758"/>
      <c r="AL245" s="1758"/>
      <c r="AM245" s="1758"/>
      <c r="AN245" s="1758"/>
      <c r="AO245" s="1758"/>
      <c r="AP245" s="1758"/>
      <c r="AQ245" s="1758"/>
      <c r="AR245" s="1758"/>
      <c r="AS245" s="1758"/>
      <c r="AT245" s="1758"/>
      <c r="AU245" s="1758"/>
      <c r="AV245" s="1758"/>
      <c r="AW245" s="1758"/>
      <c r="AX245" s="1758"/>
      <c r="AY245" s="1758"/>
      <c r="AZ245" s="1758"/>
      <c r="BA245" s="1758"/>
      <c r="BB245" s="1758"/>
      <c r="BC245" s="1758"/>
      <c r="BD245" s="1758"/>
      <c r="BE245" s="1758"/>
      <c r="BF245" s="1758"/>
      <c r="BG245" s="1758"/>
      <c r="BH245" s="1758"/>
      <c r="BI245" s="1758"/>
      <c r="BJ245" s="1758"/>
      <c r="BK245" s="1758"/>
      <c r="BL245" s="1758"/>
      <c r="BM245" s="1758"/>
      <c r="BN245" s="1758"/>
      <c r="BO245" s="1758"/>
      <c r="BP245" s="1758"/>
      <c r="BQ245" s="1758"/>
      <c r="BR245" s="1758"/>
      <c r="BS245" s="1758"/>
      <c r="BT245" s="1758"/>
      <c r="BU245" s="1758"/>
      <c r="BV245" s="1758"/>
      <c r="BW245" s="1758"/>
      <c r="BX245" s="1758"/>
      <c r="BY245" s="1758"/>
      <c r="BZ245" s="1758"/>
      <c r="CA245" s="1758"/>
      <c r="CB245" s="1758"/>
      <c r="CC245" s="1758"/>
      <c r="CD245" s="1758"/>
      <c r="CE245" s="1758"/>
      <c r="CF245" s="1758"/>
      <c r="CG245" s="1758"/>
      <c r="CH245" s="1758"/>
      <c r="CI245" s="1758"/>
      <c r="CJ245" s="1758"/>
      <c r="CK245" s="1758"/>
      <c r="CL245" s="1758"/>
      <c r="CM245" s="1758"/>
      <c r="CN245" s="1758"/>
      <c r="CO245" s="1758"/>
      <c r="CP245" s="1758"/>
      <c r="CQ245" s="1758"/>
      <c r="CR245" s="1758"/>
      <c r="CS245" s="1758"/>
      <c r="CT245" s="1758"/>
      <c r="CU245" s="1758"/>
      <c r="CV245" s="1758"/>
      <c r="CW245" s="1758"/>
      <c r="CX245" s="1758"/>
      <c r="CY245" s="1758"/>
      <c r="CZ245" s="1758"/>
      <c r="DA245" s="1758"/>
      <c r="DB245" s="1758"/>
      <c r="DC245" s="1758"/>
    </row>
    <row r="246" spans="1:107" s="1395" customFormat="1" ht="24.75" customHeight="1">
      <c r="A246" s="10827"/>
      <c r="B246" s="10731"/>
      <c r="C246" s="10728"/>
      <c r="D246" s="10728"/>
      <c r="E246" s="10728"/>
      <c r="F246" s="10744"/>
      <c r="G246" s="10728"/>
      <c r="H246" s="10728"/>
      <c r="I246" s="10728"/>
      <c r="J246" s="10728"/>
      <c r="K246" s="10735"/>
      <c r="L246" s="10759"/>
      <c r="M246" s="10759"/>
      <c r="N246" s="10759"/>
      <c r="O246" s="10735"/>
      <c r="P246" s="10735"/>
      <c r="Q246" s="10750"/>
      <c r="R246" s="5174"/>
      <c r="S246" s="5214"/>
      <c r="T246" s="5214"/>
      <c r="U246" s="5250"/>
      <c r="V246" s="5281"/>
      <c r="W246" s="5302"/>
      <c r="X246" s="7477"/>
      <c r="Y246" s="7473"/>
      <c r="Z246" s="7473"/>
      <c r="AA246" s="7474"/>
      <c r="AB246" s="5323"/>
      <c r="AC246" s="1396"/>
      <c r="AD246" s="5300"/>
      <c r="AE246" s="5346"/>
      <c r="AF246" s="5346"/>
      <c r="AG246" s="10777"/>
      <c r="AH246" s="1758"/>
      <c r="AI246" s="1758"/>
      <c r="AJ246" s="1758"/>
      <c r="AK246" s="1758"/>
      <c r="AL246" s="1758"/>
      <c r="AM246" s="1758"/>
      <c r="AN246" s="1758"/>
      <c r="AO246" s="1758"/>
      <c r="AP246" s="1758"/>
      <c r="AQ246" s="1758"/>
      <c r="AR246" s="1758"/>
      <c r="AS246" s="1758"/>
      <c r="AT246" s="1758"/>
      <c r="AU246" s="1758"/>
      <c r="AV246" s="1758"/>
      <c r="AW246" s="1758"/>
      <c r="AX246" s="1758"/>
      <c r="AY246" s="1758"/>
      <c r="AZ246" s="1758"/>
      <c r="BA246" s="1758"/>
      <c r="BB246" s="1758"/>
      <c r="BC246" s="1758"/>
      <c r="BD246" s="1758"/>
      <c r="BE246" s="1758"/>
      <c r="BF246" s="1758"/>
      <c r="BG246" s="1758"/>
      <c r="BH246" s="1758"/>
      <c r="BI246" s="1758"/>
      <c r="BJ246" s="1758"/>
      <c r="BK246" s="1758"/>
      <c r="BL246" s="1758"/>
      <c r="BM246" s="1758"/>
      <c r="BN246" s="1758"/>
      <c r="BO246" s="1758"/>
      <c r="BP246" s="1758"/>
      <c r="BQ246" s="1758"/>
      <c r="BR246" s="1758"/>
      <c r="BS246" s="1758"/>
      <c r="BT246" s="1758"/>
      <c r="BU246" s="1758"/>
      <c r="BV246" s="1758"/>
      <c r="BW246" s="1758"/>
      <c r="BX246" s="1758"/>
      <c r="BY246" s="1758"/>
      <c r="BZ246" s="1758"/>
      <c r="CA246" s="1758"/>
      <c r="CB246" s="1758"/>
      <c r="CC246" s="1758"/>
      <c r="CD246" s="1758"/>
      <c r="CE246" s="1758"/>
      <c r="CF246" s="1758"/>
      <c r="CG246" s="1758"/>
      <c r="CH246" s="1758"/>
      <c r="CI246" s="1758"/>
      <c r="CJ246" s="1758"/>
      <c r="CK246" s="1758"/>
      <c r="CL246" s="1758"/>
      <c r="CM246" s="1758"/>
      <c r="CN246" s="1758"/>
      <c r="CO246" s="1758"/>
      <c r="CP246" s="1758"/>
      <c r="CQ246" s="1758"/>
      <c r="CR246" s="1758"/>
      <c r="CS246" s="1758"/>
      <c r="CT246" s="1758"/>
      <c r="CU246" s="1758"/>
      <c r="CV246" s="1758"/>
      <c r="CW246" s="1758"/>
      <c r="CX246" s="1758"/>
      <c r="CY246" s="1758"/>
      <c r="CZ246" s="1758"/>
      <c r="DA246" s="1758"/>
      <c r="DB246" s="1758"/>
      <c r="DC246" s="1758"/>
    </row>
    <row r="247" spans="1:107" s="1395" customFormat="1" ht="24.75" customHeight="1">
      <c r="A247" s="10827"/>
      <c r="B247" s="10731"/>
      <c r="C247" s="10728"/>
      <c r="D247" s="10728"/>
      <c r="E247" s="10728"/>
      <c r="F247" s="10744"/>
      <c r="G247" s="10728"/>
      <c r="H247" s="10728"/>
      <c r="I247" s="10728"/>
      <c r="J247" s="10728"/>
      <c r="K247" s="10735"/>
      <c r="L247" s="10759"/>
      <c r="M247" s="10759"/>
      <c r="N247" s="10759"/>
      <c r="O247" s="10735"/>
      <c r="P247" s="10735"/>
      <c r="Q247" s="10750"/>
      <c r="R247" s="5173"/>
      <c r="S247" s="5212"/>
      <c r="T247" s="5212"/>
      <c r="U247" s="5250"/>
      <c r="V247" s="5281"/>
      <c r="W247" s="5302"/>
      <c r="X247" s="7477"/>
      <c r="Y247" s="7473"/>
      <c r="Z247" s="7473"/>
      <c r="AA247" s="7474"/>
      <c r="AB247" s="5323"/>
      <c r="AC247" s="1396"/>
      <c r="AD247" s="5300"/>
      <c r="AE247" s="5346"/>
      <c r="AF247" s="5346"/>
      <c r="AG247" s="10777"/>
      <c r="AH247" s="1758"/>
      <c r="AI247" s="1758"/>
      <c r="AJ247" s="1758"/>
      <c r="AK247" s="1758"/>
      <c r="AL247" s="1758"/>
      <c r="AM247" s="1758"/>
      <c r="AN247" s="1758"/>
      <c r="AO247" s="1758"/>
      <c r="AP247" s="1758"/>
      <c r="AQ247" s="1758"/>
      <c r="AR247" s="1758"/>
      <c r="AS247" s="1758"/>
      <c r="AT247" s="1758"/>
      <c r="AU247" s="1758"/>
      <c r="AV247" s="1758"/>
      <c r="AW247" s="1758"/>
      <c r="AX247" s="1758"/>
      <c r="AY247" s="1758"/>
      <c r="AZ247" s="1758"/>
      <c r="BA247" s="1758"/>
      <c r="BB247" s="1758"/>
      <c r="BC247" s="1758"/>
      <c r="BD247" s="1758"/>
      <c r="BE247" s="1758"/>
      <c r="BF247" s="1758"/>
      <c r="BG247" s="1758"/>
      <c r="BH247" s="1758"/>
      <c r="BI247" s="1758"/>
      <c r="BJ247" s="1758"/>
      <c r="BK247" s="1758"/>
      <c r="BL247" s="1758"/>
      <c r="BM247" s="1758"/>
      <c r="BN247" s="1758"/>
      <c r="BO247" s="1758"/>
      <c r="BP247" s="1758"/>
      <c r="BQ247" s="1758"/>
      <c r="BR247" s="1758"/>
      <c r="BS247" s="1758"/>
      <c r="BT247" s="1758"/>
      <c r="BU247" s="1758"/>
      <c r="BV247" s="1758"/>
      <c r="BW247" s="1758"/>
      <c r="BX247" s="1758"/>
      <c r="BY247" s="1758"/>
      <c r="BZ247" s="1758"/>
      <c r="CA247" s="1758"/>
      <c r="CB247" s="1758"/>
      <c r="CC247" s="1758"/>
      <c r="CD247" s="1758"/>
      <c r="CE247" s="1758"/>
      <c r="CF247" s="1758"/>
      <c r="CG247" s="1758"/>
      <c r="CH247" s="1758"/>
      <c r="CI247" s="1758"/>
      <c r="CJ247" s="1758"/>
      <c r="CK247" s="1758"/>
      <c r="CL247" s="1758"/>
      <c r="CM247" s="1758"/>
      <c r="CN247" s="1758"/>
      <c r="CO247" s="1758"/>
      <c r="CP247" s="1758"/>
      <c r="CQ247" s="1758"/>
      <c r="CR247" s="1758"/>
      <c r="CS247" s="1758"/>
      <c r="CT247" s="1758"/>
      <c r="CU247" s="1758"/>
      <c r="CV247" s="1758"/>
      <c r="CW247" s="1758"/>
      <c r="CX247" s="1758"/>
      <c r="CY247" s="1758"/>
      <c r="CZ247" s="1758"/>
      <c r="DA247" s="1758"/>
      <c r="DB247" s="1758"/>
      <c r="DC247" s="1758"/>
    </row>
    <row r="248" spans="1:107" s="1395" customFormat="1" ht="24.75" customHeight="1">
      <c r="A248" s="10827"/>
      <c r="B248" s="10732"/>
      <c r="C248" s="10729"/>
      <c r="D248" s="10729"/>
      <c r="E248" s="10729"/>
      <c r="F248" s="10745"/>
      <c r="G248" s="10729"/>
      <c r="H248" s="10729"/>
      <c r="I248" s="10729"/>
      <c r="J248" s="10728"/>
      <c r="K248" s="10736"/>
      <c r="L248" s="10760"/>
      <c r="M248" s="10760"/>
      <c r="N248" s="10760"/>
      <c r="O248" s="10736"/>
      <c r="P248" s="10736"/>
      <c r="Q248" s="10751"/>
      <c r="R248" s="5175"/>
      <c r="S248" s="5215"/>
      <c r="T248" s="5215"/>
      <c r="U248" s="5251"/>
      <c r="V248" s="5282"/>
      <c r="W248" s="5303"/>
      <c r="X248" s="7479"/>
      <c r="Y248" s="7479"/>
      <c r="Z248" s="7479"/>
      <c r="AA248" s="7480"/>
      <c r="AB248" s="5326"/>
      <c r="AC248" s="1399"/>
      <c r="AD248" s="5303"/>
      <c r="AE248" s="5348"/>
      <c r="AF248" s="5348"/>
      <c r="AG248" s="10778"/>
      <c r="AH248" s="1758"/>
      <c r="AI248" s="1758"/>
      <c r="AJ248" s="1758"/>
      <c r="AK248" s="1758"/>
      <c r="AL248" s="1758"/>
      <c r="AM248" s="1758"/>
      <c r="AN248" s="1758"/>
      <c r="AO248" s="1758"/>
      <c r="AP248" s="1758"/>
      <c r="AQ248" s="1758"/>
      <c r="AR248" s="1758"/>
      <c r="AS248" s="1758"/>
      <c r="AT248" s="1758"/>
      <c r="AU248" s="1758"/>
      <c r="AV248" s="1758"/>
      <c r="AW248" s="1758"/>
      <c r="AX248" s="1758"/>
      <c r="AY248" s="1758"/>
      <c r="AZ248" s="1758"/>
      <c r="BA248" s="1758"/>
      <c r="BB248" s="1758"/>
      <c r="BC248" s="1758"/>
      <c r="BD248" s="1758"/>
      <c r="BE248" s="1758"/>
      <c r="BF248" s="1758"/>
      <c r="BG248" s="1758"/>
      <c r="BH248" s="1758"/>
      <c r="BI248" s="1758"/>
      <c r="BJ248" s="1758"/>
      <c r="BK248" s="1758"/>
      <c r="BL248" s="1758"/>
      <c r="BM248" s="1758"/>
      <c r="BN248" s="1758"/>
      <c r="BO248" s="1758"/>
      <c r="BP248" s="1758"/>
      <c r="BQ248" s="1758"/>
      <c r="BR248" s="1758"/>
      <c r="BS248" s="1758"/>
      <c r="BT248" s="1758"/>
      <c r="BU248" s="1758"/>
      <c r="BV248" s="1758"/>
      <c r="BW248" s="1758"/>
      <c r="BX248" s="1758"/>
      <c r="BY248" s="1758"/>
      <c r="BZ248" s="1758"/>
      <c r="CA248" s="1758"/>
      <c r="CB248" s="1758"/>
      <c r="CC248" s="1758"/>
      <c r="CD248" s="1758"/>
      <c r="CE248" s="1758"/>
      <c r="CF248" s="1758"/>
      <c r="CG248" s="1758"/>
      <c r="CH248" s="1758"/>
      <c r="CI248" s="1758"/>
      <c r="CJ248" s="1758"/>
      <c r="CK248" s="1758"/>
      <c r="CL248" s="1758"/>
      <c r="CM248" s="1758"/>
      <c r="CN248" s="1758"/>
      <c r="CO248" s="1758"/>
      <c r="CP248" s="1758"/>
      <c r="CQ248" s="1758"/>
      <c r="CR248" s="1758"/>
      <c r="CS248" s="1758"/>
      <c r="CT248" s="1758"/>
      <c r="CU248" s="1758"/>
      <c r="CV248" s="1758"/>
      <c r="CW248" s="1758"/>
      <c r="CX248" s="1758"/>
      <c r="CY248" s="1758"/>
      <c r="CZ248" s="1758"/>
      <c r="DA248" s="1758"/>
      <c r="DB248" s="1758"/>
      <c r="DC248" s="1758"/>
    </row>
    <row r="249" spans="1:107" s="1395" customFormat="1" ht="26.25" customHeight="1">
      <c r="A249" s="10827"/>
      <c r="B249" s="10731" t="s">
        <v>127</v>
      </c>
      <c r="C249" s="10728" t="s">
        <v>128</v>
      </c>
      <c r="D249" s="10728" t="s">
        <v>129</v>
      </c>
      <c r="E249" s="10728" t="s">
        <v>268</v>
      </c>
      <c r="F249" s="10744" t="s">
        <v>131</v>
      </c>
      <c r="G249" s="10728" t="s">
        <v>132</v>
      </c>
      <c r="H249" s="10728" t="s">
        <v>159</v>
      </c>
      <c r="I249" s="10753" t="s">
        <v>4962</v>
      </c>
      <c r="J249" s="10832" t="s">
        <v>4586</v>
      </c>
      <c r="K249" s="10735" t="s">
        <v>4963</v>
      </c>
      <c r="L249" s="10759">
        <v>10</v>
      </c>
      <c r="M249" s="10758">
        <v>15</v>
      </c>
      <c r="N249" s="10759">
        <v>18</v>
      </c>
      <c r="O249" s="10735" t="s">
        <v>4964</v>
      </c>
      <c r="P249" s="10735" t="s">
        <v>4965</v>
      </c>
      <c r="Q249" s="10750" t="s">
        <v>4961</v>
      </c>
      <c r="R249" s="5173"/>
      <c r="S249" s="5212"/>
      <c r="T249" s="5212"/>
      <c r="U249" s="5249"/>
      <c r="V249" s="5281"/>
      <c r="W249" s="5302"/>
      <c r="X249" s="7477"/>
      <c r="Y249" s="7477"/>
      <c r="Z249" s="7477"/>
      <c r="AA249" s="7478"/>
      <c r="AB249" s="5325"/>
      <c r="AC249" s="1398"/>
      <c r="AD249" s="5302"/>
      <c r="AE249" s="5351"/>
      <c r="AF249" s="5351"/>
      <c r="AG249" s="10777"/>
      <c r="AH249" s="1758"/>
      <c r="AI249" s="1758"/>
      <c r="AJ249" s="1758"/>
      <c r="AK249" s="1758"/>
      <c r="AL249" s="1758"/>
      <c r="AM249" s="1758"/>
      <c r="AN249" s="1758"/>
      <c r="AO249" s="1758"/>
      <c r="AP249" s="1758"/>
      <c r="AQ249" s="1758"/>
      <c r="AR249" s="1758"/>
      <c r="AS249" s="1758"/>
      <c r="AT249" s="1758"/>
      <c r="AU249" s="1758"/>
      <c r="AV249" s="1758"/>
      <c r="AW249" s="1758"/>
      <c r="AX249" s="1758"/>
      <c r="AY249" s="1758"/>
      <c r="AZ249" s="1758"/>
      <c r="BA249" s="1758"/>
      <c r="BB249" s="1758"/>
      <c r="BC249" s="1758"/>
      <c r="BD249" s="1758"/>
      <c r="BE249" s="1758"/>
      <c r="BF249" s="1758"/>
      <c r="BG249" s="1758"/>
      <c r="BH249" s="1758"/>
      <c r="BI249" s="1758"/>
      <c r="BJ249" s="1758"/>
      <c r="BK249" s="1758"/>
      <c r="BL249" s="1758"/>
      <c r="BM249" s="1758"/>
      <c r="BN249" s="1758"/>
      <c r="BO249" s="1758"/>
      <c r="BP249" s="1758"/>
      <c r="BQ249" s="1758"/>
      <c r="BR249" s="1758"/>
      <c r="BS249" s="1758"/>
      <c r="BT249" s="1758"/>
      <c r="BU249" s="1758"/>
      <c r="BV249" s="1758"/>
      <c r="BW249" s="1758"/>
      <c r="BX249" s="1758"/>
      <c r="BY249" s="1758"/>
      <c r="BZ249" s="1758"/>
      <c r="CA249" s="1758"/>
      <c r="CB249" s="1758"/>
      <c r="CC249" s="1758"/>
      <c r="CD249" s="1758"/>
      <c r="CE249" s="1758"/>
      <c r="CF249" s="1758"/>
      <c r="CG249" s="1758"/>
      <c r="CH249" s="1758"/>
      <c r="CI249" s="1758"/>
      <c r="CJ249" s="1758"/>
      <c r="CK249" s="1758"/>
      <c r="CL249" s="1758"/>
      <c r="CM249" s="1758"/>
      <c r="CN249" s="1758"/>
      <c r="CO249" s="1758"/>
      <c r="CP249" s="1758"/>
      <c r="CQ249" s="1758"/>
      <c r="CR249" s="1758"/>
      <c r="CS249" s="1758"/>
      <c r="CT249" s="1758"/>
      <c r="CU249" s="1758"/>
      <c r="CV249" s="1758"/>
      <c r="CW249" s="1758"/>
      <c r="CX249" s="1758"/>
      <c r="CY249" s="1758"/>
      <c r="CZ249" s="1758"/>
      <c r="DA249" s="1758"/>
      <c r="DB249" s="1758"/>
      <c r="DC249" s="1758"/>
    </row>
    <row r="250" spans="1:107" s="1395" customFormat="1" ht="26.25" customHeight="1">
      <c r="A250" s="10827"/>
      <c r="B250" s="10731"/>
      <c r="C250" s="10728"/>
      <c r="D250" s="10728"/>
      <c r="E250" s="10728"/>
      <c r="F250" s="10744"/>
      <c r="G250" s="10728"/>
      <c r="H250" s="10728"/>
      <c r="I250" s="10754"/>
      <c r="J250" s="10801"/>
      <c r="K250" s="10735"/>
      <c r="L250" s="10759"/>
      <c r="M250" s="10759"/>
      <c r="N250" s="10759"/>
      <c r="O250" s="10735"/>
      <c r="P250" s="10735"/>
      <c r="Q250" s="10750"/>
      <c r="R250" s="5171"/>
      <c r="S250" s="5213"/>
      <c r="T250" s="5213"/>
      <c r="U250" s="5247"/>
      <c r="V250" s="5279"/>
      <c r="W250" s="5300"/>
      <c r="X250" s="7473"/>
      <c r="Y250" s="7473"/>
      <c r="Z250" s="7473"/>
      <c r="AA250" s="7474"/>
      <c r="AB250" s="5323"/>
      <c r="AC250" s="1396"/>
      <c r="AD250" s="5300"/>
      <c r="AE250" s="5300"/>
      <c r="AF250" s="5352"/>
      <c r="AG250" s="10777"/>
      <c r="AH250" s="1758"/>
      <c r="AI250" s="1758"/>
      <c r="AJ250" s="1758"/>
      <c r="AK250" s="1758"/>
      <c r="AL250" s="1758"/>
      <c r="AM250" s="1758"/>
      <c r="AN250" s="1758"/>
      <c r="AO250" s="1758"/>
      <c r="AP250" s="1758"/>
      <c r="AQ250" s="1758"/>
      <c r="AR250" s="1758"/>
      <c r="AS250" s="1758"/>
      <c r="AT250" s="1758"/>
      <c r="AU250" s="1758"/>
      <c r="AV250" s="1758"/>
      <c r="AW250" s="1758"/>
      <c r="AX250" s="1758"/>
      <c r="AY250" s="1758"/>
      <c r="AZ250" s="1758"/>
      <c r="BA250" s="1758"/>
      <c r="BB250" s="1758"/>
      <c r="BC250" s="1758"/>
      <c r="BD250" s="1758"/>
      <c r="BE250" s="1758"/>
      <c r="BF250" s="1758"/>
      <c r="BG250" s="1758"/>
      <c r="BH250" s="1758"/>
      <c r="BI250" s="1758"/>
      <c r="BJ250" s="1758"/>
      <c r="BK250" s="1758"/>
      <c r="BL250" s="1758"/>
      <c r="BM250" s="1758"/>
      <c r="BN250" s="1758"/>
      <c r="BO250" s="1758"/>
      <c r="BP250" s="1758"/>
      <c r="BQ250" s="1758"/>
      <c r="BR250" s="1758"/>
      <c r="BS250" s="1758"/>
      <c r="BT250" s="1758"/>
      <c r="BU250" s="1758"/>
      <c r="BV250" s="1758"/>
      <c r="BW250" s="1758"/>
      <c r="BX250" s="1758"/>
      <c r="BY250" s="1758"/>
      <c r="BZ250" s="1758"/>
      <c r="CA250" s="1758"/>
      <c r="CB250" s="1758"/>
      <c r="CC250" s="1758"/>
      <c r="CD250" s="1758"/>
      <c r="CE250" s="1758"/>
      <c r="CF250" s="1758"/>
      <c r="CG250" s="1758"/>
      <c r="CH250" s="1758"/>
      <c r="CI250" s="1758"/>
      <c r="CJ250" s="1758"/>
      <c r="CK250" s="1758"/>
      <c r="CL250" s="1758"/>
      <c r="CM250" s="1758"/>
      <c r="CN250" s="1758"/>
      <c r="CO250" s="1758"/>
      <c r="CP250" s="1758"/>
      <c r="CQ250" s="1758"/>
      <c r="CR250" s="1758"/>
      <c r="CS250" s="1758"/>
      <c r="CT250" s="1758"/>
      <c r="CU250" s="1758"/>
      <c r="CV250" s="1758"/>
      <c r="CW250" s="1758"/>
      <c r="CX250" s="1758"/>
      <c r="CY250" s="1758"/>
      <c r="CZ250" s="1758"/>
      <c r="DA250" s="1758"/>
      <c r="DB250" s="1758"/>
      <c r="DC250" s="1758"/>
    </row>
    <row r="251" spans="1:107" s="1395" customFormat="1" ht="26.25" customHeight="1">
      <c r="A251" s="10827"/>
      <c r="B251" s="10731"/>
      <c r="C251" s="10728"/>
      <c r="D251" s="10728"/>
      <c r="E251" s="10728"/>
      <c r="F251" s="10744"/>
      <c r="G251" s="10728"/>
      <c r="H251" s="10728"/>
      <c r="I251" s="10754"/>
      <c r="J251" s="10801"/>
      <c r="K251" s="10735"/>
      <c r="L251" s="10759"/>
      <c r="M251" s="10759"/>
      <c r="N251" s="10759"/>
      <c r="O251" s="10735"/>
      <c r="P251" s="10735"/>
      <c r="Q251" s="10750"/>
      <c r="R251" s="5171"/>
      <c r="S251" s="5213"/>
      <c r="T251" s="5213"/>
      <c r="U251" s="5247"/>
      <c r="V251" s="5279"/>
      <c r="W251" s="5300"/>
      <c r="X251" s="7473"/>
      <c r="Y251" s="7473"/>
      <c r="Z251" s="7473"/>
      <c r="AA251" s="7474"/>
      <c r="AB251" s="5323"/>
      <c r="AC251" s="1396"/>
      <c r="AD251" s="5300"/>
      <c r="AE251" s="5300"/>
      <c r="AF251" s="5346"/>
      <c r="AG251" s="10777"/>
      <c r="AH251" s="1758"/>
      <c r="AI251" s="1758"/>
      <c r="AJ251" s="1758"/>
      <c r="AK251" s="1758"/>
      <c r="AL251" s="1758"/>
      <c r="AM251" s="1758"/>
      <c r="AN251" s="1758"/>
      <c r="AO251" s="1758"/>
      <c r="AP251" s="1758"/>
      <c r="AQ251" s="1758"/>
      <c r="AR251" s="1758"/>
      <c r="AS251" s="1758"/>
      <c r="AT251" s="1758"/>
      <c r="AU251" s="1758"/>
      <c r="AV251" s="1758"/>
      <c r="AW251" s="1758"/>
      <c r="AX251" s="1758"/>
      <c r="AY251" s="1758"/>
      <c r="AZ251" s="1758"/>
      <c r="BA251" s="1758"/>
      <c r="BB251" s="1758"/>
      <c r="BC251" s="1758"/>
      <c r="BD251" s="1758"/>
      <c r="BE251" s="1758"/>
      <c r="BF251" s="1758"/>
      <c r="BG251" s="1758"/>
      <c r="BH251" s="1758"/>
      <c r="BI251" s="1758"/>
      <c r="BJ251" s="1758"/>
      <c r="BK251" s="1758"/>
      <c r="BL251" s="1758"/>
      <c r="BM251" s="1758"/>
      <c r="BN251" s="1758"/>
      <c r="BO251" s="1758"/>
      <c r="BP251" s="1758"/>
      <c r="BQ251" s="1758"/>
      <c r="BR251" s="1758"/>
      <c r="BS251" s="1758"/>
      <c r="BT251" s="1758"/>
      <c r="BU251" s="1758"/>
      <c r="BV251" s="1758"/>
      <c r="BW251" s="1758"/>
      <c r="BX251" s="1758"/>
      <c r="BY251" s="1758"/>
      <c r="BZ251" s="1758"/>
      <c r="CA251" s="1758"/>
      <c r="CB251" s="1758"/>
      <c r="CC251" s="1758"/>
      <c r="CD251" s="1758"/>
      <c r="CE251" s="1758"/>
      <c r="CF251" s="1758"/>
      <c r="CG251" s="1758"/>
      <c r="CH251" s="1758"/>
      <c r="CI251" s="1758"/>
      <c r="CJ251" s="1758"/>
      <c r="CK251" s="1758"/>
      <c r="CL251" s="1758"/>
      <c r="CM251" s="1758"/>
      <c r="CN251" s="1758"/>
      <c r="CO251" s="1758"/>
      <c r="CP251" s="1758"/>
      <c r="CQ251" s="1758"/>
      <c r="CR251" s="1758"/>
      <c r="CS251" s="1758"/>
      <c r="CT251" s="1758"/>
      <c r="CU251" s="1758"/>
      <c r="CV251" s="1758"/>
      <c r="CW251" s="1758"/>
      <c r="CX251" s="1758"/>
      <c r="CY251" s="1758"/>
      <c r="CZ251" s="1758"/>
      <c r="DA251" s="1758"/>
      <c r="DB251" s="1758"/>
      <c r="DC251" s="1758"/>
    </row>
    <row r="252" spans="1:107" s="1395" customFormat="1" ht="26.25" customHeight="1">
      <c r="A252" s="10827"/>
      <c r="B252" s="10731"/>
      <c r="C252" s="10728"/>
      <c r="D252" s="10728"/>
      <c r="E252" s="10728"/>
      <c r="F252" s="10744"/>
      <c r="G252" s="10728"/>
      <c r="H252" s="10728"/>
      <c r="I252" s="10754"/>
      <c r="J252" s="10801"/>
      <c r="K252" s="10735"/>
      <c r="L252" s="10759"/>
      <c r="M252" s="10759"/>
      <c r="N252" s="10759"/>
      <c r="O252" s="10735"/>
      <c r="P252" s="10735"/>
      <c r="Q252" s="10750"/>
      <c r="R252" s="5171"/>
      <c r="S252" s="5213"/>
      <c r="T252" s="5213"/>
      <c r="U252" s="5247"/>
      <c r="V252" s="5279"/>
      <c r="W252" s="5300"/>
      <c r="X252" s="7473"/>
      <c r="Y252" s="7473"/>
      <c r="Z252" s="7473"/>
      <c r="AA252" s="7474"/>
      <c r="AB252" s="5323"/>
      <c r="AC252" s="1396"/>
      <c r="AD252" s="5300"/>
      <c r="AE252" s="5300"/>
      <c r="AF252" s="5346"/>
      <c r="AG252" s="10777"/>
      <c r="AH252" s="1758"/>
      <c r="AI252" s="1758"/>
      <c r="AJ252" s="1758"/>
      <c r="AK252" s="1758"/>
      <c r="AL252" s="1758"/>
      <c r="AM252" s="1758"/>
      <c r="AN252" s="1758"/>
      <c r="AO252" s="1758"/>
      <c r="AP252" s="1758"/>
      <c r="AQ252" s="1758"/>
      <c r="AR252" s="1758"/>
      <c r="AS252" s="1758"/>
      <c r="AT252" s="1758"/>
      <c r="AU252" s="1758"/>
      <c r="AV252" s="1758"/>
      <c r="AW252" s="1758"/>
      <c r="AX252" s="1758"/>
      <c r="AY252" s="1758"/>
      <c r="AZ252" s="1758"/>
      <c r="BA252" s="1758"/>
      <c r="BB252" s="1758"/>
      <c r="BC252" s="1758"/>
      <c r="BD252" s="1758"/>
      <c r="BE252" s="1758"/>
      <c r="BF252" s="1758"/>
      <c r="BG252" s="1758"/>
      <c r="BH252" s="1758"/>
      <c r="BI252" s="1758"/>
      <c r="BJ252" s="1758"/>
      <c r="BK252" s="1758"/>
      <c r="BL252" s="1758"/>
      <c r="BM252" s="1758"/>
      <c r="BN252" s="1758"/>
      <c r="BO252" s="1758"/>
      <c r="BP252" s="1758"/>
      <c r="BQ252" s="1758"/>
      <c r="BR252" s="1758"/>
      <c r="BS252" s="1758"/>
      <c r="BT252" s="1758"/>
      <c r="BU252" s="1758"/>
      <c r="BV252" s="1758"/>
      <c r="BW252" s="1758"/>
      <c r="BX252" s="1758"/>
      <c r="BY252" s="1758"/>
      <c r="BZ252" s="1758"/>
      <c r="CA252" s="1758"/>
      <c r="CB252" s="1758"/>
      <c r="CC252" s="1758"/>
      <c r="CD252" s="1758"/>
      <c r="CE252" s="1758"/>
      <c r="CF252" s="1758"/>
      <c r="CG252" s="1758"/>
      <c r="CH252" s="1758"/>
      <c r="CI252" s="1758"/>
      <c r="CJ252" s="1758"/>
      <c r="CK252" s="1758"/>
      <c r="CL252" s="1758"/>
      <c r="CM252" s="1758"/>
      <c r="CN252" s="1758"/>
      <c r="CO252" s="1758"/>
      <c r="CP252" s="1758"/>
      <c r="CQ252" s="1758"/>
      <c r="CR252" s="1758"/>
      <c r="CS252" s="1758"/>
      <c r="CT252" s="1758"/>
      <c r="CU252" s="1758"/>
      <c r="CV252" s="1758"/>
      <c r="CW252" s="1758"/>
      <c r="CX252" s="1758"/>
      <c r="CY252" s="1758"/>
      <c r="CZ252" s="1758"/>
      <c r="DA252" s="1758"/>
      <c r="DB252" s="1758"/>
      <c r="DC252" s="1758"/>
    </row>
    <row r="253" spans="1:107" s="1395" customFormat="1" ht="26.25" customHeight="1">
      <c r="A253" s="10827"/>
      <c r="B253" s="10732"/>
      <c r="C253" s="10729"/>
      <c r="D253" s="10729"/>
      <c r="E253" s="10729"/>
      <c r="F253" s="10745"/>
      <c r="G253" s="10729"/>
      <c r="H253" s="10729"/>
      <c r="I253" s="10755"/>
      <c r="J253" s="10802"/>
      <c r="K253" s="10736"/>
      <c r="L253" s="10760"/>
      <c r="M253" s="10760"/>
      <c r="N253" s="10760"/>
      <c r="O253" s="10736"/>
      <c r="P253" s="10736"/>
      <c r="Q253" s="10751"/>
      <c r="R253" s="5175"/>
      <c r="S253" s="5215"/>
      <c r="T253" s="5215"/>
      <c r="U253" s="5251"/>
      <c r="V253" s="5282"/>
      <c r="W253" s="5303"/>
      <c r="X253" s="7479"/>
      <c r="Y253" s="7479"/>
      <c r="Z253" s="7479"/>
      <c r="AA253" s="7480"/>
      <c r="AB253" s="5326"/>
      <c r="AC253" s="1399"/>
      <c r="AD253" s="5303"/>
      <c r="AE253" s="5303"/>
      <c r="AF253" s="5348"/>
      <c r="AG253" s="10778"/>
      <c r="AH253" s="1758"/>
      <c r="AI253" s="1758"/>
      <c r="AJ253" s="1758"/>
      <c r="AK253" s="1758"/>
      <c r="AL253" s="1758"/>
      <c r="AM253" s="1758"/>
      <c r="AN253" s="1758"/>
      <c r="AO253" s="1758"/>
      <c r="AP253" s="1758"/>
      <c r="AQ253" s="1758"/>
      <c r="AR253" s="1758"/>
      <c r="AS253" s="1758"/>
      <c r="AT253" s="1758"/>
      <c r="AU253" s="1758"/>
      <c r="AV253" s="1758"/>
      <c r="AW253" s="1758"/>
      <c r="AX253" s="1758"/>
      <c r="AY253" s="1758"/>
      <c r="AZ253" s="1758"/>
      <c r="BA253" s="1758"/>
      <c r="BB253" s="1758"/>
      <c r="BC253" s="1758"/>
      <c r="BD253" s="1758"/>
      <c r="BE253" s="1758"/>
      <c r="BF253" s="1758"/>
      <c r="BG253" s="1758"/>
      <c r="BH253" s="1758"/>
      <c r="BI253" s="1758"/>
      <c r="BJ253" s="1758"/>
      <c r="BK253" s="1758"/>
      <c r="BL253" s="1758"/>
      <c r="BM253" s="1758"/>
      <c r="BN253" s="1758"/>
      <c r="BO253" s="1758"/>
      <c r="BP253" s="1758"/>
      <c r="BQ253" s="1758"/>
      <c r="BR253" s="1758"/>
      <c r="BS253" s="1758"/>
      <c r="BT253" s="1758"/>
      <c r="BU253" s="1758"/>
      <c r="BV253" s="1758"/>
      <c r="BW253" s="1758"/>
      <c r="BX253" s="1758"/>
      <c r="BY253" s="1758"/>
      <c r="BZ253" s="1758"/>
      <c r="CA253" s="1758"/>
      <c r="CB253" s="1758"/>
      <c r="CC253" s="1758"/>
      <c r="CD253" s="1758"/>
      <c r="CE253" s="1758"/>
      <c r="CF253" s="1758"/>
      <c r="CG253" s="1758"/>
      <c r="CH253" s="1758"/>
      <c r="CI253" s="1758"/>
      <c r="CJ253" s="1758"/>
      <c r="CK253" s="1758"/>
      <c r="CL253" s="1758"/>
      <c r="CM253" s="1758"/>
      <c r="CN253" s="1758"/>
      <c r="CO253" s="1758"/>
      <c r="CP253" s="1758"/>
      <c r="CQ253" s="1758"/>
      <c r="CR253" s="1758"/>
      <c r="CS253" s="1758"/>
      <c r="CT253" s="1758"/>
      <c r="CU253" s="1758"/>
      <c r="CV253" s="1758"/>
      <c r="CW253" s="1758"/>
      <c r="CX253" s="1758"/>
      <c r="CY253" s="1758"/>
      <c r="CZ253" s="1758"/>
      <c r="DA253" s="1758"/>
      <c r="DB253" s="1758"/>
      <c r="DC253" s="1758"/>
    </row>
    <row r="254" spans="1:107" s="1395" customFormat="1" ht="26.25" customHeight="1">
      <c r="A254" s="10827"/>
      <c r="B254" s="10748" t="s">
        <v>127</v>
      </c>
      <c r="C254" s="10742" t="s">
        <v>128</v>
      </c>
      <c r="D254" s="10742" t="s">
        <v>129</v>
      </c>
      <c r="E254" s="10742" t="s">
        <v>268</v>
      </c>
      <c r="F254" s="10743" t="s">
        <v>131</v>
      </c>
      <c r="G254" s="10742" t="s">
        <v>132</v>
      </c>
      <c r="H254" s="10742" t="s">
        <v>159</v>
      </c>
      <c r="I254" s="10743" t="s">
        <v>4966</v>
      </c>
      <c r="J254" s="10800" t="s">
        <v>4967</v>
      </c>
      <c r="K254" s="10734" t="s">
        <v>4968</v>
      </c>
      <c r="L254" s="10758">
        <v>7</v>
      </c>
      <c r="M254" s="10758">
        <v>8</v>
      </c>
      <c r="N254" s="10758">
        <v>8</v>
      </c>
      <c r="O254" s="10734" t="s">
        <v>4969</v>
      </c>
      <c r="P254" s="10734" t="s">
        <v>4970</v>
      </c>
      <c r="Q254" s="10781" t="s">
        <v>4961</v>
      </c>
      <c r="R254" s="5198"/>
      <c r="S254" s="5231"/>
      <c r="T254" s="5231"/>
      <c r="U254" s="5270"/>
      <c r="V254" s="5294"/>
      <c r="W254" s="5314"/>
      <c r="X254" s="7487"/>
      <c r="Y254" s="7487"/>
      <c r="Z254" s="7487"/>
      <c r="AA254" s="7503"/>
      <c r="AB254" s="5337"/>
      <c r="AC254" s="1416"/>
      <c r="AD254" s="5314"/>
      <c r="AE254" s="5314"/>
      <c r="AF254" s="5350"/>
      <c r="AG254" s="6244"/>
      <c r="AH254" s="1758"/>
      <c r="AI254" s="1758"/>
      <c r="AJ254" s="1758"/>
      <c r="AK254" s="1758"/>
      <c r="AL254" s="1758"/>
      <c r="AM254" s="1758"/>
      <c r="AN254" s="1758"/>
      <c r="AO254" s="1758"/>
      <c r="AP254" s="1758"/>
      <c r="AQ254" s="1758"/>
      <c r="AR254" s="1758"/>
      <c r="AS254" s="1758"/>
      <c r="AT254" s="1758"/>
      <c r="AU254" s="1758"/>
      <c r="AV254" s="1758"/>
      <c r="AW254" s="1758"/>
      <c r="AX254" s="1758"/>
      <c r="AY254" s="1758"/>
      <c r="AZ254" s="1758"/>
      <c r="BA254" s="1758"/>
      <c r="BB254" s="1758"/>
      <c r="BC254" s="1758"/>
      <c r="BD254" s="1758"/>
      <c r="BE254" s="1758"/>
      <c r="BF254" s="1758"/>
      <c r="BG254" s="1758"/>
      <c r="BH254" s="1758"/>
      <c r="BI254" s="1758"/>
      <c r="BJ254" s="1758"/>
      <c r="BK254" s="1758"/>
      <c r="BL254" s="1758"/>
      <c r="BM254" s="1758"/>
      <c r="BN254" s="1758"/>
      <c r="BO254" s="1758"/>
      <c r="BP254" s="1758"/>
      <c r="BQ254" s="1758"/>
      <c r="BR254" s="1758"/>
      <c r="BS254" s="1758"/>
      <c r="BT254" s="1758"/>
      <c r="BU254" s="1758"/>
      <c r="BV254" s="1758"/>
      <c r="BW254" s="1758"/>
      <c r="BX254" s="1758"/>
      <c r="BY254" s="1758"/>
      <c r="BZ254" s="1758"/>
      <c r="CA254" s="1758"/>
      <c r="CB254" s="1758"/>
      <c r="CC254" s="1758"/>
      <c r="CD254" s="1758"/>
      <c r="CE254" s="1758"/>
      <c r="CF254" s="1758"/>
      <c r="CG254" s="1758"/>
      <c r="CH254" s="1758"/>
      <c r="CI254" s="1758"/>
      <c r="CJ254" s="1758"/>
      <c r="CK254" s="1758"/>
      <c r="CL254" s="1758"/>
      <c r="CM254" s="1758"/>
      <c r="CN254" s="1758"/>
      <c r="CO254" s="1758"/>
      <c r="CP254" s="1758"/>
      <c r="CQ254" s="1758"/>
      <c r="CR254" s="1758"/>
      <c r="CS254" s="1758"/>
      <c r="CT254" s="1758"/>
      <c r="CU254" s="1758"/>
      <c r="CV254" s="1758"/>
      <c r="CW254" s="1758"/>
      <c r="CX254" s="1758"/>
      <c r="CY254" s="1758"/>
      <c r="CZ254" s="1758"/>
      <c r="DA254" s="1758"/>
      <c r="DB254" s="1758"/>
      <c r="DC254" s="1758"/>
    </row>
    <row r="255" spans="1:107" s="1395" customFormat="1" ht="26.25" customHeight="1">
      <c r="A255" s="10827"/>
      <c r="B255" s="10731"/>
      <c r="C255" s="10728"/>
      <c r="D255" s="10728"/>
      <c r="E255" s="10728"/>
      <c r="F255" s="10744"/>
      <c r="G255" s="10728"/>
      <c r="H255" s="10728"/>
      <c r="I255" s="10728"/>
      <c r="J255" s="10801"/>
      <c r="K255" s="10735"/>
      <c r="L255" s="10759"/>
      <c r="M255" s="10759"/>
      <c r="N255" s="10759"/>
      <c r="O255" s="10735"/>
      <c r="P255" s="10735"/>
      <c r="Q255" s="10782"/>
      <c r="R255" s="5171"/>
      <c r="S255" s="5210"/>
      <c r="T255" s="5210"/>
      <c r="U255" s="5247"/>
      <c r="V255" s="5279"/>
      <c r="W255" s="5300"/>
      <c r="X255" s="7473"/>
      <c r="Y255" s="7473"/>
      <c r="Z255" s="7473"/>
      <c r="AA255" s="7474"/>
      <c r="AB255" s="5323"/>
      <c r="AC255" s="1396"/>
      <c r="AD255" s="5300"/>
      <c r="AE255" s="5300"/>
      <c r="AF255" s="5346"/>
      <c r="AG255" s="6244"/>
      <c r="AH255" s="1758"/>
      <c r="AI255" s="1758"/>
      <c r="AJ255" s="1758"/>
      <c r="AK255" s="1758"/>
      <c r="AL255" s="1758"/>
      <c r="AM255" s="1758"/>
      <c r="AN255" s="1758"/>
      <c r="AO255" s="1758"/>
      <c r="AP255" s="1758"/>
      <c r="AQ255" s="1758"/>
      <c r="AR255" s="1758"/>
      <c r="AS255" s="1758"/>
      <c r="AT255" s="1758"/>
      <c r="AU255" s="1758"/>
      <c r="AV255" s="1758"/>
      <c r="AW255" s="1758"/>
      <c r="AX255" s="1758"/>
      <c r="AY255" s="1758"/>
      <c r="AZ255" s="1758"/>
      <c r="BA255" s="1758"/>
      <c r="BB255" s="1758"/>
      <c r="BC255" s="1758"/>
      <c r="BD255" s="1758"/>
      <c r="BE255" s="1758"/>
      <c r="BF255" s="1758"/>
      <c r="BG255" s="1758"/>
      <c r="BH255" s="1758"/>
      <c r="BI255" s="1758"/>
      <c r="BJ255" s="1758"/>
      <c r="BK255" s="1758"/>
      <c r="BL255" s="1758"/>
      <c r="BM255" s="1758"/>
      <c r="BN255" s="1758"/>
      <c r="BO255" s="1758"/>
      <c r="BP255" s="1758"/>
      <c r="BQ255" s="1758"/>
      <c r="BR255" s="1758"/>
      <c r="BS255" s="1758"/>
      <c r="BT255" s="1758"/>
      <c r="BU255" s="1758"/>
      <c r="BV255" s="1758"/>
      <c r="BW255" s="1758"/>
      <c r="BX255" s="1758"/>
      <c r="BY255" s="1758"/>
      <c r="BZ255" s="1758"/>
      <c r="CA255" s="1758"/>
      <c r="CB255" s="1758"/>
      <c r="CC255" s="1758"/>
      <c r="CD255" s="1758"/>
      <c r="CE255" s="1758"/>
      <c r="CF255" s="1758"/>
      <c r="CG255" s="1758"/>
      <c r="CH255" s="1758"/>
      <c r="CI255" s="1758"/>
      <c r="CJ255" s="1758"/>
      <c r="CK255" s="1758"/>
      <c r="CL255" s="1758"/>
      <c r="CM255" s="1758"/>
      <c r="CN255" s="1758"/>
      <c r="CO255" s="1758"/>
      <c r="CP255" s="1758"/>
      <c r="CQ255" s="1758"/>
      <c r="CR255" s="1758"/>
      <c r="CS255" s="1758"/>
      <c r="CT255" s="1758"/>
      <c r="CU255" s="1758"/>
      <c r="CV255" s="1758"/>
      <c r="CW255" s="1758"/>
      <c r="CX255" s="1758"/>
      <c r="CY255" s="1758"/>
      <c r="CZ255" s="1758"/>
      <c r="DA255" s="1758"/>
      <c r="DB255" s="1758"/>
      <c r="DC255" s="1758"/>
    </row>
    <row r="256" spans="1:107" s="1395" customFormat="1" ht="26.25" customHeight="1">
      <c r="A256" s="10827"/>
      <c r="B256" s="10731"/>
      <c r="C256" s="10728"/>
      <c r="D256" s="10728"/>
      <c r="E256" s="10728"/>
      <c r="F256" s="10744"/>
      <c r="G256" s="10728"/>
      <c r="H256" s="10728"/>
      <c r="I256" s="10728"/>
      <c r="J256" s="10801"/>
      <c r="K256" s="10735"/>
      <c r="L256" s="10759"/>
      <c r="M256" s="10759"/>
      <c r="N256" s="10759"/>
      <c r="O256" s="10735"/>
      <c r="P256" s="10735"/>
      <c r="Q256" s="10782"/>
      <c r="R256" s="5171"/>
      <c r="S256" s="5210"/>
      <c r="T256" s="5210"/>
      <c r="U256" s="5247"/>
      <c r="V256" s="5279"/>
      <c r="W256" s="5300"/>
      <c r="X256" s="7473"/>
      <c r="Y256" s="7473"/>
      <c r="Z256" s="7473"/>
      <c r="AA256" s="7474"/>
      <c r="AB256" s="5323"/>
      <c r="AC256" s="1396"/>
      <c r="AD256" s="5300"/>
      <c r="AE256" s="5300"/>
      <c r="AF256" s="5346"/>
      <c r="AG256" s="6244"/>
      <c r="AH256" s="1758"/>
      <c r="AI256" s="1758"/>
      <c r="AJ256" s="1758"/>
      <c r="AK256" s="1758"/>
      <c r="AL256" s="1758"/>
      <c r="AM256" s="1758"/>
      <c r="AN256" s="1758"/>
      <c r="AO256" s="1758"/>
      <c r="AP256" s="1758"/>
      <c r="AQ256" s="1758"/>
      <c r="AR256" s="1758"/>
      <c r="AS256" s="1758"/>
      <c r="AT256" s="1758"/>
      <c r="AU256" s="1758"/>
      <c r="AV256" s="1758"/>
      <c r="AW256" s="1758"/>
      <c r="AX256" s="1758"/>
      <c r="AY256" s="1758"/>
      <c r="AZ256" s="1758"/>
      <c r="BA256" s="1758"/>
      <c r="BB256" s="1758"/>
      <c r="BC256" s="1758"/>
      <c r="BD256" s="1758"/>
      <c r="BE256" s="1758"/>
      <c r="BF256" s="1758"/>
      <c r="BG256" s="1758"/>
      <c r="BH256" s="1758"/>
      <c r="BI256" s="1758"/>
      <c r="BJ256" s="1758"/>
      <c r="BK256" s="1758"/>
      <c r="BL256" s="1758"/>
      <c r="BM256" s="1758"/>
      <c r="BN256" s="1758"/>
      <c r="BO256" s="1758"/>
      <c r="BP256" s="1758"/>
      <c r="BQ256" s="1758"/>
      <c r="BR256" s="1758"/>
      <c r="BS256" s="1758"/>
      <c r="BT256" s="1758"/>
      <c r="BU256" s="1758"/>
      <c r="BV256" s="1758"/>
      <c r="BW256" s="1758"/>
      <c r="BX256" s="1758"/>
      <c r="BY256" s="1758"/>
      <c r="BZ256" s="1758"/>
      <c r="CA256" s="1758"/>
      <c r="CB256" s="1758"/>
      <c r="CC256" s="1758"/>
      <c r="CD256" s="1758"/>
      <c r="CE256" s="1758"/>
      <c r="CF256" s="1758"/>
      <c r="CG256" s="1758"/>
      <c r="CH256" s="1758"/>
      <c r="CI256" s="1758"/>
      <c r="CJ256" s="1758"/>
      <c r="CK256" s="1758"/>
      <c r="CL256" s="1758"/>
      <c r="CM256" s="1758"/>
      <c r="CN256" s="1758"/>
      <c r="CO256" s="1758"/>
      <c r="CP256" s="1758"/>
      <c r="CQ256" s="1758"/>
      <c r="CR256" s="1758"/>
      <c r="CS256" s="1758"/>
      <c r="CT256" s="1758"/>
      <c r="CU256" s="1758"/>
      <c r="CV256" s="1758"/>
      <c r="CW256" s="1758"/>
      <c r="CX256" s="1758"/>
      <c r="CY256" s="1758"/>
      <c r="CZ256" s="1758"/>
      <c r="DA256" s="1758"/>
      <c r="DB256" s="1758"/>
      <c r="DC256" s="1758"/>
    </row>
    <row r="257" spans="1:107" s="1395" customFormat="1" ht="26.25" customHeight="1">
      <c r="A257" s="10827"/>
      <c r="B257" s="10731"/>
      <c r="C257" s="10728"/>
      <c r="D257" s="10728"/>
      <c r="E257" s="10728"/>
      <c r="F257" s="10744"/>
      <c r="G257" s="10728"/>
      <c r="H257" s="10728"/>
      <c r="I257" s="10728"/>
      <c r="J257" s="10801"/>
      <c r="K257" s="10735"/>
      <c r="L257" s="10759"/>
      <c r="M257" s="10759"/>
      <c r="N257" s="10759"/>
      <c r="O257" s="10735"/>
      <c r="P257" s="10735"/>
      <c r="Q257" s="10782"/>
      <c r="R257" s="5171"/>
      <c r="S257" s="5210"/>
      <c r="T257" s="5210"/>
      <c r="U257" s="5247"/>
      <c r="V257" s="5279"/>
      <c r="W257" s="5300"/>
      <c r="X257" s="7473"/>
      <c r="Y257" s="7473"/>
      <c r="Z257" s="7473"/>
      <c r="AA257" s="7474"/>
      <c r="AB257" s="5323"/>
      <c r="AC257" s="1396"/>
      <c r="AD257" s="5300"/>
      <c r="AE257" s="5300"/>
      <c r="AF257" s="5346"/>
      <c r="AG257" s="6244"/>
      <c r="AH257" s="1758"/>
      <c r="AI257" s="1758"/>
      <c r="AJ257" s="1758"/>
      <c r="AK257" s="1758"/>
      <c r="AL257" s="1758"/>
      <c r="AM257" s="1758"/>
      <c r="AN257" s="1758"/>
      <c r="AO257" s="1758"/>
      <c r="AP257" s="1758"/>
      <c r="AQ257" s="1758"/>
      <c r="AR257" s="1758"/>
      <c r="AS257" s="1758"/>
      <c r="AT257" s="1758"/>
      <c r="AU257" s="1758"/>
      <c r="AV257" s="1758"/>
      <c r="AW257" s="1758"/>
      <c r="AX257" s="1758"/>
      <c r="AY257" s="1758"/>
      <c r="AZ257" s="1758"/>
      <c r="BA257" s="1758"/>
      <c r="BB257" s="1758"/>
      <c r="BC257" s="1758"/>
      <c r="BD257" s="1758"/>
      <c r="BE257" s="1758"/>
      <c r="BF257" s="1758"/>
      <c r="BG257" s="1758"/>
      <c r="BH257" s="1758"/>
      <c r="BI257" s="1758"/>
      <c r="BJ257" s="1758"/>
      <c r="BK257" s="1758"/>
      <c r="BL257" s="1758"/>
      <c r="BM257" s="1758"/>
      <c r="BN257" s="1758"/>
      <c r="BO257" s="1758"/>
      <c r="BP257" s="1758"/>
      <c r="BQ257" s="1758"/>
      <c r="BR257" s="1758"/>
      <c r="BS257" s="1758"/>
      <c r="BT257" s="1758"/>
      <c r="BU257" s="1758"/>
      <c r="BV257" s="1758"/>
      <c r="BW257" s="1758"/>
      <c r="BX257" s="1758"/>
      <c r="BY257" s="1758"/>
      <c r="BZ257" s="1758"/>
      <c r="CA257" s="1758"/>
      <c r="CB257" s="1758"/>
      <c r="CC257" s="1758"/>
      <c r="CD257" s="1758"/>
      <c r="CE257" s="1758"/>
      <c r="CF257" s="1758"/>
      <c r="CG257" s="1758"/>
      <c r="CH257" s="1758"/>
      <c r="CI257" s="1758"/>
      <c r="CJ257" s="1758"/>
      <c r="CK257" s="1758"/>
      <c r="CL257" s="1758"/>
      <c r="CM257" s="1758"/>
      <c r="CN257" s="1758"/>
      <c r="CO257" s="1758"/>
      <c r="CP257" s="1758"/>
      <c r="CQ257" s="1758"/>
      <c r="CR257" s="1758"/>
      <c r="CS257" s="1758"/>
      <c r="CT257" s="1758"/>
      <c r="CU257" s="1758"/>
      <c r="CV257" s="1758"/>
      <c r="CW257" s="1758"/>
      <c r="CX257" s="1758"/>
      <c r="CY257" s="1758"/>
      <c r="CZ257" s="1758"/>
      <c r="DA257" s="1758"/>
      <c r="DB257" s="1758"/>
      <c r="DC257" s="1758"/>
    </row>
    <row r="258" spans="1:107" s="1395" customFormat="1" ht="26.25" customHeight="1">
      <c r="A258" s="10827"/>
      <c r="B258" s="10732"/>
      <c r="C258" s="10729"/>
      <c r="D258" s="10729"/>
      <c r="E258" s="10729"/>
      <c r="F258" s="10745"/>
      <c r="G258" s="10729"/>
      <c r="H258" s="10729"/>
      <c r="I258" s="10729"/>
      <c r="J258" s="10802"/>
      <c r="K258" s="10736"/>
      <c r="L258" s="10760"/>
      <c r="M258" s="10760"/>
      <c r="N258" s="10760"/>
      <c r="O258" s="10736"/>
      <c r="P258" s="10736"/>
      <c r="Q258" s="10783"/>
      <c r="R258" s="5175"/>
      <c r="S258" s="5230"/>
      <c r="T258" s="5230"/>
      <c r="U258" s="5251"/>
      <c r="V258" s="5282"/>
      <c r="W258" s="5303"/>
      <c r="X258" s="7479"/>
      <c r="Y258" s="7479"/>
      <c r="Z258" s="7479"/>
      <c r="AA258" s="7480"/>
      <c r="AB258" s="5326"/>
      <c r="AC258" s="1399"/>
      <c r="AD258" s="5303"/>
      <c r="AE258" s="5303"/>
      <c r="AF258" s="5348"/>
      <c r="AG258" s="6244"/>
      <c r="AH258" s="1758"/>
      <c r="AI258" s="1758"/>
      <c r="AJ258" s="1758"/>
      <c r="AK258" s="1758"/>
      <c r="AL258" s="1758"/>
      <c r="AM258" s="1758"/>
      <c r="AN258" s="1758"/>
      <c r="AO258" s="1758"/>
      <c r="AP258" s="1758"/>
      <c r="AQ258" s="1758"/>
      <c r="AR258" s="1758"/>
      <c r="AS258" s="1758"/>
      <c r="AT258" s="1758"/>
      <c r="AU258" s="1758"/>
      <c r="AV258" s="1758"/>
      <c r="AW258" s="1758"/>
      <c r="AX258" s="1758"/>
      <c r="AY258" s="1758"/>
      <c r="AZ258" s="1758"/>
      <c r="BA258" s="1758"/>
      <c r="BB258" s="1758"/>
      <c r="BC258" s="1758"/>
      <c r="BD258" s="1758"/>
      <c r="BE258" s="1758"/>
      <c r="BF258" s="1758"/>
      <c r="BG258" s="1758"/>
      <c r="BH258" s="1758"/>
      <c r="BI258" s="1758"/>
      <c r="BJ258" s="1758"/>
      <c r="BK258" s="1758"/>
      <c r="BL258" s="1758"/>
      <c r="BM258" s="1758"/>
      <c r="BN258" s="1758"/>
      <c r="BO258" s="1758"/>
      <c r="BP258" s="1758"/>
      <c r="BQ258" s="1758"/>
      <c r="BR258" s="1758"/>
      <c r="BS258" s="1758"/>
      <c r="BT258" s="1758"/>
      <c r="BU258" s="1758"/>
      <c r="BV258" s="1758"/>
      <c r="BW258" s="1758"/>
      <c r="BX258" s="1758"/>
      <c r="BY258" s="1758"/>
      <c r="BZ258" s="1758"/>
      <c r="CA258" s="1758"/>
      <c r="CB258" s="1758"/>
      <c r="CC258" s="1758"/>
      <c r="CD258" s="1758"/>
      <c r="CE258" s="1758"/>
      <c r="CF258" s="1758"/>
      <c r="CG258" s="1758"/>
      <c r="CH258" s="1758"/>
      <c r="CI258" s="1758"/>
      <c r="CJ258" s="1758"/>
      <c r="CK258" s="1758"/>
      <c r="CL258" s="1758"/>
      <c r="CM258" s="1758"/>
      <c r="CN258" s="1758"/>
      <c r="CO258" s="1758"/>
      <c r="CP258" s="1758"/>
      <c r="CQ258" s="1758"/>
      <c r="CR258" s="1758"/>
      <c r="CS258" s="1758"/>
      <c r="CT258" s="1758"/>
      <c r="CU258" s="1758"/>
      <c r="CV258" s="1758"/>
      <c r="CW258" s="1758"/>
      <c r="CX258" s="1758"/>
      <c r="CY258" s="1758"/>
      <c r="CZ258" s="1758"/>
      <c r="DA258" s="1758"/>
      <c r="DB258" s="1758"/>
      <c r="DC258" s="1758"/>
    </row>
    <row r="259" spans="1:107" s="1395" customFormat="1" ht="25.5" customHeight="1">
      <c r="A259" s="10827"/>
      <c r="B259" s="10748" t="s">
        <v>127</v>
      </c>
      <c r="C259" s="10742" t="s">
        <v>128</v>
      </c>
      <c r="D259" s="10742" t="s">
        <v>129</v>
      </c>
      <c r="E259" s="10742" t="s">
        <v>268</v>
      </c>
      <c r="F259" s="10743" t="s">
        <v>131</v>
      </c>
      <c r="G259" s="10742" t="s">
        <v>132</v>
      </c>
      <c r="H259" s="10742" t="s">
        <v>159</v>
      </c>
      <c r="I259" s="10829" t="s">
        <v>4971</v>
      </c>
      <c r="J259" s="10800" t="s">
        <v>286</v>
      </c>
      <c r="K259" s="10734" t="s">
        <v>4972</v>
      </c>
      <c r="L259" s="10737">
        <v>0</v>
      </c>
      <c r="M259" s="10737">
        <v>1</v>
      </c>
      <c r="N259" s="10737">
        <v>1</v>
      </c>
      <c r="O259" s="10734" t="s">
        <v>4973</v>
      </c>
      <c r="P259" s="10734" t="s">
        <v>4974</v>
      </c>
      <c r="Q259" s="10831" t="s">
        <v>4975</v>
      </c>
      <c r="R259" s="5173"/>
      <c r="S259" s="5212"/>
      <c r="T259" s="5212"/>
      <c r="U259" s="5271"/>
      <c r="V259" s="5296"/>
      <c r="W259" s="5316"/>
      <c r="X259" s="7504"/>
      <c r="Y259" s="7477"/>
      <c r="Z259" s="7477"/>
      <c r="AA259" s="7505"/>
      <c r="AB259" s="5338"/>
      <c r="AC259" s="1417"/>
      <c r="AD259" s="5316"/>
      <c r="AE259" s="5349"/>
      <c r="AF259" s="5349"/>
      <c r="AG259" s="10779"/>
      <c r="AH259" s="1758"/>
      <c r="AI259" s="1758"/>
      <c r="AJ259" s="1758"/>
      <c r="AK259" s="1758"/>
      <c r="AL259" s="1758"/>
      <c r="AM259" s="1758"/>
      <c r="AN259" s="1758"/>
      <c r="AO259" s="1758"/>
      <c r="AP259" s="1758"/>
      <c r="AQ259" s="1758"/>
      <c r="AR259" s="1758"/>
      <c r="AS259" s="1758"/>
      <c r="AT259" s="1758"/>
      <c r="AU259" s="1758"/>
      <c r="AV259" s="1758"/>
      <c r="AW259" s="1758"/>
      <c r="AX259" s="1758"/>
      <c r="AY259" s="1758"/>
      <c r="AZ259" s="1758"/>
      <c r="BA259" s="1758"/>
      <c r="BB259" s="1758"/>
      <c r="BC259" s="1758"/>
      <c r="BD259" s="1758"/>
      <c r="BE259" s="1758"/>
      <c r="BF259" s="1758"/>
      <c r="BG259" s="1758"/>
      <c r="BH259" s="1758"/>
      <c r="BI259" s="1758"/>
      <c r="BJ259" s="1758"/>
      <c r="BK259" s="1758"/>
      <c r="BL259" s="1758"/>
      <c r="BM259" s="1758"/>
      <c r="BN259" s="1758"/>
      <c r="BO259" s="1758"/>
      <c r="BP259" s="1758"/>
      <c r="BQ259" s="1758"/>
      <c r="BR259" s="1758"/>
      <c r="BS259" s="1758"/>
      <c r="BT259" s="1758"/>
      <c r="BU259" s="1758"/>
      <c r="BV259" s="1758"/>
      <c r="BW259" s="1758"/>
      <c r="BX259" s="1758"/>
      <c r="BY259" s="1758"/>
      <c r="BZ259" s="1758"/>
      <c r="CA259" s="1758"/>
      <c r="CB259" s="1758"/>
      <c r="CC259" s="1758"/>
      <c r="CD259" s="1758"/>
      <c r="CE259" s="1758"/>
      <c r="CF259" s="1758"/>
      <c r="CG259" s="1758"/>
      <c r="CH259" s="1758"/>
      <c r="CI259" s="1758"/>
      <c r="CJ259" s="1758"/>
      <c r="CK259" s="1758"/>
      <c r="CL259" s="1758"/>
      <c r="CM259" s="1758"/>
      <c r="CN259" s="1758"/>
      <c r="CO259" s="1758"/>
      <c r="CP259" s="1758"/>
      <c r="CQ259" s="1758"/>
      <c r="CR259" s="1758"/>
      <c r="CS259" s="1758"/>
      <c r="CT259" s="1758"/>
      <c r="CU259" s="1758"/>
      <c r="CV259" s="1758"/>
      <c r="CW259" s="1758"/>
      <c r="CX259" s="1758"/>
      <c r="CY259" s="1758"/>
      <c r="CZ259" s="1758"/>
      <c r="DA259" s="1758"/>
      <c r="DB259" s="1758"/>
      <c r="DC259" s="1758"/>
    </row>
    <row r="260" spans="1:107" s="1395" customFormat="1" ht="25.5" customHeight="1">
      <c r="A260" s="10827"/>
      <c r="B260" s="10731"/>
      <c r="C260" s="10728"/>
      <c r="D260" s="10728"/>
      <c r="E260" s="10728"/>
      <c r="F260" s="10744"/>
      <c r="G260" s="10728"/>
      <c r="H260" s="10728"/>
      <c r="I260" s="10830"/>
      <c r="J260" s="10801"/>
      <c r="K260" s="10735"/>
      <c r="L260" s="10738"/>
      <c r="M260" s="10738"/>
      <c r="N260" s="10738"/>
      <c r="O260" s="10735"/>
      <c r="P260" s="10735"/>
      <c r="Q260" s="10750"/>
      <c r="R260" s="5176"/>
      <c r="S260" s="5216"/>
      <c r="T260" s="5216"/>
      <c r="U260" s="5254"/>
      <c r="V260" s="5285"/>
      <c r="W260" s="5306"/>
      <c r="X260" s="7483"/>
      <c r="Y260" s="7473"/>
      <c r="Z260" s="7473"/>
      <c r="AA260" s="7484"/>
      <c r="AB260" s="5328"/>
      <c r="AC260" s="1401"/>
      <c r="AD260" s="5306"/>
      <c r="AE260" s="5346"/>
      <c r="AF260" s="5346"/>
      <c r="AG260" s="10777"/>
      <c r="AH260" s="1758"/>
      <c r="AI260" s="1758"/>
      <c r="AJ260" s="1758"/>
      <c r="AK260" s="1758"/>
      <c r="AL260" s="1758"/>
      <c r="AM260" s="1758"/>
      <c r="AN260" s="1758"/>
      <c r="AO260" s="1758"/>
      <c r="AP260" s="1758"/>
      <c r="AQ260" s="1758"/>
      <c r="AR260" s="1758"/>
      <c r="AS260" s="1758"/>
      <c r="AT260" s="1758"/>
      <c r="AU260" s="1758"/>
      <c r="AV260" s="1758"/>
      <c r="AW260" s="1758"/>
      <c r="AX260" s="1758"/>
      <c r="AY260" s="1758"/>
      <c r="AZ260" s="1758"/>
      <c r="BA260" s="1758"/>
      <c r="BB260" s="1758"/>
      <c r="BC260" s="1758"/>
      <c r="BD260" s="1758"/>
      <c r="BE260" s="1758"/>
      <c r="BF260" s="1758"/>
      <c r="BG260" s="1758"/>
      <c r="BH260" s="1758"/>
      <c r="BI260" s="1758"/>
      <c r="BJ260" s="1758"/>
      <c r="BK260" s="1758"/>
      <c r="BL260" s="1758"/>
      <c r="BM260" s="1758"/>
      <c r="BN260" s="1758"/>
      <c r="BO260" s="1758"/>
      <c r="BP260" s="1758"/>
      <c r="BQ260" s="1758"/>
      <c r="BR260" s="1758"/>
      <c r="BS260" s="1758"/>
      <c r="BT260" s="1758"/>
      <c r="BU260" s="1758"/>
      <c r="BV260" s="1758"/>
      <c r="BW260" s="1758"/>
      <c r="BX260" s="1758"/>
      <c r="BY260" s="1758"/>
      <c r="BZ260" s="1758"/>
      <c r="CA260" s="1758"/>
      <c r="CB260" s="1758"/>
      <c r="CC260" s="1758"/>
      <c r="CD260" s="1758"/>
      <c r="CE260" s="1758"/>
      <c r="CF260" s="1758"/>
      <c r="CG260" s="1758"/>
      <c r="CH260" s="1758"/>
      <c r="CI260" s="1758"/>
      <c r="CJ260" s="1758"/>
      <c r="CK260" s="1758"/>
      <c r="CL260" s="1758"/>
      <c r="CM260" s="1758"/>
      <c r="CN260" s="1758"/>
      <c r="CO260" s="1758"/>
      <c r="CP260" s="1758"/>
      <c r="CQ260" s="1758"/>
      <c r="CR260" s="1758"/>
      <c r="CS260" s="1758"/>
      <c r="CT260" s="1758"/>
      <c r="CU260" s="1758"/>
      <c r="CV260" s="1758"/>
      <c r="CW260" s="1758"/>
      <c r="CX260" s="1758"/>
      <c r="CY260" s="1758"/>
      <c r="CZ260" s="1758"/>
      <c r="DA260" s="1758"/>
      <c r="DB260" s="1758"/>
      <c r="DC260" s="1758"/>
    </row>
    <row r="261" spans="1:107" s="1395" customFormat="1" ht="25.5" customHeight="1">
      <c r="A261" s="10827"/>
      <c r="B261" s="10731"/>
      <c r="C261" s="10728"/>
      <c r="D261" s="10728"/>
      <c r="E261" s="10728"/>
      <c r="F261" s="10744"/>
      <c r="G261" s="10728"/>
      <c r="H261" s="10728"/>
      <c r="I261" s="10830"/>
      <c r="J261" s="10801"/>
      <c r="K261" s="10735"/>
      <c r="L261" s="10738"/>
      <c r="M261" s="10738"/>
      <c r="N261" s="10738"/>
      <c r="O261" s="10735"/>
      <c r="P261" s="10735"/>
      <c r="Q261" s="10750"/>
      <c r="R261" s="5176"/>
      <c r="S261" s="5216"/>
      <c r="T261" s="5216"/>
      <c r="U261" s="5254"/>
      <c r="V261" s="5285"/>
      <c r="W261" s="5306"/>
      <c r="X261" s="7483"/>
      <c r="Y261" s="7473"/>
      <c r="Z261" s="7473"/>
      <c r="AA261" s="7484"/>
      <c r="AB261" s="5328"/>
      <c r="AC261" s="1401"/>
      <c r="AD261" s="5306"/>
      <c r="AE261" s="5346"/>
      <c r="AF261" s="5346"/>
      <c r="AG261" s="10777"/>
      <c r="AH261" s="1758"/>
      <c r="AI261" s="1758"/>
      <c r="AJ261" s="1758"/>
      <c r="AK261" s="1758"/>
      <c r="AL261" s="1758"/>
      <c r="AM261" s="1758"/>
      <c r="AN261" s="1758"/>
      <c r="AO261" s="1758"/>
      <c r="AP261" s="1758"/>
      <c r="AQ261" s="1758"/>
      <c r="AR261" s="1758"/>
      <c r="AS261" s="1758"/>
      <c r="AT261" s="1758"/>
      <c r="AU261" s="1758"/>
      <c r="AV261" s="1758"/>
      <c r="AW261" s="1758"/>
      <c r="AX261" s="1758"/>
      <c r="AY261" s="1758"/>
      <c r="AZ261" s="1758"/>
      <c r="BA261" s="1758"/>
      <c r="BB261" s="1758"/>
      <c r="BC261" s="1758"/>
      <c r="BD261" s="1758"/>
      <c r="BE261" s="1758"/>
      <c r="BF261" s="1758"/>
      <c r="BG261" s="1758"/>
      <c r="BH261" s="1758"/>
      <c r="BI261" s="1758"/>
      <c r="BJ261" s="1758"/>
      <c r="BK261" s="1758"/>
      <c r="BL261" s="1758"/>
      <c r="BM261" s="1758"/>
      <c r="BN261" s="1758"/>
      <c r="BO261" s="1758"/>
      <c r="BP261" s="1758"/>
      <c r="BQ261" s="1758"/>
      <c r="BR261" s="1758"/>
      <c r="BS261" s="1758"/>
      <c r="BT261" s="1758"/>
      <c r="BU261" s="1758"/>
      <c r="BV261" s="1758"/>
      <c r="BW261" s="1758"/>
      <c r="BX261" s="1758"/>
      <c r="BY261" s="1758"/>
      <c r="BZ261" s="1758"/>
      <c r="CA261" s="1758"/>
      <c r="CB261" s="1758"/>
      <c r="CC261" s="1758"/>
      <c r="CD261" s="1758"/>
      <c r="CE261" s="1758"/>
      <c r="CF261" s="1758"/>
      <c r="CG261" s="1758"/>
      <c r="CH261" s="1758"/>
      <c r="CI261" s="1758"/>
      <c r="CJ261" s="1758"/>
      <c r="CK261" s="1758"/>
      <c r="CL261" s="1758"/>
      <c r="CM261" s="1758"/>
      <c r="CN261" s="1758"/>
      <c r="CO261" s="1758"/>
      <c r="CP261" s="1758"/>
      <c r="CQ261" s="1758"/>
      <c r="CR261" s="1758"/>
      <c r="CS261" s="1758"/>
      <c r="CT261" s="1758"/>
      <c r="CU261" s="1758"/>
      <c r="CV261" s="1758"/>
      <c r="CW261" s="1758"/>
      <c r="CX261" s="1758"/>
      <c r="CY261" s="1758"/>
      <c r="CZ261" s="1758"/>
      <c r="DA261" s="1758"/>
      <c r="DB261" s="1758"/>
      <c r="DC261" s="1758"/>
    </row>
    <row r="262" spans="1:107" s="1395" customFormat="1" ht="25.5" customHeight="1">
      <c r="A262" s="10827"/>
      <c r="B262" s="10731"/>
      <c r="C262" s="10728"/>
      <c r="D262" s="10728"/>
      <c r="E262" s="10728"/>
      <c r="F262" s="10744"/>
      <c r="G262" s="10728"/>
      <c r="H262" s="10728"/>
      <c r="I262" s="10830"/>
      <c r="J262" s="10801"/>
      <c r="K262" s="10735"/>
      <c r="L262" s="10738"/>
      <c r="M262" s="10738"/>
      <c r="N262" s="10738"/>
      <c r="O262" s="10735"/>
      <c r="P262" s="10735"/>
      <c r="Q262" s="10750"/>
      <c r="R262" s="5176"/>
      <c r="S262" s="5216"/>
      <c r="T262" s="5216"/>
      <c r="U262" s="5254"/>
      <c r="V262" s="5285"/>
      <c r="W262" s="5306"/>
      <c r="X262" s="7483"/>
      <c r="Y262" s="7473"/>
      <c r="Z262" s="7473"/>
      <c r="AA262" s="7484"/>
      <c r="AB262" s="5328"/>
      <c r="AC262" s="1401"/>
      <c r="AD262" s="5306"/>
      <c r="AE262" s="5346"/>
      <c r="AF262" s="5346"/>
      <c r="AG262" s="10777"/>
      <c r="AH262" s="1758"/>
      <c r="AI262" s="1758"/>
      <c r="AJ262" s="1758"/>
      <c r="AK262" s="1758"/>
      <c r="AL262" s="1758"/>
      <c r="AM262" s="1758"/>
      <c r="AN262" s="1758"/>
      <c r="AO262" s="1758"/>
      <c r="AP262" s="1758"/>
      <c r="AQ262" s="1758"/>
      <c r="AR262" s="1758"/>
      <c r="AS262" s="1758"/>
      <c r="AT262" s="1758"/>
      <c r="AU262" s="1758"/>
      <c r="AV262" s="1758"/>
      <c r="AW262" s="1758"/>
      <c r="AX262" s="1758"/>
      <c r="AY262" s="1758"/>
      <c r="AZ262" s="1758"/>
      <c r="BA262" s="1758"/>
      <c r="BB262" s="1758"/>
      <c r="BC262" s="1758"/>
      <c r="BD262" s="1758"/>
      <c r="BE262" s="1758"/>
      <c r="BF262" s="1758"/>
      <c r="BG262" s="1758"/>
      <c r="BH262" s="1758"/>
      <c r="BI262" s="1758"/>
      <c r="BJ262" s="1758"/>
      <c r="BK262" s="1758"/>
      <c r="BL262" s="1758"/>
      <c r="BM262" s="1758"/>
      <c r="BN262" s="1758"/>
      <c r="BO262" s="1758"/>
      <c r="BP262" s="1758"/>
      <c r="BQ262" s="1758"/>
      <c r="BR262" s="1758"/>
      <c r="BS262" s="1758"/>
      <c r="BT262" s="1758"/>
      <c r="BU262" s="1758"/>
      <c r="BV262" s="1758"/>
      <c r="BW262" s="1758"/>
      <c r="BX262" s="1758"/>
      <c r="BY262" s="1758"/>
      <c r="BZ262" s="1758"/>
      <c r="CA262" s="1758"/>
      <c r="CB262" s="1758"/>
      <c r="CC262" s="1758"/>
      <c r="CD262" s="1758"/>
      <c r="CE262" s="1758"/>
      <c r="CF262" s="1758"/>
      <c r="CG262" s="1758"/>
      <c r="CH262" s="1758"/>
      <c r="CI262" s="1758"/>
      <c r="CJ262" s="1758"/>
      <c r="CK262" s="1758"/>
      <c r="CL262" s="1758"/>
      <c r="CM262" s="1758"/>
      <c r="CN262" s="1758"/>
      <c r="CO262" s="1758"/>
      <c r="CP262" s="1758"/>
      <c r="CQ262" s="1758"/>
      <c r="CR262" s="1758"/>
      <c r="CS262" s="1758"/>
      <c r="CT262" s="1758"/>
      <c r="CU262" s="1758"/>
      <c r="CV262" s="1758"/>
      <c r="CW262" s="1758"/>
      <c r="CX262" s="1758"/>
      <c r="CY262" s="1758"/>
      <c r="CZ262" s="1758"/>
      <c r="DA262" s="1758"/>
      <c r="DB262" s="1758"/>
      <c r="DC262" s="1758"/>
    </row>
    <row r="263" spans="1:107" s="1395" customFormat="1" ht="25.5" customHeight="1">
      <c r="A263" s="10827"/>
      <c r="B263" s="10732"/>
      <c r="C263" s="10729"/>
      <c r="D263" s="10729"/>
      <c r="E263" s="10729"/>
      <c r="F263" s="10745"/>
      <c r="G263" s="10729"/>
      <c r="H263" s="10729"/>
      <c r="I263" s="10833"/>
      <c r="J263" s="10834"/>
      <c r="K263" s="10736"/>
      <c r="L263" s="10739"/>
      <c r="M263" s="10739"/>
      <c r="N263" s="10739"/>
      <c r="O263" s="10736"/>
      <c r="P263" s="10736"/>
      <c r="Q263" s="10751"/>
      <c r="R263" s="5177"/>
      <c r="S263" s="5217"/>
      <c r="T263" s="5217"/>
      <c r="U263" s="5255"/>
      <c r="V263" s="5286"/>
      <c r="W263" s="5307"/>
      <c r="X263" s="7485"/>
      <c r="Y263" s="7479"/>
      <c r="Z263" s="7479"/>
      <c r="AA263" s="7486"/>
      <c r="AB263" s="5329"/>
      <c r="AC263" s="1402"/>
      <c r="AD263" s="5307"/>
      <c r="AE263" s="5348"/>
      <c r="AF263" s="5348"/>
      <c r="AG263" s="10778"/>
      <c r="AH263" s="1758"/>
      <c r="AI263" s="1758"/>
      <c r="AJ263" s="1758"/>
      <c r="AK263" s="1758"/>
      <c r="AL263" s="1758"/>
      <c r="AM263" s="1758"/>
      <c r="AN263" s="1758"/>
      <c r="AO263" s="1758"/>
      <c r="AP263" s="1758"/>
      <c r="AQ263" s="1758"/>
      <c r="AR263" s="1758"/>
      <c r="AS263" s="1758"/>
      <c r="AT263" s="1758"/>
      <c r="AU263" s="1758"/>
      <c r="AV263" s="1758"/>
      <c r="AW263" s="1758"/>
      <c r="AX263" s="1758"/>
      <c r="AY263" s="1758"/>
      <c r="AZ263" s="1758"/>
      <c r="BA263" s="1758"/>
      <c r="BB263" s="1758"/>
      <c r="BC263" s="1758"/>
      <c r="BD263" s="1758"/>
      <c r="BE263" s="1758"/>
      <c r="BF263" s="1758"/>
      <c r="BG263" s="1758"/>
      <c r="BH263" s="1758"/>
      <c r="BI263" s="1758"/>
      <c r="BJ263" s="1758"/>
      <c r="BK263" s="1758"/>
      <c r="BL263" s="1758"/>
      <c r="BM263" s="1758"/>
      <c r="BN263" s="1758"/>
      <c r="BO263" s="1758"/>
      <c r="BP263" s="1758"/>
      <c r="BQ263" s="1758"/>
      <c r="BR263" s="1758"/>
      <c r="BS263" s="1758"/>
      <c r="BT263" s="1758"/>
      <c r="BU263" s="1758"/>
      <c r="BV263" s="1758"/>
      <c r="BW263" s="1758"/>
      <c r="BX263" s="1758"/>
      <c r="BY263" s="1758"/>
      <c r="BZ263" s="1758"/>
      <c r="CA263" s="1758"/>
      <c r="CB263" s="1758"/>
      <c r="CC263" s="1758"/>
      <c r="CD263" s="1758"/>
      <c r="CE263" s="1758"/>
      <c r="CF263" s="1758"/>
      <c r="CG263" s="1758"/>
      <c r="CH263" s="1758"/>
      <c r="CI263" s="1758"/>
      <c r="CJ263" s="1758"/>
      <c r="CK263" s="1758"/>
      <c r="CL263" s="1758"/>
      <c r="CM263" s="1758"/>
      <c r="CN263" s="1758"/>
      <c r="CO263" s="1758"/>
      <c r="CP263" s="1758"/>
      <c r="CQ263" s="1758"/>
      <c r="CR263" s="1758"/>
      <c r="CS263" s="1758"/>
      <c r="CT263" s="1758"/>
      <c r="CU263" s="1758"/>
      <c r="CV263" s="1758"/>
      <c r="CW263" s="1758"/>
      <c r="CX263" s="1758"/>
      <c r="CY263" s="1758"/>
      <c r="CZ263" s="1758"/>
      <c r="DA263" s="1758"/>
      <c r="DB263" s="1758"/>
      <c r="DC263" s="1758"/>
    </row>
    <row r="264" spans="1:107" s="1395" customFormat="1" ht="26.25" customHeight="1">
      <c r="A264" s="10827"/>
      <c r="B264" s="10731" t="s">
        <v>127</v>
      </c>
      <c r="C264" s="10728" t="s">
        <v>128</v>
      </c>
      <c r="D264" s="10728" t="s">
        <v>129</v>
      </c>
      <c r="E264" s="10728" t="s">
        <v>268</v>
      </c>
      <c r="F264" s="10744" t="s">
        <v>131</v>
      </c>
      <c r="G264" s="10728" t="s">
        <v>132</v>
      </c>
      <c r="H264" s="10728" t="s">
        <v>159</v>
      </c>
      <c r="I264" s="10728" t="s">
        <v>4976</v>
      </c>
      <c r="J264" s="10742" t="s">
        <v>4599</v>
      </c>
      <c r="K264" s="10735" t="s">
        <v>4977</v>
      </c>
      <c r="L264" s="10759">
        <v>3</v>
      </c>
      <c r="M264" s="10758">
        <v>3</v>
      </c>
      <c r="N264" s="10759">
        <v>3</v>
      </c>
      <c r="O264" s="10735" t="s">
        <v>4978</v>
      </c>
      <c r="P264" s="10735" t="s">
        <v>4979</v>
      </c>
      <c r="Q264" s="10750" t="s">
        <v>4980</v>
      </c>
      <c r="R264" s="5173"/>
      <c r="S264" s="5212"/>
      <c r="T264" s="5212"/>
      <c r="U264" s="5249"/>
      <c r="V264" s="5281"/>
      <c r="W264" s="5302"/>
      <c r="X264" s="7477"/>
      <c r="Y264" s="7477"/>
      <c r="Z264" s="7477"/>
      <c r="AA264" s="7478"/>
      <c r="AB264" s="5325"/>
      <c r="AC264" s="1398"/>
      <c r="AD264" s="5302"/>
      <c r="AE264" s="5349"/>
      <c r="AF264" s="5349"/>
      <c r="AG264" s="10777" t="s">
        <v>4981</v>
      </c>
      <c r="AH264" s="1758"/>
      <c r="AI264" s="1758"/>
      <c r="AJ264" s="1758"/>
      <c r="AK264" s="1758"/>
      <c r="AL264" s="1758"/>
      <c r="AM264" s="1758"/>
      <c r="AN264" s="1758"/>
      <c r="AO264" s="1758"/>
      <c r="AP264" s="1758"/>
      <c r="AQ264" s="1758"/>
      <c r="AR264" s="1758"/>
      <c r="AS264" s="1758"/>
      <c r="AT264" s="1758"/>
      <c r="AU264" s="1758"/>
      <c r="AV264" s="1758"/>
      <c r="AW264" s="1758"/>
      <c r="AX264" s="1758"/>
      <c r="AY264" s="1758"/>
      <c r="AZ264" s="1758"/>
      <c r="BA264" s="1758"/>
      <c r="BB264" s="1758"/>
      <c r="BC264" s="1758"/>
      <c r="BD264" s="1758"/>
      <c r="BE264" s="1758"/>
      <c r="BF264" s="1758"/>
      <c r="BG264" s="1758"/>
      <c r="BH264" s="1758"/>
      <c r="BI264" s="1758"/>
      <c r="BJ264" s="1758"/>
      <c r="BK264" s="1758"/>
      <c r="BL264" s="1758"/>
      <c r="BM264" s="1758"/>
      <c r="BN264" s="1758"/>
      <c r="BO264" s="1758"/>
      <c r="BP264" s="1758"/>
      <c r="BQ264" s="1758"/>
      <c r="BR264" s="1758"/>
      <c r="BS264" s="1758"/>
      <c r="BT264" s="1758"/>
      <c r="BU264" s="1758"/>
      <c r="BV264" s="1758"/>
      <c r="BW264" s="1758"/>
      <c r="BX264" s="1758"/>
      <c r="BY264" s="1758"/>
      <c r="BZ264" s="1758"/>
      <c r="CA264" s="1758"/>
      <c r="CB264" s="1758"/>
      <c r="CC264" s="1758"/>
      <c r="CD264" s="1758"/>
      <c r="CE264" s="1758"/>
      <c r="CF264" s="1758"/>
      <c r="CG264" s="1758"/>
      <c r="CH264" s="1758"/>
      <c r="CI264" s="1758"/>
      <c r="CJ264" s="1758"/>
      <c r="CK264" s="1758"/>
      <c r="CL264" s="1758"/>
      <c r="CM264" s="1758"/>
      <c r="CN264" s="1758"/>
      <c r="CO264" s="1758"/>
      <c r="CP264" s="1758"/>
      <c r="CQ264" s="1758"/>
      <c r="CR264" s="1758"/>
      <c r="CS264" s="1758"/>
      <c r="CT264" s="1758"/>
      <c r="CU264" s="1758"/>
      <c r="CV264" s="1758"/>
      <c r="CW264" s="1758"/>
      <c r="CX264" s="1758"/>
      <c r="CY264" s="1758"/>
      <c r="CZ264" s="1758"/>
      <c r="DA264" s="1758"/>
      <c r="DB264" s="1758"/>
      <c r="DC264" s="1758"/>
    </row>
    <row r="265" spans="1:107" s="1395" customFormat="1" ht="26.25" customHeight="1">
      <c r="A265" s="10827"/>
      <c r="B265" s="10731"/>
      <c r="C265" s="10728"/>
      <c r="D265" s="10728"/>
      <c r="E265" s="10728"/>
      <c r="F265" s="10744"/>
      <c r="G265" s="10728"/>
      <c r="H265" s="10728"/>
      <c r="I265" s="10728"/>
      <c r="J265" s="10728"/>
      <c r="K265" s="10735"/>
      <c r="L265" s="10759"/>
      <c r="M265" s="10759"/>
      <c r="N265" s="10759"/>
      <c r="O265" s="10735"/>
      <c r="P265" s="10735"/>
      <c r="Q265" s="10750"/>
      <c r="R265" s="5171"/>
      <c r="S265" s="5213"/>
      <c r="T265" s="5213"/>
      <c r="U265" s="5247"/>
      <c r="V265" s="5279"/>
      <c r="W265" s="5300"/>
      <c r="X265" s="7473"/>
      <c r="Y265" s="7473"/>
      <c r="Z265" s="7473"/>
      <c r="AA265" s="7474"/>
      <c r="AB265" s="5323"/>
      <c r="AC265" s="1396"/>
      <c r="AD265" s="5300"/>
      <c r="AE265" s="5346"/>
      <c r="AF265" s="5346"/>
      <c r="AG265" s="10777"/>
      <c r="AH265" s="1758"/>
      <c r="AI265" s="1758"/>
      <c r="AJ265" s="1758"/>
      <c r="AK265" s="1758"/>
      <c r="AL265" s="1758"/>
      <c r="AM265" s="1758"/>
      <c r="AN265" s="1758"/>
      <c r="AO265" s="1758"/>
      <c r="AP265" s="1758"/>
      <c r="AQ265" s="1758"/>
      <c r="AR265" s="1758"/>
      <c r="AS265" s="1758"/>
      <c r="AT265" s="1758"/>
      <c r="AU265" s="1758"/>
      <c r="AV265" s="1758"/>
      <c r="AW265" s="1758"/>
      <c r="AX265" s="1758"/>
      <c r="AY265" s="1758"/>
      <c r="AZ265" s="1758"/>
      <c r="BA265" s="1758"/>
      <c r="BB265" s="1758"/>
      <c r="BC265" s="1758"/>
      <c r="BD265" s="1758"/>
      <c r="BE265" s="1758"/>
      <c r="BF265" s="1758"/>
      <c r="BG265" s="1758"/>
      <c r="BH265" s="1758"/>
      <c r="BI265" s="1758"/>
      <c r="BJ265" s="1758"/>
      <c r="BK265" s="1758"/>
      <c r="BL265" s="1758"/>
      <c r="BM265" s="1758"/>
      <c r="BN265" s="1758"/>
      <c r="BO265" s="1758"/>
      <c r="BP265" s="1758"/>
      <c r="BQ265" s="1758"/>
      <c r="BR265" s="1758"/>
      <c r="BS265" s="1758"/>
      <c r="BT265" s="1758"/>
      <c r="BU265" s="1758"/>
      <c r="BV265" s="1758"/>
      <c r="BW265" s="1758"/>
      <c r="BX265" s="1758"/>
      <c r="BY265" s="1758"/>
      <c r="BZ265" s="1758"/>
      <c r="CA265" s="1758"/>
      <c r="CB265" s="1758"/>
      <c r="CC265" s="1758"/>
      <c r="CD265" s="1758"/>
      <c r="CE265" s="1758"/>
      <c r="CF265" s="1758"/>
      <c r="CG265" s="1758"/>
      <c r="CH265" s="1758"/>
      <c r="CI265" s="1758"/>
      <c r="CJ265" s="1758"/>
      <c r="CK265" s="1758"/>
      <c r="CL265" s="1758"/>
      <c r="CM265" s="1758"/>
      <c r="CN265" s="1758"/>
      <c r="CO265" s="1758"/>
      <c r="CP265" s="1758"/>
      <c r="CQ265" s="1758"/>
      <c r="CR265" s="1758"/>
      <c r="CS265" s="1758"/>
      <c r="CT265" s="1758"/>
      <c r="CU265" s="1758"/>
      <c r="CV265" s="1758"/>
      <c r="CW265" s="1758"/>
      <c r="CX265" s="1758"/>
      <c r="CY265" s="1758"/>
      <c r="CZ265" s="1758"/>
      <c r="DA265" s="1758"/>
      <c r="DB265" s="1758"/>
      <c r="DC265" s="1758"/>
    </row>
    <row r="266" spans="1:107" s="1395" customFormat="1" ht="26.25" customHeight="1">
      <c r="A266" s="10827"/>
      <c r="B266" s="10731"/>
      <c r="C266" s="10728"/>
      <c r="D266" s="10728"/>
      <c r="E266" s="10728"/>
      <c r="F266" s="10744"/>
      <c r="G266" s="10728"/>
      <c r="H266" s="10728"/>
      <c r="I266" s="10728"/>
      <c r="J266" s="10728"/>
      <c r="K266" s="10735"/>
      <c r="L266" s="10759"/>
      <c r="M266" s="10759"/>
      <c r="N266" s="10759"/>
      <c r="O266" s="10735"/>
      <c r="P266" s="10735"/>
      <c r="Q266" s="10750"/>
      <c r="R266" s="5174"/>
      <c r="S266" s="5214"/>
      <c r="T266" s="5214"/>
      <c r="U266" s="5250"/>
      <c r="V266" s="5281"/>
      <c r="W266" s="5302"/>
      <c r="X266" s="7477"/>
      <c r="Y266" s="7473"/>
      <c r="Z266" s="7473"/>
      <c r="AA266" s="7474"/>
      <c r="AB266" s="5323"/>
      <c r="AC266" s="1396"/>
      <c r="AD266" s="5300"/>
      <c r="AE266" s="5346"/>
      <c r="AF266" s="5346"/>
      <c r="AG266" s="10777"/>
      <c r="AH266" s="1758"/>
      <c r="AI266" s="1758"/>
      <c r="AJ266" s="1758"/>
      <c r="AK266" s="1758"/>
      <c r="AL266" s="1758"/>
      <c r="AM266" s="1758"/>
      <c r="AN266" s="1758"/>
      <c r="AO266" s="1758"/>
      <c r="AP266" s="1758"/>
      <c r="AQ266" s="1758"/>
      <c r="AR266" s="1758"/>
      <c r="AS266" s="1758"/>
      <c r="AT266" s="1758"/>
      <c r="AU266" s="1758"/>
      <c r="AV266" s="1758"/>
      <c r="AW266" s="1758"/>
      <c r="AX266" s="1758"/>
      <c r="AY266" s="1758"/>
      <c r="AZ266" s="1758"/>
      <c r="BA266" s="1758"/>
      <c r="BB266" s="1758"/>
      <c r="BC266" s="1758"/>
      <c r="BD266" s="1758"/>
      <c r="BE266" s="1758"/>
      <c r="BF266" s="1758"/>
      <c r="BG266" s="1758"/>
      <c r="BH266" s="1758"/>
      <c r="BI266" s="1758"/>
      <c r="BJ266" s="1758"/>
      <c r="BK266" s="1758"/>
      <c r="BL266" s="1758"/>
      <c r="BM266" s="1758"/>
      <c r="BN266" s="1758"/>
      <c r="BO266" s="1758"/>
      <c r="BP266" s="1758"/>
      <c r="BQ266" s="1758"/>
      <c r="BR266" s="1758"/>
      <c r="BS266" s="1758"/>
      <c r="BT266" s="1758"/>
      <c r="BU266" s="1758"/>
      <c r="BV266" s="1758"/>
      <c r="BW266" s="1758"/>
      <c r="BX266" s="1758"/>
      <c r="BY266" s="1758"/>
      <c r="BZ266" s="1758"/>
      <c r="CA266" s="1758"/>
      <c r="CB266" s="1758"/>
      <c r="CC266" s="1758"/>
      <c r="CD266" s="1758"/>
      <c r="CE266" s="1758"/>
      <c r="CF266" s="1758"/>
      <c r="CG266" s="1758"/>
      <c r="CH266" s="1758"/>
      <c r="CI266" s="1758"/>
      <c r="CJ266" s="1758"/>
      <c r="CK266" s="1758"/>
      <c r="CL266" s="1758"/>
      <c r="CM266" s="1758"/>
      <c r="CN266" s="1758"/>
      <c r="CO266" s="1758"/>
      <c r="CP266" s="1758"/>
      <c r="CQ266" s="1758"/>
      <c r="CR266" s="1758"/>
      <c r="CS266" s="1758"/>
      <c r="CT266" s="1758"/>
      <c r="CU266" s="1758"/>
      <c r="CV266" s="1758"/>
      <c r="CW266" s="1758"/>
      <c r="CX266" s="1758"/>
      <c r="CY266" s="1758"/>
      <c r="CZ266" s="1758"/>
      <c r="DA266" s="1758"/>
      <c r="DB266" s="1758"/>
      <c r="DC266" s="1758"/>
    </row>
    <row r="267" spans="1:107" s="1395" customFormat="1" ht="26.25" customHeight="1">
      <c r="A267" s="10827"/>
      <c r="B267" s="10731"/>
      <c r="C267" s="10728"/>
      <c r="D267" s="10728"/>
      <c r="E267" s="10728"/>
      <c r="F267" s="10744"/>
      <c r="G267" s="10728"/>
      <c r="H267" s="10728"/>
      <c r="I267" s="10728"/>
      <c r="J267" s="10728"/>
      <c r="K267" s="10735"/>
      <c r="L267" s="10759"/>
      <c r="M267" s="10759"/>
      <c r="N267" s="10759"/>
      <c r="O267" s="10735"/>
      <c r="P267" s="10735"/>
      <c r="Q267" s="10750"/>
      <c r="R267" s="5173"/>
      <c r="S267" s="5212"/>
      <c r="T267" s="5212"/>
      <c r="U267" s="5250"/>
      <c r="V267" s="5281"/>
      <c r="W267" s="5302"/>
      <c r="X267" s="7477"/>
      <c r="Y267" s="7473"/>
      <c r="Z267" s="7473"/>
      <c r="AA267" s="7474"/>
      <c r="AB267" s="5323"/>
      <c r="AC267" s="1396"/>
      <c r="AD267" s="5300"/>
      <c r="AE267" s="5346"/>
      <c r="AF267" s="5346"/>
      <c r="AG267" s="10777"/>
      <c r="AH267" s="1758"/>
      <c r="AI267" s="1758"/>
      <c r="AJ267" s="1758"/>
      <c r="AK267" s="1758"/>
      <c r="AL267" s="1758"/>
      <c r="AM267" s="1758"/>
      <c r="AN267" s="1758"/>
      <c r="AO267" s="1758"/>
      <c r="AP267" s="1758"/>
      <c r="AQ267" s="1758"/>
      <c r="AR267" s="1758"/>
      <c r="AS267" s="1758"/>
      <c r="AT267" s="1758"/>
      <c r="AU267" s="1758"/>
      <c r="AV267" s="1758"/>
      <c r="AW267" s="1758"/>
      <c r="AX267" s="1758"/>
      <c r="AY267" s="1758"/>
      <c r="AZ267" s="1758"/>
      <c r="BA267" s="1758"/>
      <c r="BB267" s="1758"/>
      <c r="BC267" s="1758"/>
      <c r="BD267" s="1758"/>
      <c r="BE267" s="1758"/>
      <c r="BF267" s="1758"/>
      <c r="BG267" s="1758"/>
      <c r="BH267" s="1758"/>
      <c r="BI267" s="1758"/>
      <c r="BJ267" s="1758"/>
      <c r="BK267" s="1758"/>
      <c r="BL267" s="1758"/>
      <c r="BM267" s="1758"/>
      <c r="BN267" s="1758"/>
      <c r="BO267" s="1758"/>
      <c r="BP267" s="1758"/>
      <c r="BQ267" s="1758"/>
      <c r="BR267" s="1758"/>
      <c r="BS267" s="1758"/>
      <c r="BT267" s="1758"/>
      <c r="BU267" s="1758"/>
      <c r="BV267" s="1758"/>
      <c r="BW267" s="1758"/>
      <c r="BX267" s="1758"/>
      <c r="BY267" s="1758"/>
      <c r="BZ267" s="1758"/>
      <c r="CA267" s="1758"/>
      <c r="CB267" s="1758"/>
      <c r="CC267" s="1758"/>
      <c r="CD267" s="1758"/>
      <c r="CE267" s="1758"/>
      <c r="CF267" s="1758"/>
      <c r="CG267" s="1758"/>
      <c r="CH267" s="1758"/>
      <c r="CI267" s="1758"/>
      <c r="CJ267" s="1758"/>
      <c r="CK267" s="1758"/>
      <c r="CL267" s="1758"/>
      <c r="CM267" s="1758"/>
      <c r="CN267" s="1758"/>
      <c r="CO267" s="1758"/>
      <c r="CP267" s="1758"/>
      <c r="CQ267" s="1758"/>
      <c r="CR267" s="1758"/>
      <c r="CS267" s="1758"/>
      <c r="CT267" s="1758"/>
      <c r="CU267" s="1758"/>
      <c r="CV267" s="1758"/>
      <c r="CW267" s="1758"/>
      <c r="CX267" s="1758"/>
      <c r="CY267" s="1758"/>
      <c r="CZ267" s="1758"/>
      <c r="DA267" s="1758"/>
      <c r="DB267" s="1758"/>
      <c r="DC267" s="1758"/>
    </row>
    <row r="268" spans="1:107" s="1395" customFormat="1" ht="26.25" customHeight="1">
      <c r="A268" s="10827"/>
      <c r="B268" s="10732"/>
      <c r="C268" s="10729"/>
      <c r="D268" s="10729"/>
      <c r="E268" s="10729"/>
      <c r="F268" s="10745"/>
      <c r="G268" s="10729"/>
      <c r="H268" s="10729"/>
      <c r="I268" s="10729"/>
      <c r="J268" s="10729"/>
      <c r="K268" s="10736"/>
      <c r="L268" s="10760"/>
      <c r="M268" s="10760"/>
      <c r="N268" s="10760"/>
      <c r="O268" s="10736"/>
      <c r="P268" s="10736"/>
      <c r="Q268" s="10751"/>
      <c r="R268" s="5175"/>
      <c r="S268" s="5215"/>
      <c r="T268" s="5215"/>
      <c r="U268" s="5251"/>
      <c r="V268" s="5282"/>
      <c r="W268" s="5303"/>
      <c r="X268" s="7479"/>
      <c r="Y268" s="7479"/>
      <c r="Z268" s="7479"/>
      <c r="AA268" s="7480"/>
      <c r="AB268" s="5326"/>
      <c r="AC268" s="1399"/>
      <c r="AD268" s="5303"/>
      <c r="AE268" s="5348"/>
      <c r="AF268" s="5348"/>
      <c r="AG268" s="10778"/>
      <c r="AH268" s="1758"/>
      <c r="AI268" s="1758"/>
      <c r="AJ268" s="1758"/>
      <c r="AK268" s="1758"/>
      <c r="AL268" s="1758"/>
      <c r="AM268" s="1758"/>
      <c r="AN268" s="1758"/>
      <c r="AO268" s="1758"/>
      <c r="AP268" s="1758"/>
      <c r="AQ268" s="1758"/>
      <c r="AR268" s="1758"/>
      <c r="AS268" s="1758"/>
      <c r="AT268" s="1758"/>
      <c r="AU268" s="1758"/>
      <c r="AV268" s="1758"/>
      <c r="AW268" s="1758"/>
      <c r="AX268" s="1758"/>
      <c r="AY268" s="1758"/>
      <c r="AZ268" s="1758"/>
      <c r="BA268" s="1758"/>
      <c r="BB268" s="1758"/>
      <c r="BC268" s="1758"/>
      <c r="BD268" s="1758"/>
      <c r="BE268" s="1758"/>
      <c r="BF268" s="1758"/>
      <c r="BG268" s="1758"/>
      <c r="BH268" s="1758"/>
      <c r="BI268" s="1758"/>
      <c r="BJ268" s="1758"/>
      <c r="BK268" s="1758"/>
      <c r="BL268" s="1758"/>
      <c r="BM268" s="1758"/>
      <c r="BN268" s="1758"/>
      <c r="BO268" s="1758"/>
      <c r="BP268" s="1758"/>
      <c r="BQ268" s="1758"/>
      <c r="BR268" s="1758"/>
      <c r="BS268" s="1758"/>
      <c r="BT268" s="1758"/>
      <c r="BU268" s="1758"/>
      <c r="BV268" s="1758"/>
      <c r="BW268" s="1758"/>
      <c r="BX268" s="1758"/>
      <c r="BY268" s="1758"/>
      <c r="BZ268" s="1758"/>
      <c r="CA268" s="1758"/>
      <c r="CB268" s="1758"/>
      <c r="CC268" s="1758"/>
      <c r="CD268" s="1758"/>
      <c r="CE268" s="1758"/>
      <c r="CF268" s="1758"/>
      <c r="CG268" s="1758"/>
      <c r="CH268" s="1758"/>
      <c r="CI268" s="1758"/>
      <c r="CJ268" s="1758"/>
      <c r="CK268" s="1758"/>
      <c r="CL268" s="1758"/>
      <c r="CM268" s="1758"/>
      <c r="CN268" s="1758"/>
      <c r="CO268" s="1758"/>
      <c r="CP268" s="1758"/>
      <c r="CQ268" s="1758"/>
      <c r="CR268" s="1758"/>
      <c r="CS268" s="1758"/>
      <c r="CT268" s="1758"/>
      <c r="CU268" s="1758"/>
      <c r="CV268" s="1758"/>
      <c r="CW268" s="1758"/>
      <c r="CX268" s="1758"/>
      <c r="CY268" s="1758"/>
      <c r="CZ268" s="1758"/>
      <c r="DA268" s="1758"/>
      <c r="DB268" s="1758"/>
      <c r="DC268" s="1758"/>
    </row>
    <row r="269" spans="1:107" s="6132" customFormat="1" ht="22.5" customHeight="1" thickBot="1">
      <c r="A269" s="6241"/>
      <c r="B269" s="6127"/>
      <c r="C269" s="6127"/>
      <c r="D269" s="6127"/>
      <c r="E269" s="6127"/>
      <c r="F269" s="6127"/>
      <c r="G269" s="6127"/>
      <c r="H269" s="6127"/>
      <c r="I269" s="6127"/>
      <c r="J269" s="6127"/>
      <c r="K269" s="6127"/>
      <c r="L269" s="6128"/>
      <c r="M269" s="6128"/>
      <c r="N269" s="6128"/>
      <c r="O269" s="6127"/>
      <c r="P269" s="6127"/>
      <c r="Q269" s="6129"/>
      <c r="R269" s="5391" t="s">
        <v>4606</v>
      </c>
      <c r="S269" s="5396"/>
      <c r="T269" s="5396"/>
      <c r="U269" s="5395"/>
      <c r="V269" s="7466"/>
      <c r="W269" s="5395"/>
      <c r="X269" s="5396"/>
      <c r="Y269" s="5396"/>
      <c r="Z269" s="5394" t="s">
        <v>292</v>
      </c>
      <c r="AA269" s="7468">
        <f>SUM(AA229:AA268)</f>
        <v>430</v>
      </c>
      <c r="AB269" s="6130"/>
      <c r="AC269" s="6131"/>
      <c r="AD269" s="10789"/>
      <c r="AE269" s="10790"/>
      <c r="AF269" s="10790"/>
      <c r="AG269" s="10791"/>
    </row>
    <row r="270" spans="1:107" s="1395" customFormat="1" ht="24.75" customHeight="1">
      <c r="A270" s="10826" t="s">
        <v>4982</v>
      </c>
      <c r="B270" s="10730" t="s">
        <v>127</v>
      </c>
      <c r="C270" s="10733" t="s">
        <v>128</v>
      </c>
      <c r="D270" s="10733" t="s">
        <v>129</v>
      </c>
      <c r="E270" s="10733" t="s">
        <v>205</v>
      </c>
      <c r="F270" s="10752" t="s">
        <v>131</v>
      </c>
      <c r="G270" s="10733" t="s">
        <v>132</v>
      </c>
      <c r="H270" s="10733" t="s">
        <v>159</v>
      </c>
      <c r="I270" s="10753" t="s">
        <v>4983</v>
      </c>
      <c r="J270" s="10733" t="s">
        <v>4609</v>
      </c>
      <c r="K270" s="10747" t="s">
        <v>4984</v>
      </c>
      <c r="L270" s="10746">
        <v>0</v>
      </c>
      <c r="M270" s="10746">
        <v>1</v>
      </c>
      <c r="N270" s="10746">
        <v>1</v>
      </c>
      <c r="O270" s="10747" t="s">
        <v>4985</v>
      </c>
      <c r="P270" s="10747" t="s">
        <v>4986</v>
      </c>
      <c r="Q270" s="10792" t="s">
        <v>4987</v>
      </c>
      <c r="R270" s="5182"/>
      <c r="S270" s="5222"/>
      <c r="T270" s="5222"/>
      <c r="U270" s="5259"/>
      <c r="V270" s="5289"/>
      <c r="W270" s="5310"/>
      <c r="X270" s="7494"/>
      <c r="Y270" s="7494"/>
      <c r="Z270" s="7494"/>
      <c r="AA270" s="7495"/>
      <c r="AB270" s="5332"/>
      <c r="AC270" s="1405"/>
      <c r="AD270" s="5310"/>
      <c r="AE270" s="5345"/>
      <c r="AF270" s="5345"/>
      <c r="AG270" s="10780"/>
      <c r="AH270" s="1758"/>
      <c r="AI270" s="1758"/>
      <c r="AJ270" s="1758"/>
      <c r="AK270" s="1758"/>
      <c r="AL270" s="1758"/>
      <c r="AM270" s="1758"/>
      <c r="AN270" s="1758"/>
      <c r="AO270" s="1758"/>
      <c r="AP270" s="1758"/>
      <c r="AQ270" s="1758"/>
      <c r="AR270" s="1758"/>
      <c r="AS270" s="1758"/>
      <c r="AT270" s="1758"/>
      <c r="AU270" s="1758"/>
      <c r="AV270" s="1758"/>
      <c r="AW270" s="1758"/>
      <c r="AX270" s="1758"/>
      <c r="AY270" s="1758"/>
      <c r="AZ270" s="1758"/>
      <c r="BA270" s="1758"/>
      <c r="BB270" s="1758"/>
      <c r="BC270" s="1758"/>
      <c r="BD270" s="1758"/>
      <c r="BE270" s="1758"/>
      <c r="BF270" s="1758"/>
      <c r="BG270" s="1758"/>
      <c r="BH270" s="1758"/>
      <c r="BI270" s="1758"/>
      <c r="BJ270" s="1758"/>
      <c r="BK270" s="1758"/>
      <c r="BL270" s="1758"/>
      <c r="BM270" s="1758"/>
      <c r="BN270" s="1758"/>
      <c r="BO270" s="1758"/>
      <c r="BP270" s="1758"/>
      <c r="BQ270" s="1758"/>
      <c r="BR270" s="1758"/>
      <c r="BS270" s="1758"/>
      <c r="BT270" s="1758"/>
      <c r="BU270" s="1758"/>
      <c r="BV270" s="1758"/>
      <c r="BW270" s="1758"/>
      <c r="BX270" s="1758"/>
      <c r="BY270" s="1758"/>
      <c r="BZ270" s="1758"/>
      <c r="CA270" s="1758"/>
      <c r="CB270" s="1758"/>
      <c r="CC270" s="1758"/>
      <c r="CD270" s="1758"/>
      <c r="CE270" s="1758"/>
      <c r="CF270" s="1758"/>
      <c r="CG270" s="1758"/>
      <c r="CH270" s="1758"/>
      <c r="CI270" s="1758"/>
      <c r="CJ270" s="1758"/>
      <c r="CK270" s="1758"/>
      <c r="CL270" s="1758"/>
      <c r="CM270" s="1758"/>
      <c r="CN270" s="1758"/>
      <c r="CO270" s="1758"/>
      <c r="CP270" s="1758"/>
      <c r="CQ270" s="1758"/>
      <c r="CR270" s="1758"/>
      <c r="CS270" s="1758"/>
      <c r="CT270" s="1758"/>
      <c r="CU270" s="1758"/>
      <c r="CV270" s="1758"/>
      <c r="CW270" s="1758"/>
      <c r="CX270" s="1758"/>
      <c r="CY270" s="1758"/>
      <c r="CZ270" s="1758"/>
      <c r="DA270" s="1758"/>
      <c r="DB270" s="1758"/>
      <c r="DC270" s="1758"/>
    </row>
    <row r="271" spans="1:107" s="1395" customFormat="1" ht="24.75" customHeight="1">
      <c r="A271" s="10827"/>
      <c r="B271" s="10731"/>
      <c r="C271" s="10728"/>
      <c r="D271" s="10728"/>
      <c r="E271" s="10728"/>
      <c r="F271" s="10744"/>
      <c r="G271" s="10728"/>
      <c r="H271" s="10728"/>
      <c r="I271" s="10754"/>
      <c r="J271" s="10728"/>
      <c r="K271" s="10735"/>
      <c r="L271" s="10738"/>
      <c r="M271" s="10738"/>
      <c r="N271" s="10738"/>
      <c r="O271" s="10735"/>
      <c r="P271" s="10735"/>
      <c r="Q271" s="10750"/>
      <c r="R271" s="5171"/>
      <c r="S271" s="5213"/>
      <c r="T271" s="5213"/>
      <c r="U271" s="5247"/>
      <c r="V271" s="5279"/>
      <c r="W271" s="5300"/>
      <c r="X271" s="7473"/>
      <c r="Y271" s="7473"/>
      <c r="Z271" s="7473"/>
      <c r="AA271" s="7474"/>
      <c r="AB271" s="5323"/>
      <c r="AC271" s="1396"/>
      <c r="AD271" s="5300"/>
      <c r="AE271" s="5346"/>
      <c r="AF271" s="5346"/>
      <c r="AG271" s="10777"/>
      <c r="AH271" s="1758"/>
      <c r="AI271" s="1758"/>
      <c r="AJ271" s="1758"/>
      <c r="AK271" s="1758"/>
      <c r="AL271" s="1758"/>
      <c r="AM271" s="1758"/>
      <c r="AN271" s="1758"/>
      <c r="AO271" s="1758"/>
      <c r="AP271" s="1758"/>
      <c r="AQ271" s="1758"/>
      <c r="AR271" s="1758"/>
      <c r="AS271" s="1758"/>
      <c r="AT271" s="1758"/>
      <c r="AU271" s="1758"/>
      <c r="AV271" s="1758"/>
      <c r="AW271" s="1758"/>
      <c r="AX271" s="1758"/>
      <c r="AY271" s="1758"/>
      <c r="AZ271" s="1758"/>
      <c r="BA271" s="1758"/>
      <c r="BB271" s="1758"/>
      <c r="BC271" s="1758"/>
      <c r="BD271" s="1758"/>
      <c r="BE271" s="1758"/>
      <c r="BF271" s="1758"/>
      <c r="BG271" s="1758"/>
      <c r="BH271" s="1758"/>
      <c r="BI271" s="1758"/>
      <c r="BJ271" s="1758"/>
      <c r="BK271" s="1758"/>
      <c r="BL271" s="1758"/>
      <c r="BM271" s="1758"/>
      <c r="BN271" s="1758"/>
      <c r="BO271" s="1758"/>
      <c r="BP271" s="1758"/>
      <c r="BQ271" s="1758"/>
      <c r="BR271" s="1758"/>
      <c r="BS271" s="1758"/>
      <c r="BT271" s="1758"/>
      <c r="BU271" s="1758"/>
      <c r="BV271" s="1758"/>
      <c r="BW271" s="1758"/>
      <c r="BX271" s="1758"/>
      <c r="BY271" s="1758"/>
      <c r="BZ271" s="1758"/>
      <c r="CA271" s="1758"/>
      <c r="CB271" s="1758"/>
      <c r="CC271" s="1758"/>
      <c r="CD271" s="1758"/>
      <c r="CE271" s="1758"/>
      <c r="CF271" s="1758"/>
      <c r="CG271" s="1758"/>
      <c r="CH271" s="1758"/>
      <c r="CI271" s="1758"/>
      <c r="CJ271" s="1758"/>
      <c r="CK271" s="1758"/>
      <c r="CL271" s="1758"/>
      <c r="CM271" s="1758"/>
      <c r="CN271" s="1758"/>
      <c r="CO271" s="1758"/>
      <c r="CP271" s="1758"/>
      <c r="CQ271" s="1758"/>
      <c r="CR271" s="1758"/>
      <c r="CS271" s="1758"/>
      <c r="CT271" s="1758"/>
      <c r="CU271" s="1758"/>
      <c r="CV271" s="1758"/>
      <c r="CW271" s="1758"/>
      <c r="CX271" s="1758"/>
      <c r="CY271" s="1758"/>
      <c r="CZ271" s="1758"/>
      <c r="DA271" s="1758"/>
      <c r="DB271" s="1758"/>
      <c r="DC271" s="1758"/>
    </row>
    <row r="272" spans="1:107" s="1395" customFormat="1" ht="24.75" customHeight="1">
      <c r="A272" s="10827"/>
      <c r="B272" s="10731"/>
      <c r="C272" s="10728"/>
      <c r="D272" s="10728"/>
      <c r="E272" s="10728"/>
      <c r="F272" s="10744"/>
      <c r="G272" s="10728"/>
      <c r="H272" s="10728"/>
      <c r="I272" s="10754"/>
      <c r="J272" s="10728"/>
      <c r="K272" s="10735"/>
      <c r="L272" s="10738"/>
      <c r="M272" s="10738"/>
      <c r="N272" s="10738"/>
      <c r="O272" s="10735"/>
      <c r="P272" s="10735"/>
      <c r="Q272" s="10750"/>
      <c r="R272" s="5174"/>
      <c r="S272" s="5214"/>
      <c r="T272" s="5214"/>
      <c r="U272" s="5250"/>
      <c r="V272" s="5281"/>
      <c r="W272" s="5302"/>
      <c r="X272" s="7477"/>
      <c r="Y272" s="7473"/>
      <c r="Z272" s="7473"/>
      <c r="AA272" s="7474"/>
      <c r="AB272" s="5323"/>
      <c r="AC272" s="1396"/>
      <c r="AD272" s="5300"/>
      <c r="AE272" s="5346"/>
      <c r="AF272" s="5346"/>
      <c r="AG272" s="10777"/>
      <c r="AH272" s="1758"/>
      <c r="AI272" s="1758"/>
      <c r="AJ272" s="1758"/>
      <c r="AK272" s="1758"/>
      <c r="AL272" s="1758"/>
      <c r="AM272" s="1758"/>
      <c r="AN272" s="1758"/>
      <c r="AO272" s="1758"/>
      <c r="AP272" s="1758"/>
      <c r="AQ272" s="1758"/>
      <c r="AR272" s="1758"/>
      <c r="AS272" s="1758"/>
      <c r="AT272" s="1758"/>
      <c r="AU272" s="1758"/>
      <c r="AV272" s="1758"/>
      <c r="AW272" s="1758"/>
      <c r="AX272" s="1758"/>
      <c r="AY272" s="1758"/>
      <c r="AZ272" s="1758"/>
      <c r="BA272" s="1758"/>
      <c r="BB272" s="1758"/>
      <c r="BC272" s="1758"/>
      <c r="BD272" s="1758"/>
      <c r="BE272" s="1758"/>
      <c r="BF272" s="1758"/>
      <c r="BG272" s="1758"/>
      <c r="BH272" s="1758"/>
      <c r="BI272" s="1758"/>
      <c r="BJ272" s="1758"/>
      <c r="BK272" s="1758"/>
      <c r="BL272" s="1758"/>
      <c r="BM272" s="1758"/>
      <c r="BN272" s="1758"/>
      <c r="BO272" s="1758"/>
      <c r="BP272" s="1758"/>
      <c r="BQ272" s="1758"/>
      <c r="BR272" s="1758"/>
      <c r="BS272" s="1758"/>
      <c r="BT272" s="1758"/>
      <c r="BU272" s="1758"/>
      <c r="BV272" s="1758"/>
      <c r="BW272" s="1758"/>
      <c r="BX272" s="1758"/>
      <c r="BY272" s="1758"/>
      <c r="BZ272" s="1758"/>
      <c r="CA272" s="1758"/>
      <c r="CB272" s="1758"/>
      <c r="CC272" s="1758"/>
      <c r="CD272" s="1758"/>
      <c r="CE272" s="1758"/>
      <c r="CF272" s="1758"/>
      <c r="CG272" s="1758"/>
      <c r="CH272" s="1758"/>
      <c r="CI272" s="1758"/>
      <c r="CJ272" s="1758"/>
      <c r="CK272" s="1758"/>
      <c r="CL272" s="1758"/>
      <c r="CM272" s="1758"/>
      <c r="CN272" s="1758"/>
      <c r="CO272" s="1758"/>
      <c r="CP272" s="1758"/>
      <c r="CQ272" s="1758"/>
      <c r="CR272" s="1758"/>
      <c r="CS272" s="1758"/>
      <c r="CT272" s="1758"/>
      <c r="CU272" s="1758"/>
      <c r="CV272" s="1758"/>
      <c r="CW272" s="1758"/>
      <c r="CX272" s="1758"/>
      <c r="CY272" s="1758"/>
      <c r="CZ272" s="1758"/>
      <c r="DA272" s="1758"/>
      <c r="DB272" s="1758"/>
      <c r="DC272" s="1758"/>
    </row>
    <row r="273" spans="1:107" s="1395" customFormat="1" ht="24.75" customHeight="1">
      <c r="A273" s="10827"/>
      <c r="B273" s="10731"/>
      <c r="C273" s="10728"/>
      <c r="D273" s="10728"/>
      <c r="E273" s="10728"/>
      <c r="F273" s="10744"/>
      <c r="G273" s="10728"/>
      <c r="H273" s="10728"/>
      <c r="I273" s="10754"/>
      <c r="J273" s="10728"/>
      <c r="K273" s="10735"/>
      <c r="L273" s="10738"/>
      <c r="M273" s="10738"/>
      <c r="N273" s="10738"/>
      <c r="O273" s="10735"/>
      <c r="P273" s="10735"/>
      <c r="Q273" s="10750"/>
      <c r="R273" s="5173"/>
      <c r="S273" s="5212"/>
      <c r="T273" s="5212"/>
      <c r="U273" s="5250"/>
      <c r="V273" s="5281"/>
      <c r="W273" s="5302"/>
      <c r="X273" s="7477"/>
      <c r="Y273" s="7473"/>
      <c r="Z273" s="7473"/>
      <c r="AA273" s="7474"/>
      <c r="AB273" s="5323"/>
      <c r="AC273" s="1396"/>
      <c r="AD273" s="5300"/>
      <c r="AE273" s="5346"/>
      <c r="AF273" s="5346"/>
      <c r="AG273" s="10777"/>
      <c r="AH273" s="1758"/>
      <c r="AI273" s="1758"/>
      <c r="AJ273" s="1758"/>
      <c r="AK273" s="1758"/>
      <c r="AL273" s="1758"/>
      <c r="AM273" s="1758"/>
      <c r="AN273" s="1758"/>
      <c r="AO273" s="1758"/>
      <c r="AP273" s="1758"/>
      <c r="AQ273" s="1758"/>
      <c r="AR273" s="1758"/>
      <c r="AS273" s="1758"/>
      <c r="AT273" s="1758"/>
      <c r="AU273" s="1758"/>
      <c r="AV273" s="1758"/>
      <c r="AW273" s="1758"/>
      <c r="AX273" s="1758"/>
      <c r="AY273" s="1758"/>
      <c r="AZ273" s="1758"/>
      <c r="BA273" s="1758"/>
      <c r="BB273" s="1758"/>
      <c r="BC273" s="1758"/>
      <c r="BD273" s="1758"/>
      <c r="BE273" s="1758"/>
      <c r="BF273" s="1758"/>
      <c r="BG273" s="1758"/>
      <c r="BH273" s="1758"/>
      <c r="BI273" s="1758"/>
      <c r="BJ273" s="1758"/>
      <c r="BK273" s="1758"/>
      <c r="BL273" s="1758"/>
      <c r="BM273" s="1758"/>
      <c r="BN273" s="1758"/>
      <c r="BO273" s="1758"/>
      <c r="BP273" s="1758"/>
      <c r="BQ273" s="1758"/>
      <c r="BR273" s="1758"/>
      <c r="BS273" s="1758"/>
      <c r="BT273" s="1758"/>
      <c r="BU273" s="1758"/>
      <c r="BV273" s="1758"/>
      <c r="BW273" s="1758"/>
      <c r="BX273" s="1758"/>
      <c r="BY273" s="1758"/>
      <c r="BZ273" s="1758"/>
      <c r="CA273" s="1758"/>
      <c r="CB273" s="1758"/>
      <c r="CC273" s="1758"/>
      <c r="CD273" s="1758"/>
      <c r="CE273" s="1758"/>
      <c r="CF273" s="1758"/>
      <c r="CG273" s="1758"/>
      <c r="CH273" s="1758"/>
      <c r="CI273" s="1758"/>
      <c r="CJ273" s="1758"/>
      <c r="CK273" s="1758"/>
      <c r="CL273" s="1758"/>
      <c r="CM273" s="1758"/>
      <c r="CN273" s="1758"/>
      <c r="CO273" s="1758"/>
      <c r="CP273" s="1758"/>
      <c r="CQ273" s="1758"/>
      <c r="CR273" s="1758"/>
      <c r="CS273" s="1758"/>
      <c r="CT273" s="1758"/>
      <c r="CU273" s="1758"/>
      <c r="CV273" s="1758"/>
      <c r="CW273" s="1758"/>
      <c r="CX273" s="1758"/>
      <c r="CY273" s="1758"/>
      <c r="CZ273" s="1758"/>
      <c r="DA273" s="1758"/>
      <c r="DB273" s="1758"/>
      <c r="DC273" s="1758"/>
    </row>
    <row r="274" spans="1:107" s="1395" customFormat="1" ht="24.75" customHeight="1">
      <c r="A274" s="10827"/>
      <c r="B274" s="10732"/>
      <c r="C274" s="10729"/>
      <c r="D274" s="10729"/>
      <c r="E274" s="10729"/>
      <c r="F274" s="10745"/>
      <c r="G274" s="10729"/>
      <c r="H274" s="10729"/>
      <c r="I274" s="10755"/>
      <c r="J274" s="10729"/>
      <c r="K274" s="10736"/>
      <c r="L274" s="10739"/>
      <c r="M274" s="10739"/>
      <c r="N274" s="10739"/>
      <c r="O274" s="10736"/>
      <c r="P274" s="10736"/>
      <c r="Q274" s="10751"/>
      <c r="R274" s="5175"/>
      <c r="S274" s="5215"/>
      <c r="T274" s="5215"/>
      <c r="U274" s="5251"/>
      <c r="V274" s="5282"/>
      <c r="W274" s="5303"/>
      <c r="X274" s="7479"/>
      <c r="Y274" s="7479"/>
      <c r="Z274" s="7479"/>
      <c r="AA274" s="7480"/>
      <c r="AB274" s="5326"/>
      <c r="AC274" s="1399"/>
      <c r="AD274" s="5303"/>
      <c r="AE274" s="5348"/>
      <c r="AF274" s="5348"/>
      <c r="AG274" s="10778"/>
      <c r="AH274" s="1758"/>
      <c r="AI274" s="1758"/>
      <c r="AJ274" s="1758"/>
      <c r="AK274" s="1758"/>
      <c r="AL274" s="1758"/>
      <c r="AM274" s="1758"/>
      <c r="AN274" s="1758"/>
      <c r="AO274" s="1758"/>
      <c r="AP274" s="1758"/>
      <c r="AQ274" s="1758"/>
      <c r="AR274" s="1758"/>
      <c r="AS274" s="1758"/>
      <c r="AT274" s="1758"/>
      <c r="AU274" s="1758"/>
      <c r="AV274" s="1758"/>
      <c r="AW274" s="1758"/>
      <c r="AX274" s="1758"/>
      <c r="AY274" s="1758"/>
      <c r="AZ274" s="1758"/>
      <c r="BA274" s="1758"/>
      <c r="BB274" s="1758"/>
      <c r="BC274" s="1758"/>
      <c r="BD274" s="1758"/>
      <c r="BE274" s="1758"/>
      <c r="BF274" s="1758"/>
      <c r="BG274" s="1758"/>
      <c r="BH274" s="1758"/>
      <c r="BI274" s="1758"/>
      <c r="BJ274" s="1758"/>
      <c r="BK274" s="1758"/>
      <c r="BL274" s="1758"/>
      <c r="BM274" s="1758"/>
      <c r="BN274" s="1758"/>
      <c r="BO274" s="1758"/>
      <c r="BP274" s="1758"/>
      <c r="BQ274" s="1758"/>
      <c r="BR274" s="1758"/>
      <c r="BS274" s="1758"/>
      <c r="BT274" s="1758"/>
      <c r="BU274" s="1758"/>
      <c r="BV274" s="1758"/>
      <c r="BW274" s="1758"/>
      <c r="BX274" s="1758"/>
      <c r="BY274" s="1758"/>
      <c r="BZ274" s="1758"/>
      <c r="CA274" s="1758"/>
      <c r="CB274" s="1758"/>
      <c r="CC274" s="1758"/>
      <c r="CD274" s="1758"/>
      <c r="CE274" s="1758"/>
      <c r="CF274" s="1758"/>
      <c r="CG274" s="1758"/>
      <c r="CH274" s="1758"/>
      <c r="CI274" s="1758"/>
      <c r="CJ274" s="1758"/>
      <c r="CK274" s="1758"/>
      <c r="CL274" s="1758"/>
      <c r="CM274" s="1758"/>
      <c r="CN274" s="1758"/>
      <c r="CO274" s="1758"/>
      <c r="CP274" s="1758"/>
      <c r="CQ274" s="1758"/>
      <c r="CR274" s="1758"/>
      <c r="CS274" s="1758"/>
      <c r="CT274" s="1758"/>
      <c r="CU274" s="1758"/>
      <c r="CV274" s="1758"/>
      <c r="CW274" s="1758"/>
      <c r="CX274" s="1758"/>
      <c r="CY274" s="1758"/>
      <c r="CZ274" s="1758"/>
      <c r="DA274" s="1758"/>
      <c r="DB274" s="1758"/>
      <c r="DC274" s="1758"/>
    </row>
    <row r="275" spans="1:107" s="1395" customFormat="1" ht="27.75" customHeight="1">
      <c r="A275" s="10827"/>
      <c r="B275" s="10731" t="s">
        <v>127</v>
      </c>
      <c r="C275" s="10728" t="s">
        <v>128</v>
      </c>
      <c r="D275" s="10728" t="s">
        <v>129</v>
      </c>
      <c r="E275" s="10728" t="s">
        <v>205</v>
      </c>
      <c r="F275" s="10744" t="s">
        <v>131</v>
      </c>
      <c r="G275" s="10728" t="s">
        <v>132</v>
      </c>
      <c r="H275" s="10728" t="s">
        <v>159</v>
      </c>
      <c r="I275" s="10728" t="s">
        <v>4988</v>
      </c>
      <c r="J275" s="10742" t="s">
        <v>4615</v>
      </c>
      <c r="K275" s="10735" t="s">
        <v>4989</v>
      </c>
      <c r="L275" s="10738">
        <v>0</v>
      </c>
      <c r="M275" s="10738">
        <v>4</v>
      </c>
      <c r="N275" s="10738">
        <v>4</v>
      </c>
      <c r="O275" s="10735" t="s">
        <v>4990</v>
      </c>
      <c r="P275" s="10735" t="s">
        <v>4991</v>
      </c>
      <c r="Q275" s="10750" t="s">
        <v>4992</v>
      </c>
      <c r="R275" s="5173"/>
      <c r="S275" s="5212"/>
      <c r="T275" s="5212"/>
      <c r="U275" s="5249"/>
      <c r="V275" s="5281"/>
      <c r="W275" s="5302"/>
      <c r="X275" s="7477"/>
      <c r="Y275" s="7477"/>
      <c r="Z275" s="7477"/>
      <c r="AA275" s="7478"/>
      <c r="AB275" s="5325"/>
      <c r="AC275" s="1398"/>
      <c r="AD275" s="5302"/>
      <c r="AE275" s="5349"/>
      <c r="AF275" s="5349"/>
      <c r="AG275" s="10777" t="s">
        <v>4993</v>
      </c>
      <c r="AH275" s="1758"/>
      <c r="AI275" s="1758"/>
      <c r="AJ275" s="1758"/>
      <c r="AK275" s="1758"/>
      <c r="AL275" s="1758"/>
      <c r="AM275" s="1758"/>
      <c r="AN275" s="1758"/>
      <c r="AO275" s="1758"/>
      <c r="AP275" s="1758"/>
      <c r="AQ275" s="1758"/>
      <c r="AR275" s="1758"/>
      <c r="AS275" s="1758"/>
      <c r="AT275" s="1758"/>
      <c r="AU275" s="1758"/>
      <c r="AV275" s="1758"/>
      <c r="AW275" s="1758"/>
      <c r="AX275" s="1758"/>
      <c r="AY275" s="1758"/>
      <c r="AZ275" s="1758"/>
      <c r="BA275" s="1758"/>
      <c r="BB275" s="1758"/>
      <c r="BC275" s="1758"/>
      <c r="BD275" s="1758"/>
      <c r="BE275" s="1758"/>
      <c r="BF275" s="1758"/>
      <c r="BG275" s="1758"/>
      <c r="BH275" s="1758"/>
      <c r="BI275" s="1758"/>
      <c r="BJ275" s="1758"/>
      <c r="BK275" s="1758"/>
      <c r="BL275" s="1758"/>
      <c r="BM275" s="1758"/>
      <c r="BN275" s="1758"/>
      <c r="BO275" s="1758"/>
      <c r="BP275" s="1758"/>
      <c r="BQ275" s="1758"/>
      <c r="BR275" s="1758"/>
      <c r="BS275" s="1758"/>
      <c r="BT275" s="1758"/>
      <c r="BU275" s="1758"/>
      <c r="BV275" s="1758"/>
      <c r="BW275" s="1758"/>
      <c r="BX275" s="1758"/>
      <c r="BY275" s="1758"/>
      <c r="BZ275" s="1758"/>
      <c r="CA275" s="1758"/>
      <c r="CB275" s="1758"/>
      <c r="CC275" s="1758"/>
      <c r="CD275" s="1758"/>
      <c r="CE275" s="1758"/>
      <c r="CF275" s="1758"/>
      <c r="CG275" s="1758"/>
      <c r="CH275" s="1758"/>
      <c r="CI275" s="1758"/>
      <c r="CJ275" s="1758"/>
      <c r="CK275" s="1758"/>
      <c r="CL275" s="1758"/>
      <c r="CM275" s="1758"/>
      <c r="CN275" s="1758"/>
      <c r="CO275" s="1758"/>
      <c r="CP275" s="1758"/>
      <c r="CQ275" s="1758"/>
      <c r="CR275" s="1758"/>
      <c r="CS275" s="1758"/>
      <c r="CT275" s="1758"/>
      <c r="CU275" s="1758"/>
      <c r="CV275" s="1758"/>
      <c r="CW275" s="1758"/>
      <c r="CX275" s="1758"/>
      <c r="CY275" s="1758"/>
      <c r="CZ275" s="1758"/>
      <c r="DA275" s="1758"/>
      <c r="DB275" s="1758"/>
      <c r="DC275" s="1758"/>
    </row>
    <row r="276" spans="1:107" s="1395" customFormat="1" ht="27.75" customHeight="1">
      <c r="A276" s="10827"/>
      <c r="B276" s="10731"/>
      <c r="C276" s="10728"/>
      <c r="D276" s="10728"/>
      <c r="E276" s="10728"/>
      <c r="F276" s="10744"/>
      <c r="G276" s="10728"/>
      <c r="H276" s="10728"/>
      <c r="I276" s="10728"/>
      <c r="J276" s="10728"/>
      <c r="K276" s="10735"/>
      <c r="L276" s="10738"/>
      <c r="M276" s="10738"/>
      <c r="N276" s="10738"/>
      <c r="O276" s="10735"/>
      <c r="P276" s="10735"/>
      <c r="Q276" s="10750"/>
      <c r="R276" s="5171"/>
      <c r="S276" s="5213"/>
      <c r="T276" s="5213"/>
      <c r="U276" s="5247"/>
      <c r="V276" s="5279"/>
      <c r="W276" s="5300"/>
      <c r="X276" s="7473"/>
      <c r="Y276" s="7473"/>
      <c r="Z276" s="7473"/>
      <c r="AA276" s="7474"/>
      <c r="AB276" s="5323"/>
      <c r="AC276" s="1396"/>
      <c r="AD276" s="5300"/>
      <c r="AE276" s="5346"/>
      <c r="AF276" s="5346"/>
      <c r="AG276" s="10777"/>
      <c r="AH276" s="1758"/>
      <c r="AI276" s="1758"/>
      <c r="AJ276" s="1758"/>
      <c r="AK276" s="1758"/>
      <c r="AL276" s="1758"/>
      <c r="AM276" s="1758"/>
      <c r="AN276" s="1758"/>
      <c r="AO276" s="1758"/>
      <c r="AP276" s="1758"/>
      <c r="AQ276" s="1758"/>
      <c r="AR276" s="1758"/>
      <c r="AS276" s="1758"/>
      <c r="AT276" s="1758"/>
      <c r="AU276" s="1758"/>
      <c r="AV276" s="1758"/>
      <c r="AW276" s="1758"/>
      <c r="AX276" s="1758"/>
      <c r="AY276" s="1758"/>
      <c r="AZ276" s="1758"/>
      <c r="BA276" s="1758"/>
      <c r="BB276" s="1758"/>
      <c r="BC276" s="1758"/>
      <c r="BD276" s="1758"/>
      <c r="BE276" s="1758"/>
      <c r="BF276" s="1758"/>
      <c r="BG276" s="1758"/>
      <c r="BH276" s="1758"/>
      <c r="BI276" s="1758"/>
      <c r="BJ276" s="1758"/>
      <c r="BK276" s="1758"/>
      <c r="BL276" s="1758"/>
      <c r="BM276" s="1758"/>
      <c r="BN276" s="1758"/>
      <c r="BO276" s="1758"/>
      <c r="BP276" s="1758"/>
      <c r="BQ276" s="1758"/>
      <c r="BR276" s="1758"/>
      <c r="BS276" s="1758"/>
      <c r="BT276" s="1758"/>
      <c r="BU276" s="1758"/>
      <c r="BV276" s="1758"/>
      <c r="BW276" s="1758"/>
      <c r="BX276" s="1758"/>
      <c r="BY276" s="1758"/>
      <c r="BZ276" s="1758"/>
      <c r="CA276" s="1758"/>
      <c r="CB276" s="1758"/>
      <c r="CC276" s="1758"/>
      <c r="CD276" s="1758"/>
      <c r="CE276" s="1758"/>
      <c r="CF276" s="1758"/>
      <c r="CG276" s="1758"/>
      <c r="CH276" s="1758"/>
      <c r="CI276" s="1758"/>
      <c r="CJ276" s="1758"/>
      <c r="CK276" s="1758"/>
      <c r="CL276" s="1758"/>
      <c r="CM276" s="1758"/>
      <c r="CN276" s="1758"/>
      <c r="CO276" s="1758"/>
      <c r="CP276" s="1758"/>
      <c r="CQ276" s="1758"/>
      <c r="CR276" s="1758"/>
      <c r="CS276" s="1758"/>
      <c r="CT276" s="1758"/>
      <c r="CU276" s="1758"/>
      <c r="CV276" s="1758"/>
      <c r="CW276" s="1758"/>
      <c r="CX276" s="1758"/>
      <c r="CY276" s="1758"/>
      <c r="CZ276" s="1758"/>
      <c r="DA276" s="1758"/>
      <c r="DB276" s="1758"/>
      <c r="DC276" s="1758"/>
    </row>
    <row r="277" spans="1:107" s="1395" customFormat="1" ht="27.75" customHeight="1">
      <c r="A277" s="10827"/>
      <c r="B277" s="10731"/>
      <c r="C277" s="10728"/>
      <c r="D277" s="10728"/>
      <c r="E277" s="10728"/>
      <c r="F277" s="10744"/>
      <c r="G277" s="10728"/>
      <c r="H277" s="10728"/>
      <c r="I277" s="10728"/>
      <c r="J277" s="10728"/>
      <c r="K277" s="10735"/>
      <c r="L277" s="10738"/>
      <c r="M277" s="10738"/>
      <c r="N277" s="10738"/>
      <c r="O277" s="10735"/>
      <c r="P277" s="10735"/>
      <c r="Q277" s="10750"/>
      <c r="R277" s="5174"/>
      <c r="S277" s="5214"/>
      <c r="T277" s="5214"/>
      <c r="U277" s="5250"/>
      <c r="V277" s="5281"/>
      <c r="W277" s="5302"/>
      <c r="X277" s="7477"/>
      <c r="Y277" s="7473"/>
      <c r="Z277" s="7473"/>
      <c r="AA277" s="7474"/>
      <c r="AB277" s="5323"/>
      <c r="AC277" s="1396"/>
      <c r="AD277" s="5300"/>
      <c r="AE277" s="5346"/>
      <c r="AF277" s="5346"/>
      <c r="AG277" s="10777"/>
      <c r="AH277" s="1758"/>
      <c r="AI277" s="1758"/>
      <c r="AJ277" s="1758"/>
      <c r="AK277" s="1758"/>
      <c r="AL277" s="1758"/>
      <c r="AM277" s="1758"/>
      <c r="AN277" s="1758"/>
      <c r="AO277" s="1758"/>
      <c r="AP277" s="1758"/>
      <c r="AQ277" s="1758"/>
      <c r="AR277" s="1758"/>
      <c r="AS277" s="1758"/>
      <c r="AT277" s="1758"/>
      <c r="AU277" s="1758"/>
      <c r="AV277" s="1758"/>
      <c r="AW277" s="1758"/>
      <c r="AX277" s="1758"/>
      <c r="AY277" s="1758"/>
      <c r="AZ277" s="1758"/>
      <c r="BA277" s="1758"/>
      <c r="BB277" s="1758"/>
      <c r="BC277" s="1758"/>
      <c r="BD277" s="1758"/>
      <c r="BE277" s="1758"/>
      <c r="BF277" s="1758"/>
      <c r="BG277" s="1758"/>
      <c r="BH277" s="1758"/>
      <c r="BI277" s="1758"/>
      <c r="BJ277" s="1758"/>
      <c r="BK277" s="1758"/>
      <c r="BL277" s="1758"/>
      <c r="BM277" s="1758"/>
      <c r="BN277" s="1758"/>
      <c r="BO277" s="1758"/>
      <c r="BP277" s="1758"/>
      <c r="BQ277" s="1758"/>
      <c r="BR277" s="1758"/>
      <c r="BS277" s="1758"/>
      <c r="BT277" s="1758"/>
      <c r="BU277" s="1758"/>
      <c r="BV277" s="1758"/>
      <c r="BW277" s="1758"/>
      <c r="BX277" s="1758"/>
      <c r="BY277" s="1758"/>
      <c r="BZ277" s="1758"/>
      <c r="CA277" s="1758"/>
      <c r="CB277" s="1758"/>
      <c r="CC277" s="1758"/>
      <c r="CD277" s="1758"/>
      <c r="CE277" s="1758"/>
      <c r="CF277" s="1758"/>
      <c r="CG277" s="1758"/>
      <c r="CH277" s="1758"/>
      <c r="CI277" s="1758"/>
      <c r="CJ277" s="1758"/>
      <c r="CK277" s="1758"/>
      <c r="CL277" s="1758"/>
      <c r="CM277" s="1758"/>
      <c r="CN277" s="1758"/>
      <c r="CO277" s="1758"/>
      <c r="CP277" s="1758"/>
      <c r="CQ277" s="1758"/>
      <c r="CR277" s="1758"/>
      <c r="CS277" s="1758"/>
      <c r="CT277" s="1758"/>
      <c r="CU277" s="1758"/>
      <c r="CV277" s="1758"/>
      <c r="CW277" s="1758"/>
      <c r="CX277" s="1758"/>
      <c r="CY277" s="1758"/>
      <c r="CZ277" s="1758"/>
      <c r="DA277" s="1758"/>
      <c r="DB277" s="1758"/>
      <c r="DC277" s="1758"/>
    </row>
    <row r="278" spans="1:107" s="1395" customFormat="1" ht="27.75" customHeight="1">
      <c r="A278" s="10827"/>
      <c r="B278" s="10731"/>
      <c r="C278" s="10728"/>
      <c r="D278" s="10728"/>
      <c r="E278" s="10728"/>
      <c r="F278" s="10744"/>
      <c r="G278" s="10728"/>
      <c r="H278" s="10728"/>
      <c r="I278" s="10728"/>
      <c r="J278" s="10728"/>
      <c r="K278" s="10735"/>
      <c r="L278" s="10738"/>
      <c r="M278" s="10738"/>
      <c r="N278" s="10738"/>
      <c r="O278" s="10735"/>
      <c r="P278" s="10735"/>
      <c r="Q278" s="10750"/>
      <c r="R278" s="5173"/>
      <c r="S278" s="5212"/>
      <c r="T278" s="5212"/>
      <c r="U278" s="5250"/>
      <c r="V278" s="5281"/>
      <c r="W278" s="5302"/>
      <c r="X278" s="7477"/>
      <c r="Y278" s="7473"/>
      <c r="Z278" s="7473"/>
      <c r="AA278" s="7474"/>
      <c r="AB278" s="5323"/>
      <c r="AC278" s="1396"/>
      <c r="AD278" s="5300"/>
      <c r="AE278" s="5346"/>
      <c r="AF278" s="5346"/>
      <c r="AG278" s="10777"/>
      <c r="AH278" s="1758"/>
      <c r="AI278" s="1758"/>
      <c r="AJ278" s="1758"/>
      <c r="AK278" s="1758"/>
      <c r="AL278" s="1758"/>
      <c r="AM278" s="1758"/>
      <c r="AN278" s="1758"/>
      <c r="AO278" s="1758"/>
      <c r="AP278" s="1758"/>
      <c r="AQ278" s="1758"/>
      <c r="AR278" s="1758"/>
      <c r="AS278" s="1758"/>
      <c r="AT278" s="1758"/>
      <c r="AU278" s="1758"/>
      <c r="AV278" s="1758"/>
      <c r="AW278" s="1758"/>
      <c r="AX278" s="1758"/>
      <c r="AY278" s="1758"/>
      <c r="AZ278" s="1758"/>
      <c r="BA278" s="1758"/>
      <c r="BB278" s="1758"/>
      <c r="BC278" s="1758"/>
      <c r="BD278" s="1758"/>
      <c r="BE278" s="1758"/>
      <c r="BF278" s="1758"/>
      <c r="BG278" s="1758"/>
      <c r="BH278" s="1758"/>
      <c r="BI278" s="1758"/>
      <c r="BJ278" s="1758"/>
      <c r="BK278" s="1758"/>
      <c r="BL278" s="1758"/>
      <c r="BM278" s="1758"/>
      <c r="BN278" s="1758"/>
      <c r="BO278" s="1758"/>
      <c r="BP278" s="1758"/>
      <c r="BQ278" s="1758"/>
      <c r="BR278" s="1758"/>
      <c r="BS278" s="1758"/>
      <c r="BT278" s="1758"/>
      <c r="BU278" s="1758"/>
      <c r="BV278" s="1758"/>
      <c r="BW278" s="1758"/>
      <c r="BX278" s="1758"/>
      <c r="BY278" s="1758"/>
      <c r="BZ278" s="1758"/>
      <c r="CA278" s="1758"/>
      <c r="CB278" s="1758"/>
      <c r="CC278" s="1758"/>
      <c r="CD278" s="1758"/>
      <c r="CE278" s="1758"/>
      <c r="CF278" s="1758"/>
      <c r="CG278" s="1758"/>
      <c r="CH278" s="1758"/>
      <c r="CI278" s="1758"/>
      <c r="CJ278" s="1758"/>
      <c r="CK278" s="1758"/>
      <c r="CL278" s="1758"/>
      <c r="CM278" s="1758"/>
      <c r="CN278" s="1758"/>
      <c r="CO278" s="1758"/>
      <c r="CP278" s="1758"/>
      <c r="CQ278" s="1758"/>
      <c r="CR278" s="1758"/>
      <c r="CS278" s="1758"/>
      <c r="CT278" s="1758"/>
      <c r="CU278" s="1758"/>
      <c r="CV278" s="1758"/>
      <c r="CW278" s="1758"/>
      <c r="CX278" s="1758"/>
      <c r="CY278" s="1758"/>
      <c r="CZ278" s="1758"/>
      <c r="DA278" s="1758"/>
      <c r="DB278" s="1758"/>
      <c r="DC278" s="1758"/>
    </row>
    <row r="279" spans="1:107" s="1395" customFormat="1" ht="27.75" customHeight="1">
      <c r="A279" s="10827"/>
      <c r="B279" s="10732"/>
      <c r="C279" s="10729"/>
      <c r="D279" s="10729"/>
      <c r="E279" s="10729"/>
      <c r="F279" s="10745"/>
      <c r="G279" s="10729"/>
      <c r="H279" s="10729"/>
      <c r="I279" s="10729"/>
      <c r="J279" s="10729"/>
      <c r="K279" s="10736"/>
      <c r="L279" s="10739"/>
      <c r="M279" s="10739"/>
      <c r="N279" s="10739"/>
      <c r="O279" s="10736"/>
      <c r="P279" s="10736"/>
      <c r="Q279" s="10751"/>
      <c r="R279" s="5175"/>
      <c r="S279" s="5215"/>
      <c r="T279" s="5215"/>
      <c r="U279" s="5251"/>
      <c r="V279" s="5282"/>
      <c r="W279" s="5303"/>
      <c r="X279" s="7479"/>
      <c r="Y279" s="7479"/>
      <c r="Z279" s="7479"/>
      <c r="AA279" s="7480"/>
      <c r="AB279" s="5326"/>
      <c r="AC279" s="1399"/>
      <c r="AD279" s="5303"/>
      <c r="AE279" s="5348"/>
      <c r="AF279" s="5348"/>
      <c r="AG279" s="10778"/>
      <c r="AH279" s="1758"/>
      <c r="AI279" s="1758"/>
      <c r="AJ279" s="1758"/>
      <c r="AK279" s="1758"/>
      <c r="AL279" s="1758"/>
      <c r="AM279" s="1758"/>
      <c r="AN279" s="1758"/>
      <c r="AO279" s="1758"/>
      <c r="AP279" s="1758"/>
      <c r="AQ279" s="1758"/>
      <c r="AR279" s="1758"/>
      <c r="AS279" s="1758"/>
      <c r="AT279" s="1758"/>
      <c r="AU279" s="1758"/>
      <c r="AV279" s="1758"/>
      <c r="AW279" s="1758"/>
      <c r="AX279" s="1758"/>
      <c r="AY279" s="1758"/>
      <c r="AZ279" s="1758"/>
      <c r="BA279" s="1758"/>
      <c r="BB279" s="1758"/>
      <c r="BC279" s="1758"/>
      <c r="BD279" s="1758"/>
      <c r="BE279" s="1758"/>
      <c r="BF279" s="1758"/>
      <c r="BG279" s="1758"/>
      <c r="BH279" s="1758"/>
      <c r="BI279" s="1758"/>
      <c r="BJ279" s="1758"/>
      <c r="BK279" s="1758"/>
      <c r="BL279" s="1758"/>
      <c r="BM279" s="1758"/>
      <c r="BN279" s="1758"/>
      <c r="BO279" s="1758"/>
      <c r="BP279" s="1758"/>
      <c r="BQ279" s="1758"/>
      <c r="BR279" s="1758"/>
      <c r="BS279" s="1758"/>
      <c r="BT279" s="1758"/>
      <c r="BU279" s="1758"/>
      <c r="BV279" s="1758"/>
      <c r="BW279" s="1758"/>
      <c r="BX279" s="1758"/>
      <c r="BY279" s="1758"/>
      <c r="BZ279" s="1758"/>
      <c r="CA279" s="1758"/>
      <c r="CB279" s="1758"/>
      <c r="CC279" s="1758"/>
      <c r="CD279" s="1758"/>
      <c r="CE279" s="1758"/>
      <c r="CF279" s="1758"/>
      <c r="CG279" s="1758"/>
      <c r="CH279" s="1758"/>
      <c r="CI279" s="1758"/>
      <c r="CJ279" s="1758"/>
      <c r="CK279" s="1758"/>
      <c r="CL279" s="1758"/>
      <c r="CM279" s="1758"/>
      <c r="CN279" s="1758"/>
      <c r="CO279" s="1758"/>
      <c r="CP279" s="1758"/>
      <c r="CQ279" s="1758"/>
      <c r="CR279" s="1758"/>
      <c r="CS279" s="1758"/>
      <c r="CT279" s="1758"/>
      <c r="CU279" s="1758"/>
      <c r="CV279" s="1758"/>
      <c r="CW279" s="1758"/>
      <c r="CX279" s="1758"/>
      <c r="CY279" s="1758"/>
      <c r="CZ279" s="1758"/>
      <c r="DA279" s="1758"/>
      <c r="DB279" s="1758"/>
      <c r="DC279" s="1758"/>
    </row>
    <row r="280" spans="1:107" s="1395" customFormat="1" ht="26.25" customHeight="1">
      <c r="A280" s="10827"/>
      <c r="B280" s="10731" t="s">
        <v>127</v>
      </c>
      <c r="C280" s="10728" t="s">
        <v>227</v>
      </c>
      <c r="D280" s="10728" t="s">
        <v>129</v>
      </c>
      <c r="E280" s="10728" t="s">
        <v>205</v>
      </c>
      <c r="F280" s="10744" t="s">
        <v>131</v>
      </c>
      <c r="G280" s="10728" t="s">
        <v>132</v>
      </c>
      <c r="H280" s="10728" t="s">
        <v>159</v>
      </c>
      <c r="I280" s="10728" t="s">
        <v>4994</v>
      </c>
      <c r="J280" s="10742" t="s">
        <v>4620</v>
      </c>
      <c r="K280" s="10735" t="s">
        <v>4995</v>
      </c>
      <c r="L280" s="10738">
        <v>0</v>
      </c>
      <c r="M280" s="10738">
        <v>1</v>
      </c>
      <c r="N280" s="10738">
        <v>1</v>
      </c>
      <c r="O280" s="10735" t="s">
        <v>4996</v>
      </c>
      <c r="P280" s="10735" t="s">
        <v>4997</v>
      </c>
      <c r="Q280" s="10750" t="s">
        <v>4998</v>
      </c>
      <c r="R280" s="5173"/>
      <c r="S280" s="5212"/>
      <c r="T280" s="5212"/>
      <c r="U280" s="5249"/>
      <c r="V280" s="5281"/>
      <c r="W280" s="5302"/>
      <c r="X280" s="7477"/>
      <c r="Y280" s="7477"/>
      <c r="Z280" s="7477"/>
      <c r="AA280" s="7478"/>
      <c r="AB280" s="5325"/>
      <c r="AC280" s="1398"/>
      <c r="AD280" s="5302"/>
      <c r="AE280" s="5349"/>
      <c r="AF280" s="5349"/>
      <c r="AG280" s="10777" t="s">
        <v>4999</v>
      </c>
      <c r="AH280" s="1758"/>
      <c r="AI280" s="1758"/>
      <c r="AJ280" s="1758"/>
      <c r="AK280" s="1758"/>
      <c r="AL280" s="1758"/>
      <c r="AM280" s="1758"/>
      <c r="AN280" s="1758"/>
      <c r="AO280" s="1758"/>
      <c r="AP280" s="1758"/>
      <c r="AQ280" s="1758"/>
      <c r="AR280" s="1758"/>
      <c r="AS280" s="1758"/>
      <c r="AT280" s="1758"/>
      <c r="AU280" s="1758"/>
      <c r="AV280" s="1758"/>
      <c r="AW280" s="1758"/>
      <c r="AX280" s="1758"/>
      <c r="AY280" s="1758"/>
      <c r="AZ280" s="1758"/>
      <c r="BA280" s="1758"/>
      <c r="BB280" s="1758"/>
      <c r="BC280" s="1758"/>
      <c r="BD280" s="1758"/>
      <c r="BE280" s="1758"/>
      <c r="BF280" s="1758"/>
      <c r="BG280" s="1758"/>
      <c r="BH280" s="1758"/>
      <c r="BI280" s="1758"/>
      <c r="BJ280" s="1758"/>
      <c r="BK280" s="1758"/>
      <c r="BL280" s="1758"/>
      <c r="BM280" s="1758"/>
      <c r="BN280" s="1758"/>
      <c r="BO280" s="1758"/>
      <c r="BP280" s="1758"/>
      <c r="BQ280" s="1758"/>
      <c r="BR280" s="1758"/>
      <c r="BS280" s="1758"/>
      <c r="BT280" s="1758"/>
      <c r="BU280" s="1758"/>
      <c r="BV280" s="1758"/>
      <c r="BW280" s="1758"/>
      <c r="BX280" s="1758"/>
      <c r="BY280" s="1758"/>
      <c r="BZ280" s="1758"/>
      <c r="CA280" s="1758"/>
      <c r="CB280" s="1758"/>
      <c r="CC280" s="1758"/>
      <c r="CD280" s="1758"/>
      <c r="CE280" s="1758"/>
      <c r="CF280" s="1758"/>
      <c r="CG280" s="1758"/>
      <c r="CH280" s="1758"/>
      <c r="CI280" s="1758"/>
      <c r="CJ280" s="1758"/>
      <c r="CK280" s="1758"/>
      <c r="CL280" s="1758"/>
      <c r="CM280" s="1758"/>
      <c r="CN280" s="1758"/>
      <c r="CO280" s="1758"/>
      <c r="CP280" s="1758"/>
      <c r="CQ280" s="1758"/>
      <c r="CR280" s="1758"/>
      <c r="CS280" s="1758"/>
      <c r="CT280" s="1758"/>
      <c r="CU280" s="1758"/>
      <c r="CV280" s="1758"/>
      <c r="CW280" s="1758"/>
      <c r="CX280" s="1758"/>
      <c r="CY280" s="1758"/>
      <c r="CZ280" s="1758"/>
      <c r="DA280" s="1758"/>
      <c r="DB280" s="1758"/>
      <c r="DC280" s="1758"/>
    </row>
    <row r="281" spans="1:107" s="1395" customFormat="1" ht="26.25" customHeight="1">
      <c r="A281" s="10827"/>
      <c r="B281" s="10731"/>
      <c r="C281" s="10728"/>
      <c r="D281" s="10728"/>
      <c r="E281" s="10728"/>
      <c r="F281" s="10744"/>
      <c r="G281" s="10728"/>
      <c r="H281" s="10728"/>
      <c r="I281" s="10728"/>
      <c r="J281" s="10728"/>
      <c r="K281" s="10735"/>
      <c r="L281" s="10738"/>
      <c r="M281" s="10738"/>
      <c r="N281" s="10738"/>
      <c r="O281" s="10735"/>
      <c r="P281" s="10735"/>
      <c r="Q281" s="10750"/>
      <c r="R281" s="5171"/>
      <c r="S281" s="5213"/>
      <c r="T281" s="5213"/>
      <c r="U281" s="5247"/>
      <c r="V281" s="5279"/>
      <c r="W281" s="5300"/>
      <c r="X281" s="7473"/>
      <c r="Y281" s="7473"/>
      <c r="Z281" s="7473"/>
      <c r="AA281" s="7474"/>
      <c r="AB281" s="5323"/>
      <c r="AC281" s="1396"/>
      <c r="AD281" s="5300"/>
      <c r="AE281" s="5346"/>
      <c r="AF281" s="5346"/>
      <c r="AG281" s="10777"/>
      <c r="AH281" s="1758"/>
      <c r="AI281" s="1758"/>
      <c r="AJ281" s="1758"/>
      <c r="AK281" s="1758"/>
      <c r="AL281" s="1758"/>
      <c r="AM281" s="1758"/>
      <c r="AN281" s="1758"/>
      <c r="AO281" s="1758"/>
      <c r="AP281" s="1758"/>
      <c r="AQ281" s="1758"/>
      <c r="AR281" s="1758"/>
      <c r="AS281" s="1758"/>
      <c r="AT281" s="1758"/>
      <c r="AU281" s="1758"/>
      <c r="AV281" s="1758"/>
      <c r="AW281" s="1758"/>
      <c r="AX281" s="1758"/>
      <c r="AY281" s="1758"/>
      <c r="AZ281" s="1758"/>
      <c r="BA281" s="1758"/>
      <c r="BB281" s="1758"/>
      <c r="BC281" s="1758"/>
      <c r="BD281" s="1758"/>
      <c r="BE281" s="1758"/>
      <c r="BF281" s="1758"/>
      <c r="BG281" s="1758"/>
      <c r="BH281" s="1758"/>
      <c r="BI281" s="1758"/>
      <c r="BJ281" s="1758"/>
      <c r="BK281" s="1758"/>
      <c r="BL281" s="1758"/>
      <c r="BM281" s="1758"/>
      <c r="BN281" s="1758"/>
      <c r="BO281" s="1758"/>
      <c r="BP281" s="1758"/>
      <c r="BQ281" s="1758"/>
      <c r="BR281" s="1758"/>
      <c r="BS281" s="1758"/>
      <c r="BT281" s="1758"/>
      <c r="BU281" s="1758"/>
      <c r="BV281" s="1758"/>
      <c r="BW281" s="1758"/>
      <c r="BX281" s="1758"/>
      <c r="BY281" s="1758"/>
      <c r="BZ281" s="1758"/>
      <c r="CA281" s="1758"/>
      <c r="CB281" s="1758"/>
      <c r="CC281" s="1758"/>
      <c r="CD281" s="1758"/>
      <c r="CE281" s="1758"/>
      <c r="CF281" s="1758"/>
      <c r="CG281" s="1758"/>
      <c r="CH281" s="1758"/>
      <c r="CI281" s="1758"/>
      <c r="CJ281" s="1758"/>
      <c r="CK281" s="1758"/>
      <c r="CL281" s="1758"/>
      <c r="CM281" s="1758"/>
      <c r="CN281" s="1758"/>
      <c r="CO281" s="1758"/>
      <c r="CP281" s="1758"/>
      <c r="CQ281" s="1758"/>
      <c r="CR281" s="1758"/>
      <c r="CS281" s="1758"/>
      <c r="CT281" s="1758"/>
      <c r="CU281" s="1758"/>
      <c r="CV281" s="1758"/>
      <c r="CW281" s="1758"/>
      <c r="CX281" s="1758"/>
      <c r="CY281" s="1758"/>
      <c r="CZ281" s="1758"/>
      <c r="DA281" s="1758"/>
      <c r="DB281" s="1758"/>
      <c r="DC281" s="1758"/>
    </row>
    <row r="282" spans="1:107" s="1395" customFormat="1" ht="26.25" customHeight="1">
      <c r="A282" s="10827"/>
      <c r="B282" s="10731"/>
      <c r="C282" s="10728"/>
      <c r="D282" s="10728"/>
      <c r="E282" s="10728"/>
      <c r="F282" s="10744"/>
      <c r="G282" s="10728"/>
      <c r="H282" s="10728"/>
      <c r="I282" s="10728"/>
      <c r="J282" s="10728"/>
      <c r="K282" s="10735"/>
      <c r="L282" s="10738"/>
      <c r="M282" s="10738"/>
      <c r="N282" s="10738"/>
      <c r="O282" s="10735"/>
      <c r="P282" s="10735"/>
      <c r="Q282" s="10750"/>
      <c r="R282" s="5174"/>
      <c r="S282" s="5214"/>
      <c r="T282" s="5214"/>
      <c r="U282" s="5250"/>
      <c r="V282" s="5281"/>
      <c r="W282" s="5302"/>
      <c r="X282" s="7477"/>
      <c r="Y282" s="7473"/>
      <c r="Z282" s="7473"/>
      <c r="AA282" s="7474"/>
      <c r="AB282" s="5323"/>
      <c r="AC282" s="1396"/>
      <c r="AD282" s="5300"/>
      <c r="AE282" s="5346"/>
      <c r="AF282" s="5346"/>
      <c r="AG282" s="10777"/>
      <c r="AH282" s="1758"/>
      <c r="AI282" s="1758"/>
      <c r="AJ282" s="1758"/>
      <c r="AK282" s="1758"/>
      <c r="AL282" s="1758"/>
      <c r="AM282" s="1758"/>
      <c r="AN282" s="1758"/>
      <c r="AO282" s="1758"/>
      <c r="AP282" s="1758"/>
      <c r="AQ282" s="1758"/>
      <c r="AR282" s="1758"/>
      <c r="AS282" s="1758"/>
      <c r="AT282" s="1758"/>
      <c r="AU282" s="1758"/>
      <c r="AV282" s="1758"/>
      <c r="AW282" s="1758"/>
      <c r="AX282" s="1758"/>
      <c r="AY282" s="1758"/>
      <c r="AZ282" s="1758"/>
      <c r="BA282" s="1758"/>
      <c r="BB282" s="1758"/>
      <c r="BC282" s="1758"/>
      <c r="BD282" s="1758"/>
      <c r="BE282" s="1758"/>
      <c r="BF282" s="1758"/>
      <c r="BG282" s="1758"/>
      <c r="BH282" s="1758"/>
      <c r="BI282" s="1758"/>
      <c r="BJ282" s="1758"/>
      <c r="BK282" s="1758"/>
      <c r="BL282" s="1758"/>
      <c r="BM282" s="1758"/>
      <c r="BN282" s="1758"/>
      <c r="BO282" s="1758"/>
      <c r="BP282" s="1758"/>
      <c r="BQ282" s="1758"/>
      <c r="BR282" s="1758"/>
      <c r="BS282" s="1758"/>
      <c r="BT282" s="1758"/>
      <c r="BU282" s="1758"/>
      <c r="BV282" s="1758"/>
      <c r="BW282" s="1758"/>
      <c r="BX282" s="1758"/>
      <c r="BY282" s="1758"/>
      <c r="BZ282" s="1758"/>
      <c r="CA282" s="1758"/>
      <c r="CB282" s="1758"/>
      <c r="CC282" s="1758"/>
      <c r="CD282" s="1758"/>
      <c r="CE282" s="1758"/>
      <c r="CF282" s="1758"/>
      <c r="CG282" s="1758"/>
      <c r="CH282" s="1758"/>
      <c r="CI282" s="1758"/>
      <c r="CJ282" s="1758"/>
      <c r="CK282" s="1758"/>
      <c r="CL282" s="1758"/>
      <c r="CM282" s="1758"/>
      <c r="CN282" s="1758"/>
      <c r="CO282" s="1758"/>
      <c r="CP282" s="1758"/>
      <c r="CQ282" s="1758"/>
      <c r="CR282" s="1758"/>
      <c r="CS282" s="1758"/>
      <c r="CT282" s="1758"/>
      <c r="CU282" s="1758"/>
      <c r="CV282" s="1758"/>
      <c r="CW282" s="1758"/>
      <c r="CX282" s="1758"/>
      <c r="CY282" s="1758"/>
      <c r="CZ282" s="1758"/>
      <c r="DA282" s="1758"/>
      <c r="DB282" s="1758"/>
      <c r="DC282" s="1758"/>
    </row>
    <row r="283" spans="1:107" s="1395" customFormat="1" ht="26.25" customHeight="1">
      <c r="A283" s="10827"/>
      <c r="B283" s="10731"/>
      <c r="C283" s="10728"/>
      <c r="D283" s="10728"/>
      <c r="E283" s="10728"/>
      <c r="F283" s="10744"/>
      <c r="G283" s="10728"/>
      <c r="H283" s="10728"/>
      <c r="I283" s="10728"/>
      <c r="J283" s="10728"/>
      <c r="K283" s="10735"/>
      <c r="L283" s="10738"/>
      <c r="M283" s="10738"/>
      <c r="N283" s="10738"/>
      <c r="O283" s="10735"/>
      <c r="P283" s="10735"/>
      <c r="Q283" s="10750"/>
      <c r="R283" s="5173"/>
      <c r="S283" s="5212"/>
      <c r="T283" s="5212"/>
      <c r="U283" s="5250"/>
      <c r="V283" s="5281"/>
      <c r="W283" s="5302"/>
      <c r="X283" s="7477"/>
      <c r="Y283" s="7473"/>
      <c r="Z283" s="7473"/>
      <c r="AA283" s="7474"/>
      <c r="AB283" s="5323"/>
      <c r="AC283" s="1396"/>
      <c r="AD283" s="5300"/>
      <c r="AE283" s="5346"/>
      <c r="AF283" s="5346"/>
      <c r="AG283" s="10777"/>
      <c r="AH283" s="1758"/>
      <c r="AI283" s="1758"/>
      <c r="AJ283" s="1758"/>
      <c r="AK283" s="1758"/>
      <c r="AL283" s="1758"/>
      <c r="AM283" s="1758"/>
      <c r="AN283" s="1758"/>
      <c r="AO283" s="1758"/>
      <c r="AP283" s="1758"/>
      <c r="AQ283" s="1758"/>
      <c r="AR283" s="1758"/>
      <c r="AS283" s="1758"/>
      <c r="AT283" s="1758"/>
      <c r="AU283" s="1758"/>
      <c r="AV283" s="1758"/>
      <c r="AW283" s="1758"/>
      <c r="AX283" s="1758"/>
      <c r="AY283" s="1758"/>
      <c r="AZ283" s="1758"/>
      <c r="BA283" s="1758"/>
      <c r="BB283" s="1758"/>
      <c r="BC283" s="1758"/>
      <c r="BD283" s="1758"/>
      <c r="BE283" s="1758"/>
      <c r="BF283" s="1758"/>
      <c r="BG283" s="1758"/>
      <c r="BH283" s="1758"/>
      <c r="BI283" s="1758"/>
      <c r="BJ283" s="1758"/>
      <c r="BK283" s="1758"/>
      <c r="BL283" s="1758"/>
      <c r="BM283" s="1758"/>
      <c r="BN283" s="1758"/>
      <c r="BO283" s="1758"/>
      <c r="BP283" s="1758"/>
      <c r="BQ283" s="1758"/>
      <c r="BR283" s="1758"/>
      <c r="BS283" s="1758"/>
      <c r="BT283" s="1758"/>
      <c r="BU283" s="1758"/>
      <c r="BV283" s="1758"/>
      <c r="BW283" s="1758"/>
      <c r="BX283" s="1758"/>
      <c r="BY283" s="1758"/>
      <c r="BZ283" s="1758"/>
      <c r="CA283" s="1758"/>
      <c r="CB283" s="1758"/>
      <c r="CC283" s="1758"/>
      <c r="CD283" s="1758"/>
      <c r="CE283" s="1758"/>
      <c r="CF283" s="1758"/>
      <c r="CG283" s="1758"/>
      <c r="CH283" s="1758"/>
      <c r="CI283" s="1758"/>
      <c r="CJ283" s="1758"/>
      <c r="CK283" s="1758"/>
      <c r="CL283" s="1758"/>
      <c r="CM283" s="1758"/>
      <c r="CN283" s="1758"/>
      <c r="CO283" s="1758"/>
      <c r="CP283" s="1758"/>
      <c r="CQ283" s="1758"/>
      <c r="CR283" s="1758"/>
      <c r="CS283" s="1758"/>
      <c r="CT283" s="1758"/>
      <c r="CU283" s="1758"/>
      <c r="CV283" s="1758"/>
      <c r="CW283" s="1758"/>
      <c r="CX283" s="1758"/>
      <c r="CY283" s="1758"/>
      <c r="CZ283" s="1758"/>
      <c r="DA283" s="1758"/>
      <c r="DB283" s="1758"/>
      <c r="DC283" s="1758"/>
    </row>
    <row r="284" spans="1:107" s="1395" customFormat="1" ht="26.25" customHeight="1">
      <c r="A284" s="10827"/>
      <c r="B284" s="10732"/>
      <c r="C284" s="10729"/>
      <c r="D284" s="10729"/>
      <c r="E284" s="10729"/>
      <c r="F284" s="10745"/>
      <c r="G284" s="10729"/>
      <c r="H284" s="10729"/>
      <c r="I284" s="10729"/>
      <c r="J284" s="10729"/>
      <c r="K284" s="10736"/>
      <c r="L284" s="10739"/>
      <c r="M284" s="10739"/>
      <c r="N284" s="10739"/>
      <c r="O284" s="10736"/>
      <c r="P284" s="10736"/>
      <c r="Q284" s="10751"/>
      <c r="R284" s="5175"/>
      <c r="S284" s="5215"/>
      <c r="T284" s="5215"/>
      <c r="U284" s="5251"/>
      <c r="V284" s="5282"/>
      <c r="W284" s="5303"/>
      <c r="X284" s="7479"/>
      <c r="Y284" s="7479"/>
      <c r="Z284" s="7479"/>
      <c r="AA284" s="7480"/>
      <c r="AB284" s="5326"/>
      <c r="AC284" s="1399"/>
      <c r="AD284" s="5303"/>
      <c r="AE284" s="5348"/>
      <c r="AF284" s="5348"/>
      <c r="AG284" s="10778"/>
      <c r="AH284" s="1758"/>
      <c r="AI284" s="1758"/>
      <c r="AJ284" s="1758"/>
      <c r="AK284" s="1758"/>
      <c r="AL284" s="1758"/>
      <c r="AM284" s="1758"/>
      <c r="AN284" s="1758"/>
      <c r="AO284" s="1758"/>
      <c r="AP284" s="1758"/>
      <c r="AQ284" s="1758"/>
      <c r="AR284" s="1758"/>
      <c r="AS284" s="1758"/>
      <c r="AT284" s="1758"/>
      <c r="AU284" s="1758"/>
      <c r="AV284" s="1758"/>
      <c r="AW284" s="1758"/>
      <c r="AX284" s="1758"/>
      <c r="AY284" s="1758"/>
      <c r="AZ284" s="1758"/>
      <c r="BA284" s="1758"/>
      <c r="BB284" s="1758"/>
      <c r="BC284" s="1758"/>
      <c r="BD284" s="1758"/>
      <c r="BE284" s="1758"/>
      <c r="BF284" s="1758"/>
      <c r="BG284" s="1758"/>
      <c r="BH284" s="1758"/>
      <c r="BI284" s="1758"/>
      <c r="BJ284" s="1758"/>
      <c r="BK284" s="1758"/>
      <c r="BL284" s="1758"/>
      <c r="BM284" s="1758"/>
      <c r="BN284" s="1758"/>
      <c r="BO284" s="1758"/>
      <c r="BP284" s="1758"/>
      <c r="BQ284" s="1758"/>
      <c r="BR284" s="1758"/>
      <c r="BS284" s="1758"/>
      <c r="BT284" s="1758"/>
      <c r="BU284" s="1758"/>
      <c r="BV284" s="1758"/>
      <c r="BW284" s="1758"/>
      <c r="BX284" s="1758"/>
      <c r="BY284" s="1758"/>
      <c r="BZ284" s="1758"/>
      <c r="CA284" s="1758"/>
      <c r="CB284" s="1758"/>
      <c r="CC284" s="1758"/>
      <c r="CD284" s="1758"/>
      <c r="CE284" s="1758"/>
      <c r="CF284" s="1758"/>
      <c r="CG284" s="1758"/>
      <c r="CH284" s="1758"/>
      <c r="CI284" s="1758"/>
      <c r="CJ284" s="1758"/>
      <c r="CK284" s="1758"/>
      <c r="CL284" s="1758"/>
      <c r="CM284" s="1758"/>
      <c r="CN284" s="1758"/>
      <c r="CO284" s="1758"/>
      <c r="CP284" s="1758"/>
      <c r="CQ284" s="1758"/>
      <c r="CR284" s="1758"/>
      <c r="CS284" s="1758"/>
      <c r="CT284" s="1758"/>
      <c r="CU284" s="1758"/>
      <c r="CV284" s="1758"/>
      <c r="CW284" s="1758"/>
      <c r="CX284" s="1758"/>
      <c r="CY284" s="1758"/>
      <c r="CZ284" s="1758"/>
      <c r="DA284" s="1758"/>
      <c r="DB284" s="1758"/>
      <c r="DC284" s="1758"/>
    </row>
    <row r="285" spans="1:107" s="1395" customFormat="1" ht="25.5" customHeight="1">
      <c r="A285" s="10827"/>
      <c r="B285" s="10731" t="s">
        <v>127</v>
      </c>
      <c r="C285" s="10728" t="s">
        <v>128</v>
      </c>
      <c r="D285" s="10728" t="s">
        <v>129</v>
      </c>
      <c r="E285" s="10728" t="s">
        <v>205</v>
      </c>
      <c r="F285" s="10744" t="s">
        <v>131</v>
      </c>
      <c r="G285" s="10728" t="s">
        <v>132</v>
      </c>
      <c r="H285" s="10728" t="s">
        <v>159</v>
      </c>
      <c r="I285" s="10728" t="s">
        <v>5000</v>
      </c>
      <c r="J285" s="10742" t="s">
        <v>5001</v>
      </c>
      <c r="K285" s="10735" t="s">
        <v>5002</v>
      </c>
      <c r="L285" s="10738">
        <v>0</v>
      </c>
      <c r="M285" s="10738">
        <v>1</v>
      </c>
      <c r="N285" s="10738">
        <v>1</v>
      </c>
      <c r="O285" s="10735" t="s">
        <v>5003</v>
      </c>
      <c r="P285" s="10735" t="s">
        <v>5004</v>
      </c>
      <c r="Q285" s="10750" t="s">
        <v>4998</v>
      </c>
      <c r="R285" s="5173"/>
      <c r="S285" s="5212"/>
      <c r="T285" s="5212"/>
      <c r="U285" s="5249"/>
      <c r="V285" s="5281"/>
      <c r="W285" s="5302"/>
      <c r="X285" s="7477"/>
      <c r="Y285" s="7477"/>
      <c r="Z285" s="7477"/>
      <c r="AA285" s="7478"/>
      <c r="AB285" s="5325"/>
      <c r="AC285" s="1398"/>
      <c r="AD285" s="5302"/>
      <c r="AE285" s="5349"/>
      <c r="AF285" s="5349"/>
      <c r="AG285" s="10777" t="s">
        <v>5005</v>
      </c>
      <c r="AH285" s="1758"/>
      <c r="AI285" s="1758"/>
      <c r="AJ285" s="1758"/>
      <c r="AK285" s="1758"/>
      <c r="AL285" s="1758"/>
      <c r="AM285" s="1758"/>
      <c r="AN285" s="1758"/>
      <c r="AO285" s="1758"/>
      <c r="AP285" s="1758"/>
      <c r="AQ285" s="1758"/>
      <c r="AR285" s="1758"/>
      <c r="AS285" s="1758"/>
      <c r="AT285" s="1758"/>
      <c r="AU285" s="1758"/>
      <c r="AV285" s="1758"/>
      <c r="AW285" s="1758"/>
      <c r="AX285" s="1758"/>
      <c r="AY285" s="1758"/>
      <c r="AZ285" s="1758"/>
      <c r="BA285" s="1758"/>
      <c r="BB285" s="1758"/>
      <c r="BC285" s="1758"/>
      <c r="BD285" s="1758"/>
      <c r="BE285" s="1758"/>
      <c r="BF285" s="1758"/>
      <c r="BG285" s="1758"/>
      <c r="BH285" s="1758"/>
      <c r="BI285" s="1758"/>
      <c r="BJ285" s="1758"/>
      <c r="BK285" s="1758"/>
      <c r="BL285" s="1758"/>
      <c r="BM285" s="1758"/>
      <c r="BN285" s="1758"/>
      <c r="BO285" s="1758"/>
      <c r="BP285" s="1758"/>
      <c r="BQ285" s="1758"/>
      <c r="BR285" s="1758"/>
      <c r="BS285" s="1758"/>
      <c r="BT285" s="1758"/>
      <c r="BU285" s="1758"/>
      <c r="BV285" s="1758"/>
      <c r="BW285" s="1758"/>
      <c r="BX285" s="1758"/>
      <c r="BY285" s="1758"/>
      <c r="BZ285" s="1758"/>
      <c r="CA285" s="1758"/>
      <c r="CB285" s="1758"/>
      <c r="CC285" s="1758"/>
      <c r="CD285" s="1758"/>
      <c r="CE285" s="1758"/>
      <c r="CF285" s="1758"/>
      <c r="CG285" s="1758"/>
      <c r="CH285" s="1758"/>
      <c r="CI285" s="1758"/>
      <c r="CJ285" s="1758"/>
      <c r="CK285" s="1758"/>
      <c r="CL285" s="1758"/>
      <c r="CM285" s="1758"/>
      <c r="CN285" s="1758"/>
      <c r="CO285" s="1758"/>
      <c r="CP285" s="1758"/>
      <c r="CQ285" s="1758"/>
      <c r="CR285" s="1758"/>
      <c r="CS285" s="1758"/>
      <c r="CT285" s="1758"/>
      <c r="CU285" s="1758"/>
      <c r="CV285" s="1758"/>
      <c r="CW285" s="1758"/>
      <c r="CX285" s="1758"/>
      <c r="CY285" s="1758"/>
      <c r="CZ285" s="1758"/>
      <c r="DA285" s="1758"/>
      <c r="DB285" s="1758"/>
      <c r="DC285" s="1758"/>
    </row>
    <row r="286" spans="1:107" s="1395" customFormat="1" ht="25.5" customHeight="1">
      <c r="A286" s="10827"/>
      <c r="B286" s="10731"/>
      <c r="C286" s="10728"/>
      <c r="D286" s="10728"/>
      <c r="E286" s="10728"/>
      <c r="F286" s="10744"/>
      <c r="G286" s="10728"/>
      <c r="H286" s="10728"/>
      <c r="I286" s="10728"/>
      <c r="J286" s="10728"/>
      <c r="K286" s="10735"/>
      <c r="L286" s="10738"/>
      <c r="M286" s="10738"/>
      <c r="N286" s="10738"/>
      <c r="O286" s="10735"/>
      <c r="P286" s="10735"/>
      <c r="Q286" s="10750"/>
      <c r="R286" s="5171"/>
      <c r="S286" s="5213"/>
      <c r="T286" s="5213"/>
      <c r="U286" s="5247"/>
      <c r="V286" s="5279"/>
      <c r="W286" s="5300"/>
      <c r="X286" s="7473"/>
      <c r="Y286" s="7473"/>
      <c r="Z286" s="7473"/>
      <c r="AA286" s="7474"/>
      <c r="AB286" s="5323"/>
      <c r="AC286" s="1396"/>
      <c r="AD286" s="5300"/>
      <c r="AE286" s="5346"/>
      <c r="AF286" s="5346"/>
      <c r="AG286" s="10777"/>
      <c r="AH286" s="1758"/>
      <c r="AI286" s="1758"/>
      <c r="AJ286" s="1758"/>
      <c r="AK286" s="1758"/>
      <c r="AL286" s="1758"/>
      <c r="AM286" s="1758"/>
      <c r="AN286" s="1758"/>
      <c r="AO286" s="1758"/>
      <c r="AP286" s="1758"/>
      <c r="AQ286" s="1758"/>
      <c r="AR286" s="1758"/>
      <c r="AS286" s="1758"/>
      <c r="AT286" s="1758"/>
      <c r="AU286" s="1758"/>
      <c r="AV286" s="1758"/>
      <c r="AW286" s="1758"/>
      <c r="AX286" s="1758"/>
      <c r="AY286" s="1758"/>
      <c r="AZ286" s="1758"/>
      <c r="BA286" s="1758"/>
      <c r="BB286" s="1758"/>
      <c r="BC286" s="1758"/>
      <c r="BD286" s="1758"/>
      <c r="BE286" s="1758"/>
      <c r="BF286" s="1758"/>
      <c r="BG286" s="1758"/>
      <c r="BH286" s="1758"/>
      <c r="BI286" s="1758"/>
      <c r="BJ286" s="1758"/>
      <c r="BK286" s="1758"/>
      <c r="BL286" s="1758"/>
      <c r="BM286" s="1758"/>
      <c r="BN286" s="1758"/>
      <c r="BO286" s="1758"/>
      <c r="BP286" s="1758"/>
      <c r="BQ286" s="1758"/>
      <c r="BR286" s="1758"/>
      <c r="BS286" s="1758"/>
      <c r="BT286" s="1758"/>
      <c r="BU286" s="1758"/>
      <c r="BV286" s="1758"/>
      <c r="BW286" s="1758"/>
      <c r="BX286" s="1758"/>
      <c r="BY286" s="1758"/>
      <c r="BZ286" s="1758"/>
      <c r="CA286" s="1758"/>
      <c r="CB286" s="1758"/>
      <c r="CC286" s="1758"/>
      <c r="CD286" s="1758"/>
      <c r="CE286" s="1758"/>
      <c r="CF286" s="1758"/>
      <c r="CG286" s="1758"/>
      <c r="CH286" s="1758"/>
      <c r="CI286" s="1758"/>
      <c r="CJ286" s="1758"/>
      <c r="CK286" s="1758"/>
      <c r="CL286" s="1758"/>
      <c r="CM286" s="1758"/>
      <c r="CN286" s="1758"/>
      <c r="CO286" s="1758"/>
      <c r="CP286" s="1758"/>
      <c r="CQ286" s="1758"/>
      <c r="CR286" s="1758"/>
      <c r="CS286" s="1758"/>
      <c r="CT286" s="1758"/>
      <c r="CU286" s="1758"/>
      <c r="CV286" s="1758"/>
      <c r="CW286" s="1758"/>
      <c r="CX286" s="1758"/>
      <c r="CY286" s="1758"/>
      <c r="CZ286" s="1758"/>
      <c r="DA286" s="1758"/>
      <c r="DB286" s="1758"/>
      <c r="DC286" s="1758"/>
    </row>
    <row r="287" spans="1:107" s="1395" customFormat="1" ht="25.5" customHeight="1">
      <c r="A287" s="10827"/>
      <c r="B287" s="10731"/>
      <c r="C287" s="10728"/>
      <c r="D287" s="10728"/>
      <c r="E287" s="10728"/>
      <c r="F287" s="10744"/>
      <c r="G287" s="10728"/>
      <c r="H287" s="10728"/>
      <c r="I287" s="10728"/>
      <c r="J287" s="10728"/>
      <c r="K287" s="10735"/>
      <c r="L287" s="10738"/>
      <c r="M287" s="10738"/>
      <c r="N287" s="10738"/>
      <c r="O287" s="10735"/>
      <c r="P287" s="10735"/>
      <c r="Q287" s="10750"/>
      <c r="R287" s="5174"/>
      <c r="S287" s="5214"/>
      <c r="T287" s="5214"/>
      <c r="U287" s="5250"/>
      <c r="V287" s="5281"/>
      <c r="W287" s="5302"/>
      <c r="X287" s="7477"/>
      <c r="Y287" s="7473"/>
      <c r="Z287" s="7473"/>
      <c r="AA287" s="7474"/>
      <c r="AB287" s="5323"/>
      <c r="AC287" s="1396"/>
      <c r="AD287" s="5300"/>
      <c r="AE287" s="5346"/>
      <c r="AF287" s="5346"/>
      <c r="AG287" s="10777"/>
      <c r="AH287" s="1758"/>
      <c r="AI287" s="1758"/>
      <c r="AJ287" s="1758"/>
      <c r="AK287" s="1758"/>
      <c r="AL287" s="1758"/>
      <c r="AM287" s="1758"/>
      <c r="AN287" s="1758"/>
      <c r="AO287" s="1758"/>
      <c r="AP287" s="1758"/>
      <c r="AQ287" s="1758"/>
      <c r="AR287" s="1758"/>
      <c r="AS287" s="1758"/>
      <c r="AT287" s="1758"/>
      <c r="AU287" s="1758"/>
      <c r="AV287" s="1758"/>
      <c r="AW287" s="1758"/>
      <c r="AX287" s="1758"/>
      <c r="AY287" s="1758"/>
      <c r="AZ287" s="1758"/>
      <c r="BA287" s="1758"/>
      <c r="BB287" s="1758"/>
      <c r="BC287" s="1758"/>
      <c r="BD287" s="1758"/>
      <c r="BE287" s="1758"/>
      <c r="BF287" s="1758"/>
      <c r="BG287" s="1758"/>
      <c r="BH287" s="1758"/>
      <c r="BI287" s="1758"/>
      <c r="BJ287" s="1758"/>
      <c r="BK287" s="1758"/>
      <c r="BL287" s="1758"/>
      <c r="BM287" s="1758"/>
      <c r="BN287" s="1758"/>
      <c r="BO287" s="1758"/>
      <c r="BP287" s="1758"/>
      <c r="BQ287" s="1758"/>
      <c r="BR287" s="1758"/>
      <c r="BS287" s="1758"/>
      <c r="BT287" s="1758"/>
      <c r="BU287" s="1758"/>
      <c r="BV287" s="1758"/>
      <c r="BW287" s="1758"/>
      <c r="BX287" s="1758"/>
      <c r="BY287" s="1758"/>
      <c r="BZ287" s="1758"/>
      <c r="CA287" s="1758"/>
      <c r="CB287" s="1758"/>
      <c r="CC287" s="1758"/>
      <c r="CD287" s="1758"/>
      <c r="CE287" s="1758"/>
      <c r="CF287" s="1758"/>
      <c r="CG287" s="1758"/>
      <c r="CH287" s="1758"/>
      <c r="CI287" s="1758"/>
      <c r="CJ287" s="1758"/>
      <c r="CK287" s="1758"/>
      <c r="CL287" s="1758"/>
      <c r="CM287" s="1758"/>
      <c r="CN287" s="1758"/>
      <c r="CO287" s="1758"/>
      <c r="CP287" s="1758"/>
      <c r="CQ287" s="1758"/>
      <c r="CR287" s="1758"/>
      <c r="CS287" s="1758"/>
      <c r="CT287" s="1758"/>
      <c r="CU287" s="1758"/>
      <c r="CV287" s="1758"/>
      <c r="CW287" s="1758"/>
      <c r="CX287" s="1758"/>
      <c r="CY287" s="1758"/>
      <c r="CZ287" s="1758"/>
      <c r="DA287" s="1758"/>
      <c r="DB287" s="1758"/>
      <c r="DC287" s="1758"/>
    </row>
    <row r="288" spans="1:107" s="1395" customFormat="1" ht="25.5" customHeight="1">
      <c r="A288" s="10827"/>
      <c r="B288" s="10731"/>
      <c r="C288" s="10728"/>
      <c r="D288" s="10728"/>
      <c r="E288" s="10728"/>
      <c r="F288" s="10744"/>
      <c r="G288" s="10728"/>
      <c r="H288" s="10728"/>
      <c r="I288" s="10728"/>
      <c r="J288" s="10728"/>
      <c r="K288" s="10735"/>
      <c r="L288" s="10738"/>
      <c r="M288" s="10738"/>
      <c r="N288" s="10738"/>
      <c r="O288" s="10735"/>
      <c r="P288" s="10735"/>
      <c r="Q288" s="10750"/>
      <c r="R288" s="5173"/>
      <c r="S288" s="5212"/>
      <c r="T288" s="5212"/>
      <c r="U288" s="5250"/>
      <c r="V288" s="5281"/>
      <c r="W288" s="5302"/>
      <c r="X288" s="7477"/>
      <c r="Y288" s="7473"/>
      <c r="Z288" s="7473"/>
      <c r="AA288" s="7474"/>
      <c r="AB288" s="5323"/>
      <c r="AC288" s="1396"/>
      <c r="AD288" s="5300"/>
      <c r="AE288" s="5346"/>
      <c r="AF288" s="5346"/>
      <c r="AG288" s="10777"/>
      <c r="AH288" s="1758"/>
      <c r="AI288" s="1758"/>
      <c r="AJ288" s="1758"/>
      <c r="AK288" s="1758"/>
      <c r="AL288" s="1758"/>
      <c r="AM288" s="1758"/>
      <c r="AN288" s="1758"/>
      <c r="AO288" s="1758"/>
      <c r="AP288" s="1758"/>
      <c r="AQ288" s="1758"/>
      <c r="AR288" s="1758"/>
      <c r="AS288" s="1758"/>
      <c r="AT288" s="1758"/>
      <c r="AU288" s="1758"/>
      <c r="AV288" s="1758"/>
      <c r="AW288" s="1758"/>
      <c r="AX288" s="1758"/>
      <c r="AY288" s="1758"/>
      <c r="AZ288" s="1758"/>
      <c r="BA288" s="1758"/>
      <c r="BB288" s="1758"/>
      <c r="BC288" s="1758"/>
      <c r="BD288" s="1758"/>
      <c r="BE288" s="1758"/>
      <c r="BF288" s="1758"/>
      <c r="BG288" s="1758"/>
      <c r="BH288" s="1758"/>
      <c r="BI288" s="1758"/>
      <c r="BJ288" s="1758"/>
      <c r="BK288" s="1758"/>
      <c r="BL288" s="1758"/>
      <c r="BM288" s="1758"/>
      <c r="BN288" s="1758"/>
      <c r="BO288" s="1758"/>
      <c r="BP288" s="1758"/>
      <c r="BQ288" s="1758"/>
      <c r="BR288" s="1758"/>
      <c r="BS288" s="1758"/>
      <c r="BT288" s="1758"/>
      <c r="BU288" s="1758"/>
      <c r="BV288" s="1758"/>
      <c r="BW288" s="1758"/>
      <c r="BX288" s="1758"/>
      <c r="BY288" s="1758"/>
      <c r="BZ288" s="1758"/>
      <c r="CA288" s="1758"/>
      <c r="CB288" s="1758"/>
      <c r="CC288" s="1758"/>
      <c r="CD288" s="1758"/>
      <c r="CE288" s="1758"/>
      <c r="CF288" s="1758"/>
      <c r="CG288" s="1758"/>
      <c r="CH288" s="1758"/>
      <c r="CI288" s="1758"/>
      <c r="CJ288" s="1758"/>
      <c r="CK288" s="1758"/>
      <c r="CL288" s="1758"/>
      <c r="CM288" s="1758"/>
      <c r="CN288" s="1758"/>
      <c r="CO288" s="1758"/>
      <c r="CP288" s="1758"/>
      <c r="CQ288" s="1758"/>
      <c r="CR288" s="1758"/>
      <c r="CS288" s="1758"/>
      <c r="CT288" s="1758"/>
      <c r="CU288" s="1758"/>
      <c r="CV288" s="1758"/>
      <c r="CW288" s="1758"/>
      <c r="CX288" s="1758"/>
      <c r="CY288" s="1758"/>
      <c r="CZ288" s="1758"/>
      <c r="DA288" s="1758"/>
      <c r="DB288" s="1758"/>
      <c r="DC288" s="1758"/>
    </row>
    <row r="289" spans="1:107" s="1395" customFormat="1" ht="25.5" customHeight="1">
      <c r="A289" s="10827"/>
      <c r="B289" s="10732"/>
      <c r="C289" s="10729"/>
      <c r="D289" s="10729"/>
      <c r="E289" s="10729"/>
      <c r="F289" s="10745"/>
      <c r="G289" s="10729"/>
      <c r="H289" s="10729"/>
      <c r="I289" s="10729"/>
      <c r="J289" s="10729"/>
      <c r="K289" s="10736"/>
      <c r="L289" s="10739"/>
      <c r="M289" s="10739"/>
      <c r="N289" s="10739"/>
      <c r="O289" s="10736"/>
      <c r="P289" s="10736"/>
      <c r="Q289" s="10751"/>
      <c r="R289" s="5175"/>
      <c r="S289" s="5215"/>
      <c r="T289" s="5215"/>
      <c r="U289" s="5251"/>
      <c r="V289" s="5282"/>
      <c r="W289" s="5303"/>
      <c r="X289" s="7479"/>
      <c r="Y289" s="7479"/>
      <c r="Z289" s="7479"/>
      <c r="AA289" s="7480"/>
      <c r="AB289" s="5326"/>
      <c r="AC289" s="1399"/>
      <c r="AD289" s="5303"/>
      <c r="AE289" s="5348"/>
      <c r="AF289" s="5348"/>
      <c r="AG289" s="10778"/>
      <c r="AH289" s="1758"/>
      <c r="AI289" s="1758"/>
      <c r="AJ289" s="1758"/>
      <c r="AK289" s="1758"/>
      <c r="AL289" s="1758"/>
      <c r="AM289" s="1758"/>
      <c r="AN289" s="1758"/>
      <c r="AO289" s="1758"/>
      <c r="AP289" s="1758"/>
      <c r="AQ289" s="1758"/>
      <c r="AR289" s="1758"/>
      <c r="AS289" s="1758"/>
      <c r="AT289" s="1758"/>
      <c r="AU289" s="1758"/>
      <c r="AV289" s="1758"/>
      <c r="AW289" s="1758"/>
      <c r="AX289" s="1758"/>
      <c r="AY289" s="1758"/>
      <c r="AZ289" s="1758"/>
      <c r="BA289" s="1758"/>
      <c r="BB289" s="1758"/>
      <c r="BC289" s="1758"/>
      <c r="BD289" s="1758"/>
      <c r="BE289" s="1758"/>
      <c r="BF289" s="1758"/>
      <c r="BG289" s="1758"/>
      <c r="BH289" s="1758"/>
      <c r="BI289" s="1758"/>
      <c r="BJ289" s="1758"/>
      <c r="BK289" s="1758"/>
      <c r="BL289" s="1758"/>
      <c r="BM289" s="1758"/>
      <c r="BN289" s="1758"/>
      <c r="BO289" s="1758"/>
      <c r="BP289" s="1758"/>
      <c r="BQ289" s="1758"/>
      <c r="BR289" s="1758"/>
      <c r="BS289" s="1758"/>
      <c r="BT289" s="1758"/>
      <c r="BU289" s="1758"/>
      <c r="BV289" s="1758"/>
      <c r="BW289" s="1758"/>
      <c r="BX289" s="1758"/>
      <c r="BY289" s="1758"/>
      <c r="BZ289" s="1758"/>
      <c r="CA289" s="1758"/>
      <c r="CB289" s="1758"/>
      <c r="CC289" s="1758"/>
      <c r="CD289" s="1758"/>
      <c r="CE289" s="1758"/>
      <c r="CF289" s="1758"/>
      <c r="CG289" s="1758"/>
      <c r="CH289" s="1758"/>
      <c r="CI289" s="1758"/>
      <c r="CJ289" s="1758"/>
      <c r="CK289" s="1758"/>
      <c r="CL289" s="1758"/>
      <c r="CM289" s="1758"/>
      <c r="CN289" s="1758"/>
      <c r="CO289" s="1758"/>
      <c r="CP289" s="1758"/>
      <c r="CQ289" s="1758"/>
      <c r="CR289" s="1758"/>
      <c r="CS289" s="1758"/>
      <c r="CT289" s="1758"/>
      <c r="CU289" s="1758"/>
      <c r="CV289" s="1758"/>
      <c r="CW289" s="1758"/>
      <c r="CX289" s="1758"/>
      <c r="CY289" s="1758"/>
      <c r="CZ289" s="1758"/>
      <c r="DA289" s="1758"/>
      <c r="DB289" s="1758"/>
      <c r="DC289" s="1758"/>
    </row>
    <row r="290" spans="1:107" s="1395" customFormat="1" ht="45" customHeight="1">
      <c r="A290" s="10827"/>
      <c r="B290" s="10748" t="s">
        <v>127</v>
      </c>
      <c r="C290" s="10742" t="s">
        <v>128</v>
      </c>
      <c r="D290" s="10742" t="s">
        <v>1292</v>
      </c>
      <c r="E290" s="10742" t="s">
        <v>5006</v>
      </c>
      <c r="F290" s="10743" t="s">
        <v>1294</v>
      </c>
      <c r="G290" s="10742" t="s">
        <v>171</v>
      </c>
      <c r="H290" s="10742" t="s">
        <v>159</v>
      </c>
      <c r="I290" s="10742" t="s">
        <v>5007</v>
      </c>
      <c r="J290" s="10742" t="s">
        <v>4631</v>
      </c>
      <c r="K290" s="10734" t="s">
        <v>5008</v>
      </c>
      <c r="L290" s="10737">
        <v>0</v>
      </c>
      <c r="M290" s="10737">
        <v>1</v>
      </c>
      <c r="N290" s="10737">
        <v>1</v>
      </c>
      <c r="O290" s="10734" t="s">
        <v>5009</v>
      </c>
      <c r="P290" s="10734" t="s">
        <v>5010</v>
      </c>
      <c r="Q290" s="10831" t="s">
        <v>4998</v>
      </c>
      <c r="R290" s="5199" t="s">
        <v>5011</v>
      </c>
      <c r="S290" s="5227" t="s">
        <v>5012</v>
      </c>
      <c r="T290" s="5227"/>
      <c r="U290" s="5263" t="s">
        <v>16</v>
      </c>
      <c r="V290" s="5294"/>
      <c r="W290" s="5314" t="s">
        <v>180</v>
      </c>
      <c r="X290" s="7487">
        <v>600</v>
      </c>
      <c r="Y290" s="7487">
        <f>+V290*X290</f>
        <v>0</v>
      </c>
      <c r="Z290" s="7487">
        <f t="shared" ref="Z290:Z292" si="0">+Y290*1.12</f>
        <v>0</v>
      </c>
      <c r="AA290" s="7503">
        <f>+Z290</f>
        <v>0</v>
      </c>
      <c r="AB290" s="5337"/>
      <c r="AC290" s="1416"/>
      <c r="AD290" s="5314"/>
      <c r="AE290" s="5364" t="s">
        <v>153</v>
      </c>
      <c r="AF290" s="5350"/>
      <c r="AG290" s="10779" t="s">
        <v>4843</v>
      </c>
      <c r="AH290" s="1758"/>
      <c r="AI290" s="1758"/>
      <c r="AJ290" s="1758"/>
      <c r="AK290" s="1758"/>
      <c r="AL290" s="1758"/>
      <c r="AM290" s="1758"/>
      <c r="AN290" s="1758"/>
      <c r="AO290" s="1758"/>
      <c r="AP290" s="1758"/>
      <c r="AQ290" s="1758"/>
      <c r="AR290" s="1758"/>
      <c r="AS290" s="1758"/>
      <c r="AT290" s="1758"/>
      <c r="AU290" s="1758"/>
      <c r="AV290" s="1758"/>
      <c r="AW290" s="1758"/>
      <c r="AX290" s="1758"/>
      <c r="AY290" s="1758"/>
      <c r="AZ290" s="1758"/>
      <c r="BA290" s="1758"/>
      <c r="BB290" s="1758"/>
      <c r="BC290" s="1758"/>
      <c r="BD290" s="1758"/>
      <c r="BE290" s="1758"/>
      <c r="BF290" s="1758"/>
      <c r="BG290" s="1758"/>
      <c r="BH290" s="1758"/>
      <c r="BI290" s="1758"/>
      <c r="BJ290" s="1758"/>
      <c r="BK290" s="1758"/>
      <c r="BL290" s="1758"/>
      <c r="BM290" s="1758"/>
      <c r="BN290" s="1758"/>
      <c r="BO290" s="1758"/>
      <c r="BP290" s="1758"/>
      <c r="BQ290" s="1758"/>
      <c r="BR290" s="1758"/>
      <c r="BS290" s="1758"/>
      <c r="BT290" s="1758"/>
      <c r="BU290" s="1758"/>
      <c r="BV290" s="1758"/>
      <c r="BW290" s="1758"/>
      <c r="BX290" s="1758"/>
      <c r="BY290" s="1758"/>
      <c r="BZ290" s="1758"/>
      <c r="CA290" s="1758"/>
      <c r="CB290" s="1758"/>
      <c r="CC290" s="1758"/>
      <c r="CD290" s="1758"/>
      <c r="CE290" s="1758"/>
      <c r="CF290" s="1758"/>
      <c r="CG290" s="1758"/>
      <c r="CH290" s="1758"/>
      <c r="CI290" s="1758"/>
      <c r="CJ290" s="1758"/>
      <c r="CK290" s="1758"/>
      <c r="CL290" s="1758"/>
      <c r="CM290" s="1758"/>
      <c r="CN290" s="1758"/>
      <c r="CO290" s="1758"/>
      <c r="CP290" s="1758"/>
      <c r="CQ290" s="1758"/>
      <c r="CR290" s="1758"/>
      <c r="CS290" s="1758"/>
      <c r="CT290" s="1758"/>
      <c r="CU290" s="1758"/>
      <c r="CV290" s="1758"/>
      <c r="CW290" s="1758"/>
      <c r="CX290" s="1758"/>
      <c r="CY290" s="1758"/>
      <c r="CZ290" s="1758"/>
      <c r="DA290" s="1758"/>
      <c r="DB290" s="1758"/>
      <c r="DC290" s="1758"/>
    </row>
    <row r="291" spans="1:107" s="1395" customFormat="1" ht="33.950000000000003" customHeight="1">
      <c r="A291" s="10827"/>
      <c r="B291" s="10731"/>
      <c r="C291" s="10728"/>
      <c r="D291" s="10728"/>
      <c r="E291" s="10728"/>
      <c r="F291" s="10744"/>
      <c r="G291" s="10728"/>
      <c r="H291" s="10728"/>
      <c r="I291" s="10728"/>
      <c r="J291" s="10728"/>
      <c r="K291" s="10735"/>
      <c r="L291" s="10738"/>
      <c r="M291" s="10738"/>
      <c r="N291" s="10738"/>
      <c r="O291" s="10735"/>
      <c r="P291" s="10735"/>
      <c r="Q291" s="10750"/>
      <c r="R291" s="5200" t="s">
        <v>5013</v>
      </c>
      <c r="S291" s="5228" t="s">
        <v>5014</v>
      </c>
      <c r="T291" s="5210"/>
      <c r="U291" s="5264" t="s">
        <v>5015</v>
      </c>
      <c r="V291" s="5279"/>
      <c r="W291" s="5300" t="s">
        <v>180</v>
      </c>
      <c r="X291" s="7473">
        <f>1200.11-175</f>
        <v>1025.1099999999999</v>
      </c>
      <c r="Y291" s="7473">
        <f t="shared" ref="Y291" si="1">+V291*X291</f>
        <v>0</v>
      </c>
      <c r="Z291" s="7473">
        <f t="shared" si="0"/>
        <v>0</v>
      </c>
      <c r="AA291" s="7474">
        <f>+Z291</f>
        <v>0</v>
      </c>
      <c r="AB291" s="5323"/>
      <c r="AC291" s="1396"/>
      <c r="AD291" s="5300"/>
      <c r="AE291" s="5365" t="s">
        <v>153</v>
      </c>
      <c r="AF291" s="5346"/>
      <c r="AG291" s="10777"/>
      <c r="AH291" s="1758"/>
      <c r="AI291" s="1758"/>
      <c r="AJ291" s="1758"/>
      <c r="AK291" s="1758"/>
      <c r="AL291" s="1758"/>
      <c r="AM291" s="1758"/>
      <c r="AN291" s="1758"/>
      <c r="AO291" s="1758"/>
      <c r="AP291" s="1758"/>
      <c r="AQ291" s="1758"/>
      <c r="AR291" s="1758"/>
      <c r="AS291" s="1758"/>
      <c r="AT291" s="1758"/>
      <c r="AU291" s="1758"/>
      <c r="AV291" s="1758"/>
      <c r="AW291" s="1758"/>
      <c r="AX291" s="1758"/>
      <c r="AY291" s="1758"/>
      <c r="AZ291" s="1758"/>
      <c r="BA291" s="1758"/>
      <c r="BB291" s="1758"/>
      <c r="BC291" s="1758"/>
      <c r="BD291" s="1758"/>
      <c r="BE291" s="1758"/>
      <c r="BF291" s="1758"/>
      <c r="BG291" s="1758"/>
      <c r="BH291" s="1758"/>
      <c r="BI291" s="1758"/>
      <c r="BJ291" s="1758"/>
      <c r="BK291" s="1758"/>
      <c r="BL291" s="1758"/>
      <c r="BM291" s="1758"/>
      <c r="BN291" s="1758"/>
      <c r="BO291" s="1758"/>
      <c r="BP291" s="1758"/>
      <c r="BQ291" s="1758"/>
      <c r="BR291" s="1758"/>
      <c r="BS291" s="1758"/>
      <c r="BT291" s="1758"/>
      <c r="BU291" s="1758"/>
      <c r="BV291" s="1758"/>
      <c r="BW291" s="1758"/>
      <c r="BX291" s="1758"/>
      <c r="BY291" s="1758"/>
      <c r="BZ291" s="1758"/>
      <c r="CA291" s="1758"/>
      <c r="CB291" s="1758"/>
      <c r="CC291" s="1758"/>
      <c r="CD291" s="1758"/>
      <c r="CE291" s="1758"/>
      <c r="CF291" s="1758"/>
      <c r="CG291" s="1758"/>
      <c r="CH291" s="1758"/>
      <c r="CI291" s="1758"/>
      <c r="CJ291" s="1758"/>
      <c r="CK291" s="1758"/>
      <c r="CL291" s="1758"/>
      <c r="CM291" s="1758"/>
      <c r="CN291" s="1758"/>
      <c r="CO291" s="1758"/>
      <c r="CP291" s="1758"/>
      <c r="CQ291" s="1758"/>
      <c r="CR291" s="1758"/>
      <c r="CS291" s="1758"/>
      <c r="CT291" s="1758"/>
      <c r="CU291" s="1758"/>
      <c r="CV291" s="1758"/>
      <c r="CW291" s="1758"/>
      <c r="CX291" s="1758"/>
      <c r="CY291" s="1758"/>
      <c r="CZ291" s="1758"/>
      <c r="DA291" s="1758"/>
      <c r="DB291" s="1758"/>
      <c r="DC291" s="1758"/>
    </row>
    <row r="292" spans="1:107" s="1395" customFormat="1" ht="33.950000000000003" customHeight="1">
      <c r="A292" s="10827"/>
      <c r="B292" s="10731"/>
      <c r="C292" s="10728"/>
      <c r="D292" s="10728"/>
      <c r="E292" s="10728"/>
      <c r="F292" s="10744"/>
      <c r="G292" s="10728"/>
      <c r="H292" s="10728"/>
      <c r="I292" s="10728"/>
      <c r="J292" s="10728"/>
      <c r="K292" s="10735"/>
      <c r="L292" s="10738"/>
      <c r="M292" s="10738"/>
      <c r="N292" s="10738"/>
      <c r="O292" s="10735"/>
      <c r="P292" s="10735"/>
      <c r="Q292" s="10750"/>
      <c r="R292" s="5200" t="s">
        <v>5016</v>
      </c>
      <c r="S292" s="5228" t="s">
        <v>5017</v>
      </c>
      <c r="T292" s="5228"/>
      <c r="U292" s="5264" t="s">
        <v>5018</v>
      </c>
      <c r="V292" s="5279"/>
      <c r="W292" s="5300" t="s">
        <v>180</v>
      </c>
      <c r="X292" s="7473">
        <v>1000</v>
      </c>
      <c r="Y292" s="7473">
        <f>+V292*X292</f>
        <v>0</v>
      </c>
      <c r="Z292" s="7473">
        <f t="shared" si="0"/>
        <v>0</v>
      </c>
      <c r="AA292" s="7474">
        <f>+Z292</f>
        <v>0</v>
      </c>
      <c r="AB292" s="5323"/>
      <c r="AC292" s="1396"/>
      <c r="AD292" s="5300"/>
      <c r="AE292" s="5365" t="s">
        <v>153</v>
      </c>
      <c r="AF292" s="5346"/>
      <c r="AG292" s="10777"/>
      <c r="AH292" s="1758"/>
      <c r="AI292" s="1758"/>
      <c r="AJ292" s="1758"/>
      <c r="AK292" s="1758"/>
      <c r="AL292" s="1758"/>
      <c r="AM292" s="1758"/>
      <c r="AN292" s="1758"/>
      <c r="AO292" s="1758"/>
      <c r="AP292" s="1758"/>
      <c r="AQ292" s="1758"/>
      <c r="AR292" s="1758"/>
      <c r="AS292" s="1758"/>
      <c r="AT292" s="1758"/>
      <c r="AU292" s="1758"/>
      <c r="AV292" s="1758"/>
      <c r="AW292" s="1758"/>
      <c r="AX292" s="1758"/>
      <c r="AY292" s="1758"/>
      <c r="AZ292" s="1758"/>
      <c r="BA292" s="1758"/>
      <c r="BB292" s="1758"/>
      <c r="BC292" s="1758"/>
      <c r="BD292" s="1758"/>
      <c r="BE292" s="1758"/>
      <c r="BF292" s="1758"/>
      <c r="BG292" s="1758"/>
      <c r="BH292" s="1758"/>
      <c r="BI292" s="1758"/>
      <c r="BJ292" s="1758"/>
      <c r="BK292" s="1758"/>
      <c r="BL292" s="1758"/>
      <c r="BM292" s="1758"/>
      <c r="BN292" s="1758"/>
      <c r="BO292" s="1758"/>
      <c r="BP292" s="1758"/>
      <c r="BQ292" s="1758"/>
      <c r="BR292" s="1758"/>
      <c r="BS292" s="1758"/>
      <c r="BT292" s="1758"/>
      <c r="BU292" s="1758"/>
      <c r="BV292" s="1758"/>
      <c r="BW292" s="1758"/>
      <c r="BX292" s="1758"/>
      <c r="BY292" s="1758"/>
      <c r="BZ292" s="1758"/>
      <c r="CA292" s="1758"/>
      <c r="CB292" s="1758"/>
      <c r="CC292" s="1758"/>
      <c r="CD292" s="1758"/>
      <c r="CE292" s="1758"/>
      <c r="CF292" s="1758"/>
      <c r="CG292" s="1758"/>
      <c r="CH292" s="1758"/>
      <c r="CI292" s="1758"/>
      <c r="CJ292" s="1758"/>
      <c r="CK292" s="1758"/>
      <c r="CL292" s="1758"/>
      <c r="CM292" s="1758"/>
      <c r="CN292" s="1758"/>
      <c r="CO292" s="1758"/>
      <c r="CP292" s="1758"/>
      <c r="CQ292" s="1758"/>
      <c r="CR292" s="1758"/>
      <c r="CS292" s="1758"/>
      <c r="CT292" s="1758"/>
      <c r="CU292" s="1758"/>
      <c r="CV292" s="1758"/>
      <c r="CW292" s="1758"/>
      <c r="CX292" s="1758"/>
      <c r="CY292" s="1758"/>
      <c r="CZ292" s="1758"/>
      <c r="DA292" s="1758"/>
      <c r="DB292" s="1758"/>
      <c r="DC292" s="1758"/>
    </row>
    <row r="293" spans="1:107" s="1395" customFormat="1" ht="45" customHeight="1">
      <c r="A293" s="10827"/>
      <c r="B293" s="10731"/>
      <c r="C293" s="10728"/>
      <c r="D293" s="10728"/>
      <c r="E293" s="10728"/>
      <c r="F293" s="10744"/>
      <c r="G293" s="10728"/>
      <c r="H293" s="10728"/>
      <c r="I293" s="10728"/>
      <c r="J293" s="10728"/>
      <c r="K293" s="10735"/>
      <c r="L293" s="10738"/>
      <c r="M293" s="10738"/>
      <c r="N293" s="10738"/>
      <c r="O293" s="10735"/>
      <c r="P293" s="10735"/>
      <c r="Q293" s="10750"/>
      <c r="R293" s="5200" t="s">
        <v>5019</v>
      </c>
      <c r="S293" s="5228" t="s">
        <v>5020</v>
      </c>
      <c r="T293" s="5228"/>
      <c r="U293" s="5264" t="s">
        <v>16</v>
      </c>
      <c r="V293" s="5279"/>
      <c r="W293" s="5300" t="s">
        <v>180</v>
      </c>
      <c r="X293" s="7473">
        <v>400</v>
      </c>
      <c r="Y293" s="7473">
        <f>+V293*X293</f>
        <v>0</v>
      </c>
      <c r="Z293" s="7473">
        <f>+Y293*1.12</f>
        <v>0</v>
      </c>
      <c r="AA293" s="7474">
        <f>+Z293</f>
        <v>0</v>
      </c>
      <c r="AB293" s="5323"/>
      <c r="AC293" s="1396"/>
      <c r="AD293" s="5300"/>
      <c r="AE293" s="5365" t="s">
        <v>153</v>
      </c>
      <c r="AF293" s="5346"/>
      <c r="AG293" s="10777"/>
      <c r="AH293" s="1758"/>
      <c r="AI293" s="1758"/>
      <c r="AJ293" s="1758"/>
      <c r="AK293" s="1758"/>
      <c r="AL293" s="1758"/>
      <c r="AM293" s="1758"/>
      <c r="AN293" s="1758"/>
      <c r="AO293" s="1758"/>
      <c r="AP293" s="1758"/>
      <c r="AQ293" s="1758"/>
      <c r="AR293" s="1758"/>
      <c r="AS293" s="1758"/>
      <c r="AT293" s="1758"/>
      <c r="AU293" s="1758"/>
      <c r="AV293" s="1758"/>
      <c r="AW293" s="1758"/>
      <c r="AX293" s="1758"/>
      <c r="AY293" s="1758"/>
      <c r="AZ293" s="1758"/>
      <c r="BA293" s="1758"/>
      <c r="BB293" s="1758"/>
      <c r="BC293" s="1758"/>
      <c r="BD293" s="1758"/>
      <c r="BE293" s="1758"/>
      <c r="BF293" s="1758"/>
      <c r="BG293" s="1758"/>
      <c r="BH293" s="1758"/>
      <c r="BI293" s="1758"/>
      <c r="BJ293" s="1758"/>
      <c r="BK293" s="1758"/>
      <c r="BL293" s="1758"/>
      <c r="BM293" s="1758"/>
      <c r="BN293" s="1758"/>
      <c r="BO293" s="1758"/>
      <c r="BP293" s="1758"/>
      <c r="BQ293" s="1758"/>
      <c r="BR293" s="1758"/>
      <c r="BS293" s="1758"/>
      <c r="BT293" s="1758"/>
      <c r="BU293" s="1758"/>
      <c r="BV293" s="1758"/>
      <c r="BW293" s="1758"/>
      <c r="BX293" s="1758"/>
      <c r="BY293" s="1758"/>
      <c r="BZ293" s="1758"/>
      <c r="CA293" s="1758"/>
      <c r="CB293" s="1758"/>
      <c r="CC293" s="1758"/>
      <c r="CD293" s="1758"/>
      <c r="CE293" s="1758"/>
      <c r="CF293" s="1758"/>
      <c r="CG293" s="1758"/>
      <c r="CH293" s="1758"/>
      <c r="CI293" s="1758"/>
      <c r="CJ293" s="1758"/>
      <c r="CK293" s="1758"/>
      <c r="CL293" s="1758"/>
      <c r="CM293" s="1758"/>
      <c r="CN293" s="1758"/>
      <c r="CO293" s="1758"/>
      <c r="CP293" s="1758"/>
      <c r="CQ293" s="1758"/>
      <c r="CR293" s="1758"/>
      <c r="CS293" s="1758"/>
      <c r="CT293" s="1758"/>
      <c r="CU293" s="1758"/>
      <c r="CV293" s="1758"/>
      <c r="CW293" s="1758"/>
      <c r="CX293" s="1758"/>
      <c r="CY293" s="1758"/>
      <c r="CZ293" s="1758"/>
      <c r="DA293" s="1758"/>
      <c r="DB293" s="1758"/>
      <c r="DC293" s="1758"/>
    </row>
    <row r="294" spans="1:107" s="1395" customFormat="1" ht="33.950000000000003" customHeight="1">
      <c r="A294" s="10827"/>
      <c r="B294" s="10732"/>
      <c r="C294" s="10729"/>
      <c r="D294" s="10729"/>
      <c r="E294" s="10729"/>
      <c r="F294" s="10745"/>
      <c r="G294" s="10729"/>
      <c r="H294" s="10729"/>
      <c r="I294" s="10729"/>
      <c r="J294" s="10729"/>
      <c r="K294" s="10736"/>
      <c r="L294" s="10739"/>
      <c r="M294" s="10739"/>
      <c r="N294" s="10739"/>
      <c r="O294" s="10736"/>
      <c r="P294" s="10736"/>
      <c r="Q294" s="10751"/>
      <c r="R294" s="5201" t="s">
        <v>5016</v>
      </c>
      <c r="S294" s="5232" t="s">
        <v>5021</v>
      </c>
      <c r="T294" s="5230"/>
      <c r="U294" s="5272" t="s">
        <v>5015</v>
      </c>
      <c r="V294" s="5282"/>
      <c r="W294" s="5303" t="s">
        <v>180</v>
      </c>
      <c r="X294" s="7479">
        <v>1200</v>
      </c>
      <c r="Y294" s="7479">
        <f>+V294*X294</f>
        <v>0</v>
      </c>
      <c r="Z294" s="7479">
        <f>+Y294*1.12</f>
        <v>0</v>
      </c>
      <c r="AA294" s="7480">
        <f>+Z294</f>
        <v>0</v>
      </c>
      <c r="AB294" s="5326"/>
      <c r="AC294" s="1399"/>
      <c r="AD294" s="5303"/>
      <c r="AE294" s="5366" t="s">
        <v>153</v>
      </c>
      <c r="AF294" s="5348"/>
      <c r="AG294" s="10778"/>
      <c r="AH294" s="1758"/>
      <c r="AI294" s="1758"/>
      <c r="AJ294" s="1758"/>
      <c r="AK294" s="1758"/>
      <c r="AL294" s="1758"/>
      <c r="AM294" s="1758"/>
      <c r="AN294" s="1758"/>
      <c r="AO294" s="1758"/>
      <c r="AP294" s="1758"/>
      <c r="AQ294" s="1758"/>
      <c r="AR294" s="1758"/>
      <c r="AS294" s="1758"/>
      <c r="AT294" s="1758"/>
      <c r="AU294" s="1758"/>
      <c r="AV294" s="1758"/>
      <c r="AW294" s="1758"/>
      <c r="AX294" s="1758"/>
      <c r="AY294" s="1758"/>
      <c r="AZ294" s="1758"/>
      <c r="BA294" s="1758"/>
      <c r="BB294" s="1758"/>
      <c r="BC294" s="1758"/>
      <c r="BD294" s="1758"/>
      <c r="BE294" s="1758"/>
      <c r="BF294" s="1758"/>
      <c r="BG294" s="1758"/>
      <c r="BH294" s="1758"/>
      <c r="BI294" s="1758"/>
      <c r="BJ294" s="1758"/>
      <c r="BK294" s="1758"/>
      <c r="BL294" s="1758"/>
      <c r="BM294" s="1758"/>
      <c r="BN294" s="1758"/>
      <c r="BO294" s="1758"/>
      <c r="BP294" s="1758"/>
      <c r="BQ294" s="1758"/>
      <c r="BR294" s="1758"/>
      <c r="BS294" s="1758"/>
      <c r="BT294" s="1758"/>
      <c r="BU294" s="1758"/>
      <c r="BV294" s="1758"/>
      <c r="BW294" s="1758"/>
      <c r="BX294" s="1758"/>
      <c r="BY294" s="1758"/>
      <c r="BZ294" s="1758"/>
      <c r="CA294" s="1758"/>
      <c r="CB294" s="1758"/>
      <c r="CC294" s="1758"/>
      <c r="CD294" s="1758"/>
      <c r="CE294" s="1758"/>
      <c r="CF294" s="1758"/>
      <c r="CG294" s="1758"/>
      <c r="CH294" s="1758"/>
      <c r="CI294" s="1758"/>
      <c r="CJ294" s="1758"/>
      <c r="CK294" s="1758"/>
      <c r="CL294" s="1758"/>
      <c r="CM294" s="1758"/>
      <c r="CN294" s="1758"/>
      <c r="CO294" s="1758"/>
      <c r="CP294" s="1758"/>
      <c r="CQ294" s="1758"/>
      <c r="CR294" s="1758"/>
      <c r="CS294" s="1758"/>
      <c r="CT294" s="1758"/>
      <c r="CU294" s="1758"/>
      <c r="CV294" s="1758"/>
      <c r="CW294" s="1758"/>
      <c r="CX294" s="1758"/>
      <c r="CY294" s="1758"/>
      <c r="CZ294" s="1758"/>
      <c r="DA294" s="1758"/>
      <c r="DB294" s="1758"/>
      <c r="DC294" s="1758"/>
    </row>
    <row r="295" spans="1:107" s="1395" customFormat="1" ht="25.5" customHeight="1">
      <c r="A295" s="10827"/>
      <c r="B295" s="10731" t="s">
        <v>127</v>
      </c>
      <c r="C295" s="10728" t="s">
        <v>128</v>
      </c>
      <c r="D295" s="10728" t="s">
        <v>129</v>
      </c>
      <c r="E295" s="10728" t="s">
        <v>205</v>
      </c>
      <c r="F295" s="10744" t="s">
        <v>131</v>
      </c>
      <c r="G295" s="10728" t="s">
        <v>132</v>
      </c>
      <c r="H295" s="10728" t="s">
        <v>159</v>
      </c>
      <c r="I295" s="10728" t="s">
        <v>5022</v>
      </c>
      <c r="J295" s="10728" t="s">
        <v>5023</v>
      </c>
      <c r="K295" s="10735" t="s">
        <v>5024</v>
      </c>
      <c r="L295" s="10738">
        <v>0</v>
      </c>
      <c r="M295" s="10738">
        <v>4</v>
      </c>
      <c r="N295" s="10738">
        <v>4</v>
      </c>
      <c r="O295" s="10735" t="s">
        <v>5025</v>
      </c>
      <c r="P295" s="10735" t="s">
        <v>5026</v>
      </c>
      <c r="Q295" s="10750" t="s">
        <v>5027</v>
      </c>
      <c r="R295" s="5173"/>
      <c r="S295" s="5212"/>
      <c r="T295" s="5212"/>
      <c r="U295" s="5249"/>
      <c r="V295" s="5281"/>
      <c r="W295" s="5302"/>
      <c r="X295" s="7477"/>
      <c r="Y295" s="7477"/>
      <c r="Z295" s="7477"/>
      <c r="AA295" s="7478"/>
      <c r="AB295" s="5325"/>
      <c r="AC295" s="1398"/>
      <c r="AD295" s="5302"/>
      <c r="AE295" s="5349"/>
      <c r="AF295" s="5349"/>
      <c r="AG295" s="10777" t="s">
        <v>4843</v>
      </c>
      <c r="AH295" s="1758"/>
      <c r="AI295" s="1758"/>
      <c r="AJ295" s="1758"/>
      <c r="AK295" s="1758"/>
      <c r="AL295" s="1758"/>
      <c r="AM295" s="1758"/>
      <c r="AN295" s="1758"/>
      <c r="AO295" s="1758"/>
      <c r="AP295" s="1758"/>
      <c r="AQ295" s="1758"/>
      <c r="AR295" s="1758"/>
      <c r="AS295" s="1758"/>
      <c r="AT295" s="1758"/>
      <c r="AU295" s="1758"/>
      <c r="AV295" s="1758"/>
      <c r="AW295" s="1758"/>
      <c r="AX295" s="1758"/>
      <c r="AY295" s="1758"/>
      <c r="AZ295" s="1758"/>
      <c r="BA295" s="1758"/>
      <c r="BB295" s="1758"/>
      <c r="BC295" s="1758"/>
      <c r="BD295" s="1758"/>
      <c r="BE295" s="1758"/>
      <c r="BF295" s="1758"/>
      <c r="BG295" s="1758"/>
      <c r="BH295" s="1758"/>
      <c r="BI295" s="1758"/>
      <c r="BJ295" s="1758"/>
      <c r="BK295" s="1758"/>
      <c r="BL295" s="1758"/>
      <c r="BM295" s="1758"/>
      <c r="BN295" s="1758"/>
      <c r="BO295" s="1758"/>
      <c r="BP295" s="1758"/>
      <c r="BQ295" s="1758"/>
      <c r="BR295" s="1758"/>
      <c r="BS295" s="1758"/>
      <c r="BT295" s="1758"/>
      <c r="BU295" s="1758"/>
      <c r="BV295" s="1758"/>
      <c r="BW295" s="1758"/>
      <c r="BX295" s="1758"/>
      <c r="BY295" s="1758"/>
      <c r="BZ295" s="1758"/>
      <c r="CA295" s="1758"/>
      <c r="CB295" s="1758"/>
      <c r="CC295" s="1758"/>
      <c r="CD295" s="1758"/>
      <c r="CE295" s="1758"/>
      <c r="CF295" s="1758"/>
      <c r="CG295" s="1758"/>
      <c r="CH295" s="1758"/>
      <c r="CI295" s="1758"/>
      <c r="CJ295" s="1758"/>
      <c r="CK295" s="1758"/>
      <c r="CL295" s="1758"/>
      <c r="CM295" s="1758"/>
      <c r="CN295" s="1758"/>
      <c r="CO295" s="1758"/>
      <c r="CP295" s="1758"/>
      <c r="CQ295" s="1758"/>
      <c r="CR295" s="1758"/>
      <c r="CS295" s="1758"/>
      <c r="CT295" s="1758"/>
      <c r="CU295" s="1758"/>
      <c r="CV295" s="1758"/>
      <c r="CW295" s="1758"/>
      <c r="CX295" s="1758"/>
      <c r="CY295" s="1758"/>
      <c r="CZ295" s="1758"/>
      <c r="DA295" s="1758"/>
      <c r="DB295" s="1758"/>
      <c r="DC295" s="1758"/>
    </row>
    <row r="296" spans="1:107" s="1395" customFormat="1" ht="25.5" customHeight="1">
      <c r="A296" s="10827"/>
      <c r="B296" s="10731"/>
      <c r="C296" s="10728"/>
      <c r="D296" s="10728"/>
      <c r="E296" s="10728"/>
      <c r="F296" s="10744"/>
      <c r="G296" s="10728"/>
      <c r="H296" s="10728"/>
      <c r="I296" s="10728"/>
      <c r="J296" s="10728"/>
      <c r="K296" s="10735"/>
      <c r="L296" s="10738"/>
      <c r="M296" s="10738"/>
      <c r="N296" s="10738"/>
      <c r="O296" s="10735"/>
      <c r="P296" s="10735"/>
      <c r="Q296" s="10750"/>
      <c r="R296" s="5171"/>
      <c r="S296" s="5213"/>
      <c r="T296" s="5213"/>
      <c r="U296" s="5247"/>
      <c r="V296" s="5279"/>
      <c r="W296" s="5300"/>
      <c r="X296" s="7473"/>
      <c r="Y296" s="7473"/>
      <c r="Z296" s="7473"/>
      <c r="AA296" s="7474"/>
      <c r="AB296" s="5323"/>
      <c r="AC296" s="1396"/>
      <c r="AD296" s="5300"/>
      <c r="AE296" s="5346"/>
      <c r="AF296" s="5346"/>
      <c r="AG296" s="10777"/>
      <c r="AH296" s="1758"/>
      <c r="AI296" s="1758"/>
      <c r="AJ296" s="1758"/>
      <c r="AK296" s="1758"/>
      <c r="AL296" s="1758"/>
      <c r="AM296" s="1758"/>
      <c r="AN296" s="1758"/>
      <c r="AO296" s="1758"/>
      <c r="AP296" s="1758"/>
      <c r="AQ296" s="1758"/>
      <c r="AR296" s="1758"/>
      <c r="AS296" s="1758"/>
      <c r="AT296" s="1758"/>
      <c r="AU296" s="1758"/>
      <c r="AV296" s="1758"/>
      <c r="AW296" s="1758"/>
      <c r="AX296" s="1758"/>
      <c r="AY296" s="1758"/>
      <c r="AZ296" s="1758"/>
      <c r="BA296" s="1758"/>
      <c r="BB296" s="1758"/>
      <c r="BC296" s="1758"/>
      <c r="BD296" s="1758"/>
      <c r="BE296" s="1758"/>
      <c r="BF296" s="1758"/>
      <c r="BG296" s="1758"/>
      <c r="BH296" s="1758"/>
      <c r="BI296" s="1758"/>
      <c r="BJ296" s="1758"/>
      <c r="BK296" s="1758"/>
      <c r="BL296" s="1758"/>
      <c r="BM296" s="1758"/>
      <c r="BN296" s="1758"/>
      <c r="BO296" s="1758"/>
      <c r="BP296" s="1758"/>
      <c r="BQ296" s="1758"/>
      <c r="BR296" s="1758"/>
      <c r="BS296" s="1758"/>
      <c r="BT296" s="1758"/>
      <c r="BU296" s="1758"/>
      <c r="BV296" s="1758"/>
      <c r="BW296" s="1758"/>
      <c r="BX296" s="1758"/>
      <c r="BY296" s="1758"/>
      <c r="BZ296" s="1758"/>
      <c r="CA296" s="1758"/>
      <c r="CB296" s="1758"/>
      <c r="CC296" s="1758"/>
      <c r="CD296" s="1758"/>
      <c r="CE296" s="1758"/>
      <c r="CF296" s="1758"/>
      <c r="CG296" s="1758"/>
      <c r="CH296" s="1758"/>
      <c r="CI296" s="1758"/>
      <c r="CJ296" s="1758"/>
      <c r="CK296" s="1758"/>
      <c r="CL296" s="1758"/>
      <c r="CM296" s="1758"/>
      <c r="CN296" s="1758"/>
      <c r="CO296" s="1758"/>
      <c r="CP296" s="1758"/>
      <c r="CQ296" s="1758"/>
      <c r="CR296" s="1758"/>
      <c r="CS296" s="1758"/>
      <c r="CT296" s="1758"/>
      <c r="CU296" s="1758"/>
      <c r="CV296" s="1758"/>
      <c r="CW296" s="1758"/>
      <c r="CX296" s="1758"/>
      <c r="CY296" s="1758"/>
      <c r="CZ296" s="1758"/>
      <c r="DA296" s="1758"/>
      <c r="DB296" s="1758"/>
      <c r="DC296" s="1758"/>
    </row>
    <row r="297" spans="1:107" s="1395" customFormat="1" ht="25.5" customHeight="1">
      <c r="A297" s="10827"/>
      <c r="B297" s="10731"/>
      <c r="C297" s="10728"/>
      <c r="D297" s="10728"/>
      <c r="E297" s="10728"/>
      <c r="F297" s="10744"/>
      <c r="G297" s="10728"/>
      <c r="H297" s="10728"/>
      <c r="I297" s="10728"/>
      <c r="J297" s="10728"/>
      <c r="K297" s="10735"/>
      <c r="L297" s="10738"/>
      <c r="M297" s="10738"/>
      <c r="N297" s="10738"/>
      <c r="O297" s="10735"/>
      <c r="P297" s="10735"/>
      <c r="Q297" s="10750"/>
      <c r="R297" s="5174"/>
      <c r="S297" s="5214"/>
      <c r="T297" s="5214"/>
      <c r="U297" s="5250"/>
      <c r="V297" s="5281"/>
      <c r="W297" s="5302"/>
      <c r="X297" s="7477"/>
      <c r="Y297" s="7473"/>
      <c r="Z297" s="7473"/>
      <c r="AA297" s="7474"/>
      <c r="AB297" s="5323"/>
      <c r="AC297" s="1396"/>
      <c r="AD297" s="5300"/>
      <c r="AE297" s="5346"/>
      <c r="AF297" s="5346"/>
      <c r="AG297" s="10777"/>
      <c r="AH297" s="1758"/>
      <c r="AI297" s="1758"/>
      <c r="AJ297" s="1758"/>
      <c r="AK297" s="1758"/>
      <c r="AL297" s="1758"/>
      <c r="AM297" s="1758"/>
      <c r="AN297" s="1758"/>
      <c r="AO297" s="1758"/>
      <c r="AP297" s="1758"/>
      <c r="AQ297" s="1758"/>
      <c r="AR297" s="1758"/>
      <c r="AS297" s="1758"/>
      <c r="AT297" s="1758"/>
      <c r="AU297" s="1758"/>
      <c r="AV297" s="1758"/>
      <c r="AW297" s="1758"/>
      <c r="AX297" s="1758"/>
      <c r="AY297" s="1758"/>
      <c r="AZ297" s="1758"/>
      <c r="BA297" s="1758"/>
      <c r="BB297" s="1758"/>
      <c r="BC297" s="1758"/>
      <c r="BD297" s="1758"/>
      <c r="BE297" s="1758"/>
      <c r="BF297" s="1758"/>
      <c r="BG297" s="1758"/>
      <c r="BH297" s="1758"/>
      <c r="BI297" s="1758"/>
      <c r="BJ297" s="1758"/>
      <c r="BK297" s="1758"/>
      <c r="BL297" s="1758"/>
      <c r="BM297" s="1758"/>
      <c r="BN297" s="1758"/>
      <c r="BO297" s="1758"/>
      <c r="BP297" s="1758"/>
      <c r="BQ297" s="1758"/>
      <c r="BR297" s="1758"/>
      <c r="BS297" s="1758"/>
      <c r="BT297" s="1758"/>
      <c r="BU297" s="1758"/>
      <c r="BV297" s="1758"/>
      <c r="BW297" s="1758"/>
      <c r="BX297" s="1758"/>
      <c r="BY297" s="1758"/>
      <c r="BZ297" s="1758"/>
      <c r="CA297" s="1758"/>
      <c r="CB297" s="1758"/>
      <c r="CC297" s="1758"/>
      <c r="CD297" s="1758"/>
      <c r="CE297" s="1758"/>
      <c r="CF297" s="1758"/>
      <c r="CG297" s="1758"/>
      <c r="CH297" s="1758"/>
      <c r="CI297" s="1758"/>
      <c r="CJ297" s="1758"/>
      <c r="CK297" s="1758"/>
      <c r="CL297" s="1758"/>
      <c r="CM297" s="1758"/>
      <c r="CN297" s="1758"/>
      <c r="CO297" s="1758"/>
      <c r="CP297" s="1758"/>
      <c r="CQ297" s="1758"/>
      <c r="CR297" s="1758"/>
      <c r="CS297" s="1758"/>
      <c r="CT297" s="1758"/>
      <c r="CU297" s="1758"/>
      <c r="CV297" s="1758"/>
      <c r="CW297" s="1758"/>
      <c r="CX297" s="1758"/>
      <c r="CY297" s="1758"/>
      <c r="CZ297" s="1758"/>
      <c r="DA297" s="1758"/>
      <c r="DB297" s="1758"/>
      <c r="DC297" s="1758"/>
    </row>
    <row r="298" spans="1:107" s="1395" customFormat="1" ht="25.5" customHeight="1">
      <c r="A298" s="10827"/>
      <c r="B298" s="10731"/>
      <c r="C298" s="10728"/>
      <c r="D298" s="10728"/>
      <c r="E298" s="10728"/>
      <c r="F298" s="10744"/>
      <c r="G298" s="10728"/>
      <c r="H298" s="10728"/>
      <c r="I298" s="10728"/>
      <c r="J298" s="10728"/>
      <c r="K298" s="10735"/>
      <c r="L298" s="10738"/>
      <c r="M298" s="10738"/>
      <c r="N298" s="10738"/>
      <c r="O298" s="10735"/>
      <c r="P298" s="10735"/>
      <c r="Q298" s="10750"/>
      <c r="R298" s="5173"/>
      <c r="S298" s="5212"/>
      <c r="T298" s="5212"/>
      <c r="U298" s="5250"/>
      <c r="V298" s="5281"/>
      <c r="W298" s="5302"/>
      <c r="X298" s="7477"/>
      <c r="Y298" s="7473"/>
      <c r="Z298" s="7473"/>
      <c r="AA298" s="7474"/>
      <c r="AB298" s="5323"/>
      <c r="AC298" s="1396"/>
      <c r="AD298" s="5300"/>
      <c r="AE298" s="5346"/>
      <c r="AF298" s="5346"/>
      <c r="AG298" s="10777"/>
      <c r="AH298" s="1758"/>
      <c r="AI298" s="1758"/>
      <c r="AJ298" s="1758"/>
      <c r="AK298" s="1758"/>
      <c r="AL298" s="1758"/>
      <c r="AM298" s="1758"/>
      <c r="AN298" s="1758"/>
      <c r="AO298" s="1758"/>
      <c r="AP298" s="1758"/>
      <c r="AQ298" s="1758"/>
      <c r="AR298" s="1758"/>
      <c r="AS298" s="1758"/>
      <c r="AT298" s="1758"/>
      <c r="AU298" s="1758"/>
      <c r="AV298" s="1758"/>
      <c r="AW298" s="1758"/>
      <c r="AX298" s="1758"/>
      <c r="AY298" s="1758"/>
      <c r="AZ298" s="1758"/>
      <c r="BA298" s="1758"/>
      <c r="BB298" s="1758"/>
      <c r="BC298" s="1758"/>
      <c r="BD298" s="1758"/>
      <c r="BE298" s="1758"/>
      <c r="BF298" s="1758"/>
      <c r="BG298" s="1758"/>
      <c r="BH298" s="1758"/>
      <c r="BI298" s="1758"/>
      <c r="BJ298" s="1758"/>
      <c r="BK298" s="1758"/>
      <c r="BL298" s="1758"/>
      <c r="BM298" s="1758"/>
      <c r="BN298" s="1758"/>
      <c r="BO298" s="1758"/>
      <c r="BP298" s="1758"/>
      <c r="BQ298" s="1758"/>
      <c r="BR298" s="1758"/>
      <c r="BS298" s="1758"/>
      <c r="BT298" s="1758"/>
      <c r="BU298" s="1758"/>
      <c r="BV298" s="1758"/>
      <c r="BW298" s="1758"/>
      <c r="BX298" s="1758"/>
      <c r="BY298" s="1758"/>
      <c r="BZ298" s="1758"/>
      <c r="CA298" s="1758"/>
      <c r="CB298" s="1758"/>
      <c r="CC298" s="1758"/>
      <c r="CD298" s="1758"/>
      <c r="CE298" s="1758"/>
      <c r="CF298" s="1758"/>
      <c r="CG298" s="1758"/>
      <c r="CH298" s="1758"/>
      <c r="CI298" s="1758"/>
      <c r="CJ298" s="1758"/>
      <c r="CK298" s="1758"/>
      <c r="CL298" s="1758"/>
      <c r="CM298" s="1758"/>
      <c r="CN298" s="1758"/>
      <c r="CO298" s="1758"/>
      <c r="CP298" s="1758"/>
      <c r="CQ298" s="1758"/>
      <c r="CR298" s="1758"/>
      <c r="CS298" s="1758"/>
      <c r="CT298" s="1758"/>
      <c r="CU298" s="1758"/>
      <c r="CV298" s="1758"/>
      <c r="CW298" s="1758"/>
      <c r="CX298" s="1758"/>
      <c r="CY298" s="1758"/>
      <c r="CZ298" s="1758"/>
      <c r="DA298" s="1758"/>
      <c r="DB298" s="1758"/>
      <c r="DC298" s="1758"/>
    </row>
    <row r="299" spans="1:107" s="1395" customFormat="1" ht="25.5" customHeight="1">
      <c r="A299" s="10827"/>
      <c r="B299" s="10732"/>
      <c r="C299" s="10729"/>
      <c r="D299" s="10729"/>
      <c r="E299" s="10729"/>
      <c r="F299" s="10745"/>
      <c r="G299" s="10729"/>
      <c r="H299" s="10729"/>
      <c r="I299" s="10729"/>
      <c r="J299" s="10729"/>
      <c r="K299" s="10736"/>
      <c r="L299" s="10739"/>
      <c r="M299" s="10739"/>
      <c r="N299" s="10739"/>
      <c r="O299" s="10736"/>
      <c r="P299" s="10736"/>
      <c r="Q299" s="10751"/>
      <c r="R299" s="5175"/>
      <c r="S299" s="5215"/>
      <c r="T299" s="5215"/>
      <c r="U299" s="5251"/>
      <c r="V299" s="5282"/>
      <c r="W299" s="5303"/>
      <c r="X299" s="7479"/>
      <c r="Y299" s="7479"/>
      <c r="Z299" s="7479"/>
      <c r="AA299" s="7480"/>
      <c r="AB299" s="5326"/>
      <c r="AC299" s="1399"/>
      <c r="AD299" s="5303"/>
      <c r="AE299" s="5348"/>
      <c r="AF299" s="5348"/>
      <c r="AG299" s="10778"/>
      <c r="AH299" s="1758"/>
      <c r="AI299" s="1758"/>
      <c r="AJ299" s="1758"/>
      <c r="AK299" s="1758"/>
      <c r="AL299" s="1758"/>
      <c r="AM299" s="1758"/>
      <c r="AN299" s="1758"/>
      <c r="AO299" s="1758"/>
      <c r="AP299" s="1758"/>
      <c r="AQ299" s="1758"/>
      <c r="AR299" s="1758"/>
      <c r="AS299" s="1758"/>
      <c r="AT299" s="1758"/>
      <c r="AU299" s="1758"/>
      <c r="AV299" s="1758"/>
      <c r="AW299" s="1758"/>
      <c r="AX299" s="1758"/>
      <c r="AY299" s="1758"/>
      <c r="AZ299" s="1758"/>
      <c r="BA299" s="1758"/>
      <c r="BB299" s="1758"/>
      <c r="BC299" s="1758"/>
      <c r="BD299" s="1758"/>
      <c r="BE299" s="1758"/>
      <c r="BF299" s="1758"/>
      <c r="BG299" s="1758"/>
      <c r="BH299" s="1758"/>
      <c r="BI299" s="1758"/>
      <c r="BJ299" s="1758"/>
      <c r="BK299" s="1758"/>
      <c r="BL299" s="1758"/>
      <c r="BM299" s="1758"/>
      <c r="BN299" s="1758"/>
      <c r="BO299" s="1758"/>
      <c r="BP299" s="1758"/>
      <c r="BQ299" s="1758"/>
      <c r="BR299" s="1758"/>
      <c r="BS299" s="1758"/>
      <c r="BT299" s="1758"/>
      <c r="BU299" s="1758"/>
      <c r="BV299" s="1758"/>
      <c r="BW299" s="1758"/>
      <c r="BX299" s="1758"/>
      <c r="BY299" s="1758"/>
      <c r="BZ299" s="1758"/>
      <c r="CA299" s="1758"/>
      <c r="CB299" s="1758"/>
      <c r="CC299" s="1758"/>
      <c r="CD299" s="1758"/>
      <c r="CE299" s="1758"/>
      <c r="CF299" s="1758"/>
      <c r="CG299" s="1758"/>
      <c r="CH299" s="1758"/>
      <c r="CI299" s="1758"/>
      <c r="CJ299" s="1758"/>
      <c r="CK299" s="1758"/>
      <c r="CL299" s="1758"/>
      <c r="CM299" s="1758"/>
      <c r="CN299" s="1758"/>
      <c r="CO299" s="1758"/>
      <c r="CP299" s="1758"/>
      <c r="CQ299" s="1758"/>
      <c r="CR299" s="1758"/>
      <c r="CS299" s="1758"/>
      <c r="CT299" s="1758"/>
      <c r="CU299" s="1758"/>
      <c r="CV299" s="1758"/>
      <c r="CW299" s="1758"/>
      <c r="CX299" s="1758"/>
      <c r="CY299" s="1758"/>
      <c r="CZ299" s="1758"/>
      <c r="DA299" s="1758"/>
      <c r="DB299" s="1758"/>
      <c r="DC299" s="1758"/>
    </row>
    <row r="300" spans="1:107" s="1395" customFormat="1" ht="21.75" customHeight="1">
      <c r="A300" s="10827"/>
      <c r="B300" s="10731" t="s">
        <v>183</v>
      </c>
      <c r="C300" s="10728" t="s">
        <v>227</v>
      </c>
      <c r="D300" s="10728" t="s">
        <v>129</v>
      </c>
      <c r="E300" s="10728" t="s">
        <v>205</v>
      </c>
      <c r="F300" s="10744" t="s">
        <v>131</v>
      </c>
      <c r="G300" s="10728" t="s">
        <v>132</v>
      </c>
      <c r="H300" s="10728" t="s">
        <v>189</v>
      </c>
      <c r="I300" s="10728" t="s">
        <v>5028</v>
      </c>
      <c r="J300" s="10742" t="s">
        <v>5029</v>
      </c>
      <c r="K300" s="10735" t="s">
        <v>5030</v>
      </c>
      <c r="L300" s="10738">
        <v>0</v>
      </c>
      <c r="M300" s="10738">
        <v>3</v>
      </c>
      <c r="N300" s="10738">
        <v>3</v>
      </c>
      <c r="O300" s="10735" t="s">
        <v>5031</v>
      </c>
      <c r="P300" s="10735" t="s">
        <v>5010</v>
      </c>
      <c r="Q300" s="10750" t="s">
        <v>4998</v>
      </c>
      <c r="R300" s="5173"/>
      <c r="S300" s="5212"/>
      <c r="T300" s="5212"/>
      <c r="U300" s="5249"/>
      <c r="V300" s="5281"/>
      <c r="W300" s="5302"/>
      <c r="X300" s="7477"/>
      <c r="Y300" s="7477"/>
      <c r="Z300" s="7477"/>
      <c r="AA300" s="7478"/>
      <c r="AB300" s="5325"/>
      <c r="AC300" s="1398"/>
      <c r="AD300" s="5302"/>
      <c r="AE300" s="5349"/>
      <c r="AF300" s="5349"/>
      <c r="AG300" s="10777"/>
      <c r="AH300" s="1758"/>
      <c r="AI300" s="1758"/>
      <c r="AJ300" s="1758"/>
      <c r="AK300" s="1758"/>
      <c r="AL300" s="1758"/>
      <c r="AM300" s="1758"/>
      <c r="AN300" s="1758"/>
      <c r="AO300" s="1758"/>
      <c r="AP300" s="1758"/>
      <c r="AQ300" s="1758"/>
      <c r="AR300" s="1758"/>
      <c r="AS300" s="1758"/>
      <c r="AT300" s="1758"/>
      <c r="AU300" s="1758"/>
      <c r="AV300" s="1758"/>
      <c r="AW300" s="1758"/>
      <c r="AX300" s="1758"/>
      <c r="AY300" s="1758"/>
      <c r="AZ300" s="1758"/>
      <c r="BA300" s="1758"/>
      <c r="BB300" s="1758"/>
      <c r="BC300" s="1758"/>
      <c r="BD300" s="1758"/>
      <c r="BE300" s="1758"/>
      <c r="BF300" s="1758"/>
      <c r="BG300" s="1758"/>
      <c r="BH300" s="1758"/>
      <c r="BI300" s="1758"/>
      <c r="BJ300" s="1758"/>
      <c r="BK300" s="1758"/>
      <c r="BL300" s="1758"/>
      <c r="BM300" s="1758"/>
      <c r="BN300" s="1758"/>
      <c r="BO300" s="1758"/>
      <c r="BP300" s="1758"/>
      <c r="BQ300" s="1758"/>
      <c r="BR300" s="1758"/>
      <c r="BS300" s="1758"/>
      <c r="BT300" s="1758"/>
      <c r="BU300" s="1758"/>
      <c r="BV300" s="1758"/>
      <c r="BW300" s="1758"/>
      <c r="BX300" s="1758"/>
      <c r="BY300" s="1758"/>
      <c r="BZ300" s="1758"/>
      <c r="CA300" s="1758"/>
      <c r="CB300" s="1758"/>
      <c r="CC300" s="1758"/>
      <c r="CD300" s="1758"/>
      <c r="CE300" s="1758"/>
      <c r="CF300" s="1758"/>
      <c r="CG300" s="1758"/>
      <c r="CH300" s="1758"/>
      <c r="CI300" s="1758"/>
      <c r="CJ300" s="1758"/>
      <c r="CK300" s="1758"/>
      <c r="CL300" s="1758"/>
      <c r="CM300" s="1758"/>
      <c r="CN300" s="1758"/>
      <c r="CO300" s="1758"/>
      <c r="CP300" s="1758"/>
      <c r="CQ300" s="1758"/>
      <c r="CR300" s="1758"/>
      <c r="CS300" s="1758"/>
      <c r="CT300" s="1758"/>
      <c r="CU300" s="1758"/>
      <c r="CV300" s="1758"/>
      <c r="CW300" s="1758"/>
      <c r="CX300" s="1758"/>
      <c r="CY300" s="1758"/>
      <c r="CZ300" s="1758"/>
      <c r="DA300" s="1758"/>
      <c r="DB300" s="1758"/>
      <c r="DC300" s="1758"/>
    </row>
    <row r="301" spans="1:107" s="1395" customFormat="1" ht="21.75" customHeight="1">
      <c r="A301" s="10827"/>
      <c r="B301" s="10731"/>
      <c r="C301" s="10728"/>
      <c r="D301" s="10728"/>
      <c r="E301" s="10728"/>
      <c r="F301" s="10744"/>
      <c r="G301" s="10728"/>
      <c r="H301" s="10728"/>
      <c r="I301" s="10728"/>
      <c r="J301" s="10728"/>
      <c r="K301" s="10735"/>
      <c r="L301" s="10738"/>
      <c r="M301" s="10738"/>
      <c r="N301" s="10738"/>
      <c r="O301" s="10735"/>
      <c r="P301" s="10735"/>
      <c r="Q301" s="10750"/>
      <c r="R301" s="5171"/>
      <c r="S301" s="5213"/>
      <c r="T301" s="5213"/>
      <c r="U301" s="5247"/>
      <c r="V301" s="5279"/>
      <c r="W301" s="5300"/>
      <c r="X301" s="7473"/>
      <c r="Y301" s="7473"/>
      <c r="Z301" s="7473"/>
      <c r="AA301" s="7474"/>
      <c r="AB301" s="5323"/>
      <c r="AC301" s="1396"/>
      <c r="AD301" s="5300"/>
      <c r="AE301" s="5346"/>
      <c r="AF301" s="5346"/>
      <c r="AG301" s="10777"/>
      <c r="AH301" s="1758"/>
      <c r="AI301" s="1758"/>
      <c r="AJ301" s="1758"/>
      <c r="AK301" s="1758"/>
      <c r="AL301" s="1758"/>
      <c r="AM301" s="1758"/>
      <c r="AN301" s="1758"/>
      <c r="AO301" s="1758"/>
      <c r="AP301" s="1758"/>
      <c r="AQ301" s="1758"/>
      <c r="AR301" s="1758"/>
      <c r="AS301" s="1758"/>
      <c r="AT301" s="1758"/>
      <c r="AU301" s="1758"/>
      <c r="AV301" s="1758"/>
      <c r="AW301" s="1758"/>
      <c r="AX301" s="1758"/>
      <c r="AY301" s="1758"/>
      <c r="AZ301" s="1758"/>
      <c r="BA301" s="1758"/>
      <c r="BB301" s="1758"/>
      <c r="BC301" s="1758"/>
      <c r="BD301" s="1758"/>
      <c r="BE301" s="1758"/>
      <c r="BF301" s="1758"/>
      <c r="BG301" s="1758"/>
      <c r="BH301" s="1758"/>
      <c r="BI301" s="1758"/>
      <c r="BJ301" s="1758"/>
      <c r="BK301" s="1758"/>
      <c r="BL301" s="1758"/>
      <c r="BM301" s="1758"/>
      <c r="BN301" s="1758"/>
      <c r="BO301" s="1758"/>
      <c r="BP301" s="1758"/>
      <c r="BQ301" s="1758"/>
      <c r="BR301" s="1758"/>
      <c r="BS301" s="1758"/>
      <c r="BT301" s="1758"/>
      <c r="BU301" s="1758"/>
      <c r="BV301" s="1758"/>
      <c r="BW301" s="1758"/>
      <c r="BX301" s="1758"/>
      <c r="BY301" s="1758"/>
      <c r="BZ301" s="1758"/>
      <c r="CA301" s="1758"/>
      <c r="CB301" s="1758"/>
      <c r="CC301" s="1758"/>
      <c r="CD301" s="1758"/>
      <c r="CE301" s="1758"/>
      <c r="CF301" s="1758"/>
      <c r="CG301" s="1758"/>
      <c r="CH301" s="1758"/>
      <c r="CI301" s="1758"/>
      <c r="CJ301" s="1758"/>
      <c r="CK301" s="1758"/>
      <c r="CL301" s="1758"/>
      <c r="CM301" s="1758"/>
      <c r="CN301" s="1758"/>
      <c r="CO301" s="1758"/>
      <c r="CP301" s="1758"/>
      <c r="CQ301" s="1758"/>
      <c r="CR301" s="1758"/>
      <c r="CS301" s="1758"/>
      <c r="CT301" s="1758"/>
      <c r="CU301" s="1758"/>
      <c r="CV301" s="1758"/>
      <c r="CW301" s="1758"/>
      <c r="CX301" s="1758"/>
      <c r="CY301" s="1758"/>
      <c r="CZ301" s="1758"/>
      <c r="DA301" s="1758"/>
      <c r="DB301" s="1758"/>
      <c r="DC301" s="1758"/>
    </row>
    <row r="302" spans="1:107" s="1395" customFormat="1" ht="21.75" customHeight="1">
      <c r="A302" s="10827"/>
      <c r="B302" s="10731"/>
      <c r="C302" s="10728"/>
      <c r="D302" s="10728"/>
      <c r="E302" s="10728"/>
      <c r="F302" s="10744"/>
      <c r="G302" s="10728"/>
      <c r="H302" s="10728"/>
      <c r="I302" s="10728"/>
      <c r="J302" s="10728"/>
      <c r="K302" s="10735"/>
      <c r="L302" s="10738"/>
      <c r="M302" s="10738"/>
      <c r="N302" s="10738"/>
      <c r="O302" s="10735"/>
      <c r="P302" s="10735"/>
      <c r="Q302" s="10750"/>
      <c r="R302" s="5174"/>
      <c r="S302" s="5214"/>
      <c r="T302" s="5214"/>
      <c r="U302" s="5250"/>
      <c r="V302" s="5281"/>
      <c r="W302" s="5302"/>
      <c r="X302" s="7477"/>
      <c r="Y302" s="7473"/>
      <c r="Z302" s="7473"/>
      <c r="AA302" s="7474"/>
      <c r="AB302" s="5323"/>
      <c r="AC302" s="1396"/>
      <c r="AD302" s="5300"/>
      <c r="AE302" s="5346"/>
      <c r="AF302" s="5346"/>
      <c r="AG302" s="10777"/>
      <c r="AH302" s="1758"/>
      <c r="AI302" s="1758"/>
      <c r="AJ302" s="1758"/>
      <c r="AK302" s="1758"/>
      <c r="AL302" s="1758"/>
      <c r="AM302" s="1758"/>
      <c r="AN302" s="1758"/>
      <c r="AO302" s="1758"/>
      <c r="AP302" s="1758"/>
      <c r="AQ302" s="1758"/>
      <c r="AR302" s="1758"/>
      <c r="AS302" s="1758"/>
      <c r="AT302" s="1758"/>
      <c r="AU302" s="1758"/>
      <c r="AV302" s="1758"/>
      <c r="AW302" s="1758"/>
      <c r="AX302" s="1758"/>
      <c r="AY302" s="1758"/>
      <c r="AZ302" s="1758"/>
      <c r="BA302" s="1758"/>
      <c r="BB302" s="1758"/>
      <c r="BC302" s="1758"/>
      <c r="BD302" s="1758"/>
      <c r="BE302" s="1758"/>
      <c r="BF302" s="1758"/>
      <c r="BG302" s="1758"/>
      <c r="BH302" s="1758"/>
      <c r="BI302" s="1758"/>
      <c r="BJ302" s="1758"/>
      <c r="BK302" s="1758"/>
      <c r="BL302" s="1758"/>
      <c r="BM302" s="1758"/>
      <c r="BN302" s="1758"/>
      <c r="BO302" s="1758"/>
      <c r="BP302" s="1758"/>
      <c r="BQ302" s="1758"/>
      <c r="BR302" s="1758"/>
      <c r="BS302" s="1758"/>
      <c r="BT302" s="1758"/>
      <c r="BU302" s="1758"/>
      <c r="BV302" s="1758"/>
      <c r="BW302" s="1758"/>
      <c r="BX302" s="1758"/>
      <c r="BY302" s="1758"/>
      <c r="BZ302" s="1758"/>
      <c r="CA302" s="1758"/>
      <c r="CB302" s="1758"/>
      <c r="CC302" s="1758"/>
      <c r="CD302" s="1758"/>
      <c r="CE302" s="1758"/>
      <c r="CF302" s="1758"/>
      <c r="CG302" s="1758"/>
      <c r="CH302" s="1758"/>
      <c r="CI302" s="1758"/>
      <c r="CJ302" s="1758"/>
      <c r="CK302" s="1758"/>
      <c r="CL302" s="1758"/>
      <c r="CM302" s="1758"/>
      <c r="CN302" s="1758"/>
      <c r="CO302" s="1758"/>
      <c r="CP302" s="1758"/>
      <c r="CQ302" s="1758"/>
      <c r="CR302" s="1758"/>
      <c r="CS302" s="1758"/>
      <c r="CT302" s="1758"/>
      <c r="CU302" s="1758"/>
      <c r="CV302" s="1758"/>
      <c r="CW302" s="1758"/>
      <c r="CX302" s="1758"/>
      <c r="CY302" s="1758"/>
      <c r="CZ302" s="1758"/>
      <c r="DA302" s="1758"/>
      <c r="DB302" s="1758"/>
      <c r="DC302" s="1758"/>
    </row>
    <row r="303" spans="1:107" s="1395" customFormat="1" ht="21.75" customHeight="1">
      <c r="A303" s="10827"/>
      <c r="B303" s="10731"/>
      <c r="C303" s="10728"/>
      <c r="D303" s="10728"/>
      <c r="E303" s="10728"/>
      <c r="F303" s="10744"/>
      <c r="G303" s="10728"/>
      <c r="H303" s="10728"/>
      <c r="I303" s="10728"/>
      <c r="J303" s="10728"/>
      <c r="K303" s="10735"/>
      <c r="L303" s="10738"/>
      <c r="M303" s="10738"/>
      <c r="N303" s="10738"/>
      <c r="O303" s="10735"/>
      <c r="P303" s="10735"/>
      <c r="Q303" s="10750"/>
      <c r="R303" s="5173"/>
      <c r="S303" s="5212"/>
      <c r="T303" s="5212"/>
      <c r="U303" s="5250"/>
      <c r="V303" s="5281"/>
      <c r="W303" s="5302"/>
      <c r="X303" s="7477"/>
      <c r="Y303" s="7473"/>
      <c r="Z303" s="7473"/>
      <c r="AA303" s="7474"/>
      <c r="AB303" s="5323"/>
      <c r="AC303" s="1396"/>
      <c r="AD303" s="5300"/>
      <c r="AE303" s="5346"/>
      <c r="AF303" s="5346"/>
      <c r="AG303" s="10777"/>
      <c r="AH303" s="1758"/>
      <c r="AI303" s="1758"/>
      <c r="AJ303" s="1758"/>
      <c r="AK303" s="1758"/>
      <c r="AL303" s="1758"/>
      <c r="AM303" s="1758"/>
      <c r="AN303" s="1758"/>
      <c r="AO303" s="1758"/>
      <c r="AP303" s="1758"/>
      <c r="AQ303" s="1758"/>
      <c r="AR303" s="1758"/>
      <c r="AS303" s="1758"/>
      <c r="AT303" s="1758"/>
      <c r="AU303" s="1758"/>
      <c r="AV303" s="1758"/>
      <c r="AW303" s="1758"/>
      <c r="AX303" s="1758"/>
      <c r="AY303" s="1758"/>
      <c r="AZ303" s="1758"/>
      <c r="BA303" s="1758"/>
      <c r="BB303" s="1758"/>
      <c r="BC303" s="1758"/>
      <c r="BD303" s="1758"/>
      <c r="BE303" s="1758"/>
      <c r="BF303" s="1758"/>
      <c r="BG303" s="1758"/>
      <c r="BH303" s="1758"/>
      <c r="BI303" s="1758"/>
      <c r="BJ303" s="1758"/>
      <c r="BK303" s="1758"/>
      <c r="BL303" s="1758"/>
      <c r="BM303" s="1758"/>
      <c r="BN303" s="1758"/>
      <c r="BO303" s="1758"/>
      <c r="BP303" s="1758"/>
      <c r="BQ303" s="1758"/>
      <c r="BR303" s="1758"/>
      <c r="BS303" s="1758"/>
      <c r="BT303" s="1758"/>
      <c r="BU303" s="1758"/>
      <c r="BV303" s="1758"/>
      <c r="BW303" s="1758"/>
      <c r="BX303" s="1758"/>
      <c r="BY303" s="1758"/>
      <c r="BZ303" s="1758"/>
      <c r="CA303" s="1758"/>
      <c r="CB303" s="1758"/>
      <c r="CC303" s="1758"/>
      <c r="CD303" s="1758"/>
      <c r="CE303" s="1758"/>
      <c r="CF303" s="1758"/>
      <c r="CG303" s="1758"/>
      <c r="CH303" s="1758"/>
      <c r="CI303" s="1758"/>
      <c r="CJ303" s="1758"/>
      <c r="CK303" s="1758"/>
      <c r="CL303" s="1758"/>
      <c r="CM303" s="1758"/>
      <c r="CN303" s="1758"/>
      <c r="CO303" s="1758"/>
      <c r="CP303" s="1758"/>
      <c r="CQ303" s="1758"/>
      <c r="CR303" s="1758"/>
      <c r="CS303" s="1758"/>
      <c r="CT303" s="1758"/>
      <c r="CU303" s="1758"/>
      <c r="CV303" s="1758"/>
      <c r="CW303" s="1758"/>
      <c r="CX303" s="1758"/>
      <c r="CY303" s="1758"/>
      <c r="CZ303" s="1758"/>
      <c r="DA303" s="1758"/>
      <c r="DB303" s="1758"/>
      <c r="DC303" s="1758"/>
    </row>
    <row r="304" spans="1:107" s="1395" customFormat="1" ht="21.75" customHeight="1">
      <c r="A304" s="10827"/>
      <c r="B304" s="10732"/>
      <c r="C304" s="10729"/>
      <c r="D304" s="10729"/>
      <c r="E304" s="10729"/>
      <c r="F304" s="10745"/>
      <c r="G304" s="10729"/>
      <c r="H304" s="10729"/>
      <c r="I304" s="10729"/>
      <c r="J304" s="10729"/>
      <c r="K304" s="10736"/>
      <c r="L304" s="10739"/>
      <c r="M304" s="10739"/>
      <c r="N304" s="10739"/>
      <c r="O304" s="10736"/>
      <c r="P304" s="10736"/>
      <c r="Q304" s="10751"/>
      <c r="R304" s="5175"/>
      <c r="S304" s="5215"/>
      <c r="T304" s="5215"/>
      <c r="U304" s="5251"/>
      <c r="V304" s="5282"/>
      <c r="W304" s="5303"/>
      <c r="X304" s="7479"/>
      <c r="Y304" s="7479"/>
      <c r="Z304" s="7479"/>
      <c r="AA304" s="7480"/>
      <c r="AB304" s="5326"/>
      <c r="AC304" s="1399"/>
      <c r="AD304" s="5303"/>
      <c r="AE304" s="5348"/>
      <c r="AF304" s="5348"/>
      <c r="AG304" s="10778"/>
      <c r="AH304" s="1758"/>
      <c r="AI304" s="1758"/>
      <c r="AJ304" s="1758"/>
      <c r="AK304" s="1758"/>
      <c r="AL304" s="1758"/>
      <c r="AM304" s="1758"/>
      <c r="AN304" s="1758"/>
      <c r="AO304" s="1758"/>
      <c r="AP304" s="1758"/>
      <c r="AQ304" s="1758"/>
      <c r="AR304" s="1758"/>
      <c r="AS304" s="1758"/>
      <c r="AT304" s="1758"/>
      <c r="AU304" s="1758"/>
      <c r="AV304" s="1758"/>
      <c r="AW304" s="1758"/>
      <c r="AX304" s="1758"/>
      <c r="AY304" s="1758"/>
      <c r="AZ304" s="1758"/>
      <c r="BA304" s="1758"/>
      <c r="BB304" s="1758"/>
      <c r="BC304" s="1758"/>
      <c r="BD304" s="1758"/>
      <c r="BE304" s="1758"/>
      <c r="BF304" s="1758"/>
      <c r="BG304" s="1758"/>
      <c r="BH304" s="1758"/>
      <c r="BI304" s="1758"/>
      <c r="BJ304" s="1758"/>
      <c r="BK304" s="1758"/>
      <c r="BL304" s="1758"/>
      <c r="BM304" s="1758"/>
      <c r="BN304" s="1758"/>
      <c r="BO304" s="1758"/>
      <c r="BP304" s="1758"/>
      <c r="BQ304" s="1758"/>
      <c r="BR304" s="1758"/>
      <c r="BS304" s="1758"/>
      <c r="BT304" s="1758"/>
      <c r="BU304" s="1758"/>
      <c r="BV304" s="1758"/>
      <c r="BW304" s="1758"/>
      <c r="BX304" s="1758"/>
      <c r="BY304" s="1758"/>
      <c r="BZ304" s="1758"/>
      <c r="CA304" s="1758"/>
      <c r="CB304" s="1758"/>
      <c r="CC304" s="1758"/>
      <c r="CD304" s="1758"/>
      <c r="CE304" s="1758"/>
      <c r="CF304" s="1758"/>
      <c r="CG304" s="1758"/>
      <c r="CH304" s="1758"/>
      <c r="CI304" s="1758"/>
      <c r="CJ304" s="1758"/>
      <c r="CK304" s="1758"/>
      <c r="CL304" s="1758"/>
      <c r="CM304" s="1758"/>
      <c r="CN304" s="1758"/>
      <c r="CO304" s="1758"/>
      <c r="CP304" s="1758"/>
      <c r="CQ304" s="1758"/>
      <c r="CR304" s="1758"/>
      <c r="CS304" s="1758"/>
      <c r="CT304" s="1758"/>
      <c r="CU304" s="1758"/>
      <c r="CV304" s="1758"/>
      <c r="CW304" s="1758"/>
      <c r="CX304" s="1758"/>
      <c r="CY304" s="1758"/>
      <c r="CZ304" s="1758"/>
      <c r="DA304" s="1758"/>
      <c r="DB304" s="1758"/>
      <c r="DC304" s="1758"/>
    </row>
    <row r="305" spans="1:107" s="1395" customFormat="1" ht="22.5" customHeight="1">
      <c r="A305" s="10827"/>
      <c r="B305" s="10731" t="s">
        <v>183</v>
      </c>
      <c r="C305" s="10728" t="s">
        <v>227</v>
      </c>
      <c r="D305" s="10728" t="s">
        <v>228</v>
      </c>
      <c r="E305" s="10728" t="s">
        <v>255</v>
      </c>
      <c r="F305" s="10744" t="s">
        <v>230</v>
      </c>
      <c r="G305" s="10728" t="s">
        <v>132</v>
      </c>
      <c r="H305" s="10728" t="s">
        <v>189</v>
      </c>
      <c r="I305" s="10728" t="s">
        <v>5032</v>
      </c>
      <c r="J305" s="10742" t="s">
        <v>4647</v>
      </c>
      <c r="K305" s="10735" t="s">
        <v>5033</v>
      </c>
      <c r="L305" s="10738">
        <v>0</v>
      </c>
      <c r="M305" s="10738">
        <v>1</v>
      </c>
      <c r="N305" s="10738">
        <v>1</v>
      </c>
      <c r="O305" s="10735" t="s">
        <v>5034</v>
      </c>
      <c r="P305" s="10735" t="s">
        <v>5035</v>
      </c>
      <c r="Q305" s="10750" t="s">
        <v>4998</v>
      </c>
      <c r="R305" s="5173"/>
      <c r="S305" s="5212"/>
      <c r="T305" s="5212"/>
      <c r="U305" s="5249"/>
      <c r="V305" s="5281"/>
      <c r="W305" s="5302"/>
      <c r="X305" s="7477"/>
      <c r="Y305" s="7477"/>
      <c r="Z305" s="7477"/>
      <c r="AA305" s="7478"/>
      <c r="AB305" s="5325"/>
      <c r="AC305" s="1398"/>
      <c r="AD305" s="5302"/>
      <c r="AE305" s="5349"/>
      <c r="AF305" s="5349"/>
      <c r="AG305" s="10777"/>
      <c r="AH305" s="1758"/>
      <c r="AI305" s="1758"/>
      <c r="AJ305" s="1758"/>
      <c r="AK305" s="1758"/>
      <c r="AL305" s="1758"/>
      <c r="AM305" s="1758"/>
      <c r="AN305" s="1758"/>
      <c r="AO305" s="1758"/>
      <c r="AP305" s="1758"/>
      <c r="AQ305" s="1758"/>
      <c r="AR305" s="1758"/>
      <c r="AS305" s="1758"/>
      <c r="AT305" s="1758"/>
      <c r="AU305" s="1758"/>
      <c r="AV305" s="1758"/>
      <c r="AW305" s="1758"/>
      <c r="AX305" s="1758"/>
      <c r="AY305" s="1758"/>
      <c r="AZ305" s="1758"/>
      <c r="BA305" s="1758"/>
      <c r="BB305" s="1758"/>
      <c r="BC305" s="1758"/>
      <c r="BD305" s="1758"/>
      <c r="BE305" s="1758"/>
      <c r="BF305" s="1758"/>
      <c r="BG305" s="1758"/>
      <c r="BH305" s="1758"/>
      <c r="BI305" s="1758"/>
      <c r="BJ305" s="1758"/>
      <c r="BK305" s="1758"/>
      <c r="BL305" s="1758"/>
      <c r="BM305" s="1758"/>
      <c r="BN305" s="1758"/>
      <c r="BO305" s="1758"/>
      <c r="BP305" s="1758"/>
      <c r="BQ305" s="1758"/>
      <c r="BR305" s="1758"/>
      <c r="BS305" s="1758"/>
      <c r="BT305" s="1758"/>
      <c r="BU305" s="1758"/>
      <c r="BV305" s="1758"/>
      <c r="BW305" s="1758"/>
      <c r="BX305" s="1758"/>
      <c r="BY305" s="1758"/>
      <c r="BZ305" s="1758"/>
      <c r="CA305" s="1758"/>
      <c r="CB305" s="1758"/>
      <c r="CC305" s="1758"/>
      <c r="CD305" s="1758"/>
      <c r="CE305" s="1758"/>
      <c r="CF305" s="1758"/>
      <c r="CG305" s="1758"/>
      <c r="CH305" s="1758"/>
      <c r="CI305" s="1758"/>
      <c r="CJ305" s="1758"/>
      <c r="CK305" s="1758"/>
      <c r="CL305" s="1758"/>
      <c r="CM305" s="1758"/>
      <c r="CN305" s="1758"/>
      <c r="CO305" s="1758"/>
      <c r="CP305" s="1758"/>
      <c r="CQ305" s="1758"/>
      <c r="CR305" s="1758"/>
      <c r="CS305" s="1758"/>
      <c r="CT305" s="1758"/>
      <c r="CU305" s="1758"/>
      <c r="CV305" s="1758"/>
      <c r="CW305" s="1758"/>
      <c r="CX305" s="1758"/>
      <c r="CY305" s="1758"/>
      <c r="CZ305" s="1758"/>
      <c r="DA305" s="1758"/>
      <c r="DB305" s="1758"/>
      <c r="DC305" s="1758"/>
    </row>
    <row r="306" spans="1:107" s="1395" customFormat="1" ht="22.5" customHeight="1">
      <c r="A306" s="10827"/>
      <c r="B306" s="10731"/>
      <c r="C306" s="10728"/>
      <c r="D306" s="10728"/>
      <c r="E306" s="10728"/>
      <c r="F306" s="10744"/>
      <c r="G306" s="10728"/>
      <c r="H306" s="10728"/>
      <c r="I306" s="10728"/>
      <c r="J306" s="10728"/>
      <c r="K306" s="10735"/>
      <c r="L306" s="10738"/>
      <c r="M306" s="10738"/>
      <c r="N306" s="10738"/>
      <c r="O306" s="10735"/>
      <c r="P306" s="10735"/>
      <c r="Q306" s="10750"/>
      <c r="R306" s="5171"/>
      <c r="S306" s="5213"/>
      <c r="T306" s="5213"/>
      <c r="U306" s="5247"/>
      <c r="V306" s="5279"/>
      <c r="W306" s="5300"/>
      <c r="X306" s="7473"/>
      <c r="Y306" s="7473"/>
      <c r="Z306" s="7473"/>
      <c r="AA306" s="7474"/>
      <c r="AB306" s="5323"/>
      <c r="AC306" s="1396"/>
      <c r="AD306" s="5300"/>
      <c r="AE306" s="5346"/>
      <c r="AF306" s="5346"/>
      <c r="AG306" s="10777"/>
      <c r="AH306" s="1758"/>
      <c r="AI306" s="1758"/>
      <c r="AJ306" s="1758"/>
      <c r="AK306" s="1758"/>
      <c r="AL306" s="1758"/>
      <c r="AM306" s="1758"/>
      <c r="AN306" s="1758"/>
      <c r="AO306" s="1758"/>
      <c r="AP306" s="1758"/>
      <c r="AQ306" s="1758"/>
      <c r="AR306" s="1758"/>
      <c r="AS306" s="1758"/>
      <c r="AT306" s="1758"/>
      <c r="AU306" s="1758"/>
      <c r="AV306" s="1758"/>
      <c r="AW306" s="1758"/>
      <c r="AX306" s="1758"/>
      <c r="AY306" s="1758"/>
      <c r="AZ306" s="1758"/>
      <c r="BA306" s="1758"/>
      <c r="BB306" s="1758"/>
      <c r="BC306" s="1758"/>
      <c r="BD306" s="1758"/>
      <c r="BE306" s="1758"/>
      <c r="BF306" s="1758"/>
      <c r="BG306" s="1758"/>
      <c r="BH306" s="1758"/>
      <c r="BI306" s="1758"/>
      <c r="BJ306" s="1758"/>
      <c r="BK306" s="1758"/>
      <c r="BL306" s="1758"/>
      <c r="BM306" s="1758"/>
      <c r="BN306" s="1758"/>
      <c r="BO306" s="1758"/>
      <c r="BP306" s="1758"/>
      <c r="BQ306" s="1758"/>
      <c r="BR306" s="1758"/>
      <c r="BS306" s="1758"/>
      <c r="BT306" s="1758"/>
      <c r="BU306" s="1758"/>
      <c r="BV306" s="1758"/>
      <c r="BW306" s="1758"/>
      <c r="BX306" s="1758"/>
      <c r="BY306" s="1758"/>
      <c r="BZ306" s="1758"/>
      <c r="CA306" s="1758"/>
      <c r="CB306" s="1758"/>
      <c r="CC306" s="1758"/>
      <c r="CD306" s="1758"/>
      <c r="CE306" s="1758"/>
      <c r="CF306" s="1758"/>
      <c r="CG306" s="1758"/>
      <c r="CH306" s="1758"/>
      <c r="CI306" s="1758"/>
      <c r="CJ306" s="1758"/>
      <c r="CK306" s="1758"/>
      <c r="CL306" s="1758"/>
      <c r="CM306" s="1758"/>
      <c r="CN306" s="1758"/>
      <c r="CO306" s="1758"/>
      <c r="CP306" s="1758"/>
      <c r="CQ306" s="1758"/>
      <c r="CR306" s="1758"/>
      <c r="CS306" s="1758"/>
      <c r="CT306" s="1758"/>
      <c r="CU306" s="1758"/>
      <c r="CV306" s="1758"/>
      <c r="CW306" s="1758"/>
      <c r="CX306" s="1758"/>
      <c r="CY306" s="1758"/>
      <c r="CZ306" s="1758"/>
      <c r="DA306" s="1758"/>
      <c r="DB306" s="1758"/>
      <c r="DC306" s="1758"/>
    </row>
    <row r="307" spans="1:107" s="1395" customFormat="1" ht="22.5" customHeight="1">
      <c r="A307" s="10827"/>
      <c r="B307" s="10731"/>
      <c r="C307" s="10728"/>
      <c r="D307" s="10728"/>
      <c r="E307" s="10728"/>
      <c r="F307" s="10744"/>
      <c r="G307" s="10728"/>
      <c r="H307" s="10728"/>
      <c r="I307" s="10728"/>
      <c r="J307" s="10728"/>
      <c r="K307" s="10735"/>
      <c r="L307" s="10738"/>
      <c r="M307" s="10738"/>
      <c r="N307" s="10738"/>
      <c r="O307" s="10735"/>
      <c r="P307" s="10735"/>
      <c r="Q307" s="10750"/>
      <c r="R307" s="5174"/>
      <c r="S307" s="5214"/>
      <c r="T307" s="5214"/>
      <c r="U307" s="5250"/>
      <c r="V307" s="5281"/>
      <c r="W307" s="5302"/>
      <c r="X307" s="7477"/>
      <c r="Y307" s="7473"/>
      <c r="Z307" s="7473"/>
      <c r="AA307" s="7474"/>
      <c r="AB307" s="5323"/>
      <c r="AC307" s="1396"/>
      <c r="AD307" s="5300"/>
      <c r="AE307" s="5346"/>
      <c r="AF307" s="5346"/>
      <c r="AG307" s="10777"/>
      <c r="AH307" s="1758"/>
      <c r="AI307" s="1758"/>
      <c r="AJ307" s="1758"/>
      <c r="AK307" s="1758"/>
      <c r="AL307" s="1758"/>
      <c r="AM307" s="1758"/>
      <c r="AN307" s="1758"/>
      <c r="AO307" s="1758"/>
      <c r="AP307" s="1758"/>
      <c r="AQ307" s="1758"/>
      <c r="AR307" s="1758"/>
      <c r="AS307" s="1758"/>
      <c r="AT307" s="1758"/>
      <c r="AU307" s="1758"/>
      <c r="AV307" s="1758"/>
      <c r="AW307" s="1758"/>
      <c r="AX307" s="1758"/>
      <c r="AY307" s="1758"/>
      <c r="AZ307" s="1758"/>
      <c r="BA307" s="1758"/>
      <c r="BB307" s="1758"/>
      <c r="BC307" s="1758"/>
      <c r="BD307" s="1758"/>
      <c r="BE307" s="1758"/>
      <c r="BF307" s="1758"/>
      <c r="BG307" s="1758"/>
      <c r="BH307" s="1758"/>
      <c r="BI307" s="1758"/>
      <c r="BJ307" s="1758"/>
      <c r="BK307" s="1758"/>
      <c r="BL307" s="1758"/>
      <c r="BM307" s="1758"/>
      <c r="BN307" s="1758"/>
      <c r="BO307" s="1758"/>
      <c r="BP307" s="1758"/>
      <c r="BQ307" s="1758"/>
      <c r="BR307" s="1758"/>
      <c r="BS307" s="1758"/>
      <c r="BT307" s="1758"/>
      <c r="BU307" s="1758"/>
      <c r="BV307" s="1758"/>
      <c r="BW307" s="1758"/>
      <c r="BX307" s="1758"/>
      <c r="BY307" s="1758"/>
      <c r="BZ307" s="1758"/>
      <c r="CA307" s="1758"/>
      <c r="CB307" s="1758"/>
      <c r="CC307" s="1758"/>
      <c r="CD307" s="1758"/>
      <c r="CE307" s="1758"/>
      <c r="CF307" s="1758"/>
      <c r="CG307" s="1758"/>
      <c r="CH307" s="1758"/>
      <c r="CI307" s="1758"/>
      <c r="CJ307" s="1758"/>
      <c r="CK307" s="1758"/>
      <c r="CL307" s="1758"/>
      <c r="CM307" s="1758"/>
      <c r="CN307" s="1758"/>
      <c r="CO307" s="1758"/>
      <c r="CP307" s="1758"/>
      <c r="CQ307" s="1758"/>
      <c r="CR307" s="1758"/>
      <c r="CS307" s="1758"/>
      <c r="CT307" s="1758"/>
      <c r="CU307" s="1758"/>
      <c r="CV307" s="1758"/>
      <c r="CW307" s="1758"/>
      <c r="CX307" s="1758"/>
      <c r="CY307" s="1758"/>
      <c r="CZ307" s="1758"/>
      <c r="DA307" s="1758"/>
      <c r="DB307" s="1758"/>
      <c r="DC307" s="1758"/>
    </row>
    <row r="308" spans="1:107" s="1395" customFormat="1" ht="22.5" customHeight="1">
      <c r="A308" s="10827"/>
      <c r="B308" s="10731"/>
      <c r="C308" s="10728"/>
      <c r="D308" s="10728"/>
      <c r="E308" s="10728"/>
      <c r="F308" s="10744"/>
      <c r="G308" s="10728"/>
      <c r="H308" s="10728"/>
      <c r="I308" s="10728"/>
      <c r="J308" s="10728"/>
      <c r="K308" s="10735"/>
      <c r="L308" s="10738"/>
      <c r="M308" s="10738"/>
      <c r="N308" s="10738"/>
      <c r="O308" s="10735"/>
      <c r="P308" s="10735"/>
      <c r="Q308" s="10750"/>
      <c r="R308" s="5173"/>
      <c r="S308" s="5212"/>
      <c r="T308" s="5212"/>
      <c r="U308" s="5250"/>
      <c r="V308" s="5281"/>
      <c r="W308" s="5302"/>
      <c r="X308" s="7477"/>
      <c r="Y308" s="7473"/>
      <c r="Z308" s="7473"/>
      <c r="AA308" s="7474"/>
      <c r="AB308" s="5323"/>
      <c r="AC308" s="1396"/>
      <c r="AD308" s="5300"/>
      <c r="AE308" s="5346"/>
      <c r="AF308" s="5346"/>
      <c r="AG308" s="10777"/>
      <c r="AH308" s="1758"/>
      <c r="AI308" s="1758"/>
      <c r="AJ308" s="1758"/>
      <c r="AK308" s="1758"/>
      <c r="AL308" s="1758"/>
      <c r="AM308" s="1758"/>
      <c r="AN308" s="1758"/>
      <c r="AO308" s="1758"/>
      <c r="AP308" s="1758"/>
      <c r="AQ308" s="1758"/>
      <c r="AR308" s="1758"/>
      <c r="AS308" s="1758"/>
      <c r="AT308" s="1758"/>
      <c r="AU308" s="1758"/>
      <c r="AV308" s="1758"/>
      <c r="AW308" s="1758"/>
      <c r="AX308" s="1758"/>
      <c r="AY308" s="1758"/>
      <c r="AZ308" s="1758"/>
      <c r="BA308" s="1758"/>
      <c r="BB308" s="1758"/>
      <c r="BC308" s="1758"/>
      <c r="BD308" s="1758"/>
      <c r="BE308" s="1758"/>
      <c r="BF308" s="1758"/>
      <c r="BG308" s="1758"/>
      <c r="BH308" s="1758"/>
      <c r="BI308" s="1758"/>
      <c r="BJ308" s="1758"/>
      <c r="BK308" s="1758"/>
      <c r="BL308" s="1758"/>
      <c r="BM308" s="1758"/>
      <c r="BN308" s="1758"/>
      <c r="BO308" s="1758"/>
      <c r="BP308" s="1758"/>
      <c r="BQ308" s="1758"/>
      <c r="BR308" s="1758"/>
      <c r="BS308" s="1758"/>
      <c r="BT308" s="1758"/>
      <c r="BU308" s="1758"/>
      <c r="BV308" s="1758"/>
      <c r="BW308" s="1758"/>
      <c r="BX308" s="1758"/>
      <c r="BY308" s="1758"/>
      <c r="BZ308" s="1758"/>
      <c r="CA308" s="1758"/>
      <c r="CB308" s="1758"/>
      <c r="CC308" s="1758"/>
      <c r="CD308" s="1758"/>
      <c r="CE308" s="1758"/>
      <c r="CF308" s="1758"/>
      <c r="CG308" s="1758"/>
      <c r="CH308" s="1758"/>
      <c r="CI308" s="1758"/>
      <c r="CJ308" s="1758"/>
      <c r="CK308" s="1758"/>
      <c r="CL308" s="1758"/>
      <c r="CM308" s="1758"/>
      <c r="CN308" s="1758"/>
      <c r="CO308" s="1758"/>
      <c r="CP308" s="1758"/>
      <c r="CQ308" s="1758"/>
      <c r="CR308" s="1758"/>
      <c r="CS308" s="1758"/>
      <c r="CT308" s="1758"/>
      <c r="CU308" s="1758"/>
      <c r="CV308" s="1758"/>
      <c r="CW308" s="1758"/>
      <c r="CX308" s="1758"/>
      <c r="CY308" s="1758"/>
      <c r="CZ308" s="1758"/>
      <c r="DA308" s="1758"/>
      <c r="DB308" s="1758"/>
      <c r="DC308" s="1758"/>
    </row>
    <row r="309" spans="1:107" s="1395" customFormat="1" ht="22.5" customHeight="1">
      <c r="A309" s="10827"/>
      <c r="B309" s="10732"/>
      <c r="C309" s="10729"/>
      <c r="D309" s="10729"/>
      <c r="E309" s="10729"/>
      <c r="F309" s="10745"/>
      <c r="G309" s="10729"/>
      <c r="H309" s="10729"/>
      <c r="I309" s="10729"/>
      <c r="J309" s="10729"/>
      <c r="K309" s="10736"/>
      <c r="L309" s="10739"/>
      <c r="M309" s="10739"/>
      <c r="N309" s="10739"/>
      <c r="O309" s="10736"/>
      <c r="P309" s="10736"/>
      <c r="Q309" s="10751"/>
      <c r="R309" s="5175"/>
      <c r="S309" s="5215"/>
      <c r="T309" s="5215"/>
      <c r="U309" s="5251"/>
      <c r="V309" s="5282"/>
      <c r="W309" s="5303"/>
      <c r="X309" s="7479"/>
      <c r="Y309" s="7479"/>
      <c r="Z309" s="7479"/>
      <c r="AA309" s="7480"/>
      <c r="AB309" s="5326"/>
      <c r="AC309" s="1399"/>
      <c r="AD309" s="5303"/>
      <c r="AE309" s="5348"/>
      <c r="AF309" s="5348"/>
      <c r="AG309" s="10778"/>
      <c r="AH309" s="1758"/>
      <c r="AI309" s="1758"/>
      <c r="AJ309" s="1758"/>
      <c r="AK309" s="1758"/>
      <c r="AL309" s="1758"/>
      <c r="AM309" s="1758"/>
      <c r="AN309" s="1758"/>
      <c r="AO309" s="1758"/>
      <c r="AP309" s="1758"/>
      <c r="AQ309" s="1758"/>
      <c r="AR309" s="1758"/>
      <c r="AS309" s="1758"/>
      <c r="AT309" s="1758"/>
      <c r="AU309" s="1758"/>
      <c r="AV309" s="1758"/>
      <c r="AW309" s="1758"/>
      <c r="AX309" s="1758"/>
      <c r="AY309" s="1758"/>
      <c r="AZ309" s="1758"/>
      <c r="BA309" s="1758"/>
      <c r="BB309" s="1758"/>
      <c r="BC309" s="1758"/>
      <c r="BD309" s="1758"/>
      <c r="BE309" s="1758"/>
      <c r="BF309" s="1758"/>
      <c r="BG309" s="1758"/>
      <c r="BH309" s="1758"/>
      <c r="BI309" s="1758"/>
      <c r="BJ309" s="1758"/>
      <c r="BK309" s="1758"/>
      <c r="BL309" s="1758"/>
      <c r="BM309" s="1758"/>
      <c r="BN309" s="1758"/>
      <c r="BO309" s="1758"/>
      <c r="BP309" s="1758"/>
      <c r="BQ309" s="1758"/>
      <c r="BR309" s="1758"/>
      <c r="BS309" s="1758"/>
      <c r="BT309" s="1758"/>
      <c r="BU309" s="1758"/>
      <c r="BV309" s="1758"/>
      <c r="BW309" s="1758"/>
      <c r="BX309" s="1758"/>
      <c r="BY309" s="1758"/>
      <c r="BZ309" s="1758"/>
      <c r="CA309" s="1758"/>
      <c r="CB309" s="1758"/>
      <c r="CC309" s="1758"/>
      <c r="CD309" s="1758"/>
      <c r="CE309" s="1758"/>
      <c r="CF309" s="1758"/>
      <c r="CG309" s="1758"/>
      <c r="CH309" s="1758"/>
      <c r="CI309" s="1758"/>
      <c r="CJ309" s="1758"/>
      <c r="CK309" s="1758"/>
      <c r="CL309" s="1758"/>
      <c r="CM309" s="1758"/>
      <c r="CN309" s="1758"/>
      <c r="CO309" s="1758"/>
      <c r="CP309" s="1758"/>
      <c r="CQ309" s="1758"/>
      <c r="CR309" s="1758"/>
      <c r="CS309" s="1758"/>
      <c r="CT309" s="1758"/>
      <c r="CU309" s="1758"/>
      <c r="CV309" s="1758"/>
      <c r="CW309" s="1758"/>
      <c r="CX309" s="1758"/>
      <c r="CY309" s="1758"/>
      <c r="CZ309" s="1758"/>
      <c r="DA309" s="1758"/>
      <c r="DB309" s="1758"/>
      <c r="DC309" s="1758"/>
    </row>
    <row r="310" spans="1:107" s="1395" customFormat="1" ht="21.75" customHeight="1">
      <c r="A310" s="10827"/>
      <c r="B310" s="10731" t="s">
        <v>183</v>
      </c>
      <c r="C310" s="10728" t="s">
        <v>227</v>
      </c>
      <c r="D310" s="10728" t="s">
        <v>490</v>
      </c>
      <c r="E310" s="10728" t="s">
        <v>2210</v>
      </c>
      <c r="F310" s="10744" t="s">
        <v>230</v>
      </c>
      <c r="G310" s="10728" t="s">
        <v>132</v>
      </c>
      <c r="H310" s="10728" t="s">
        <v>189</v>
      </c>
      <c r="I310" s="10728" t="s">
        <v>5036</v>
      </c>
      <c r="J310" s="10742" t="s">
        <v>4652</v>
      </c>
      <c r="K310" s="10735" t="s">
        <v>5037</v>
      </c>
      <c r="L310" s="10738">
        <v>0</v>
      </c>
      <c r="M310" s="10738">
        <v>16</v>
      </c>
      <c r="N310" s="10738">
        <v>16</v>
      </c>
      <c r="O310" s="10735" t="s">
        <v>5038</v>
      </c>
      <c r="P310" s="10735" t="s">
        <v>5039</v>
      </c>
      <c r="Q310" s="10750" t="s">
        <v>5040</v>
      </c>
      <c r="R310" s="5173"/>
      <c r="S310" s="5212"/>
      <c r="T310" s="5212"/>
      <c r="U310" s="5249"/>
      <c r="V310" s="5281"/>
      <c r="W310" s="5302"/>
      <c r="X310" s="7477"/>
      <c r="Y310" s="7477"/>
      <c r="Z310" s="7477"/>
      <c r="AA310" s="7478"/>
      <c r="AB310" s="5325"/>
      <c r="AC310" s="1398"/>
      <c r="AD310" s="5302"/>
      <c r="AE310" s="5349"/>
      <c r="AF310" s="5349"/>
      <c r="AG310" s="10777"/>
      <c r="AH310" s="1758"/>
      <c r="AI310" s="1758"/>
      <c r="AJ310" s="1758"/>
      <c r="AK310" s="1758"/>
      <c r="AL310" s="1758"/>
      <c r="AM310" s="1758"/>
      <c r="AN310" s="1758"/>
      <c r="AO310" s="1758"/>
      <c r="AP310" s="1758"/>
      <c r="AQ310" s="1758"/>
      <c r="AR310" s="1758"/>
      <c r="AS310" s="1758"/>
      <c r="AT310" s="1758"/>
      <c r="AU310" s="1758"/>
      <c r="AV310" s="1758"/>
      <c r="AW310" s="1758"/>
      <c r="AX310" s="1758"/>
      <c r="AY310" s="1758"/>
      <c r="AZ310" s="1758"/>
      <c r="BA310" s="1758"/>
      <c r="BB310" s="1758"/>
      <c r="BC310" s="1758"/>
      <c r="BD310" s="1758"/>
      <c r="BE310" s="1758"/>
      <c r="BF310" s="1758"/>
      <c r="BG310" s="1758"/>
      <c r="BH310" s="1758"/>
      <c r="BI310" s="1758"/>
      <c r="BJ310" s="1758"/>
      <c r="BK310" s="1758"/>
      <c r="BL310" s="1758"/>
      <c r="BM310" s="1758"/>
      <c r="BN310" s="1758"/>
      <c r="BO310" s="1758"/>
      <c r="BP310" s="1758"/>
      <c r="BQ310" s="1758"/>
      <c r="BR310" s="1758"/>
      <c r="BS310" s="1758"/>
      <c r="BT310" s="1758"/>
      <c r="BU310" s="1758"/>
      <c r="BV310" s="1758"/>
      <c r="BW310" s="1758"/>
      <c r="BX310" s="1758"/>
      <c r="BY310" s="1758"/>
      <c r="BZ310" s="1758"/>
      <c r="CA310" s="1758"/>
      <c r="CB310" s="1758"/>
      <c r="CC310" s="1758"/>
      <c r="CD310" s="1758"/>
      <c r="CE310" s="1758"/>
      <c r="CF310" s="1758"/>
      <c r="CG310" s="1758"/>
      <c r="CH310" s="1758"/>
      <c r="CI310" s="1758"/>
      <c r="CJ310" s="1758"/>
      <c r="CK310" s="1758"/>
      <c r="CL310" s="1758"/>
      <c r="CM310" s="1758"/>
      <c r="CN310" s="1758"/>
      <c r="CO310" s="1758"/>
      <c r="CP310" s="1758"/>
      <c r="CQ310" s="1758"/>
      <c r="CR310" s="1758"/>
      <c r="CS310" s="1758"/>
      <c r="CT310" s="1758"/>
      <c r="CU310" s="1758"/>
      <c r="CV310" s="1758"/>
      <c r="CW310" s="1758"/>
      <c r="CX310" s="1758"/>
      <c r="CY310" s="1758"/>
      <c r="CZ310" s="1758"/>
      <c r="DA310" s="1758"/>
      <c r="DB310" s="1758"/>
      <c r="DC310" s="1758"/>
    </row>
    <row r="311" spans="1:107" s="1395" customFormat="1" ht="21.75" customHeight="1">
      <c r="A311" s="10827"/>
      <c r="B311" s="10731"/>
      <c r="C311" s="10728"/>
      <c r="D311" s="10728"/>
      <c r="E311" s="10728"/>
      <c r="F311" s="10744"/>
      <c r="G311" s="10728"/>
      <c r="H311" s="10728"/>
      <c r="I311" s="10728"/>
      <c r="J311" s="10728"/>
      <c r="K311" s="10735"/>
      <c r="L311" s="10738"/>
      <c r="M311" s="10738"/>
      <c r="N311" s="10738"/>
      <c r="O311" s="10735"/>
      <c r="P311" s="10735"/>
      <c r="Q311" s="10750"/>
      <c r="R311" s="5171"/>
      <c r="S311" s="5213"/>
      <c r="T311" s="5213"/>
      <c r="U311" s="5247"/>
      <c r="V311" s="5279"/>
      <c r="W311" s="5300"/>
      <c r="X311" s="7473"/>
      <c r="Y311" s="7473"/>
      <c r="Z311" s="7473"/>
      <c r="AA311" s="7474"/>
      <c r="AB311" s="5323"/>
      <c r="AC311" s="1396"/>
      <c r="AD311" s="5300"/>
      <c r="AE311" s="5346"/>
      <c r="AF311" s="5346"/>
      <c r="AG311" s="10777"/>
      <c r="AH311" s="1758"/>
      <c r="AI311" s="1758"/>
      <c r="AJ311" s="1758"/>
      <c r="AK311" s="1758"/>
      <c r="AL311" s="1758"/>
      <c r="AM311" s="1758"/>
      <c r="AN311" s="1758"/>
      <c r="AO311" s="1758"/>
      <c r="AP311" s="1758"/>
      <c r="AQ311" s="1758"/>
      <c r="AR311" s="1758"/>
      <c r="AS311" s="1758"/>
      <c r="AT311" s="1758"/>
      <c r="AU311" s="1758"/>
      <c r="AV311" s="1758"/>
      <c r="AW311" s="1758"/>
      <c r="AX311" s="1758"/>
      <c r="AY311" s="1758"/>
      <c r="AZ311" s="1758"/>
      <c r="BA311" s="1758"/>
      <c r="BB311" s="1758"/>
      <c r="BC311" s="1758"/>
      <c r="BD311" s="1758"/>
      <c r="BE311" s="1758"/>
      <c r="BF311" s="1758"/>
      <c r="BG311" s="1758"/>
      <c r="BH311" s="1758"/>
      <c r="BI311" s="1758"/>
      <c r="BJ311" s="1758"/>
      <c r="BK311" s="1758"/>
      <c r="BL311" s="1758"/>
      <c r="BM311" s="1758"/>
      <c r="BN311" s="1758"/>
      <c r="BO311" s="1758"/>
      <c r="BP311" s="1758"/>
      <c r="BQ311" s="1758"/>
      <c r="BR311" s="1758"/>
      <c r="BS311" s="1758"/>
      <c r="BT311" s="1758"/>
      <c r="BU311" s="1758"/>
      <c r="BV311" s="1758"/>
      <c r="BW311" s="1758"/>
      <c r="BX311" s="1758"/>
      <c r="BY311" s="1758"/>
      <c r="BZ311" s="1758"/>
      <c r="CA311" s="1758"/>
      <c r="CB311" s="1758"/>
      <c r="CC311" s="1758"/>
      <c r="CD311" s="1758"/>
      <c r="CE311" s="1758"/>
      <c r="CF311" s="1758"/>
      <c r="CG311" s="1758"/>
      <c r="CH311" s="1758"/>
      <c r="CI311" s="1758"/>
      <c r="CJ311" s="1758"/>
      <c r="CK311" s="1758"/>
      <c r="CL311" s="1758"/>
      <c r="CM311" s="1758"/>
      <c r="CN311" s="1758"/>
      <c r="CO311" s="1758"/>
      <c r="CP311" s="1758"/>
      <c r="CQ311" s="1758"/>
      <c r="CR311" s="1758"/>
      <c r="CS311" s="1758"/>
      <c r="CT311" s="1758"/>
      <c r="CU311" s="1758"/>
      <c r="CV311" s="1758"/>
      <c r="CW311" s="1758"/>
      <c r="CX311" s="1758"/>
      <c r="CY311" s="1758"/>
      <c r="CZ311" s="1758"/>
      <c r="DA311" s="1758"/>
      <c r="DB311" s="1758"/>
      <c r="DC311" s="1758"/>
    </row>
    <row r="312" spans="1:107" s="1395" customFormat="1" ht="21.75" customHeight="1">
      <c r="A312" s="10827"/>
      <c r="B312" s="10731"/>
      <c r="C312" s="10728"/>
      <c r="D312" s="10728"/>
      <c r="E312" s="10728"/>
      <c r="F312" s="10744"/>
      <c r="G312" s="10728"/>
      <c r="H312" s="10728"/>
      <c r="I312" s="10728"/>
      <c r="J312" s="10728"/>
      <c r="K312" s="10735"/>
      <c r="L312" s="10738"/>
      <c r="M312" s="10738"/>
      <c r="N312" s="10738"/>
      <c r="O312" s="10735"/>
      <c r="P312" s="10735"/>
      <c r="Q312" s="10750"/>
      <c r="R312" s="5174"/>
      <c r="S312" s="5214"/>
      <c r="T312" s="5214"/>
      <c r="U312" s="5250"/>
      <c r="V312" s="5281"/>
      <c r="W312" s="5302"/>
      <c r="X312" s="7477"/>
      <c r="Y312" s="7473"/>
      <c r="Z312" s="7473"/>
      <c r="AA312" s="7474"/>
      <c r="AB312" s="5323"/>
      <c r="AC312" s="1396"/>
      <c r="AD312" s="5300"/>
      <c r="AE312" s="5346"/>
      <c r="AF312" s="5346"/>
      <c r="AG312" s="10777"/>
      <c r="AH312" s="1758"/>
      <c r="AI312" s="1758"/>
      <c r="AJ312" s="1758"/>
      <c r="AK312" s="1758"/>
      <c r="AL312" s="1758"/>
      <c r="AM312" s="1758"/>
      <c r="AN312" s="1758"/>
      <c r="AO312" s="1758"/>
      <c r="AP312" s="1758"/>
      <c r="AQ312" s="1758"/>
      <c r="AR312" s="1758"/>
      <c r="AS312" s="1758"/>
      <c r="AT312" s="1758"/>
      <c r="AU312" s="1758"/>
      <c r="AV312" s="1758"/>
      <c r="AW312" s="1758"/>
      <c r="AX312" s="1758"/>
      <c r="AY312" s="1758"/>
      <c r="AZ312" s="1758"/>
      <c r="BA312" s="1758"/>
      <c r="BB312" s="1758"/>
      <c r="BC312" s="1758"/>
      <c r="BD312" s="1758"/>
      <c r="BE312" s="1758"/>
      <c r="BF312" s="1758"/>
      <c r="BG312" s="1758"/>
      <c r="BH312" s="1758"/>
      <c r="BI312" s="1758"/>
      <c r="BJ312" s="1758"/>
      <c r="BK312" s="1758"/>
      <c r="BL312" s="1758"/>
      <c r="BM312" s="1758"/>
      <c r="BN312" s="1758"/>
      <c r="BO312" s="1758"/>
      <c r="BP312" s="1758"/>
      <c r="BQ312" s="1758"/>
      <c r="BR312" s="1758"/>
      <c r="BS312" s="1758"/>
      <c r="BT312" s="1758"/>
      <c r="BU312" s="1758"/>
      <c r="BV312" s="1758"/>
      <c r="BW312" s="1758"/>
      <c r="BX312" s="1758"/>
      <c r="BY312" s="1758"/>
      <c r="BZ312" s="1758"/>
      <c r="CA312" s="1758"/>
      <c r="CB312" s="1758"/>
      <c r="CC312" s="1758"/>
      <c r="CD312" s="1758"/>
      <c r="CE312" s="1758"/>
      <c r="CF312" s="1758"/>
      <c r="CG312" s="1758"/>
      <c r="CH312" s="1758"/>
      <c r="CI312" s="1758"/>
      <c r="CJ312" s="1758"/>
      <c r="CK312" s="1758"/>
      <c r="CL312" s="1758"/>
      <c r="CM312" s="1758"/>
      <c r="CN312" s="1758"/>
      <c r="CO312" s="1758"/>
      <c r="CP312" s="1758"/>
      <c r="CQ312" s="1758"/>
      <c r="CR312" s="1758"/>
      <c r="CS312" s="1758"/>
      <c r="CT312" s="1758"/>
      <c r="CU312" s="1758"/>
      <c r="CV312" s="1758"/>
      <c r="CW312" s="1758"/>
      <c r="CX312" s="1758"/>
      <c r="CY312" s="1758"/>
      <c r="CZ312" s="1758"/>
      <c r="DA312" s="1758"/>
      <c r="DB312" s="1758"/>
      <c r="DC312" s="1758"/>
    </row>
    <row r="313" spans="1:107" s="1395" customFormat="1" ht="21.75" customHeight="1">
      <c r="A313" s="10827"/>
      <c r="B313" s="10731"/>
      <c r="C313" s="10728"/>
      <c r="D313" s="10728"/>
      <c r="E313" s="10728"/>
      <c r="F313" s="10744"/>
      <c r="G313" s="10728"/>
      <c r="H313" s="10728"/>
      <c r="I313" s="10728"/>
      <c r="J313" s="10728"/>
      <c r="K313" s="10735"/>
      <c r="L313" s="10738"/>
      <c r="M313" s="10738"/>
      <c r="N313" s="10738"/>
      <c r="O313" s="10735"/>
      <c r="P313" s="10735"/>
      <c r="Q313" s="10750"/>
      <c r="R313" s="5173"/>
      <c r="S313" s="5212"/>
      <c r="T313" s="5212"/>
      <c r="U313" s="5250"/>
      <c r="V313" s="5281"/>
      <c r="W313" s="5302"/>
      <c r="X313" s="7477"/>
      <c r="Y313" s="7473"/>
      <c r="Z313" s="7473"/>
      <c r="AA313" s="7474"/>
      <c r="AB313" s="5323"/>
      <c r="AC313" s="1396"/>
      <c r="AD313" s="5300"/>
      <c r="AE313" s="5346"/>
      <c r="AF313" s="5346"/>
      <c r="AG313" s="10777"/>
      <c r="AH313" s="1758"/>
      <c r="AI313" s="1758"/>
      <c r="AJ313" s="1758"/>
      <c r="AK313" s="1758"/>
      <c r="AL313" s="1758"/>
      <c r="AM313" s="1758"/>
      <c r="AN313" s="1758"/>
      <c r="AO313" s="1758"/>
      <c r="AP313" s="1758"/>
      <c r="AQ313" s="1758"/>
      <c r="AR313" s="1758"/>
      <c r="AS313" s="1758"/>
      <c r="AT313" s="1758"/>
      <c r="AU313" s="1758"/>
      <c r="AV313" s="1758"/>
      <c r="AW313" s="1758"/>
      <c r="AX313" s="1758"/>
      <c r="AY313" s="1758"/>
      <c r="AZ313" s="1758"/>
      <c r="BA313" s="1758"/>
      <c r="BB313" s="1758"/>
      <c r="BC313" s="1758"/>
      <c r="BD313" s="1758"/>
      <c r="BE313" s="1758"/>
      <c r="BF313" s="1758"/>
      <c r="BG313" s="1758"/>
      <c r="BH313" s="1758"/>
      <c r="BI313" s="1758"/>
      <c r="BJ313" s="1758"/>
      <c r="BK313" s="1758"/>
      <c r="BL313" s="1758"/>
      <c r="BM313" s="1758"/>
      <c r="BN313" s="1758"/>
      <c r="BO313" s="1758"/>
      <c r="BP313" s="1758"/>
      <c r="BQ313" s="1758"/>
      <c r="BR313" s="1758"/>
      <c r="BS313" s="1758"/>
      <c r="BT313" s="1758"/>
      <c r="BU313" s="1758"/>
      <c r="BV313" s="1758"/>
      <c r="BW313" s="1758"/>
      <c r="BX313" s="1758"/>
      <c r="BY313" s="1758"/>
      <c r="BZ313" s="1758"/>
      <c r="CA313" s="1758"/>
      <c r="CB313" s="1758"/>
      <c r="CC313" s="1758"/>
      <c r="CD313" s="1758"/>
      <c r="CE313" s="1758"/>
      <c r="CF313" s="1758"/>
      <c r="CG313" s="1758"/>
      <c r="CH313" s="1758"/>
      <c r="CI313" s="1758"/>
      <c r="CJ313" s="1758"/>
      <c r="CK313" s="1758"/>
      <c r="CL313" s="1758"/>
      <c r="CM313" s="1758"/>
      <c r="CN313" s="1758"/>
      <c r="CO313" s="1758"/>
      <c r="CP313" s="1758"/>
      <c r="CQ313" s="1758"/>
      <c r="CR313" s="1758"/>
      <c r="CS313" s="1758"/>
      <c r="CT313" s="1758"/>
      <c r="CU313" s="1758"/>
      <c r="CV313" s="1758"/>
      <c r="CW313" s="1758"/>
      <c r="CX313" s="1758"/>
      <c r="CY313" s="1758"/>
      <c r="CZ313" s="1758"/>
      <c r="DA313" s="1758"/>
      <c r="DB313" s="1758"/>
      <c r="DC313" s="1758"/>
    </row>
    <row r="314" spans="1:107" s="1395" customFormat="1" ht="21.75" customHeight="1">
      <c r="A314" s="10827"/>
      <c r="B314" s="10732"/>
      <c r="C314" s="10729"/>
      <c r="D314" s="10729"/>
      <c r="E314" s="10729"/>
      <c r="F314" s="10745"/>
      <c r="G314" s="10729"/>
      <c r="H314" s="10729"/>
      <c r="I314" s="10729"/>
      <c r="J314" s="10729"/>
      <c r="K314" s="10736"/>
      <c r="L314" s="10739"/>
      <c r="M314" s="10739"/>
      <c r="N314" s="10739"/>
      <c r="O314" s="10736"/>
      <c r="P314" s="10736"/>
      <c r="Q314" s="10751"/>
      <c r="R314" s="5175"/>
      <c r="S314" s="5215"/>
      <c r="T314" s="5215"/>
      <c r="U314" s="5251"/>
      <c r="V314" s="5282"/>
      <c r="W314" s="5303"/>
      <c r="X314" s="7479"/>
      <c r="Y314" s="7479"/>
      <c r="Z314" s="7479"/>
      <c r="AA314" s="7480"/>
      <c r="AB314" s="5326"/>
      <c r="AC314" s="1399"/>
      <c r="AD314" s="5303"/>
      <c r="AE314" s="5348"/>
      <c r="AF314" s="5348"/>
      <c r="AG314" s="10778"/>
      <c r="AH314" s="1758"/>
      <c r="AI314" s="1758"/>
      <c r="AJ314" s="1758"/>
      <c r="AK314" s="1758"/>
      <c r="AL314" s="1758"/>
      <c r="AM314" s="1758"/>
      <c r="AN314" s="1758"/>
      <c r="AO314" s="1758"/>
      <c r="AP314" s="1758"/>
      <c r="AQ314" s="1758"/>
      <c r="AR314" s="1758"/>
      <c r="AS314" s="1758"/>
      <c r="AT314" s="1758"/>
      <c r="AU314" s="1758"/>
      <c r="AV314" s="1758"/>
      <c r="AW314" s="1758"/>
      <c r="AX314" s="1758"/>
      <c r="AY314" s="1758"/>
      <c r="AZ314" s="1758"/>
      <c r="BA314" s="1758"/>
      <c r="BB314" s="1758"/>
      <c r="BC314" s="1758"/>
      <c r="BD314" s="1758"/>
      <c r="BE314" s="1758"/>
      <c r="BF314" s="1758"/>
      <c r="BG314" s="1758"/>
      <c r="BH314" s="1758"/>
      <c r="BI314" s="1758"/>
      <c r="BJ314" s="1758"/>
      <c r="BK314" s="1758"/>
      <c r="BL314" s="1758"/>
      <c r="BM314" s="1758"/>
      <c r="BN314" s="1758"/>
      <c r="BO314" s="1758"/>
      <c r="BP314" s="1758"/>
      <c r="BQ314" s="1758"/>
      <c r="BR314" s="1758"/>
      <c r="BS314" s="1758"/>
      <c r="BT314" s="1758"/>
      <c r="BU314" s="1758"/>
      <c r="BV314" s="1758"/>
      <c r="BW314" s="1758"/>
      <c r="BX314" s="1758"/>
      <c r="BY314" s="1758"/>
      <c r="BZ314" s="1758"/>
      <c r="CA314" s="1758"/>
      <c r="CB314" s="1758"/>
      <c r="CC314" s="1758"/>
      <c r="CD314" s="1758"/>
      <c r="CE314" s="1758"/>
      <c r="CF314" s="1758"/>
      <c r="CG314" s="1758"/>
      <c r="CH314" s="1758"/>
      <c r="CI314" s="1758"/>
      <c r="CJ314" s="1758"/>
      <c r="CK314" s="1758"/>
      <c r="CL314" s="1758"/>
      <c r="CM314" s="1758"/>
      <c r="CN314" s="1758"/>
      <c r="CO314" s="1758"/>
      <c r="CP314" s="1758"/>
      <c r="CQ314" s="1758"/>
      <c r="CR314" s="1758"/>
      <c r="CS314" s="1758"/>
      <c r="CT314" s="1758"/>
      <c r="CU314" s="1758"/>
      <c r="CV314" s="1758"/>
      <c r="CW314" s="1758"/>
      <c r="CX314" s="1758"/>
      <c r="CY314" s="1758"/>
      <c r="CZ314" s="1758"/>
      <c r="DA314" s="1758"/>
      <c r="DB314" s="1758"/>
      <c r="DC314" s="1758"/>
    </row>
    <row r="315" spans="1:107" s="1395" customFormat="1" ht="21" customHeight="1">
      <c r="A315" s="10827"/>
      <c r="B315" s="10731" t="s">
        <v>183</v>
      </c>
      <c r="C315" s="10728" t="s">
        <v>227</v>
      </c>
      <c r="D315" s="10728" t="s">
        <v>228</v>
      </c>
      <c r="E315" s="10728" t="s">
        <v>255</v>
      </c>
      <c r="F315" s="10744" t="s">
        <v>230</v>
      </c>
      <c r="G315" s="10728" t="s">
        <v>171</v>
      </c>
      <c r="H315" s="10728" t="s">
        <v>159</v>
      </c>
      <c r="I315" s="10728" t="s">
        <v>5041</v>
      </c>
      <c r="J315" s="10742" t="s">
        <v>5042</v>
      </c>
      <c r="K315" s="10735" t="s">
        <v>5043</v>
      </c>
      <c r="L315" s="10738">
        <v>0</v>
      </c>
      <c r="M315" s="10738">
        <v>2</v>
      </c>
      <c r="N315" s="10738">
        <v>2</v>
      </c>
      <c r="O315" s="10735" t="s">
        <v>5044</v>
      </c>
      <c r="P315" s="10735" t="s">
        <v>5045</v>
      </c>
      <c r="Q315" s="10750" t="s">
        <v>5046</v>
      </c>
      <c r="R315" s="5173"/>
      <c r="S315" s="5212"/>
      <c r="T315" s="5212"/>
      <c r="U315" s="5249"/>
      <c r="V315" s="5281"/>
      <c r="W315" s="5302"/>
      <c r="X315" s="7477"/>
      <c r="Y315" s="7477"/>
      <c r="Z315" s="7477"/>
      <c r="AA315" s="7478"/>
      <c r="AB315" s="5325"/>
      <c r="AC315" s="1398"/>
      <c r="AD315" s="5302"/>
      <c r="AE315" s="5349"/>
      <c r="AF315" s="5349"/>
      <c r="AG315" s="10777" t="s">
        <v>4843</v>
      </c>
      <c r="AH315" s="1758"/>
      <c r="AI315" s="1758"/>
      <c r="AJ315" s="1758"/>
      <c r="AK315" s="1758"/>
      <c r="AL315" s="1758"/>
      <c r="AM315" s="1758"/>
      <c r="AN315" s="1758"/>
      <c r="AO315" s="1758"/>
      <c r="AP315" s="1758"/>
      <c r="AQ315" s="1758"/>
      <c r="AR315" s="1758"/>
      <c r="AS315" s="1758"/>
      <c r="AT315" s="1758"/>
      <c r="AU315" s="1758"/>
      <c r="AV315" s="1758"/>
      <c r="AW315" s="1758"/>
      <c r="AX315" s="1758"/>
      <c r="AY315" s="1758"/>
      <c r="AZ315" s="1758"/>
      <c r="BA315" s="1758"/>
      <c r="BB315" s="1758"/>
      <c r="BC315" s="1758"/>
      <c r="BD315" s="1758"/>
      <c r="BE315" s="1758"/>
      <c r="BF315" s="1758"/>
      <c r="BG315" s="1758"/>
      <c r="BH315" s="1758"/>
      <c r="BI315" s="1758"/>
      <c r="BJ315" s="1758"/>
      <c r="BK315" s="1758"/>
      <c r="BL315" s="1758"/>
      <c r="BM315" s="1758"/>
      <c r="BN315" s="1758"/>
      <c r="BO315" s="1758"/>
      <c r="BP315" s="1758"/>
      <c r="BQ315" s="1758"/>
      <c r="BR315" s="1758"/>
      <c r="BS315" s="1758"/>
      <c r="BT315" s="1758"/>
      <c r="BU315" s="1758"/>
      <c r="BV315" s="1758"/>
      <c r="BW315" s="1758"/>
      <c r="BX315" s="1758"/>
      <c r="BY315" s="1758"/>
      <c r="BZ315" s="1758"/>
      <c r="CA315" s="1758"/>
      <c r="CB315" s="1758"/>
      <c r="CC315" s="1758"/>
      <c r="CD315" s="1758"/>
      <c r="CE315" s="1758"/>
      <c r="CF315" s="1758"/>
      <c r="CG315" s="1758"/>
      <c r="CH315" s="1758"/>
      <c r="CI315" s="1758"/>
      <c r="CJ315" s="1758"/>
      <c r="CK315" s="1758"/>
      <c r="CL315" s="1758"/>
      <c r="CM315" s="1758"/>
      <c r="CN315" s="1758"/>
      <c r="CO315" s="1758"/>
      <c r="CP315" s="1758"/>
      <c r="CQ315" s="1758"/>
      <c r="CR315" s="1758"/>
      <c r="CS315" s="1758"/>
      <c r="CT315" s="1758"/>
      <c r="CU315" s="1758"/>
      <c r="CV315" s="1758"/>
      <c r="CW315" s="1758"/>
      <c r="CX315" s="1758"/>
      <c r="CY315" s="1758"/>
      <c r="CZ315" s="1758"/>
      <c r="DA315" s="1758"/>
      <c r="DB315" s="1758"/>
      <c r="DC315" s="1758"/>
    </row>
    <row r="316" spans="1:107" s="1395" customFormat="1" ht="21" customHeight="1">
      <c r="A316" s="10827"/>
      <c r="B316" s="10731"/>
      <c r="C316" s="10728"/>
      <c r="D316" s="10728"/>
      <c r="E316" s="10728"/>
      <c r="F316" s="10744"/>
      <c r="G316" s="10728"/>
      <c r="H316" s="10728"/>
      <c r="I316" s="10728"/>
      <c r="J316" s="10728"/>
      <c r="K316" s="10735"/>
      <c r="L316" s="10738"/>
      <c r="M316" s="10738"/>
      <c r="N316" s="10738"/>
      <c r="O316" s="10735"/>
      <c r="P316" s="10735"/>
      <c r="Q316" s="10750"/>
      <c r="R316" s="5171"/>
      <c r="S316" s="5213"/>
      <c r="T316" s="5213"/>
      <c r="U316" s="5247"/>
      <c r="V316" s="5279"/>
      <c r="W316" s="5300"/>
      <c r="X316" s="7473"/>
      <c r="Y316" s="7473"/>
      <c r="Z316" s="7473"/>
      <c r="AA316" s="7474"/>
      <c r="AB316" s="5323"/>
      <c r="AC316" s="1396"/>
      <c r="AD316" s="5300"/>
      <c r="AE316" s="5346"/>
      <c r="AF316" s="5346"/>
      <c r="AG316" s="10777"/>
      <c r="AH316" s="1758"/>
      <c r="AI316" s="1758"/>
      <c r="AJ316" s="1758"/>
      <c r="AK316" s="1758"/>
      <c r="AL316" s="1758"/>
      <c r="AM316" s="1758"/>
      <c r="AN316" s="1758"/>
      <c r="AO316" s="1758"/>
      <c r="AP316" s="1758"/>
      <c r="AQ316" s="1758"/>
      <c r="AR316" s="1758"/>
      <c r="AS316" s="1758"/>
      <c r="AT316" s="1758"/>
      <c r="AU316" s="1758"/>
      <c r="AV316" s="1758"/>
      <c r="AW316" s="1758"/>
      <c r="AX316" s="1758"/>
      <c r="AY316" s="1758"/>
      <c r="AZ316" s="1758"/>
      <c r="BA316" s="1758"/>
      <c r="BB316" s="1758"/>
      <c r="BC316" s="1758"/>
      <c r="BD316" s="1758"/>
      <c r="BE316" s="1758"/>
      <c r="BF316" s="1758"/>
      <c r="BG316" s="1758"/>
      <c r="BH316" s="1758"/>
      <c r="BI316" s="1758"/>
      <c r="BJ316" s="1758"/>
      <c r="BK316" s="1758"/>
      <c r="BL316" s="1758"/>
      <c r="BM316" s="1758"/>
      <c r="BN316" s="1758"/>
      <c r="BO316" s="1758"/>
      <c r="BP316" s="1758"/>
      <c r="BQ316" s="1758"/>
      <c r="BR316" s="1758"/>
      <c r="BS316" s="1758"/>
      <c r="BT316" s="1758"/>
      <c r="BU316" s="1758"/>
      <c r="BV316" s="1758"/>
      <c r="BW316" s="1758"/>
      <c r="BX316" s="1758"/>
      <c r="BY316" s="1758"/>
      <c r="BZ316" s="1758"/>
      <c r="CA316" s="1758"/>
      <c r="CB316" s="1758"/>
      <c r="CC316" s="1758"/>
      <c r="CD316" s="1758"/>
      <c r="CE316" s="1758"/>
      <c r="CF316" s="1758"/>
      <c r="CG316" s="1758"/>
      <c r="CH316" s="1758"/>
      <c r="CI316" s="1758"/>
      <c r="CJ316" s="1758"/>
      <c r="CK316" s="1758"/>
      <c r="CL316" s="1758"/>
      <c r="CM316" s="1758"/>
      <c r="CN316" s="1758"/>
      <c r="CO316" s="1758"/>
      <c r="CP316" s="1758"/>
      <c r="CQ316" s="1758"/>
      <c r="CR316" s="1758"/>
      <c r="CS316" s="1758"/>
      <c r="CT316" s="1758"/>
      <c r="CU316" s="1758"/>
      <c r="CV316" s="1758"/>
      <c r="CW316" s="1758"/>
      <c r="CX316" s="1758"/>
      <c r="CY316" s="1758"/>
      <c r="CZ316" s="1758"/>
      <c r="DA316" s="1758"/>
      <c r="DB316" s="1758"/>
      <c r="DC316" s="1758"/>
    </row>
    <row r="317" spans="1:107" s="1395" customFormat="1" ht="21" customHeight="1">
      <c r="A317" s="10827"/>
      <c r="B317" s="10731"/>
      <c r="C317" s="10728"/>
      <c r="D317" s="10728"/>
      <c r="E317" s="10728"/>
      <c r="F317" s="10744"/>
      <c r="G317" s="10728"/>
      <c r="H317" s="10728"/>
      <c r="I317" s="10728"/>
      <c r="J317" s="10728"/>
      <c r="K317" s="10735"/>
      <c r="L317" s="10738"/>
      <c r="M317" s="10738"/>
      <c r="N317" s="10738"/>
      <c r="O317" s="10735"/>
      <c r="P317" s="10735"/>
      <c r="Q317" s="10750"/>
      <c r="R317" s="5174"/>
      <c r="S317" s="5214"/>
      <c r="T317" s="5214"/>
      <c r="U317" s="5250"/>
      <c r="V317" s="5281"/>
      <c r="W317" s="5302"/>
      <c r="X317" s="7477"/>
      <c r="Y317" s="7473"/>
      <c r="Z317" s="7473"/>
      <c r="AA317" s="7474"/>
      <c r="AB317" s="5323"/>
      <c r="AC317" s="1396"/>
      <c r="AD317" s="5300"/>
      <c r="AE317" s="5346"/>
      <c r="AF317" s="5346"/>
      <c r="AG317" s="10777"/>
      <c r="AH317" s="1758"/>
      <c r="AI317" s="1758"/>
      <c r="AJ317" s="1758"/>
      <c r="AK317" s="1758"/>
      <c r="AL317" s="1758"/>
      <c r="AM317" s="1758"/>
      <c r="AN317" s="1758"/>
      <c r="AO317" s="1758"/>
      <c r="AP317" s="1758"/>
      <c r="AQ317" s="1758"/>
      <c r="AR317" s="1758"/>
      <c r="AS317" s="1758"/>
      <c r="AT317" s="1758"/>
      <c r="AU317" s="1758"/>
      <c r="AV317" s="1758"/>
      <c r="AW317" s="1758"/>
      <c r="AX317" s="1758"/>
      <c r="AY317" s="1758"/>
      <c r="AZ317" s="1758"/>
      <c r="BA317" s="1758"/>
      <c r="BB317" s="1758"/>
      <c r="BC317" s="1758"/>
      <c r="BD317" s="1758"/>
      <c r="BE317" s="1758"/>
      <c r="BF317" s="1758"/>
      <c r="BG317" s="1758"/>
      <c r="BH317" s="1758"/>
      <c r="BI317" s="1758"/>
      <c r="BJ317" s="1758"/>
      <c r="BK317" s="1758"/>
      <c r="BL317" s="1758"/>
      <c r="BM317" s="1758"/>
      <c r="BN317" s="1758"/>
      <c r="BO317" s="1758"/>
      <c r="BP317" s="1758"/>
      <c r="BQ317" s="1758"/>
      <c r="BR317" s="1758"/>
      <c r="BS317" s="1758"/>
      <c r="BT317" s="1758"/>
      <c r="BU317" s="1758"/>
      <c r="BV317" s="1758"/>
      <c r="BW317" s="1758"/>
      <c r="BX317" s="1758"/>
      <c r="BY317" s="1758"/>
      <c r="BZ317" s="1758"/>
      <c r="CA317" s="1758"/>
      <c r="CB317" s="1758"/>
      <c r="CC317" s="1758"/>
      <c r="CD317" s="1758"/>
      <c r="CE317" s="1758"/>
      <c r="CF317" s="1758"/>
      <c r="CG317" s="1758"/>
      <c r="CH317" s="1758"/>
      <c r="CI317" s="1758"/>
      <c r="CJ317" s="1758"/>
      <c r="CK317" s="1758"/>
      <c r="CL317" s="1758"/>
      <c r="CM317" s="1758"/>
      <c r="CN317" s="1758"/>
      <c r="CO317" s="1758"/>
      <c r="CP317" s="1758"/>
      <c r="CQ317" s="1758"/>
      <c r="CR317" s="1758"/>
      <c r="CS317" s="1758"/>
      <c r="CT317" s="1758"/>
      <c r="CU317" s="1758"/>
      <c r="CV317" s="1758"/>
      <c r="CW317" s="1758"/>
      <c r="CX317" s="1758"/>
      <c r="CY317" s="1758"/>
      <c r="CZ317" s="1758"/>
      <c r="DA317" s="1758"/>
      <c r="DB317" s="1758"/>
      <c r="DC317" s="1758"/>
    </row>
    <row r="318" spans="1:107" s="1395" customFormat="1" ht="21" customHeight="1">
      <c r="A318" s="10827"/>
      <c r="B318" s="10731"/>
      <c r="C318" s="10728"/>
      <c r="D318" s="10728"/>
      <c r="E318" s="10728"/>
      <c r="F318" s="10744"/>
      <c r="G318" s="10728"/>
      <c r="H318" s="10728"/>
      <c r="I318" s="10728"/>
      <c r="J318" s="10728"/>
      <c r="K318" s="10735"/>
      <c r="L318" s="10738"/>
      <c r="M318" s="10738"/>
      <c r="N318" s="10738"/>
      <c r="O318" s="10735"/>
      <c r="P318" s="10735"/>
      <c r="Q318" s="10750"/>
      <c r="R318" s="5173"/>
      <c r="S318" s="5212"/>
      <c r="T318" s="5212"/>
      <c r="U318" s="5250"/>
      <c r="V318" s="5281"/>
      <c r="W318" s="5302"/>
      <c r="X318" s="7477"/>
      <c r="Y318" s="7473"/>
      <c r="Z318" s="7473"/>
      <c r="AA318" s="7474"/>
      <c r="AB318" s="5323"/>
      <c r="AC318" s="1396"/>
      <c r="AD318" s="5300"/>
      <c r="AE318" s="5346"/>
      <c r="AF318" s="5346"/>
      <c r="AG318" s="10777"/>
      <c r="AH318" s="1758"/>
      <c r="AI318" s="1758"/>
      <c r="AJ318" s="1758"/>
      <c r="AK318" s="1758"/>
      <c r="AL318" s="1758"/>
      <c r="AM318" s="1758"/>
      <c r="AN318" s="1758"/>
      <c r="AO318" s="1758"/>
      <c r="AP318" s="1758"/>
      <c r="AQ318" s="1758"/>
      <c r="AR318" s="1758"/>
      <c r="AS318" s="1758"/>
      <c r="AT318" s="1758"/>
      <c r="AU318" s="1758"/>
      <c r="AV318" s="1758"/>
      <c r="AW318" s="1758"/>
      <c r="AX318" s="1758"/>
      <c r="AY318" s="1758"/>
      <c r="AZ318" s="1758"/>
      <c r="BA318" s="1758"/>
      <c r="BB318" s="1758"/>
      <c r="BC318" s="1758"/>
      <c r="BD318" s="1758"/>
      <c r="BE318" s="1758"/>
      <c r="BF318" s="1758"/>
      <c r="BG318" s="1758"/>
      <c r="BH318" s="1758"/>
      <c r="BI318" s="1758"/>
      <c r="BJ318" s="1758"/>
      <c r="BK318" s="1758"/>
      <c r="BL318" s="1758"/>
      <c r="BM318" s="1758"/>
      <c r="BN318" s="1758"/>
      <c r="BO318" s="1758"/>
      <c r="BP318" s="1758"/>
      <c r="BQ318" s="1758"/>
      <c r="BR318" s="1758"/>
      <c r="BS318" s="1758"/>
      <c r="BT318" s="1758"/>
      <c r="BU318" s="1758"/>
      <c r="BV318" s="1758"/>
      <c r="BW318" s="1758"/>
      <c r="BX318" s="1758"/>
      <c r="BY318" s="1758"/>
      <c r="BZ318" s="1758"/>
      <c r="CA318" s="1758"/>
      <c r="CB318" s="1758"/>
      <c r="CC318" s="1758"/>
      <c r="CD318" s="1758"/>
      <c r="CE318" s="1758"/>
      <c r="CF318" s="1758"/>
      <c r="CG318" s="1758"/>
      <c r="CH318" s="1758"/>
      <c r="CI318" s="1758"/>
      <c r="CJ318" s="1758"/>
      <c r="CK318" s="1758"/>
      <c r="CL318" s="1758"/>
      <c r="CM318" s="1758"/>
      <c r="CN318" s="1758"/>
      <c r="CO318" s="1758"/>
      <c r="CP318" s="1758"/>
      <c r="CQ318" s="1758"/>
      <c r="CR318" s="1758"/>
      <c r="CS318" s="1758"/>
      <c r="CT318" s="1758"/>
      <c r="CU318" s="1758"/>
      <c r="CV318" s="1758"/>
      <c r="CW318" s="1758"/>
      <c r="CX318" s="1758"/>
      <c r="CY318" s="1758"/>
      <c r="CZ318" s="1758"/>
      <c r="DA318" s="1758"/>
      <c r="DB318" s="1758"/>
      <c r="DC318" s="1758"/>
    </row>
    <row r="319" spans="1:107" s="1395" customFormat="1" ht="21" customHeight="1">
      <c r="A319" s="10827"/>
      <c r="B319" s="10732"/>
      <c r="C319" s="10729"/>
      <c r="D319" s="10729"/>
      <c r="E319" s="10729"/>
      <c r="F319" s="10745"/>
      <c r="G319" s="10729"/>
      <c r="H319" s="10729"/>
      <c r="I319" s="10729"/>
      <c r="J319" s="10729"/>
      <c r="K319" s="10736"/>
      <c r="L319" s="10739"/>
      <c r="M319" s="10739"/>
      <c r="N319" s="10739"/>
      <c r="O319" s="10736"/>
      <c r="P319" s="10736"/>
      <c r="Q319" s="10751"/>
      <c r="R319" s="5175"/>
      <c r="S319" s="5215"/>
      <c r="T319" s="5215"/>
      <c r="U319" s="5251"/>
      <c r="V319" s="5282"/>
      <c r="W319" s="5303"/>
      <c r="X319" s="7479"/>
      <c r="Y319" s="7479"/>
      <c r="Z319" s="7479"/>
      <c r="AA319" s="7480"/>
      <c r="AB319" s="5326"/>
      <c r="AC319" s="1399"/>
      <c r="AD319" s="5303"/>
      <c r="AE319" s="5348"/>
      <c r="AF319" s="5348"/>
      <c r="AG319" s="10778"/>
      <c r="AH319" s="1758"/>
      <c r="AI319" s="1758"/>
      <c r="AJ319" s="1758"/>
      <c r="AK319" s="1758"/>
      <c r="AL319" s="1758"/>
      <c r="AM319" s="1758"/>
      <c r="AN319" s="1758"/>
      <c r="AO319" s="1758"/>
      <c r="AP319" s="1758"/>
      <c r="AQ319" s="1758"/>
      <c r="AR319" s="1758"/>
      <c r="AS319" s="1758"/>
      <c r="AT319" s="1758"/>
      <c r="AU319" s="1758"/>
      <c r="AV319" s="1758"/>
      <c r="AW319" s="1758"/>
      <c r="AX319" s="1758"/>
      <c r="AY319" s="1758"/>
      <c r="AZ319" s="1758"/>
      <c r="BA319" s="1758"/>
      <c r="BB319" s="1758"/>
      <c r="BC319" s="1758"/>
      <c r="BD319" s="1758"/>
      <c r="BE319" s="1758"/>
      <c r="BF319" s="1758"/>
      <c r="BG319" s="1758"/>
      <c r="BH319" s="1758"/>
      <c r="BI319" s="1758"/>
      <c r="BJ319" s="1758"/>
      <c r="BK319" s="1758"/>
      <c r="BL319" s="1758"/>
      <c r="BM319" s="1758"/>
      <c r="BN319" s="1758"/>
      <c r="BO319" s="1758"/>
      <c r="BP319" s="1758"/>
      <c r="BQ319" s="1758"/>
      <c r="BR319" s="1758"/>
      <c r="BS319" s="1758"/>
      <c r="BT319" s="1758"/>
      <c r="BU319" s="1758"/>
      <c r="BV319" s="1758"/>
      <c r="BW319" s="1758"/>
      <c r="BX319" s="1758"/>
      <c r="BY319" s="1758"/>
      <c r="BZ319" s="1758"/>
      <c r="CA319" s="1758"/>
      <c r="CB319" s="1758"/>
      <c r="CC319" s="1758"/>
      <c r="CD319" s="1758"/>
      <c r="CE319" s="1758"/>
      <c r="CF319" s="1758"/>
      <c r="CG319" s="1758"/>
      <c r="CH319" s="1758"/>
      <c r="CI319" s="1758"/>
      <c r="CJ319" s="1758"/>
      <c r="CK319" s="1758"/>
      <c r="CL319" s="1758"/>
      <c r="CM319" s="1758"/>
      <c r="CN319" s="1758"/>
      <c r="CO319" s="1758"/>
      <c r="CP319" s="1758"/>
      <c r="CQ319" s="1758"/>
      <c r="CR319" s="1758"/>
      <c r="CS319" s="1758"/>
      <c r="CT319" s="1758"/>
      <c r="CU319" s="1758"/>
      <c r="CV319" s="1758"/>
      <c r="CW319" s="1758"/>
      <c r="CX319" s="1758"/>
      <c r="CY319" s="1758"/>
      <c r="CZ319" s="1758"/>
      <c r="DA319" s="1758"/>
      <c r="DB319" s="1758"/>
      <c r="DC319" s="1758"/>
    </row>
    <row r="320" spans="1:107" s="1395" customFormat="1" ht="20.25" customHeight="1">
      <c r="A320" s="10827"/>
      <c r="B320" s="10731" t="s">
        <v>183</v>
      </c>
      <c r="C320" s="10728" t="s">
        <v>227</v>
      </c>
      <c r="D320" s="10728" t="s">
        <v>228</v>
      </c>
      <c r="E320" s="10728" t="s">
        <v>229</v>
      </c>
      <c r="F320" s="10744" t="s">
        <v>230</v>
      </c>
      <c r="G320" s="10728" t="s">
        <v>171</v>
      </c>
      <c r="H320" s="10728" t="s">
        <v>159</v>
      </c>
      <c r="I320" s="10728" t="s">
        <v>5047</v>
      </c>
      <c r="J320" s="10742" t="s">
        <v>4662</v>
      </c>
      <c r="K320" s="10735" t="s">
        <v>5048</v>
      </c>
      <c r="L320" s="10738">
        <v>0</v>
      </c>
      <c r="M320" s="10738">
        <v>1</v>
      </c>
      <c r="N320" s="10738">
        <v>1</v>
      </c>
      <c r="O320" s="10735" t="s">
        <v>5049</v>
      </c>
      <c r="P320" s="10735" t="s">
        <v>5050</v>
      </c>
      <c r="Q320" s="10750" t="s">
        <v>5051</v>
      </c>
      <c r="R320" s="5173"/>
      <c r="S320" s="5212"/>
      <c r="T320" s="5212"/>
      <c r="U320" s="5249"/>
      <c r="V320" s="5281"/>
      <c r="W320" s="5302"/>
      <c r="X320" s="7477"/>
      <c r="Y320" s="7477"/>
      <c r="Z320" s="7477"/>
      <c r="AA320" s="7478"/>
      <c r="AB320" s="5325"/>
      <c r="AC320" s="1398"/>
      <c r="AD320" s="5302"/>
      <c r="AE320" s="5349"/>
      <c r="AF320" s="5349"/>
      <c r="AG320" s="10777"/>
      <c r="AH320" s="1758"/>
      <c r="AI320" s="1758"/>
      <c r="AJ320" s="1758"/>
      <c r="AK320" s="1758"/>
      <c r="AL320" s="1758"/>
      <c r="AM320" s="1758"/>
      <c r="AN320" s="1758"/>
      <c r="AO320" s="1758"/>
      <c r="AP320" s="1758"/>
      <c r="AQ320" s="1758"/>
      <c r="AR320" s="1758"/>
      <c r="AS320" s="1758"/>
      <c r="AT320" s="1758"/>
      <c r="AU320" s="1758"/>
      <c r="AV320" s="1758"/>
      <c r="AW320" s="1758"/>
      <c r="AX320" s="1758"/>
      <c r="AY320" s="1758"/>
      <c r="AZ320" s="1758"/>
      <c r="BA320" s="1758"/>
      <c r="BB320" s="1758"/>
      <c r="BC320" s="1758"/>
      <c r="BD320" s="1758"/>
      <c r="BE320" s="1758"/>
      <c r="BF320" s="1758"/>
      <c r="BG320" s="1758"/>
      <c r="BH320" s="1758"/>
      <c r="BI320" s="1758"/>
      <c r="BJ320" s="1758"/>
      <c r="BK320" s="1758"/>
      <c r="BL320" s="1758"/>
      <c r="BM320" s="1758"/>
      <c r="BN320" s="1758"/>
      <c r="BO320" s="1758"/>
      <c r="BP320" s="1758"/>
      <c r="BQ320" s="1758"/>
      <c r="BR320" s="1758"/>
      <c r="BS320" s="1758"/>
      <c r="BT320" s="1758"/>
      <c r="BU320" s="1758"/>
      <c r="BV320" s="1758"/>
      <c r="BW320" s="1758"/>
      <c r="BX320" s="1758"/>
      <c r="BY320" s="1758"/>
      <c r="BZ320" s="1758"/>
      <c r="CA320" s="1758"/>
      <c r="CB320" s="1758"/>
      <c r="CC320" s="1758"/>
      <c r="CD320" s="1758"/>
      <c r="CE320" s="1758"/>
      <c r="CF320" s="1758"/>
      <c r="CG320" s="1758"/>
      <c r="CH320" s="1758"/>
      <c r="CI320" s="1758"/>
      <c r="CJ320" s="1758"/>
      <c r="CK320" s="1758"/>
      <c r="CL320" s="1758"/>
      <c r="CM320" s="1758"/>
      <c r="CN320" s="1758"/>
      <c r="CO320" s="1758"/>
      <c r="CP320" s="1758"/>
      <c r="CQ320" s="1758"/>
      <c r="CR320" s="1758"/>
      <c r="CS320" s="1758"/>
      <c r="CT320" s="1758"/>
      <c r="CU320" s="1758"/>
      <c r="CV320" s="1758"/>
      <c r="CW320" s="1758"/>
      <c r="CX320" s="1758"/>
      <c r="CY320" s="1758"/>
      <c r="CZ320" s="1758"/>
      <c r="DA320" s="1758"/>
      <c r="DB320" s="1758"/>
      <c r="DC320" s="1758"/>
    </row>
    <row r="321" spans="1:107" s="1395" customFormat="1" ht="20.25" customHeight="1">
      <c r="A321" s="10827"/>
      <c r="B321" s="10731"/>
      <c r="C321" s="10728"/>
      <c r="D321" s="10728"/>
      <c r="E321" s="10728"/>
      <c r="F321" s="10744"/>
      <c r="G321" s="10728"/>
      <c r="H321" s="10728"/>
      <c r="I321" s="10728"/>
      <c r="J321" s="10728"/>
      <c r="K321" s="10735"/>
      <c r="L321" s="10738"/>
      <c r="M321" s="10738"/>
      <c r="N321" s="10738"/>
      <c r="O321" s="10735"/>
      <c r="P321" s="10735"/>
      <c r="Q321" s="10750"/>
      <c r="R321" s="5171"/>
      <c r="S321" s="5213"/>
      <c r="T321" s="5213"/>
      <c r="U321" s="5247"/>
      <c r="V321" s="5279"/>
      <c r="W321" s="5300"/>
      <c r="X321" s="7473"/>
      <c r="Y321" s="7473"/>
      <c r="Z321" s="7473"/>
      <c r="AA321" s="7474"/>
      <c r="AB321" s="5323"/>
      <c r="AC321" s="1396"/>
      <c r="AD321" s="5300"/>
      <c r="AE321" s="5346"/>
      <c r="AF321" s="5346"/>
      <c r="AG321" s="10777"/>
      <c r="AH321" s="1758"/>
      <c r="AI321" s="1758"/>
      <c r="AJ321" s="1758"/>
      <c r="AK321" s="1758"/>
      <c r="AL321" s="1758"/>
      <c r="AM321" s="1758"/>
      <c r="AN321" s="1758"/>
      <c r="AO321" s="1758"/>
      <c r="AP321" s="1758"/>
      <c r="AQ321" s="1758"/>
      <c r="AR321" s="1758"/>
      <c r="AS321" s="1758"/>
      <c r="AT321" s="1758"/>
      <c r="AU321" s="1758"/>
      <c r="AV321" s="1758"/>
      <c r="AW321" s="1758"/>
      <c r="AX321" s="1758"/>
      <c r="AY321" s="1758"/>
      <c r="AZ321" s="1758"/>
      <c r="BA321" s="1758"/>
      <c r="BB321" s="1758"/>
      <c r="BC321" s="1758"/>
      <c r="BD321" s="1758"/>
      <c r="BE321" s="1758"/>
      <c r="BF321" s="1758"/>
      <c r="BG321" s="1758"/>
      <c r="BH321" s="1758"/>
      <c r="BI321" s="1758"/>
      <c r="BJ321" s="1758"/>
      <c r="BK321" s="1758"/>
      <c r="BL321" s="1758"/>
      <c r="BM321" s="1758"/>
      <c r="BN321" s="1758"/>
      <c r="BO321" s="1758"/>
      <c r="BP321" s="1758"/>
      <c r="BQ321" s="1758"/>
      <c r="BR321" s="1758"/>
      <c r="BS321" s="1758"/>
      <c r="BT321" s="1758"/>
      <c r="BU321" s="1758"/>
      <c r="BV321" s="1758"/>
      <c r="BW321" s="1758"/>
      <c r="BX321" s="1758"/>
      <c r="BY321" s="1758"/>
      <c r="BZ321" s="1758"/>
      <c r="CA321" s="1758"/>
      <c r="CB321" s="1758"/>
      <c r="CC321" s="1758"/>
      <c r="CD321" s="1758"/>
      <c r="CE321" s="1758"/>
      <c r="CF321" s="1758"/>
      <c r="CG321" s="1758"/>
      <c r="CH321" s="1758"/>
      <c r="CI321" s="1758"/>
      <c r="CJ321" s="1758"/>
      <c r="CK321" s="1758"/>
      <c r="CL321" s="1758"/>
      <c r="CM321" s="1758"/>
      <c r="CN321" s="1758"/>
      <c r="CO321" s="1758"/>
      <c r="CP321" s="1758"/>
      <c r="CQ321" s="1758"/>
      <c r="CR321" s="1758"/>
      <c r="CS321" s="1758"/>
      <c r="CT321" s="1758"/>
      <c r="CU321" s="1758"/>
      <c r="CV321" s="1758"/>
      <c r="CW321" s="1758"/>
      <c r="CX321" s="1758"/>
      <c r="CY321" s="1758"/>
      <c r="CZ321" s="1758"/>
      <c r="DA321" s="1758"/>
      <c r="DB321" s="1758"/>
      <c r="DC321" s="1758"/>
    </row>
    <row r="322" spans="1:107" s="1395" customFormat="1" ht="20.25" customHeight="1">
      <c r="A322" s="10827"/>
      <c r="B322" s="10731"/>
      <c r="C322" s="10728"/>
      <c r="D322" s="10728"/>
      <c r="E322" s="10728"/>
      <c r="F322" s="10744"/>
      <c r="G322" s="10728"/>
      <c r="H322" s="10728"/>
      <c r="I322" s="10728"/>
      <c r="J322" s="10728"/>
      <c r="K322" s="10735"/>
      <c r="L322" s="10738"/>
      <c r="M322" s="10738"/>
      <c r="N322" s="10738"/>
      <c r="O322" s="10735"/>
      <c r="P322" s="10735"/>
      <c r="Q322" s="10750"/>
      <c r="R322" s="5174"/>
      <c r="S322" s="5214"/>
      <c r="T322" s="5214"/>
      <c r="U322" s="5250"/>
      <c r="V322" s="5281"/>
      <c r="W322" s="5302"/>
      <c r="X322" s="7477"/>
      <c r="Y322" s="7473"/>
      <c r="Z322" s="7473"/>
      <c r="AA322" s="7474"/>
      <c r="AB322" s="5323"/>
      <c r="AC322" s="1396"/>
      <c r="AD322" s="5300"/>
      <c r="AE322" s="5346"/>
      <c r="AF322" s="5346"/>
      <c r="AG322" s="10777"/>
      <c r="AH322" s="1758"/>
      <c r="AI322" s="1758"/>
      <c r="AJ322" s="1758"/>
      <c r="AK322" s="1758"/>
      <c r="AL322" s="1758"/>
      <c r="AM322" s="1758"/>
      <c r="AN322" s="1758"/>
      <c r="AO322" s="1758"/>
      <c r="AP322" s="1758"/>
      <c r="AQ322" s="1758"/>
      <c r="AR322" s="1758"/>
      <c r="AS322" s="1758"/>
      <c r="AT322" s="1758"/>
      <c r="AU322" s="1758"/>
      <c r="AV322" s="1758"/>
      <c r="AW322" s="1758"/>
      <c r="AX322" s="1758"/>
      <c r="AY322" s="1758"/>
      <c r="AZ322" s="1758"/>
      <c r="BA322" s="1758"/>
      <c r="BB322" s="1758"/>
      <c r="BC322" s="1758"/>
      <c r="BD322" s="1758"/>
      <c r="BE322" s="1758"/>
      <c r="BF322" s="1758"/>
      <c r="BG322" s="1758"/>
      <c r="BH322" s="1758"/>
      <c r="BI322" s="1758"/>
      <c r="BJ322" s="1758"/>
      <c r="BK322" s="1758"/>
      <c r="BL322" s="1758"/>
      <c r="BM322" s="1758"/>
      <c r="BN322" s="1758"/>
      <c r="BO322" s="1758"/>
      <c r="BP322" s="1758"/>
      <c r="BQ322" s="1758"/>
      <c r="BR322" s="1758"/>
      <c r="BS322" s="1758"/>
      <c r="BT322" s="1758"/>
      <c r="BU322" s="1758"/>
      <c r="BV322" s="1758"/>
      <c r="BW322" s="1758"/>
      <c r="BX322" s="1758"/>
      <c r="BY322" s="1758"/>
      <c r="BZ322" s="1758"/>
      <c r="CA322" s="1758"/>
      <c r="CB322" s="1758"/>
      <c r="CC322" s="1758"/>
      <c r="CD322" s="1758"/>
      <c r="CE322" s="1758"/>
      <c r="CF322" s="1758"/>
      <c r="CG322" s="1758"/>
      <c r="CH322" s="1758"/>
      <c r="CI322" s="1758"/>
      <c r="CJ322" s="1758"/>
      <c r="CK322" s="1758"/>
      <c r="CL322" s="1758"/>
      <c r="CM322" s="1758"/>
      <c r="CN322" s="1758"/>
      <c r="CO322" s="1758"/>
      <c r="CP322" s="1758"/>
      <c r="CQ322" s="1758"/>
      <c r="CR322" s="1758"/>
      <c r="CS322" s="1758"/>
      <c r="CT322" s="1758"/>
      <c r="CU322" s="1758"/>
      <c r="CV322" s="1758"/>
      <c r="CW322" s="1758"/>
      <c r="CX322" s="1758"/>
      <c r="CY322" s="1758"/>
      <c r="CZ322" s="1758"/>
      <c r="DA322" s="1758"/>
      <c r="DB322" s="1758"/>
      <c r="DC322" s="1758"/>
    </row>
    <row r="323" spans="1:107" s="1395" customFormat="1" ht="20.25" customHeight="1">
      <c r="A323" s="10827"/>
      <c r="B323" s="10731"/>
      <c r="C323" s="10728"/>
      <c r="D323" s="10728"/>
      <c r="E323" s="10728"/>
      <c r="F323" s="10744"/>
      <c r="G323" s="10728"/>
      <c r="H323" s="10728"/>
      <c r="I323" s="10728"/>
      <c r="J323" s="10728"/>
      <c r="K323" s="10735"/>
      <c r="L323" s="10738"/>
      <c r="M323" s="10738"/>
      <c r="N323" s="10738"/>
      <c r="O323" s="10735"/>
      <c r="P323" s="10735"/>
      <c r="Q323" s="10750"/>
      <c r="R323" s="5173"/>
      <c r="S323" s="5212"/>
      <c r="T323" s="5212"/>
      <c r="U323" s="5250"/>
      <c r="V323" s="5281"/>
      <c r="W323" s="5302"/>
      <c r="X323" s="7477"/>
      <c r="Y323" s="7473"/>
      <c r="Z323" s="7473"/>
      <c r="AA323" s="7474"/>
      <c r="AB323" s="5323"/>
      <c r="AC323" s="1396"/>
      <c r="AD323" s="5300"/>
      <c r="AE323" s="5346"/>
      <c r="AF323" s="5346"/>
      <c r="AG323" s="10777"/>
      <c r="AH323" s="1758"/>
      <c r="AI323" s="1758"/>
      <c r="AJ323" s="1758"/>
      <c r="AK323" s="1758"/>
      <c r="AL323" s="1758"/>
      <c r="AM323" s="1758"/>
      <c r="AN323" s="1758"/>
      <c r="AO323" s="1758"/>
      <c r="AP323" s="1758"/>
      <c r="AQ323" s="1758"/>
      <c r="AR323" s="1758"/>
      <c r="AS323" s="1758"/>
      <c r="AT323" s="1758"/>
      <c r="AU323" s="1758"/>
      <c r="AV323" s="1758"/>
      <c r="AW323" s="1758"/>
      <c r="AX323" s="1758"/>
      <c r="AY323" s="1758"/>
      <c r="AZ323" s="1758"/>
      <c r="BA323" s="1758"/>
      <c r="BB323" s="1758"/>
      <c r="BC323" s="1758"/>
      <c r="BD323" s="1758"/>
      <c r="BE323" s="1758"/>
      <c r="BF323" s="1758"/>
      <c r="BG323" s="1758"/>
      <c r="BH323" s="1758"/>
      <c r="BI323" s="1758"/>
      <c r="BJ323" s="1758"/>
      <c r="BK323" s="1758"/>
      <c r="BL323" s="1758"/>
      <c r="BM323" s="1758"/>
      <c r="BN323" s="1758"/>
      <c r="BO323" s="1758"/>
      <c r="BP323" s="1758"/>
      <c r="BQ323" s="1758"/>
      <c r="BR323" s="1758"/>
      <c r="BS323" s="1758"/>
      <c r="BT323" s="1758"/>
      <c r="BU323" s="1758"/>
      <c r="BV323" s="1758"/>
      <c r="BW323" s="1758"/>
      <c r="BX323" s="1758"/>
      <c r="BY323" s="1758"/>
      <c r="BZ323" s="1758"/>
      <c r="CA323" s="1758"/>
      <c r="CB323" s="1758"/>
      <c r="CC323" s="1758"/>
      <c r="CD323" s="1758"/>
      <c r="CE323" s="1758"/>
      <c r="CF323" s="1758"/>
      <c r="CG323" s="1758"/>
      <c r="CH323" s="1758"/>
      <c r="CI323" s="1758"/>
      <c r="CJ323" s="1758"/>
      <c r="CK323" s="1758"/>
      <c r="CL323" s="1758"/>
      <c r="CM323" s="1758"/>
      <c r="CN323" s="1758"/>
      <c r="CO323" s="1758"/>
      <c r="CP323" s="1758"/>
      <c r="CQ323" s="1758"/>
      <c r="CR323" s="1758"/>
      <c r="CS323" s="1758"/>
      <c r="CT323" s="1758"/>
      <c r="CU323" s="1758"/>
      <c r="CV323" s="1758"/>
      <c r="CW323" s="1758"/>
      <c r="CX323" s="1758"/>
      <c r="CY323" s="1758"/>
      <c r="CZ323" s="1758"/>
      <c r="DA323" s="1758"/>
      <c r="DB323" s="1758"/>
      <c r="DC323" s="1758"/>
    </row>
    <row r="324" spans="1:107" s="1395" customFormat="1" ht="20.25" customHeight="1">
      <c r="A324" s="10827"/>
      <c r="B324" s="10732"/>
      <c r="C324" s="10729"/>
      <c r="D324" s="10729"/>
      <c r="E324" s="10729"/>
      <c r="F324" s="10745"/>
      <c r="G324" s="10729"/>
      <c r="H324" s="10729"/>
      <c r="I324" s="10729"/>
      <c r="J324" s="10729"/>
      <c r="K324" s="10736"/>
      <c r="L324" s="10739"/>
      <c r="M324" s="10739"/>
      <c r="N324" s="10739"/>
      <c r="O324" s="10736"/>
      <c r="P324" s="10736"/>
      <c r="Q324" s="10751"/>
      <c r="R324" s="5175"/>
      <c r="S324" s="5215"/>
      <c r="T324" s="5215"/>
      <c r="U324" s="5251"/>
      <c r="V324" s="5282"/>
      <c r="W324" s="5303"/>
      <c r="X324" s="7479"/>
      <c r="Y324" s="7479"/>
      <c r="Z324" s="7479"/>
      <c r="AA324" s="7480"/>
      <c r="AB324" s="5326"/>
      <c r="AC324" s="1399"/>
      <c r="AD324" s="5303"/>
      <c r="AE324" s="5348"/>
      <c r="AF324" s="5348"/>
      <c r="AG324" s="10778"/>
      <c r="AH324" s="1758"/>
      <c r="AI324" s="1758"/>
      <c r="AJ324" s="1758"/>
      <c r="AK324" s="1758"/>
      <c r="AL324" s="1758"/>
      <c r="AM324" s="1758"/>
      <c r="AN324" s="1758"/>
      <c r="AO324" s="1758"/>
      <c r="AP324" s="1758"/>
      <c r="AQ324" s="1758"/>
      <c r="AR324" s="1758"/>
      <c r="AS324" s="1758"/>
      <c r="AT324" s="1758"/>
      <c r="AU324" s="1758"/>
      <c r="AV324" s="1758"/>
      <c r="AW324" s="1758"/>
      <c r="AX324" s="1758"/>
      <c r="AY324" s="1758"/>
      <c r="AZ324" s="1758"/>
      <c r="BA324" s="1758"/>
      <c r="BB324" s="1758"/>
      <c r="BC324" s="1758"/>
      <c r="BD324" s="1758"/>
      <c r="BE324" s="1758"/>
      <c r="BF324" s="1758"/>
      <c r="BG324" s="1758"/>
      <c r="BH324" s="1758"/>
      <c r="BI324" s="1758"/>
      <c r="BJ324" s="1758"/>
      <c r="BK324" s="1758"/>
      <c r="BL324" s="1758"/>
      <c r="BM324" s="1758"/>
      <c r="BN324" s="1758"/>
      <c r="BO324" s="1758"/>
      <c r="BP324" s="1758"/>
      <c r="BQ324" s="1758"/>
      <c r="BR324" s="1758"/>
      <c r="BS324" s="1758"/>
      <c r="BT324" s="1758"/>
      <c r="BU324" s="1758"/>
      <c r="BV324" s="1758"/>
      <c r="BW324" s="1758"/>
      <c r="BX324" s="1758"/>
      <c r="BY324" s="1758"/>
      <c r="BZ324" s="1758"/>
      <c r="CA324" s="1758"/>
      <c r="CB324" s="1758"/>
      <c r="CC324" s="1758"/>
      <c r="CD324" s="1758"/>
      <c r="CE324" s="1758"/>
      <c r="CF324" s="1758"/>
      <c r="CG324" s="1758"/>
      <c r="CH324" s="1758"/>
      <c r="CI324" s="1758"/>
      <c r="CJ324" s="1758"/>
      <c r="CK324" s="1758"/>
      <c r="CL324" s="1758"/>
      <c r="CM324" s="1758"/>
      <c r="CN324" s="1758"/>
      <c r="CO324" s="1758"/>
      <c r="CP324" s="1758"/>
      <c r="CQ324" s="1758"/>
      <c r="CR324" s="1758"/>
      <c r="CS324" s="1758"/>
      <c r="CT324" s="1758"/>
      <c r="CU324" s="1758"/>
      <c r="CV324" s="1758"/>
      <c r="CW324" s="1758"/>
      <c r="CX324" s="1758"/>
      <c r="CY324" s="1758"/>
      <c r="CZ324" s="1758"/>
      <c r="DA324" s="1758"/>
      <c r="DB324" s="1758"/>
      <c r="DC324" s="1758"/>
    </row>
    <row r="325" spans="1:107" s="1395" customFormat="1" ht="19.5" customHeight="1">
      <c r="A325" s="10827"/>
      <c r="B325" s="10731" t="s">
        <v>183</v>
      </c>
      <c r="C325" s="10728" t="s">
        <v>227</v>
      </c>
      <c r="D325" s="10728" t="s">
        <v>1292</v>
      </c>
      <c r="E325" s="10728" t="s">
        <v>5052</v>
      </c>
      <c r="F325" s="10744" t="s">
        <v>230</v>
      </c>
      <c r="G325" s="10728" t="s">
        <v>231</v>
      </c>
      <c r="H325" s="10728" t="s">
        <v>189</v>
      </c>
      <c r="I325" s="10728" t="s">
        <v>5053</v>
      </c>
      <c r="J325" s="10742" t="s">
        <v>4667</v>
      </c>
      <c r="K325" s="10735" t="s">
        <v>5054</v>
      </c>
      <c r="L325" s="10738">
        <v>0</v>
      </c>
      <c r="M325" s="10738">
        <v>1</v>
      </c>
      <c r="N325" s="10738">
        <v>1</v>
      </c>
      <c r="O325" s="10735" t="s">
        <v>5055</v>
      </c>
      <c r="P325" s="10735" t="s">
        <v>5056</v>
      </c>
      <c r="Q325" s="10750" t="s">
        <v>4998</v>
      </c>
      <c r="R325" s="5173"/>
      <c r="S325" s="5212"/>
      <c r="T325" s="5212"/>
      <c r="U325" s="5249"/>
      <c r="V325" s="5281"/>
      <c r="W325" s="5302"/>
      <c r="X325" s="7477"/>
      <c r="Y325" s="7477"/>
      <c r="Z325" s="7477"/>
      <c r="AA325" s="7478"/>
      <c r="AB325" s="5325"/>
      <c r="AC325" s="1398"/>
      <c r="AD325" s="5302"/>
      <c r="AE325" s="5349"/>
      <c r="AF325" s="5349"/>
      <c r="AG325" s="10777" t="s">
        <v>4843</v>
      </c>
      <c r="AH325" s="1758"/>
      <c r="AI325" s="1758"/>
      <c r="AJ325" s="1758"/>
      <c r="AK325" s="1758"/>
      <c r="AL325" s="1758"/>
      <c r="AM325" s="1758"/>
      <c r="AN325" s="1758"/>
      <c r="AO325" s="1758"/>
      <c r="AP325" s="1758"/>
      <c r="AQ325" s="1758"/>
      <c r="AR325" s="1758"/>
      <c r="AS325" s="1758"/>
      <c r="AT325" s="1758"/>
      <c r="AU325" s="1758"/>
      <c r="AV325" s="1758"/>
      <c r="AW325" s="1758"/>
      <c r="AX325" s="1758"/>
      <c r="AY325" s="1758"/>
      <c r="AZ325" s="1758"/>
      <c r="BA325" s="1758"/>
      <c r="BB325" s="1758"/>
      <c r="BC325" s="1758"/>
      <c r="BD325" s="1758"/>
      <c r="BE325" s="1758"/>
      <c r="BF325" s="1758"/>
      <c r="BG325" s="1758"/>
      <c r="BH325" s="1758"/>
      <c r="BI325" s="1758"/>
      <c r="BJ325" s="1758"/>
      <c r="BK325" s="1758"/>
      <c r="BL325" s="1758"/>
      <c r="BM325" s="1758"/>
      <c r="BN325" s="1758"/>
      <c r="BO325" s="1758"/>
      <c r="BP325" s="1758"/>
      <c r="BQ325" s="1758"/>
      <c r="BR325" s="1758"/>
      <c r="BS325" s="1758"/>
      <c r="BT325" s="1758"/>
      <c r="BU325" s="1758"/>
      <c r="BV325" s="1758"/>
      <c r="BW325" s="1758"/>
      <c r="BX325" s="1758"/>
      <c r="BY325" s="1758"/>
      <c r="BZ325" s="1758"/>
      <c r="CA325" s="1758"/>
      <c r="CB325" s="1758"/>
      <c r="CC325" s="1758"/>
      <c r="CD325" s="1758"/>
      <c r="CE325" s="1758"/>
      <c r="CF325" s="1758"/>
      <c r="CG325" s="1758"/>
      <c r="CH325" s="1758"/>
      <c r="CI325" s="1758"/>
      <c r="CJ325" s="1758"/>
      <c r="CK325" s="1758"/>
      <c r="CL325" s="1758"/>
      <c r="CM325" s="1758"/>
      <c r="CN325" s="1758"/>
      <c r="CO325" s="1758"/>
      <c r="CP325" s="1758"/>
      <c r="CQ325" s="1758"/>
      <c r="CR325" s="1758"/>
      <c r="CS325" s="1758"/>
      <c r="CT325" s="1758"/>
      <c r="CU325" s="1758"/>
      <c r="CV325" s="1758"/>
      <c r="CW325" s="1758"/>
      <c r="CX325" s="1758"/>
      <c r="CY325" s="1758"/>
      <c r="CZ325" s="1758"/>
      <c r="DA325" s="1758"/>
      <c r="DB325" s="1758"/>
      <c r="DC325" s="1758"/>
    </row>
    <row r="326" spans="1:107" s="1395" customFormat="1" ht="19.5" customHeight="1">
      <c r="A326" s="10827"/>
      <c r="B326" s="10731"/>
      <c r="C326" s="10728"/>
      <c r="D326" s="10728"/>
      <c r="E326" s="10728"/>
      <c r="F326" s="10744"/>
      <c r="G326" s="10728"/>
      <c r="H326" s="10728"/>
      <c r="I326" s="10728"/>
      <c r="J326" s="10728"/>
      <c r="K326" s="10735"/>
      <c r="L326" s="10738"/>
      <c r="M326" s="10738"/>
      <c r="N326" s="10738"/>
      <c r="O326" s="10735"/>
      <c r="P326" s="10735"/>
      <c r="Q326" s="10750"/>
      <c r="R326" s="5171"/>
      <c r="S326" s="5213"/>
      <c r="T326" s="5213"/>
      <c r="U326" s="5247"/>
      <c r="V326" s="5279"/>
      <c r="W326" s="5300"/>
      <c r="X326" s="7473"/>
      <c r="Y326" s="7473"/>
      <c r="Z326" s="7473"/>
      <c r="AA326" s="7474"/>
      <c r="AB326" s="5323"/>
      <c r="AC326" s="1396"/>
      <c r="AD326" s="5300"/>
      <c r="AE326" s="5346"/>
      <c r="AF326" s="5346"/>
      <c r="AG326" s="10777"/>
      <c r="AH326" s="1758"/>
      <c r="AI326" s="1758"/>
      <c r="AJ326" s="1758"/>
      <c r="AK326" s="1758"/>
      <c r="AL326" s="1758"/>
      <c r="AM326" s="1758"/>
      <c r="AN326" s="1758"/>
      <c r="AO326" s="1758"/>
      <c r="AP326" s="1758"/>
      <c r="AQ326" s="1758"/>
      <c r="AR326" s="1758"/>
      <c r="AS326" s="1758"/>
      <c r="AT326" s="1758"/>
      <c r="AU326" s="1758"/>
      <c r="AV326" s="1758"/>
      <c r="AW326" s="1758"/>
      <c r="AX326" s="1758"/>
      <c r="AY326" s="1758"/>
      <c r="AZ326" s="1758"/>
      <c r="BA326" s="1758"/>
      <c r="BB326" s="1758"/>
      <c r="BC326" s="1758"/>
      <c r="BD326" s="1758"/>
      <c r="BE326" s="1758"/>
      <c r="BF326" s="1758"/>
      <c r="BG326" s="1758"/>
      <c r="BH326" s="1758"/>
      <c r="BI326" s="1758"/>
      <c r="BJ326" s="1758"/>
      <c r="BK326" s="1758"/>
      <c r="BL326" s="1758"/>
      <c r="BM326" s="1758"/>
      <c r="BN326" s="1758"/>
      <c r="BO326" s="1758"/>
      <c r="BP326" s="1758"/>
      <c r="BQ326" s="1758"/>
      <c r="BR326" s="1758"/>
      <c r="BS326" s="1758"/>
      <c r="BT326" s="1758"/>
      <c r="BU326" s="1758"/>
      <c r="BV326" s="1758"/>
      <c r="BW326" s="1758"/>
      <c r="BX326" s="1758"/>
      <c r="BY326" s="1758"/>
      <c r="BZ326" s="1758"/>
      <c r="CA326" s="1758"/>
      <c r="CB326" s="1758"/>
      <c r="CC326" s="1758"/>
      <c r="CD326" s="1758"/>
      <c r="CE326" s="1758"/>
      <c r="CF326" s="1758"/>
      <c r="CG326" s="1758"/>
      <c r="CH326" s="1758"/>
      <c r="CI326" s="1758"/>
      <c r="CJ326" s="1758"/>
      <c r="CK326" s="1758"/>
      <c r="CL326" s="1758"/>
      <c r="CM326" s="1758"/>
      <c r="CN326" s="1758"/>
      <c r="CO326" s="1758"/>
      <c r="CP326" s="1758"/>
      <c r="CQ326" s="1758"/>
      <c r="CR326" s="1758"/>
      <c r="CS326" s="1758"/>
      <c r="CT326" s="1758"/>
      <c r="CU326" s="1758"/>
      <c r="CV326" s="1758"/>
      <c r="CW326" s="1758"/>
      <c r="CX326" s="1758"/>
      <c r="CY326" s="1758"/>
      <c r="CZ326" s="1758"/>
      <c r="DA326" s="1758"/>
      <c r="DB326" s="1758"/>
      <c r="DC326" s="1758"/>
    </row>
    <row r="327" spans="1:107" s="1395" customFormat="1" ht="19.5" customHeight="1">
      <c r="A327" s="10827"/>
      <c r="B327" s="10731"/>
      <c r="C327" s="10728"/>
      <c r="D327" s="10728"/>
      <c r="E327" s="10728"/>
      <c r="F327" s="10744"/>
      <c r="G327" s="10728"/>
      <c r="H327" s="10728"/>
      <c r="I327" s="10728"/>
      <c r="J327" s="10728"/>
      <c r="K327" s="10735"/>
      <c r="L327" s="10738"/>
      <c r="M327" s="10738"/>
      <c r="N327" s="10738"/>
      <c r="O327" s="10735"/>
      <c r="P327" s="10735"/>
      <c r="Q327" s="10750"/>
      <c r="R327" s="5174"/>
      <c r="S327" s="5214"/>
      <c r="T327" s="5214"/>
      <c r="U327" s="5250"/>
      <c r="V327" s="5281"/>
      <c r="W327" s="5302"/>
      <c r="X327" s="7477"/>
      <c r="Y327" s="7473"/>
      <c r="Z327" s="7473"/>
      <c r="AA327" s="7474"/>
      <c r="AB327" s="5323"/>
      <c r="AC327" s="1396"/>
      <c r="AD327" s="5300"/>
      <c r="AE327" s="5346"/>
      <c r="AF327" s="5346"/>
      <c r="AG327" s="10777"/>
      <c r="AH327" s="1758"/>
      <c r="AI327" s="1758"/>
      <c r="AJ327" s="1758"/>
      <c r="AK327" s="1758"/>
      <c r="AL327" s="1758"/>
      <c r="AM327" s="1758"/>
      <c r="AN327" s="1758"/>
      <c r="AO327" s="1758"/>
      <c r="AP327" s="1758"/>
      <c r="AQ327" s="1758"/>
      <c r="AR327" s="1758"/>
      <c r="AS327" s="1758"/>
      <c r="AT327" s="1758"/>
      <c r="AU327" s="1758"/>
      <c r="AV327" s="1758"/>
      <c r="AW327" s="1758"/>
      <c r="AX327" s="1758"/>
      <c r="AY327" s="1758"/>
      <c r="AZ327" s="1758"/>
      <c r="BA327" s="1758"/>
      <c r="BB327" s="1758"/>
      <c r="BC327" s="1758"/>
      <c r="BD327" s="1758"/>
      <c r="BE327" s="1758"/>
      <c r="BF327" s="1758"/>
      <c r="BG327" s="1758"/>
      <c r="BH327" s="1758"/>
      <c r="BI327" s="1758"/>
      <c r="BJ327" s="1758"/>
      <c r="BK327" s="1758"/>
      <c r="BL327" s="1758"/>
      <c r="BM327" s="1758"/>
      <c r="BN327" s="1758"/>
      <c r="BO327" s="1758"/>
      <c r="BP327" s="1758"/>
      <c r="BQ327" s="1758"/>
      <c r="BR327" s="1758"/>
      <c r="BS327" s="1758"/>
      <c r="BT327" s="1758"/>
      <c r="BU327" s="1758"/>
      <c r="BV327" s="1758"/>
      <c r="BW327" s="1758"/>
      <c r="BX327" s="1758"/>
      <c r="BY327" s="1758"/>
      <c r="BZ327" s="1758"/>
      <c r="CA327" s="1758"/>
      <c r="CB327" s="1758"/>
      <c r="CC327" s="1758"/>
      <c r="CD327" s="1758"/>
      <c r="CE327" s="1758"/>
      <c r="CF327" s="1758"/>
      <c r="CG327" s="1758"/>
      <c r="CH327" s="1758"/>
      <c r="CI327" s="1758"/>
      <c r="CJ327" s="1758"/>
      <c r="CK327" s="1758"/>
      <c r="CL327" s="1758"/>
      <c r="CM327" s="1758"/>
      <c r="CN327" s="1758"/>
      <c r="CO327" s="1758"/>
      <c r="CP327" s="1758"/>
      <c r="CQ327" s="1758"/>
      <c r="CR327" s="1758"/>
      <c r="CS327" s="1758"/>
      <c r="CT327" s="1758"/>
      <c r="CU327" s="1758"/>
      <c r="CV327" s="1758"/>
      <c r="CW327" s="1758"/>
      <c r="CX327" s="1758"/>
      <c r="CY327" s="1758"/>
      <c r="CZ327" s="1758"/>
      <c r="DA327" s="1758"/>
      <c r="DB327" s="1758"/>
      <c r="DC327" s="1758"/>
    </row>
    <row r="328" spans="1:107" s="1395" customFormat="1" ht="19.5" customHeight="1">
      <c r="A328" s="10827"/>
      <c r="B328" s="10731"/>
      <c r="C328" s="10728"/>
      <c r="D328" s="10728"/>
      <c r="E328" s="10728"/>
      <c r="F328" s="10744"/>
      <c r="G328" s="10728"/>
      <c r="H328" s="10728"/>
      <c r="I328" s="10728"/>
      <c r="J328" s="10728"/>
      <c r="K328" s="10735"/>
      <c r="L328" s="10738"/>
      <c r="M328" s="10738"/>
      <c r="N328" s="10738"/>
      <c r="O328" s="10735"/>
      <c r="P328" s="10735"/>
      <c r="Q328" s="10750"/>
      <c r="R328" s="5173"/>
      <c r="S328" s="5212"/>
      <c r="T328" s="5212"/>
      <c r="U328" s="5250"/>
      <c r="V328" s="5281"/>
      <c r="W328" s="5302"/>
      <c r="X328" s="7477"/>
      <c r="Y328" s="7473"/>
      <c r="Z328" s="7473"/>
      <c r="AA328" s="7474"/>
      <c r="AB328" s="5323"/>
      <c r="AC328" s="1396"/>
      <c r="AD328" s="5300"/>
      <c r="AE328" s="5346"/>
      <c r="AF328" s="5346"/>
      <c r="AG328" s="10777"/>
      <c r="AH328" s="1758"/>
      <c r="AI328" s="1758"/>
      <c r="AJ328" s="1758"/>
      <c r="AK328" s="1758"/>
      <c r="AL328" s="1758"/>
      <c r="AM328" s="1758"/>
      <c r="AN328" s="1758"/>
      <c r="AO328" s="1758"/>
      <c r="AP328" s="1758"/>
      <c r="AQ328" s="1758"/>
      <c r="AR328" s="1758"/>
      <c r="AS328" s="1758"/>
      <c r="AT328" s="1758"/>
      <c r="AU328" s="1758"/>
      <c r="AV328" s="1758"/>
      <c r="AW328" s="1758"/>
      <c r="AX328" s="1758"/>
      <c r="AY328" s="1758"/>
      <c r="AZ328" s="1758"/>
      <c r="BA328" s="1758"/>
      <c r="BB328" s="1758"/>
      <c r="BC328" s="1758"/>
      <c r="BD328" s="1758"/>
      <c r="BE328" s="1758"/>
      <c r="BF328" s="1758"/>
      <c r="BG328" s="1758"/>
      <c r="BH328" s="1758"/>
      <c r="BI328" s="1758"/>
      <c r="BJ328" s="1758"/>
      <c r="BK328" s="1758"/>
      <c r="BL328" s="1758"/>
      <c r="BM328" s="1758"/>
      <c r="BN328" s="1758"/>
      <c r="BO328" s="1758"/>
      <c r="BP328" s="1758"/>
      <c r="BQ328" s="1758"/>
      <c r="BR328" s="1758"/>
      <c r="BS328" s="1758"/>
      <c r="BT328" s="1758"/>
      <c r="BU328" s="1758"/>
      <c r="BV328" s="1758"/>
      <c r="BW328" s="1758"/>
      <c r="BX328" s="1758"/>
      <c r="BY328" s="1758"/>
      <c r="BZ328" s="1758"/>
      <c r="CA328" s="1758"/>
      <c r="CB328" s="1758"/>
      <c r="CC328" s="1758"/>
      <c r="CD328" s="1758"/>
      <c r="CE328" s="1758"/>
      <c r="CF328" s="1758"/>
      <c r="CG328" s="1758"/>
      <c r="CH328" s="1758"/>
      <c r="CI328" s="1758"/>
      <c r="CJ328" s="1758"/>
      <c r="CK328" s="1758"/>
      <c r="CL328" s="1758"/>
      <c r="CM328" s="1758"/>
      <c r="CN328" s="1758"/>
      <c r="CO328" s="1758"/>
      <c r="CP328" s="1758"/>
      <c r="CQ328" s="1758"/>
      <c r="CR328" s="1758"/>
      <c r="CS328" s="1758"/>
      <c r="CT328" s="1758"/>
      <c r="CU328" s="1758"/>
      <c r="CV328" s="1758"/>
      <c r="CW328" s="1758"/>
      <c r="CX328" s="1758"/>
      <c r="CY328" s="1758"/>
      <c r="CZ328" s="1758"/>
      <c r="DA328" s="1758"/>
      <c r="DB328" s="1758"/>
      <c r="DC328" s="1758"/>
    </row>
    <row r="329" spans="1:107" s="1395" customFormat="1" ht="19.5" customHeight="1">
      <c r="A329" s="10827"/>
      <c r="B329" s="10732"/>
      <c r="C329" s="10729"/>
      <c r="D329" s="10729"/>
      <c r="E329" s="10729"/>
      <c r="F329" s="10745"/>
      <c r="G329" s="10729"/>
      <c r="H329" s="10729"/>
      <c r="I329" s="10729"/>
      <c r="J329" s="10729"/>
      <c r="K329" s="10736"/>
      <c r="L329" s="10739"/>
      <c r="M329" s="10739"/>
      <c r="N329" s="10739"/>
      <c r="O329" s="10736"/>
      <c r="P329" s="10736"/>
      <c r="Q329" s="10751"/>
      <c r="R329" s="5175"/>
      <c r="S329" s="5215"/>
      <c r="T329" s="5215"/>
      <c r="U329" s="5251"/>
      <c r="V329" s="5282"/>
      <c r="W329" s="5303"/>
      <c r="X329" s="7479"/>
      <c r="Y329" s="7479"/>
      <c r="Z329" s="7479"/>
      <c r="AA329" s="7480"/>
      <c r="AB329" s="5326"/>
      <c r="AC329" s="1399"/>
      <c r="AD329" s="5303"/>
      <c r="AE329" s="5348"/>
      <c r="AF329" s="5348"/>
      <c r="AG329" s="10778"/>
      <c r="AH329" s="1758"/>
      <c r="AI329" s="1758"/>
      <c r="AJ329" s="1758"/>
      <c r="AK329" s="1758"/>
      <c r="AL329" s="1758"/>
      <c r="AM329" s="1758"/>
      <c r="AN329" s="1758"/>
      <c r="AO329" s="1758"/>
      <c r="AP329" s="1758"/>
      <c r="AQ329" s="1758"/>
      <c r="AR329" s="1758"/>
      <c r="AS329" s="1758"/>
      <c r="AT329" s="1758"/>
      <c r="AU329" s="1758"/>
      <c r="AV329" s="1758"/>
      <c r="AW329" s="1758"/>
      <c r="AX329" s="1758"/>
      <c r="AY329" s="1758"/>
      <c r="AZ329" s="1758"/>
      <c r="BA329" s="1758"/>
      <c r="BB329" s="1758"/>
      <c r="BC329" s="1758"/>
      <c r="BD329" s="1758"/>
      <c r="BE329" s="1758"/>
      <c r="BF329" s="1758"/>
      <c r="BG329" s="1758"/>
      <c r="BH329" s="1758"/>
      <c r="BI329" s="1758"/>
      <c r="BJ329" s="1758"/>
      <c r="BK329" s="1758"/>
      <c r="BL329" s="1758"/>
      <c r="BM329" s="1758"/>
      <c r="BN329" s="1758"/>
      <c r="BO329" s="1758"/>
      <c r="BP329" s="1758"/>
      <c r="BQ329" s="1758"/>
      <c r="BR329" s="1758"/>
      <c r="BS329" s="1758"/>
      <c r="BT329" s="1758"/>
      <c r="BU329" s="1758"/>
      <c r="BV329" s="1758"/>
      <c r="BW329" s="1758"/>
      <c r="BX329" s="1758"/>
      <c r="BY329" s="1758"/>
      <c r="BZ329" s="1758"/>
      <c r="CA329" s="1758"/>
      <c r="CB329" s="1758"/>
      <c r="CC329" s="1758"/>
      <c r="CD329" s="1758"/>
      <c r="CE329" s="1758"/>
      <c r="CF329" s="1758"/>
      <c r="CG329" s="1758"/>
      <c r="CH329" s="1758"/>
      <c r="CI329" s="1758"/>
      <c r="CJ329" s="1758"/>
      <c r="CK329" s="1758"/>
      <c r="CL329" s="1758"/>
      <c r="CM329" s="1758"/>
      <c r="CN329" s="1758"/>
      <c r="CO329" s="1758"/>
      <c r="CP329" s="1758"/>
      <c r="CQ329" s="1758"/>
      <c r="CR329" s="1758"/>
      <c r="CS329" s="1758"/>
      <c r="CT329" s="1758"/>
      <c r="CU329" s="1758"/>
      <c r="CV329" s="1758"/>
      <c r="CW329" s="1758"/>
      <c r="CX329" s="1758"/>
      <c r="CY329" s="1758"/>
      <c r="CZ329" s="1758"/>
      <c r="DA329" s="1758"/>
      <c r="DB329" s="1758"/>
      <c r="DC329" s="1758"/>
    </row>
    <row r="330" spans="1:107" s="1395" customFormat="1" ht="26.25" customHeight="1">
      <c r="A330" s="10827"/>
      <c r="B330" s="10731" t="s">
        <v>127</v>
      </c>
      <c r="C330" s="10728" t="s">
        <v>227</v>
      </c>
      <c r="D330" s="10728" t="s">
        <v>228</v>
      </c>
      <c r="E330" s="10728" t="s">
        <v>229</v>
      </c>
      <c r="F330" s="10744" t="s">
        <v>230</v>
      </c>
      <c r="G330" s="10728" t="s">
        <v>171</v>
      </c>
      <c r="H330" s="10728" t="s">
        <v>159</v>
      </c>
      <c r="I330" s="10728" t="s">
        <v>5057</v>
      </c>
      <c r="J330" s="10742" t="s">
        <v>5058</v>
      </c>
      <c r="K330" s="10735" t="s">
        <v>5059</v>
      </c>
      <c r="L330" s="10738">
        <v>0</v>
      </c>
      <c r="M330" s="10738">
        <v>4</v>
      </c>
      <c r="N330" s="10738">
        <v>4</v>
      </c>
      <c r="O330" s="10735" t="s">
        <v>5060</v>
      </c>
      <c r="P330" s="10735" t="s">
        <v>5061</v>
      </c>
      <c r="Q330" s="10750" t="s">
        <v>4998</v>
      </c>
      <c r="R330" s="5173"/>
      <c r="S330" s="5212"/>
      <c r="T330" s="5212"/>
      <c r="U330" s="5249"/>
      <c r="V330" s="5281"/>
      <c r="W330" s="5302"/>
      <c r="X330" s="7477"/>
      <c r="Y330" s="7477"/>
      <c r="Z330" s="7477"/>
      <c r="AA330" s="7478"/>
      <c r="AB330" s="5325"/>
      <c r="AC330" s="1398"/>
      <c r="AD330" s="5302"/>
      <c r="AE330" s="5349"/>
      <c r="AF330" s="5349"/>
      <c r="AG330" s="10777" t="s">
        <v>4843</v>
      </c>
      <c r="AH330" s="1758"/>
      <c r="AI330" s="1758"/>
      <c r="AJ330" s="1758"/>
      <c r="AK330" s="1758"/>
      <c r="AL330" s="1758"/>
      <c r="AM330" s="1758"/>
      <c r="AN330" s="1758"/>
      <c r="AO330" s="1758"/>
      <c r="AP330" s="1758"/>
      <c r="AQ330" s="1758"/>
      <c r="AR330" s="1758"/>
      <c r="AS330" s="1758"/>
      <c r="AT330" s="1758"/>
      <c r="AU330" s="1758"/>
      <c r="AV330" s="1758"/>
      <c r="AW330" s="1758"/>
      <c r="AX330" s="1758"/>
      <c r="AY330" s="1758"/>
      <c r="AZ330" s="1758"/>
      <c r="BA330" s="1758"/>
      <c r="BB330" s="1758"/>
      <c r="BC330" s="1758"/>
      <c r="BD330" s="1758"/>
      <c r="BE330" s="1758"/>
      <c r="BF330" s="1758"/>
      <c r="BG330" s="1758"/>
      <c r="BH330" s="1758"/>
      <c r="BI330" s="1758"/>
      <c r="BJ330" s="1758"/>
      <c r="BK330" s="1758"/>
      <c r="BL330" s="1758"/>
      <c r="BM330" s="1758"/>
      <c r="BN330" s="1758"/>
      <c r="BO330" s="1758"/>
      <c r="BP330" s="1758"/>
      <c r="BQ330" s="1758"/>
      <c r="BR330" s="1758"/>
      <c r="BS330" s="1758"/>
      <c r="BT330" s="1758"/>
      <c r="BU330" s="1758"/>
      <c r="BV330" s="1758"/>
      <c r="BW330" s="1758"/>
      <c r="BX330" s="1758"/>
      <c r="BY330" s="1758"/>
      <c r="BZ330" s="1758"/>
      <c r="CA330" s="1758"/>
      <c r="CB330" s="1758"/>
      <c r="CC330" s="1758"/>
      <c r="CD330" s="1758"/>
      <c r="CE330" s="1758"/>
      <c r="CF330" s="1758"/>
      <c r="CG330" s="1758"/>
      <c r="CH330" s="1758"/>
      <c r="CI330" s="1758"/>
      <c r="CJ330" s="1758"/>
      <c r="CK330" s="1758"/>
      <c r="CL330" s="1758"/>
      <c r="CM330" s="1758"/>
      <c r="CN330" s="1758"/>
      <c r="CO330" s="1758"/>
      <c r="CP330" s="1758"/>
      <c r="CQ330" s="1758"/>
      <c r="CR330" s="1758"/>
      <c r="CS330" s="1758"/>
      <c r="CT330" s="1758"/>
      <c r="CU330" s="1758"/>
      <c r="CV330" s="1758"/>
      <c r="CW330" s="1758"/>
      <c r="CX330" s="1758"/>
      <c r="CY330" s="1758"/>
      <c r="CZ330" s="1758"/>
      <c r="DA330" s="1758"/>
      <c r="DB330" s="1758"/>
      <c r="DC330" s="1758"/>
    </row>
    <row r="331" spans="1:107" s="1395" customFormat="1" ht="26.25" customHeight="1">
      <c r="A331" s="10827"/>
      <c r="B331" s="10731"/>
      <c r="C331" s="10728"/>
      <c r="D331" s="10728"/>
      <c r="E331" s="10728"/>
      <c r="F331" s="10744"/>
      <c r="G331" s="10728"/>
      <c r="H331" s="10728"/>
      <c r="I331" s="10728"/>
      <c r="J331" s="10728"/>
      <c r="K331" s="10735"/>
      <c r="L331" s="10738"/>
      <c r="M331" s="10738"/>
      <c r="N331" s="10738"/>
      <c r="O331" s="10735"/>
      <c r="P331" s="10735"/>
      <c r="Q331" s="10750"/>
      <c r="R331" s="5171"/>
      <c r="S331" s="5213"/>
      <c r="T331" s="5213"/>
      <c r="U331" s="5247"/>
      <c r="V331" s="5279"/>
      <c r="W331" s="5300"/>
      <c r="X331" s="7473"/>
      <c r="Y331" s="7473"/>
      <c r="Z331" s="7473"/>
      <c r="AA331" s="7474"/>
      <c r="AB331" s="5323"/>
      <c r="AC331" s="1396"/>
      <c r="AD331" s="5300"/>
      <c r="AE331" s="5346"/>
      <c r="AF331" s="5346"/>
      <c r="AG331" s="10777"/>
      <c r="AH331" s="1758"/>
      <c r="AI331" s="1758"/>
      <c r="AJ331" s="1758"/>
      <c r="AK331" s="1758"/>
      <c r="AL331" s="1758"/>
      <c r="AM331" s="1758"/>
      <c r="AN331" s="1758"/>
      <c r="AO331" s="1758"/>
      <c r="AP331" s="1758"/>
      <c r="AQ331" s="1758"/>
      <c r="AR331" s="1758"/>
      <c r="AS331" s="1758"/>
      <c r="AT331" s="1758"/>
      <c r="AU331" s="1758"/>
      <c r="AV331" s="1758"/>
      <c r="AW331" s="1758"/>
      <c r="AX331" s="1758"/>
      <c r="AY331" s="1758"/>
      <c r="AZ331" s="1758"/>
      <c r="BA331" s="1758"/>
      <c r="BB331" s="1758"/>
      <c r="BC331" s="1758"/>
      <c r="BD331" s="1758"/>
      <c r="BE331" s="1758"/>
      <c r="BF331" s="1758"/>
      <c r="BG331" s="1758"/>
      <c r="BH331" s="1758"/>
      <c r="BI331" s="1758"/>
      <c r="BJ331" s="1758"/>
      <c r="BK331" s="1758"/>
      <c r="BL331" s="1758"/>
      <c r="BM331" s="1758"/>
      <c r="BN331" s="1758"/>
      <c r="BO331" s="1758"/>
      <c r="BP331" s="1758"/>
      <c r="BQ331" s="1758"/>
      <c r="BR331" s="1758"/>
      <c r="BS331" s="1758"/>
      <c r="BT331" s="1758"/>
      <c r="BU331" s="1758"/>
      <c r="BV331" s="1758"/>
      <c r="BW331" s="1758"/>
      <c r="BX331" s="1758"/>
      <c r="BY331" s="1758"/>
      <c r="BZ331" s="1758"/>
      <c r="CA331" s="1758"/>
      <c r="CB331" s="1758"/>
      <c r="CC331" s="1758"/>
      <c r="CD331" s="1758"/>
      <c r="CE331" s="1758"/>
      <c r="CF331" s="1758"/>
      <c r="CG331" s="1758"/>
      <c r="CH331" s="1758"/>
      <c r="CI331" s="1758"/>
      <c r="CJ331" s="1758"/>
      <c r="CK331" s="1758"/>
      <c r="CL331" s="1758"/>
      <c r="CM331" s="1758"/>
      <c r="CN331" s="1758"/>
      <c r="CO331" s="1758"/>
      <c r="CP331" s="1758"/>
      <c r="CQ331" s="1758"/>
      <c r="CR331" s="1758"/>
      <c r="CS331" s="1758"/>
      <c r="CT331" s="1758"/>
      <c r="CU331" s="1758"/>
      <c r="CV331" s="1758"/>
      <c r="CW331" s="1758"/>
      <c r="CX331" s="1758"/>
      <c r="CY331" s="1758"/>
      <c r="CZ331" s="1758"/>
      <c r="DA331" s="1758"/>
      <c r="DB331" s="1758"/>
      <c r="DC331" s="1758"/>
    </row>
    <row r="332" spans="1:107" s="1395" customFormat="1" ht="26.25" customHeight="1">
      <c r="A332" s="10827"/>
      <c r="B332" s="10731"/>
      <c r="C332" s="10728"/>
      <c r="D332" s="10728"/>
      <c r="E332" s="10728"/>
      <c r="F332" s="10744"/>
      <c r="G332" s="10728"/>
      <c r="H332" s="10728"/>
      <c r="I332" s="10728"/>
      <c r="J332" s="10728"/>
      <c r="K332" s="10735"/>
      <c r="L332" s="10738"/>
      <c r="M332" s="10738"/>
      <c r="N332" s="10738"/>
      <c r="O332" s="10735"/>
      <c r="P332" s="10735"/>
      <c r="Q332" s="10750"/>
      <c r="R332" s="5174"/>
      <c r="S332" s="5214"/>
      <c r="T332" s="5214"/>
      <c r="U332" s="5250"/>
      <c r="V332" s="5281"/>
      <c r="W332" s="5302"/>
      <c r="X332" s="7477"/>
      <c r="Y332" s="7473"/>
      <c r="Z332" s="7473"/>
      <c r="AA332" s="7474"/>
      <c r="AB332" s="5323"/>
      <c r="AC332" s="1396"/>
      <c r="AD332" s="5300"/>
      <c r="AE332" s="5346"/>
      <c r="AF332" s="5346"/>
      <c r="AG332" s="10777"/>
      <c r="AH332" s="1758"/>
      <c r="AI332" s="1758"/>
      <c r="AJ332" s="1758"/>
      <c r="AK332" s="1758"/>
      <c r="AL332" s="1758"/>
      <c r="AM332" s="1758"/>
      <c r="AN332" s="1758"/>
      <c r="AO332" s="1758"/>
      <c r="AP332" s="1758"/>
      <c r="AQ332" s="1758"/>
      <c r="AR332" s="1758"/>
      <c r="AS332" s="1758"/>
      <c r="AT332" s="1758"/>
      <c r="AU332" s="1758"/>
      <c r="AV332" s="1758"/>
      <c r="AW332" s="1758"/>
      <c r="AX332" s="1758"/>
      <c r="AY332" s="1758"/>
      <c r="AZ332" s="1758"/>
      <c r="BA332" s="1758"/>
      <c r="BB332" s="1758"/>
      <c r="BC332" s="1758"/>
      <c r="BD332" s="1758"/>
      <c r="BE332" s="1758"/>
      <c r="BF332" s="1758"/>
      <c r="BG332" s="1758"/>
      <c r="BH332" s="1758"/>
      <c r="BI332" s="1758"/>
      <c r="BJ332" s="1758"/>
      <c r="BK332" s="1758"/>
      <c r="BL332" s="1758"/>
      <c r="BM332" s="1758"/>
      <c r="BN332" s="1758"/>
      <c r="BO332" s="1758"/>
      <c r="BP332" s="1758"/>
      <c r="BQ332" s="1758"/>
      <c r="BR332" s="1758"/>
      <c r="BS332" s="1758"/>
      <c r="BT332" s="1758"/>
      <c r="BU332" s="1758"/>
      <c r="BV332" s="1758"/>
      <c r="BW332" s="1758"/>
      <c r="BX332" s="1758"/>
      <c r="BY332" s="1758"/>
      <c r="BZ332" s="1758"/>
      <c r="CA332" s="1758"/>
      <c r="CB332" s="1758"/>
      <c r="CC332" s="1758"/>
      <c r="CD332" s="1758"/>
      <c r="CE332" s="1758"/>
      <c r="CF332" s="1758"/>
      <c r="CG332" s="1758"/>
      <c r="CH332" s="1758"/>
      <c r="CI332" s="1758"/>
      <c r="CJ332" s="1758"/>
      <c r="CK332" s="1758"/>
      <c r="CL332" s="1758"/>
      <c r="CM332" s="1758"/>
      <c r="CN332" s="1758"/>
      <c r="CO332" s="1758"/>
      <c r="CP332" s="1758"/>
      <c r="CQ332" s="1758"/>
      <c r="CR332" s="1758"/>
      <c r="CS332" s="1758"/>
      <c r="CT332" s="1758"/>
      <c r="CU332" s="1758"/>
      <c r="CV332" s="1758"/>
      <c r="CW332" s="1758"/>
      <c r="CX332" s="1758"/>
      <c r="CY332" s="1758"/>
      <c r="CZ332" s="1758"/>
      <c r="DA332" s="1758"/>
      <c r="DB332" s="1758"/>
      <c r="DC332" s="1758"/>
    </row>
    <row r="333" spans="1:107" s="1395" customFormat="1" ht="26.25" customHeight="1">
      <c r="A333" s="10827"/>
      <c r="B333" s="10731"/>
      <c r="C333" s="10728"/>
      <c r="D333" s="10728"/>
      <c r="E333" s="10728"/>
      <c r="F333" s="10744"/>
      <c r="G333" s="10728"/>
      <c r="H333" s="10728"/>
      <c r="I333" s="10728"/>
      <c r="J333" s="10728"/>
      <c r="K333" s="10735"/>
      <c r="L333" s="10738"/>
      <c r="M333" s="10738"/>
      <c r="N333" s="10738"/>
      <c r="O333" s="10735"/>
      <c r="P333" s="10735"/>
      <c r="Q333" s="10750"/>
      <c r="R333" s="5173"/>
      <c r="S333" s="5212"/>
      <c r="T333" s="5212"/>
      <c r="U333" s="5250"/>
      <c r="V333" s="5281"/>
      <c r="W333" s="5302"/>
      <c r="X333" s="7477"/>
      <c r="Y333" s="7473"/>
      <c r="Z333" s="7473"/>
      <c r="AA333" s="7474"/>
      <c r="AB333" s="5323"/>
      <c r="AC333" s="1396"/>
      <c r="AD333" s="5300"/>
      <c r="AE333" s="5346"/>
      <c r="AF333" s="5346"/>
      <c r="AG333" s="10777"/>
      <c r="AH333" s="1758"/>
      <c r="AI333" s="1758"/>
      <c r="AJ333" s="1758"/>
      <c r="AK333" s="1758"/>
      <c r="AL333" s="1758"/>
      <c r="AM333" s="1758"/>
      <c r="AN333" s="1758"/>
      <c r="AO333" s="1758"/>
      <c r="AP333" s="1758"/>
      <c r="AQ333" s="1758"/>
      <c r="AR333" s="1758"/>
      <c r="AS333" s="1758"/>
      <c r="AT333" s="1758"/>
      <c r="AU333" s="1758"/>
      <c r="AV333" s="1758"/>
      <c r="AW333" s="1758"/>
      <c r="AX333" s="1758"/>
      <c r="AY333" s="1758"/>
      <c r="AZ333" s="1758"/>
      <c r="BA333" s="1758"/>
      <c r="BB333" s="1758"/>
      <c r="BC333" s="1758"/>
      <c r="BD333" s="1758"/>
      <c r="BE333" s="1758"/>
      <c r="BF333" s="1758"/>
      <c r="BG333" s="1758"/>
      <c r="BH333" s="1758"/>
      <c r="BI333" s="1758"/>
      <c r="BJ333" s="1758"/>
      <c r="BK333" s="1758"/>
      <c r="BL333" s="1758"/>
      <c r="BM333" s="1758"/>
      <c r="BN333" s="1758"/>
      <c r="BO333" s="1758"/>
      <c r="BP333" s="1758"/>
      <c r="BQ333" s="1758"/>
      <c r="BR333" s="1758"/>
      <c r="BS333" s="1758"/>
      <c r="BT333" s="1758"/>
      <c r="BU333" s="1758"/>
      <c r="BV333" s="1758"/>
      <c r="BW333" s="1758"/>
      <c r="BX333" s="1758"/>
      <c r="BY333" s="1758"/>
      <c r="BZ333" s="1758"/>
      <c r="CA333" s="1758"/>
      <c r="CB333" s="1758"/>
      <c r="CC333" s="1758"/>
      <c r="CD333" s="1758"/>
      <c r="CE333" s="1758"/>
      <c r="CF333" s="1758"/>
      <c r="CG333" s="1758"/>
      <c r="CH333" s="1758"/>
      <c r="CI333" s="1758"/>
      <c r="CJ333" s="1758"/>
      <c r="CK333" s="1758"/>
      <c r="CL333" s="1758"/>
      <c r="CM333" s="1758"/>
      <c r="CN333" s="1758"/>
      <c r="CO333" s="1758"/>
      <c r="CP333" s="1758"/>
      <c r="CQ333" s="1758"/>
      <c r="CR333" s="1758"/>
      <c r="CS333" s="1758"/>
      <c r="CT333" s="1758"/>
      <c r="CU333" s="1758"/>
      <c r="CV333" s="1758"/>
      <c r="CW333" s="1758"/>
      <c r="CX333" s="1758"/>
      <c r="CY333" s="1758"/>
      <c r="CZ333" s="1758"/>
      <c r="DA333" s="1758"/>
      <c r="DB333" s="1758"/>
      <c r="DC333" s="1758"/>
    </row>
    <row r="334" spans="1:107" s="1395" customFormat="1" ht="26.25" customHeight="1">
      <c r="A334" s="10827"/>
      <c r="B334" s="10732"/>
      <c r="C334" s="10729"/>
      <c r="D334" s="10729"/>
      <c r="E334" s="10729"/>
      <c r="F334" s="10745"/>
      <c r="G334" s="10729"/>
      <c r="H334" s="10729"/>
      <c r="I334" s="10729"/>
      <c r="J334" s="10729"/>
      <c r="K334" s="10736"/>
      <c r="L334" s="10739"/>
      <c r="M334" s="10739"/>
      <c r="N334" s="10739"/>
      <c r="O334" s="10736"/>
      <c r="P334" s="10736"/>
      <c r="Q334" s="10751"/>
      <c r="R334" s="5175"/>
      <c r="S334" s="5215"/>
      <c r="T334" s="5215"/>
      <c r="U334" s="5251"/>
      <c r="V334" s="5282"/>
      <c r="W334" s="5303"/>
      <c r="X334" s="7479"/>
      <c r="Y334" s="7479"/>
      <c r="Z334" s="7479"/>
      <c r="AA334" s="7480"/>
      <c r="AB334" s="5326"/>
      <c r="AC334" s="1399"/>
      <c r="AD334" s="5303"/>
      <c r="AE334" s="5348"/>
      <c r="AF334" s="5348"/>
      <c r="AG334" s="10778"/>
      <c r="AH334" s="1758"/>
      <c r="AI334" s="1758"/>
      <c r="AJ334" s="1758"/>
      <c r="AK334" s="1758"/>
      <c r="AL334" s="1758"/>
      <c r="AM334" s="1758"/>
      <c r="AN334" s="1758"/>
      <c r="AO334" s="1758"/>
      <c r="AP334" s="1758"/>
      <c r="AQ334" s="1758"/>
      <c r="AR334" s="1758"/>
      <c r="AS334" s="1758"/>
      <c r="AT334" s="1758"/>
      <c r="AU334" s="1758"/>
      <c r="AV334" s="1758"/>
      <c r="AW334" s="1758"/>
      <c r="AX334" s="1758"/>
      <c r="AY334" s="1758"/>
      <c r="AZ334" s="1758"/>
      <c r="BA334" s="1758"/>
      <c r="BB334" s="1758"/>
      <c r="BC334" s="1758"/>
      <c r="BD334" s="1758"/>
      <c r="BE334" s="1758"/>
      <c r="BF334" s="1758"/>
      <c r="BG334" s="1758"/>
      <c r="BH334" s="1758"/>
      <c r="BI334" s="1758"/>
      <c r="BJ334" s="1758"/>
      <c r="BK334" s="1758"/>
      <c r="BL334" s="1758"/>
      <c r="BM334" s="1758"/>
      <c r="BN334" s="1758"/>
      <c r="BO334" s="1758"/>
      <c r="BP334" s="1758"/>
      <c r="BQ334" s="1758"/>
      <c r="BR334" s="1758"/>
      <c r="BS334" s="1758"/>
      <c r="BT334" s="1758"/>
      <c r="BU334" s="1758"/>
      <c r="BV334" s="1758"/>
      <c r="BW334" s="1758"/>
      <c r="BX334" s="1758"/>
      <c r="BY334" s="1758"/>
      <c r="BZ334" s="1758"/>
      <c r="CA334" s="1758"/>
      <c r="CB334" s="1758"/>
      <c r="CC334" s="1758"/>
      <c r="CD334" s="1758"/>
      <c r="CE334" s="1758"/>
      <c r="CF334" s="1758"/>
      <c r="CG334" s="1758"/>
      <c r="CH334" s="1758"/>
      <c r="CI334" s="1758"/>
      <c r="CJ334" s="1758"/>
      <c r="CK334" s="1758"/>
      <c r="CL334" s="1758"/>
      <c r="CM334" s="1758"/>
      <c r="CN334" s="1758"/>
      <c r="CO334" s="1758"/>
      <c r="CP334" s="1758"/>
      <c r="CQ334" s="1758"/>
      <c r="CR334" s="1758"/>
      <c r="CS334" s="1758"/>
      <c r="CT334" s="1758"/>
      <c r="CU334" s="1758"/>
      <c r="CV334" s="1758"/>
      <c r="CW334" s="1758"/>
      <c r="CX334" s="1758"/>
      <c r="CY334" s="1758"/>
      <c r="CZ334" s="1758"/>
      <c r="DA334" s="1758"/>
      <c r="DB334" s="1758"/>
      <c r="DC334" s="1758"/>
    </row>
    <row r="335" spans="1:107" s="1395" customFormat="1" ht="21" customHeight="1">
      <c r="A335" s="10827"/>
      <c r="B335" s="10731" t="s">
        <v>183</v>
      </c>
      <c r="C335" s="10728" t="s">
        <v>128</v>
      </c>
      <c r="D335" s="10728" t="s">
        <v>129</v>
      </c>
      <c r="E335" s="10728" t="s">
        <v>205</v>
      </c>
      <c r="F335" s="10744" t="s">
        <v>131</v>
      </c>
      <c r="G335" s="10728" t="s">
        <v>132</v>
      </c>
      <c r="H335" s="10728" t="s">
        <v>159</v>
      </c>
      <c r="I335" s="10728" t="s">
        <v>5062</v>
      </c>
      <c r="J335" s="10742" t="s">
        <v>5063</v>
      </c>
      <c r="K335" s="10735" t="s">
        <v>5064</v>
      </c>
      <c r="L335" s="10738">
        <v>0</v>
      </c>
      <c r="M335" s="10738">
        <v>4</v>
      </c>
      <c r="N335" s="10738">
        <v>4</v>
      </c>
      <c r="O335" s="10735" t="s">
        <v>5065</v>
      </c>
      <c r="P335" s="10735" t="s">
        <v>5066</v>
      </c>
      <c r="Q335" s="10750" t="s">
        <v>4998</v>
      </c>
      <c r="R335" s="5173"/>
      <c r="S335" s="5212"/>
      <c r="T335" s="5212"/>
      <c r="U335" s="5249"/>
      <c r="V335" s="5281"/>
      <c r="W335" s="5302"/>
      <c r="X335" s="7477"/>
      <c r="Y335" s="7477"/>
      <c r="Z335" s="7477"/>
      <c r="AA335" s="7478"/>
      <c r="AB335" s="5325"/>
      <c r="AC335" s="1398"/>
      <c r="AD335" s="5302"/>
      <c r="AE335" s="5349"/>
      <c r="AF335" s="5349"/>
      <c r="AG335" s="10777" t="s">
        <v>4843</v>
      </c>
      <c r="AH335" s="1758"/>
      <c r="AI335" s="1758"/>
      <c r="AJ335" s="1758"/>
      <c r="AK335" s="1758"/>
      <c r="AL335" s="1758"/>
      <c r="AM335" s="1758"/>
      <c r="AN335" s="1758"/>
      <c r="AO335" s="1758"/>
      <c r="AP335" s="1758"/>
      <c r="AQ335" s="1758"/>
      <c r="AR335" s="1758"/>
      <c r="AS335" s="1758"/>
      <c r="AT335" s="1758"/>
      <c r="AU335" s="1758"/>
      <c r="AV335" s="1758"/>
      <c r="AW335" s="1758"/>
      <c r="AX335" s="1758"/>
      <c r="AY335" s="1758"/>
      <c r="AZ335" s="1758"/>
      <c r="BA335" s="1758"/>
      <c r="BB335" s="1758"/>
      <c r="BC335" s="1758"/>
      <c r="BD335" s="1758"/>
      <c r="BE335" s="1758"/>
      <c r="BF335" s="1758"/>
      <c r="BG335" s="1758"/>
      <c r="BH335" s="1758"/>
      <c r="BI335" s="1758"/>
      <c r="BJ335" s="1758"/>
      <c r="BK335" s="1758"/>
      <c r="BL335" s="1758"/>
      <c r="BM335" s="1758"/>
      <c r="BN335" s="1758"/>
      <c r="BO335" s="1758"/>
      <c r="BP335" s="1758"/>
      <c r="BQ335" s="1758"/>
      <c r="BR335" s="1758"/>
      <c r="BS335" s="1758"/>
      <c r="BT335" s="1758"/>
      <c r="BU335" s="1758"/>
      <c r="BV335" s="1758"/>
      <c r="BW335" s="1758"/>
      <c r="BX335" s="1758"/>
      <c r="BY335" s="1758"/>
      <c r="BZ335" s="1758"/>
      <c r="CA335" s="1758"/>
      <c r="CB335" s="1758"/>
      <c r="CC335" s="1758"/>
      <c r="CD335" s="1758"/>
      <c r="CE335" s="1758"/>
      <c r="CF335" s="1758"/>
      <c r="CG335" s="1758"/>
      <c r="CH335" s="1758"/>
      <c r="CI335" s="1758"/>
      <c r="CJ335" s="1758"/>
      <c r="CK335" s="1758"/>
      <c r="CL335" s="1758"/>
      <c r="CM335" s="1758"/>
      <c r="CN335" s="1758"/>
      <c r="CO335" s="1758"/>
      <c r="CP335" s="1758"/>
      <c r="CQ335" s="1758"/>
      <c r="CR335" s="1758"/>
      <c r="CS335" s="1758"/>
      <c r="CT335" s="1758"/>
      <c r="CU335" s="1758"/>
      <c r="CV335" s="1758"/>
      <c r="CW335" s="1758"/>
      <c r="CX335" s="1758"/>
      <c r="CY335" s="1758"/>
      <c r="CZ335" s="1758"/>
      <c r="DA335" s="1758"/>
      <c r="DB335" s="1758"/>
      <c r="DC335" s="1758"/>
    </row>
    <row r="336" spans="1:107" s="1395" customFormat="1" ht="21" customHeight="1">
      <c r="A336" s="10827"/>
      <c r="B336" s="10731"/>
      <c r="C336" s="10728"/>
      <c r="D336" s="10728"/>
      <c r="E336" s="10728"/>
      <c r="F336" s="10744"/>
      <c r="G336" s="10728"/>
      <c r="H336" s="10728"/>
      <c r="I336" s="10728"/>
      <c r="J336" s="10728"/>
      <c r="K336" s="10735"/>
      <c r="L336" s="10738"/>
      <c r="M336" s="10738"/>
      <c r="N336" s="10738"/>
      <c r="O336" s="10735"/>
      <c r="P336" s="10735"/>
      <c r="Q336" s="10750"/>
      <c r="R336" s="5171"/>
      <c r="S336" s="5213"/>
      <c r="T336" s="5213"/>
      <c r="U336" s="5247"/>
      <c r="V336" s="5279"/>
      <c r="W336" s="5300"/>
      <c r="X336" s="7473"/>
      <c r="Y336" s="7473"/>
      <c r="Z336" s="7473"/>
      <c r="AA336" s="7474"/>
      <c r="AB336" s="5323"/>
      <c r="AC336" s="1396"/>
      <c r="AD336" s="5300"/>
      <c r="AE336" s="5346"/>
      <c r="AF336" s="5346"/>
      <c r="AG336" s="10777"/>
      <c r="AH336" s="1758"/>
      <c r="AI336" s="1758"/>
      <c r="AJ336" s="1758"/>
      <c r="AK336" s="1758"/>
      <c r="AL336" s="1758"/>
      <c r="AM336" s="1758"/>
      <c r="AN336" s="1758"/>
      <c r="AO336" s="1758"/>
      <c r="AP336" s="1758"/>
      <c r="AQ336" s="1758"/>
      <c r="AR336" s="1758"/>
      <c r="AS336" s="1758"/>
      <c r="AT336" s="1758"/>
      <c r="AU336" s="1758"/>
      <c r="AV336" s="1758"/>
      <c r="AW336" s="1758"/>
      <c r="AX336" s="1758"/>
      <c r="AY336" s="1758"/>
      <c r="AZ336" s="1758"/>
      <c r="BA336" s="1758"/>
      <c r="BB336" s="1758"/>
      <c r="BC336" s="1758"/>
      <c r="BD336" s="1758"/>
      <c r="BE336" s="1758"/>
      <c r="BF336" s="1758"/>
      <c r="BG336" s="1758"/>
      <c r="BH336" s="1758"/>
      <c r="BI336" s="1758"/>
      <c r="BJ336" s="1758"/>
      <c r="BK336" s="1758"/>
      <c r="BL336" s="1758"/>
      <c r="BM336" s="1758"/>
      <c r="BN336" s="1758"/>
      <c r="BO336" s="1758"/>
      <c r="BP336" s="1758"/>
      <c r="BQ336" s="1758"/>
      <c r="BR336" s="1758"/>
      <c r="BS336" s="1758"/>
      <c r="BT336" s="1758"/>
      <c r="BU336" s="1758"/>
      <c r="BV336" s="1758"/>
      <c r="BW336" s="1758"/>
      <c r="BX336" s="1758"/>
      <c r="BY336" s="1758"/>
      <c r="BZ336" s="1758"/>
      <c r="CA336" s="1758"/>
      <c r="CB336" s="1758"/>
      <c r="CC336" s="1758"/>
      <c r="CD336" s="1758"/>
      <c r="CE336" s="1758"/>
      <c r="CF336" s="1758"/>
      <c r="CG336" s="1758"/>
      <c r="CH336" s="1758"/>
      <c r="CI336" s="1758"/>
      <c r="CJ336" s="1758"/>
      <c r="CK336" s="1758"/>
      <c r="CL336" s="1758"/>
      <c r="CM336" s="1758"/>
      <c r="CN336" s="1758"/>
      <c r="CO336" s="1758"/>
      <c r="CP336" s="1758"/>
      <c r="CQ336" s="1758"/>
      <c r="CR336" s="1758"/>
      <c r="CS336" s="1758"/>
      <c r="CT336" s="1758"/>
      <c r="CU336" s="1758"/>
      <c r="CV336" s="1758"/>
      <c r="CW336" s="1758"/>
      <c r="CX336" s="1758"/>
      <c r="CY336" s="1758"/>
      <c r="CZ336" s="1758"/>
      <c r="DA336" s="1758"/>
      <c r="DB336" s="1758"/>
      <c r="DC336" s="1758"/>
    </row>
    <row r="337" spans="1:107" s="1395" customFormat="1" ht="21" customHeight="1">
      <c r="A337" s="10827"/>
      <c r="B337" s="10731"/>
      <c r="C337" s="10728"/>
      <c r="D337" s="10728"/>
      <c r="E337" s="10728"/>
      <c r="F337" s="10744"/>
      <c r="G337" s="10728"/>
      <c r="H337" s="10728"/>
      <c r="I337" s="10728"/>
      <c r="J337" s="10728"/>
      <c r="K337" s="10735"/>
      <c r="L337" s="10738"/>
      <c r="M337" s="10738"/>
      <c r="N337" s="10738"/>
      <c r="O337" s="10735"/>
      <c r="P337" s="10735"/>
      <c r="Q337" s="10750"/>
      <c r="R337" s="5174"/>
      <c r="S337" s="5214"/>
      <c r="T337" s="5214"/>
      <c r="U337" s="5250"/>
      <c r="V337" s="5281"/>
      <c r="W337" s="5302"/>
      <c r="X337" s="7477"/>
      <c r="Y337" s="7473"/>
      <c r="Z337" s="7473"/>
      <c r="AA337" s="7474"/>
      <c r="AB337" s="5323"/>
      <c r="AC337" s="1396"/>
      <c r="AD337" s="5300"/>
      <c r="AE337" s="5346"/>
      <c r="AF337" s="5346"/>
      <c r="AG337" s="10777"/>
      <c r="AH337" s="1758"/>
      <c r="AI337" s="1758"/>
      <c r="AJ337" s="1758"/>
      <c r="AK337" s="1758"/>
      <c r="AL337" s="1758"/>
      <c r="AM337" s="1758"/>
      <c r="AN337" s="1758"/>
      <c r="AO337" s="1758"/>
      <c r="AP337" s="1758"/>
      <c r="AQ337" s="1758"/>
      <c r="AR337" s="1758"/>
      <c r="AS337" s="1758"/>
      <c r="AT337" s="1758"/>
      <c r="AU337" s="1758"/>
      <c r="AV337" s="1758"/>
      <c r="AW337" s="1758"/>
      <c r="AX337" s="1758"/>
      <c r="AY337" s="1758"/>
      <c r="AZ337" s="1758"/>
      <c r="BA337" s="1758"/>
      <c r="BB337" s="1758"/>
      <c r="BC337" s="1758"/>
      <c r="BD337" s="1758"/>
      <c r="BE337" s="1758"/>
      <c r="BF337" s="1758"/>
      <c r="BG337" s="1758"/>
      <c r="BH337" s="1758"/>
      <c r="BI337" s="1758"/>
      <c r="BJ337" s="1758"/>
      <c r="BK337" s="1758"/>
      <c r="BL337" s="1758"/>
      <c r="BM337" s="1758"/>
      <c r="BN337" s="1758"/>
      <c r="BO337" s="1758"/>
      <c r="BP337" s="1758"/>
      <c r="BQ337" s="1758"/>
      <c r="BR337" s="1758"/>
      <c r="BS337" s="1758"/>
      <c r="BT337" s="1758"/>
      <c r="BU337" s="1758"/>
      <c r="BV337" s="1758"/>
      <c r="BW337" s="1758"/>
      <c r="BX337" s="1758"/>
      <c r="BY337" s="1758"/>
      <c r="BZ337" s="1758"/>
      <c r="CA337" s="1758"/>
      <c r="CB337" s="1758"/>
      <c r="CC337" s="1758"/>
      <c r="CD337" s="1758"/>
      <c r="CE337" s="1758"/>
      <c r="CF337" s="1758"/>
      <c r="CG337" s="1758"/>
      <c r="CH337" s="1758"/>
      <c r="CI337" s="1758"/>
      <c r="CJ337" s="1758"/>
      <c r="CK337" s="1758"/>
      <c r="CL337" s="1758"/>
      <c r="CM337" s="1758"/>
      <c r="CN337" s="1758"/>
      <c r="CO337" s="1758"/>
      <c r="CP337" s="1758"/>
      <c r="CQ337" s="1758"/>
      <c r="CR337" s="1758"/>
      <c r="CS337" s="1758"/>
      <c r="CT337" s="1758"/>
      <c r="CU337" s="1758"/>
      <c r="CV337" s="1758"/>
      <c r="CW337" s="1758"/>
      <c r="CX337" s="1758"/>
      <c r="CY337" s="1758"/>
      <c r="CZ337" s="1758"/>
      <c r="DA337" s="1758"/>
      <c r="DB337" s="1758"/>
      <c r="DC337" s="1758"/>
    </row>
    <row r="338" spans="1:107" s="1395" customFormat="1" ht="21" customHeight="1">
      <c r="A338" s="10827"/>
      <c r="B338" s="10731"/>
      <c r="C338" s="10728"/>
      <c r="D338" s="10728"/>
      <c r="E338" s="10728"/>
      <c r="F338" s="10744"/>
      <c r="G338" s="10728"/>
      <c r="H338" s="10728"/>
      <c r="I338" s="10728"/>
      <c r="J338" s="10728"/>
      <c r="K338" s="10735"/>
      <c r="L338" s="10738"/>
      <c r="M338" s="10738"/>
      <c r="N338" s="10738"/>
      <c r="O338" s="10735"/>
      <c r="P338" s="10735"/>
      <c r="Q338" s="10750"/>
      <c r="R338" s="5173"/>
      <c r="S338" s="5212"/>
      <c r="T338" s="5212"/>
      <c r="U338" s="5250"/>
      <c r="V338" s="5281"/>
      <c r="W338" s="5302"/>
      <c r="X338" s="7477"/>
      <c r="Y338" s="7473"/>
      <c r="Z338" s="7473"/>
      <c r="AA338" s="7474"/>
      <c r="AB338" s="5323"/>
      <c r="AC338" s="1396"/>
      <c r="AD338" s="5300"/>
      <c r="AE338" s="5346"/>
      <c r="AF338" s="5346"/>
      <c r="AG338" s="10777"/>
      <c r="AH338" s="1758"/>
      <c r="AI338" s="1758"/>
      <c r="AJ338" s="1758"/>
      <c r="AK338" s="1758"/>
      <c r="AL338" s="1758"/>
      <c r="AM338" s="1758"/>
      <c r="AN338" s="1758"/>
      <c r="AO338" s="1758"/>
      <c r="AP338" s="1758"/>
      <c r="AQ338" s="1758"/>
      <c r="AR338" s="1758"/>
      <c r="AS338" s="1758"/>
      <c r="AT338" s="1758"/>
      <c r="AU338" s="1758"/>
      <c r="AV338" s="1758"/>
      <c r="AW338" s="1758"/>
      <c r="AX338" s="1758"/>
      <c r="AY338" s="1758"/>
      <c r="AZ338" s="1758"/>
      <c r="BA338" s="1758"/>
      <c r="BB338" s="1758"/>
      <c r="BC338" s="1758"/>
      <c r="BD338" s="1758"/>
      <c r="BE338" s="1758"/>
      <c r="BF338" s="1758"/>
      <c r="BG338" s="1758"/>
      <c r="BH338" s="1758"/>
      <c r="BI338" s="1758"/>
      <c r="BJ338" s="1758"/>
      <c r="BK338" s="1758"/>
      <c r="BL338" s="1758"/>
      <c r="BM338" s="1758"/>
      <c r="BN338" s="1758"/>
      <c r="BO338" s="1758"/>
      <c r="BP338" s="1758"/>
      <c r="BQ338" s="1758"/>
      <c r="BR338" s="1758"/>
      <c r="BS338" s="1758"/>
      <c r="BT338" s="1758"/>
      <c r="BU338" s="1758"/>
      <c r="BV338" s="1758"/>
      <c r="BW338" s="1758"/>
      <c r="BX338" s="1758"/>
      <c r="BY338" s="1758"/>
      <c r="BZ338" s="1758"/>
      <c r="CA338" s="1758"/>
      <c r="CB338" s="1758"/>
      <c r="CC338" s="1758"/>
      <c r="CD338" s="1758"/>
      <c r="CE338" s="1758"/>
      <c r="CF338" s="1758"/>
      <c r="CG338" s="1758"/>
      <c r="CH338" s="1758"/>
      <c r="CI338" s="1758"/>
      <c r="CJ338" s="1758"/>
      <c r="CK338" s="1758"/>
      <c r="CL338" s="1758"/>
      <c r="CM338" s="1758"/>
      <c r="CN338" s="1758"/>
      <c r="CO338" s="1758"/>
      <c r="CP338" s="1758"/>
      <c r="CQ338" s="1758"/>
      <c r="CR338" s="1758"/>
      <c r="CS338" s="1758"/>
      <c r="CT338" s="1758"/>
      <c r="CU338" s="1758"/>
      <c r="CV338" s="1758"/>
      <c r="CW338" s="1758"/>
      <c r="CX338" s="1758"/>
      <c r="CY338" s="1758"/>
      <c r="CZ338" s="1758"/>
      <c r="DA338" s="1758"/>
      <c r="DB338" s="1758"/>
      <c r="DC338" s="1758"/>
    </row>
    <row r="339" spans="1:107" s="1395" customFormat="1" ht="21" customHeight="1">
      <c r="A339" s="10827"/>
      <c r="B339" s="10732"/>
      <c r="C339" s="10729"/>
      <c r="D339" s="10729"/>
      <c r="E339" s="10729"/>
      <c r="F339" s="10745"/>
      <c r="G339" s="10729"/>
      <c r="H339" s="10729"/>
      <c r="I339" s="10729"/>
      <c r="J339" s="10729"/>
      <c r="K339" s="10736"/>
      <c r="L339" s="10739"/>
      <c r="M339" s="10739"/>
      <c r="N339" s="10739"/>
      <c r="O339" s="10736"/>
      <c r="P339" s="10736"/>
      <c r="Q339" s="10751"/>
      <c r="R339" s="5175"/>
      <c r="S339" s="5215"/>
      <c r="T339" s="5215"/>
      <c r="U339" s="5251"/>
      <c r="V339" s="5282"/>
      <c r="W339" s="5303"/>
      <c r="X339" s="7479"/>
      <c r="Y339" s="7479"/>
      <c r="Z339" s="7479"/>
      <c r="AA339" s="7480"/>
      <c r="AB339" s="5326"/>
      <c r="AC339" s="1399"/>
      <c r="AD339" s="5303"/>
      <c r="AE339" s="5348"/>
      <c r="AF339" s="5348"/>
      <c r="AG339" s="10778"/>
      <c r="AH339" s="1758"/>
      <c r="AI339" s="1758"/>
      <c r="AJ339" s="1758"/>
      <c r="AK339" s="1758"/>
      <c r="AL339" s="1758"/>
      <c r="AM339" s="1758"/>
      <c r="AN339" s="1758"/>
      <c r="AO339" s="1758"/>
      <c r="AP339" s="1758"/>
      <c r="AQ339" s="1758"/>
      <c r="AR339" s="1758"/>
      <c r="AS339" s="1758"/>
      <c r="AT339" s="1758"/>
      <c r="AU339" s="1758"/>
      <c r="AV339" s="1758"/>
      <c r="AW339" s="1758"/>
      <c r="AX339" s="1758"/>
      <c r="AY339" s="1758"/>
      <c r="AZ339" s="1758"/>
      <c r="BA339" s="1758"/>
      <c r="BB339" s="1758"/>
      <c r="BC339" s="1758"/>
      <c r="BD339" s="1758"/>
      <c r="BE339" s="1758"/>
      <c r="BF339" s="1758"/>
      <c r="BG339" s="1758"/>
      <c r="BH339" s="1758"/>
      <c r="BI339" s="1758"/>
      <c r="BJ339" s="1758"/>
      <c r="BK339" s="1758"/>
      <c r="BL339" s="1758"/>
      <c r="BM339" s="1758"/>
      <c r="BN339" s="1758"/>
      <c r="BO339" s="1758"/>
      <c r="BP339" s="1758"/>
      <c r="BQ339" s="1758"/>
      <c r="BR339" s="1758"/>
      <c r="BS339" s="1758"/>
      <c r="BT339" s="1758"/>
      <c r="BU339" s="1758"/>
      <c r="BV339" s="1758"/>
      <c r="BW339" s="1758"/>
      <c r="BX339" s="1758"/>
      <c r="BY339" s="1758"/>
      <c r="BZ339" s="1758"/>
      <c r="CA339" s="1758"/>
      <c r="CB339" s="1758"/>
      <c r="CC339" s="1758"/>
      <c r="CD339" s="1758"/>
      <c r="CE339" s="1758"/>
      <c r="CF339" s="1758"/>
      <c r="CG339" s="1758"/>
      <c r="CH339" s="1758"/>
      <c r="CI339" s="1758"/>
      <c r="CJ339" s="1758"/>
      <c r="CK339" s="1758"/>
      <c r="CL339" s="1758"/>
      <c r="CM339" s="1758"/>
      <c r="CN339" s="1758"/>
      <c r="CO339" s="1758"/>
      <c r="CP339" s="1758"/>
      <c r="CQ339" s="1758"/>
      <c r="CR339" s="1758"/>
      <c r="CS339" s="1758"/>
      <c r="CT339" s="1758"/>
      <c r="CU339" s="1758"/>
      <c r="CV339" s="1758"/>
      <c r="CW339" s="1758"/>
      <c r="CX339" s="1758"/>
      <c r="CY339" s="1758"/>
      <c r="CZ339" s="1758"/>
      <c r="DA339" s="1758"/>
      <c r="DB339" s="1758"/>
      <c r="DC339" s="1758"/>
    </row>
    <row r="340" spans="1:107" s="6132" customFormat="1" ht="22.5" customHeight="1">
      <c r="A340" s="6241"/>
      <c r="B340" s="6127"/>
      <c r="C340" s="6127"/>
      <c r="D340" s="6127"/>
      <c r="E340" s="6127"/>
      <c r="F340" s="6127"/>
      <c r="G340" s="6127"/>
      <c r="H340" s="6127"/>
      <c r="I340" s="6127"/>
      <c r="J340" s="6127"/>
      <c r="K340" s="6127"/>
      <c r="L340" s="6128"/>
      <c r="M340" s="6128"/>
      <c r="N340" s="6128"/>
      <c r="O340" s="6127"/>
      <c r="P340" s="6127"/>
      <c r="Q340" s="6129"/>
      <c r="R340" s="5391" t="s">
        <v>5067</v>
      </c>
      <c r="S340" s="5396"/>
      <c r="T340" s="5396"/>
      <c r="U340" s="5395"/>
      <c r="V340" s="7466"/>
      <c r="W340" s="5395"/>
      <c r="X340" s="5396"/>
      <c r="Y340" s="5396"/>
      <c r="Z340" s="5394" t="s">
        <v>292</v>
      </c>
      <c r="AA340" s="7468">
        <f>SUM(AA270:AA339)</f>
        <v>0</v>
      </c>
      <c r="AB340" s="6130"/>
      <c r="AC340" s="6131"/>
      <c r="AD340" s="10789"/>
      <c r="AE340" s="10790"/>
      <c r="AF340" s="10790"/>
      <c r="AG340" s="10791"/>
    </row>
    <row r="341" spans="1:107" s="1395" customFormat="1" ht="26.25" customHeight="1">
      <c r="A341" s="10826" t="s">
        <v>5068</v>
      </c>
      <c r="B341" s="10730" t="s">
        <v>127</v>
      </c>
      <c r="C341" s="10733" t="s">
        <v>128</v>
      </c>
      <c r="D341" s="10733" t="s">
        <v>129</v>
      </c>
      <c r="E341" s="10733" t="s">
        <v>205</v>
      </c>
      <c r="F341" s="10752" t="s">
        <v>131</v>
      </c>
      <c r="G341" s="10733" t="s">
        <v>132</v>
      </c>
      <c r="H341" s="10733" t="s">
        <v>159</v>
      </c>
      <c r="I341" s="10753" t="s">
        <v>4983</v>
      </c>
      <c r="J341" s="10733" t="s">
        <v>4609</v>
      </c>
      <c r="K341" s="10747" t="s">
        <v>4984</v>
      </c>
      <c r="L341" s="10746">
        <v>0</v>
      </c>
      <c r="M341" s="10746">
        <v>1</v>
      </c>
      <c r="N341" s="10746">
        <v>1</v>
      </c>
      <c r="O341" s="10747" t="s">
        <v>4985</v>
      </c>
      <c r="P341" s="10747" t="s">
        <v>4986</v>
      </c>
      <c r="Q341" s="10750" t="s">
        <v>5069</v>
      </c>
      <c r="R341" s="5182"/>
      <c r="S341" s="5222"/>
      <c r="T341" s="5222"/>
      <c r="U341" s="5259"/>
      <c r="V341" s="5289"/>
      <c r="W341" s="5310"/>
      <c r="X341" s="7494"/>
      <c r="Y341" s="7494"/>
      <c r="Z341" s="7494"/>
      <c r="AA341" s="7495"/>
      <c r="AB341" s="5332"/>
      <c r="AC341" s="1405"/>
      <c r="AD341" s="5310"/>
      <c r="AE341" s="5345"/>
      <c r="AF341" s="5345"/>
      <c r="AG341" s="10780"/>
      <c r="AH341" s="1758"/>
      <c r="AI341" s="1758"/>
      <c r="AJ341" s="1758"/>
      <c r="AK341" s="1758"/>
      <c r="AL341" s="1758"/>
      <c r="AM341" s="1758"/>
      <c r="AN341" s="1758"/>
      <c r="AO341" s="1758"/>
      <c r="AP341" s="1758"/>
      <c r="AQ341" s="1758"/>
      <c r="AR341" s="1758"/>
      <c r="AS341" s="1758"/>
      <c r="AT341" s="1758"/>
      <c r="AU341" s="1758"/>
      <c r="AV341" s="1758"/>
      <c r="AW341" s="1758"/>
      <c r="AX341" s="1758"/>
      <c r="AY341" s="1758"/>
      <c r="AZ341" s="1758"/>
      <c r="BA341" s="1758"/>
      <c r="BB341" s="1758"/>
      <c r="BC341" s="1758"/>
      <c r="BD341" s="1758"/>
      <c r="BE341" s="1758"/>
      <c r="BF341" s="1758"/>
      <c r="BG341" s="1758"/>
      <c r="BH341" s="1758"/>
      <c r="BI341" s="1758"/>
      <c r="BJ341" s="1758"/>
      <c r="BK341" s="1758"/>
      <c r="BL341" s="1758"/>
      <c r="BM341" s="1758"/>
      <c r="BN341" s="1758"/>
      <c r="BO341" s="1758"/>
      <c r="BP341" s="1758"/>
      <c r="BQ341" s="1758"/>
      <c r="BR341" s="1758"/>
      <c r="BS341" s="1758"/>
      <c r="BT341" s="1758"/>
      <c r="BU341" s="1758"/>
      <c r="BV341" s="1758"/>
      <c r="BW341" s="1758"/>
      <c r="BX341" s="1758"/>
      <c r="BY341" s="1758"/>
      <c r="BZ341" s="1758"/>
      <c r="CA341" s="1758"/>
      <c r="CB341" s="1758"/>
      <c r="CC341" s="1758"/>
      <c r="CD341" s="1758"/>
      <c r="CE341" s="1758"/>
      <c r="CF341" s="1758"/>
      <c r="CG341" s="1758"/>
      <c r="CH341" s="1758"/>
      <c r="CI341" s="1758"/>
      <c r="CJ341" s="1758"/>
      <c r="CK341" s="1758"/>
      <c r="CL341" s="1758"/>
      <c r="CM341" s="1758"/>
      <c r="CN341" s="1758"/>
      <c r="CO341" s="1758"/>
      <c r="CP341" s="1758"/>
      <c r="CQ341" s="1758"/>
      <c r="CR341" s="1758"/>
      <c r="CS341" s="1758"/>
      <c r="CT341" s="1758"/>
      <c r="CU341" s="1758"/>
      <c r="CV341" s="1758"/>
      <c r="CW341" s="1758"/>
      <c r="CX341" s="1758"/>
      <c r="CY341" s="1758"/>
      <c r="CZ341" s="1758"/>
      <c r="DA341" s="1758"/>
      <c r="DB341" s="1758"/>
      <c r="DC341" s="1758"/>
    </row>
    <row r="342" spans="1:107" s="1395" customFormat="1" ht="26.25" customHeight="1">
      <c r="A342" s="10827"/>
      <c r="B342" s="10731"/>
      <c r="C342" s="10728"/>
      <c r="D342" s="10728"/>
      <c r="E342" s="10728"/>
      <c r="F342" s="10744"/>
      <c r="G342" s="10728"/>
      <c r="H342" s="10728"/>
      <c r="I342" s="10754"/>
      <c r="J342" s="10728"/>
      <c r="K342" s="10735"/>
      <c r="L342" s="10738"/>
      <c r="M342" s="10738"/>
      <c r="N342" s="10738"/>
      <c r="O342" s="10735"/>
      <c r="P342" s="10735"/>
      <c r="Q342" s="10750"/>
      <c r="R342" s="5171"/>
      <c r="S342" s="5213"/>
      <c r="T342" s="5213"/>
      <c r="U342" s="5247"/>
      <c r="V342" s="5279"/>
      <c r="W342" s="5300"/>
      <c r="X342" s="7473"/>
      <c r="Y342" s="7473"/>
      <c r="Z342" s="7473"/>
      <c r="AA342" s="7474"/>
      <c r="AB342" s="5323"/>
      <c r="AC342" s="1396"/>
      <c r="AD342" s="5300"/>
      <c r="AE342" s="5346"/>
      <c r="AF342" s="5346"/>
      <c r="AG342" s="10777"/>
      <c r="AH342" s="1758"/>
      <c r="AI342" s="1758"/>
      <c r="AJ342" s="1758"/>
      <c r="AK342" s="1758"/>
      <c r="AL342" s="1758"/>
      <c r="AM342" s="1758"/>
      <c r="AN342" s="1758"/>
      <c r="AO342" s="1758"/>
      <c r="AP342" s="1758"/>
      <c r="AQ342" s="1758"/>
      <c r="AR342" s="1758"/>
      <c r="AS342" s="1758"/>
      <c r="AT342" s="1758"/>
      <c r="AU342" s="1758"/>
      <c r="AV342" s="1758"/>
      <c r="AW342" s="1758"/>
      <c r="AX342" s="1758"/>
      <c r="AY342" s="1758"/>
      <c r="AZ342" s="1758"/>
      <c r="BA342" s="1758"/>
      <c r="BB342" s="1758"/>
      <c r="BC342" s="1758"/>
      <c r="BD342" s="1758"/>
      <c r="BE342" s="1758"/>
      <c r="BF342" s="1758"/>
      <c r="BG342" s="1758"/>
      <c r="BH342" s="1758"/>
      <c r="BI342" s="1758"/>
      <c r="BJ342" s="1758"/>
      <c r="BK342" s="1758"/>
      <c r="BL342" s="1758"/>
      <c r="BM342" s="1758"/>
      <c r="BN342" s="1758"/>
      <c r="BO342" s="1758"/>
      <c r="BP342" s="1758"/>
      <c r="BQ342" s="1758"/>
      <c r="BR342" s="1758"/>
      <c r="BS342" s="1758"/>
      <c r="BT342" s="1758"/>
      <c r="BU342" s="1758"/>
      <c r="BV342" s="1758"/>
      <c r="BW342" s="1758"/>
      <c r="BX342" s="1758"/>
      <c r="BY342" s="1758"/>
      <c r="BZ342" s="1758"/>
      <c r="CA342" s="1758"/>
      <c r="CB342" s="1758"/>
      <c r="CC342" s="1758"/>
      <c r="CD342" s="1758"/>
      <c r="CE342" s="1758"/>
      <c r="CF342" s="1758"/>
      <c r="CG342" s="1758"/>
      <c r="CH342" s="1758"/>
      <c r="CI342" s="1758"/>
      <c r="CJ342" s="1758"/>
      <c r="CK342" s="1758"/>
      <c r="CL342" s="1758"/>
      <c r="CM342" s="1758"/>
      <c r="CN342" s="1758"/>
      <c r="CO342" s="1758"/>
      <c r="CP342" s="1758"/>
      <c r="CQ342" s="1758"/>
      <c r="CR342" s="1758"/>
      <c r="CS342" s="1758"/>
      <c r="CT342" s="1758"/>
      <c r="CU342" s="1758"/>
      <c r="CV342" s="1758"/>
      <c r="CW342" s="1758"/>
      <c r="CX342" s="1758"/>
      <c r="CY342" s="1758"/>
      <c r="CZ342" s="1758"/>
      <c r="DA342" s="1758"/>
      <c r="DB342" s="1758"/>
      <c r="DC342" s="1758"/>
    </row>
    <row r="343" spans="1:107" s="1395" customFormat="1" ht="26.25" customHeight="1">
      <c r="A343" s="10827"/>
      <c r="B343" s="10731"/>
      <c r="C343" s="10728"/>
      <c r="D343" s="10728"/>
      <c r="E343" s="10728"/>
      <c r="F343" s="10744"/>
      <c r="G343" s="10728"/>
      <c r="H343" s="10728"/>
      <c r="I343" s="10754"/>
      <c r="J343" s="10728"/>
      <c r="K343" s="10735"/>
      <c r="L343" s="10738"/>
      <c r="M343" s="10738"/>
      <c r="N343" s="10738"/>
      <c r="O343" s="10735"/>
      <c r="P343" s="10735"/>
      <c r="Q343" s="10750"/>
      <c r="R343" s="5174"/>
      <c r="S343" s="5214"/>
      <c r="T343" s="5214"/>
      <c r="U343" s="5250"/>
      <c r="V343" s="5281"/>
      <c r="W343" s="5302"/>
      <c r="X343" s="7477"/>
      <c r="Y343" s="7473"/>
      <c r="Z343" s="7473"/>
      <c r="AA343" s="7474"/>
      <c r="AB343" s="5323"/>
      <c r="AC343" s="1396"/>
      <c r="AD343" s="5300"/>
      <c r="AE343" s="5346"/>
      <c r="AF343" s="5346"/>
      <c r="AG343" s="10777"/>
      <c r="AH343" s="1758"/>
      <c r="AI343" s="1758"/>
      <c r="AJ343" s="1758"/>
      <c r="AK343" s="1758"/>
      <c r="AL343" s="1758"/>
      <c r="AM343" s="1758"/>
      <c r="AN343" s="1758"/>
      <c r="AO343" s="1758"/>
      <c r="AP343" s="1758"/>
      <c r="AQ343" s="1758"/>
      <c r="AR343" s="1758"/>
      <c r="AS343" s="1758"/>
      <c r="AT343" s="1758"/>
      <c r="AU343" s="1758"/>
      <c r="AV343" s="1758"/>
      <c r="AW343" s="1758"/>
      <c r="AX343" s="1758"/>
      <c r="AY343" s="1758"/>
      <c r="AZ343" s="1758"/>
      <c r="BA343" s="1758"/>
      <c r="BB343" s="1758"/>
      <c r="BC343" s="1758"/>
      <c r="BD343" s="1758"/>
      <c r="BE343" s="1758"/>
      <c r="BF343" s="1758"/>
      <c r="BG343" s="1758"/>
      <c r="BH343" s="1758"/>
      <c r="BI343" s="1758"/>
      <c r="BJ343" s="1758"/>
      <c r="BK343" s="1758"/>
      <c r="BL343" s="1758"/>
      <c r="BM343" s="1758"/>
      <c r="BN343" s="1758"/>
      <c r="BO343" s="1758"/>
      <c r="BP343" s="1758"/>
      <c r="BQ343" s="1758"/>
      <c r="BR343" s="1758"/>
      <c r="BS343" s="1758"/>
      <c r="BT343" s="1758"/>
      <c r="BU343" s="1758"/>
      <c r="BV343" s="1758"/>
      <c r="BW343" s="1758"/>
      <c r="BX343" s="1758"/>
      <c r="BY343" s="1758"/>
      <c r="BZ343" s="1758"/>
      <c r="CA343" s="1758"/>
      <c r="CB343" s="1758"/>
      <c r="CC343" s="1758"/>
      <c r="CD343" s="1758"/>
      <c r="CE343" s="1758"/>
      <c r="CF343" s="1758"/>
      <c r="CG343" s="1758"/>
      <c r="CH343" s="1758"/>
      <c r="CI343" s="1758"/>
      <c r="CJ343" s="1758"/>
      <c r="CK343" s="1758"/>
      <c r="CL343" s="1758"/>
      <c r="CM343" s="1758"/>
      <c r="CN343" s="1758"/>
      <c r="CO343" s="1758"/>
      <c r="CP343" s="1758"/>
      <c r="CQ343" s="1758"/>
      <c r="CR343" s="1758"/>
      <c r="CS343" s="1758"/>
      <c r="CT343" s="1758"/>
      <c r="CU343" s="1758"/>
      <c r="CV343" s="1758"/>
      <c r="CW343" s="1758"/>
      <c r="CX343" s="1758"/>
      <c r="CY343" s="1758"/>
      <c r="CZ343" s="1758"/>
      <c r="DA343" s="1758"/>
      <c r="DB343" s="1758"/>
      <c r="DC343" s="1758"/>
    </row>
    <row r="344" spans="1:107" s="1395" customFormat="1" ht="26.25" customHeight="1">
      <c r="A344" s="10827"/>
      <c r="B344" s="10731"/>
      <c r="C344" s="10728"/>
      <c r="D344" s="10728"/>
      <c r="E344" s="10728"/>
      <c r="F344" s="10744"/>
      <c r="G344" s="10728"/>
      <c r="H344" s="10728"/>
      <c r="I344" s="10754"/>
      <c r="J344" s="10728"/>
      <c r="K344" s="10735"/>
      <c r="L344" s="10738"/>
      <c r="M344" s="10738"/>
      <c r="N344" s="10738"/>
      <c r="O344" s="10735"/>
      <c r="P344" s="10735"/>
      <c r="Q344" s="10750"/>
      <c r="R344" s="5173"/>
      <c r="S344" s="5212"/>
      <c r="T344" s="5212"/>
      <c r="U344" s="5250"/>
      <c r="V344" s="5281"/>
      <c r="W344" s="5302"/>
      <c r="X344" s="7477"/>
      <c r="Y344" s="7473"/>
      <c r="Z344" s="7473"/>
      <c r="AA344" s="7474"/>
      <c r="AB344" s="5323"/>
      <c r="AC344" s="1396"/>
      <c r="AD344" s="5300"/>
      <c r="AE344" s="5346"/>
      <c r="AF344" s="5346"/>
      <c r="AG344" s="10777"/>
      <c r="AH344" s="1758"/>
      <c r="AI344" s="1758"/>
      <c r="AJ344" s="1758"/>
      <c r="AK344" s="1758"/>
      <c r="AL344" s="1758"/>
      <c r="AM344" s="1758"/>
      <c r="AN344" s="1758"/>
      <c r="AO344" s="1758"/>
      <c r="AP344" s="1758"/>
      <c r="AQ344" s="1758"/>
      <c r="AR344" s="1758"/>
      <c r="AS344" s="1758"/>
      <c r="AT344" s="1758"/>
      <c r="AU344" s="1758"/>
      <c r="AV344" s="1758"/>
      <c r="AW344" s="1758"/>
      <c r="AX344" s="1758"/>
      <c r="AY344" s="1758"/>
      <c r="AZ344" s="1758"/>
      <c r="BA344" s="1758"/>
      <c r="BB344" s="1758"/>
      <c r="BC344" s="1758"/>
      <c r="BD344" s="1758"/>
      <c r="BE344" s="1758"/>
      <c r="BF344" s="1758"/>
      <c r="BG344" s="1758"/>
      <c r="BH344" s="1758"/>
      <c r="BI344" s="1758"/>
      <c r="BJ344" s="1758"/>
      <c r="BK344" s="1758"/>
      <c r="BL344" s="1758"/>
      <c r="BM344" s="1758"/>
      <c r="BN344" s="1758"/>
      <c r="BO344" s="1758"/>
      <c r="BP344" s="1758"/>
      <c r="BQ344" s="1758"/>
      <c r="BR344" s="1758"/>
      <c r="BS344" s="1758"/>
      <c r="BT344" s="1758"/>
      <c r="BU344" s="1758"/>
      <c r="BV344" s="1758"/>
      <c r="BW344" s="1758"/>
      <c r="BX344" s="1758"/>
      <c r="BY344" s="1758"/>
      <c r="BZ344" s="1758"/>
      <c r="CA344" s="1758"/>
      <c r="CB344" s="1758"/>
      <c r="CC344" s="1758"/>
      <c r="CD344" s="1758"/>
      <c r="CE344" s="1758"/>
      <c r="CF344" s="1758"/>
      <c r="CG344" s="1758"/>
      <c r="CH344" s="1758"/>
      <c r="CI344" s="1758"/>
      <c r="CJ344" s="1758"/>
      <c r="CK344" s="1758"/>
      <c r="CL344" s="1758"/>
      <c r="CM344" s="1758"/>
      <c r="CN344" s="1758"/>
      <c r="CO344" s="1758"/>
      <c r="CP344" s="1758"/>
      <c r="CQ344" s="1758"/>
      <c r="CR344" s="1758"/>
      <c r="CS344" s="1758"/>
      <c r="CT344" s="1758"/>
      <c r="CU344" s="1758"/>
      <c r="CV344" s="1758"/>
      <c r="CW344" s="1758"/>
      <c r="CX344" s="1758"/>
      <c r="CY344" s="1758"/>
      <c r="CZ344" s="1758"/>
      <c r="DA344" s="1758"/>
      <c r="DB344" s="1758"/>
      <c r="DC344" s="1758"/>
    </row>
    <row r="345" spans="1:107" s="1395" customFormat="1" ht="26.25" customHeight="1">
      <c r="A345" s="10827"/>
      <c r="B345" s="10732"/>
      <c r="C345" s="10729"/>
      <c r="D345" s="10729"/>
      <c r="E345" s="10729"/>
      <c r="F345" s="10745"/>
      <c r="G345" s="10729"/>
      <c r="H345" s="10729"/>
      <c r="I345" s="10755"/>
      <c r="J345" s="10729"/>
      <c r="K345" s="10736"/>
      <c r="L345" s="10739"/>
      <c r="M345" s="10739"/>
      <c r="N345" s="10739"/>
      <c r="O345" s="10736"/>
      <c r="P345" s="10736"/>
      <c r="Q345" s="10751"/>
      <c r="R345" s="5175"/>
      <c r="S345" s="5215"/>
      <c r="T345" s="5215"/>
      <c r="U345" s="5251"/>
      <c r="V345" s="5282"/>
      <c r="W345" s="5303"/>
      <c r="X345" s="7479"/>
      <c r="Y345" s="7479"/>
      <c r="Z345" s="7479"/>
      <c r="AA345" s="7480"/>
      <c r="AB345" s="5326"/>
      <c r="AC345" s="1399"/>
      <c r="AD345" s="5303"/>
      <c r="AE345" s="5348"/>
      <c r="AF345" s="5348"/>
      <c r="AG345" s="10778"/>
      <c r="AH345" s="1758"/>
      <c r="AI345" s="1758"/>
      <c r="AJ345" s="1758"/>
      <c r="AK345" s="1758"/>
      <c r="AL345" s="1758"/>
      <c r="AM345" s="1758"/>
      <c r="AN345" s="1758"/>
      <c r="AO345" s="1758"/>
      <c r="AP345" s="1758"/>
      <c r="AQ345" s="1758"/>
      <c r="AR345" s="1758"/>
      <c r="AS345" s="1758"/>
      <c r="AT345" s="1758"/>
      <c r="AU345" s="1758"/>
      <c r="AV345" s="1758"/>
      <c r="AW345" s="1758"/>
      <c r="AX345" s="1758"/>
      <c r="AY345" s="1758"/>
      <c r="AZ345" s="1758"/>
      <c r="BA345" s="1758"/>
      <c r="BB345" s="1758"/>
      <c r="BC345" s="1758"/>
      <c r="BD345" s="1758"/>
      <c r="BE345" s="1758"/>
      <c r="BF345" s="1758"/>
      <c r="BG345" s="1758"/>
      <c r="BH345" s="1758"/>
      <c r="BI345" s="1758"/>
      <c r="BJ345" s="1758"/>
      <c r="BK345" s="1758"/>
      <c r="BL345" s="1758"/>
      <c r="BM345" s="1758"/>
      <c r="BN345" s="1758"/>
      <c r="BO345" s="1758"/>
      <c r="BP345" s="1758"/>
      <c r="BQ345" s="1758"/>
      <c r="BR345" s="1758"/>
      <c r="BS345" s="1758"/>
      <c r="BT345" s="1758"/>
      <c r="BU345" s="1758"/>
      <c r="BV345" s="1758"/>
      <c r="BW345" s="1758"/>
      <c r="BX345" s="1758"/>
      <c r="BY345" s="1758"/>
      <c r="BZ345" s="1758"/>
      <c r="CA345" s="1758"/>
      <c r="CB345" s="1758"/>
      <c r="CC345" s="1758"/>
      <c r="CD345" s="1758"/>
      <c r="CE345" s="1758"/>
      <c r="CF345" s="1758"/>
      <c r="CG345" s="1758"/>
      <c r="CH345" s="1758"/>
      <c r="CI345" s="1758"/>
      <c r="CJ345" s="1758"/>
      <c r="CK345" s="1758"/>
      <c r="CL345" s="1758"/>
      <c r="CM345" s="1758"/>
      <c r="CN345" s="1758"/>
      <c r="CO345" s="1758"/>
      <c r="CP345" s="1758"/>
      <c r="CQ345" s="1758"/>
      <c r="CR345" s="1758"/>
      <c r="CS345" s="1758"/>
      <c r="CT345" s="1758"/>
      <c r="CU345" s="1758"/>
      <c r="CV345" s="1758"/>
      <c r="CW345" s="1758"/>
      <c r="CX345" s="1758"/>
      <c r="CY345" s="1758"/>
      <c r="CZ345" s="1758"/>
      <c r="DA345" s="1758"/>
      <c r="DB345" s="1758"/>
      <c r="DC345" s="1758"/>
    </row>
    <row r="346" spans="1:107" s="1395" customFormat="1" ht="24.75" customHeight="1">
      <c r="A346" s="10827"/>
      <c r="B346" s="10731" t="s">
        <v>127</v>
      </c>
      <c r="C346" s="10728" t="s">
        <v>128</v>
      </c>
      <c r="D346" s="10728" t="s">
        <v>129</v>
      </c>
      <c r="E346" s="10728" t="s">
        <v>205</v>
      </c>
      <c r="F346" s="10744" t="s">
        <v>131</v>
      </c>
      <c r="G346" s="10728" t="s">
        <v>132</v>
      </c>
      <c r="H346" s="10728" t="s">
        <v>159</v>
      </c>
      <c r="I346" s="10728" t="s">
        <v>4988</v>
      </c>
      <c r="J346" s="10742" t="s">
        <v>4615</v>
      </c>
      <c r="K346" s="10735" t="s">
        <v>4989</v>
      </c>
      <c r="L346" s="10738">
        <v>0</v>
      </c>
      <c r="M346" s="10738">
        <v>4</v>
      </c>
      <c r="N346" s="10738">
        <v>4</v>
      </c>
      <c r="O346" s="10735" t="s">
        <v>5070</v>
      </c>
      <c r="P346" s="10735" t="s">
        <v>4991</v>
      </c>
      <c r="Q346" s="10750" t="s">
        <v>5069</v>
      </c>
      <c r="R346" s="5173"/>
      <c r="S346" s="5212"/>
      <c r="T346" s="5212"/>
      <c r="U346" s="5249"/>
      <c r="V346" s="5281"/>
      <c r="W346" s="5302"/>
      <c r="X346" s="7477"/>
      <c r="Y346" s="7477"/>
      <c r="Z346" s="7477"/>
      <c r="AA346" s="7478"/>
      <c r="AB346" s="5325"/>
      <c r="AC346" s="1398"/>
      <c r="AD346" s="5302"/>
      <c r="AE346" s="5349"/>
      <c r="AF346" s="5349"/>
      <c r="AG346" s="10777" t="s">
        <v>4993</v>
      </c>
      <c r="AH346" s="1758"/>
      <c r="AI346" s="1758"/>
      <c r="AJ346" s="1758"/>
      <c r="AK346" s="1758"/>
      <c r="AL346" s="1758"/>
      <c r="AM346" s="1758"/>
      <c r="AN346" s="1758"/>
      <c r="AO346" s="1758"/>
      <c r="AP346" s="1758"/>
      <c r="AQ346" s="1758"/>
      <c r="AR346" s="1758"/>
      <c r="AS346" s="1758"/>
      <c r="AT346" s="1758"/>
      <c r="AU346" s="1758"/>
      <c r="AV346" s="1758"/>
      <c r="AW346" s="1758"/>
      <c r="AX346" s="1758"/>
      <c r="AY346" s="1758"/>
      <c r="AZ346" s="1758"/>
      <c r="BA346" s="1758"/>
      <c r="BB346" s="1758"/>
      <c r="BC346" s="1758"/>
      <c r="BD346" s="1758"/>
      <c r="BE346" s="1758"/>
      <c r="BF346" s="1758"/>
      <c r="BG346" s="1758"/>
      <c r="BH346" s="1758"/>
      <c r="BI346" s="1758"/>
      <c r="BJ346" s="1758"/>
      <c r="BK346" s="1758"/>
      <c r="BL346" s="1758"/>
      <c r="BM346" s="1758"/>
      <c r="BN346" s="1758"/>
      <c r="BO346" s="1758"/>
      <c r="BP346" s="1758"/>
      <c r="BQ346" s="1758"/>
      <c r="BR346" s="1758"/>
      <c r="BS346" s="1758"/>
      <c r="BT346" s="1758"/>
      <c r="BU346" s="1758"/>
      <c r="BV346" s="1758"/>
      <c r="BW346" s="1758"/>
      <c r="BX346" s="1758"/>
      <c r="BY346" s="1758"/>
      <c r="BZ346" s="1758"/>
      <c r="CA346" s="1758"/>
      <c r="CB346" s="1758"/>
      <c r="CC346" s="1758"/>
      <c r="CD346" s="1758"/>
      <c r="CE346" s="1758"/>
      <c r="CF346" s="1758"/>
      <c r="CG346" s="1758"/>
      <c r="CH346" s="1758"/>
      <c r="CI346" s="1758"/>
      <c r="CJ346" s="1758"/>
      <c r="CK346" s="1758"/>
      <c r="CL346" s="1758"/>
      <c r="CM346" s="1758"/>
      <c r="CN346" s="1758"/>
      <c r="CO346" s="1758"/>
      <c r="CP346" s="1758"/>
      <c r="CQ346" s="1758"/>
      <c r="CR346" s="1758"/>
      <c r="CS346" s="1758"/>
      <c r="CT346" s="1758"/>
      <c r="CU346" s="1758"/>
      <c r="CV346" s="1758"/>
      <c r="CW346" s="1758"/>
      <c r="CX346" s="1758"/>
      <c r="CY346" s="1758"/>
      <c r="CZ346" s="1758"/>
      <c r="DA346" s="1758"/>
      <c r="DB346" s="1758"/>
      <c r="DC346" s="1758"/>
    </row>
    <row r="347" spans="1:107" s="1395" customFormat="1" ht="24.75" customHeight="1">
      <c r="A347" s="10827"/>
      <c r="B347" s="10731"/>
      <c r="C347" s="10728"/>
      <c r="D347" s="10728"/>
      <c r="E347" s="10728"/>
      <c r="F347" s="10744"/>
      <c r="G347" s="10728"/>
      <c r="H347" s="10728"/>
      <c r="I347" s="10728"/>
      <c r="J347" s="10728"/>
      <c r="K347" s="10735"/>
      <c r="L347" s="10738"/>
      <c r="M347" s="10738"/>
      <c r="N347" s="10738"/>
      <c r="O347" s="10735"/>
      <c r="P347" s="10735"/>
      <c r="Q347" s="10750"/>
      <c r="R347" s="5171"/>
      <c r="S347" s="5213"/>
      <c r="T347" s="5213"/>
      <c r="U347" s="5247"/>
      <c r="V347" s="5279"/>
      <c r="W347" s="5300"/>
      <c r="X347" s="7473"/>
      <c r="Y347" s="7473"/>
      <c r="Z347" s="7473"/>
      <c r="AA347" s="7474"/>
      <c r="AB347" s="5323"/>
      <c r="AC347" s="1396"/>
      <c r="AD347" s="5300"/>
      <c r="AE347" s="5346"/>
      <c r="AF347" s="5346"/>
      <c r="AG347" s="10777"/>
      <c r="AH347" s="1758"/>
      <c r="AI347" s="1758"/>
      <c r="AJ347" s="1758"/>
      <c r="AK347" s="1758"/>
      <c r="AL347" s="1758"/>
      <c r="AM347" s="1758"/>
      <c r="AN347" s="1758"/>
      <c r="AO347" s="1758"/>
      <c r="AP347" s="1758"/>
      <c r="AQ347" s="1758"/>
      <c r="AR347" s="1758"/>
      <c r="AS347" s="1758"/>
      <c r="AT347" s="1758"/>
      <c r="AU347" s="1758"/>
      <c r="AV347" s="1758"/>
      <c r="AW347" s="1758"/>
      <c r="AX347" s="1758"/>
      <c r="AY347" s="1758"/>
      <c r="AZ347" s="1758"/>
      <c r="BA347" s="1758"/>
      <c r="BB347" s="1758"/>
      <c r="BC347" s="1758"/>
      <c r="BD347" s="1758"/>
      <c r="BE347" s="1758"/>
      <c r="BF347" s="1758"/>
      <c r="BG347" s="1758"/>
      <c r="BH347" s="1758"/>
      <c r="BI347" s="1758"/>
      <c r="BJ347" s="1758"/>
      <c r="BK347" s="1758"/>
      <c r="BL347" s="1758"/>
      <c r="BM347" s="1758"/>
      <c r="BN347" s="1758"/>
      <c r="BO347" s="1758"/>
      <c r="BP347" s="1758"/>
      <c r="BQ347" s="1758"/>
      <c r="BR347" s="1758"/>
      <c r="BS347" s="1758"/>
      <c r="BT347" s="1758"/>
      <c r="BU347" s="1758"/>
      <c r="BV347" s="1758"/>
      <c r="BW347" s="1758"/>
      <c r="BX347" s="1758"/>
      <c r="BY347" s="1758"/>
      <c r="BZ347" s="1758"/>
      <c r="CA347" s="1758"/>
      <c r="CB347" s="1758"/>
      <c r="CC347" s="1758"/>
      <c r="CD347" s="1758"/>
      <c r="CE347" s="1758"/>
      <c r="CF347" s="1758"/>
      <c r="CG347" s="1758"/>
      <c r="CH347" s="1758"/>
      <c r="CI347" s="1758"/>
      <c r="CJ347" s="1758"/>
      <c r="CK347" s="1758"/>
      <c r="CL347" s="1758"/>
      <c r="CM347" s="1758"/>
      <c r="CN347" s="1758"/>
      <c r="CO347" s="1758"/>
      <c r="CP347" s="1758"/>
      <c r="CQ347" s="1758"/>
      <c r="CR347" s="1758"/>
      <c r="CS347" s="1758"/>
      <c r="CT347" s="1758"/>
      <c r="CU347" s="1758"/>
      <c r="CV347" s="1758"/>
      <c r="CW347" s="1758"/>
      <c r="CX347" s="1758"/>
      <c r="CY347" s="1758"/>
      <c r="CZ347" s="1758"/>
      <c r="DA347" s="1758"/>
      <c r="DB347" s="1758"/>
      <c r="DC347" s="1758"/>
    </row>
    <row r="348" spans="1:107" s="1395" customFormat="1" ht="24.75" customHeight="1">
      <c r="A348" s="10827"/>
      <c r="B348" s="10731"/>
      <c r="C348" s="10728"/>
      <c r="D348" s="10728"/>
      <c r="E348" s="10728"/>
      <c r="F348" s="10744"/>
      <c r="G348" s="10728"/>
      <c r="H348" s="10728"/>
      <c r="I348" s="10728"/>
      <c r="J348" s="10728"/>
      <c r="K348" s="10735"/>
      <c r="L348" s="10738"/>
      <c r="M348" s="10738"/>
      <c r="N348" s="10738"/>
      <c r="O348" s="10735"/>
      <c r="P348" s="10735"/>
      <c r="Q348" s="10750"/>
      <c r="R348" s="5174"/>
      <c r="S348" s="5214"/>
      <c r="T348" s="5214"/>
      <c r="U348" s="5250"/>
      <c r="V348" s="5281"/>
      <c r="W348" s="5302"/>
      <c r="X348" s="7477"/>
      <c r="Y348" s="7473"/>
      <c r="Z348" s="7473"/>
      <c r="AA348" s="7474"/>
      <c r="AB348" s="5323"/>
      <c r="AC348" s="1396"/>
      <c r="AD348" s="5300"/>
      <c r="AE348" s="5346"/>
      <c r="AF348" s="5346"/>
      <c r="AG348" s="10777"/>
      <c r="AH348" s="1758"/>
      <c r="AI348" s="1758"/>
      <c r="AJ348" s="1758"/>
      <c r="AK348" s="1758"/>
      <c r="AL348" s="1758"/>
      <c r="AM348" s="1758"/>
      <c r="AN348" s="1758"/>
      <c r="AO348" s="1758"/>
      <c r="AP348" s="1758"/>
      <c r="AQ348" s="1758"/>
      <c r="AR348" s="1758"/>
      <c r="AS348" s="1758"/>
      <c r="AT348" s="1758"/>
      <c r="AU348" s="1758"/>
      <c r="AV348" s="1758"/>
      <c r="AW348" s="1758"/>
      <c r="AX348" s="1758"/>
      <c r="AY348" s="1758"/>
      <c r="AZ348" s="1758"/>
      <c r="BA348" s="1758"/>
      <c r="BB348" s="1758"/>
      <c r="BC348" s="1758"/>
      <c r="BD348" s="1758"/>
      <c r="BE348" s="1758"/>
      <c r="BF348" s="1758"/>
      <c r="BG348" s="1758"/>
      <c r="BH348" s="1758"/>
      <c r="BI348" s="1758"/>
      <c r="BJ348" s="1758"/>
      <c r="BK348" s="1758"/>
      <c r="BL348" s="1758"/>
      <c r="BM348" s="1758"/>
      <c r="BN348" s="1758"/>
      <c r="BO348" s="1758"/>
      <c r="BP348" s="1758"/>
      <c r="BQ348" s="1758"/>
      <c r="BR348" s="1758"/>
      <c r="BS348" s="1758"/>
      <c r="BT348" s="1758"/>
      <c r="BU348" s="1758"/>
      <c r="BV348" s="1758"/>
      <c r="BW348" s="1758"/>
      <c r="BX348" s="1758"/>
      <c r="BY348" s="1758"/>
      <c r="BZ348" s="1758"/>
      <c r="CA348" s="1758"/>
      <c r="CB348" s="1758"/>
      <c r="CC348" s="1758"/>
      <c r="CD348" s="1758"/>
      <c r="CE348" s="1758"/>
      <c r="CF348" s="1758"/>
      <c r="CG348" s="1758"/>
      <c r="CH348" s="1758"/>
      <c r="CI348" s="1758"/>
      <c r="CJ348" s="1758"/>
      <c r="CK348" s="1758"/>
      <c r="CL348" s="1758"/>
      <c r="CM348" s="1758"/>
      <c r="CN348" s="1758"/>
      <c r="CO348" s="1758"/>
      <c r="CP348" s="1758"/>
      <c r="CQ348" s="1758"/>
      <c r="CR348" s="1758"/>
      <c r="CS348" s="1758"/>
      <c r="CT348" s="1758"/>
      <c r="CU348" s="1758"/>
      <c r="CV348" s="1758"/>
      <c r="CW348" s="1758"/>
      <c r="CX348" s="1758"/>
      <c r="CY348" s="1758"/>
      <c r="CZ348" s="1758"/>
      <c r="DA348" s="1758"/>
      <c r="DB348" s="1758"/>
      <c r="DC348" s="1758"/>
    </row>
    <row r="349" spans="1:107" s="1395" customFormat="1" ht="24.75" customHeight="1">
      <c r="A349" s="10827"/>
      <c r="B349" s="10731"/>
      <c r="C349" s="10728"/>
      <c r="D349" s="10728"/>
      <c r="E349" s="10728"/>
      <c r="F349" s="10744"/>
      <c r="G349" s="10728"/>
      <c r="H349" s="10728"/>
      <c r="I349" s="10728"/>
      <c r="J349" s="10728"/>
      <c r="K349" s="10735"/>
      <c r="L349" s="10738"/>
      <c r="M349" s="10738"/>
      <c r="N349" s="10738"/>
      <c r="O349" s="10735"/>
      <c r="P349" s="10735"/>
      <c r="Q349" s="10750"/>
      <c r="R349" s="5173"/>
      <c r="S349" s="5212"/>
      <c r="T349" s="5212"/>
      <c r="U349" s="5250"/>
      <c r="V349" s="5281"/>
      <c r="W349" s="5302"/>
      <c r="X349" s="7477"/>
      <c r="Y349" s="7473"/>
      <c r="Z349" s="7473"/>
      <c r="AA349" s="7474"/>
      <c r="AB349" s="5323"/>
      <c r="AC349" s="1396"/>
      <c r="AD349" s="5300"/>
      <c r="AE349" s="5346"/>
      <c r="AF349" s="5346"/>
      <c r="AG349" s="10777"/>
      <c r="AH349" s="1758"/>
      <c r="AI349" s="1758"/>
      <c r="AJ349" s="1758"/>
      <c r="AK349" s="1758"/>
      <c r="AL349" s="1758"/>
      <c r="AM349" s="1758"/>
      <c r="AN349" s="1758"/>
      <c r="AO349" s="1758"/>
      <c r="AP349" s="1758"/>
      <c r="AQ349" s="1758"/>
      <c r="AR349" s="1758"/>
      <c r="AS349" s="1758"/>
      <c r="AT349" s="1758"/>
      <c r="AU349" s="1758"/>
      <c r="AV349" s="1758"/>
      <c r="AW349" s="1758"/>
      <c r="AX349" s="1758"/>
      <c r="AY349" s="1758"/>
      <c r="AZ349" s="1758"/>
      <c r="BA349" s="1758"/>
      <c r="BB349" s="1758"/>
      <c r="BC349" s="1758"/>
      <c r="BD349" s="1758"/>
      <c r="BE349" s="1758"/>
      <c r="BF349" s="1758"/>
      <c r="BG349" s="1758"/>
      <c r="BH349" s="1758"/>
      <c r="BI349" s="1758"/>
      <c r="BJ349" s="1758"/>
      <c r="BK349" s="1758"/>
      <c r="BL349" s="1758"/>
      <c r="BM349" s="1758"/>
      <c r="BN349" s="1758"/>
      <c r="BO349" s="1758"/>
      <c r="BP349" s="1758"/>
      <c r="BQ349" s="1758"/>
      <c r="BR349" s="1758"/>
      <c r="BS349" s="1758"/>
      <c r="BT349" s="1758"/>
      <c r="BU349" s="1758"/>
      <c r="BV349" s="1758"/>
      <c r="BW349" s="1758"/>
      <c r="BX349" s="1758"/>
      <c r="BY349" s="1758"/>
      <c r="BZ349" s="1758"/>
      <c r="CA349" s="1758"/>
      <c r="CB349" s="1758"/>
      <c r="CC349" s="1758"/>
      <c r="CD349" s="1758"/>
      <c r="CE349" s="1758"/>
      <c r="CF349" s="1758"/>
      <c r="CG349" s="1758"/>
      <c r="CH349" s="1758"/>
      <c r="CI349" s="1758"/>
      <c r="CJ349" s="1758"/>
      <c r="CK349" s="1758"/>
      <c r="CL349" s="1758"/>
      <c r="CM349" s="1758"/>
      <c r="CN349" s="1758"/>
      <c r="CO349" s="1758"/>
      <c r="CP349" s="1758"/>
      <c r="CQ349" s="1758"/>
      <c r="CR349" s="1758"/>
      <c r="CS349" s="1758"/>
      <c r="CT349" s="1758"/>
      <c r="CU349" s="1758"/>
      <c r="CV349" s="1758"/>
      <c r="CW349" s="1758"/>
      <c r="CX349" s="1758"/>
      <c r="CY349" s="1758"/>
      <c r="CZ349" s="1758"/>
      <c r="DA349" s="1758"/>
      <c r="DB349" s="1758"/>
      <c r="DC349" s="1758"/>
    </row>
    <row r="350" spans="1:107" s="1395" customFormat="1" ht="24.75" customHeight="1">
      <c r="A350" s="10827"/>
      <c r="B350" s="10732"/>
      <c r="C350" s="10729"/>
      <c r="D350" s="10729"/>
      <c r="E350" s="10729"/>
      <c r="F350" s="10745"/>
      <c r="G350" s="10729"/>
      <c r="H350" s="10729"/>
      <c r="I350" s="10729"/>
      <c r="J350" s="10729"/>
      <c r="K350" s="10736"/>
      <c r="L350" s="10739"/>
      <c r="M350" s="10739"/>
      <c r="N350" s="10739"/>
      <c r="O350" s="10736"/>
      <c r="P350" s="10736"/>
      <c r="Q350" s="10751"/>
      <c r="R350" s="5175"/>
      <c r="S350" s="5215"/>
      <c r="T350" s="5215"/>
      <c r="U350" s="5251"/>
      <c r="V350" s="5282"/>
      <c r="W350" s="5303"/>
      <c r="X350" s="7479"/>
      <c r="Y350" s="7479"/>
      <c r="Z350" s="7479"/>
      <c r="AA350" s="7480"/>
      <c r="AB350" s="5326"/>
      <c r="AC350" s="1399"/>
      <c r="AD350" s="5303"/>
      <c r="AE350" s="5348"/>
      <c r="AF350" s="5348"/>
      <c r="AG350" s="10778"/>
      <c r="AH350" s="1758"/>
      <c r="AI350" s="1758"/>
      <c r="AJ350" s="1758"/>
      <c r="AK350" s="1758"/>
      <c r="AL350" s="1758"/>
      <c r="AM350" s="1758"/>
      <c r="AN350" s="1758"/>
      <c r="AO350" s="1758"/>
      <c r="AP350" s="1758"/>
      <c r="AQ350" s="1758"/>
      <c r="AR350" s="1758"/>
      <c r="AS350" s="1758"/>
      <c r="AT350" s="1758"/>
      <c r="AU350" s="1758"/>
      <c r="AV350" s="1758"/>
      <c r="AW350" s="1758"/>
      <c r="AX350" s="1758"/>
      <c r="AY350" s="1758"/>
      <c r="AZ350" s="1758"/>
      <c r="BA350" s="1758"/>
      <c r="BB350" s="1758"/>
      <c r="BC350" s="1758"/>
      <c r="BD350" s="1758"/>
      <c r="BE350" s="1758"/>
      <c r="BF350" s="1758"/>
      <c r="BG350" s="1758"/>
      <c r="BH350" s="1758"/>
      <c r="BI350" s="1758"/>
      <c r="BJ350" s="1758"/>
      <c r="BK350" s="1758"/>
      <c r="BL350" s="1758"/>
      <c r="BM350" s="1758"/>
      <c r="BN350" s="1758"/>
      <c r="BO350" s="1758"/>
      <c r="BP350" s="1758"/>
      <c r="BQ350" s="1758"/>
      <c r="BR350" s="1758"/>
      <c r="BS350" s="1758"/>
      <c r="BT350" s="1758"/>
      <c r="BU350" s="1758"/>
      <c r="BV350" s="1758"/>
      <c r="BW350" s="1758"/>
      <c r="BX350" s="1758"/>
      <c r="BY350" s="1758"/>
      <c r="BZ350" s="1758"/>
      <c r="CA350" s="1758"/>
      <c r="CB350" s="1758"/>
      <c r="CC350" s="1758"/>
      <c r="CD350" s="1758"/>
      <c r="CE350" s="1758"/>
      <c r="CF350" s="1758"/>
      <c r="CG350" s="1758"/>
      <c r="CH350" s="1758"/>
      <c r="CI350" s="1758"/>
      <c r="CJ350" s="1758"/>
      <c r="CK350" s="1758"/>
      <c r="CL350" s="1758"/>
      <c r="CM350" s="1758"/>
      <c r="CN350" s="1758"/>
      <c r="CO350" s="1758"/>
      <c r="CP350" s="1758"/>
      <c r="CQ350" s="1758"/>
      <c r="CR350" s="1758"/>
      <c r="CS350" s="1758"/>
      <c r="CT350" s="1758"/>
      <c r="CU350" s="1758"/>
      <c r="CV350" s="1758"/>
      <c r="CW350" s="1758"/>
      <c r="CX350" s="1758"/>
      <c r="CY350" s="1758"/>
      <c r="CZ350" s="1758"/>
      <c r="DA350" s="1758"/>
      <c r="DB350" s="1758"/>
      <c r="DC350" s="1758"/>
    </row>
    <row r="351" spans="1:107" s="1395" customFormat="1" ht="26.25" customHeight="1">
      <c r="A351" s="10827"/>
      <c r="B351" s="10731" t="s">
        <v>127</v>
      </c>
      <c r="C351" s="10728" t="s">
        <v>227</v>
      </c>
      <c r="D351" s="10728" t="s">
        <v>129</v>
      </c>
      <c r="E351" s="10728" t="s">
        <v>205</v>
      </c>
      <c r="F351" s="10744" t="s">
        <v>131</v>
      </c>
      <c r="G351" s="10728" t="s">
        <v>132</v>
      </c>
      <c r="H351" s="10728" t="s">
        <v>159</v>
      </c>
      <c r="I351" s="10728" t="s">
        <v>4994</v>
      </c>
      <c r="J351" s="10742" t="s">
        <v>4620</v>
      </c>
      <c r="K351" s="10735" t="s">
        <v>4995</v>
      </c>
      <c r="L351" s="10738">
        <v>0</v>
      </c>
      <c r="M351" s="10738">
        <v>1</v>
      </c>
      <c r="N351" s="10738">
        <v>1</v>
      </c>
      <c r="O351" s="10735" t="s">
        <v>4996</v>
      </c>
      <c r="P351" s="10735" t="s">
        <v>4997</v>
      </c>
      <c r="Q351" s="10750" t="s">
        <v>5069</v>
      </c>
      <c r="R351" s="5173"/>
      <c r="S351" s="5212"/>
      <c r="T351" s="5212"/>
      <c r="U351" s="5249"/>
      <c r="V351" s="5281"/>
      <c r="W351" s="5302"/>
      <c r="X351" s="7477"/>
      <c r="Y351" s="7477"/>
      <c r="Z351" s="7477"/>
      <c r="AA351" s="7478"/>
      <c r="AB351" s="5325"/>
      <c r="AC351" s="1398"/>
      <c r="AD351" s="5302"/>
      <c r="AE351" s="5349"/>
      <c r="AF351" s="5349"/>
      <c r="AG351" s="10777" t="s">
        <v>4843</v>
      </c>
      <c r="AH351" s="1758"/>
      <c r="AI351" s="1758"/>
      <c r="AJ351" s="1758"/>
      <c r="AK351" s="1758"/>
      <c r="AL351" s="1758"/>
      <c r="AM351" s="1758"/>
      <c r="AN351" s="1758"/>
      <c r="AO351" s="1758"/>
      <c r="AP351" s="1758"/>
      <c r="AQ351" s="1758"/>
      <c r="AR351" s="1758"/>
      <c r="AS351" s="1758"/>
      <c r="AT351" s="1758"/>
      <c r="AU351" s="1758"/>
      <c r="AV351" s="1758"/>
      <c r="AW351" s="1758"/>
      <c r="AX351" s="1758"/>
      <c r="AY351" s="1758"/>
      <c r="AZ351" s="1758"/>
      <c r="BA351" s="1758"/>
      <c r="BB351" s="1758"/>
      <c r="BC351" s="1758"/>
      <c r="BD351" s="1758"/>
      <c r="BE351" s="1758"/>
      <c r="BF351" s="1758"/>
      <c r="BG351" s="1758"/>
      <c r="BH351" s="1758"/>
      <c r="BI351" s="1758"/>
      <c r="BJ351" s="1758"/>
      <c r="BK351" s="1758"/>
      <c r="BL351" s="1758"/>
      <c r="BM351" s="1758"/>
      <c r="BN351" s="1758"/>
      <c r="BO351" s="1758"/>
      <c r="BP351" s="1758"/>
      <c r="BQ351" s="1758"/>
      <c r="BR351" s="1758"/>
      <c r="BS351" s="1758"/>
      <c r="BT351" s="1758"/>
      <c r="BU351" s="1758"/>
      <c r="BV351" s="1758"/>
      <c r="BW351" s="1758"/>
      <c r="BX351" s="1758"/>
      <c r="BY351" s="1758"/>
      <c r="BZ351" s="1758"/>
      <c r="CA351" s="1758"/>
      <c r="CB351" s="1758"/>
      <c r="CC351" s="1758"/>
      <c r="CD351" s="1758"/>
      <c r="CE351" s="1758"/>
      <c r="CF351" s="1758"/>
      <c r="CG351" s="1758"/>
      <c r="CH351" s="1758"/>
      <c r="CI351" s="1758"/>
      <c r="CJ351" s="1758"/>
      <c r="CK351" s="1758"/>
      <c r="CL351" s="1758"/>
      <c r="CM351" s="1758"/>
      <c r="CN351" s="1758"/>
      <c r="CO351" s="1758"/>
      <c r="CP351" s="1758"/>
      <c r="CQ351" s="1758"/>
      <c r="CR351" s="1758"/>
      <c r="CS351" s="1758"/>
      <c r="CT351" s="1758"/>
      <c r="CU351" s="1758"/>
      <c r="CV351" s="1758"/>
      <c r="CW351" s="1758"/>
      <c r="CX351" s="1758"/>
      <c r="CY351" s="1758"/>
      <c r="CZ351" s="1758"/>
      <c r="DA351" s="1758"/>
      <c r="DB351" s="1758"/>
      <c r="DC351" s="1758"/>
    </row>
    <row r="352" spans="1:107" s="1395" customFormat="1" ht="26.25" customHeight="1">
      <c r="A352" s="10827"/>
      <c r="B352" s="10731"/>
      <c r="C352" s="10728"/>
      <c r="D352" s="10728"/>
      <c r="E352" s="10728"/>
      <c r="F352" s="10744"/>
      <c r="G352" s="10728"/>
      <c r="H352" s="10728"/>
      <c r="I352" s="10728"/>
      <c r="J352" s="10728"/>
      <c r="K352" s="10735"/>
      <c r="L352" s="10738"/>
      <c r="M352" s="10738"/>
      <c r="N352" s="10738"/>
      <c r="O352" s="10735"/>
      <c r="P352" s="10735"/>
      <c r="Q352" s="10750"/>
      <c r="R352" s="5171"/>
      <c r="S352" s="5213"/>
      <c r="T352" s="5213"/>
      <c r="U352" s="5247"/>
      <c r="V352" s="5279"/>
      <c r="W352" s="5300"/>
      <c r="X352" s="7473"/>
      <c r="Y352" s="7473"/>
      <c r="Z352" s="7473"/>
      <c r="AA352" s="7474"/>
      <c r="AB352" s="5323"/>
      <c r="AC352" s="1396"/>
      <c r="AD352" s="5300"/>
      <c r="AE352" s="5346"/>
      <c r="AF352" s="5346"/>
      <c r="AG352" s="10777"/>
      <c r="AH352" s="1758"/>
      <c r="AI352" s="1758"/>
      <c r="AJ352" s="1758"/>
      <c r="AK352" s="1758"/>
      <c r="AL352" s="1758"/>
      <c r="AM352" s="1758"/>
      <c r="AN352" s="1758"/>
      <c r="AO352" s="1758"/>
      <c r="AP352" s="1758"/>
      <c r="AQ352" s="1758"/>
      <c r="AR352" s="1758"/>
      <c r="AS352" s="1758"/>
      <c r="AT352" s="1758"/>
      <c r="AU352" s="1758"/>
      <c r="AV352" s="1758"/>
      <c r="AW352" s="1758"/>
      <c r="AX352" s="1758"/>
      <c r="AY352" s="1758"/>
      <c r="AZ352" s="1758"/>
      <c r="BA352" s="1758"/>
      <c r="BB352" s="1758"/>
      <c r="BC352" s="1758"/>
      <c r="BD352" s="1758"/>
      <c r="BE352" s="1758"/>
      <c r="BF352" s="1758"/>
      <c r="BG352" s="1758"/>
      <c r="BH352" s="1758"/>
      <c r="BI352" s="1758"/>
      <c r="BJ352" s="1758"/>
      <c r="BK352" s="1758"/>
      <c r="BL352" s="1758"/>
      <c r="BM352" s="1758"/>
      <c r="BN352" s="1758"/>
      <c r="BO352" s="1758"/>
      <c r="BP352" s="1758"/>
      <c r="BQ352" s="1758"/>
      <c r="BR352" s="1758"/>
      <c r="BS352" s="1758"/>
      <c r="BT352" s="1758"/>
      <c r="BU352" s="1758"/>
      <c r="BV352" s="1758"/>
      <c r="BW352" s="1758"/>
      <c r="BX352" s="1758"/>
      <c r="BY352" s="1758"/>
      <c r="BZ352" s="1758"/>
      <c r="CA352" s="1758"/>
      <c r="CB352" s="1758"/>
      <c r="CC352" s="1758"/>
      <c r="CD352" s="1758"/>
      <c r="CE352" s="1758"/>
      <c r="CF352" s="1758"/>
      <c r="CG352" s="1758"/>
      <c r="CH352" s="1758"/>
      <c r="CI352" s="1758"/>
      <c r="CJ352" s="1758"/>
      <c r="CK352" s="1758"/>
      <c r="CL352" s="1758"/>
      <c r="CM352" s="1758"/>
      <c r="CN352" s="1758"/>
      <c r="CO352" s="1758"/>
      <c r="CP352" s="1758"/>
      <c r="CQ352" s="1758"/>
      <c r="CR352" s="1758"/>
      <c r="CS352" s="1758"/>
      <c r="CT352" s="1758"/>
      <c r="CU352" s="1758"/>
      <c r="CV352" s="1758"/>
      <c r="CW352" s="1758"/>
      <c r="CX352" s="1758"/>
      <c r="CY352" s="1758"/>
      <c r="CZ352" s="1758"/>
      <c r="DA352" s="1758"/>
      <c r="DB352" s="1758"/>
      <c r="DC352" s="1758"/>
    </row>
    <row r="353" spans="1:107" s="1395" customFormat="1" ht="26.25" customHeight="1">
      <c r="A353" s="10827"/>
      <c r="B353" s="10731"/>
      <c r="C353" s="10728"/>
      <c r="D353" s="10728"/>
      <c r="E353" s="10728"/>
      <c r="F353" s="10744"/>
      <c r="G353" s="10728"/>
      <c r="H353" s="10728"/>
      <c r="I353" s="10728"/>
      <c r="J353" s="10728"/>
      <c r="K353" s="10735"/>
      <c r="L353" s="10738"/>
      <c r="M353" s="10738"/>
      <c r="N353" s="10738"/>
      <c r="O353" s="10735"/>
      <c r="P353" s="10735"/>
      <c r="Q353" s="10750"/>
      <c r="R353" s="5174"/>
      <c r="S353" s="5214"/>
      <c r="T353" s="5214"/>
      <c r="U353" s="5250"/>
      <c r="V353" s="5281"/>
      <c r="W353" s="5302"/>
      <c r="X353" s="7477"/>
      <c r="Y353" s="7473"/>
      <c r="Z353" s="7473"/>
      <c r="AA353" s="7474"/>
      <c r="AB353" s="5323"/>
      <c r="AC353" s="1396"/>
      <c r="AD353" s="5300"/>
      <c r="AE353" s="5346"/>
      <c r="AF353" s="5346"/>
      <c r="AG353" s="10777"/>
      <c r="AH353" s="1758"/>
      <c r="AI353" s="1758"/>
      <c r="AJ353" s="1758"/>
      <c r="AK353" s="1758"/>
      <c r="AL353" s="1758"/>
      <c r="AM353" s="1758"/>
      <c r="AN353" s="1758"/>
      <c r="AO353" s="1758"/>
      <c r="AP353" s="1758"/>
      <c r="AQ353" s="1758"/>
      <c r="AR353" s="1758"/>
      <c r="AS353" s="1758"/>
      <c r="AT353" s="1758"/>
      <c r="AU353" s="1758"/>
      <c r="AV353" s="1758"/>
      <c r="AW353" s="1758"/>
      <c r="AX353" s="1758"/>
      <c r="AY353" s="1758"/>
      <c r="AZ353" s="1758"/>
      <c r="BA353" s="1758"/>
      <c r="BB353" s="1758"/>
      <c r="BC353" s="1758"/>
      <c r="BD353" s="1758"/>
      <c r="BE353" s="1758"/>
      <c r="BF353" s="1758"/>
      <c r="BG353" s="1758"/>
      <c r="BH353" s="1758"/>
      <c r="BI353" s="1758"/>
      <c r="BJ353" s="1758"/>
      <c r="BK353" s="1758"/>
      <c r="BL353" s="1758"/>
      <c r="BM353" s="1758"/>
      <c r="BN353" s="1758"/>
      <c r="BO353" s="1758"/>
      <c r="BP353" s="1758"/>
      <c r="BQ353" s="1758"/>
      <c r="BR353" s="1758"/>
      <c r="BS353" s="1758"/>
      <c r="BT353" s="1758"/>
      <c r="BU353" s="1758"/>
      <c r="BV353" s="1758"/>
      <c r="BW353" s="1758"/>
      <c r="BX353" s="1758"/>
      <c r="BY353" s="1758"/>
      <c r="BZ353" s="1758"/>
      <c r="CA353" s="1758"/>
      <c r="CB353" s="1758"/>
      <c r="CC353" s="1758"/>
      <c r="CD353" s="1758"/>
      <c r="CE353" s="1758"/>
      <c r="CF353" s="1758"/>
      <c r="CG353" s="1758"/>
      <c r="CH353" s="1758"/>
      <c r="CI353" s="1758"/>
      <c r="CJ353" s="1758"/>
      <c r="CK353" s="1758"/>
      <c r="CL353" s="1758"/>
      <c r="CM353" s="1758"/>
      <c r="CN353" s="1758"/>
      <c r="CO353" s="1758"/>
      <c r="CP353" s="1758"/>
      <c r="CQ353" s="1758"/>
      <c r="CR353" s="1758"/>
      <c r="CS353" s="1758"/>
      <c r="CT353" s="1758"/>
      <c r="CU353" s="1758"/>
      <c r="CV353" s="1758"/>
      <c r="CW353" s="1758"/>
      <c r="CX353" s="1758"/>
      <c r="CY353" s="1758"/>
      <c r="CZ353" s="1758"/>
      <c r="DA353" s="1758"/>
      <c r="DB353" s="1758"/>
      <c r="DC353" s="1758"/>
    </row>
    <row r="354" spans="1:107" s="1395" customFormat="1" ht="26.25" customHeight="1">
      <c r="A354" s="10827"/>
      <c r="B354" s="10731"/>
      <c r="C354" s="10728"/>
      <c r="D354" s="10728"/>
      <c r="E354" s="10728"/>
      <c r="F354" s="10744"/>
      <c r="G354" s="10728"/>
      <c r="H354" s="10728"/>
      <c r="I354" s="10728"/>
      <c r="J354" s="10728"/>
      <c r="K354" s="10735"/>
      <c r="L354" s="10738"/>
      <c r="M354" s="10738"/>
      <c r="N354" s="10738"/>
      <c r="O354" s="10735"/>
      <c r="P354" s="10735"/>
      <c r="Q354" s="10750"/>
      <c r="R354" s="5173"/>
      <c r="S354" s="5212"/>
      <c r="T354" s="5212"/>
      <c r="U354" s="5250"/>
      <c r="V354" s="5281"/>
      <c r="W354" s="5302"/>
      <c r="X354" s="7477"/>
      <c r="Y354" s="7473"/>
      <c r="Z354" s="7473"/>
      <c r="AA354" s="7474"/>
      <c r="AB354" s="5323"/>
      <c r="AC354" s="1396"/>
      <c r="AD354" s="5300"/>
      <c r="AE354" s="5346"/>
      <c r="AF354" s="5346"/>
      <c r="AG354" s="10777"/>
      <c r="AH354" s="1758"/>
      <c r="AI354" s="1758"/>
      <c r="AJ354" s="1758"/>
      <c r="AK354" s="1758"/>
      <c r="AL354" s="1758"/>
      <c r="AM354" s="1758"/>
      <c r="AN354" s="1758"/>
      <c r="AO354" s="1758"/>
      <c r="AP354" s="1758"/>
      <c r="AQ354" s="1758"/>
      <c r="AR354" s="1758"/>
      <c r="AS354" s="1758"/>
      <c r="AT354" s="1758"/>
      <c r="AU354" s="1758"/>
      <c r="AV354" s="1758"/>
      <c r="AW354" s="1758"/>
      <c r="AX354" s="1758"/>
      <c r="AY354" s="1758"/>
      <c r="AZ354" s="1758"/>
      <c r="BA354" s="1758"/>
      <c r="BB354" s="1758"/>
      <c r="BC354" s="1758"/>
      <c r="BD354" s="1758"/>
      <c r="BE354" s="1758"/>
      <c r="BF354" s="1758"/>
      <c r="BG354" s="1758"/>
      <c r="BH354" s="1758"/>
      <c r="BI354" s="1758"/>
      <c r="BJ354" s="1758"/>
      <c r="BK354" s="1758"/>
      <c r="BL354" s="1758"/>
      <c r="BM354" s="1758"/>
      <c r="BN354" s="1758"/>
      <c r="BO354" s="1758"/>
      <c r="BP354" s="1758"/>
      <c r="BQ354" s="1758"/>
      <c r="BR354" s="1758"/>
      <c r="BS354" s="1758"/>
      <c r="BT354" s="1758"/>
      <c r="BU354" s="1758"/>
      <c r="BV354" s="1758"/>
      <c r="BW354" s="1758"/>
      <c r="BX354" s="1758"/>
      <c r="BY354" s="1758"/>
      <c r="BZ354" s="1758"/>
      <c r="CA354" s="1758"/>
      <c r="CB354" s="1758"/>
      <c r="CC354" s="1758"/>
      <c r="CD354" s="1758"/>
      <c r="CE354" s="1758"/>
      <c r="CF354" s="1758"/>
      <c r="CG354" s="1758"/>
      <c r="CH354" s="1758"/>
      <c r="CI354" s="1758"/>
      <c r="CJ354" s="1758"/>
      <c r="CK354" s="1758"/>
      <c r="CL354" s="1758"/>
      <c r="CM354" s="1758"/>
      <c r="CN354" s="1758"/>
      <c r="CO354" s="1758"/>
      <c r="CP354" s="1758"/>
      <c r="CQ354" s="1758"/>
      <c r="CR354" s="1758"/>
      <c r="CS354" s="1758"/>
      <c r="CT354" s="1758"/>
      <c r="CU354" s="1758"/>
      <c r="CV354" s="1758"/>
      <c r="CW354" s="1758"/>
      <c r="CX354" s="1758"/>
      <c r="CY354" s="1758"/>
      <c r="CZ354" s="1758"/>
      <c r="DA354" s="1758"/>
      <c r="DB354" s="1758"/>
      <c r="DC354" s="1758"/>
    </row>
    <row r="355" spans="1:107" s="1395" customFormat="1" ht="26.25" customHeight="1">
      <c r="A355" s="10827"/>
      <c r="B355" s="10732"/>
      <c r="C355" s="10729"/>
      <c r="D355" s="10729"/>
      <c r="E355" s="10729"/>
      <c r="F355" s="10745"/>
      <c r="G355" s="10729"/>
      <c r="H355" s="10729"/>
      <c r="I355" s="10729"/>
      <c r="J355" s="10729"/>
      <c r="K355" s="10736"/>
      <c r="L355" s="10739"/>
      <c r="M355" s="10739"/>
      <c r="N355" s="10739"/>
      <c r="O355" s="10736"/>
      <c r="P355" s="10736"/>
      <c r="Q355" s="10751"/>
      <c r="R355" s="5175"/>
      <c r="S355" s="5215"/>
      <c r="T355" s="5215"/>
      <c r="U355" s="5251"/>
      <c r="V355" s="5282"/>
      <c r="W355" s="5303"/>
      <c r="X355" s="7479"/>
      <c r="Y355" s="7479"/>
      <c r="Z355" s="7479"/>
      <c r="AA355" s="7480"/>
      <c r="AB355" s="5326"/>
      <c r="AC355" s="1399"/>
      <c r="AD355" s="5303"/>
      <c r="AE355" s="5348"/>
      <c r="AF355" s="5348"/>
      <c r="AG355" s="10778"/>
      <c r="AH355" s="1758"/>
      <c r="AI355" s="1758"/>
      <c r="AJ355" s="1758"/>
      <c r="AK355" s="1758"/>
      <c r="AL355" s="1758"/>
      <c r="AM355" s="1758"/>
      <c r="AN355" s="1758"/>
      <c r="AO355" s="1758"/>
      <c r="AP355" s="1758"/>
      <c r="AQ355" s="1758"/>
      <c r="AR355" s="1758"/>
      <c r="AS355" s="1758"/>
      <c r="AT355" s="1758"/>
      <c r="AU355" s="1758"/>
      <c r="AV355" s="1758"/>
      <c r="AW355" s="1758"/>
      <c r="AX355" s="1758"/>
      <c r="AY355" s="1758"/>
      <c r="AZ355" s="1758"/>
      <c r="BA355" s="1758"/>
      <c r="BB355" s="1758"/>
      <c r="BC355" s="1758"/>
      <c r="BD355" s="1758"/>
      <c r="BE355" s="1758"/>
      <c r="BF355" s="1758"/>
      <c r="BG355" s="1758"/>
      <c r="BH355" s="1758"/>
      <c r="BI355" s="1758"/>
      <c r="BJ355" s="1758"/>
      <c r="BK355" s="1758"/>
      <c r="BL355" s="1758"/>
      <c r="BM355" s="1758"/>
      <c r="BN355" s="1758"/>
      <c r="BO355" s="1758"/>
      <c r="BP355" s="1758"/>
      <c r="BQ355" s="1758"/>
      <c r="BR355" s="1758"/>
      <c r="BS355" s="1758"/>
      <c r="BT355" s="1758"/>
      <c r="BU355" s="1758"/>
      <c r="BV355" s="1758"/>
      <c r="BW355" s="1758"/>
      <c r="BX355" s="1758"/>
      <c r="BY355" s="1758"/>
      <c r="BZ355" s="1758"/>
      <c r="CA355" s="1758"/>
      <c r="CB355" s="1758"/>
      <c r="CC355" s="1758"/>
      <c r="CD355" s="1758"/>
      <c r="CE355" s="1758"/>
      <c r="CF355" s="1758"/>
      <c r="CG355" s="1758"/>
      <c r="CH355" s="1758"/>
      <c r="CI355" s="1758"/>
      <c r="CJ355" s="1758"/>
      <c r="CK355" s="1758"/>
      <c r="CL355" s="1758"/>
      <c r="CM355" s="1758"/>
      <c r="CN355" s="1758"/>
      <c r="CO355" s="1758"/>
      <c r="CP355" s="1758"/>
      <c r="CQ355" s="1758"/>
      <c r="CR355" s="1758"/>
      <c r="CS355" s="1758"/>
      <c r="CT355" s="1758"/>
      <c r="CU355" s="1758"/>
      <c r="CV355" s="1758"/>
      <c r="CW355" s="1758"/>
      <c r="CX355" s="1758"/>
      <c r="CY355" s="1758"/>
      <c r="CZ355" s="1758"/>
      <c r="DA355" s="1758"/>
      <c r="DB355" s="1758"/>
      <c r="DC355" s="1758"/>
    </row>
    <row r="356" spans="1:107" s="1395" customFormat="1" ht="25.5" customHeight="1">
      <c r="A356" s="10827"/>
      <c r="B356" s="10731" t="s">
        <v>127</v>
      </c>
      <c r="C356" s="10728" t="s">
        <v>128</v>
      </c>
      <c r="D356" s="10728" t="s">
        <v>129</v>
      </c>
      <c r="E356" s="10728" t="s">
        <v>205</v>
      </c>
      <c r="F356" s="10744" t="s">
        <v>131</v>
      </c>
      <c r="G356" s="10728" t="s">
        <v>132</v>
      </c>
      <c r="H356" s="10728" t="s">
        <v>159</v>
      </c>
      <c r="I356" s="10728" t="s">
        <v>5000</v>
      </c>
      <c r="J356" s="10742" t="s">
        <v>5001</v>
      </c>
      <c r="K356" s="10735" t="s">
        <v>5002</v>
      </c>
      <c r="L356" s="10738">
        <v>0</v>
      </c>
      <c r="M356" s="10738">
        <v>1</v>
      </c>
      <c r="N356" s="10738">
        <v>1</v>
      </c>
      <c r="O356" s="10735" t="s">
        <v>5003</v>
      </c>
      <c r="P356" s="10735" t="s">
        <v>5004</v>
      </c>
      <c r="Q356" s="10750" t="s">
        <v>5069</v>
      </c>
      <c r="R356" s="5173"/>
      <c r="S356" s="5212"/>
      <c r="T356" s="5212"/>
      <c r="U356" s="5249"/>
      <c r="V356" s="5281"/>
      <c r="W356" s="5302"/>
      <c r="X356" s="7477"/>
      <c r="Y356" s="7477"/>
      <c r="Z356" s="7477"/>
      <c r="AA356" s="7478"/>
      <c r="AB356" s="5325"/>
      <c r="AC356" s="1398"/>
      <c r="AD356" s="5302"/>
      <c r="AE356" s="5349"/>
      <c r="AF356" s="5349"/>
      <c r="AG356" s="10777" t="s">
        <v>5005</v>
      </c>
      <c r="AH356" s="1758"/>
      <c r="AI356" s="1758"/>
      <c r="AJ356" s="1758"/>
      <c r="AK356" s="1758"/>
      <c r="AL356" s="1758"/>
      <c r="AM356" s="1758"/>
      <c r="AN356" s="1758"/>
      <c r="AO356" s="1758"/>
      <c r="AP356" s="1758"/>
      <c r="AQ356" s="1758"/>
      <c r="AR356" s="1758"/>
      <c r="AS356" s="1758"/>
      <c r="AT356" s="1758"/>
      <c r="AU356" s="1758"/>
      <c r="AV356" s="1758"/>
      <c r="AW356" s="1758"/>
      <c r="AX356" s="1758"/>
      <c r="AY356" s="1758"/>
      <c r="AZ356" s="1758"/>
      <c r="BA356" s="1758"/>
      <c r="BB356" s="1758"/>
      <c r="BC356" s="1758"/>
      <c r="BD356" s="1758"/>
      <c r="BE356" s="1758"/>
      <c r="BF356" s="1758"/>
      <c r="BG356" s="1758"/>
      <c r="BH356" s="1758"/>
      <c r="BI356" s="1758"/>
      <c r="BJ356" s="1758"/>
      <c r="BK356" s="1758"/>
      <c r="BL356" s="1758"/>
      <c r="BM356" s="1758"/>
      <c r="BN356" s="1758"/>
      <c r="BO356" s="1758"/>
      <c r="BP356" s="1758"/>
      <c r="BQ356" s="1758"/>
      <c r="BR356" s="1758"/>
      <c r="BS356" s="1758"/>
      <c r="BT356" s="1758"/>
      <c r="BU356" s="1758"/>
      <c r="BV356" s="1758"/>
      <c r="BW356" s="1758"/>
      <c r="BX356" s="1758"/>
      <c r="BY356" s="1758"/>
      <c r="BZ356" s="1758"/>
      <c r="CA356" s="1758"/>
      <c r="CB356" s="1758"/>
      <c r="CC356" s="1758"/>
      <c r="CD356" s="1758"/>
      <c r="CE356" s="1758"/>
      <c r="CF356" s="1758"/>
      <c r="CG356" s="1758"/>
      <c r="CH356" s="1758"/>
      <c r="CI356" s="1758"/>
      <c r="CJ356" s="1758"/>
      <c r="CK356" s="1758"/>
      <c r="CL356" s="1758"/>
      <c r="CM356" s="1758"/>
      <c r="CN356" s="1758"/>
      <c r="CO356" s="1758"/>
      <c r="CP356" s="1758"/>
      <c r="CQ356" s="1758"/>
      <c r="CR356" s="1758"/>
      <c r="CS356" s="1758"/>
      <c r="CT356" s="1758"/>
      <c r="CU356" s="1758"/>
      <c r="CV356" s="1758"/>
      <c r="CW356" s="1758"/>
      <c r="CX356" s="1758"/>
      <c r="CY356" s="1758"/>
      <c r="CZ356" s="1758"/>
      <c r="DA356" s="1758"/>
      <c r="DB356" s="1758"/>
      <c r="DC356" s="1758"/>
    </row>
    <row r="357" spans="1:107" s="1395" customFormat="1" ht="25.5" customHeight="1">
      <c r="A357" s="10827"/>
      <c r="B357" s="10731"/>
      <c r="C357" s="10728"/>
      <c r="D357" s="10728"/>
      <c r="E357" s="10728"/>
      <c r="F357" s="10744"/>
      <c r="G357" s="10728"/>
      <c r="H357" s="10728"/>
      <c r="I357" s="10728"/>
      <c r="J357" s="10728"/>
      <c r="K357" s="10735"/>
      <c r="L357" s="10738"/>
      <c r="M357" s="10738"/>
      <c r="N357" s="10738"/>
      <c r="O357" s="10735"/>
      <c r="P357" s="10735"/>
      <c r="Q357" s="10750"/>
      <c r="R357" s="5171"/>
      <c r="S357" s="5213"/>
      <c r="T357" s="5213"/>
      <c r="U357" s="5247"/>
      <c r="V357" s="5279"/>
      <c r="W357" s="5317"/>
      <c r="X357" s="7473"/>
      <c r="Y357" s="7473"/>
      <c r="Z357" s="7473"/>
      <c r="AA357" s="7474"/>
      <c r="AB357" s="5323"/>
      <c r="AC357" s="1396"/>
      <c r="AD357" s="5300"/>
      <c r="AE357" s="5346"/>
      <c r="AF357" s="5346"/>
      <c r="AG357" s="10777"/>
      <c r="AH357" s="1758"/>
      <c r="AI357" s="1758"/>
      <c r="AJ357" s="1758"/>
      <c r="AK357" s="1758"/>
      <c r="AL357" s="1758"/>
      <c r="AM357" s="1758"/>
      <c r="AN357" s="1758"/>
      <c r="AO357" s="1758"/>
      <c r="AP357" s="1758"/>
      <c r="AQ357" s="1758"/>
      <c r="AR357" s="1758"/>
      <c r="AS357" s="1758"/>
      <c r="AT357" s="1758"/>
      <c r="AU357" s="1758"/>
      <c r="AV357" s="1758"/>
      <c r="AW357" s="1758"/>
      <c r="AX357" s="1758"/>
      <c r="AY357" s="1758"/>
      <c r="AZ357" s="1758"/>
      <c r="BA357" s="1758"/>
      <c r="BB357" s="1758"/>
      <c r="BC357" s="1758"/>
      <c r="BD357" s="1758"/>
      <c r="BE357" s="1758"/>
      <c r="BF357" s="1758"/>
      <c r="BG357" s="1758"/>
      <c r="BH357" s="1758"/>
      <c r="BI357" s="1758"/>
      <c r="BJ357" s="1758"/>
      <c r="BK357" s="1758"/>
      <c r="BL357" s="1758"/>
      <c r="BM357" s="1758"/>
      <c r="BN357" s="1758"/>
      <c r="BO357" s="1758"/>
      <c r="BP357" s="1758"/>
      <c r="BQ357" s="1758"/>
      <c r="BR357" s="1758"/>
      <c r="BS357" s="1758"/>
      <c r="BT357" s="1758"/>
      <c r="BU357" s="1758"/>
      <c r="BV357" s="1758"/>
      <c r="BW357" s="1758"/>
      <c r="BX357" s="1758"/>
      <c r="BY357" s="1758"/>
      <c r="BZ357" s="1758"/>
      <c r="CA357" s="1758"/>
      <c r="CB357" s="1758"/>
      <c r="CC357" s="1758"/>
      <c r="CD357" s="1758"/>
      <c r="CE357" s="1758"/>
      <c r="CF357" s="1758"/>
      <c r="CG357" s="1758"/>
      <c r="CH357" s="1758"/>
      <c r="CI357" s="1758"/>
      <c r="CJ357" s="1758"/>
      <c r="CK357" s="1758"/>
      <c r="CL357" s="1758"/>
      <c r="CM357" s="1758"/>
      <c r="CN357" s="1758"/>
      <c r="CO357" s="1758"/>
      <c r="CP357" s="1758"/>
      <c r="CQ357" s="1758"/>
      <c r="CR357" s="1758"/>
      <c r="CS357" s="1758"/>
      <c r="CT357" s="1758"/>
      <c r="CU357" s="1758"/>
      <c r="CV357" s="1758"/>
      <c r="CW357" s="1758"/>
      <c r="CX357" s="1758"/>
      <c r="CY357" s="1758"/>
      <c r="CZ357" s="1758"/>
      <c r="DA357" s="1758"/>
      <c r="DB357" s="1758"/>
      <c r="DC357" s="1758"/>
    </row>
    <row r="358" spans="1:107" s="1395" customFormat="1" ht="25.5" customHeight="1">
      <c r="A358" s="10827"/>
      <c r="B358" s="10731"/>
      <c r="C358" s="10728"/>
      <c r="D358" s="10728"/>
      <c r="E358" s="10728"/>
      <c r="F358" s="10744"/>
      <c r="G358" s="10728"/>
      <c r="H358" s="10728"/>
      <c r="I358" s="10728"/>
      <c r="J358" s="10728"/>
      <c r="K358" s="10735"/>
      <c r="L358" s="10738"/>
      <c r="M358" s="10738"/>
      <c r="N358" s="10738"/>
      <c r="O358" s="10735"/>
      <c r="P358" s="10735"/>
      <c r="Q358" s="10750"/>
      <c r="R358" s="5174"/>
      <c r="S358" s="5214"/>
      <c r="T358" s="5214"/>
      <c r="U358" s="5250"/>
      <c r="V358" s="5281"/>
      <c r="W358" s="5318"/>
      <c r="X358" s="7477"/>
      <c r="Y358" s="7473"/>
      <c r="Z358" s="7473"/>
      <c r="AA358" s="7474"/>
      <c r="AB358" s="5323"/>
      <c r="AC358" s="1396"/>
      <c r="AD358" s="5317"/>
      <c r="AE358" s="5346"/>
      <c r="AF358" s="5346"/>
      <c r="AG358" s="10777"/>
      <c r="AH358" s="1758"/>
      <c r="AI358" s="1758"/>
      <c r="AJ358" s="1758"/>
      <c r="AK358" s="1758"/>
      <c r="AL358" s="1758"/>
      <c r="AM358" s="1758"/>
      <c r="AN358" s="1758"/>
      <c r="AO358" s="1758"/>
      <c r="AP358" s="1758"/>
      <c r="AQ358" s="1758"/>
      <c r="AR358" s="1758"/>
      <c r="AS358" s="1758"/>
      <c r="AT358" s="1758"/>
      <c r="AU358" s="1758"/>
      <c r="AV358" s="1758"/>
      <c r="AW358" s="1758"/>
      <c r="AX358" s="1758"/>
      <c r="AY358" s="1758"/>
      <c r="AZ358" s="1758"/>
      <c r="BA358" s="1758"/>
      <c r="BB358" s="1758"/>
      <c r="BC358" s="1758"/>
      <c r="BD358" s="1758"/>
      <c r="BE358" s="1758"/>
      <c r="BF358" s="1758"/>
      <c r="BG358" s="1758"/>
      <c r="BH358" s="1758"/>
      <c r="BI358" s="1758"/>
      <c r="BJ358" s="1758"/>
      <c r="BK358" s="1758"/>
      <c r="BL358" s="1758"/>
      <c r="BM358" s="1758"/>
      <c r="BN358" s="1758"/>
      <c r="BO358" s="1758"/>
      <c r="BP358" s="1758"/>
      <c r="BQ358" s="1758"/>
      <c r="BR358" s="1758"/>
      <c r="BS358" s="1758"/>
      <c r="BT358" s="1758"/>
      <c r="BU358" s="1758"/>
      <c r="BV358" s="1758"/>
      <c r="BW358" s="1758"/>
      <c r="BX358" s="1758"/>
      <c r="BY358" s="1758"/>
      <c r="BZ358" s="1758"/>
      <c r="CA358" s="1758"/>
      <c r="CB358" s="1758"/>
      <c r="CC358" s="1758"/>
      <c r="CD358" s="1758"/>
      <c r="CE358" s="1758"/>
      <c r="CF358" s="1758"/>
      <c r="CG358" s="1758"/>
      <c r="CH358" s="1758"/>
      <c r="CI358" s="1758"/>
      <c r="CJ358" s="1758"/>
      <c r="CK358" s="1758"/>
      <c r="CL358" s="1758"/>
      <c r="CM358" s="1758"/>
      <c r="CN358" s="1758"/>
      <c r="CO358" s="1758"/>
      <c r="CP358" s="1758"/>
      <c r="CQ358" s="1758"/>
      <c r="CR358" s="1758"/>
      <c r="CS358" s="1758"/>
      <c r="CT358" s="1758"/>
      <c r="CU358" s="1758"/>
      <c r="CV358" s="1758"/>
      <c r="CW358" s="1758"/>
      <c r="CX358" s="1758"/>
      <c r="CY358" s="1758"/>
      <c r="CZ358" s="1758"/>
      <c r="DA358" s="1758"/>
      <c r="DB358" s="1758"/>
      <c r="DC358" s="1758"/>
    </row>
    <row r="359" spans="1:107" s="1395" customFormat="1" ht="25.5" customHeight="1">
      <c r="A359" s="10827"/>
      <c r="B359" s="10731"/>
      <c r="C359" s="10728"/>
      <c r="D359" s="10728"/>
      <c r="E359" s="10728"/>
      <c r="F359" s="10744"/>
      <c r="G359" s="10728"/>
      <c r="H359" s="10728"/>
      <c r="I359" s="10728"/>
      <c r="J359" s="10728"/>
      <c r="K359" s="10735"/>
      <c r="L359" s="10738"/>
      <c r="M359" s="10738"/>
      <c r="N359" s="10738"/>
      <c r="O359" s="10735"/>
      <c r="P359" s="10735"/>
      <c r="Q359" s="10750"/>
      <c r="R359" s="5173"/>
      <c r="S359" s="5212"/>
      <c r="T359" s="5212"/>
      <c r="U359" s="5250"/>
      <c r="V359" s="5281"/>
      <c r="W359" s="5302"/>
      <c r="X359" s="7477"/>
      <c r="Y359" s="7473"/>
      <c r="Z359" s="7473"/>
      <c r="AA359" s="7474"/>
      <c r="AB359" s="5323"/>
      <c r="AC359" s="1396"/>
      <c r="AD359" s="5300"/>
      <c r="AE359" s="5346"/>
      <c r="AF359" s="5346"/>
      <c r="AG359" s="10777"/>
      <c r="AH359" s="1758"/>
      <c r="AI359" s="1758"/>
      <c r="AJ359" s="1758"/>
      <c r="AK359" s="1758"/>
      <c r="AL359" s="1758"/>
      <c r="AM359" s="1758"/>
      <c r="AN359" s="1758"/>
      <c r="AO359" s="1758"/>
      <c r="AP359" s="1758"/>
      <c r="AQ359" s="1758"/>
      <c r="AR359" s="1758"/>
      <c r="AS359" s="1758"/>
      <c r="AT359" s="1758"/>
      <c r="AU359" s="1758"/>
      <c r="AV359" s="1758"/>
      <c r="AW359" s="1758"/>
      <c r="AX359" s="1758"/>
      <c r="AY359" s="1758"/>
      <c r="AZ359" s="1758"/>
      <c r="BA359" s="1758"/>
      <c r="BB359" s="1758"/>
      <c r="BC359" s="1758"/>
      <c r="BD359" s="1758"/>
      <c r="BE359" s="1758"/>
      <c r="BF359" s="1758"/>
      <c r="BG359" s="1758"/>
      <c r="BH359" s="1758"/>
      <c r="BI359" s="1758"/>
      <c r="BJ359" s="1758"/>
      <c r="BK359" s="1758"/>
      <c r="BL359" s="1758"/>
      <c r="BM359" s="1758"/>
      <c r="BN359" s="1758"/>
      <c r="BO359" s="1758"/>
      <c r="BP359" s="1758"/>
      <c r="BQ359" s="1758"/>
      <c r="BR359" s="1758"/>
      <c r="BS359" s="1758"/>
      <c r="BT359" s="1758"/>
      <c r="BU359" s="1758"/>
      <c r="BV359" s="1758"/>
      <c r="BW359" s="1758"/>
      <c r="BX359" s="1758"/>
      <c r="BY359" s="1758"/>
      <c r="BZ359" s="1758"/>
      <c r="CA359" s="1758"/>
      <c r="CB359" s="1758"/>
      <c r="CC359" s="1758"/>
      <c r="CD359" s="1758"/>
      <c r="CE359" s="1758"/>
      <c r="CF359" s="1758"/>
      <c r="CG359" s="1758"/>
      <c r="CH359" s="1758"/>
      <c r="CI359" s="1758"/>
      <c r="CJ359" s="1758"/>
      <c r="CK359" s="1758"/>
      <c r="CL359" s="1758"/>
      <c r="CM359" s="1758"/>
      <c r="CN359" s="1758"/>
      <c r="CO359" s="1758"/>
      <c r="CP359" s="1758"/>
      <c r="CQ359" s="1758"/>
      <c r="CR359" s="1758"/>
      <c r="CS359" s="1758"/>
      <c r="CT359" s="1758"/>
      <c r="CU359" s="1758"/>
      <c r="CV359" s="1758"/>
      <c r="CW359" s="1758"/>
      <c r="CX359" s="1758"/>
      <c r="CY359" s="1758"/>
      <c r="CZ359" s="1758"/>
      <c r="DA359" s="1758"/>
      <c r="DB359" s="1758"/>
      <c r="DC359" s="1758"/>
    </row>
    <row r="360" spans="1:107" s="1395" customFormat="1" ht="25.5" customHeight="1">
      <c r="A360" s="10827"/>
      <c r="B360" s="10732"/>
      <c r="C360" s="10729"/>
      <c r="D360" s="10729"/>
      <c r="E360" s="10729"/>
      <c r="F360" s="10745"/>
      <c r="G360" s="10729"/>
      <c r="H360" s="10729"/>
      <c r="I360" s="10729"/>
      <c r="J360" s="10729"/>
      <c r="K360" s="10736"/>
      <c r="L360" s="10739"/>
      <c r="M360" s="10739"/>
      <c r="N360" s="10739"/>
      <c r="O360" s="10736"/>
      <c r="P360" s="10736"/>
      <c r="Q360" s="10751"/>
      <c r="R360" s="5175"/>
      <c r="S360" s="5215"/>
      <c r="T360" s="5215"/>
      <c r="U360" s="5251"/>
      <c r="V360" s="5282"/>
      <c r="W360" s="5303"/>
      <c r="X360" s="7479"/>
      <c r="Y360" s="7479"/>
      <c r="Z360" s="7479"/>
      <c r="AA360" s="7480"/>
      <c r="AB360" s="5326"/>
      <c r="AC360" s="1399"/>
      <c r="AD360" s="5303"/>
      <c r="AE360" s="5348"/>
      <c r="AF360" s="5348"/>
      <c r="AG360" s="10778"/>
      <c r="AH360" s="1758"/>
      <c r="AI360" s="1758"/>
      <c r="AJ360" s="1758"/>
      <c r="AK360" s="1758"/>
      <c r="AL360" s="1758"/>
      <c r="AM360" s="1758"/>
      <c r="AN360" s="1758"/>
      <c r="AO360" s="1758"/>
      <c r="AP360" s="1758"/>
      <c r="AQ360" s="1758"/>
      <c r="AR360" s="1758"/>
      <c r="AS360" s="1758"/>
      <c r="AT360" s="1758"/>
      <c r="AU360" s="1758"/>
      <c r="AV360" s="1758"/>
      <c r="AW360" s="1758"/>
      <c r="AX360" s="1758"/>
      <c r="AY360" s="1758"/>
      <c r="AZ360" s="1758"/>
      <c r="BA360" s="1758"/>
      <c r="BB360" s="1758"/>
      <c r="BC360" s="1758"/>
      <c r="BD360" s="1758"/>
      <c r="BE360" s="1758"/>
      <c r="BF360" s="1758"/>
      <c r="BG360" s="1758"/>
      <c r="BH360" s="1758"/>
      <c r="BI360" s="1758"/>
      <c r="BJ360" s="1758"/>
      <c r="BK360" s="1758"/>
      <c r="BL360" s="1758"/>
      <c r="BM360" s="1758"/>
      <c r="BN360" s="1758"/>
      <c r="BO360" s="1758"/>
      <c r="BP360" s="1758"/>
      <c r="BQ360" s="1758"/>
      <c r="BR360" s="1758"/>
      <c r="BS360" s="1758"/>
      <c r="BT360" s="1758"/>
      <c r="BU360" s="1758"/>
      <c r="BV360" s="1758"/>
      <c r="BW360" s="1758"/>
      <c r="BX360" s="1758"/>
      <c r="BY360" s="1758"/>
      <c r="BZ360" s="1758"/>
      <c r="CA360" s="1758"/>
      <c r="CB360" s="1758"/>
      <c r="CC360" s="1758"/>
      <c r="CD360" s="1758"/>
      <c r="CE360" s="1758"/>
      <c r="CF360" s="1758"/>
      <c r="CG360" s="1758"/>
      <c r="CH360" s="1758"/>
      <c r="CI360" s="1758"/>
      <c r="CJ360" s="1758"/>
      <c r="CK360" s="1758"/>
      <c r="CL360" s="1758"/>
      <c r="CM360" s="1758"/>
      <c r="CN360" s="1758"/>
      <c r="CO360" s="1758"/>
      <c r="CP360" s="1758"/>
      <c r="CQ360" s="1758"/>
      <c r="CR360" s="1758"/>
      <c r="CS360" s="1758"/>
      <c r="CT360" s="1758"/>
      <c r="CU360" s="1758"/>
      <c r="CV360" s="1758"/>
      <c r="CW360" s="1758"/>
      <c r="CX360" s="1758"/>
      <c r="CY360" s="1758"/>
      <c r="CZ360" s="1758"/>
      <c r="DA360" s="1758"/>
      <c r="DB360" s="1758"/>
      <c r="DC360" s="1758"/>
    </row>
    <row r="361" spans="1:107" s="1395" customFormat="1" ht="45" customHeight="1">
      <c r="A361" s="10827"/>
      <c r="B361" s="10877" t="s">
        <v>183</v>
      </c>
      <c r="C361" s="10880" t="s">
        <v>1291</v>
      </c>
      <c r="D361" s="10880" t="s">
        <v>1292</v>
      </c>
      <c r="E361" s="10880" t="s">
        <v>5006</v>
      </c>
      <c r="F361" s="10883" t="s">
        <v>1294</v>
      </c>
      <c r="G361" s="10880" t="s">
        <v>171</v>
      </c>
      <c r="H361" s="10880" t="s">
        <v>159</v>
      </c>
      <c r="I361" s="10880" t="s">
        <v>5071</v>
      </c>
      <c r="J361" s="10880" t="s">
        <v>4631</v>
      </c>
      <c r="K361" s="10880" t="s">
        <v>5072</v>
      </c>
      <c r="L361" s="10886">
        <v>0</v>
      </c>
      <c r="M361" s="10886">
        <v>1</v>
      </c>
      <c r="N361" s="10886">
        <v>1</v>
      </c>
      <c r="O361" s="10880" t="s">
        <v>5073</v>
      </c>
      <c r="P361" s="10880" t="s">
        <v>5074</v>
      </c>
      <c r="Q361" s="10889" t="s">
        <v>5069</v>
      </c>
      <c r="R361" s="5202" t="s">
        <v>5011</v>
      </c>
      <c r="S361" s="5227" t="s">
        <v>5075</v>
      </c>
      <c r="T361" s="5233"/>
      <c r="U361" s="5263" t="s">
        <v>16</v>
      </c>
      <c r="V361" s="5294"/>
      <c r="W361" s="5314" t="s">
        <v>180</v>
      </c>
      <c r="X361" s="7487">
        <v>425</v>
      </c>
      <c r="Y361" s="7487">
        <f>+V361*X361</f>
        <v>0</v>
      </c>
      <c r="Z361" s="7487">
        <f>+Y361*1.12</f>
        <v>0</v>
      </c>
      <c r="AA361" s="7503">
        <f>+Z361</f>
        <v>0</v>
      </c>
      <c r="AB361" s="5337"/>
      <c r="AC361" s="1416"/>
      <c r="AD361" s="5314"/>
      <c r="AE361" s="5364" t="s">
        <v>153</v>
      </c>
      <c r="AF361" s="5350"/>
      <c r="AG361" s="10779"/>
      <c r="AH361" s="1758"/>
      <c r="AI361" s="1758"/>
      <c r="AJ361" s="1758"/>
      <c r="AK361" s="1758"/>
      <c r="AL361" s="1758"/>
      <c r="AM361" s="1758"/>
      <c r="AN361" s="1758"/>
      <c r="AO361" s="1758"/>
      <c r="AP361" s="1758"/>
      <c r="AQ361" s="1758"/>
      <c r="AR361" s="1758"/>
      <c r="AS361" s="1758"/>
      <c r="AT361" s="1758"/>
      <c r="AU361" s="1758"/>
      <c r="AV361" s="1758"/>
      <c r="AW361" s="1758"/>
      <c r="AX361" s="1758"/>
      <c r="AY361" s="1758"/>
      <c r="AZ361" s="1758"/>
      <c r="BA361" s="1758"/>
      <c r="BB361" s="1758"/>
      <c r="BC361" s="1758"/>
      <c r="BD361" s="1758"/>
      <c r="BE361" s="1758"/>
      <c r="BF361" s="1758"/>
      <c r="BG361" s="1758"/>
      <c r="BH361" s="1758"/>
      <c r="BI361" s="1758"/>
      <c r="BJ361" s="1758"/>
      <c r="BK361" s="1758"/>
      <c r="BL361" s="1758"/>
      <c r="BM361" s="1758"/>
      <c r="BN361" s="1758"/>
      <c r="BO361" s="1758"/>
      <c r="BP361" s="1758"/>
      <c r="BQ361" s="1758"/>
      <c r="BR361" s="1758"/>
      <c r="BS361" s="1758"/>
      <c r="BT361" s="1758"/>
      <c r="BU361" s="1758"/>
      <c r="BV361" s="1758"/>
      <c r="BW361" s="1758"/>
      <c r="BX361" s="1758"/>
      <c r="BY361" s="1758"/>
      <c r="BZ361" s="1758"/>
      <c r="CA361" s="1758"/>
      <c r="CB361" s="1758"/>
      <c r="CC361" s="1758"/>
      <c r="CD361" s="1758"/>
      <c r="CE361" s="1758"/>
      <c r="CF361" s="1758"/>
      <c r="CG361" s="1758"/>
      <c r="CH361" s="1758"/>
      <c r="CI361" s="1758"/>
      <c r="CJ361" s="1758"/>
      <c r="CK361" s="1758"/>
      <c r="CL361" s="1758"/>
      <c r="CM361" s="1758"/>
      <c r="CN361" s="1758"/>
      <c r="CO361" s="1758"/>
      <c r="CP361" s="1758"/>
      <c r="CQ361" s="1758"/>
      <c r="CR361" s="1758"/>
      <c r="CS361" s="1758"/>
      <c r="CT361" s="1758"/>
      <c r="CU361" s="1758"/>
      <c r="CV361" s="1758"/>
      <c r="CW361" s="1758"/>
      <c r="CX361" s="1758"/>
      <c r="CY361" s="1758"/>
      <c r="CZ361" s="1758"/>
      <c r="DA361" s="1758"/>
      <c r="DB361" s="1758"/>
      <c r="DC361" s="1758"/>
    </row>
    <row r="362" spans="1:107" s="1395" customFormat="1" ht="33.950000000000003" customHeight="1">
      <c r="A362" s="10827"/>
      <c r="B362" s="10878"/>
      <c r="C362" s="10881"/>
      <c r="D362" s="10881"/>
      <c r="E362" s="10881"/>
      <c r="F362" s="10884"/>
      <c r="G362" s="10881"/>
      <c r="H362" s="10881"/>
      <c r="I362" s="10881"/>
      <c r="J362" s="10881"/>
      <c r="K362" s="10881"/>
      <c r="L362" s="10887"/>
      <c r="M362" s="10887"/>
      <c r="N362" s="10887"/>
      <c r="O362" s="10881"/>
      <c r="P362" s="10881"/>
      <c r="Q362" s="10890"/>
      <c r="R362" s="5200" t="s">
        <v>5013</v>
      </c>
      <c r="S362" s="5228" t="s">
        <v>5014</v>
      </c>
      <c r="T362" s="5234"/>
      <c r="U362" s="5264" t="s">
        <v>5015</v>
      </c>
      <c r="V362" s="5279"/>
      <c r="W362" s="5300" t="s">
        <v>180</v>
      </c>
      <c r="X362" s="7473">
        <v>950.1</v>
      </c>
      <c r="Y362" s="7473">
        <f t="shared" ref="Y362" si="2">+V362*X362</f>
        <v>0</v>
      </c>
      <c r="Z362" s="7473">
        <f t="shared" ref="Z362" si="3">+Y362*1.12</f>
        <v>0</v>
      </c>
      <c r="AA362" s="7474">
        <f>+Z362</f>
        <v>0</v>
      </c>
      <c r="AB362" s="5323"/>
      <c r="AC362" s="1396"/>
      <c r="AD362" s="5300"/>
      <c r="AE362" s="5365" t="s">
        <v>153</v>
      </c>
      <c r="AF362" s="5346"/>
      <c r="AG362" s="10777"/>
      <c r="AH362" s="1758"/>
      <c r="AI362" s="1758"/>
      <c r="AJ362" s="1758"/>
      <c r="AK362" s="1758"/>
      <c r="AL362" s="1758"/>
      <c r="AM362" s="1758"/>
      <c r="AN362" s="1758"/>
      <c r="AO362" s="1758"/>
      <c r="AP362" s="1758"/>
      <c r="AQ362" s="1758"/>
      <c r="AR362" s="1758"/>
      <c r="AS362" s="1758"/>
      <c r="AT362" s="1758"/>
      <c r="AU362" s="1758"/>
      <c r="AV362" s="1758"/>
      <c r="AW362" s="1758"/>
      <c r="AX362" s="1758"/>
      <c r="AY362" s="1758"/>
      <c r="AZ362" s="1758"/>
      <c r="BA362" s="1758"/>
      <c r="BB362" s="1758"/>
      <c r="BC362" s="1758"/>
      <c r="BD362" s="1758"/>
      <c r="BE362" s="1758"/>
      <c r="BF362" s="1758"/>
      <c r="BG362" s="1758"/>
      <c r="BH362" s="1758"/>
      <c r="BI362" s="1758"/>
      <c r="BJ362" s="1758"/>
      <c r="BK362" s="1758"/>
      <c r="BL362" s="1758"/>
      <c r="BM362" s="1758"/>
      <c r="BN362" s="1758"/>
      <c r="BO362" s="1758"/>
      <c r="BP362" s="1758"/>
      <c r="BQ362" s="1758"/>
      <c r="BR362" s="1758"/>
      <c r="BS362" s="1758"/>
      <c r="BT362" s="1758"/>
      <c r="BU362" s="1758"/>
      <c r="BV362" s="1758"/>
      <c r="BW362" s="1758"/>
      <c r="BX362" s="1758"/>
      <c r="BY362" s="1758"/>
      <c r="BZ362" s="1758"/>
      <c r="CA362" s="1758"/>
      <c r="CB362" s="1758"/>
      <c r="CC362" s="1758"/>
      <c r="CD362" s="1758"/>
      <c r="CE362" s="1758"/>
      <c r="CF362" s="1758"/>
      <c r="CG362" s="1758"/>
      <c r="CH362" s="1758"/>
      <c r="CI362" s="1758"/>
      <c r="CJ362" s="1758"/>
      <c r="CK362" s="1758"/>
      <c r="CL362" s="1758"/>
      <c r="CM362" s="1758"/>
      <c r="CN362" s="1758"/>
      <c r="CO362" s="1758"/>
      <c r="CP362" s="1758"/>
      <c r="CQ362" s="1758"/>
      <c r="CR362" s="1758"/>
      <c r="CS362" s="1758"/>
      <c r="CT362" s="1758"/>
      <c r="CU362" s="1758"/>
      <c r="CV362" s="1758"/>
      <c r="CW362" s="1758"/>
      <c r="CX362" s="1758"/>
      <c r="CY362" s="1758"/>
      <c r="CZ362" s="1758"/>
      <c r="DA362" s="1758"/>
      <c r="DB362" s="1758"/>
      <c r="DC362" s="1758"/>
    </row>
    <row r="363" spans="1:107" s="1395" customFormat="1" ht="33.950000000000003" customHeight="1">
      <c r="A363" s="10827"/>
      <c r="B363" s="10878"/>
      <c r="C363" s="10881"/>
      <c r="D363" s="10881"/>
      <c r="E363" s="10881"/>
      <c r="F363" s="10884"/>
      <c r="G363" s="10881"/>
      <c r="H363" s="10881"/>
      <c r="I363" s="10881"/>
      <c r="J363" s="10881"/>
      <c r="K363" s="10881"/>
      <c r="L363" s="10887"/>
      <c r="M363" s="10887"/>
      <c r="N363" s="10887"/>
      <c r="O363" s="10881"/>
      <c r="P363" s="10881"/>
      <c r="Q363" s="10890"/>
      <c r="R363" s="5203" t="s">
        <v>5016</v>
      </c>
      <c r="S363" s="5229" t="s">
        <v>5017</v>
      </c>
      <c r="T363" s="5229"/>
      <c r="U363" s="5249" t="s">
        <v>5018</v>
      </c>
      <c r="V363" s="5281"/>
      <c r="W363" s="5302" t="s">
        <v>180</v>
      </c>
      <c r="X363" s="7477">
        <v>1000</v>
      </c>
      <c r="Y363" s="7477">
        <f>+V363*X363</f>
        <v>0</v>
      </c>
      <c r="Z363" s="7477">
        <f>+Y363*1.12</f>
        <v>0</v>
      </c>
      <c r="AA363" s="7478">
        <f>+Z363</f>
        <v>0</v>
      </c>
      <c r="AB363" s="5325"/>
      <c r="AC363" s="1398"/>
      <c r="AD363" s="5302"/>
      <c r="AE363" s="5367" t="s">
        <v>153</v>
      </c>
      <c r="AF363" s="5368"/>
      <c r="AG363" s="10777"/>
      <c r="AH363" s="1758"/>
      <c r="AI363" s="1758"/>
      <c r="AJ363" s="1758"/>
      <c r="AK363" s="1758"/>
      <c r="AL363" s="1758"/>
      <c r="AM363" s="1758"/>
      <c r="AN363" s="1758"/>
      <c r="AO363" s="1758"/>
      <c r="AP363" s="1758"/>
      <c r="AQ363" s="1758"/>
      <c r="AR363" s="1758"/>
      <c r="AS363" s="1758"/>
      <c r="AT363" s="1758"/>
      <c r="AU363" s="1758"/>
      <c r="AV363" s="1758"/>
      <c r="AW363" s="1758"/>
      <c r="AX363" s="1758"/>
      <c r="AY363" s="1758"/>
      <c r="AZ363" s="1758"/>
      <c r="BA363" s="1758"/>
      <c r="BB363" s="1758"/>
      <c r="BC363" s="1758"/>
      <c r="BD363" s="1758"/>
      <c r="BE363" s="1758"/>
      <c r="BF363" s="1758"/>
      <c r="BG363" s="1758"/>
      <c r="BH363" s="1758"/>
      <c r="BI363" s="1758"/>
      <c r="BJ363" s="1758"/>
      <c r="BK363" s="1758"/>
      <c r="BL363" s="1758"/>
      <c r="BM363" s="1758"/>
      <c r="BN363" s="1758"/>
      <c r="BO363" s="1758"/>
      <c r="BP363" s="1758"/>
      <c r="BQ363" s="1758"/>
      <c r="BR363" s="1758"/>
      <c r="BS363" s="1758"/>
      <c r="BT363" s="1758"/>
      <c r="BU363" s="1758"/>
      <c r="BV363" s="1758"/>
      <c r="BW363" s="1758"/>
      <c r="BX363" s="1758"/>
      <c r="BY363" s="1758"/>
      <c r="BZ363" s="1758"/>
      <c r="CA363" s="1758"/>
      <c r="CB363" s="1758"/>
      <c r="CC363" s="1758"/>
      <c r="CD363" s="1758"/>
      <c r="CE363" s="1758"/>
      <c r="CF363" s="1758"/>
      <c r="CG363" s="1758"/>
      <c r="CH363" s="1758"/>
      <c r="CI363" s="1758"/>
      <c r="CJ363" s="1758"/>
      <c r="CK363" s="1758"/>
      <c r="CL363" s="1758"/>
      <c r="CM363" s="1758"/>
      <c r="CN363" s="1758"/>
      <c r="CO363" s="1758"/>
      <c r="CP363" s="1758"/>
      <c r="CQ363" s="1758"/>
      <c r="CR363" s="1758"/>
      <c r="CS363" s="1758"/>
      <c r="CT363" s="1758"/>
      <c r="CU363" s="1758"/>
      <c r="CV363" s="1758"/>
      <c r="CW363" s="1758"/>
      <c r="CX363" s="1758"/>
      <c r="CY363" s="1758"/>
      <c r="CZ363" s="1758"/>
      <c r="DA363" s="1758"/>
      <c r="DB363" s="1758"/>
      <c r="DC363" s="1758"/>
    </row>
    <row r="364" spans="1:107" s="1395" customFormat="1" ht="45" customHeight="1">
      <c r="A364" s="10827"/>
      <c r="B364" s="10878"/>
      <c r="C364" s="10881"/>
      <c r="D364" s="10881"/>
      <c r="E364" s="10881"/>
      <c r="F364" s="10884"/>
      <c r="G364" s="10881"/>
      <c r="H364" s="10881"/>
      <c r="I364" s="10881"/>
      <c r="J364" s="10881"/>
      <c r="K364" s="10881"/>
      <c r="L364" s="10887"/>
      <c r="M364" s="10887"/>
      <c r="N364" s="10887"/>
      <c r="O364" s="10881"/>
      <c r="P364" s="10881"/>
      <c r="Q364" s="10890"/>
      <c r="R364" s="5200" t="s">
        <v>5019</v>
      </c>
      <c r="S364" s="5228" t="s">
        <v>5020</v>
      </c>
      <c r="T364" s="5228"/>
      <c r="U364" s="5264" t="s">
        <v>16</v>
      </c>
      <c r="V364" s="5279"/>
      <c r="W364" s="5300" t="s">
        <v>180</v>
      </c>
      <c r="X364" s="7473">
        <v>400</v>
      </c>
      <c r="Y364" s="7473">
        <f t="shared" ref="Y364" si="4">+V364*X364</f>
        <v>0</v>
      </c>
      <c r="Z364" s="7473">
        <f t="shared" ref="Z364" si="5">+Y364*1.12</f>
        <v>0</v>
      </c>
      <c r="AA364" s="7474">
        <f>+Z364</f>
        <v>0</v>
      </c>
      <c r="AB364" s="5323"/>
      <c r="AC364" s="1396"/>
      <c r="AD364" s="5300"/>
      <c r="AE364" s="5365" t="s">
        <v>153</v>
      </c>
      <c r="AF364" s="5346"/>
      <c r="AG364" s="10777"/>
      <c r="AH364" s="1758"/>
      <c r="AI364" s="1758"/>
      <c r="AJ364" s="1758"/>
      <c r="AK364" s="1758"/>
      <c r="AL364" s="1758"/>
      <c r="AM364" s="1758"/>
      <c r="AN364" s="1758"/>
      <c r="AO364" s="1758"/>
      <c r="AP364" s="1758"/>
      <c r="AQ364" s="1758"/>
      <c r="AR364" s="1758"/>
      <c r="AS364" s="1758"/>
      <c r="AT364" s="1758"/>
      <c r="AU364" s="1758"/>
      <c r="AV364" s="1758"/>
      <c r="AW364" s="1758"/>
      <c r="AX364" s="1758"/>
      <c r="AY364" s="1758"/>
      <c r="AZ364" s="1758"/>
      <c r="BA364" s="1758"/>
      <c r="BB364" s="1758"/>
      <c r="BC364" s="1758"/>
      <c r="BD364" s="1758"/>
      <c r="BE364" s="1758"/>
      <c r="BF364" s="1758"/>
      <c r="BG364" s="1758"/>
      <c r="BH364" s="1758"/>
      <c r="BI364" s="1758"/>
      <c r="BJ364" s="1758"/>
      <c r="BK364" s="1758"/>
      <c r="BL364" s="1758"/>
      <c r="BM364" s="1758"/>
      <c r="BN364" s="1758"/>
      <c r="BO364" s="1758"/>
      <c r="BP364" s="1758"/>
      <c r="BQ364" s="1758"/>
      <c r="BR364" s="1758"/>
      <c r="BS364" s="1758"/>
      <c r="BT364" s="1758"/>
      <c r="BU364" s="1758"/>
      <c r="BV364" s="1758"/>
      <c r="BW364" s="1758"/>
      <c r="BX364" s="1758"/>
      <c r="BY364" s="1758"/>
      <c r="BZ364" s="1758"/>
      <c r="CA364" s="1758"/>
      <c r="CB364" s="1758"/>
      <c r="CC364" s="1758"/>
      <c r="CD364" s="1758"/>
      <c r="CE364" s="1758"/>
      <c r="CF364" s="1758"/>
      <c r="CG364" s="1758"/>
      <c r="CH364" s="1758"/>
      <c r="CI364" s="1758"/>
      <c r="CJ364" s="1758"/>
      <c r="CK364" s="1758"/>
      <c r="CL364" s="1758"/>
      <c r="CM364" s="1758"/>
      <c r="CN364" s="1758"/>
      <c r="CO364" s="1758"/>
      <c r="CP364" s="1758"/>
      <c r="CQ364" s="1758"/>
      <c r="CR364" s="1758"/>
      <c r="CS364" s="1758"/>
      <c r="CT364" s="1758"/>
      <c r="CU364" s="1758"/>
      <c r="CV364" s="1758"/>
      <c r="CW364" s="1758"/>
      <c r="CX364" s="1758"/>
      <c r="CY364" s="1758"/>
      <c r="CZ364" s="1758"/>
      <c r="DA364" s="1758"/>
      <c r="DB364" s="1758"/>
      <c r="DC364" s="1758"/>
    </row>
    <row r="365" spans="1:107" s="1395" customFormat="1" ht="33.950000000000003" customHeight="1">
      <c r="A365" s="10827"/>
      <c r="B365" s="10879"/>
      <c r="C365" s="10882"/>
      <c r="D365" s="10882"/>
      <c r="E365" s="10882"/>
      <c r="F365" s="10885"/>
      <c r="G365" s="10882"/>
      <c r="H365" s="10882"/>
      <c r="I365" s="10882"/>
      <c r="J365" s="10882"/>
      <c r="K365" s="10882"/>
      <c r="L365" s="10888"/>
      <c r="M365" s="10888"/>
      <c r="N365" s="10888"/>
      <c r="O365" s="10882"/>
      <c r="P365" s="10882"/>
      <c r="Q365" s="10891"/>
      <c r="R365" s="5201" t="s">
        <v>5016</v>
      </c>
      <c r="S365" s="5232" t="s">
        <v>5021</v>
      </c>
      <c r="T365" s="5230"/>
      <c r="U365" s="5272" t="s">
        <v>5015</v>
      </c>
      <c r="V365" s="5282"/>
      <c r="W365" s="5303" t="s">
        <v>180</v>
      </c>
      <c r="X365" s="7479">
        <v>1200</v>
      </c>
      <c r="Y365" s="7479">
        <f>+V365*X365</f>
        <v>0</v>
      </c>
      <c r="Z365" s="7479">
        <f>+Y365*1.12</f>
        <v>0</v>
      </c>
      <c r="AA365" s="7480">
        <f>+Z365</f>
        <v>0</v>
      </c>
      <c r="AB365" s="5326"/>
      <c r="AC365" s="1399"/>
      <c r="AD365" s="5303"/>
      <c r="AE365" s="5366" t="s">
        <v>153</v>
      </c>
      <c r="AF365" s="5348"/>
      <c r="AG365" s="10778"/>
      <c r="AH365" s="1758"/>
      <c r="AI365" s="1758"/>
      <c r="AJ365" s="1758"/>
      <c r="AK365" s="1758"/>
      <c r="AL365" s="1758"/>
      <c r="AM365" s="1758"/>
      <c r="AN365" s="1758"/>
      <c r="AO365" s="1758"/>
      <c r="AP365" s="1758"/>
      <c r="AQ365" s="1758"/>
      <c r="AR365" s="1758"/>
      <c r="AS365" s="1758"/>
      <c r="AT365" s="1758"/>
      <c r="AU365" s="1758"/>
      <c r="AV365" s="1758"/>
      <c r="AW365" s="1758"/>
      <c r="AX365" s="1758"/>
      <c r="AY365" s="1758"/>
      <c r="AZ365" s="1758"/>
      <c r="BA365" s="1758"/>
      <c r="BB365" s="1758"/>
      <c r="BC365" s="1758"/>
      <c r="BD365" s="1758"/>
      <c r="BE365" s="1758"/>
      <c r="BF365" s="1758"/>
      <c r="BG365" s="1758"/>
      <c r="BH365" s="1758"/>
      <c r="BI365" s="1758"/>
      <c r="BJ365" s="1758"/>
      <c r="BK365" s="1758"/>
      <c r="BL365" s="1758"/>
      <c r="BM365" s="1758"/>
      <c r="BN365" s="1758"/>
      <c r="BO365" s="1758"/>
      <c r="BP365" s="1758"/>
      <c r="BQ365" s="1758"/>
      <c r="BR365" s="1758"/>
      <c r="BS365" s="1758"/>
      <c r="BT365" s="1758"/>
      <c r="BU365" s="1758"/>
      <c r="BV365" s="1758"/>
      <c r="BW365" s="1758"/>
      <c r="BX365" s="1758"/>
      <c r="BY365" s="1758"/>
      <c r="BZ365" s="1758"/>
      <c r="CA365" s="1758"/>
      <c r="CB365" s="1758"/>
      <c r="CC365" s="1758"/>
      <c r="CD365" s="1758"/>
      <c r="CE365" s="1758"/>
      <c r="CF365" s="1758"/>
      <c r="CG365" s="1758"/>
      <c r="CH365" s="1758"/>
      <c r="CI365" s="1758"/>
      <c r="CJ365" s="1758"/>
      <c r="CK365" s="1758"/>
      <c r="CL365" s="1758"/>
      <c r="CM365" s="1758"/>
      <c r="CN365" s="1758"/>
      <c r="CO365" s="1758"/>
      <c r="CP365" s="1758"/>
      <c r="CQ365" s="1758"/>
      <c r="CR365" s="1758"/>
      <c r="CS365" s="1758"/>
      <c r="CT365" s="1758"/>
      <c r="CU365" s="1758"/>
      <c r="CV365" s="1758"/>
      <c r="CW365" s="1758"/>
      <c r="CX365" s="1758"/>
      <c r="CY365" s="1758"/>
      <c r="CZ365" s="1758"/>
      <c r="DA365" s="1758"/>
      <c r="DB365" s="1758"/>
      <c r="DC365" s="1758"/>
    </row>
    <row r="366" spans="1:107" s="1395" customFormat="1" ht="26.25" customHeight="1">
      <c r="A366" s="10827"/>
      <c r="B366" s="10731" t="s">
        <v>127</v>
      </c>
      <c r="C366" s="10728" t="s">
        <v>128</v>
      </c>
      <c r="D366" s="10728" t="s">
        <v>129</v>
      </c>
      <c r="E366" s="10728" t="s">
        <v>205</v>
      </c>
      <c r="F366" s="10744" t="s">
        <v>131</v>
      </c>
      <c r="G366" s="10728" t="s">
        <v>132</v>
      </c>
      <c r="H366" s="10728" t="s">
        <v>159</v>
      </c>
      <c r="I366" s="10728" t="s">
        <v>5022</v>
      </c>
      <c r="J366" s="10728" t="s">
        <v>4637</v>
      </c>
      <c r="K366" s="10735" t="s">
        <v>5024</v>
      </c>
      <c r="L366" s="10738">
        <v>0</v>
      </c>
      <c r="M366" s="10738">
        <v>4</v>
      </c>
      <c r="N366" s="10738">
        <v>4</v>
      </c>
      <c r="O366" s="10735" t="s">
        <v>5025</v>
      </c>
      <c r="P366" s="10735" t="s">
        <v>5026</v>
      </c>
      <c r="Q366" s="10750" t="s">
        <v>5076</v>
      </c>
      <c r="R366" s="5173"/>
      <c r="S366" s="5212"/>
      <c r="T366" s="5212"/>
      <c r="U366" s="5249"/>
      <c r="V366" s="5281"/>
      <c r="W366" s="5302"/>
      <c r="X366" s="7477"/>
      <c r="Y366" s="7477"/>
      <c r="Z366" s="7477"/>
      <c r="AA366" s="7478"/>
      <c r="AB366" s="5325"/>
      <c r="AC366" s="1398"/>
      <c r="AD366" s="5302"/>
      <c r="AE366" s="5349"/>
      <c r="AF366" s="5349"/>
      <c r="AG366" s="10777" t="s">
        <v>4843</v>
      </c>
      <c r="AH366" s="1758"/>
      <c r="AI366" s="1758"/>
      <c r="AJ366" s="1758"/>
      <c r="AK366" s="1758"/>
      <c r="AL366" s="1758"/>
      <c r="AM366" s="1758"/>
      <c r="AN366" s="1758"/>
      <c r="AO366" s="1758"/>
      <c r="AP366" s="1758"/>
      <c r="AQ366" s="1758"/>
      <c r="AR366" s="1758"/>
      <c r="AS366" s="1758"/>
      <c r="AT366" s="1758"/>
      <c r="AU366" s="1758"/>
      <c r="AV366" s="1758"/>
      <c r="AW366" s="1758"/>
      <c r="AX366" s="1758"/>
      <c r="AY366" s="1758"/>
      <c r="AZ366" s="1758"/>
      <c r="BA366" s="1758"/>
      <c r="BB366" s="1758"/>
      <c r="BC366" s="1758"/>
      <c r="BD366" s="1758"/>
      <c r="BE366" s="1758"/>
      <c r="BF366" s="1758"/>
      <c r="BG366" s="1758"/>
      <c r="BH366" s="1758"/>
      <c r="BI366" s="1758"/>
      <c r="BJ366" s="1758"/>
      <c r="BK366" s="1758"/>
      <c r="BL366" s="1758"/>
      <c r="BM366" s="1758"/>
      <c r="BN366" s="1758"/>
      <c r="BO366" s="1758"/>
      <c r="BP366" s="1758"/>
      <c r="BQ366" s="1758"/>
      <c r="BR366" s="1758"/>
      <c r="BS366" s="1758"/>
      <c r="BT366" s="1758"/>
      <c r="BU366" s="1758"/>
      <c r="BV366" s="1758"/>
      <c r="BW366" s="1758"/>
      <c r="BX366" s="1758"/>
      <c r="BY366" s="1758"/>
      <c r="BZ366" s="1758"/>
      <c r="CA366" s="1758"/>
      <c r="CB366" s="1758"/>
      <c r="CC366" s="1758"/>
      <c r="CD366" s="1758"/>
      <c r="CE366" s="1758"/>
      <c r="CF366" s="1758"/>
      <c r="CG366" s="1758"/>
      <c r="CH366" s="1758"/>
      <c r="CI366" s="1758"/>
      <c r="CJ366" s="1758"/>
      <c r="CK366" s="1758"/>
      <c r="CL366" s="1758"/>
      <c r="CM366" s="1758"/>
      <c r="CN366" s="1758"/>
      <c r="CO366" s="1758"/>
      <c r="CP366" s="1758"/>
      <c r="CQ366" s="1758"/>
      <c r="CR366" s="1758"/>
      <c r="CS366" s="1758"/>
      <c r="CT366" s="1758"/>
      <c r="CU366" s="1758"/>
      <c r="CV366" s="1758"/>
      <c r="CW366" s="1758"/>
      <c r="CX366" s="1758"/>
      <c r="CY366" s="1758"/>
      <c r="CZ366" s="1758"/>
      <c r="DA366" s="1758"/>
      <c r="DB366" s="1758"/>
      <c r="DC366" s="1758"/>
    </row>
    <row r="367" spans="1:107" s="1395" customFormat="1" ht="26.25" customHeight="1">
      <c r="A367" s="10827"/>
      <c r="B367" s="10731"/>
      <c r="C367" s="10728"/>
      <c r="D367" s="10728"/>
      <c r="E367" s="10728"/>
      <c r="F367" s="10744"/>
      <c r="G367" s="10728"/>
      <c r="H367" s="10728"/>
      <c r="I367" s="10728"/>
      <c r="J367" s="10728"/>
      <c r="K367" s="10735"/>
      <c r="L367" s="10738"/>
      <c r="M367" s="10738"/>
      <c r="N367" s="10738"/>
      <c r="O367" s="10735"/>
      <c r="P367" s="10735"/>
      <c r="Q367" s="10750"/>
      <c r="R367" s="5171"/>
      <c r="S367" s="5213"/>
      <c r="T367" s="5213"/>
      <c r="U367" s="5247"/>
      <c r="V367" s="5279"/>
      <c r="W367" s="5300"/>
      <c r="X367" s="7473"/>
      <c r="Y367" s="7473"/>
      <c r="Z367" s="7473"/>
      <c r="AA367" s="7474"/>
      <c r="AB367" s="5323"/>
      <c r="AC367" s="1396"/>
      <c r="AD367" s="5300"/>
      <c r="AE367" s="5346"/>
      <c r="AF367" s="5346"/>
      <c r="AG367" s="10777"/>
      <c r="AH367" s="1758"/>
      <c r="AI367" s="1758"/>
      <c r="AJ367" s="1758"/>
      <c r="AK367" s="1758"/>
      <c r="AL367" s="1758"/>
      <c r="AM367" s="1758"/>
      <c r="AN367" s="1758"/>
      <c r="AO367" s="1758"/>
      <c r="AP367" s="1758"/>
      <c r="AQ367" s="1758"/>
      <c r="AR367" s="1758"/>
      <c r="AS367" s="1758"/>
      <c r="AT367" s="1758"/>
      <c r="AU367" s="1758"/>
      <c r="AV367" s="1758"/>
      <c r="AW367" s="1758"/>
      <c r="AX367" s="1758"/>
      <c r="AY367" s="1758"/>
      <c r="AZ367" s="1758"/>
      <c r="BA367" s="1758"/>
      <c r="BB367" s="1758"/>
      <c r="BC367" s="1758"/>
      <c r="BD367" s="1758"/>
      <c r="BE367" s="1758"/>
      <c r="BF367" s="1758"/>
      <c r="BG367" s="1758"/>
      <c r="BH367" s="1758"/>
      <c r="BI367" s="1758"/>
      <c r="BJ367" s="1758"/>
      <c r="BK367" s="1758"/>
      <c r="BL367" s="1758"/>
      <c r="BM367" s="1758"/>
      <c r="BN367" s="1758"/>
      <c r="BO367" s="1758"/>
      <c r="BP367" s="1758"/>
      <c r="BQ367" s="1758"/>
      <c r="BR367" s="1758"/>
      <c r="BS367" s="1758"/>
      <c r="BT367" s="1758"/>
      <c r="BU367" s="1758"/>
      <c r="BV367" s="1758"/>
      <c r="BW367" s="1758"/>
      <c r="BX367" s="1758"/>
      <c r="BY367" s="1758"/>
      <c r="BZ367" s="1758"/>
      <c r="CA367" s="1758"/>
      <c r="CB367" s="1758"/>
      <c r="CC367" s="1758"/>
      <c r="CD367" s="1758"/>
      <c r="CE367" s="1758"/>
      <c r="CF367" s="1758"/>
      <c r="CG367" s="1758"/>
      <c r="CH367" s="1758"/>
      <c r="CI367" s="1758"/>
      <c r="CJ367" s="1758"/>
      <c r="CK367" s="1758"/>
      <c r="CL367" s="1758"/>
      <c r="CM367" s="1758"/>
      <c r="CN367" s="1758"/>
      <c r="CO367" s="1758"/>
      <c r="CP367" s="1758"/>
      <c r="CQ367" s="1758"/>
      <c r="CR367" s="1758"/>
      <c r="CS367" s="1758"/>
      <c r="CT367" s="1758"/>
      <c r="CU367" s="1758"/>
      <c r="CV367" s="1758"/>
      <c r="CW367" s="1758"/>
      <c r="CX367" s="1758"/>
      <c r="CY367" s="1758"/>
      <c r="CZ367" s="1758"/>
      <c r="DA367" s="1758"/>
      <c r="DB367" s="1758"/>
      <c r="DC367" s="1758"/>
    </row>
    <row r="368" spans="1:107" s="1395" customFormat="1" ht="26.25" customHeight="1">
      <c r="A368" s="10827"/>
      <c r="B368" s="10731"/>
      <c r="C368" s="10728"/>
      <c r="D368" s="10728"/>
      <c r="E368" s="10728"/>
      <c r="F368" s="10744"/>
      <c r="G368" s="10728"/>
      <c r="H368" s="10728"/>
      <c r="I368" s="10728"/>
      <c r="J368" s="10728"/>
      <c r="K368" s="10735"/>
      <c r="L368" s="10738"/>
      <c r="M368" s="10738"/>
      <c r="N368" s="10738"/>
      <c r="O368" s="10735"/>
      <c r="P368" s="10735"/>
      <c r="Q368" s="10750"/>
      <c r="R368" s="5174"/>
      <c r="S368" s="5214"/>
      <c r="T368" s="5214"/>
      <c r="U368" s="5250"/>
      <c r="V368" s="5281"/>
      <c r="W368" s="5302"/>
      <c r="X368" s="7477"/>
      <c r="Y368" s="7473"/>
      <c r="Z368" s="7473"/>
      <c r="AA368" s="7474"/>
      <c r="AB368" s="5323"/>
      <c r="AC368" s="1396"/>
      <c r="AD368" s="5300"/>
      <c r="AE368" s="5346"/>
      <c r="AF368" s="5346"/>
      <c r="AG368" s="10777"/>
      <c r="AH368" s="1758"/>
      <c r="AI368" s="1758"/>
      <c r="AJ368" s="1758"/>
      <c r="AK368" s="1758"/>
      <c r="AL368" s="1758"/>
      <c r="AM368" s="1758"/>
      <c r="AN368" s="1758"/>
      <c r="AO368" s="1758"/>
      <c r="AP368" s="1758"/>
      <c r="AQ368" s="1758"/>
      <c r="AR368" s="1758"/>
      <c r="AS368" s="1758"/>
      <c r="AT368" s="1758"/>
      <c r="AU368" s="1758"/>
      <c r="AV368" s="1758"/>
      <c r="AW368" s="1758"/>
      <c r="AX368" s="1758"/>
      <c r="AY368" s="1758"/>
      <c r="AZ368" s="1758"/>
      <c r="BA368" s="1758"/>
      <c r="BB368" s="1758"/>
      <c r="BC368" s="1758"/>
      <c r="BD368" s="1758"/>
      <c r="BE368" s="1758"/>
      <c r="BF368" s="1758"/>
      <c r="BG368" s="1758"/>
      <c r="BH368" s="1758"/>
      <c r="BI368" s="1758"/>
      <c r="BJ368" s="1758"/>
      <c r="BK368" s="1758"/>
      <c r="BL368" s="1758"/>
      <c r="BM368" s="1758"/>
      <c r="BN368" s="1758"/>
      <c r="BO368" s="1758"/>
      <c r="BP368" s="1758"/>
      <c r="BQ368" s="1758"/>
      <c r="BR368" s="1758"/>
      <c r="BS368" s="1758"/>
      <c r="BT368" s="1758"/>
      <c r="BU368" s="1758"/>
      <c r="BV368" s="1758"/>
      <c r="BW368" s="1758"/>
      <c r="BX368" s="1758"/>
      <c r="BY368" s="1758"/>
      <c r="BZ368" s="1758"/>
      <c r="CA368" s="1758"/>
      <c r="CB368" s="1758"/>
      <c r="CC368" s="1758"/>
      <c r="CD368" s="1758"/>
      <c r="CE368" s="1758"/>
      <c r="CF368" s="1758"/>
      <c r="CG368" s="1758"/>
      <c r="CH368" s="1758"/>
      <c r="CI368" s="1758"/>
      <c r="CJ368" s="1758"/>
      <c r="CK368" s="1758"/>
      <c r="CL368" s="1758"/>
      <c r="CM368" s="1758"/>
      <c r="CN368" s="1758"/>
      <c r="CO368" s="1758"/>
      <c r="CP368" s="1758"/>
      <c r="CQ368" s="1758"/>
      <c r="CR368" s="1758"/>
      <c r="CS368" s="1758"/>
      <c r="CT368" s="1758"/>
      <c r="CU368" s="1758"/>
      <c r="CV368" s="1758"/>
      <c r="CW368" s="1758"/>
      <c r="CX368" s="1758"/>
      <c r="CY368" s="1758"/>
      <c r="CZ368" s="1758"/>
      <c r="DA368" s="1758"/>
      <c r="DB368" s="1758"/>
      <c r="DC368" s="1758"/>
    </row>
    <row r="369" spans="1:107" s="1395" customFormat="1" ht="26.25" customHeight="1">
      <c r="A369" s="10827"/>
      <c r="B369" s="10731"/>
      <c r="C369" s="10728"/>
      <c r="D369" s="10728"/>
      <c r="E369" s="10728"/>
      <c r="F369" s="10744"/>
      <c r="G369" s="10728"/>
      <c r="H369" s="10728"/>
      <c r="I369" s="10728"/>
      <c r="J369" s="10728"/>
      <c r="K369" s="10735"/>
      <c r="L369" s="10738"/>
      <c r="M369" s="10738"/>
      <c r="N369" s="10738"/>
      <c r="O369" s="10735"/>
      <c r="P369" s="10735"/>
      <c r="Q369" s="10750"/>
      <c r="R369" s="5173"/>
      <c r="S369" s="5212"/>
      <c r="T369" s="5212"/>
      <c r="U369" s="5250"/>
      <c r="V369" s="5281"/>
      <c r="W369" s="5302"/>
      <c r="X369" s="7477"/>
      <c r="Y369" s="7473"/>
      <c r="Z369" s="7473"/>
      <c r="AA369" s="7474"/>
      <c r="AB369" s="5323"/>
      <c r="AC369" s="1396"/>
      <c r="AD369" s="5300"/>
      <c r="AE369" s="5346"/>
      <c r="AF369" s="5346"/>
      <c r="AG369" s="10777"/>
      <c r="AH369" s="1758"/>
      <c r="AI369" s="1758"/>
      <c r="AJ369" s="1758"/>
      <c r="AK369" s="1758"/>
      <c r="AL369" s="1758"/>
      <c r="AM369" s="1758"/>
      <c r="AN369" s="1758"/>
      <c r="AO369" s="1758"/>
      <c r="AP369" s="1758"/>
      <c r="AQ369" s="1758"/>
      <c r="AR369" s="1758"/>
      <c r="AS369" s="1758"/>
      <c r="AT369" s="1758"/>
      <c r="AU369" s="1758"/>
      <c r="AV369" s="1758"/>
      <c r="AW369" s="1758"/>
      <c r="AX369" s="1758"/>
      <c r="AY369" s="1758"/>
      <c r="AZ369" s="1758"/>
      <c r="BA369" s="1758"/>
      <c r="BB369" s="1758"/>
      <c r="BC369" s="1758"/>
      <c r="BD369" s="1758"/>
      <c r="BE369" s="1758"/>
      <c r="BF369" s="1758"/>
      <c r="BG369" s="1758"/>
      <c r="BH369" s="1758"/>
      <c r="BI369" s="1758"/>
      <c r="BJ369" s="1758"/>
      <c r="BK369" s="1758"/>
      <c r="BL369" s="1758"/>
      <c r="BM369" s="1758"/>
      <c r="BN369" s="1758"/>
      <c r="BO369" s="1758"/>
      <c r="BP369" s="1758"/>
      <c r="BQ369" s="1758"/>
      <c r="BR369" s="1758"/>
      <c r="BS369" s="1758"/>
      <c r="BT369" s="1758"/>
      <c r="BU369" s="1758"/>
      <c r="BV369" s="1758"/>
      <c r="BW369" s="1758"/>
      <c r="BX369" s="1758"/>
      <c r="BY369" s="1758"/>
      <c r="BZ369" s="1758"/>
      <c r="CA369" s="1758"/>
      <c r="CB369" s="1758"/>
      <c r="CC369" s="1758"/>
      <c r="CD369" s="1758"/>
      <c r="CE369" s="1758"/>
      <c r="CF369" s="1758"/>
      <c r="CG369" s="1758"/>
      <c r="CH369" s="1758"/>
      <c r="CI369" s="1758"/>
      <c r="CJ369" s="1758"/>
      <c r="CK369" s="1758"/>
      <c r="CL369" s="1758"/>
      <c r="CM369" s="1758"/>
      <c r="CN369" s="1758"/>
      <c r="CO369" s="1758"/>
      <c r="CP369" s="1758"/>
      <c r="CQ369" s="1758"/>
      <c r="CR369" s="1758"/>
      <c r="CS369" s="1758"/>
      <c r="CT369" s="1758"/>
      <c r="CU369" s="1758"/>
      <c r="CV369" s="1758"/>
      <c r="CW369" s="1758"/>
      <c r="CX369" s="1758"/>
      <c r="CY369" s="1758"/>
      <c r="CZ369" s="1758"/>
      <c r="DA369" s="1758"/>
      <c r="DB369" s="1758"/>
      <c r="DC369" s="1758"/>
    </row>
    <row r="370" spans="1:107" s="1395" customFormat="1" ht="26.25" customHeight="1">
      <c r="A370" s="10827"/>
      <c r="B370" s="10732"/>
      <c r="C370" s="10729"/>
      <c r="D370" s="10729"/>
      <c r="E370" s="10729"/>
      <c r="F370" s="10745"/>
      <c r="G370" s="10729"/>
      <c r="H370" s="10729"/>
      <c r="I370" s="10729"/>
      <c r="J370" s="10729"/>
      <c r="K370" s="10736"/>
      <c r="L370" s="10739"/>
      <c r="M370" s="10739"/>
      <c r="N370" s="10739"/>
      <c r="O370" s="10736"/>
      <c r="P370" s="10736"/>
      <c r="Q370" s="10751"/>
      <c r="R370" s="5175"/>
      <c r="S370" s="5215"/>
      <c r="T370" s="5215"/>
      <c r="U370" s="5251"/>
      <c r="V370" s="5282"/>
      <c r="W370" s="5303"/>
      <c r="X370" s="7479"/>
      <c r="Y370" s="7479"/>
      <c r="Z370" s="7479"/>
      <c r="AA370" s="7480"/>
      <c r="AB370" s="5326"/>
      <c r="AC370" s="1399"/>
      <c r="AD370" s="5303"/>
      <c r="AE370" s="5348"/>
      <c r="AF370" s="5348"/>
      <c r="AG370" s="10778"/>
      <c r="AH370" s="1758"/>
      <c r="AI370" s="1758"/>
      <c r="AJ370" s="1758"/>
      <c r="AK370" s="1758"/>
      <c r="AL370" s="1758"/>
      <c r="AM370" s="1758"/>
      <c r="AN370" s="1758"/>
      <c r="AO370" s="1758"/>
      <c r="AP370" s="1758"/>
      <c r="AQ370" s="1758"/>
      <c r="AR370" s="1758"/>
      <c r="AS370" s="1758"/>
      <c r="AT370" s="1758"/>
      <c r="AU370" s="1758"/>
      <c r="AV370" s="1758"/>
      <c r="AW370" s="1758"/>
      <c r="AX370" s="1758"/>
      <c r="AY370" s="1758"/>
      <c r="AZ370" s="1758"/>
      <c r="BA370" s="1758"/>
      <c r="BB370" s="1758"/>
      <c r="BC370" s="1758"/>
      <c r="BD370" s="1758"/>
      <c r="BE370" s="1758"/>
      <c r="BF370" s="1758"/>
      <c r="BG370" s="1758"/>
      <c r="BH370" s="1758"/>
      <c r="BI370" s="1758"/>
      <c r="BJ370" s="1758"/>
      <c r="BK370" s="1758"/>
      <c r="BL370" s="1758"/>
      <c r="BM370" s="1758"/>
      <c r="BN370" s="1758"/>
      <c r="BO370" s="1758"/>
      <c r="BP370" s="1758"/>
      <c r="BQ370" s="1758"/>
      <c r="BR370" s="1758"/>
      <c r="BS370" s="1758"/>
      <c r="BT370" s="1758"/>
      <c r="BU370" s="1758"/>
      <c r="BV370" s="1758"/>
      <c r="BW370" s="1758"/>
      <c r="BX370" s="1758"/>
      <c r="BY370" s="1758"/>
      <c r="BZ370" s="1758"/>
      <c r="CA370" s="1758"/>
      <c r="CB370" s="1758"/>
      <c r="CC370" s="1758"/>
      <c r="CD370" s="1758"/>
      <c r="CE370" s="1758"/>
      <c r="CF370" s="1758"/>
      <c r="CG370" s="1758"/>
      <c r="CH370" s="1758"/>
      <c r="CI370" s="1758"/>
      <c r="CJ370" s="1758"/>
      <c r="CK370" s="1758"/>
      <c r="CL370" s="1758"/>
      <c r="CM370" s="1758"/>
      <c r="CN370" s="1758"/>
      <c r="CO370" s="1758"/>
      <c r="CP370" s="1758"/>
      <c r="CQ370" s="1758"/>
      <c r="CR370" s="1758"/>
      <c r="CS370" s="1758"/>
      <c r="CT370" s="1758"/>
      <c r="CU370" s="1758"/>
      <c r="CV370" s="1758"/>
      <c r="CW370" s="1758"/>
      <c r="CX370" s="1758"/>
      <c r="CY370" s="1758"/>
      <c r="CZ370" s="1758"/>
      <c r="DA370" s="1758"/>
      <c r="DB370" s="1758"/>
      <c r="DC370" s="1758"/>
    </row>
    <row r="371" spans="1:107" s="1395" customFormat="1" ht="20.25" customHeight="1">
      <c r="A371" s="10827"/>
      <c r="B371" s="10731" t="s">
        <v>183</v>
      </c>
      <c r="C371" s="10728" t="s">
        <v>227</v>
      </c>
      <c r="D371" s="10728" t="s">
        <v>129</v>
      </c>
      <c r="E371" s="10728" t="s">
        <v>205</v>
      </c>
      <c r="F371" s="10744" t="s">
        <v>131</v>
      </c>
      <c r="G371" s="10728" t="s">
        <v>132</v>
      </c>
      <c r="H371" s="10728" t="s">
        <v>189</v>
      </c>
      <c r="I371" s="10728" t="s">
        <v>5028</v>
      </c>
      <c r="J371" s="10742" t="s">
        <v>5077</v>
      </c>
      <c r="K371" s="10735" t="s">
        <v>5030</v>
      </c>
      <c r="L371" s="10738">
        <v>0</v>
      </c>
      <c r="M371" s="10738">
        <v>3</v>
      </c>
      <c r="N371" s="10738">
        <v>3</v>
      </c>
      <c r="O371" s="10735" t="s">
        <v>5031</v>
      </c>
      <c r="P371" s="10735" t="s">
        <v>5010</v>
      </c>
      <c r="Q371" s="10750" t="s">
        <v>5069</v>
      </c>
      <c r="R371" s="5173"/>
      <c r="S371" s="5212"/>
      <c r="T371" s="5212"/>
      <c r="U371" s="5249"/>
      <c r="V371" s="5281"/>
      <c r="W371" s="5302"/>
      <c r="X371" s="7477"/>
      <c r="Y371" s="7477"/>
      <c r="Z371" s="7477"/>
      <c r="AA371" s="7478"/>
      <c r="AB371" s="5325"/>
      <c r="AC371" s="1398"/>
      <c r="AD371" s="5302"/>
      <c r="AE371" s="5349"/>
      <c r="AF371" s="5349"/>
      <c r="AG371" s="10777"/>
      <c r="AH371" s="1758"/>
      <c r="AI371" s="1758"/>
      <c r="AJ371" s="1758"/>
      <c r="AK371" s="1758"/>
      <c r="AL371" s="1758"/>
      <c r="AM371" s="1758"/>
      <c r="AN371" s="1758"/>
      <c r="AO371" s="1758"/>
      <c r="AP371" s="1758"/>
      <c r="AQ371" s="1758"/>
      <c r="AR371" s="1758"/>
      <c r="AS371" s="1758"/>
      <c r="AT371" s="1758"/>
      <c r="AU371" s="1758"/>
      <c r="AV371" s="1758"/>
      <c r="AW371" s="1758"/>
      <c r="AX371" s="1758"/>
      <c r="AY371" s="1758"/>
      <c r="AZ371" s="1758"/>
      <c r="BA371" s="1758"/>
      <c r="BB371" s="1758"/>
      <c r="BC371" s="1758"/>
      <c r="BD371" s="1758"/>
      <c r="BE371" s="1758"/>
      <c r="BF371" s="1758"/>
      <c r="BG371" s="1758"/>
      <c r="BH371" s="1758"/>
      <c r="BI371" s="1758"/>
      <c r="BJ371" s="1758"/>
      <c r="BK371" s="1758"/>
      <c r="BL371" s="1758"/>
      <c r="BM371" s="1758"/>
      <c r="BN371" s="1758"/>
      <c r="BO371" s="1758"/>
      <c r="BP371" s="1758"/>
      <c r="BQ371" s="1758"/>
      <c r="BR371" s="1758"/>
      <c r="BS371" s="1758"/>
      <c r="BT371" s="1758"/>
      <c r="BU371" s="1758"/>
      <c r="BV371" s="1758"/>
      <c r="BW371" s="1758"/>
      <c r="BX371" s="1758"/>
      <c r="BY371" s="1758"/>
      <c r="BZ371" s="1758"/>
      <c r="CA371" s="1758"/>
      <c r="CB371" s="1758"/>
      <c r="CC371" s="1758"/>
      <c r="CD371" s="1758"/>
      <c r="CE371" s="1758"/>
      <c r="CF371" s="1758"/>
      <c r="CG371" s="1758"/>
      <c r="CH371" s="1758"/>
      <c r="CI371" s="1758"/>
      <c r="CJ371" s="1758"/>
      <c r="CK371" s="1758"/>
      <c r="CL371" s="1758"/>
      <c r="CM371" s="1758"/>
      <c r="CN371" s="1758"/>
      <c r="CO371" s="1758"/>
      <c r="CP371" s="1758"/>
      <c r="CQ371" s="1758"/>
      <c r="CR371" s="1758"/>
      <c r="CS371" s="1758"/>
      <c r="CT371" s="1758"/>
      <c r="CU371" s="1758"/>
      <c r="CV371" s="1758"/>
      <c r="CW371" s="1758"/>
      <c r="CX371" s="1758"/>
      <c r="CY371" s="1758"/>
      <c r="CZ371" s="1758"/>
      <c r="DA371" s="1758"/>
      <c r="DB371" s="1758"/>
      <c r="DC371" s="1758"/>
    </row>
    <row r="372" spans="1:107" s="1395" customFormat="1" ht="20.25" customHeight="1">
      <c r="A372" s="10827"/>
      <c r="B372" s="10731"/>
      <c r="C372" s="10728"/>
      <c r="D372" s="10728"/>
      <c r="E372" s="10728"/>
      <c r="F372" s="10744"/>
      <c r="G372" s="10728"/>
      <c r="H372" s="10728"/>
      <c r="I372" s="10728"/>
      <c r="J372" s="10728"/>
      <c r="K372" s="10735"/>
      <c r="L372" s="10738"/>
      <c r="M372" s="10738"/>
      <c r="N372" s="10738"/>
      <c r="O372" s="10735"/>
      <c r="P372" s="10735"/>
      <c r="Q372" s="10750"/>
      <c r="R372" s="5171"/>
      <c r="S372" s="5213"/>
      <c r="T372" s="5213"/>
      <c r="U372" s="5247"/>
      <c r="V372" s="5279"/>
      <c r="W372" s="5300"/>
      <c r="X372" s="7473"/>
      <c r="Y372" s="7473"/>
      <c r="Z372" s="7473"/>
      <c r="AA372" s="7474"/>
      <c r="AB372" s="5323"/>
      <c r="AC372" s="1396"/>
      <c r="AD372" s="5300"/>
      <c r="AE372" s="5346"/>
      <c r="AF372" s="5346"/>
      <c r="AG372" s="10777"/>
      <c r="AH372" s="1758"/>
      <c r="AI372" s="1758"/>
      <c r="AJ372" s="1758"/>
      <c r="AK372" s="1758"/>
      <c r="AL372" s="1758"/>
      <c r="AM372" s="1758"/>
      <c r="AN372" s="1758"/>
      <c r="AO372" s="1758"/>
      <c r="AP372" s="1758"/>
      <c r="AQ372" s="1758"/>
      <c r="AR372" s="1758"/>
      <c r="AS372" s="1758"/>
      <c r="AT372" s="1758"/>
      <c r="AU372" s="1758"/>
      <c r="AV372" s="1758"/>
      <c r="AW372" s="1758"/>
      <c r="AX372" s="1758"/>
      <c r="AY372" s="1758"/>
      <c r="AZ372" s="1758"/>
      <c r="BA372" s="1758"/>
      <c r="BB372" s="1758"/>
      <c r="BC372" s="1758"/>
      <c r="BD372" s="1758"/>
      <c r="BE372" s="1758"/>
      <c r="BF372" s="1758"/>
      <c r="BG372" s="1758"/>
      <c r="BH372" s="1758"/>
      <c r="BI372" s="1758"/>
      <c r="BJ372" s="1758"/>
      <c r="BK372" s="1758"/>
      <c r="BL372" s="1758"/>
      <c r="BM372" s="1758"/>
      <c r="BN372" s="1758"/>
      <c r="BO372" s="1758"/>
      <c r="BP372" s="1758"/>
      <c r="BQ372" s="1758"/>
      <c r="BR372" s="1758"/>
      <c r="BS372" s="1758"/>
      <c r="BT372" s="1758"/>
      <c r="BU372" s="1758"/>
      <c r="BV372" s="1758"/>
      <c r="BW372" s="1758"/>
      <c r="BX372" s="1758"/>
      <c r="BY372" s="1758"/>
      <c r="BZ372" s="1758"/>
      <c r="CA372" s="1758"/>
      <c r="CB372" s="1758"/>
      <c r="CC372" s="1758"/>
      <c r="CD372" s="1758"/>
      <c r="CE372" s="1758"/>
      <c r="CF372" s="1758"/>
      <c r="CG372" s="1758"/>
      <c r="CH372" s="1758"/>
      <c r="CI372" s="1758"/>
      <c r="CJ372" s="1758"/>
      <c r="CK372" s="1758"/>
      <c r="CL372" s="1758"/>
      <c r="CM372" s="1758"/>
      <c r="CN372" s="1758"/>
      <c r="CO372" s="1758"/>
      <c r="CP372" s="1758"/>
      <c r="CQ372" s="1758"/>
      <c r="CR372" s="1758"/>
      <c r="CS372" s="1758"/>
      <c r="CT372" s="1758"/>
      <c r="CU372" s="1758"/>
      <c r="CV372" s="1758"/>
      <c r="CW372" s="1758"/>
      <c r="CX372" s="1758"/>
      <c r="CY372" s="1758"/>
      <c r="CZ372" s="1758"/>
      <c r="DA372" s="1758"/>
      <c r="DB372" s="1758"/>
      <c r="DC372" s="1758"/>
    </row>
    <row r="373" spans="1:107" s="1395" customFormat="1" ht="20.25" customHeight="1">
      <c r="A373" s="10827"/>
      <c r="B373" s="10731"/>
      <c r="C373" s="10728"/>
      <c r="D373" s="10728"/>
      <c r="E373" s="10728"/>
      <c r="F373" s="10744"/>
      <c r="G373" s="10728"/>
      <c r="H373" s="10728"/>
      <c r="I373" s="10728"/>
      <c r="J373" s="10728"/>
      <c r="K373" s="10735"/>
      <c r="L373" s="10738"/>
      <c r="M373" s="10738"/>
      <c r="N373" s="10738"/>
      <c r="O373" s="10735"/>
      <c r="P373" s="10735"/>
      <c r="Q373" s="10750"/>
      <c r="R373" s="5174"/>
      <c r="S373" s="5214"/>
      <c r="T373" s="5214"/>
      <c r="U373" s="5250"/>
      <c r="V373" s="5281"/>
      <c r="W373" s="5302"/>
      <c r="X373" s="7477"/>
      <c r="Y373" s="7473"/>
      <c r="Z373" s="7473"/>
      <c r="AA373" s="7474"/>
      <c r="AB373" s="5323"/>
      <c r="AC373" s="1396"/>
      <c r="AD373" s="5300"/>
      <c r="AE373" s="5346"/>
      <c r="AF373" s="5346"/>
      <c r="AG373" s="10777"/>
      <c r="AH373" s="1758"/>
      <c r="AI373" s="1758"/>
      <c r="AJ373" s="1758"/>
      <c r="AK373" s="1758"/>
      <c r="AL373" s="1758"/>
      <c r="AM373" s="1758"/>
      <c r="AN373" s="1758"/>
      <c r="AO373" s="1758"/>
      <c r="AP373" s="1758"/>
      <c r="AQ373" s="1758"/>
      <c r="AR373" s="1758"/>
      <c r="AS373" s="1758"/>
      <c r="AT373" s="1758"/>
      <c r="AU373" s="1758"/>
      <c r="AV373" s="1758"/>
      <c r="AW373" s="1758"/>
      <c r="AX373" s="1758"/>
      <c r="AY373" s="1758"/>
      <c r="AZ373" s="1758"/>
      <c r="BA373" s="1758"/>
      <c r="BB373" s="1758"/>
      <c r="BC373" s="1758"/>
      <c r="BD373" s="1758"/>
      <c r="BE373" s="1758"/>
      <c r="BF373" s="1758"/>
      <c r="BG373" s="1758"/>
      <c r="BH373" s="1758"/>
      <c r="BI373" s="1758"/>
      <c r="BJ373" s="1758"/>
      <c r="BK373" s="1758"/>
      <c r="BL373" s="1758"/>
      <c r="BM373" s="1758"/>
      <c r="BN373" s="1758"/>
      <c r="BO373" s="1758"/>
      <c r="BP373" s="1758"/>
      <c r="BQ373" s="1758"/>
      <c r="BR373" s="1758"/>
      <c r="BS373" s="1758"/>
      <c r="BT373" s="1758"/>
      <c r="BU373" s="1758"/>
      <c r="BV373" s="1758"/>
      <c r="BW373" s="1758"/>
      <c r="BX373" s="1758"/>
      <c r="BY373" s="1758"/>
      <c r="BZ373" s="1758"/>
      <c r="CA373" s="1758"/>
      <c r="CB373" s="1758"/>
      <c r="CC373" s="1758"/>
      <c r="CD373" s="1758"/>
      <c r="CE373" s="1758"/>
      <c r="CF373" s="1758"/>
      <c r="CG373" s="1758"/>
      <c r="CH373" s="1758"/>
      <c r="CI373" s="1758"/>
      <c r="CJ373" s="1758"/>
      <c r="CK373" s="1758"/>
      <c r="CL373" s="1758"/>
      <c r="CM373" s="1758"/>
      <c r="CN373" s="1758"/>
      <c r="CO373" s="1758"/>
      <c r="CP373" s="1758"/>
      <c r="CQ373" s="1758"/>
      <c r="CR373" s="1758"/>
      <c r="CS373" s="1758"/>
      <c r="CT373" s="1758"/>
      <c r="CU373" s="1758"/>
      <c r="CV373" s="1758"/>
      <c r="CW373" s="1758"/>
      <c r="CX373" s="1758"/>
      <c r="CY373" s="1758"/>
      <c r="CZ373" s="1758"/>
      <c r="DA373" s="1758"/>
      <c r="DB373" s="1758"/>
      <c r="DC373" s="1758"/>
    </row>
    <row r="374" spans="1:107" s="1395" customFormat="1" ht="20.25" customHeight="1">
      <c r="A374" s="10827"/>
      <c r="B374" s="10731"/>
      <c r="C374" s="10728"/>
      <c r="D374" s="10728"/>
      <c r="E374" s="10728"/>
      <c r="F374" s="10744"/>
      <c r="G374" s="10728"/>
      <c r="H374" s="10728"/>
      <c r="I374" s="10728"/>
      <c r="J374" s="10728"/>
      <c r="K374" s="10735"/>
      <c r="L374" s="10738"/>
      <c r="M374" s="10738"/>
      <c r="N374" s="10738"/>
      <c r="O374" s="10735"/>
      <c r="P374" s="10735"/>
      <c r="Q374" s="10750"/>
      <c r="R374" s="5173"/>
      <c r="S374" s="5212"/>
      <c r="T374" s="5212"/>
      <c r="U374" s="5250"/>
      <c r="V374" s="5281"/>
      <c r="W374" s="5302"/>
      <c r="X374" s="7477"/>
      <c r="Y374" s="7473"/>
      <c r="Z374" s="7473"/>
      <c r="AA374" s="7474"/>
      <c r="AB374" s="5323"/>
      <c r="AC374" s="1396"/>
      <c r="AD374" s="5300"/>
      <c r="AE374" s="5346"/>
      <c r="AF374" s="5346"/>
      <c r="AG374" s="10777"/>
      <c r="AH374" s="1758"/>
      <c r="AI374" s="1758"/>
      <c r="AJ374" s="1758"/>
      <c r="AK374" s="1758"/>
      <c r="AL374" s="1758"/>
      <c r="AM374" s="1758"/>
      <c r="AN374" s="1758"/>
      <c r="AO374" s="1758"/>
      <c r="AP374" s="1758"/>
      <c r="AQ374" s="1758"/>
      <c r="AR374" s="1758"/>
      <c r="AS374" s="1758"/>
      <c r="AT374" s="1758"/>
      <c r="AU374" s="1758"/>
      <c r="AV374" s="1758"/>
      <c r="AW374" s="1758"/>
      <c r="AX374" s="1758"/>
      <c r="AY374" s="1758"/>
      <c r="AZ374" s="1758"/>
      <c r="BA374" s="1758"/>
      <c r="BB374" s="1758"/>
      <c r="BC374" s="1758"/>
      <c r="BD374" s="1758"/>
      <c r="BE374" s="1758"/>
      <c r="BF374" s="1758"/>
      <c r="BG374" s="1758"/>
      <c r="BH374" s="1758"/>
      <c r="BI374" s="1758"/>
      <c r="BJ374" s="1758"/>
      <c r="BK374" s="1758"/>
      <c r="BL374" s="1758"/>
      <c r="BM374" s="1758"/>
      <c r="BN374" s="1758"/>
      <c r="BO374" s="1758"/>
      <c r="BP374" s="1758"/>
      <c r="BQ374" s="1758"/>
      <c r="BR374" s="1758"/>
      <c r="BS374" s="1758"/>
      <c r="BT374" s="1758"/>
      <c r="BU374" s="1758"/>
      <c r="BV374" s="1758"/>
      <c r="BW374" s="1758"/>
      <c r="BX374" s="1758"/>
      <c r="BY374" s="1758"/>
      <c r="BZ374" s="1758"/>
      <c r="CA374" s="1758"/>
      <c r="CB374" s="1758"/>
      <c r="CC374" s="1758"/>
      <c r="CD374" s="1758"/>
      <c r="CE374" s="1758"/>
      <c r="CF374" s="1758"/>
      <c r="CG374" s="1758"/>
      <c r="CH374" s="1758"/>
      <c r="CI374" s="1758"/>
      <c r="CJ374" s="1758"/>
      <c r="CK374" s="1758"/>
      <c r="CL374" s="1758"/>
      <c r="CM374" s="1758"/>
      <c r="CN374" s="1758"/>
      <c r="CO374" s="1758"/>
      <c r="CP374" s="1758"/>
      <c r="CQ374" s="1758"/>
      <c r="CR374" s="1758"/>
      <c r="CS374" s="1758"/>
      <c r="CT374" s="1758"/>
      <c r="CU374" s="1758"/>
      <c r="CV374" s="1758"/>
      <c r="CW374" s="1758"/>
      <c r="CX374" s="1758"/>
      <c r="CY374" s="1758"/>
      <c r="CZ374" s="1758"/>
      <c r="DA374" s="1758"/>
      <c r="DB374" s="1758"/>
      <c r="DC374" s="1758"/>
    </row>
    <row r="375" spans="1:107" s="1395" customFormat="1" ht="20.25" customHeight="1">
      <c r="A375" s="10827"/>
      <c r="B375" s="10732"/>
      <c r="C375" s="10729"/>
      <c r="D375" s="10729"/>
      <c r="E375" s="10729"/>
      <c r="F375" s="10745"/>
      <c r="G375" s="10729"/>
      <c r="H375" s="10729"/>
      <c r="I375" s="10729"/>
      <c r="J375" s="10729"/>
      <c r="K375" s="10736"/>
      <c r="L375" s="10739"/>
      <c r="M375" s="10739"/>
      <c r="N375" s="10739"/>
      <c r="O375" s="10736"/>
      <c r="P375" s="10736"/>
      <c r="Q375" s="10751"/>
      <c r="R375" s="5175"/>
      <c r="S375" s="5215"/>
      <c r="T375" s="5215"/>
      <c r="U375" s="5251"/>
      <c r="V375" s="5282"/>
      <c r="W375" s="5303"/>
      <c r="X375" s="7479"/>
      <c r="Y375" s="7479"/>
      <c r="Z375" s="7479"/>
      <c r="AA375" s="7480"/>
      <c r="AB375" s="5326"/>
      <c r="AC375" s="1399"/>
      <c r="AD375" s="5303"/>
      <c r="AE375" s="5348"/>
      <c r="AF375" s="5348"/>
      <c r="AG375" s="10778"/>
      <c r="AH375" s="1758"/>
      <c r="AI375" s="1758"/>
      <c r="AJ375" s="1758"/>
      <c r="AK375" s="1758"/>
      <c r="AL375" s="1758"/>
      <c r="AM375" s="1758"/>
      <c r="AN375" s="1758"/>
      <c r="AO375" s="1758"/>
      <c r="AP375" s="1758"/>
      <c r="AQ375" s="1758"/>
      <c r="AR375" s="1758"/>
      <c r="AS375" s="1758"/>
      <c r="AT375" s="1758"/>
      <c r="AU375" s="1758"/>
      <c r="AV375" s="1758"/>
      <c r="AW375" s="1758"/>
      <c r="AX375" s="1758"/>
      <c r="AY375" s="1758"/>
      <c r="AZ375" s="1758"/>
      <c r="BA375" s="1758"/>
      <c r="BB375" s="1758"/>
      <c r="BC375" s="1758"/>
      <c r="BD375" s="1758"/>
      <c r="BE375" s="1758"/>
      <c r="BF375" s="1758"/>
      <c r="BG375" s="1758"/>
      <c r="BH375" s="1758"/>
      <c r="BI375" s="1758"/>
      <c r="BJ375" s="1758"/>
      <c r="BK375" s="1758"/>
      <c r="BL375" s="1758"/>
      <c r="BM375" s="1758"/>
      <c r="BN375" s="1758"/>
      <c r="BO375" s="1758"/>
      <c r="BP375" s="1758"/>
      <c r="BQ375" s="1758"/>
      <c r="BR375" s="1758"/>
      <c r="BS375" s="1758"/>
      <c r="BT375" s="1758"/>
      <c r="BU375" s="1758"/>
      <c r="BV375" s="1758"/>
      <c r="BW375" s="1758"/>
      <c r="BX375" s="1758"/>
      <c r="BY375" s="1758"/>
      <c r="BZ375" s="1758"/>
      <c r="CA375" s="1758"/>
      <c r="CB375" s="1758"/>
      <c r="CC375" s="1758"/>
      <c r="CD375" s="1758"/>
      <c r="CE375" s="1758"/>
      <c r="CF375" s="1758"/>
      <c r="CG375" s="1758"/>
      <c r="CH375" s="1758"/>
      <c r="CI375" s="1758"/>
      <c r="CJ375" s="1758"/>
      <c r="CK375" s="1758"/>
      <c r="CL375" s="1758"/>
      <c r="CM375" s="1758"/>
      <c r="CN375" s="1758"/>
      <c r="CO375" s="1758"/>
      <c r="CP375" s="1758"/>
      <c r="CQ375" s="1758"/>
      <c r="CR375" s="1758"/>
      <c r="CS375" s="1758"/>
      <c r="CT375" s="1758"/>
      <c r="CU375" s="1758"/>
      <c r="CV375" s="1758"/>
      <c r="CW375" s="1758"/>
      <c r="CX375" s="1758"/>
      <c r="CY375" s="1758"/>
      <c r="CZ375" s="1758"/>
      <c r="DA375" s="1758"/>
      <c r="DB375" s="1758"/>
      <c r="DC375" s="1758"/>
    </row>
    <row r="376" spans="1:107" s="1395" customFormat="1" ht="21" customHeight="1">
      <c r="A376" s="10827"/>
      <c r="B376" s="10731" t="s">
        <v>183</v>
      </c>
      <c r="C376" s="10728" t="s">
        <v>227</v>
      </c>
      <c r="D376" s="10728" t="s">
        <v>228</v>
      </c>
      <c r="E376" s="10728" t="s">
        <v>255</v>
      </c>
      <c r="F376" s="10744" t="s">
        <v>230</v>
      </c>
      <c r="G376" s="10728" t="s">
        <v>132</v>
      </c>
      <c r="H376" s="10728" t="s">
        <v>189</v>
      </c>
      <c r="I376" s="10728" t="s">
        <v>5032</v>
      </c>
      <c r="J376" s="10742" t="s">
        <v>4647</v>
      </c>
      <c r="K376" s="10735" t="s">
        <v>5033</v>
      </c>
      <c r="L376" s="10738">
        <v>0</v>
      </c>
      <c r="M376" s="10738">
        <v>1</v>
      </c>
      <c r="N376" s="10738">
        <v>1</v>
      </c>
      <c r="O376" s="10735" t="s">
        <v>5034</v>
      </c>
      <c r="P376" s="10735" t="s">
        <v>5035</v>
      </c>
      <c r="Q376" s="10750" t="s">
        <v>5069</v>
      </c>
      <c r="R376" s="5173"/>
      <c r="S376" s="5212"/>
      <c r="T376" s="5212"/>
      <c r="U376" s="5249"/>
      <c r="V376" s="5281"/>
      <c r="W376" s="5302"/>
      <c r="X376" s="7477"/>
      <c r="Y376" s="7477"/>
      <c r="Z376" s="7477"/>
      <c r="AA376" s="7478"/>
      <c r="AB376" s="5325"/>
      <c r="AC376" s="1398"/>
      <c r="AD376" s="5302"/>
      <c r="AE376" s="5349"/>
      <c r="AF376" s="5349"/>
      <c r="AG376" s="10777"/>
      <c r="AH376" s="1758"/>
      <c r="AI376" s="1758"/>
      <c r="AJ376" s="1758"/>
      <c r="AK376" s="1758"/>
      <c r="AL376" s="1758"/>
      <c r="AM376" s="1758"/>
      <c r="AN376" s="1758"/>
      <c r="AO376" s="1758"/>
      <c r="AP376" s="1758"/>
      <c r="AQ376" s="1758"/>
      <c r="AR376" s="1758"/>
      <c r="AS376" s="1758"/>
      <c r="AT376" s="1758"/>
      <c r="AU376" s="1758"/>
      <c r="AV376" s="1758"/>
      <c r="AW376" s="1758"/>
      <c r="AX376" s="1758"/>
      <c r="AY376" s="1758"/>
      <c r="AZ376" s="1758"/>
      <c r="BA376" s="1758"/>
      <c r="BB376" s="1758"/>
      <c r="BC376" s="1758"/>
      <c r="BD376" s="1758"/>
      <c r="BE376" s="1758"/>
      <c r="BF376" s="1758"/>
      <c r="BG376" s="1758"/>
      <c r="BH376" s="1758"/>
      <c r="BI376" s="1758"/>
      <c r="BJ376" s="1758"/>
      <c r="BK376" s="1758"/>
      <c r="BL376" s="1758"/>
      <c r="BM376" s="1758"/>
      <c r="BN376" s="1758"/>
      <c r="BO376" s="1758"/>
      <c r="BP376" s="1758"/>
      <c r="BQ376" s="1758"/>
      <c r="BR376" s="1758"/>
      <c r="BS376" s="1758"/>
      <c r="BT376" s="1758"/>
      <c r="BU376" s="1758"/>
      <c r="BV376" s="1758"/>
      <c r="BW376" s="1758"/>
      <c r="BX376" s="1758"/>
      <c r="BY376" s="1758"/>
      <c r="BZ376" s="1758"/>
      <c r="CA376" s="1758"/>
      <c r="CB376" s="1758"/>
      <c r="CC376" s="1758"/>
      <c r="CD376" s="1758"/>
      <c r="CE376" s="1758"/>
      <c r="CF376" s="1758"/>
      <c r="CG376" s="1758"/>
      <c r="CH376" s="1758"/>
      <c r="CI376" s="1758"/>
      <c r="CJ376" s="1758"/>
      <c r="CK376" s="1758"/>
      <c r="CL376" s="1758"/>
      <c r="CM376" s="1758"/>
      <c r="CN376" s="1758"/>
      <c r="CO376" s="1758"/>
      <c r="CP376" s="1758"/>
      <c r="CQ376" s="1758"/>
      <c r="CR376" s="1758"/>
      <c r="CS376" s="1758"/>
      <c r="CT376" s="1758"/>
      <c r="CU376" s="1758"/>
      <c r="CV376" s="1758"/>
      <c r="CW376" s="1758"/>
      <c r="CX376" s="1758"/>
      <c r="CY376" s="1758"/>
      <c r="CZ376" s="1758"/>
      <c r="DA376" s="1758"/>
      <c r="DB376" s="1758"/>
      <c r="DC376" s="1758"/>
    </row>
    <row r="377" spans="1:107" s="1395" customFormat="1" ht="21" customHeight="1">
      <c r="A377" s="10827"/>
      <c r="B377" s="10731"/>
      <c r="C377" s="10728"/>
      <c r="D377" s="10728"/>
      <c r="E377" s="10728"/>
      <c r="F377" s="10744"/>
      <c r="G377" s="10728"/>
      <c r="H377" s="10728"/>
      <c r="I377" s="10728"/>
      <c r="J377" s="10728"/>
      <c r="K377" s="10735"/>
      <c r="L377" s="10738"/>
      <c r="M377" s="10738"/>
      <c r="N377" s="10738"/>
      <c r="O377" s="10735"/>
      <c r="P377" s="10735"/>
      <c r="Q377" s="10750"/>
      <c r="R377" s="5171"/>
      <c r="S377" s="5213"/>
      <c r="T377" s="5213"/>
      <c r="U377" s="5247"/>
      <c r="V377" s="5279"/>
      <c r="W377" s="5300"/>
      <c r="X377" s="7473"/>
      <c r="Y377" s="7473"/>
      <c r="Z377" s="7473"/>
      <c r="AA377" s="7474"/>
      <c r="AB377" s="5323"/>
      <c r="AC377" s="1396"/>
      <c r="AD377" s="5300"/>
      <c r="AE377" s="5346"/>
      <c r="AF377" s="5346"/>
      <c r="AG377" s="10777"/>
      <c r="AH377" s="1758"/>
      <c r="AI377" s="1758"/>
      <c r="AJ377" s="1758"/>
      <c r="AK377" s="1758"/>
      <c r="AL377" s="1758"/>
      <c r="AM377" s="1758"/>
      <c r="AN377" s="1758"/>
      <c r="AO377" s="1758"/>
      <c r="AP377" s="1758"/>
      <c r="AQ377" s="1758"/>
      <c r="AR377" s="1758"/>
      <c r="AS377" s="1758"/>
      <c r="AT377" s="1758"/>
      <c r="AU377" s="1758"/>
      <c r="AV377" s="1758"/>
      <c r="AW377" s="1758"/>
      <c r="AX377" s="1758"/>
      <c r="AY377" s="1758"/>
      <c r="AZ377" s="1758"/>
      <c r="BA377" s="1758"/>
      <c r="BB377" s="1758"/>
      <c r="BC377" s="1758"/>
      <c r="BD377" s="1758"/>
      <c r="BE377" s="1758"/>
      <c r="BF377" s="1758"/>
      <c r="BG377" s="1758"/>
      <c r="BH377" s="1758"/>
      <c r="BI377" s="1758"/>
      <c r="BJ377" s="1758"/>
      <c r="BK377" s="1758"/>
      <c r="BL377" s="1758"/>
      <c r="BM377" s="1758"/>
      <c r="BN377" s="1758"/>
      <c r="BO377" s="1758"/>
      <c r="BP377" s="1758"/>
      <c r="BQ377" s="1758"/>
      <c r="BR377" s="1758"/>
      <c r="BS377" s="1758"/>
      <c r="BT377" s="1758"/>
      <c r="BU377" s="1758"/>
      <c r="BV377" s="1758"/>
      <c r="BW377" s="1758"/>
      <c r="BX377" s="1758"/>
      <c r="BY377" s="1758"/>
      <c r="BZ377" s="1758"/>
      <c r="CA377" s="1758"/>
      <c r="CB377" s="1758"/>
      <c r="CC377" s="1758"/>
      <c r="CD377" s="1758"/>
      <c r="CE377" s="1758"/>
      <c r="CF377" s="1758"/>
      <c r="CG377" s="1758"/>
      <c r="CH377" s="1758"/>
      <c r="CI377" s="1758"/>
      <c r="CJ377" s="1758"/>
      <c r="CK377" s="1758"/>
      <c r="CL377" s="1758"/>
      <c r="CM377" s="1758"/>
      <c r="CN377" s="1758"/>
      <c r="CO377" s="1758"/>
      <c r="CP377" s="1758"/>
      <c r="CQ377" s="1758"/>
      <c r="CR377" s="1758"/>
      <c r="CS377" s="1758"/>
      <c r="CT377" s="1758"/>
      <c r="CU377" s="1758"/>
      <c r="CV377" s="1758"/>
      <c r="CW377" s="1758"/>
      <c r="CX377" s="1758"/>
      <c r="CY377" s="1758"/>
      <c r="CZ377" s="1758"/>
      <c r="DA377" s="1758"/>
      <c r="DB377" s="1758"/>
      <c r="DC377" s="1758"/>
    </row>
    <row r="378" spans="1:107" s="1395" customFormat="1" ht="21" customHeight="1">
      <c r="A378" s="10827"/>
      <c r="B378" s="10731"/>
      <c r="C378" s="10728"/>
      <c r="D378" s="10728"/>
      <c r="E378" s="10728"/>
      <c r="F378" s="10744"/>
      <c r="G378" s="10728"/>
      <c r="H378" s="10728"/>
      <c r="I378" s="10728"/>
      <c r="J378" s="10728"/>
      <c r="K378" s="10735"/>
      <c r="L378" s="10738"/>
      <c r="M378" s="10738"/>
      <c r="N378" s="10738"/>
      <c r="O378" s="10735"/>
      <c r="P378" s="10735"/>
      <c r="Q378" s="10750"/>
      <c r="R378" s="5174"/>
      <c r="S378" s="5214"/>
      <c r="T378" s="5214"/>
      <c r="U378" s="5250"/>
      <c r="V378" s="5281"/>
      <c r="W378" s="5302"/>
      <c r="X378" s="7477"/>
      <c r="Y378" s="7473"/>
      <c r="Z378" s="7473"/>
      <c r="AA378" s="7474"/>
      <c r="AB378" s="5323"/>
      <c r="AC378" s="1396"/>
      <c r="AD378" s="5300"/>
      <c r="AE378" s="5346"/>
      <c r="AF378" s="5346"/>
      <c r="AG378" s="10777"/>
      <c r="AH378" s="1758"/>
      <c r="AI378" s="1758"/>
      <c r="AJ378" s="1758"/>
      <c r="AK378" s="1758"/>
      <c r="AL378" s="1758"/>
      <c r="AM378" s="1758"/>
      <c r="AN378" s="1758"/>
      <c r="AO378" s="1758"/>
      <c r="AP378" s="1758"/>
      <c r="AQ378" s="1758"/>
      <c r="AR378" s="1758"/>
      <c r="AS378" s="1758"/>
      <c r="AT378" s="1758"/>
      <c r="AU378" s="1758"/>
      <c r="AV378" s="1758"/>
      <c r="AW378" s="1758"/>
      <c r="AX378" s="1758"/>
      <c r="AY378" s="1758"/>
      <c r="AZ378" s="1758"/>
      <c r="BA378" s="1758"/>
      <c r="BB378" s="1758"/>
      <c r="BC378" s="1758"/>
      <c r="BD378" s="1758"/>
      <c r="BE378" s="1758"/>
      <c r="BF378" s="1758"/>
      <c r="BG378" s="1758"/>
      <c r="BH378" s="1758"/>
      <c r="BI378" s="1758"/>
      <c r="BJ378" s="1758"/>
      <c r="BK378" s="1758"/>
      <c r="BL378" s="1758"/>
      <c r="BM378" s="1758"/>
      <c r="BN378" s="1758"/>
      <c r="BO378" s="1758"/>
      <c r="BP378" s="1758"/>
      <c r="BQ378" s="1758"/>
      <c r="BR378" s="1758"/>
      <c r="BS378" s="1758"/>
      <c r="BT378" s="1758"/>
      <c r="BU378" s="1758"/>
      <c r="BV378" s="1758"/>
      <c r="BW378" s="1758"/>
      <c r="BX378" s="1758"/>
      <c r="BY378" s="1758"/>
      <c r="BZ378" s="1758"/>
      <c r="CA378" s="1758"/>
      <c r="CB378" s="1758"/>
      <c r="CC378" s="1758"/>
      <c r="CD378" s="1758"/>
      <c r="CE378" s="1758"/>
      <c r="CF378" s="1758"/>
      <c r="CG378" s="1758"/>
      <c r="CH378" s="1758"/>
      <c r="CI378" s="1758"/>
      <c r="CJ378" s="1758"/>
      <c r="CK378" s="1758"/>
      <c r="CL378" s="1758"/>
      <c r="CM378" s="1758"/>
      <c r="CN378" s="1758"/>
      <c r="CO378" s="1758"/>
      <c r="CP378" s="1758"/>
      <c r="CQ378" s="1758"/>
      <c r="CR378" s="1758"/>
      <c r="CS378" s="1758"/>
      <c r="CT378" s="1758"/>
      <c r="CU378" s="1758"/>
      <c r="CV378" s="1758"/>
      <c r="CW378" s="1758"/>
      <c r="CX378" s="1758"/>
      <c r="CY378" s="1758"/>
      <c r="CZ378" s="1758"/>
      <c r="DA378" s="1758"/>
      <c r="DB378" s="1758"/>
      <c r="DC378" s="1758"/>
    </row>
    <row r="379" spans="1:107" s="1395" customFormat="1" ht="21" customHeight="1">
      <c r="A379" s="10827"/>
      <c r="B379" s="10731"/>
      <c r="C379" s="10728"/>
      <c r="D379" s="10728"/>
      <c r="E379" s="10728"/>
      <c r="F379" s="10744"/>
      <c r="G379" s="10728"/>
      <c r="H379" s="10728"/>
      <c r="I379" s="10728"/>
      <c r="J379" s="10728"/>
      <c r="K379" s="10735"/>
      <c r="L379" s="10738"/>
      <c r="M379" s="10738"/>
      <c r="N379" s="10738"/>
      <c r="O379" s="10735"/>
      <c r="P379" s="10735"/>
      <c r="Q379" s="10750"/>
      <c r="R379" s="5173"/>
      <c r="S379" s="5212"/>
      <c r="T379" s="5212"/>
      <c r="U379" s="5250"/>
      <c r="V379" s="5281"/>
      <c r="W379" s="5302"/>
      <c r="X379" s="7477"/>
      <c r="Y379" s="7473"/>
      <c r="Z379" s="7473"/>
      <c r="AA379" s="7474"/>
      <c r="AB379" s="5323"/>
      <c r="AC379" s="1396"/>
      <c r="AD379" s="5300"/>
      <c r="AE379" s="5346"/>
      <c r="AF379" s="5346"/>
      <c r="AG379" s="10777"/>
      <c r="AH379" s="1758"/>
      <c r="AI379" s="1758"/>
      <c r="AJ379" s="1758"/>
      <c r="AK379" s="1758"/>
      <c r="AL379" s="1758"/>
      <c r="AM379" s="1758"/>
      <c r="AN379" s="1758"/>
      <c r="AO379" s="1758"/>
      <c r="AP379" s="1758"/>
      <c r="AQ379" s="1758"/>
      <c r="AR379" s="1758"/>
      <c r="AS379" s="1758"/>
      <c r="AT379" s="1758"/>
      <c r="AU379" s="1758"/>
      <c r="AV379" s="1758"/>
      <c r="AW379" s="1758"/>
      <c r="AX379" s="1758"/>
      <c r="AY379" s="1758"/>
      <c r="AZ379" s="1758"/>
      <c r="BA379" s="1758"/>
      <c r="BB379" s="1758"/>
      <c r="BC379" s="1758"/>
      <c r="BD379" s="1758"/>
      <c r="BE379" s="1758"/>
      <c r="BF379" s="1758"/>
      <c r="BG379" s="1758"/>
      <c r="BH379" s="1758"/>
      <c r="BI379" s="1758"/>
      <c r="BJ379" s="1758"/>
      <c r="BK379" s="1758"/>
      <c r="BL379" s="1758"/>
      <c r="BM379" s="1758"/>
      <c r="BN379" s="1758"/>
      <c r="BO379" s="1758"/>
      <c r="BP379" s="1758"/>
      <c r="BQ379" s="1758"/>
      <c r="BR379" s="1758"/>
      <c r="BS379" s="1758"/>
      <c r="BT379" s="1758"/>
      <c r="BU379" s="1758"/>
      <c r="BV379" s="1758"/>
      <c r="BW379" s="1758"/>
      <c r="BX379" s="1758"/>
      <c r="BY379" s="1758"/>
      <c r="BZ379" s="1758"/>
      <c r="CA379" s="1758"/>
      <c r="CB379" s="1758"/>
      <c r="CC379" s="1758"/>
      <c r="CD379" s="1758"/>
      <c r="CE379" s="1758"/>
      <c r="CF379" s="1758"/>
      <c r="CG379" s="1758"/>
      <c r="CH379" s="1758"/>
      <c r="CI379" s="1758"/>
      <c r="CJ379" s="1758"/>
      <c r="CK379" s="1758"/>
      <c r="CL379" s="1758"/>
      <c r="CM379" s="1758"/>
      <c r="CN379" s="1758"/>
      <c r="CO379" s="1758"/>
      <c r="CP379" s="1758"/>
      <c r="CQ379" s="1758"/>
      <c r="CR379" s="1758"/>
      <c r="CS379" s="1758"/>
      <c r="CT379" s="1758"/>
      <c r="CU379" s="1758"/>
      <c r="CV379" s="1758"/>
      <c r="CW379" s="1758"/>
      <c r="CX379" s="1758"/>
      <c r="CY379" s="1758"/>
      <c r="CZ379" s="1758"/>
      <c r="DA379" s="1758"/>
      <c r="DB379" s="1758"/>
      <c r="DC379" s="1758"/>
    </row>
    <row r="380" spans="1:107" s="1395" customFormat="1" ht="21" customHeight="1">
      <c r="A380" s="10827"/>
      <c r="B380" s="10732"/>
      <c r="C380" s="10729"/>
      <c r="D380" s="10729"/>
      <c r="E380" s="10729"/>
      <c r="F380" s="10745"/>
      <c r="G380" s="10729"/>
      <c r="H380" s="10729"/>
      <c r="I380" s="10729"/>
      <c r="J380" s="10729"/>
      <c r="K380" s="10736"/>
      <c r="L380" s="10739"/>
      <c r="M380" s="10739"/>
      <c r="N380" s="10739"/>
      <c r="O380" s="10736"/>
      <c r="P380" s="10736"/>
      <c r="Q380" s="10751"/>
      <c r="R380" s="5175"/>
      <c r="S380" s="5215"/>
      <c r="T380" s="5215"/>
      <c r="U380" s="5251"/>
      <c r="V380" s="5282"/>
      <c r="W380" s="5303"/>
      <c r="X380" s="7479"/>
      <c r="Y380" s="7479"/>
      <c r="Z380" s="7479"/>
      <c r="AA380" s="7480"/>
      <c r="AB380" s="5326"/>
      <c r="AC380" s="1399"/>
      <c r="AD380" s="5303"/>
      <c r="AE380" s="5348"/>
      <c r="AF380" s="5348"/>
      <c r="AG380" s="10778"/>
      <c r="AH380" s="1758"/>
      <c r="AI380" s="1758"/>
      <c r="AJ380" s="1758"/>
      <c r="AK380" s="1758"/>
      <c r="AL380" s="1758"/>
      <c r="AM380" s="1758"/>
      <c r="AN380" s="1758"/>
      <c r="AO380" s="1758"/>
      <c r="AP380" s="1758"/>
      <c r="AQ380" s="1758"/>
      <c r="AR380" s="1758"/>
      <c r="AS380" s="1758"/>
      <c r="AT380" s="1758"/>
      <c r="AU380" s="1758"/>
      <c r="AV380" s="1758"/>
      <c r="AW380" s="1758"/>
      <c r="AX380" s="1758"/>
      <c r="AY380" s="1758"/>
      <c r="AZ380" s="1758"/>
      <c r="BA380" s="1758"/>
      <c r="BB380" s="1758"/>
      <c r="BC380" s="1758"/>
      <c r="BD380" s="1758"/>
      <c r="BE380" s="1758"/>
      <c r="BF380" s="1758"/>
      <c r="BG380" s="1758"/>
      <c r="BH380" s="1758"/>
      <c r="BI380" s="1758"/>
      <c r="BJ380" s="1758"/>
      <c r="BK380" s="1758"/>
      <c r="BL380" s="1758"/>
      <c r="BM380" s="1758"/>
      <c r="BN380" s="1758"/>
      <c r="BO380" s="1758"/>
      <c r="BP380" s="1758"/>
      <c r="BQ380" s="1758"/>
      <c r="BR380" s="1758"/>
      <c r="BS380" s="1758"/>
      <c r="BT380" s="1758"/>
      <c r="BU380" s="1758"/>
      <c r="BV380" s="1758"/>
      <c r="BW380" s="1758"/>
      <c r="BX380" s="1758"/>
      <c r="BY380" s="1758"/>
      <c r="BZ380" s="1758"/>
      <c r="CA380" s="1758"/>
      <c r="CB380" s="1758"/>
      <c r="CC380" s="1758"/>
      <c r="CD380" s="1758"/>
      <c r="CE380" s="1758"/>
      <c r="CF380" s="1758"/>
      <c r="CG380" s="1758"/>
      <c r="CH380" s="1758"/>
      <c r="CI380" s="1758"/>
      <c r="CJ380" s="1758"/>
      <c r="CK380" s="1758"/>
      <c r="CL380" s="1758"/>
      <c r="CM380" s="1758"/>
      <c r="CN380" s="1758"/>
      <c r="CO380" s="1758"/>
      <c r="CP380" s="1758"/>
      <c r="CQ380" s="1758"/>
      <c r="CR380" s="1758"/>
      <c r="CS380" s="1758"/>
      <c r="CT380" s="1758"/>
      <c r="CU380" s="1758"/>
      <c r="CV380" s="1758"/>
      <c r="CW380" s="1758"/>
      <c r="CX380" s="1758"/>
      <c r="CY380" s="1758"/>
      <c r="CZ380" s="1758"/>
      <c r="DA380" s="1758"/>
      <c r="DB380" s="1758"/>
      <c r="DC380" s="1758"/>
    </row>
    <row r="381" spans="1:107" s="1395" customFormat="1" ht="21.75" customHeight="1">
      <c r="A381" s="10827"/>
      <c r="B381" s="10731" t="s">
        <v>183</v>
      </c>
      <c r="C381" s="10728" t="s">
        <v>227</v>
      </c>
      <c r="D381" s="10728" t="s">
        <v>490</v>
      </c>
      <c r="E381" s="10728" t="s">
        <v>2210</v>
      </c>
      <c r="F381" s="10744" t="s">
        <v>230</v>
      </c>
      <c r="G381" s="10728" t="s">
        <v>132</v>
      </c>
      <c r="H381" s="10728" t="s">
        <v>189</v>
      </c>
      <c r="I381" s="10728" t="s">
        <v>5036</v>
      </c>
      <c r="J381" s="10742" t="s">
        <v>4652</v>
      </c>
      <c r="K381" s="10735" t="s">
        <v>5037</v>
      </c>
      <c r="L381" s="10738">
        <v>0</v>
      </c>
      <c r="M381" s="10738">
        <v>16</v>
      </c>
      <c r="N381" s="10738">
        <v>16</v>
      </c>
      <c r="O381" s="10735" t="s">
        <v>5038</v>
      </c>
      <c r="P381" s="10735" t="s">
        <v>5039</v>
      </c>
      <c r="Q381" s="10750" t="s">
        <v>5078</v>
      </c>
      <c r="R381" s="5173"/>
      <c r="S381" s="5212"/>
      <c r="T381" s="5212"/>
      <c r="U381" s="5249"/>
      <c r="V381" s="5281"/>
      <c r="W381" s="5302"/>
      <c r="X381" s="7477"/>
      <c r="Y381" s="7477"/>
      <c r="Z381" s="7477"/>
      <c r="AA381" s="7478"/>
      <c r="AB381" s="5325"/>
      <c r="AC381" s="1398"/>
      <c r="AD381" s="5302"/>
      <c r="AE381" s="5349"/>
      <c r="AF381" s="5349"/>
      <c r="AG381" s="10777"/>
      <c r="AH381" s="1758"/>
      <c r="AI381" s="1758"/>
      <c r="AJ381" s="1758"/>
      <c r="AK381" s="1758"/>
      <c r="AL381" s="1758"/>
      <c r="AM381" s="1758"/>
      <c r="AN381" s="1758"/>
      <c r="AO381" s="1758"/>
      <c r="AP381" s="1758"/>
      <c r="AQ381" s="1758"/>
      <c r="AR381" s="1758"/>
      <c r="AS381" s="1758"/>
      <c r="AT381" s="1758"/>
      <c r="AU381" s="1758"/>
      <c r="AV381" s="1758"/>
      <c r="AW381" s="1758"/>
      <c r="AX381" s="1758"/>
      <c r="AY381" s="1758"/>
      <c r="AZ381" s="1758"/>
      <c r="BA381" s="1758"/>
      <c r="BB381" s="1758"/>
      <c r="BC381" s="1758"/>
      <c r="BD381" s="1758"/>
      <c r="BE381" s="1758"/>
      <c r="BF381" s="1758"/>
      <c r="BG381" s="1758"/>
      <c r="BH381" s="1758"/>
      <c r="BI381" s="1758"/>
      <c r="BJ381" s="1758"/>
      <c r="BK381" s="1758"/>
      <c r="BL381" s="1758"/>
      <c r="BM381" s="1758"/>
      <c r="BN381" s="1758"/>
      <c r="BO381" s="1758"/>
      <c r="BP381" s="1758"/>
      <c r="BQ381" s="1758"/>
      <c r="BR381" s="1758"/>
      <c r="BS381" s="1758"/>
      <c r="BT381" s="1758"/>
      <c r="BU381" s="1758"/>
      <c r="BV381" s="1758"/>
      <c r="BW381" s="1758"/>
      <c r="BX381" s="1758"/>
      <c r="BY381" s="1758"/>
      <c r="BZ381" s="1758"/>
      <c r="CA381" s="1758"/>
      <c r="CB381" s="1758"/>
      <c r="CC381" s="1758"/>
      <c r="CD381" s="1758"/>
      <c r="CE381" s="1758"/>
      <c r="CF381" s="1758"/>
      <c r="CG381" s="1758"/>
      <c r="CH381" s="1758"/>
      <c r="CI381" s="1758"/>
      <c r="CJ381" s="1758"/>
      <c r="CK381" s="1758"/>
      <c r="CL381" s="1758"/>
      <c r="CM381" s="1758"/>
      <c r="CN381" s="1758"/>
      <c r="CO381" s="1758"/>
      <c r="CP381" s="1758"/>
      <c r="CQ381" s="1758"/>
      <c r="CR381" s="1758"/>
      <c r="CS381" s="1758"/>
      <c r="CT381" s="1758"/>
      <c r="CU381" s="1758"/>
      <c r="CV381" s="1758"/>
      <c r="CW381" s="1758"/>
      <c r="CX381" s="1758"/>
      <c r="CY381" s="1758"/>
      <c r="CZ381" s="1758"/>
      <c r="DA381" s="1758"/>
      <c r="DB381" s="1758"/>
      <c r="DC381" s="1758"/>
    </row>
    <row r="382" spans="1:107" s="1395" customFormat="1" ht="21.75" customHeight="1">
      <c r="A382" s="10827"/>
      <c r="B382" s="10731"/>
      <c r="C382" s="10728"/>
      <c r="D382" s="10728"/>
      <c r="E382" s="10728"/>
      <c r="F382" s="10744"/>
      <c r="G382" s="10728"/>
      <c r="H382" s="10728"/>
      <c r="I382" s="10728"/>
      <c r="J382" s="10728"/>
      <c r="K382" s="10735"/>
      <c r="L382" s="10738"/>
      <c r="M382" s="10738"/>
      <c r="N382" s="10738"/>
      <c r="O382" s="10735"/>
      <c r="P382" s="10735"/>
      <c r="Q382" s="10750"/>
      <c r="R382" s="5171"/>
      <c r="S382" s="5213"/>
      <c r="T382" s="5213"/>
      <c r="U382" s="5247"/>
      <c r="V382" s="5279"/>
      <c r="W382" s="5300"/>
      <c r="X382" s="7473"/>
      <c r="Y382" s="7473"/>
      <c r="Z382" s="7473"/>
      <c r="AA382" s="7474"/>
      <c r="AB382" s="5323"/>
      <c r="AC382" s="1396"/>
      <c r="AD382" s="5300"/>
      <c r="AE382" s="5346"/>
      <c r="AF382" s="5346"/>
      <c r="AG382" s="10777"/>
      <c r="AH382" s="1758"/>
      <c r="AI382" s="1758"/>
      <c r="AJ382" s="1758"/>
      <c r="AK382" s="1758"/>
      <c r="AL382" s="1758"/>
      <c r="AM382" s="1758"/>
      <c r="AN382" s="1758"/>
      <c r="AO382" s="1758"/>
      <c r="AP382" s="1758"/>
      <c r="AQ382" s="1758"/>
      <c r="AR382" s="1758"/>
      <c r="AS382" s="1758"/>
      <c r="AT382" s="1758"/>
      <c r="AU382" s="1758"/>
      <c r="AV382" s="1758"/>
      <c r="AW382" s="1758"/>
      <c r="AX382" s="1758"/>
      <c r="AY382" s="1758"/>
      <c r="AZ382" s="1758"/>
      <c r="BA382" s="1758"/>
      <c r="BB382" s="1758"/>
      <c r="BC382" s="1758"/>
      <c r="BD382" s="1758"/>
      <c r="BE382" s="1758"/>
      <c r="BF382" s="1758"/>
      <c r="BG382" s="1758"/>
      <c r="BH382" s="1758"/>
      <c r="BI382" s="1758"/>
      <c r="BJ382" s="1758"/>
      <c r="BK382" s="1758"/>
      <c r="BL382" s="1758"/>
      <c r="BM382" s="1758"/>
      <c r="BN382" s="1758"/>
      <c r="BO382" s="1758"/>
      <c r="BP382" s="1758"/>
      <c r="BQ382" s="1758"/>
      <c r="BR382" s="1758"/>
      <c r="BS382" s="1758"/>
      <c r="BT382" s="1758"/>
      <c r="BU382" s="1758"/>
      <c r="BV382" s="1758"/>
      <c r="BW382" s="1758"/>
      <c r="BX382" s="1758"/>
      <c r="BY382" s="1758"/>
      <c r="BZ382" s="1758"/>
      <c r="CA382" s="1758"/>
      <c r="CB382" s="1758"/>
      <c r="CC382" s="1758"/>
      <c r="CD382" s="1758"/>
      <c r="CE382" s="1758"/>
      <c r="CF382" s="1758"/>
      <c r="CG382" s="1758"/>
      <c r="CH382" s="1758"/>
      <c r="CI382" s="1758"/>
      <c r="CJ382" s="1758"/>
      <c r="CK382" s="1758"/>
      <c r="CL382" s="1758"/>
      <c r="CM382" s="1758"/>
      <c r="CN382" s="1758"/>
      <c r="CO382" s="1758"/>
      <c r="CP382" s="1758"/>
      <c r="CQ382" s="1758"/>
      <c r="CR382" s="1758"/>
      <c r="CS382" s="1758"/>
      <c r="CT382" s="1758"/>
      <c r="CU382" s="1758"/>
      <c r="CV382" s="1758"/>
      <c r="CW382" s="1758"/>
      <c r="CX382" s="1758"/>
      <c r="CY382" s="1758"/>
      <c r="CZ382" s="1758"/>
      <c r="DA382" s="1758"/>
      <c r="DB382" s="1758"/>
      <c r="DC382" s="1758"/>
    </row>
    <row r="383" spans="1:107" s="1395" customFormat="1" ht="21.75" customHeight="1">
      <c r="A383" s="10827"/>
      <c r="B383" s="10731"/>
      <c r="C383" s="10728"/>
      <c r="D383" s="10728"/>
      <c r="E383" s="10728"/>
      <c r="F383" s="10744"/>
      <c r="G383" s="10728"/>
      <c r="H383" s="10728"/>
      <c r="I383" s="10728"/>
      <c r="J383" s="10728"/>
      <c r="K383" s="10735"/>
      <c r="L383" s="10738"/>
      <c r="M383" s="10738"/>
      <c r="N383" s="10738"/>
      <c r="O383" s="10735"/>
      <c r="P383" s="10735"/>
      <c r="Q383" s="10750"/>
      <c r="R383" s="5174"/>
      <c r="S383" s="5214"/>
      <c r="T383" s="5214"/>
      <c r="U383" s="5250"/>
      <c r="V383" s="5281"/>
      <c r="W383" s="5302"/>
      <c r="X383" s="7477"/>
      <c r="Y383" s="7473"/>
      <c r="Z383" s="7473"/>
      <c r="AA383" s="7474"/>
      <c r="AB383" s="5323"/>
      <c r="AC383" s="1396"/>
      <c r="AD383" s="5300"/>
      <c r="AE383" s="5346"/>
      <c r="AF383" s="5346"/>
      <c r="AG383" s="10777"/>
      <c r="AH383" s="1758"/>
      <c r="AI383" s="1758"/>
      <c r="AJ383" s="1758"/>
      <c r="AK383" s="1758"/>
      <c r="AL383" s="1758"/>
      <c r="AM383" s="1758"/>
      <c r="AN383" s="1758"/>
      <c r="AO383" s="1758"/>
      <c r="AP383" s="1758"/>
      <c r="AQ383" s="1758"/>
      <c r="AR383" s="1758"/>
      <c r="AS383" s="1758"/>
      <c r="AT383" s="1758"/>
      <c r="AU383" s="1758"/>
      <c r="AV383" s="1758"/>
      <c r="AW383" s="1758"/>
      <c r="AX383" s="1758"/>
      <c r="AY383" s="1758"/>
      <c r="AZ383" s="1758"/>
      <c r="BA383" s="1758"/>
      <c r="BB383" s="1758"/>
      <c r="BC383" s="1758"/>
      <c r="BD383" s="1758"/>
      <c r="BE383" s="1758"/>
      <c r="BF383" s="1758"/>
      <c r="BG383" s="1758"/>
      <c r="BH383" s="1758"/>
      <c r="BI383" s="1758"/>
      <c r="BJ383" s="1758"/>
      <c r="BK383" s="1758"/>
      <c r="BL383" s="1758"/>
      <c r="BM383" s="1758"/>
      <c r="BN383" s="1758"/>
      <c r="BO383" s="1758"/>
      <c r="BP383" s="1758"/>
      <c r="BQ383" s="1758"/>
      <c r="BR383" s="1758"/>
      <c r="BS383" s="1758"/>
      <c r="BT383" s="1758"/>
      <c r="BU383" s="1758"/>
      <c r="BV383" s="1758"/>
      <c r="BW383" s="1758"/>
      <c r="BX383" s="1758"/>
      <c r="BY383" s="1758"/>
      <c r="BZ383" s="1758"/>
      <c r="CA383" s="1758"/>
      <c r="CB383" s="1758"/>
      <c r="CC383" s="1758"/>
      <c r="CD383" s="1758"/>
      <c r="CE383" s="1758"/>
      <c r="CF383" s="1758"/>
      <c r="CG383" s="1758"/>
      <c r="CH383" s="1758"/>
      <c r="CI383" s="1758"/>
      <c r="CJ383" s="1758"/>
      <c r="CK383" s="1758"/>
      <c r="CL383" s="1758"/>
      <c r="CM383" s="1758"/>
      <c r="CN383" s="1758"/>
      <c r="CO383" s="1758"/>
      <c r="CP383" s="1758"/>
      <c r="CQ383" s="1758"/>
      <c r="CR383" s="1758"/>
      <c r="CS383" s="1758"/>
      <c r="CT383" s="1758"/>
      <c r="CU383" s="1758"/>
      <c r="CV383" s="1758"/>
      <c r="CW383" s="1758"/>
      <c r="CX383" s="1758"/>
      <c r="CY383" s="1758"/>
      <c r="CZ383" s="1758"/>
      <c r="DA383" s="1758"/>
      <c r="DB383" s="1758"/>
      <c r="DC383" s="1758"/>
    </row>
    <row r="384" spans="1:107" s="1395" customFormat="1" ht="21.75" customHeight="1">
      <c r="A384" s="10827"/>
      <c r="B384" s="10731"/>
      <c r="C384" s="10728"/>
      <c r="D384" s="10728"/>
      <c r="E384" s="10728"/>
      <c r="F384" s="10744"/>
      <c r="G384" s="10728"/>
      <c r="H384" s="10728"/>
      <c r="I384" s="10728"/>
      <c r="J384" s="10728"/>
      <c r="K384" s="10735"/>
      <c r="L384" s="10738"/>
      <c r="M384" s="10738"/>
      <c r="N384" s="10738"/>
      <c r="O384" s="10735"/>
      <c r="P384" s="10735"/>
      <c r="Q384" s="10750"/>
      <c r="R384" s="5173"/>
      <c r="S384" s="5212"/>
      <c r="T384" s="5212"/>
      <c r="U384" s="5250"/>
      <c r="V384" s="5281"/>
      <c r="W384" s="5302"/>
      <c r="X384" s="7477"/>
      <c r="Y384" s="7473"/>
      <c r="Z384" s="7473"/>
      <c r="AA384" s="7474"/>
      <c r="AB384" s="5323"/>
      <c r="AC384" s="1396"/>
      <c r="AD384" s="5300"/>
      <c r="AE384" s="5346"/>
      <c r="AF384" s="5346"/>
      <c r="AG384" s="10777"/>
      <c r="AH384" s="1758"/>
      <c r="AI384" s="1758"/>
      <c r="AJ384" s="1758"/>
      <c r="AK384" s="1758"/>
      <c r="AL384" s="1758"/>
      <c r="AM384" s="1758"/>
      <c r="AN384" s="1758"/>
      <c r="AO384" s="1758"/>
      <c r="AP384" s="1758"/>
      <c r="AQ384" s="1758"/>
      <c r="AR384" s="1758"/>
      <c r="AS384" s="1758"/>
      <c r="AT384" s="1758"/>
      <c r="AU384" s="1758"/>
      <c r="AV384" s="1758"/>
      <c r="AW384" s="1758"/>
      <c r="AX384" s="1758"/>
      <c r="AY384" s="1758"/>
      <c r="AZ384" s="1758"/>
      <c r="BA384" s="1758"/>
      <c r="BB384" s="1758"/>
      <c r="BC384" s="1758"/>
      <c r="BD384" s="1758"/>
      <c r="BE384" s="1758"/>
      <c r="BF384" s="1758"/>
      <c r="BG384" s="1758"/>
      <c r="BH384" s="1758"/>
      <c r="BI384" s="1758"/>
      <c r="BJ384" s="1758"/>
      <c r="BK384" s="1758"/>
      <c r="BL384" s="1758"/>
      <c r="BM384" s="1758"/>
      <c r="BN384" s="1758"/>
      <c r="BO384" s="1758"/>
      <c r="BP384" s="1758"/>
      <c r="BQ384" s="1758"/>
      <c r="BR384" s="1758"/>
      <c r="BS384" s="1758"/>
      <c r="BT384" s="1758"/>
      <c r="BU384" s="1758"/>
      <c r="BV384" s="1758"/>
      <c r="BW384" s="1758"/>
      <c r="BX384" s="1758"/>
      <c r="BY384" s="1758"/>
      <c r="BZ384" s="1758"/>
      <c r="CA384" s="1758"/>
      <c r="CB384" s="1758"/>
      <c r="CC384" s="1758"/>
      <c r="CD384" s="1758"/>
      <c r="CE384" s="1758"/>
      <c r="CF384" s="1758"/>
      <c r="CG384" s="1758"/>
      <c r="CH384" s="1758"/>
      <c r="CI384" s="1758"/>
      <c r="CJ384" s="1758"/>
      <c r="CK384" s="1758"/>
      <c r="CL384" s="1758"/>
      <c r="CM384" s="1758"/>
      <c r="CN384" s="1758"/>
      <c r="CO384" s="1758"/>
      <c r="CP384" s="1758"/>
      <c r="CQ384" s="1758"/>
      <c r="CR384" s="1758"/>
      <c r="CS384" s="1758"/>
      <c r="CT384" s="1758"/>
      <c r="CU384" s="1758"/>
      <c r="CV384" s="1758"/>
      <c r="CW384" s="1758"/>
      <c r="CX384" s="1758"/>
      <c r="CY384" s="1758"/>
      <c r="CZ384" s="1758"/>
      <c r="DA384" s="1758"/>
      <c r="DB384" s="1758"/>
      <c r="DC384" s="1758"/>
    </row>
    <row r="385" spans="1:107" s="1395" customFormat="1" ht="21.75" customHeight="1">
      <c r="A385" s="10827"/>
      <c r="B385" s="10732"/>
      <c r="C385" s="10729"/>
      <c r="D385" s="10729"/>
      <c r="E385" s="10729"/>
      <c r="F385" s="10745"/>
      <c r="G385" s="10729"/>
      <c r="H385" s="10729"/>
      <c r="I385" s="10729"/>
      <c r="J385" s="10729"/>
      <c r="K385" s="10736"/>
      <c r="L385" s="10739"/>
      <c r="M385" s="10739"/>
      <c r="N385" s="10739"/>
      <c r="O385" s="10736"/>
      <c r="P385" s="10736"/>
      <c r="Q385" s="10751"/>
      <c r="R385" s="5175"/>
      <c r="S385" s="5215"/>
      <c r="T385" s="5215"/>
      <c r="U385" s="5251"/>
      <c r="V385" s="5282"/>
      <c r="W385" s="5303"/>
      <c r="X385" s="7479"/>
      <c r="Y385" s="7479"/>
      <c r="Z385" s="7479"/>
      <c r="AA385" s="7480"/>
      <c r="AB385" s="5326"/>
      <c r="AC385" s="1399"/>
      <c r="AD385" s="5303"/>
      <c r="AE385" s="5348"/>
      <c r="AF385" s="5348"/>
      <c r="AG385" s="10778"/>
      <c r="AH385" s="1758"/>
      <c r="AI385" s="1758"/>
      <c r="AJ385" s="1758"/>
      <c r="AK385" s="1758"/>
      <c r="AL385" s="1758"/>
      <c r="AM385" s="1758"/>
      <c r="AN385" s="1758"/>
      <c r="AO385" s="1758"/>
      <c r="AP385" s="1758"/>
      <c r="AQ385" s="1758"/>
      <c r="AR385" s="1758"/>
      <c r="AS385" s="1758"/>
      <c r="AT385" s="1758"/>
      <c r="AU385" s="1758"/>
      <c r="AV385" s="1758"/>
      <c r="AW385" s="1758"/>
      <c r="AX385" s="1758"/>
      <c r="AY385" s="1758"/>
      <c r="AZ385" s="1758"/>
      <c r="BA385" s="1758"/>
      <c r="BB385" s="1758"/>
      <c r="BC385" s="1758"/>
      <c r="BD385" s="1758"/>
      <c r="BE385" s="1758"/>
      <c r="BF385" s="1758"/>
      <c r="BG385" s="1758"/>
      <c r="BH385" s="1758"/>
      <c r="BI385" s="1758"/>
      <c r="BJ385" s="1758"/>
      <c r="BK385" s="1758"/>
      <c r="BL385" s="1758"/>
      <c r="BM385" s="1758"/>
      <c r="BN385" s="1758"/>
      <c r="BO385" s="1758"/>
      <c r="BP385" s="1758"/>
      <c r="BQ385" s="1758"/>
      <c r="BR385" s="1758"/>
      <c r="BS385" s="1758"/>
      <c r="BT385" s="1758"/>
      <c r="BU385" s="1758"/>
      <c r="BV385" s="1758"/>
      <c r="BW385" s="1758"/>
      <c r="BX385" s="1758"/>
      <c r="BY385" s="1758"/>
      <c r="BZ385" s="1758"/>
      <c r="CA385" s="1758"/>
      <c r="CB385" s="1758"/>
      <c r="CC385" s="1758"/>
      <c r="CD385" s="1758"/>
      <c r="CE385" s="1758"/>
      <c r="CF385" s="1758"/>
      <c r="CG385" s="1758"/>
      <c r="CH385" s="1758"/>
      <c r="CI385" s="1758"/>
      <c r="CJ385" s="1758"/>
      <c r="CK385" s="1758"/>
      <c r="CL385" s="1758"/>
      <c r="CM385" s="1758"/>
      <c r="CN385" s="1758"/>
      <c r="CO385" s="1758"/>
      <c r="CP385" s="1758"/>
      <c r="CQ385" s="1758"/>
      <c r="CR385" s="1758"/>
      <c r="CS385" s="1758"/>
      <c r="CT385" s="1758"/>
      <c r="CU385" s="1758"/>
      <c r="CV385" s="1758"/>
      <c r="CW385" s="1758"/>
      <c r="CX385" s="1758"/>
      <c r="CY385" s="1758"/>
      <c r="CZ385" s="1758"/>
      <c r="DA385" s="1758"/>
      <c r="DB385" s="1758"/>
      <c r="DC385" s="1758"/>
    </row>
    <row r="386" spans="1:107" s="1395" customFormat="1" ht="21" customHeight="1">
      <c r="A386" s="10827"/>
      <c r="B386" s="10731" t="s">
        <v>183</v>
      </c>
      <c r="C386" s="10728" t="s">
        <v>227</v>
      </c>
      <c r="D386" s="10728" t="s">
        <v>228</v>
      </c>
      <c r="E386" s="10728" t="s">
        <v>255</v>
      </c>
      <c r="F386" s="10744" t="s">
        <v>230</v>
      </c>
      <c r="G386" s="10728" t="s">
        <v>171</v>
      </c>
      <c r="H386" s="10728" t="s">
        <v>159</v>
      </c>
      <c r="I386" s="10728" t="s">
        <v>5041</v>
      </c>
      <c r="J386" s="10742" t="s">
        <v>5042</v>
      </c>
      <c r="K386" s="10735" t="s">
        <v>5043</v>
      </c>
      <c r="L386" s="10738">
        <v>0</v>
      </c>
      <c r="M386" s="10738">
        <v>2</v>
      </c>
      <c r="N386" s="10738">
        <v>2</v>
      </c>
      <c r="O386" s="10735" t="s">
        <v>5044</v>
      </c>
      <c r="P386" s="10735" t="s">
        <v>5045</v>
      </c>
      <c r="Q386" s="10750" t="s">
        <v>5079</v>
      </c>
      <c r="R386" s="5173"/>
      <c r="S386" s="5212"/>
      <c r="T386" s="5212"/>
      <c r="U386" s="5249"/>
      <c r="V386" s="5281"/>
      <c r="W386" s="5302"/>
      <c r="X386" s="7477"/>
      <c r="Y386" s="7477"/>
      <c r="Z386" s="7477"/>
      <c r="AA386" s="7478"/>
      <c r="AB386" s="5325"/>
      <c r="AC386" s="1398"/>
      <c r="AD386" s="5302"/>
      <c r="AE386" s="5349"/>
      <c r="AF386" s="5349"/>
      <c r="AG386" s="10777" t="s">
        <v>4843</v>
      </c>
      <c r="AH386" s="1758"/>
      <c r="AI386" s="1758"/>
      <c r="AJ386" s="1758"/>
      <c r="AK386" s="1758"/>
      <c r="AL386" s="1758"/>
      <c r="AM386" s="1758"/>
      <c r="AN386" s="1758"/>
      <c r="AO386" s="1758"/>
      <c r="AP386" s="1758"/>
      <c r="AQ386" s="1758"/>
      <c r="AR386" s="1758"/>
      <c r="AS386" s="1758"/>
      <c r="AT386" s="1758"/>
      <c r="AU386" s="1758"/>
      <c r="AV386" s="1758"/>
      <c r="AW386" s="1758"/>
      <c r="AX386" s="1758"/>
      <c r="AY386" s="1758"/>
      <c r="AZ386" s="1758"/>
      <c r="BA386" s="1758"/>
      <c r="BB386" s="1758"/>
      <c r="BC386" s="1758"/>
      <c r="BD386" s="1758"/>
      <c r="BE386" s="1758"/>
      <c r="BF386" s="1758"/>
      <c r="BG386" s="1758"/>
      <c r="BH386" s="1758"/>
      <c r="BI386" s="1758"/>
      <c r="BJ386" s="1758"/>
      <c r="BK386" s="1758"/>
      <c r="BL386" s="1758"/>
      <c r="BM386" s="1758"/>
      <c r="BN386" s="1758"/>
      <c r="BO386" s="1758"/>
      <c r="BP386" s="1758"/>
      <c r="BQ386" s="1758"/>
      <c r="BR386" s="1758"/>
      <c r="BS386" s="1758"/>
      <c r="BT386" s="1758"/>
      <c r="BU386" s="1758"/>
      <c r="BV386" s="1758"/>
      <c r="BW386" s="1758"/>
      <c r="BX386" s="1758"/>
      <c r="BY386" s="1758"/>
      <c r="BZ386" s="1758"/>
      <c r="CA386" s="1758"/>
      <c r="CB386" s="1758"/>
      <c r="CC386" s="1758"/>
      <c r="CD386" s="1758"/>
      <c r="CE386" s="1758"/>
      <c r="CF386" s="1758"/>
      <c r="CG386" s="1758"/>
      <c r="CH386" s="1758"/>
      <c r="CI386" s="1758"/>
      <c r="CJ386" s="1758"/>
      <c r="CK386" s="1758"/>
      <c r="CL386" s="1758"/>
      <c r="CM386" s="1758"/>
      <c r="CN386" s="1758"/>
      <c r="CO386" s="1758"/>
      <c r="CP386" s="1758"/>
      <c r="CQ386" s="1758"/>
      <c r="CR386" s="1758"/>
      <c r="CS386" s="1758"/>
      <c r="CT386" s="1758"/>
      <c r="CU386" s="1758"/>
      <c r="CV386" s="1758"/>
      <c r="CW386" s="1758"/>
      <c r="CX386" s="1758"/>
      <c r="CY386" s="1758"/>
      <c r="CZ386" s="1758"/>
      <c r="DA386" s="1758"/>
      <c r="DB386" s="1758"/>
      <c r="DC386" s="1758"/>
    </row>
    <row r="387" spans="1:107" s="1395" customFormat="1" ht="21" customHeight="1">
      <c r="A387" s="10827"/>
      <c r="B387" s="10731"/>
      <c r="C387" s="10728"/>
      <c r="D387" s="10728"/>
      <c r="E387" s="10728"/>
      <c r="F387" s="10744"/>
      <c r="G387" s="10728"/>
      <c r="H387" s="10728"/>
      <c r="I387" s="10728"/>
      <c r="J387" s="10728"/>
      <c r="K387" s="10735"/>
      <c r="L387" s="10738"/>
      <c r="M387" s="10738"/>
      <c r="N387" s="10738"/>
      <c r="O387" s="10735"/>
      <c r="P387" s="10735"/>
      <c r="Q387" s="10750"/>
      <c r="R387" s="5171"/>
      <c r="S387" s="5213"/>
      <c r="T387" s="5213"/>
      <c r="U387" s="5247"/>
      <c r="V387" s="5279"/>
      <c r="W387" s="5300"/>
      <c r="X387" s="7473"/>
      <c r="Y387" s="7473"/>
      <c r="Z387" s="7473"/>
      <c r="AA387" s="7474"/>
      <c r="AB387" s="5323"/>
      <c r="AC387" s="1396"/>
      <c r="AD387" s="5300"/>
      <c r="AE387" s="5346"/>
      <c r="AF387" s="5346"/>
      <c r="AG387" s="10777"/>
      <c r="AH387" s="1758"/>
      <c r="AI387" s="1758"/>
      <c r="AJ387" s="1758"/>
      <c r="AK387" s="1758"/>
      <c r="AL387" s="1758"/>
      <c r="AM387" s="1758"/>
      <c r="AN387" s="1758"/>
      <c r="AO387" s="1758"/>
      <c r="AP387" s="1758"/>
      <c r="AQ387" s="1758"/>
      <c r="AR387" s="1758"/>
      <c r="AS387" s="1758"/>
      <c r="AT387" s="1758"/>
      <c r="AU387" s="1758"/>
      <c r="AV387" s="1758"/>
      <c r="AW387" s="1758"/>
      <c r="AX387" s="1758"/>
      <c r="AY387" s="1758"/>
      <c r="AZ387" s="1758"/>
      <c r="BA387" s="1758"/>
      <c r="BB387" s="1758"/>
      <c r="BC387" s="1758"/>
      <c r="BD387" s="1758"/>
      <c r="BE387" s="1758"/>
      <c r="BF387" s="1758"/>
      <c r="BG387" s="1758"/>
      <c r="BH387" s="1758"/>
      <c r="BI387" s="1758"/>
      <c r="BJ387" s="1758"/>
      <c r="BK387" s="1758"/>
      <c r="BL387" s="1758"/>
      <c r="BM387" s="1758"/>
      <c r="BN387" s="1758"/>
      <c r="BO387" s="1758"/>
      <c r="BP387" s="1758"/>
      <c r="BQ387" s="1758"/>
      <c r="BR387" s="1758"/>
      <c r="BS387" s="1758"/>
      <c r="BT387" s="1758"/>
      <c r="BU387" s="1758"/>
      <c r="BV387" s="1758"/>
      <c r="BW387" s="1758"/>
      <c r="BX387" s="1758"/>
      <c r="BY387" s="1758"/>
      <c r="BZ387" s="1758"/>
      <c r="CA387" s="1758"/>
      <c r="CB387" s="1758"/>
      <c r="CC387" s="1758"/>
      <c r="CD387" s="1758"/>
      <c r="CE387" s="1758"/>
      <c r="CF387" s="1758"/>
      <c r="CG387" s="1758"/>
      <c r="CH387" s="1758"/>
      <c r="CI387" s="1758"/>
      <c r="CJ387" s="1758"/>
      <c r="CK387" s="1758"/>
      <c r="CL387" s="1758"/>
      <c r="CM387" s="1758"/>
      <c r="CN387" s="1758"/>
      <c r="CO387" s="1758"/>
      <c r="CP387" s="1758"/>
      <c r="CQ387" s="1758"/>
      <c r="CR387" s="1758"/>
      <c r="CS387" s="1758"/>
      <c r="CT387" s="1758"/>
      <c r="CU387" s="1758"/>
      <c r="CV387" s="1758"/>
      <c r="CW387" s="1758"/>
      <c r="CX387" s="1758"/>
      <c r="CY387" s="1758"/>
      <c r="CZ387" s="1758"/>
      <c r="DA387" s="1758"/>
      <c r="DB387" s="1758"/>
      <c r="DC387" s="1758"/>
    </row>
    <row r="388" spans="1:107" s="1395" customFormat="1" ht="21" customHeight="1">
      <c r="A388" s="10827"/>
      <c r="B388" s="10731"/>
      <c r="C388" s="10728"/>
      <c r="D388" s="10728"/>
      <c r="E388" s="10728"/>
      <c r="F388" s="10744"/>
      <c r="G388" s="10728"/>
      <c r="H388" s="10728"/>
      <c r="I388" s="10728"/>
      <c r="J388" s="10728"/>
      <c r="K388" s="10735"/>
      <c r="L388" s="10738"/>
      <c r="M388" s="10738"/>
      <c r="N388" s="10738"/>
      <c r="O388" s="10735"/>
      <c r="P388" s="10735"/>
      <c r="Q388" s="10750"/>
      <c r="R388" s="5174"/>
      <c r="S388" s="5214"/>
      <c r="T388" s="5214"/>
      <c r="U388" s="5250"/>
      <c r="V388" s="5281"/>
      <c r="W388" s="5302"/>
      <c r="X388" s="7477"/>
      <c r="Y388" s="7473"/>
      <c r="Z388" s="7473"/>
      <c r="AA388" s="7474"/>
      <c r="AB388" s="5323"/>
      <c r="AC388" s="1396"/>
      <c r="AD388" s="5300"/>
      <c r="AE388" s="5346"/>
      <c r="AF388" s="5346"/>
      <c r="AG388" s="10777"/>
      <c r="AH388" s="1758"/>
      <c r="AI388" s="1758"/>
      <c r="AJ388" s="1758"/>
      <c r="AK388" s="1758"/>
      <c r="AL388" s="1758"/>
      <c r="AM388" s="1758"/>
      <c r="AN388" s="1758"/>
      <c r="AO388" s="1758"/>
      <c r="AP388" s="1758"/>
      <c r="AQ388" s="1758"/>
      <c r="AR388" s="1758"/>
      <c r="AS388" s="1758"/>
      <c r="AT388" s="1758"/>
      <c r="AU388" s="1758"/>
      <c r="AV388" s="1758"/>
      <c r="AW388" s="1758"/>
      <c r="AX388" s="1758"/>
      <c r="AY388" s="1758"/>
      <c r="AZ388" s="1758"/>
      <c r="BA388" s="1758"/>
      <c r="BB388" s="1758"/>
      <c r="BC388" s="1758"/>
      <c r="BD388" s="1758"/>
      <c r="BE388" s="1758"/>
      <c r="BF388" s="1758"/>
      <c r="BG388" s="1758"/>
      <c r="BH388" s="1758"/>
      <c r="BI388" s="1758"/>
      <c r="BJ388" s="1758"/>
      <c r="BK388" s="1758"/>
      <c r="BL388" s="1758"/>
      <c r="BM388" s="1758"/>
      <c r="BN388" s="1758"/>
      <c r="BO388" s="1758"/>
      <c r="BP388" s="1758"/>
      <c r="BQ388" s="1758"/>
      <c r="BR388" s="1758"/>
      <c r="BS388" s="1758"/>
      <c r="BT388" s="1758"/>
      <c r="BU388" s="1758"/>
      <c r="BV388" s="1758"/>
      <c r="BW388" s="1758"/>
      <c r="BX388" s="1758"/>
      <c r="BY388" s="1758"/>
      <c r="BZ388" s="1758"/>
      <c r="CA388" s="1758"/>
      <c r="CB388" s="1758"/>
      <c r="CC388" s="1758"/>
      <c r="CD388" s="1758"/>
      <c r="CE388" s="1758"/>
      <c r="CF388" s="1758"/>
      <c r="CG388" s="1758"/>
      <c r="CH388" s="1758"/>
      <c r="CI388" s="1758"/>
      <c r="CJ388" s="1758"/>
      <c r="CK388" s="1758"/>
      <c r="CL388" s="1758"/>
      <c r="CM388" s="1758"/>
      <c r="CN388" s="1758"/>
      <c r="CO388" s="1758"/>
      <c r="CP388" s="1758"/>
      <c r="CQ388" s="1758"/>
      <c r="CR388" s="1758"/>
      <c r="CS388" s="1758"/>
      <c r="CT388" s="1758"/>
      <c r="CU388" s="1758"/>
      <c r="CV388" s="1758"/>
      <c r="CW388" s="1758"/>
      <c r="CX388" s="1758"/>
      <c r="CY388" s="1758"/>
      <c r="CZ388" s="1758"/>
      <c r="DA388" s="1758"/>
      <c r="DB388" s="1758"/>
      <c r="DC388" s="1758"/>
    </row>
    <row r="389" spans="1:107" s="1395" customFormat="1" ht="21" customHeight="1">
      <c r="A389" s="10827"/>
      <c r="B389" s="10731"/>
      <c r="C389" s="10728"/>
      <c r="D389" s="10728"/>
      <c r="E389" s="10728"/>
      <c r="F389" s="10744"/>
      <c r="G389" s="10728"/>
      <c r="H389" s="10728"/>
      <c r="I389" s="10728"/>
      <c r="J389" s="10728"/>
      <c r="K389" s="10735"/>
      <c r="L389" s="10738"/>
      <c r="M389" s="10738"/>
      <c r="N389" s="10738"/>
      <c r="O389" s="10735"/>
      <c r="P389" s="10735"/>
      <c r="Q389" s="10750"/>
      <c r="R389" s="5173"/>
      <c r="S389" s="5212"/>
      <c r="T389" s="5212"/>
      <c r="U389" s="5250"/>
      <c r="V389" s="5281"/>
      <c r="W389" s="5302"/>
      <c r="X389" s="7477"/>
      <c r="Y389" s="7473"/>
      <c r="Z389" s="7473"/>
      <c r="AA389" s="7474"/>
      <c r="AB389" s="5323"/>
      <c r="AC389" s="1396"/>
      <c r="AD389" s="5300"/>
      <c r="AE389" s="5346"/>
      <c r="AF389" s="5346"/>
      <c r="AG389" s="10777"/>
      <c r="AH389" s="1758"/>
      <c r="AI389" s="1758"/>
      <c r="AJ389" s="1758"/>
      <c r="AK389" s="1758"/>
      <c r="AL389" s="1758"/>
      <c r="AM389" s="1758"/>
      <c r="AN389" s="1758"/>
      <c r="AO389" s="1758"/>
      <c r="AP389" s="1758"/>
      <c r="AQ389" s="1758"/>
      <c r="AR389" s="1758"/>
      <c r="AS389" s="1758"/>
      <c r="AT389" s="1758"/>
      <c r="AU389" s="1758"/>
      <c r="AV389" s="1758"/>
      <c r="AW389" s="1758"/>
      <c r="AX389" s="1758"/>
      <c r="AY389" s="1758"/>
      <c r="AZ389" s="1758"/>
      <c r="BA389" s="1758"/>
      <c r="BB389" s="1758"/>
      <c r="BC389" s="1758"/>
      <c r="BD389" s="1758"/>
      <c r="BE389" s="1758"/>
      <c r="BF389" s="1758"/>
      <c r="BG389" s="1758"/>
      <c r="BH389" s="1758"/>
      <c r="BI389" s="1758"/>
      <c r="BJ389" s="1758"/>
      <c r="BK389" s="1758"/>
      <c r="BL389" s="1758"/>
      <c r="BM389" s="1758"/>
      <c r="BN389" s="1758"/>
      <c r="BO389" s="1758"/>
      <c r="BP389" s="1758"/>
      <c r="BQ389" s="1758"/>
      <c r="BR389" s="1758"/>
      <c r="BS389" s="1758"/>
      <c r="BT389" s="1758"/>
      <c r="BU389" s="1758"/>
      <c r="BV389" s="1758"/>
      <c r="BW389" s="1758"/>
      <c r="BX389" s="1758"/>
      <c r="BY389" s="1758"/>
      <c r="BZ389" s="1758"/>
      <c r="CA389" s="1758"/>
      <c r="CB389" s="1758"/>
      <c r="CC389" s="1758"/>
      <c r="CD389" s="1758"/>
      <c r="CE389" s="1758"/>
      <c r="CF389" s="1758"/>
      <c r="CG389" s="1758"/>
      <c r="CH389" s="1758"/>
      <c r="CI389" s="1758"/>
      <c r="CJ389" s="1758"/>
      <c r="CK389" s="1758"/>
      <c r="CL389" s="1758"/>
      <c r="CM389" s="1758"/>
      <c r="CN389" s="1758"/>
      <c r="CO389" s="1758"/>
      <c r="CP389" s="1758"/>
      <c r="CQ389" s="1758"/>
      <c r="CR389" s="1758"/>
      <c r="CS389" s="1758"/>
      <c r="CT389" s="1758"/>
      <c r="CU389" s="1758"/>
      <c r="CV389" s="1758"/>
      <c r="CW389" s="1758"/>
      <c r="CX389" s="1758"/>
      <c r="CY389" s="1758"/>
      <c r="CZ389" s="1758"/>
      <c r="DA389" s="1758"/>
      <c r="DB389" s="1758"/>
      <c r="DC389" s="1758"/>
    </row>
    <row r="390" spans="1:107" s="1395" customFormat="1" ht="21" customHeight="1">
      <c r="A390" s="10827"/>
      <c r="B390" s="10732"/>
      <c r="C390" s="10729"/>
      <c r="D390" s="10729"/>
      <c r="E390" s="10729"/>
      <c r="F390" s="10745"/>
      <c r="G390" s="10729"/>
      <c r="H390" s="10729"/>
      <c r="I390" s="10729"/>
      <c r="J390" s="10729"/>
      <c r="K390" s="10736"/>
      <c r="L390" s="10739"/>
      <c r="M390" s="10739"/>
      <c r="N390" s="10739"/>
      <c r="O390" s="10736"/>
      <c r="P390" s="10736"/>
      <c r="Q390" s="10751"/>
      <c r="R390" s="5175"/>
      <c r="S390" s="5215"/>
      <c r="T390" s="5215"/>
      <c r="U390" s="5251"/>
      <c r="V390" s="5282"/>
      <c r="W390" s="5303"/>
      <c r="X390" s="7479"/>
      <c r="Y390" s="7479"/>
      <c r="Z390" s="7479"/>
      <c r="AA390" s="7480"/>
      <c r="AB390" s="5326"/>
      <c r="AC390" s="1399"/>
      <c r="AD390" s="5303"/>
      <c r="AE390" s="5348"/>
      <c r="AF390" s="5348"/>
      <c r="AG390" s="10778"/>
      <c r="AH390" s="1758"/>
      <c r="AI390" s="1758"/>
      <c r="AJ390" s="1758"/>
      <c r="AK390" s="1758"/>
      <c r="AL390" s="1758"/>
      <c r="AM390" s="1758"/>
      <c r="AN390" s="1758"/>
      <c r="AO390" s="1758"/>
      <c r="AP390" s="1758"/>
      <c r="AQ390" s="1758"/>
      <c r="AR390" s="1758"/>
      <c r="AS390" s="1758"/>
      <c r="AT390" s="1758"/>
      <c r="AU390" s="1758"/>
      <c r="AV390" s="1758"/>
      <c r="AW390" s="1758"/>
      <c r="AX390" s="1758"/>
      <c r="AY390" s="1758"/>
      <c r="AZ390" s="1758"/>
      <c r="BA390" s="1758"/>
      <c r="BB390" s="1758"/>
      <c r="BC390" s="1758"/>
      <c r="BD390" s="1758"/>
      <c r="BE390" s="1758"/>
      <c r="BF390" s="1758"/>
      <c r="BG390" s="1758"/>
      <c r="BH390" s="1758"/>
      <c r="BI390" s="1758"/>
      <c r="BJ390" s="1758"/>
      <c r="BK390" s="1758"/>
      <c r="BL390" s="1758"/>
      <c r="BM390" s="1758"/>
      <c r="BN390" s="1758"/>
      <c r="BO390" s="1758"/>
      <c r="BP390" s="1758"/>
      <c r="BQ390" s="1758"/>
      <c r="BR390" s="1758"/>
      <c r="BS390" s="1758"/>
      <c r="BT390" s="1758"/>
      <c r="BU390" s="1758"/>
      <c r="BV390" s="1758"/>
      <c r="BW390" s="1758"/>
      <c r="BX390" s="1758"/>
      <c r="BY390" s="1758"/>
      <c r="BZ390" s="1758"/>
      <c r="CA390" s="1758"/>
      <c r="CB390" s="1758"/>
      <c r="CC390" s="1758"/>
      <c r="CD390" s="1758"/>
      <c r="CE390" s="1758"/>
      <c r="CF390" s="1758"/>
      <c r="CG390" s="1758"/>
      <c r="CH390" s="1758"/>
      <c r="CI390" s="1758"/>
      <c r="CJ390" s="1758"/>
      <c r="CK390" s="1758"/>
      <c r="CL390" s="1758"/>
      <c r="CM390" s="1758"/>
      <c r="CN390" s="1758"/>
      <c r="CO390" s="1758"/>
      <c r="CP390" s="1758"/>
      <c r="CQ390" s="1758"/>
      <c r="CR390" s="1758"/>
      <c r="CS390" s="1758"/>
      <c r="CT390" s="1758"/>
      <c r="CU390" s="1758"/>
      <c r="CV390" s="1758"/>
      <c r="CW390" s="1758"/>
      <c r="CX390" s="1758"/>
      <c r="CY390" s="1758"/>
      <c r="CZ390" s="1758"/>
      <c r="DA390" s="1758"/>
      <c r="DB390" s="1758"/>
      <c r="DC390" s="1758"/>
    </row>
    <row r="391" spans="1:107" s="1395" customFormat="1" ht="20.25" customHeight="1">
      <c r="A391" s="10827"/>
      <c r="B391" s="10731" t="s">
        <v>183</v>
      </c>
      <c r="C391" s="10728" t="s">
        <v>227</v>
      </c>
      <c r="D391" s="10728" t="s">
        <v>228</v>
      </c>
      <c r="E391" s="10728" t="s">
        <v>229</v>
      </c>
      <c r="F391" s="10744" t="s">
        <v>230</v>
      </c>
      <c r="G391" s="10728" t="s">
        <v>171</v>
      </c>
      <c r="H391" s="10728" t="s">
        <v>159</v>
      </c>
      <c r="I391" s="10728" t="s">
        <v>5047</v>
      </c>
      <c r="J391" s="10742" t="s">
        <v>4662</v>
      </c>
      <c r="K391" s="10735" t="s">
        <v>5048</v>
      </c>
      <c r="L391" s="10738">
        <v>0</v>
      </c>
      <c r="M391" s="10738">
        <v>1</v>
      </c>
      <c r="N391" s="10738">
        <v>1</v>
      </c>
      <c r="O391" s="10735" t="s">
        <v>5049</v>
      </c>
      <c r="P391" s="10735" t="s">
        <v>5050</v>
      </c>
      <c r="Q391" s="10750" t="s">
        <v>5080</v>
      </c>
      <c r="R391" s="5173"/>
      <c r="S391" s="5212"/>
      <c r="T391" s="5212"/>
      <c r="U391" s="5249"/>
      <c r="V391" s="5281"/>
      <c r="W391" s="5302"/>
      <c r="X391" s="7477"/>
      <c r="Y391" s="7477"/>
      <c r="Z391" s="7477"/>
      <c r="AA391" s="7478"/>
      <c r="AB391" s="5325"/>
      <c r="AC391" s="1398"/>
      <c r="AD391" s="5302"/>
      <c r="AE391" s="5349"/>
      <c r="AF391" s="5349"/>
      <c r="AG391" s="10777"/>
      <c r="AH391" s="1758"/>
      <c r="AI391" s="1758"/>
      <c r="AJ391" s="1758"/>
      <c r="AK391" s="1758"/>
      <c r="AL391" s="1758"/>
      <c r="AM391" s="1758"/>
      <c r="AN391" s="1758"/>
      <c r="AO391" s="1758"/>
      <c r="AP391" s="1758"/>
      <c r="AQ391" s="1758"/>
      <c r="AR391" s="1758"/>
      <c r="AS391" s="1758"/>
      <c r="AT391" s="1758"/>
      <c r="AU391" s="1758"/>
      <c r="AV391" s="1758"/>
      <c r="AW391" s="1758"/>
      <c r="AX391" s="1758"/>
      <c r="AY391" s="1758"/>
      <c r="AZ391" s="1758"/>
      <c r="BA391" s="1758"/>
      <c r="BB391" s="1758"/>
      <c r="BC391" s="1758"/>
      <c r="BD391" s="1758"/>
      <c r="BE391" s="1758"/>
      <c r="BF391" s="1758"/>
      <c r="BG391" s="1758"/>
      <c r="BH391" s="1758"/>
      <c r="BI391" s="1758"/>
      <c r="BJ391" s="1758"/>
      <c r="BK391" s="1758"/>
      <c r="BL391" s="1758"/>
      <c r="BM391" s="1758"/>
      <c r="BN391" s="1758"/>
      <c r="BO391" s="1758"/>
      <c r="BP391" s="1758"/>
      <c r="BQ391" s="1758"/>
      <c r="BR391" s="1758"/>
      <c r="BS391" s="1758"/>
      <c r="BT391" s="1758"/>
      <c r="BU391" s="1758"/>
      <c r="BV391" s="1758"/>
      <c r="BW391" s="1758"/>
      <c r="BX391" s="1758"/>
      <c r="BY391" s="1758"/>
      <c r="BZ391" s="1758"/>
      <c r="CA391" s="1758"/>
      <c r="CB391" s="1758"/>
      <c r="CC391" s="1758"/>
      <c r="CD391" s="1758"/>
      <c r="CE391" s="1758"/>
      <c r="CF391" s="1758"/>
      <c r="CG391" s="1758"/>
      <c r="CH391" s="1758"/>
      <c r="CI391" s="1758"/>
      <c r="CJ391" s="1758"/>
      <c r="CK391" s="1758"/>
      <c r="CL391" s="1758"/>
      <c r="CM391" s="1758"/>
      <c r="CN391" s="1758"/>
      <c r="CO391" s="1758"/>
      <c r="CP391" s="1758"/>
      <c r="CQ391" s="1758"/>
      <c r="CR391" s="1758"/>
      <c r="CS391" s="1758"/>
      <c r="CT391" s="1758"/>
      <c r="CU391" s="1758"/>
      <c r="CV391" s="1758"/>
      <c r="CW391" s="1758"/>
      <c r="CX391" s="1758"/>
      <c r="CY391" s="1758"/>
      <c r="CZ391" s="1758"/>
      <c r="DA391" s="1758"/>
      <c r="DB391" s="1758"/>
      <c r="DC391" s="1758"/>
    </row>
    <row r="392" spans="1:107" s="1395" customFormat="1" ht="20.25" customHeight="1">
      <c r="A392" s="10827"/>
      <c r="B392" s="10731"/>
      <c r="C392" s="10728"/>
      <c r="D392" s="10728"/>
      <c r="E392" s="10728"/>
      <c r="F392" s="10744"/>
      <c r="G392" s="10728"/>
      <c r="H392" s="10728"/>
      <c r="I392" s="10728"/>
      <c r="J392" s="10728"/>
      <c r="K392" s="10735"/>
      <c r="L392" s="10738"/>
      <c r="M392" s="10738"/>
      <c r="N392" s="10738"/>
      <c r="O392" s="10735"/>
      <c r="P392" s="10735"/>
      <c r="Q392" s="10750"/>
      <c r="R392" s="5171"/>
      <c r="S392" s="5213"/>
      <c r="T392" s="5213"/>
      <c r="U392" s="5247"/>
      <c r="V392" s="5279"/>
      <c r="W392" s="5300"/>
      <c r="X392" s="7473"/>
      <c r="Y392" s="7473"/>
      <c r="Z392" s="7473"/>
      <c r="AA392" s="7474"/>
      <c r="AB392" s="5323"/>
      <c r="AC392" s="1396"/>
      <c r="AD392" s="5300"/>
      <c r="AE392" s="5346"/>
      <c r="AF392" s="5346"/>
      <c r="AG392" s="10777"/>
      <c r="AH392" s="1758"/>
      <c r="AI392" s="1758"/>
      <c r="AJ392" s="1758"/>
      <c r="AK392" s="1758"/>
      <c r="AL392" s="1758"/>
      <c r="AM392" s="1758"/>
      <c r="AN392" s="1758"/>
      <c r="AO392" s="1758"/>
      <c r="AP392" s="1758"/>
      <c r="AQ392" s="1758"/>
      <c r="AR392" s="1758"/>
      <c r="AS392" s="1758"/>
      <c r="AT392" s="1758"/>
      <c r="AU392" s="1758"/>
      <c r="AV392" s="1758"/>
      <c r="AW392" s="1758"/>
      <c r="AX392" s="1758"/>
      <c r="AY392" s="1758"/>
      <c r="AZ392" s="1758"/>
      <c r="BA392" s="1758"/>
      <c r="BB392" s="1758"/>
      <c r="BC392" s="1758"/>
      <c r="BD392" s="1758"/>
      <c r="BE392" s="1758"/>
      <c r="BF392" s="1758"/>
      <c r="BG392" s="1758"/>
      <c r="BH392" s="1758"/>
      <c r="BI392" s="1758"/>
      <c r="BJ392" s="1758"/>
      <c r="BK392" s="1758"/>
      <c r="BL392" s="1758"/>
      <c r="BM392" s="1758"/>
      <c r="BN392" s="1758"/>
      <c r="BO392" s="1758"/>
      <c r="BP392" s="1758"/>
      <c r="BQ392" s="1758"/>
      <c r="BR392" s="1758"/>
      <c r="BS392" s="1758"/>
      <c r="BT392" s="1758"/>
      <c r="BU392" s="1758"/>
      <c r="BV392" s="1758"/>
      <c r="BW392" s="1758"/>
      <c r="BX392" s="1758"/>
      <c r="BY392" s="1758"/>
      <c r="BZ392" s="1758"/>
      <c r="CA392" s="1758"/>
      <c r="CB392" s="1758"/>
      <c r="CC392" s="1758"/>
      <c r="CD392" s="1758"/>
      <c r="CE392" s="1758"/>
      <c r="CF392" s="1758"/>
      <c r="CG392" s="1758"/>
      <c r="CH392" s="1758"/>
      <c r="CI392" s="1758"/>
      <c r="CJ392" s="1758"/>
      <c r="CK392" s="1758"/>
      <c r="CL392" s="1758"/>
      <c r="CM392" s="1758"/>
      <c r="CN392" s="1758"/>
      <c r="CO392" s="1758"/>
      <c r="CP392" s="1758"/>
      <c r="CQ392" s="1758"/>
      <c r="CR392" s="1758"/>
      <c r="CS392" s="1758"/>
      <c r="CT392" s="1758"/>
      <c r="CU392" s="1758"/>
      <c r="CV392" s="1758"/>
      <c r="CW392" s="1758"/>
      <c r="CX392" s="1758"/>
      <c r="CY392" s="1758"/>
      <c r="CZ392" s="1758"/>
      <c r="DA392" s="1758"/>
      <c r="DB392" s="1758"/>
      <c r="DC392" s="1758"/>
    </row>
    <row r="393" spans="1:107" s="1395" customFormat="1" ht="20.25" customHeight="1">
      <c r="A393" s="10827"/>
      <c r="B393" s="10731"/>
      <c r="C393" s="10728"/>
      <c r="D393" s="10728"/>
      <c r="E393" s="10728"/>
      <c r="F393" s="10744"/>
      <c r="G393" s="10728"/>
      <c r="H393" s="10728"/>
      <c r="I393" s="10728"/>
      <c r="J393" s="10728"/>
      <c r="K393" s="10735"/>
      <c r="L393" s="10738"/>
      <c r="M393" s="10738"/>
      <c r="N393" s="10738"/>
      <c r="O393" s="10735"/>
      <c r="P393" s="10735"/>
      <c r="Q393" s="10750"/>
      <c r="R393" s="5174"/>
      <c r="S393" s="5214"/>
      <c r="T393" s="5214"/>
      <c r="U393" s="5250"/>
      <c r="V393" s="5281"/>
      <c r="W393" s="5302"/>
      <c r="X393" s="7477"/>
      <c r="Y393" s="7473"/>
      <c r="Z393" s="7473"/>
      <c r="AA393" s="7474"/>
      <c r="AB393" s="5323"/>
      <c r="AC393" s="1396"/>
      <c r="AD393" s="5300"/>
      <c r="AE393" s="5346"/>
      <c r="AF393" s="5346"/>
      <c r="AG393" s="10777"/>
      <c r="AH393" s="1758"/>
      <c r="AI393" s="1758"/>
      <c r="AJ393" s="1758"/>
      <c r="AK393" s="1758"/>
      <c r="AL393" s="1758"/>
      <c r="AM393" s="1758"/>
      <c r="AN393" s="1758"/>
      <c r="AO393" s="1758"/>
      <c r="AP393" s="1758"/>
      <c r="AQ393" s="1758"/>
      <c r="AR393" s="1758"/>
      <c r="AS393" s="1758"/>
      <c r="AT393" s="1758"/>
      <c r="AU393" s="1758"/>
      <c r="AV393" s="1758"/>
      <c r="AW393" s="1758"/>
      <c r="AX393" s="1758"/>
      <c r="AY393" s="1758"/>
      <c r="AZ393" s="1758"/>
      <c r="BA393" s="1758"/>
      <c r="BB393" s="1758"/>
      <c r="BC393" s="1758"/>
      <c r="BD393" s="1758"/>
      <c r="BE393" s="1758"/>
      <c r="BF393" s="1758"/>
      <c r="BG393" s="1758"/>
      <c r="BH393" s="1758"/>
      <c r="BI393" s="1758"/>
      <c r="BJ393" s="1758"/>
      <c r="BK393" s="1758"/>
      <c r="BL393" s="1758"/>
      <c r="BM393" s="1758"/>
      <c r="BN393" s="1758"/>
      <c r="BO393" s="1758"/>
      <c r="BP393" s="1758"/>
      <c r="BQ393" s="1758"/>
      <c r="BR393" s="1758"/>
      <c r="BS393" s="1758"/>
      <c r="BT393" s="1758"/>
      <c r="BU393" s="1758"/>
      <c r="BV393" s="1758"/>
      <c r="BW393" s="1758"/>
      <c r="BX393" s="1758"/>
      <c r="BY393" s="1758"/>
      <c r="BZ393" s="1758"/>
      <c r="CA393" s="1758"/>
      <c r="CB393" s="1758"/>
      <c r="CC393" s="1758"/>
      <c r="CD393" s="1758"/>
      <c r="CE393" s="1758"/>
      <c r="CF393" s="1758"/>
      <c r="CG393" s="1758"/>
      <c r="CH393" s="1758"/>
      <c r="CI393" s="1758"/>
      <c r="CJ393" s="1758"/>
      <c r="CK393" s="1758"/>
      <c r="CL393" s="1758"/>
      <c r="CM393" s="1758"/>
      <c r="CN393" s="1758"/>
      <c r="CO393" s="1758"/>
      <c r="CP393" s="1758"/>
      <c r="CQ393" s="1758"/>
      <c r="CR393" s="1758"/>
      <c r="CS393" s="1758"/>
      <c r="CT393" s="1758"/>
      <c r="CU393" s="1758"/>
      <c r="CV393" s="1758"/>
      <c r="CW393" s="1758"/>
      <c r="CX393" s="1758"/>
      <c r="CY393" s="1758"/>
      <c r="CZ393" s="1758"/>
      <c r="DA393" s="1758"/>
      <c r="DB393" s="1758"/>
      <c r="DC393" s="1758"/>
    </row>
    <row r="394" spans="1:107" s="1395" customFormat="1" ht="20.25" customHeight="1">
      <c r="A394" s="10827"/>
      <c r="B394" s="10731"/>
      <c r="C394" s="10728"/>
      <c r="D394" s="10728"/>
      <c r="E394" s="10728"/>
      <c r="F394" s="10744"/>
      <c r="G394" s="10728"/>
      <c r="H394" s="10728"/>
      <c r="I394" s="10728"/>
      <c r="J394" s="10728"/>
      <c r="K394" s="10735"/>
      <c r="L394" s="10738"/>
      <c r="M394" s="10738"/>
      <c r="N394" s="10738"/>
      <c r="O394" s="10735"/>
      <c r="P394" s="10735"/>
      <c r="Q394" s="10750"/>
      <c r="R394" s="5173"/>
      <c r="S394" s="5212"/>
      <c r="T394" s="5212"/>
      <c r="U394" s="5250"/>
      <c r="V394" s="5281"/>
      <c r="W394" s="5302"/>
      <c r="X394" s="7477"/>
      <c r="Y394" s="7473"/>
      <c r="Z394" s="7473"/>
      <c r="AA394" s="7474"/>
      <c r="AB394" s="5323"/>
      <c r="AC394" s="1396"/>
      <c r="AD394" s="5300"/>
      <c r="AE394" s="5346"/>
      <c r="AF394" s="5346"/>
      <c r="AG394" s="10777"/>
      <c r="AH394" s="1758"/>
      <c r="AI394" s="1758"/>
      <c r="AJ394" s="1758"/>
      <c r="AK394" s="1758"/>
      <c r="AL394" s="1758"/>
      <c r="AM394" s="1758"/>
      <c r="AN394" s="1758"/>
      <c r="AO394" s="1758"/>
      <c r="AP394" s="1758"/>
      <c r="AQ394" s="1758"/>
      <c r="AR394" s="1758"/>
      <c r="AS394" s="1758"/>
      <c r="AT394" s="1758"/>
      <c r="AU394" s="1758"/>
      <c r="AV394" s="1758"/>
      <c r="AW394" s="1758"/>
      <c r="AX394" s="1758"/>
      <c r="AY394" s="1758"/>
      <c r="AZ394" s="1758"/>
      <c r="BA394" s="1758"/>
      <c r="BB394" s="1758"/>
      <c r="BC394" s="1758"/>
      <c r="BD394" s="1758"/>
      <c r="BE394" s="1758"/>
      <c r="BF394" s="1758"/>
      <c r="BG394" s="1758"/>
      <c r="BH394" s="1758"/>
      <c r="BI394" s="1758"/>
      <c r="BJ394" s="1758"/>
      <c r="BK394" s="1758"/>
      <c r="BL394" s="1758"/>
      <c r="BM394" s="1758"/>
      <c r="BN394" s="1758"/>
      <c r="BO394" s="1758"/>
      <c r="BP394" s="1758"/>
      <c r="BQ394" s="1758"/>
      <c r="BR394" s="1758"/>
      <c r="BS394" s="1758"/>
      <c r="BT394" s="1758"/>
      <c r="BU394" s="1758"/>
      <c r="BV394" s="1758"/>
      <c r="BW394" s="1758"/>
      <c r="BX394" s="1758"/>
      <c r="BY394" s="1758"/>
      <c r="BZ394" s="1758"/>
      <c r="CA394" s="1758"/>
      <c r="CB394" s="1758"/>
      <c r="CC394" s="1758"/>
      <c r="CD394" s="1758"/>
      <c r="CE394" s="1758"/>
      <c r="CF394" s="1758"/>
      <c r="CG394" s="1758"/>
      <c r="CH394" s="1758"/>
      <c r="CI394" s="1758"/>
      <c r="CJ394" s="1758"/>
      <c r="CK394" s="1758"/>
      <c r="CL394" s="1758"/>
      <c r="CM394" s="1758"/>
      <c r="CN394" s="1758"/>
      <c r="CO394" s="1758"/>
      <c r="CP394" s="1758"/>
      <c r="CQ394" s="1758"/>
      <c r="CR394" s="1758"/>
      <c r="CS394" s="1758"/>
      <c r="CT394" s="1758"/>
      <c r="CU394" s="1758"/>
      <c r="CV394" s="1758"/>
      <c r="CW394" s="1758"/>
      <c r="CX394" s="1758"/>
      <c r="CY394" s="1758"/>
      <c r="CZ394" s="1758"/>
      <c r="DA394" s="1758"/>
      <c r="DB394" s="1758"/>
      <c r="DC394" s="1758"/>
    </row>
    <row r="395" spans="1:107" s="1395" customFormat="1" ht="20.25" customHeight="1">
      <c r="A395" s="10827"/>
      <c r="B395" s="10732"/>
      <c r="C395" s="10729"/>
      <c r="D395" s="10729"/>
      <c r="E395" s="10729"/>
      <c r="F395" s="10745"/>
      <c r="G395" s="10729"/>
      <c r="H395" s="10729"/>
      <c r="I395" s="10729"/>
      <c r="J395" s="10729"/>
      <c r="K395" s="10736"/>
      <c r="L395" s="10739"/>
      <c r="M395" s="10739"/>
      <c r="N395" s="10739"/>
      <c r="O395" s="10736"/>
      <c r="P395" s="10736"/>
      <c r="Q395" s="10751"/>
      <c r="R395" s="5175"/>
      <c r="S395" s="5215"/>
      <c r="T395" s="5215"/>
      <c r="U395" s="5251"/>
      <c r="V395" s="5282"/>
      <c r="W395" s="5303"/>
      <c r="X395" s="7479"/>
      <c r="Y395" s="7479"/>
      <c r="Z395" s="7479"/>
      <c r="AA395" s="7480"/>
      <c r="AB395" s="5326"/>
      <c r="AC395" s="1399"/>
      <c r="AD395" s="5303"/>
      <c r="AE395" s="5348"/>
      <c r="AF395" s="5348"/>
      <c r="AG395" s="10778"/>
      <c r="AH395" s="1758"/>
      <c r="AI395" s="1758"/>
      <c r="AJ395" s="1758"/>
      <c r="AK395" s="1758"/>
      <c r="AL395" s="1758"/>
      <c r="AM395" s="1758"/>
      <c r="AN395" s="1758"/>
      <c r="AO395" s="1758"/>
      <c r="AP395" s="1758"/>
      <c r="AQ395" s="1758"/>
      <c r="AR395" s="1758"/>
      <c r="AS395" s="1758"/>
      <c r="AT395" s="1758"/>
      <c r="AU395" s="1758"/>
      <c r="AV395" s="1758"/>
      <c r="AW395" s="1758"/>
      <c r="AX395" s="1758"/>
      <c r="AY395" s="1758"/>
      <c r="AZ395" s="1758"/>
      <c r="BA395" s="1758"/>
      <c r="BB395" s="1758"/>
      <c r="BC395" s="1758"/>
      <c r="BD395" s="1758"/>
      <c r="BE395" s="1758"/>
      <c r="BF395" s="1758"/>
      <c r="BG395" s="1758"/>
      <c r="BH395" s="1758"/>
      <c r="BI395" s="1758"/>
      <c r="BJ395" s="1758"/>
      <c r="BK395" s="1758"/>
      <c r="BL395" s="1758"/>
      <c r="BM395" s="1758"/>
      <c r="BN395" s="1758"/>
      <c r="BO395" s="1758"/>
      <c r="BP395" s="1758"/>
      <c r="BQ395" s="1758"/>
      <c r="BR395" s="1758"/>
      <c r="BS395" s="1758"/>
      <c r="BT395" s="1758"/>
      <c r="BU395" s="1758"/>
      <c r="BV395" s="1758"/>
      <c r="BW395" s="1758"/>
      <c r="BX395" s="1758"/>
      <c r="BY395" s="1758"/>
      <c r="BZ395" s="1758"/>
      <c r="CA395" s="1758"/>
      <c r="CB395" s="1758"/>
      <c r="CC395" s="1758"/>
      <c r="CD395" s="1758"/>
      <c r="CE395" s="1758"/>
      <c r="CF395" s="1758"/>
      <c r="CG395" s="1758"/>
      <c r="CH395" s="1758"/>
      <c r="CI395" s="1758"/>
      <c r="CJ395" s="1758"/>
      <c r="CK395" s="1758"/>
      <c r="CL395" s="1758"/>
      <c r="CM395" s="1758"/>
      <c r="CN395" s="1758"/>
      <c r="CO395" s="1758"/>
      <c r="CP395" s="1758"/>
      <c r="CQ395" s="1758"/>
      <c r="CR395" s="1758"/>
      <c r="CS395" s="1758"/>
      <c r="CT395" s="1758"/>
      <c r="CU395" s="1758"/>
      <c r="CV395" s="1758"/>
      <c r="CW395" s="1758"/>
      <c r="CX395" s="1758"/>
      <c r="CY395" s="1758"/>
      <c r="CZ395" s="1758"/>
      <c r="DA395" s="1758"/>
      <c r="DB395" s="1758"/>
      <c r="DC395" s="1758"/>
    </row>
    <row r="396" spans="1:107" s="1395" customFormat="1" ht="21" customHeight="1">
      <c r="A396" s="10827"/>
      <c r="B396" s="10731" t="s">
        <v>183</v>
      </c>
      <c r="C396" s="10728" t="s">
        <v>227</v>
      </c>
      <c r="D396" s="10728" t="s">
        <v>1292</v>
      </c>
      <c r="E396" s="10728" t="s">
        <v>5052</v>
      </c>
      <c r="F396" s="10744" t="s">
        <v>230</v>
      </c>
      <c r="G396" s="10728" t="s">
        <v>231</v>
      </c>
      <c r="H396" s="10728" t="s">
        <v>189</v>
      </c>
      <c r="I396" s="10728" t="s">
        <v>5053</v>
      </c>
      <c r="J396" s="10742" t="s">
        <v>4667</v>
      </c>
      <c r="K396" s="10735" t="s">
        <v>5054</v>
      </c>
      <c r="L396" s="10738">
        <v>0</v>
      </c>
      <c r="M396" s="10738">
        <v>1</v>
      </c>
      <c r="N396" s="10738">
        <v>1</v>
      </c>
      <c r="O396" s="10735" t="s">
        <v>5055</v>
      </c>
      <c r="P396" s="10735" t="s">
        <v>5056</v>
      </c>
      <c r="Q396" s="10750" t="s">
        <v>5069</v>
      </c>
      <c r="R396" s="5173"/>
      <c r="S396" s="5212"/>
      <c r="T396" s="5212"/>
      <c r="U396" s="5249"/>
      <c r="V396" s="5281"/>
      <c r="W396" s="5302"/>
      <c r="X396" s="7477"/>
      <c r="Y396" s="7477"/>
      <c r="Z396" s="7477"/>
      <c r="AA396" s="7478"/>
      <c r="AB396" s="5325"/>
      <c r="AC396" s="1398"/>
      <c r="AD396" s="5302"/>
      <c r="AE396" s="5349"/>
      <c r="AF396" s="5349"/>
      <c r="AG396" s="10777" t="s">
        <v>4843</v>
      </c>
      <c r="AH396" s="1758"/>
      <c r="AI396" s="1758"/>
      <c r="AJ396" s="1758"/>
      <c r="AK396" s="1758"/>
      <c r="AL396" s="1758"/>
      <c r="AM396" s="1758"/>
      <c r="AN396" s="1758"/>
      <c r="AO396" s="1758"/>
      <c r="AP396" s="1758"/>
      <c r="AQ396" s="1758"/>
      <c r="AR396" s="1758"/>
      <c r="AS396" s="1758"/>
      <c r="AT396" s="1758"/>
      <c r="AU396" s="1758"/>
      <c r="AV396" s="1758"/>
      <c r="AW396" s="1758"/>
      <c r="AX396" s="1758"/>
      <c r="AY396" s="1758"/>
      <c r="AZ396" s="1758"/>
      <c r="BA396" s="1758"/>
      <c r="BB396" s="1758"/>
      <c r="BC396" s="1758"/>
      <c r="BD396" s="1758"/>
      <c r="BE396" s="1758"/>
      <c r="BF396" s="1758"/>
      <c r="BG396" s="1758"/>
      <c r="BH396" s="1758"/>
      <c r="BI396" s="1758"/>
      <c r="BJ396" s="1758"/>
      <c r="BK396" s="1758"/>
      <c r="BL396" s="1758"/>
      <c r="BM396" s="1758"/>
      <c r="BN396" s="1758"/>
      <c r="BO396" s="1758"/>
      <c r="BP396" s="1758"/>
      <c r="BQ396" s="1758"/>
      <c r="BR396" s="1758"/>
      <c r="BS396" s="1758"/>
      <c r="BT396" s="1758"/>
      <c r="BU396" s="1758"/>
      <c r="BV396" s="1758"/>
      <c r="BW396" s="1758"/>
      <c r="BX396" s="1758"/>
      <c r="BY396" s="1758"/>
      <c r="BZ396" s="1758"/>
      <c r="CA396" s="1758"/>
      <c r="CB396" s="1758"/>
      <c r="CC396" s="1758"/>
      <c r="CD396" s="1758"/>
      <c r="CE396" s="1758"/>
      <c r="CF396" s="1758"/>
      <c r="CG396" s="1758"/>
      <c r="CH396" s="1758"/>
      <c r="CI396" s="1758"/>
      <c r="CJ396" s="1758"/>
      <c r="CK396" s="1758"/>
      <c r="CL396" s="1758"/>
      <c r="CM396" s="1758"/>
      <c r="CN396" s="1758"/>
      <c r="CO396" s="1758"/>
      <c r="CP396" s="1758"/>
      <c r="CQ396" s="1758"/>
      <c r="CR396" s="1758"/>
      <c r="CS396" s="1758"/>
      <c r="CT396" s="1758"/>
      <c r="CU396" s="1758"/>
      <c r="CV396" s="1758"/>
      <c r="CW396" s="1758"/>
      <c r="CX396" s="1758"/>
      <c r="CY396" s="1758"/>
      <c r="CZ396" s="1758"/>
      <c r="DA396" s="1758"/>
      <c r="DB396" s="1758"/>
      <c r="DC396" s="1758"/>
    </row>
    <row r="397" spans="1:107" s="1395" customFormat="1" ht="21" customHeight="1">
      <c r="A397" s="10827"/>
      <c r="B397" s="10731"/>
      <c r="C397" s="10728"/>
      <c r="D397" s="10728"/>
      <c r="E397" s="10728"/>
      <c r="F397" s="10744"/>
      <c r="G397" s="10728"/>
      <c r="H397" s="10728"/>
      <c r="I397" s="10728"/>
      <c r="J397" s="10728"/>
      <c r="K397" s="10735"/>
      <c r="L397" s="10738"/>
      <c r="M397" s="10738"/>
      <c r="N397" s="10738"/>
      <c r="O397" s="10735"/>
      <c r="P397" s="10735"/>
      <c r="Q397" s="10750"/>
      <c r="R397" s="5171"/>
      <c r="S397" s="5213"/>
      <c r="T397" s="5213"/>
      <c r="U397" s="5247"/>
      <c r="V397" s="5279"/>
      <c r="W397" s="5300"/>
      <c r="X397" s="7473"/>
      <c r="Y397" s="7473"/>
      <c r="Z397" s="7473"/>
      <c r="AA397" s="7474"/>
      <c r="AB397" s="5323"/>
      <c r="AC397" s="1396"/>
      <c r="AD397" s="5300"/>
      <c r="AE397" s="5346"/>
      <c r="AF397" s="5346"/>
      <c r="AG397" s="10777"/>
      <c r="AH397" s="1758"/>
      <c r="AI397" s="1758"/>
      <c r="AJ397" s="1758"/>
      <c r="AK397" s="1758"/>
      <c r="AL397" s="1758"/>
      <c r="AM397" s="1758"/>
      <c r="AN397" s="1758"/>
      <c r="AO397" s="1758"/>
      <c r="AP397" s="1758"/>
      <c r="AQ397" s="1758"/>
      <c r="AR397" s="1758"/>
      <c r="AS397" s="1758"/>
      <c r="AT397" s="1758"/>
      <c r="AU397" s="1758"/>
      <c r="AV397" s="1758"/>
      <c r="AW397" s="1758"/>
      <c r="AX397" s="1758"/>
      <c r="AY397" s="1758"/>
      <c r="AZ397" s="1758"/>
      <c r="BA397" s="1758"/>
      <c r="BB397" s="1758"/>
      <c r="BC397" s="1758"/>
      <c r="BD397" s="1758"/>
      <c r="BE397" s="1758"/>
      <c r="BF397" s="1758"/>
      <c r="BG397" s="1758"/>
      <c r="BH397" s="1758"/>
      <c r="BI397" s="1758"/>
      <c r="BJ397" s="1758"/>
      <c r="BK397" s="1758"/>
      <c r="BL397" s="1758"/>
      <c r="BM397" s="1758"/>
      <c r="BN397" s="1758"/>
      <c r="BO397" s="1758"/>
      <c r="BP397" s="1758"/>
      <c r="BQ397" s="1758"/>
      <c r="BR397" s="1758"/>
      <c r="BS397" s="1758"/>
      <c r="BT397" s="1758"/>
      <c r="BU397" s="1758"/>
      <c r="BV397" s="1758"/>
      <c r="BW397" s="1758"/>
      <c r="BX397" s="1758"/>
      <c r="BY397" s="1758"/>
      <c r="BZ397" s="1758"/>
      <c r="CA397" s="1758"/>
      <c r="CB397" s="1758"/>
      <c r="CC397" s="1758"/>
      <c r="CD397" s="1758"/>
      <c r="CE397" s="1758"/>
      <c r="CF397" s="1758"/>
      <c r="CG397" s="1758"/>
      <c r="CH397" s="1758"/>
      <c r="CI397" s="1758"/>
      <c r="CJ397" s="1758"/>
      <c r="CK397" s="1758"/>
      <c r="CL397" s="1758"/>
      <c r="CM397" s="1758"/>
      <c r="CN397" s="1758"/>
      <c r="CO397" s="1758"/>
      <c r="CP397" s="1758"/>
      <c r="CQ397" s="1758"/>
      <c r="CR397" s="1758"/>
      <c r="CS397" s="1758"/>
      <c r="CT397" s="1758"/>
      <c r="CU397" s="1758"/>
      <c r="CV397" s="1758"/>
      <c r="CW397" s="1758"/>
      <c r="CX397" s="1758"/>
      <c r="CY397" s="1758"/>
      <c r="CZ397" s="1758"/>
      <c r="DA397" s="1758"/>
      <c r="DB397" s="1758"/>
      <c r="DC397" s="1758"/>
    </row>
    <row r="398" spans="1:107" s="1395" customFormat="1" ht="21" customHeight="1">
      <c r="A398" s="10827"/>
      <c r="B398" s="10731"/>
      <c r="C398" s="10728"/>
      <c r="D398" s="10728"/>
      <c r="E398" s="10728"/>
      <c r="F398" s="10744"/>
      <c r="G398" s="10728"/>
      <c r="H398" s="10728"/>
      <c r="I398" s="10728"/>
      <c r="J398" s="10728"/>
      <c r="K398" s="10735"/>
      <c r="L398" s="10738"/>
      <c r="M398" s="10738"/>
      <c r="N398" s="10738"/>
      <c r="O398" s="10735"/>
      <c r="P398" s="10735"/>
      <c r="Q398" s="10750"/>
      <c r="R398" s="5174"/>
      <c r="S398" s="5214"/>
      <c r="T398" s="5214"/>
      <c r="U398" s="5250"/>
      <c r="V398" s="5281"/>
      <c r="W398" s="5302"/>
      <c r="X398" s="7477"/>
      <c r="Y398" s="7473"/>
      <c r="Z398" s="7473"/>
      <c r="AA398" s="7474"/>
      <c r="AB398" s="5323"/>
      <c r="AC398" s="1396"/>
      <c r="AD398" s="5300"/>
      <c r="AE398" s="5346"/>
      <c r="AF398" s="5346"/>
      <c r="AG398" s="10777"/>
      <c r="AH398" s="1758"/>
      <c r="AI398" s="1758"/>
      <c r="AJ398" s="1758"/>
      <c r="AK398" s="1758"/>
      <c r="AL398" s="1758"/>
      <c r="AM398" s="1758"/>
      <c r="AN398" s="1758"/>
      <c r="AO398" s="1758"/>
      <c r="AP398" s="1758"/>
      <c r="AQ398" s="1758"/>
      <c r="AR398" s="1758"/>
      <c r="AS398" s="1758"/>
      <c r="AT398" s="1758"/>
      <c r="AU398" s="1758"/>
      <c r="AV398" s="1758"/>
      <c r="AW398" s="1758"/>
      <c r="AX398" s="1758"/>
      <c r="AY398" s="1758"/>
      <c r="AZ398" s="1758"/>
      <c r="BA398" s="1758"/>
      <c r="BB398" s="1758"/>
      <c r="BC398" s="1758"/>
      <c r="BD398" s="1758"/>
      <c r="BE398" s="1758"/>
      <c r="BF398" s="1758"/>
      <c r="BG398" s="1758"/>
      <c r="BH398" s="1758"/>
      <c r="BI398" s="1758"/>
      <c r="BJ398" s="1758"/>
      <c r="BK398" s="1758"/>
      <c r="BL398" s="1758"/>
      <c r="BM398" s="1758"/>
      <c r="BN398" s="1758"/>
      <c r="BO398" s="1758"/>
      <c r="BP398" s="1758"/>
      <c r="BQ398" s="1758"/>
      <c r="BR398" s="1758"/>
      <c r="BS398" s="1758"/>
      <c r="BT398" s="1758"/>
      <c r="BU398" s="1758"/>
      <c r="BV398" s="1758"/>
      <c r="BW398" s="1758"/>
      <c r="BX398" s="1758"/>
      <c r="BY398" s="1758"/>
      <c r="BZ398" s="1758"/>
      <c r="CA398" s="1758"/>
      <c r="CB398" s="1758"/>
      <c r="CC398" s="1758"/>
      <c r="CD398" s="1758"/>
      <c r="CE398" s="1758"/>
      <c r="CF398" s="1758"/>
      <c r="CG398" s="1758"/>
      <c r="CH398" s="1758"/>
      <c r="CI398" s="1758"/>
      <c r="CJ398" s="1758"/>
      <c r="CK398" s="1758"/>
      <c r="CL398" s="1758"/>
      <c r="CM398" s="1758"/>
      <c r="CN398" s="1758"/>
      <c r="CO398" s="1758"/>
      <c r="CP398" s="1758"/>
      <c r="CQ398" s="1758"/>
      <c r="CR398" s="1758"/>
      <c r="CS398" s="1758"/>
      <c r="CT398" s="1758"/>
      <c r="CU398" s="1758"/>
      <c r="CV398" s="1758"/>
      <c r="CW398" s="1758"/>
      <c r="CX398" s="1758"/>
      <c r="CY398" s="1758"/>
      <c r="CZ398" s="1758"/>
      <c r="DA398" s="1758"/>
      <c r="DB398" s="1758"/>
      <c r="DC398" s="1758"/>
    </row>
    <row r="399" spans="1:107" s="1395" customFormat="1" ht="21" customHeight="1">
      <c r="A399" s="10827"/>
      <c r="B399" s="10731"/>
      <c r="C399" s="10728"/>
      <c r="D399" s="10728"/>
      <c r="E399" s="10728"/>
      <c r="F399" s="10744"/>
      <c r="G399" s="10728"/>
      <c r="H399" s="10728"/>
      <c r="I399" s="10728"/>
      <c r="J399" s="10728"/>
      <c r="K399" s="10735"/>
      <c r="L399" s="10738"/>
      <c r="M399" s="10738"/>
      <c r="N399" s="10738"/>
      <c r="O399" s="10735"/>
      <c r="P399" s="10735"/>
      <c r="Q399" s="10750"/>
      <c r="R399" s="5173"/>
      <c r="S399" s="5212"/>
      <c r="T399" s="5212"/>
      <c r="U399" s="5250"/>
      <c r="V399" s="5281"/>
      <c r="W399" s="5302"/>
      <c r="X399" s="7477"/>
      <c r="Y399" s="7473"/>
      <c r="Z399" s="7473"/>
      <c r="AA399" s="7474"/>
      <c r="AB399" s="5323"/>
      <c r="AC399" s="1396"/>
      <c r="AD399" s="5300"/>
      <c r="AE399" s="5346"/>
      <c r="AF399" s="5346"/>
      <c r="AG399" s="10777"/>
      <c r="AH399" s="1758"/>
      <c r="AI399" s="1758"/>
      <c r="AJ399" s="1758"/>
      <c r="AK399" s="1758"/>
      <c r="AL399" s="1758"/>
      <c r="AM399" s="1758"/>
      <c r="AN399" s="1758"/>
      <c r="AO399" s="1758"/>
      <c r="AP399" s="1758"/>
      <c r="AQ399" s="1758"/>
      <c r="AR399" s="1758"/>
      <c r="AS399" s="1758"/>
      <c r="AT399" s="1758"/>
      <c r="AU399" s="1758"/>
      <c r="AV399" s="1758"/>
      <c r="AW399" s="1758"/>
      <c r="AX399" s="1758"/>
      <c r="AY399" s="1758"/>
      <c r="AZ399" s="1758"/>
      <c r="BA399" s="1758"/>
      <c r="BB399" s="1758"/>
      <c r="BC399" s="1758"/>
      <c r="BD399" s="1758"/>
      <c r="BE399" s="1758"/>
      <c r="BF399" s="1758"/>
      <c r="BG399" s="1758"/>
      <c r="BH399" s="1758"/>
      <c r="BI399" s="1758"/>
      <c r="BJ399" s="1758"/>
      <c r="BK399" s="1758"/>
      <c r="BL399" s="1758"/>
      <c r="BM399" s="1758"/>
      <c r="BN399" s="1758"/>
      <c r="BO399" s="1758"/>
      <c r="BP399" s="1758"/>
      <c r="BQ399" s="1758"/>
      <c r="BR399" s="1758"/>
      <c r="BS399" s="1758"/>
      <c r="BT399" s="1758"/>
      <c r="BU399" s="1758"/>
      <c r="BV399" s="1758"/>
      <c r="BW399" s="1758"/>
      <c r="BX399" s="1758"/>
      <c r="BY399" s="1758"/>
      <c r="BZ399" s="1758"/>
      <c r="CA399" s="1758"/>
      <c r="CB399" s="1758"/>
      <c r="CC399" s="1758"/>
      <c r="CD399" s="1758"/>
      <c r="CE399" s="1758"/>
      <c r="CF399" s="1758"/>
      <c r="CG399" s="1758"/>
      <c r="CH399" s="1758"/>
      <c r="CI399" s="1758"/>
      <c r="CJ399" s="1758"/>
      <c r="CK399" s="1758"/>
      <c r="CL399" s="1758"/>
      <c r="CM399" s="1758"/>
      <c r="CN399" s="1758"/>
      <c r="CO399" s="1758"/>
      <c r="CP399" s="1758"/>
      <c r="CQ399" s="1758"/>
      <c r="CR399" s="1758"/>
      <c r="CS399" s="1758"/>
      <c r="CT399" s="1758"/>
      <c r="CU399" s="1758"/>
      <c r="CV399" s="1758"/>
      <c r="CW399" s="1758"/>
      <c r="CX399" s="1758"/>
      <c r="CY399" s="1758"/>
      <c r="CZ399" s="1758"/>
      <c r="DA399" s="1758"/>
      <c r="DB399" s="1758"/>
      <c r="DC399" s="1758"/>
    </row>
    <row r="400" spans="1:107" s="1395" customFormat="1" ht="21" customHeight="1">
      <c r="A400" s="10827"/>
      <c r="B400" s="10732"/>
      <c r="C400" s="10729"/>
      <c r="D400" s="10729"/>
      <c r="E400" s="10729"/>
      <c r="F400" s="10745"/>
      <c r="G400" s="10729"/>
      <c r="H400" s="10729"/>
      <c r="I400" s="10729"/>
      <c r="J400" s="10729"/>
      <c r="K400" s="10736"/>
      <c r="L400" s="10739"/>
      <c r="M400" s="10739"/>
      <c r="N400" s="10739"/>
      <c r="O400" s="10736"/>
      <c r="P400" s="10736"/>
      <c r="Q400" s="10751"/>
      <c r="R400" s="5175"/>
      <c r="S400" s="5215"/>
      <c r="T400" s="5215"/>
      <c r="U400" s="5251"/>
      <c r="V400" s="5282"/>
      <c r="W400" s="5303"/>
      <c r="X400" s="7479"/>
      <c r="Y400" s="7479"/>
      <c r="Z400" s="7479"/>
      <c r="AA400" s="7480"/>
      <c r="AB400" s="5326"/>
      <c r="AC400" s="1399"/>
      <c r="AD400" s="5303"/>
      <c r="AE400" s="5348"/>
      <c r="AF400" s="5348"/>
      <c r="AG400" s="10778"/>
      <c r="AH400" s="1758"/>
      <c r="AI400" s="1758"/>
      <c r="AJ400" s="1758"/>
      <c r="AK400" s="1758"/>
      <c r="AL400" s="1758"/>
      <c r="AM400" s="1758"/>
      <c r="AN400" s="1758"/>
      <c r="AO400" s="1758"/>
      <c r="AP400" s="1758"/>
      <c r="AQ400" s="1758"/>
      <c r="AR400" s="1758"/>
      <c r="AS400" s="1758"/>
      <c r="AT400" s="1758"/>
      <c r="AU400" s="1758"/>
      <c r="AV400" s="1758"/>
      <c r="AW400" s="1758"/>
      <c r="AX400" s="1758"/>
      <c r="AY400" s="1758"/>
      <c r="AZ400" s="1758"/>
      <c r="BA400" s="1758"/>
      <c r="BB400" s="1758"/>
      <c r="BC400" s="1758"/>
      <c r="BD400" s="1758"/>
      <c r="BE400" s="1758"/>
      <c r="BF400" s="1758"/>
      <c r="BG400" s="1758"/>
      <c r="BH400" s="1758"/>
      <c r="BI400" s="1758"/>
      <c r="BJ400" s="1758"/>
      <c r="BK400" s="1758"/>
      <c r="BL400" s="1758"/>
      <c r="BM400" s="1758"/>
      <c r="BN400" s="1758"/>
      <c r="BO400" s="1758"/>
      <c r="BP400" s="1758"/>
      <c r="BQ400" s="1758"/>
      <c r="BR400" s="1758"/>
      <c r="BS400" s="1758"/>
      <c r="BT400" s="1758"/>
      <c r="BU400" s="1758"/>
      <c r="BV400" s="1758"/>
      <c r="BW400" s="1758"/>
      <c r="BX400" s="1758"/>
      <c r="BY400" s="1758"/>
      <c r="BZ400" s="1758"/>
      <c r="CA400" s="1758"/>
      <c r="CB400" s="1758"/>
      <c r="CC400" s="1758"/>
      <c r="CD400" s="1758"/>
      <c r="CE400" s="1758"/>
      <c r="CF400" s="1758"/>
      <c r="CG400" s="1758"/>
      <c r="CH400" s="1758"/>
      <c r="CI400" s="1758"/>
      <c r="CJ400" s="1758"/>
      <c r="CK400" s="1758"/>
      <c r="CL400" s="1758"/>
      <c r="CM400" s="1758"/>
      <c r="CN400" s="1758"/>
      <c r="CO400" s="1758"/>
      <c r="CP400" s="1758"/>
      <c r="CQ400" s="1758"/>
      <c r="CR400" s="1758"/>
      <c r="CS400" s="1758"/>
      <c r="CT400" s="1758"/>
      <c r="CU400" s="1758"/>
      <c r="CV400" s="1758"/>
      <c r="CW400" s="1758"/>
      <c r="CX400" s="1758"/>
      <c r="CY400" s="1758"/>
      <c r="CZ400" s="1758"/>
      <c r="DA400" s="1758"/>
      <c r="DB400" s="1758"/>
      <c r="DC400" s="1758"/>
    </row>
    <row r="401" spans="1:107" s="1395" customFormat="1" ht="25.5" customHeight="1">
      <c r="A401" s="10827"/>
      <c r="B401" s="10731" t="s">
        <v>127</v>
      </c>
      <c r="C401" s="10728" t="s">
        <v>227</v>
      </c>
      <c r="D401" s="10728" t="s">
        <v>228</v>
      </c>
      <c r="E401" s="10728" t="s">
        <v>229</v>
      </c>
      <c r="F401" s="10744" t="s">
        <v>230</v>
      </c>
      <c r="G401" s="10728" t="s">
        <v>171</v>
      </c>
      <c r="H401" s="10728" t="s">
        <v>159</v>
      </c>
      <c r="I401" s="10728" t="s">
        <v>5057</v>
      </c>
      <c r="J401" s="10742" t="s">
        <v>5058</v>
      </c>
      <c r="K401" s="10735" t="s">
        <v>5059</v>
      </c>
      <c r="L401" s="10738">
        <v>0</v>
      </c>
      <c r="M401" s="10738">
        <v>4</v>
      </c>
      <c r="N401" s="10738">
        <v>4</v>
      </c>
      <c r="O401" s="10735" t="s">
        <v>5060</v>
      </c>
      <c r="P401" s="10735" t="s">
        <v>5061</v>
      </c>
      <c r="Q401" s="10750" t="s">
        <v>5069</v>
      </c>
      <c r="R401" s="5173"/>
      <c r="S401" s="5212"/>
      <c r="T401" s="5212"/>
      <c r="U401" s="5249"/>
      <c r="V401" s="5281"/>
      <c r="W401" s="5302"/>
      <c r="X401" s="7477"/>
      <c r="Y401" s="7477"/>
      <c r="Z401" s="7477"/>
      <c r="AA401" s="7478"/>
      <c r="AB401" s="5325"/>
      <c r="AC401" s="1398"/>
      <c r="AD401" s="5302"/>
      <c r="AE401" s="5349"/>
      <c r="AF401" s="5349"/>
      <c r="AG401" s="10777" t="s">
        <v>4843</v>
      </c>
      <c r="AH401" s="1758"/>
      <c r="AI401" s="1758"/>
      <c r="AJ401" s="1758"/>
      <c r="AK401" s="1758"/>
      <c r="AL401" s="1758"/>
      <c r="AM401" s="1758"/>
      <c r="AN401" s="1758"/>
      <c r="AO401" s="1758"/>
      <c r="AP401" s="1758"/>
      <c r="AQ401" s="1758"/>
      <c r="AR401" s="1758"/>
      <c r="AS401" s="1758"/>
      <c r="AT401" s="1758"/>
      <c r="AU401" s="1758"/>
      <c r="AV401" s="1758"/>
      <c r="AW401" s="1758"/>
      <c r="AX401" s="1758"/>
      <c r="AY401" s="1758"/>
      <c r="AZ401" s="1758"/>
      <c r="BA401" s="1758"/>
      <c r="BB401" s="1758"/>
      <c r="BC401" s="1758"/>
      <c r="BD401" s="1758"/>
      <c r="BE401" s="1758"/>
      <c r="BF401" s="1758"/>
      <c r="BG401" s="1758"/>
      <c r="BH401" s="1758"/>
      <c r="BI401" s="1758"/>
      <c r="BJ401" s="1758"/>
      <c r="BK401" s="1758"/>
      <c r="BL401" s="1758"/>
      <c r="BM401" s="1758"/>
      <c r="BN401" s="1758"/>
      <c r="BO401" s="1758"/>
      <c r="BP401" s="1758"/>
      <c r="BQ401" s="1758"/>
      <c r="BR401" s="1758"/>
      <c r="BS401" s="1758"/>
      <c r="BT401" s="1758"/>
      <c r="BU401" s="1758"/>
      <c r="BV401" s="1758"/>
      <c r="BW401" s="1758"/>
      <c r="BX401" s="1758"/>
      <c r="BY401" s="1758"/>
      <c r="BZ401" s="1758"/>
      <c r="CA401" s="1758"/>
      <c r="CB401" s="1758"/>
      <c r="CC401" s="1758"/>
      <c r="CD401" s="1758"/>
      <c r="CE401" s="1758"/>
      <c r="CF401" s="1758"/>
      <c r="CG401" s="1758"/>
      <c r="CH401" s="1758"/>
      <c r="CI401" s="1758"/>
      <c r="CJ401" s="1758"/>
      <c r="CK401" s="1758"/>
      <c r="CL401" s="1758"/>
      <c r="CM401" s="1758"/>
      <c r="CN401" s="1758"/>
      <c r="CO401" s="1758"/>
      <c r="CP401" s="1758"/>
      <c r="CQ401" s="1758"/>
      <c r="CR401" s="1758"/>
      <c r="CS401" s="1758"/>
      <c r="CT401" s="1758"/>
      <c r="CU401" s="1758"/>
      <c r="CV401" s="1758"/>
      <c r="CW401" s="1758"/>
      <c r="CX401" s="1758"/>
      <c r="CY401" s="1758"/>
      <c r="CZ401" s="1758"/>
      <c r="DA401" s="1758"/>
      <c r="DB401" s="1758"/>
      <c r="DC401" s="1758"/>
    </row>
    <row r="402" spans="1:107" s="1395" customFormat="1" ht="25.5" customHeight="1">
      <c r="A402" s="10827"/>
      <c r="B402" s="10731"/>
      <c r="C402" s="10728"/>
      <c r="D402" s="10728"/>
      <c r="E402" s="10728"/>
      <c r="F402" s="10744"/>
      <c r="G402" s="10728"/>
      <c r="H402" s="10728"/>
      <c r="I402" s="10728"/>
      <c r="J402" s="10728"/>
      <c r="K402" s="10735"/>
      <c r="L402" s="10738"/>
      <c r="M402" s="10738"/>
      <c r="N402" s="10738"/>
      <c r="O402" s="10735"/>
      <c r="P402" s="10735"/>
      <c r="Q402" s="10750"/>
      <c r="R402" s="5171"/>
      <c r="S402" s="5213"/>
      <c r="T402" s="5213"/>
      <c r="U402" s="5247"/>
      <c r="V402" s="5279"/>
      <c r="W402" s="5300"/>
      <c r="X402" s="7473"/>
      <c r="Y402" s="7473"/>
      <c r="Z402" s="7473"/>
      <c r="AA402" s="7474"/>
      <c r="AB402" s="5323"/>
      <c r="AC402" s="1396"/>
      <c r="AD402" s="5300"/>
      <c r="AE402" s="5346"/>
      <c r="AF402" s="5346"/>
      <c r="AG402" s="10777"/>
      <c r="AH402" s="1758"/>
      <c r="AI402" s="1758"/>
      <c r="AJ402" s="1758"/>
      <c r="AK402" s="1758"/>
      <c r="AL402" s="1758"/>
      <c r="AM402" s="1758"/>
      <c r="AN402" s="1758"/>
      <c r="AO402" s="1758"/>
      <c r="AP402" s="1758"/>
      <c r="AQ402" s="1758"/>
      <c r="AR402" s="1758"/>
      <c r="AS402" s="1758"/>
      <c r="AT402" s="1758"/>
      <c r="AU402" s="1758"/>
      <c r="AV402" s="1758"/>
      <c r="AW402" s="1758"/>
      <c r="AX402" s="1758"/>
      <c r="AY402" s="1758"/>
      <c r="AZ402" s="1758"/>
      <c r="BA402" s="1758"/>
      <c r="BB402" s="1758"/>
      <c r="BC402" s="1758"/>
      <c r="BD402" s="1758"/>
      <c r="BE402" s="1758"/>
      <c r="BF402" s="1758"/>
      <c r="BG402" s="1758"/>
      <c r="BH402" s="1758"/>
      <c r="BI402" s="1758"/>
      <c r="BJ402" s="1758"/>
      <c r="BK402" s="1758"/>
      <c r="BL402" s="1758"/>
      <c r="BM402" s="1758"/>
      <c r="BN402" s="1758"/>
      <c r="BO402" s="1758"/>
      <c r="BP402" s="1758"/>
      <c r="BQ402" s="1758"/>
      <c r="BR402" s="1758"/>
      <c r="BS402" s="1758"/>
      <c r="BT402" s="1758"/>
      <c r="BU402" s="1758"/>
      <c r="BV402" s="1758"/>
      <c r="BW402" s="1758"/>
      <c r="BX402" s="1758"/>
      <c r="BY402" s="1758"/>
      <c r="BZ402" s="1758"/>
      <c r="CA402" s="1758"/>
      <c r="CB402" s="1758"/>
      <c r="CC402" s="1758"/>
      <c r="CD402" s="1758"/>
      <c r="CE402" s="1758"/>
      <c r="CF402" s="1758"/>
      <c r="CG402" s="1758"/>
      <c r="CH402" s="1758"/>
      <c r="CI402" s="1758"/>
      <c r="CJ402" s="1758"/>
      <c r="CK402" s="1758"/>
      <c r="CL402" s="1758"/>
      <c r="CM402" s="1758"/>
      <c r="CN402" s="1758"/>
      <c r="CO402" s="1758"/>
      <c r="CP402" s="1758"/>
      <c r="CQ402" s="1758"/>
      <c r="CR402" s="1758"/>
      <c r="CS402" s="1758"/>
      <c r="CT402" s="1758"/>
      <c r="CU402" s="1758"/>
      <c r="CV402" s="1758"/>
      <c r="CW402" s="1758"/>
      <c r="CX402" s="1758"/>
      <c r="CY402" s="1758"/>
      <c r="CZ402" s="1758"/>
      <c r="DA402" s="1758"/>
      <c r="DB402" s="1758"/>
      <c r="DC402" s="1758"/>
    </row>
    <row r="403" spans="1:107" s="1395" customFormat="1" ht="25.5" customHeight="1">
      <c r="A403" s="10827"/>
      <c r="B403" s="10731"/>
      <c r="C403" s="10728"/>
      <c r="D403" s="10728"/>
      <c r="E403" s="10728"/>
      <c r="F403" s="10744"/>
      <c r="G403" s="10728"/>
      <c r="H403" s="10728"/>
      <c r="I403" s="10728"/>
      <c r="J403" s="10728"/>
      <c r="K403" s="10735"/>
      <c r="L403" s="10738"/>
      <c r="M403" s="10738"/>
      <c r="N403" s="10738"/>
      <c r="O403" s="10735"/>
      <c r="P403" s="10735"/>
      <c r="Q403" s="10750"/>
      <c r="R403" s="5174"/>
      <c r="S403" s="5214"/>
      <c r="T403" s="5214"/>
      <c r="U403" s="5250"/>
      <c r="V403" s="5281"/>
      <c r="W403" s="5302"/>
      <c r="X403" s="7477"/>
      <c r="Y403" s="7473"/>
      <c r="Z403" s="7473"/>
      <c r="AA403" s="7474"/>
      <c r="AB403" s="5323"/>
      <c r="AC403" s="1396"/>
      <c r="AD403" s="5300"/>
      <c r="AE403" s="5346"/>
      <c r="AF403" s="5346"/>
      <c r="AG403" s="10777"/>
      <c r="AH403" s="1758"/>
      <c r="AI403" s="1758"/>
      <c r="AJ403" s="1758"/>
      <c r="AK403" s="1758"/>
      <c r="AL403" s="1758"/>
      <c r="AM403" s="1758"/>
      <c r="AN403" s="1758"/>
      <c r="AO403" s="1758"/>
      <c r="AP403" s="1758"/>
      <c r="AQ403" s="1758"/>
      <c r="AR403" s="1758"/>
      <c r="AS403" s="1758"/>
      <c r="AT403" s="1758"/>
      <c r="AU403" s="1758"/>
      <c r="AV403" s="1758"/>
      <c r="AW403" s="1758"/>
      <c r="AX403" s="1758"/>
      <c r="AY403" s="1758"/>
      <c r="AZ403" s="1758"/>
      <c r="BA403" s="1758"/>
      <c r="BB403" s="1758"/>
      <c r="BC403" s="1758"/>
      <c r="BD403" s="1758"/>
      <c r="BE403" s="1758"/>
      <c r="BF403" s="1758"/>
      <c r="BG403" s="1758"/>
      <c r="BH403" s="1758"/>
      <c r="BI403" s="1758"/>
      <c r="BJ403" s="1758"/>
      <c r="BK403" s="1758"/>
      <c r="BL403" s="1758"/>
      <c r="BM403" s="1758"/>
      <c r="BN403" s="1758"/>
      <c r="BO403" s="1758"/>
      <c r="BP403" s="1758"/>
      <c r="BQ403" s="1758"/>
      <c r="BR403" s="1758"/>
      <c r="BS403" s="1758"/>
      <c r="BT403" s="1758"/>
      <c r="BU403" s="1758"/>
      <c r="BV403" s="1758"/>
      <c r="BW403" s="1758"/>
      <c r="BX403" s="1758"/>
      <c r="BY403" s="1758"/>
      <c r="BZ403" s="1758"/>
      <c r="CA403" s="1758"/>
      <c r="CB403" s="1758"/>
      <c r="CC403" s="1758"/>
      <c r="CD403" s="1758"/>
      <c r="CE403" s="1758"/>
      <c r="CF403" s="1758"/>
      <c r="CG403" s="1758"/>
      <c r="CH403" s="1758"/>
      <c r="CI403" s="1758"/>
      <c r="CJ403" s="1758"/>
      <c r="CK403" s="1758"/>
      <c r="CL403" s="1758"/>
      <c r="CM403" s="1758"/>
      <c r="CN403" s="1758"/>
      <c r="CO403" s="1758"/>
      <c r="CP403" s="1758"/>
      <c r="CQ403" s="1758"/>
      <c r="CR403" s="1758"/>
      <c r="CS403" s="1758"/>
      <c r="CT403" s="1758"/>
      <c r="CU403" s="1758"/>
      <c r="CV403" s="1758"/>
      <c r="CW403" s="1758"/>
      <c r="CX403" s="1758"/>
      <c r="CY403" s="1758"/>
      <c r="CZ403" s="1758"/>
      <c r="DA403" s="1758"/>
      <c r="DB403" s="1758"/>
      <c r="DC403" s="1758"/>
    </row>
    <row r="404" spans="1:107" s="1395" customFormat="1" ht="25.5" customHeight="1">
      <c r="A404" s="10827"/>
      <c r="B404" s="10731"/>
      <c r="C404" s="10728"/>
      <c r="D404" s="10728"/>
      <c r="E404" s="10728"/>
      <c r="F404" s="10744"/>
      <c r="G404" s="10728"/>
      <c r="H404" s="10728"/>
      <c r="I404" s="10728"/>
      <c r="J404" s="10728"/>
      <c r="K404" s="10735"/>
      <c r="L404" s="10738"/>
      <c r="M404" s="10738"/>
      <c r="N404" s="10738"/>
      <c r="O404" s="10735"/>
      <c r="P404" s="10735"/>
      <c r="Q404" s="10750"/>
      <c r="R404" s="5173"/>
      <c r="S404" s="5212"/>
      <c r="T404" s="5212"/>
      <c r="U404" s="5250"/>
      <c r="V404" s="5281"/>
      <c r="W404" s="5302"/>
      <c r="X404" s="7477"/>
      <c r="Y404" s="7473"/>
      <c r="Z404" s="7473"/>
      <c r="AA404" s="7474"/>
      <c r="AB404" s="5323"/>
      <c r="AC404" s="1396"/>
      <c r="AD404" s="5300"/>
      <c r="AE404" s="5346"/>
      <c r="AF404" s="5346"/>
      <c r="AG404" s="10777"/>
      <c r="AH404" s="1758"/>
      <c r="AI404" s="1758"/>
      <c r="AJ404" s="1758"/>
      <c r="AK404" s="1758"/>
      <c r="AL404" s="1758"/>
      <c r="AM404" s="1758"/>
      <c r="AN404" s="1758"/>
      <c r="AO404" s="1758"/>
      <c r="AP404" s="1758"/>
      <c r="AQ404" s="1758"/>
      <c r="AR404" s="1758"/>
      <c r="AS404" s="1758"/>
      <c r="AT404" s="1758"/>
      <c r="AU404" s="1758"/>
      <c r="AV404" s="1758"/>
      <c r="AW404" s="1758"/>
      <c r="AX404" s="1758"/>
      <c r="AY404" s="1758"/>
      <c r="AZ404" s="1758"/>
      <c r="BA404" s="1758"/>
      <c r="BB404" s="1758"/>
      <c r="BC404" s="1758"/>
      <c r="BD404" s="1758"/>
      <c r="BE404" s="1758"/>
      <c r="BF404" s="1758"/>
      <c r="BG404" s="1758"/>
      <c r="BH404" s="1758"/>
      <c r="BI404" s="1758"/>
      <c r="BJ404" s="1758"/>
      <c r="BK404" s="1758"/>
      <c r="BL404" s="1758"/>
      <c r="BM404" s="1758"/>
      <c r="BN404" s="1758"/>
      <c r="BO404" s="1758"/>
      <c r="BP404" s="1758"/>
      <c r="BQ404" s="1758"/>
      <c r="BR404" s="1758"/>
      <c r="BS404" s="1758"/>
      <c r="BT404" s="1758"/>
      <c r="BU404" s="1758"/>
      <c r="BV404" s="1758"/>
      <c r="BW404" s="1758"/>
      <c r="BX404" s="1758"/>
      <c r="BY404" s="1758"/>
      <c r="BZ404" s="1758"/>
      <c r="CA404" s="1758"/>
      <c r="CB404" s="1758"/>
      <c r="CC404" s="1758"/>
      <c r="CD404" s="1758"/>
      <c r="CE404" s="1758"/>
      <c r="CF404" s="1758"/>
      <c r="CG404" s="1758"/>
      <c r="CH404" s="1758"/>
      <c r="CI404" s="1758"/>
      <c r="CJ404" s="1758"/>
      <c r="CK404" s="1758"/>
      <c r="CL404" s="1758"/>
      <c r="CM404" s="1758"/>
      <c r="CN404" s="1758"/>
      <c r="CO404" s="1758"/>
      <c r="CP404" s="1758"/>
      <c r="CQ404" s="1758"/>
      <c r="CR404" s="1758"/>
      <c r="CS404" s="1758"/>
      <c r="CT404" s="1758"/>
      <c r="CU404" s="1758"/>
      <c r="CV404" s="1758"/>
      <c r="CW404" s="1758"/>
      <c r="CX404" s="1758"/>
      <c r="CY404" s="1758"/>
      <c r="CZ404" s="1758"/>
      <c r="DA404" s="1758"/>
      <c r="DB404" s="1758"/>
      <c r="DC404" s="1758"/>
    </row>
    <row r="405" spans="1:107" s="1395" customFormat="1" ht="25.5" customHeight="1">
      <c r="A405" s="10827"/>
      <c r="B405" s="10732"/>
      <c r="C405" s="10729"/>
      <c r="D405" s="10729"/>
      <c r="E405" s="10729"/>
      <c r="F405" s="10745"/>
      <c r="G405" s="10729"/>
      <c r="H405" s="10729"/>
      <c r="I405" s="10729"/>
      <c r="J405" s="10729"/>
      <c r="K405" s="10736"/>
      <c r="L405" s="10739"/>
      <c r="M405" s="10739"/>
      <c r="N405" s="10739"/>
      <c r="O405" s="10736"/>
      <c r="P405" s="10736"/>
      <c r="Q405" s="10751"/>
      <c r="R405" s="5175"/>
      <c r="S405" s="5215"/>
      <c r="T405" s="5215"/>
      <c r="U405" s="5251"/>
      <c r="V405" s="5282"/>
      <c r="W405" s="5303"/>
      <c r="X405" s="7479"/>
      <c r="Y405" s="7479"/>
      <c r="Z405" s="7479"/>
      <c r="AA405" s="7480"/>
      <c r="AB405" s="5326"/>
      <c r="AC405" s="1399"/>
      <c r="AD405" s="5303"/>
      <c r="AE405" s="5348"/>
      <c r="AF405" s="5348"/>
      <c r="AG405" s="10778"/>
      <c r="AH405" s="1758"/>
      <c r="AI405" s="1758"/>
      <c r="AJ405" s="1758"/>
      <c r="AK405" s="1758"/>
      <c r="AL405" s="1758"/>
      <c r="AM405" s="1758"/>
      <c r="AN405" s="1758"/>
      <c r="AO405" s="1758"/>
      <c r="AP405" s="1758"/>
      <c r="AQ405" s="1758"/>
      <c r="AR405" s="1758"/>
      <c r="AS405" s="1758"/>
      <c r="AT405" s="1758"/>
      <c r="AU405" s="1758"/>
      <c r="AV405" s="1758"/>
      <c r="AW405" s="1758"/>
      <c r="AX405" s="1758"/>
      <c r="AY405" s="1758"/>
      <c r="AZ405" s="1758"/>
      <c r="BA405" s="1758"/>
      <c r="BB405" s="1758"/>
      <c r="BC405" s="1758"/>
      <c r="BD405" s="1758"/>
      <c r="BE405" s="1758"/>
      <c r="BF405" s="1758"/>
      <c r="BG405" s="1758"/>
      <c r="BH405" s="1758"/>
      <c r="BI405" s="1758"/>
      <c r="BJ405" s="1758"/>
      <c r="BK405" s="1758"/>
      <c r="BL405" s="1758"/>
      <c r="BM405" s="1758"/>
      <c r="BN405" s="1758"/>
      <c r="BO405" s="1758"/>
      <c r="BP405" s="1758"/>
      <c r="BQ405" s="1758"/>
      <c r="BR405" s="1758"/>
      <c r="BS405" s="1758"/>
      <c r="BT405" s="1758"/>
      <c r="BU405" s="1758"/>
      <c r="BV405" s="1758"/>
      <c r="BW405" s="1758"/>
      <c r="BX405" s="1758"/>
      <c r="BY405" s="1758"/>
      <c r="BZ405" s="1758"/>
      <c r="CA405" s="1758"/>
      <c r="CB405" s="1758"/>
      <c r="CC405" s="1758"/>
      <c r="CD405" s="1758"/>
      <c r="CE405" s="1758"/>
      <c r="CF405" s="1758"/>
      <c r="CG405" s="1758"/>
      <c r="CH405" s="1758"/>
      <c r="CI405" s="1758"/>
      <c r="CJ405" s="1758"/>
      <c r="CK405" s="1758"/>
      <c r="CL405" s="1758"/>
      <c r="CM405" s="1758"/>
      <c r="CN405" s="1758"/>
      <c r="CO405" s="1758"/>
      <c r="CP405" s="1758"/>
      <c r="CQ405" s="1758"/>
      <c r="CR405" s="1758"/>
      <c r="CS405" s="1758"/>
      <c r="CT405" s="1758"/>
      <c r="CU405" s="1758"/>
      <c r="CV405" s="1758"/>
      <c r="CW405" s="1758"/>
      <c r="CX405" s="1758"/>
      <c r="CY405" s="1758"/>
      <c r="CZ405" s="1758"/>
      <c r="DA405" s="1758"/>
      <c r="DB405" s="1758"/>
      <c r="DC405" s="1758"/>
    </row>
    <row r="406" spans="1:107" s="1395" customFormat="1" ht="21" customHeight="1">
      <c r="A406" s="10827"/>
      <c r="B406" s="10731" t="s">
        <v>183</v>
      </c>
      <c r="C406" s="10728" t="s">
        <v>128</v>
      </c>
      <c r="D406" s="10728" t="s">
        <v>129</v>
      </c>
      <c r="E406" s="10728" t="s">
        <v>205</v>
      </c>
      <c r="F406" s="10744" t="s">
        <v>131</v>
      </c>
      <c r="G406" s="10728" t="s">
        <v>132</v>
      </c>
      <c r="H406" s="10728" t="s">
        <v>159</v>
      </c>
      <c r="I406" s="10728" t="s">
        <v>5062</v>
      </c>
      <c r="J406" s="10742" t="s">
        <v>5063</v>
      </c>
      <c r="K406" s="10735" t="s">
        <v>5064</v>
      </c>
      <c r="L406" s="10738">
        <v>0</v>
      </c>
      <c r="M406" s="10738">
        <v>4</v>
      </c>
      <c r="N406" s="10738">
        <v>4</v>
      </c>
      <c r="O406" s="10735" t="s">
        <v>5065</v>
      </c>
      <c r="P406" s="10735" t="s">
        <v>5066</v>
      </c>
      <c r="Q406" s="10750" t="s">
        <v>5069</v>
      </c>
      <c r="R406" s="5173"/>
      <c r="S406" s="5212"/>
      <c r="T406" s="5212"/>
      <c r="U406" s="5249"/>
      <c r="V406" s="5281"/>
      <c r="W406" s="5302"/>
      <c r="X406" s="7477"/>
      <c r="Y406" s="7477"/>
      <c r="Z406" s="7477"/>
      <c r="AA406" s="7478"/>
      <c r="AB406" s="5325"/>
      <c r="AC406" s="1398"/>
      <c r="AD406" s="5302"/>
      <c r="AE406" s="5349"/>
      <c r="AF406" s="5349"/>
      <c r="AG406" s="10777" t="s">
        <v>4843</v>
      </c>
      <c r="AH406" s="1758"/>
      <c r="AI406" s="1758"/>
      <c r="AJ406" s="1758"/>
      <c r="AK406" s="1758"/>
      <c r="AL406" s="1758"/>
      <c r="AM406" s="1758"/>
      <c r="AN406" s="1758"/>
      <c r="AO406" s="1758"/>
      <c r="AP406" s="1758"/>
      <c r="AQ406" s="1758"/>
      <c r="AR406" s="1758"/>
      <c r="AS406" s="1758"/>
      <c r="AT406" s="1758"/>
      <c r="AU406" s="1758"/>
      <c r="AV406" s="1758"/>
      <c r="AW406" s="1758"/>
      <c r="AX406" s="1758"/>
      <c r="AY406" s="1758"/>
      <c r="AZ406" s="1758"/>
      <c r="BA406" s="1758"/>
      <c r="BB406" s="1758"/>
      <c r="BC406" s="1758"/>
      <c r="BD406" s="1758"/>
      <c r="BE406" s="1758"/>
      <c r="BF406" s="1758"/>
      <c r="BG406" s="1758"/>
      <c r="BH406" s="1758"/>
      <c r="BI406" s="1758"/>
      <c r="BJ406" s="1758"/>
      <c r="BK406" s="1758"/>
      <c r="BL406" s="1758"/>
      <c r="BM406" s="1758"/>
      <c r="BN406" s="1758"/>
      <c r="BO406" s="1758"/>
      <c r="BP406" s="1758"/>
      <c r="BQ406" s="1758"/>
      <c r="BR406" s="1758"/>
      <c r="BS406" s="1758"/>
      <c r="BT406" s="1758"/>
      <c r="BU406" s="1758"/>
      <c r="BV406" s="1758"/>
      <c r="BW406" s="1758"/>
      <c r="BX406" s="1758"/>
      <c r="BY406" s="1758"/>
      <c r="BZ406" s="1758"/>
      <c r="CA406" s="1758"/>
      <c r="CB406" s="1758"/>
      <c r="CC406" s="1758"/>
      <c r="CD406" s="1758"/>
      <c r="CE406" s="1758"/>
      <c r="CF406" s="1758"/>
      <c r="CG406" s="1758"/>
      <c r="CH406" s="1758"/>
      <c r="CI406" s="1758"/>
      <c r="CJ406" s="1758"/>
      <c r="CK406" s="1758"/>
      <c r="CL406" s="1758"/>
      <c r="CM406" s="1758"/>
      <c r="CN406" s="1758"/>
      <c r="CO406" s="1758"/>
      <c r="CP406" s="1758"/>
      <c r="CQ406" s="1758"/>
      <c r="CR406" s="1758"/>
      <c r="CS406" s="1758"/>
      <c r="CT406" s="1758"/>
      <c r="CU406" s="1758"/>
      <c r="CV406" s="1758"/>
      <c r="CW406" s="1758"/>
      <c r="CX406" s="1758"/>
      <c r="CY406" s="1758"/>
      <c r="CZ406" s="1758"/>
      <c r="DA406" s="1758"/>
      <c r="DB406" s="1758"/>
      <c r="DC406" s="1758"/>
    </row>
    <row r="407" spans="1:107" s="1395" customFormat="1" ht="21" customHeight="1">
      <c r="A407" s="10827"/>
      <c r="B407" s="10731"/>
      <c r="C407" s="10728"/>
      <c r="D407" s="10728"/>
      <c r="E407" s="10728"/>
      <c r="F407" s="10744"/>
      <c r="G407" s="10728"/>
      <c r="H407" s="10728"/>
      <c r="I407" s="10728"/>
      <c r="J407" s="10728"/>
      <c r="K407" s="10735"/>
      <c r="L407" s="10738"/>
      <c r="M407" s="10738"/>
      <c r="N407" s="10738"/>
      <c r="O407" s="10735"/>
      <c r="P407" s="10735"/>
      <c r="Q407" s="10750"/>
      <c r="R407" s="5171"/>
      <c r="S407" s="5213"/>
      <c r="T407" s="5213"/>
      <c r="U407" s="5247"/>
      <c r="V407" s="5279"/>
      <c r="W407" s="5300"/>
      <c r="X407" s="7473"/>
      <c r="Y407" s="7473"/>
      <c r="Z407" s="7473"/>
      <c r="AA407" s="7474"/>
      <c r="AB407" s="5323"/>
      <c r="AC407" s="1396"/>
      <c r="AD407" s="5300"/>
      <c r="AE407" s="5346"/>
      <c r="AF407" s="5346"/>
      <c r="AG407" s="10777"/>
      <c r="AH407" s="1758"/>
      <c r="AI407" s="1758"/>
      <c r="AJ407" s="1758"/>
      <c r="AK407" s="1758"/>
      <c r="AL407" s="1758"/>
      <c r="AM407" s="1758"/>
      <c r="AN407" s="1758"/>
      <c r="AO407" s="1758"/>
      <c r="AP407" s="1758"/>
      <c r="AQ407" s="1758"/>
      <c r="AR407" s="1758"/>
      <c r="AS407" s="1758"/>
      <c r="AT407" s="1758"/>
      <c r="AU407" s="1758"/>
      <c r="AV407" s="1758"/>
      <c r="AW407" s="1758"/>
      <c r="AX407" s="1758"/>
      <c r="AY407" s="1758"/>
      <c r="AZ407" s="1758"/>
      <c r="BA407" s="1758"/>
      <c r="BB407" s="1758"/>
      <c r="BC407" s="1758"/>
      <c r="BD407" s="1758"/>
      <c r="BE407" s="1758"/>
      <c r="BF407" s="1758"/>
      <c r="BG407" s="1758"/>
      <c r="BH407" s="1758"/>
      <c r="BI407" s="1758"/>
      <c r="BJ407" s="1758"/>
      <c r="BK407" s="1758"/>
      <c r="BL407" s="1758"/>
      <c r="BM407" s="1758"/>
      <c r="BN407" s="1758"/>
      <c r="BO407" s="1758"/>
      <c r="BP407" s="1758"/>
      <c r="BQ407" s="1758"/>
      <c r="BR407" s="1758"/>
      <c r="BS407" s="1758"/>
      <c r="BT407" s="1758"/>
      <c r="BU407" s="1758"/>
      <c r="BV407" s="1758"/>
      <c r="BW407" s="1758"/>
      <c r="BX407" s="1758"/>
      <c r="BY407" s="1758"/>
      <c r="BZ407" s="1758"/>
      <c r="CA407" s="1758"/>
      <c r="CB407" s="1758"/>
      <c r="CC407" s="1758"/>
      <c r="CD407" s="1758"/>
      <c r="CE407" s="1758"/>
      <c r="CF407" s="1758"/>
      <c r="CG407" s="1758"/>
      <c r="CH407" s="1758"/>
      <c r="CI407" s="1758"/>
      <c r="CJ407" s="1758"/>
      <c r="CK407" s="1758"/>
      <c r="CL407" s="1758"/>
      <c r="CM407" s="1758"/>
      <c r="CN407" s="1758"/>
      <c r="CO407" s="1758"/>
      <c r="CP407" s="1758"/>
      <c r="CQ407" s="1758"/>
      <c r="CR407" s="1758"/>
      <c r="CS407" s="1758"/>
      <c r="CT407" s="1758"/>
      <c r="CU407" s="1758"/>
      <c r="CV407" s="1758"/>
      <c r="CW407" s="1758"/>
      <c r="CX407" s="1758"/>
      <c r="CY407" s="1758"/>
      <c r="CZ407" s="1758"/>
      <c r="DA407" s="1758"/>
      <c r="DB407" s="1758"/>
      <c r="DC407" s="1758"/>
    </row>
    <row r="408" spans="1:107" s="1395" customFormat="1" ht="21" customHeight="1">
      <c r="A408" s="10827"/>
      <c r="B408" s="10731"/>
      <c r="C408" s="10728"/>
      <c r="D408" s="10728"/>
      <c r="E408" s="10728"/>
      <c r="F408" s="10744"/>
      <c r="G408" s="10728"/>
      <c r="H408" s="10728"/>
      <c r="I408" s="10728"/>
      <c r="J408" s="10728"/>
      <c r="K408" s="10735"/>
      <c r="L408" s="10738"/>
      <c r="M408" s="10738"/>
      <c r="N408" s="10738"/>
      <c r="O408" s="10735"/>
      <c r="P408" s="10735"/>
      <c r="Q408" s="10750"/>
      <c r="R408" s="5174"/>
      <c r="S408" s="5214"/>
      <c r="T408" s="5214"/>
      <c r="U408" s="5250"/>
      <c r="V408" s="5281"/>
      <c r="W408" s="5302"/>
      <c r="X408" s="7477"/>
      <c r="Y408" s="7473"/>
      <c r="Z408" s="7473"/>
      <c r="AA408" s="7474"/>
      <c r="AB408" s="5323"/>
      <c r="AC408" s="1396"/>
      <c r="AD408" s="5300"/>
      <c r="AE408" s="5346"/>
      <c r="AF408" s="5346"/>
      <c r="AG408" s="10777"/>
      <c r="AH408" s="1758"/>
      <c r="AI408" s="1758"/>
      <c r="AJ408" s="1758"/>
      <c r="AK408" s="1758"/>
      <c r="AL408" s="1758"/>
      <c r="AM408" s="1758"/>
      <c r="AN408" s="1758"/>
      <c r="AO408" s="1758"/>
      <c r="AP408" s="1758"/>
      <c r="AQ408" s="1758"/>
      <c r="AR408" s="1758"/>
      <c r="AS408" s="1758"/>
      <c r="AT408" s="1758"/>
      <c r="AU408" s="1758"/>
      <c r="AV408" s="1758"/>
      <c r="AW408" s="1758"/>
      <c r="AX408" s="1758"/>
      <c r="AY408" s="1758"/>
      <c r="AZ408" s="1758"/>
      <c r="BA408" s="1758"/>
      <c r="BB408" s="1758"/>
      <c r="BC408" s="1758"/>
      <c r="BD408" s="1758"/>
      <c r="BE408" s="1758"/>
      <c r="BF408" s="1758"/>
      <c r="BG408" s="1758"/>
      <c r="BH408" s="1758"/>
      <c r="BI408" s="1758"/>
      <c r="BJ408" s="1758"/>
      <c r="BK408" s="1758"/>
      <c r="BL408" s="1758"/>
      <c r="BM408" s="1758"/>
      <c r="BN408" s="1758"/>
      <c r="BO408" s="1758"/>
      <c r="BP408" s="1758"/>
      <c r="BQ408" s="1758"/>
      <c r="BR408" s="1758"/>
      <c r="BS408" s="1758"/>
      <c r="BT408" s="1758"/>
      <c r="BU408" s="1758"/>
      <c r="BV408" s="1758"/>
      <c r="BW408" s="1758"/>
      <c r="BX408" s="1758"/>
      <c r="BY408" s="1758"/>
      <c r="BZ408" s="1758"/>
      <c r="CA408" s="1758"/>
      <c r="CB408" s="1758"/>
      <c r="CC408" s="1758"/>
      <c r="CD408" s="1758"/>
      <c r="CE408" s="1758"/>
      <c r="CF408" s="1758"/>
      <c r="CG408" s="1758"/>
      <c r="CH408" s="1758"/>
      <c r="CI408" s="1758"/>
      <c r="CJ408" s="1758"/>
      <c r="CK408" s="1758"/>
      <c r="CL408" s="1758"/>
      <c r="CM408" s="1758"/>
      <c r="CN408" s="1758"/>
      <c r="CO408" s="1758"/>
      <c r="CP408" s="1758"/>
      <c r="CQ408" s="1758"/>
      <c r="CR408" s="1758"/>
      <c r="CS408" s="1758"/>
      <c r="CT408" s="1758"/>
      <c r="CU408" s="1758"/>
      <c r="CV408" s="1758"/>
      <c r="CW408" s="1758"/>
      <c r="CX408" s="1758"/>
      <c r="CY408" s="1758"/>
      <c r="CZ408" s="1758"/>
      <c r="DA408" s="1758"/>
      <c r="DB408" s="1758"/>
      <c r="DC408" s="1758"/>
    </row>
    <row r="409" spans="1:107" s="1395" customFormat="1" ht="21" customHeight="1">
      <c r="A409" s="10827"/>
      <c r="B409" s="10731"/>
      <c r="C409" s="10728"/>
      <c r="D409" s="10728"/>
      <c r="E409" s="10728"/>
      <c r="F409" s="10744"/>
      <c r="G409" s="10728"/>
      <c r="H409" s="10728"/>
      <c r="I409" s="10728"/>
      <c r="J409" s="10728"/>
      <c r="K409" s="10735"/>
      <c r="L409" s="10738"/>
      <c r="M409" s="10738"/>
      <c r="N409" s="10738"/>
      <c r="O409" s="10735"/>
      <c r="P409" s="10735"/>
      <c r="Q409" s="10750"/>
      <c r="R409" s="5173"/>
      <c r="S409" s="5212"/>
      <c r="T409" s="5212"/>
      <c r="U409" s="5250"/>
      <c r="V409" s="5281"/>
      <c r="W409" s="5302"/>
      <c r="X409" s="7477"/>
      <c r="Y409" s="7473"/>
      <c r="Z409" s="7473"/>
      <c r="AA409" s="7474"/>
      <c r="AB409" s="5323"/>
      <c r="AC409" s="1396"/>
      <c r="AD409" s="5300"/>
      <c r="AE409" s="5346"/>
      <c r="AF409" s="5346"/>
      <c r="AG409" s="10777"/>
      <c r="AH409" s="1758"/>
      <c r="AI409" s="1758"/>
      <c r="AJ409" s="1758"/>
      <c r="AK409" s="1758"/>
      <c r="AL409" s="1758"/>
      <c r="AM409" s="1758"/>
      <c r="AN409" s="1758"/>
      <c r="AO409" s="1758"/>
      <c r="AP409" s="1758"/>
      <c r="AQ409" s="1758"/>
      <c r="AR409" s="1758"/>
      <c r="AS409" s="1758"/>
      <c r="AT409" s="1758"/>
      <c r="AU409" s="1758"/>
      <c r="AV409" s="1758"/>
      <c r="AW409" s="1758"/>
      <c r="AX409" s="1758"/>
      <c r="AY409" s="1758"/>
      <c r="AZ409" s="1758"/>
      <c r="BA409" s="1758"/>
      <c r="BB409" s="1758"/>
      <c r="BC409" s="1758"/>
      <c r="BD409" s="1758"/>
      <c r="BE409" s="1758"/>
      <c r="BF409" s="1758"/>
      <c r="BG409" s="1758"/>
      <c r="BH409" s="1758"/>
      <c r="BI409" s="1758"/>
      <c r="BJ409" s="1758"/>
      <c r="BK409" s="1758"/>
      <c r="BL409" s="1758"/>
      <c r="BM409" s="1758"/>
      <c r="BN409" s="1758"/>
      <c r="BO409" s="1758"/>
      <c r="BP409" s="1758"/>
      <c r="BQ409" s="1758"/>
      <c r="BR409" s="1758"/>
      <c r="BS409" s="1758"/>
      <c r="BT409" s="1758"/>
      <c r="BU409" s="1758"/>
      <c r="BV409" s="1758"/>
      <c r="BW409" s="1758"/>
      <c r="BX409" s="1758"/>
      <c r="BY409" s="1758"/>
      <c r="BZ409" s="1758"/>
      <c r="CA409" s="1758"/>
      <c r="CB409" s="1758"/>
      <c r="CC409" s="1758"/>
      <c r="CD409" s="1758"/>
      <c r="CE409" s="1758"/>
      <c r="CF409" s="1758"/>
      <c r="CG409" s="1758"/>
      <c r="CH409" s="1758"/>
      <c r="CI409" s="1758"/>
      <c r="CJ409" s="1758"/>
      <c r="CK409" s="1758"/>
      <c r="CL409" s="1758"/>
      <c r="CM409" s="1758"/>
      <c r="CN409" s="1758"/>
      <c r="CO409" s="1758"/>
      <c r="CP409" s="1758"/>
      <c r="CQ409" s="1758"/>
      <c r="CR409" s="1758"/>
      <c r="CS409" s="1758"/>
      <c r="CT409" s="1758"/>
      <c r="CU409" s="1758"/>
      <c r="CV409" s="1758"/>
      <c r="CW409" s="1758"/>
      <c r="CX409" s="1758"/>
      <c r="CY409" s="1758"/>
      <c r="CZ409" s="1758"/>
      <c r="DA409" s="1758"/>
      <c r="DB409" s="1758"/>
      <c r="DC409" s="1758"/>
    </row>
    <row r="410" spans="1:107" s="1395" customFormat="1" ht="21" customHeight="1">
      <c r="A410" s="10827"/>
      <c r="B410" s="10732"/>
      <c r="C410" s="10729"/>
      <c r="D410" s="10729"/>
      <c r="E410" s="10729"/>
      <c r="F410" s="10745"/>
      <c r="G410" s="10729"/>
      <c r="H410" s="10729"/>
      <c r="I410" s="10729"/>
      <c r="J410" s="10729"/>
      <c r="K410" s="10736"/>
      <c r="L410" s="10739"/>
      <c r="M410" s="10739"/>
      <c r="N410" s="10739"/>
      <c r="O410" s="10736"/>
      <c r="P410" s="10736"/>
      <c r="Q410" s="10751"/>
      <c r="R410" s="5175"/>
      <c r="S410" s="5215"/>
      <c r="T410" s="5215"/>
      <c r="U410" s="5251"/>
      <c r="V410" s="5282"/>
      <c r="W410" s="5303"/>
      <c r="X410" s="7479"/>
      <c r="Y410" s="7479"/>
      <c r="Z410" s="7479"/>
      <c r="AA410" s="7480"/>
      <c r="AB410" s="5326"/>
      <c r="AC410" s="1399"/>
      <c r="AD410" s="5303"/>
      <c r="AE410" s="5348"/>
      <c r="AF410" s="5348"/>
      <c r="AG410" s="10778"/>
      <c r="AH410" s="1758"/>
      <c r="AI410" s="1758"/>
      <c r="AJ410" s="1758"/>
      <c r="AK410" s="1758"/>
      <c r="AL410" s="1758"/>
      <c r="AM410" s="1758"/>
      <c r="AN410" s="1758"/>
      <c r="AO410" s="1758"/>
      <c r="AP410" s="1758"/>
      <c r="AQ410" s="1758"/>
      <c r="AR410" s="1758"/>
      <c r="AS410" s="1758"/>
      <c r="AT410" s="1758"/>
      <c r="AU410" s="1758"/>
      <c r="AV410" s="1758"/>
      <c r="AW410" s="1758"/>
      <c r="AX410" s="1758"/>
      <c r="AY410" s="1758"/>
      <c r="AZ410" s="1758"/>
      <c r="BA410" s="1758"/>
      <c r="BB410" s="1758"/>
      <c r="BC410" s="1758"/>
      <c r="BD410" s="1758"/>
      <c r="BE410" s="1758"/>
      <c r="BF410" s="1758"/>
      <c r="BG410" s="1758"/>
      <c r="BH410" s="1758"/>
      <c r="BI410" s="1758"/>
      <c r="BJ410" s="1758"/>
      <c r="BK410" s="1758"/>
      <c r="BL410" s="1758"/>
      <c r="BM410" s="1758"/>
      <c r="BN410" s="1758"/>
      <c r="BO410" s="1758"/>
      <c r="BP410" s="1758"/>
      <c r="BQ410" s="1758"/>
      <c r="BR410" s="1758"/>
      <c r="BS410" s="1758"/>
      <c r="BT410" s="1758"/>
      <c r="BU410" s="1758"/>
      <c r="BV410" s="1758"/>
      <c r="BW410" s="1758"/>
      <c r="BX410" s="1758"/>
      <c r="BY410" s="1758"/>
      <c r="BZ410" s="1758"/>
      <c r="CA410" s="1758"/>
      <c r="CB410" s="1758"/>
      <c r="CC410" s="1758"/>
      <c r="CD410" s="1758"/>
      <c r="CE410" s="1758"/>
      <c r="CF410" s="1758"/>
      <c r="CG410" s="1758"/>
      <c r="CH410" s="1758"/>
      <c r="CI410" s="1758"/>
      <c r="CJ410" s="1758"/>
      <c r="CK410" s="1758"/>
      <c r="CL410" s="1758"/>
      <c r="CM410" s="1758"/>
      <c r="CN410" s="1758"/>
      <c r="CO410" s="1758"/>
      <c r="CP410" s="1758"/>
      <c r="CQ410" s="1758"/>
      <c r="CR410" s="1758"/>
      <c r="CS410" s="1758"/>
      <c r="CT410" s="1758"/>
      <c r="CU410" s="1758"/>
      <c r="CV410" s="1758"/>
      <c r="CW410" s="1758"/>
      <c r="CX410" s="1758"/>
      <c r="CY410" s="1758"/>
      <c r="CZ410" s="1758"/>
      <c r="DA410" s="1758"/>
      <c r="DB410" s="1758"/>
      <c r="DC410" s="1758"/>
    </row>
    <row r="411" spans="1:107" s="6132" customFormat="1" ht="22.5" customHeight="1">
      <c r="A411" s="6241"/>
      <c r="B411" s="6127"/>
      <c r="C411" s="6127"/>
      <c r="D411" s="6127"/>
      <c r="E411" s="6127"/>
      <c r="F411" s="6127"/>
      <c r="G411" s="6127"/>
      <c r="H411" s="6127"/>
      <c r="I411" s="6127"/>
      <c r="J411" s="6127"/>
      <c r="K411" s="6127"/>
      <c r="L411" s="6128"/>
      <c r="M411" s="6128"/>
      <c r="N411" s="6128"/>
      <c r="O411" s="6127"/>
      <c r="P411" s="6127"/>
      <c r="Q411" s="6129"/>
      <c r="R411" s="5391" t="s">
        <v>5081</v>
      </c>
      <c r="S411" s="5396"/>
      <c r="T411" s="5396"/>
      <c r="U411" s="5395"/>
      <c r="V411" s="7466"/>
      <c r="W411" s="5395"/>
      <c r="X411" s="5396"/>
      <c r="Y411" s="5396"/>
      <c r="Z411" s="5394" t="s">
        <v>292</v>
      </c>
      <c r="AA411" s="7468">
        <f>SUM(AA341:AA410)</f>
        <v>0</v>
      </c>
      <c r="AB411" s="6130"/>
      <c r="AC411" s="6131"/>
      <c r="AD411" s="10789"/>
      <c r="AE411" s="10790"/>
      <c r="AF411" s="10790"/>
      <c r="AG411" s="10791"/>
    </row>
    <row r="412" spans="1:107" s="1395" customFormat="1" ht="26.25" customHeight="1">
      <c r="A412" s="10826" t="s">
        <v>5082</v>
      </c>
      <c r="B412" s="10730" t="s">
        <v>127</v>
      </c>
      <c r="C412" s="10733" t="s">
        <v>128</v>
      </c>
      <c r="D412" s="10733" t="s">
        <v>129</v>
      </c>
      <c r="E412" s="10733" t="s">
        <v>205</v>
      </c>
      <c r="F412" s="10752" t="s">
        <v>131</v>
      </c>
      <c r="G412" s="10733" t="s">
        <v>132</v>
      </c>
      <c r="H412" s="10733" t="s">
        <v>159</v>
      </c>
      <c r="I412" s="10753" t="s">
        <v>4983</v>
      </c>
      <c r="J412" s="10733" t="s">
        <v>4609</v>
      </c>
      <c r="K412" s="10747" t="s">
        <v>4984</v>
      </c>
      <c r="L412" s="10746">
        <v>0</v>
      </c>
      <c r="M412" s="10746">
        <v>1</v>
      </c>
      <c r="N412" s="10746">
        <v>1</v>
      </c>
      <c r="O412" s="10747" t="s">
        <v>4985</v>
      </c>
      <c r="P412" s="10747" t="s">
        <v>4986</v>
      </c>
      <c r="Q412" s="10792" t="s">
        <v>5083</v>
      </c>
      <c r="R412" s="5182"/>
      <c r="S412" s="5222"/>
      <c r="T412" s="5222"/>
      <c r="U412" s="5259"/>
      <c r="V412" s="5289"/>
      <c r="W412" s="5310"/>
      <c r="X412" s="7494"/>
      <c r="Y412" s="7494"/>
      <c r="Z412" s="7494"/>
      <c r="AA412" s="7495"/>
      <c r="AB412" s="5332"/>
      <c r="AC412" s="1405"/>
      <c r="AD412" s="5310"/>
      <c r="AE412" s="5345"/>
      <c r="AF412" s="5345"/>
      <c r="AG412" s="10780"/>
      <c r="AH412" s="1758"/>
      <c r="AI412" s="1758"/>
      <c r="AJ412" s="1758"/>
      <c r="AK412" s="1758"/>
      <c r="AL412" s="1758"/>
      <c r="AM412" s="1758"/>
      <c r="AN412" s="1758"/>
      <c r="AO412" s="1758"/>
      <c r="AP412" s="1758"/>
      <c r="AQ412" s="1758"/>
      <c r="AR412" s="1758"/>
      <c r="AS412" s="1758"/>
      <c r="AT412" s="1758"/>
      <c r="AU412" s="1758"/>
      <c r="AV412" s="1758"/>
      <c r="AW412" s="1758"/>
      <c r="AX412" s="1758"/>
      <c r="AY412" s="1758"/>
      <c r="AZ412" s="1758"/>
      <c r="BA412" s="1758"/>
      <c r="BB412" s="1758"/>
      <c r="BC412" s="1758"/>
      <c r="BD412" s="1758"/>
      <c r="BE412" s="1758"/>
      <c r="BF412" s="1758"/>
      <c r="BG412" s="1758"/>
      <c r="BH412" s="1758"/>
      <c r="BI412" s="1758"/>
      <c r="BJ412" s="1758"/>
      <c r="BK412" s="1758"/>
      <c r="BL412" s="1758"/>
      <c r="BM412" s="1758"/>
      <c r="BN412" s="1758"/>
      <c r="BO412" s="1758"/>
      <c r="BP412" s="1758"/>
      <c r="BQ412" s="1758"/>
      <c r="BR412" s="1758"/>
      <c r="BS412" s="1758"/>
      <c r="BT412" s="1758"/>
      <c r="BU412" s="1758"/>
      <c r="BV412" s="1758"/>
      <c r="BW412" s="1758"/>
      <c r="BX412" s="1758"/>
      <c r="BY412" s="1758"/>
      <c r="BZ412" s="1758"/>
      <c r="CA412" s="1758"/>
      <c r="CB412" s="1758"/>
      <c r="CC412" s="1758"/>
      <c r="CD412" s="1758"/>
      <c r="CE412" s="1758"/>
      <c r="CF412" s="1758"/>
      <c r="CG412" s="1758"/>
      <c r="CH412" s="1758"/>
      <c r="CI412" s="1758"/>
      <c r="CJ412" s="1758"/>
      <c r="CK412" s="1758"/>
      <c r="CL412" s="1758"/>
      <c r="CM412" s="1758"/>
      <c r="CN412" s="1758"/>
      <c r="CO412" s="1758"/>
      <c r="CP412" s="1758"/>
      <c r="CQ412" s="1758"/>
      <c r="CR412" s="1758"/>
      <c r="CS412" s="1758"/>
      <c r="CT412" s="1758"/>
      <c r="CU412" s="1758"/>
      <c r="CV412" s="1758"/>
      <c r="CW412" s="1758"/>
      <c r="CX412" s="1758"/>
      <c r="CY412" s="1758"/>
      <c r="CZ412" s="1758"/>
      <c r="DA412" s="1758"/>
      <c r="DB412" s="1758"/>
      <c r="DC412" s="1758"/>
    </row>
    <row r="413" spans="1:107" s="1395" customFormat="1" ht="26.25" customHeight="1">
      <c r="A413" s="10827"/>
      <c r="B413" s="10731"/>
      <c r="C413" s="10728"/>
      <c r="D413" s="10728"/>
      <c r="E413" s="10728"/>
      <c r="F413" s="10744"/>
      <c r="G413" s="10728"/>
      <c r="H413" s="10728"/>
      <c r="I413" s="10754"/>
      <c r="J413" s="10728"/>
      <c r="K413" s="10735"/>
      <c r="L413" s="10738"/>
      <c r="M413" s="10738"/>
      <c r="N413" s="10738"/>
      <c r="O413" s="10735"/>
      <c r="P413" s="10735"/>
      <c r="Q413" s="10750"/>
      <c r="R413" s="5171"/>
      <c r="S413" s="5213"/>
      <c r="T413" s="5213"/>
      <c r="U413" s="5247"/>
      <c r="V413" s="5279"/>
      <c r="W413" s="5300"/>
      <c r="X413" s="7473"/>
      <c r="Y413" s="7473"/>
      <c r="Z413" s="7473"/>
      <c r="AA413" s="7474"/>
      <c r="AB413" s="5323"/>
      <c r="AC413" s="1396"/>
      <c r="AD413" s="5300"/>
      <c r="AE413" s="5346"/>
      <c r="AF413" s="5346"/>
      <c r="AG413" s="10777"/>
      <c r="AH413" s="1758"/>
      <c r="AI413" s="1758"/>
      <c r="AJ413" s="1758"/>
      <c r="AK413" s="1758"/>
      <c r="AL413" s="1758"/>
      <c r="AM413" s="1758"/>
      <c r="AN413" s="1758"/>
      <c r="AO413" s="1758"/>
      <c r="AP413" s="1758"/>
      <c r="AQ413" s="1758"/>
      <c r="AR413" s="1758"/>
      <c r="AS413" s="1758"/>
      <c r="AT413" s="1758"/>
      <c r="AU413" s="1758"/>
      <c r="AV413" s="1758"/>
      <c r="AW413" s="1758"/>
      <c r="AX413" s="1758"/>
      <c r="AY413" s="1758"/>
      <c r="AZ413" s="1758"/>
      <c r="BA413" s="1758"/>
      <c r="BB413" s="1758"/>
      <c r="BC413" s="1758"/>
      <c r="BD413" s="1758"/>
      <c r="BE413" s="1758"/>
      <c r="BF413" s="1758"/>
      <c r="BG413" s="1758"/>
      <c r="BH413" s="1758"/>
      <c r="BI413" s="1758"/>
      <c r="BJ413" s="1758"/>
      <c r="BK413" s="1758"/>
      <c r="BL413" s="1758"/>
      <c r="BM413" s="1758"/>
      <c r="BN413" s="1758"/>
      <c r="BO413" s="1758"/>
      <c r="BP413" s="1758"/>
      <c r="BQ413" s="1758"/>
      <c r="BR413" s="1758"/>
      <c r="BS413" s="1758"/>
      <c r="BT413" s="1758"/>
      <c r="BU413" s="1758"/>
      <c r="BV413" s="1758"/>
      <c r="BW413" s="1758"/>
      <c r="BX413" s="1758"/>
      <c r="BY413" s="1758"/>
      <c r="BZ413" s="1758"/>
      <c r="CA413" s="1758"/>
      <c r="CB413" s="1758"/>
      <c r="CC413" s="1758"/>
      <c r="CD413" s="1758"/>
      <c r="CE413" s="1758"/>
      <c r="CF413" s="1758"/>
      <c r="CG413" s="1758"/>
      <c r="CH413" s="1758"/>
      <c r="CI413" s="1758"/>
      <c r="CJ413" s="1758"/>
      <c r="CK413" s="1758"/>
      <c r="CL413" s="1758"/>
      <c r="CM413" s="1758"/>
      <c r="CN413" s="1758"/>
      <c r="CO413" s="1758"/>
      <c r="CP413" s="1758"/>
      <c r="CQ413" s="1758"/>
      <c r="CR413" s="1758"/>
      <c r="CS413" s="1758"/>
      <c r="CT413" s="1758"/>
      <c r="CU413" s="1758"/>
      <c r="CV413" s="1758"/>
      <c r="CW413" s="1758"/>
      <c r="CX413" s="1758"/>
      <c r="CY413" s="1758"/>
      <c r="CZ413" s="1758"/>
      <c r="DA413" s="1758"/>
      <c r="DB413" s="1758"/>
      <c r="DC413" s="1758"/>
    </row>
    <row r="414" spans="1:107" s="1395" customFormat="1" ht="26.25" customHeight="1">
      <c r="A414" s="10827"/>
      <c r="B414" s="10731"/>
      <c r="C414" s="10728"/>
      <c r="D414" s="10728"/>
      <c r="E414" s="10728"/>
      <c r="F414" s="10744"/>
      <c r="G414" s="10728"/>
      <c r="H414" s="10728"/>
      <c r="I414" s="10754"/>
      <c r="J414" s="10728"/>
      <c r="K414" s="10735"/>
      <c r="L414" s="10738"/>
      <c r="M414" s="10738"/>
      <c r="N414" s="10738"/>
      <c r="O414" s="10735"/>
      <c r="P414" s="10735"/>
      <c r="Q414" s="10750"/>
      <c r="R414" s="5174"/>
      <c r="S414" s="5214"/>
      <c r="T414" s="5214"/>
      <c r="U414" s="5250"/>
      <c r="V414" s="5281"/>
      <c r="W414" s="5302"/>
      <c r="X414" s="7477"/>
      <c r="Y414" s="7473"/>
      <c r="Z414" s="7473"/>
      <c r="AA414" s="7474"/>
      <c r="AB414" s="5323"/>
      <c r="AC414" s="1396"/>
      <c r="AD414" s="5300"/>
      <c r="AE414" s="5346"/>
      <c r="AF414" s="5346"/>
      <c r="AG414" s="10777"/>
      <c r="AH414" s="1758"/>
      <c r="AI414" s="1758"/>
      <c r="AJ414" s="1758"/>
      <c r="AK414" s="1758"/>
      <c r="AL414" s="1758"/>
      <c r="AM414" s="1758"/>
      <c r="AN414" s="1758"/>
      <c r="AO414" s="1758"/>
      <c r="AP414" s="1758"/>
      <c r="AQ414" s="1758"/>
      <c r="AR414" s="1758"/>
      <c r="AS414" s="1758"/>
      <c r="AT414" s="1758"/>
      <c r="AU414" s="1758"/>
      <c r="AV414" s="1758"/>
      <c r="AW414" s="1758"/>
      <c r="AX414" s="1758"/>
      <c r="AY414" s="1758"/>
      <c r="AZ414" s="1758"/>
      <c r="BA414" s="1758"/>
      <c r="BB414" s="1758"/>
      <c r="BC414" s="1758"/>
      <c r="BD414" s="1758"/>
      <c r="BE414" s="1758"/>
      <c r="BF414" s="1758"/>
      <c r="BG414" s="1758"/>
      <c r="BH414" s="1758"/>
      <c r="BI414" s="1758"/>
      <c r="BJ414" s="1758"/>
      <c r="BK414" s="1758"/>
      <c r="BL414" s="1758"/>
      <c r="BM414" s="1758"/>
      <c r="BN414" s="1758"/>
      <c r="BO414" s="1758"/>
      <c r="BP414" s="1758"/>
      <c r="BQ414" s="1758"/>
      <c r="BR414" s="1758"/>
      <c r="BS414" s="1758"/>
      <c r="BT414" s="1758"/>
      <c r="BU414" s="1758"/>
      <c r="BV414" s="1758"/>
      <c r="BW414" s="1758"/>
      <c r="BX414" s="1758"/>
      <c r="BY414" s="1758"/>
      <c r="BZ414" s="1758"/>
      <c r="CA414" s="1758"/>
      <c r="CB414" s="1758"/>
      <c r="CC414" s="1758"/>
      <c r="CD414" s="1758"/>
      <c r="CE414" s="1758"/>
      <c r="CF414" s="1758"/>
      <c r="CG414" s="1758"/>
      <c r="CH414" s="1758"/>
      <c r="CI414" s="1758"/>
      <c r="CJ414" s="1758"/>
      <c r="CK414" s="1758"/>
      <c r="CL414" s="1758"/>
      <c r="CM414" s="1758"/>
      <c r="CN414" s="1758"/>
      <c r="CO414" s="1758"/>
      <c r="CP414" s="1758"/>
      <c r="CQ414" s="1758"/>
      <c r="CR414" s="1758"/>
      <c r="CS414" s="1758"/>
      <c r="CT414" s="1758"/>
      <c r="CU414" s="1758"/>
      <c r="CV414" s="1758"/>
      <c r="CW414" s="1758"/>
      <c r="CX414" s="1758"/>
      <c r="CY414" s="1758"/>
      <c r="CZ414" s="1758"/>
      <c r="DA414" s="1758"/>
      <c r="DB414" s="1758"/>
      <c r="DC414" s="1758"/>
    </row>
    <row r="415" spans="1:107" s="1395" customFormat="1" ht="26.25" customHeight="1">
      <c r="A415" s="10827"/>
      <c r="B415" s="10731"/>
      <c r="C415" s="10728"/>
      <c r="D415" s="10728"/>
      <c r="E415" s="10728"/>
      <c r="F415" s="10744"/>
      <c r="G415" s="10728"/>
      <c r="H415" s="10728"/>
      <c r="I415" s="10754"/>
      <c r="J415" s="10728"/>
      <c r="K415" s="10735"/>
      <c r="L415" s="10738"/>
      <c r="M415" s="10738"/>
      <c r="N415" s="10738"/>
      <c r="O415" s="10735"/>
      <c r="P415" s="10735"/>
      <c r="Q415" s="10750"/>
      <c r="R415" s="5173"/>
      <c r="S415" s="5212"/>
      <c r="T415" s="5212"/>
      <c r="U415" s="5250"/>
      <c r="V415" s="5281"/>
      <c r="W415" s="5302"/>
      <c r="X415" s="7477"/>
      <c r="Y415" s="7473"/>
      <c r="Z415" s="7473"/>
      <c r="AA415" s="7474"/>
      <c r="AB415" s="5323"/>
      <c r="AC415" s="1396"/>
      <c r="AD415" s="5300"/>
      <c r="AE415" s="5346"/>
      <c r="AF415" s="5346"/>
      <c r="AG415" s="10777"/>
      <c r="AH415" s="1758"/>
      <c r="AI415" s="1758"/>
      <c r="AJ415" s="1758"/>
      <c r="AK415" s="1758"/>
      <c r="AL415" s="1758"/>
      <c r="AM415" s="1758"/>
      <c r="AN415" s="1758"/>
      <c r="AO415" s="1758"/>
      <c r="AP415" s="1758"/>
      <c r="AQ415" s="1758"/>
      <c r="AR415" s="1758"/>
      <c r="AS415" s="1758"/>
      <c r="AT415" s="1758"/>
      <c r="AU415" s="1758"/>
      <c r="AV415" s="1758"/>
      <c r="AW415" s="1758"/>
      <c r="AX415" s="1758"/>
      <c r="AY415" s="1758"/>
      <c r="AZ415" s="1758"/>
      <c r="BA415" s="1758"/>
      <c r="BB415" s="1758"/>
      <c r="BC415" s="1758"/>
      <c r="BD415" s="1758"/>
      <c r="BE415" s="1758"/>
      <c r="BF415" s="1758"/>
      <c r="BG415" s="1758"/>
      <c r="BH415" s="1758"/>
      <c r="BI415" s="1758"/>
      <c r="BJ415" s="1758"/>
      <c r="BK415" s="1758"/>
      <c r="BL415" s="1758"/>
      <c r="BM415" s="1758"/>
      <c r="BN415" s="1758"/>
      <c r="BO415" s="1758"/>
      <c r="BP415" s="1758"/>
      <c r="BQ415" s="1758"/>
      <c r="BR415" s="1758"/>
      <c r="BS415" s="1758"/>
      <c r="BT415" s="1758"/>
      <c r="BU415" s="1758"/>
      <c r="BV415" s="1758"/>
      <c r="BW415" s="1758"/>
      <c r="BX415" s="1758"/>
      <c r="BY415" s="1758"/>
      <c r="BZ415" s="1758"/>
      <c r="CA415" s="1758"/>
      <c r="CB415" s="1758"/>
      <c r="CC415" s="1758"/>
      <c r="CD415" s="1758"/>
      <c r="CE415" s="1758"/>
      <c r="CF415" s="1758"/>
      <c r="CG415" s="1758"/>
      <c r="CH415" s="1758"/>
      <c r="CI415" s="1758"/>
      <c r="CJ415" s="1758"/>
      <c r="CK415" s="1758"/>
      <c r="CL415" s="1758"/>
      <c r="CM415" s="1758"/>
      <c r="CN415" s="1758"/>
      <c r="CO415" s="1758"/>
      <c r="CP415" s="1758"/>
      <c r="CQ415" s="1758"/>
      <c r="CR415" s="1758"/>
      <c r="CS415" s="1758"/>
      <c r="CT415" s="1758"/>
      <c r="CU415" s="1758"/>
      <c r="CV415" s="1758"/>
      <c r="CW415" s="1758"/>
      <c r="CX415" s="1758"/>
      <c r="CY415" s="1758"/>
      <c r="CZ415" s="1758"/>
      <c r="DA415" s="1758"/>
      <c r="DB415" s="1758"/>
      <c r="DC415" s="1758"/>
    </row>
    <row r="416" spans="1:107" s="1395" customFormat="1" ht="26.25" customHeight="1">
      <c r="A416" s="10827"/>
      <c r="B416" s="10732"/>
      <c r="C416" s="10729"/>
      <c r="D416" s="10729"/>
      <c r="E416" s="10729"/>
      <c r="F416" s="10745"/>
      <c r="G416" s="10729"/>
      <c r="H416" s="10729"/>
      <c r="I416" s="10755"/>
      <c r="J416" s="10729"/>
      <c r="K416" s="10736"/>
      <c r="L416" s="10739"/>
      <c r="M416" s="10739"/>
      <c r="N416" s="10739"/>
      <c r="O416" s="10736"/>
      <c r="P416" s="10736"/>
      <c r="Q416" s="10751"/>
      <c r="R416" s="5175"/>
      <c r="S416" s="5215"/>
      <c r="T416" s="5215"/>
      <c r="U416" s="5251"/>
      <c r="V416" s="5282"/>
      <c r="W416" s="5303"/>
      <c r="X416" s="7479"/>
      <c r="Y416" s="7479"/>
      <c r="Z416" s="7479"/>
      <c r="AA416" s="7480"/>
      <c r="AB416" s="5326"/>
      <c r="AC416" s="1399"/>
      <c r="AD416" s="5303"/>
      <c r="AE416" s="5348"/>
      <c r="AF416" s="5348"/>
      <c r="AG416" s="10778"/>
      <c r="AH416" s="1758"/>
      <c r="AI416" s="1758"/>
      <c r="AJ416" s="1758"/>
      <c r="AK416" s="1758"/>
      <c r="AL416" s="1758"/>
      <c r="AM416" s="1758"/>
      <c r="AN416" s="1758"/>
      <c r="AO416" s="1758"/>
      <c r="AP416" s="1758"/>
      <c r="AQ416" s="1758"/>
      <c r="AR416" s="1758"/>
      <c r="AS416" s="1758"/>
      <c r="AT416" s="1758"/>
      <c r="AU416" s="1758"/>
      <c r="AV416" s="1758"/>
      <c r="AW416" s="1758"/>
      <c r="AX416" s="1758"/>
      <c r="AY416" s="1758"/>
      <c r="AZ416" s="1758"/>
      <c r="BA416" s="1758"/>
      <c r="BB416" s="1758"/>
      <c r="BC416" s="1758"/>
      <c r="BD416" s="1758"/>
      <c r="BE416" s="1758"/>
      <c r="BF416" s="1758"/>
      <c r="BG416" s="1758"/>
      <c r="BH416" s="1758"/>
      <c r="BI416" s="1758"/>
      <c r="BJ416" s="1758"/>
      <c r="BK416" s="1758"/>
      <c r="BL416" s="1758"/>
      <c r="BM416" s="1758"/>
      <c r="BN416" s="1758"/>
      <c r="BO416" s="1758"/>
      <c r="BP416" s="1758"/>
      <c r="BQ416" s="1758"/>
      <c r="BR416" s="1758"/>
      <c r="BS416" s="1758"/>
      <c r="BT416" s="1758"/>
      <c r="BU416" s="1758"/>
      <c r="BV416" s="1758"/>
      <c r="BW416" s="1758"/>
      <c r="BX416" s="1758"/>
      <c r="BY416" s="1758"/>
      <c r="BZ416" s="1758"/>
      <c r="CA416" s="1758"/>
      <c r="CB416" s="1758"/>
      <c r="CC416" s="1758"/>
      <c r="CD416" s="1758"/>
      <c r="CE416" s="1758"/>
      <c r="CF416" s="1758"/>
      <c r="CG416" s="1758"/>
      <c r="CH416" s="1758"/>
      <c r="CI416" s="1758"/>
      <c r="CJ416" s="1758"/>
      <c r="CK416" s="1758"/>
      <c r="CL416" s="1758"/>
      <c r="CM416" s="1758"/>
      <c r="CN416" s="1758"/>
      <c r="CO416" s="1758"/>
      <c r="CP416" s="1758"/>
      <c r="CQ416" s="1758"/>
      <c r="CR416" s="1758"/>
      <c r="CS416" s="1758"/>
      <c r="CT416" s="1758"/>
      <c r="CU416" s="1758"/>
      <c r="CV416" s="1758"/>
      <c r="CW416" s="1758"/>
      <c r="CX416" s="1758"/>
      <c r="CY416" s="1758"/>
      <c r="CZ416" s="1758"/>
      <c r="DA416" s="1758"/>
      <c r="DB416" s="1758"/>
      <c r="DC416" s="1758"/>
    </row>
    <row r="417" spans="1:107" s="1395" customFormat="1" ht="25.5" customHeight="1">
      <c r="A417" s="10827"/>
      <c r="B417" s="10731" t="s">
        <v>127</v>
      </c>
      <c r="C417" s="10728" t="s">
        <v>128</v>
      </c>
      <c r="D417" s="10728" t="s">
        <v>129</v>
      </c>
      <c r="E417" s="10728" t="s">
        <v>205</v>
      </c>
      <c r="F417" s="10744" t="s">
        <v>131</v>
      </c>
      <c r="G417" s="10728" t="s">
        <v>132</v>
      </c>
      <c r="H417" s="10728" t="s">
        <v>159</v>
      </c>
      <c r="I417" s="10728" t="s">
        <v>4988</v>
      </c>
      <c r="J417" s="10742" t="s">
        <v>4615</v>
      </c>
      <c r="K417" s="10735" t="s">
        <v>5084</v>
      </c>
      <c r="L417" s="10738">
        <v>0</v>
      </c>
      <c r="M417" s="10738">
        <v>4</v>
      </c>
      <c r="N417" s="10738">
        <v>4</v>
      </c>
      <c r="O417" s="10735" t="s">
        <v>4990</v>
      </c>
      <c r="P417" s="10735" t="s">
        <v>4991</v>
      </c>
      <c r="Q417" s="10750" t="s">
        <v>5085</v>
      </c>
      <c r="R417" s="5173"/>
      <c r="S417" s="5212"/>
      <c r="T417" s="5212"/>
      <c r="U417" s="5249"/>
      <c r="V417" s="5281"/>
      <c r="W417" s="5302"/>
      <c r="X417" s="7477"/>
      <c r="Y417" s="7477"/>
      <c r="Z417" s="7477"/>
      <c r="AA417" s="7478"/>
      <c r="AB417" s="5325"/>
      <c r="AC417" s="1398"/>
      <c r="AD417" s="5302"/>
      <c r="AE417" s="5349"/>
      <c r="AF417" s="5349"/>
      <c r="AG417" s="10777" t="s">
        <v>4993</v>
      </c>
      <c r="AH417" s="1758"/>
      <c r="AI417" s="1758"/>
      <c r="AJ417" s="1758"/>
      <c r="AK417" s="1758"/>
      <c r="AL417" s="1758"/>
      <c r="AM417" s="1758"/>
      <c r="AN417" s="1758"/>
      <c r="AO417" s="1758"/>
      <c r="AP417" s="1758"/>
      <c r="AQ417" s="1758"/>
      <c r="AR417" s="1758"/>
      <c r="AS417" s="1758"/>
      <c r="AT417" s="1758"/>
      <c r="AU417" s="1758"/>
      <c r="AV417" s="1758"/>
      <c r="AW417" s="1758"/>
      <c r="AX417" s="1758"/>
      <c r="AY417" s="1758"/>
      <c r="AZ417" s="1758"/>
      <c r="BA417" s="1758"/>
      <c r="BB417" s="1758"/>
      <c r="BC417" s="1758"/>
      <c r="BD417" s="1758"/>
      <c r="BE417" s="1758"/>
      <c r="BF417" s="1758"/>
      <c r="BG417" s="1758"/>
      <c r="BH417" s="1758"/>
      <c r="BI417" s="1758"/>
      <c r="BJ417" s="1758"/>
      <c r="BK417" s="1758"/>
      <c r="BL417" s="1758"/>
      <c r="BM417" s="1758"/>
      <c r="BN417" s="1758"/>
      <c r="BO417" s="1758"/>
      <c r="BP417" s="1758"/>
      <c r="BQ417" s="1758"/>
      <c r="BR417" s="1758"/>
      <c r="BS417" s="1758"/>
      <c r="BT417" s="1758"/>
      <c r="BU417" s="1758"/>
      <c r="BV417" s="1758"/>
      <c r="BW417" s="1758"/>
      <c r="BX417" s="1758"/>
      <c r="BY417" s="1758"/>
      <c r="BZ417" s="1758"/>
      <c r="CA417" s="1758"/>
      <c r="CB417" s="1758"/>
      <c r="CC417" s="1758"/>
      <c r="CD417" s="1758"/>
      <c r="CE417" s="1758"/>
      <c r="CF417" s="1758"/>
      <c r="CG417" s="1758"/>
      <c r="CH417" s="1758"/>
      <c r="CI417" s="1758"/>
      <c r="CJ417" s="1758"/>
      <c r="CK417" s="1758"/>
      <c r="CL417" s="1758"/>
      <c r="CM417" s="1758"/>
      <c r="CN417" s="1758"/>
      <c r="CO417" s="1758"/>
      <c r="CP417" s="1758"/>
      <c r="CQ417" s="1758"/>
      <c r="CR417" s="1758"/>
      <c r="CS417" s="1758"/>
      <c r="CT417" s="1758"/>
      <c r="CU417" s="1758"/>
      <c r="CV417" s="1758"/>
      <c r="CW417" s="1758"/>
      <c r="CX417" s="1758"/>
      <c r="CY417" s="1758"/>
      <c r="CZ417" s="1758"/>
      <c r="DA417" s="1758"/>
      <c r="DB417" s="1758"/>
      <c r="DC417" s="1758"/>
    </row>
    <row r="418" spans="1:107" s="1395" customFormat="1" ht="25.5" customHeight="1">
      <c r="A418" s="10827"/>
      <c r="B418" s="10731"/>
      <c r="C418" s="10728"/>
      <c r="D418" s="10728"/>
      <c r="E418" s="10728"/>
      <c r="F418" s="10744"/>
      <c r="G418" s="10728"/>
      <c r="H418" s="10728"/>
      <c r="I418" s="10728"/>
      <c r="J418" s="10728"/>
      <c r="K418" s="10735"/>
      <c r="L418" s="10738"/>
      <c r="M418" s="10738"/>
      <c r="N418" s="10738"/>
      <c r="O418" s="10735"/>
      <c r="P418" s="10735"/>
      <c r="Q418" s="10750"/>
      <c r="R418" s="5171"/>
      <c r="S418" s="5213"/>
      <c r="T418" s="5213"/>
      <c r="U418" s="5247"/>
      <c r="V418" s="5279"/>
      <c r="W418" s="5300"/>
      <c r="X418" s="7473"/>
      <c r="Y418" s="7473"/>
      <c r="Z418" s="7473"/>
      <c r="AA418" s="7474"/>
      <c r="AB418" s="5323"/>
      <c r="AC418" s="1396"/>
      <c r="AD418" s="5300"/>
      <c r="AE418" s="5346"/>
      <c r="AF418" s="5346"/>
      <c r="AG418" s="10777"/>
      <c r="AH418" s="1758"/>
      <c r="AI418" s="1758"/>
      <c r="AJ418" s="1758"/>
      <c r="AK418" s="1758"/>
      <c r="AL418" s="1758"/>
      <c r="AM418" s="1758"/>
      <c r="AN418" s="1758"/>
      <c r="AO418" s="1758"/>
      <c r="AP418" s="1758"/>
      <c r="AQ418" s="1758"/>
      <c r="AR418" s="1758"/>
      <c r="AS418" s="1758"/>
      <c r="AT418" s="1758"/>
      <c r="AU418" s="1758"/>
      <c r="AV418" s="1758"/>
      <c r="AW418" s="1758"/>
      <c r="AX418" s="1758"/>
      <c r="AY418" s="1758"/>
      <c r="AZ418" s="1758"/>
      <c r="BA418" s="1758"/>
      <c r="BB418" s="1758"/>
      <c r="BC418" s="1758"/>
      <c r="BD418" s="1758"/>
      <c r="BE418" s="1758"/>
      <c r="BF418" s="1758"/>
      <c r="BG418" s="1758"/>
      <c r="BH418" s="1758"/>
      <c r="BI418" s="1758"/>
      <c r="BJ418" s="1758"/>
      <c r="BK418" s="1758"/>
      <c r="BL418" s="1758"/>
      <c r="BM418" s="1758"/>
      <c r="BN418" s="1758"/>
      <c r="BO418" s="1758"/>
      <c r="BP418" s="1758"/>
      <c r="BQ418" s="1758"/>
      <c r="BR418" s="1758"/>
      <c r="BS418" s="1758"/>
      <c r="BT418" s="1758"/>
      <c r="BU418" s="1758"/>
      <c r="BV418" s="1758"/>
      <c r="BW418" s="1758"/>
      <c r="BX418" s="1758"/>
      <c r="BY418" s="1758"/>
      <c r="BZ418" s="1758"/>
      <c r="CA418" s="1758"/>
      <c r="CB418" s="1758"/>
      <c r="CC418" s="1758"/>
      <c r="CD418" s="1758"/>
      <c r="CE418" s="1758"/>
      <c r="CF418" s="1758"/>
      <c r="CG418" s="1758"/>
      <c r="CH418" s="1758"/>
      <c r="CI418" s="1758"/>
      <c r="CJ418" s="1758"/>
      <c r="CK418" s="1758"/>
      <c r="CL418" s="1758"/>
      <c r="CM418" s="1758"/>
      <c r="CN418" s="1758"/>
      <c r="CO418" s="1758"/>
      <c r="CP418" s="1758"/>
      <c r="CQ418" s="1758"/>
      <c r="CR418" s="1758"/>
      <c r="CS418" s="1758"/>
      <c r="CT418" s="1758"/>
      <c r="CU418" s="1758"/>
      <c r="CV418" s="1758"/>
      <c r="CW418" s="1758"/>
      <c r="CX418" s="1758"/>
      <c r="CY418" s="1758"/>
      <c r="CZ418" s="1758"/>
      <c r="DA418" s="1758"/>
      <c r="DB418" s="1758"/>
      <c r="DC418" s="1758"/>
    </row>
    <row r="419" spans="1:107" s="1395" customFormat="1" ht="25.5" customHeight="1">
      <c r="A419" s="10827"/>
      <c r="B419" s="10731"/>
      <c r="C419" s="10728"/>
      <c r="D419" s="10728"/>
      <c r="E419" s="10728"/>
      <c r="F419" s="10744"/>
      <c r="G419" s="10728"/>
      <c r="H419" s="10728"/>
      <c r="I419" s="10728"/>
      <c r="J419" s="10728"/>
      <c r="K419" s="10735"/>
      <c r="L419" s="10738"/>
      <c r="M419" s="10738"/>
      <c r="N419" s="10738"/>
      <c r="O419" s="10735"/>
      <c r="P419" s="10735"/>
      <c r="Q419" s="10750"/>
      <c r="R419" s="5174"/>
      <c r="S419" s="5214"/>
      <c r="T419" s="5214"/>
      <c r="U419" s="5250"/>
      <c r="V419" s="5281"/>
      <c r="W419" s="5302"/>
      <c r="X419" s="7477"/>
      <c r="Y419" s="7473"/>
      <c r="Z419" s="7473"/>
      <c r="AA419" s="7474"/>
      <c r="AB419" s="5323"/>
      <c r="AC419" s="1396"/>
      <c r="AD419" s="5300"/>
      <c r="AE419" s="5346"/>
      <c r="AF419" s="5346"/>
      <c r="AG419" s="10777"/>
      <c r="AH419" s="1758"/>
      <c r="AI419" s="1758"/>
      <c r="AJ419" s="1758"/>
      <c r="AK419" s="1758"/>
      <c r="AL419" s="1758"/>
      <c r="AM419" s="1758"/>
      <c r="AN419" s="1758"/>
      <c r="AO419" s="1758"/>
      <c r="AP419" s="1758"/>
      <c r="AQ419" s="1758"/>
      <c r="AR419" s="1758"/>
      <c r="AS419" s="1758"/>
      <c r="AT419" s="1758"/>
      <c r="AU419" s="1758"/>
      <c r="AV419" s="1758"/>
      <c r="AW419" s="1758"/>
      <c r="AX419" s="1758"/>
      <c r="AY419" s="1758"/>
      <c r="AZ419" s="1758"/>
      <c r="BA419" s="1758"/>
      <c r="BB419" s="1758"/>
      <c r="BC419" s="1758"/>
      <c r="BD419" s="1758"/>
      <c r="BE419" s="1758"/>
      <c r="BF419" s="1758"/>
      <c r="BG419" s="1758"/>
      <c r="BH419" s="1758"/>
      <c r="BI419" s="1758"/>
      <c r="BJ419" s="1758"/>
      <c r="BK419" s="1758"/>
      <c r="BL419" s="1758"/>
      <c r="BM419" s="1758"/>
      <c r="BN419" s="1758"/>
      <c r="BO419" s="1758"/>
      <c r="BP419" s="1758"/>
      <c r="BQ419" s="1758"/>
      <c r="BR419" s="1758"/>
      <c r="BS419" s="1758"/>
      <c r="BT419" s="1758"/>
      <c r="BU419" s="1758"/>
      <c r="BV419" s="1758"/>
      <c r="BW419" s="1758"/>
      <c r="BX419" s="1758"/>
      <c r="BY419" s="1758"/>
      <c r="BZ419" s="1758"/>
      <c r="CA419" s="1758"/>
      <c r="CB419" s="1758"/>
      <c r="CC419" s="1758"/>
      <c r="CD419" s="1758"/>
      <c r="CE419" s="1758"/>
      <c r="CF419" s="1758"/>
      <c r="CG419" s="1758"/>
      <c r="CH419" s="1758"/>
      <c r="CI419" s="1758"/>
      <c r="CJ419" s="1758"/>
      <c r="CK419" s="1758"/>
      <c r="CL419" s="1758"/>
      <c r="CM419" s="1758"/>
      <c r="CN419" s="1758"/>
      <c r="CO419" s="1758"/>
      <c r="CP419" s="1758"/>
      <c r="CQ419" s="1758"/>
      <c r="CR419" s="1758"/>
      <c r="CS419" s="1758"/>
      <c r="CT419" s="1758"/>
      <c r="CU419" s="1758"/>
      <c r="CV419" s="1758"/>
      <c r="CW419" s="1758"/>
      <c r="CX419" s="1758"/>
      <c r="CY419" s="1758"/>
      <c r="CZ419" s="1758"/>
      <c r="DA419" s="1758"/>
      <c r="DB419" s="1758"/>
      <c r="DC419" s="1758"/>
    </row>
    <row r="420" spans="1:107" s="1395" customFormat="1" ht="25.5" customHeight="1">
      <c r="A420" s="10827"/>
      <c r="B420" s="10731"/>
      <c r="C420" s="10728"/>
      <c r="D420" s="10728"/>
      <c r="E420" s="10728"/>
      <c r="F420" s="10744"/>
      <c r="G420" s="10728"/>
      <c r="H420" s="10728"/>
      <c r="I420" s="10728"/>
      <c r="J420" s="10728"/>
      <c r="K420" s="10735"/>
      <c r="L420" s="10738"/>
      <c r="M420" s="10738"/>
      <c r="N420" s="10738"/>
      <c r="O420" s="10735"/>
      <c r="P420" s="10735"/>
      <c r="Q420" s="10750"/>
      <c r="R420" s="5173"/>
      <c r="S420" s="5212"/>
      <c r="T420" s="5212"/>
      <c r="U420" s="5250"/>
      <c r="V420" s="5281"/>
      <c r="W420" s="5302"/>
      <c r="X420" s="7477"/>
      <c r="Y420" s="7473"/>
      <c r="Z420" s="7473"/>
      <c r="AA420" s="7474"/>
      <c r="AB420" s="5323"/>
      <c r="AC420" s="1396"/>
      <c r="AD420" s="5300"/>
      <c r="AE420" s="5346"/>
      <c r="AF420" s="5346"/>
      <c r="AG420" s="10777"/>
      <c r="AH420" s="1758"/>
      <c r="AI420" s="1758"/>
      <c r="AJ420" s="1758"/>
      <c r="AK420" s="1758"/>
      <c r="AL420" s="1758"/>
      <c r="AM420" s="1758"/>
      <c r="AN420" s="1758"/>
      <c r="AO420" s="1758"/>
      <c r="AP420" s="1758"/>
      <c r="AQ420" s="1758"/>
      <c r="AR420" s="1758"/>
      <c r="AS420" s="1758"/>
      <c r="AT420" s="1758"/>
      <c r="AU420" s="1758"/>
      <c r="AV420" s="1758"/>
      <c r="AW420" s="1758"/>
      <c r="AX420" s="1758"/>
      <c r="AY420" s="1758"/>
      <c r="AZ420" s="1758"/>
      <c r="BA420" s="1758"/>
      <c r="BB420" s="1758"/>
      <c r="BC420" s="1758"/>
      <c r="BD420" s="1758"/>
      <c r="BE420" s="1758"/>
      <c r="BF420" s="1758"/>
      <c r="BG420" s="1758"/>
      <c r="BH420" s="1758"/>
      <c r="BI420" s="1758"/>
      <c r="BJ420" s="1758"/>
      <c r="BK420" s="1758"/>
      <c r="BL420" s="1758"/>
      <c r="BM420" s="1758"/>
      <c r="BN420" s="1758"/>
      <c r="BO420" s="1758"/>
      <c r="BP420" s="1758"/>
      <c r="BQ420" s="1758"/>
      <c r="BR420" s="1758"/>
      <c r="BS420" s="1758"/>
      <c r="BT420" s="1758"/>
      <c r="BU420" s="1758"/>
      <c r="BV420" s="1758"/>
      <c r="BW420" s="1758"/>
      <c r="BX420" s="1758"/>
      <c r="BY420" s="1758"/>
      <c r="BZ420" s="1758"/>
      <c r="CA420" s="1758"/>
      <c r="CB420" s="1758"/>
      <c r="CC420" s="1758"/>
      <c r="CD420" s="1758"/>
      <c r="CE420" s="1758"/>
      <c r="CF420" s="1758"/>
      <c r="CG420" s="1758"/>
      <c r="CH420" s="1758"/>
      <c r="CI420" s="1758"/>
      <c r="CJ420" s="1758"/>
      <c r="CK420" s="1758"/>
      <c r="CL420" s="1758"/>
      <c r="CM420" s="1758"/>
      <c r="CN420" s="1758"/>
      <c r="CO420" s="1758"/>
      <c r="CP420" s="1758"/>
      <c r="CQ420" s="1758"/>
      <c r="CR420" s="1758"/>
      <c r="CS420" s="1758"/>
      <c r="CT420" s="1758"/>
      <c r="CU420" s="1758"/>
      <c r="CV420" s="1758"/>
      <c r="CW420" s="1758"/>
      <c r="CX420" s="1758"/>
      <c r="CY420" s="1758"/>
      <c r="CZ420" s="1758"/>
      <c r="DA420" s="1758"/>
      <c r="DB420" s="1758"/>
      <c r="DC420" s="1758"/>
    </row>
    <row r="421" spans="1:107" s="1395" customFormat="1" ht="25.5" customHeight="1">
      <c r="A421" s="10827"/>
      <c r="B421" s="10732"/>
      <c r="C421" s="10729"/>
      <c r="D421" s="10729"/>
      <c r="E421" s="10729"/>
      <c r="F421" s="10745"/>
      <c r="G421" s="10729"/>
      <c r="H421" s="10729"/>
      <c r="I421" s="10729"/>
      <c r="J421" s="10729"/>
      <c r="K421" s="10736"/>
      <c r="L421" s="10739"/>
      <c r="M421" s="10739"/>
      <c r="N421" s="10739"/>
      <c r="O421" s="10736"/>
      <c r="P421" s="10736"/>
      <c r="Q421" s="10751"/>
      <c r="R421" s="5175"/>
      <c r="S421" s="5215"/>
      <c r="T421" s="5215"/>
      <c r="U421" s="5251"/>
      <c r="V421" s="5282"/>
      <c r="W421" s="5303"/>
      <c r="X421" s="7479"/>
      <c r="Y421" s="7479"/>
      <c r="Z421" s="7479"/>
      <c r="AA421" s="7480"/>
      <c r="AB421" s="5326"/>
      <c r="AC421" s="1399"/>
      <c r="AD421" s="5303"/>
      <c r="AE421" s="5348"/>
      <c r="AF421" s="5348"/>
      <c r="AG421" s="10778"/>
      <c r="AH421" s="1758"/>
      <c r="AI421" s="1758"/>
      <c r="AJ421" s="1758"/>
      <c r="AK421" s="1758"/>
      <c r="AL421" s="1758"/>
      <c r="AM421" s="1758"/>
      <c r="AN421" s="1758"/>
      <c r="AO421" s="1758"/>
      <c r="AP421" s="1758"/>
      <c r="AQ421" s="1758"/>
      <c r="AR421" s="1758"/>
      <c r="AS421" s="1758"/>
      <c r="AT421" s="1758"/>
      <c r="AU421" s="1758"/>
      <c r="AV421" s="1758"/>
      <c r="AW421" s="1758"/>
      <c r="AX421" s="1758"/>
      <c r="AY421" s="1758"/>
      <c r="AZ421" s="1758"/>
      <c r="BA421" s="1758"/>
      <c r="BB421" s="1758"/>
      <c r="BC421" s="1758"/>
      <c r="BD421" s="1758"/>
      <c r="BE421" s="1758"/>
      <c r="BF421" s="1758"/>
      <c r="BG421" s="1758"/>
      <c r="BH421" s="1758"/>
      <c r="BI421" s="1758"/>
      <c r="BJ421" s="1758"/>
      <c r="BK421" s="1758"/>
      <c r="BL421" s="1758"/>
      <c r="BM421" s="1758"/>
      <c r="BN421" s="1758"/>
      <c r="BO421" s="1758"/>
      <c r="BP421" s="1758"/>
      <c r="BQ421" s="1758"/>
      <c r="BR421" s="1758"/>
      <c r="BS421" s="1758"/>
      <c r="BT421" s="1758"/>
      <c r="BU421" s="1758"/>
      <c r="BV421" s="1758"/>
      <c r="BW421" s="1758"/>
      <c r="BX421" s="1758"/>
      <c r="BY421" s="1758"/>
      <c r="BZ421" s="1758"/>
      <c r="CA421" s="1758"/>
      <c r="CB421" s="1758"/>
      <c r="CC421" s="1758"/>
      <c r="CD421" s="1758"/>
      <c r="CE421" s="1758"/>
      <c r="CF421" s="1758"/>
      <c r="CG421" s="1758"/>
      <c r="CH421" s="1758"/>
      <c r="CI421" s="1758"/>
      <c r="CJ421" s="1758"/>
      <c r="CK421" s="1758"/>
      <c r="CL421" s="1758"/>
      <c r="CM421" s="1758"/>
      <c r="CN421" s="1758"/>
      <c r="CO421" s="1758"/>
      <c r="CP421" s="1758"/>
      <c r="CQ421" s="1758"/>
      <c r="CR421" s="1758"/>
      <c r="CS421" s="1758"/>
      <c r="CT421" s="1758"/>
      <c r="CU421" s="1758"/>
      <c r="CV421" s="1758"/>
      <c r="CW421" s="1758"/>
      <c r="CX421" s="1758"/>
      <c r="CY421" s="1758"/>
      <c r="CZ421" s="1758"/>
      <c r="DA421" s="1758"/>
      <c r="DB421" s="1758"/>
      <c r="DC421" s="1758"/>
    </row>
    <row r="422" spans="1:107" s="1395" customFormat="1" ht="25.5" customHeight="1">
      <c r="A422" s="10827"/>
      <c r="B422" s="10731" t="s">
        <v>127</v>
      </c>
      <c r="C422" s="10728" t="s">
        <v>227</v>
      </c>
      <c r="D422" s="10728" t="s">
        <v>129</v>
      </c>
      <c r="E422" s="10728" t="s">
        <v>205</v>
      </c>
      <c r="F422" s="10744" t="s">
        <v>131</v>
      </c>
      <c r="G422" s="10728" t="s">
        <v>132</v>
      </c>
      <c r="H422" s="10728" t="s">
        <v>159</v>
      </c>
      <c r="I422" s="10728" t="s">
        <v>4994</v>
      </c>
      <c r="J422" s="10742" t="s">
        <v>4620</v>
      </c>
      <c r="K422" s="10735" t="s">
        <v>5002</v>
      </c>
      <c r="L422" s="10738">
        <v>0</v>
      </c>
      <c r="M422" s="10738">
        <v>1</v>
      </c>
      <c r="N422" s="10738">
        <v>1</v>
      </c>
      <c r="O422" s="10735" t="s">
        <v>4996</v>
      </c>
      <c r="P422" s="10735" t="s">
        <v>4997</v>
      </c>
      <c r="Q422" s="10750" t="s">
        <v>5083</v>
      </c>
      <c r="R422" s="5173"/>
      <c r="S422" s="5212"/>
      <c r="T422" s="5212"/>
      <c r="U422" s="5249"/>
      <c r="V422" s="5281"/>
      <c r="W422" s="5302"/>
      <c r="X422" s="7477"/>
      <c r="Y422" s="7477"/>
      <c r="Z422" s="7477"/>
      <c r="AA422" s="7478"/>
      <c r="AB422" s="5325"/>
      <c r="AC422" s="1398"/>
      <c r="AD422" s="5302"/>
      <c r="AE422" s="5349"/>
      <c r="AF422" s="5349"/>
      <c r="AG422" s="10777" t="s">
        <v>4843</v>
      </c>
      <c r="AH422" s="1758"/>
      <c r="AI422" s="1758"/>
      <c r="AJ422" s="1758"/>
      <c r="AK422" s="1758"/>
      <c r="AL422" s="1758"/>
      <c r="AM422" s="1758"/>
      <c r="AN422" s="1758"/>
      <c r="AO422" s="1758"/>
      <c r="AP422" s="1758"/>
      <c r="AQ422" s="1758"/>
      <c r="AR422" s="1758"/>
      <c r="AS422" s="1758"/>
      <c r="AT422" s="1758"/>
      <c r="AU422" s="1758"/>
      <c r="AV422" s="1758"/>
      <c r="AW422" s="1758"/>
      <c r="AX422" s="1758"/>
      <c r="AY422" s="1758"/>
      <c r="AZ422" s="1758"/>
      <c r="BA422" s="1758"/>
      <c r="BB422" s="1758"/>
      <c r="BC422" s="1758"/>
      <c r="BD422" s="1758"/>
      <c r="BE422" s="1758"/>
      <c r="BF422" s="1758"/>
      <c r="BG422" s="1758"/>
      <c r="BH422" s="1758"/>
      <c r="BI422" s="1758"/>
      <c r="BJ422" s="1758"/>
      <c r="BK422" s="1758"/>
      <c r="BL422" s="1758"/>
      <c r="BM422" s="1758"/>
      <c r="BN422" s="1758"/>
      <c r="BO422" s="1758"/>
      <c r="BP422" s="1758"/>
      <c r="BQ422" s="1758"/>
      <c r="BR422" s="1758"/>
      <c r="BS422" s="1758"/>
      <c r="BT422" s="1758"/>
      <c r="BU422" s="1758"/>
      <c r="BV422" s="1758"/>
      <c r="BW422" s="1758"/>
      <c r="BX422" s="1758"/>
      <c r="BY422" s="1758"/>
      <c r="BZ422" s="1758"/>
      <c r="CA422" s="1758"/>
      <c r="CB422" s="1758"/>
      <c r="CC422" s="1758"/>
      <c r="CD422" s="1758"/>
      <c r="CE422" s="1758"/>
      <c r="CF422" s="1758"/>
      <c r="CG422" s="1758"/>
      <c r="CH422" s="1758"/>
      <c r="CI422" s="1758"/>
      <c r="CJ422" s="1758"/>
      <c r="CK422" s="1758"/>
      <c r="CL422" s="1758"/>
      <c r="CM422" s="1758"/>
      <c r="CN422" s="1758"/>
      <c r="CO422" s="1758"/>
      <c r="CP422" s="1758"/>
      <c r="CQ422" s="1758"/>
      <c r="CR422" s="1758"/>
      <c r="CS422" s="1758"/>
      <c r="CT422" s="1758"/>
      <c r="CU422" s="1758"/>
      <c r="CV422" s="1758"/>
      <c r="CW422" s="1758"/>
      <c r="CX422" s="1758"/>
      <c r="CY422" s="1758"/>
      <c r="CZ422" s="1758"/>
      <c r="DA422" s="1758"/>
      <c r="DB422" s="1758"/>
      <c r="DC422" s="1758"/>
    </row>
    <row r="423" spans="1:107" s="1395" customFormat="1" ht="25.5" customHeight="1">
      <c r="A423" s="10827"/>
      <c r="B423" s="10731"/>
      <c r="C423" s="10728"/>
      <c r="D423" s="10728"/>
      <c r="E423" s="10728"/>
      <c r="F423" s="10744"/>
      <c r="G423" s="10728"/>
      <c r="H423" s="10728"/>
      <c r="I423" s="10728"/>
      <c r="J423" s="10728"/>
      <c r="K423" s="10735"/>
      <c r="L423" s="10738"/>
      <c r="M423" s="10738"/>
      <c r="N423" s="10738"/>
      <c r="O423" s="10735"/>
      <c r="P423" s="10735"/>
      <c r="Q423" s="10750"/>
      <c r="R423" s="5171"/>
      <c r="S423" s="5213"/>
      <c r="T423" s="5213"/>
      <c r="U423" s="5247"/>
      <c r="V423" s="5279"/>
      <c r="W423" s="5300"/>
      <c r="X423" s="7473"/>
      <c r="Y423" s="7473"/>
      <c r="Z423" s="7473"/>
      <c r="AA423" s="7474"/>
      <c r="AB423" s="5323"/>
      <c r="AC423" s="1396"/>
      <c r="AD423" s="5300"/>
      <c r="AE423" s="5346"/>
      <c r="AF423" s="5346"/>
      <c r="AG423" s="10777"/>
      <c r="AH423" s="1758"/>
      <c r="AI423" s="1758"/>
      <c r="AJ423" s="1758"/>
      <c r="AK423" s="1758"/>
      <c r="AL423" s="1758"/>
      <c r="AM423" s="1758"/>
      <c r="AN423" s="1758"/>
      <c r="AO423" s="1758"/>
      <c r="AP423" s="1758"/>
      <c r="AQ423" s="1758"/>
      <c r="AR423" s="1758"/>
      <c r="AS423" s="1758"/>
      <c r="AT423" s="1758"/>
      <c r="AU423" s="1758"/>
      <c r="AV423" s="1758"/>
      <c r="AW423" s="1758"/>
      <c r="AX423" s="1758"/>
      <c r="AY423" s="1758"/>
      <c r="AZ423" s="1758"/>
      <c r="BA423" s="1758"/>
      <c r="BB423" s="1758"/>
      <c r="BC423" s="1758"/>
      <c r="BD423" s="1758"/>
      <c r="BE423" s="1758"/>
      <c r="BF423" s="1758"/>
      <c r="BG423" s="1758"/>
      <c r="BH423" s="1758"/>
      <c r="BI423" s="1758"/>
      <c r="BJ423" s="1758"/>
      <c r="BK423" s="1758"/>
      <c r="BL423" s="1758"/>
      <c r="BM423" s="1758"/>
      <c r="BN423" s="1758"/>
      <c r="BO423" s="1758"/>
      <c r="BP423" s="1758"/>
      <c r="BQ423" s="1758"/>
      <c r="BR423" s="1758"/>
      <c r="BS423" s="1758"/>
      <c r="BT423" s="1758"/>
      <c r="BU423" s="1758"/>
      <c r="BV423" s="1758"/>
      <c r="BW423" s="1758"/>
      <c r="BX423" s="1758"/>
      <c r="BY423" s="1758"/>
      <c r="BZ423" s="1758"/>
      <c r="CA423" s="1758"/>
      <c r="CB423" s="1758"/>
      <c r="CC423" s="1758"/>
      <c r="CD423" s="1758"/>
      <c r="CE423" s="1758"/>
      <c r="CF423" s="1758"/>
      <c r="CG423" s="1758"/>
      <c r="CH423" s="1758"/>
      <c r="CI423" s="1758"/>
      <c r="CJ423" s="1758"/>
      <c r="CK423" s="1758"/>
      <c r="CL423" s="1758"/>
      <c r="CM423" s="1758"/>
      <c r="CN423" s="1758"/>
      <c r="CO423" s="1758"/>
      <c r="CP423" s="1758"/>
      <c r="CQ423" s="1758"/>
      <c r="CR423" s="1758"/>
      <c r="CS423" s="1758"/>
      <c r="CT423" s="1758"/>
      <c r="CU423" s="1758"/>
      <c r="CV423" s="1758"/>
      <c r="CW423" s="1758"/>
      <c r="CX423" s="1758"/>
      <c r="CY423" s="1758"/>
      <c r="CZ423" s="1758"/>
      <c r="DA423" s="1758"/>
      <c r="DB423" s="1758"/>
      <c r="DC423" s="1758"/>
    </row>
    <row r="424" spans="1:107" s="1395" customFormat="1" ht="25.5" customHeight="1">
      <c r="A424" s="10827"/>
      <c r="B424" s="10731"/>
      <c r="C424" s="10728"/>
      <c r="D424" s="10728"/>
      <c r="E424" s="10728"/>
      <c r="F424" s="10744"/>
      <c r="G424" s="10728"/>
      <c r="H424" s="10728"/>
      <c r="I424" s="10728"/>
      <c r="J424" s="10728"/>
      <c r="K424" s="10735"/>
      <c r="L424" s="10738"/>
      <c r="M424" s="10738"/>
      <c r="N424" s="10738"/>
      <c r="O424" s="10735"/>
      <c r="P424" s="10735"/>
      <c r="Q424" s="10750"/>
      <c r="R424" s="5174"/>
      <c r="S424" s="5214"/>
      <c r="T424" s="5214"/>
      <c r="U424" s="5261"/>
      <c r="V424" s="5291"/>
      <c r="W424" s="5312"/>
      <c r="X424" s="7497"/>
      <c r="Y424" s="7489"/>
      <c r="Z424" s="7489"/>
      <c r="AA424" s="7496"/>
      <c r="AB424" s="5333"/>
      <c r="AC424" s="1406"/>
      <c r="AD424" s="5300"/>
      <c r="AE424" s="5346"/>
      <c r="AF424" s="5346"/>
      <c r="AG424" s="10777"/>
      <c r="AH424" s="1758"/>
      <c r="AI424" s="1758"/>
      <c r="AJ424" s="1758"/>
      <c r="AK424" s="1758"/>
      <c r="AL424" s="1758"/>
      <c r="AM424" s="1758"/>
      <c r="AN424" s="1758"/>
      <c r="AO424" s="1758"/>
      <c r="AP424" s="1758"/>
      <c r="AQ424" s="1758"/>
      <c r="AR424" s="1758"/>
      <c r="AS424" s="1758"/>
      <c r="AT424" s="1758"/>
      <c r="AU424" s="1758"/>
      <c r="AV424" s="1758"/>
      <c r="AW424" s="1758"/>
      <c r="AX424" s="1758"/>
      <c r="AY424" s="1758"/>
      <c r="AZ424" s="1758"/>
      <c r="BA424" s="1758"/>
      <c r="BB424" s="1758"/>
      <c r="BC424" s="1758"/>
      <c r="BD424" s="1758"/>
      <c r="BE424" s="1758"/>
      <c r="BF424" s="1758"/>
      <c r="BG424" s="1758"/>
      <c r="BH424" s="1758"/>
      <c r="BI424" s="1758"/>
      <c r="BJ424" s="1758"/>
      <c r="BK424" s="1758"/>
      <c r="BL424" s="1758"/>
      <c r="BM424" s="1758"/>
      <c r="BN424" s="1758"/>
      <c r="BO424" s="1758"/>
      <c r="BP424" s="1758"/>
      <c r="BQ424" s="1758"/>
      <c r="BR424" s="1758"/>
      <c r="BS424" s="1758"/>
      <c r="BT424" s="1758"/>
      <c r="BU424" s="1758"/>
      <c r="BV424" s="1758"/>
      <c r="BW424" s="1758"/>
      <c r="BX424" s="1758"/>
      <c r="BY424" s="1758"/>
      <c r="BZ424" s="1758"/>
      <c r="CA424" s="1758"/>
      <c r="CB424" s="1758"/>
      <c r="CC424" s="1758"/>
      <c r="CD424" s="1758"/>
      <c r="CE424" s="1758"/>
      <c r="CF424" s="1758"/>
      <c r="CG424" s="1758"/>
      <c r="CH424" s="1758"/>
      <c r="CI424" s="1758"/>
      <c r="CJ424" s="1758"/>
      <c r="CK424" s="1758"/>
      <c r="CL424" s="1758"/>
      <c r="CM424" s="1758"/>
      <c r="CN424" s="1758"/>
      <c r="CO424" s="1758"/>
      <c r="CP424" s="1758"/>
      <c r="CQ424" s="1758"/>
      <c r="CR424" s="1758"/>
      <c r="CS424" s="1758"/>
      <c r="CT424" s="1758"/>
      <c r="CU424" s="1758"/>
      <c r="CV424" s="1758"/>
      <c r="CW424" s="1758"/>
      <c r="CX424" s="1758"/>
      <c r="CY424" s="1758"/>
      <c r="CZ424" s="1758"/>
      <c r="DA424" s="1758"/>
      <c r="DB424" s="1758"/>
      <c r="DC424" s="1758"/>
    </row>
    <row r="425" spans="1:107" s="1395" customFormat="1" ht="25.5" customHeight="1">
      <c r="A425" s="10827"/>
      <c r="B425" s="10731"/>
      <c r="C425" s="10728"/>
      <c r="D425" s="10728"/>
      <c r="E425" s="10728"/>
      <c r="F425" s="10744"/>
      <c r="G425" s="10728"/>
      <c r="H425" s="10728"/>
      <c r="I425" s="10728"/>
      <c r="J425" s="10728"/>
      <c r="K425" s="10735"/>
      <c r="L425" s="10738"/>
      <c r="M425" s="10738"/>
      <c r="N425" s="10738"/>
      <c r="O425" s="10735"/>
      <c r="P425" s="10735"/>
      <c r="Q425" s="10750"/>
      <c r="R425" s="5173"/>
      <c r="S425" s="5212"/>
      <c r="T425" s="5212"/>
      <c r="U425" s="5261"/>
      <c r="V425" s="5291"/>
      <c r="W425" s="5312"/>
      <c r="X425" s="7497"/>
      <c r="Y425" s="7489"/>
      <c r="Z425" s="7489"/>
      <c r="AA425" s="7496"/>
      <c r="AB425" s="5333"/>
      <c r="AC425" s="1406"/>
      <c r="AD425" s="5300"/>
      <c r="AE425" s="5346"/>
      <c r="AF425" s="5346"/>
      <c r="AG425" s="10777"/>
      <c r="AH425" s="1758"/>
      <c r="AI425" s="1758"/>
      <c r="AJ425" s="1758"/>
      <c r="AK425" s="1758"/>
      <c r="AL425" s="1758"/>
      <c r="AM425" s="1758"/>
      <c r="AN425" s="1758"/>
      <c r="AO425" s="1758"/>
      <c r="AP425" s="1758"/>
      <c r="AQ425" s="1758"/>
      <c r="AR425" s="1758"/>
      <c r="AS425" s="1758"/>
      <c r="AT425" s="1758"/>
      <c r="AU425" s="1758"/>
      <c r="AV425" s="1758"/>
      <c r="AW425" s="1758"/>
      <c r="AX425" s="1758"/>
      <c r="AY425" s="1758"/>
      <c r="AZ425" s="1758"/>
      <c r="BA425" s="1758"/>
      <c r="BB425" s="1758"/>
      <c r="BC425" s="1758"/>
      <c r="BD425" s="1758"/>
      <c r="BE425" s="1758"/>
      <c r="BF425" s="1758"/>
      <c r="BG425" s="1758"/>
      <c r="BH425" s="1758"/>
      <c r="BI425" s="1758"/>
      <c r="BJ425" s="1758"/>
      <c r="BK425" s="1758"/>
      <c r="BL425" s="1758"/>
      <c r="BM425" s="1758"/>
      <c r="BN425" s="1758"/>
      <c r="BO425" s="1758"/>
      <c r="BP425" s="1758"/>
      <c r="BQ425" s="1758"/>
      <c r="BR425" s="1758"/>
      <c r="BS425" s="1758"/>
      <c r="BT425" s="1758"/>
      <c r="BU425" s="1758"/>
      <c r="BV425" s="1758"/>
      <c r="BW425" s="1758"/>
      <c r="BX425" s="1758"/>
      <c r="BY425" s="1758"/>
      <c r="BZ425" s="1758"/>
      <c r="CA425" s="1758"/>
      <c r="CB425" s="1758"/>
      <c r="CC425" s="1758"/>
      <c r="CD425" s="1758"/>
      <c r="CE425" s="1758"/>
      <c r="CF425" s="1758"/>
      <c r="CG425" s="1758"/>
      <c r="CH425" s="1758"/>
      <c r="CI425" s="1758"/>
      <c r="CJ425" s="1758"/>
      <c r="CK425" s="1758"/>
      <c r="CL425" s="1758"/>
      <c r="CM425" s="1758"/>
      <c r="CN425" s="1758"/>
      <c r="CO425" s="1758"/>
      <c r="CP425" s="1758"/>
      <c r="CQ425" s="1758"/>
      <c r="CR425" s="1758"/>
      <c r="CS425" s="1758"/>
      <c r="CT425" s="1758"/>
      <c r="CU425" s="1758"/>
      <c r="CV425" s="1758"/>
      <c r="CW425" s="1758"/>
      <c r="CX425" s="1758"/>
      <c r="CY425" s="1758"/>
      <c r="CZ425" s="1758"/>
      <c r="DA425" s="1758"/>
      <c r="DB425" s="1758"/>
      <c r="DC425" s="1758"/>
    </row>
    <row r="426" spans="1:107" s="1395" customFormat="1" ht="25.5" customHeight="1">
      <c r="A426" s="10827"/>
      <c r="B426" s="10732"/>
      <c r="C426" s="10729"/>
      <c r="D426" s="10729"/>
      <c r="E426" s="10729"/>
      <c r="F426" s="10745"/>
      <c r="G426" s="10729"/>
      <c r="H426" s="10729"/>
      <c r="I426" s="10729"/>
      <c r="J426" s="10729"/>
      <c r="K426" s="10736"/>
      <c r="L426" s="10739"/>
      <c r="M426" s="10739"/>
      <c r="N426" s="10739"/>
      <c r="O426" s="10736"/>
      <c r="P426" s="10736"/>
      <c r="Q426" s="10751"/>
      <c r="R426" s="5175"/>
      <c r="S426" s="5215"/>
      <c r="T426" s="5215"/>
      <c r="U426" s="5262"/>
      <c r="V426" s="5293"/>
      <c r="W426" s="5313"/>
      <c r="X426" s="7492"/>
      <c r="Y426" s="7492"/>
      <c r="Z426" s="7492"/>
      <c r="AA426" s="7498"/>
      <c r="AB426" s="5334"/>
      <c r="AC426" s="1407"/>
      <c r="AD426" s="5303"/>
      <c r="AE426" s="5348"/>
      <c r="AF426" s="5348"/>
      <c r="AG426" s="10778"/>
      <c r="AH426" s="1758"/>
      <c r="AI426" s="1758"/>
      <c r="AJ426" s="1758"/>
      <c r="AK426" s="1758"/>
      <c r="AL426" s="1758"/>
      <c r="AM426" s="1758"/>
      <c r="AN426" s="1758"/>
      <c r="AO426" s="1758"/>
      <c r="AP426" s="1758"/>
      <c r="AQ426" s="1758"/>
      <c r="AR426" s="1758"/>
      <c r="AS426" s="1758"/>
      <c r="AT426" s="1758"/>
      <c r="AU426" s="1758"/>
      <c r="AV426" s="1758"/>
      <c r="AW426" s="1758"/>
      <c r="AX426" s="1758"/>
      <c r="AY426" s="1758"/>
      <c r="AZ426" s="1758"/>
      <c r="BA426" s="1758"/>
      <c r="BB426" s="1758"/>
      <c r="BC426" s="1758"/>
      <c r="BD426" s="1758"/>
      <c r="BE426" s="1758"/>
      <c r="BF426" s="1758"/>
      <c r="BG426" s="1758"/>
      <c r="BH426" s="1758"/>
      <c r="BI426" s="1758"/>
      <c r="BJ426" s="1758"/>
      <c r="BK426" s="1758"/>
      <c r="BL426" s="1758"/>
      <c r="BM426" s="1758"/>
      <c r="BN426" s="1758"/>
      <c r="BO426" s="1758"/>
      <c r="BP426" s="1758"/>
      <c r="BQ426" s="1758"/>
      <c r="BR426" s="1758"/>
      <c r="BS426" s="1758"/>
      <c r="BT426" s="1758"/>
      <c r="BU426" s="1758"/>
      <c r="BV426" s="1758"/>
      <c r="BW426" s="1758"/>
      <c r="BX426" s="1758"/>
      <c r="BY426" s="1758"/>
      <c r="BZ426" s="1758"/>
      <c r="CA426" s="1758"/>
      <c r="CB426" s="1758"/>
      <c r="CC426" s="1758"/>
      <c r="CD426" s="1758"/>
      <c r="CE426" s="1758"/>
      <c r="CF426" s="1758"/>
      <c r="CG426" s="1758"/>
      <c r="CH426" s="1758"/>
      <c r="CI426" s="1758"/>
      <c r="CJ426" s="1758"/>
      <c r="CK426" s="1758"/>
      <c r="CL426" s="1758"/>
      <c r="CM426" s="1758"/>
      <c r="CN426" s="1758"/>
      <c r="CO426" s="1758"/>
      <c r="CP426" s="1758"/>
      <c r="CQ426" s="1758"/>
      <c r="CR426" s="1758"/>
      <c r="CS426" s="1758"/>
      <c r="CT426" s="1758"/>
      <c r="CU426" s="1758"/>
      <c r="CV426" s="1758"/>
      <c r="CW426" s="1758"/>
      <c r="CX426" s="1758"/>
      <c r="CY426" s="1758"/>
      <c r="CZ426" s="1758"/>
      <c r="DA426" s="1758"/>
      <c r="DB426" s="1758"/>
      <c r="DC426" s="1758"/>
    </row>
    <row r="427" spans="1:107" s="1395" customFormat="1" ht="25.5" customHeight="1">
      <c r="A427" s="10827"/>
      <c r="B427" s="10731" t="s">
        <v>127</v>
      </c>
      <c r="C427" s="10728" t="s">
        <v>128</v>
      </c>
      <c r="D427" s="10728" t="s">
        <v>129</v>
      </c>
      <c r="E427" s="10728" t="s">
        <v>205</v>
      </c>
      <c r="F427" s="10744" t="s">
        <v>131</v>
      </c>
      <c r="G427" s="10728" t="s">
        <v>132</v>
      </c>
      <c r="H427" s="10728" t="s">
        <v>159</v>
      </c>
      <c r="I427" s="10728" t="s">
        <v>5086</v>
      </c>
      <c r="J427" s="10742" t="s">
        <v>5087</v>
      </c>
      <c r="K427" s="10735" t="s">
        <v>5002</v>
      </c>
      <c r="L427" s="10738">
        <v>0</v>
      </c>
      <c r="M427" s="10738">
        <v>1</v>
      </c>
      <c r="N427" s="10738">
        <v>1</v>
      </c>
      <c r="O427" s="10735" t="s">
        <v>5088</v>
      </c>
      <c r="P427" s="10735" t="s">
        <v>5089</v>
      </c>
      <c r="Q427" s="10750" t="s">
        <v>5090</v>
      </c>
      <c r="R427" s="5173"/>
      <c r="S427" s="5212"/>
      <c r="T427" s="5212"/>
      <c r="U427" s="5273"/>
      <c r="V427" s="5291"/>
      <c r="W427" s="5312"/>
      <c r="X427" s="7497"/>
      <c r="Y427" s="7497"/>
      <c r="Z427" s="7497"/>
      <c r="AA427" s="7506"/>
      <c r="AB427" s="5339"/>
      <c r="AC427" s="1408"/>
      <c r="AD427" s="5302"/>
      <c r="AE427" s="5349"/>
      <c r="AF427" s="5349"/>
      <c r="AG427" s="10777" t="s">
        <v>5005</v>
      </c>
      <c r="AH427" s="1758"/>
      <c r="AI427" s="1758"/>
      <c r="AJ427" s="1758"/>
      <c r="AK427" s="1758"/>
      <c r="AL427" s="1758"/>
      <c r="AM427" s="1758"/>
      <c r="AN427" s="1758"/>
      <c r="AO427" s="1758"/>
      <c r="AP427" s="1758"/>
      <c r="AQ427" s="1758"/>
      <c r="AR427" s="1758"/>
      <c r="AS427" s="1758"/>
      <c r="AT427" s="1758"/>
      <c r="AU427" s="1758"/>
      <c r="AV427" s="1758"/>
      <c r="AW427" s="1758"/>
      <c r="AX427" s="1758"/>
      <c r="AY427" s="1758"/>
      <c r="AZ427" s="1758"/>
      <c r="BA427" s="1758"/>
      <c r="BB427" s="1758"/>
      <c r="BC427" s="1758"/>
      <c r="BD427" s="1758"/>
      <c r="BE427" s="1758"/>
      <c r="BF427" s="1758"/>
      <c r="BG427" s="1758"/>
      <c r="BH427" s="1758"/>
      <c r="BI427" s="1758"/>
      <c r="BJ427" s="1758"/>
      <c r="BK427" s="1758"/>
      <c r="BL427" s="1758"/>
      <c r="BM427" s="1758"/>
      <c r="BN427" s="1758"/>
      <c r="BO427" s="1758"/>
      <c r="BP427" s="1758"/>
      <c r="BQ427" s="1758"/>
      <c r="BR427" s="1758"/>
      <c r="BS427" s="1758"/>
      <c r="BT427" s="1758"/>
      <c r="BU427" s="1758"/>
      <c r="BV427" s="1758"/>
      <c r="BW427" s="1758"/>
      <c r="BX427" s="1758"/>
      <c r="BY427" s="1758"/>
      <c r="BZ427" s="1758"/>
      <c r="CA427" s="1758"/>
      <c r="CB427" s="1758"/>
      <c r="CC427" s="1758"/>
      <c r="CD427" s="1758"/>
      <c r="CE427" s="1758"/>
      <c r="CF427" s="1758"/>
      <c r="CG427" s="1758"/>
      <c r="CH427" s="1758"/>
      <c r="CI427" s="1758"/>
      <c r="CJ427" s="1758"/>
      <c r="CK427" s="1758"/>
      <c r="CL427" s="1758"/>
      <c r="CM427" s="1758"/>
      <c r="CN427" s="1758"/>
      <c r="CO427" s="1758"/>
      <c r="CP427" s="1758"/>
      <c r="CQ427" s="1758"/>
      <c r="CR427" s="1758"/>
      <c r="CS427" s="1758"/>
      <c r="CT427" s="1758"/>
      <c r="CU427" s="1758"/>
      <c r="CV427" s="1758"/>
      <c r="CW427" s="1758"/>
      <c r="CX427" s="1758"/>
      <c r="CY427" s="1758"/>
      <c r="CZ427" s="1758"/>
      <c r="DA427" s="1758"/>
      <c r="DB427" s="1758"/>
      <c r="DC427" s="1758"/>
    </row>
    <row r="428" spans="1:107" s="1395" customFormat="1" ht="25.5" customHeight="1">
      <c r="A428" s="10827"/>
      <c r="B428" s="10731"/>
      <c r="C428" s="10728"/>
      <c r="D428" s="10728"/>
      <c r="E428" s="10728"/>
      <c r="F428" s="10744"/>
      <c r="G428" s="10728"/>
      <c r="H428" s="10728"/>
      <c r="I428" s="10728"/>
      <c r="J428" s="10728"/>
      <c r="K428" s="10735"/>
      <c r="L428" s="10738"/>
      <c r="M428" s="10738"/>
      <c r="N428" s="10738"/>
      <c r="O428" s="10735"/>
      <c r="P428" s="10735"/>
      <c r="Q428" s="10750"/>
      <c r="R428" s="5171"/>
      <c r="S428" s="5213"/>
      <c r="T428" s="5213"/>
      <c r="U428" s="5260"/>
      <c r="V428" s="5290"/>
      <c r="W428" s="5311"/>
      <c r="X428" s="7489"/>
      <c r="Y428" s="7489"/>
      <c r="Z428" s="7489"/>
      <c r="AA428" s="7496"/>
      <c r="AB428" s="5333"/>
      <c r="AC428" s="1406"/>
      <c r="AD428" s="5300"/>
      <c r="AE428" s="5346"/>
      <c r="AF428" s="5346"/>
      <c r="AG428" s="10777"/>
      <c r="AH428" s="1758"/>
      <c r="AI428" s="1758"/>
      <c r="AJ428" s="1758"/>
      <c r="AK428" s="1758"/>
      <c r="AL428" s="1758"/>
      <c r="AM428" s="1758"/>
      <c r="AN428" s="1758"/>
      <c r="AO428" s="1758"/>
      <c r="AP428" s="1758"/>
      <c r="AQ428" s="1758"/>
      <c r="AR428" s="1758"/>
      <c r="AS428" s="1758"/>
      <c r="AT428" s="1758"/>
      <c r="AU428" s="1758"/>
      <c r="AV428" s="1758"/>
      <c r="AW428" s="1758"/>
      <c r="AX428" s="1758"/>
      <c r="AY428" s="1758"/>
      <c r="AZ428" s="1758"/>
      <c r="BA428" s="1758"/>
      <c r="BB428" s="1758"/>
      <c r="BC428" s="1758"/>
      <c r="BD428" s="1758"/>
      <c r="BE428" s="1758"/>
      <c r="BF428" s="1758"/>
      <c r="BG428" s="1758"/>
      <c r="BH428" s="1758"/>
      <c r="BI428" s="1758"/>
      <c r="BJ428" s="1758"/>
      <c r="BK428" s="1758"/>
      <c r="BL428" s="1758"/>
      <c r="BM428" s="1758"/>
      <c r="BN428" s="1758"/>
      <c r="BO428" s="1758"/>
      <c r="BP428" s="1758"/>
      <c r="BQ428" s="1758"/>
      <c r="BR428" s="1758"/>
      <c r="BS428" s="1758"/>
      <c r="BT428" s="1758"/>
      <c r="BU428" s="1758"/>
      <c r="BV428" s="1758"/>
      <c r="BW428" s="1758"/>
      <c r="BX428" s="1758"/>
      <c r="BY428" s="1758"/>
      <c r="BZ428" s="1758"/>
      <c r="CA428" s="1758"/>
      <c r="CB428" s="1758"/>
      <c r="CC428" s="1758"/>
      <c r="CD428" s="1758"/>
      <c r="CE428" s="1758"/>
      <c r="CF428" s="1758"/>
      <c r="CG428" s="1758"/>
      <c r="CH428" s="1758"/>
      <c r="CI428" s="1758"/>
      <c r="CJ428" s="1758"/>
      <c r="CK428" s="1758"/>
      <c r="CL428" s="1758"/>
      <c r="CM428" s="1758"/>
      <c r="CN428" s="1758"/>
      <c r="CO428" s="1758"/>
      <c r="CP428" s="1758"/>
      <c r="CQ428" s="1758"/>
      <c r="CR428" s="1758"/>
      <c r="CS428" s="1758"/>
      <c r="CT428" s="1758"/>
      <c r="CU428" s="1758"/>
      <c r="CV428" s="1758"/>
      <c r="CW428" s="1758"/>
      <c r="CX428" s="1758"/>
      <c r="CY428" s="1758"/>
      <c r="CZ428" s="1758"/>
      <c r="DA428" s="1758"/>
      <c r="DB428" s="1758"/>
      <c r="DC428" s="1758"/>
    </row>
    <row r="429" spans="1:107" s="1395" customFormat="1" ht="25.5" customHeight="1">
      <c r="A429" s="10827"/>
      <c r="B429" s="10731"/>
      <c r="C429" s="10728"/>
      <c r="D429" s="10728"/>
      <c r="E429" s="10728"/>
      <c r="F429" s="10744"/>
      <c r="G429" s="10728"/>
      <c r="H429" s="10728"/>
      <c r="I429" s="10728"/>
      <c r="J429" s="10728"/>
      <c r="K429" s="10735"/>
      <c r="L429" s="10738"/>
      <c r="M429" s="10738"/>
      <c r="N429" s="10738"/>
      <c r="O429" s="10735"/>
      <c r="P429" s="10735"/>
      <c r="Q429" s="10750"/>
      <c r="R429" s="5174"/>
      <c r="S429" s="5214"/>
      <c r="T429" s="5214"/>
      <c r="U429" s="5261"/>
      <c r="V429" s="5291"/>
      <c r="W429" s="5312"/>
      <c r="X429" s="7497"/>
      <c r="Y429" s="7489"/>
      <c r="Z429" s="7489"/>
      <c r="AA429" s="7496"/>
      <c r="AB429" s="5333"/>
      <c r="AC429" s="1406"/>
      <c r="AD429" s="5300"/>
      <c r="AE429" s="5346"/>
      <c r="AF429" s="5346"/>
      <c r="AG429" s="10777"/>
      <c r="AH429" s="1758"/>
      <c r="AI429" s="1758"/>
      <c r="AJ429" s="1758"/>
      <c r="AK429" s="1758"/>
      <c r="AL429" s="1758"/>
      <c r="AM429" s="1758"/>
      <c r="AN429" s="1758"/>
      <c r="AO429" s="1758"/>
      <c r="AP429" s="1758"/>
      <c r="AQ429" s="1758"/>
      <c r="AR429" s="1758"/>
      <c r="AS429" s="1758"/>
      <c r="AT429" s="1758"/>
      <c r="AU429" s="1758"/>
      <c r="AV429" s="1758"/>
      <c r="AW429" s="1758"/>
      <c r="AX429" s="1758"/>
      <c r="AY429" s="1758"/>
      <c r="AZ429" s="1758"/>
      <c r="BA429" s="1758"/>
      <c r="BB429" s="1758"/>
      <c r="BC429" s="1758"/>
      <c r="BD429" s="1758"/>
      <c r="BE429" s="1758"/>
      <c r="BF429" s="1758"/>
      <c r="BG429" s="1758"/>
      <c r="BH429" s="1758"/>
      <c r="BI429" s="1758"/>
      <c r="BJ429" s="1758"/>
      <c r="BK429" s="1758"/>
      <c r="BL429" s="1758"/>
      <c r="BM429" s="1758"/>
      <c r="BN429" s="1758"/>
      <c r="BO429" s="1758"/>
      <c r="BP429" s="1758"/>
      <c r="BQ429" s="1758"/>
      <c r="BR429" s="1758"/>
      <c r="BS429" s="1758"/>
      <c r="BT429" s="1758"/>
      <c r="BU429" s="1758"/>
      <c r="BV429" s="1758"/>
      <c r="BW429" s="1758"/>
      <c r="BX429" s="1758"/>
      <c r="BY429" s="1758"/>
      <c r="BZ429" s="1758"/>
      <c r="CA429" s="1758"/>
      <c r="CB429" s="1758"/>
      <c r="CC429" s="1758"/>
      <c r="CD429" s="1758"/>
      <c r="CE429" s="1758"/>
      <c r="CF429" s="1758"/>
      <c r="CG429" s="1758"/>
      <c r="CH429" s="1758"/>
      <c r="CI429" s="1758"/>
      <c r="CJ429" s="1758"/>
      <c r="CK429" s="1758"/>
      <c r="CL429" s="1758"/>
      <c r="CM429" s="1758"/>
      <c r="CN429" s="1758"/>
      <c r="CO429" s="1758"/>
      <c r="CP429" s="1758"/>
      <c r="CQ429" s="1758"/>
      <c r="CR429" s="1758"/>
      <c r="CS429" s="1758"/>
      <c r="CT429" s="1758"/>
      <c r="CU429" s="1758"/>
      <c r="CV429" s="1758"/>
      <c r="CW429" s="1758"/>
      <c r="CX429" s="1758"/>
      <c r="CY429" s="1758"/>
      <c r="CZ429" s="1758"/>
      <c r="DA429" s="1758"/>
      <c r="DB429" s="1758"/>
      <c r="DC429" s="1758"/>
    </row>
    <row r="430" spans="1:107" s="1395" customFormat="1" ht="25.5" customHeight="1">
      <c r="A430" s="10827"/>
      <c r="B430" s="10731"/>
      <c r="C430" s="10728"/>
      <c r="D430" s="10728"/>
      <c r="E430" s="10728"/>
      <c r="F430" s="10744"/>
      <c r="G430" s="10728"/>
      <c r="H430" s="10728"/>
      <c r="I430" s="10728"/>
      <c r="J430" s="10728"/>
      <c r="K430" s="10735"/>
      <c r="L430" s="10738"/>
      <c r="M430" s="10738"/>
      <c r="N430" s="10738"/>
      <c r="O430" s="10735"/>
      <c r="P430" s="10735"/>
      <c r="Q430" s="10750"/>
      <c r="R430" s="5173"/>
      <c r="S430" s="5212"/>
      <c r="T430" s="5212"/>
      <c r="U430" s="5261"/>
      <c r="V430" s="5291"/>
      <c r="W430" s="5312"/>
      <c r="X430" s="7497"/>
      <c r="Y430" s="7489"/>
      <c r="Z430" s="7489"/>
      <c r="AA430" s="7496"/>
      <c r="AB430" s="5333"/>
      <c r="AC430" s="1406"/>
      <c r="AD430" s="5300"/>
      <c r="AE430" s="5346"/>
      <c r="AF430" s="5346"/>
      <c r="AG430" s="10777"/>
      <c r="AH430" s="1758"/>
      <c r="AI430" s="1758"/>
      <c r="AJ430" s="1758"/>
      <c r="AK430" s="1758"/>
      <c r="AL430" s="1758"/>
      <c r="AM430" s="1758"/>
      <c r="AN430" s="1758"/>
      <c r="AO430" s="1758"/>
      <c r="AP430" s="1758"/>
      <c r="AQ430" s="1758"/>
      <c r="AR430" s="1758"/>
      <c r="AS430" s="1758"/>
      <c r="AT430" s="1758"/>
      <c r="AU430" s="1758"/>
      <c r="AV430" s="1758"/>
      <c r="AW430" s="1758"/>
      <c r="AX430" s="1758"/>
      <c r="AY430" s="1758"/>
      <c r="AZ430" s="1758"/>
      <c r="BA430" s="1758"/>
      <c r="BB430" s="1758"/>
      <c r="BC430" s="1758"/>
      <c r="BD430" s="1758"/>
      <c r="BE430" s="1758"/>
      <c r="BF430" s="1758"/>
      <c r="BG430" s="1758"/>
      <c r="BH430" s="1758"/>
      <c r="BI430" s="1758"/>
      <c r="BJ430" s="1758"/>
      <c r="BK430" s="1758"/>
      <c r="BL430" s="1758"/>
      <c r="BM430" s="1758"/>
      <c r="BN430" s="1758"/>
      <c r="BO430" s="1758"/>
      <c r="BP430" s="1758"/>
      <c r="BQ430" s="1758"/>
      <c r="BR430" s="1758"/>
      <c r="BS430" s="1758"/>
      <c r="BT430" s="1758"/>
      <c r="BU430" s="1758"/>
      <c r="BV430" s="1758"/>
      <c r="BW430" s="1758"/>
      <c r="BX430" s="1758"/>
      <c r="BY430" s="1758"/>
      <c r="BZ430" s="1758"/>
      <c r="CA430" s="1758"/>
      <c r="CB430" s="1758"/>
      <c r="CC430" s="1758"/>
      <c r="CD430" s="1758"/>
      <c r="CE430" s="1758"/>
      <c r="CF430" s="1758"/>
      <c r="CG430" s="1758"/>
      <c r="CH430" s="1758"/>
      <c r="CI430" s="1758"/>
      <c r="CJ430" s="1758"/>
      <c r="CK430" s="1758"/>
      <c r="CL430" s="1758"/>
      <c r="CM430" s="1758"/>
      <c r="CN430" s="1758"/>
      <c r="CO430" s="1758"/>
      <c r="CP430" s="1758"/>
      <c r="CQ430" s="1758"/>
      <c r="CR430" s="1758"/>
      <c r="CS430" s="1758"/>
      <c r="CT430" s="1758"/>
      <c r="CU430" s="1758"/>
      <c r="CV430" s="1758"/>
      <c r="CW430" s="1758"/>
      <c r="CX430" s="1758"/>
      <c r="CY430" s="1758"/>
      <c r="CZ430" s="1758"/>
      <c r="DA430" s="1758"/>
      <c r="DB430" s="1758"/>
      <c r="DC430" s="1758"/>
    </row>
    <row r="431" spans="1:107" s="1395" customFormat="1" ht="25.5" customHeight="1">
      <c r="A431" s="10827"/>
      <c r="B431" s="10732"/>
      <c r="C431" s="10729"/>
      <c r="D431" s="10729"/>
      <c r="E431" s="10729"/>
      <c r="F431" s="10745"/>
      <c r="G431" s="10729"/>
      <c r="H431" s="10729"/>
      <c r="I431" s="10729"/>
      <c r="J431" s="10729"/>
      <c r="K431" s="10736"/>
      <c r="L431" s="10739"/>
      <c r="M431" s="10739"/>
      <c r="N431" s="10739"/>
      <c r="O431" s="10736"/>
      <c r="P431" s="10736"/>
      <c r="Q431" s="10751"/>
      <c r="R431" s="5175"/>
      <c r="S431" s="5215"/>
      <c r="T431" s="5215"/>
      <c r="U431" s="5262"/>
      <c r="V431" s="5293"/>
      <c r="W431" s="5313"/>
      <c r="X431" s="7492"/>
      <c r="Y431" s="7492"/>
      <c r="Z431" s="7492"/>
      <c r="AA431" s="7498"/>
      <c r="AB431" s="5334"/>
      <c r="AC431" s="1407"/>
      <c r="AD431" s="5303"/>
      <c r="AE431" s="5348"/>
      <c r="AF431" s="5348"/>
      <c r="AG431" s="10778"/>
      <c r="AH431" s="1758"/>
      <c r="AI431" s="1758"/>
      <c r="AJ431" s="1758"/>
      <c r="AK431" s="1758"/>
      <c r="AL431" s="1758"/>
      <c r="AM431" s="1758"/>
      <c r="AN431" s="1758"/>
      <c r="AO431" s="1758"/>
      <c r="AP431" s="1758"/>
      <c r="AQ431" s="1758"/>
      <c r="AR431" s="1758"/>
      <c r="AS431" s="1758"/>
      <c r="AT431" s="1758"/>
      <c r="AU431" s="1758"/>
      <c r="AV431" s="1758"/>
      <c r="AW431" s="1758"/>
      <c r="AX431" s="1758"/>
      <c r="AY431" s="1758"/>
      <c r="AZ431" s="1758"/>
      <c r="BA431" s="1758"/>
      <c r="BB431" s="1758"/>
      <c r="BC431" s="1758"/>
      <c r="BD431" s="1758"/>
      <c r="BE431" s="1758"/>
      <c r="BF431" s="1758"/>
      <c r="BG431" s="1758"/>
      <c r="BH431" s="1758"/>
      <c r="BI431" s="1758"/>
      <c r="BJ431" s="1758"/>
      <c r="BK431" s="1758"/>
      <c r="BL431" s="1758"/>
      <c r="BM431" s="1758"/>
      <c r="BN431" s="1758"/>
      <c r="BO431" s="1758"/>
      <c r="BP431" s="1758"/>
      <c r="BQ431" s="1758"/>
      <c r="BR431" s="1758"/>
      <c r="BS431" s="1758"/>
      <c r="BT431" s="1758"/>
      <c r="BU431" s="1758"/>
      <c r="BV431" s="1758"/>
      <c r="BW431" s="1758"/>
      <c r="BX431" s="1758"/>
      <c r="BY431" s="1758"/>
      <c r="BZ431" s="1758"/>
      <c r="CA431" s="1758"/>
      <c r="CB431" s="1758"/>
      <c r="CC431" s="1758"/>
      <c r="CD431" s="1758"/>
      <c r="CE431" s="1758"/>
      <c r="CF431" s="1758"/>
      <c r="CG431" s="1758"/>
      <c r="CH431" s="1758"/>
      <c r="CI431" s="1758"/>
      <c r="CJ431" s="1758"/>
      <c r="CK431" s="1758"/>
      <c r="CL431" s="1758"/>
      <c r="CM431" s="1758"/>
      <c r="CN431" s="1758"/>
      <c r="CO431" s="1758"/>
      <c r="CP431" s="1758"/>
      <c r="CQ431" s="1758"/>
      <c r="CR431" s="1758"/>
      <c r="CS431" s="1758"/>
      <c r="CT431" s="1758"/>
      <c r="CU431" s="1758"/>
      <c r="CV431" s="1758"/>
      <c r="CW431" s="1758"/>
      <c r="CX431" s="1758"/>
      <c r="CY431" s="1758"/>
      <c r="CZ431" s="1758"/>
      <c r="DA431" s="1758"/>
      <c r="DB431" s="1758"/>
      <c r="DC431" s="1758"/>
    </row>
    <row r="432" spans="1:107" s="1395" customFormat="1" ht="28.5" customHeight="1">
      <c r="A432" s="10827"/>
      <c r="B432" s="10748" t="s">
        <v>127</v>
      </c>
      <c r="C432" s="10742" t="s">
        <v>128</v>
      </c>
      <c r="D432" s="10742" t="s">
        <v>1292</v>
      </c>
      <c r="E432" s="10742" t="s">
        <v>5006</v>
      </c>
      <c r="F432" s="10743" t="s">
        <v>1294</v>
      </c>
      <c r="G432" s="10742" t="s">
        <v>171</v>
      </c>
      <c r="H432" s="10742" t="s">
        <v>159</v>
      </c>
      <c r="I432" s="10742" t="s">
        <v>5091</v>
      </c>
      <c r="J432" s="10742" t="s">
        <v>4631</v>
      </c>
      <c r="K432" s="10734" t="s">
        <v>5092</v>
      </c>
      <c r="L432" s="10737">
        <v>0</v>
      </c>
      <c r="M432" s="10737">
        <v>1</v>
      </c>
      <c r="N432" s="10737">
        <v>1</v>
      </c>
      <c r="O432" s="10734" t="s">
        <v>5093</v>
      </c>
      <c r="P432" s="10734" t="s">
        <v>5094</v>
      </c>
      <c r="Q432" s="10740" t="s">
        <v>5083</v>
      </c>
      <c r="R432" s="5202" t="s">
        <v>5013</v>
      </c>
      <c r="S432" s="5227" t="s">
        <v>4825</v>
      </c>
      <c r="T432" s="5231"/>
      <c r="U432" s="5263" t="s">
        <v>40</v>
      </c>
      <c r="V432" s="5294"/>
      <c r="W432" s="5314"/>
      <c r="X432" s="7487"/>
      <c r="Y432" s="7487"/>
      <c r="Z432" s="7487"/>
      <c r="AA432" s="7503">
        <f>+Z433</f>
        <v>15414.000000000002</v>
      </c>
      <c r="AB432" s="5337" t="s">
        <v>18</v>
      </c>
      <c r="AC432" s="1416"/>
      <c r="AD432" s="5314"/>
      <c r="AE432" s="5350"/>
      <c r="AF432" s="5350"/>
      <c r="AG432" s="10779" t="s">
        <v>5095</v>
      </c>
      <c r="AH432" s="1758"/>
      <c r="AI432" s="1758"/>
      <c r="AJ432" s="1758"/>
      <c r="AK432" s="1758"/>
      <c r="AL432" s="1758"/>
      <c r="AM432" s="1758"/>
      <c r="AN432" s="1758"/>
      <c r="AO432" s="1758"/>
      <c r="AP432" s="1758"/>
      <c r="AQ432" s="1758"/>
      <c r="AR432" s="1758"/>
      <c r="AS432" s="1758"/>
      <c r="AT432" s="1758"/>
      <c r="AU432" s="1758"/>
      <c r="AV432" s="1758"/>
      <c r="AW432" s="1758"/>
      <c r="AX432" s="1758"/>
      <c r="AY432" s="1758"/>
      <c r="AZ432" s="1758"/>
      <c r="BA432" s="1758"/>
      <c r="BB432" s="1758"/>
      <c r="BC432" s="1758"/>
      <c r="BD432" s="1758"/>
      <c r="BE432" s="1758"/>
      <c r="BF432" s="1758"/>
      <c r="BG432" s="1758"/>
      <c r="BH432" s="1758"/>
      <c r="BI432" s="1758"/>
      <c r="BJ432" s="1758"/>
      <c r="BK432" s="1758"/>
      <c r="BL432" s="1758"/>
      <c r="BM432" s="1758"/>
      <c r="BN432" s="1758"/>
      <c r="BO432" s="1758"/>
      <c r="BP432" s="1758"/>
      <c r="BQ432" s="1758"/>
      <c r="BR432" s="1758"/>
      <c r="BS432" s="1758"/>
      <c r="BT432" s="1758"/>
      <c r="BU432" s="1758"/>
      <c r="BV432" s="1758"/>
      <c r="BW432" s="1758"/>
      <c r="BX432" s="1758"/>
      <c r="BY432" s="1758"/>
      <c r="BZ432" s="1758"/>
      <c r="CA432" s="1758"/>
      <c r="CB432" s="1758"/>
      <c r="CC432" s="1758"/>
      <c r="CD432" s="1758"/>
      <c r="CE432" s="1758"/>
      <c r="CF432" s="1758"/>
      <c r="CG432" s="1758"/>
      <c r="CH432" s="1758"/>
      <c r="CI432" s="1758"/>
      <c r="CJ432" s="1758"/>
      <c r="CK432" s="1758"/>
      <c r="CL432" s="1758"/>
      <c r="CM432" s="1758"/>
      <c r="CN432" s="1758"/>
      <c r="CO432" s="1758"/>
      <c r="CP432" s="1758"/>
      <c r="CQ432" s="1758"/>
      <c r="CR432" s="1758"/>
      <c r="CS432" s="1758"/>
      <c r="CT432" s="1758"/>
      <c r="CU432" s="1758"/>
      <c r="CV432" s="1758"/>
      <c r="CW432" s="1758"/>
      <c r="CX432" s="1758"/>
      <c r="CY432" s="1758"/>
      <c r="CZ432" s="1758"/>
      <c r="DA432" s="1758"/>
      <c r="DB432" s="1758"/>
      <c r="DC432" s="1758"/>
    </row>
    <row r="433" spans="1:107" s="1395" customFormat="1" ht="36.75" customHeight="1">
      <c r="A433" s="10827"/>
      <c r="B433" s="10731"/>
      <c r="C433" s="10728"/>
      <c r="D433" s="10728"/>
      <c r="E433" s="10728"/>
      <c r="F433" s="10744"/>
      <c r="G433" s="10728"/>
      <c r="H433" s="10728"/>
      <c r="I433" s="10728"/>
      <c r="J433" s="10728"/>
      <c r="K433" s="10735"/>
      <c r="L433" s="10738"/>
      <c r="M433" s="10738"/>
      <c r="N433" s="10738"/>
      <c r="O433" s="10735"/>
      <c r="P433" s="10735"/>
      <c r="Q433" s="10741"/>
      <c r="R433" s="5204"/>
      <c r="S433" s="5210"/>
      <c r="T433" s="5235">
        <v>4523000812</v>
      </c>
      <c r="U433" s="7773" t="s">
        <v>5096</v>
      </c>
      <c r="V433" s="7772">
        <v>10</v>
      </c>
      <c r="W433" s="7771" t="s">
        <v>180</v>
      </c>
      <c r="X433" s="7770">
        <v>1376.25</v>
      </c>
      <c r="Y433" s="7770">
        <f>V433*X433</f>
        <v>13762.5</v>
      </c>
      <c r="Z433" s="7770">
        <f t="shared" ref="Z433:Z439" si="6">+Y433*1.12</f>
        <v>15414.000000000002</v>
      </c>
      <c r="AA433" s="7474"/>
      <c r="AB433" s="5323"/>
      <c r="AC433" s="1396"/>
      <c r="AD433" s="5369"/>
      <c r="AE433" s="5370" t="s">
        <v>153</v>
      </c>
      <c r="AF433" s="5370"/>
      <c r="AG433" s="10777"/>
      <c r="AH433" s="1758"/>
      <c r="AI433" s="1758"/>
      <c r="AJ433" s="1758"/>
      <c r="AK433" s="1758"/>
      <c r="AL433" s="1758"/>
      <c r="AM433" s="1758"/>
      <c r="AN433" s="1758"/>
      <c r="AO433" s="1758"/>
      <c r="AP433" s="1758"/>
      <c r="AQ433" s="1758"/>
      <c r="AR433" s="1758"/>
      <c r="AS433" s="1758"/>
      <c r="AT433" s="1758"/>
      <c r="AU433" s="1758"/>
      <c r="AV433" s="1758"/>
      <c r="AW433" s="1758"/>
      <c r="AX433" s="1758"/>
      <c r="AY433" s="1758"/>
      <c r="AZ433" s="1758"/>
      <c r="BA433" s="1758"/>
      <c r="BB433" s="1758"/>
      <c r="BC433" s="1758"/>
      <c r="BD433" s="1758"/>
      <c r="BE433" s="1758"/>
      <c r="BF433" s="1758"/>
      <c r="BG433" s="1758"/>
      <c r="BH433" s="1758"/>
      <c r="BI433" s="1758"/>
      <c r="BJ433" s="1758"/>
      <c r="BK433" s="1758"/>
      <c r="BL433" s="1758"/>
      <c r="BM433" s="1758"/>
      <c r="BN433" s="1758"/>
      <c r="BO433" s="1758"/>
      <c r="BP433" s="1758"/>
      <c r="BQ433" s="1758"/>
      <c r="BR433" s="1758"/>
      <c r="BS433" s="1758"/>
      <c r="BT433" s="1758"/>
      <c r="BU433" s="1758"/>
      <c r="BV433" s="1758"/>
      <c r="BW433" s="1758"/>
      <c r="BX433" s="1758"/>
      <c r="BY433" s="1758"/>
      <c r="BZ433" s="1758"/>
      <c r="CA433" s="1758"/>
      <c r="CB433" s="1758"/>
      <c r="CC433" s="1758"/>
      <c r="CD433" s="1758"/>
      <c r="CE433" s="1758"/>
      <c r="CF433" s="1758"/>
      <c r="CG433" s="1758"/>
      <c r="CH433" s="1758"/>
      <c r="CI433" s="1758"/>
      <c r="CJ433" s="1758"/>
      <c r="CK433" s="1758"/>
      <c r="CL433" s="1758"/>
      <c r="CM433" s="1758"/>
      <c r="CN433" s="1758"/>
      <c r="CO433" s="1758"/>
      <c r="CP433" s="1758"/>
      <c r="CQ433" s="1758"/>
      <c r="CR433" s="1758"/>
      <c r="CS433" s="1758"/>
      <c r="CT433" s="1758"/>
      <c r="CU433" s="1758"/>
      <c r="CV433" s="1758"/>
      <c r="CW433" s="1758"/>
      <c r="CX433" s="1758"/>
      <c r="CY433" s="1758"/>
      <c r="CZ433" s="1758"/>
      <c r="DA433" s="1758"/>
      <c r="DB433" s="1758"/>
      <c r="DC433" s="1758"/>
    </row>
    <row r="434" spans="1:107" s="1395" customFormat="1" ht="26.1" customHeight="1">
      <c r="A434" s="10827"/>
      <c r="B434" s="10731"/>
      <c r="C434" s="10728"/>
      <c r="D434" s="10728"/>
      <c r="E434" s="10728"/>
      <c r="F434" s="10744"/>
      <c r="G434" s="10728"/>
      <c r="H434" s="10728"/>
      <c r="I434" s="10728"/>
      <c r="J434" s="10728"/>
      <c r="K434" s="10735"/>
      <c r="L434" s="10738"/>
      <c r="M434" s="10738"/>
      <c r="N434" s="10738"/>
      <c r="O434" s="10735"/>
      <c r="P434" s="10735"/>
      <c r="Q434" s="10741"/>
      <c r="R434" s="5200" t="s">
        <v>5013</v>
      </c>
      <c r="S434" s="5228" t="s">
        <v>5097</v>
      </c>
      <c r="T434" s="5235"/>
      <c r="U434" s="5264" t="s">
        <v>33</v>
      </c>
      <c r="V434" s="5279"/>
      <c r="W434" s="5300"/>
      <c r="X434" s="8266"/>
      <c r="Y434" s="8266"/>
      <c r="Z434" s="8266"/>
      <c r="AA434" s="8267">
        <f>+Z435</f>
        <v>5000</v>
      </c>
      <c r="AB434" s="7955" t="s">
        <v>26</v>
      </c>
      <c r="AC434" s="1396"/>
      <c r="AD434" s="5369"/>
      <c r="AE434" s="5370"/>
      <c r="AF434" s="5370"/>
      <c r="AG434" s="10777"/>
      <c r="AH434" s="1758"/>
      <c r="AI434" s="1758"/>
      <c r="AJ434" s="1758"/>
      <c r="AK434" s="1758"/>
      <c r="AL434" s="1758"/>
      <c r="AM434" s="1758"/>
      <c r="AN434" s="1758"/>
      <c r="AO434" s="1758"/>
      <c r="AP434" s="1758"/>
      <c r="AQ434" s="1758"/>
      <c r="AR434" s="1758"/>
      <c r="AS434" s="1758"/>
      <c r="AT434" s="1758"/>
      <c r="AU434" s="1758"/>
      <c r="AV434" s="1758"/>
      <c r="AW434" s="1758"/>
      <c r="AX434" s="1758"/>
      <c r="AY434" s="1758"/>
      <c r="AZ434" s="1758"/>
      <c r="BA434" s="1758"/>
      <c r="BB434" s="1758"/>
      <c r="BC434" s="1758"/>
      <c r="BD434" s="1758"/>
      <c r="BE434" s="1758"/>
      <c r="BF434" s="1758"/>
      <c r="BG434" s="1758"/>
      <c r="BH434" s="1758"/>
      <c r="BI434" s="1758"/>
      <c r="BJ434" s="1758"/>
      <c r="BK434" s="1758"/>
      <c r="BL434" s="1758"/>
      <c r="BM434" s="1758"/>
      <c r="BN434" s="1758"/>
      <c r="BO434" s="1758"/>
      <c r="BP434" s="1758"/>
      <c r="BQ434" s="1758"/>
      <c r="BR434" s="1758"/>
      <c r="BS434" s="1758"/>
      <c r="BT434" s="1758"/>
      <c r="BU434" s="1758"/>
      <c r="BV434" s="1758"/>
      <c r="BW434" s="1758"/>
      <c r="BX434" s="1758"/>
      <c r="BY434" s="1758"/>
      <c r="BZ434" s="1758"/>
      <c r="CA434" s="1758"/>
      <c r="CB434" s="1758"/>
      <c r="CC434" s="1758"/>
      <c r="CD434" s="1758"/>
      <c r="CE434" s="1758"/>
      <c r="CF434" s="1758"/>
      <c r="CG434" s="1758"/>
      <c r="CH434" s="1758"/>
      <c r="CI434" s="1758"/>
      <c r="CJ434" s="1758"/>
      <c r="CK434" s="1758"/>
      <c r="CL434" s="1758"/>
      <c r="CM434" s="1758"/>
      <c r="CN434" s="1758"/>
      <c r="CO434" s="1758"/>
      <c r="CP434" s="1758"/>
      <c r="CQ434" s="1758"/>
      <c r="CR434" s="1758"/>
      <c r="CS434" s="1758"/>
      <c r="CT434" s="1758"/>
      <c r="CU434" s="1758"/>
      <c r="CV434" s="1758"/>
      <c r="CW434" s="1758"/>
      <c r="CX434" s="1758"/>
      <c r="CY434" s="1758"/>
      <c r="CZ434" s="1758"/>
      <c r="DA434" s="1758"/>
      <c r="DB434" s="1758"/>
      <c r="DC434" s="1758"/>
    </row>
    <row r="435" spans="1:107" s="1395" customFormat="1" ht="35.25" customHeight="1">
      <c r="A435" s="10827"/>
      <c r="B435" s="10731"/>
      <c r="C435" s="10728"/>
      <c r="D435" s="10728"/>
      <c r="E435" s="10728"/>
      <c r="F435" s="10744"/>
      <c r="G435" s="10728"/>
      <c r="H435" s="10728"/>
      <c r="I435" s="10728"/>
      <c r="J435" s="10728"/>
      <c r="K435" s="10735"/>
      <c r="L435" s="10738"/>
      <c r="M435" s="10738"/>
      <c r="N435" s="10738"/>
      <c r="O435" s="10735"/>
      <c r="P435" s="10735"/>
      <c r="Q435" s="10741"/>
      <c r="R435" s="5204"/>
      <c r="S435" s="5210"/>
      <c r="T435" s="5235">
        <v>5129000116</v>
      </c>
      <c r="U435" s="8259" t="s">
        <v>5098</v>
      </c>
      <c r="V435" s="5279">
        <v>1</v>
      </c>
      <c r="W435" s="5300" t="s">
        <v>180</v>
      </c>
      <c r="X435" s="8266">
        <f>5000/1.12</f>
        <v>4464.2857142857138</v>
      </c>
      <c r="Y435" s="8266">
        <f>+V435*X435</f>
        <v>4464.2857142857138</v>
      </c>
      <c r="Z435" s="8266">
        <f t="shared" si="6"/>
        <v>5000</v>
      </c>
      <c r="AA435" s="8267"/>
      <c r="AB435" s="7955"/>
      <c r="AC435" s="1396"/>
      <c r="AD435" s="5369"/>
      <c r="AE435" s="5370" t="s">
        <v>153</v>
      </c>
      <c r="AF435" s="5370"/>
      <c r="AG435" s="10777"/>
      <c r="AH435" s="1758"/>
      <c r="AI435" s="1758"/>
      <c r="AJ435" s="1758"/>
      <c r="AK435" s="1758"/>
      <c r="AL435" s="1758"/>
      <c r="AM435" s="1758"/>
      <c r="AN435" s="1758"/>
      <c r="AO435" s="1758"/>
      <c r="AP435" s="1758"/>
      <c r="AQ435" s="1758"/>
      <c r="AR435" s="1758"/>
      <c r="AS435" s="1758"/>
      <c r="AT435" s="1758"/>
      <c r="AU435" s="1758"/>
      <c r="AV435" s="1758"/>
      <c r="AW435" s="1758"/>
      <c r="AX435" s="1758"/>
      <c r="AY435" s="1758"/>
      <c r="AZ435" s="1758"/>
      <c r="BA435" s="1758"/>
      <c r="BB435" s="1758"/>
      <c r="BC435" s="1758"/>
      <c r="BD435" s="1758"/>
      <c r="BE435" s="1758"/>
      <c r="BF435" s="1758"/>
      <c r="BG435" s="1758"/>
      <c r="BH435" s="1758"/>
      <c r="BI435" s="1758"/>
      <c r="BJ435" s="1758"/>
      <c r="BK435" s="1758"/>
      <c r="BL435" s="1758"/>
      <c r="BM435" s="1758"/>
      <c r="BN435" s="1758"/>
      <c r="BO435" s="1758"/>
      <c r="BP435" s="1758"/>
      <c r="BQ435" s="1758"/>
      <c r="BR435" s="1758"/>
      <c r="BS435" s="1758"/>
      <c r="BT435" s="1758"/>
      <c r="BU435" s="1758"/>
      <c r="BV435" s="1758"/>
      <c r="BW435" s="1758"/>
      <c r="BX435" s="1758"/>
      <c r="BY435" s="1758"/>
      <c r="BZ435" s="1758"/>
      <c r="CA435" s="1758"/>
      <c r="CB435" s="1758"/>
      <c r="CC435" s="1758"/>
      <c r="CD435" s="1758"/>
      <c r="CE435" s="1758"/>
      <c r="CF435" s="1758"/>
      <c r="CG435" s="1758"/>
      <c r="CH435" s="1758"/>
      <c r="CI435" s="1758"/>
      <c r="CJ435" s="1758"/>
      <c r="CK435" s="1758"/>
      <c r="CL435" s="1758"/>
      <c r="CM435" s="1758"/>
      <c r="CN435" s="1758"/>
      <c r="CO435" s="1758"/>
      <c r="CP435" s="1758"/>
      <c r="CQ435" s="1758"/>
      <c r="CR435" s="1758"/>
      <c r="CS435" s="1758"/>
      <c r="CT435" s="1758"/>
      <c r="CU435" s="1758"/>
      <c r="CV435" s="1758"/>
      <c r="CW435" s="1758"/>
      <c r="CX435" s="1758"/>
      <c r="CY435" s="1758"/>
      <c r="CZ435" s="1758"/>
      <c r="DA435" s="1758"/>
      <c r="DB435" s="1758"/>
      <c r="DC435" s="1758"/>
    </row>
    <row r="436" spans="1:107" s="1395" customFormat="1" ht="35.25" customHeight="1">
      <c r="A436" s="10827"/>
      <c r="B436" s="10731"/>
      <c r="C436" s="10728"/>
      <c r="D436" s="10728"/>
      <c r="E436" s="10728"/>
      <c r="F436" s="10744"/>
      <c r="G436" s="10728"/>
      <c r="H436" s="10728"/>
      <c r="I436" s="10728"/>
      <c r="J436" s="10728"/>
      <c r="K436" s="10735"/>
      <c r="L436" s="10738"/>
      <c r="M436" s="10738"/>
      <c r="N436" s="10738"/>
      <c r="O436" s="10735"/>
      <c r="P436" s="10735"/>
      <c r="Q436" s="10741"/>
      <c r="R436" s="8641"/>
      <c r="S436" s="8642"/>
      <c r="T436" s="8642"/>
      <c r="U436" s="8642"/>
      <c r="V436" s="8642"/>
      <c r="W436" s="8642"/>
      <c r="X436" s="8642"/>
      <c r="Y436" s="8642"/>
      <c r="Z436" s="8642"/>
      <c r="AA436" s="8642"/>
      <c r="AB436" s="8642"/>
      <c r="AC436" s="8642"/>
      <c r="AD436" s="8642"/>
      <c r="AE436" s="8642"/>
      <c r="AF436" s="8643"/>
      <c r="AG436" s="10777"/>
      <c r="AH436" s="1758"/>
      <c r="AI436" s="1758"/>
      <c r="AJ436" s="1758"/>
      <c r="AK436" s="1758"/>
      <c r="AL436" s="1758"/>
      <c r="AM436" s="1758"/>
      <c r="AN436" s="1758"/>
      <c r="AO436" s="1758"/>
      <c r="AP436" s="1758"/>
      <c r="AQ436" s="1758"/>
      <c r="AR436" s="1758"/>
      <c r="AS436" s="1758"/>
      <c r="AT436" s="1758"/>
      <c r="AU436" s="1758"/>
      <c r="AV436" s="1758"/>
      <c r="AW436" s="1758"/>
      <c r="AX436" s="1758"/>
      <c r="AY436" s="1758"/>
      <c r="AZ436" s="1758"/>
      <c r="BA436" s="1758"/>
      <c r="BB436" s="1758"/>
      <c r="BC436" s="1758"/>
      <c r="BD436" s="1758"/>
      <c r="BE436" s="1758"/>
      <c r="BF436" s="1758"/>
      <c r="BG436" s="1758"/>
      <c r="BH436" s="1758"/>
      <c r="BI436" s="1758"/>
      <c r="BJ436" s="1758"/>
      <c r="BK436" s="1758"/>
      <c r="BL436" s="1758"/>
      <c r="BM436" s="1758"/>
      <c r="BN436" s="1758"/>
      <c r="BO436" s="1758"/>
      <c r="BP436" s="1758"/>
      <c r="BQ436" s="1758"/>
      <c r="BR436" s="1758"/>
      <c r="BS436" s="1758"/>
      <c r="BT436" s="1758"/>
      <c r="BU436" s="1758"/>
      <c r="BV436" s="1758"/>
      <c r="BW436" s="1758"/>
      <c r="BX436" s="1758"/>
      <c r="BY436" s="1758"/>
      <c r="BZ436" s="1758"/>
      <c r="CA436" s="1758"/>
      <c r="CB436" s="1758"/>
      <c r="CC436" s="1758"/>
      <c r="CD436" s="1758"/>
      <c r="CE436" s="1758"/>
      <c r="CF436" s="1758"/>
      <c r="CG436" s="1758"/>
      <c r="CH436" s="1758"/>
      <c r="CI436" s="1758"/>
      <c r="CJ436" s="1758"/>
      <c r="CK436" s="1758"/>
      <c r="CL436" s="1758"/>
      <c r="CM436" s="1758"/>
      <c r="CN436" s="1758"/>
      <c r="CO436" s="1758"/>
      <c r="CP436" s="1758"/>
      <c r="CQ436" s="1758"/>
      <c r="CR436" s="1758"/>
      <c r="CS436" s="1758"/>
      <c r="CT436" s="1758"/>
      <c r="CU436" s="1758"/>
      <c r="CV436" s="1758"/>
      <c r="CW436" s="1758"/>
      <c r="CX436" s="1758"/>
      <c r="CY436" s="1758"/>
      <c r="CZ436" s="1758"/>
      <c r="DA436" s="1758"/>
      <c r="DB436" s="1758"/>
      <c r="DC436" s="1758"/>
    </row>
    <row r="437" spans="1:107" s="1395" customFormat="1" ht="35.25" customHeight="1">
      <c r="A437" s="10827"/>
      <c r="B437" s="10731"/>
      <c r="C437" s="10728"/>
      <c r="D437" s="10728"/>
      <c r="E437" s="10728"/>
      <c r="F437" s="10744"/>
      <c r="G437" s="10728"/>
      <c r="H437" s="10728"/>
      <c r="I437" s="10728"/>
      <c r="J437" s="10728"/>
      <c r="K437" s="10735"/>
      <c r="L437" s="10738"/>
      <c r="M437" s="10738"/>
      <c r="N437" s="10738"/>
      <c r="O437" s="10735"/>
      <c r="P437" s="10735"/>
      <c r="Q437" s="10741"/>
      <c r="R437" s="8644"/>
      <c r="S437" s="8645"/>
      <c r="T437" s="8645"/>
      <c r="U437" s="8645"/>
      <c r="V437" s="8645"/>
      <c r="W437" s="8645"/>
      <c r="X437" s="8645"/>
      <c r="Y437" s="8645"/>
      <c r="Z437" s="8645"/>
      <c r="AA437" s="8645"/>
      <c r="AB437" s="8645"/>
      <c r="AC437" s="8645"/>
      <c r="AD437" s="8645"/>
      <c r="AE437" s="8645"/>
      <c r="AF437" s="8646"/>
      <c r="AG437" s="10777"/>
      <c r="AH437" s="1758"/>
      <c r="AI437" s="1758"/>
      <c r="AJ437" s="1758"/>
      <c r="AK437" s="1758"/>
      <c r="AL437" s="1758"/>
      <c r="AM437" s="1758"/>
      <c r="AN437" s="1758"/>
      <c r="AO437" s="1758"/>
      <c r="AP437" s="1758"/>
      <c r="AQ437" s="1758"/>
      <c r="AR437" s="1758"/>
      <c r="AS437" s="1758"/>
      <c r="AT437" s="1758"/>
      <c r="AU437" s="1758"/>
      <c r="AV437" s="1758"/>
      <c r="AW437" s="1758"/>
      <c r="AX437" s="1758"/>
      <c r="AY437" s="1758"/>
      <c r="AZ437" s="1758"/>
      <c r="BA437" s="1758"/>
      <c r="BB437" s="1758"/>
      <c r="BC437" s="1758"/>
      <c r="BD437" s="1758"/>
      <c r="BE437" s="1758"/>
      <c r="BF437" s="1758"/>
      <c r="BG437" s="1758"/>
      <c r="BH437" s="1758"/>
      <c r="BI437" s="1758"/>
      <c r="BJ437" s="1758"/>
      <c r="BK437" s="1758"/>
      <c r="BL437" s="1758"/>
      <c r="BM437" s="1758"/>
      <c r="BN437" s="1758"/>
      <c r="BO437" s="1758"/>
      <c r="BP437" s="1758"/>
      <c r="BQ437" s="1758"/>
      <c r="BR437" s="1758"/>
      <c r="BS437" s="1758"/>
      <c r="BT437" s="1758"/>
      <c r="BU437" s="1758"/>
      <c r="BV437" s="1758"/>
      <c r="BW437" s="1758"/>
      <c r="BX437" s="1758"/>
      <c r="BY437" s="1758"/>
      <c r="BZ437" s="1758"/>
      <c r="CA437" s="1758"/>
      <c r="CB437" s="1758"/>
      <c r="CC437" s="1758"/>
      <c r="CD437" s="1758"/>
      <c r="CE437" s="1758"/>
      <c r="CF437" s="1758"/>
      <c r="CG437" s="1758"/>
      <c r="CH437" s="1758"/>
      <c r="CI437" s="1758"/>
      <c r="CJ437" s="1758"/>
      <c r="CK437" s="1758"/>
      <c r="CL437" s="1758"/>
      <c r="CM437" s="1758"/>
      <c r="CN437" s="1758"/>
      <c r="CO437" s="1758"/>
      <c r="CP437" s="1758"/>
      <c r="CQ437" s="1758"/>
      <c r="CR437" s="1758"/>
      <c r="CS437" s="1758"/>
      <c r="CT437" s="1758"/>
      <c r="CU437" s="1758"/>
      <c r="CV437" s="1758"/>
      <c r="CW437" s="1758"/>
      <c r="CX437" s="1758"/>
      <c r="CY437" s="1758"/>
      <c r="CZ437" s="1758"/>
      <c r="DA437" s="1758"/>
      <c r="DB437" s="1758"/>
      <c r="DC437" s="1758"/>
    </row>
    <row r="438" spans="1:107" s="1395" customFormat="1" ht="27.75" customHeight="1">
      <c r="A438" s="10827"/>
      <c r="B438" s="10731"/>
      <c r="C438" s="10728"/>
      <c r="D438" s="10728"/>
      <c r="E438" s="10728"/>
      <c r="F438" s="10744"/>
      <c r="G438" s="10728"/>
      <c r="H438" s="10728"/>
      <c r="I438" s="10728"/>
      <c r="J438" s="10728"/>
      <c r="K438" s="10735"/>
      <c r="L438" s="10738"/>
      <c r="M438" s="10738"/>
      <c r="N438" s="10738"/>
      <c r="O438" s="10735"/>
      <c r="P438" s="10735"/>
      <c r="Q438" s="10741"/>
      <c r="R438" s="8634" t="s">
        <v>5013</v>
      </c>
      <c r="S438" s="8635">
        <v>840107</v>
      </c>
      <c r="T438" s="8636"/>
      <c r="U438" s="8637" t="s">
        <v>40</v>
      </c>
      <c r="V438" s="5281"/>
      <c r="W438" s="5302"/>
      <c r="X438" s="7477"/>
      <c r="Y438" s="7477"/>
      <c r="Z438" s="7478"/>
      <c r="AA438" s="8638">
        <f>+Z439</f>
        <v>1640.92992</v>
      </c>
      <c r="AB438" s="8639" t="s">
        <v>18</v>
      </c>
      <c r="AC438" s="1398"/>
      <c r="AD438" s="8395"/>
      <c r="AE438" s="8640"/>
      <c r="AF438" s="8640"/>
      <c r="AG438" s="10777"/>
      <c r="AH438" s="1758"/>
      <c r="AI438" s="1758"/>
      <c r="AJ438" s="1758"/>
      <c r="AK438" s="1758"/>
      <c r="AL438" s="1758"/>
      <c r="AM438" s="1758"/>
      <c r="AN438" s="1758"/>
      <c r="AO438" s="1758"/>
      <c r="AP438" s="1758"/>
      <c r="AQ438" s="1758"/>
      <c r="AR438" s="1758"/>
      <c r="AS438" s="1758"/>
      <c r="AT438" s="1758"/>
      <c r="AU438" s="1758"/>
      <c r="AV438" s="1758"/>
      <c r="AW438" s="1758"/>
      <c r="AX438" s="1758"/>
      <c r="AY438" s="1758"/>
      <c r="AZ438" s="1758"/>
      <c r="BA438" s="1758"/>
      <c r="BB438" s="1758"/>
      <c r="BC438" s="1758"/>
      <c r="BD438" s="1758"/>
      <c r="BE438" s="1758"/>
      <c r="BF438" s="1758"/>
      <c r="BG438" s="1758"/>
      <c r="BH438" s="1758"/>
      <c r="BI438" s="1758"/>
      <c r="BJ438" s="1758"/>
      <c r="BK438" s="1758"/>
      <c r="BL438" s="1758"/>
      <c r="BM438" s="1758"/>
      <c r="BN438" s="1758"/>
      <c r="BO438" s="1758"/>
      <c r="BP438" s="1758"/>
      <c r="BQ438" s="1758"/>
      <c r="BR438" s="1758"/>
      <c r="BS438" s="1758"/>
      <c r="BT438" s="1758"/>
      <c r="BU438" s="1758"/>
      <c r="BV438" s="1758"/>
      <c r="BW438" s="1758"/>
      <c r="BX438" s="1758"/>
      <c r="BY438" s="1758"/>
      <c r="BZ438" s="1758"/>
      <c r="CA438" s="1758"/>
      <c r="CB438" s="1758"/>
      <c r="CC438" s="1758"/>
      <c r="CD438" s="1758"/>
      <c r="CE438" s="1758"/>
      <c r="CF438" s="1758"/>
      <c r="CG438" s="1758"/>
      <c r="CH438" s="1758"/>
      <c r="CI438" s="1758"/>
      <c r="CJ438" s="1758"/>
      <c r="CK438" s="1758"/>
      <c r="CL438" s="1758"/>
      <c r="CM438" s="1758"/>
      <c r="CN438" s="1758"/>
      <c r="CO438" s="1758"/>
      <c r="CP438" s="1758"/>
      <c r="CQ438" s="1758"/>
      <c r="CR438" s="1758"/>
      <c r="CS438" s="1758"/>
      <c r="CT438" s="1758"/>
      <c r="CU438" s="1758"/>
      <c r="CV438" s="1758"/>
      <c r="CW438" s="1758"/>
      <c r="CX438" s="1758"/>
      <c r="CY438" s="1758"/>
      <c r="CZ438" s="1758"/>
      <c r="DA438" s="1758"/>
      <c r="DB438" s="1758"/>
      <c r="DC438" s="1758"/>
    </row>
    <row r="439" spans="1:107" s="1395" customFormat="1" ht="31.5" customHeight="1">
      <c r="A439" s="10827"/>
      <c r="B439" s="10731"/>
      <c r="C439" s="10728"/>
      <c r="D439" s="10728"/>
      <c r="E439" s="10728"/>
      <c r="F439" s="10744"/>
      <c r="G439" s="10728"/>
      <c r="H439" s="10728"/>
      <c r="I439" s="10728"/>
      <c r="J439" s="10728"/>
      <c r="K439" s="10735"/>
      <c r="L439" s="10738"/>
      <c r="M439" s="10738"/>
      <c r="N439" s="10738"/>
      <c r="O439" s="10735"/>
      <c r="P439" s="10735"/>
      <c r="Q439" s="10741"/>
      <c r="R439" s="5206"/>
      <c r="S439" s="5210"/>
      <c r="T439" s="5235">
        <v>4523000856</v>
      </c>
      <c r="U439" s="5276" t="s">
        <v>5099</v>
      </c>
      <c r="V439" s="5279">
        <v>2</v>
      </c>
      <c r="W439" s="5300" t="s">
        <v>180</v>
      </c>
      <c r="X439" s="7473">
        <v>732.55799999999999</v>
      </c>
      <c r="Y439" s="7473">
        <f>+V439*X439</f>
        <v>1465.116</v>
      </c>
      <c r="Z439" s="7473">
        <f t="shared" si="6"/>
        <v>1640.92992</v>
      </c>
      <c r="AA439" s="7474"/>
      <c r="AB439" s="5323"/>
      <c r="AC439" s="1396"/>
      <c r="AD439" s="5369"/>
      <c r="AE439" s="5370" t="s">
        <v>153</v>
      </c>
      <c r="AF439" s="5370"/>
      <c r="AG439" s="10777"/>
      <c r="AH439" s="1758"/>
      <c r="AI439" s="1758"/>
      <c r="AJ439" s="1758"/>
      <c r="AK439" s="1758"/>
      <c r="AL439" s="1758"/>
      <c r="AM439" s="1758"/>
      <c r="AN439" s="1758"/>
      <c r="AO439" s="1758"/>
      <c r="AP439" s="1758"/>
      <c r="AQ439" s="1758"/>
      <c r="AR439" s="1758"/>
      <c r="AS439" s="1758"/>
      <c r="AT439" s="1758"/>
      <c r="AU439" s="1758"/>
      <c r="AV439" s="1758"/>
      <c r="AW439" s="1758"/>
      <c r="AX439" s="1758"/>
      <c r="AY439" s="1758"/>
      <c r="AZ439" s="1758"/>
      <c r="BA439" s="1758"/>
      <c r="BB439" s="1758"/>
      <c r="BC439" s="1758"/>
      <c r="BD439" s="1758"/>
      <c r="BE439" s="1758"/>
      <c r="BF439" s="1758"/>
      <c r="BG439" s="1758"/>
      <c r="BH439" s="1758"/>
      <c r="BI439" s="1758"/>
      <c r="BJ439" s="1758"/>
      <c r="BK439" s="1758"/>
      <c r="BL439" s="1758"/>
      <c r="BM439" s="1758"/>
      <c r="BN439" s="1758"/>
      <c r="BO439" s="1758"/>
      <c r="BP439" s="1758"/>
      <c r="BQ439" s="1758"/>
      <c r="BR439" s="1758"/>
      <c r="BS439" s="1758"/>
      <c r="BT439" s="1758"/>
      <c r="BU439" s="1758"/>
      <c r="BV439" s="1758"/>
      <c r="BW439" s="1758"/>
      <c r="BX439" s="1758"/>
      <c r="BY439" s="1758"/>
      <c r="BZ439" s="1758"/>
      <c r="CA439" s="1758"/>
      <c r="CB439" s="1758"/>
      <c r="CC439" s="1758"/>
      <c r="CD439" s="1758"/>
      <c r="CE439" s="1758"/>
      <c r="CF439" s="1758"/>
      <c r="CG439" s="1758"/>
      <c r="CH439" s="1758"/>
      <c r="CI439" s="1758"/>
      <c r="CJ439" s="1758"/>
      <c r="CK439" s="1758"/>
      <c r="CL439" s="1758"/>
      <c r="CM439" s="1758"/>
      <c r="CN439" s="1758"/>
      <c r="CO439" s="1758"/>
      <c r="CP439" s="1758"/>
      <c r="CQ439" s="1758"/>
      <c r="CR439" s="1758"/>
      <c r="CS439" s="1758"/>
      <c r="CT439" s="1758"/>
      <c r="CU439" s="1758"/>
      <c r="CV439" s="1758"/>
      <c r="CW439" s="1758"/>
      <c r="CX439" s="1758"/>
      <c r="CY439" s="1758"/>
      <c r="CZ439" s="1758"/>
      <c r="DA439" s="1758"/>
      <c r="DB439" s="1758"/>
      <c r="DC439" s="1758"/>
    </row>
    <row r="440" spans="1:107" s="1395" customFormat="1" ht="31.5" customHeight="1">
      <c r="A440" s="10827"/>
      <c r="B440" s="10731"/>
      <c r="C440" s="10728"/>
      <c r="D440" s="10728"/>
      <c r="E440" s="10728"/>
      <c r="F440" s="10744"/>
      <c r="G440" s="10728"/>
      <c r="H440" s="10728"/>
      <c r="I440" s="10728"/>
      <c r="J440" s="10728"/>
      <c r="K440" s="10735"/>
      <c r="L440" s="10738"/>
      <c r="M440" s="10738"/>
      <c r="N440" s="10738"/>
      <c r="O440" s="10735"/>
      <c r="P440" s="10735"/>
      <c r="Q440" s="10741"/>
      <c r="R440" s="5205" t="s">
        <v>5013</v>
      </c>
      <c r="S440" s="5237">
        <v>840104</v>
      </c>
      <c r="T440" s="5238"/>
      <c r="U440" s="8109" t="s">
        <v>39</v>
      </c>
      <c r="V440" s="8110"/>
      <c r="W440" s="8111"/>
      <c r="X440" s="8112"/>
      <c r="Y440" s="8112"/>
      <c r="Z440" s="8112"/>
      <c r="AA440" s="8113">
        <f>+Z441</f>
        <v>8505</v>
      </c>
      <c r="AB440" s="5341" t="s">
        <v>18</v>
      </c>
      <c r="AC440" s="1394"/>
      <c r="AD440" s="5371"/>
      <c r="AE440" s="5372"/>
      <c r="AF440" s="5372"/>
      <c r="AG440" s="10777"/>
      <c r="AH440" s="1758"/>
      <c r="AI440" s="1758"/>
      <c r="AJ440" s="1758"/>
      <c r="AK440" s="1758"/>
      <c r="AL440" s="1758"/>
      <c r="AM440" s="1758"/>
      <c r="AN440" s="1758"/>
      <c r="AO440" s="1758"/>
      <c r="AP440" s="1758"/>
      <c r="AQ440" s="1758"/>
      <c r="AR440" s="1758"/>
      <c r="AS440" s="1758"/>
      <c r="AT440" s="1758"/>
      <c r="AU440" s="1758"/>
      <c r="AV440" s="1758"/>
      <c r="AW440" s="1758"/>
      <c r="AX440" s="1758"/>
      <c r="AY440" s="1758"/>
      <c r="AZ440" s="1758"/>
      <c r="BA440" s="1758"/>
      <c r="BB440" s="1758"/>
      <c r="BC440" s="1758"/>
      <c r="BD440" s="1758"/>
      <c r="BE440" s="1758"/>
      <c r="BF440" s="1758"/>
      <c r="BG440" s="1758"/>
      <c r="BH440" s="1758"/>
      <c r="BI440" s="1758"/>
      <c r="BJ440" s="1758"/>
      <c r="BK440" s="1758"/>
      <c r="BL440" s="1758"/>
      <c r="BM440" s="1758"/>
      <c r="BN440" s="1758"/>
      <c r="BO440" s="1758"/>
      <c r="BP440" s="1758"/>
      <c r="BQ440" s="1758"/>
      <c r="BR440" s="1758"/>
      <c r="BS440" s="1758"/>
      <c r="BT440" s="1758"/>
      <c r="BU440" s="1758"/>
      <c r="BV440" s="1758"/>
      <c r="BW440" s="1758"/>
      <c r="BX440" s="1758"/>
      <c r="BY440" s="1758"/>
      <c r="BZ440" s="1758"/>
      <c r="CA440" s="1758"/>
      <c r="CB440" s="1758"/>
      <c r="CC440" s="1758"/>
      <c r="CD440" s="1758"/>
      <c r="CE440" s="1758"/>
      <c r="CF440" s="1758"/>
      <c r="CG440" s="1758"/>
      <c r="CH440" s="1758"/>
      <c r="CI440" s="1758"/>
      <c r="CJ440" s="1758"/>
      <c r="CK440" s="1758"/>
      <c r="CL440" s="1758"/>
      <c r="CM440" s="1758"/>
      <c r="CN440" s="1758"/>
      <c r="CO440" s="1758"/>
      <c r="CP440" s="1758"/>
      <c r="CQ440" s="1758"/>
      <c r="CR440" s="1758"/>
      <c r="CS440" s="1758"/>
      <c r="CT440" s="1758"/>
      <c r="CU440" s="1758"/>
      <c r="CV440" s="1758"/>
      <c r="CW440" s="1758"/>
      <c r="CX440" s="1758"/>
      <c r="CY440" s="1758"/>
      <c r="CZ440" s="1758"/>
      <c r="DA440" s="1758"/>
      <c r="DB440" s="1758"/>
      <c r="DC440" s="1758"/>
    </row>
    <row r="441" spans="1:107" s="1395" customFormat="1" ht="67.5" customHeight="1">
      <c r="A441" s="10827"/>
      <c r="B441" s="10732"/>
      <c r="C441" s="10729"/>
      <c r="D441" s="10729"/>
      <c r="E441" s="10729"/>
      <c r="F441" s="10745"/>
      <c r="G441" s="10729"/>
      <c r="H441" s="10729"/>
      <c r="I441" s="10729"/>
      <c r="J441" s="10729"/>
      <c r="K441" s="10736"/>
      <c r="L441" s="10739"/>
      <c r="M441" s="10739"/>
      <c r="N441" s="10739"/>
      <c r="O441" s="10736"/>
      <c r="P441" s="10736"/>
      <c r="Q441" s="10749"/>
      <c r="R441" s="5207"/>
      <c r="S441" s="5230"/>
      <c r="T441" s="5239">
        <v>48323</v>
      </c>
      <c r="U441" s="8114" t="s">
        <v>5100</v>
      </c>
      <c r="V441" s="8115">
        <v>1</v>
      </c>
      <c r="W441" s="8116" t="s">
        <v>479</v>
      </c>
      <c r="X441" s="8117">
        <v>8505</v>
      </c>
      <c r="Y441" s="8117">
        <f>+V441*X441</f>
        <v>8505</v>
      </c>
      <c r="Z441" s="8117">
        <f>Y441</f>
        <v>8505</v>
      </c>
      <c r="AA441" s="8118"/>
      <c r="AB441" s="5326"/>
      <c r="AC441" s="1399"/>
      <c r="AD441" s="5373"/>
      <c r="AE441" s="5374" t="s">
        <v>153</v>
      </c>
      <c r="AF441" s="5374"/>
      <c r="AG441" s="10778"/>
      <c r="AH441" s="1758"/>
      <c r="AI441" s="1758"/>
      <c r="AJ441" s="1758"/>
      <c r="AK441" s="1758"/>
      <c r="AL441" s="1758"/>
      <c r="AM441" s="1758"/>
      <c r="AN441" s="1758"/>
      <c r="AO441" s="1758"/>
      <c r="AP441" s="1758"/>
      <c r="AQ441" s="1758"/>
      <c r="AR441" s="1758"/>
      <c r="AS441" s="1758"/>
      <c r="AT441" s="1758"/>
      <c r="AU441" s="1758"/>
      <c r="AV441" s="1758"/>
      <c r="AW441" s="1758"/>
      <c r="AX441" s="1758"/>
      <c r="AY441" s="1758"/>
      <c r="AZ441" s="1758"/>
      <c r="BA441" s="1758"/>
      <c r="BB441" s="1758"/>
      <c r="BC441" s="1758"/>
      <c r="BD441" s="1758"/>
      <c r="BE441" s="1758"/>
      <c r="BF441" s="1758"/>
      <c r="BG441" s="1758"/>
      <c r="BH441" s="1758"/>
      <c r="BI441" s="1758"/>
      <c r="BJ441" s="1758"/>
      <c r="BK441" s="1758"/>
      <c r="BL441" s="1758"/>
      <c r="BM441" s="1758"/>
      <c r="BN441" s="1758"/>
      <c r="BO441" s="1758"/>
      <c r="BP441" s="1758"/>
      <c r="BQ441" s="1758"/>
      <c r="BR441" s="1758"/>
      <c r="BS441" s="1758"/>
      <c r="BT441" s="1758"/>
      <c r="BU441" s="1758"/>
      <c r="BV441" s="1758"/>
      <c r="BW441" s="1758"/>
      <c r="BX441" s="1758"/>
      <c r="BY441" s="1758"/>
      <c r="BZ441" s="1758"/>
      <c r="CA441" s="1758"/>
      <c r="CB441" s="1758"/>
      <c r="CC441" s="1758"/>
      <c r="CD441" s="1758"/>
      <c r="CE441" s="1758"/>
      <c r="CF441" s="1758"/>
      <c r="CG441" s="1758"/>
      <c r="CH441" s="1758"/>
      <c r="CI441" s="1758"/>
      <c r="CJ441" s="1758"/>
      <c r="CK441" s="1758"/>
      <c r="CL441" s="1758"/>
      <c r="CM441" s="1758"/>
      <c r="CN441" s="1758"/>
      <c r="CO441" s="1758"/>
      <c r="CP441" s="1758"/>
      <c r="CQ441" s="1758"/>
      <c r="CR441" s="1758"/>
      <c r="CS441" s="1758"/>
      <c r="CT441" s="1758"/>
      <c r="CU441" s="1758"/>
      <c r="CV441" s="1758"/>
      <c r="CW441" s="1758"/>
      <c r="CX441" s="1758"/>
      <c r="CY441" s="1758"/>
      <c r="CZ441" s="1758"/>
      <c r="DA441" s="1758"/>
      <c r="DB441" s="1758"/>
      <c r="DC441" s="1758"/>
    </row>
    <row r="442" spans="1:107" s="1395" customFormat="1" ht="26.25" customHeight="1">
      <c r="A442" s="10827"/>
      <c r="B442" s="10731" t="s">
        <v>127</v>
      </c>
      <c r="C442" s="10728" t="s">
        <v>128</v>
      </c>
      <c r="D442" s="10728" t="s">
        <v>129</v>
      </c>
      <c r="E442" s="10728" t="s">
        <v>205</v>
      </c>
      <c r="F442" s="10744" t="s">
        <v>131</v>
      </c>
      <c r="G442" s="10728" t="s">
        <v>132</v>
      </c>
      <c r="H442" s="10728" t="s">
        <v>159</v>
      </c>
      <c r="I442" s="10728" t="s">
        <v>5022</v>
      </c>
      <c r="J442" s="10728" t="s">
        <v>5023</v>
      </c>
      <c r="K442" s="10735" t="s">
        <v>5024</v>
      </c>
      <c r="L442" s="10738">
        <v>0</v>
      </c>
      <c r="M442" s="10738">
        <v>4</v>
      </c>
      <c r="N442" s="10738">
        <v>4</v>
      </c>
      <c r="O442" s="10735" t="s">
        <v>5025</v>
      </c>
      <c r="P442" s="10735" t="s">
        <v>5026</v>
      </c>
      <c r="Q442" s="10750" t="s">
        <v>5101</v>
      </c>
      <c r="R442" s="5173"/>
      <c r="S442" s="5212"/>
      <c r="T442" s="5212"/>
      <c r="U442" s="5249"/>
      <c r="V442" s="5281"/>
      <c r="W442" s="5302"/>
      <c r="X442" s="7477"/>
      <c r="Y442" s="7477"/>
      <c r="Z442" s="7477"/>
      <c r="AA442" s="7478"/>
      <c r="AB442" s="5325"/>
      <c r="AC442" s="1398"/>
      <c r="AD442" s="5302"/>
      <c r="AE442" s="5349"/>
      <c r="AF442" s="5349"/>
      <c r="AG442" s="10777" t="s">
        <v>4843</v>
      </c>
      <c r="AH442" s="1758"/>
      <c r="AI442" s="1758"/>
      <c r="AJ442" s="1758"/>
      <c r="AK442" s="1758"/>
      <c r="AL442" s="1758"/>
      <c r="AM442" s="1758"/>
      <c r="AN442" s="1758"/>
      <c r="AO442" s="1758"/>
      <c r="AP442" s="1758"/>
      <c r="AQ442" s="1758"/>
      <c r="AR442" s="1758"/>
      <c r="AS442" s="1758"/>
      <c r="AT442" s="1758"/>
      <c r="AU442" s="1758"/>
      <c r="AV442" s="1758"/>
      <c r="AW442" s="1758"/>
      <c r="AX442" s="1758"/>
      <c r="AY442" s="1758"/>
      <c r="AZ442" s="1758"/>
      <c r="BA442" s="1758"/>
      <c r="BB442" s="1758"/>
      <c r="BC442" s="1758"/>
      <c r="BD442" s="1758"/>
      <c r="BE442" s="1758"/>
      <c r="BF442" s="1758"/>
      <c r="BG442" s="1758"/>
      <c r="BH442" s="1758"/>
      <c r="BI442" s="1758"/>
      <c r="BJ442" s="1758"/>
      <c r="BK442" s="1758"/>
      <c r="BL442" s="1758"/>
      <c r="BM442" s="1758"/>
      <c r="BN442" s="1758"/>
      <c r="BO442" s="1758"/>
      <c r="BP442" s="1758"/>
      <c r="BQ442" s="1758"/>
      <c r="BR442" s="1758"/>
      <c r="BS442" s="1758"/>
      <c r="BT442" s="1758"/>
      <c r="BU442" s="1758"/>
      <c r="BV442" s="1758"/>
      <c r="BW442" s="1758"/>
      <c r="BX442" s="1758"/>
      <c r="BY442" s="1758"/>
      <c r="BZ442" s="1758"/>
      <c r="CA442" s="1758"/>
      <c r="CB442" s="1758"/>
      <c r="CC442" s="1758"/>
      <c r="CD442" s="1758"/>
      <c r="CE442" s="1758"/>
      <c r="CF442" s="1758"/>
      <c r="CG442" s="1758"/>
      <c r="CH442" s="1758"/>
      <c r="CI442" s="1758"/>
      <c r="CJ442" s="1758"/>
      <c r="CK442" s="1758"/>
      <c r="CL442" s="1758"/>
      <c r="CM442" s="1758"/>
      <c r="CN442" s="1758"/>
      <c r="CO442" s="1758"/>
      <c r="CP442" s="1758"/>
      <c r="CQ442" s="1758"/>
      <c r="CR442" s="1758"/>
      <c r="CS442" s="1758"/>
      <c r="CT442" s="1758"/>
      <c r="CU442" s="1758"/>
      <c r="CV442" s="1758"/>
      <c r="CW442" s="1758"/>
      <c r="CX442" s="1758"/>
      <c r="CY442" s="1758"/>
      <c r="CZ442" s="1758"/>
      <c r="DA442" s="1758"/>
      <c r="DB442" s="1758"/>
      <c r="DC442" s="1758"/>
    </row>
    <row r="443" spans="1:107" s="1395" customFormat="1" ht="26.25" customHeight="1">
      <c r="A443" s="10827"/>
      <c r="B443" s="10731"/>
      <c r="C443" s="10728"/>
      <c r="D443" s="10728"/>
      <c r="E443" s="10728"/>
      <c r="F443" s="10744"/>
      <c r="G443" s="10728"/>
      <c r="H443" s="10728"/>
      <c r="I443" s="10728"/>
      <c r="J443" s="10728"/>
      <c r="K443" s="10735"/>
      <c r="L443" s="10738"/>
      <c r="M443" s="10738"/>
      <c r="N443" s="10738"/>
      <c r="O443" s="10735"/>
      <c r="P443" s="10735"/>
      <c r="Q443" s="10750"/>
      <c r="R443" s="5171"/>
      <c r="S443" s="5213"/>
      <c r="T443" s="5213"/>
      <c r="U443" s="5260"/>
      <c r="V443" s="5290"/>
      <c r="W443" s="5311"/>
      <c r="X443" s="7489"/>
      <c r="Y443" s="7489"/>
      <c r="Z443" s="7489"/>
      <c r="AA443" s="7496"/>
      <c r="AB443" s="5333"/>
      <c r="AC443" s="1406"/>
      <c r="AD443" s="5300"/>
      <c r="AE443" s="5346"/>
      <c r="AF443" s="5346"/>
      <c r="AG443" s="10777"/>
      <c r="AH443" s="1758"/>
      <c r="AI443" s="1758"/>
      <c r="AJ443" s="1758"/>
      <c r="AK443" s="1758"/>
      <c r="AL443" s="1758"/>
      <c r="AM443" s="1758"/>
      <c r="AN443" s="1758"/>
      <c r="AO443" s="1758"/>
      <c r="AP443" s="1758"/>
      <c r="AQ443" s="1758"/>
      <c r="AR443" s="1758"/>
      <c r="AS443" s="1758"/>
      <c r="AT443" s="1758"/>
      <c r="AU443" s="1758"/>
      <c r="AV443" s="1758"/>
      <c r="AW443" s="1758"/>
      <c r="AX443" s="1758"/>
      <c r="AY443" s="1758"/>
      <c r="AZ443" s="1758"/>
      <c r="BA443" s="1758"/>
      <c r="BB443" s="1758"/>
      <c r="BC443" s="1758"/>
      <c r="BD443" s="1758"/>
      <c r="BE443" s="1758"/>
      <c r="BF443" s="1758"/>
      <c r="BG443" s="1758"/>
      <c r="BH443" s="1758"/>
      <c r="BI443" s="1758"/>
      <c r="BJ443" s="1758"/>
      <c r="BK443" s="1758"/>
      <c r="BL443" s="1758"/>
      <c r="BM443" s="1758"/>
      <c r="BN443" s="1758"/>
      <c r="BO443" s="1758"/>
      <c r="BP443" s="1758"/>
      <c r="BQ443" s="1758"/>
      <c r="BR443" s="1758"/>
      <c r="BS443" s="1758"/>
      <c r="BT443" s="1758"/>
      <c r="BU443" s="1758"/>
      <c r="BV443" s="1758"/>
      <c r="BW443" s="1758"/>
      <c r="BX443" s="1758"/>
      <c r="BY443" s="1758"/>
      <c r="BZ443" s="1758"/>
      <c r="CA443" s="1758"/>
      <c r="CB443" s="1758"/>
      <c r="CC443" s="1758"/>
      <c r="CD443" s="1758"/>
      <c r="CE443" s="1758"/>
      <c r="CF443" s="1758"/>
      <c r="CG443" s="1758"/>
      <c r="CH443" s="1758"/>
      <c r="CI443" s="1758"/>
      <c r="CJ443" s="1758"/>
      <c r="CK443" s="1758"/>
      <c r="CL443" s="1758"/>
      <c r="CM443" s="1758"/>
      <c r="CN443" s="1758"/>
      <c r="CO443" s="1758"/>
      <c r="CP443" s="1758"/>
      <c r="CQ443" s="1758"/>
      <c r="CR443" s="1758"/>
      <c r="CS443" s="1758"/>
      <c r="CT443" s="1758"/>
      <c r="CU443" s="1758"/>
      <c r="CV443" s="1758"/>
      <c r="CW443" s="1758"/>
      <c r="CX443" s="1758"/>
      <c r="CY443" s="1758"/>
      <c r="CZ443" s="1758"/>
      <c r="DA443" s="1758"/>
      <c r="DB443" s="1758"/>
      <c r="DC443" s="1758"/>
    </row>
    <row r="444" spans="1:107" s="1395" customFormat="1" ht="26.25" customHeight="1">
      <c r="A444" s="10827"/>
      <c r="B444" s="10731"/>
      <c r="C444" s="10728"/>
      <c r="D444" s="10728"/>
      <c r="E444" s="10728"/>
      <c r="F444" s="10744"/>
      <c r="G444" s="10728"/>
      <c r="H444" s="10728"/>
      <c r="I444" s="10728"/>
      <c r="J444" s="10728"/>
      <c r="K444" s="10735"/>
      <c r="L444" s="10738"/>
      <c r="M444" s="10738"/>
      <c r="N444" s="10738"/>
      <c r="O444" s="10735"/>
      <c r="P444" s="10735"/>
      <c r="Q444" s="10750"/>
      <c r="R444" s="5174"/>
      <c r="S444" s="5214"/>
      <c r="T444" s="5214"/>
      <c r="U444" s="5261"/>
      <c r="V444" s="5291"/>
      <c r="W444" s="5312"/>
      <c r="X444" s="7497"/>
      <c r="Y444" s="7489"/>
      <c r="Z444" s="7489"/>
      <c r="AA444" s="7496"/>
      <c r="AB444" s="5333"/>
      <c r="AC444" s="1406"/>
      <c r="AD444" s="5300"/>
      <c r="AE444" s="5346"/>
      <c r="AF444" s="5346"/>
      <c r="AG444" s="10777"/>
      <c r="AH444" s="1758"/>
      <c r="AI444" s="1758"/>
      <c r="AJ444" s="1758"/>
      <c r="AK444" s="1758"/>
      <c r="AL444" s="1758"/>
      <c r="AM444" s="1758"/>
      <c r="AN444" s="1758"/>
      <c r="AO444" s="1758"/>
      <c r="AP444" s="1758"/>
      <c r="AQ444" s="1758"/>
      <c r="AR444" s="1758"/>
      <c r="AS444" s="1758"/>
      <c r="AT444" s="1758"/>
      <c r="AU444" s="1758"/>
      <c r="AV444" s="1758"/>
      <c r="AW444" s="1758"/>
      <c r="AX444" s="1758"/>
      <c r="AY444" s="1758"/>
      <c r="AZ444" s="1758"/>
      <c r="BA444" s="1758"/>
      <c r="BB444" s="1758"/>
      <c r="BC444" s="1758"/>
      <c r="BD444" s="1758"/>
      <c r="BE444" s="1758"/>
      <c r="BF444" s="1758"/>
      <c r="BG444" s="1758"/>
      <c r="BH444" s="1758"/>
      <c r="BI444" s="1758"/>
      <c r="BJ444" s="1758"/>
      <c r="BK444" s="1758"/>
      <c r="BL444" s="1758"/>
      <c r="BM444" s="1758"/>
      <c r="BN444" s="1758"/>
      <c r="BO444" s="1758"/>
      <c r="BP444" s="1758"/>
      <c r="BQ444" s="1758"/>
      <c r="BR444" s="1758"/>
      <c r="BS444" s="1758"/>
      <c r="BT444" s="1758"/>
      <c r="BU444" s="1758"/>
      <c r="BV444" s="1758"/>
      <c r="BW444" s="1758"/>
      <c r="BX444" s="1758"/>
      <c r="BY444" s="1758"/>
      <c r="BZ444" s="1758"/>
      <c r="CA444" s="1758"/>
      <c r="CB444" s="1758"/>
      <c r="CC444" s="1758"/>
      <c r="CD444" s="1758"/>
      <c r="CE444" s="1758"/>
      <c r="CF444" s="1758"/>
      <c r="CG444" s="1758"/>
      <c r="CH444" s="1758"/>
      <c r="CI444" s="1758"/>
      <c r="CJ444" s="1758"/>
      <c r="CK444" s="1758"/>
      <c r="CL444" s="1758"/>
      <c r="CM444" s="1758"/>
      <c r="CN444" s="1758"/>
      <c r="CO444" s="1758"/>
      <c r="CP444" s="1758"/>
      <c r="CQ444" s="1758"/>
      <c r="CR444" s="1758"/>
      <c r="CS444" s="1758"/>
      <c r="CT444" s="1758"/>
      <c r="CU444" s="1758"/>
      <c r="CV444" s="1758"/>
      <c r="CW444" s="1758"/>
      <c r="CX444" s="1758"/>
      <c r="CY444" s="1758"/>
      <c r="CZ444" s="1758"/>
      <c r="DA444" s="1758"/>
      <c r="DB444" s="1758"/>
      <c r="DC444" s="1758"/>
    </row>
    <row r="445" spans="1:107" s="1395" customFormat="1" ht="26.25" customHeight="1">
      <c r="A445" s="10827"/>
      <c r="B445" s="10731"/>
      <c r="C445" s="10728"/>
      <c r="D445" s="10728"/>
      <c r="E445" s="10728"/>
      <c r="F445" s="10744"/>
      <c r="G445" s="10728"/>
      <c r="H445" s="10728"/>
      <c r="I445" s="10728"/>
      <c r="J445" s="10728"/>
      <c r="K445" s="10735"/>
      <c r="L445" s="10738"/>
      <c r="M445" s="10738"/>
      <c r="N445" s="10738"/>
      <c r="O445" s="10735"/>
      <c r="P445" s="10735"/>
      <c r="Q445" s="10750"/>
      <c r="R445" s="5173"/>
      <c r="S445" s="5212"/>
      <c r="T445" s="5212"/>
      <c r="U445" s="5261"/>
      <c r="V445" s="5291"/>
      <c r="W445" s="5312"/>
      <c r="X445" s="7497"/>
      <c r="Y445" s="7489"/>
      <c r="Z445" s="7489"/>
      <c r="AA445" s="7496"/>
      <c r="AB445" s="5333"/>
      <c r="AC445" s="1406"/>
      <c r="AD445" s="5300"/>
      <c r="AE445" s="5346"/>
      <c r="AF445" s="5346"/>
      <c r="AG445" s="10777"/>
      <c r="AH445" s="1758"/>
      <c r="AI445" s="1758"/>
      <c r="AJ445" s="1758"/>
      <c r="AK445" s="1758"/>
      <c r="AL445" s="1758"/>
      <c r="AM445" s="1758"/>
      <c r="AN445" s="1758"/>
      <c r="AO445" s="1758"/>
      <c r="AP445" s="1758"/>
      <c r="AQ445" s="1758"/>
      <c r="AR445" s="1758"/>
      <c r="AS445" s="1758"/>
      <c r="AT445" s="1758"/>
      <c r="AU445" s="1758"/>
      <c r="AV445" s="1758"/>
      <c r="AW445" s="1758"/>
      <c r="AX445" s="1758"/>
      <c r="AY445" s="1758"/>
      <c r="AZ445" s="1758"/>
      <c r="BA445" s="1758"/>
      <c r="BB445" s="1758"/>
      <c r="BC445" s="1758"/>
      <c r="BD445" s="1758"/>
      <c r="BE445" s="1758"/>
      <c r="BF445" s="1758"/>
      <c r="BG445" s="1758"/>
      <c r="BH445" s="1758"/>
      <c r="BI445" s="1758"/>
      <c r="BJ445" s="1758"/>
      <c r="BK445" s="1758"/>
      <c r="BL445" s="1758"/>
      <c r="BM445" s="1758"/>
      <c r="BN445" s="1758"/>
      <c r="BO445" s="1758"/>
      <c r="BP445" s="1758"/>
      <c r="BQ445" s="1758"/>
      <c r="BR445" s="1758"/>
      <c r="BS445" s="1758"/>
      <c r="BT445" s="1758"/>
      <c r="BU445" s="1758"/>
      <c r="BV445" s="1758"/>
      <c r="BW445" s="1758"/>
      <c r="BX445" s="1758"/>
      <c r="BY445" s="1758"/>
      <c r="BZ445" s="1758"/>
      <c r="CA445" s="1758"/>
      <c r="CB445" s="1758"/>
      <c r="CC445" s="1758"/>
      <c r="CD445" s="1758"/>
      <c r="CE445" s="1758"/>
      <c r="CF445" s="1758"/>
      <c r="CG445" s="1758"/>
      <c r="CH445" s="1758"/>
      <c r="CI445" s="1758"/>
      <c r="CJ445" s="1758"/>
      <c r="CK445" s="1758"/>
      <c r="CL445" s="1758"/>
      <c r="CM445" s="1758"/>
      <c r="CN445" s="1758"/>
      <c r="CO445" s="1758"/>
      <c r="CP445" s="1758"/>
      <c r="CQ445" s="1758"/>
      <c r="CR445" s="1758"/>
      <c r="CS445" s="1758"/>
      <c r="CT445" s="1758"/>
      <c r="CU445" s="1758"/>
      <c r="CV445" s="1758"/>
      <c r="CW445" s="1758"/>
      <c r="CX445" s="1758"/>
      <c r="CY445" s="1758"/>
      <c r="CZ445" s="1758"/>
      <c r="DA445" s="1758"/>
      <c r="DB445" s="1758"/>
      <c r="DC445" s="1758"/>
    </row>
    <row r="446" spans="1:107" s="1395" customFormat="1" ht="26.25" customHeight="1">
      <c r="A446" s="10827"/>
      <c r="B446" s="10732"/>
      <c r="C446" s="10729"/>
      <c r="D446" s="10729"/>
      <c r="E446" s="10729"/>
      <c r="F446" s="10745"/>
      <c r="G446" s="10729"/>
      <c r="H446" s="10729"/>
      <c r="I446" s="10729"/>
      <c r="J446" s="10729"/>
      <c r="K446" s="10736"/>
      <c r="L446" s="10739"/>
      <c r="M446" s="10739"/>
      <c r="N446" s="10739"/>
      <c r="O446" s="10736"/>
      <c r="P446" s="10736"/>
      <c r="Q446" s="10751"/>
      <c r="R446" s="5175"/>
      <c r="S446" s="5215"/>
      <c r="T446" s="5215"/>
      <c r="U446" s="5262"/>
      <c r="V446" s="5293"/>
      <c r="W446" s="5313"/>
      <c r="X446" s="7492"/>
      <c r="Y446" s="7492"/>
      <c r="Z446" s="7492"/>
      <c r="AA446" s="7498"/>
      <c r="AB446" s="5334"/>
      <c r="AC446" s="1407"/>
      <c r="AD446" s="5303"/>
      <c r="AE446" s="5348"/>
      <c r="AF446" s="5348"/>
      <c r="AG446" s="10778"/>
      <c r="AH446" s="1758"/>
      <c r="AI446" s="1758"/>
      <c r="AJ446" s="1758"/>
      <c r="AK446" s="1758"/>
      <c r="AL446" s="1758"/>
      <c r="AM446" s="1758"/>
      <c r="AN446" s="1758"/>
      <c r="AO446" s="1758"/>
      <c r="AP446" s="1758"/>
      <c r="AQ446" s="1758"/>
      <c r="AR446" s="1758"/>
      <c r="AS446" s="1758"/>
      <c r="AT446" s="1758"/>
      <c r="AU446" s="1758"/>
      <c r="AV446" s="1758"/>
      <c r="AW446" s="1758"/>
      <c r="AX446" s="1758"/>
      <c r="AY446" s="1758"/>
      <c r="AZ446" s="1758"/>
      <c r="BA446" s="1758"/>
      <c r="BB446" s="1758"/>
      <c r="BC446" s="1758"/>
      <c r="BD446" s="1758"/>
      <c r="BE446" s="1758"/>
      <c r="BF446" s="1758"/>
      <c r="BG446" s="1758"/>
      <c r="BH446" s="1758"/>
      <c r="BI446" s="1758"/>
      <c r="BJ446" s="1758"/>
      <c r="BK446" s="1758"/>
      <c r="BL446" s="1758"/>
      <c r="BM446" s="1758"/>
      <c r="BN446" s="1758"/>
      <c r="BO446" s="1758"/>
      <c r="BP446" s="1758"/>
      <c r="BQ446" s="1758"/>
      <c r="BR446" s="1758"/>
      <c r="BS446" s="1758"/>
      <c r="BT446" s="1758"/>
      <c r="BU446" s="1758"/>
      <c r="BV446" s="1758"/>
      <c r="BW446" s="1758"/>
      <c r="BX446" s="1758"/>
      <c r="BY446" s="1758"/>
      <c r="BZ446" s="1758"/>
      <c r="CA446" s="1758"/>
      <c r="CB446" s="1758"/>
      <c r="CC446" s="1758"/>
      <c r="CD446" s="1758"/>
      <c r="CE446" s="1758"/>
      <c r="CF446" s="1758"/>
      <c r="CG446" s="1758"/>
      <c r="CH446" s="1758"/>
      <c r="CI446" s="1758"/>
      <c r="CJ446" s="1758"/>
      <c r="CK446" s="1758"/>
      <c r="CL446" s="1758"/>
      <c r="CM446" s="1758"/>
      <c r="CN446" s="1758"/>
      <c r="CO446" s="1758"/>
      <c r="CP446" s="1758"/>
      <c r="CQ446" s="1758"/>
      <c r="CR446" s="1758"/>
      <c r="CS446" s="1758"/>
      <c r="CT446" s="1758"/>
      <c r="CU446" s="1758"/>
      <c r="CV446" s="1758"/>
      <c r="CW446" s="1758"/>
      <c r="CX446" s="1758"/>
      <c r="CY446" s="1758"/>
      <c r="CZ446" s="1758"/>
      <c r="DA446" s="1758"/>
      <c r="DB446" s="1758"/>
      <c r="DC446" s="1758"/>
    </row>
    <row r="447" spans="1:107" s="1395" customFormat="1" ht="21.75" customHeight="1">
      <c r="A447" s="10827"/>
      <c r="B447" s="10731" t="s">
        <v>183</v>
      </c>
      <c r="C447" s="10728" t="s">
        <v>227</v>
      </c>
      <c r="D447" s="10728" t="s">
        <v>129</v>
      </c>
      <c r="E447" s="10728" t="s">
        <v>205</v>
      </c>
      <c r="F447" s="10744" t="s">
        <v>131</v>
      </c>
      <c r="G447" s="10728" t="s">
        <v>132</v>
      </c>
      <c r="H447" s="10728" t="s">
        <v>189</v>
      </c>
      <c r="I447" s="10728" t="s">
        <v>5028</v>
      </c>
      <c r="J447" s="10742" t="s">
        <v>5029</v>
      </c>
      <c r="K447" s="10735" t="s">
        <v>5030</v>
      </c>
      <c r="L447" s="10738">
        <v>0</v>
      </c>
      <c r="M447" s="10738">
        <v>5</v>
      </c>
      <c r="N447" s="10738">
        <v>5</v>
      </c>
      <c r="O447" s="10735" t="s">
        <v>5102</v>
      </c>
      <c r="P447" s="10735" t="s">
        <v>5010</v>
      </c>
      <c r="Q447" s="10750" t="s">
        <v>5083</v>
      </c>
      <c r="R447" s="5173"/>
      <c r="S447" s="5212"/>
      <c r="T447" s="5212"/>
      <c r="U447" s="5249"/>
      <c r="V447" s="5281"/>
      <c r="W447" s="5302"/>
      <c r="X447" s="7477"/>
      <c r="Y447" s="7477"/>
      <c r="Z447" s="7477"/>
      <c r="AA447" s="7478"/>
      <c r="AB447" s="5325"/>
      <c r="AC447" s="1398"/>
      <c r="AD447" s="5302"/>
      <c r="AE447" s="5349"/>
      <c r="AF447" s="5349"/>
      <c r="AG447" s="10777"/>
      <c r="AH447" s="1758"/>
      <c r="AI447" s="1758"/>
      <c r="AJ447" s="1758"/>
      <c r="AK447" s="1758"/>
      <c r="AL447" s="1758"/>
      <c r="AM447" s="1758"/>
      <c r="AN447" s="1758"/>
      <c r="AO447" s="1758"/>
      <c r="AP447" s="1758"/>
      <c r="AQ447" s="1758"/>
      <c r="AR447" s="1758"/>
      <c r="AS447" s="1758"/>
      <c r="AT447" s="1758"/>
      <c r="AU447" s="1758"/>
      <c r="AV447" s="1758"/>
      <c r="AW447" s="1758"/>
      <c r="AX447" s="1758"/>
      <c r="AY447" s="1758"/>
      <c r="AZ447" s="1758"/>
      <c r="BA447" s="1758"/>
      <c r="BB447" s="1758"/>
      <c r="BC447" s="1758"/>
      <c r="BD447" s="1758"/>
      <c r="BE447" s="1758"/>
      <c r="BF447" s="1758"/>
      <c r="BG447" s="1758"/>
      <c r="BH447" s="1758"/>
      <c r="BI447" s="1758"/>
      <c r="BJ447" s="1758"/>
      <c r="BK447" s="1758"/>
      <c r="BL447" s="1758"/>
      <c r="BM447" s="1758"/>
      <c r="BN447" s="1758"/>
      <c r="BO447" s="1758"/>
      <c r="BP447" s="1758"/>
      <c r="BQ447" s="1758"/>
      <c r="BR447" s="1758"/>
      <c r="BS447" s="1758"/>
      <c r="BT447" s="1758"/>
      <c r="BU447" s="1758"/>
      <c r="BV447" s="1758"/>
      <c r="BW447" s="1758"/>
      <c r="BX447" s="1758"/>
      <c r="BY447" s="1758"/>
      <c r="BZ447" s="1758"/>
      <c r="CA447" s="1758"/>
      <c r="CB447" s="1758"/>
      <c r="CC447" s="1758"/>
      <c r="CD447" s="1758"/>
      <c r="CE447" s="1758"/>
      <c r="CF447" s="1758"/>
      <c r="CG447" s="1758"/>
      <c r="CH447" s="1758"/>
      <c r="CI447" s="1758"/>
      <c r="CJ447" s="1758"/>
      <c r="CK447" s="1758"/>
      <c r="CL447" s="1758"/>
      <c r="CM447" s="1758"/>
      <c r="CN447" s="1758"/>
      <c r="CO447" s="1758"/>
      <c r="CP447" s="1758"/>
      <c r="CQ447" s="1758"/>
      <c r="CR447" s="1758"/>
      <c r="CS447" s="1758"/>
      <c r="CT447" s="1758"/>
      <c r="CU447" s="1758"/>
      <c r="CV447" s="1758"/>
      <c r="CW447" s="1758"/>
      <c r="CX447" s="1758"/>
      <c r="CY447" s="1758"/>
      <c r="CZ447" s="1758"/>
      <c r="DA447" s="1758"/>
      <c r="DB447" s="1758"/>
      <c r="DC447" s="1758"/>
    </row>
    <row r="448" spans="1:107" s="1395" customFormat="1" ht="21.75" customHeight="1">
      <c r="A448" s="10827"/>
      <c r="B448" s="10731"/>
      <c r="C448" s="10728"/>
      <c r="D448" s="10728"/>
      <c r="E448" s="10728"/>
      <c r="F448" s="10744"/>
      <c r="G448" s="10728"/>
      <c r="H448" s="10728"/>
      <c r="I448" s="10728"/>
      <c r="J448" s="10728"/>
      <c r="K448" s="10735"/>
      <c r="L448" s="10738"/>
      <c r="M448" s="10738"/>
      <c r="N448" s="10738"/>
      <c r="O448" s="10735"/>
      <c r="P448" s="10735"/>
      <c r="Q448" s="10750"/>
      <c r="R448" s="5171"/>
      <c r="S448" s="5213"/>
      <c r="T448" s="5213"/>
      <c r="U448" s="5247"/>
      <c r="V448" s="5279"/>
      <c r="W448" s="5300"/>
      <c r="X448" s="7473"/>
      <c r="Y448" s="7473"/>
      <c r="Z448" s="7473"/>
      <c r="AA448" s="7474"/>
      <c r="AB448" s="5323"/>
      <c r="AC448" s="1396"/>
      <c r="AD448" s="5300"/>
      <c r="AE448" s="5346"/>
      <c r="AF448" s="5346"/>
      <c r="AG448" s="10777"/>
      <c r="AH448" s="1758"/>
      <c r="AI448" s="1758"/>
      <c r="AJ448" s="1758"/>
      <c r="AK448" s="1758"/>
      <c r="AL448" s="1758"/>
      <c r="AM448" s="1758"/>
      <c r="AN448" s="1758"/>
      <c r="AO448" s="1758"/>
      <c r="AP448" s="1758"/>
      <c r="AQ448" s="1758"/>
      <c r="AR448" s="1758"/>
      <c r="AS448" s="1758"/>
      <c r="AT448" s="1758"/>
      <c r="AU448" s="1758"/>
      <c r="AV448" s="1758"/>
      <c r="AW448" s="1758"/>
      <c r="AX448" s="1758"/>
      <c r="AY448" s="1758"/>
      <c r="AZ448" s="1758"/>
      <c r="BA448" s="1758"/>
      <c r="BB448" s="1758"/>
      <c r="BC448" s="1758"/>
      <c r="BD448" s="1758"/>
      <c r="BE448" s="1758"/>
      <c r="BF448" s="1758"/>
      <c r="BG448" s="1758"/>
      <c r="BH448" s="1758"/>
      <c r="BI448" s="1758"/>
      <c r="BJ448" s="1758"/>
      <c r="BK448" s="1758"/>
      <c r="BL448" s="1758"/>
      <c r="BM448" s="1758"/>
      <c r="BN448" s="1758"/>
      <c r="BO448" s="1758"/>
      <c r="BP448" s="1758"/>
      <c r="BQ448" s="1758"/>
      <c r="BR448" s="1758"/>
      <c r="BS448" s="1758"/>
      <c r="BT448" s="1758"/>
      <c r="BU448" s="1758"/>
      <c r="BV448" s="1758"/>
      <c r="BW448" s="1758"/>
      <c r="BX448" s="1758"/>
      <c r="BY448" s="1758"/>
      <c r="BZ448" s="1758"/>
      <c r="CA448" s="1758"/>
      <c r="CB448" s="1758"/>
      <c r="CC448" s="1758"/>
      <c r="CD448" s="1758"/>
      <c r="CE448" s="1758"/>
      <c r="CF448" s="1758"/>
      <c r="CG448" s="1758"/>
      <c r="CH448" s="1758"/>
      <c r="CI448" s="1758"/>
      <c r="CJ448" s="1758"/>
      <c r="CK448" s="1758"/>
      <c r="CL448" s="1758"/>
      <c r="CM448" s="1758"/>
      <c r="CN448" s="1758"/>
      <c r="CO448" s="1758"/>
      <c r="CP448" s="1758"/>
      <c r="CQ448" s="1758"/>
      <c r="CR448" s="1758"/>
      <c r="CS448" s="1758"/>
      <c r="CT448" s="1758"/>
      <c r="CU448" s="1758"/>
      <c r="CV448" s="1758"/>
      <c r="CW448" s="1758"/>
      <c r="CX448" s="1758"/>
      <c r="CY448" s="1758"/>
      <c r="CZ448" s="1758"/>
      <c r="DA448" s="1758"/>
      <c r="DB448" s="1758"/>
      <c r="DC448" s="1758"/>
    </row>
    <row r="449" spans="1:107" s="1395" customFormat="1" ht="21.75" customHeight="1">
      <c r="A449" s="10827"/>
      <c r="B449" s="10731"/>
      <c r="C449" s="10728"/>
      <c r="D449" s="10728"/>
      <c r="E449" s="10728"/>
      <c r="F449" s="10744"/>
      <c r="G449" s="10728"/>
      <c r="H449" s="10728"/>
      <c r="I449" s="10728"/>
      <c r="J449" s="10728"/>
      <c r="K449" s="10735"/>
      <c r="L449" s="10738"/>
      <c r="M449" s="10738"/>
      <c r="N449" s="10738"/>
      <c r="O449" s="10735"/>
      <c r="P449" s="10735"/>
      <c r="Q449" s="10750"/>
      <c r="R449" s="5174"/>
      <c r="S449" s="5214"/>
      <c r="T449" s="5214"/>
      <c r="U449" s="5250"/>
      <c r="V449" s="5281"/>
      <c r="W449" s="5302"/>
      <c r="X449" s="7477"/>
      <c r="Y449" s="7473"/>
      <c r="Z449" s="7473"/>
      <c r="AA449" s="7474"/>
      <c r="AB449" s="5323"/>
      <c r="AC449" s="1396"/>
      <c r="AD449" s="5300"/>
      <c r="AE449" s="5346"/>
      <c r="AF449" s="5346"/>
      <c r="AG449" s="10777"/>
      <c r="AH449" s="1758"/>
      <c r="AI449" s="1758"/>
      <c r="AJ449" s="1758"/>
      <c r="AK449" s="1758"/>
      <c r="AL449" s="1758"/>
      <c r="AM449" s="1758"/>
      <c r="AN449" s="1758"/>
      <c r="AO449" s="1758"/>
      <c r="AP449" s="1758"/>
      <c r="AQ449" s="1758"/>
      <c r="AR449" s="1758"/>
      <c r="AS449" s="1758"/>
      <c r="AT449" s="1758"/>
      <c r="AU449" s="1758"/>
      <c r="AV449" s="1758"/>
      <c r="AW449" s="1758"/>
      <c r="AX449" s="1758"/>
      <c r="AY449" s="1758"/>
      <c r="AZ449" s="1758"/>
      <c r="BA449" s="1758"/>
      <c r="BB449" s="1758"/>
      <c r="BC449" s="1758"/>
      <c r="BD449" s="1758"/>
      <c r="BE449" s="1758"/>
      <c r="BF449" s="1758"/>
      <c r="BG449" s="1758"/>
      <c r="BH449" s="1758"/>
      <c r="BI449" s="1758"/>
      <c r="BJ449" s="1758"/>
      <c r="BK449" s="1758"/>
      <c r="BL449" s="1758"/>
      <c r="BM449" s="1758"/>
      <c r="BN449" s="1758"/>
      <c r="BO449" s="1758"/>
      <c r="BP449" s="1758"/>
      <c r="BQ449" s="1758"/>
      <c r="BR449" s="1758"/>
      <c r="BS449" s="1758"/>
      <c r="BT449" s="1758"/>
      <c r="BU449" s="1758"/>
      <c r="BV449" s="1758"/>
      <c r="BW449" s="1758"/>
      <c r="BX449" s="1758"/>
      <c r="BY449" s="1758"/>
      <c r="BZ449" s="1758"/>
      <c r="CA449" s="1758"/>
      <c r="CB449" s="1758"/>
      <c r="CC449" s="1758"/>
      <c r="CD449" s="1758"/>
      <c r="CE449" s="1758"/>
      <c r="CF449" s="1758"/>
      <c r="CG449" s="1758"/>
      <c r="CH449" s="1758"/>
      <c r="CI449" s="1758"/>
      <c r="CJ449" s="1758"/>
      <c r="CK449" s="1758"/>
      <c r="CL449" s="1758"/>
      <c r="CM449" s="1758"/>
      <c r="CN449" s="1758"/>
      <c r="CO449" s="1758"/>
      <c r="CP449" s="1758"/>
      <c r="CQ449" s="1758"/>
      <c r="CR449" s="1758"/>
      <c r="CS449" s="1758"/>
      <c r="CT449" s="1758"/>
      <c r="CU449" s="1758"/>
      <c r="CV449" s="1758"/>
      <c r="CW449" s="1758"/>
      <c r="CX449" s="1758"/>
      <c r="CY449" s="1758"/>
      <c r="CZ449" s="1758"/>
      <c r="DA449" s="1758"/>
      <c r="DB449" s="1758"/>
      <c r="DC449" s="1758"/>
    </row>
    <row r="450" spans="1:107" s="1395" customFormat="1" ht="21.75" customHeight="1">
      <c r="A450" s="10827"/>
      <c r="B450" s="10731"/>
      <c r="C450" s="10728"/>
      <c r="D450" s="10728"/>
      <c r="E450" s="10728"/>
      <c r="F450" s="10744"/>
      <c r="G450" s="10728"/>
      <c r="H450" s="10728"/>
      <c r="I450" s="10728"/>
      <c r="J450" s="10728"/>
      <c r="K450" s="10735"/>
      <c r="L450" s="10738"/>
      <c r="M450" s="10738"/>
      <c r="N450" s="10738"/>
      <c r="O450" s="10735"/>
      <c r="P450" s="10735"/>
      <c r="Q450" s="10750"/>
      <c r="R450" s="5173"/>
      <c r="S450" s="5212"/>
      <c r="T450" s="5212"/>
      <c r="U450" s="5250"/>
      <c r="V450" s="5281"/>
      <c r="W450" s="5302"/>
      <c r="X450" s="7477"/>
      <c r="Y450" s="7473"/>
      <c r="Z450" s="7473"/>
      <c r="AA450" s="7474"/>
      <c r="AB450" s="5323"/>
      <c r="AC450" s="1396"/>
      <c r="AD450" s="5300"/>
      <c r="AE450" s="5346"/>
      <c r="AF450" s="5346"/>
      <c r="AG450" s="10777"/>
      <c r="AH450" s="1758"/>
      <c r="AI450" s="1758"/>
      <c r="AJ450" s="1758"/>
      <c r="AK450" s="1758"/>
      <c r="AL450" s="1758"/>
      <c r="AM450" s="1758"/>
      <c r="AN450" s="1758"/>
      <c r="AO450" s="1758"/>
      <c r="AP450" s="1758"/>
      <c r="AQ450" s="1758"/>
      <c r="AR450" s="1758"/>
      <c r="AS450" s="1758"/>
      <c r="AT450" s="1758"/>
      <c r="AU450" s="1758"/>
      <c r="AV450" s="1758"/>
      <c r="AW450" s="1758"/>
      <c r="AX450" s="1758"/>
      <c r="AY450" s="1758"/>
      <c r="AZ450" s="1758"/>
      <c r="BA450" s="1758"/>
      <c r="BB450" s="1758"/>
      <c r="BC450" s="1758"/>
      <c r="BD450" s="1758"/>
      <c r="BE450" s="1758"/>
      <c r="BF450" s="1758"/>
      <c r="BG450" s="1758"/>
      <c r="BH450" s="1758"/>
      <c r="BI450" s="1758"/>
      <c r="BJ450" s="1758"/>
      <c r="BK450" s="1758"/>
      <c r="BL450" s="1758"/>
      <c r="BM450" s="1758"/>
      <c r="BN450" s="1758"/>
      <c r="BO450" s="1758"/>
      <c r="BP450" s="1758"/>
      <c r="BQ450" s="1758"/>
      <c r="BR450" s="1758"/>
      <c r="BS450" s="1758"/>
      <c r="BT450" s="1758"/>
      <c r="BU450" s="1758"/>
      <c r="BV450" s="1758"/>
      <c r="BW450" s="1758"/>
      <c r="BX450" s="1758"/>
      <c r="BY450" s="1758"/>
      <c r="BZ450" s="1758"/>
      <c r="CA450" s="1758"/>
      <c r="CB450" s="1758"/>
      <c r="CC450" s="1758"/>
      <c r="CD450" s="1758"/>
      <c r="CE450" s="1758"/>
      <c r="CF450" s="1758"/>
      <c r="CG450" s="1758"/>
      <c r="CH450" s="1758"/>
      <c r="CI450" s="1758"/>
      <c r="CJ450" s="1758"/>
      <c r="CK450" s="1758"/>
      <c r="CL450" s="1758"/>
      <c r="CM450" s="1758"/>
      <c r="CN450" s="1758"/>
      <c r="CO450" s="1758"/>
      <c r="CP450" s="1758"/>
      <c r="CQ450" s="1758"/>
      <c r="CR450" s="1758"/>
      <c r="CS450" s="1758"/>
      <c r="CT450" s="1758"/>
      <c r="CU450" s="1758"/>
      <c r="CV450" s="1758"/>
      <c r="CW450" s="1758"/>
      <c r="CX450" s="1758"/>
      <c r="CY450" s="1758"/>
      <c r="CZ450" s="1758"/>
      <c r="DA450" s="1758"/>
      <c r="DB450" s="1758"/>
      <c r="DC450" s="1758"/>
    </row>
    <row r="451" spans="1:107" s="1395" customFormat="1" ht="21.75" customHeight="1">
      <c r="A451" s="10827"/>
      <c r="B451" s="10732"/>
      <c r="C451" s="10729"/>
      <c r="D451" s="10729"/>
      <c r="E451" s="10729"/>
      <c r="F451" s="10745"/>
      <c r="G451" s="10729"/>
      <c r="H451" s="10729"/>
      <c r="I451" s="10729"/>
      <c r="J451" s="10729"/>
      <c r="K451" s="10736"/>
      <c r="L451" s="10739"/>
      <c r="M451" s="10739"/>
      <c r="N451" s="10739"/>
      <c r="O451" s="10736"/>
      <c r="P451" s="10736"/>
      <c r="Q451" s="10751"/>
      <c r="R451" s="5175"/>
      <c r="S451" s="5215"/>
      <c r="T451" s="5215"/>
      <c r="U451" s="5251"/>
      <c r="V451" s="5282"/>
      <c r="W451" s="5303"/>
      <c r="X451" s="7479"/>
      <c r="Y451" s="7479"/>
      <c r="Z451" s="7479"/>
      <c r="AA451" s="7480"/>
      <c r="AB451" s="5326"/>
      <c r="AC451" s="1399"/>
      <c r="AD451" s="5303"/>
      <c r="AE451" s="5348"/>
      <c r="AF451" s="5348"/>
      <c r="AG451" s="10778"/>
      <c r="AH451" s="1758"/>
      <c r="AI451" s="1758"/>
      <c r="AJ451" s="1758"/>
      <c r="AK451" s="1758"/>
      <c r="AL451" s="1758"/>
      <c r="AM451" s="1758"/>
      <c r="AN451" s="1758"/>
      <c r="AO451" s="1758"/>
      <c r="AP451" s="1758"/>
      <c r="AQ451" s="1758"/>
      <c r="AR451" s="1758"/>
      <c r="AS451" s="1758"/>
      <c r="AT451" s="1758"/>
      <c r="AU451" s="1758"/>
      <c r="AV451" s="1758"/>
      <c r="AW451" s="1758"/>
      <c r="AX451" s="1758"/>
      <c r="AY451" s="1758"/>
      <c r="AZ451" s="1758"/>
      <c r="BA451" s="1758"/>
      <c r="BB451" s="1758"/>
      <c r="BC451" s="1758"/>
      <c r="BD451" s="1758"/>
      <c r="BE451" s="1758"/>
      <c r="BF451" s="1758"/>
      <c r="BG451" s="1758"/>
      <c r="BH451" s="1758"/>
      <c r="BI451" s="1758"/>
      <c r="BJ451" s="1758"/>
      <c r="BK451" s="1758"/>
      <c r="BL451" s="1758"/>
      <c r="BM451" s="1758"/>
      <c r="BN451" s="1758"/>
      <c r="BO451" s="1758"/>
      <c r="BP451" s="1758"/>
      <c r="BQ451" s="1758"/>
      <c r="BR451" s="1758"/>
      <c r="BS451" s="1758"/>
      <c r="BT451" s="1758"/>
      <c r="BU451" s="1758"/>
      <c r="BV451" s="1758"/>
      <c r="BW451" s="1758"/>
      <c r="BX451" s="1758"/>
      <c r="BY451" s="1758"/>
      <c r="BZ451" s="1758"/>
      <c r="CA451" s="1758"/>
      <c r="CB451" s="1758"/>
      <c r="CC451" s="1758"/>
      <c r="CD451" s="1758"/>
      <c r="CE451" s="1758"/>
      <c r="CF451" s="1758"/>
      <c r="CG451" s="1758"/>
      <c r="CH451" s="1758"/>
      <c r="CI451" s="1758"/>
      <c r="CJ451" s="1758"/>
      <c r="CK451" s="1758"/>
      <c r="CL451" s="1758"/>
      <c r="CM451" s="1758"/>
      <c r="CN451" s="1758"/>
      <c r="CO451" s="1758"/>
      <c r="CP451" s="1758"/>
      <c r="CQ451" s="1758"/>
      <c r="CR451" s="1758"/>
      <c r="CS451" s="1758"/>
      <c r="CT451" s="1758"/>
      <c r="CU451" s="1758"/>
      <c r="CV451" s="1758"/>
      <c r="CW451" s="1758"/>
      <c r="CX451" s="1758"/>
      <c r="CY451" s="1758"/>
      <c r="CZ451" s="1758"/>
      <c r="DA451" s="1758"/>
      <c r="DB451" s="1758"/>
      <c r="DC451" s="1758"/>
    </row>
    <row r="452" spans="1:107" s="1395" customFormat="1" ht="21.75" customHeight="1">
      <c r="A452" s="10827"/>
      <c r="B452" s="10731" t="s">
        <v>183</v>
      </c>
      <c r="C452" s="10728" t="s">
        <v>227</v>
      </c>
      <c r="D452" s="10728" t="s">
        <v>228</v>
      </c>
      <c r="E452" s="10728" t="s">
        <v>255</v>
      </c>
      <c r="F452" s="10744" t="s">
        <v>230</v>
      </c>
      <c r="G452" s="10728" t="s">
        <v>132</v>
      </c>
      <c r="H452" s="10728" t="s">
        <v>189</v>
      </c>
      <c r="I452" s="10728" t="s">
        <v>5032</v>
      </c>
      <c r="J452" s="10742" t="s">
        <v>4647</v>
      </c>
      <c r="K452" s="10735" t="s">
        <v>5033</v>
      </c>
      <c r="L452" s="10738">
        <v>0</v>
      </c>
      <c r="M452" s="10738">
        <v>1</v>
      </c>
      <c r="N452" s="10738">
        <v>1</v>
      </c>
      <c r="O452" s="10735" t="s">
        <v>5034</v>
      </c>
      <c r="P452" s="10735" t="s">
        <v>5035</v>
      </c>
      <c r="Q452" s="10750" t="s">
        <v>5083</v>
      </c>
      <c r="R452" s="5173"/>
      <c r="S452" s="5212"/>
      <c r="T452" s="5212"/>
      <c r="U452" s="5249"/>
      <c r="V452" s="5281"/>
      <c r="W452" s="5302"/>
      <c r="X452" s="7477"/>
      <c r="Y452" s="7477"/>
      <c r="Z452" s="7477"/>
      <c r="AA452" s="7478"/>
      <c r="AB452" s="5325"/>
      <c r="AC452" s="1398"/>
      <c r="AD452" s="5302"/>
      <c r="AE452" s="5349"/>
      <c r="AF452" s="5349"/>
      <c r="AG452" s="10777"/>
      <c r="AH452" s="1758"/>
      <c r="AI452" s="1758"/>
      <c r="AJ452" s="1758"/>
      <c r="AK452" s="1758"/>
      <c r="AL452" s="1758"/>
      <c r="AM452" s="1758"/>
      <c r="AN452" s="1758"/>
      <c r="AO452" s="1758"/>
      <c r="AP452" s="1758"/>
      <c r="AQ452" s="1758"/>
      <c r="AR452" s="1758"/>
      <c r="AS452" s="1758"/>
      <c r="AT452" s="1758"/>
      <c r="AU452" s="1758"/>
      <c r="AV452" s="1758"/>
      <c r="AW452" s="1758"/>
      <c r="AX452" s="1758"/>
      <c r="AY452" s="1758"/>
      <c r="AZ452" s="1758"/>
      <c r="BA452" s="1758"/>
      <c r="BB452" s="1758"/>
      <c r="BC452" s="1758"/>
      <c r="BD452" s="1758"/>
      <c r="BE452" s="1758"/>
      <c r="BF452" s="1758"/>
      <c r="BG452" s="1758"/>
      <c r="BH452" s="1758"/>
      <c r="BI452" s="1758"/>
      <c r="BJ452" s="1758"/>
      <c r="BK452" s="1758"/>
      <c r="BL452" s="1758"/>
      <c r="BM452" s="1758"/>
      <c r="BN452" s="1758"/>
      <c r="BO452" s="1758"/>
      <c r="BP452" s="1758"/>
      <c r="BQ452" s="1758"/>
      <c r="BR452" s="1758"/>
      <c r="BS452" s="1758"/>
      <c r="BT452" s="1758"/>
      <c r="BU452" s="1758"/>
      <c r="BV452" s="1758"/>
      <c r="BW452" s="1758"/>
      <c r="BX452" s="1758"/>
      <c r="BY452" s="1758"/>
      <c r="BZ452" s="1758"/>
      <c r="CA452" s="1758"/>
      <c r="CB452" s="1758"/>
      <c r="CC452" s="1758"/>
      <c r="CD452" s="1758"/>
      <c r="CE452" s="1758"/>
      <c r="CF452" s="1758"/>
      <c r="CG452" s="1758"/>
      <c r="CH452" s="1758"/>
      <c r="CI452" s="1758"/>
      <c r="CJ452" s="1758"/>
      <c r="CK452" s="1758"/>
      <c r="CL452" s="1758"/>
      <c r="CM452" s="1758"/>
      <c r="CN452" s="1758"/>
      <c r="CO452" s="1758"/>
      <c r="CP452" s="1758"/>
      <c r="CQ452" s="1758"/>
      <c r="CR452" s="1758"/>
      <c r="CS452" s="1758"/>
      <c r="CT452" s="1758"/>
      <c r="CU452" s="1758"/>
      <c r="CV452" s="1758"/>
      <c r="CW452" s="1758"/>
      <c r="CX452" s="1758"/>
      <c r="CY452" s="1758"/>
      <c r="CZ452" s="1758"/>
      <c r="DA452" s="1758"/>
      <c r="DB452" s="1758"/>
      <c r="DC452" s="1758"/>
    </row>
    <row r="453" spans="1:107" s="1395" customFormat="1" ht="21.75" customHeight="1">
      <c r="A453" s="10827"/>
      <c r="B453" s="10731"/>
      <c r="C453" s="10728"/>
      <c r="D453" s="10728"/>
      <c r="E453" s="10728"/>
      <c r="F453" s="10744"/>
      <c r="G453" s="10728"/>
      <c r="H453" s="10728"/>
      <c r="I453" s="10728"/>
      <c r="J453" s="10728"/>
      <c r="K453" s="10735"/>
      <c r="L453" s="10738"/>
      <c r="M453" s="10738"/>
      <c r="N453" s="10738"/>
      <c r="O453" s="10735"/>
      <c r="P453" s="10735"/>
      <c r="Q453" s="10750"/>
      <c r="R453" s="5171"/>
      <c r="S453" s="5213"/>
      <c r="T453" s="5213"/>
      <c r="U453" s="5247"/>
      <c r="V453" s="5279"/>
      <c r="W453" s="5300"/>
      <c r="X453" s="7473"/>
      <c r="Y453" s="7473"/>
      <c r="Z453" s="7473"/>
      <c r="AA453" s="7474"/>
      <c r="AB453" s="5323"/>
      <c r="AC453" s="1396"/>
      <c r="AD453" s="5300"/>
      <c r="AE453" s="5346"/>
      <c r="AF453" s="5346"/>
      <c r="AG453" s="10777"/>
      <c r="AH453" s="1758"/>
      <c r="AI453" s="1758"/>
      <c r="AJ453" s="1758"/>
      <c r="AK453" s="1758"/>
      <c r="AL453" s="1758"/>
      <c r="AM453" s="1758"/>
      <c r="AN453" s="1758"/>
      <c r="AO453" s="1758"/>
      <c r="AP453" s="1758"/>
      <c r="AQ453" s="1758"/>
      <c r="AR453" s="1758"/>
      <c r="AS453" s="1758"/>
      <c r="AT453" s="1758"/>
      <c r="AU453" s="1758"/>
      <c r="AV453" s="1758"/>
      <c r="AW453" s="1758"/>
      <c r="AX453" s="1758"/>
      <c r="AY453" s="1758"/>
      <c r="AZ453" s="1758"/>
      <c r="BA453" s="1758"/>
      <c r="BB453" s="1758"/>
      <c r="BC453" s="1758"/>
      <c r="BD453" s="1758"/>
      <c r="BE453" s="1758"/>
      <c r="BF453" s="1758"/>
      <c r="BG453" s="1758"/>
      <c r="BH453" s="1758"/>
      <c r="BI453" s="1758"/>
      <c r="BJ453" s="1758"/>
      <c r="BK453" s="1758"/>
      <c r="BL453" s="1758"/>
      <c r="BM453" s="1758"/>
      <c r="BN453" s="1758"/>
      <c r="BO453" s="1758"/>
      <c r="BP453" s="1758"/>
      <c r="BQ453" s="1758"/>
      <c r="BR453" s="1758"/>
      <c r="BS453" s="1758"/>
      <c r="BT453" s="1758"/>
      <c r="BU453" s="1758"/>
      <c r="BV453" s="1758"/>
      <c r="BW453" s="1758"/>
      <c r="BX453" s="1758"/>
      <c r="BY453" s="1758"/>
      <c r="BZ453" s="1758"/>
      <c r="CA453" s="1758"/>
      <c r="CB453" s="1758"/>
      <c r="CC453" s="1758"/>
      <c r="CD453" s="1758"/>
      <c r="CE453" s="1758"/>
      <c r="CF453" s="1758"/>
      <c r="CG453" s="1758"/>
      <c r="CH453" s="1758"/>
      <c r="CI453" s="1758"/>
      <c r="CJ453" s="1758"/>
      <c r="CK453" s="1758"/>
      <c r="CL453" s="1758"/>
      <c r="CM453" s="1758"/>
      <c r="CN453" s="1758"/>
      <c r="CO453" s="1758"/>
      <c r="CP453" s="1758"/>
      <c r="CQ453" s="1758"/>
      <c r="CR453" s="1758"/>
      <c r="CS453" s="1758"/>
      <c r="CT453" s="1758"/>
      <c r="CU453" s="1758"/>
      <c r="CV453" s="1758"/>
      <c r="CW453" s="1758"/>
      <c r="CX453" s="1758"/>
      <c r="CY453" s="1758"/>
      <c r="CZ453" s="1758"/>
      <c r="DA453" s="1758"/>
      <c r="DB453" s="1758"/>
      <c r="DC453" s="1758"/>
    </row>
    <row r="454" spans="1:107" s="1395" customFormat="1" ht="21.75" customHeight="1">
      <c r="A454" s="10827"/>
      <c r="B454" s="10731"/>
      <c r="C454" s="10728"/>
      <c r="D454" s="10728"/>
      <c r="E454" s="10728"/>
      <c r="F454" s="10744"/>
      <c r="G454" s="10728"/>
      <c r="H454" s="10728"/>
      <c r="I454" s="10728"/>
      <c r="J454" s="10728"/>
      <c r="K454" s="10735"/>
      <c r="L454" s="10738"/>
      <c r="M454" s="10738"/>
      <c r="N454" s="10738"/>
      <c r="O454" s="10735"/>
      <c r="P454" s="10735"/>
      <c r="Q454" s="10750"/>
      <c r="R454" s="5174"/>
      <c r="S454" s="5214"/>
      <c r="T454" s="5214"/>
      <c r="U454" s="5250"/>
      <c r="V454" s="5281"/>
      <c r="W454" s="5302"/>
      <c r="X454" s="7477"/>
      <c r="Y454" s="7473"/>
      <c r="Z454" s="7473"/>
      <c r="AA454" s="7474"/>
      <c r="AB454" s="5323"/>
      <c r="AC454" s="1396"/>
      <c r="AD454" s="5300"/>
      <c r="AE454" s="5346"/>
      <c r="AF454" s="5346"/>
      <c r="AG454" s="10777"/>
      <c r="AH454" s="1758"/>
      <c r="AI454" s="1758"/>
      <c r="AJ454" s="1758"/>
      <c r="AK454" s="1758"/>
      <c r="AL454" s="1758"/>
      <c r="AM454" s="1758"/>
      <c r="AN454" s="1758"/>
      <c r="AO454" s="1758"/>
      <c r="AP454" s="1758"/>
      <c r="AQ454" s="1758"/>
      <c r="AR454" s="1758"/>
      <c r="AS454" s="1758"/>
      <c r="AT454" s="1758"/>
      <c r="AU454" s="1758"/>
      <c r="AV454" s="1758"/>
      <c r="AW454" s="1758"/>
      <c r="AX454" s="1758"/>
      <c r="AY454" s="1758"/>
      <c r="AZ454" s="1758"/>
      <c r="BA454" s="1758"/>
      <c r="BB454" s="1758"/>
      <c r="BC454" s="1758"/>
      <c r="BD454" s="1758"/>
      <c r="BE454" s="1758"/>
      <c r="BF454" s="1758"/>
      <c r="BG454" s="1758"/>
      <c r="BH454" s="1758"/>
      <c r="BI454" s="1758"/>
      <c r="BJ454" s="1758"/>
      <c r="BK454" s="1758"/>
      <c r="BL454" s="1758"/>
      <c r="BM454" s="1758"/>
      <c r="BN454" s="1758"/>
      <c r="BO454" s="1758"/>
      <c r="BP454" s="1758"/>
      <c r="BQ454" s="1758"/>
      <c r="BR454" s="1758"/>
      <c r="BS454" s="1758"/>
      <c r="BT454" s="1758"/>
      <c r="BU454" s="1758"/>
      <c r="BV454" s="1758"/>
      <c r="BW454" s="1758"/>
      <c r="BX454" s="1758"/>
      <c r="BY454" s="1758"/>
      <c r="BZ454" s="1758"/>
      <c r="CA454" s="1758"/>
      <c r="CB454" s="1758"/>
      <c r="CC454" s="1758"/>
      <c r="CD454" s="1758"/>
      <c r="CE454" s="1758"/>
      <c r="CF454" s="1758"/>
      <c r="CG454" s="1758"/>
      <c r="CH454" s="1758"/>
      <c r="CI454" s="1758"/>
      <c r="CJ454" s="1758"/>
      <c r="CK454" s="1758"/>
      <c r="CL454" s="1758"/>
      <c r="CM454" s="1758"/>
      <c r="CN454" s="1758"/>
      <c r="CO454" s="1758"/>
      <c r="CP454" s="1758"/>
      <c r="CQ454" s="1758"/>
      <c r="CR454" s="1758"/>
      <c r="CS454" s="1758"/>
      <c r="CT454" s="1758"/>
      <c r="CU454" s="1758"/>
      <c r="CV454" s="1758"/>
      <c r="CW454" s="1758"/>
      <c r="CX454" s="1758"/>
      <c r="CY454" s="1758"/>
      <c r="CZ454" s="1758"/>
      <c r="DA454" s="1758"/>
      <c r="DB454" s="1758"/>
      <c r="DC454" s="1758"/>
    </row>
    <row r="455" spans="1:107" s="1395" customFormat="1" ht="21.75" customHeight="1">
      <c r="A455" s="10827"/>
      <c r="B455" s="10731"/>
      <c r="C455" s="10728"/>
      <c r="D455" s="10728"/>
      <c r="E455" s="10728"/>
      <c r="F455" s="10744"/>
      <c r="G455" s="10728"/>
      <c r="H455" s="10728"/>
      <c r="I455" s="10728"/>
      <c r="J455" s="10728"/>
      <c r="K455" s="10735"/>
      <c r="L455" s="10738"/>
      <c r="M455" s="10738"/>
      <c r="N455" s="10738"/>
      <c r="O455" s="10735"/>
      <c r="P455" s="10735"/>
      <c r="Q455" s="10750"/>
      <c r="R455" s="5173"/>
      <c r="S455" s="5212"/>
      <c r="T455" s="5212"/>
      <c r="U455" s="5250"/>
      <c r="V455" s="5281"/>
      <c r="W455" s="5302"/>
      <c r="X455" s="7477"/>
      <c r="Y455" s="7473"/>
      <c r="Z455" s="7473"/>
      <c r="AA455" s="7474"/>
      <c r="AB455" s="5323"/>
      <c r="AC455" s="1396"/>
      <c r="AD455" s="5300"/>
      <c r="AE455" s="5346"/>
      <c r="AF455" s="5346"/>
      <c r="AG455" s="10777"/>
      <c r="AH455" s="1758"/>
      <c r="AI455" s="1758"/>
      <c r="AJ455" s="1758"/>
      <c r="AK455" s="1758"/>
      <c r="AL455" s="1758"/>
      <c r="AM455" s="1758"/>
      <c r="AN455" s="1758"/>
      <c r="AO455" s="1758"/>
      <c r="AP455" s="1758"/>
      <c r="AQ455" s="1758"/>
      <c r="AR455" s="1758"/>
      <c r="AS455" s="1758"/>
      <c r="AT455" s="1758"/>
      <c r="AU455" s="1758"/>
      <c r="AV455" s="1758"/>
      <c r="AW455" s="1758"/>
      <c r="AX455" s="1758"/>
      <c r="AY455" s="1758"/>
      <c r="AZ455" s="1758"/>
      <c r="BA455" s="1758"/>
      <c r="BB455" s="1758"/>
      <c r="BC455" s="1758"/>
      <c r="BD455" s="1758"/>
      <c r="BE455" s="1758"/>
      <c r="BF455" s="1758"/>
      <c r="BG455" s="1758"/>
      <c r="BH455" s="1758"/>
      <c r="BI455" s="1758"/>
      <c r="BJ455" s="1758"/>
      <c r="BK455" s="1758"/>
      <c r="BL455" s="1758"/>
      <c r="BM455" s="1758"/>
      <c r="BN455" s="1758"/>
      <c r="BO455" s="1758"/>
      <c r="BP455" s="1758"/>
      <c r="BQ455" s="1758"/>
      <c r="BR455" s="1758"/>
      <c r="BS455" s="1758"/>
      <c r="BT455" s="1758"/>
      <c r="BU455" s="1758"/>
      <c r="BV455" s="1758"/>
      <c r="BW455" s="1758"/>
      <c r="BX455" s="1758"/>
      <c r="BY455" s="1758"/>
      <c r="BZ455" s="1758"/>
      <c r="CA455" s="1758"/>
      <c r="CB455" s="1758"/>
      <c r="CC455" s="1758"/>
      <c r="CD455" s="1758"/>
      <c r="CE455" s="1758"/>
      <c r="CF455" s="1758"/>
      <c r="CG455" s="1758"/>
      <c r="CH455" s="1758"/>
      <c r="CI455" s="1758"/>
      <c r="CJ455" s="1758"/>
      <c r="CK455" s="1758"/>
      <c r="CL455" s="1758"/>
      <c r="CM455" s="1758"/>
      <c r="CN455" s="1758"/>
      <c r="CO455" s="1758"/>
      <c r="CP455" s="1758"/>
      <c r="CQ455" s="1758"/>
      <c r="CR455" s="1758"/>
      <c r="CS455" s="1758"/>
      <c r="CT455" s="1758"/>
      <c r="CU455" s="1758"/>
      <c r="CV455" s="1758"/>
      <c r="CW455" s="1758"/>
      <c r="CX455" s="1758"/>
      <c r="CY455" s="1758"/>
      <c r="CZ455" s="1758"/>
      <c r="DA455" s="1758"/>
      <c r="DB455" s="1758"/>
      <c r="DC455" s="1758"/>
    </row>
    <row r="456" spans="1:107" s="1395" customFormat="1" ht="21.75" customHeight="1">
      <c r="A456" s="10827"/>
      <c r="B456" s="10732"/>
      <c r="C456" s="10729"/>
      <c r="D456" s="10729"/>
      <c r="E456" s="10729"/>
      <c r="F456" s="10745"/>
      <c r="G456" s="10729"/>
      <c r="H456" s="10729"/>
      <c r="I456" s="10729"/>
      <c r="J456" s="10729"/>
      <c r="K456" s="10736"/>
      <c r="L456" s="10739"/>
      <c r="M456" s="10739"/>
      <c r="N456" s="10739"/>
      <c r="O456" s="10736"/>
      <c r="P456" s="10736"/>
      <c r="Q456" s="10751"/>
      <c r="R456" s="5175"/>
      <c r="S456" s="5215"/>
      <c r="T456" s="5215"/>
      <c r="U456" s="5251"/>
      <c r="V456" s="5282"/>
      <c r="W456" s="5303"/>
      <c r="X456" s="7479"/>
      <c r="Y456" s="7479"/>
      <c r="Z456" s="7479"/>
      <c r="AA456" s="7480"/>
      <c r="AB456" s="5326"/>
      <c r="AC456" s="1399"/>
      <c r="AD456" s="5303"/>
      <c r="AE456" s="5348"/>
      <c r="AF456" s="5348"/>
      <c r="AG456" s="10778"/>
      <c r="AH456" s="1758"/>
      <c r="AI456" s="1758"/>
      <c r="AJ456" s="1758"/>
      <c r="AK456" s="1758"/>
      <c r="AL456" s="1758"/>
      <c r="AM456" s="1758"/>
      <c r="AN456" s="1758"/>
      <c r="AO456" s="1758"/>
      <c r="AP456" s="1758"/>
      <c r="AQ456" s="1758"/>
      <c r="AR456" s="1758"/>
      <c r="AS456" s="1758"/>
      <c r="AT456" s="1758"/>
      <c r="AU456" s="1758"/>
      <c r="AV456" s="1758"/>
      <c r="AW456" s="1758"/>
      <c r="AX456" s="1758"/>
      <c r="AY456" s="1758"/>
      <c r="AZ456" s="1758"/>
      <c r="BA456" s="1758"/>
      <c r="BB456" s="1758"/>
      <c r="BC456" s="1758"/>
      <c r="BD456" s="1758"/>
      <c r="BE456" s="1758"/>
      <c r="BF456" s="1758"/>
      <c r="BG456" s="1758"/>
      <c r="BH456" s="1758"/>
      <c r="BI456" s="1758"/>
      <c r="BJ456" s="1758"/>
      <c r="BK456" s="1758"/>
      <c r="BL456" s="1758"/>
      <c r="BM456" s="1758"/>
      <c r="BN456" s="1758"/>
      <c r="BO456" s="1758"/>
      <c r="BP456" s="1758"/>
      <c r="BQ456" s="1758"/>
      <c r="BR456" s="1758"/>
      <c r="BS456" s="1758"/>
      <c r="BT456" s="1758"/>
      <c r="BU456" s="1758"/>
      <c r="BV456" s="1758"/>
      <c r="BW456" s="1758"/>
      <c r="BX456" s="1758"/>
      <c r="BY456" s="1758"/>
      <c r="BZ456" s="1758"/>
      <c r="CA456" s="1758"/>
      <c r="CB456" s="1758"/>
      <c r="CC456" s="1758"/>
      <c r="CD456" s="1758"/>
      <c r="CE456" s="1758"/>
      <c r="CF456" s="1758"/>
      <c r="CG456" s="1758"/>
      <c r="CH456" s="1758"/>
      <c r="CI456" s="1758"/>
      <c r="CJ456" s="1758"/>
      <c r="CK456" s="1758"/>
      <c r="CL456" s="1758"/>
      <c r="CM456" s="1758"/>
      <c r="CN456" s="1758"/>
      <c r="CO456" s="1758"/>
      <c r="CP456" s="1758"/>
      <c r="CQ456" s="1758"/>
      <c r="CR456" s="1758"/>
      <c r="CS456" s="1758"/>
      <c r="CT456" s="1758"/>
      <c r="CU456" s="1758"/>
      <c r="CV456" s="1758"/>
      <c r="CW456" s="1758"/>
      <c r="CX456" s="1758"/>
      <c r="CY456" s="1758"/>
      <c r="CZ456" s="1758"/>
      <c r="DA456" s="1758"/>
      <c r="DB456" s="1758"/>
      <c r="DC456" s="1758"/>
    </row>
    <row r="457" spans="1:107" s="1395" customFormat="1" ht="21" customHeight="1">
      <c r="A457" s="10827"/>
      <c r="B457" s="10731" t="s">
        <v>183</v>
      </c>
      <c r="C457" s="10728" t="s">
        <v>227</v>
      </c>
      <c r="D457" s="10728" t="s">
        <v>490</v>
      </c>
      <c r="E457" s="10728" t="s">
        <v>2210</v>
      </c>
      <c r="F457" s="10744" t="s">
        <v>230</v>
      </c>
      <c r="G457" s="10728" t="s">
        <v>132</v>
      </c>
      <c r="H457" s="10728" t="s">
        <v>189</v>
      </c>
      <c r="I457" s="10728" t="s">
        <v>5036</v>
      </c>
      <c r="J457" s="10742" t="s">
        <v>4652</v>
      </c>
      <c r="K457" s="10735" t="s">
        <v>5103</v>
      </c>
      <c r="L457" s="10738">
        <v>0</v>
      </c>
      <c r="M457" s="10738">
        <v>16</v>
      </c>
      <c r="N457" s="10738">
        <v>16</v>
      </c>
      <c r="O457" s="10735" t="s">
        <v>5038</v>
      </c>
      <c r="P457" s="10735" t="s">
        <v>5104</v>
      </c>
      <c r="Q457" s="10750" t="s">
        <v>5083</v>
      </c>
      <c r="R457" s="5173"/>
      <c r="S457" s="5212"/>
      <c r="T457" s="5212"/>
      <c r="U457" s="5249"/>
      <c r="V457" s="5281"/>
      <c r="W457" s="5302"/>
      <c r="X457" s="7477"/>
      <c r="Y457" s="7477"/>
      <c r="Z457" s="7477"/>
      <c r="AA457" s="7478"/>
      <c r="AB457" s="5325"/>
      <c r="AC457" s="1398"/>
      <c r="AD457" s="5302"/>
      <c r="AE457" s="5349"/>
      <c r="AF457" s="5349"/>
      <c r="AG457" s="10777"/>
      <c r="AH457" s="1758"/>
      <c r="AI457" s="1758"/>
      <c r="AJ457" s="1758"/>
      <c r="AK457" s="1758"/>
      <c r="AL457" s="1758"/>
      <c r="AM457" s="1758"/>
      <c r="AN457" s="1758"/>
      <c r="AO457" s="1758"/>
      <c r="AP457" s="1758"/>
      <c r="AQ457" s="1758"/>
      <c r="AR457" s="1758"/>
      <c r="AS457" s="1758"/>
      <c r="AT457" s="1758"/>
      <c r="AU457" s="1758"/>
      <c r="AV457" s="1758"/>
      <c r="AW457" s="1758"/>
      <c r="AX457" s="1758"/>
      <c r="AY457" s="1758"/>
      <c r="AZ457" s="1758"/>
      <c r="BA457" s="1758"/>
      <c r="BB457" s="1758"/>
      <c r="BC457" s="1758"/>
      <c r="BD457" s="1758"/>
      <c r="BE457" s="1758"/>
      <c r="BF457" s="1758"/>
      <c r="BG457" s="1758"/>
      <c r="BH457" s="1758"/>
      <c r="BI457" s="1758"/>
      <c r="BJ457" s="1758"/>
      <c r="BK457" s="1758"/>
      <c r="BL457" s="1758"/>
      <c r="BM457" s="1758"/>
      <c r="BN457" s="1758"/>
      <c r="BO457" s="1758"/>
      <c r="BP457" s="1758"/>
      <c r="BQ457" s="1758"/>
      <c r="BR457" s="1758"/>
      <c r="BS457" s="1758"/>
      <c r="BT457" s="1758"/>
      <c r="BU457" s="1758"/>
      <c r="BV457" s="1758"/>
      <c r="BW457" s="1758"/>
      <c r="BX457" s="1758"/>
      <c r="BY457" s="1758"/>
      <c r="BZ457" s="1758"/>
      <c r="CA457" s="1758"/>
      <c r="CB457" s="1758"/>
      <c r="CC457" s="1758"/>
      <c r="CD457" s="1758"/>
      <c r="CE457" s="1758"/>
      <c r="CF457" s="1758"/>
      <c r="CG457" s="1758"/>
      <c r="CH457" s="1758"/>
      <c r="CI457" s="1758"/>
      <c r="CJ457" s="1758"/>
      <c r="CK457" s="1758"/>
      <c r="CL457" s="1758"/>
      <c r="CM457" s="1758"/>
      <c r="CN457" s="1758"/>
      <c r="CO457" s="1758"/>
      <c r="CP457" s="1758"/>
      <c r="CQ457" s="1758"/>
      <c r="CR457" s="1758"/>
      <c r="CS457" s="1758"/>
      <c r="CT457" s="1758"/>
      <c r="CU457" s="1758"/>
      <c r="CV457" s="1758"/>
      <c r="CW457" s="1758"/>
      <c r="CX457" s="1758"/>
      <c r="CY457" s="1758"/>
      <c r="CZ457" s="1758"/>
      <c r="DA457" s="1758"/>
      <c r="DB457" s="1758"/>
      <c r="DC457" s="1758"/>
    </row>
    <row r="458" spans="1:107" s="1395" customFormat="1" ht="21" customHeight="1">
      <c r="A458" s="10827"/>
      <c r="B458" s="10731"/>
      <c r="C458" s="10728"/>
      <c r="D458" s="10728"/>
      <c r="E458" s="10728"/>
      <c r="F458" s="10744"/>
      <c r="G458" s="10728"/>
      <c r="H458" s="10728"/>
      <c r="I458" s="10728"/>
      <c r="J458" s="10728"/>
      <c r="K458" s="10735"/>
      <c r="L458" s="10738"/>
      <c r="M458" s="10738"/>
      <c r="N458" s="10738"/>
      <c r="O458" s="10735"/>
      <c r="P458" s="10735"/>
      <c r="Q458" s="10750"/>
      <c r="R458" s="5171"/>
      <c r="S458" s="5213"/>
      <c r="T458" s="5213"/>
      <c r="U458" s="5247"/>
      <c r="V458" s="5279"/>
      <c r="W458" s="5300"/>
      <c r="X458" s="7473"/>
      <c r="Y458" s="7473"/>
      <c r="Z458" s="7473"/>
      <c r="AA458" s="7474"/>
      <c r="AB458" s="5323"/>
      <c r="AC458" s="1396"/>
      <c r="AD458" s="5300"/>
      <c r="AE458" s="5346"/>
      <c r="AF458" s="5346"/>
      <c r="AG458" s="10777"/>
      <c r="AH458" s="1758"/>
      <c r="AI458" s="1758"/>
      <c r="AJ458" s="1758"/>
      <c r="AK458" s="1758"/>
      <c r="AL458" s="1758"/>
      <c r="AM458" s="1758"/>
      <c r="AN458" s="1758"/>
      <c r="AO458" s="1758"/>
      <c r="AP458" s="1758"/>
      <c r="AQ458" s="1758"/>
      <c r="AR458" s="1758"/>
      <c r="AS458" s="1758"/>
      <c r="AT458" s="1758"/>
      <c r="AU458" s="1758"/>
      <c r="AV458" s="1758"/>
      <c r="AW458" s="1758"/>
      <c r="AX458" s="1758"/>
      <c r="AY458" s="1758"/>
      <c r="AZ458" s="1758"/>
      <c r="BA458" s="1758"/>
      <c r="BB458" s="1758"/>
      <c r="BC458" s="1758"/>
      <c r="BD458" s="1758"/>
      <c r="BE458" s="1758"/>
      <c r="BF458" s="1758"/>
      <c r="BG458" s="1758"/>
      <c r="BH458" s="1758"/>
      <c r="BI458" s="1758"/>
      <c r="BJ458" s="1758"/>
      <c r="BK458" s="1758"/>
      <c r="BL458" s="1758"/>
      <c r="BM458" s="1758"/>
      <c r="BN458" s="1758"/>
      <c r="BO458" s="1758"/>
      <c r="BP458" s="1758"/>
      <c r="BQ458" s="1758"/>
      <c r="BR458" s="1758"/>
      <c r="BS458" s="1758"/>
      <c r="BT458" s="1758"/>
      <c r="BU458" s="1758"/>
      <c r="BV458" s="1758"/>
      <c r="BW458" s="1758"/>
      <c r="BX458" s="1758"/>
      <c r="BY458" s="1758"/>
      <c r="BZ458" s="1758"/>
      <c r="CA458" s="1758"/>
      <c r="CB458" s="1758"/>
      <c r="CC458" s="1758"/>
      <c r="CD458" s="1758"/>
      <c r="CE458" s="1758"/>
      <c r="CF458" s="1758"/>
      <c r="CG458" s="1758"/>
      <c r="CH458" s="1758"/>
      <c r="CI458" s="1758"/>
      <c r="CJ458" s="1758"/>
      <c r="CK458" s="1758"/>
      <c r="CL458" s="1758"/>
      <c r="CM458" s="1758"/>
      <c r="CN458" s="1758"/>
      <c r="CO458" s="1758"/>
      <c r="CP458" s="1758"/>
      <c r="CQ458" s="1758"/>
      <c r="CR458" s="1758"/>
      <c r="CS458" s="1758"/>
      <c r="CT458" s="1758"/>
      <c r="CU458" s="1758"/>
      <c r="CV458" s="1758"/>
      <c r="CW458" s="1758"/>
      <c r="CX458" s="1758"/>
      <c r="CY458" s="1758"/>
      <c r="CZ458" s="1758"/>
      <c r="DA458" s="1758"/>
      <c r="DB458" s="1758"/>
      <c r="DC458" s="1758"/>
    </row>
    <row r="459" spans="1:107" s="1395" customFormat="1" ht="21" customHeight="1">
      <c r="A459" s="10827"/>
      <c r="B459" s="10731"/>
      <c r="C459" s="10728"/>
      <c r="D459" s="10728"/>
      <c r="E459" s="10728"/>
      <c r="F459" s="10744"/>
      <c r="G459" s="10728"/>
      <c r="H459" s="10728"/>
      <c r="I459" s="10728"/>
      <c r="J459" s="10728"/>
      <c r="K459" s="10735"/>
      <c r="L459" s="10738"/>
      <c r="M459" s="10738"/>
      <c r="N459" s="10738"/>
      <c r="O459" s="10735"/>
      <c r="P459" s="10735"/>
      <c r="Q459" s="10750"/>
      <c r="R459" s="5174"/>
      <c r="S459" s="5214"/>
      <c r="T459" s="5214"/>
      <c r="U459" s="5250"/>
      <c r="V459" s="5281"/>
      <c r="W459" s="5302"/>
      <c r="X459" s="7477"/>
      <c r="Y459" s="7473"/>
      <c r="Z459" s="7473"/>
      <c r="AA459" s="7474"/>
      <c r="AB459" s="5323"/>
      <c r="AC459" s="1396"/>
      <c r="AD459" s="5300"/>
      <c r="AE459" s="5346"/>
      <c r="AF459" s="5346"/>
      <c r="AG459" s="10777"/>
      <c r="AH459" s="1758"/>
      <c r="AI459" s="1758"/>
      <c r="AJ459" s="1758"/>
      <c r="AK459" s="1758"/>
      <c r="AL459" s="1758"/>
      <c r="AM459" s="1758"/>
      <c r="AN459" s="1758"/>
      <c r="AO459" s="1758"/>
      <c r="AP459" s="1758"/>
      <c r="AQ459" s="1758"/>
      <c r="AR459" s="1758"/>
      <c r="AS459" s="1758"/>
      <c r="AT459" s="1758"/>
      <c r="AU459" s="1758"/>
      <c r="AV459" s="1758"/>
      <c r="AW459" s="1758"/>
      <c r="AX459" s="1758"/>
      <c r="AY459" s="1758"/>
      <c r="AZ459" s="1758"/>
      <c r="BA459" s="1758"/>
      <c r="BB459" s="1758"/>
      <c r="BC459" s="1758"/>
      <c r="BD459" s="1758"/>
      <c r="BE459" s="1758"/>
      <c r="BF459" s="1758"/>
      <c r="BG459" s="1758"/>
      <c r="BH459" s="1758"/>
      <c r="BI459" s="1758"/>
      <c r="BJ459" s="1758"/>
      <c r="BK459" s="1758"/>
      <c r="BL459" s="1758"/>
      <c r="BM459" s="1758"/>
      <c r="BN459" s="1758"/>
      <c r="BO459" s="1758"/>
      <c r="BP459" s="1758"/>
      <c r="BQ459" s="1758"/>
      <c r="BR459" s="1758"/>
      <c r="BS459" s="1758"/>
      <c r="BT459" s="1758"/>
      <c r="BU459" s="1758"/>
      <c r="BV459" s="1758"/>
      <c r="BW459" s="1758"/>
      <c r="BX459" s="1758"/>
      <c r="BY459" s="1758"/>
      <c r="BZ459" s="1758"/>
      <c r="CA459" s="1758"/>
      <c r="CB459" s="1758"/>
      <c r="CC459" s="1758"/>
      <c r="CD459" s="1758"/>
      <c r="CE459" s="1758"/>
      <c r="CF459" s="1758"/>
      <c r="CG459" s="1758"/>
      <c r="CH459" s="1758"/>
      <c r="CI459" s="1758"/>
      <c r="CJ459" s="1758"/>
      <c r="CK459" s="1758"/>
      <c r="CL459" s="1758"/>
      <c r="CM459" s="1758"/>
      <c r="CN459" s="1758"/>
      <c r="CO459" s="1758"/>
      <c r="CP459" s="1758"/>
      <c r="CQ459" s="1758"/>
      <c r="CR459" s="1758"/>
      <c r="CS459" s="1758"/>
      <c r="CT459" s="1758"/>
      <c r="CU459" s="1758"/>
      <c r="CV459" s="1758"/>
      <c r="CW459" s="1758"/>
      <c r="CX459" s="1758"/>
      <c r="CY459" s="1758"/>
      <c r="CZ459" s="1758"/>
      <c r="DA459" s="1758"/>
      <c r="DB459" s="1758"/>
      <c r="DC459" s="1758"/>
    </row>
    <row r="460" spans="1:107" s="1395" customFormat="1" ht="21" customHeight="1">
      <c r="A460" s="10827"/>
      <c r="B460" s="10731"/>
      <c r="C460" s="10728"/>
      <c r="D460" s="10728"/>
      <c r="E460" s="10728"/>
      <c r="F460" s="10744"/>
      <c r="G460" s="10728"/>
      <c r="H460" s="10728"/>
      <c r="I460" s="10728"/>
      <c r="J460" s="10728"/>
      <c r="K460" s="10735"/>
      <c r="L460" s="10738"/>
      <c r="M460" s="10738"/>
      <c r="N460" s="10738"/>
      <c r="O460" s="10735"/>
      <c r="P460" s="10735"/>
      <c r="Q460" s="10750"/>
      <c r="R460" s="5173"/>
      <c r="S460" s="5212"/>
      <c r="T460" s="5212"/>
      <c r="U460" s="5250"/>
      <c r="V460" s="5281"/>
      <c r="W460" s="5302"/>
      <c r="X460" s="7477"/>
      <c r="Y460" s="7473"/>
      <c r="Z460" s="7473"/>
      <c r="AA460" s="7474"/>
      <c r="AB460" s="5323"/>
      <c r="AC460" s="1396"/>
      <c r="AD460" s="5300"/>
      <c r="AE460" s="5346"/>
      <c r="AF460" s="5346"/>
      <c r="AG460" s="10777"/>
      <c r="AH460" s="1758"/>
      <c r="AI460" s="1758"/>
      <c r="AJ460" s="1758"/>
      <c r="AK460" s="1758"/>
      <c r="AL460" s="1758"/>
      <c r="AM460" s="1758"/>
      <c r="AN460" s="1758"/>
      <c r="AO460" s="1758"/>
      <c r="AP460" s="1758"/>
      <c r="AQ460" s="1758"/>
      <c r="AR460" s="1758"/>
      <c r="AS460" s="1758"/>
      <c r="AT460" s="1758"/>
      <c r="AU460" s="1758"/>
      <c r="AV460" s="1758"/>
      <c r="AW460" s="1758"/>
      <c r="AX460" s="1758"/>
      <c r="AY460" s="1758"/>
      <c r="AZ460" s="1758"/>
      <c r="BA460" s="1758"/>
      <c r="BB460" s="1758"/>
      <c r="BC460" s="1758"/>
      <c r="BD460" s="1758"/>
      <c r="BE460" s="1758"/>
      <c r="BF460" s="1758"/>
      <c r="BG460" s="1758"/>
      <c r="BH460" s="1758"/>
      <c r="BI460" s="1758"/>
      <c r="BJ460" s="1758"/>
      <c r="BK460" s="1758"/>
      <c r="BL460" s="1758"/>
      <c r="BM460" s="1758"/>
      <c r="BN460" s="1758"/>
      <c r="BO460" s="1758"/>
      <c r="BP460" s="1758"/>
      <c r="BQ460" s="1758"/>
      <c r="BR460" s="1758"/>
      <c r="BS460" s="1758"/>
      <c r="BT460" s="1758"/>
      <c r="BU460" s="1758"/>
      <c r="BV460" s="1758"/>
      <c r="BW460" s="1758"/>
      <c r="BX460" s="1758"/>
      <c r="BY460" s="1758"/>
      <c r="BZ460" s="1758"/>
      <c r="CA460" s="1758"/>
      <c r="CB460" s="1758"/>
      <c r="CC460" s="1758"/>
      <c r="CD460" s="1758"/>
      <c r="CE460" s="1758"/>
      <c r="CF460" s="1758"/>
      <c r="CG460" s="1758"/>
      <c r="CH460" s="1758"/>
      <c r="CI460" s="1758"/>
      <c r="CJ460" s="1758"/>
      <c r="CK460" s="1758"/>
      <c r="CL460" s="1758"/>
      <c r="CM460" s="1758"/>
      <c r="CN460" s="1758"/>
      <c r="CO460" s="1758"/>
      <c r="CP460" s="1758"/>
      <c r="CQ460" s="1758"/>
      <c r="CR460" s="1758"/>
      <c r="CS460" s="1758"/>
      <c r="CT460" s="1758"/>
      <c r="CU460" s="1758"/>
      <c r="CV460" s="1758"/>
      <c r="CW460" s="1758"/>
      <c r="CX460" s="1758"/>
      <c r="CY460" s="1758"/>
      <c r="CZ460" s="1758"/>
      <c r="DA460" s="1758"/>
      <c r="DB460" s="1758"/>
      <c r="DC460" s="1758"/>
    </row>
    <row r="461" spans="1:107" s="1395" customFormat="1" ht="21" customHeight="1">
      <c r="A461" s="10827"/>
      <c r="B461" s="10732"/>
      <c r="C461" s="10729"/>
      <c r="D461" s="10729"/>
      <c r="E461" s="10729"/>
      <c r="F461" s="10745"/>
      <c r="G461" s="10729"/>
      <c r="H461" s="10729"/>
      <c r="I461" s="10729"/>
      <c r="J461" s="10729"/>
      <c r="K461" s="10736"/>
      <c r="L461" s="10739"/>
      <c r="M461" s="10739"/>
      <c r="N461" s="10739"/>
      <c r="O461" s="10736"/>
      <c r="P461" s="10736"/>
      <c r="Q461" s="10751"/>
      <c r="R461" s="5175"/>
      <c r="S461" s="5215"/>
      <c r="T461" s="5215"/>
      <c r="U461" s="5251"/>
      <c r="V461" s="5282"/>
      <c r="W461" s="5303"/>
      <c r="X461" s="7479"/>
      <c r="Y461" s="7479"/>
      <c r="Z461" s="7479"/>
      <c r="AA461" s="7480"/>
      <c r="AB461" s="5326"/>
      <c r="AC461" s="1399"/>
      <c r="AD461" s="5303"/>
      <c r="AE461" s="5348"/>
      <c r="AF461" s="5348"/>
      <c r="AG461" s="10778"/>
      <c r="AH461" s="1758"/>
      <c r="AI461" s="1758"/>
      <c r="AJ461" s="1758"/>
      <c r="AK461" s="1758"/>
      <c r="AL461" s="1758"/>
      <c r="AM461" s="1758"/>
      <c r="AN461" s="1758"/>
      <c r="AO461" s="1758"/>
      <c r="AP461" s="1758"/>
      <c r="AQ461" s="1758"/>
      <c r="AR461" s="1758"/>
      <c r="AS461" s="1758"/>
      <c r="AT461" s="1758"/>
      <c r="AU461" s="1758"/>
      <c r="AV461" s="1758"/>
      <c r="AW461" s="1758"/>
      <c r="AX461" s="1758"/>
      <c r="AY461" s="1758"/>
      <c r="AZ461" s="1758"/>
      <c r="BA461" s="1758"/>
      <c r="BB461" s="1758"/>
      <c r="BC461" s="1758"/>
      <c r="BD461" s="1758"/>
      <c r="BE461" s="1758"/>
      <c r="BF461" s="1758"/>
      <c r="BG461" s="1758"/>
      <c r="BH461" s="1758"/>
      <c r="BI461" s="1758"/>
      <c r="BJ461" s="1758"/>
      <c r="BK461" s="1758"/>
      <c r="BL461" s="1758"/>
      <c r="BM461" s="1758"/>
      <c r="BN461" s="1758"/>
      <c r="BO461" s="1758"/>
      <c r="BP461" s="1758"/>
      <c r="BQ461" s="1758"/>
      <c r="BR461" s="1758"/>
      <c r="BS461" s="1758"/>
      <c r="BT461" s="1758"/>
      <c r="BU461" s="1758"/>
      <c r="BV461" s="1758"/>
      <c r="BW461" s="1758"/>
      <c r="BX461" s="1758"/>
      <c r="BY461" s="1758"/>
      <c r="BZ461" s="1758"/>
      <c r="CA461" s="1758"/>
      <c r="CB461" s="1758"/>
      <c r="CC461" s="1758"/>
      <c r="CD461" s="1758"/>
      <c r="CE461" s="1758"/>
      <c r="CF461" s="1758"/>
      <c r="CG461" s="1758"/>
      <c r="CH461" s="1758"/>
      <c r="CI461" s="1758"/>
      <c r="CJ461" s="1758"/>
      <c r="CK461" s="1758"/>
      <c r="CL461" s="1758"/>
      <c r="CM461" s="1758"/>
      <c r="CN461" s="1758"/>
      <c r="CO461" s="1758"/>
      <c r="CP461" s="1758"/>
      <c r="CQ461" s="1758"/>
      <c r="CR461" s="1758"/>
      <c r="CS461" s="1758"/>
      <c r="CT461" s="1758"/>
      <c r="CU461" s="1758"/>
      <c r="CV461" s="1758"/>
      <c r="CW461" s="1758"/>
      <c r="CX461" s="1758"/>
      <c r="CY461" s="1758"/>
      <c r="CZ461" s="1758"/>
      <c r="DA461" s="1758"/>
      <c r="DB461" s="1758"/>
      <c r="DC461" s="1758"/>
    </row>
    <row r="462" spans="1:107" s="1395" customFormat="1" ht="22.5" customHeight="1">
      <c r="A462" s="10827"/>
      <c r="B462" s="10731" t="s">
        <v>183</v>
      </c>
      <c r="C462" s="10728" t="s">
        <v>227</v>
      </c>
      <c r="D462" s="10728" t="s">
        <v>228</v>
      </c>
      <c r="E462" s="10728" t="s">
        <v>255</v>
      </c>
      <c r="F462" s="10744" t="s">
        <v>230</v>
      </c>
      <c r="G462" s="10728" t="s">
        <v>171</v>
      </c>
      <c r="H462" s="10728" t="s">
        <v>159</v>
      </c>
      <c r="I462" s="10728" t="s">
        <v>5105</v>
      </c>
      <c r="J462" s="10742" t="s">
        <v>5042</v>
      </c>
      <c r="K462" s="10735" t="s">
        <v>5043</v>
      </c>
      <c r="L462" s="10738">
        <v>0</v>
      </c>
      <c r="M462" s="10738">
        <v>2</v>
      </c>
      <c r="N462" s="10738">
        <v>2</v>
      </c>
      <c r="O462" s="10735" t="s">
        <v>5044</v>
      </c>
      <c r="P462" s="10735" t="s">
        <v>5045</v>
      </c>
      <c r="Q462" s="10750" t="s">
        <v>5083</v>
      </c>
      <c r="R462" s="5173"/>
      <c r="S462" s="5212"/>
      <c r="T462" s="5212"/>
      <c r="U462" s="5249"/>
      <c r="V462" s="5281"/>
      <c r="W462" s="5302"/>
      <c r="X462" s="7477"/>
      <c r="Y462" s="7477"/>
      <c r="Z462" s="7477"/>
      <c r="AA462" s="7478"/>
      <c r="AB462" s="5325"/>
      <c r="AC462" s="1398"/>
      <c r="AD462" s="5302"/>
      <c r="AE462" s="5349"/>
      <c r="AF462" s="5349"/>
      <c r="AG462" s="10777" t="s">
        <v>4843</v>
      </c>
      <c r="AH462" s="1758"/>
      <c r="AI462" s="1758"/>
      <c r="AJ462" s="1758"/>
      <c r="AK462" s="1758"/>
      <c r="AL462" s="1758"/>
      <c r="AM462" s="1758"/>
      <c r="AN462" s="1758"/>
      <c r="AO462" s="1758"/>
      <c r="AP462" s="1758"/>
      <c r="AQ462" s="1758"/>
      <c r="AR462" s="1758"/>
      <c r="AS462" s="1758"/>
      <c r="AT462" s="1758"/>
      <c r="AU462" s="1758"/>
      <c r="AV462" s="1758"/>
      <c r="AW462" s="1758"/>
      <c r="AX462" s="1758"/>
      <c r="AY462" s="1758"/>
      <c r="AZ462" s="1758"/>
      <c r="BA462" s="1758"/>
      <c r="BB462" s="1758"/>
      <c r="BC462" s="1758"/>
      <c r="BD462" s="1758"/>
      <c r="BE462" s="1758"/>
      <c r="BF462" s="1758"/>
      <c r="BG462" s="1758"/>
      <c r="BH462" s="1758"/>
      <c r="BI462" s="1758"/>
      <c r="BJ462" s="1758"/>
      <c r="BK462" s="1758"/>
      <c r="BL462" s="1758"/>
      <c r="BM462" s="1758"/>
      <c r="BN462" s="1758"/>
      <c r="BO462" s="1758"/>
      <c r="BP462" s="1758"/>
      <c r="BQ462" s="1758"/>
      <c r="BR462" s="1758"/>
      <c r="BS462" s="1758"/>
      <c r="BT462" s="1758"/>
      <c r="BU462" s="1758"/>
      <c r="BV462" s="1758"/>
      <c r="BW462" s="1758"/>
      <c r="BX462" s="1758"/>
      <c r="BY462" s="1758"/>
      <c r="BZ462" s="1758"/>
      <c r="CA462" s="1758"/>
      <c r="CB462" s="1758"/>
      <c r="CC462" s="1758"/>
      <c r="CD462" s="1758"/>
      <c r="CE462" s="1758"/>
      <c r="CF462" s="1758"/>
      <c r="CG462" s="1758"/>
      <c r="CH462" s="1758"/>
      <c r="CI462" s="1758"/>
      <c r="CJ462" s="1758"/>
      <c r="CK462" s="1758"/>
      <c r="CL462" s="1758"/>
      <c r="CM462" s="1758"/>
      <c r="CN462" s="1758"/>
      <c r="CO462" s="1758"/>
      <c r="CP462" s="1758"/>
      <c r="CQ462" s="1758"/>
      <c r="CR462" s="1758"/>
      <c r="CS462" s="1758"/>
      <c r="CT462" s="1758"/>
      <c r="CU462" s="1758"/>
      <c r="CV462" s="1758"/>
      <c r="CW462" s="1758"/>
      <c r="CX462" s="1758"/>
      <c r="CY462" s="1758"/>
      <c r="CZ462" s="1758"/>
      <c r="DA462" s="1758"/>
      <c r="DB462" s="1758"/>
      <c r="DC462" s="1758"/>
    </row>
    <row r="463" spans="1:107" s="1395" customFormat="1" ht="22.5" customHeight="1">
      <c r="A463" s="10827"/>
      <c r="B463" s="10731"/>
      <c r="C463" s="10728"/>
      <c r="D463" s="10728"/>
      <c r="E463" s="10728"/>
      <c r="F463" s="10744"/>
      <c r="G463" s="10728"/>
      <c r="H463" s="10728"/>
      <c r="I463" s="10728"/>
      <c r="J463" s="10728"/>
      <c r="K463" s="10735"/>
      <c r="L463" s="10738"/>
      <c r="M463" s="10738"/>
      <c r="N463" s="10738"/>
      <c r="O463" s="10735"/>
      <c r="P463" s="10735"/>
      <c r="Q463" s="10750"/>
      <c r="R463" s="5171"/>
      <c r="S463" s="5213"/>
      <c r="T463" s="5213"/>
      <c r="U463" s="5247"/>
      <c r="V463" s="5279"/>
      <c r="W463" s="5300"/>
      <c r="X463" s="7473"/>
      <c r="Y463" s="7473"/>
      <c r="Z463" s="7473"/>
      <c r="AA463" s="7474"/>
      <c r="AB463" s="5323"/>
      <c r="AC463" s="1396"/>
      <c r="AD463" s="5300"/>
      <c r="AE463" s="5346"/>
      <c r="AF463" s="5346"/>
      <c r="AG463" s="10777"/>
      <c r="AH463" s="1758"/>
      <c r="AI463" s="1758"/>
      <c r="AJ463" s="1758"/>
      <c r="AK463" s="1758"/>
      <c r="AL463" s="1758"/>
      <c r="AM463" s="1758"/>
      <c r="AN463" s="1758"/>
      <c r="AO463" s="1758"/>
      <c r="AP463" s="1758"/>
      <c r="AQ463" s="1758"/>
      <c r="AR463" s="1758"/>
      <c r="AS463" s="1758"/>
      <c r="AT463" s="1758"/>
      <c r="AU463" s="1758"/>
      <c r="AV463" s="1758"/>
      <c r="AW463" s="1758"/>
      <c r="AX463" s="1758"/>
      <c r="AY463" s="1758"/>
      <c r="AZ463" s="1758"/>
      <c r="BA463" s="1758"/>
      <c r="BB463" s="1758"/>
      <c r="BC463" s="1758"/>
      <c r="BD463" s="1758"/>
      <c r="BE463" s="1758"/>
      <c r="BF463" s="1758"/>
      <c r="BG463" s="1758"/>
      <c r="BH463" s="1758"/>
      <c r="BI463" s="1758"/>
      <c r="BJ463" s="1758"/>
      <c r="BK463" s="1758"/>
      <c r="BL463" s="1758"/>
      <c r="BM463" s="1758"/>
      <c r="BN463" s="1758"/>
      <c r="BO463" s="1758"/>
      <c r="BP463" s="1758"/>
      <c r="BQ463" s="1758"/>
      <c r="BR463" s="1758"/>
      <c r="BS463" s="1758"/>
      <c r="BT463" s="1758"/>
      <c r="BU463" s="1758"/>
      <c r="BV463" s="1758"/>
      <c r="BW463" s="1758"/>
      <c r="BX463" s="1758"/>
      <c r="BY463" s="1758"/>
      <c r="BZ463" s="1758"/>
      <c r="CA463" s="1758"/>
      <c r="CB463" s="1758"/>
      <c r="CC463" s="1758"/>
      <c r="CD463" s="1758"/>
      <c r="CE463" s="1758"/>
      <c r="CF463" s="1758"/>
      <c r="CG463" s="1758"/>
      <c r="CH463" s="1758"/>
      <c r="CI463" s="1758"/>
      <c r="CJ463" s="1758"/>
      <c r="CK463" s="1758"/>
      <c r="CL463" s="1758"/>
      <c r="CM463" s="1758"/>
      <c r="CN463" s="1758"/>
      <c r="CO463" s="1758"/>
      <c r="CP463" s="1758"/>
      <c r="CQ463" s="1758"/>
      <c r="CR463" s="1758"/>
      <c r="CS463" s="1758"/>
      <c r="CT463" s="1758"/>
      <c r="CU463" s="1758"/>
      <c r="CV463" s="1758"/>
      <c r="CW463" s="1758"/>
      <c r="CX463" s="1758"/>
      <c r="CY463" s="1758"/>
      <c r="CZ463" s="1758"/>
      <c r="DA463" s="1758"/>
      <c r="DB463" s="1758"/>
      <c r="DC463" s="1758"/>
    </row>
    <row r="464" spans="1:107" s="1395" customFormat="1" ht="22.5" customHeight="1">
      <c r="A464" s="10827"/>
      <c r="B464" s="10731"/>
      <c r="C464" s="10728"/>
      <c r="D464" s="10728"/>
      <c r="E464" s="10728"/>
      <c r="F464" s="10744"/>
      <c r="G464" s="10728"/>
      <c r="H464" s="10728"/>
      <c r="I464" s="10728"/>
      <c r="J464" s="10728"/>
      <c r="K464" s="10735"/>
      <c r="L464" s="10738"/>
      <c r="M464" s="10738"/>
      <c r="N464" s="10738"/>
      <c r="O464" s="10735"/>
      <c r="P464" s="10735"/>
      <c r="Q464" s="10750"/>
      <c r="R464" s="5174"/>
      <c r="S464" s="5214"/>
      <c r="T464" s="5214"/>
      <c r="U464" s="5250"/>
      <c r="V464" s="5281"/>
      <c r="W464" s="5302"/>
      <c r="X464" s="7477"/>
      <c r="Y464" s="7473"/>
      <c r="Z464" s="7473"/>
      <c r="AA464" s="7474"/>
      <c r="AB464" s="5323"/>
      <c r="AC464" s="1396"/>
      <c r="AD464" s="5300"/>
      <c r="AE464" s="5346"/>
      <c r="AF464" s="5346"/>
      <c r="AG464" s="10777"/>
      <c r="AH464" s="1758"/>
      <c r="AI464" s="1758"/>
      <c r="AJ464" s="1758"/>
      <c r="AK464" s="1758"/>
      <c r="AL464" s="1758"/>
      <c r="AM464" s="1758"/>
      <c r="AN464" s="1758"/>
      <c r="AO464" s="1758"/>
      <c r="AP464" s="1758"/>
      <c r="AQ464" s="1758"/>
      <c r="AR464" s="1758"/>
      <c r="AS464" s="1758"/>
      <c r="AT464" s="1758"/>
      <c r="AU464" s="1758"/>
      <c r="AV464" s="1758"/>
      <c r="AW464" s="1758"/>
      <c r="AX464" s="1758"/>
      <c r="AY464" s="1758"/>
      <c r="AZ464" s="1758"/>
      <c r="BA464" s="1758"/>
      <c r="BB464" s="1758"/>
      <c r="BC464" s="1758"/>
      <c r="BD464" s="1758"/>
      <c r="BE464" s="1758"/>
      <c r="BF464" s="1758"/>
      <c r="BG464" s="1758"/>
      <c r="BH464" s="1758"/>
      <c r="BI464" s="1758"/>
      <c r="BJ464" s="1758"/>
      <c r="BK464" s="1758"/>
      <c r="BL464" s="1758"/>
      <c r="BM464" s="1758"/>
      <c r="BN464" s="1758"/>
      <c r="BO464" s="1758"/>
      <c r="BP464" s="1758"/>
      <c r="BQ464" s="1758"/>
      <c r="BR464" s="1758"/>
      <c r="BS464" s="1758"/>
      <c r="BT464" s="1758"/>
      <c r="BU464" s="1758"/>
      <c r="BV464" s="1758"/>
      <c r="BW464" s="1758"/>
      <c r="BX464" s="1758"/>
      <c r="BY464" s="1758"/>
      <c r="BZ464" s="1758"/>
      <c r="CA464" s="1758"/>
      <c r="CB464" s="1758"/>
      <c r="CC464" s="1758"/>
      <c r="CD464" s="1758"/>
      <c r="CE464" s="1758"/>
      <c r="CF464" s="1758"/>
      <c r="CG464" s="1758"/>
      <c r="CH464" s="1758"/>
      <c r="CI464" s="1758"/>
      <c r="CJ464" s="1758"/>
      <c r="CK464" s="1758"/>
      <c r="CL464" s="1758"/>
      <c r="CM464" s="1758"/>
      <c r="CN464" s="1758"/>
      <c r="CO464" s="1758"/>
      <c r="CP464" s="1758"/>
      <c r="CQ464" s="1758"/>
      <c r="CR464" s="1758"/>
      <c r="CS464" s="1758"/>
      <c r="CT464" s="1758"/>
      <c r="CU464" s="1758"/>
      <c r="CV464" s="1758"/>
      <c r="CW464" s="1758"/>
      <c r="CX464" s="1758"/>
      <c r="CY464" s="1758"/>
      <c r="CZ464" s="1758"/>
      <c r="DA464" s="1758"/>
      <c r="DB464" s="1758"/>
      <c r="DC464" s="1758"/>
    </row>
    <row r="465" spans="1:107" s="1395" customFormat="1" ht="22.5" customHeight="1">
      <c r="A465" s="10827"/>
      <c r="B465" s="10731"/>
      <c r="C465" s="10728"/>
      <c r="D465" s="10728"/>
      <c r="E465" s="10728"/>
      <c r="F465" s="10744"/>
      <c r="G465" s="10728"/>
      <c r="H465" s="10728"/>
      <c r="I465" s="10728"/>
      <c r="J465" s="10728"/>
      <c r="K465" s="10735"/>
      <c r="L465" s="10738"/>
      <c r="M465" s="10738"/>
      <c r="N465" s="10738"/>
      <c r="O465" s="10735"/>
      <c r="P465" s="10735"/>
      <c r="Q465" s="10750"/>
      <c r="R465" s="5173"/>
      <c r="S465" s="5212"/>
      <c r="T465" s="5212"/>
      <c r="U465" s="5250"/>
      <c r="V465" s="5281"/>
      <c r="W465" s="5302"/>
      <c r="X465" s="7477"/>
      <c r="Y465" s="7473"/>
      <c r="Z465" s="7473"/>
      <c r="AA465" s="7474"/>
      <c r="AB465" s="5323"/>
      <c r="AC465" s="1396"/>
      <c r="AD465" s="5300"/>
      <c r="AE465" s="5346"/>
      <c r="AF465" s="5346"/>
      <c r="AG465" s="10777"/>
      <c r="AH465" s="1758"/>
      <c r="AI465" s="1758"/>
      <c r="AJ465" s="1758"/>
      <c r="AK465" s="1758"/>
      <c r="AL465" s="1758"/>
      <c r="AM465" s="1758"/>
      <c r="AN465" s="1758"/>
      <c r="AO465" s="1758"/>
      <c r="AP465" s="1758"/>
      <c r="AQ465" s="1758"/>
      <c r="AR465" s="1758"/>
      <c r="AS465" s="1758"/>
      <c r="AT465" s="1758"/>
      <c r="AU465" s="1758"/>
      <c r="AV465" s="1758"/>
      <c r="AW465" s="1758"/>
      <c r="AX465" s="1758"/>
      <c r="AY465" s="1758"/>
      <c r="AZ465" s="1758"/>
      <c r="BA465" s="1758"/>
      <c r="BB465" s="1758"/>
      <c r="BC465" s="1758"/>
      <c r="BD465" s="1758"/>
      <c r="BE465" s="1758"/>
      <c r="BF465" s="1758"/>
      <c r="BG465" s="1758"/>
      <c r="BH465" s="1758"/>
      <c r="BI465" s="1758"/>
      <c r="BJ465" s="1758"/>
      <c r="BK465" s="1758"/>
      <c r="BL465" s="1758"/>
      <c r="BM465" s="1758"/>
      <c r="BN465" s="1758"/>
      <c r="BO465" s="1758"/>
      <c r="BP465" s="1758"/>
      <c r="BQ465" s="1758"/>
      <c r="BR465" s="1758"/>
      <c r="BS465" s="1758"/>
      <c r="BT465" s="1758"/>
      <c r="BU465" s="1758"/>
      <c r="BV465" s="1758"/>
      <c r="BW465" s="1758"/>
      <c r="BX465" s="1758"/>
      <c r="BY465" s="1758"/>
      <c r="BZ465" s="1758"/>
      <c r="CA465" s="1758"/>
      <c r="CB465" s="1758"/>
      <c r="CC465" s="1758"/>
      <c r="CD465" s="1758"/>
      <c r="CE465" s="1758"/>
      <c r="CF465" s="1758"/>
      <c r="CG465" s="1758"/>
      <c r="CH465" s="1758"/>
      <c r="CI465" s="1758"/>
      <c r="CJ465" s="1758"/>
      <c r="CK465" s="1758"/>
      <c r="CL465" s="1758"/>
      <c r="CM465" s="1758"/>
      <c r="CN465" s="1758"/>
      <c r="CO465" s="1758"/>
      <c r="CP465" s="1758"/>
      <c r="CQ465" s="1758"/>
      <c r="CR465" s="1758"/>
      <c r="CS465" s="1758"/>
      <c r="CT465" s="1758"/>
      <c r="CU465" s="1758"/>
      <c r="CV465" s="1758"/>
      <c r="CW465" s="1758"/>
      <c r="CX465" s="1758"/>
      <c r="CY465" s="1758"/>
      <c r="CZ465" s="1758"/>
      <c r="DA465" s="1758"/>
      <c r="DB465" s="1758"/>
      <c r="DC465" s="1758"/>
    </row>
    <row r="466" spans="1:107" s="1395" customFormat="1" ht="22.5" customHeight="1">
      <c r="A466" s="10827"/>
      <c r="B466" s="10732"/>
      <c r="C466" s="10729"/>
      <c r="D466" s="10729"/>
      <c r="E466" s="10729"/>
      <c r="F466" s="10745"/>
      <c r="G466" s="10729"/>
      <c r="H466" s="10729"/>
      <c r="I466" s="10729"/>
      <c r="J466" s="10729"/>
      <c r="K466" s="10736"/>
      <c r="L466" s="10739"/>
      <c r="M466" s="10739"/>
      <c r="N466" s="10739"/>
      <c r="O466" s="10736"/>
      <c r="P466" s="10736"/>
      <c r="Q466" s="10751"/>
      <c r="R466" s="5175"/>
      <c r="S466" s="5215"/>
      <c r="T466" s="5215"/>
      <c r="U466" s="5251"/>
      <c r="V466" s="5282"/>
      <c r="W466" s="5303"/>
      <c r="X466" s="7479"/>
      <c r="Y466" s="7479"/>
      <c r="Z466" s="7479"/>
      <c r="AA466" s="7480"/>
      <c r="AB466" s="5326"/>
      <c r="AC466" s="1399"/>
      <c r="AD466" s="5303"/>
      <c r="AE466" s="5348"/>
      <c r="AF466" s="5348"/>
      <c r="AG466" s="10778"/>
      <c r="AH466" s="1758"/>
      <c r="AI466" s="1758"/>
      <c r="AJ466" s="1758"/>
      <c r="AK466" s="1758"/>
      <c r="AL466" s="1758"/>
      <c r="AM466" s="1758"/>
      <c r="AN466" s="1758"/>
      <c r="AO466" s="1758"/>
      <c r="AP466" s="1758"/>
      <c r="AQ466" s="1758"/>
      <c r="AR466" s="1758"/>
      <c r="AS466" s="1758"/>
      <c r="AT466" s="1758"/>
      <c r="AU466" s="1758"/>
      <c r="AV466" s="1758"/>
      <c r="AW466" s="1758"/>
      <c r="AX466" s="1758"/>
      <c r="AY466" s="1758"/>
      <c r="AZ466" s="1758"/>
      <c r="BA466" s="1758"/>
      <c r="BB466" s="1758"/>
      <c r="BC466" s="1758"/>
      <c r="BD466" s="1758"/>
      <c r="BE466" s="1758"/>
      <c r="BF466" s="1758"/>
      <c r="BG466" s="1758"/>
      <c r="BH466" s="1758"/>
      <c r="BI466" s="1758"/>
      <c r="BJ466" s="1758"/>
      <c r="BK466" s="1758"/>
      <c r="BL466" s="1758"/>
      <c r="BM466" s="1758"/>
      <c r="BN466" s="1758"/>
      <c r="BO466" s="1758"/>
      <c r="BP466" s="1758"/>
      <c r="BQ466" s="1758"/>
      <c r="BR466" s="1758"/>
      <c r="BS466" s="1758"/>
      <c r="BT466" s="1758"/>
      <c r="BU466" s="1758"/>
      <c r="BV466" s="1758"/>
      <c r="BW466" s="1758"/>
      <c r="BX466" s="1758"/>
      <c r="BY466" s="1758"/>
      <c r="BZ466" s="1758"/>
      <c r="CA466" s="1758"/>
      <c r="CB466" s="1758"/>
      <c r="CC466" s="1758"/>
      <c r="CD466" s="1758"/>
      <c r="CE466" s="1758"/>
      <c r="CF466" s="1758"/>
      <c r="CG466" s="1758"/>
      <c r="CH466" s="1758"/>
      <c r="CI466" s="1758"/>
      <c r="CJ466" s="1758"/>
      <c r="CK466" s="1758"/>
      <c r="CL466" s="1758"/>
      <c r="CM466" s="1758"/>
      <c r="CN466" s="1758"/>
      <c r="CO466" s="1758"/>
      <c r="CP466" s="1758"/>
      <c r="CQ466" s="1758"/>
      <c r="CR466" s="1758"/>
      <c r="CS466" s="1758"/>
      <c r="CT466" s="1758"/>
      <c r="CU466" s="1758"/>
      <c r="CV466" s="1758"/>
      <c r="CW466" s="1758"/>
      <c r="CX466" s="1758"/>
      <c r="CY466" s="1758"/>
      <c r="CZ466" s="1758"/>
      <c r="DA466" s="1758"/>
      <c r="DB466" s="1758"/>
      <c r="DC466" s="1758"/>
    </row>
    <row r="467" spans="1:107" s="1395" customFormat="1" ht="20.25" customHeight="1">
      <c r="A467" s="10827"/>
      <c r="B467" s="10731" t="s">
        <v>183</v>
      </c>
      <c r="C467" s="10728" t="s">
        <v>227</v>
      </c>
      <c r="D467" s="10728" t="s">
        <v>228</v>
      </c>
      <c r="E467" s="10728" t="s">
        <v>229</v>
      </c>
      <c r="F467" s="10744" t="s">
        <v>230</v>
      </c>
      <c r="G467" s="10728" t="s">
        <v>171</v>
      </c>
      <c r="H467" s="10728" t="s">
        <v>159</v>
      </c>
      <c r="I467" s="10728" t="s">
        <v>5047</v>
      </c>
      <c r="J467" s="10742" t="s">
        <v>4662</v>
      </c>
      <c r="K467" s="10735" t="s">
        <v>5048</v>
      </c>
      <c r="L467" s="10738">
        <v>0</v>
      </c>
      <c r="M467" s="10738">
        <v>1</v>
      </c>
      <c r="N467" s="10738">
        <v>1</v>
      </c>
      <c r="O467" s="10735" t="s">
        <v>5049</v>
      </c>
      <c r="P467" s="10735" t="s">
        <v>5050</v>
      </c>
      <c r="Q467" s="10750" t="s">
        <v>5106</v>
      </c>
      <c r="R467" s="5173"/>
      <c r="S467" s="5212"/>
      <c r="T467" s="5212"/>
      <c r="U467" s="5249"/>
      <c r="V467" s="5281"/>
      <c r="W467" s="5302"/>
      <c r="X467" s="7477"/>
      <c r="Y467" s="7477"/>
      <c r="Z467" s="7477"/>
      <c r="AA467" s="7478"/>
      <c r="AB467" s="5325"/>
      <c r="AC467" s="1398"/>
      <c r="AD467" s="5302"/>
      <c r="AE467" s="5349"/>
      <c r="AF467" s="5349"/>
      <c r="AG467" s="10777"/>
      <c r="AH467" s="1758"/>
      <c r="AI467" s="1758"/>
      <c r="AJ467" s="1758"/>
      <c r="AK467" s="1758"/>
      <c r="AL467" s="1758"/>
      <c r="AM467" s="1758"/>
      <c r="AN467" s="1758"/>
      <c r="AO467" s="1758"/>
      <c r="AP467" s="1758"/>
      <c r="AQ467" s="1758"/>
      <c r="AR467" s="1758"/>
      <c r="AS467" s="1758"/>
      <c r="AT467" s="1758"/>
      <c r="AU467" s="1758"/>
      <c r="AV467" s="1758"/>
      <c r="AW467" s="1758"/>
      <c r="AX467" s="1758"/>
      <c r="AY467" s="1758"/>
      <c r="AZ467" s="1758"/>
      <c r="BA467" s="1758"/>
      <c r="BB467" s="1758"/>
      <c r="BC467" s="1758"/>
      <c r="BD467" s="1758"/>
      <c r="BE467" s="1758"/>
      <c r="BF467" s="1758"/>
      <c r="BG467" s="1758"/>
      <c r="BH467" s="1758"/>
      <c r="BI467" s="1758"/>
      <c r="BJ467" s="1758"/>
      <c r="BK467" s="1758"/>
      <c r="BL467" s="1758"/>
      <c r="BM467" s="1758"/>
      <c r="BN467" s="1758"/>
      <c r="BO467" s="1758"/>
      <c r="BP467" s="1758"/>
      <c r="BQ467" s="1758"/>
      <c r="BR467" s="1758"/>
      <c r="BS467" s="1758"/>
      <c r="BT467" s="1758"/>
      <c r="BU467" s="1758"/>
      <c r="BV467" s="1758"/>
      <c r="BW467" s="1758"/>
      <c r="BX467" s="1758"/>
      <c r="BY467" s="1758"/>
      <c r="BZ467" s="1758"/>
      <c r="CA467" s="1758"/>
      <c r="CB467" s="1758"/>
      <c r="CC467" s="1758"/>
      <c r="CD467" s="1758"/>
      <c r="CE467" s="1758"/>
      <c r="CF467" s="1758"/>
      <c r="CG467" s="1758"/>
      <c r="CH467" s="1758"/>
      <c r="CI467" s="1758"/>
      <c r="CJ467" s="1758"/>
      <c r="CK467" s="1758"/>
      <c r="CL467" s="1758"/>
      <c r="CM467" s="1758"/>
      <c r="CN467" s="1758"/>
      <c r="CO467" s="1758"/>
      <c r="CP467" s="1758"/>
      <c r="CQ467" s="1758"/>
      <c r="CR467" s="1758"/>
      <c r="CS467" s="1758"/>
      <c r="CT467" s="1758"/>
      <c r="CU467" s="1758"/>
      <c r="CV467" s="1758"/>
      <c r="CW467" s="1758"/>
      <c r="CX467" s="1758"/>
      <c r="CY467" s="1758"/>
      <c r="CZ467" s="1758"/>
      <c r="DA467" s="1758"/>
      <c r="DB467" s="1758"/>
      <c r="DC467" s="1758"/>
    </row>
    <row r="468" spans="1:107" s="1395" customFormat="1" ht="20.25" customHeight="1">
      <c r="A468" s="10827"/>
      <c r="B468" s="10731"/>
      <c r="C468" s="10728"/>
      <c r="D468" s="10728"/>
      <c r="E468" s="10728"/>
      <c r="F468" s="10744"/>
      <c r="G468" s="10728"/>
      <c r="H468" s="10728"/>
      <c r="I468" s="10728"/>
      <c r="J468" s="10728"/>
      <c r="K468" s="10735"/>
      <c r="L468" s="10738"/>
      <c r="M468" s="10738"/>
      <c r="N468" s="10738"/>
      <c r="O468" s="10735"/>
      <c r="P468" s="10735"/>
      <c r="Q468" s="10750"/>
      <c r="R468" s="5171"/>
      <c r="S468" s="5213"/>
      <c r="T468" s="5213"/>
      <c r="U468" s="5247"/>
      <c r="V468" s="5279"/>
      <c r="W468" s="5300"/>
      <c r="X468" s="7473"/>
      <c r="Y468" s="7473"/>
      <c r="Z468" s="7473"/>
      <c r="AA468" s="7474"/>
      <c r="AB468" s="5323"/>
      <c r="AC468" s="1396"/>
      <c r="AD468" s="5300"/>
      <c r="AE468" s="5346"/>
      <c r="AF468" s="5346"/>
      <c r="AG468" s="10777"/>
      <c r="AH468" s="1758"/>
      <c r="AI468" s="1758"/>
      <c r="AJ468" s="1758"/>
      <c r="AK468" s="1758"/>
      <c r="AL468" s="1758"/>
      <c r="AM468" s="1758"/>
      <c r="AN468" s="1758"/>
      <c r="AO468" s="1758"/>
      <c r="AP468" s="1758"/>
      <c r="AQ468" s="1758"/>
      <c r="AR468" s="1758"/>
      <c r="AS468" s="1758"/>
      <c r="AT468" s="1758"/>
      <c r="AU468" s="1758"/>
      <c r="AV468" s="1758"/>
      <c r="AW468" s="1758"/>
      <c r="AX468" s="1758"/>
      <c r="AY468" s="1758"/>
      <c r="AZ468" s="1758"/>
      <c r="BA468" s="1758"/>
      <c r="BB468" s="1758"/>
      <c r="BC468" s="1758"/>
      <c r="BD468" s="1758"/>
      <c r="BE468" s="1758"/>
      <c r="BF468" s="1758"/>
      <c r="BG468" s="1758"/>
      <c r="BH468" s="1758"/>
      <c r="BI468" s="1758"/>
      <c r="BJ468" s="1758"/>
      <c r="BK468" s="1758"/>
      <c r="BL468" s="1758"/>
      <c r="BM468" s="1758"/>
      <c r="BN468" s="1758"/>
      <c r="BO468" s="1758"/>
      <c r="BP468" s="1758"/>
      <c r="BQ468" s="1758"/>
      <c r="BR468" s="1758"/>
      <c r="BS468" s="1758"/>
      <c r="BT468" s="1758"/>
      <c r="BU468" s="1758"/>
      <c r="BV468" s="1758"/>
      <c r="BW468" s="1758"/>
      <c r="BX468" s="1758"/>
      <c r="BY468" s="1758"/>
      <c r="BZ468" s="1758"/>
      <c r="CA468" s="1758"/>
      <c r="CB468" s="1758"/>
      <c r="CC468" s="1758"/>
      <c r="CD468" s="1758"/>
      <c r="CE468" s="1758"/>
      <c r="CF468" s="1758"/>
      <c r="CG468" s="1758"/>
      <c r="CH468" s="1758"/>
      <c r="CI468" s="1758"/>
      <c r="CJ468" s="1758"/>
      <c r="CK468" s="1758"/>
      <c r="CL468" s="1758"/>
      <c r="CM468" s="1758"/>
      <c r="CN468" s="1758"/>
      <c r="CO468" s="1758"/>
      <c r="CP468" s="1758"/>
      <c r="CQ468" s="1758"/>
      <c r="CR468" s="1758"/>
      <c r="CS468" s="1758"/>
      <c r="CT468" s="1758"/>
      <c r="CU468" s="1758"/>
      <c r="CV468" s="1758"/>
      <c r="CW468" s="1758"/>
      <c r="CX468" s="1758"/>
      <c r="CY468" s="1758"/>
      <c r="CZ468" s="1758"/>
      <c r="DA468" s="1758"/>
      <c r="DB468" s="1758"/>
      <c r="DC468" s="1758"/>
    </row>
    <row r="469" spans="1:107" s="1395" customFormat="1" ht="20.25" customHeight="1">
      <c r="A469" s="10827"/>
      <c r="B469" s="10731"/>
      <c r="C469" s="10728"/>
      <c r="D469" s="10728"/>
      <c r="E469" s="10728"/>
      <c r="F469" s="10744"/>
      <c r="G469" s="10728"/>
      <c r="H469" s="10728"/>
      <c r="I469" s="10728"/>
      <c r="J469" s="10728"/>
      <c r="K469" s="10735"/>
      <c r="L469" s="10738"/>
      <c r="M469" s="10738"/>
      <c r="N469" s="10738"/>
      <c r="O469" s="10735"/>
      <c r="P469" s="10735"/>
      <c r="Q469" s="10750"/>
      <c r="R469" s="5174"/>
      <c r="S469" s="5214"/>
      <c r="T469" s="5214"/>
      <c r="U469" s="5250"/>
      <c r="V469" s="5281"/>
      <c r="W469" s="5302"/>
      <c r="X469" s="7477"/>
      <c r="Y469" s="7473"/>
      <c r="Z469" s="7473"/>
      <c r="AA469" s="7474"/>
      <c r="AB469" s="5323"/>
      <c r="AC469" s="1396"/>
      <c r="AD469" s="5300"/>
      <c r="AE469" s="5346"/>
      <c r="AF469" s="5346"/>
      <c r="AG469" s="10777"/>
      <c r="AH469" s="1758"/>
      <c r="AI469" s="1758"/>
      <c r="AJ469" s="1758"/>
      <c r="AK469" s="1758"/>
      <c r="AL469" s="1758"/>
      <c r="AM469" s="1758"/>
      <c r="AN469" s="1758"/>
      <c r="AO469" s="1758"/>
      <c r="AP469" s="1758"/>
      <c r="AQ469" s="1758"/>
      <c r="AR469" s="1758"/>
      <c r="AS469" s="1758"/>
      <c r="AT469" s="1758"/>
      <c r="AU469" s="1758"/>
      <c r="AV469" s="1758"/>
      <c r="AW469" s="1758"/>
      <c r="AX469" s="1758"/>
      <c r="AY469" s="1758"/>
      <c r="AZ469" s="1758"/>
      <c r="BA469" s="1758"/>
      <c r="BB469" s="1758"/>
      <c r="BC469" s="1758"/>
      <c r="BD469" s="1758"/>
      <c r="BE469" s="1758"/>
      <c r="BF469" s="1758"/>
      <c r="BG469" s="1758"/>
      <c r="BH469" s="1758"/>
      <c r="BI469" s="1758"/>
      <c r="BJ469" s="1758"/>
      <c r="BK469" s="1758"/>
      <c r="BL469" s="1758"/>
      <c r="BM469" s="1758"/>
      <c r="BN469" s="1758"/>
      <c r="BO469" s="1758"/>
      <c r="BP469" s="1758"/>
      <c r="BQ469" s="1758"/>
      <c r="BR469" s="1758"/>
      <c r="BS469" s="1758"/>
      <c r="BT469" s="1758"/>
      <c r="BU469" s="1758"/>
      <c r="BV469" s="1758"/>
      <c r="BW469" s="1758"/>
      <c r="BX469" s="1758"/>
      <c r="BY469" s="1758"/>
      <c r="BZ469" s="1758"/>
      <c r="CA469" s="1758"/>
      <c r="CB469" s="1758"/>
      <c r="CC469" s="1758"/>
      <c r="CD469" s="1758"/>
      <c r="CE469" s="1758"/>
      <c r="CF469" s="1758"/>
      <c r="CG469" s="1758"/>
      <c r="CH469" s="1758"/>
      <c r="CI469" s="1758"/>
      <c r="CJ469" s="1758"/>
      <c r="CK469" s="1758"/>
      <c r="CL469" s="1758"/>
      <c r="CM469" s="1758"/>
      <c r="CN469" s="1758"/>
      <c r="CO469" s="1758"/>
      <c r="CP469" s="1758"/>
      <c r="CQ469" s="1758"/>
      <c r="CR469" s="1758"/>
      <c r="CS469" s="1758"/>
      <c r="CT469" s="1758"/>
      <c r="CU469" s="1758"/>
      <c r="CV469" s="1758"/>
      <c r="CW469" s="1758"/>
      <c r="CX469" s="1758"/>
      <c r="CY469" s="1758"/>
      <c r="CZ469" s="1758"/>
      <c r="DA469" s="1758"/>
      <c r="DB469" s="1758"/>
      <c r="DC469" s="1758"/>
    </row>
    <row r="470" spans="1:107" s="1395" customFormat="1" ht="20.25" customHeight="1">
      <c r="A470" s="10827"/>
      <c r="B470" s="10731"/>
      <c r="C470" s="10728"/>
      <c r="D470" s="10728"/>
      <c r="E470" s="10728"/>
      <c r="F470" s="10744"/>
      <c r="G470" s="10728"/>
      <c r="H470" s="10728"/>
      <c r="I470" s="10728"/>
      <c r="J470" s="10728"/>
      <c r="K470" s="10735"/>
      <c r="L470" s="10738"/>
      <c r="M470" s="10738"/>
      <c r="N470" s="10738"/>
      <c r="O470" s="10735"/>
      <c r="P470" s="10735"/>
      <c r="Q470" s="10750"/>
      <c r="R470" s="5173"/>
      <c r="S470" s="5212"/>
      <c r="T470" s="5212"/>
      <c r="U470" s="5250"/>
      <c r="V470" s="5281"/>
      <c r="W470" s="5302"/>
      <c r="X470" s="7477"/>
      <c r="Y470" s="7473"/>
      <c r="Z470" s="7473"/>
      <c r="AA470" s="7474"/>
      <c r="AB470" s="5323"/>
      <c r="AC470" s="1396"/>
      <c r="AD470" s="5300"/>
      <c r="AE470" s="5346"/>
      <c r="AF470" s="5346"/>
      <c r="AG470" s="10777"/>
      <c r="AH470" s="1758"/>
      <c r="AI470" s="1758"/>
      <c r="AJ470" s="1758"/>
      <c r="AK470" s="1758"/>
      <c r="AL470" s="1758"/>
      <c r="AM470" s="1758"/>
      <c r="AN470" s="1758"/>
      <c r="AO470" s="1758"/>
      <c r="AP470" s="1758"/>
      <c r="AQ470" s="1758"/>
      <c r="AR470" s="1758"/>
      <c r="AS470" s="1758"/>
      <c r="AT470" s="1758"/>
      <c r="AU470" s="1758"/>
      <c r="AV470" s="1758"/>
      <c r="AW470" s="1758"/>
      <c r="AX470" s="1758"/>
      <c r="AY470" s="1758"/>
      <c r="AZ470" s="1758"/>
      <c r="BA470" s="1758"/>
      <c r="BB470" s="1758"/>
      <c r="BC470" s="1758"/>
      <c r="BD470" s="1758"/>
      <c r="BE470" s="1758"/>
      <c r="BF470" s="1758"/>
      <c r="BG470" s="1758"/>
      <c r="BH470" s="1758"/>
      <c r="BI470" s="1758"/>
      <c r="BJ470" s="1758"/>
      <c r="BK470" s="1758"/>
      <c r="BL470" s="1758"/>
      <c r="BM470" s="1758"/>
      <c r="BN470" s="1758"/>
      <c r="BO470" s="1758"/>
      <c r="BP470" s="1758"/>
      <c r="BQ470" s="1758"/>
      <c r="BR470" s="1758"/>
      <c r="BS470" s="1758"/>
      <c r="BT470" s="1758"/>
      <c r="BU470" s="1758"/>
      <c r="BV470" s="1758"/>
      <c r="BW470" s="1758"/>
      <c r="BX470" s="1758"/>
      <c r="BY470" s="1758"/>
      <c r="BZ470" s="1758"/>
      <c r="CA470" s="1758"/>
      <c r="CB470" s="1758"/>
      <c r="CC470" s="1758"/>
      <c r="CD470" s="1758"/>
      <c r="CE470" s="1758"/>
      <c r="CF470" s="1758"/>
      <c r="CG470" s="1758"/>
      <c r="CH470" s="1758"/>
      <c r="CI470" s="1758"/>
      <c r="CJ470" s="1758"/>
      <c r="CK470" s="1758"/>
      <c r="CL470" s="1758"/>
      <c r="CM470" s="1758"/>
      <c r="CN470" s="1758"/>
      <c r="CO470" s="1758"/>
      <c r="CP470" s="1758"/>
      <c r="CQ470" s="1758"/>
      <c r="CR470" s="1758"/>
      <c r="CS470" s="1758"/>
      <c r="CT470" s="1758"/>
      <c r="CU470" s="1758"/>
      <c r="CV470" s="1758"/>
      <c r="CW470" s="1758"/>
      <c r="CX470" s="1758"/>
      <c r="CY470" s="1758"/>
      <c r="CZ470" s="1758"/>
      <c r="DA470" s="1758"/>
      <c r="DB470" s="1758"/>
      <c r="DC470" s="1758"/>
    </row>
    <row r="471" spans="1:107" s="1395" customFormat="1" ht="20.25" customHeight="1">
      <c r="A471" s="10827"/>
      <c r="B471" s="10732"/>
      <c r="C471" s="10729"/>
      <c r="D471" s="10729"/>
      <c r="E471" s="10729"/>
      <c r="F471" s="10745"/>
      <c r="G471" s="10729"/>
      <c r="H471" s="10729"/>
      <c r="I471" s="10729"/>
      <c r="J471" s="10729"/>
      <c r="K471" s="10736"/>
      <c r="L471" s="10739"/>
      <c r="M471" s="10739"/>
      <c r="N471" s="10739"/>
      <c r="O471" s="10736"/>
      <c r="P471" s="10736"/>
      <c r="Q471" s="10751"/>
      <c r="R471" s="5175"/>
      <c r="S471" s="5215"/>
      <c r="T471" s="5215"/>
      <c r="U471" s="5251"/>
      <c r="V471" s="5282"/>
      <c r="W471" s="5303"/>
      <c r="X471" s="7479"/>
      <c r="Y471" s="7479"/>
      <c r="Z471" s="7479"/>
      <c r="AA471" s="7480"/>
      <c r="AB471" s="5326"/>
      <c r="AC471" s="1399"/>
      <c r="AD471" s="5303"/>
      <c r="AE471" s="5348"/>
      <c r="AF471" s="5348"/>
      <c r="AG471" s="10778"/>
      <c r="AH471" s="1758"/>
      <c r="AI471" s="1758"/>
      <c r="AJ471" s="1758"/>
      <c r="AK471" s="1758"/>
      <c r="AL471" s="1758"/>
      <c r="AM471" s="1758"/>
      <c r="AN471" s="1758"/>
      <c r="AO471" s="1758"/>
      <c r="AP471" s="1758"/>
      <c r="AQ471" s="1758"/>
      <c r="AR471" s="1758"/>
      <c r="AS471" s="1758"/>
      <c r="AT471" s="1758"/>
      <c r="AU471" s="1758"/>
      <c r="AV471" s="1758"/>
      <c r="AW471" s="1758"/>
      <c r="AX471" s="1758"/>
      <c r="AY471" s="1758"/>
      <c r="AZ471" s="1758"/>
      <c r="BA471" s="1758"/>
      <c r="BB471" s="1758"/>
      <c r="BC471" s="1758"/>
      <c r="BD471" s="1758"/>
      <c r="BE471" s="1758"/>
      <c r="BF471" s="1758"/>
      <c r="BG471" s="1758"/>
      <c r="BH471" s="1758"/>
      <c r="BI471" s="1758"/>
      <c r="BJ471" s="1758"/>
      <c r="BK471" s="1758"/>
      <c r="BL471" s="1758"/>
      <c r="BM471" s="1758"/>
      <c r="BN471" s="1758"/>
      <c r="BO471" s="1758"/>
      <c r="BP471" s="1758"/>
      <c r="BQ471" s="1758"/>
      <c r="BR471" s="1758"/>
      <c r="BS471" s="1758"/>
      <c r="BT471" s="1758"/>
      <c r="BU471" s="1758"/>
      <c r="BV471" s="1758"/>
      <c r="BW471" s="1758"/>
      <c r="BX471" s="1758"/>
      <c r="BY471" s="1758"/>
      <c r="BZ471" s="1758"/>
      <c r="CA471" s="1758"/>
      <c r="CB471" s="1758"/>
      <c r="CC471" s="1758"/>
      <c r="CD471" s="1758"/>
      <c r="CE471" s="1758"/>
      <c r="CF471" s="1758"/>
      <c r="CG471" s="1758"/>
      <c r="CH471" s="1758"/>
      <c r="CI471" s="1758"/>
      <c r="CJ471" s="1758"/>
      <c r="CK471" s="1758"/>
      <c r="CL471" s="1758"/>
      <c r="CM471" s="1758"/>
      <c r="CN471" s="1758"/>
      <c r="CO471" s="1758"/>
      <c r="CP471" s="1758"/>
      <c r="CQ471" s="1758"/>
      <c r="CR471" s="1758"/>
      <c r="CS471" s="1758"/>
      <c r="CT471" s="1758"/>
      <c r="CU471" s="1758"/>
      <c r="CV471" s="1758"/>
      <c r="CW471" s="1758"/>
      <c r="CX471" s="1758"/>
      <c r="CY471" s="1758"/>
      <c r="CZ471" s="1758"/>
      <c r="DA471" s="1758"/>
      <c r="DB471" s="1758"/>
      <c r="DC471" s="1758"/>
    </row>
    <row r="472" spans="1:107" s="1395" customFormat="1" ht="20.25" customHeight="1">
      <c r="A472" s="10827"/>
      <c r="B472" s="10731" t="s">
        <v>183</v>
      </c>
      <c r="C472" s="10728" t="s">
        <v>227</v>
      </c>
      <c r="D472" s="10728" t="s">
        <v>1292</v>
      </c>
      <c r="E472" s="10728" t="s">
        <v>5052</v>
      </c>
      <c r="F472" s="10744" t="s">
        <v>230</v>
      </c>
      <c r="G472" s="10728" t="s">
        <v>231</v>
      </c>
      <c r="H472" s="10728" t="s">
        <v>189</v>
      </c>
      <c r="I472" s="10728" t="s">
        <v>5053</v>
      </c>
      <c r="J472" s="10742" t="s">
        <v>4667</v>
      </c>
      <c r="K472" s="10735" t="s">
        <v>5054</v>
      </c>
      <c r="L472" s="10738">
        <v>0</v>
      </c>
      <c r="M472" s="10738">
        <v>1</v>
      </c>
      <c r="N472" s="10738">
        <v>1</v>
      </c>
      <c r="O472" s="10735" t="s">
        <v>5055</v>
      </c>
      <c r="P472" s="10735" t="s">
        <v>5056</v>
      </c>
      <c r="Q472" s="10750" t="s">
        <v>5083</v>
      </c>
      <c r="R472" s="5173"/>
      <c r="S472" s="5212"/>
      <c r="T472" s="5212"/>
      <c r="U472" s="5249"/>
      <c r="V472" s="5281"/>
      <c r="W472" s="5302"/>
      <c r="X472" s="7477"/>
      <c r="Y472" s="7477"/>
      <c r="Z472" s="7477"/>
      <c r="AA472" s="7478"/>
      <c r="AB472" s="5325"/>
      <c r="AC472" s="1398"/>
      <c r="AD472" s="5302"/>
      <c r="AE472" s="5349"/>
      <c r="AF472" s="5349"/>
      <c r="AG472" s="10777" t="s">
        <v>4843</v>
      </c>
      <c r="AH472" s="1758"/>
      <c r="AI472" s="1758"/>
      <c r="AJ472" s="1758"/>
      <c r="AK472" s="1758"/>
      <c r="AL472" s="1758"/>
      <c r="AM472" s="1758"/>
      <c r="AN472" s="1758"/>
      <c r="AO472" s="1758"/>
      <c r="AP472" s="1758"/>
      <c r="AQ472" s="1758"/>
      <c r="AR472" s="1758"/>
      <c r="AS472" s="1758"/>
      <c r="AT472" s="1758"/>
      <c r="AU472" s="1758"/>
      <c r="AV472" s="1758"/>
      <c r="AW472" s="1758"/>
      <c r="AX472" s="1758"/>
      <c r="AY472" s="1758"/>
      <c r="AZ472" s="1758"/>
      <c r="BA472" s="1758"/>
      <c r="BB472" s="1758"/>
      <c r="BC472" s="1758"/>
      <c r="BD472" s="1758"/>
      <c r="BE472" s="1758"/>
      <c r="BF472" s="1758"/>
      <c r="BG472" s="1758"/>
      <c r="BH472" s="1758"/>
      <c r="BI472" s="1758"/>
      <c r="BJ472" s="1758"/>
      <c r="BK472" s="1758"/>
      <c r="BL472" s="1758"/>
      <c r="BM472" s="1758"/>
      <c r="BN472" s="1758"/>
      <c r="BO472" s="1758"/>
      <c r="BP472" s="1758"/>
      <c r="BQ472" s="1758"/>
      <c r="BR472" s="1758"/>
      <c r="BS472" s="1758"/>
      <c r="BT472" s="1758"/>
      <c r="BU472" s="1758"/>
      <c r="BV472" s="1758"/>
      <c r="BW472" s="1758"/>
      <c r="BX472" s="1758"/>
      <c r="BY472" s="1758"/>
      <c r="BZ472" s="1758"/>
      <c r="CA472" s="1758"/>
      <c r="CB472" s="1758"/>
      <c r="CC472" s="1758"/>
      <c r="CD472" s="1758"/>
      <c r="CE472" s="1758"/>
      <c r="CF472" s="1758"/>
      <c r="CG472" s="1758"/>
      <c r="CH472" s="1758"/>
      <c r="CI472" s="1758"/>
      <c r="CJ472" s="1758"/>
      <c r="CK472" s="1758"/>
      <c r="CL472" s="1758"/>
      <c r="CM472" s="1758"/>
      <c r="CN472" s="1758"/>
      <c r="CO472" s="1758"/>
      <c r="CP472" s="1758"/>
      <c r="CQ472" s="1758"/>
      <c r="CR472" s="1758"/>
      <c r="CS472" s="1758"/>
      <c r="CT472" s="1758"/>
      <c r="CU472" s="1758"/>
      <c r="CV472" s="1758"/>
      <c r="CW472" s="1758"/>
      <c r="CX472" s="1758"/>
      <c r="CY472" s="1758"/>
      <c r="CZ472" s="1758"/>
      <c r="DA472" s="1758"/>
      <c r="DB472" s="1758"/>
      <c r="DC472" s="1758"/>
    </row>
    <row r="473" spans="1:107" s="1395" customFormat="1" ht="20.25" customHeight="1">
      <c r="A473" s="10827"/>
      <c r="B473" s="10731"/>
      <c r="C473" s="10728"/>
      <c r="D473" s="10728"/>
      <c r="E473" s="10728"/>
      <c r="F473" s="10744"/>
      <c r="G473" s="10728"/>
      <c r="H473" s="10728"/>
      <c r="I473" s="10728"/>
      <c r="J473" s="10728"/>
      <c r="K473" s="10735"/>
      <c r="L473" s="10738"/>
      <c r="M473" s="10738"/>
      <c r="N473" s="10738"/>
      <c r="O473" s="10735"/>
      <c r="P473" s="10735"/>
      <c r="Q473" s="10750"/>
      <c r="R473" s="5171"/>
      <c r="S473" s="5213"/>
      <c r="T473" s="5213"/>
      <c r="U473" s="5247"/>
      <c r="V473" s="5279"/>
      <c r="W473" s="5300"/>
      <c r="X473" s="7473"/>
      <c r="Y473" s="7473"/>
      <c r="Z473" s="7473"/>
      <c r="AA473" s="7474"/>
      <c r="AB473" s="5323"/>
      <c r="AC473" s="1396"/>
      <c r="AD473" s="5300"/>
      <c r="AE473" s="5346"/>
      <c r="AF473" s="5346"/>
      <c r="AG473" s="10777"/>
      <c r="AH473" s="1758"/>
      <c r="AI473" s="1758"/>
      <c r="AJ473" s="1758"/>
      <c r="AK473" s="1758"/>
      <c r="AL473" s="1758"/>
      <c r="AM473" s="1758"/>
      <c r="AN473" s="1758"/>
      <c r="AO473" s="1758"/>
      <c r="AP473" s="1758"/>
      <c r="AQ473" s="1758"/>
      <c r="AR473" s="1758"/>
      <c r="AS473" s="1758"/>
      <c r="AT473" s="1758"/>
      <c r="AU473" s="1758"/>
      <c r="AV473" s="1758"/>
      <c r="AW473" s="1758"/>
      <c r="AX473" s="1758"/>
      <c r="AY473" s="1758"/>
      <c r="AZ473" s="1758"/>
      <c r="BA473" s="1758"/>
      <c r="BB473" s="1758"/>
      <c r="BC473" s="1758"/>
      <c r="BD473" s="1758"/>
      <c r="BE473" s="1758"/>
      <c r="BF473" s="1758"/>
      <c r="BG473" s="1758"/>
      <c r="BH473" s="1758"/>
      <c r="BI473" s="1758"/>
      <c r="BJ473" s="1758"/>
      <c r="BK473" s="1758"/>
      <c r="BL473" s="1758"/>
      <c r="BM473" s="1758"/>
      <c r="BN473" s="1758"/>
      <c r="BO473" s="1758"/>
      <c r="BP473" s="1758"/>
      <c r="BQ473" s="1758"/>
      <c r="BR473" s="1758"/>
      <c r="BS473" s="1758"/>
      <c r="BT473" s="1758"/>
      <c r="BU473" s="1758"/>
      <c r="BV473" s="1758"/>
      <c r="BW473" s="1758"/>
      <c r="BX473" s="1758"/>
      <c r="BY473" s="1758"/>
      <c r="BZ473" s="1758"/>
      <c r="CA473" s="1758"/>
      <c r="CB473" s="1758"/>
      <c r="CC473" s="1758"/>
      <c r="CD473" s="1758"/>
      <c r="CE473" s="1758"/>
      <c r="CF473" s="1758"/>
      <c r="CG473" s="1758"/>
      <c r="CH473" s="1758"/>
      <c r="CI473" s="1758"/>
      <c r="CJ473" s="1758"/>
      <c r="CK473" s="1758"/>
      <c r="CL473" s="1758"/>
      <c r="CM473" s="1758"/>
      <c r="CN473" s="1758"/>
      <c r="CO473" s="1758"/>
      <c r="CP473" s="1758"/>
      <c r="CQ473" s="1758"/>
      <c r="CR473" s="1758"/>
      <c r="CS473" s="1758"/>
      <c r="CT473" s="1758"/>
      <c r="CU473" s="1758"/>
      <c r="CV473" s="1758"/>
      <c r="CW473" s="1758"/>
      <c r="CX473" s="1758"/>
      <c r="CY473" s="1758"/>
      <c r="CZ473" s="1758"/>
      <c r="DA473" s="1758"/>
      <c r="DB473" s="1758"/>
      <c r="DC473" s="1758"/>
    </row>
    <row r="474" spans="1:107" s="1395" customFormat="1" ht="20.25" customHeight="1">
      <c r="A474" s="10827"/>
      <c r="B474" s="10731"/>
      <c r="C474" s="10728"/>
      <c r="D474" s="10728"/>
      <c r="E474" s="10728"/>
      <c r="F474" s="10744"/>
      <c r="G474" s="10728"/>
      <c r="H474" s="10728"/>
      <c r="I474" s="10728"/>
      <c r="J474" s="10728"/>
      <c r="K474" s="10735"/>
      <c r="L474" s="10738"/>
      <c r="M474" s="10738"/>
      <c r="N474" s="10738"/>
      <c r="O474" s="10735"/>
      <c r="P474" s="10735"/>
      <c r="Q474" s="10750"/>
      <c r="R474" s="5174"/>
      <c r="S474" s="5214"/>
      <c r="T474" s="5214"/>
      <c r="U474" s="5250"/>
      <c r="V474" s="5281"/>
      <c r="W474" s="5302"/>
      <c r="X474" s="7477"/>
      <c r="Y474" s="7473"/>
      <c r="Z474" s="7473"/>
      <c r="AA474" s="7474"/>
      <c r="AB474" s="5323"/>
      <c r="AC474" s="1396"/>
      <c r="AD474" s="5300"/>
      <c r="AE474" s="5346"/>
      <c r="AF474" s="5346"/>
      <c r="AG474" s="10777"/>
      <c r="AH474" s="1758"/>
      <c r="AI474" s="1758"/>
      <c r="AJ474" s="1758"/>
      <c r="AK474" s="1758"/>
      <c r="AL474" s="1758"/>
      <c r="AM474" s="1758"/>
      <c r="AN474" s="1758"/>
      <c r="AO474" s="1758"/>
      <c r="AP474" s="1758"/>
      <c r="AQ474" s="1758"/>
      <c r="AR474" s="1758"/>
      <c r="AS474" s="1758"/>
      <c r="AT474" s="1758"/>
      <c r="AU474" s="1758"/>
      <c r="AV474" s="1758"/>
      <c r="AW474" s="1758"/>
      <c r="AX474" s="1758"/>
      <c r="AY474" s="1758"/>
      <c r="AZ474" s="1758"/>
      <c r="BA474" s="1758"/>
      <c r="BB474" s="1758"/>
      <c r="BC474" s="1758"/>
      <c r="BD474" s="1758"/>
      <c r="BE474" s="1758"/>
      <c r="BF474" s="1758"/>
      <c r="BG474" s="1758"/>
      <c r="BH474" s="1758"/>
      <c r="BI474" s="1758"/>
      <c r="BJ474" s="1758"/>
      <c r="BK474" s="1758"/>
      <c r="BL474" s="1758"/>
      <c r="BM474" s="1758"/>
      <c r="BN474" s="1758"/>
      <c r="BO474" s="1758"/>
      <c r="BP474" s="1758"/>
      <c r="BQ474" s="1758"/>
      <c r="BR474" s="1758"/>
      <c r="BS474" s="1758"/>
      <c r="BT474" s="1758"/>
      <c r="BU474" s="1758"/>
      <c r="BV474" s="1758"/>
      <c r="BW474" s="1758"/>
      <c r="BX474" s="1758"/>
      <c r="BY474" s="1758"/>
      <c r="BZ474" s="1758"/>
      <c r="CA474" s="1758"/>
      <c r="CB474" s="1758"/>
      <c r="CC474" s="1758"/>
      <c r="CD474" s="1758"/>
      <c r="CE474" s="1758"/>
      <c r="CF474" s="1758"/>
      <c r="CG474" s="1758"/>
      <c r="CH474" s="1758"/>
      <c r="CI474" s="1758"/>
      <c r="CJ474" s="1758"/>
      <c r="CK474" s="1758"/>
      <c r="CL474" s="1758"/>
      <c r="CM474" s="1758"/>
      <c r="CN474" s="1758"/>
      <c r="CO474" s="1758"/>
      <c r="CP474" s="1758"/>
      <c r="CQ474" s="1758"/>
      <c r="CR474" s="1758"/>
      <c r="CS474" s="1758"/>
      <c r="CT474" s="1758"/>
      <c r="CU474" s="1758"/>
      <c r="CV474" s="1758"/>
      <c r="CW474" s="1758"/>
      <c r="CX474" s="1758"/>
      <c r="CY474" s="1758"/>
      <c r="CZ474" s="1758"/>
      <c r="DA474" s="1758"/>
      <c r="DB474" s="1758"/>
      <c r="DC474" s="1758"/>
    </row>
    <row r="475" spans="1:107" s="1395" customFormat="1" ht="20.25" customHeight="1">
      <c r="A475" s="10827"/>
      <c r="B475" s="10731"/>
      <c r="C475" s="10728"/>
      <c r="D475" s="10728"/>
      <c r="E475" s="10728"/>
      <c r="F475" s="10744"/>
      <c r="G475" s="10728"/>
      <c r="H475" s="10728"/>
      <c r="I475" s="10728"/>
      <c r="J475" s="10728"/>
      <c r="K475" s="10735"/>
      <c r="L475" s="10738"/>
      <c r="M475" s="10738"/>
      <c r="N475" s="10738"/>
      <c r="O475" s="10735"/>
      <c r="P475" s="10735"/>
      <c r="Q475" s="10750"/>
      <c r="R475" s="5173"/>
      <c r="S475" s="5212"/>
      <c r="T475" s="5212"/>
      <c r="U475" s="5250"/>
      <c r="V475" s="5281"/>
      <c r="W475" s="5302"/>
      <c r="X475" s="7477"/>
      <c r="Y475" s="7473"/>
      <c r="Z475" s="7473"/>
      <c r="AA475" s="7474"/>
      <c r="AB475" s="5323"/>
      <c r="AC475" s="1396"/>
      <c r="AD475" s="5300"/>
      <c r="AE475" s="5346"/>
      <c r="AF475" s="5346"/>
      <c r="AG475" s="10777"/>
      <c r="AH475" s="1758"/>
      <c r="AI475" s="1758"/>
      <c r="AJ475" s="1758"/>
      <c r="AK475" s="1758"/>
      <c r="AL475" s="1758"/>
      <c r="AM475" s="1758"/>
      <c r="AN475" s="1758"/>
      <c r="AO475" s="1758"/>
      <c r="AP475" s="1758"/>
      <c r="AQ475" s="1758"/>
      <c r="AR475" s="1758"/>
      <c r="AS475" s="1758"/>
      <c r="AT475" s="1758"/>
      <c r="AU475" s="1758"/>
      <c r="AV475" s="1758"/>
      <c r="AW475" s="1758"/>
      <c r="AX475" s="1758"/>
      <c r="AY475" s="1758"/>
      <c r="AZ475" s="1758"/>
      <c r="BA475" s="1758"/>
      <c r="BB475" s="1758"/>
      <c r="BC475" s="1758"/>
      <c r="BD475" s="1758"/>
      <c r="BE475" s="1758"/>
      <c r="BF475" s="1758"/>
      <c r="BG475" s="1758"/>
      <c r="BH475" s="1758"/>
      <c r="BI475" s="1758"/>
      <c r="BJ475" s="1758"/>
      <c r="BK475" s="1758"/>
      <c r="BL475" s="1758"/>
      <c r="BM475" s="1758"/>
      <c r="BN475" s="1758"/>
      <c r="BO475" s="1758"/>
      <c r="BP475" s="1758"/>
      <c r="BQ475" s="1758"/>
      <c r="BR475" s="1758"/>
      <c r="BS475" s="1758"/>
      <c r="BT475" s="1758"/>
      <c r="BU475" s="1758"/>
      <c r="BV475" s="1758"/>
      <c r="BW475" s="1758"/>
      <c r="BX475" s="1758"/>
      <c r="BY475" s="1758"/>
      <c r="BZ475" s="1758"/>
      <c r="CA475" s="1758"/>
      <c r="CB475" s="1758"/>
      <c r="CC475" s="1758"/>
      <c r="CD475" s="1758"/>
      <c r="CE475" s="1758"/>
      <c r="CF475" s="1758"/>
      <c r="CG475" s="1758"/>
      <c r="CH475" s="1758"/>
      <c r="CI475" s="1758"/>
      <c r="CJ475" s="1758"/>
      <c r="CK475" s="1758"/>
      <c r="CL475" s="1758"/>
      <c r="CM475" s="1758"/>
      <c r="CN475" s="1758"/>
      <c r="CO475" s="1758"/>
      <c r="CP475" s="1758"/>
      <c r="CQ475" s="1758"/>
      <c r="CR475" s="1758"/>
      <c r="CS475" s="1758"/>
      <c r="CT475" s="1758"/>
      <c r="CU475" s="1758"/>
      <c r="CV475" s="1758"/>
      <c r="CW475" s="1758"/>
      <c r="CX475" s="1758"/>
      <c r="CY475" s="1758"/>
      <c r="CZ475" s="1758"/>
      <c r="DA475" s="1758"/>
      <c r="DB475" s="1758"/>
      <c r="DC475" s="1758"/>
    </row>
    <row r="476" spans="1:107" s="1395" customFormat="1" ht="20.25" customHeight="1">
      <c r="A476" s="10827"/>
      <c r="B476" s="10732"/>
      <c r="C476" s="10729"/>
      <c r="D476" s="10729"/>
      <c r="E476" s="10729"/>
      <c r="F476" s="10745"/>
      <c r="G476" s="10729"/>
      <c r="H476" s="10729"/>
      <c r="I476" s="10729"/>
      <c r="J476" s="10729"/>
      <c r="K476" s="10736"/>
      <c r="L476" s="10739"/>
      <c r="M476" s="10739"/>
      <c r="N476" s="10739"/>
      <c r="O476" s="10736"/>
      <c r="P476" s="10736"/>
      <c r="Q476" s="10751"/>
      <c r="R476" s="5175"/>
      <c r="S476" s="5215"/>
      <c r="T476" s="5215"/>
      <c r="U476" s="5251"/>
      <c r="V476" s="5282"/>
      <c r="W476" s="5303"/>
      <c r="X476" s="7479"/>
      <c r="Y476" s="7479"/>
      <c r="Z476" s="7479"/>
      <c r="AA476" s="7480"/>
      <c r="AB476" s="5326"/>
      <c r="AC476" s="1399"/>
      <c r="AD476" s="5303"/>
      <c r="AE476" s="5348"/>
      <c r="AF476" s="5348"/>
      <c r="AG476" s="10778"/>
      <c r="AH476" s="1758"/>
      <c r="AI476" s="1758"/>
      <c r="AJ476" s="1758"/>
      <c r="AK476" s="1758"/>
      <c r="AL476" s="1758"/>
      <c r="AM476" s="1758"/>
      <c r="AN476" s="1758"/>
      <c r="AO476" s="1758"/>
      <c r="AP476" s="1758"/>
      <c r="AQ476" s="1758"/>
      <c r="AR476" s="1758"/>
      <c r="AS476" s="1758"/>
      <c r="AT476" s="1758"/>
      <c r="AU476" s="1758"/>
      <c r="AV476" s="1758"/>
      <c r="AW476" s="1758"/>
      <c r="AX476" s="1758"/>
      <c r="AY476" s="1758"/>
      <c r="AZ476" s="1758"/>
      <c r="BA476" s="1758"/>
      <c r="BB476" s="1758"/>
      <c r="BC476" s="1758"/>
      <c r="BD476" s="1758"/>
      <c r="BE476" s="1758"/>
      <c r="BF476" s="1758"/>
      <c r="BG476" s="1758"/>
      <c r="BH476" s="1758"/>
      <c r="BI476" s="1758"/>
      <c r="BJ476" s="1758"/>
      <c r="BK476" s="1758"/>
      <c r="BL476" s="1758"/>
      <c r="BM476" s="1758"/>
      <c r="BN476" s="1758"/>
      <c r="BO476" s="1758"/>
      <c r="BP476" s="1758"/>
      <c r="BQ476" s="1758"/>
      <c r="BR476" s="1758"/>
      <c r="BS476" s="1758"/>
      <c r="BT476" s="1758"/>
      <c r="BU476" s="1758"/>
      <c r="BV476" s="1758"/>
      <c r="BW476" s="1758"/>
      <c r="BX476" s="1758"/>
      <c r="BY476" s="1758"/>
      <c r="BZ476" s="1758"/>
      <c r="CA476" s="1758"/>
      <c r="CB476" s="1758"/>
      <c r="CC476" s="1758"/>
      <c r="CD476" s="1758"/>
      <c r="CE476" s="1758"/>
      <c r="CF476" s="1758"/>
      <c r="CG476" s="1758"/>
      <c r="CH476" s="1758"/>
      <c r="CI476" s="1758"/>
      <c r="CJ476" s="1758"/>
      <c r="CK476" s="1758"/>
      <c r="CL476" s="1758"/>
      <c r="CM476" s="1758"/>
      <c r="CN476" s="1758"/>
      <c r="CO476" s="1758"/>
      <c r="CP476" s="1758"/>
      <c r="CQ476" s="1758"/>
      <c r="CR476" s="1758"/>
      <c r="CS476" s="1758"/>
      <c r="CT476" s="1758"/>
      <c r="CU476" s="1758"/>
      <c r="CV476" s="1758"/>
      <c r="CW476" s="1758"/>
      <c r="CX476" s="1758"/>
      <c r="CY476" s="1758"/>
      <c r="CZ476" s="1758"/>
      <c r="DA476" s="1758"/>
      <c r="DB476" s="1758"/>
      <c r="DC476" s="1758"/>
    </row>
    <row r="477" spans="1:107" s="1395" customFormat="1" ht="26.25" customHeight="1">
      <c r="A477" s="10827"/>
      <c r="B477" s="10731" t="s">
        <v>127</v>
      </c>
      <c r="C477" s="10728" t="s">
        <v>227</v>
      </c>
      <c r="D477" s="10728" t="s">
        <v>228</v>
      </c>
      <c r="E477" s="10728" t="s">
        <v>229</v>
      </c>
      <c r="F477" s="10744" t="s">
        <v>230</v>
      </c>
      <c r="G477" s="10728" t="s">
        <v>171</v>
      </c>
      <c r="H477" s="10728" t="s">
        <v>159</v>
      </c>
      <c r="I477" s="10728" t="s">
        <v>5057</v>
      </c>
      <c r="J477" s="10742" t="s">
        <v>5058</v>
      </c>
      <c r="K477" s="10735" t="s">
        <v>5059</v>
      </c>
      <c r="L477" s="10738">
        <v>0</v>
      </c>
      <c r="M477" s="10738">
        <v>4</v>
      </c>
      <c r="N477" s="10738">
        <v>4</v>
      </c>
      <c r="O477" s="10735" t="s">
        <v>5060</v>
      </c>
      <c r="P477" s="10735" t="s">
        <v>5107</v>
      </c>
      <c r="Q477" s="10750" t="s">
        <v>5083</v>
      </c>
      <c r="R477" s="5173"/>
      <c r="S477" s="5212"/>
      <c r="T477" s="5212"/>
      <c r="U477" s="5249"/>
      <c r="V477" s="5281"/>
      <c r="W477" s="5302"/>
      <c r="X477" s="7477"/>
      <c r="Y477" s="7477"/>
      <c r="Z477" s="7477"/>
      <c r="AA477" s="7478"/>
      <c r="AB477" s="5325"/>
      <c r="AC477" s="1398"/>
      <c r="AD477" s="5302"/>
      <c r="AE477" s="5349"/>
      <c r="AF477" s="5349"/>
      <c r="AG477" s="10777" t="s">
        <v>4843</v>
      </c>
      <c r="AH477" s="1758"/>
      <c r="AI477" s="1758"/>
      <c r="AJ477" s="1758"/>
      <c r="AK477" s="1758"/>
      <c r="AL477" s="1758"/>
      <c r="AM477" s="1758"/>
      <c r="AN477" s="1758"/>
      <c r="AO477" s="1758"/>
      <c r="AP477" s="1758"/>
      <c r="AQ477" s="1758"/>
      <c r="AR477" s="1758"/>
      <c r="AS477" s="1758"/>
      <c r="AT477" s="1758"/>
      <c r="AU477" s="1758"/>
      <c r="AV477" s="1758"/>
      <c r="AW477" s="1758"/>
      <c r="AX477" s="1758"/>
      <c r="AY477" s="1758"/>
      <c r="AZ477" s="1758"/>
      <c r="BA477" s="1758"/>
      <c r="BB477" s="1758"/>
      <c r="BC477" s="1758"/>
      <c r="BD477" s="1758"/>
      <c r="BE477" s="1758"/>
      <c r="BF477" s="1758"/>
      <c r="BG477" s="1758"/>
      <c r="BH477" s="1758"/>
      <c r="BI477" s="1758"/>
      <c r="BJ477" s="1758"/>
      <c r="BK477" s="1758"/>
      <c r="BL477" s="1758"/>
      <c r="BM477" s="1758"/>
      <c r="BN477" s="1758"/>
      <c r="BO477" s="1758"/>
      <c r="BP477" s="1758"/>
      <c r="BQ477" s="1758"/>
      <c r="BR477" s="1758"/>
      <c r="BS477" s="1758"/>
      <c r="BT477" s="1758"/>
      <c r="BU477" s="1758"/>
      <c r="BV477" s="1758"/>
      <c r="BW477" s="1758"/>
      <c r="BX477" s="1758"/>
      <c r="BY477" s="1758"/>
      <c r="BZ477" s="1758"/>
      <c r="CA477" s="1758"/>
      <c r="CB477" s="1758"/>
      <c r="CC477" s="1758"/>
      <c r="CD477" s="1758"/>
      <c r="CE477" s="1758"/>
      <c r="CF477" s="1758"/>
      <c r="CG477" s="1758"/>
      <c r="CH477" s="1758"/>
      <c r="CI477" s="1758"/>
      <c r="CJ477" s="1758"/>
      <c r="CK477" s="1758"/>
      <c r="CL477" s="1758"/>
      <c r="CM477" s="1758"/>
      <c r="CN477" s="1758"/>
      <c r="CO477" s="1758"/>
      <c r="CP477" s="1758"/>
      <c r="CQ477" s="1758"/>
      <c r="CR477" s="1758"/>
      <c r="CS477" s="1758"/>
      <c r="CT477" s="1758"/>
      <c r="CU477" s="1758"/>
      <c r="CV477" s="1758"/>
      <c r="CW477" s="1758"/>
      <c r="CX477" s="1758"/>
      <c r="CY477" s="1758"/>
      <c r="CZ477" s="1758"/>
      <c r="DA477" s="1758"/>
      <c r="DB477" s="1758"/>
      <c r="DC477" s="1758"/>
    </row>
    <row r="478" spans="1:107" s="1395" customFormat="1" ht="26.25" customHeight="1">
      <c r="A478" s="10827"/>
      <c r="B478" s="10731"/>
      <c r="C478" s="10728"/>
      <c r="D478" s="10728"/>
      <c r="E478" s="10728"/>
      <c r="F478" s="10744"/>
      <c r="G478" s="10728"/>
      <c r="H478" s="10728"/>
      <c r="I478" s="10728"/>
      <c r="J478" s="10728"/>
      <c r="K478" s="10735"/>
      <c r="L478" s="10738"/>
      <c r="M478" s="10738"/>
      <c r="N478" s="10738"/>
      <c r="O478" s="10735"/>
      <c r="P478" s="10735"/>
      <c r="Q478" s="10750"/>
      <c r="R478" s="5171"/>
      <c r="S478" s="5213"/>
      <c r="T478" s="5213"/>
      <c r="U478" s="5247"/>
      <c r="V478" s="5279"/>
      <c r="W478" s="5300"/>
      <c r="X478" s="7473"/>
      <c r="Y478" s="7473"/>
      <c r="Z478" s="7473"/>
      <c r="AA478" s="7474"/>
      <c r="AB478" s="5323"/>
      <c r="AC478" s="1396"/>
      <c r="AD478" s="5300"/>
      <c r="AE478" s="5346"/>
      <c r="AF478" s="5346"/>
      <c r="AG478" s="10777"/>
      <c r="AH478" s="1758"/>
      <c r="AI478" s="1758"/>
      <c r="AJ478" s="1758"/>
      <c r="AK478" s="1758"/>
      <c r="AL478" s="1758"/>
      <c r="AM478" s="1758"/>
      <c r="AN478" s="1758"/>
      <c r="AO478" s="1758"/>
      <c r="AP478" s="1758"/>
      <c r="AQ478" s="1758"/>
      <c r="AR478" s="1758"/>
      <c r="AS478" s="1758"/>
      <c r="AT478" s="1758"/>
      <c r="AU478" s="1758"/>
      <c r="AV478" s="1758"/>
      <c r="AW478" s="1758"/>
      <c r="AX478" s="1758"/>
      <c r="AY478" s="1758"/>
      <c r="AZ478" s="1758"/>
      <c r="BA478" s="1758"/>
      <c r="BB478" s="1758"/>
      <c r="BC478" s="1758"/>
      <c r="BD478" s="1758"/>
      <c r="BE478" s="1758"/>
      <c r="BF478" s="1758"/>
      <c r="BG478" s="1758"/>
      <c r="BH478" s="1758"/>
      <c r="BI478" s="1758"/>
      <c r="BJ478" s="1758"/>
      <c r="BK478" s="1758"/>
      <c r="BL478" s="1758"/>
      <c r="BM478" s="1758"/>
      <c r="BN478" s="1758"/>
      <c r="BO478" s="1758"/>
      <c r="BP478" s="1758"/>
      <c r="BQ478" s="1758"/>
      <c r="BR478" s="1758"/>
      <c r="BS478" s="1758"/>
      <c r="BT478" s="1758"/>
      <c r="BU478" s="1758"/>
      <c r="BV478" s="1758"/>
      <c r="BW478" s="1758"/>
      <c r="BX478" s="1758"/>
      <c r="BY478" s="1758"/>
      <c r="BZ478" s="1758"/>
      <c r="CA478" s="1758"/>
      <c r="CB478" s="1758"/>
      <c r="CC478" s="1758"/>
      <c r="CD478" s="1758"/>
      <c r="CE478" s="1758"/>
      <c r="CF478" s="1758"/>
      <c r="CG478" s="1758"/>
      <c r="CH478" s="1758"/>
      <c r="CI478" s="1758"/>
      <c r="CJ478" s="1758"/>
      <c r="CK478" s="1758"/>
      <c r="CL478" s="1758"/>
      <c r="CM478" s="1758"/>
      <c r="CN478" s="1758"/>
      <c r="CO478" s="1758"/>
      <c r="CP478" s="1758"/>
      <c r="CQ478" s="1758"/>
      <c r="CR478" s="1758"/>
      <c r="CS478" s="1758"/>
      <c r="CT478" s="1758"/>
      <c r="CU478" s="1758"/>
      <c r="CV478" s="1758"/>
      <c r="CW478" s="1758"/>
      <c r="CX478" s="1758"/>
      <c r="CY478" s="1758"/>
      <c r="CZ478" s="1758"/>
      <c r="DA478" s="1758"/>
      <c r="DB478" s="1758"/>
      <c r="DC478" s="1758"/>
    </row>
    <row r="479" spans="1:107" s="1395" customFormat="1" ht="26.25" customHeight="1">
      <c r="A479" s="10827"/>
      <c r="B479" s="10731"/>
      <c r="C479" s="10728"/>
      <c r="D479" s="10728"/>
      <c r="E479" s="10728"/>
      <c r="F479" s="10744"/>
      <c r="G479" s="10728"/>
      <c r="H479" s="10728"/>
      <c r="I479" s="10728"/>
      <c r="J479" s="10728"/>
      <c r="K479" s="10735"/>
      <c r="L479" s="10738"/>
      <c r="M479" s="10738"/>
      <c r="N479" s="10738"/>
      <c r="O479" s="10735"/>
      <c r="P479" s="10735"/>
      <c r="Q479" s="10750"/>
      <c r="R479" s="5174"/>
      <c r="S479" s="5214"/>
      <c r="T479" s="5214"/>
      <c r="U479" s="5250"/>
      <c r="V479" s="5281"/>
      <c r="W479" s="5302"/>
      <c r="X479" s="7477"/>
      <c r="Y479" s="7473"/>
      <c r="Z479" s="7473"/>
      <c r="AA479" s="7474"/>
      <c r="AB479" s="5323"/>
      <c r="AC479" s="1396"/>
      <c r="AD479" s="5300"/>
      <c r="AE479" s="5346"/>
      <c r="AF479" s="5346"/>
      <c r="AG479" s="10777"/>
      <c r="AH479" s="1758"/>
      <c r="AI479" s="1758"/>
      <c r="AJ479" s="1758"/>
      <c r="AK479" s="1758"/>
      <c r="AL479" s="1758"/>
      <c r="AM479" s="1758"/>
      <c r="AN479" s="1758"/>
      <c r="AO479" s="1758"/>
      <c r="AP479" s="1758"/>
      <c r="AQ479" s="1758"/>
      <c r="AR479" s="1758"/>
      <c r="AS479" s="1758"/>
      <c r="AT479" s="1758"/>
      <c r="AU479" s="1758"/>
      <c r="AV479" s="1758"/>
      <c r="AW479" s="1758"/>
      <c r="AX479" s="1758"/>
      <c r="AY479" s="1758"/>
      <c r="AZ479" s="1758"/>
      <c r="BA479" s="1758"/>
      <c r="BB479" s="1758"/>
      <c r="BC479" s="1758"/>
      <c r="BD479" s="1758"/>
      <c r="BE479" s="1758"/>
      <c r="BF479" s="1758"/>
      <c r="BG479" s="1758"/>
      <c r="BH479" s="1758"/>
      <c r="BI479" s="1758"/>
      <c r="BJ479" s="1758"/>
      <c r="BK479" s="1758"/>
      <c r="BL479" s="1758"/>
      <c r="BM479" s="1758"/>
      <c r="BN479" s="1758"/>
      <c r="BO479" s="1758"/>
      <c r="BP479" s="1758"/>
      <c r="BQ479" s="1758"/>
      <c r="BR479" s="1758"/>
      <c r="BS479" s="1758"/>
      <c r="BT479" s="1758"/>
      <c r="BU479" s="1758"/>
      <c r="BV479" s="1758"/>
      <c r="BW479" s="1758"/>
      <c r="BX479" s="1758"/>
      <c r="BY479" s="1758"/>
      <c r="BZ479" s="1758"/>
      <c r="CA479" s="1758"/>
      <c r="CB479" s="1758"/>
      <c r="CC479" s="1758"/>
      <c r="CD479" s="1758"/>
      <c r="CE479" s="1758"/>
      <c r="CF479" s="1758"/>
      <c r="CG479" s="1758"/>
      <c r="CH479" s="1758"/>
      <c r="CI479" s="1758"/>
      <c r="CJ479" s="1758"/>
      <c r="CK479" s="1758"/>
      <c r="CL479" s="1758"/>
      <c r="CM479" s="1758"/>
      <c r="CN479" s="1758"/>
      <c r="CO479" s="1758"/>
      <c r="CP479" s="1758"/>
      <c r="CQ479" s="1758"/>
      <c r="CR479" s="1758"/>
      <c r="CS479" s="1758"/>
      <c r="CT479" s="1758"/>
      <c r="CU479" s="1758"/>
      <c r="CV479" s="1758"/>
      <c r="CW479" s="1758"/>
      <c r="CX479" s="1758"/>
      <c r="CY479" s="1758"/>
      <c r="CZ479" s="1758"/>
      <c r="DA479" s="1758"/>
      <c r="DB479" s="1758"/>
      <c r="DC479" s="1758"/>
    </row>
    <row r="480" spans="1:107" s="1395" customFormat="1" ht="26.25" customHeight="1">
      <c r="A480" s="10827"/>
      <c r="B480" s="10731"/>
      <c r="C480" s="10728"/>
      <c r="D480" s="10728"/>
      <c r="E480" s="10728"/>
      <c r="F480" s="10744"/>
      <c r="G480" s="10728"/>
      <c r="H480" s="10728"/>
      <c r="I480" s="10728"/>
      <c r="J480" s="10728"/>
      <c r="K480" s="10735"/>
      <c r="L480" s="10738"/>
      <c r="M480" s="10738"/>
      <c r="N480" s="10738"/>
      <c r="O480" s="10735"/>
      <c r="P480" s="10735"/>
      <c r="Q480" s="10750"/>
      <c r="R480" s="5173"/>
      <c r="S480" s="5212"/>
      <c r="T480" s="5212"/>
      <c r="U480" s="5250"/>
      <c r="V480" s="5281"/>
      <c r="W480" s="5302"/>
      <c r="X480" s="7477"/>
      <c r="Y480" s="7473"/>
      <c r="Z480" s="7473"/>
      <c r="AA480" s="7474"/>
      <c r="AB480" s="5323"/>
      <c r="AC480" s="1396"/>
      <c r="AD480" s="5300"/>
      <c r="AE480" s="5346"/>
      <c r="AF480" s="5346"/>
      <c r="AG480" s="10777"/>
      <c r="AH480" s="1758"/>
      <c r="AI480" s="1758"/>
      <c r="AJ480" s="1758"/>
      <c r="AK480" s="1758"/>
      <c r="AL480" s="1758"/>
      <c r="AM480" s="1758"/>
      <c r="AN480" s="1758"/>
      <c r="AO480" s="1758"/>
      <c r="AP480" s="1758"/>
      <c r="AQ480" s="1758"/>
      <c r="AR480" s="1758"/>
      <c r="AS480" s="1758"/>
      <c r="AT480" s="1758"/>
      <c r="AU480" s="1758"/>
      <c r="AV480" s="1758"/>
      <c r="AW480" s="1758"/>
      <c r="AX480" s="1758"/>
      <c r="AY480" s="1758"/>
      <c r="AZ480" s="1758"/>
      <c r="BA480" s="1758"/>
      <c r="BB480" s="1758"/>
      <c r="BC480" s="1758"/>
      <c r="BD480" s="1758"/>
      <c r="BE480" s="1758"/>
      <c r="BF480" s="1758"/>
      <c r="BG480" s="1758"/>
      <c r="BH480" s="1758"/>
      <c r="BI480" s="1758"/>
      <c r="BJ480" s="1758"/>
      <c r="BK480" s="1758"/>
      <c r="BL480" s="1758"/>
      <c r="BM480" s="1758"/>
      <c r="BN480" s="1758"/>
      <c r="BO480" s="1758"/>
      <c r="BP480" s="1758"/>
      <c r="BQ480" s="1758"/>
      <c r="BR480" s="1758"/>
      <c r="BS480" s="1758"/>
      <c r="BT480" s="1758"/>
      <c r="BU480" s="1758"/>
      <c r="BV480" s="1758"/>
      <c r="BW480" s="1758"/>
      <c r="BX480" s="1758"/>
      <c r="BY480" s="1758"/>
      <c r="BZ480" s="1758"/>
      <c r="CA480" s="1758"/>
      <c r="CB480" s="1758"/>
      <c r="CC480" s="1758"/>
      <c r="CD480" s="1758"/>
      <c r="CE480" s="1758"/>
      <c r="CF480" s="1758"/>
      <c r="CG480" s="1758"/>
      <c r="CH480" s="1758"/>
      <c r="CI480" s="1758"/>
      <c r="CJ480" s="1758"/>
      <c r="CK480" s="1758"/>
      <c r="CL480" s="1758"/>
      <c r="CM480" s="1758"/>
      <c r="CN480" s="1758"/>
      <c r="CO480" s="1758"/>
      <c r="CP480" s="1758"/>
      <c r="CQ480" s="1758"/>
      <c r="CR480" s="1758"/>
      <c r="CS480" s="1758"/>
      <c r="CT480" s="1758"/>
      <c r="CU480" s="1758"/>
      <c r="CV480" s="1758"/>
      <c r="CW480" s="1758"/>
      <c r="CX480" s="1758"/>
      <c r="CY480" s="1758"/>
      <c r="CZ480" s="1758"/>
      <c r="DA480" s="1758"/>
      <c r="DB480" s="1758"/>
      <c r="DC480" s="1758"/>
    </row>
    <row r="481" spans="1:107" s="1395" customFormat="1" ht="26.25" customHeight="1">
      <c r="A481" s="10827"/>
      <c r="B481" s="10732"/>
      <c r="C481" s="10729"/>
      <c r="D481" s="10729"/>
      <c r="E481" s="10729"/>
      <c r="F481" s="10745"/>
      <c r="G481" s="10729"/>
      <c r="H481" s="10729"/>
      <c r="I481" s="10729"/>
      <c r="J481" s="10729"/>
      <c r="K481" s="10736"/>
      <c r="L481" s="10739"/>
      <c r="M481" s="10739"/>
      <c r="N481" s="10739"/>
      <c r="O481" s="10736"/>
      <c r="P481" s="10736"/>
      <c r="Q481" s="10751"/>
      <c r="R481" s="5175"/>
      <c r="S481" s="5215"/>
      <c r="T481" s="5215"/>
      <c r="U481" s="5251"/>
      <c r="V481" s="5282"/>
      <c r="W481" s="5303"/>
      <c r="X481" s="7479"/>
      <c r="Y481" s="7479"/>
      <c r="Z481" s="7479"/>
      <c r="AA481" s="7480"/>
      <c r="AB481" s="5326"/>
      <c r="AC481" s="1399"/>
      <c r="AD481" s="5303"/>
      <c r="AE481" s="5348"/>
      <c r="AF481" s="5348"/>
      <c r="AG481" s="10778"/>
      <c r="AH481" s="1758"/>
      <c r="AI481" s="1758"/>
      <c r="AJ481" s="1758"/>
      <c r="AK481" s="1758"/>
      <c r="AL481" s="1758"/>
      <c r="AM481" s="1758"/>
      <c r="AN481" s="1758"/>
      <c r="AO481" s="1758"/>
      <c r="AP481" s="1758"/>
      <c r="AQ481" s="1758"/>
      <c r="AR481" s="1758"/>
      <c r="AS481" s="1758"/>
      <c r="AT481" s="1758"/>
      <c r="AU481" s="1758"/>
      <c r="AV481" s="1758"/>
      <c r="AW481" s="1758"/>
      <c r="AX481" s="1758"/>
      <c r="AY481" s="1758"/>
      <c r="AZ481" s="1758"/>
      <c r="BA481" s="1758"/>
      <c r="BB481" s="1758"/>
      <c r="BC481" s="1758"/>
      <c r="BD481" s="1758"/>
      <c r="BE481" s="1758"/>
      <c r="BF481" s="1758"/>
      <c r="BG481" s="1758"/>
      <c r="BH481" s="1758"/>
      <c r="BI481" s="1758"/>
      <c r="BJ481" s="1758"/>
      <c r="BK481" s="1758"/>
      <c r="BL481" s="1758"/>
      <c r="BM481" s="1758"/>
      <c r="BN481" s="1758"/>
      <c r="BO481" s="1758"/>
      <c r="BP481" s="1758"/>
      <c r="BQ481" s="1758"/>
      <c r="BR481" s="1758"/>
      <c r="BS481" s="1758"/>
      <c r="BT481" s="1758"/>
      <c r="BU481" s="1758"/>
      <c r="BV481" s="1758"/>
      <c r="BW481" s="1758"/>
      <c r="BX481" s="1758"/>
      <c r="BY481" s="1758"/>
      <c r="BZ481" s="1758"/>
      <c r="CA481" s="1758"/>
      <c r="CB481" s="1758"/>
      <c r="CC481" s="1758"/>
      <c r="CD481" s="1758"/>
      <c r="CE481" s="1758"/>
      <c r="CF481" s="1758"/>
      <c r="CG481" s="1758"/>
      <c r="CH481" s="1758"/>
      <c r="CI481" s="1758"/>
      <c r="CJ481" s="1758"/>
      <c r="CK481" s="1758"/>
      <c r="CL481" s="1758"/>
      <c r="CM481" s="1758"/>
      <c r="CN481" s="1758"/>
      <c r="CO481" s="1758"/>
      <c r="CP481" s="1758"/>
      <c r="CQ481" s="1758"/>
      <c r="CR481" s="1758"/>
      <c r="CS481" s="1758"/>
      <c r="CT481" s="1758"/>
      <c r="CU481" s="1758"/>
      <c r="CV481" s="1758"/>
      <c r="CW481" s="1758"/>
      <c r="CX481" s="1758"/>
      <c r="CY481" s="1758"/>
      <c r="CZ481" s="1758"/>
      <c r="DA481" s="1758"/>
      <c r="DB481" s="1758"/>
      <c r="DC481" s="1758"/>
    </row>
    <row r="482" spans="1:107" s="1395" customFormat="1" ht="20.25" customHeight="1">
      <c r="A482" s="10827"/>
      <c r="B482" s="10731" t="s">
        <v>183</v>
      </c>
      <c r="C482" s="10728" t="s">
        <v>128</v>
      </c>
      <c r="D482" s="10728" t="s">
        <v>129</v>
      </c>
      <c r="E482" s="10728" t="s">
        <v>205</v>
      </c>
      <c r="F482" s="10744" t="s">
        <v>131</v>
      </c>
      <c r="G482" s="10728" t="s">
        <v>132</v>
      </c>
      <c r="H482" s="10728" t="s">
        <v>159</v>
      </c>
      <c r="I482" s="10728" t="s">
        <v>5062</v>
      </c>
      <c r="J482" s="10742" t="s">
        <v>5063</v>
      </c>
      <c r="K482" s="10735" t="s">
        <v>5048</v>
      </c>
      <c r="L482" s="10738">
        <v>0</v>
      </c>
      <c r="M482" s="10738">
        <v>4</v>
      </c>
      <c r="N482" s="10738">
        <v>4</v>
      </c>
      <c r="O482" s="10735" t="s">
        <v>5065</v>
      </c>
      <c r="P482" s="10735" t="s">
        <v>5066</v>
      </c>
      <c r="Q482" s="10750" t="s">
        <v>5083</v>
      </c>
      <c r="R482" s="5173"/>
      <c r="S482" s="5212"/>
      <c r="T482" s="5212"/>
      <c r="U482" s="5249"/>
      <c r="V482" s="5281"/>
      <c r="W482" s="5302"/>
      <c r="X482" s="7477"/>
      <c r="Y482" s="7477"/>
      <c r="Z482" s="7477"/>
      <c r="AA482" s="7478"/>
      <c r="AB482" s="5325"/>
      <c r="AC482" s="1398"/>
      <c r="AD482" s="5302"/>
      <c r="AE482" s="5349"/>
      <c r="AF482" s="5349"/>
      <c r="AG482" s="10777" t="s">
        <v>4843</v>
      </c>
      <c r="AH482" s="1758"/>
      <c r="AI482" s="1758"/>
      <c r="AJ482" s="1758"/>
      <c r="AK482" s="1758"/>
      <c r="AL482" s="1758"/>
      <c r="AM482" s="1758"/>
      <c r="AN482" s="1758"/>
      <c r="AO482" s="1758"/>
      <c r="AP482" s="1758"/>
      <c r="AQ482" s="1758"/>
      <c r="AR482" s="1758"/>
      <c r="AS482" s="1758"/>
      <c r="AT482" s="1758"/>
      <c r="AU482" s="1758"/>
      <c r="AV482" s="1758"/>
      <c r="AW482" s="1758"/>
      <c r="AX482" s="1758"/>
      <c r="AY482" s="1758"/>
      <c r="AZ482" s="1758"/>
      <c r="BA482" s="1758"/>
      <c r="BB482" s="1758"/>
      <c r="BC482" s="1758"/>
      <c r="BD482" s="1758"/>
      <c r="BE482" s="1758"/>
      <c r="BF482" s="1758"/>
      <c r="BG482" s="1758"/>
      <c r="BH482" s="1758"/>
      <c r="BI482" s="1758"/>
      <c r="BJ482" s="1758"/>
      <c r="BK482" s="1758"/>
      <c r="BL482" s="1758"/>
      <c r="BM482" s="1758"/>
      <c r="BN482" s="1758"/>
      <c r="BO482" s="1758"/>
      <c r="BP482" s="1758"/>
      <c r="BQ482" s="1758"/>
      <c r="BR482" s="1758"/>
      <c r="BS482" s="1758"/>
      <c r="BT482" s="1758"/>
      <c r="BU482" s="1758"/>
      <c r="BV482" s="1758"/>
      <c r="BW482" s="1758"/>
      <c r="BX482" s="1758"/>
      <c r="BY482" s="1758"/>
      <c r="BZ482" s="1758"/>
      <c r="CA482" s="1758"/>
      <c r="CB482" s="1758"/>
      <c r="CC482" s="1758"/>
      <c r="CD482" s="1758"/>
      <c r="CE482" s="1758"/>
      <c r="CF482" s="1758"/>
      <c r="CG482" s="1758"/>
      <c r="CH482" s="1758"/>
      <c r="CI482" s="1758"/>
      <c r="CJ482" s="1758"/>
      <c r="CK482" s="1758"/>
      <c r="CL482" s="1758"/>
      <c r="CM482" s="1758"/>
      <c r="CN482" s="1758"/>
      <c r="CO482" s="1758"/>
      <c r="CP482" s="1758"/>
      <c r="CQ482" s="1758"/>
      <c r="CR482" s="1758"/>
      <c r="CS482" s="1758"/>
      <c r="CT482" s="1758"/>
      <c r="CU482" s="1758"/>
      <c r="CV482" s="1758"/>
      <c r="CW482" s="1758"/>
      <c r="CX482" s="1758"/>
      <c r="CY482" s="1758"/>
      <c r="CZ482" s="1758"/>
      <c r="DA482" s="1758"/>
      <c r="DB482" s="1758"/>
      <c r="DC482" s="1758"/>
    </row>
    <row r="483" spans="1:107" s="1395" customFormat="1" ht="20.25" customHeight="1">
      <c r="A483" s="10827"/>
      <c r="B483" s="10731"/>
      <c r="C483" s="10728"/>
      <c r="D483" s="10728"/>
      <c r="E483" s="10728"/>
      <c r="F483" s="10744"/>
      <c r="G483" s="10728"/>
      <c r="H483" s="10728"/>
      <c r="I483" s="10728"/>
      <c r="J483" s="10728"/>
      <c r="K483" s="10735"/>
      <c r="L483" s="10738"/>
      <c r="M483" s="10738"/>
      <c r="N483" s="10738"/>
      <c r="O483" s="10735"/>
      <c r="P483" s="10735"/>
      <c r="Q483" s="10750"/>
      <c r="R483" s="5171"/>
      <c r="S483" s="5213"/>
      <c r="T483" s="5213"/>
      <c r="U483" s="5247"/>
      <c r="V483" s="5279"/>
      <c r="W483" s="5300"/>
      <c r="X483" s="7473"/>
      <c r="Y483" s="7473"/>
      <c r="Z483" s="7473"/>
      <c r="AA483" s="7474"/>
      <c r="AB483" s="5323"/>
      <c r="AC483" s="1396"/>
      <c r="AD483" s="5300"/>
      <c r="AE483" s="5346"/>
      <c r="AF483" s="5346"/>
      <c r="AG483" s="10777"/>
      <c r="AH483" s="1758"/>
      <c r="AI483" s="1758"/>
      <c r="AJ483" s="1758"/>
      <c r="AK483" s="1758"/>
      <c r="AL483" s="1758"/>
      <c r="AM483" s="1758"/>
      <c r="AN483" s="1758"/>
      <c r="AO483" s="1758"/>
      <c r="AP483" s="1758"/>
      <c r="AQ483" s="1758"/>
      <c r="AR483" s="1758"/>
      <c r="AS483" s="1758"/>
      <c r="AT483" s="1758"/>
      <c r="AU483" s="1758"/>
      <c r="AV483" s="1758"/>
      <c r="AW483" s="1758"/>
      <c r="AX483" s="1758"/>
      <c r="AY483" s="1758"/>
      <c r="AZ483" s="1758"/>
      <c r="BA483" s="1758"/>
      <c r="BB483" s="1758"/>
      <c r="BC483" s="1758"/>
      <c r="BD483" s="1758"/>
      <c r="BE483" s="1758"/>
      <c r="BF483" s="1758"/>
      <c r="BG483" s="1758"/>
      <c r="BH483" s="1758"/>
      <c r="BI483" s="1758"/>
      <c r="BJ483" s="1758"/>
      <c r="BK483" s="1758"/>
      <c r="BL483" s="1758"/>
      <c r="BM483" s="1758"/>
      <c r="BN483" s="1758"/>
      <c r="BO483" s="1758"/>
      <c r="BP483" s="1758"/>
      <c r="BQ483" s="1758"/>
      <c r="BR483" s="1758"/>
      <c r="BS483" s="1758"/>
      <c r="BT483" s="1758"/>
      <c r="BU483" s="1758"/>
      <c r="BV483" s="1758"/>
      <c r="BW483" s="1758"/>
      <c r="BX483" s="1758"/>
      <c r="BY483" s="1758"/>
      <c r="BZ483" s="1758"/>
      <c r="CA483" s="1758"/>
      <c r="CB483" s="1758"/>
      <c r="CC483" s="1758"/>
      <c r="CD483" s="1758"/>
      <c r="CE483" s="1758"/>
      <c r="CF483" s="1758"/>
      <c r="CG483" s="1758"/>
      <c r="CH483" s="1758"/>
      <c r="CI483" s="1758"/>
      <c r="CJ483" s="1758"/>
      <c r="CK483" s="1758"/>
      <c r="CL483" s="1758"/>
      <c r="CM483" s="1758"/>
      <c r="CN483" s="1758"/>
      <c r="CO483" s="1758"/>
      <c r="CP483" s="1758"/>
      <c r="CQ483" s="1758"/>
      <c r="CR483" s="1758"/>
      <c r="CS483" s="1758"/>
      <c r="CT483" s="1758"/>
      <c r="CU483" s="1758"/>
      <c r="CV483" s="1758"/>
      <c r="CW483" s="1758"/>
      <c r="CX483" s="1758"/>
      <c r="CY483" s="1758"/>
      <c r="CZ483" s="1758"/>
      <c r="DA483" s="1758"/>
      <c r="DB483" s="1758"/>
      <c r="DC483" s="1758"/>
    </row>
    <row r="484" spans="1:107" s="1395" customFormat="1" ht="20.25" customHeight="1">
      <c r="A484" s="10827"/>
      <c r="B484" s="10731"/>
      <c r="C484" s="10728"/>
      <c r="D484" s="10728"/>
      <c r="E484" s="10728"/>
      <c r="F484" s="10744"/>
      <c r="G484" s="10728"/>
      <c r="H484" s="10728"/>
      <c r="I484" s="10728"/>
      <c r="J484" s="10728"/>
      <c r="K484" s="10735"/>
      <c r="L484" s="10738"/>
      <c r="M484" s="10738"/>
      <c r="N484" s="10738"/>
      <c r="O484" s="10735"/>
      <c r="P484" s="10735"/>
      <c r="Q484" s="10750"/>
      <c r="R484" s="5174"/>
      <c r="S484" s="5214"/>
      <c r="T484" s="5214"/>
      <c r="U484" s="5250"/>
      <c r="V484" s="5281"/>
      <c r="W484" s="5302"/>
      <c r="X484" s="7477"/>
      <c r="Y484" s="7473"/>
      <c r="Z484" s="7473"/>
      <c r="AA484" s="7474"/>
      <c r="AB484" s="5323"/>
      <c r="AC484" s="1396"/>
      <c r="AD484" s="5300"/>
      <c r="AE484" s="5346"/>
      <c r="AF484" s="5346"/>
      <c r="AG484" s="10777"/>
      <c r="AH484" s="1758"/>
      <c r="AI484" s="1758"/>
      <c r="AJ484" s="1758"/>
      <c r="AK484" s="1758"/>
      <c r="AL484" s="1758"/>
      <c r="AM484" s="1758"/>
      <c r="AN484" s="1758"/>
      <c r="AO484" s="1758"/>
      <c r="AP484" s="1758"/>
      <c r="AQ484" s="1758"/>
      <c r="AR484" s="1758"/>
      <c r="AS484" s="1758"/>
      <c r="AT484" s="1758"/>
      <c r="AU484" s="1758"/>
      <c r="AV484" s="1758"/>
      <c r="AW484" s="1758"/>
      <c r="AX484" s="1758"/>
      <c r="AY484" s="1758"/>
      <c r="AZ484" s="1758"/>
      <c r="BA484" s="1758"/>
      <c r="BB484" s="1758"/>
      <c r="BC484" s="1758"/>
      <c r="BD484" s="1758"/>
      <c r="BE484" s="1758"/>
      <c r="BF484" s="1758"/>
      <c r="BG484" s="1758"/>
      <c r="BH484" s="1758"/>
      <c r="BI484" s="1758"/>
      <c r="BJ484" s="1758"/>
      <c r="BK484" s="1758"/>
      <c r="BL484" s="1758"/>
      <c r="BM484" s="1758"/>
      <c r="BN484" s="1758"/>
      <c r="BO484" s="1758"/>
      <c r="BP484" s="1758"/>
      <c r="BQ484" s="1758"/>
      <c r="BR484" s="1758"/>
      <c r="BS484" s="1758"/>
      <c r="BT484" s="1758"/>
      <c r="BU484" s="1758"/>
      <c r="BV484" s="1758"/>
      <c r="BW484" s="1758"/>
      <c r="BX484" s="1758"/>
      <c r="BY484" s="1758"/>
      <c r="BZ484" s="1758"/>
      <c r="CA484" s="1758"/>
      <c r="CB484" s="1758"/>
      <c r="CC484" s="1758"/>
      <c r="CD484" s="1758"/>
      <c r="CE484" s="1758"/>
      <c r="CF484" s="1758"/>
      <c r="CG484" s="1758"/>
      <c r="CH484" s="1758"/>
      <c r="CI484" s="1758"/>
      <c r="CJ484" s="1758"/>
      <c r="CK484" s="1758"/>
      <c r="CL484" s="1758"/>
      <c r="CM484" s="1758"/>
      <c r="CN484" s="1758"/>
      <c r="CO484" s="1758"/>
      <c r="CP484" s="1758"/>
      <c r="CQ484" s="1758"/>
      <c r="CR484" s="1758"/>
      <c r="CS484" s="1758"/>
      <c r="CT484" s="1758"/>
      <c r="CU484" s="1758"/>
      <c r="CV484" s="1758"/>
      <c r="CW484" s="1758"/>
      <c r="CX484" s="1758"/>
      <c r="CY484" s="1758"/>
      <c r="CZ484" s="1758"/>
      <c r="DA484" s="1758"/>
      <c r="DB484" s="1758"/>
      <c r="DC484" s="1758"/>
    </row>
    <row r="485" spans="1:107" s="1395" customFormat="1" ht="20.25" customHeight="1">
      <c r="A485" s="10827"/>
      <c r="B485" s="10731"/>
      <c r="C485" s="10728"/>
      <c r="D485" s="10728"/>
      <c r="E485" s="10728"/>
      <c r="F485" s="10744"/>
      <c r="G485" s="10728"/>
      <c r="H485" s="10728"/>
      <c r="I485" s="10728"/>
      <c r="J485" s="10728"/>
      <c r="K485" s="10735"/>
      <c r="L485" s="10738"/>
      <c r="M485" s="10738"/>
      <c r="N485" s="10738"/>
      <c r="O485" s="10735"/>
      <c r="P485" s="10735"/>
      <c r="Q485" s="10750"/>
      <c r="R485" s="5173"/>
      <c r="S485" s="5212"/>
      <c r="T485" s="5212"/>
      <c r="U485" s="5250"/>
      <c r="V485" s="5281"/>
      <c r="W485" s="5302"/>
      <c r="X485" s="7477"/>
      <c r="Y485" s="7473"/>
      <c r="Z485" s="7473"/>
      <c r="AA485" s="7474"/>
      <c r="AB485" s="5323"/>
      <c r="AC485" s="1396"/>
      <c r="AD485" s="5300"/>
      <c r="AE485" s="5346"/>
      <c r="AF485" s="5346"/>
      <c r="AG485" s="10777"/>
      <c r="AH485" s="1758"/>
      <c r="AI485" s="1758"/>
      <c r="AJ485" s="1758"/>
      <c r="AK485" s="1758"/>
      <c r="AL485" s="1758"/>
      <c r="AM485" s="1758"/>
      <c r="AN485" s="1758"/>
      <c r="AO485" s="1758"/>
      <c r="AP485" s="1758"/>
      <c r="AQ485" s="1758"/>
      <c r="AR485" s="1758"/>
      <c r="AS485" s="1758"/>
      <c r="AT485" s="1758"/>
      <c r="AU485" s="1758"/>
      <c r="AV485" s="1758"/>
      <c r="AW485" s="1758"/>
      <c r="AX485" s="1758"/>
      <c r="AY485" s="1758"/>
      <c r="AZ485" s="1758"/>
      <c r="BA485" s="1758"/>
      <c r="BB485" s="1758"/>
      <c r="BC485" s="1758"/>
      <c r="BD485" s="1758"/>
      <c r="BE485" s="1758"/>
      <c r="BF485" s="1758"/>
      <c r="BG485" s="1758"/>
      <c r="BH485" s="1758"/>
      <c r="BI485" s="1758"/>
      <c r="BJ485" s="1758"/>
      <c r="BK485" s="1758"/>
      <c r="BL485" s="1758"/>
      <c r="BM485" s="1758"/>
      <c r="BN485" s="1758"/>
      <c r="BO485" s="1758"/>
      <c r="BP485" s="1758"/>
      <c r="BQ485" s="1758"/>
      <c r="BR485" s="1758"/>
      <c r="BS485" s="1758"/>
      <c r="BT485" s="1758"/>
      <c r="BU485" s="1758"/>
      <c r="BV485" s="1758"/>
      <c r="BW485" s="1758"/>
      <c r="BX485" s="1758"/>
      <c r="BY485" s="1758"/>
      <c r="BZ485" s="1758"/>
      <c r="CA485" s="1758"/>
      <c r="CB485" s="1758"/>
      <c r="CC485" s="1758"/>
      <c r="CD485" s="1758"/>
      <c r="CE485" s="1758"/>
      <c r="CF485" s="1758"/>
      <c r="CG485" s="1758"/>
      <c r="CH485" s="1758"/>
      <c r="CI485" s="1758"/>
      <c r="CJ485" s="1758"/>
      <c r="CK485" s="1758"/>
      <c r="CL485" s="1758"/>
      <c r="CM485" s="1758"/>
      <c r="CN485" s="1758"/>
      <c r="CO485" s="1758"/>
      <c r="CP485" s="1758"/>
      <c r="CQ485" s="1758"/>
      <c r="CR485" s="1758"/>
      <c r="CS485" s="1758"/>
      <c r="CT485" s="1758"/>
      <c r="CU485" s="1758"/>
      <c r="CV485" s="1758"/>
      <c r="CW485" s="1758"/>
      <c r="CX485" s="1758"/>
      <c r="CY485" s="1758"/>
      <c r="CZ485" s="1758"/>
      <c r="DA485" s="1758"/>
      <c r="DB485" s="1758"/>
      <c r="DC485" s="1758"/>
    </row>
    <row r="486" spans="1:107" s="1395" customFormat="1" ht="20.25" customHeight="1">
      <c r="A486" s="10827"/>
      <c r="B486" s="10732"/>
      <c r="C486" s="10729"/>
      <c r="D486" s="10729"/>
      <c r="E486" s="10729"/>
      <c r="F486" s="10745"/>
      <c r="G486" s="10729"/>
      <c r="H486" s="10729"/>
      <c r="I486" s="10729"/>
      <c r="J486" s="10729"/>
      <c r="K486" s="10736"/>
      <c r="L486" s="10739"/>
      <c r="M486" s="10739"/>
      <c r="N486" s="10739"/>
      <c r="O486" s="10736"/>
      <c r="P486" s="10736"/>
      <c r="Q486" s="10751"/>
      <c r="R486" s="5175"/>
      <c r="S486" s="5215"/>
      <c r="T486" s="5215"/>
      <c r="U486" s="5251"/>
      <c r="V486" s="5282"/>
      <c r="W486" s="5303"/>
      <c r="X486" s="7479"/>
      <c r="Y486" s="7479"/>
      <c r="Z486" s="7479"/>
      <c r="AA486" s="7480"/>
      <c r="AB486" s="5326"/>
      <c r="AC486" s="1399"/>
      <c r="AD486" s="5303"/>
      <c r="AE486" s="5348"/>
      <c r="AF486" s="5348"/>
      <c r="AG486" s="10778"/>
      <c r="AH486" s="1758"/>
      <c r="AI486" s="1758"/>
      <c r="AJ486" s="1758"/>
      <c r="AK486" s="1758"/>
      <c r="AL486" s="1758"/>
      <c r="AM486" s="1758"/>
      <c r="AN486" s="1758"/>
      <c r="AO486" s="1758"/>
      <c r="AP486" s="1758"/>
      <c r="AQ486" s="1758"/>
      <c r="AR486" s="1758"/>
      <c r="AS486" s="1758"/>
      <c r="AT486" s="1758"/>
      <c r="AU486" s="1758"/>
      <c r="AV486" s="1758"/>
      <c r="AW486" s="1758"/>
      <c r="AX486" s="1758"/>
      <c r="AY486" s="1758"/>
      <c r="AZ486" s="1758"/>
      <c r="BA486" s="1758"/>
      <c r="BB486" s="1758"/>
      <c r="BC486" s="1758"/>
      <c r="BD486" s="1758"/>
      <c r="BE486" s="1758"/>
      <c r="BF486" s="1758"/>
      <c r="BG486" s="1758"/>
      <c r="BH486" s="1758"/>
      <c r="BI486" s="1758"/>
      <c r="BJ486" s="1758"/>
      <c r="BK486" s="1758"/>
      <c r="BL486" s="1758"/>
      <c r="BM486" s="1758"/>
      <c r="BN486" s="1758"/>
      <c r="BO486" s="1758"/>
      <c r="BP486" s="1758"/>
      <c r="BQ486" s="1758"/>
      <c r="BR486" s="1758"/>
      <c r="BS486" s="1758"/>
      <c r="BT486" s="1758"/>
      <c r="BU486" s="1758"/>
      <c r="BV486" s="1758"/>
      <c r="BW486" s="1758"/>
      <c r="BX486" s="1758"/>
      <c r="BY486" s="1758"/>
      <c r="BZ486" s="1758"/>
      <c r="CA486" s="1758"/>
      <c r="CB486" s="1758"/>
      <c r="CC486" s="1758"/>
      <c r="CD486" s="1758"/>
      <c r="CE486" s="1758"/>
      <c r="CF486" s="1758"/>
      <c r="CG486" s="1758"/>
      <c r="CH486" s="1758"/>
      <c r="CI486" s="1758"/>
      <c r="CJ486" s="1758"/>
      <c r="CK486" s="1758"/>
      <c r="CL486" s="1758"/>
      <c r="CM486" s="1758"/>
      <c r="CN486" s="1758"/>
      <c r="CO486" s="1758"/>
      <c r="CP486" s="1758"/>
      <c r="CQ486" s="1758"/>
      <c r="CR486" s="1758"/>
      <c r="CS486" s="1758"/>
      <c r="CT486" s="1758"/>
      <c r="CU486" s="1758"/>
      <c r="CV486" s="1758"/>
      <c r="CW486" s="1758"/>
      <c r="CX486" s="1758"/>
      <c r="CY486" s="1758"/>
      <c r="CZ486" s="1758"/>
      <c r="DA486" s="1758"/>
      <c r="DB486" s="1758"/>
      <c r="DC486" s="1758"/>
    </row>
    <row r="487" spans="1:107" s="6132" customFormat="1" ht="22.5" customHeight="1">
      <c r="A487" s="6241"/>
      <c r="B487" s="6127"/>
      <c r="C487" s="6127"/>
      <c r="D487" s="6127"/>
      <c r="E487" s="6127"/>
      <c r="F487" s="6127"/>
      <c r="G487" s="6127"/>
      <c r="H487" s="6127"/>
      <c r="I487" s="6127"/>
      <c r="J487" s="6127"/>
      <c r="K487" s="6127"/>
      <c r="L487" s="6128"/>
      <c r="M487" s="6128"/>
      <c r="N487" s="6128"/>
      <c r="O487" s="6127"/>
      <c r="P487" s="6127"/>
      <c r="Q487" s="6129"/>
      <c r="R487" s="5391" t="s">
        <v>5108</v>
      </c>
      <c r="S487" s="5396"/>
      <c r="T487" s="5396"/>
      <c r="U487" s="5395"/>
      <c r="V487" s="7466"/>
      <c r="W487" s="5395"/>
      <c r="X487" s="5396"/>
      <c r="Y487" s="5396"/>
      <c r="Z487" s="5394" t="s">
        <v>292</v>
      </c>
      <c r="AA487" s="7468">
        <f>SUM(AA412:AA486)</f>
        <v>30559.929919999999</v>
      </c>
      <c r="AB487" s="6130"/>
      <c r="AC487" s="6131"/>
      <c r="AD487" s="10789"/>
      <c r="AE487" s="10790"/>
      <c r="AF487" s="10790"/>
      <c r="AG487" s="10791"/>
    </row>
    <row r="488" spans="1:107" s="1395" customFormat="1" ht="26.25" customHeight="1">
      <c r="A488" s="10826" t="s">
        <v>5109</v>
      </c>
      <c r="B488" s="10730" t="s">
        <v>127</v>
      </c>
      <c r="C488" s="10733" t="s">
        <v>128</v>
      </c>
      <c r="D488" s="10733" t="s">
        <v>129</v>
      </c>
      <c r="E488" s="10733" t="s">
        <v>205</v>
      </c>
      <c r="F488" s="10752" t="s">
        <v>131</v>
      </c>
      <c r="G488" s="10733" t="s">
        <v>132</v>
      </c>
      <c r="H488" s="10733" t="s">
        <v>159</v>
      </c>
      <c r="I488" s="10733" t="s">
        <v>4983</v>
      </c>
      <c r="J488" s="10733" t="s">
        <v>4609</v>
      </c>
      <c r="K488" s="10747" t="s">
        <v>4984</v>
      </c>
      <c r="L488" s="10746">
        <v>0</v>
      </c>
      <c r="M488" s="10746">
        <v>1</v>
      </c>
      <c r="N488" s="10746">
        <v>1</v>
      </c>
      <c r="O488" s="10747" t="s">
        <v>4985</v>
      </c>
      <c r="P488" s="10747" t="s">
        <v>4986</v>
      </c>
      <c r="Q488" s="10792" t="s">
        <v>5110</v>
      </c>
      <c r="R488" s="5182"/>
      <c r="S488" s="5222"/>
      <c r="T488" s="5222"/>
      <c r="U488" s="5259"/>
      <c r="V488" s="5289"/>
      <c r="W488" s="5310"/>
      <c r="X488" s="7494"/>
      <c r="Y488" s="7494"/>
      <c r="Z488" s="7494"/>
      <c r="AA488" s="7495"/>
      <c r="AB488" s="5332"/>
      <c r="AC488" s="1405"/>
      <c r="AD488" s="5310"/>
      <c r="AE488" s="5345"/>
      <c r="AF488" s="5345"/>
      <c r="AG488" s="10780"/>
      <c r="AH488" s="1758"/>
      <c r="AI488" s="1758"/>
      <c r="AJ488" s="1758"/>
      <c r="AK488" s="1758"/>
      <c r="AL488" s="1758"/>
      <c r="AM488" s="1758"/>
      <c r="AN488" s="1758"/>
      <c r="AO488" s="1758"/>
      <c r="AP488" s="1758"/>
      <c r="AQ488" s="1758"/>
      <c r="AR488" s="1758"/>
      <c r="AS488" s="1758"/>
      <c r="AT488" s="1758"/>
      <c r="AU488" s="1758"/>
      <c r="AV488" s="1758"/>
      <c r="AW488" s="1758"/>
      <c r="AX488" s="1758"/>
      <c r="AY488" s="1758"/>
      <c r="AZ488" s="1758"/>
      <c r="BA488" s="1758"/>
      <c r="BB488" s="1758"/>
      <c r="BC488" s="1758"/>
      <c r="BD488" s="1758"/>
      <c r="BE488" s="1758"/>
      <c r="BF488" s="1758"/>
      <c r="BG488" s="1758"/>
      <c r="BH488" s="1758"/>
      <c r="BI488" s="1758"/>
      <c r="BJ488" s="1758"/>
      <c r="BK488" s="1758"/>
      <c r="BL488" s="1758"/>
      <c r="BM488" s="1758"/>
      <c r="BN488" s="1758"/>
      <c r="BO488" s="1758"/>
      <c r="BP488" s="1758"/>
      <c r="BQ488" s="1758"/>
      <c r="BR488" s="1758"/>
      <c r="BS488" s="1758"/>
      <c r="BT488" s="1758"/>
      <c r="BU488" s="1758"/>
      <c r="BV488" s="1758"/>
      <c r="BW488" s="1758"/>
      <c r="BX488" s="1758"/>
      <c r="BY488" s="1758"/>
      <c r="BZ488" s="1758"/>
      <c r="CA488" s="1758"/>
      <c r="CB488" s="1758"/>
      <c r="CC488" s="1758"/>
      <c r="CD488" s="1758"/>
      <c r="CE488" s="1758"/>
      <c r="CF488" s="1758"/>
      <c r="CG488" s="1758"/>
      <c r="CH488" s="1758"/>
      <c r="CI488" s="1758"/>
      <c r="CJ488" s="1758"/>
      <c r="CK488" s="1758"/>
      <c r="CL488" s="1758"/>
      <c r="CM488" s="1758"/>
      <c r="CN488" s="1758"/>
      <c r="CO488" s="1758"/>
      <c r="CP488" s="1758"/>
      <c r="CQ488" s="1758"/>
      <c r="CR488" s="1758"/>
      <c r="CS488" s="1758"/>
      <c r="CT488" s="1758"/>
      <c r="CU488" s="1758"/>
      <c r="CV488" s="1758"/>
      <c r="CW488" s="1758"/>
      <c r="CX488" s="1758"/>
      <c r="CY488" s="1758"/>
      <c r="CZ488" s="1758"/>
      <c r="DA488" s="1758"/>
      <c r="DB488" s="1758"/>
      <c r="DC488" s="1758"/>
    </row>
    <row r="489" spans="1:107" s="1395" customFormat="1" ht="26.25" customHeight="1">
      <c r="A489" s="10827"/>
      <c r="B489" s="10731"/>
      <c r="C489" s="10728"/>
      <c r="D489" s="10728"/>
      <c r="E489" s="10728"/>
      <c r="F489" s="10744"/>
      <c r="G489" s="10728"/>
      <c r="H489" s="10728"/>
      <c r="I489" s="10728"/>
      <c r="J489" s="10728"/>
      <c r="K489" s="10735"/>
      <c r="L489" s="10738"/>
      <c r="M489" s="10738"/>
      <c r="N489" s="10738"/>
      <c r="O489" s="10735"/>
      <c r="P489" s="10735"/>
      <c r="Q489" s="10750"/>
      <c r="R489" s="5171"/>
      <c r="S489" s="5213"/>
      <c r="T489" s="5213"/>
      <c r="U489" s="5247"/>
      <c r="V489" s="5279"/>
      <c r="W489" s="5300"/>
      <c r="X489" s="7473"/>
      <c r="Y489" s="7473"/>
      <c r="Z489" s="7473"/>
      <c r="AA489" s="7474"/>
      <c r="AB489" s="5323"/>
      <c r="AC489" s="1396"/>
      <c r="AD489" s="5300"/>
      <c r="AE489" s="5346"/>
      <c r="AF489" s="5346"/>
      <c r="AG489" s="10777"/>
      <c r="AH489" s="1758"/>
      <c r="AI489" s="1758"/>
      <c r="AJ489" s="1758"/>
      <c r="AK489" s="1758"/>
      <c r="AL489" s="1758"/>
      <c r="AM489" s="1758"/>
      <c r="AN489" s="1758"/>
      <c r="AO489" s="1758"/>
      <c r="AP489" s="1758"/>
      <c r="AQ489" s="1758"/>
      <c r="AR489" s="1758"/>
      <c r="AS489" s="1758"/>
      <c r="AT489" s="1758"/>
      <c r="AU489" s="1758"/>
      <c r="AV489" s="1758"/>
      <c r="AW489" s="1758"/>
      <c r="AX489" s="1758"/>
      <c r="AY489" s="1758"/>
      <c r="AZ489" s="1758"/>
      <c r="BA489" s="1758"/>
      <c r="BB489" s="1758"/>
      <c r="BC489" s="1758"/>
      <c r="BD489" s="1758"/>
      <c r="BE489" s="1758"/>
      <c r="BF489" s="1758"/>
      <c r="BG489" s="1758"/>
      <c r="BH489" s="1758"/>
      <c r="BI489" s="1758"/>
      <c r="BJ489" s="1758"/>
      <c r="BK489" s="1758"/>
      <c r="BL489" s="1758"/>
      <c r="BM489" s="1758"/>
      <c r="BN489" s="1758"/>
      <c r="BO489" s="1758"/>
      <c r="BP489" s="1758"/>
      <c r="BQ489" s="1758"/>
      <c r="BR489" s="1758"/>
      <c r="BS489" s="1758"/>
      <c r="BT489" s="1758"/>
      <c r="BU489" s="1758"/>
      <c r="BV489" s="1758"/>
      <c r="BW489" s="1758"/>
      <c r="BX489" s="1758"/>
      <c r="BY489" s="1758"/>
      <c r="BZ489" s="1758"/>
      <c r="CA489" s="1758"/>
      <c r="CB489" s="1758"/>
      <c r="CC489" s="1758"/>
      <c r="CD489" s="1758"/>
      <c r="CE489" s="1758"/>
      <c r="CF489" s="1758"/>
      <c r="CG489" s="1758"/>
      <c r="CH489" s="1758"/>
      <c r="CI489" s="1758"/>
      <c r="CJ489" s="1758"/>
      <c r="CK489" s="1758"/>
      <c r="CL489" s="1758"/>
      <c r="CM489" s="1758"/>
      <c r="CN489" s="1758"/>
      <c r="CO489" s="1758"/>
      <c r="CP489" s="1758"/>
      <c r="CQ489" s="1758"/>
      <c r="CR489" s="1758"/>
      <c r="CS489" s="1758"/>
      <c r="CT489" s="1758"/>
      <c r="CU489" s="1758"/>
      <c r="CV489" s="1758"/>
      <c r="CW489" s="1758"/>
      <c r="CX489" s="1758"/>
      <c r="CY489" s="1758"/>
      <c r="CZ489" s="1758"/>
      <c r="DA489" s="1758"/>
      <c r="DB489" s="1758"/>
      <c r="DC489" s="1758"/>
    </row>
    <row r="490" spans="1:107" s="1395" customFormat="1" ht="26.25" customHeight="1">
      <c r="A490" s="10827"/>
      <c r="B490" s="10731"/>
      <c r="C490" s="10728"/>
      <c r="D490" s="10728"/>
      <c r="E490" s="10728"/>
      <c r="F490" s="10744"/>
      <c r="G490" s="10728"/>
      <c r="H490" s="10728"/>
      <c r="I490" s="10728"/>
      <c r="J490" s="10728"/>
      <c r="K490" s="10735"/>
      <c r="L490" s="10738"/>
      <c r="M490" s="10738"/>
      <c r="N490" s="10738"/>
      <c r="O490" s="10735"/>
      <c r="P490" s="10735"/>
      <c r="Q490" s="10750"/>
      <c r="R490" s="5174"/>
      <c r="S490" s="5214"/>
      <c r="T490" s="5214"/>
      <c r="U490" s="5250"/>
      <c r="V490" s="5281"/>
      <c r="W490" s="5302"/>
      <c r="X490" s="7477"/>
      <c r="Y490" s="7473"/>
      <c r="Z490" s="7473"/>
      <c r="AA490" s="7474"/>
      <c r="AB490" s="5323"/>
      <c r="AC490" s="1396"/>
      <c r="AD490" s="5300"/>
      <c r="AE490" s="5346"/>
      <c r="AF490" s="5346"/>
      <c r="AG490" s="10777"/>
      <c r="AH490" s="1758"/>
      <c r="AI490" s="1758"/>
      <c r="AJ490" s="1758"/>
      <c r="AK490" s="1758"/>
      <c r="AL490" s="1758"/>
      <c r="AM490" s="1758"/>
      <c r="AN490" s="1758"/>
      <c r="AO490" s="1758"/>
      <c r="AP490" s="1758"/>
      <c r="AQ490" s="1758"/>
      <c r="AR490" s="1758"/>
      <c r="AS490" s="1758"/>
      <c r="AT490" s="1758"/>
      <c r="AU490" s="1758"/>
      <c r="AV490" s="1758"/>
      <c r="AW490" s="1758"/>
      <c r="AX490" s="1758"/>
      <c r="AY490" s="1758"/>
      <c r="AZ490" s="1758"/>
      <c r="BA490" s="1758"/>
      <c r="BB490" s="1758"/>
      <c r="BC490" s="1758"/>
      <c r="BD490" s="1758"/>
      <c r="BE490" s="1758"/>
      <c r="BF490" s="1758"/>
      <c r="BG490" s="1758"/>
      <c r="BH490" s="1758"/>
      <c r="BI490" s="1758"/>
      <c r="BJ490" s="1758"/>
      <c r="BK490" s="1758"/>
      <c r="BL490" s="1758"/>
      <c r="BM490" s="1758"/>
      <c r="BN490" s="1758"/>
      <c r="BO490" s="1758"/>
      <c r="BP490" s="1758"/>
      <c r="BQ490" s="1758"/>
      <c r="BR490" s="1758"/>
      <c r="BS490" s="1758"/>
      <c r="BT490" s="1758"/>
      <c r="BU490" s="1758"/>
      <c r="BV490" s="1758"/>
      <c r="BW490" s="1758"/>
      <c r="BX490" s="1758"/>
      <c r="BY490" s="1758"/>
      <c r="BZ490" s="1758"/>
      <c r="CA490" s="1758"/>
      <c r="CB490" s="1758"/>
      <c r="CC490" s="1758"/>
      <c r="CD490" s="1758"/>
      <c r="CE490" s="1758"/>
      <c r="CF490" s="1758"/>
      <c r="CG490" s="1758"/>
      <c r="CH490" s="1758"/>
      <c r="CI490" s="1758"/>
      <c r="CJ490" s="1758"/>
      <c r="CK490" s="1758"/>
      <c r="CL490" s="1758"/>
      <c r="CM490" s="1758"/>
      <c r="CN490" s="1758"/>
      <c r="CO490" s="1758"/>
      <c r="CP490" s="1758"/>
      <c r="CQ490" s="1758"/>
      <c r="CR490" s="1758"/>
      <c r="CS490" s="1758"/>
      <c r="CT490" s="1758"/>
      <c r="CU490" s="1758"/>
      <c r="CV490" s="1758"/>
      <c r="CW490" s="1758"/>
      <c r="CX490" s="1758"/>
      <c r="CY490" s="1758"/>
      <c r="CZ490" s="1758"/>
      <c r="DA490" s="1758"/>
      <c r="DB490" s="1758"/>
      <c r="DC490" s="1758"/>
    </row>
    <row r="491" spans="1:107" s="1395" customFormat="1" ht="26.25" customHeight="1">
      <c r="A491" s="10827"/>
      <c r="B491" s="10731"/>
      <c r="C491" s="10728"/>
      <c r="D491" s="10728"/>
      <c r="E491" s="10728"/>
      <c r="F491" s="10744"/>
      <c r="G491" s="10728"/>
      <c r="H491" s="10728"/>
      <c r="I491" s="10728"/>
      <c r="J491" s="10728"/>
      <c r="K491" s="10735"/>
      <c r="L491" s="10738"/>
      <c r="M491" s="10738"/>
      <c r="N491" s="10738"/>
      <c r="O491" s="10735"/>
      <c r="P491" s="10735"/>
      <c r="Q491" s="10750"/>
      <c r="R491" s="5173"/>
      <c r="S491" s="5212"/>
      <c r="T491" s="5212"/>
      <c r="U491" s="5250"/>
      <c r="V491" s="5281"/>
      <c r="W491" s="5302"/>
      <c r="X491" s="7477"/>
      <c r="Y491" s="7473"/>
      <c r="Z491" s="7473"/>
      <c r="AA491" s="7474"/>
      <c r="AB491" s="5323"/>
      <c r="AC491" s="1396"/>
      <c r="AD491" s="5300"/>
      <c r="AE491" s="5346"/>
      <c r="AF491" s="5346"/>
      <c r="AG491" s="10777"/>
      <c r="AH491" s="1758"/>
      <c r="AI491" s="1758"/>
      <c r="AJ491" s="1758"/>
      <c r="AK491" s="1758"/>
      <c r="AL491" s="1758"/>
      <c r="AM491" s="1758"/>
      <c r="AN491" s="1758"/>
      <c r="AO491" s="1758"/>
      <c r="AP491" s="1758"/>
      <c r="AQ491" s="1758"/>
      <c r="AR491" s="1758"/>
      <c r="AS491" s="1758"/>
      <c r="AT491" s="1758"/>
      <c r="AU491" s="1758"/>
      <c r="AV491" s="1758"/>
      <c r="AW491" s="1758"/>
      <c r="AX491" s="1758"/>
      <c r="AY491" s="1758"/>
      <c r="AZ491" s="1758"/>
      <c r="BA491" s="1758"/>
      <c r="BB491" s="1758"/>
      <c r="BC491" s="1758"/>
      <c r="BD491" s="1758"/>
      <c r="BE491" s="1758"/>
      <c r="BF491" s="1758"/>
      <c r="BG491" s="1758"/>
      <c r="BH491" s="1758"/>
      <c r="BI491" s="1758"/>
      <c r="BJ491" s="1758"/>
      <c r="BK491" s="1758"/>
      <c r="BL491" s="1758"/>
      <c r="BM491" s="1758"/>
      <c r="BN491" s="1758"/>
      <c r="BO491" s="1758"/>
      <c r="BP491" s="1758"/>
      <c r="BQ491" s="1758"/>
      <c r="BR491" s="1758"/>
      <c r="BS491" s="1758"/>
      <c r="BT491" s="1758"/>
      <c r="BU491" s="1758"/>
      <c r="BV491" s="1758"/>
      <c r="BW491" s="1758"/>
      <c r="BX491" s="1758"/>
      <c r="BY491" s="1758"/>
      <c r="BZ491" s="1758"/>
      <c r="CA491" s="1758"/>
      <c r="CB491" s="1758"/>
      <c r="CC491" s="1758"/>
      <c r="CD491" s="1758"/>
      <c r="CE491" s="1758"/>
      <c r="CF491" s="1758"/>
      <c r="CG491" s="1758"/>
      <c r="CH491" s="1758"/>
      <c r="CI491" s="1758"/>
      <c r="CJ491" s="1758"/>
      <c r="CK491" s="1758"/>
      <c r="CL491" s="1758"/>
      <c r="CM491" s="1758"/>
      <c r="CN491" s="1758"/>
      <c r="CO491" s="1758"/>
      <c r="CP491" s="1758"/>
      <c r="CQ491" s="1758"/>
      <c r="CR491" s="1758"/>
      <c r="CS491" s="1758"/>
      <c r="CT491" s="1758"/>
      <c r="CU491" s="1758"/>
      <c r="CV491" s="1758"/>
      <c r="CW491" s="1758"/>
      <c r="CX491" s="1758"/>
      <c r="CY491" s="1758"/>
      <c r="CZ491" s="1758"/>
      <c r="DA491" s="1758"/>
      <c r="DB491" s="1758"/>
      <c r="DC491" s="1758"/>
    </row>
    <row r="492" spans="1:107" s="1395" customFormat="1" ht="26.25" customHeight="1">
      <c r="A492" s="10827"/>
      <c r="B492" s="10732"/>
      <c r="C492" s="10729"/>
      <c r="D492" s="10729"/>
      <c r="E492" s="10729"/>
      <c r="F492" s="10745"/>
      <c r="G492" s="10729"/>
      <c r="H492" s="10729"/>
      <c r="I492" s="10729"/>
      <c r="J492" s="10729"/>
      <c r="K492" s="10736"/>
      <c r="L492" s="10739"/>
      <c r="M492" s="10739"/>
      <c r="N492" s="10739"/>
      <c r="O492" s="10736"/>
      <c r="P492" s="10736"/>
      <c r="Q492" s="10750"/>
      <c r="R492" s="5175"/>
      <c r="S492" s="5215"/>
      <c r="T492" s="5215"/>
      <c r="U492" s="5251"/>
      <c r="V492" s="5282"/>
      <c r="W492" s="5303"/>
      <c r="X492" s="7479"/>
      <c r="Y492" s="7479"/>
      <c r="Z492" s="7479"/>
      <c r="AA492" s="7480"/>
      <c r="AB492" s="5326"/>
      <c r="AC492" s="1399"/>
      <c r="AD492" s="5303"/>
      <c r="AE492" s="5348"/>
      <c r="AF492" s="5348"/>
      <c r="AG492" s="10778"/>
      <c r="AH492" s="1758"/>
      <c r="AI492" s="1758"/>
      <c r="AJ492" s="1758"/>
      <c r="AK492" s="1758"/>
      <c r="AL492" s="1758"/>
      <c r="AM492" s="1758"/>
      <c r="AN492" s="1758"/>
      <c r="AO492" s="1758"/>
      <c r="AP492" s="1758"/>
      <c r="AQ492" s="1758"/>
      <c r="AR492" s="1758"/>
      <c r="AS492" s="1758"/>
      <c r="AT492" s="1758"/>
      <c r="AU492" s="1758"/>
      <c r="AV492" s="1758"/>
      <c r="AW492" s="1758"/>
      <c r="AX492" s="1758"/>
      <c r="AY492" s="1758"/>
      <c r="AZ492" s="1758"/>
      <c r="BA492" s="1758"/>
      <c r="BB492" s="1758"/>
      <c r="BC492" s="1758"/>
      <c r="BD492" s="1758"/>
      <c r="BE492" s="1758"/>
      <c r="BF492" s="1758"/>
      <c r="BG492" s="1758"/>
      <c r="BH492" s="1758"/>
      <c r="BI492" s="1758"/>
      <c r="BJ492" s="1758"/>
      <c r="BK492" s="1758"/>
      <c r="BL492" s="1758"/>
      <c r="BM492" s="1758"/>
      <c r="BN492" s="1758"/>
      <c r="BO492" s="1758"/>
      <c r="BP492" s="1758"/>
      <c r="BQ492" s="1758"/>
      <c r="BR492" s="1758"/>
      <c r="BS492" s="1758"/>
      <c r="BT492" s="1758"/>
      <c r="BU492" s="1758"/>
      <c r="BV492" s="1758"/>
      <c r="BW492" s="1758"/>
      <c r="BX492" s="1758"/>
      <c r="BY492" s="1758"/>
      <c r="BZ492" s="1758"/>
      <c r="CA492" s="1758"/>
      <c r="CB492" s="1758"/>
      <c r="CC492" s="1758"/>
      <c r="CD492" s="1758"/>
      <c r="CE492" s="1758"/>
      <c r="CF492" s="1758"/>
      <c r="CG492" s="1758"/>
      <c r="CH492" s="1758"/>
      <c r="CI492" s="1758"/>
      <c r="CJ492" s="1758"/>
      <c r="CK492" s="1758"/>
      <c r="CL492" s="1758"/>
      <c r="CM492" s="1758"/>
      <c r="CN492" s="1758"/>
      <c r="CO492" s="1758"/>
      <c r="CP492" s="1758"/>
      <c r="CQ492" s="1758"/>
      <c r="CR492" s="1758"/>
      <c r="CS492" s="1758"/>
      <c r="CT492" s="1758"/>
      <c r="CU492" s="1758"/>
      <c r="CV492" s="1758"/>
      <c r="CW492" s="1758"/>
      <c r="CX492" s="1758"/>
      <c r="CY492" s="1758"/>
      <c r="CZ492" s="1758"/>
      <c r="DA492" s="1758"/>
      <c r="DB492" s="1758"/>
      <c r="DC492" s="1758"/>
    </row>
    <row r="493" spans="1:107" s="1395" customFormat="1" ht="25.5" customHeight="1">
      <c r="A493" s="10827"/>
      <c r="B493" s="10748" t="s">
        <v>127</v>
      </c>
      <c r="C493" s="10742" t="s">
        <v>128</v>
      </c>
      <c r="D493" s="10742" t="s">
        <v>129</v>
      </c>
      <c r="E493" s="10742" t="s">
        <v>205</v>
      </c>
      <c r="F493" s="10743" t="s">
        <v>131</v>
      </c>
      <c r="G493" s="10742" t="s">
        <v>132</v>
      </c>
      <c r="H493" s="10742" t="s">
        <v>159</v>
      </c>
      <c r="I493" s="10742" t="s">
        <v>4988</v>
      </c>
      <c r="J493" s="10742" t="s">
        <v>4615</v>
      </c>
      <c r="K493" s="10734" t="s">
        <v>4989</v>
      </c>
      <c r="L493" s="10737">
        <v>0</v>
      </c>
      <c r="M493" s="10737">
        <v>4</v>
      </c>
      <c r="N493" s="10737">
        <v>4</v>
      </c>
      <c r="O493" s="10734" t="s">
        <v>4990</v>
      </c>
      <c r="P493" s="10734" t="s">
        <v>4991</v>
      </c>
      <c r="Q493" s="10740" t="s">
        <v>5110</v>
      </c>
      <c r="R493" s="5173"/>
      <c r="S493" s="5212"/>
      <c r="T493" s="5212"/>
      <c r="U493" s="5249"/>
      <c r="V493" s="5281"/>
      <c r="W493" s="5302"/>
      <c r="X493" s="7477"/>
      <c r="Y493" s="7477"/>
      <c r="Z493" s="7477"/>
      <c r="AA493" s="7478"/>
      <c r="AB493" s="5325"/>
      <c r="AC493" s="1398"/>
      <c r="AD493" s="5302"/>
      <c r="AE493" s="5349"/>
      <c r="AF493" s="5349"/>
      <c r="AG493" s="10779" t="s">
        <v>4993</v>
      </c>
      <c r="AH493" s="1758"/>
      <c r="AI493" s="1758"/>
      <c r="AJ493" s="1758"/>
      <c r="AK493" s="1758"/>
      <c r="AL493" s="1758"/>
      <c r="AM493" s="1758"/>
      <c r="AN493" s="1758"/>
      <c r="AO493" s="1758"/>
      <c r="AP493" s="1758"/>
      <c r="AQ493" s="1758"/>
      <c r="AR493" s="1758"/>
      <c r="AS493" s="1758"/>
      <c r="AT493" s="1758"/>
      <c r="AU493" s="1758"/>
      <c r="AV493" s="1758"/>
      <c r="AW493" s="1758"/>
      <c r="AX493" s="1758"/>
      <c r="AY493" s="1758"/>
      <c r="AZ493" s="1758"/>
      <c r="BA493" s="1758"/>
      <c r="BB493" s="1758"/>
      <c r="BC493" s="1758"/>
      <c r="BD493" s="1758"/>
      <c r="BE493" s="1758"/>
      <c r="BF493" s="1758"/>
      <c r="BG493" s="1758"/>
      <c r="BH493" s="1758"/>
      <c r="BI493" s="1758"/>
      <c r="BJ493" s="1758"/>
      <c r="BK493" s="1758"/>
      <c r="BL493" s="1758"/>
      <c r="BM493" s="1758"/>
      <c r="BN493" s="1758"/>
      <c r="BO493" s="1758"/>
      <c r="BP493" s="1758"/>
      <c r="BQ493" s="1758"/>
      <c r="BR493" s="1758"/>
      <c r="BS493" s="1758"/>
      <c r="BT493" s="1758"/>
      <c r="BU493" s="1758"/>
      <c r="BV493" s="1758"/>
      <c r="BW493" s="1758"/>
      <c r="BX493" s="1758"/>
      <c r="BY493" s="1758"/>
      <c r="BZ493" s="1758"/>
      <c r="CA493" s="1758"/>
      <c r="CB493" s="1758"/>
      <c r="CC493" s="1758"/>
      <c r="CD493" s="1758"/>
      <c r="CE493" s="1758"/>
      <c r="CF493" s="1758"/>
      <c r="CG493" s="1758"/>
      <c r="CH493" s="1758"/>
      <c r="CI493" s="1758"/>
      <c r="CJ493" s="1758"/>
      <c r="CK493" s="1758"/>
      <c r="CL493" s="1758"/>
      <c r="CM493" s="1758"/>
      <c r="CN493" s="1758"/>
      <c r="CO493" s="1758"/>
      <c r="CP493" s="1758"/>
      <c r="CQ493" s="1758"/>
      <c r="CR493" s="1758"/>
      <c r="CS493" s="1758"/>
      <c r="CT493" s="1758"/>
      <c r="CU493" s="1758"/>
      <c r="CV493" s="1758"/>
      <c r="CW493" s="1758"/>
      <c r="CX493" s="1758"/>
      <c r="CY493" s="1758"/>
      <c r="CZ493" s="1758"/>
      <c r="DA493" s="1758"/>
      <c r="DB493" s="1758"/>
      <c r="DC493" s="1758"/>
    </row>
    <row r="494" spans="1:107" s="1395" customFormat="1" ht="25.5" customHeight="1">
      <c r="A494" s="10827"/>
      <c r="B494" s="10731"/>
      <c r="C494" s="10728"/>
      <c r="D494" s="10728"/>
      <c r="E494" s="10728"/>
      <c r="F494" s="10744"/>
      <c r="G494" s="10728"/>
      <c r="H494" s="10728"/>
      <c r="I494" s="10728"/>
      <c r="J494" s="10728"/>
      <c r="K494" s="10735"/>
      <c r="L494" s="10738"/>
      <c r="M494" s="10738"/>
      <c r="N494" s="10738"/>
      <c r="O494" s="10735"/>
      <c r="P494" s="10735"/>
      <c r="Q494" s="10741"/>
      <c r="R494" s="5171"/>
      <c r="S494" s="5213"/>
      <c r="T494" s="5213"/>
      <c r="U494" s="5247"/>
      <c r="V494" s="5279"/>
      <c r="W494" s="5300"/>
      <c r="X494" s="7473"/>
      <c r="Y494" s="7473"/>
      <c r="Z494" s="7473"/>
      <c r="AA494" s="7474"/>
      <c r="AB494" s="5323"/>
      <c r="AC494" s="1396"/>
      <c r="AD494" s="5300"/>
      <c r="AE494" s="5346"/>
      <c r="AF494" s="5346"/>
      <c r="AG494" s="10777"/>
      <c r="AH494" s="1758"/>
      <c r="AI494" s="1758"/>
      <c r="AJ494" s="1758"/>
      <c r="AK494" s="1758"/>
      <c r="AL494" s="1758"/>
      <c r="AM494" s="1758"/>
      <c r="AN494" s="1758"/>
      <c r="AO494" s="1758"/>
      <c r="AP494" s="1758"/>
      <c r="AQ494" s="1758"/>
      <c r="AR494" s="1758"/>
      <c r="AS494" s="1758"/>
      <c r="AT494" s="1758"/>
      <c r="AU494" s="1758"/>
      <c r="AV494" s="1758"/>
      <c r="AW494" s="1758"/>
      <c r="AX494" s="1758"/>
      <c r="AY494" s="1758"/>
      <c r="AZ494" s="1758"/>
      <c r="BA494" s="1758"/>
      <c r="BB494" s="1758"/>
      <c r="BC494" s="1758"/>
      <c r="BD494" s="1758"/>
      <c r="BE494" s="1758"/>
      <c r="BF494" s="1758"/>
      <c r="BG494" s="1758"/>
      <c r="BH494" s="1758"/>
      <c r="BI494" s="1758"/>
      <c r="BJ494" s="1758"/>
      <c r="BK494" s="1758"/>
      <c r="BL494" s="1758"/>
      <c r="BM494" s="1758"/>
      <c r="BN494" s="1758"/>
      <c r="BO494" s="1758"/>
      <c r="BP494" s="1758"/>
      <c r="BQ494" s="1758"/>
      <c r="BR494" s="1758"/>
      <c r="BS494" s="1758"/>
      <c r="BT494" s="1758"/>
      <c r="BU494" s="1758"/>
      <c r="BV494" s="1758"/>
      <c r="BW494" s="1758"/>
      <c r="BX494" s="1758"/>
      <c r="BY494" s="1758"/>
      <c r="BZ494" s="1758"/>
      <c r="CA494" s="1758"/>
      <c r="CB494" s="1758"/>
      <c r="CC494" s="1758"/>
      <c r="CD494" s="1758"/>
      <c r="CE494" s="1758"/>
      <c r="CF494" s="1758"/>
      <c r="CG494" s="1758"/>
      <c r="CH494" s="1758"/>
      <c r="CI494" s="1758"/>
      <c r="CJ494" s="1758"/>
      <c r="CK494" s="1758"/>
      <c r="CL494" s="1758"/>
      <c r="CM494" s="1758"/>
      <c r="CN494" s="1758"/>
      <c r="CO494" s="1758"/>
      <c r="CP494" s="1758"/>
      <c r="CQ494" s="1758"/>
      <c r="CR494" s="1758"/>
      <c r="CS494" s="1758"/>
      <c r="CT494" s="1758"/>
      <c r="CU494" s="1758"/>
      <c r="CV494" s="1758"/>
      <c r="CW494" s="1758"/>
      <c r="CX494" s="1758"/>
      <c r="CY494" s="1758"/>
      <c r="CZ494" s="1758"/>
      <c r="DA494" s="1758"/>
      <c r="DB494" s="1758"/>
      <c r="DC494" s="1758"/>
    </row>
    <row r="495" spans="1:107" s="1395" customFormat="1" ht="25.5" customHeight="1">
      <c r="A495" s="10827"/>
      <c r="B495" s="10731"/>
      <c r="C495" s="10728"/>
      <c r="D495" s="10728"/>
      <c r="E495" s="10728"/>
      <c r="F495" s="10744"/>
      <c r="G495" s="10728"/>
      <c r="H495" s="10728"/>
      <c r="I495" s="10728"/>
      <c r="J495" s="10728"/>
      <c r="K495" s="10735"/>
      <c r="L495" s="10738"/>
      <c r="M495" s="10738"/>
      <c r="N495" s="10738"/>
      <c r="O495" s="10735"/>
      <c r="P495" s="10735"/>
      <c r="Q495" s="10741"/>
      <c r="R495" s="5174"/>
      <c r="S495" s="5214"/>
      <c r="T495" s="5214"/>
      <c r="U495" s="5250"/>
      <c r="V495" s="5281"/>
      <c r="W495" s="5302"/>
      <c r="X495" s="7477"/>
      <c r="Y495" s="7473"/>
      <c r="Z495" s="7473"/>
      <c r="AA495" s="7474"/>
      <c r="AB495" s="5323"/>
      <c r="AC495" s="1396"/>
      <c r="AD495" s="5300"/>
      <c r="AE495" s="5346"/>
      <c r="AF495" s="5346"/>
      <c r="AG495" s="10777"/>
      <c r="AH495" s="1758"/>
      <c r="AI495" s="1758"/>
      <c r="AJ495" s="1758"/>
      <c r="AK495" s="1758"/>
      <c r="AL495" s="1758"/>
      <c r="AM495" s="1758"/>
      <c r="AN495" s="1758"/>
      <c r="AO495" s="1758"/>
      <c r="AP495" s="1758"/>
      <c r="AQ495" s="1758"/>
      <c r="AR495" s="1758"/>
      <c r="AS495" s="1758"/>
      <c r="AT495" s="1758"/>
      <c r="AU495" s="1758"/>
      <c r="AV495" s="1758"/>
      <c r="AW495" s="1758"/>
      <c r="AX495" s="1758"/>
      <c r="AY495" s="1758"/>
      <c r="AZ495" s="1758"/>
      <c r="BA495" s="1758"/>
      <c r="BB495" s="1758"/>
      <c r="BC495" s="1758"/>
      <c r="BD495" s="1758"/>
      <c r="BE495" s="1758"/>
      <c r="BF495" s="1758"/>
      <c r="BG495" s="1758"/>
      <c r="BH495" s="1758"/>
      <c r="BI495" s="1758"/>
      <c r="BJ495" s="1758"/>
      <c r="BK495" s="1758"/>
      <c r="BL495" s="1758"/>
      <c r="BM495" s="1758"/>
      <c r="BN495" s="1758"/>
      <c r="BO495" s="1758"/>
      <c r="BP495" s="1758"/>
      <c r="BQ495" s="1758"/>
      <c r="BR495" s="1758"/>
      <c r="BS495" s="1758"/>
      <c r="BT495" s="1758"/>
      <c r="BU495" s="1758"/>
      <c r="BV495" s="1758"/>
      <c r="BW495" s="1758"/>
      <c r="BX495" s="1758"/>
      <c r="BY495" s="1758"/>
      <c r="BZ495" s="1758"/>
      <c r="CA495" s="1758"/>
      <c r="CB495" s="1758"/>
      <c r="CC495" s="1758"/>
      <c r="CD495" s="1758"/>
      <c r="CE495" s="1758"/>
      <c r="CF495" s="1758"/>
      <c r="CG495" s="1758"/>
      <c r="CH495" s="1758"/>
      <c r="CI495" s="1758"/>
      <c r="CJ495" s="1758"/>
      <c r="CK495" s="1758"/>
      <c r="CL495" s="1758"/>
      <c r="CM495" s="1758"/>
      <c r="CN495" s="1758"/>
      <c r="CO495" s="1758"/>
      <c r="CP495" s="1758"/>
      <c r="CQ495" s="1758"/>
      <c r="CR495" s="1758"/>
      <c r="CS495" s="1758"/>
      <c r="CT495" s="1758"/>
      <c r="CU495" s="1758"/>
      <c r="CV495" s="1758"/>
      <c r="CW495" s="1758"/>
      <c r="CX495" s="1758"/>
      <c r="CY495" s="1758"/>
      <c r="CZ495" s="1758"/>
      <c r="DA495" s="1758"/>
      <c r="DB495" s="1758"/>
      <c r="DC495" s="1758"/>
    </row>
    <row r="496" spans="1:107" s="1395" customFormat="1" ht="25.5" customHeight="1">
      <c r="A496" s="10827"/>
      <c r="B496" s="10731"/>
      <c r="C496" s="10728"/>
      <c r="D496" s="10728"/>
      <c r="E496" s="10728"/>
      <c r="F496" s="10744"/>
      <c r="G496" s="10728"/>
      <c r="H496" s="10728"/>
      <c r="I496" s="10728"/>
      <c r="J496" s="10728"/>
      <c r="K496" s="10735"/>
      <c r="L496" s="10738"/>
      <c r="M496" s="10738"/>
      <c r="N496" s="10738"/>
      <c r="O496" s="10735"/>
      <c r="P496" s="10735"/>
      <c r="Q496" s="10741"/>
      <c r="R496" s="5173"/>
      <c r="S496" s="5212"/>
      <c r="T496" s="5212"/>
      <c r="U496" s="5250"/>
      <c r="V496" s="5281"/>
      <c r="W496" s="5302"/>
      <c r="X496" s="7477"/>
      <c r="Y496" s="7473"/>
      <c r="Z496" s="7473"/>
      <c r="AA496" s="7474"/>
      <c r="AB496" s="5323"/>
      <c r="AC496" s="1396"/>
      <c r="AD496" s="5300"/>
      <c r="AE496" s="5346"/>
      <c r="AF496" s="5346"/>
      <c r="AG496" s="10777"/>
      <c r="AH496" s="1758"/>
      <c r="AI496" s="1758"/>
      <c r="AJ496" s="1758"/>
      <c r="AK496" s="1758"/>
      <c r="AL496" s="1758"/>
      <c r="AM496" s="1758"/>
      <c r="AN496" s="1758"/>
      <c r="AO496" s="1758"/>
      <c r="AP496" s="1758"/>
      <c r="AQ496" s="1758"/>
      <c r="AR496" s="1758"/>
      <c r="AS496" s="1758"/>
      <c r="AT496" s="1758"/>
      <c r="AU496" s="1758"/>
      <c r="AV496" s="1758"/>
      <c r="AW496" s="1758"/>
      <c r="AX496" s="1758"/>
      <c r="AY496" s="1758"/>
      <c r="AZ496" s="1758"/>
      <c r="BA496" s="1758"/>
      <c r="BB496" s="1758"/>
      <c r="BC496" s="1758"/>
      <c r="BD496" s="1758"/>
      <c r="BE496" s="1758"/>
      <c r="BF496" s="1758"/>
      <c r="BG496" s="1758"/>
      <c r="BH496" s="1758"/>
      <c r="BI496" s="1758"/>
      <c r="BJ496" s="1758"/>
      <c r="BK496" s="1758"/>
      <c r="BL496" s="1758"/>
      <c r="BM496" s="1758"/>
      <c r="BN496" s="1758"/>
      <c r="BO496" s="1758"/>
      <c r="BP496" s="1758"/>
      <c r="BQ496" s="1758"/>
      <c r="BR496" s="1758"/>
      <c r="BS496" s="1758"/>
      <c r="BT496" s="1758"/>
      <c r="BU496" s="1758"/>
      <c r="BV496" s="1758"/>
      <c r="BW496" s="1758"/>
      <c r="BX496" s="1758"/>
      <c r="BY496" s="1758"/>
      <c r="BZ496" s="1758"/>
      <c r="CA496" s="1758"/>
      <c r="CB496" s="1758"/>
      <c r="CC496" s="1758"/>
      <c r="CD496" s="1758"/>
      <c r="CE496" s="1758"/>
      <c r="CF496" s="1758"/>
      <c r="CG496" s="1758"/>
      <c r="CH496" s="1758"/>
      <c r="CI496" s="1758"/>
      <c r="CJ496" s="1758"/>
      <c r="CK496" s="1758"/>
      <c r="CL496" s="1758"/>
      <c r="CM496" s="1758"/>
      <c r="CN496" s="1758"/>
      <c r="CO496" s="1758"/>
      <c r="CP496" s="1758"/>
      <c r="CQ496" s="1758"/>
      <c r="CR496" s="1758"/>
      <c r="CS496" s="1758"/>
      <c r="CT496" s="1758"/>
      <c r="CU496" s="1758"/>
      <c r="CV496" s="1758"/>
      <c r="CW496" s="1758"/>
      <c r="CX496" s="1758"/>
      <c r="CY496" s="1758"/>
      <c r="CZ496" s="1758"/>
      <c r="DA496" s="1758"/>
      <c r="DB496" s="1758"/>
      <c r="DC496" s="1758"/>
    </row>
    <row r="497" spans="1:107" s="1395" customFormat="1" ht="25.5" customHeight="1">
      <c r="A497" s="10827"/>
      <c r="B497" s="10732"/>
      <c r="C497" s="10729"/>
      <c r="D497" s="10729"/>
      <c r="E497" s="10729"/>
      <c r="F497" s="10745"/>
      <c r="G497" s="10729"/>
      <c r="H497" s="10729"/>
      <c r="I497" s="10729"/>
      <c r="J497" s="10729"/>
      <c r="K497" s="10736"/>
      <c r="L497" s="10739"/>
      <c r="M497" s="10739"/>
      <c r="N497" s="10739"/>
      <c r="O497" s="10736"/>
      <c r="P497" s="10736"/>
      <c r="Q497" s="10749"/>
      <c r="R497" s="5175"/>
      <c r="S497" s="5215"/>
      <c r="T497" s="5215"/>
      <c r="U497" s="5251"/>
      <c r="V497" s="5282"/>
      <c r="W497" s="5303"/>
      <c r="X497" s="7479"/>
      <c r="Y497" s="7479"/>
      <c r="Z497" s="7479"/>
      <c r="AA497" s="7480"/>
      <c r="AB497" s="5326"/>
      <c r="AC497" s="1399"/>
      <c r="AD497" s="5303"/>
      <c r="AE497" s="5348"/>
      <c r="AF497" s="5348"/>
      <c r="AG497" s="10778"/>
      <c r="AH497" s="1758"/>
      <c r="AI497" s="1758"/>
      <c r="AJ497" s="1758"/>
      <c r="AK497" s="1758"/>
      <c r="AL497" s="1758"/>
      <c r="AM497" s="1758"/>
      <c r="AN497" s="1758"/>
      <c r="AO497" s="1758"/>
      <c r="AP497" s="1758"/>
      <c r="AQ497" s="1758"/>
      <c r="AR497" s="1758"/>
      <c r="AS497" s="1758"/>
      <c r="AT497" s="1758"/>
      <c r="AU497" s="1758"/>
      <c r="AV497" s="1758"/>
      <c r="AW497" s="1758"/>
      <c r="AX497" s="1758"/>
      <c r="AY497" s="1758"/>
      <c r="AZ497" s="1758"/>
      <c r="BA497" s="1758"/>
      <c r="BB497" s="1758"/>
      <c r="BC497" s="1758"/>
      <c r="BD497" s="1758"/>
      <c r="BE497" s="1758"/>
      <c r="BF497" s="1758"/>
      <c r="BG497" s="1758"/>
      <c r="BH497" s="1758"/>
      <c r="BI497" s="1758"/>
      <c r="BJ497" s="1758"/>
      <c r="BK497" s="1758"/>
      <c r="BL497" s="1758"/>
      <c r="BM497" s="1758"/>
      <c r="BN497" s="1758"/>
      <c r="BO497" s="1758"/>
      <c r="BP497" s="1758"/>
      <c r="BQ497" s="1758"/>
      <c r="BR497" s="1758"/>
      <c r="BS497" s="1758"/>
      <c r="BT497" s="1758"/>
      <c r="BU497" s="1758"/>
      <c r="BV497" s="1758"/>
      <c r="BW497" s="1758"/>
      <c r="BX497" s="1758"/>
      <c r="BY497" s="1758"/>
      <c r="BZ497" s="1758"/>
      <c r="CA497" s="1758"/>
      <c r="CB497" s="1758"/>
      <c r="CC497" s="1758"/>
      <c r="CD497" s="1758"/>
      <c r="CE497" s="1758"/>
      <c r="CF497" s="1758"/>
      <c r="CG497" s="1758"/>
      <c r="CH497" s="1758"/>
      <c r="CI497" s="1758"/>
      <c r="CJ497" s="1758"/>
      <c r="CK497" s="1758"/>
      <c r="CL497" s="1758"/>
      <c r="CM497" s="1758"/>
      <c r="CN497" s="1758"/>
      <c r="CO497" s="1758"/>
      <c r="CP497" s="1758"/>
      <c r="CQ497" s="1758"/>
      <c r="CR497" s="1758"/>
      <c r="CS497" s="1758"/>
      <c r="CT497" s="1758"/>
      <c r="CU497" s="1758"/>
      <c r="CV497" s="1758"/>
      <c r="CW497" s="1758"/>
      <c r="CX497" s="1758"/>
      <c r="CY497" s="1758"/>
      <c r="CZ497" s="1758"/>
      <c r="DA497" s="1758"/>
      <c r="DB497" s="1758"/>
      <c r="DC497" s="1758"/>
    </row>
    <row r="498" spans="1:107" s="1395" customFormat="1" ht="25.5" customHeight="1">
      <c r="A498" s="10827"/>
      <c r="B498" s="10748" t="s">
        <v>127</v>
      </c>
      <c r="C498" s="10742" t="s">
        <v>227</v>
      </c>
      <c r="D498" s="10742" t="s">
        <v>129</v>
      </c>
      <c r="E498" s="10742" t="s">
        <v>205</v>
      </c>
      <c r="F498" s="10743" t="s">
        <v>131</v>
      </c>
      <c r="G498" s="10742" t="s">
        <v>132</v>
      </c>
      <c r="H498" s="10742" t="s">
        <v>159</v>
      </c>
      <c r="I498" s="10742" t="s">
        <v>5111</v>
      </c>
      <c r="J498" s="10742" t="s">
        <v>4620</v>
      </c>
      <c r="K498" s="10734" t="s">
        <v>4995</v>
      </c>
      <c r="L498" s="10737">
        <v>0</v>
      </c>
      <c r="M498" s="10737">
        <v>1</v>
      </c>
      <c r="N498" s="10737">
        <v>1</v>
      </c>
      <c r="O498" s="10734" t="s">
        <v>4996</v>
      </c>
      <c r="P498" s="10734" t="s">
        <v>4997</v>
      </c>
      <c r="Q498" s="10750" t="s">
        <v>5110</v>
      </c>
      <c r="R498" s="5173"/>
      <c r="S498" s="5212"/>
      <c r="T498" s="5212"/>
      <c r="U498" s="5249"/>
      <c r="V498" s="5281"/>
      <c r="W498" s="5302"/>
      <c r="X498" s="7477"/>
      <c r="Y498" s="7477"/>
      <c r="Z498" s="7477"/>
      <c r="AA498" s="7478"/>
      <c r="AB498" s="5325"/>
      <c r="AC498" s="1398"/>
      <c r="AD498" s="5302"/>
      <c r="AE498" s="5349"/>
      <c r="AF498" s="5349"/>
      <c r="AG498" s="10779" t="s">
        <v>4843</v>
      </c>
      <c r="AH498" s="1758"/>
      <c r="AI498" s="1758"/>
      <c r="AJ498" s="1758"/>
      <c r="AK498" s="1758"/>
      <c r="AL498" s="1758"/>
      <c r="AM498" s="1758"/>
      <c r="AN498" s="1758"/>
      <c r="AO498" s="1758"/>
      <c r="AP498" s="1758"/>
      <c r="AQ498" s="1758"/>
      <c r="AR498" s="1758"/>
      <c r="AS498" s="1758"/>
      <c r="AT498" s="1758"/>
      <c r="AU498" s="1758"/>
      <c r="AV498" s="1758"/>
      <c r="AW498" s="1758"/>
      <c r="AX498" s="1758"/>
      <c r="AY498" s="1758"/>
      <c r="AZ498" s="1758"/>
      <c r="BA498" s="1758"/>
      <c r="BB498" s="1758"/>
      <c r="BC498" s="1758"/>
      <c r="BD498" s="1758"/>
      <c r="BE498" s="1758"/>
      <c r="BF498" s="1758"/>
      <c r="BG498" s="1758"/>
      <c r="BH498" s="1758"/>
      <c r="BI498" s="1758"/>
      <c r="BJ498" s="1758"/>
      <c r="BK498" s="1758"/>
      <c r="BL498" s="1758"/>
      <c r="BM498" s="1758"/>
      <c r="BN498" s="1758"/>
      <c r="BO498" s="1758"/>
      <c r="BP498" s="1758"/>
      <c r="BQ498" s="1758"/>
      <c r="BR498" s="1758"/>
      <c r="BS498" s="1758"/>
      <c r="BT498" s="1758"/>
      <c r="BU498" s="1758"/>
      <c r="BV498" s="1758"/>
      <c r="BW498" s="1758"/>
      <c r="BX498" s="1758"/>
      <c r="BY498" s="1758"/>
      <c r="BZ498" s="1758"/>
      <c r="CA498" s="1758"/>
      <c r="CB498" s="1758"/>
      <c r="CC498" s="1758"/>
      <c r="CD498" s="1758"/>
      <c r="CE498" s="1758"/>
      <c r="CF498" s="1758"/>
      <c r="CG498" s="1758"/>
      <c r="CH498" s="1758"/>
      <c r="CI498" s="1758"/>
      <c r="CJ498" s="1758"/>
      <c r="CK498" s="1758"/>
      <c r="CL498" s="1758"/>
      <c r="CM498" s="1758"/>
      <c r="CN498" s="1758"/>
      <c r="CO498" s="1758"/>
      <c r="CP498" s="1758"/>
      <c r="CQ498" s="1758"/>
      <c r="CR498" s="1758"/>
      <c r="CS498" s="1758"/>
      <c r="CT498" s="1758"/>
      <c r="CU498" s="1758"/>
      <c r="CV498" s="1758"/>
      <c r="CW498" s="1758"/>
      <c r="CX498" s="1758"/>
      <c r="CY498" s="1758"/>
      <c r="CZ498" s="1758"/>
      <c r="DA498" s="1758"/>
      <c r="DB498" s="1758"/>
      <c r="DC498" s="1758"/>
    </row>
    <row r="499" spans="1:107" s="1395" customFormat="1" ht="25.5" customHeight="1">
      <c r="A499" s="10827"/>
      <c r="B499" s="10731"/>
      <c r="C499" s="10728"/>
      <c r="D499" s="10728"/>
      <c r="E499" s="10728"/>
      <c r="F499" s="10744"/>
      <c r="G499" s="10728"/>
      <c r="H499" s="10728"/>
      <c r="I499" s="10728"/>
      <c r="J499" s="10728"/>
      <c r="K499" s="10735"/>
      <c r="L499" s="10738"/>
      <c r="M499" s="10738"/>
      <c r="N499" s="10738"/>
      <c r="O499" s="10735"/>
      <c r="P499" s="10735"/>
      <c r="Q499" s="10750"/>
      <c r="R499" s="5171"/>
      <c r="S499" s="5213"/>
      <c r="T499" s="5213"/>
      <c r="U499" s="5247"/>
      <c r="V499" s="5279"/>
      <c r="W499" s="5300"/>
      <c r="X499" s="7473"/>
      <c r="Y499" s="7473"/>
      <c r="Z499" s="7473"/>
      <c r="AA499" s="7474"/>
      <c r="AB499" s="5323"/>
      <c r="AC499" s="1396"/>
      <c r="AD499" s="5300"/>
      <c r="AE499" s="5346"/>
      <c r="AF499" s="5346"/>
      <c r="AG499" s="10777"/>
      <c r="AH499" s="1758"/>
      <c r="AI499" s="1758"/>
      <c r="AJ499" s="1758"/>
      <c r="AK499" s="1758"/>
      <c r="AL499" s="1758"/>
      <c r="AM499" s="1758"/>
      <c r="AN499" s="1758"/>
      <c r="AO499" s="1758"/>
      <c r="AP499" s="1758"/>
      <c r="AQ499" s="1758"/>
      <c r="AR499" s="1758"/>
      <c r="AS499" s="1758"/>
      <c r="AT499" s="1758"/>
      <c r="AU499" s="1758"/>
      <c r="AV499" s="1758"/>
      <c r="AW499" s="1758"/>
      <c r="AX499" s="1758"/>
      <c r="AY499" s="1758"/>
      <c r="AZ499" s="1758"/>
      <c r="BA499" s="1758"/>
      <c r="BB499" s="1758"/>
      <c r="BC499" s="1758"/>
      <c r="BD499" s="1758"/>
      <c r="BE499" s="1758"/>
      <c r="BF499" s="1758"/>
      <c r="BG499" s="1758"/>
      <c r="BH499" s="1758"/>
      <c r="BI499" s="1758"/>
      <c r="BJ499" s="1758"/>
      <c r="BK499" s="1758"/>
      <c r="BL499" s="1758"/>
      <c r="BM499" s="1758"/>
      <c r="BN499" s="1758"/>
      <c r="BO499" s="1758"/>
      <c r="BP499" s="1758"/>
      <c r="BQ499" s="1758"/>
      <c r="BR499" s="1758"/>
      <c r="BS499" s="1758"/>
      <c r="BT499" s="1758"/>
      <c r="BU499" s="1758"/>
      <c r="BV499" s="1758"/>
      <c r="BW499" s="1758"/>
      <c r="BX499" s="1758"/>
      <c r="BY499" s="1758"/>
      <c r="BZ499" s="1758"/>
      <c r="CA499" s="1758"/>
      <c r="CB499" s="1758"/>
      <c r="CC499" s="1758"/>
      <c r="CD499" s="1758"/>
      <c r="CE499" s="1758"/>
      <c r="CF499" s="1758"/>
      <c r="CG499" s="1758"/>
      <c r="CH499" s="1758"/>
      <c r="CI499" s="1758"/>
      <c r="CJ499" s="1758"/>
      <c r="CK499" s="1758"/>
      <c r="CL499" s="1758"/>
      <c r="CM499" s="1758"/>
      <c r="CN499" s="1758"/>
      <c r="CO499" s="1758"/>
      <c r="CP499" s="1758"/>
      <c r="CQ499" s="1758"/>
      <c r="CR499" s="1758"/>
      <c r="CS499" s="1758"/>
      <c r="CT499" s="1758"/>
      <c r="CU499" s="1758"/>
      <c r="CV499" s="1758"/>
      <c r="CW499" s="1758"/>
      <c r="CX499" s="1758"/>
      <c r="CY499" s="1758"/>
      <c r="CZ499" s="1758"/>
      <c r="DA499" s="1758"/>
      <c r="DB499" s="1758"/>
      <c r="DC499" s="1758"/>
    </row>
    <row r="500" spans="1:107" s="1395" customFormat="1" ht="25.5" customHeight="1">
      <c r="A500" s="10827"/>
      <c r="B500" s="10731"/>
      <c r="C500" s="10728"/>
      <c r="D500" s="10728"/>
      <c r="E500" s="10728"/>
      <c r="F500" s="10744"/>
      <c r="G500" s="10728"/>
      <c r="H500" s="10728"/>
      <c r="I500" s="10728"/>
      <c r="J500" s="10728"/>
      <c r="K500" s="10735"/>
      <c r="L500" s="10738"/>
      <c r="M500" s="10738"/>
      <c r="N500" s="10738"/>
      <c r="O500" s="10735"/>
      <c r="P500" s="10735"/>
      <c r="Q500" s="10750"/>
      <c r="R500" s="5174"/>
      <c r="S500" s="5214"/>
      <c r="T500" s="5214"/>
      <c r="U500" s="5250"/>
      <c r="V500" s="5281"/>
      <c r="W500" s="5302"/>
      <c r="X500" s="7477"/>
      <c r="Y500" s="7473"/>
      <c r="Z500" s="7473"/>
      <c r="AA500" s="7474"/>
      <c r="AB500" s="5323"/>
      <c r="AC500" s="1396"/>
      <c r="AD500" s="5300"/>
      <c r="AE500" s="5346"/>
      <c r="AF500" s="5346"/>
      <c r="AG500" s="10777"/>
      <c r="AH500" s="1758"/>
      <c r="AI500" s="1758"/>
      <c r="AJ500" s="1758"/>
      <c r="AK500" s="1758"/>
      <c r="AL500" s="1758"/>
      <c r="AM500" s="1758"/>
      <c r="AN500" s="1758"/>
      <c r="AO500" s="1758"/>
      <c r="AP500" s="1758"/>
      <c r="AQ500" s="1758"/>
      <c r="AR500" s="1758"/>
      <c r="AS500" s="1758"/>
      <c r="AT500" s="1758"/>
      <c r="AU500" s="1758"/>
      <c r="AV500" s="1758"/>
      <c r="AW500" s="1758"/>
      <c r="AX500" s="1758"/>
      <c r="AY500" s="1758"/>
      <c r="AZ500" s="1758"/>
      <c r="BA500" s="1758"/>
      <c r="BB500" s="1758"/>
      <c r="BC500" s="1758"/>
      <c r="BD500" s="1758"/>
      <c r="BE500" s="1758"/>
      <c r="BF500" s="1758"/>
      <c r="BG500" s="1758"/>
      <c r="BH500" s="1758"/>
      <c r="BI500" s="1758"/>
      <c r="BJ500" s="1758"/>
      <c r="BK500" s="1758"/>
      <c r="BL500" s="1758"/>
      <c r="BM500" s="1758"/>
      <c r="BN500" s="1758"/>
      <c r="BO500" s="1758"/>
      <c r="BP500" s="1758"/>
      <c r="BQ500" s="1758"/>
      <c r="BR500" s="1758"/>
      <c r="BS500" s="1758"/>
      <c r="BT500" s="1758"/>
      <c r="BU500" s="1758"/>
      <c r="BV500" s="1758"/>
      <c r="BW500" s="1758"/>
      <c r="BX500" s="1758"/>
      <c r="BY500" s="1758"/>
      <c r="BZ500" s="1758"/>
      <c r="CA500" s="1758"/>
      <c r="CB500" s="1758"/>
      <c r="CC500" s="1758"/>
      <c r="CD500" s="1758"/>
      <c r="CE500" s="1758"/>
      <c r="CF500" s="1758"/>
      <c r="CG500" s="1758"/>
      <c r="CH500" s="1758"/>
      <c r="CI500" s="1758"/>
      <c r="CJ500" s="1758"/>
      <c r="CK500" s="1758"/>
      <c r="CL500" s="1758"/>
      <c r="CM500" s="1758"/>
      <c r="CN500" s="1758"/>
      <c r="CO500" s="1758"/>
      <c r="CP500" s="1758"/>
      <c r="CQ500" s="1758"/>
      <c r="CR500" s="1758"/>
      <c r="CS500" s="1758"/>
      <c r="CT500" s="1758"/>
      <c r="CU500" s="1758"/>
      <c r="CV500" s="1758"/>
      <c r="CW500" s="1758"/>
      <c r="CX500" s="1758"/>
      <c r="CY500" s="1758"/>
      <c r="CZ500" s="1758"/>
      <c r="DA500" s="1758"/>
      <c r="DB500" s="1758"/>
      <c r="DC500" s="1758"/>
    </row>
    <row r="501" spans="1:107" s="1395" customFormat="1" ht="25.5" customHeight="1">
      <c r="A501" s="10827"/>
      <c r="B501" s="10731"/>
      <c r="C501" s="10728"/>
      <c r="D501" s="10728"/>
      <c r="E501" s="10728"/>
      <c r="F501" s="10744"/>
      <c r="G501" s="10728"/>
      <c r="H501" s="10728"/>
      <c r="I501" s="10728"/>
      <c r="J501" s="10728"/>
      <c r="K501" s="10735"/>
      <c r="L501" s="10738"/>
      <c r="M501" s="10738"/>
      <c r="N501" s="10738"/>
      <c r="O501" s="10735"/>
      <c r="P501" s="10735"/>
      <c r="Q501" s="10750"/>
      <c r="R501" s="5173"/>
      <c r="S501" s="5212"/>
      <c r="T501" s="5212"/>
      <c r="U501" s="5250"/>
      <c r="V501" s="5281"/>
      <c r="W501" s="5302"/>
      <c r="X501" s="7477"/>
      <c r="Y501" s="7473"/>
      <c r="Z501" s="7473"/>
      <c r="AA501" s="7474"/>
      <c r="AB501" s="5323"/>
      <c r="AC501" s="1396"/>
      <c r="AD501" s="5300"/>
      <c r="AE501" s="5346"/>
      <c r="AF501" s="5346"/>
      <c r="AG501" s="10777"/>
      <c r="AH501" s="1758"/>
      <c r="AI501" s="1758"/>
      <c r="AJ501" s="1758"/>
      <c r="AK501" s="1758"/>
      <c r="AL501" s="1758"/>
      <c r="AM501" s="1758"/>
      <c r="AN501" s="1758"/>
      <c r="AO501" s="1758"/>
      <c r="AP501" s="1758"/>
      <c r="AQ501" s="1758"/>
      <c r="AR501" s="1758"/>
      <c r="AS501" s="1758"/>
      <c r="AT501" s="1758"/>
      <c r="AU501" s="1758"/>
      <c r="AV501" s="1758"/>
      <c r="AW501" s="1758"/>
      <c r="AX501" s="1758"/>
      <c r="AY501" s="1758"/>
      <c r="AZ501" s="1758"/>
      <c r="BA501" s="1758"/>
      <c r="BB501" s="1758"/>
      <c r="BC501" s="1758"/>
      <c r="BD501" s="1758"/>
      <c r="BE501" s="1758"/>
      <c r="BF501" s="1758"/>
      <c r="BG501" s="1758"/>
      <c r="BH501" s="1758"/>
      <c r="BI501" s="1758"/>
      <c r="BJ501" s="1758"/>
      <c r="BK501" s="1758"/>
      <c r="BL501" s="1758"/>
      <c r="BM501" s="1758"/>
      <c r="BN501" s="1758"/>
      <c r="BO501" s="1758"/>
      <c r="BP501" s="1758"/>
      <c r="BQ501" s="1758"/>
      <c r="BR501" s="1758"/>
      <c r="BS501" s="1758"/>
      <c r="BT501" s="1758"/>
      <c r="BU501" s="1758"/>
      <c r="BV501" s="1758"/>
      <c r="BW501" s="1758"/>
      <c r="BX501" s="1758"/>
      <c r="BY501" s="1758"/>
      <c r="BZ501" s="1758"/>
      <c r="CA501" s="1758"/>
      <c r="CB501" s="1758"/>
      <c r="CC501" s="1758"/>
      <c r="CD501" s="1758"/>
      <c r="CE501" s="1758"/>
      <c r="CF501" s="1758"/>
      <c r="CG501" s="1758"/>
      <c r="CH501" s="1758"/>
      <c r="CI501" s="1758"/>
      <c r="CJ501" s="1758"/>
      <c r="CK501" s="1758"/>
      <c r="CL501" s="1758"/>
      <c r="CM501" s="1758"/>
      <c r="CN501" s="1758"/>
      <c r="CO501" s="1758"/>
      <c r="CP501" s="1758"/>
      <c r="CQ501" s="1758"/>
      <c r="CR501" s="1758"/>
      <c r="CS501" s="1758"/>
      <c r="CT501" s="1758"/>
      <c r="CU501" s="1758"/>
      <c r="CV501" s="1758"/>
      <c r="CW501" s="1758"/>
      <c r="CX501" s="1758"/>
      <c r="CY501" s="1758"/>
      <c r="CZ501" s="1758"/>
      <c r="DA501" s="1758"/>
      <c r="DB501" s="1758"/>
      <c r="DC501" s="1758"/>
    </row>
    <row r="502" spans="1:107" s="1395" customFormat="1" ht="25.5" customHeight="1">
      <c r="A502" s="10827"/>
      <c r="B502" s="10732"/>
      <c r="C502" s="10729"/>
      <c r="D502" s="10729"/>
      <c r="E502" s="10729"/>
      <c r="F502" s="10745"/>
      <c r="G502" s="10729"/>
      <c r="H502" s="10729"/>
      <c r="I502" s="10729"/>
      <c r="J502" s="10729"/>
      <c r="K502" s="10736"/>
      <c r="L502" s="10739"/>
      <c r="M502" s="10739"/>
      <c r="N502" s="10739"/>
      <c r="O502" s="10736"/>
      <c r="P502" s="10736"/>
      <c r="Q502" s="10750"/>
      <c r="R502" s="5175"/>
      <c r="S502" s="5215"/>
      <c r="T502" s="5215"/>
      <c r="U502" s="5251"/>
      <c r="V502" s="5282"/>
      <c r="W502" s="5303"/>
      <c r="X502" s="7479"/>
      <c r="Y502" s="7479"/>
      <c r="Z502" s="7479"/>
      <c r="AA502" s="7480"/>
      <c r="AB502" s="5326"/>
      <c r="AC502" s="1399"/>
      <c r="AD502" s="5303"/>
      <c r="AE502" s="5348"/>
      <c r="AF502" s="5348"/>
      <c r="AG502" s="10778"/>
      <c r="AH502" s="1758"/>
      <c r="AI502" s="1758"/>
      <c r="AJ502" s="1758"/>
      <c r="AK502" s="1758"/>
      <c r="AL502" s="1758"/>
      <c r="AM502" s="1758"/>
      <c r="AN502" s="1758"/>
      <c r="AO502" s="1758"/>
      <c r="AP502" s="1758"/>
      <c r="AQ502" s="1758"/>
      <c r="AR502" s="1758"/>
      <c r="AS502" s="1758"/>
      <c r="AT502" s="1758"/>
      <c r="AU502" s="1758"/>
      <c r="AV502" s="1758"/>
      <c r="AW502" s="1758"/>
      <c r="AX502" s="1758"/>
      <c r="AY502" s="1758"/>
      <c r="AZ502" s="1758"/>
      <c r="BA502" s="1758"/>
      <c r="BB502" s="1758"/>
      <c r="BC502" s="1758"/>
      <c r="BD502" s="1758"/>
      <c r="BE502" s="1758"/>
      <c r="BF502" s="1758"/>
      <c r="BG502" s="1758"/>
      <c r="BH502" s="1758"/>
      <c r="BI502" s="1758"/>
      <c r="BJ502" s="1758"/>
      <c r="BK502" s="1758"/>
      <c r="BL502" s="1758"/>
      <c r="BM502" s="1758"/>
      <c r="BN502" s="1758"/>
      <c r="BO502" s="1758"/>
      <c r="BP502" s="1758"/>
      <c r="BQ502" s="1758"/>
      <c r="BR502" s="1758"/>
      <c r="BS502" s="1758"/>
      <c r="BT502" s="1758"/>
      <c r="BU502" s="1758"/>
      <c r="BV502" s="1758"/>
      <c r="BW502" s="1758"/>
      <c r="BX502" s="1758"/>
      <c r="BY502" s="1758"/>
      <c r="BZ502" s="1758"/>
      <c r="CA502" s="1758"/>
      <c r="CB502" s="1758"/>
      <c r="CC502" s="1758"/>
      <c r="CD502" s="1758"/>
      <c r="CE502" s="1758"/>
      <c r="CF502" s="1758"/>
      <c r="CG502" s="1758"/>
      <c r="CH502" s="1758"/>
      <c r="CI502" s="1758"/>
      <c r="CJ502" s="1758"/>
      <c r="CK502" s="1758"/>
      <c r="CL502" s="1758"/>
      <c r="CM502" s="1758"/>
      <c r="CN502" s="1758"/>
      <c r="CO502" s="1758"/>
      <c r="CP502" s="1758"/>
      <c r="CQ502" s="1758"/>
      <c r="CR502" s="1758"/>
      <c r="CS502" s="1758"/>
      <c r="CT502" s="1758"/>
      <c r="CU502" s="1758"/>
      <c r="CV502" s="1758"/>
      <c r="CW502" s="1758"/>
      <c r="CX502" s="1758"/>
      <c r="CY502" s="1758"/>
      <c r="CZ502" s="1758"/>
      <c r="DA502" s="1758"/>
      <c r="DB502" s="1758"/>
      <c r="DC502" s="1758"/>
    </row>
    <row r="503" spans="1:107" s="1395" customFormat="1" ht="26.25" customHeight="1">
      <c r="A503" s="10827"/>
      <c r="B503" s="10748" t="s">
        <v>127</v>
      </c>
      <c r="C503" s="10742" t="s">
        <v>128</v>
      </c>
      <c r="D503" s="10742" t="s">
        <v>129</v>
      </c>
      <c r="E503" s="10742" t="s">
        <v>205</v>
      </c>
      <c r="F503" s="10743" t="s">
        <v>131</v>
      </c>
      <c r="G503" s="10742" t="s">
        <v>132</v>
      </c>
      <c r="H503" s="10742" t="s">
        <v>159</v>
      </c>
      <c r="I503" s="10742" t="s">
        <v>5000</v>
      </c>
      <c r="J503" s="10742" t="s">
        <v>5001</v>
      </c>
      <c r="K503" s="10734" t="s">
        <v>5002</v>
      </c>
      <c r="L503" s="10737">
        <v>0</v>
      </c>
      <c r="M503" s="10737">
        <v>1</v>
      </c>
      <c r="N503" s="10737">
        <v>1</v>
      </c>
      <c r="O503" s="10734" t="s">
        <v>5003</v>
      </c>
      <c r="P503" s="10734" t="s">
        <v>5004</v>
      </c>
      <c r="Q503" s="10740" t="s">
        <v>5110</v>
      </c>
      <c r="R503" s="5173"/>
      <c r="S503" s="5212"/>
      <c r="T503" s="5212"/>
      <c r="U503" s="5249"/>
      <c r="V503" s="5281"/>
      <c r="W503" s="5302"/>
      <c r="X503" s="7477"/>
      <c r="Y503" s="7477"/>
      <c r="Z503" s="7477"/>
      <c r="AA503" s="7478"/>
      <c r="AB503" s="5325"/>
      <c r="AC503" s="1398"/>
      <c r="AD503" s="5302"/>
      <c r="AE503" s="5349"/>
      <c r="AF503" s="5349"/>
      <c r="AG503" s="10779" t="s">
        <v>5005</v>
      </c>
      <c r="AH503" s="1758"/>
      <c r="AI503" s="1758"/>
      <c r="AJ503" s="1758"/>
      <c r="AK503" s="1758"/>
      <c r="AL503" s="1758"/>
      <c r="AM503" s="1758"/>
      <c r="AN503" s="1758"/>
      <c r="AO503" s="1758"/>
      <c r="AP503" s="1758"/>
      <c r="AQ503" s="1758"/>
      <c r="AR503" s="1758"/>
      <c r="AS503" s="1758"/>
      <c r="AT503" s="1758"/>
      <c r="AU503" s="1758"/>
      <c r="AV503" s="1758"/>
      <c r="AW503" s="1758"/>
      <c r="AX503" s="1758"/>
      <c r="AY503" s="1758"/>
      <c r="AZ503" s="1758"/>
      <c r="BA503" s="1758"/>
      <c r="BB503" s="1758"/>
      <c r="BC503" s="1758"/>
      <c r="BD503" s="1758"/>
      <c r="BE503" s="1758"/>
      <c r="BF503" s="1758"/>
      <c r="BG503" s="1758"/>
      <c r="BH503" s="1758"/>
      <c r="BI503" s="1758"/>
      <c r="BJ503" s="1758"/>
      <c r="BK503" s="1758"/>
      <c r="BL503" s="1758"/>
      <c r="BM503" s="1758"/>
      <c r="BN503" s="1758"/>
      <c r="BO503" s="1758"/>
      <c r="BP503" s="1758"/>
      <c r="BQ503" s="1758"/>
      <c r="BR503" s="1758"/>
      <c r="BS503" s="1758"/>
      <c r="BT503" s="1758"/>
      <c r="BU503" s="1758"/>
      <c r="BV503" s="1758"/>
      <c r="BW503" s="1758"/>
      <c r="BX503" s="1758"/>
      <c r="BY503" s="1758"/>
      <c r="BZ503" s="1758"/>
      <c r="CA503" s="1758"/>
      <c r="CB503" s="1758"/>
      <c r="CC503" s="1758"/>
      <c r="CD503" s="1758"/>
      <c r="CE503" s="1758"/>
      <c r="CF503" s="1758"/>
      <c r="CG503" s="1758"/>
      <c r="CH503" s="1758"/>
      <c r="CI503" s="1758"/>
      <c r="CJ503" s="1758"/>
      <c r="CK503" s="1758"/>
      <c r="CL503" s="1758"/>
      <c r="CM503" s="1758"/>
      <c r="CN503" s="1758"/>
      <c r="CO503" s="1758"/>
      <c r="CP503" s="1758"/>
      <c r="CQ503" s="1758"/>
      <c r="CR503" s="1758"/>
      <c r="CS503" s="1758"/>
      <c r="CT503" s="1758"/>
      <c r="CU503" s="1758"/>
      <c r="CV503" s="1758"/>
      <c r="CW503" s="1758"/>
      <c r="CX503" s="1758"/>
      <c r="CY503" s="1758"/>
      <c r="CZ503" s="1758"/>
      <c r="DA503" s="1758"/>
      <c r="DB503" s="1758"/>
      <c r="DC503" s="1758"/>
    </row>
    <row r="504" spans="1:107" s="1395" customFormat="1" ht="26.25" customHeight="1">
      <c r="A504" s="10827"/>
      <c r="B504" s="10731"/>
      <c r="C504" s="10728"/>
      <c r="D504" s="10728"/>
      <c r="E504" s="10728"/>
      <c r="F504" s="10744"/>
      <c r="G504" s="10728"/>
      <c r="H504" s="10728"/>
      <c r="I504" s="10728"/>
      <c r="J504" s="10728"/>
      <c r="K504" s="10735"/>
      <c r="L504" s="10738"/>
      <c r="M504" s="10738"/>
      <c r="N504" s="10738"/>
      <c r="O504" s="10735"/>
      <c r="P504" s="10735"/>
      <c r="Q504" s="10741"/>
      <c r="R504" s="5171"/>
      <c r="S504" s="5213"/>
      <c r="T504" s="5213"/>
      <c r="U504" s="5247"/>
      <c r="V504" s="5279"/>
      <c r="W504" s="5300"/>
      <c r="X504" s="7473"/>
      <c r="Y504" s="7473"/>
      <c r="Z504" s="7473"/>
      <c r="AA504" s="7474"/>
      <c r="AB504" s="5323"/>
      <c r="AC504" s="1396"/>
      <c r="AD504" s="5300"/>
      <c r="AE504" s="5346"/>
      <c r="AF504" s="5346"/>
      <c r="AG504" s="10777"/>
      <c r="AH504" s="1758"/>
      <c r="AI504" s="1758"/>
      <c r="AJ504" s="1758"/>
      <c r="AK504" s="1758"/>
      <c r="AL504" s="1758"/>
      <c r="AM504" s="1758"/>
      <c r="AN504" s="1758"/>
      <c r="AO504" s="1758"/>
      <c r="AP504" s="1758"/>
      <c r="AQ504" s="1758"/>
      <c r="AR504" s="1758"/>
      <c r="AS504" s="1758"/>
      <c r="AT504" s="1758"/>
      <c r="AU504" s="1758"/>
      <c r="AV504" s="1758"/>
      <c r="AW504" s="1758"/>
      <c r="AX504" s="1758"/>
      <c r="AY504" s="1758"/>
      <c r="AZ504" s="1758"/>
      <c r="BA504" s="1758"/>
      <c r="BB504" s="1758"/>
      <c r="BC504" s="1758"/>
      <c r="BD504" s="1758"/>
      <c r="BE504" s="1758"/>
      <c r="BF504" s="1758"/>
      <c r="BG504" s="1758"/>
      <c r="BH504" s="1758"/>
      <c r="BI504" s="1758"/>
      <c r="BJ504" s="1758"/>
      <c r="BK504" s="1758"/>
      <c r="BL504" s="1758"/>
      <c r="BM504" s="1758"/>
      <c r="BN504" s="1758"/>
      <c r="BO504" s="1758"/>
      <c r="BP504" s="1758"/>
      <c r="BQ504" s="1758"/>
      <c r="BR504" s="1758"/>
      <c r="BS504" s="1758"/>
      <c r="BT504" s="1758"/>
      <c r="BU504" s="1758"/>
      <c r="BV504" s="1758"/>
      <c r="BW504" s="1758"/>
      <c r="BX504" s="1758"/>
      <c r="BY504" s="1758"/>
      <c r="BZ504" s="1758"/>
      <c r="CA504" s="1758"/>
      <c r="CB504" s="1758"/>
      <c r="CC504" s="1758"/>
      <c r="CD504" s="1758"/>
      <c r="CE504" s="1758"/>
      <c r="CF504" s="1758"/>
      <c r="CG504" s="1758"/>
      <c r="CH504" s="1758"/>
      <c r="CI504" s="1758"/>
      <c r="CJ504" s="1758"/>
      <c r="CK504" s="1758"/>
      <c r="CL504" s="1758"/>
      <c r="CM504" s="1758"/>
      <c r="CN504" s="1758"/>
      <c r="CO504" s="1758"/>
      <c r="CP504" s="1758"/>
      <c r="CQ504" s="1758"/>
      <c r="CR504" s="1758"/>
      <c r="CS504" s="1758"/>
      <c r="CT504" s="1758"/>
      <c r="CU504" s="1758"/>
      <c r="CV504" s="1758"/>
      <c r="CW504" s="1758"/>
      <c r="CX504" s="1758"/>
      <c r="CY504" s="1758"/>
      <c r="CZ504" s="1758"/>
      <c r="DA504" s="1758"/>
      <c r="DB504" s="1758"/>
      <c r="DC504" s="1758"/>
    </row>
    <row r="505" spans="1:107" s="1395" customFormat="1" ht="26.25" customHeight="1">
      <c r="A505" s="10827"/>
      <c r="B505" s="10731"/>
      <c r="C505" s="10728"/>
      <c r="D505" s="10728"/>
      <c r="E505" s="10728"/>
      <c r="F505" s="10744"/>
      <c r="G505" s="10728"/>
      <c r="H505" s="10728"/>
      <c r="I505" s="10728"/>
      <c r="J505" s="10728"/>
      <c r="K505" s="10735"/>
      <c r="L505" s="10738"/>
      <c r="M505" s="10738"/>
      <c r="N505" s="10738"/>
      <c r="O505" s="10735"/>
      <c r="P505" s="10735"/>
      <c r="Q505" s="10741"/>
      <c r="R505" s="5174"/>
      <c r="S505" s="5214"/>
      <c r="T505" s="5214"/>
      <c r="U505" s="5250"/>
      <c r="V505" s="5281"/>
      <c r="W505" s="5302"/>
      <c r="X505" s="7477"/>
      <c r="Y505" s="7473"/>
      <c r="Z505" s="7473"/>
      <c r="AA505" s="7474"/>
      <c r="AB505" s="5323"/>
      <c r="AC505" s="1396"/>
      <c r="AD505" s="5300"/>
      <c r="AE505" s="5346"/>
      <c r="AF505" s="5346"/>
      <c r="AG505" s="10777"/>
      <c r="AH505" s="1758"/>
      <c r="AI505" s="1758"/>
      <c r="AJ505" s="1758"/>
      <c r="AK505" s="1758"/>
      <c r="AL505" s="1758"/>
      <c r="AM505" s="1758"/>
      <c r="AN505" s="1758"/>
      <c r="AO505" s="1758"/>
      <c r="AP505" s="1758"/>
      <c r="AQ505" s="1758"/>
      <c r="AR505" s="1758"/>
      <c r="AS505" s="1758"/>
      <c r="AT505" s="1758"/>
      <c r="AU505" s="1758"/>
      <c r="AV505" s="1758"/>
      <c r="AW505" s="1758"/>
      <c r="AX505" s="1758"/>
      <c r="AY505" s="1758"/>
      <c r="AZ505" s="1758"/>
      <c r="BA505" s="1758"/>
      <c r="BB505" s="1758"/>
      <c r="BC505" s="1758"/>
      <c r="BD505" s="1758"/>
      <c r="BE505" s="1758"/>
      <c r="BF505" s="1758"/>
      <c r="BG505" s="1758"/>
      <c r="BH505" s="1758"/>
      <c r="BI505" s="1758"/>
      <c r="BJ505" s="1758"/>
      <c r="BK505" s="1758"/>
      <c r="BL505" s="1758"/>
      <c r="BM505" s="1758"/>
      <c r="BN505" s="1758"/>
      <c r="BO505" s="1758"/>
      <c r="BP505" s="1758"/>
      <c r="BQ505" s="1758"/>
      <c r="BR505" s="1758"/>
      <c r="BS505" s="1758"/>
      <c r="BT505" s="1758"/>
      <c r="BU505" s="1758"/>
      <c r="BV505" s="1758"/>
      <c r="BW505" s="1758"/>
      <c r="BX505" s="1758"/>
      <c r="BY505" s="1758"/>
      <c r="BZ505" s="1758"/>
      <c r="CA505" s="1758"/>
      <c r="CB505" s="1758"/>
      <c r="CC505" s="1758"/>
      <c r="CD505" s="1758"/>
      <c r="CE505" s="1758"/>
      <c r="CF505" s="1758"/>
      <c r="CG505" s="1758"/>
      <c r="CH505" s="1758"/>
      <c r="CI505" s="1758"/>
      <c r="CJ505" s="1758"/>
      <c r="CK505" s="1758"/>
      <c r="CL505" s="1758"/>
      <c r="CM505" s="1758"/>
      <c r="CN505" s="1758"/>
      <c r="CO505" s="1758"/>
      <c r="CP505" s="1758"/>
      <c r="CQ505" s="1758"/>
      <c r="CR505" s="1758"/>
      <c r="CS505" s="1758"/>
      <c r="CT505" s="1758"/>
      <c r="CU505" s="1758"/>
      <c r="CV505" s="1758"/>
      <c r="CW505" s="1758"/>
      <c r="CX505" s="1758"/>
      <c r="CY505" s="1758"/>
      <c r="CZ505" s="1758"/>
      <c r="DA505" s="1758"/>
      <c r="DB505" s="1758"/>
      <c r="DC505" s="1758"/>
    </row>
    <row r="506" spans="1:107" s="1395" customFormat="1" ht="26.25" customHeight="1">
      <c r="A506" s="10827"/>
      <c r="B506" s="10731"/>
      <c r="C506" s="10728"/>
      <c r="D506" s="10728"/>
      <c r="E506" s="10728"/>
      <c r="F506" s="10744"/>
      <c r="G506" s="10728"/>
      <c r="H506" s="10728"/>
      <c r="I506" s="10728"/>
      <c r="J506" s="10728"/>
      <c r="K506" s="10735"/>
      <c r="L506" s="10738"/>
      <c r="M506" s="10738"/>
      <c r="N506" s="10738"/>
      <c r="O506" s="10735"/>
      <c r="P506" s="10735"/>
      <c r="Q506" s="10741"/>
      <c r="R506" s="5173"/>
      <c r="S506" s="5212"/>
      <c r="T506" s="5212"/>
      <c r="U506" s="5250"/>
      <c r="V506" s="5281"/>
      <c r="W506" s="5302"/>
      <c r="X506" s="7477"/>
      <c r="Y506" s="7473"/>
      <c r="Z506" s="7473"/>
      <c r="AA506" s="7474"/>
      <c r="AB506" s="5323"/>
      <c r="AC506" s="1396"/>
      <c r="AD506" s="5300"/>
      <c r="AE506" s="5346"/>
      <c r="AF506" s="5346"/>
      <c r="AG506" s="10777"/>
      <c r="AH506" s="1758"/>
      <c r="AI506" s="1758"/>
      <c r="AJ506" s="1758"/>
      <c r="AK506" s="1758"/>
      <c r="AL506" s="1758"/>
      <c r="AM506" s="1758"/>
      <c r="AN506" s="1758"/>
      <c r="AO506" s="1758"/>
      <c r="AP506" s="1758"/>
      <c r="AQ506" s="1758"/>
      <c r="AR506" s="1758"/>
      <c r="AS506" s="1758"/>
      <c r="AT506" s="1758"/>
      <c r="AU506" s="1758"/>
      <c r="AV506" s="1758"/>
      <c r="AW506" s="1758"/>
      <c r="AX506" s="1758"/>
      <c r="AY506" s="1758"/>
      <c r="AZ506" s="1758"/>
      <c r="BA506" s="1758"/>
      <c r="BB506" s="1758"/>
      <c r="BC506" s="1758"/>
      <c r="BD506" s="1758"/>
      <c r="BE506" s="1758"/>
      <c r="BF506" s="1758"/>
      <c r="BG506" s="1758"/>
      <c r="BH506" s="1758"/>
      <c r="BI506" s="1758"/>
      <c r="BJ506" s="1758"/>
      <c r="BK506" s="1758"/>
      <c r="BL506" s="1758"/>
      <c r="BM506" s="1758"/>
      <c r="BN506" s="1758"/>
      <c r="BO506" s="1758"/>
      <c r="BP506" s="1758"/>
      <c r="BQ506" s="1758"/>
      <c r="BR506" s="1758"/>
      <c r="BS506" s="1758"/>
      <c r="BT506" s="1758"/>
      <c r="BU506" s="1758"/>
      <c r="BV506" s="1758"/>
      <c r="BW506" s="1758"/>
      <c r="BX506" s="1758"/>
      <c r="BY506" s="1758"/>
      <c r="BZ506" s="1758"/>
      <c r="CA506" s="1758"/>
      <c r="CB506" s="1758"/>
      <c r="CC506" s="1758"/>
      <c r="CD506" s="1758"/>
      <c r="CE506" s="1758"/>
      <c r="CF506" s="1758"/>
      <c r="CG506" s="1758"/>
      <c r="CH506" s="1758"/>
      <c r="CI506" s="1758"/>
      <c r="CJ506" s="1758"/>
      <c r="CK506" s="1758"/>
      <c r="CL506" s="1758"/>
      <c r="CM506" s="1758"/>
      <c r="CN506" s="1758"/>
      <c r="CO506" s="1758"/>
      <c r="CP506" s="1758"/>
      <c r="CQ506" s="1758"/>
      <c r="CR506" s="1758"/>
      <c r="CS506" s="1758"/>
      <c r="CT506" s="1758"/>
      <c r="CU506" s="1758"/>
      <c r="CV506" s="1758"/>
      <c r="CW506" s="1758"/>
      <c r="CX506" s="1758"/>
      <c r="CY506" s="1758"/>
      <c r="CZ506" s="1758"/>
      <c r="DA506" s="1758"/>
      <c r="DB506" s="1758"/>
      <c r="DC506" s="1758"/>
    </row>
    <row r="507" spans="1:107" s="1395" customFormat="1" ht="26.25" customHeight="1">
      <c r="A507" s="10827"/>
      <c r="B507" s="10732"/>
      <c r="C507" s="10729"/>
      <c r="D507" s="10729"/>
      <c r="E507" s="10729"/>
      <c r="F507" s="10745"/>
      <c r="G507" s="10729"/>
      <c r="H507" s="10729"/>
      <c r="I507" s="10729"/>
      <c r="J507" s="10729"/>
      <c r="K507" s="10736"/>
      <c r="L507" s="10739"/>
      <c r="M507" s="10739"/>
      <c r="N507" s="10739"/>
      <c r="O507" s="10736"/>
      <c r="P507" s="10736"/>
      <c r="Q507" s="10749"/>
      <c r="R507" s="5175"/>
      <c r="S507" s="5215"/>
      <c r="T507" s="5215"/>
      <c r="U507" s="5251"/>
      <c r="V507" s="5282"/>
      <c r="W507" s="5303"/>
      <c r="X507" s="7479"/>
      <c r="Y507" s="7479"/>
      <c r="Z507" s="7479"/>
      <c r="AA507" s="7480"/>
      <c r="AB507" s="5326"/>
      <c r="AC507" s="1399"/>
      <c r="AD507" s="5303"/>
      <c r="AE507" s="5348"/>
      <c r="AF507" s="5348"/>
      <c r="AG507" s="10778"/>
      <c r="AH507" s="1758"/>
      <c r="AI507" s="1758"/>
      <c r="AJ507" s="1758"/>
      <c r="AK507" s="1758"/>
      <c r="AL507" s="1758"/>
      <c r="AM507" s="1758"/>
      <c r="AN507" s="1758"/>
      <c r="AO507" s="1758"/>
      <c r="AP507" s="1758"/>
      <c r="AQ507" s="1758"/>
      <c r="AR507" s="1758"/>
      <c r="AS507" s="1758"/>
      <c r="AT507" s="1758"/>
      <c r="AU507" s="1758"/>
      <c r="AV507" s="1758"/>
      <c r="AW507" s="1758"/>
      <c r="AX507" s="1758"/>
      <c r="AY507" s="1758"/>
      <c r="AZ507" s="1758"/>
      <c r="BA507" s="1758"/>
      <c r="BB507" s="1758"/>
      <c r="BC507" s="1758"/>
      <c r="BD507" s="1758"/>
      <c r="BE507" s="1758"/>
      <c r="BF507" s="1758"/>
      <c r="BG507" s="1758"/>
      <c r="BH507" s="1758"/>
      <c r="BI507" s="1758"/>
      <c r="BJ507" s="1758"/>
      <c r="BK507" s="1758"/>
      <c r="BL507" s="1758"/>
      <c r="BM507" s="1758"/>
      <c r="BN507" s="1758"/>
      <c r="BO507" s="1758"/>
      <c r="BP507" s="1758"/>
      <c r="BQ507" s="1758"/>
      <c r="BR507" s="1758"/>
      <c r="BS507" s="1758"/>
      <c r="BT507" s="1758"/>
      <c r="BU507" s="1758"/>
      <c r="BV507" s="1758"/>
      <c r="BW507" s="1758"/>
      <c r="BX507" s="1758"/>
      <c r="BY507" s="1758"/>
      <c r="BZ507" s="1758"/>
      <c r="CA507" s="1758"/>
      <c r="CB507" s="1758"/>
      <c r="CC507" s="1758"/>
      <c r="CD507" s="1758"/>
      <c r="CE507" s="1758"/>
      <c r="CF507" s="1758"/>
      <c r="CG507" s="1758"/>
      <c r="CH507" s="1758"/>
      <c r="CI507" s="1758"/>
      <c r="CJ507" s="1758"/>
      <c r="CK507" s="1758"/>
      <c r="CL507" s="1758"/>
      <c r="CM507" s="1758"/>
      <c r="CN507" s="1758"/>
      <c r="CO507" s="1758"/>
      <c r="CP507" s="1758"/>
      <c r="CQ507" s="1758"/>
      <c r="CR507" s="1758"/>
      <c r="CS507" s="1758"/>
      <c r="CT507" s="1758"/>
      <c r="CU507" s="1758"/>
      <c r="CV507" s="1758"/>
      <c r="CW507" s="1758"/>
      <c r="CX507" s="1758"/>
      <c r="CY507" s="1758"/>
      <c r="CZ507" s="1758"/>
      <c r="DA507" s="1758"/>
      <c r="DB507" s="1758"/>
      <c r="DC507" s="1758"/>
    </row>
    <row r="508" spans="1:107" s="1395" customFormat="1" ht="45" customHeight="1">
      <c r="A508" s="10827"/>
      <c r="B508" s="10748" t="s">
        <v>127</v>
      </c>
      <c r="C508" s="10742" t="s">
        <v>128</v>
      </c>
      <c r="D508" s="10742" t="s">
        <v>1292</v>
      </c>
      <c r="E508" s="10742" t="s">
        <v>5006</v>
      </c>
      <c r="F508" s="10743" t="s">
        <v>1294</v>
      </c>
      <c r="G508" s="10742" t="s">
        <v>171</v>
      </c>
      <c r="H508" s="10742" t="s">
        <v>159</v>
      </c>
      <c r="I508" s="10742" t="s">
        <v>5112</v>
      </c>
      <c r="J508" s="10742" t="s">
        <v>5113</v>
      </c>
      <c r="K508" s="10734" t="s">
        <v>5114</v>
      </c>
      <c r="L508" s="10737">
        <v>0</v>
      </c>
      <c r="M508" s="10737">
        <v>1</v>
      </c>
      <c r="N508" s="10737">
        <v>1</v>
      </c>
      <c r="O508" s="10734" t="s">
        <v>5115</v>
      </c>
      <c r="P508" s="10734" t="s">
        <v>5010</v>
      </c>
      <c r="Q508" s="10740" t="s">
        <v>5110</v>
      </c>
      <c r="R508" s="5202" t="s">
        <v>5011</v>
      </c>
      <c r="S508" s="5227" t="s">
        <v>5012</v>
      </c>
      <c r="T508" s="5240"/>
      <c r="U508" s="5263" t="s">
        <v>16</v>
      </c>
      <c r="V508" s="5294"/>
      <c r="W508" s="5314" t="s">
        <v>180</v>
      </c>
      <c r="X508" s="7487">
        <v>400</v>
      </c>
      <c r="Y508" s="7487">
        <f>+V508*X508</f>
        <v>0</v>
      </c>
      <c r="Z508" s="7487">
        <f t="shared" ref="Z508:Z510" si="7">+Y508*1.12</f>
        <v>0</v>
      </c>
      <c r="AA508" s="7503">
        <f>+Z508</f>
        <v>0</v>
      </c>
      <c r="AB508" s="5337"/>
      <c r="AC508" s="1416"/>
      <c r="AD508" s="5314"/>
      <c r="AE508" s="5350" t="s">
        <v>153</v>
      </c>
      <c r="AF508" s="5350"/>
      <c r="AG508" s="10779" t="s">
        <v>4843</v>
      </c>
      <c r="AH508" s="1758"/>
      <c r="AI508" s="1758"/>
      <c r="AJ508" s="1758"/>
      <c r="AK508" s="1758"/>
      <c r="AL508" s="1758"/>
      <c r="AM508" s="1758"/>
      <c r="AN508" s="1758"/>
      <c r="AO508" s="1758"/>
      <c r="AP508" s="1758"/>
      <c r="AQ508" s="1758"/>
      <c r="AR508" s="1758"/>
      <c r="AS508" s="1758"/>
      <c r="AT508" s="1758"/>
      <c r="AU508" s="1758"/>
      <c r="AV508" s="1758"/>
      <c r="AW508" s="1758"/>
      <c r="AX508" s="1758"/>
      <c r="AY508" s="1758"/>
      <c r="AZ508" s="1758"/>
      <c r="BA508" s="1758"/>
      <c r="BB508" s="1758"/>
      <c r="BC508" s="1758"/>
      <c r="BD508" s="1758"/>
      <c r="BE508" s="1758"/>
      <c r="BF508" s="1758"/>
      <c r="BG508" s="1758"/>
      <c r="BH508" s="1758"/>
      <c r="BI508" s="1758"/>
      <c r="BJ508" s="1758"/>
      <c r="BK508" s="1758"/>
      <c r="BL508" s="1758"/>
      <c r="BM508" s="1758"/>
      <c r="BN508" s="1758"/>
      <c r="BO508" s="1758"/>
      <c r="BP508" s="1758"/>
      <c r="BQ508" s="1758"/>
      <c r="BR508" s="1758"/>
      <c r="BS508" s="1758"/>
      <c r="BT508" s="1758"/>
      <c r="BU508" s="1758"/>
      <c r="BV508" s="1758"/>
      <c r="BW508" s="1758"/>
      <c r="BX508" s="1758"/>
      <c r="BY508" s="1758"/>
      <c r="BZ508" s="1758"/>
      <c r="CA508" s="1758"/>
      <c r="CB508" s="1758"/>
      <c r="CC508" s="1758"/>
      <c r="CD508" s="1758"/>
      <c r="CE508" s="1758"/>
      <c r="CF508" s="1758"/>
      <c r="CG508" s="1758"/>
      <c r="CH508" s="1758"/>
      <c r="CI508" s="1758"/>
      <c r="CJ508" s="1758"/>
      <c r="CK508" s="1758"/>
      <c r="CL508" s="1758"/>
      <c r="CM508" s="1758"/>
      <c r="CN508" s="1758"/>
      <c r="CO508" s="1758"/>
      <c r="CP508" s="1758"/>
      <c r="CQ508" s="1758"/>
      <c r="CR508" s="1758"/>
      <c r="CS508" s="1758"/>
      <c r="CT508" s="1758"/>
      <c r="CU508" s="1758"/>
      <c r="CV508" s="1758"/>
      <c r="CW508" s="1758"/>
      <c r="CX508" s="1758"/>
      <c r="CY508" s="1758"/>
      <c r="CZ508" s="1758"/>
      <c r="DA508" s="1758"/>
      <c r="DB508" s="1758"/>
      <c r="DC508" s="1758"/>
    </row>
    <row r="509" spans="1:107" s="1395" customFormat="1" ht="29.45" customHeight="1">
      <c r="A509" s="10827"/>
      <c r="B509" s="10731"/>
      <c r="C509" s="10728"/>
      <c r="D509" s="10728"/>
      <c r="E509" s="10728"/>
      <c r="F509" s="10744"/>
      <c r="G509" s="10728"/>
      <c r="H509" s="10728"/>
      <c r="I509" s="10728"/>
      <c r="J509" s="10728"/>
      <c r="K509" s="10735"/>
      <c r="L509" s="10738"/>
      <c r="M509" s="10738"/>
      <c r="N509" s="10738"/>
      <c r="O509" s="10735"/>
      <c r="P509" s="10735"/>
      <c r="Q509" s="10741"/>
      <c r="R509" s="5206" t="s">
        <v>5013</v>
      </c>
      <c r="S509" s="5228" t="s">
        <v>5014</v>
      </c>
      <c r="T509" s="5241"/>
      <c r="U509" s="5264" t="s">
        <v>5015</v>
      </c>
      <c r="V509" s="5279"/>
      <c r="W509" s="5300" t="s">
        <v>180</v>
      </c>
      <c r="X509" s="7473">
        <f>1000.05-175</f>
        <v>825.05</v>
      </c>
      <c r="Y509" s="7473">
        <f t="shared" ref="Y509:Y510" si="8">+V509*X509</f>
        <v>0</v>
      </c>
      <c r="Z509" s="7473">
        <f t="shared" si="7"/>
        <v>0</v>
      </c>
      <c r="AA509" s="7474">
        <f>+Z509</f>
        <v>0</v>
      </c>
      <c r="AB509" s="5323"/>
      <c r="AC509" s="1396"/>
      <c r="AD509" s="5300"/>
      <c r="AE509" s="5346" t="s">
        <v>153</v>
      </c>
      <c r="AF509" s="5346"/>
      <c r="AG509" s="10777"/>
      <c r="AH509" s="1758"/>
      <c r="AI509" s="1758"/>
      <c r="AJ509" s="1758"/>
      <c r="AK509" s="1758"/>
      <c r="AL509" s="1758"/>
      <c r="AM509" s="1758"/>
      <c r="AN509" s="1758"/>
      <c r="AO509" s="1758"/>
      <c r="AP509" s="1758"/>
      <c r="AQ509" s="1758"/>
      <c r="AR509" s="1758"/>
      <c r="AS509" s="1758"/>
      <c r="AT509" s="1758"/>
      <c r="AU509" s="1758"/>
      <c r="AV509" s="1758"/>
      <c r="AW509" s="1758"/>
      <c r="AX509" s="1758"/>
      <c r="AY509" s="1758"/>
      <c r="AZ509" s="1758"/>
      <c r="BA509" s="1758"/>
      <c r="BB509" s="1758"/>
      <c r="BC509" s="1758"/>
      <c r="BD509" s="1758"/>
      <c r="BE509" s="1758"/>
      <c r="BF509" s="1758"/>
      <c r="BG509" s="1758"/>
      <c r="BH509" s="1758"/>
      <c r="BI509" s="1758"/>
      <c r="BJ509" s="1758"/>
      <c r="BK509" s="1758"/>
      <c r="BL509" s="1758"/>
      <c r="BM509" s="1758"/>
      <c r="BN509" s="1758"/>
      <c r="BO509" s="1758"/>
      <c r="BP509" s="1758"/>
      <c r="BQ509" s="1758"/>
      <c r="BR509" s="1758"/>
      <c r="BS509" s="1758"/>
      <c r="BT509" s="1758"/>
      <c r="BU509" s="1758"/>
      <c r="BV509" s="1758"/>
      <c r="BW509" s="1758"/>
      <c r="BX509" s="1758"/>
      <c r="BY509" s="1758"/>
      <c r="BZ509" s="1758"/>
      <c r="CA509" s="1758"/>
      <c r="CB509" s="1758"/>
      <c r="CC509" s="1758"/>
      <c r="CD509" s="1758"/>
      <c r="CE509" s="1758"/>
      <c r="CF509" s="1758"/>
      <c r="CG509" s="1758"/>
      <c r="CH509" s="1758"/>
      <c r="CI509" s="1758"/>
      <c r="CJ509" s="1758"/>
      <c r="CK509" s="1758"/>
      <c r="CL509" s="1758"/>
      <c r="CM509" s="1758"/>
      <c r="CN509" s="1758"/>
      <c r="CO509" s="1758"/>
      <c r="CP509" s="1758"/>
      <c r="CQ509" s="1758"/>
      <c r="CR509" s="1758"/>
      <c r="CS509" s="1758"/>
      <c r="CT509" s="1758"/>
      <c r="CU509" s="1758"/>
      <c r="CV509" s="1758"/>
      <c r="CW509" s="1758"/>
      <c r="CX509" s="1758"/>
      <c r="CY509" s="1758"/>
      <c r="CZ509" s="1758"/>
      <c r="DA509" s="1758"/>
      <c r="DB509" s="1758"/>
      <c r="DC509" s="1758"/>
    </row>
    <row r="510" spans="1:107" s="1395" customFormat="1" ht="32.1" customHeight="1">
      <c r="A510" s="10827"/>
      <c r="B510" s="10731"/>
      <c r="C510" s="10728"/>
      <c r="D510" s="10728"/>
      <c r="E510" s="10728"/>
      <c r="F510" s="10744"/>
      <c r="G510" s="10728"/>
      <c r="H510" s="10728"/>
      <c r="I510" s="10728"/>
      <c r="J510" s="10728"/>
      <c r="K510" s="10735"/>
      <c r="L510" s="10738"/>
      <c r="M510" s="10738"/>
      <c r="N510" s="10738"/>
      <c r="O510" s="10735"/>
      <c r="P510" s="10735"/>
      <c r="Q510" s="10741"/>
      <c r="R510" s="5208" t="s">
        <v>5016</v>
      </c>
      <c r="S510" s="5229" t="s">
        <v>5017</v>
      </c>
      <c r="T510" s="5242"/>
      <c r="U510" s="5249" t="s">
        <v>5018</v>
      </c>
      <c r="V510" s="5281"/>
      <c r="W510" s="5302" t="s">
        <v>180</v>
      </c>
      <c r="X510" s="7477">
        <v>1000</v>
      </c>
      <c r="Y510" s="7477">
        <f t="shared" si="8"/>
        <v>0</v>
      </c>
      <c r="Z510" s="7477">
        <f t="shared" si="7"/>
        <v>0</v>
      </c>
      <c r="AA510" s="7478">
        <f>+Z510</f>
        <v>0</v>
      </c>
      <c r="AB510" s="5325"/>
      <c r="AC510" s="1398"/>
      <c r="AD510" s="5302"/>
      <c r="AE510" s="5349" t="s">
        <v>153</v>
      </c>
      <c r="AF510" s="5349"/>
      <c r="AG510" s="10777"/>
      <c r="AH510" s="1758"/>
      <c r="AI510" s="1758"/>
      <c r="AJ510" s="1758"/>
      <c r="AK510" s="1758"/>
      <c r="AL510" s="1758"/>
      <c r="AM510" s="1758"/>
      <c r="AN510" s="1758"/>
      <c r="AO510" s="1758"/>
      <c r="AP510" s="1758"/>
      <c r="AQ510" s="1758"/>
      <c r="AR510" s="1758"/>
      <c r="AS510" s="1758"/>
      <c r="AT510" s="1758"/>
      <c r="AU510" s="1758"/>
      <c r="AV510" s="1758"/>
      <c r="AW510" s="1758"/>
      <c r="AX510" s="1758"/>
      <c r="AY510" s="1758"/>
      <c r="AZ510" s="1758"/>
      <c r="BA510" s="1758"/>
      <c r="BB510" s="1758"/>
      <c r="BC510" s="1758"/>
      <c r="BD510" s="1758"/>
      <c r="BE510" s="1758"/>
      <c r="BF510" s="1758"/>
      <c r="BG510" s="1758"/>
      <c r="BH510" s="1758"/>
      <c r="BI510" s="1758"/>
      <c r="BJ510" s="1758"/>
      <c r="BK510" s="1758"/>
      <c r="BL510" s="1758"/>
      <c r="BM510" s="1758"/>
      <c r="BN510" s="1758"/>
      <c r="BO510" s="1758"/>
      <c r="BP510" s="1758"/>
      <c r="BQ510" s="1758"/>
      <c r="BR510" s="1758"/>
      <c r="BS510" s="1758"/>
      <c r="BT510" s="1758"/>
      <c r="BU510" s="1758"/>
      <c r="BV510" s="1758"/>
      <c r="BW510" s="1758"/>
      <c r="BX510" s="1758"/>
      <c r="BY510" s="1758"/>
      <c r="BZ510" s="1758"/>
      <c r="CA510" s="1758"/>
      <c r="CB510" s="1758"/>
      <c r="CC510" s="1758"/>
      <c r="CD510" s="1758"/>
      <c r="CE510" s="1758"/>
      <c r="CF510" s="1758"/>
      <c r="CG510" s="1758"/>
      <c r="CH510" s="1758"/>
      <c r="CI510" s="1758"/>
      <c r="CJ510" s="1758"/>
      <c r="CK510" s="1758"/>
      <c r="CL510" s="1758"/>
      <c r="CM510" s="1758"/>
      <c r="CN510" s="1758"/>
      <c r="CO510" s="1758"/>
      <c r="CP510" s="1758"/>
      <c r="CQ510" s="1758"/>
      <c r="CR510" s="1758"/>
      <c r="CS510" s="1758"/>
      <c r="CT510" s="1758"/>
      <c r="CU510" s="1758"/>
      <c r="CV510" s="1758"/>
      <c r="CW510" s="1758"/>
      <c r="CX510" s="1758"/>
      <c r="CY510" s="1758"/>
      <c r="CZ510" s="1758"/>
      <c r="DA510" s="1758"/>
      <c r="DB510" s="1758"/>
      <c r="DC510" s="1758"/>
    </row>
    <row r="511" spans="1:107" s="1395" customFormat="1" ht="45" customHeight="1">
      <c r="A511" s="10827"/>
      <c r="B511" s="10731"/>
      <c r="C511" s="10728"/>
      <c r="D511" s="10728"/>
      <c r="E511" s="10728"/>
      <c r="F511" s="10744"/>
      <c r="G511" s="10728"/>
      <c r="H511" s="10728"/>
      <c r="I511" s="10728"/>
      <c r="J511" s="10728"/>
      <c r="K511" s="10735"/>
      <c r="L511" s="10738"/>
      <c r="M511" s="10738"/>
      <c r="N511" s="10738"/>
      <c r="O511" s="10735"/>
      <c r="P511" s="10735"/>
      <c r="Q511" s="10741"/>
      <c r="R511" s="5206" t="s">
        <v>5019</v>
      </c>
      <c r="S511" s="5228" t="s">
        <v>5020</v>
      </c>
      <c r="T511" s="5241"/>
      <c r="U511" s="5264" t="s">
        <v>16</v>
      </c>
      <c r="V511" s="5279"/>
      <c r="W511" s="5300" t="s">
        <v>180</v>
      </c>
      <c r="X511" s="7473">
        <v>400</v>
      </c>
      <c r="Y511" s="7473">
        <f>+V511*X511</f>
        <v>0</v>
      </c>
      <c r="Z511" s="7473">
        <f>+Y511*1.12</f>
        <v>0</v>
      </c>
      <c r="AA511" s="7474">
        <f>+Z511</f>
        <v>0</v>
      </c>
      <c r="AB511" s="5323"/>
      <c r="AC511" s="1396"/>
      <c r="AD511" s="5300"/>
      <c r="AE511" s="5346" t="s">
        <v>153</v>
      </c>
      <c r="AF511" s="5346"/>
      <c r="AG511" s="10777"/>
      <c r="AH511" s="1758"/>
      <c r="AI511" s="1758"/>
      <c r="AJ511" s="1758"/>
      <c r="AK511" s="1758"/>
      <c r="AL511" s="1758"/>
      <c r="AM511" s="1758"/>
      <c r="AN511" s="1758"/>
      <c r="AO511" s="1758"/>
      <c r="AP511" s="1758"/>
      <c r="AQ511" s="1758"/>
      <c r="AR511" s="1758"/>
      <c r="AS511" s="1758"/>
      <c r="AT511" s="1758"/>
      <c r="AU511" s="1758"/>
      <c r="AV511" s="1758"/>
      <c r="AW511" s="1758"/>
      <c r="AX511" s="1758"/>
      <c r="AY511" s="1758"/>
      <c r="AZ511" s="1758"/>
      <c r="BA511" s="1758"/>
      <c r="BB511" s="1758"/>
      <c r="BC511" s="1758"/>
      <c r="BD511" s="1758"/>
      <c r="BE511" s="1758"/>
      <c r="BF511" s="1758"/>
      <c r="BG511" s="1758"/>
      <c r="BH511" s="1758"/>
      <c r="BI511" s="1758"/>
      <c r="BJ511" s="1758"/>
      <c r="BK511" s="1758"/>
      <c r="BL511" s="1758"/>
      <c r="BM511" s="1758"/>
      <c r="BN511" s="1758"/>
      <c r="BO511" s="1758"/>
      <c r="BP511" s="1758"/>
      <c r="BQ511" s="1758"/>
      <c r="BR511" s="1758"/>
      <c r="BS511" s="1758"/>
      <c r="BT511" s="1758"/>
      <c r="BU511" s="1758"/>
      <c r="BV511" s="1758"/>
      <c r="BW511" s="1758"/>
      <c r="BX511" s="1758"/>
      <c r="BY511" s="1758"/>
      <c r="BZ511" s="1758"/>
      <c r="CA511" s="1758"/>
      <c r="CB511" s="1758"/>
      <c r="CC511" s="1758"/>
      <c r="CD511" s="1758"/>
      <c r="CE511" s="1758"/>
      <c r="CF511" s="1758"/>
      <c r="CG511" s="1758"/>
      <c r="CH511" s="1758"/>
      <c r="CI511" s="1758"/>
      <c r="CJ511" s="1758"/>
      <c r="CK511" s="1758"/>
      <c r="CL511" s="1758"/>
      <c r="CM511" s="1758"/>
      <c r="CN511" s="1758"/>
      <c r="CO511" s="1758"/>
      <c r="CP511" s="1758"/>
      <c r="CQ511" s="1758"/>
      <c r="CR511" s="1758"/>
      <c r="CS511" s="1758"/>
      <c r="CT511" s="1758"/>
      <c r="CU511" s="1758"/>
      <c r="CV511" s="1758"/>
      <c r="CW511" s="1758"/>
      <c r="CX511" s="1758"/>
      <c r="CY511" s="1758"/>
      <c r="CZ511" s="1758"/>
      <c r="DA511" s="1758"/>
      <c r="DB511" s="1758"/>
      <c r="DC511" s="1758"/>
    </row>
    <row r="512" spans="1:107" s="1395" customFormat="1" ht="33.950000000000003" customHeight="1">
      <c r="A512" s="10827"/>
      <c r="B512" s="10732"/>
      <c r="C512" s="10729"/>
      <c r="D512" s="10729"/>
      <c r="E512" s="10729"/>
      <c r="F512" s="10745"/>
      <c r="G512" s="10729"/>
      <c r="H512" s="10729"/>
      <c r="I512" s="10729"/>
      <c r="J512" s="10729"/>
      <c r="K512" s="10736"/>
      <c r="L512" s="10739"/>
      <c r="M512" s="10739"/>
      <c r="N512" s="10739"/>
      <c r="O512" s="10736"/>
      <c r="P512" s="10736"/>
      <c r="Q512" s="10749"/>
      <c r="R512" s="5207" t="s">
        <v>5016</v>
      </c>
      <c r="S512" s="5232" t="s">
        <v>5021</v>
      </c>
      <c r="T512" s="5243"/>
      <c r="U512" s="5272" t="s">
        <v>5015</v>
      </c>
      <c r="V512" s="5282"/>
      <c r="W512" s="5303" t="s">
        <v>180</v>
      </c>
      <c r="X512" s="7479">
        <v>1200</v>
      </c>
      <c r="Y512" s="7479">
        <f>+V512*X512</f>
        <v>0</v>
      </c>
      <c r="Z512" s="7479">
        <f>+Y512*1.12</f>
        <v>0</v>
      </c>
      <c r="AA512" s="7480">
        <f>+Z512</f>
        <v>0</v>
      </c>
      <c r="AB512" s="5326"/>
      <c r="AC512" s="1399"/>
      <c r="AD512" s="5303"/>
      <c r="AE512" s="5348" t="s">
        <v>153</v>
      </c>
      <c r="AF512" s="5348"/>
      <c r="AG512" s="10778"/>
      <c r="AH512" s="1758"/>
      <c r="AI512" s="1758"/>
      <c r="AJ512" s="1758"/>
      <c r="AK512" s="1758"/>
      <c r="AL512" s="1758"/>
      <c r="AM512" s="1758"/>
      <c r="AN512" s="1758"/>
      <c r="AO512" s="1758"/>
      <c r="AP512" s="1758"/>
      <c r="AQ512" s="1758"/>
      <c r="AR512" s="1758"/>
      <c r="AS512" s="1758"/>
      <c r="AT512" s="1758"/>
      <c r="AU512" s="1758"/>
      <c r="AV512" s="1758"/>
      <c r="AW512" s="1758"/>
      <c r="AX512" s="1758"/>
      <c r="AY512" s="1758"/>
      <c r="AZ512" s="1758"/>
      <c r="BA512" s="1758"/>
      <c r="BB512" s="1758"/>
      <c r="BC512" s="1758"/>
      <c r="BD512" s="1758"/>
      <c r="BE512" s="1758"/>
      <c r="BF512" s="1758"/>
      <c r="BG512" s="1758"/>
      <c r="BH512" s="1758"/>
      <c r="BI512" s="1758"/>
      <c r="BJ512" s="1758"/>
      <c r="BK512" s="1758"/>
      <c r="BL512" s="1758"/>
      <c r="BM512" s="1758"/>
      <c r="BN512" s="1758"/>
      <c r="BO512" s="1758"/>
      <c r="BP512" s="1758"/>
      <c r="BQ512" s="1758"/>
      <c r="BR512" s="1758"/>
      <c r="BS512" s="1758"/>
      <c r="BT512" s="1758"/>
      <c r="BU512" s="1758"/>
      <c r="BV512" s="1758"/>
      <c r="BW512" s="1758"/>
      <c r="BX512" s="1758"/>
      <c r="BY512" s="1758"/>
      <c r="BZ512" s="1758"/>
      <c r="CA512" s="1758"/>
      <c r="CB512" s="1758"/>
      <c r="CC512" s="1758"/>
      <c r="CD512" s="1758"/>
      <c r="CE512" s="1758"/>
      <c r="CF512" s="1758"/>
      <c r="CG512" s="1758"/>
      <c r="CH512" s="1758"/>
      <c r="CI512" s="1758"/>
      <c r="CJ512" s="1758"/>
      <c r="CK512" s="1758"/>
      <c r="CL512" s="1758"/>
      <c r="CM512" s="1758"/>
      <c r="CN512" s="1758"/>
      <c r="CO512" s="1758"/>
      <c r="CP512" s="1758"/>
      <c r="CQ512" s="1758"/>
      <c r="CR512" s="1758"/>
      <c r="CS512" s="1758"/>
      <c r="CT512" s="1758"/>
      <c r="CU512" s="1758"/>
      <c r="CV512" s="1758"/>
      <c r="CW512" s="1758"/>
      <c r="CX512" s="1758"/>
      <c r="CY512" s="1758"/>
      <c r="CZ512" s="1758"/>
      <c r="DA512" s="1758"/>
      <c r="DB512" s="1758"/>
      <c r="DC512" s="1758"/>
    </row>
    <row r="513" spans="1:107" s="1395" customFormat="1" ht="25.5" customHeight="1">
      <c r="A513" s="10827"/>
      <c r="B513" s="10748" t="s">
        <v>127</v>
      </c>
      <c r="C513" s="10742" t="s">
        <v>128</v>
      </c>
      <c r="D513" s="10742" t="s">
        <v>129</v>
      </c>
      <c r="E513" s="10728" t="s">
        <v>205</v>
      </c>
      <c r="F513" s="10744" t="s">
        <v>131</v>
      </c>
      <c r="G513" s="10728" t="s">
        <v>132</v>
      </c>
      <c r="H513" s="10728" t="s">
        <v>159</v>
      </c>
      <c r="I513" s="10728" t="s">
        <v>5022</v>
      </c>
      <c r="J513" s="10728" t="s">
        <v>5023</v>
      </c>
      <c r="K513" s="10735" t="s">
        <v>5024</v>
      </c>
      <c r="L513" s="10738">
        <v>0</v>
      </c>
      <c r="M513" s="10738">
        <v>4</v>
      </c>
      <c r="N513" s="10738">
        <v>4</v>
      </c>
      <c r="O513" s="10735" t="s">
        <v>5025</v>
      </c>
      <c r="P513" s="10735" t="s">
        <v>5026</v>
      </c>
      <c r="Q513" s="10741" t="s">
        <v>5110</v>
      </c>
      <c r="R513" s="5173"/>
      <c r="S513" s="5212"/>
      <c r="T513" s="5212"/>
      <c r="U513" s="5249"/>
      <c r="V513" s="5281"/>
      <c r="W513" s="5302"/>
      <c r="X513" s="7477"/>
      <c r="Y513" s="7477"/>
      <c r="Z513" s="7477"/>
      <c r="AA513" s="7478"/>
      <c r="AB513" s="5325"/>
      <c r="AC513" s="1398"/>
      <c r="AD513" s="5302"/>
      <c r="AE513" s="5349"/>
      <c r="AF513" s="5349"/>
      <c r="AG513" s="10777" t="s">
        <v>4843</v>
      </c>
      <c r="AH513" s="1758"/>
      <c r="AI513" s="1758"/>
      <c r="AJ513" s="1758"/>
      <c r="AK513" s="1758"/>
      <c r="AL513" s="1758"/>
      <c r="AM513" s="1758"/>
      <c r="AN513" s="1758"/>
      <c r="AO513" s="1758"/>
      <c r="AP513" s="1758"/>
      <c r="AQ513" s="1758"/>
      <c r="AR513" s="1758"/>
      <c r="AS513" s="1758"/>
      <c r="AT513" s="1758"/>
      <c r="AU513" s="1758"/>
      <c r="AV513" s="1758"/>
      <c r="AW513" s="1758"/>
      <c r="AX513" s="1758"/>
      <c r="AY513" s="1758"/>
      <c r="AZ513" s="1758"/>
      <c r="BA513" s="1758"/>
      <c r="BB513" s="1758"/>
      <c r="BC513" s="1758"/>
      <c r="BD513" s="1758"/>
      <c r="BE513" s="1758"/>
      <c r="BF513" s="1758"/>
      <c r="BG513" s="1758"/>
      <c r="BH513" s="1758"/>
      <c r="BI513" s="1758"/>
      <c r="BJ513" s="1758"/>
      <c r="BK513" s="1758"/>
      <c r="BL513" s="1758"/>
      <c r="BM513" s="1758"/>
      <c r="BN513" s="1758"/>
      <c r="BO513" s="1758"/>
      <c r="BP513" s="1758"/>
      <c r="BQ513" s="1758"/>
      <c r="BR513" s="1758"/>
      <c r="BS513" s="1758"/>
      <c r="BT513" s="1758"/>
      <c r="BU513" s="1758"/>
      <c r="BV513" s="1758"/>
      <c r="BW513" s="1758"/>
      <c r="BX513" s="1758"/>
      <c r="BY513" s="1758"/>
      <c r="BZ513" s="1758"/>
      <c r="CA513" s="1758"/>
      <c r="CB513" s="1758"/>
      <c r="CC513" s="1758"/>
      <c r="CD513" s="1758"/>
      <c r="CE513" s="1758"/>
      <c r="CF513" s="1758"/>
      <c r="CG513" s="1758"/>
      <c r="CH513" s="1758"/>
      <c r="CI513" s="1758"/>
      <c r="CJ513" s="1758"/>
      <c r="CK513" s="1758"/>
      <c r="CL513" s="1758"/>
      <c r="CM513" s="1758"/>
      <c r="CN513" s="1758"/>
      <c r="CO513" s="1758"/>
      <c r="CP513" s="1758"/>
      <c r="CQ513" s="1758"/>
      <c r="CR513" s="1758"/>
      <c r="CS513" s="1758"/>
      <c r="CT513" s="1758"/>
      <c r="CU513" s="1758"/>
      <c r="CV513" s="1758"/>
      <c r="CW513" s="1758"/>
      <c r="CX513" s="1758"/>
      <c r="CY513" s="1758"/>
      <c r="CZ513" s="1758"/>
      <c r="DA513" s="1758"/>
      <c r="DB513" s="1758"/>
      <c r="DC513" s="1758"/>
    </row>
    <row r="514" spans="1:107" s="1395" customFormat="1" ht="25.5" customHeight="1">
      <c r="A514" s="10827"/>
      <c r="B514" s="10731"/>
      <c r="C514" s="10728"/>
      <c r="D514" s="10728"/>
      <c r="E514" s="10728"/>
      <c r="F514" s="10744"/>
      <c r="G514" s="10728"/>
      <c r="H514" s="10728"/>
      <c r="I514" s="10728"/>
      <c r="J514" s="10728"/>
      <c r="K514" s="10735"/>
      <c r="L514" s="10738"/>
      <c r="M514" s="10738"/>
      <c r="N514" s="10738"/>
      <c r="O514" s="10735"/>
      <c r="P514" s="10735"/>
      <c r="Q514" s="10741"/>
      <c r="R514" s="5171"/>
      <c r="S514" s="5213"/>
      <c r="T514" s="5213"/>
      <c r="U514" s="5247"/>
      <c r="V514" s="5279"/>
      <c r="W514" s="5300"/>
      <c r="X514" s="7473"/>
      <c r="Y514" s="7473"/>
      <c r="Z514" s="7473"/>
      <c r="AA514" s="7474"/>
      <c r="AB514" s="5323"/>
      <c r="AC514" s="1396"/>
      <c r="AD514" s="5300"/>
      <c r="AE514" s="5346"/>
      <c r="AF514" s="5346"/>
      <c r="AG514" s="10777"/>
      <c r="AH514" s="1758"/>
      <c r="AI514" s="1758"/>
      <c r="AJ514" s="1758"/>
      <c r="AK514" s="1758"/>
      <c r="AL514" s="1758"/>
      <c r="AM514" s="1758"/>
      <c r="AN514" s="1758"/>
      <c r="AO514" s="1758"/>
      <c r="AP514" s="1758"/>
      <c r="AQ514" s="1758"/>
      <c r="AR514" s="1758"/>
      <c r="AS514" s="1758"/>
      <c r="AT514" s="1758"/>
      <c r="AU514" s="1758"/>
      <c r="AV514" s="1758"/>
      <c r="AW514" s="1758"/>
      <c r="AX514" s="1758"/>
      <c r="AY514" s="1758"/>
      <c r="AZ514" s="1758"/>
      <c r="BA514" s="1758"/>
      <c r="BB514" s="1758"/>
      <c r="BC514" s="1758"/>
      <c r="BD514" s="1758"/>
      <c r="BE514" s="1758"/>
      <c r="BF514" s="1758"/>
      <c r="BG514" s="1758"/>
      <c r="BH514" s="1758"/>
      <c r="BI514" s="1758"/>
      <c r="BJ514" s="1758"/>
      <c r="BK514" s="1758"/>
      <c r="BL514" s="1758"/>
      <c r="BM514" s="1758"/>
      <c r="BN514" s="1758"/>
      <c r="BO514" s="1758"/>
      <c r="BP514" s="1758"/>
      <c r="BQ514" s="1758"/>
      <c r="BR514" s="1758"/>
      <c r="BS514" s="1758"/>
      <c r="BT514" s="1758"/>
      <c r="BU514" s="1758"/>
      <c r="BV514" s="1758"/>
      <c r="BW514" s="1758"/>
      <c r="BX514" s="1758"/>
      <c r="BY514" s="1758"/>
      <c r="BZ514" s="1758"/>
      <c r="CA514" s="1758"/>
      <c r="CB514" s="1758"/>
      <c r="CC514" s="1758"/>
      <c r="CD514" s="1758"/>
      <c r="CE514" s="1758"/>
      <c r="CF514" s="1758"/>
      <c r="CG514" s="1758"/>
      <c r="CH514" s="1758"/>
      <c r="CI514" s="1758"/>
      <c r="CJ514" s="1758"/>
      <c r="CK514" s="1758"/>
      <c r="CL514" s="1758"/>
      <c r="CM514" s="1758"/>
      <c r="CN514" s="1758"/>
      <c r="CO514" s="1758"/>
      <c r="CP514" s="1758"/>
      <c r="CQ514" s="1758"/>
      <c r="CR514" s="1758"/>
      <c r="CS514" s="1758"/>
      <c r="CT514" s="1758"/>
      <c r="CU514" s="1758"/>
      <c r="CV514" s="1758"/>
      <c r="CW514" s="1758"/>
      <c r="CX514" s="1758"/>
      <c r="CY514" s="1758"/>
      <c r="CZ514" s="1758"/>
      <c r="DA514" s="1758"/>
      <c r="DB514" s="1758"/>
      <c r="DC514" s="1758"/>
    </row>
    <row r="515" spans="1:107" s="1395" customFormat="1" ht="25.5" customHeight="1">
      <c r="A515" s="10827"/>
      <c r="B515" s="10731"/>
      <c r="C515" s="10728"/>
      <c r="D515" s="10728"/>
      <c r="E515" s="10728"/>
      <c r="F515" s="10744"/>
      <c r="G515" s="10728"/>
      <c r="H515" s="10728"/>
      <c r="I515" s="10728"/>
      <c r="J515" s="10728"/>
      <c r="K515" s="10735"/>
      <c r="L515" s="10738"/>
      <c r="M515" s="10738"/>
      <c r="N515" s="10738"/>
      <c r="O515" s="10735"/>
      <c r="P515" s="10735"/>
      <c r="Q515" s="10741"/>
      <c r="R515" s="5174"/>
      <c r="S515" s="5214"/>
      <c r="T515" s="5214"/>
      <c r="U515" s="5250"/>
      <c r="V515" s="5281"/>
      <c r="W515" s="5302"/>
      <c r="X515" s="7477"/>
      <c r="Y515" s="7473"/>
      <c r="Z515" s="7473"/>
      <c r="AA515" s="7474"/>
      <c r="AB515" s="5323"/>
      <c r="AC515" s="1396"/>
      <c r="AD515" s="5300"/>
      <c r="AE515" s="5346"/>
      <c r="AF515" s="5346"/>
      <c r="AG515" s="10777"/>
      <c r="AH515" s="1758"/>
      <c r="AI515" s="1758"/>
      <c r="AJ515" s="1758"/>
      <c r="AK515" s="1758"/>
      <c r="AL515" s="1758"/>
      <c r="AM515" s="1758"/>
      <c r="AN515" s="1758"/>
      <c r="AO515" s="1758"/>
      <c r="AP515" s="1758"/>
      <c r="AQ515" s="1758"/>
      <c r="AR515" s="1758"/>
      <c r="AS515" s="1758"/>
      <c r="AT515" s="1758"/>
      <c r="AU515" s="1758"/>
      <c r="AV515" s="1758"/>
      <c r="AW515" s="1758"/>
      <c r="AX515" s="1758"/>
      <c r="AY515" s="1758"/>
      <c r="AZ515" s="1758"/>
      <c r="BA515" s="1758"/>
      <c r="BB515" s="1758"/>
      <c r="BC515" s="1758"/>
      <c r="BD515" s="1758"/>
      <c r="BE515" s="1758"/>
      <c r="BF515" s="1758"/>
      <c r="BG515" s="1758"/>
      <c r="BH515" s="1758"/>
      <c r="BI515" s="1758"/>
      <c r="BJ515" s="1758"/>
      <c r="BK515" s="1758"/>
      <c r="BL515" s="1758"/>
      <c r="BM515" s="1758"/>
      <c r="BN515" s="1758"/>
      <c r="BO515" s="1758"/>
      <c r="BP515" s="1758"/>
      <c r="BQ515" s="1758"/>
      <c r="BR515" s="1758"/>
      <c r="BS515" s="1758"/>
      <c r="BT515" s="1758"/>
      <c r="BU515" s="1758"/>
      <c r="BV515" s="1758"/>
      <c r="BW515" s="1758"/>
      <c r="BX515" s="1758"/>
      <c r="BY515" s="1758"/>
      <c r="BZ515" s="1758"/>
      <c r="CA515" s="1758"/>
      <c r="CB515" s="1758"/>
      <c r="CC515" s="1758"/>
      <c r="CD515" s="1758"/>
      <c r="CE515" s="1758"/>
      <c r="CF515" s="1758"/>
      <c r="CG515" s="1758"/>
      <c r="CH515" s="1758"/>
      <c r="CI515" s="1758"/>
      <c r="CJ515" s="1758"/>
      <c r="CK515" s="1758"/>
      <c r="CL515" s="1758"/>
      <c r="CM515" s="1758"/>
      <c r="CN515" s="1758"/>
      <c r="CO515" s="1758"/>
      <c r="CP515" s="1758"/>
      <c r="CQ515" s="1758"/>
      <c r="CR515" s="1758"/>
      <c r="CS515" s="1758"/>
      <c r="CT515" s="1758"/>
      <c r="CU515" s="1758"/>
      <c r="CV515" s="1758"/>
      <c r="CW515" s="1758"/>
      <c r="CX515" s="1758"/>
      <c r="CY515" s="1758"/>
      <c r="CZ515" s="1758"/>
      <c r="DA515" s="1758"/>
      <c r="DB515" s="1758"/>
      <c r="DC515" s="1758"/>
    </row>
    <row r="516" spans="1:107" s="1395" customFormat="1" ht="25.5" customHeight="1">
      <c r="A516" s="10827"/>
      <c r="B516" s="10731"/>
      <c r="C516" s="10728"/>
      <c r="D516" s="10728"/>
      <c r="E516" s="10728"/>
      <c r="F516" s="10744"/>
      <c r="G516" s="10728"/>
      <c r="H516" s="10728"/>
      <c r="I516" s="10728"/>
      <c r="J516" s="10728"/>
      <c r="K516" s="10735"/>
      <c r="L516" s="10738"/>
      <c r="M516" s="10738"/>
      <c r="N516" s="10738"/>
      <c r="O516" s="10735"/>
      <c r="P516" s="10735"/>
      <c r="Q516" s="10741"/>
      <c r="R516" s="5173"/>
      <c r="S516" s="5212"/>
      <c r="T516" s="5212"/>
      <c r="U516" s="5250"/>
      <c r="V516" s="5281"/>
      <c r="W516" s="5302"/>
      <c r="X516" s="7477"/>
      <c r="Y516" s="7473"/>
      <c r="Z516" s="7473"/>
      <c r="AA516" s="7474"/>
      <c r="AB516" s="5323"/>
      <c r="AC516" s="1396"/>
      <c r="AD516" s="5300"/>
      <c r="AE516" s="5346"/>
      <c r="AF516" s="5346"/>
      <c r="AG516" s="10777"/>
      <c r="AH516" s="1758"/>
      <c r="AI516" s="1758"/>
      <c r="AJ516" s="1758"/>
      <c r="AK516" s="1758"/>
      <c r="AL516" s="1758"/>
      <c r="AM516" s="1758"/>
      <c r="AN516" s="1758"/>
      <c r="AO516" s="1758"/>
      <c r="AP516" s="1758"/>
      <c r="AQ516" s="1758"/>
      <c r="AR516" s="1758"/>
      <c r="AS516" s="1758"/>
      <c r="AT516" s="1758"/>
      <c r="AU516" s="1758"/>
      <c r="AV516" s="1758"/>
      <c r="AW516" s="1758"/>
      <c r="AX516" s="1758"/>
      <c r="AY516" s="1758"/>
      <c r="AZ516" s="1758"/>
      <c r="BA516" s="1758"/>
      <c r="BB516" s="1758"/>
      <c r="BC516" s="1758"/>
      <c r="BD516" s="1758"/>
      <c r="BE516" s="1758"/>
      <c r="BF516" s="1758"/>
      <c r="BG516" s="1758"/>
      <c r="BH516" s="1758"/>
      <c r="BI516" s="1758"/>
      <c r="BJ516" s="1758"/>
      <c r="BK516" s="1758"/>
      <c r="BL516" s="1758"/>
      <c r="BM516" s="1758"/>
      <c r="BN516" s="1758"/>
      <c r="BO516" s="1758"/>
      <c r="BP516" s="1758"/>
      <c r="BQ516" s="1758"/>
      <c r="BR516" s="1758"/>
      <c r="BS516" s="1758"/>
      <c r="BT516" s="1758"/>
      <c r="BU516" s="1758"/>
      <c r="BV516" s="1758"/>
      <c r="BW516" s="1758"/>
      <c r="BX516" s="1758"/>
      <c r="BY516" s="1758"/>
      <c r="BZ516" s="1758"/>
      <c r="CA516" s="1758"/>
      <c r="CB516" s="1758"/>
      <c r="CC516" s="1758"/>
      <c r="CD516" s="1758"/>
      <c r="CE516" s="1758"/>
      <c r="CF516" s="1758"/>
      <c r="CG516" s="1758"/>
      <c r="CH516" s="1758"/>
      <c r="CI516" s="1758"/>
      <c r="CJ516" s="1758"/>
      <c r="CK516" s="1758"/>
      <c r="CL516" s="1758"/>
      <c r="CM516" s="1758"/>
      <c r="CN516" s="1758"/>
      <c r="CO516" s="1758"/>
      <c r="CP516" s="1758"/>
      <c r="CQ516" s="1758"/>
      <c r="CR516" s="1758"/>
      <c r="CS516" s="1758"/>
      <c r="CT516" s="1758"/>
      <c r="CU516" s="1758"/>
      <c r="CV516" s="1758"/>
      <c r="CW516" s="1758"/>
      <c r="CX516" s="1758"/>
      <c r="CY516" s="1758"/>
      <c r="CZ516" s="1758"/>
      <c r="DA516" s="1758"/>
      <c r="DB516" s="1758"/>
      <c r="DC516" s="1758"/>
    </row>
    <row r="517" spans="1:107" s="1395" customFormat="1" ht="25.5" customHeight="1">
      <c r="A517" s="10827"/>
      <c r="B517" s="10732"/>
      <c r="C517" s="10729"/>
      <c r="D517" s="10729"/>
      <c r="E517" s="10729"/>
      <c r="F517" s="10745"/>
      <c r="G517" s="10729"/>
      <c r="H517" s="10729"/>
      <c r="I517" s="10729"/>
      <c r="J517" s="10729"/>
      <c r="K517" s="10736"/>
      <c r="L517" s="10739"/>
      <c r="M517" s="10739"/>
      <c r="N517" s="10739"/>
      <c r="O517" s="10736"/>
      <c r="P517" s="10736"/>
      <c r="Q517" s="10749"/>
      <c r="R517" s="5175"/>
      <c r="S517" s="5215"/>
      <c r="T517" s="5215"/>
      <c r="U517" s="5251"/>
      <c r="V517" s="5282"/>
      <c r="W517" s="5303"/>
      <c r="X517" s="7479"/>
      <c r="Y517" s="7479"/>
      <c r="Z517" s="7479"/>
      <c r="AA517" s="7480"/>
      <c r="AB517" s="5326"/>
      <c r="AC517" s="1399"/>
      <c r="AD517" s="5303"/>
      <c r="AE517" s="5348"/>
      <c r="AF517" s="5348"/>
      <c r="AG517" s="10778"/>
      <c r="AH517" s="1758"/>
      <c r="AI517" s="1758"/>
      <c r="AJ517" s="1758"/>
      <c r="AK517" s="1758"/>
      <c r="AL517" s="1758"/>
      <c r="AM517" s="1758"/>
      <c r="AN517" s="1758"/>
      <c r="AO517" s="1758"/>
      <c r="AP517" s="1758"/>
      <c r="AQ517" s="1758"/>
      <c r="AR517" s="1758"/>
      <c r="AS517" s="1758"/>
      <c r="AT517" s="1758"/>
      <c r="AU517" s="1758"/>
      <c r="AV517" s="1758"/>
      <c r="AW517" s="1758"/>
      <c r="AX517" s="1758"/>
      <c r="AY517" s="1758"/>
      <c r="AZ517" s="1758"/>
      <c r="BA517" s="1758"/>
      <c r="BB517" s="1758"/>
      <c r="BC517" s="1758"/>
      <c r="BD517" s="1758"/>
      <c r="BE517" s="1758"/>
      <c r="BF517" s="1758"/>
      <c r="BG517" s="1758"/>
      <c r="BH517" s="1758"/>
      <c r="BI517" s="1758"/>
      <c r="BJ517" s="1758"/>
      <c r="BK517" s="1758"/>
      <c r="BL517" s="1758"/>
      <c r="BM517" s="1758"/>
      <c r="BN517" s="1758"/>
      <c r="BO517" s="1758"/>
      <c r="BP517" s="1758"/>
      <c r="BQ517" s="1758"/>
      <c r="BR517" s="1758"/>
      <c r="BS517" s="1758"/>
      <c r="BT517" s="1758"/>
      <c r="BU517" s="1758"/>
      <c r="BV517" s="1758"/>
      <c r="BW517" s="1758"/>
      <c r="BX517" s="1758"/>
      <c r="BY517" s="1758"/>
      <c r="BZ517" s="1758"/>
      <c r="CA517" s="1758"/>
      <c r="CB517" s="1758"/>
      <c r="CC517" s="1758"/>
      <c r="CD517" s="1758"/>
      <c r="CE517" s="1758"/>
      <c r="CF517" s="1758"/>
      <c r="CG517" s="1758"/>
      <c r="CH517" s="1758"/>
      <c r="CI517" s="1758"/>
      <c r="CJ517" s="1758"/>
      <c r="CK517" s="1758"/>
      <c r="CL517" s="1758"/>
      <c r="CM517" s="1758"/>
      <c r="CN517" s="1758"/>
      <c r="CO517" s="1758"/>
      <c r="CP517" s="1758"/>
      <c r="CQ517" s="1758"/>
      <c r="CR517" s="1758"/>
      <c r="CS517" s="1758"/>
      <c r="CT517" s="1758"/>
      <c r="CU517" s="1758"/>
      <c r="CV517" s="1758"/>
      <c r="CW517" s="1758"/>
      <c r="CX517" s="1758"/>
      <c r="CY517" s="1758"/>
      <c r="CZ517" s="1758"/>
      <c r="DA517" s="1758"/>
      <c r="DB517" s="1758"/>
      <c r="DC517" s="1758"/>
    </row>
    <row r="518" spans="1:107" s="1395" customFormat="1" ht="21.75" customHeight="1">
      <c r="A518" s="10827"/>
      <c r="B518" s="10748" t="s">
        <v>183</v>
      </c>
      <c r="C518" s="10742" t="s">
        <v>227</v>
      </c>
      <c r="D518" s="10742" t="s">
        <v>129</v>
      </c>
      <c r="E518" s="10742" t="s">
        <v>205</v>
      </c>
      <c r="F518" s="10743" t="s">
        <v>131</v>
      </c>
      <c r="G518" s="10742" t="s">
        <v>132</v>
      </c>
      <c r="H518" s="10742" t="s">
        <v>189</v>
      </c>
      <c r="I518" s="10742" t="s">
        <v>5028</v>
      </c>
      <c r="J518" s="10742" t="s">
        <v>5029</v>
      </c>
      <c r="K518" s="10734" t="s">
        <v>5030</v>
      </c>
      <c r="L518" s="10737">
        <v>0</v>
      </c>
      <c r="M518" s="10737">
        <v>3</v>
      </c>
      <c r="N518" s="10737">
        <v>3</v>
      </c>
      <c r="O518" s="10734" t="s">
        <v>5031</v>
      </c>
      <c r="P518" s="10734" t="s">
        <v>5010</v>
      </c>
      <c r="Q518" s="10750" t="s">
        <v>5110</v>
      </c>
      <c r="R518" s="5173"/>
      <c r="S518" s="5212"/>
      <c r="T518" s="5212"/>
      <c r="U518" s="5249"/>
      <c r="V518" s="5281"/>
      <c r="W518" s="5302"/>
      <c r="X518" s="7477"/>
      <c r="Y518" s="7477"/>
      <c r="Z518" s="7477"/>
      <c r="AA518" s="7478"/>
      <c r="AB518" s="5325"/>
      <c r="AC518" s="1398"/>
      <c r="AD518" s="5302"/>
      <c r="AE518" s="5349"/>
      <c r="AF518" s="5349"/>
      <c r="AG518" s="10779"/>
      <c r="AH518" s="1758"/>
      <c r="AI518" s="1758"/>
      <c r="AJ518" s="1758"/>
      <c r="AK518" s="1758"/>
      <c r="AL518" s="1758"/>
      <c r="AM518" s="1758"/>
      <c r="AN518" s="1758"/>
      <c r="AO518" s="1758"/>
      <c r="AP518" s="1758"/>
      <c r="AQ518" s="1758"/>
      <c r="AR518" s="1758"/>
      <c r="AS518" s="1758"/>
      <c r="AT518" s="1758"/>
      <c r="AU518" s="1758"/>
      <c r="AV518" s="1758"/>
      <c r="AW518" s="1758"/>
      <c r="AX518" s="1758"/>
      <c r="AY518" s="1758"/>
      <c r="AZ518" s="1758"/>
      <c r="BA518" s="1758"/>
      <c r="BB518" s="1758"/>
      <c r="BC518" s="1758"/>
      <c r="BD518" s="1758"/>
      <c r="BE518" s="1758"/>
      <c r="BF518" s="1758"/>
      <c r="BG518" s="1758"/>
      <c r="BH518" s="1758"/>
      <c r="BI518" s="1758"/>
      <c r="BJ518" s="1758"/>
      <c r="BK518" s="1758"/>
      <c r="BL518" s="1758"/>
      <c r="BM518" s="1758"/>
      <c r="BN518" s="1758"/>
      <c r="BO518" s="1758"/>
      <c r="BP518" s="1758"/>
      <c r="BQ518" s="1758"/>
      <c r="BR518" s="1758"/>
      <c r="BS518" s="1758"/>
      <c r="BT518" s="1758"/>
      <c r="BU518" s="1758"/>
      <c r="BV518" s="1758"/>
      <c r="BW518" s="1758"/>
      <c r="BX518" s="1758"/>
      <c r="BY518" s="1758"/>
      <c r="BZ518" s="1758"/>
      <c r="CA518" s="1758"/>
      <c r="CB518" s="1758"/>
      <c r="CC518" s="1758"/>
      <c r="CD518" s="1758"/>
      <c r="CE518" s="1758"/>
      <c r="CF518" s="1758"/>
      <c r="CG518" s="1758"/>
      <c r="CH518" s="1758"/>
      <c r="CI518" s="1758"/>
      <c r="CJ518" s="1758"/>
      <c r="CK518" s="1758"/>
      <c r="CL518" s="1758"/>
      <c r="CM518" s="1758"/>
      <c r="CN518" s="1758"/>
      <c r="CO518" s="1758"/>
      <c r="CP518" s="1758"/>
      <c r="CQ518" s="1758"/>
      <c r="CR518" s="1758"/>
      <c r="CS518" s="1758"/>
      <c r="CT518" s="1758"/>
      <c r="CU518" s="1758"/>
      <c r="CV518" s="1758"/>
      <c r="CW518" s="1758"/>
      <c r="CX518" s="1758"/>
      <c r="CY518" s="1758"/>
      <c r="CZ518" s="1758"/>
      <c r="DA518" s="1758"/>
      <c r="DB518" s="1758"/>
      <c r="DC518" s="1758"/>
    </row>
    <row r="519" spans="1:107" s="1395" customFormat="1" ht="21.75" customHeight="1">
      <c r="A519" s="10827"/>
      <c r="B519" s="10731"/>
      <c r="C519" s="10728"/>
      <c r="D519" s="10728"/>
      <c r="E519" s="10728"/>
      <c r="F519" s="10744"/>
      <c r="G519" s="10728"/>
      <c r="H519" s="10728"/>
      <c r="I519" s="10728"/>
      <c r="J519" s="10728"/>
      <c r="K519" s="10735"/>
      <c r="L519" s="10738"/>
      <c r="M519" s="10738"/>
      <c r="N519" s="10738"/>
      <c r="O519" s="10735"/>
      <c r="P519" s="10735"/>
      <c r="Q519" s="10750"/>
      <c r="R519" s="5171"/>
      <c r="S519" s="5213"/>
      <c r="T519" s="5213"/>
      <c r="U519" s="5247"/>
      <c r="V519" s="5279"/>
      <c r="W519" s="5300"/>
      <c r="X519" s="7473"/>
      <c r="Y519" s="7473"/>
      <c r="Z519" s="7473"/>
      <c r="AA519" s="7474"/>
      <c r="AB519" s="5323"/>
      <c r="AC519" s="1396"/>
      <c r="AD519" s="5300"/>
      <c r="AE519" s="5346"/>
      <c r="AF519" s="5346"/>
      <c r="AG519" s="10777"/>
      <c r="AH519" s="1758"/>
      <c r="AI519" s="1758"/>
      <c r="AJ519" s="1758"/>
      <c r="AK519" s="1758"/>
      <c r="AL519" s="1758"/>
      <c r="AM519" s="1758"/>
      <c r="AN519" s="1758"/>
      <c r="AO519" s="1758"/>
      <c r="AP519" s="1758"/>
      <c r="AQ519" s="1758"/>
      <c r="AR519" s="1758"/>
      <c r="AS519" s="1758"/>
      <c r="AT519" s="1758"/>
      <c r="AU519" s="1758"/>
      <c r="AV519" s="1758"/>
      <c r="AW519" s="1758"/>
      <c r="AX519" s="1758"/>
      <c r="AY519" s="1758"/>
      <c r="AZ519" s="1758"/>
      <c r="BA519" s="1758"/>
      <c r="BB519" s="1758"/>
      <c r="BC519" s="1758"/>
      <c r="BD519" s="1758"/>
      <c r="BE519" s="1758"/>
      <c r="BF519" s="1758"/>
      <c r="BG519" s="1758"/>
      <c r="BH519" s="1758"/>
      <c r="BI519" s="1758"/>
      <c r="BJ519" s="1758"/>
      <c r="BK519" s="1758"/>
      <c r="BL519" s="1758"/>
      <c r="BM519" s="1758"/>
      <c r="BN519" s="1758"/>
      <c r="BO519" s="1758"/>
      <c r="BP519" s="1758"/>
      <c r="BQ519" s="1758"/>
      <c r="BR519" s="1758"/>
      <c r="BS519" s="1758"/>
      <c r="BT519" s="1758"/>
      <c r="BU519" s="1758"/>
      <c r="BV519" s="1758"/>
      <c r="BW519" s="1758"/>
      <c r="BX519" s="1758"/>
      <c r="BY519" s="1758"/>
      <c r="BZ519" s="1758"/>
      <c r="CA519" s="1758"/>
      <c r="CB519" s="1758"/>
      <c r="CC519" s="1758"/>
      <c r="CD519" s="1758"/>
      <c r="CE519" s="1758"/>
      <c r="CF519" s="1758"/>
      <c r="CG519" s="1758"/>
      <c r="CH519" s="1758"/>
      <c r="CI519" s="1758"/>
      <c r="CJ519" s="1758"/>
      <c r="CK519" s="1758"/>
      <c r="CL519" s="1758"/>
      <c r="CM519" s="1758"/>
      <c r="CN519" s="1758"/>
      <c r="CO519" s="1758"/>
      <c r="CP519" s="1758"/>
      <c r="CQ519" s="1758"/>
      <c r="CR519" s="1758"/>
      <c r="CS519" s="1758"/>
      <c r="CT519" s="1758"/>
      <c r="CU519" s="1758"/>
      <c r="CV519" s="1758"/>
      <c r="CW519" s="1758"/>
      <c r="CX519" s="1758"/>
      <c r="CY519" s="1758"/>
      <c r="CZ519" s="1758"/>
      <c r="DA519" s="1758"/>
      <c r="DB519" s="1758"/>
      <c r="DC519" s="1758"/>
    </row>
    <row r="520" spans="1:107" s="1395" customFormat="1" ht="21.75" customHeight="1">
      <c r="A520" s="10827"/>
      <c r="B520" s="10731"/>
      <c r="C520" s="10728"/>
      <c r="D520" s="10728"/>
      <c r="E520" s="10728"/>
      <c r="F520" s="10744"/>
      <c r="G520" s="10728"/>
      <c r="H520" s="10728"/>
      <c r="I520" s="10728"/>
      <c r="J520" s="10728"/>
      <c r="K520" s="10735"/>
      <c r="L520" s="10738"/>
      <c r="M520" s="10738"/>
      <c r="N520" s="10738"/>
      <c r="O520" s="10735"/>
      <c r="P520" s="10735"/>
      <c r="Q520" s="10750"/>
      <c r="R520" s="5174"/>
      <c r="S520" s="5214"/>
      <c r="T520" s="5214"/>
      <c r="U520" s="5250"/>
      <c r="V520" s="5281"/>
      <c r="W520" s="5302"/>
      <c r="X520" s="7477"/>
      <c r="Y520" s="7473"/>
      <c r="Z520" s="7473"/>
      <c r="AA520" s="7474"/>
      <c r="AB520" s="5323"/>
      <c r="AC520" s="1396"/>
      <c r="AD520" s="5300"/>
      <c r="AE520" s="5346"/>
      <c r="AF520" s="5346"/>
      <c r="AG520" s="10777"/>
      <c r="AH520" s="1758"/>
      <c r="AI520" s="1758"/>
      <c r="AJ520" s="1758"/>
      <c r="AK520" s="1758"/>
      <c r="AL520" s="1758"/>
      <c r="AM520" s="1758"/>
      <c r="AN520" s="1758"/>
      <c r="AO520" s="1758"/>
      <c r="AP520" s="1758"/>
      <c r="AQ520" s="1758"/>
      <c r="AR520" s="1758"/>
      <c r="AS520" s="1758"/>
      <c r="AT520" s="1758"/>
      <c r="AU520" s="1758"/>
      <c r="AV520" s="1758"/>
      <c r="AW520" s="1758"/>
      <c r="AX520" s="1758"/>
      <c r="AY520" s="1758"/>
      <c r="AZ520" s="1758"/>
      <c r="BA520" s="1758"/>
      <c r="BB520" s="1758"/>
      <c r="BC520" s="1758"/>
      <c r="BD520" s="1758"/>
      <c r="BE520" s="1758"/>
      <c r="BF520" s="1758"/>
      <c r="BG520" s="1758"/>
      <c r="BH520" s="1758"/>
      <c r="BI520" s="1758"/>
      <c r="BJ520" s="1758"/>
      <c r="BK520" s="1758"/>
      <c r="BL520" s="1758"/>
      <c r="BM520" s="1758"/>
      <c r="BN520" s="1758"/>
      <c r="BO520" s="1758"/>
      <c r="BP520" s="1758"/>
      <c r="BQ520" s="1758"/>
      <c r="BR520" s="1758"/>
      <c r="BS520" s="1758"/>
      <c r="BT520" s="1758"/>
      <c r="BU520" s="1758"/>
      <c r="BV520" s="1758"/>
      <c r="BW520" s="1758"/>
      <c r="BX520" s="1758"/>
      <c r="BY520" s="1758"/>
      <c r="BZ520" s="1758"/>
      <c r="CA520" s="1758"/>
      <c r="CB520" s="1758"/>
      <c r="CC520" s="1758"/>
      <c r="CD520" s="1758"/>
      <c r="CE520" s="1758"/>
      <c r="CF520" s="1758"/>
      <c r="CG520" s="1758"/>
      <c r="CH520" s="1758"/>
      <c r="CI520" s="1758"/>
      <c r="CJ520" s="1758"/>
      <c r="CK520" s="1758"/>
      <c r="CL520" s="1758"/>
      <c r="CM520" s="1758"/>
      <c r="CN520" s="1758"/>
      <c r="CO520" s="1758"/>
      <c r="CP520" s="1758"/>
      <c r="CQ520" s="1758"/>
      <c r="CR520" s="1758"/>
      <c r="CS520" s="1758"/>
      <c r="CT520" s="1758"/>
      <c r="CU520" s="1758"/>
      <c r="CV520" s="1758"/>
      <c r="CW520" s="1758"/>
      <c r="CX520" s="1758"/>
      <c r="CY520" s="1758"/>
      <c r="CZ520" s="1758"/>
      <c r="DA520" s="1758"/>
      <c r="DB520" s="1758"/>
      <c r="DC520" s="1758"/>
    </row>
    <row r="521" spans="1:107" s="1395" customFormat="1" ht="21.75" customHeight="1">
      <c r="A521" s="10827"/>
      <c r="B521" s="10731"/>
      <c r="C521" s="10728"/>
      <c r="D521" s="10728"/>
      <c r="E521" s="10728"/>
      <c r="F521" s="10744"/>
      <c r="G521" s="10728"/>
      <c r="H521" s="10728"/>
      <c r="I521" s="10728"/>
      <c r="J521" s="10728"/>
      <c r="K521" s="10735"/>
      <c r="L521" s="10738"/>
      <c r="M521" s="10738"/>
      <c r="N521" s="10738"/>
      <c r="O521" s="10735"/>
      <c r="P521" s="10735"/>
      <c r="Q521" s="10750"/>
      <c r="R521" s="5173"/>
      <c r="S521" s="5212"/>
      <c r="T521" s="5212"/>
      <c r="U521" s="5250"/>
      <c r="V521" s="5281"/>
      <c r="W521" s="5302"/>
      <c r="X521" s="7477"/>
      <c r="Y521" s="7473"/>
      <c r="Z521" s="7473"/>
      <c r="AA521" s="7474"/>
      <c r="AB521" s="5323"/>
      <c r="AC521" s="1396"/>
      <c r="AD521" s="5300"/>
      <c r="AE521" s="5346"/>
      <c r="AF521" s="5346"/>
      <c r="AG521" s="10777"/>
      <c r="AH521" s="1758"/>
      <c r="AI521" s="1758"/>
      <c r="AJ521" s="1758"/>
      <c r="AK521" s="1758"/>
      <c r="AL521" s="1758"/>
      <c r="AM521" s="1758"/>
      <c r="AN521" s="1758"/>
      <c r="AO521" s="1758"/>
      <c r="AP521" s="1758"/>
      <c r="AQ521" s="1758"/>
      <c r="AR521" s="1758"/>
      <c r="AS521" s="1758"/>
      <c r="AT521" s="1758"/>
      <c r="AU521" s="1758"/>
      <c r="AV521" s="1758"/>
      <c r="AW521" s="1758"/>
      <c r="AX521" s="1758"/>
      <c r="AY521" s="1758"/>
      <c r="AZ521" s="1758"/>
      <c r="BA521" s="1758"/>
      <c r="BB521" s="1758"/>
      <c r="BC521" s="1758"/>
      <c r="BD521" s="1758"/>
      <c r="BE521" s="1758"/>
      <c r="BF521" s="1758"/>
      <c r="BG521" s="1758"/>
      <c r="BH521" s="1758"/>
      <c r="BI521" s="1758"/>
      <c r="BJ521" s="1758"/>
      <c r="BK521" s="1758"/>
      <c r="BL521" s="1758"/>
      <c r="BM521" s="1758"/>
      <c r="BN521" s="1758"/>
      <c r="BO521" s="1758"/>
      <c r="BP521" s="1758"/>
      <c r="BQ521" s="1758"/>
      <c r="BR521" s="1758"/>
      <c r="BS521" s="1758"/>
      <c r="BT521" s="1758"/>
      <c r="BU521" s="1758"/>
      <c r="BV521" s="1758"/>
      <c r="BW521" s="1758"/>
      <c r="BX521" s="1758"/>
      <c r="BY521" s="1758"/>
      <c r="BZ521" s="1758"/>
      <c r="CA521" s="1758"/>
      <c r="CB521" s="1758"/>
      <c r="CC521" s="1758"/>
      <c r="CD521" s="1758"/>
      <c r="CE521" s="1758"/>
      <c r="CF521" s="1758"/>
      <c r="CG521" s="1758"/>
      <c r="CH521" s="1758"/>
      <c r="CI521" s="1758"/>
      <c r="CJ521" s="1758"/>
      <c r="CK521" s="1758"/>
      <c r="CL521" s="1758"/>
      <c r="CM521" s="1758"/>
      <c r="CN521" s="1758"/>
      <c r="CO521" s="1758"/>
      <c r="CP521" s="1758"/>
      <c r="CQ521" s="1758"/>
      <c r="CR521" s="1758"/>
      <c r="CS521" s="1758"/>
      <c r="CT521" s="1758"/>
      <c r="CU521" s="1758"/>
      <c r="CV521" s="1758"/>
      <c r="CW521" s="1758"/>
      <c r="CX521" s="1758"/>
      <c r="CY521" s="1758"/>
      <c r="CZ521" s="1758"/>
      <c r="DA521" s="1758"/>
      <c r="DB521" s="1758"/>
      <c r="DC521" s="1758"/>
    </row>
    <row r="522" spans="1:107" s="1395" customFormat="1" ht="21.75" customHeight="1">
      <c r="A522" s="10827"/>
      <c r="B522" s="10732"/>
      <c r="C522" s="10729"/>
      <c r="D522" s="10729"/>
      <c r="E522" s="10729"/>
      <c r="F522" s="10745"/>
      <c r="G522" s="10729"/>
      <c r="H522" s="10729"/>
      <c r="I522" s="10729"/>
      <c r="J522" s="10729"/>
      <c r="K522" s="10736"/>
      <c r="L522" s="10739"/>
      <c r="M522" s="10739"/>
      <c r="N522" s="10739"/>
      <c r="O522" s="10736"/>
      <c r="P522" s="10736"/>
      <c r="Q522" s="10750"/>
      <c r="R522" s="5175"/>
      <c r="S522" s="5215"/>
      <c r="T522" s="5215"/>
      <c r="U522" s="5251"/>
      <c r="V522" s="5282"/>
      <c r="W522" s="5303"/>
      <c r="X522" s="7479"/>
      <c r="Y522" s="7479"/>
      <c r="Z522" s="7479"/>
      <c r="AA522" s="7480"/>
      <c r="AB522" s="5326"/>
      <c r="AC522" s="1399"/>
      <c r="AD522" s="5303"/>
      <c r="AE522" s="5348"/>
      <c r="AF522" s="5348"/>
      <c r="AG522" s="10778"/>
      <c r="AH522" s="1758"/>
      <c r="AI522" s="1758"/>
      <c r="AJ522" s="1758"/>
      <c r="AK522" s="1758"/>
      <c r="AL522" s="1758"/>
      <c r="AM522" s="1758"/>
      <c r="AN522" s="1758"/>
      <c r="AO522" s="1758"/>
      <c r="AP522" s="1758"/>
      <c r="AQ522" s="1758"/>
      <c r="AR522" s="1758"/>
      <c r="AS522" s="1758"/>
      <c r="AT522" s="1758"/>
      <c r="AU522" s="1758"/>
      <c r="AV522" s="1758"/>
      <c r="AW522" s="1758"/>
      <c r="AX522" s="1758"/>
      <c r="AY522" s="1758"/>
      <c r="AZ522" s="1758"/>
      <c r="BA522" s="1758"/>
      <c r="BB522" s="1758"/>
      <c r="BC522" s="1758"/>
      <c r="BD522" s="1758"/>
      <c r="BE522" s="1758"/>
      <c r="BF522" s="1758"/>
      <c r="BG522" s="1758"/>
      <c r="BH522" s="1758"/>
      <c r="BI522" s="1758"/>
      <c r="BJ522" s="1758"/>
      <c r="BK522" s="1758"/>
      <c r="BL522" s="1758"/>
      <c r="BM522" s="1758"/>
      <c r="BN522" s="1758"/>
      <c r="BO522" s="1758"/>
      <c r="BP522" s="1758"/>
      <c r="BQ522" s="1758"/>
      <c r="BR522" s="1758"/>
      <c r="BS522" s="1758"/>
      <c r="BT522" s="1758"/>
      <c r="BU522" s="1758"/>
      <c r="BV522" s="1758"/>
      <c r="BW522" s="1758"/>
      <c r="BX522" s="1758"/>
      <c r="BY522" s="1758"/>
      <c r="BZ522" s="1758"/>
      <c r="CA522" s="1758"/>
      <c r="CB522" s="1758"/>
      <c r="CC522" s="1758"/>
      <c r="CD522" s="1758"/>
      <c r="CE522" s="1758"/>
      <c r="CF522" s="1758"/>
      <c r="CG522" s="1758"/>
      <c r="CH522" s="1758"/>
      <c r="CI522" s="1758"/>
      <c r="CJ522" s="1758"/>
      <c r="CK522" s="1758"/>
      <c r="CL522" s="1758"/>
      <c r="CM522" s="1758"/>
      <c r="CN522" s="1758"/>
      <c r="CO522" s="1758"/>
      <c r="CP522" s="1758"/>
      <c r="CQ522" s="1758"/>
      <c r="CR522" s="1758"/>
      <c r="CS522" s="1758"/>
      <c r="CT522" s="1758"/>
      <c r="CU522" s="1758"/>
      <c r="CV522" s="1758"/>
      <c r="CW522" s="1758"/>
      <c r="CX522" s="1758"/>
      <c r="CY522" s="1758"/>
      <c r="CZ522" s="1758"/>
      <c r="DA522" s="1758"/>
      <c r="DB522" s="1758"/>
      <c r="DC522" s="1758"/>
    </row>
    <row r="523" spans="1:107" s="1395" customFormat="1" ht="21" customHeight="1">
      <c r="A523" s="10827"/>
      <c r="B523" s="10748" t="s">
        <v>183</v>
      </c>
      <c r="C523" s="10742" t="s">
        <v>227</v>
      </c>
      <c r="D523" s="10742" t="s">
        <v>228</v>
      </c>
      <c r="E523" s="10742" t="s">
        <v>255</v>
      </c>
      <c r="F523" s="10743" t="s">
        <v>230</v>
      </c>
      <c r="G523" s="10742" t="s">
        <v>132</v>
      </c>
      <c r="H523" s="10742" t="s">
        <v>189</v>
      </c>
      <c r="I523" s="10742" t="s">
        <v>5032</v>
      </c>
      <c r="J523" s="10742" t="s">
        <v>4647</v>
      </c>
      <c r="K523" s="10734" t="s">
        <v>5033</v>
      </c>
      <c r="L523" s="10737">
        <v>0</v>
      </c>
      <c r="M523" s="10737">
        <v>1</v>
      </c>
      <c r="N523" s="10737">
        <v>1</v>
      </c>
      <c r="O523" s="10734" t="s">
        <v>5034</v>
      </c>
      <c r="P523" s="10734" t="s">
        <v>5035</v>
      </c>
      <c r="Q523" s="10740" t="s">
        <v>5110</v>
      </c>
      <c r="R523" s="5173"/>
      <c r="S523" s="5212"/>
      <c r="T523" s="5212"/>
      <c r="U523" s="5249"/>
      <c r="V523" s="5281"/>
      <c r="W523" s="5302"/>
      <c r="X523" s="7477"/>
      <c r="Y523" s="7477"/>
      <c r="Z523" s="7477"/>
      <c r="AA523" s="7478"/>
      <c r="AB523" s="5325"/>
      <c r="AC523" s="1398"/>
      <c r="AD523" s="5302"/>
      <c r="AE523" s="5349"/>
      <c r="AF523" s="5349"/>
      <c r="AG523" s="10779"/>
      <c r="AH523" s="1758"/>
      <c r="AI523" s="1758"/>
      <c r="AJ523" s="1758"/>
      <c r="AK523" s="1758"/>
      <c r="AL523" s="1758"/>
      <c r="AM523" s="1758"/>
      <c r="AN523" s="1758"/>
      <c r="AO523" s="1758"/>
      <c r="AP523" s="1758"/>
      <c r="AQ523" s="1758"/>
      <c r="AR523" s="1758"/>
      <c r="AS523" s="1758"/>
      <c r="AT523" s="1758"/>
      <c r="AU523" s="1758"/>
      <c r="AV523" s="1758"/>
      <c r="AW523" s="1758"/>
      <c r="AX523" s="1758"/>
      <c r="AY523" s="1758"/>
      <c r="AZ523" s="1758"/>
      <c r="BA523" s="1758"/>
      <c r="BB523" s="1758"/>
      <c r="BC523" s="1758"/>
      <c r="BD523" s="1758"/>
      <c r="BE523" s="1758"/>
      <c r="BF523" s="1758"/>
      <c r="BG523" s="1758"/>
      <c r="BH523" s="1758"/>
      <c r="BI523" s="1758"/>
      <c r="BJ523" s="1758"/>
      <c r="BK523" s="1758"/>
      <c r="BL523" s="1758"/>
      <c r="BM523" s="1758"/>
      <c r="BN523" s="1758"/>
      <c r="BO523" s="1758"/>
      <c r="BP523" s="1758"/>
      <c r="BQ523" s="1758"/>
      <c r="BR523" s="1758"/>
      <c r="BS523" s="1758"/>
      <c r="BT523" s="1758"/>
      <c r="BU523" s="1758"/>
      <c r="BV523" s="1758"/>
      <c r="BW523" s="1758"/>
      <c r="BX523" s="1758"/>
      <c r="BY523" s="1758"/>
      <c r="BZ523" s="1758"/>
      <c r="CA523" s="1758"/>
      <c r="CB523" s="1758"/>
      <c r="CC523" s="1758"/>
      <c r="CD523" s="1758"/>
      <c r="CE523" s="1758"/>
      <c r="CF523" s="1758"/>
      <c r="CG523" s="1758"/>
      <c r="CH523" s="1758"/>
      <c r="CI523" s="1758"/>
      <c r="CJ523" s="1758"/>
      <c r="CK523" s="1758"/>
      <c r="CL523" s="1758"/>
      <c r="CM523" s="1758"/>
      <c r="CN523" s="1758"/>
      <c r="CO523" s="1758"/>
      <c r="CP523" s="1758"/>
      <c r="CQ523" s="1758"/>
      <c r="CR523" s="1758"/>
      <c r="CS523" s="1758"/>
      <c r="CT523" s="1758"/>
      <c r="CU523" s="1758"/>
      <c r="CV523" s="1758"/>
      <c r="CW523" s="1758"/>
      <c r="CX523" s="1758"/>
      <c r="CY523" s="1758"/>
      <c r="CZ523" s="1758"/>
      <c r="DA523" s="1758"/>
      <c r="DB523" s="1758"/>
      <c r="DC523" s="1758"/>
    </row>
    <row r="524" spans="1:107" s="1395" customFormat="1" ht="21" customHeight="1">
      <c r="A524" s="10827"/>
      <c r="B524" s="10731"/>
      <c r="C524" s="10728"/>
      <c r="D524" s="10728"/>
      <c r="E524" s="10728"/>
      <c r="F524" s="10744"/>
      <c r="G524" s="10728"/>
      <c r="H524" s="10728"/>
      <c r="I524" s="10728"/>
      <c r="J524" s="10728"/>
      <c r="K524" s="10735"/>
      <c r="L524" s="10738"/>
      <c r="M524" s="10738"/>
      <c r="N524" s="10738"/>
      <c r="O524" s="10735"/>
      <c r="P524" s="10735"/>
      <c r="Q524" s="10741"/>
      <c r="R524" s="5171"/>
      <c r="S524" s="5213"/>
      <c r="T524" s="5213"/>
      <c r="U524" s="5247"/>
      <c r="V524" s="5279"/>
      <c r="W524" s="5300"/>
      <c r="X524" s="7473"/>
      <c r="Y524" s="7473"/>
      <c r="Z524" s="7473"/>
      <c r="AA524" s="7474"/>
      <c r="AB524" s="5323"/>
      <c r="AC524" s="1396"/>
      <c r="AD524" s="5300"/>
      <c r="AE524" s="5346"/>
      <c r="AF524" s="5346"/>
      <c r="AG524" s="10777"/>
      <c r="AH524" s="1758"/>
      <c r="AI524" s="1758"/>
      <c r="AJ524" s="1758"/>
      <c r="AK524" s="1758"/>
      <c r="AL524" s="1758"/>
      <c r="AM524" s="1758"/>
      <c r="AN524" s="1758"/>
      <c r="AO524" s="1758"/>
      <c r="AP524" s="1758"/>
      <c r="AQ524" s="1758"/>
      <c r="AR524" s="1758"/>
      <c r="AS524" s="1758"/>
      <c r="AT524" s="1758"/>
      <c r="AU524" s="1758"/>
      <c r="AV524" s="1758"/>
      <c r="AW524" s="1758"/>
      <c r="AX524" s="1758"/>
      <c r="AY524" s="1758"/>
      <c r="AZ524" s="1758"/>
      <c r="BA524" s="1758"/>
      <c r="BB524" s="1758"/>
      <c r="BC524" s="1758"/>
      <c r="BD524" s="1758"/>
      <c r="BE524" s="1758"/>
      <c r="BF524" s="1758"/>
      <c r="BG524" s="1758"/>
      <c r="BH524" s="1758"/>
      <c r="BI524" s="1758"/>
      <c r="BJ524" s="1758"/>
      <c r="BK524" s="1758"/>
      <c r="BL524" s="1758"/>
      <c r="BM524" s="1758"/>
      <c r="BN524" s="1758"/>
      <c r="BO524" s="1758"/>
      <c r="BP524" s="1758"/>
      <c r="BQ524" s="1758"/>
      <c r="BR524" s="1758"/>
      <c r="BS524" s="1758"/>
      <c r="BT524" s="1758"/>
      <c r="BU524" s="1758"/>
      <c r="BV524" s="1758"/>
      <c r="BW524" s="1758"/>
      <c r="BX524" s="1758"/>
      <c r="BY524" s="1758"/>
      <c r="BZ524" s="1758"/>
      <c r="CA524" s="1758"/>
      <c r="CB524" s="1758"/>
      <c r="CC524" s="1758"/>
      <c r="CD524" s="1758"/>
      <c r="CE524" s="1758"/>
      <c r="CF524" s="1758"/>
      <c r="CG524" s="1758"/>
      <c r="CH524" s="1758"/>
      <c r="CI524" s="1758"/>
      <c r="CJ524" s="1758"/>
      <c r="CK524" s="1758"/>
      <c r="CL524" s="1758"/>
      <c r="CM524" s="1758"/>
      <c r="CN524" s="1758"/>
      <c r="CO524" s="1758"/>
      <c r="CP524" s="1758"/>
      <c r="CQ524" s="1758"/>
      <c r="CR524" s="1758"/>
      <c r="CS524" s="1758"/>
      <c r="CT524" s="1758"/>
      <c r="CU524" s="1758"/>
      <c r="CV524" s="1758"/>
      <c r="CW524" s="1758"/>
      <c r="CX524" s="1758"/>
      <c r="CY524" s="1758"/>
      <c r="CZ524" s="1758"/>
      <c r="DA524" s="1758"/>
      <c r="DB524" s="1758"/>
      <c r="DC524" s="1758"/>
    </row>
    <row r="525" spans="1:107" s="1395" customFormat="1" ht="21" customHeight="1">
      <c r="A525" s="10827"/>
      <c r="B525" s="10731"/>
      <c r="C525" s="10728"/>
      <c r="D525" s="10728"/>
      <c r="E525" s="10728"/>
      <c r="F525" s="10744"/>
      <c r="G525" s="10728"/>
      <c r="H525" s="10728"/>
      <c r="I525" s="10728"/>
      <c r="J525" s="10728"/>
      <c r="K525" s="10735"/>
      <c r="L525" s="10738"/>
      <c r="M525" s="10738"/>
      <c r="N525" s="10738"/>
      <c r="O525" s="10735"/>
      <c r="P525" s="10735"/>
      <c r="Q525" s="10741"/>
      <c r="R525" s="5174"/>
      <c r="S525" s="5214"/>
      <c r="T525" s="5214"/>
      <c r="U525" s="5250"/>
      <c r="V525" s="5281"/>
      <c r="W525" s="5302"/>
      <c r="X525" s="7477"/>
      <c r="Y525" s="7473"/>
      <c r="Z525" s="7473"/>
      <c r="AA525" s="7474"/>
      <c r="AB525" s="5323"/>
      <c r="AC525" s="1396"/>
      <c r="AD525" s="5300"/>
      <c r="AE525" s="5346"/>
      <c r="AF525" s="5346"/>
      <c r="AG525" s="10777"/>
      <c r="AH525" s="1758"/>
      <c r="AI525" s="1758"/>
      <c r="AJ525" s="1758"/>
      <c r="AK525" s="1758"/>
      <c r="AL525" s="1758"/>
      <c r="AM525" s="1758"/>
      <c r="AN525" s="1758"/>
      <c r="AO525" s="1758"/>
      <c r="AP525" s="1758"/>
      <c r="AQ525" s="1758"/>
      <c r="AR525" s="1758"/>
      <c r="AS525" s="1758"/>
      <c r="AT525" s="1758"/>
      <c r="AU525" s="1758"/>
      <c r="AV525" s="1758"/>
      <c r="AW525" s="1758"/>
      <c r="AX525" s="1758"/>
      <c r="AY525" s="1758"/>
      <c r="AZ525" s="1758"/>
      <c r="BA525" s="1758"/>
      <c r="BB525" s="1758"/>
      <c r="BC525" s="1758"/>
      <c r="BD525" s="1758"/>
      <c r="BE525" s="1758"/>
      <c r="BF525" s="1758"/>
      <c r="BG525" s="1758"/>
      <c r="BH525" s="1758"/>
      <c r="BI525" s="1758"/>
      <c r="BJ525" s="1758"/>
      <c r="BK525" s="1758"/>
      <c r="BL525" s="1758"/>
      <c r="BM525" s="1758"/>
      <c r="BN525" s="1758"/>
      <c r="BO525" s="1758"/>
      <c r="BP525" s="1758"/>
      <c r="BQ525" s="1758"/>
      <c r="BR525" s="1758"/>
      <c r="BS525" s="1758"/>
      <c r="BT525" s="1758"/>
      <c r="BU525" s="1758"/>
      <c r="BV525" s="1758"/>
      <c r="BW525" s="1758"/>
      <c r="BX525" s="1758"/>
      <c r="BY525" s="1758"/>
      <c r="BZ525" s="1758"/>
      <c r="CA525" s="1758"/>
      <c r="CB525" s="1758"/>
      <c r="CC525" s="1758"/>
      <c r="CD525" s="1758"/>
      <c r="CE525" s="1758"/>
      <c r="CF525" s="1758"/>
      <c r="CG525" s="1758"/>
      <c r="CH525" s="1758"/>
      <c r="CI525" s="1758"/>
      <c r="CJ525" s="1758"/>
      <c r="CK525" s="1758"/>
      <c r="CL525" s="1758"/>
      <c r="CM525" s="1758"/>
      <c r="CN525" s="1758"/>
      <c r="CO525" s="1758"/>
      <c r="CP525" s="1758"/>
      <c r="CQ525" s="1758"/>
      <c r="CR525" s="1758"/>
      <c r="CS525" s="1758"/>
      <c r="CT525" s="1758"/>
      <c r="CU525" s="1758"/>
      <c r="CV525" s="1758"/>
      <c r="CW525" s="1758"/>
      <c r="CX525" s="1758"/>
      <c r="CY525" s="1758"/>
      <c r="CZ525" s="1758"/>
      <c r="DA525" s="1758"/>
      <c r="DB525" s="1758"/>
      <c r="DC525" s="1758"/>
    </row>
    <row r="526" spans="1:107" s="1395" customFormat="1" ht="21" customHeight="1">
      <c r="A526" s="10827"/>
      <c r="B526" s="10731"/>
      <c r="C526" s="10728"/>
      <c r="D526" s="10728"/>
      <c r="E526" s="10728"/>
      <c r="F526" s="10744"/>
      <c r="G526" s="10728"/>
      <c r="H526" s="10728"/>
      <c r="I526" s="10728"/>
      <c r="J526" s="10728"/>
      <c r="K526" s="10735"/>
      <c r="L526" s="10738"/>
      <c r="M526" s="10738"/>
      <c r="N526" s="10738"/>
      <c r="O526" s="10735"/>
      <c r="P526" s="10735"/>
      <c r="Q526" s="10741"/>
      <c r="R526" s="5173"/>
      <c r="S526" s="5212"/>
      <c r="T526" s="5212"/>
      <c r="U526" s="5250"/>
      <c r="V526" s="5281"/>
      <c r="W526" s="5302"/>
      <c r="X526" s="7477"/>
      <c r="Y526" s="7473"/>
      <c r="Z526" s="7473"/>
      <c r="AA526" s="7474"/>
      <c r="AB526" s="5323"/>
      <c r="AC526" s="1396"/>
      <c r="AD526" s="5300"/>
      <c r="AE526" s="5346"/>
      <c r="AF526" s="5346"/>
      <c r="AG526" s="10777"/>
      <c r="AH526" s="1758"/>
      <c r="AI526" s="1758"/>
      <c r="AJ526" s="1758"/>
      <c r="AK526" s="1758"/>
      <c r="AL526" s="1758"/>
      <c r="AM526" s="1758"/>
      <c r="AN526" s="1758"/>
      <c r="AO526" s="1758"/>
      <c r="AP526" s="1758"/>
      <c r="AQ526" s="1758"/>
      <c r="AR526" s="1758"/>
      <c r="AS526" s="1758"/>
      <c r="AT526" s="1758"/>
      <c r="AU526" s="1758"/>
      <c r="AV526" s="1758"/>
      <c r="AW526" s="1758"/>
      <c r="AX526" s="1758"/>
      <c r="AY526" s="1758"/>
      <c r="AZ526" s="1758"/>
      <c r="BA526" s="1758"/>
      <c r="BB526" s="1758"/>
      <c r="BC526" s="1758"/>
      <c r="BD526" s="1758"/>
      <c r="BE526" s="1758"/>
      <c r="BF526" s="1758"/>
      <c r="BG526" s="1758"/>
      <c r="BH526" s="1758"/>
      <c r="BI526" s="1758"/>
      <c r="BJ526" s="1758"/>
      <c r="BK526" s="1758"/>
      <c r="BL526" s="1758"/>
      <c r="BM526" s="1758"/>
      <c r="BN526" s="1758"/>
      <c r="BO526" s="1758"/>
      <c r="BP526" s="1758"/>
      <c r="BQ526" s="1758"/>
      <c r="BR526" s="1758"/>
      <c r="BS526" s="1758"/>
      <c r="BT526" s="1758"/>
      <c r="BU526" s="1758"/>
      <c r="BV526" s="1758"/>
      <c r="BW526" s="1758"/>
      <c r="BX526" s="1758"/>
      <c r="BY526" s="1758"/>
      <c r="BZ526" s="1758"/>
      <c r="CA526" s="1758"/>
      <c r="CB526" s="1758"/>
      <c r="CC526" s="1758"/>
      <c r="CD526" s="1758"/>
      <c r="CE526" s="1758"/>
      <c r="CF526" s="1758"/>
      <c r="CG526" s="1758"/>
      <c r="CH526" s="1758"/>
      <c r="CI526" s="1758"/>
      <c r="CJ526" s="1758"/>
      <c r="CK526" s="1758"/>
      <c r="CL526" s="1758"/>
      <c r="CM526" s="1758"/>
      <c r="CN526" s="1758"/>
      <c r="CO526" s="1758"/>
      <c r="CP526" s="1758"/>
      <c r="CQ526" s="1758"/>
      <c r="CR526" s="1758"/>
      <c r="CS526" s="1758"/>
      <c r="CT526" s="1758"/>
      <c r="CU526" s="1758"/>
      <c r="CV526" s="1758"/>
      <c r="CW526" s="1758"/>
      <c r="CX526" s="1758"/>
      <c r="CY526" s="1758"/>
      <c r="CZ526" s="1758"/>
      <c r="DA526" s="1758"/>
      <c r="DB526" s="1758"/>
      <c r="DC526" s="1758"/>
    </row>
    <row r="527" spans="1:107" s="1395" customFormat="1" ht="21" customHeight="1">
      <c r="A527" s="10827"/>
      <c r="B527" s="10732"/>
      <c r="C527" s="10729"/>
      <c r="D527" s="10729"/>
      <c r="E527" s="10729"/>
      <c r="F527" s="10745"/>
      <c r="G527" s="10729"/>
      <c r="H527" s="10729"/>
      <c r="I527" s="10729"/>
      <c r="J527" s="10729"/>
      <c r="K527" s="10736"/>
      <c r="L527" s="10739"/>
      <c r="M527" s="10739"/>
      <c r="N527" s="10739"/>
      <c r="O527" s="10736"/>
      <c r="P527" s="10736"/>
      <c r="Q527" s="10749"/>
      <c r="R527" s="5175"/>
      <c r="S527" s="5215"/>
      <c r="T527" s="5215"/>
      <c r="U527" s="5251"/>
      <c r="V527" s="5282"/>
      <c r="W527" s="5303"/>
      <c r="X527" s="7479"/>
      <c r="Y527" s="7479"/>
      <c r="Z527" s="7479"/>
      <c r="AA527" s="7480"/>
      <c r="AB527" s="5326"/>
      <c r="AC527" s="1399"/>
      <c r="AD527" s="5303"/>
      <c r="AE527" s="5348"/>
      <c r="AF527" s="5348"/>
      <c r="AG527" s="10778"/>
      <c r="AH527" s="1758"/>
      <c r="AI527" s="1758"/>
      <c r="AJ527" s="1758"/>
      <c r="AK527" s="1758"/>
      <c r="AL527" s="1758"/>
      <c r="AM527" s="1758"/>
      <c r="AN527" s="1758"/>
      <c r="AO527" s="1758"/>
      <c r="AP527" s="1758"/>
      <c r="AQ527" s="1758"/>
      <c r="AR527" s="1758"/>
      <c r="AS527" s="1758"/>
      <c r="AT527" s="1758"/>
      <c r="AU527" s="1758"/>
      <c r="AV527" s="1758"/>
      <c r="AW527" s="1758"/>
      <c r="AX527" s="1758"/>
      <c r="AY527" s="1758"/>
      <c r="AZ527" s="1758"/>
      <c r="BA527" s="1758"/>
      <c r="BB527" s="1758"/>
      <c r="BC527" s="1758"/>
      <c r="BD527" s="1758"/>
      <c r="BE527" s="1758"/>
      <c r="BF527" s="1758"/>
      <c r="BG527" s="1758"/>
      <c r="BH527" s="1758"/>
      <c r="BI527" s="1758"/>
      <c r="BJ527" s="1758"/>
      <c r="BK527" s="1758"/>
      <c r="BL527" s="1758"/>
      <c r="BM527" s="1758"/>
      <c r="BN527" s="1758"/>
      <c r="BO527" s="1758"/>
      <c r="BP527" s="1758"/>
      <c r="BQ527" s="1758"/>
      <c r="BR527" s="1758"/>
      <c r="BS527" s="1758"/>
      <c r="BT527" s="1758"/>
      <c r="BU527" s="1758"/>
      <c r="BV527" s="1758"/>
      <c r="BW527" s="1758"/>
      <c r="BX527" s="1758"/>
      <c r="BY527" s="1758"/>
      <c r="BZ527" s="1758"/>
      <c r="CA527" s="1758"/>
      <c r="CB527" s="1758"/>
      <c r="CC527" s="1758"/>
      <c r="CD527" s="1758"/>
      <c r="CE527" s="1758"/>
      <c r="CF527" s="1758"/>
      <c r="CG527" s="1758"/>
      <c r="CH527" s="1758"/>
      <c r="CI527" s="1758"/>
      <c r="CJ527" s="1758"/>
      <c r="CK527" s="1758"/>
      <c r="CL527" s="1758"/>
      <c r="CM527" s="1758"/>
      <c r="CN527" s="1758"/>
      <c r="CO527" s="1758"/>
      <c r="CP527" s="1758"/>
      <c r="CQ527" s="1758"/>
      <c r="CR527" s="1758"/>
      <c r="CS527" s="1758"/>
      <c r="CT527" s="1758"/>
      <c r="CU527" s="1758"/>
      <c r="CV527" s="1758"/>
      <c r="CW527" s="1758"/>
      <c r="CX527" s="1758"/>
      <c r="CY527" s="1758"/>
      <c r="CZ527" s="1758"/>
      <c r="DA527" s="1758"/>
      <c r="DB527" s="1758"/>
      <c r="DC527" s="1758"/>
    </row>
    <row r="528" spans="1:107" s="1395" customFormat="1" ht="21.75" customHeight="1">
      <c r="A528" s="10827"/>
      <c r="B528" s="10748" t="s">
        <v>183</v>
      </c>
      <c r="C528" s="10742" t="s">
        <v>227</v>
      </c>
      <c r="D528" s="10742" t="s">
        <v>490</v>
      </c>
      <c r="E528" s="10742" t="s">
        <v>2210</v>
      </c>
      <c r="F528" s="10743" t="s">
        <v>230</v>
      </c>
      <c r="G528" s="10742" t="s">
        <v>132</v>
      </c>
      <c r="H528" s="10742" t="s">
        <v>189</v>
      </c>
      <c r="I528" s="10742" t="s">
        <v>5036</v>
      </c>
      <c r="J528" s="10742" t="s">
        <v>4652</v>
      </c>
      <c r="K528" s="10734" t="s">
        <v>5037</v>
      </c>
      <c r="L528" s="10737">
        <v>0</v>
      </c>
      <c r="M528" s="10737">
        <v>16</v>
      </c>
      <c r="N528" s="10737">
        <v>16</v>
      </c>
      <c r="O528" s="10734" t="s">
        <v>5038</v>
      </c>
      <c r="P528" s="10734" t="s">
        <v>5039</v>
      </c>
      <c r="Q528" s="10750" t="s">
        <v>5110</v>
      </c>
      <c r="R528" s="5173"/>
      <c r="S528" s="5212"/>
      <c r="T528" s="5212"/>
      <c r="U528" s="5249"/>
      <c r="V528" s="5281"/>
      <c r="W528" s="5302"/>
      <c r="X528" s="7477"/>
      <c r="Y528" s="7477"/>
      <c r="Z528" s="7477"/>
      <c r="AA528" s="7478"/>
      <c r="AB528" s="5325"/>
      <c r="AC528" s="1398"/>
      <c r="AD528" s="5302"/>
      <c r="AE528" s="5349"/>
      <c r="AF528" s="5349"/>
      <c r="AG528" s="10779"/>
      <c r="AH528" s="1758"/>
      <c r="AI528" s="1758"/>
      <c r="AJ528" s="1758"/>
      <c r="AK528" s="1758"/>
      <c r="AL528" s="1758"/>
      <c r="AM528" s="1758"/>
      <c r="AN528" s="1758"/>
      <c r="AO528" s="1758"/>
      <c r="AP528" s="1758"/>
      <c r="AQ528" s="1758"/>
      <c r="AR528" s="1758"/>
      <c r="AS528" s="1758"/>
      <c r="AT528" s="1758"/>
      <c r="AU528" s="1758"/>
      <c r="AV528" s="1758"/>
      <c r="AW528" s="1758"/>
      <c r="AX528" s="1758"/>
      <c r="AY528" s="1758"/>
      <c r="AZ528" s="1758"/>
      <c r="BA528" s="1758"/>
      <c r="BB528" s="1758"/>
      <c r="BC528" s="1758"/>
      <c r="BD528" s="1758"/>
      <c r="BE528" s="1758"/>
      <c r="BF528" s="1758"/>
      <c r="BG528" s="1758"/>
      <c r="BH528" s="1758"/>
      <c r="BI528" s="1758"/>
      <c r="BJ528" s="1758"/>
      <c r="BK528" s="1758"/>
      <c r="BL528" s="1758"/>
      <c r="BM528" s="1758"/>
      <c r="BN528" s="1758"/>
      <c r="BO528" s="1758"/>
      <c r="BP528" s="1758"/>
      <c r="BQ528" s="1758"/>
      <c r="BR528" s="1758"/>
      <c r="BS528" s="1758"/>
      <c r="BT528" s="1758"/>
      <c r="BU528" s="1758"/>
      <c r="BV528" s="1758"/>
      <c r="BW528" s="1758"/>
      <c r="BX528" s="1758"/>
      <c r="BY528" s="1758"/>
      <c r="BZ528" s="1758"/>
      <c r="CA528" s="1758"/>
      <c r="CB528" s="1758"/>
      <c r="CC528" s="1758"/>
      <c r="CD528" s="1758"/>
      <c r="CE528" s="1758"/>
      <c r="CF528" s="1758"/>
      <c r="CG528" s="1758"/>
      <c r="CH528" s="1758"/>
      <c r="CI528" s="1758"/>
      <c r="CJ528" s="1758"/>
      <c r="CK528" s="1758"/>
      <c r="CL528" s="1758"/>
      <c r="CM528" s="1758"/>
      <c r="CN528" s="1758"/>
      <c r="CO528" s="1758"/>
      <c r="CP528" s="1758"/>
      <c r="CQ528" s="1758"/>
      <c r="CR528" s="1758"/>
      <c r="CS528" s="1758"/>
      <c r="CT528" s="1758"/>
      <c r="CU528" s="1758"/>
      <c r="CV528" s="1758"/>
      <c r="CW528" s="1758"/>
      <c r="CX528" s="1758"/>
      <c r="CY528" s="1758"/>
      <c r="CZ528" s="1758"/>
      <c r="DA528" s="1758"/>
      <c r="DB528" s="1758"/>
      <c r="DC528" s="1758"/>
    </row>
    <row r="529" spans="1:107" s="1395" customFormat="1" ht="21.75" customHeight="1">
      <c r="A529" s="10827"/>
      <c r="B529" s="10731"/>
      <c r="C529" s="10728"/>
      <c r="D529" s="10728"/>
      <c r="E529" s="10728"/>
      <c r="F529" s="10744"/>
      <c r="G529" s="10728"/>
      <c r="H529" s="10728"/>
      <c r="I529" s="10728"/>
      <c r="J529" s="10728"/>
      <c r="K529" s="10735"/>
      <c r="L529" s="10738"/>
      <c r="M529" s="10738"/>
      <c r="N529" s="10738"/>
      <c r="O529" s="10735"/>
      <c r="P529" s="10735"/>
      <c r="Q529" s="10750"/>
      <c r="R529" s="5171"/>
      <c r="S529" s="5213"/>
      <c r="T529" s="5213"/>
      <c r="U529" s="5247"/>
      <c r="V529" s="5279"/>
      <c r="W529" s="5300"/>
      <c r="X529" s="7473"/>
      <c r="Y529" s="7473"/>
      <c r="Z529" s="7473"/>
      <c r="AA529" s="7474"/>
      <c r="AB529" s="5323"/>
      <c r="AC529" s="1396"/>
      <c r="AD529" s="5300"/>
      <c r="AE529" s="5346"/>
      <c r="AF529" s="5346"/>
      <c r="AG529" s="10777"/>
      <c r="AH529" s="1758"/>
      <c r="AI529" s="1758"/>
      <c r="AJ529" s="1758"/>
      <c r="AK529" s="1758"/>
      <c r="AL529" s="1758"/>
      <c r="AM529" s="1758"/>
      <c r="AN529" s="1758"/>
      <c r="AO529" s="1758"/>
      <c r="AP529" s="1758"/>
      <c r="AQ529" s="1758"/>
      <c r="AR529" s="1758"/>
      <c r="AS529" s="1758"/>
      <c r="AT529" s="1758"/>
      <c r="AU529" s="1758"/>
      <c r="AV529" s="1758"/>
      <c r="AW529" s="1758"/>
      <c r="AX529" s="1758"/>
      <c r="AY529" s="1758"/>
      <c r="AZ529" s="1758"/>
      <c r="BA529" s="1758"/>
      <c r="BB529" s="1758"/>
      <c r="BC529" s="1758"/>
      <c r="BD529" s="1758"/>
      <c r="BE529" s="1758"/>
      <c r="BF529" s="1758"/>
      <c r="BG529" s="1758"/>
      <c r="BH529" s="1758"/>
      <c r="BI529" s="1758"/>
      <c r="BJ529" s="1758"/>
      <c r="BK529" s="1758"/>
      <c r="BL529" s="1758"/>
      <c r="BM529" s="1758"/>
      <c r="BN529" s="1758"/>
      <c r="BO529" s="1758"/>
      <c r="BP529" s="1758"/>
      <c r="BQ529" s="1758"/>
      <c r="BR529" s="1758"/>
      <c r="BS529" s="1758"/>
      <c r="BT529" s="1758"/>
      <c r="BU529" s="1758"/>
      <c r="BV529" s="1758"/>
      <c r="BW529" s="1758"/>
      <c r="BX529" s="1758"/>
      <c r="BY529" s="1758"/>
      <c r="BZ529" s="1758"/>
      <c r="CA529" s="1758"/>
      <c r="CB529" s="1758"/>
      <c r="CC529" s="1758"/>
      <c r="CD529" s="1758"/>
      <c r="CE529" s="1758"/>
      <c r="CF529" s="1758"/>
      <c r="CG529" s="1758"/>
      <c r="CH529" s="1758"/>
      <c r="CI529" s="1758"/>
      <c r="CJ529" s="1758"/>
      <c r="CK529" s="1758"/>
      <c r="CL529" s="1758"/>
      <c r="CM529" s="1758"/>
      <c r="CN529" s="1758"/>
      <c r="CO529" s="1758"/>
      <c r="CP529" s="1758"/>
      <c r="CQ529" s="1758"/>
      <c r="CR529" s="1758"/>
      <c r="CS529" s="1758"/>
      <c r="CT529" s="1758"/>
      <c r="CU529" s="1758"/>
      <c r="CV529" s="1758"/>
      <c r="CW529" s="1758"/>
      <c r="CX529" s="1758"/>
      <c r="CY529" s="1758"/>
      <c r="CZ529" s="1758"/>
      <c r="DA529" s="1758"/>
      <c r="DB529" s="1758"/>
      <c r="DC529" s="1758"/>
    </row>
    <row r="530" spans="1:107" s="1395" customFormat="1" ht="21.75" customHeight="1">
      <c r="A530" s="10827"/>
      <c r="B530" s="10731"/>
      <c r="C530" s="10728"/>
      <c r="D530" s="10728"/>
      <c r="E530" s="10728"/>
      <c r="F530" s="10744"/>
      <c r="G530" s="10728"/>
      <c r="H530" s="10728"/>
      <c r="I530" s="10728"/>
      <c r="J530" s="10728"/>
      <c r="K530" s="10735"/>
      <c r="L530" s="10738"/>
      <c r="M530" s="10738"/>
      <c r="N530" s="10738"/>
      <c r="O530" s="10735"/>
      <c r="P530" s="10735"/>
      <c r="Q530" s="10750"/>
      <c r="R530" s="5174"/>
      <c r="S530" s="5214"/>
      <c r="T530" s="5214"/>
      <c r="U530" s="5250"/>
      <c r="V530" s="5281"/>
      <c r="W530" s="5302"/>
      <c r="X530" s="7477"/>
      <c r="Y530" s="7473"/>
      <c r="Z530" s="7473"/>
      <c r="AA530" s="7474"/>
      <c r="AB530" s="5323"/>
      <c r="AC530" s="1396"/>
      <c r="AD530" s="5300"/>
      <c r="AE530" s="5346"/>
      <c r="AF530" s="5346"/>
      <c r="AG530" s="10777"/>
      <c r="AH530" s="1758"/>
      <c r="AI530" s="1758"/>
      <c r="AJ530" s="1758"/>
      <c r="AK530" s="1758"/>
      <c r="AL530" s="1758"/>
      <c r="AM530" s="1758"/>
      <c r="AN530" s="1758"/>
      <c r="AO530" s="1758"/>
      <c r="AP530" s="1758"/>
      <c r="AQ530" s="1758"/>
      <c r="AR530" s="1758"/>
      <c r="AS530" s="1758"/>
      <c r="AT530" s="1758"/>
      <c r="AU530" s="1758"/>
      <c r="AV530" s="1758"/>
      <c r="AW530" s="1758"/>
      <c r="AX530" s="1758"/>
      <c r="AY530" s="1758"/>
      <c r="AZ530" s="1758"/>
      <c r="BA530" s="1758"/>
      <c r="BB530" s="1758"/>
      <c r="BC530" s="1758"/>
      <c r="BD530" s="1758"/>
      <c r="BE530" s="1758"/>
      <c r="BF530" s="1758"/>
      <c r="BG530" s="1758"/>
      <c r="BH530" s="1758"/>
      <c r="BI530" s="1758"/>
      <c r="BJ530" s="1758"/>
      <c r="BK530" s="1758"/>
      <c r="BL530" s="1758"/>
      <c r="BM530" s="1758"/>
      <c r="BN530" s="1758"/>
      <c r="BO530" s="1758"/>
      <c r="BP530" s="1758"/>
      <c r="BQ530" s="1758"/>
      <c r="BR530" s="1758"/>
      <c r="BS530" s="1758"/>
      <c r="BT530" s="1758"/>
      <c r="BU530" s="1758"/>
      <c r="BV530" s="1758"/>
      <c r="BW530" s="1758"/>
      <c r="BX530" s="1758"/>
      <c r="BY530" s="1758"/>
      <c r="BZ530" s="1758"/>
      <c r="CA530" s="1758"/>
      <c r="CB530" s="1758"/>
      <c r="CC530" s="1758"/>
      <c r="CD530" s="1758"/>
      <c r="CE530" s="1758"/>
      <c r="CF530" s="1758"/>
      <c r="CG530" s="1758"/>
      <c r="CH530" s="1758"/>
      <c r="CI530" s="1758"/>
      <c r="CJ530" s="1758"/>
      <c r="CK530" s="1758"/>
      <c r="CL530" s="1758"/>
      <c r="CM530" s="1758"/>
      <c r="CN530" s="1758"/>
      <c r="CO530" s="1758"/>
      <c r="CP530" s="1758"/>
      <c r="CQ530" s="1758"/>
      <c r="CR530" s="1758"/>
      <c r="CS530" s="1758"/>
      <c r="CT530" s="1758"/>
      <c r="CU530" s="1758"/>
      <c r="CV530" s="1758"/>
      <c r="CW530" s="1758"/>
      <c r="CX530" s="1758"/>
      <c r="CY530" s="1758"/>
      <c r="CZ530" s="1758"/>
      <c r="DA530" s="1758"/>
      <c r="DB530" s="1758"/>
      <c r="DC530" s="1758"/>
    </row>
    <row r="531" spans="1:107" s="1395" customFormat="1" ht="21.75" customHeight="1">
      <c r="A531" s="10827"/>
      <c r="B531" s="10731"/>
      <c r="C531" s="10728"/>
      <c r="D531" s="10728"/>
      <c r="E531" s="10728"/>
      <c r="F531" s="10744"/>
      <c r="G531" s="10728"/>
      <c r="H531" s="10728"/>
      <c r="I531" s="10728"/>
      <c r="J531" s="10728"/>
      <c r="K531" s="10735"/>
      <c r="L531" s="10738"/>
      <c r="M531" s="10738"/>
      <c r="N531" s="10738"/>
      <c r="O531" s="10735"/>
      <c r="P531" s="10735"/>
      <c r="Q531" s="10750"/>
      <c r="R531" s="5173"/>
      <c r="S531" s="5212"/>
      <c r="T531" s="5212"/>
      <c r="U531" s="5250"/>
      <c r="V531" s="5281"/>
      <c r="W531" s="5302"/>
      <c r="X531" s="7477"/>
      <c r="Y531" s="7473"/>
      <c r="Z531" s="7473"/>
      <c r="AA531" s="7474"/>
      <c r="AB531" s="5323"/>
      <c r="AC531" s="1396"/>
      <c r="AD531" s="5300"/>
      <c r="AE531" s="5346"/>
      <c r="AF531" s="5346"/>
      <c r="AG531" s="10777"/>
      <c r="AH531" s="1758"/>
      <c r="AI531" s="1758"/>
      <c r="AJ531" s="1758"/>
      <c r="AK531" s="1758"/>
      <c r="AL531" s="1758"/>
      <c r="AM531" s="1758"/>
      <c r="AN531" s="1758"/>
      <c r="AO531" s="1758"/>
      <c r="AP531" s="1758"/>
      <c r="AQ531" s="1758"/>
      <c r="AR531" s="1758"/>
      <c r="AS531" s="1758"/>
      <c r="AT531" s="1758"/>
      <c r="AU531" s="1758"/>
      <c r="AV531" s="1758"/>
      <c r="AW531" s="1758"/>
      <c r="AX531" s="1758"/>
      <c r="AY531" s="1758"/>
      <c r="AZ531" s="1758"/>
      <c r="BA531" s="1758"/>
      <c r="BB531" s="1758"/>
      <c r="BC531" s="1758"/>
      <c r="BD531" s="1758"/>
      <c r="BE531" s="1758"/>
      <c r="BF531" s="1758"/>
      <c r="BG531" s="1758"/>
      <c r="BH531" s="1758"/>
      <c r="BI531" s="1758"/>
      <c r="BJ531" s="1758"/>
      <c r="BK531" s="1758"/>
      <c r="BL531" s="1758"/>
      <c r="BM531" s="1758"/>
      <c r="BN531" s="1758"/>
      <c r="BO531" s="1758"/>
      <c r="BP531" s="1758"/>
      <c r="BQ531" s="1758"/>
      <c r="BR531" s="1758"/>
      <c r="BS531" s="1758"/>
      <c r="BT531" s="1758"/>
      <c r="BU531" s="1758"/>
      <c r="BV531" s="1758"/>
      <c r="BW531" s="1758"/>
      <c r="BX531" s="1758"/>
      <c r="BY531" s="1758"/>
      <c r="BZ531" s="1758"/>
      <c r="CA531" s="1758"/>
      <c r="CB531" s="1758"/>
      <c r="CC531" s="1758"/>
      <c r="CD531" s="1758"/>
      <c r="CE531" s="1758"/>
      <c r="CF531" s="1758"/>
      <c r="CG531" s="1758"/>
      <c r="CH531" s="1758"/>
      <c r="CI531" s="1758"/>
      <c r="CJ531" s="1758"/>
      <c r="CK531" s="1758"/>
      <c r="CL531" s="1758"/>
      <c r="CM531" s="1758"/>
      <c r="CN531" s="1758"/>
      <c r="CO531" s="1758"/>
      <c r="CP531" s="1758"/>
      <c r="CQ531" s="1758"/>
      <c r="CR531" s="1758"/>
      <c r="CS531" s="1758"/>
      <c r="CT531" s="1758"/>
      <c r="CU531" s="1758"/>
      <c r="CV531" s="1758"/>
      <c r="CW531" s="1758"/>
      <c r="CX531" s="1758"/>
      <c r="CY531" s="1758"/>
      <c r="CZ531" s="1758"/>
      <c r="DA531" s="1758"/>
      <c r="DB531" s="1758"/>
      <c r="DC531" s="1758"/>
    </row>
    <row r="532" spans="1:107" s="1395" customFormat="1" ht="21.75" customHeight="1">
      <c r="A532" s="10827"/>
      <c r="B532" s="10732"/>
      <c r="C532" s="10729"/>
      <c r="D532" s="10729"/>
      <c r="E532" s="10729"/>
      <c r="F532" s="10745"/>
      <c r="G532" s="10729"/>
      <c r="H532" s="10729"/>
      <c r="I532" s="10729"/>
      <c r="J532" s="10729"/>
      <c r="K532" s="10736"/>
      <c r="L532" s="10739"/>
      <c r="M532" s="10739"/>
      <c r="N532" s="10739"/>
      <c r="O532" s="10736"/>
      <c r="P532" s="10736"/>
      <c r="Q532" s="10750"/>
      <c r="R532" s="5175"/>
      <c r="S532" s="5215"/>
      <c r="T532" s="5215"/>
      <c r="U532" s="5251"/>
      <c r="V532" s="5282"/>
      <c r="W532" s="5303"/>
      <c r="X532" s="7479"/>
      <c r="Y532" s="7479"/>
      <c r="Z532" s="7479"/>
      <c r="AA532" s="7480"/>
      <c r="AB532" s="5326"/>
      <c r="AC532" s="1399"/>
      <c r="AD532" s="5303"/>
      <c r="AE532" s="5348"/>
      <c r="AF532" s="5348"/>
      <c r="AG532" s="10778"/>
      <c r="AH532" s="1758"/>
      <c r="AI532" s="1758"/>
      <c r="AJ532" s="1758"/>
      <c r="AK532" s="1758"/>
      <c r="AL532" s="1758"/>
      <c r="AM532" s="1758"/>
      <c r="AN532" s="1758"/>
      <c r="AO532" s="1758"/>
      <c r="AP532" s="1758"/>
      <c r="AQ532" s="1758"/>
      <c r="AR532" s="1758"/>
      <c r="AS532" s="1758"/>
      <c r="AT532" s="1758"/>
      <c r="AU532" s="1758"/>
      <c r="AV532" s="1758"/>
      <c r="AW532" s="1758"/>
      <c r="AX532" s="1758"/>
      <c r="AY532" s="1758"/>
      <c r="AZ532" s="1758"/>
      <c r="BA532" s="1758"/>
      <c r="BB532" s="1758"/>
      <c r="BC532" s="1758"/>
      <c r="BD532" s="1758"/>
      <c r="BE532" s="1758"/>
      <c r="BF532" s="1758"/>
      <c r="BG532" s="1758"/>
      <c r="BH532" s="1758"/>
      <c r="BI532" s="1758"/>
      <c r="BJ532" s="1758"/>
      <c r="BK532" s="1758"/>
      <c r="BL532" s="1758"/>
      <c r="BM532" s="1758"/>
      <c r="BN532" s="1758"/>
      <c r="BO532" s="1758"/>
      <c r="BP532" s="1758"/>
      <c r="BQ532" s="1758"/>
      <c r="BR532" s="1758"/>
      <c r="BS532" s="1758"/>
      <c r="BT532" s="1758"/>
      <c r="BU532" s="1758"/>
      <c r="BV532" s="1758"/>
      <c r="BW532" s="1758"/>
      <c r="BX532" s="1758"/>
      <c r="BY532" s="1758"/>
      <c r="BZ532" s="1758"/>
      <c r="CA532" s="1758"/>
      <c r="CB532" s="1758"/>
      <c r="CC532" s="1758"/>
      <c r="CD532" s="1758"/>
      <c r="CE532" s="1758"/>
      <c r="CF532" s="1758"/>
      <c r="CG532" s="1758"/>
      <c r="CH532" s="1758"/>
      <c r="CI532" s="1758"/>
      <c r="CJ532" s="1758"/>
      <c r="CK532" s="1758"/>
      <c r="CL532" s="1758"/>
      <c r="CM532" s="1758"/>
      <c r="CN532" s="1758"/>
      <c r="CO532" s="1758"/>
      <c r="CP532" s="1758"/>
      <c r="CQ532" s="1758"/>
      <c r="CR532" s="1758"/>
      <c r="CS532" s="1758"/>
      <c r="CT532" s="1758"/>
      <c r="CU532" s="1758"/>
      <c r="CV532" s="1758"/>
      <c r="CW532" s="1758"/>
      <c r="CX532" s="1758"/>
      <c r="CY532" s="1758"/>
      <c r="CZ532" s="1758"/>
      <c r="DA532" s="1758"/>
      <c r="DB532" s="1758"/>
      <c r="DC532" s="1758"/>
    </row>
    <row r="533" spans="1:107" s="1395" customFormat="1" ht="21" customHeight="1">
      <c r="A533" s="10827"/>
      <c r="B533" s="10748" t="s">
        <v>183</v>
      </c>
      <c r="C533" s="10742" t="s">
        <v>227</v>
      </c>
      <c r="D533" s="10742" t="s">
        <v>228</v>
      </c>
      <c r="E533" s="10742" t="s">
        <v>255</v>
      </c>
      <c r="F533" s="10743" t="s">
        <v>230</v>
      </c>
      <c r="G533" s="10742" t="s">
        <v>171</v>
      </c>
      <c r="H533" s="10742" t="s">
        <v>159</v>
      </c>
      <c r="I533" s="10742" t="s">
        <v>5105</v>
      </c>
      <c r="J533" s="10742" t="s">
        <v>5042</v>
      </c>
      <c r="K533" s="10734" t="s">
        <v>5043</v>
      </c>
      <c r="L533" s="10737">
        <v>0</v>
      </c>
      <c r="M533" s="10737">
        <v>2</v>
      </c>
      <c r="N533" s="10737">
        <v>2</v>
      </c>
      <c r="O533" s="10734" t="s">
        <v>5044</v>
      </c>
      <c r="P533" s="10734" t="s">
        <v>5045</v>
      </c>
      <c r="Q533" s="10740" t="s">
        <v>5110</v>
      </c>
      <c r="R533" s="5173"/>
      <c r="S533" s="5212"/>
      <c r="T533" s="5212"/>
      <c r="U533" s="5249"/>
      <c r="V533" s="5281"/>
      <c r="W533" s="5302"/>
      <c r="X533" s="7477"/>
      <c r="Y533" s="7477"/>
      <c r="Z533" s="7477"/>
      <c r="AA533" s="7478"/>
      <c r="AB533" s="5325"/>
      <c r="AC533" s="1398"/>
      <c r="AD533" s="5302"/>
      <c r="AE533" s="5349"/>
      <c r="AF533" s="5349"/>
      <c r="AG533" s="10779" t="s">
        <v>4843</v>
      </c>
      <c r="AH533" s="1758"/>
      <c r="AI533" s="1758"/>
      <c r="AJ533" s="1758"/>
      <c r="AK533" s="1758"/>
      <c r="AL533" s="1758"/>
      <c r="AM533" s="1758"/>
      <c r="AN533" s="1758"/>
      <c r="AO533" s="1758"/>
      <c r="AP533" s="1758"/>
      <c r="AQ533" s="1758"/>
      <c r="AR533" s="1758"/>
      <c r="AS533" s="1758"/>
      <c r="AT533" s="1758"/>
      <c r="AU533" s="1758"/>
      <c r="AV533" s="1758"/>
      <c r="AW533" s="1758"/>
      <c r="AX533" s="1758"/>
      <c r="AY533" s="1758"/>
      <c r="AZ533" s="1758"/>
      <c r="BA533" s="1758"/>
      <c r="BB533" s="1758"/>
      <c r="BC533" s="1758"/>
      <c r="BD533" s="1758"/>
      <c r="BE533" s="1758"/>
      <c r="BF533" s="1758"/>
      <c r="BG533" s="1758"/>
      <c r="BH533" s="1758"/>
      <c r="BI533" s="1758"/>
      <c r="BJ533" s="1758"/>
      <c r="BK533" s="1758"/>
      <c r="BL533" s="1758"/>
      <c r="BM533" s="1758"/>
      <c r="BN533" s="1758"/>
      <c r="BO533" s="1758"/>
      <c r="BP533" s="1758"/>
      <c r="BQ533" s="1758"/>
      <c r="BR533" s="1758"/>
      <c r="BS533" s="1758"/>
      <c r="BT533" s="1758"/>
      <c r="BU533" s="1758"/>
      <c r="BV533" s="1758"/>
      <c r="BW533" s="1758"/>
      <c r="BX533" s="1758"/>
      <c r="BY533" s="1758"/>
      <c r="BZ533" s="1758"/>
      <c r="CA533" s="1758"/>
      <c r="CB533" s="1758"/>
      <c r="CC533" s="1758"/>
      <c r="CD533" s="1758"/>
      <c r="CE533" s="1758"/>
      <c r="CF533" s="1758"/>
      <c r="CG533" s="1758"/>
      <c r="CH533" s="1758"/>
      <c r="CI533" s="1758"/>
      <c r="CJ533" s="1758"/>
      <c r="CK533" s="1758"/>
      <c r="CL533" s="1758"/>
      <c r="CM533" s="1758"/>
      <c r="CN533" s="1758"/>
      <c r="CO533" s="1758"/>
      <c r="CP533" s="1758"/>
      <c r="CQ533" s="1758"/>
      <c r="CR533" s="1758"/>
      <c r="CS533" s="1758"/>
      <c r="CT533" s="1758"/>
      <c r="CU533" s="1758"/>
      <c r="CV533" s="1758"/>
      <c r="CW533" s="1758"/>
      <c r="CX533" s="1758"/>
      <c r="CY533" s="1758"/>
      <c r="CZ533" s="1758"/>
      <c r="DA533" s="1758"/>
      <c r="DB533" s="1758"/>
      <c r="DC533" s="1758"/>
    </row>
    <row r="534" spans="1:107" s="1395" customFormat="1" ht="21" customHeight="1">
      <c r="A534" s="10827"/>
      <c r="B534" s="10731"/>
      <c r="C534" s="10728"/>
      <c r="D534" s="10728"/>
      <c r="E534" s="10728"/>
      <c r="F534" s="10744"/>
      <c r="G534" s="10728"/>
      <c r="H534" s="10728"/>
      <c r="I534" s="10728"/>
      <c r="J534" s="10728"/>
      <c r="K534" s="10735"/>
      <c r="L534" s="10738"/>
      <c r="M534" s="10738"/>
      <c r="N534" s="10738"/>
      <c r="O534" s="10735"/>
      <c r="P534" s="10735"/>
      <c r="Q534" s="10741"/>
      <c r="R534" s="5171"/>
      <c r="S534" s="5213"/>
      <c r="T534" s="5213"/>
      <c r="U534" s="5247"/>
      <c r="V534" s="5279"/>
      <c r="W534" s="5300"/>
      <c r="X534" s="7473"/>
      <c r="Y534" s="7473"/>
      <c r="Z534" s="7473"/>
      <c r="AA534" s="7474"/>
      <c r="AB534" s="5323"/>
      <c r="AC534" s="1396"/>
      <c r="AD534" s="5300"/>
      <c r="AE534" s="5346"/>
      <c r="AF534" s="5346"/>
      <c r="AG534" s="10777"/>
      <c r="AH534" s="1758"/>
      <c r="AI534" s="1758"/>
      <c r="AJ534" s="1758"/>
      <c r="AK534" s="1758"/>
      <c r="AL534" s="1758"/>
      <c r="AM534" s="1758"/>
      <c r="AN534" s="1758"/>
      <c r="AO534" s="1758"/>
      <c r="AP534" s="1758"/>
      <c r="AQ534" s="1758"/>
      <c r="AR534" s="1758"/>
      <c r="AS534" s="1758"/>
      <c r="AT534" s="1758"/>
      <c r="AU534" s="1758"/>
      <c r="AV534" s="1758"/>
      <c r="AW534" s="1758"/>
      <c r="AX534" s="1758"/>
      <c r="AY534" s="1758"/>
      <c r="AZ534" s="1758"/>
      <c r="BA534" s="1758"/>
      <c r="BB534" s="1758"/>
      <c r="BC534" s="1758"/>
      <c r="BD534" s="1758"/>
      <c r="BE534" s="1758"/>
      <c r="BF534" s="1758"/>
      <c r="BG534" s="1758"/>
      <c r="BH534" s="1758"/>
      <c r="BI534" s="1758"/>
      <c r="BJ534" s="1758"/>
      <c r="BK534" s="1758"/>
      <c r="BL534" s="1758"/>
      <c r="BM534" s="1758"/>
      <c r="BN534" s="1758"/>
      <c r="BO534" s="1758"/>
      <c r="BP534" s="1758"/>
      <c r="BQ534" s="1758"/>
      <c r="BR534" s="1758"/>
      <c r="BS534" s="1758"/>
      <c r="BT534" s="1758"/>
      <c r="BU534" s="1758"/>
      <c r="BV534" s="1758"/>
      <c r="BW534" s="1758"/>
      <c r="BX534" s="1758"/>
      <c r="BY534" s="1758"/>
      <c r="BZ534" s="1758"/>
      <c r="CA534" s="1758"/>
      <c r="CB534" s="1758"/>
      <c r="CC534" s="1758"/>
      <c r="CD534" s="1758"/>
      <c r="CE534" s="1758"/>
      <c r="CF534" s="1758"/>
      <c r="CG534" s="1758"/>
      <c r="CH534" s="1758"/>
      <c r="CI534" s="1758"/>
      <c r="CJ534" s="1758"/>
      <c r="CK534" s="1758"/>
      <c r="CL534" s="1758"/>
      <c r="CM534" s="1758"/>
      <c r="CN534" s="1758"/>
      <c r="CO534" s="1758"/>
      <c r="CP534" s="1758"/>
      <c r="CQ534" s="1758"/>
      <c r="CR534" s="1758"/>
      <c r="CS534" s="1758"/>
      <c r="CT534" s="1758"/>
      <c r="CU534" s="1758"/>
      <c r="CV534" s="1758"/>
      <c r="CW534" s="1758"/>
      <c r="CX534" s="1758"/>
      <c r="CY534" s="1758"/>
      <c r="CZ534" s="1758"/>
      <c r="DA534" s="1758"/>
      <c r="DB534" s="1758"/>
      <c r="DC534" s="1758"/>
    </row>
    <row r="535" spans="1:107" s="1395" customFormat="1" ht="21" customHeight="1">
      <c r="A535" s="10827"/>
      <c r="B535" s="10731"/>
      <c r="C535" s="10728"/>
      <c r="D535" s="10728"/>
      <c r="E535" s="10728"/>
      <c r="F535" s="10744"/>
      <c r="G535" s="10728"/>
      <c r="H535" s="10728"/>
      <c r="I535" s="10728"/>
      <c r="J535" s="10728"/>
      <c r="K535" s="10735"/>
      <c r="L535" s="10738"/>
      <c r="M535" s="10738"/>
      <c r="N535" s="10738"/>
      <c r="O535" s="10735"/>
      <c r="P535" s="10735"/>
      <c r="Q535" s="10741"/>
      <c r="R535" s="5174"/>
      <c r="S535" s="5214"/>
      <c r="T535" s="5214"/>
      <c r="U535" s="5250"/>
      <c r="V535" s="5281"/>
      <c r="W535" s="5302"/>
      <c r="X535" s="7477"/>
      <c r="Y535" s="7473"/>
      <c r="Z535" s="7473"/>
      <c r="AA535" s="7474"/>
      <c r="AB535" s="5323"/>
      <c r="AC535" s="1396"/>
      <c r="AD535" s="5300"/>
      <c r="AE535" s="5346"/>
      <c r="AF535" s="5346"/>
      <c r="AG535" s="10777"/>
      <c r="AH535" s="1758"/>
      <c r="AI535" s="1758"/>
      <c r="AJ535" s="1758"/>
      <c r="AK535" s="1758"/>
      <c r="AL535" s="1758"/>
      <c r="AM535" s="1758"/>
      <c r="AN535" s="1758"/>
      <c r="AO535" s="1758"/>
      <c r="AP535" s="1758"/>
      <c r="AQ535" s="1758"/>
      <c r="AR535" s="1758"/>
      <c r="AS535" s="1758"/>
      <c r="AT535" s="1758"/>
      <c r="AU535" s="1758"/>
      <c r="AV535" s="1758"/>
      <c r="AW535" s="1758"/>
      <c r="AX535" s="1758"/>
      <c r="AY535" s="1758"/>
      <c r="AZ535" s="1758"/>
      <c r="BA535" s="1758"/>
      <c r="BB535" s="1758"/>
      <c r="BC535" s="1758"/>
      <c r="BD535" s="1758"/>
      <c r="BE535" s="1758"/>
      <c r="BF535" s="1758"/>
      <c r="BG535" s="1758"/>
      <c r="BH535" s="1758"/>
      <c r="BI535" s="1758"/>
      <c r="BJ535" s="1758"/>
      <c r="BK535" s="1758"/>
      <c r="BL535" s="1758"/>
      <c r="BM535" s="1758"/>
      <c r="BN535" s="1758"/>
      <c r="BO535" s="1758"/>
      <c r="BP535" s="1758"/>
      <c r="BQ535" s="1758"/>
      <c r="BR535" s="1758"/>
      <c r="BS535" s="1758"/>
      <c r="BT535" s="1758"/>
      <c r="BU535" s="1758"/>
      <c r="BV535" s="1758"/>
      <c r="BW535" s="1758"/>
      <c r="BX535" s="1758"/>
      <c r="BY535" s="1758"/>
      <c r="BZ535" s="1758"/>
      <c r="CA535" s="1758"/>
      <c r="CB535" s="1758"/>
      <c r="CC535" s="1758"/>
      <c r="CD535" s="1758"/>
      <c r="CE535" s="1758"/>
      <c r="CF535" s="1758"/>
      <c r="CG535" s="1758"/>
      <c r="CH535" s="1758"/>
      <c r="CI535" s="1758"/>
      <c r="CJ535" s="1758"/>
      <c r="CK535" s="1758"/>
      <c r="CL535" s="1758"/>
      <c r="CM535" s="1758"/>
      <c r="CN535" s="1758"/>
      <c r="CO535" s="1758"/>
      <c r="CP535" s="1758"/>
      <c r="CQ535" s="1758"/>
      <c r="CR535" s="1758"/>
      <c r="CS535" s="1758"/>
      <c r="CT535" s="1758"/>
      <c r="CU535" s="1758"/>
      <c r="CV535" s="1758"/>
      <c r="CW535" s="1758"/>
      <c r="CX535" s="1758"/>
      <c r="CY535" s="1758"/>
      <c r="CZ535" s="1758"/>
      <c r="DA535" s="1758"/>
      <c r="DB535" s="1758"/>
      <c r="DC535" s="1758"/>
    </row>
    <row r="536" spans="1:107" s="1395" customFormat="1" ht="21" customHeight="1">
      <c r="A536" s="10827"/>
      <c r="B536" s="10731"/>
      <c r="C536" s="10728"/>
      <c r="D536" s="10728"/>
      <c r="E536" s="10728"/>
      <c r="F536" s="10744"/>
      <c r="G536" s="10728"/>
      <c r="H536" s="10728"/>
      <c r="I536" s="10728"/>
      <c r="J536" s="10728"/>
      <c r="K536" s="10735"/>
      <c r="L536" s="10738"/>
      <c r="M536" s="10738"/>
      <c r="N536" s="10738"/>
      <c r="O536" s="10735"/>
      <c r="P536" s="10735"/>
      <c r="Q536" s="10741"/>
      <c r="R536" s="5173"/>
      <c r="S536" s="5212"/>
      <c r="T536" s="5212"/>
      <c r="U536" s="5250"/>
      <c r="V536" s="5281"/>
      <c r="W536" s="5302"/>
      <c r="X536" s="7477"/>
      <c r="Y536" s="7473"/>
      <c r="Z536" s="7473"/>
      <c r="AA536" s="7474"/>
      <c r="AB536" s="5323"/>
      <c r="AC536" s="1396"/>
      <c r="AD536" s="5300"/>
      <c r="AE536" s="5346"/>
      <c r="AF536" s="5346"/>
      <c r="AG536" s="10777"/>
      <c r="AH536" s="1758"/>
      <c r="AI536" s="1758"/>
      <c r="AJ536" s="1758"/>
      <c r="AK536" s="1758"/>
      <c r="AL536" s="1758"/>
      <c r="AM536" s="1758"/>
      <c r="AN536" s="1758"/>
      <c r="AO536" s="1758"/>
      <c r="AP536" s="1758"/>
      <c r="AQ536" s="1758"/>
      <c r="AR536" s="1758"/>
      <c r="AS536" s="1758"/>
      <c r="AT536" s="1758"/>
      <c r="AU536" s="1758"/>
      <c r="AV536" s="1758"/>
      <c r="AW536" s="1758"/>
      <c r="AX536" s="1758"/>
      <c r="AY536" s="1758"/>
      <c r="AZ536" s="1758"/>
      <c r="BA536" s="1758"/>
      <c r="BB536" s="1758"/>
      <c r="BC536" s="1758"/>
      <c r="BD536" s="1758"/>
      <c r="BE536" s="1758"/>
      <c r="BF536" s="1758"/>
      <c r="BG536" s="1758"/>
      <c r="BH536" s="1758"/>
      <c r="BI536" s="1758"/>
      <c r="BJ536" s="1758"/>
      <c r="BK536" s="1758"/>
      <c r="BL536" s="1758"/>
      <c r="BM536" s="1758"/>
      <c r="BN536" s="1758"/>
      <c r="BO536" s="1758"/>
      <c r="BP536" s="1758"/>
      <c r="BQ536" s="1758"/>
      <c r="BR536" s="1758"/>
      <c r="BS536" s="1758"/>
      <c r="BT536" s="1758"/>
      <c r="BU536" s="1758"/>
      <c r="BV536" s="1758"/>
      <c r="BW536" s="1758"/>
      <c r="BX536" s="1758"/>
      <c r="BY536" s="1758"/>
      <c r="BZ536" s="1758"/>
      <c r="CA536" s="1758"/>
      <c r="CB536" s="1758"/>
      <c r="CC536" s="1758"/>
      <c r="CD536" s="1758"/>
      <c r="CE536" s="1758"/>
      <c r="CF536" s="1758"/>
      <c r="CG536" s="1758"/>
      <c r="CH536" s="1758"/>
      <c r="CI536" s="1758"/>
      <c r="CJ536" s="1758"/>
      <c r="CK536" s="1758"/>
      <c r="CL536" s="1758"/>
      <c r="CM536" s="1758"/>
      <c r="CN536" s="1758"/>
      <c r="CO536" s="1758"/>
      <c r="CP536" s="1758"/>
      <c r="CQ536" s="1758"/>
      <c r="CR536" s="1758"/>
      <c r="CS536" s="1758"/>
      <c r="CT536" s="1758"/>
      <c r="CU536" s="1758"/>
      <c r="CV536" s="1758"/>
      <c r="CW536" s="1758"/>
      <c r="CX536" s="1758"/>
      <c r="CY536" s="1758"/>
      <c r="CZ536" s="1758"/>
      <c r="DA536" s="1758"/>
      <c r="DB536" s="1758"/>
      <c r="DC536" s="1758"/>
    </row>
    <row r="537" spans="1:107" s="1395" customFormat="1" ht="21" customHeight="1">
      <c r="A537" s="10827"/>
      <c r="B537" s="10732"/>
      <c r="C537" s="10729"/>
      <c r="D537" s="10729"/>
      <c r="E537" s="10729"/>
      <c r="F537" s="10745"/>
      <c r="G537" s="10729"/>
      <c r="H537" s="10729"/>
      <c r="I537" s="10729"/>
      <c r="J537" s="10729"/>
      <c r="K537" s="10736"/>
      <c r="L537" s="10739"/>
      <c r="M537" s="10739"/>
      <c r="N537" s="10739"/>
      <c r="O537" s="10736"/>
      <c r="P537" s="10736"/>
      <c r="Q537" s="10749"/>
      <c r="R537" s="5175"/>
      <c r="S537" s="5215"/>
      <c r="T537" s="5215"/>
      <c r="U537" s="5251"/>
      <c r="V537" s="5282"/>
      <c r="W537" s="5303"/>
      <c r="X537" s="7479"/>
      <c r="Y537" s="7479"/>
      <c r="Z537" s="7479"/>
      <c r="AA537" s="7480"/>
      <c r="AB537" s="5326"/>
      <c r="AC537" s="1399"/>
      <c r="AD537" s="5303"/>
      <c r="AE537" s="5348"/>
      <c r="AF537" s="5348"/>
      <c r="AG537" s="10778"/>
      <c r="AH537" s="1758"/>
      <c r="AI537" s="1758"/>
      <c r="AJ537" s="1758"/>
      <c r="AK537" s="1758"/>
      <c r="AL537" s="1758"/>
      <c r="AM537" s="1758"/>
      <c r="AN537" s="1758"/>
      <c r="AO537" s="1758"/>
      <c r="AP537" s="1758"/>
      <c r="AQ537" s="1758"/>
      <c r="AR537" s="1758"/>
      <c r="AS537" s="1758"/>
      <c r="AT537" s="1758"/>
      <c r="AU537" s="1758"/>
      <c r="AV537" s="1758"/>
      <c r="AW537" s="1758"/>
      <c r="AX537" s="1758"/>
      <c r="AY537" s="1758"/>
      <c r="AZ537" s="1758"/>
      <c r="BA537" s="1758"/>
      <c r="BB537" s="1758"/>
      <c r="BC537" s="1758"/>
      <c r="BD537" s="1758"/>
      <c r="BE537" s="1758"/>
      <c r="BF537" s="1758"/>
      <c r="BG537" s="1758"/>
      <c r="BH537" s="1758"/>
      <c r="BI537" s="1758"/>
      <c r="BJ537" s="1758"/>
      <c r="BK537" s="1758"/>
      <c r="BL537" s="1758"/>
      <c r="BM537" s="1758"/>
      <c r="BN537" s="1758"/>
      <c r="BO537" s="1758"/>
      <c r="BP537" s="1758"/>
      <c r="BQ537" s="1758"/>
      <c r="BR537" s="1758"/>
      <c r="BS537" s="1758"/>
      <c r="BT537" s="1758"/>
      <c r="BU537" s="1758"/>
      <c r="BV537" s="1758"/>
      <c r="BW537" s="1758"/>
      <c r="BX537" s="1758"/>
      <c r="BY537" s="1758"/>
      <c r="BZ537" s="1758"/>
      <c r="CA537" s="1758"/>
      <c r="CB537" s="1758"/>
      <c r="CC537" s="1758"/>
      <c r="CD537" s="1758"/>
      <c r="CE537" s="1758"/>
      <c r="CF537" s="1758"/>
      <c r="CG537" s="1758"/>
      <c r="CH537" s="1758"/>
      <c r="CI537" s="1758"/>
      <c r="CJ537" s="1758"/>
      <c r="CK537" s="1758"/>
      <c r="CL537" s="1758"/>
      <c r="CM537" s="1758"/>
      <c r="CN537" s="1758"/>
      <c r="CO537" s="1758"/>
      <c r="CP537" s="1758"/>
      <c r="CQ537" s="1758"/>
      <c r="CR537" s="1758"/>
      <c r="CS537" s="1758"/>
      <c r="CT537" s="1758"/>
      <c r="CU537" s="1758"/>
      <c r="CV537" s="1758"/>
      <c r="CW537" s="1758"/>
      <c r="CX537" s="1758"/>
      <c r="CY537" s="1758"/>
      <c r="CZ537" s="1758"/>
      <c r="DA537" s="1758"/>
      <c r="DB537" s="1758"/>
      <c r="DC537" s="1758"/>
    </row>
    <row r="538" spans="1:107" s="1395" customFormat="1" ht="21" customHeight="1">
      <c r="A538" s="10827"/>
      <c r="B538" s="10748" t="s">
        <v>183</v>
      </c>
      <c r="C538" s="10742" t="s">
        <v>227</v>
      </c>
      <c r="D538" s="10742" t="s">
        <v>228</v>
      </c>
      <c r="E538" s="10742" t="s">
        <v>229</v>
      </c>
      <c r="F538" s="10743" t="s">
        <v>230</v>
      </c>
      <c r="G538" s="10742" t="s">
        <v>171</v>
      </c>
      <c r="H538" s="10742" t="s">
        <v>159</v>
      </c>
      <c r="I538" s="10742" t="s">
        <v>5047</v>
      </c>
      <c r="J538" s="10742" t="s">
        <v>4662</v>
      </c>
      <c r="K538" s="10734" t="s">
        <v>5048</v>
      </c>
      <c r="L538" s="10737">
        <v>0</v>
      </c>
      <c r="M538" s="10737">
        <v>1</v>
      </c>
      <c r="N538" s="10737">
        <v>1</v>
      </c>
      <c r="O538" s="10734" t="s">
        <v>5049</v>
      </c>
      <c r="P538" s="10734" t="s">
        <v>5050</v>
      </c>
      <c r="Q538" s="10750" t="s">
        <v>5110</v>
      </c>
      <c r="R538" s="5173"/>
      <c r="S538" s="5212"/>
      <c r="T538" s="5212"/>
      <c r="U538" s="5249"/>
      <c r="V538" s="5281"/>
      <c r="W538" s="5302"/>
      <c r="X538" s="7477"/>
      <c r="Y538" s="7477"/>
      <c r="Z538" s="7477"/>
      <c r="AA538" s="7478"/>
      <c r="AB538" s="5325"/>
      <c r="AC538" s="1398"/>
      <c r="AD538" s="5302"/>
      <c r="AE538" s="5349"/>
      <c r="AF538" s="5349"/>
      <c r="AG538" s="10779"/>
      <c r="AH538" s="1758"/>
      <c r="AI538" s="1758"/>
      <c r="AJ538" s="1758"/>
      <c r="AK538" s="1758"/>
      <c r="AL538" s="1758"/>
      <c r="AM538" s="1758"/>
      <c r="AN538" s="1758"/>
      <c r="AO538" s="1758"/>
      <c r="AP538" s="1758"/>
      <c r="AQ538" s="1758"/>
      <c r="AR538" s="1758"/>
      <c r="AS538" s="1758"/>
      <c r="AT538" s="1758"/>
      <c r="AU538" s="1758"/>
      <c r="AV538" s="1758"/>
      <c r="AW538" s="1758"/>
      <c r="AX538" s="1758"/>
      <c r="AY538" s="1758"/>
      <c r="AZ538" s="1758"/>
      <c r="BA538" s="1758"/>
      <c r="BB538" s="1758"/>
      <c r="BC538" s="1758"/>
      <c r="BD538" s="1758"/>
      <c r="BE538" s="1758"/>
      <c r="BF538" s="1758"/>
      <c r="BG538" s="1758"/>
      <c r="BH538" s="1758"/>
      <c r="BI538" s="1758"/>
      <c r="BJ538" s="1758"/>
      <c r="BK538" s="1758"/>
      <c r="BL538" s="1758"/>
      <c r="BM538" s="1758"/>
      <c r="BN538" s="1758"/>
      <c r="BO538" s="1758"/>
      <c r="BP538" s="1758"/>
      <c r="BQ538" s="1758"/>
      <c r="BR538" s="1758"/>
      <c r="BS538" s="1758"/>
      <c r="BT538" s="1758"/>
      <c r="BU538" s="1758"/>
      <c r="BV538" s="1758"/>
      <c r="BW538" s="1758"/>
      <c r="BX538" s="1758"/>
      <c r="BY538" s="1758"/>
      <c r="BZ538" s="1758"/>
      <c r="CA538" s="1758"/>
      <c r="CB538" s="1758"/>
      <c r="CC538" s="1758"/>
      <c r="CD538" s="1758"/>
      <c r="CE538" s="1758"/>
      <c r="CF538" s="1758"/>
      <c r="CG538" s="1758"/>
      <c r="CH538" s="1758"/>
      <c r="CI538" s="1758"/>
      <c r="CJ538" s="1758"/>
      <c r="CK538" s="1758"/>
      <c r="CL538" s="1758"/>
      <c r="CM538" s="1758"/>
      <c r="CN538" s="1758"/>
      <c r="CO538" s="1758"/>
      <c r="CP538" s="1758"/>
      <c r="CQ538" s="1758"/>
      <c r="CR538" s="1758"/>
      <c r="CS538" s="1758"/>
      <c r="CT538" s="1758"/>
      <c r="CU538" s="1758"/>
      <c r="CV538" s="1758"/>
      <c r="CW538" s="1758"/>
      <c r="CX538" s="1758"/>
      <c r="CY538" s="1758"/>
      <c r="CZ538" s="1758"/>
      <c r="DA538" s="1758"/>
      <c r="DB538" s="1758"/>
      <c r="DC538" s="1758"/>
    </row>
    <row r="539" spans="1:107" s="1395" customFormat="1" ht="21" customHeight="1">
      <c r="A539" s="10827"/>
      <c r="B539" s="10731"/>
      <c r="C539" s="10728"/>
      <c r="D539" s="10728"/>
      <c r="E539" s="10728"/>
      <c r="F539" s="10744"/>
      <c r="G539" s="10728"/>
      <c r="H539" s="10728"/>
      <c r="I539" s="10728"/>
      <c r="J539" s="10728"/>
      <c r="K539" s="10735"/>
      <c r="L539" s="10738"/>
      <c r="M539" s="10738"/>
      <c r="N539" s="10738"/>
      <c r="O539" s="10735"/>
      <c r="P539" s="10735"/>
      <c r="Q539" s="10750"/>
      <c r="R539" s="5171"/>
      <c r="S539" s="5213"/>
      <c r="T539" s="5213"/>
      <c r="U539" s="5247"/>
      <c r="V539" s="5279"/>
      <c r="W539" s="5300"/>
      <c r="X539" s="7473"/>
      <c r="Y539" s="7473"/>
      <c r="Z539" s="7473"/>
      <c r="AA539" s="7474"/>
      <c r="AB539" s="5323"/>
      <c r="AC539" s="1396"/>
      <c r="AD539" s="5300"/>
      <c r="AE539" s="5346"/>
      <c r="AF539" s="5346"/>
      <c r="AG539" s="10777"/>
      <c r="AH539" s="1758"/>
      <c r="AI539" s="1758"/>
      <c r="AJ539" s="1758"/>
      <c r="AK539" s="1758"/>
      <c r="AL539" s="1758"/>
      <c r="AM539" s="1758"/>
      <c r="AN539" s="1758"/>
      <c r="AO539" s="1758"/>
      <c r="AP539" s="1758"/>
      <c r="AQ539" s="1758"/>
      <c r="AR539" s="1758"/>
      <c r="AS539" s="1758"/>
      <c r="AT539" s="1758"/>
      <c r="AU539" s="1758"/>
      <c r="AV539" s="1758"/>
      <c r="AW539" s="1758"/>
      <c r="AX539" s="1758"/>
      <c r="AY539" s="1758"/>
      <c r="AZ539" s="1758"/>
      <c r="BA539" s="1758"/>
      <c r="BB539" s="1758"/>
      <c r="BC539" s="1758"/>
      <c r="BD539" s="1758"/>
      <c r="BE539" s="1758"/>
      <c r="BF539" s="1758"/>
      <c r="BG539" s="1758"/>
      <c r="BH539" s="1758"/>
      <c r="BI539" s="1758"/>
      <c r="BJ539" s="1758"/>
      <c r="BK539" s="1758"/>
      <c r="BL539" s="1758"/>
      <c r="BM539" s="1758"/>
      <c r="BN539" s="1758"/>
      <c r="BO539" s="1758"/>
      <c r="BP539" s="1758"/>
      <c r="BQ539" s="1758"/>
      <c r="BR539" s="1758"/>
      <c r="BS539" s="1758"/>
      <c r="BT539" s="1758"/>
      <c r="BU539" s="1758"/>
      <c r="BV539" s="1758"/>
      <c r="BW539" s="1758"/>
      <c r="BX539" s="1758"/>
      <c r="BY539" s="1758"/>
      <c r="BZ539" s="1758"/>
      <c r="CA539" s="1758"/>
      <c r="CB539" s="1758"/>
      <c r="CC539" s="1758"/>
      <c r="CD539" s="1758"/>
      <c r="CE539" s="1758"/>
      <c r="CF539" s="1758"/>
      <c r="CG539" s="1758"/>
      <c r="CH539" s="1758"/>
      <c r="CI539" s="1758"/>
      <c r="CJ539" s="1758"/>
      <c r="CK539" s="1758"/>
      <c r="CL539" s="1758"/>
      <c r="CM539" s="1758"/>
      <c r="CN539" s="1758"/>
      <c r="CO539" s="1758"/>
      <c r="CP539" s="1758"/>
      <c r="CQ539" s="1758"/>
      <c r="CR539" s="1758"/>
      <c r="CS539" s="1758"/>
      <c r="CT539" s="1758"/>
      <c r="CU539" s="1758"/>
      <c r="CV539" s="1758"/>
      <c r="CW539" s="1758"/>
      <c r="CX539" s="1758"/>
      <c r="CY539" s="1758"/>
      <c r="CZ539" s="1758"/>
      <c r="DA539" s="1758"/>
      <c r="DB539" s="1758"/>
      <c r="DC539" s="1758"/>
    </row>
    <row r="540" spans="1:107" s="1395" customFormat="1" ht="21" customHeight="1">
      <c r="A540" s="10827"/>
      <c r="B540" s="10731"/>
      <c r="C540" s="10728"/>
      <c r="D540" s="10728"/>
      <c r="E540" s="10728"/>
      <c r="F540" s="10744"/>
      <c r="G540" s="10728"/>
      <c r="H540" s="10728"/>
      <c r="I540" s="10728"/>
      <c r="J540" s="10728"/>
      <c r="K540" s="10735"/>
      <c r="L540" s="10738"/>
      <c r="M540" s="10738"/>
      <c r="N540" s="10738"/>
      <c r="O540" s="10735"/>
      <c r="P540" s="10735"/>
      <c r="Q540" s="10750"/>
      <c r="R540" s="5174"/>
      <c r="S540" s="5214"/>
      <c r="T540" s="5214"/>
      <c r="U540" s="5250"/>
      <c r="V540" s="5281"/>
      <c r="W540" s="5302"/>
      <c r="X540" s="7477"/>
      <c r="Y540" s="7473"/>
      <c r="Z540" s="7473"/>
      <c r="AA540" s="7474"/>
      <c r="AB540" s="5323"/>
      <c r="AC540" s="1396"/>
      <c r="AD540" s="5300"/>
      <c r="AE540" s="5346"/>
      <c r="AF540" s="5346"/>
      <c r="AG540" s="10777"/>
      <c r="AH540" s="1758"/>
      <c r="AI540" s="1758"/>
      <c r="AJ540" s="1758"/>
      <c r="AK540" s="1758"/>
      <c r="AL540" s="1758"/>
      <c r="AM540" s="1758"/>
      <c r="AN540" s="1758"/>
      <c r="AO540" s="1758"/>
      <c r="AP540" s="1758"/>
      <c r="AQ540" s="1758"/>
      <c r="AR540" s="1758"/>
      <c r="AS540" s="1758"/>
      <c r="AT540" s="1758"/>
      <c r="AU540" s="1758"/>
      <c r="AV540" s="1758"/>
      <c r="AW540" s="1758"/>
      <c r="AX540" s="1758"/>
      <c r="AY540" s="1758"/>
      <c r="AZ540" s="1758"/>
      <c r="BA540" s="1758"/>
      <c r="BB540" s="1758"/>
      <c r="BC540" s="1758"/>
      <c r="BD540" s="1758"/>
      <c r="BE540" s="1758"/>
      <c r="BF540" s="1758"/>
      <c r="BG540" s="1758"/>
      <c r="BH540" s="1758"/>
      <c r="BI540" s="1758"/>
      <c r="BJ540" s="1758"/>
      <c r="BK540" s="1758"/>
      <c r="BL540" s="1758"/>
      <c r="BM540" s="1758"/>
      <c r="BN540" s="1758"/>
      <c r="BO540" s="1758"/>
      <c r="BP540" s="1758"/>
      <c r="BQ540" s="1758"/>
      <c r="BR540" s="1758"/>
      <c r="BS540" s="1758"/>
      <c r="BT540" s="1758"/>
      <c r="BU540" s="1758"/>
      <c r="BV540" s="1758"/>
      <c r="BW540" s="1758"/>
      <c r="BX540" s="1758"/>
      <c r="BY540" s="1758"/>
      <c r="BZ540" s="1758"/>
      <c r="CA540" s="1758"/>
      <c r="CB540" s="1758"/>
      <c r="CC540" s="1758"/>
      <c r="CD540" s="1758"/>
      <c r="CE540" s="1758"/>
      <c r="CF540" s="1758"/>
      <c r="CG540" s="1758"/>
      <c r="CH540" s="1758"/>
      <c r="CI540" s="1758"/>
      <c r="CJ540" s="1758"/>
      <c r="CK540" s="1758"/>
      <c r="CL540" s="1758"/>
      <c r="CM540" s="1758"/>
      <c r="CN540" s="1758"/>
      <c r="CO540" s="1758"/>
      <c r="CP540" s="1758"/>
      <c r="CQ540" s="1758"/>
      <c r="CR540" s="1758"/>
      <c r="CS540" s="1758"/>
      <c r="CT540" s="1758"/>
      <c r="CU540" s="1758"/>
      <c r="CV540" s="1758"/>
      <c r="CW540" s="1758"/>
      <c r="CX540" s="1758"/>
      <c r="CY540" s="1758"/>
      <c r="CZ540" s="1758"/>
      <c r="DA540" s="1758"/>
      <c r="DB540" s="1758"/>
      <c r="DC540" s="1758"/>
    </row>
    <row r="541" spans="1:107" s="1395" customFormat="1" ht="21" customHeight="1">
      <c r="A541" s="10827"/>
      <c r="B541" s="10731"/>
      <c r="C541" s="10728"/>
      <c r="D541" s="10728"/>
      <c r="E541" s="10728"/>
      <c r="F541" s="10744"/>
      <c r="G541" s="10728"/>
      <c r="H541" s="10728"/>
      <c r="I541" s="10728"/>
      <c r="J541" s="10728"/>
      <c r="K541" s="10735"/>
      <c r="L541" s="10738"/>
      <c r="M541" s="10738"/>
      <c r="N541" s="10738"/>
      <c r="O541" s="10735"/>
      <c r="P541" s="10735"/>
      <c r="Q541" s="10750"/>
      <c r="R541" s="5173"/>
      <c r="S541" s="5212"/>
      <c r="T541" s="5212"/>
      <c r="U541" s="5250"/>
      <c r="V541" s="5281"/>
      <c r="W541" s="5302"/>
      <c r="X541" s="7477"/>
      <c r="Y541" s="7473"/>
      <c r="Z541" s="7473"/>
      <c r="AA541" s="7474"/>
      <c r="AB541" s="5323"/>
      <c r="AC541" s="1396"/>
      <c r="AD541" s="5300"/>
      <c r="AE541" s="5346"/>
      <c r="AF541" s="5346"/>
      <c r="AG541" s="10777"/>
      <c r="AH541" s="1758"/>
      <c r="AI541" s="1758"/>
      <c r="AJ541" s="1758"/>
      <c r="AK541" s="1758"/>
      <c r="AL541" s="1758"/>
      <c r="AM541" s="1758"/>
      <c r="AN541" s="1758"/>
      <c r="AO541" s="1758"/>
      <c r="AP541" s="1758"/>
      <c r="AQ541" s="1758"/>
      <c r="AR541" s="1758"/>
      <c r="AS541" s="1758"/>
      <c r="AT541" s="1758"/>
      <c r="AU541" s="1758"/>
      <c r="AV541" s="1758"/>
      <c r="AW541" s="1758"/>
      <c r="AX541" s="1758"/>
      <c r="AY541" s="1758"/>
      <c r="AZ541" s="1758"/>
      <c r="BA541" s="1758"/>
      <c r="BB541" s="1758"/>
      <c r="BC541" s="1758"/>
      <c r="BD541" s="1758"/>
      <c r="BE541" s="1758"/>
      <c r="BF541" s="1758"/>
      <c r="BG541" s="1758"/>
      <c r="BH541" s="1758"/>
      <c r="BI541" s="1758"/>
      <c r="BJ541" s="1758"/>
      <c r="BK541" s="1758"/>
      <c r="BL541" s="1758"/>
      <c r="BM541" s="1758"/>
      <c r="BN541" s="1758"/>
      <c r="BO541" s="1758"/>
      <c r="BP541" s="1758"/>
      <c r="BQ541" s="1758"/>
      <c r="BR541" s="1758"/>
      <c r="BS541" s="1758"/>
      <c r="BT541" s="1758"/>
      <c r="BU541" s="1758"/>
      <c r="BV541" s="1758"/>
      <c r="BW541" s="1758"/>
      <c r="BX541" s="1758"/>
      <c r="BY541" s="1758"/>
      <c r="BZ541" s="1758"/>
      <c r="CA541" s="1758"/>
      <c r="CB541" s="1758"/>
      <c r="CC541" s="1758"/>
      <c r="CD541" s="1758"/>
      <c r="CE541" s="1758"/>
      <c r="CF541" s="1758"/>
      <c r="CG541" s="1758"/>
      <c r="CH541" s="1758"/>
      <c r="CI541" s="1758"/>
      <c r="CJ541" s="1758"/>
      <c r="CK541" s="1758"/>
      <c r="CL541" s="1758"/>
      <c r="CM541" s="1758"/>
      <c r="CN541" s="1758"/>
      <c r="CO541" s="1758"/>
      <c r="CP541" s="1758"/>
      <c r="CQ541" s="1758"/>
      <c r="CR541" s="1758"/>
      <c r="CS541" s="1758"/>
      <c r="CT541" s="1758"/>
      <c r="CU541" s="1758"/>
      <c r="CV541" s="1758"/>
      <c r="CW541" s="1758"/>
      <c r="CX541" s="1758"/>
      <c r="CY541" s="1758"/>
      <c r="CZ541" s="1758"/>
      <c r="DA541" s="1758"/>
      <c r="DB541" s="1758"/>
      <c r="DC541" s="1758"/>
    </row>
    <row r="542" spans="1:107" s="1395" customFormat="1" ht="21" customHeight="1">
      <c r="A542" s="10827"/>
      <c r="B542" s="10732"/>
      <c r="C542" s="10729"/>
      <c r="D542" s="10729"/>
      <c r="E542" s="10729"/>
      <c r="F542" s="10745"/>
      <c r="G542" s="10729"/>
      <c r="H542" s="10729"/>
      <c r="I542" s="10729"/>
      <c r="J542" s="10729"/>
      <c r="K542" s="10736"/>
      <c r="L542" s="10739"/>
      <c r="M542" s="10739"/>
      <c r="N542" s="10739"/>
      <c r="O542" s="10736"/>
      <c r="P542" s="10736"/>
      <c r="Q542" s="10750"/>
      <c r="R542" s="5175"/>
      <c r="S542" s="5215"/>
      <c r="T542" s="5215"/>
      <c r="U542" s="5251"/>
      <c r="V542" s="5282"/>
      <c r="W542" s="5303"/>
      <c r="X542" s="7479"/>
      <c r="Y542" s="7479"/>
      <c r="Z542" s="7479"/>
      <c r="AA542" s="7480"/>
      <c r="AB542" s="5326"/>
      <c r="AC542" s="1399"/>
      <c r="AD542" s="5303"/>
      <c r="AE542" s="5348"/>
      <c r="AF542" s="5348"/>
      <c r="AG542" s="10778"/>
      <c r="AH542" s="1758"/>
      <c r="AI542" s="1758"/>
      <c r="AJ542" s="1758"/>
      <c r="AK542" s="1758"/>
      <c r="AL542" s="1758"/>
      <c r="AM542" s="1758"/>
      <c r="AN542" s="1758"/>
      <c r="AO542" s="1758"/>
      <c r="AP542" s="1758"/>
      <c r="AQ542" s="1758"/>
      <c r="AR542" s="1758"/>
      <c r="AS542" s="1758"/>
      <c r="AT542" s="1758"/>
      <c r="AU542" s="1758"/>
      <c r="AV542" s="1758"/>
      <c r="AW542" s="1758"/>
      <c r="AX542" s="1758"/>
      <c r="AY542" s="1758"/>
      <c r="AZ542" s="1758"/>
      <c r="BA542" s="1758"/>
      <c r="BB542" s="1758"/>
      <c r="BC542" s="1758"/>
      <c r="BD542" s="1758"/>
      <c r="BE542" s="1758"/>
      <c r="BF542" s="1758"/>
      <c r="BG542" s="1758"/>
      <c r="BH542" s="1758"/>
      <c r="BI542" s="1758"/>
      <c r="BJ542" s="1758"/>
      <c r="BK542" s="1758"/>
      <c r="BL542" s="1758"/>
      <c r="BM542" s="1758"/>
      <c r="BN542" s="1758"/>
      <c r="BO542" s="1758"/>
      <c r="BP542" s="1758"/>
      <c r="BQ542" s="1758"/>
      <c r="BR542" s="1758"/>
      <c r="BS542" s="1758"/>
      <c r="BT542" s="1758"/>
      <c r="BU542" s="1758"/>
      <c r="BV542" s="1758"/>
      <c r="BW542" s="1758"/>
      <c r="BX542" s="1758"/>
      <c r="BY542" s="1758"/>
      <c r="BZ542" s="1758"/>
      <c r="CA542" s="1758"/>
      <c r="CB542" s="1758"/>
      <c r="CC542" s="1758"/>
      <c r="CD542" s="1758"/>
      <c r="CE542" s="1758"/>
      <c r="CF542" s="1758"/>
      <c r="CG542" s="1758"/>
      <c r="CH542" s="1758"/>
      <c r="CI542" s="1758"/>
      <c r="CJ542" s="1758"/>
      <c r="CK542" s="1758"/>
      <c r="CL542" s="1758"/>
      <c r="CM542" s="1758"/>
      <c r="CN542" s="1758"/>
      <c r="CO542" s="1758"/>
      <c r="CP542" s="1758"/>
      <c r="CQ542" s="1758"/>
      <c r="CR542" s="1758"/>
      <c r="CS542" s="1758"/>
      <c r="CT542" s="1758"/>
      <c r="CU542" s="1758"/>
      <c r="CV542" s="1758"/>
      <c r="CW542" s="1758"/>
      <c r="CX542" s="1758"/>
      <c r="CY542" s="1758"/>
      <c r="CZ542" s="1758"/>
      <c r="DA542" s="1758"/>
      <c r="DB542" s="1758"/>
      <c r="DC542" s="1758"/>
    </row>
    <row r="543" spans="1:107" s="1395" customFormat="1" ht="20.25" customHeight="1">
      <c r="A543" s="10827"/>
      <c r="B543" s="10748" t="s">
        <v>183</v>
      </c>
      <c r="C543" s="10742" t="s">
        <v>227</v>
      </c>
      <c r="D543" s="10742" t="s">
        <v>1292</v>
      </c>
      <c r="E543" s="10742" t="s">
        <v>5052</v>
      </c>
      <c r="F543" s="10743" t="s">
        <v>230</v>
      </c>
      <c r="G543" s="10742" t="s">
        <v>231</v>
      </c>
      <c r="H543" s="10742" t="s">
        <v>189</v>
      </c>
      <c r="I543" s="10742" t="s">
        <v>5053</v>
      </c>
      <c r="J543" s="10742" t="s">
        <v>4667</v>
      </c>
      <c r="K543" s="10734" t="s">
        <v>5054</v>
      </c>
      <c r="L543" s="10737">
        <v>0</v>
      </c>
      <c r="M543" s="10737">
        <v>1</v>
      </c>
      <c r="N543" s="10737">
        <v>1</v>
      </c>
      <c r="O543" s="10734" t="s">
        <v>5055</v>
      </c>
      <c r="P543" s="10734" t="s">
        <v>5056</v>
      </c>
      <c r="Q543" s="10740" t="s">
        <v>5110</v>
      </c>
      <c r="R543" s="5173"/>
      <c r="S543" s="5212"/>
      <c r="T543" s="5212"/>
      <c r="U543" s="5249"/>
      <c r="V543" s="5281"/>
      <c r="W543" s="5302"/>
      <c r="X543" s="7477"/>
      <c r="Y543" s="7477"/>
      <c r="Z543" s="7477"/>
      <c r="AA543" s="7478"/>
      <c r="AB543" s="5325"/>
      <c r="AC543" s="1398"/>
      <c r="AD543" s="5302"/>
      <c r="AE543" s="5349"/>
      <c r="AF543" s="5349"/>
      <c r="AG543" s="10779" t="s">
        <v>4843</v>
      </c>
      <c r="AH543" s="1758"/>
      <c r="AI543" s="1758"/>
      <c r="AJ543" s="1758"/>
      <c r="AK543" s="1758"/>
      <c r="AL543" s="1758"/>
      <c r="AM543" s="1758"/>
      <c r="AN543" s="1758"/>
      <c r="AO543" s="1758"/>
      <c r="AP543" s="1758"/>
      <c r="AQ543" s="1758"/>
      <c r="AR543" s="1758"/>
      <c r="AS543" s="1758"/>
      <c r="AT543" s="1758"/>
      <c r="AU543" s="1758"/>
      <c r="AV543" s="1758"/>
      <c r="AW543" s="1758"/>
      <c r="AX543" s="1758"/>
      <c r="AY543" s="1758"/>
      <c r="AZ543" s="1758"/>
      <c r="BA543" s="1758"/>
      <c r="BB543" s="1758"/>
      <c r="BC543" s="1758"/>
      <c r="BD543" s="1758"/>
      <c r="BE543" s="1758"/>
      <c r="BF543" s="1758"/>
      <c r="BG543" s="1758"/>
      <c r="BH543" s="1758"/>
      <c r="BI543" s="1758"/>
      <c r="BJ543" s="1758"/>
      <c r="BK543" s="1758"/>
      <c r="BL543" s="1758"/>
      <c r="BM543" s="1758"/>
      <c r="BN543" s="1758"/>
      <c r="BO543" s="1758"/>
      <c r="BP543" s="1758"/>
      <c r="BQ543" s="1758"/>
      <c r="BR543" s="1758"/>
      <c r="BS543" s="1758"/>
      <c r="BT543" s="1758"/>
      <c r="BU543" s="1758"/>
      <c r="BV543" s="1758"/>
      <c r="BW543" s="1758"/>
      <c r="BX543" s="1758"/>
      <c r="BY543" s="1758"/>
      <c r="BZ543" s="1758"/>
      <c r="CA543" s="1758"/>
      <c r="CB543" s="1758"/>
      <c r="CC543" s="1758"/>
      <c r="CD543" s="1758"/>
      <c r="CE543" s="1758"/>
      <c r="CF543" s="1758"/>
      <c r="CG543" s="1758"/>
      <c r="CH543" s="1758"/>
      <c r="CI543" s="1758"/>
      <c r="CJ543" s="1758"/>
      <c r="CK543" s="1758"/>
      <c r="CL543" s="1758"/>
      <c r="CM543" s="1758"/>
      <c r="CN543" s="1758"/>
      <c r="CO543" s="1758"/>
      <c r="CP543" s="1758"/>
      <c r="CQ543" s="1758"/>
      <c r="CR543" s="1758"/>
      <c r="CS543" s="1758"/>
      <c r="CT543" s="1758"/>
      <c r="CU543" s="1758"/>
      <c r="CV543" s="1758"/>
      <c r="CW543" s="1758"/>
      <c r="CX543" s="1758"/>
      <c r="CY543" s="1758"/>
      <c r="CZ543" s="1758"/>
      <c r="DA543" s="1758"/>
      <c r="DB543" s="1758"/>
      <c r="DC543" s="1758"/>
    </row>
    <row r="544" spans="1:107" s="1395" customFormat="1" ht="20.25" customHeight="1">
      <c r="A544" s="10827"/>
      <c r="B544" s="10731"/>
      <c r="C544" s="10728"/>
      <c r="D544" s="10728"/>
      <c r="E544" s="10728"/>
      <c r="F544" s="10744"/>
      <c r="G544" s="10728"/>
      <c r="H544" s="10728"/>
      <c r="I544" s="10728"/>
      <c r="J544" s="10728"/>
      <c r="K544" s="10735"/>
      <c r="L544" s="10738"/>
      <c r="M544" s="10738"/>
      <c r="N544" s="10738"/>
      <c r="O544" s="10735"/>
      <c r="P544" s="10735"/>
      <c r="Q544" s="10741"/>
      <c r="R544" s="5171"/>
      <c r="S544" s="5213"/>
      <c r="T544" s="5213"/>
      <c r="U544" s="5247"/>
      <c r="V544" s="5279"/>
      <c r="W544" s="5300"/>
      <c r="X544" s="7473"/>
      <c r="Y544" s="7473"/>
      <c r="Z544" s="7473"/>
      <c r="AA544" s="7474"/>
      <c r="AB544" s="5323"/>
      <c r="AC544" s="1396"/>
      <c r="AD544" s="5300"/>
      <c r="AE544" s="5346"/>
      <c r="AF544" s="5346"/>
      <c r="AG544" s="10777"/>
      <c r="AH544" s="1758"/>
      <c r="AI544" s="1758"/>
      <c r="AJ544" s="1758"/>
      <c r="AK544" s="1758"/>
      <c r="AL544" s="1758"/>
      <c r="AM544" s="1758"/>
      <c r="AN544" s="1758"/>
      <c r="AO544" s="1758"/>
      <c r="AP544" s="1758"/>
      <c r="AQ544" s="1758"/>
      <c r="AR544" s="1758"/>
      <c r="AS544" s="1758"/>
      <c r="AT544" s="1758"/>
      <c r="AU544" s="1758"/>
      <c r="AV544" s="1758"/>
      <c r="AW544" s="1758"/>
      <c r="AX544" s="1758"/>
      <c r="AY544" s="1758"/>
      <c r="AZ544" s="1758"/>
      <c r="BA544" s="1758"/>
      <c r="BB544" s="1758"/>
      <c r="BC544" s="1758"/>
      <c r="BD544" s="1758"/>
      <c r="BE544" s="1758"/>
      <c r="BF544" s="1758"/>
      <c r="BG544" s="1758"/>
      <c r="BH544" s="1758"/>
      <c r="BI544" s="1758"/>
      <c r="BJ544" s="1758"/>
      <c r="BK544" s="1758"/>
      <c r="BL544" s="1758"/>
      <c r="BM544" s="1758"/>
      <c r="BN544" s="1758"/>
      <c r="BO544" s="1758"/>
      <c r="BP544" s="1758"/>
      <c r="BQ544" s="1758"/>
      <c r="BR544" s="1758"/>
      <c r="BS544" s="1758"/>
      <c r="BT544" s="1758"/>
      <c r="BU544" s="1758"/>
      <c r="BV544" s="1758"/>
      <c r="BW544" s="1758"/>
      <c r="BX544" s="1758"/>
      <c r="BY544" s="1758"/>
      <c r="BZ544" s="1758"/>
      <c r="CA544" s="1758"/>
      <c r="CB544" s="1758"/>
      <c r="CC544" s="1758"/>
      <c r="CD544" s="1758"/>
      <c r="CE544" s="1758"/>
      <c r="CF544" s="1758"/>
      <c r="CG544" s="1758"/>
      <c r="CH544" s="1758"/>
      <c r="CI544" s="1758"/>
      <c r="CJ544" s="1758"/>
      <c r="CK544" s="1758"/>
      <c r="CL544" s="1758"/>
      <c r="CM544" s="1758"/>
      <c r="CN544" s="1758"/>
      <c r="CO544" s="1758"/>
      <c r="CP544" s="1758"/>
      <c r="CQ544" s="1758"/>
      <c r="CR544" s="1758"/>
      <c r="CS544" s="1758"/>
      <c r="CT544" s="1758"/>
      <c r="CU544" s="1758"/>
      <c r="CV544" s="1758"/>
      <c r="CW544" s="1758"/>
      <c r="CX544" s="1758"/>
      <c r="CY544" s="1758"/>
      <c r="CZ544" s="1758"/>
      <c r="DA544" s="1758"/>
      <c r="DB544" s="1758"/>
      <c r="DC544" s="1758"/>
    </row>
    <row r="545" spans="1:107" s="1395" customFormat="1" ht="20.25" customHeight="1">
      <c r="A545" s="10827"/>
      <c r="B545" s="10731"/>
      <c r="C545" s="10728"/>
      <c r="D545" s="10728"/>
      <c r="E545" s="10728"/>
      <c r="F545" s="10744"/>
      <c r="G545" s="10728"/>
      <c r="H545" s="10728"/>
      <c r="I545" s="10728"/>
      <c r="J545" s="10728"/>
      <c r="K545" s="10735"/>
      <c r="L545" s="10738"/>
      <c r="M545" s="10738"/>
      <c r="N545" s="10738"/>
      <c r="O545" s="10735"/>
      <c r="P545" s="10735"/>
      <c r="Q545" s="10741"/>
      <c r="R545" s="5174"/>
      <c r="S545" s="5214"/>
      <c r="T545" s="5214"/>
      <c r="U545" s="5250"/>
      <c r="V545" s="5281"/>
      <c r="W545" s="5302"/>
      <c r="X545" s="7477"/>
      <c r="Y545" s="7473"/>
      <c r="Z545" s="7473"/>
      <c r="AA545" s="7474"/>
      <c r="AB545" s="5323"/>
      <c r="AC545" s="1396"/>
      <c r="AD545" s="5300"/>
      <c r="AE545" s="5346"/>
      <c r="AF545" s="5346"/>
      <c r="AG545" s="10777"/>
      <c r="AH545" s="1758"/>
      <c r="AI545" s="1758"/>
      <c r="AJ545" s="1758"/>
      <c r="AK545" s="1758"/>
      <c r="AL545" s="1758"/>
      <c r="AM545" s="1758"/>
      <c r="AN545" s="1758"/>
      <c r="AO545" s="1758"/>
      <c r="AP545" s="1758"/>
      <c r="AQ545" s="1758"/>
      <c r="AR545" s="1758"/>
      <c r="AS545" s="1758"/>
      <c r="AT545" s="1758"/>
      <c r="AU545" s="1758"/>
      <c r="AV545" s="1758"/>
      <c r="AW545" s="1758"/>
      <c r="AX545" s="1758"/>
      <c r="AY545" s="1758"/>
      <c r="AZ545" s="1758"/>
      <c r="BA545" s="1758"/>
      <c r="BB545" s="1758"/>
      <c r="BC545" s="1758"/>
      <c r="BD545" s="1758"/>
      <c r="BE545" s="1758"/>
      <c r="BF545" s="1758"/>
      <c r="BG545" s="1758"/>
      <c r="BH545" s="1758"/>
      <c r="BI545" s="1758"/>
      <c r="BJ545" s="1758"/>
      <c r="BK545" s="1758"/>
      <c r="BL545" s="1758"/>
      <c r="BM545" s="1758"/>
      <c r="BN545" s="1758"/>
      <c r="BO545" s="1758"/>
      <c r="BP545" s="1758"/>
      <c r="BQ545" s="1758"/>
      <c r="BR545" s="1758"/>
      <c r="BS545" s="1758"/>
      <c r="BT545" s="1758"/>
      <c r="BU545" s="1758"/>
      <c r="BV545" s="1758"/>
      <c r="BW545" s="1758"/>
      <c r="BX545" s="1758"/>
      <c r="BY545" s="1758"/>
      <c r="BZ545" s="1758"/>
      <c r="CA545" s="1758"/>
      <c r="CB545" s="1758"/>
      <c r="CC545" s="1758"/>
      <c r="CD545" s="1758"/>
      <c r="CE545" s="1758"/>
      <c r="CF545" s="1758"/>
      <c r="CG545" s="1758"/>
      <c r="CH545" s="1758"/>
      <c r="CI545" s="1758"/>
      <c r="CJ545" s="1758"/>
      <c r="CK545" s="1758"/>
      <c r="CL545" s="1758"/>
      <c r="CM545" s="1758"/>
      <c r="CN545" s="1758"/>
      <c r="CO545" s="1758"/>
      <c r="CP545" s="1758"/>
      <c r="CQ545" s="1758"/>
      <c r="CR545" s="1758"/>
      <c r="CS545" s="1758"/>
      <c r="CT545" s="1758"/>
      <c r="CU545" s="1758"/>
      <c r="CV545" s="1758"/>
      <c r="CW545" s="1758"/>
      <c r="CX545" s="1758"/>
      <c r="CY545" s="1758"/>
      <c r="CZ545" s="1758"/>
      <c r="DA545" s="1758"/>
      <c r="DB545" s="1758"/>
      <c r="DC545" s="1758"/>
    </row>
    <row r="546" spans="1:107" s="1395" customFormat="1" ht="20.25" customHeight="1">
      <c r="A546" s="10827"/>
      <c r="B546" s="10731"/>
      <c r="C546" s="10728"/>
      <c r="D546" s="10728"/>
      <c r="E546" s="10728"/>
      <c r="F546" s="10744"/>
      <c r="G546" s="10728"/>
      <c r="H546" s="10728"/>
      <c r="I546" s="10728"/>
      <c r="J546" s="10728"/>
      <c r="K546" s="10735"/>
      <c r="L546" s="10738"/>
      <c r="M546" s="10738"/>
      <c r="N546" s="10738"/>
      <c r="O546" s="10735"/>
      <c r="P546" s="10735"/>
      <c r="Q546" s="10741"/>
      <c r="R546" s="5173"/>
      <c r="S546" s="5212"/>
      <c r="T546" s="5212"/>
      <c r="U546" s="5250"/>
      <c r="V546" s="5281"/>
      <c r="W546" s="5302"/>
      <c r="X546" s="7477"/>
      <c r="Y546" s="7473"/>
      <c r="Z546" s="7473"/>
      <c r="AA546" s="7474"/>
      <c r="AB546" s="5323"/>
      <c r="AC546" s="1396"/>
      <c r="AD546" s="5300"/>
      <c r="AE546" s="5346"/>
      <c r="AF546" s="5346"/>
      <c r="AG546" s="10777"/>
      <c r="AH546" s="1758"/>
      <c r="AI546" s="1758"/>
      <c r="AJ546" s="1758"/>
      <c r="AK546" s="1758"/>
      <c r="AL546" s="1758"/>
      <c r="AM546" s="1758"/>
      <c r="AN546" s="1758"/>
      <c r="AO546" s="1758"/>
      <c r="AP546" s="1758"/>
      <c r="AQ546" s="1758"/>
      <c r="AR546" s="1758"/>
      <c r="AS546" s="1758"/>
      <c r="AT546" s="1758"/>
      <c r="AU546" s="1758"/>
      <c r="AV546" s="1758"/>
      <c r="AW546" s="1758"/>
      <c r="AX546" s="1758"/>
      <c r="AY546" s="1758"/>
      <c r="AZ546" s="1758"/>
      <c r="BA546" s="1758"/>
      <c r="BB546" s="1758"/>
      <c r="BC546" s="1758"/>
      <c r="BD546" s="1758"/>
      <c r="BE546" s="1758"/>
      <c r="BF546" s="1758"/>
      <c r="BG546" s="1758"/>
      <c r="BH546" s="1758"/>
      <c r="BI546" s="1758"/>
      <c r="BJ546" s="1758"/>
      <c r="BK546" s="1758"/>
      <c r="BL546" s="1758"/>
      <c r="BM546" s="1758"/>
      <c r="BN546" s="1758"/>
      <c r="BO546" s="1758"/>
      <c r="BP546" s="1758"/>
      <c r="BQ546" s="1758"/>
      <c r="BR546" s="1758"/>
      <c r="BS546" s="1758"/>
      <c r="BT546" s="1758"/>
      <c r="BU546" s="1758"/>
      <c r="BV546" s="1758"/>
      <c r="BW546" s="1758"/>
      <c r="BX546" s="1758"/>
      <c r="BY546" s="1758"/>
      <c r="BZ546" s="1758"/>
      <c r="CA546" s="1758"/>
      <c r="CB546" s="1758"/>
      <c r="CC546" s="1758"/>
      <c r="CD546" s="1758"/>
      <c r="CE546" s="1758"/>
      <c r="CF546" s="1758"/>
      <c r="CG546" s="1758"/>
      <c r="CH546" s="1758"/>
      <c r="CI546" s="1758"/>
      <c r="CJ546" s="1758"/>
      <c r="CK546" s="1758"/>
      <c r="CL546" s="1758"/>
      <c r="CM546" s="1758"/>
      <c r="CN546" s="1758"/>
      <c r="CO546" s="1758"/>
      <c r="CP546" s="1758"/>
      <c r="CQ546" s="1758"/>
      <c r="CR546" s="1758"/>
      <c r="CS546" s="1758"/>
      <c r="CT546" s="1758"/>
      <c r="CU546" s="1758"/>
      <c r="CV546" s="1758"/>
      <c r="CW546" s="1758"/>
      <c r="CX546" s="1758"/>
      <c r="CY546" s="1758"/>
      <c r="CZ546" s="1758"/>
      <c r="DA546" s="1758"/>
      <c r="DB546" s="1758"/>
      <c r="DC546" s="1758"/>
    </row>
    <row r="547" spans="1:107" s="1395" customFormat="1" ht="20.25" customHeight="1">
      <c r="A547" s="10827"/>
      <c r="B547" s="10732"/>
      <c r="C547" s="10729"/>
      <c r="D547" s="10729"/>
      <c r="E547" s="10729"/>
      <c r="F547" s="10745"/>
      <c r="G547" s="10729"/>
      <c r="H547" s="10729"/>
      <c r="I547" s="10729"/>
      <c r="J547" s="10729"/>
      <c r="K547" s="10736"/>
      <c r="L547" s="10739"/>
      <c r="M547" s="10739"/>
      <c r="N547" s="10739"/>
      <c r="O547" s="10736"/>
      <c r="P547" s="10736"/>
      <c r="Q547" s="10741"/>
      <c r="R547" s="5175"/>
      <c r="S547" s="5215"/>
      <c r="T547" s="5215"/>
      <c r="U547" s="5251"/>
      <c r="V547" s="5282"/>
      <c r="W547" s="5303"/>
      <c r="X547" s="7479"/>
      <c r="Y547" s="7479"/>
      <c r="Z547" s="7479"/>
      <c r="AA547" s="7480"/>
      <c r="AB547" s="5326"/>
      <c r="AC547" s="1399"/>
      <c r="AD547" s="5303"/>
      <c r="AE547" s="5348"/>
      <c r="AF547" s="5348"/>
      <c r="AG547" s="10778"/>
      <c r="AH547" s="1758"/>
      <c r="AI547" s="1758"/>
      <c r="AJ547" s="1758"/>
      <c r="AK547" s="1758"/>
      <c r="AL547" s="1758"/>
      <c r="AM547" s="1758"/>
      <c r="AN547" s="1758"/>
      <c r="AO547" s="1758"/>
      <c r="AP547" s="1758"/>
      <c r="AQ547" s="1758"/>
      <c r="AR547" s="1758"/>
      <c r="AS547" s="1758"/>
      <c r="AT547" s="1758"/>
      <c r="AU547" s="1758"/>
      <c r="AV547" s="1758"/>
      <c r="AW547" s="1758"/>
      <c r="AX547" s="1758"/>
      <c r="AY547" s="1758"/>
      <c r="AZ547" s="1758"/>
      <c r="BA547" s="1758"/>
      <c r="BB547" s="1758"/>
      <c r="BC547" s="1758"/>
      <c r="BD547" s="1758"/>
      <c r="BE547" s="1758"/>
      <c r="BF547" s="1758"/>
      <c r="BG547" s="1758"/>
      <c r="BH547" s="1758"/>
      <c r="BI547" s="1758"/>
      <c r="BJ547" s="1758"/>
      <c r="BK547" s="1758"/>
      <c r="BL547" s="1758"/>
      <c r="BM547" s="1758"/>
      <c r="BN547" s="1758"/>
      <c r="BO547" s="1758"/>
      <c r="BP547" s="1758"/>
      <c r="BQ547" s="1758"/>
      <c r="BR547" s="1758"/>
      <c r="BS547" s="1758"/>
      <c r="BT547" s="1758"/>
      <c r="BU547" s="1758"/>
      <c r="BV547" s="1758"/>
      <c r="BW547" s="1758"/>
      <c r="BX547" s="1758"/>
      <c r="BY547" s="1758"/>
      <c r="BZ547" s="1758"/>
      <c r="CA547" s="1758"/>
      <c r="CB547" s="1758"/>
      <c r="CC547" s="1758"/>
      <c r="CD547" s="1758"/>
      <c r="CE547" s="1758"/>
      <c r="CF547" s="1758"/>
      <c r="CG547" s="1758"/>
      <c r="CH547" s="1758"/>
      <c r="CI547" s="1758"/>
      <c r="CJ547" s="1758"/>
      <c r="CK547" s="1758"/>
      <c r="CL547" s="1758"/>
      <c r="CM547" s="1758"/>
      <c r="CN547" s="1758"/>
      <c r="CO547" s="1758"/>
      <c r="CP547" s="1758"/>
      <c r="CQ547" s="1758"/>
      <c r="CR547" s="1758"/>
      <c r="CS547" s="1758"/>
      <c r="CT547" s="1758"/>
      <c r="CU547" s="1758"/>
      <c r="CV547" s="1758"/>
      <c r="CW547" s="1758"/>
      <c r="CX547" s="1758"/>
      <c r="CY547" s="1758"/>
      <c r="CZ547" s="1758"/>
      <c r="DA547" s="1758"/>
      <c r="DB547" s="1758"/>
      <c r="DC547" s="1758"/>
    </row>
    <row r="548" spans="1:107" s="1395" customFormat="1" ht="24.75" customHeight="1">
      <c r="A548" s="10827"/>
      <c r="B548" s="10748" t="s">
        <v>127</v>
      </c>
      <c r="C548" s="10742" t="s">
        <v>227</v>
      </c>
      <c r="D548" s="10742" t="s">
        <v>228</v>
      </c>
      <c r="E548" s="10742" t="s">
        <v>229</v>
      </c>
      <c r="F548" s="10743" t="s">
        <v>230</v>
      </c>
      <c r="G548" s="10742" t="s">
        <v>171</v>
      </c>
      <c r="H548" s="10742" t="s">
        <v>159</v>
      </c>
      <c r="I548" s="10742" t="s">
        <v>5057</v>
      </c>
      <c r="J548" s="10742" t="s">
        <v>5058</v>
      </c>
      <c r="K548" s="10734" t="s">
        <v>5059</v>
      </c>
      <c r="L548" s="10737">
        <v>0</v>
      </c>
      <c r="M548" s="10737">
        <v>4</v>
      </c>
      <c r="N548" s="10737">
        <v>4</v>
      </c>
      <c r="O548" s="10734" t="s">
        <v>5060</v>
      </c>
      <c r="P548" s="10734" t="s">
        <v>5061</v>
      </c>
      <c r="Q548" s="10740" t="s">
        <v>5110</v>
      </c>
      <c r="R548" s="5173"/>
      <c r="S548" s="5212"/>
      <c r="T548" s="5212"/>
      <c r="U548" s="5249"/>
      <c r="V548" s="5281"/>
      <c r="W548" s="5302"/>
      <c r="X548" s="7477"/>
      <c r="Y548" s="7477"/>
      <c r="Z548" s="7477"/>
      <c r="AA548" s="7478"/>
      <c r="AB548" s="5325"/>
      <c r="AC548" s="1398"/>
      <c r="AD548" s="5302"/>
      <c r="AE548" s="5349"/>
      <c r="AF548" s="5349"/>
      <c r="AG548" s="10779" t="s">
        <v>4843</v>
      </c>
      <c r="AH548" s="1758"/>
      <c r="AI548" s="1758"/>
      <c r="AJ548" s="1758"/>
      <c r="AK548" s="1758"/>
      <c r="AL548" s="1758"/>
      <c r="AM548" s="1758"/>
      <c r="AN548" s="1758"/>
      <c r="AO548" s="1758"/>
      <c r="AP548" s="1758"/>
      <c r="AQ548" s="1758"/>
      <c r="AR548" s="1758"/>
      <c r="AS548" s="1758"/>
      <c r="AT548" s="1758"/>
      <c r="AU548" s="1758"/>
      <c r="AV548" s="1758"/>
      <c r="AW548" s="1758"/>
      <c r="AX548" s="1758"/>
      <c r="AY548" s="1758"/>
      <c r="AZ548" s="1758"/>
      <c r="BA548" s="1758"/>
      <c r="BB548" s="1758"/>
      <c r="BC548" s="1758"/>
      <c r="BD548" s="1758"/>
      <c r="BE548" s="1758"/>
      <c r="BF548" s="1758"/>
      <c r="BG548" s="1758"/>
      <c r="BH548" s="1758"/>
      <c r="BI548" s="1758"/>
      <c r="BJ548" s="1758"/>
      <c r="BK548" s="1758"/>
      <c r="BL548" s="1758"/>
      <c r="BM548" s="1758"/>
      <c r="BN548" s="1758"/>
      <c r="BO548" s="1758"/>
      <c r="BP548" s="1758"/>
      <c r="BQ548" s="1758"/>
      <c r="BR548" s="1758"/>
      <c r="BS548" s="1758"/>
      <c r="BT548" s="1758"/>
      <c r="BU548" s="1758"/>
      <c r="BV548" s="1758"/>
      <c r="BW548" s="1758"/>
      <c r="BX548" s="1758"/>
      <c r="BY548" s="1758"/>
      <c r="BZ548" s="1758"/>
      <c r="CA548" s="1758"/>
      <c r="CB548" s="1758"/>
      <c r="CC548" s="1758"/>
      <c r="CD548" s="1758"/>
      <c r="CE548" s="1758"/>
      <c r="CF548" s="1758"/>
      <c r="CG548" s="1758"/>
      <c r="CH548" s="1758"/>
      <c r="CI548" s="1758"/>
      <c r="CJ548" s="1758"/>
      <c r="CK548" s="1758"/>
      <c r="CL548" s="1758"/>
      <c r="CM548" s="1758"/>
      <c r="CN548" s="1758"/>
      <c r="CO548" s="1758"/>
      <c r="CP548" s="1758"/>
      <c r="CQ548" s="1758"/>
      <c r="CR548" s="1758"/>
      <c r="CS548" s="1758"/>
      <c r="CT548" s="1758"/>
      <c r="CU548" s="1758"/>
      <c r="CV548" s="1758"/>
      <c r="CW548" s="1758"/>
      <c r="CX548" s="1758"/>
      <c r="CY548" s="1758"/>
      <c r="CZ548" s="1758"/>
      <c r="DA548" s="1758"/>
      <c r="DB548" s="1758"/>
      <c r="DC548" s="1758"/>
    </row>
    <row r="549" spans="1:107" s="1395" customFormat="1" ht="24.75" customHeight="1">
      <c r="A549" s="10827"/>
      <c r="B549" s="10731"/>
      <c r="C549" s="10728"/>
      <c r="D549" s="10728"/>
      <c r="E549" s="10728"/>
      <c r="F549" s="10744"/>
      <c r="G549" s="10728"/>
      <c r="H549" s="10728"/>
      <c r="I549" s="10728"/>
      <c r="J549" s="10728"/>
      <c r="K549" s="10735"/>
      <c r="L549" s="10738"/>
      <c r="M549" s="10738"/>
      <c r="N549" s="10738"/>
      <c r="O549" s="10735"/>
      <c r="P549" s="10735"/>
      <c r="Q549" s="10741"/>
      <c r="R549" s="5171"/>
      <c r="S549" s="5213"/>
      <c r="T549" s="5213"/>
      <c r="U549" s="5247"/>
      <c r="V549" s="5279"/>
      <c r="W549" s="5300"/>
      <c r="X549" s="7473"/>
      <c r="Y549" s="7473"/>
      <c r="Z549" s="7473"/>
      <c r="AA549" s="7474"/>
      <c r="AB549" s="5323"/>
      <c r="AC549" s="1396"/>
      <c r="AD549" s="5300"/>
      <c r="AE549" s="5346"/>
      <c r="AF549" s="5346"/>
      <c r="AG549" s="10777"/>
      <c r="AH549" s="1758"/>
      <c r="AI549" s="1758"/>
      <c r="AJ549" s="1758"/>
      <c r="AK549" s="1758"/>
      <c r="AL549" s="1758"/>
      <c r="AM549" s="1758"/>
      <c r="AN549" s="1758"/>
      <c r="AO549" s="1758"/>
      <c r="AP549" s="1758"/>
      <c r="AQ549" s="1758"/>
      <c r="AR549" s="1758"/>
      <c r="AS549" s="1758"/>
      <c r="AT549" s="1758"/>
      <c r="AU549" s="1758"/>
      <c r="AV549" s="1758"/>
      <c r="AW549" s="1758"/>
      <c r="AX549" s="1758"/>
      <c r="AY549" s="1758"/>
      <c r="AZ549" s="1758"/>
      <c r="BA549" s="1758"/>
      <c r="BB549" s="1758"/>
      <c r="BC549" s="1758"/>
      <c r="BD549" s="1758"/>
      <c r="BE549" s="1758"/>
      <c r="BF549" s="1758"/>
      <c r="BG549" s="1758"/>
      <c r="BH549" s="1758"/>
      <c r="BI549" s="1758"/>
      <c r="BJ549" s="1758"/>
      <c r="BK549" s="1758"/>
      <c r="BL549" s="1758"/>
      <c r="BM549" s="1758"/>
      <c r="BN549" s="1758"/>
      <c r="BO549" s="1758"/>
      <c r="BP549" s="1758"/>
      <c r="BQ549" s="1758"/>
      <c r="BR549" s="1758"/>
      <c r="BS549" s="1758"/>
      <c r="BT549" s="1758"/>
      <c r="BU549" s="1758"/>
      <c r="BV549" s="1758"/>
      <c r="BW549" s="1758"/>
      <c r="BX549" s="1758"/>
      <c r="BY549" s="1758"/>
      <c r="BZ549" s="1758"/>
      <c r="CA549" s="1758"/>
      <c r="CB549" s="1758"/>
      <c r="CC549" s="1758"/>
      <c r="CD549" s="1758"/>
      <c r="CE549" s="1758"/>
      <c r="CF549" s="1758"/>
      <c r="CG549" s="1758"/>
      <c r="CH549" s="1758"/>
      <c r="CI549" s="1758"/>
      <c r="CJ549" s="1758"/>
      <c r="CK549" s="1758"/>
      <c r="CL549" s="1758"/>
      <c r="CM549" s="1758"/>
      <c r="CN549" s="1758"/>
      <c r="CO549" s="1758"/>
      <c r="CP549" s="1758"/>
      <c r="CQ549" s="1758"/>
      <c r="CR549" s="1758"/>
      <c r="CS549" s="1758"/>
      <c r="CT549" s="1758"/>
      <c r="CU549" s="1758"/>
      <c r="CV549" s="1758"/>
      <c r="CW549" s="1758"/>
      <c r="CX549" s="1758"/>
      <c r="CY549" s="1758"/>
      <c r="CZ549" s="1758"/>
      <c r="DA549" s="1758"/>
      <c r="DB549" s="1758"/>
      <c r="DC549" s="1758"/>
    </row>
    <row r="550" spans="1:107" s="1395" customFormat="1" ht="24.75" customHeight="1">
      <c r="A550" s="10827"/>
      <c r="B550" s="10731"/>
      <c r="C550" s="10728"/>
      <c r="D550" s="10728"/>
      <c r="E550" s="10728"/>
      <c r="F550" s="10744"/>
      <c r="G550" s="10728"/>
      <c r="H550" s="10728"/>
      <c r="I550" s="10728"/>
      <c r="J550" s="10728"/>
      <c r="K550" s="10735"/>
      <c r="L550" s="10738"/>
      <c r="M550" s="10738"/>
      <c r="N550" s="10738"/>
      <c r="O550" s="10735"/>
      <c r="P550" s="10735"/>
      <c r="Q550" s="10741"/>
      <c r="R550" s="5174"/>
      <c r="S550" s="5214"/>
      <c r="T550" s="5214"/>
      <c r="U550" s="5250"/>
      <c r="V550" s="5281"/>
      <c r="W550" s="5302"/>
      <c r="X550" s="7477"/>
      <c r="Y550" s="7473"/>
      <c r="Z550" s="7473"/>
      <c r="AA550" s="7474"/>
      <c r="AB550" s="5323"/>
      <c r="AC550" s="1396"/>
      <c r="AD550" s="5300"/>
      <c r="AE550" s="5346"/>
      <c r="AF550" s="5346"/>
      <c r="AG550" s="10777"/>
      <c r="AH550" s="1758"/>
      <c r="AI550" s="1758"/>
      <c r="AJ550" s="1758"/>
      <c r="AK550" s="1758"/>
      <c r="AL550" s="1758"/>
      <c r="AM550" s="1758"/>
      <c r="AN550" s="1758"/>
      <c r="AO550" s="1758"/>
      <c r="AP550" s="1758"/>
      <c r="AQ550" s="1758"/>
      <c r="AR550" s="1758"/>
      <c r="AS550" s="1758"/>
      <c r="AT550" s="1758"/>
      <c r="AU550" s="1758"/>
      <c r="AV550" s="1758"/>
      <c r="AW550" s="1758"/>
      <c r="AX550" s="1758"/>
      <c r="AY550" s="1758"/>
      <c r="AZ550" s="1758"/>
      <c r="BA550" s="1758"/>
      <c r="BB550" s="1758"/>
      <c r="BC550" s="1758"/>
      <c r="BD550" s="1758"/>
      <c r="BE550" s="1758"/>
      <c r="BF550" s="1758"/>
      <c r="BG550" s="1758"/>
      <c r="BH550" s="1758"/>
      <c r="BI550" s="1758"/>
      <c r="BJ550" s="1758"/>
      <c r="BK550" s="1758"/>
      <c r="BL550" s="1758"/>
      <c r="BM550" s="1758"/>
      <c r="BN550" s="1758"/>
      <c r="BO550" s="1758"/>
      <c r="BP550" s="1758"/>
      <c r="BQ550" s="1758"/>
      <c r="BR550" s="1758"/>
      <c r="BS550" s="1758"/>
      <c r="BT550" s="1758"/>
      <c r="BU550" s="1758"/>
      <c r="BV550" s="1758"/>
      <c r="BW550" s="1758"/>
      <c r="BX550" s="1758"/>
      <c r="BY550" s="1758"/>
      <c r="BZ550" s="1758"/>
      <c r="CA550" s="1758"/>
      <c r="CB550" s="1758"/>
      <c r="CC550" s="1758"/>
      <c r="CD550" s="1758"/>
      <c r="CE550" s="1758"/>
      <c r="CF550" s="1758"/>
      <c r="CG550" s="1758"/>
      <c r="CH550" s="1758"/>
      <c r="CI550" s="1758"/>
      <c r="CJ550" s="1758"/>
      <c r="CK550" s="1758"/>
      <c r="CL550" s="1758"/>
      <c r="CM550" s="1758"/>
      <c r="CN550" s="1758"/>
      <c r="CO550" s="1758"/>
      <c r="CP550" s="1758"/>
      <c r="CQ550" s="1758"/>
      <c r="CR550" s="1758"/>
      <c r="CS550" s="1758"/>
      <c r="CT550" s="1758"/>
      <c r="CU550" s="1758"/>
      <c r="CV550" s="1758"/>
      <c r="CW550" s="1758"/>
      <c r="CX550" s="1758"/>
      <c r="CY550" s="1758"/>
      <c r="CZ550" s="1758"/>
      <c r="DA550" s="1758"/>
      <c r="DB550" s="1758"/>
      <c r="DC550" s="1758"/>
    </row>
    <row r="551" spans="1:107" s="1395" customFormat="1" ht="24.75" customHeight="1">
      <c r="A551" s="10827"/>
      <c r="B551" s="10731"/>
      <c r="C551" s="10728"/>
      <c r="D551" s="10728"/>
      <c r="E551" s="10728"/>
      <c r="F551" s="10744"/>
      <c r="G551" s="10728"/>
      <c r="H551" s="10728"/>
      <c r="I551" s="10728"/>
      <c r="J551" s="10728"/>
      <c r="K551" s="10735"/>
      <c r="L551" s="10738"/>
      <c r="M551" s="10738"/>
      <c r="N551" s="10738"/>
      <c r="O551" s="10735"/>
      <c r="P551" s="10735"/>
      <c r="Q551" s="10741"/>
      <c r="R551" s="5173"/>
      <c r="S551" s="5212"/>
      <c r="T551" s="5212"/>
      <c r="U551" s="5250"/>
      <c r="V551" s="5281"/>
      <c r="W551" s="5302"/>
      <c r="X551" s="7477"/>
      <c r="Y551" s="7473"/>
      <c r="Z551" s="7473"/>
      <c r="AA551" s="7474"/>
      <c r="AB551" s="5323"/>
      <c r="AC551" s="1396"/>
      <c r="AD551" s="5300"/>
      <c r="AE551" s="5346"/>
      <c r="AF551" s="5346"/>
      <c r="AG551" s="10777"/>
      <c r="AH551" s="1758"/>
      <c r="AI551" s="1758"/>
      <c r="AJ551" s="1758"/>
      <c r="AK551" s="1758"/>
      <c r="AL551" s="1758"/>
      <c r="AM551" s="1758"/>
      <c r="AN551" s="1758"/>
      <c r="AO551" s="1758"/>
      <c r="AP551" s="1758"/>
      <c r="AQ551" s="1758"/>
      <c r="AR551" s="1758"/>
      <c r="AS551" s="1758"/>
      <c r="AT551" s="1758"/>
      <c r="AU551" s="1758"/>
      <c r="AV551" s="1758"/>
      <c r="AW551" s="1758"/>
      <c r="AX551" s="1758"/>
      <c r="AY551" s="1758"/>
      <c r="AZ551" s="1758"/>
      <c r="BA551" s="1758"/>
      <c r="BB551" s="1758"/>
      <c r="BC551" s="1758"/>
      <c r="BD551" s="1758"/>
      <c r="BE551" s="1758"/>
      <c r="BF551" s="1758"/>
      <c r="BG551" s="1758"/>
      <c r="BH551" s="1758"/>
      <c r="BI551" s="1758"/>
      <c r="BJ551" s="1758"/>
      <c r="BK551" s="1758"/>
      <c r="BL551" s="1758"/>
      <c r="BM551" s="1758"/>
      <c r="BN551" s="1758"/>
      <c r="BO551" s="1758"/>
      <c r="BP551" s="1758"/>
      <c r="BQ551" s="1758"/>
      <c r="BR551" s="1758"/>
      <c r="BS551" s="1758"/>
      <c r="BT551" s="1758"/>
      <c r="BU551" s="1758"/>
      <c r="BV551" s="1758"/>
      <c r="BW551" s="1758"/>
      <c r="BX551" s="1758"/>
      <c r="BY551" s="1758"/>
      <c r="BZ551" s="1758"/>
      <c r="CA551" s="1758"/>
      <c r="CB551" s="1758"/>
      <c r="CC551" s="1758"/>
      <c r="CD551" s="1758"/>
      <c r="CE551" s="1758"/>
      <c r="CF551" s="1758"/>
      <c r="CG551" s="1758"/>
      <c r="CH551" s="1758"/>
      <c r="CI551" s="1758"/>
      <c r="CJ551" s="1758"/>
      <c r="CK551" s="1758"/>
      <c r="CL551" s="1758"/>
      <c r="CM551" s="1758"/>
      <c r="CN551" s="1758"/>
      <c r="CO551" s="1758"/>
      <c r="CP551" s="1758"/>
      <c r="CQ551" s="1758"/>
      <c r="CR551" s="1758"/>
      <c r="CS551" s="1758"/>
      <c r="CT551" s="1758"/>
      <c r="CU551" s="1758"/>
      <c r="CV551" s="1758"/>
      <c r="CW551" s="1758"/>
      <c r="CX551" s="1758"/>
      <c r="CY551" s="1758"/>
      <c r="CZ551" s="1758"/>
      <c r="DA551" s="1758"/>
      <c r="DB551" s="1758"/>
      <c r="DC551" s="1758"/>
    </row>
    <row r="552" spans="1:107" s="1395" customFormat="1" ht="24.75" customHeight="1">
      <c r="A552" s="10827"/>
      <c r="B552" s="10732"/>
      <c r="C552" s="10729"/>
      <c r="D552" s="10729"/>
      <c r="E552" s="10729"/>
      <c r="F552" s="10745"/>
      <c r="G552" s="10729"/>
      <c r="H552" s="10729"/>
      <c r="I552" s="10729"/>
      <c r="J552" s="10729"/>
      <c r="K552" s="10736"/>
      <c r="L552" s="10739"/>
      <c r="M552" s="10739"/>
      <c r="N552" s="10739"/>
      <c r="O552" s="10736"/>
      <c r="P552" s="10736"/>
      <c r="Q552" s="10749"/>
      <c r="R552" s="5175"/>
      <c r="S552" s="5215"/>
      <c r="T552" s="5215"/>
      <c r="U552" s="5251"/>
      <c r="V552" s="5282"/>
      <c r="W552" s="5303"/>
      <c r="X552" s="7479"/>
      <c r="Y552" s="7479"/>
      <c r="Z552" s="7479"/>
      <c r="AA552" s="7480"/>
      <c r="AB552" s="5326"/>
      <c r="AC552" s="1399"/>
      <c r="AD552" s="5303"/>
      <c r="AE552" s="5348"/>
      <c r="AF552" s="5348"/>
      <c r="AG552" s="10778"/>
      <c r="AH552" s="1758"/>
      <c r="AI552" s="1758"/>
      <c r="AJ552" s="1758"/>
      <c r="AK552" s="1758"/>
      <c r="AL552" s="1758"/>
      <c r="AM552" s="1758"/>
      <c r="AN552" s="1758"/>
      <c r="AO552" s="1758"/>
      <c r="AP552" s="1758"/>
      <c r="AQ552" s="1758"/>
      <c r="AR552" s="1758"/>
      <c r="AS552" s="1758"/>
      <c r="AT552" s="1758"/>
      <c r="AU552" s="1758"/>
      <c r="AV552" s="1758"/>
      <c r="AW552" s="1758"/>
      <c r="AX552" s="1758"/>
      <c r="AY552" s="1758"/>
      <c r="AZ552" s="1758"/>
      <c r="BA552" s="1758"/>
      <c r="BB552" s="1758"/>
      <c r="BC552" s="1758"/>
      <c r="BD552" s="1758"/>
      <c r="BE552" s="1758"/>
      <c r="BF552" s="1758"/>
      <c r="BG552" s="1758"/>
      <c r="BH552" s="1758"/>
      <c r="BI552" s="1758"/>
      <c r="BJ552" s="1758"/>
      <c r="BK552" s="1758"/>
      <c r="BL552" s="1758"/>
      <c r="BM552" s="1758"/>
      <c r="BN552" s="1758"/>
      <c r="BO552" s="1758"/>
      <c r="BP552" s="1758"/>
      <c r="BQ552" s="1758"/>
      <c r="BR552" s="1758"/>
      <c r="BS552" s="1758"/>
      <c r="BT552" s="1758"/>
      <c r="BU552" s="1758"/>
      <c r="BV552" s="1758"/>
      <c r="BW552" s="1758"/>
      <c r="BX552" s="1758"/>
      <c r="BY552" s="1758"/>
      <c r="BZ552" s="1758"/>
      <c r="CA552" s="1758"/>
      <c r="CB552" s="1758"/>
      <c r="CC552" s="1758"/>
      <c r="CD552" s="1758"/>
      <c r="CE552" s="1758"/>
      <c r="CF552" s="1758"/>
      <c r="CG552" s="1758"/>
      <c r="CH552" s="1758"/>
      <c r="CI552" s="1758"/>
      <c r="CJ552" s="1758"/>
      <c r="CK552" s="1758"/>
      <c r="CL552" s="1758"/>
      <c r="CM552" s="1758"/>
      <c r="CN552" s="1758"/>
      <c r="CO552" s="1758"/>
      <c r="CP552" s="1758"/>
      <c r="CQ552" s="1758"/>
      <c r="CR552" s="1758"/>
      <c r="CS552" s="1758"/>
      <c r="CT552" s="1758"/>
      <c r="CU552" s="1758"/>
      <c r="CV552" s="1758"/>
      <c r="CW552" s="1758"/>
      <c r="CX552" s="1758"/>
      <c r="CY552" s="1758"/>
      <c r="CZ552" s="1758"/>
      <c r="DA552" s="1758"/>
      <c r="DB552" s="1758"/>
      <c r="DC552" s="1758"/>
    </row>
    <row r="553" spans="1:107" s="1395" customFormat="1" ht="21" customHeight="1">
      <c r="A553" s="10827"/>
      <c r="B553" s="10748" t="s">
        <v>183</v>
      </c>
      <c r="C553" s="10742" t="s">
        <v>128</v>
      </c>
      <c r="D553" s="10742" t="s">
        <v>129</v>
      </c>
      <c r="E553" s="10742" t="s">
        <v>205</v>
      </c>
      <c r="F553" s="10743" t="s">
        <v>131</v>
      </c>
      <c r="G553" s="10742" t="s">
        <v>132</v>
      </c>
      <c r="H553" s="10742" t="s">
        <v>159</v>
      </c>
      <c r="I553" s="10742" t="s">
        <v>5062</v>
      </c>
      <c r="J553" s="10742" t="s">
        <v>5063</v>
      </c>
      <c r="K553" s="10734" t="s">
        <v>5064</v>
      </c>
      <c r="L553" s="10737">
        <v>0</v>
      </c>
      <c r="M553" s="10737">
        <v>4</v>
      </c>
      <c r="N553" s="10737">
        <v>4</v>
      </c>
      <c r="O553" s="10734" t="s">
        <v>5065</v>
      </c>
      <c r="P553" s="10734" t="s">
        <v>5066</v>
      </c>
      <c r="Q553" s="10750" t="s">
        <v>5110</v>
      </c>
      <c r="R553" s="5173"/>
      <c r="S553" s="5212"/>
      <c r="T553" s="5212"/>
      <c r="U553" s="5249"/>
      <c r="V553" s="5281"/>
      <c r="W553" s="5302"/>
      <c r="X553" s="7477"/>
      <c r="Y553" s="7477"/>
      <c r="Z553" s="7477"/>
      <c r="AA553" s="7478"/>
      <c r="AB553" s="5325"/>
      <c r="AC553" s="1398"/>
      <c r="AD553" s="5302"/>
      <c r="AE553" s="5349"/>
      <c r="AF553" s="5349"/>
      <c r="AG553" s="10779" t="s">
        <v>4843</v>
      </c>
      <c r="AH553" s="1758"/>
      <c r="AI553" s="1758"/>
      <c r="AJ553" s="1758"/>
      <c r="AK553" s="1758"/>
      <c r="AL553" s="1758"/>
      <c r="AM553" s="1758"/>
      <c r="AN553" s="1758"/>
      <c r="AO553" s="1758"/>
      <c r="AP553" s="1758"/>
      <c r="AQ553" s="1758"/>
      <c r="AR553" s="1758"/>
      <c r="AS553" s="1758"/>
      <c r="AT553" s="1758"/>
      <c r="AU553" s="1758"/>
      <c r="AV553" s="1758"/>
      <c r="AW553" s="1758"/>
      <c r="AX553" s="1758"/>
      <c r="AY553" s="1758"/>
      <c r="AZ553" s="1758"/>
      <c r="BA553" s="1758"/>
      <c r="BB553" s="1758"/>
      <c r="BC553" s="1758"/>
      <c r="BD553" s="1758"/>
      <c r="BE553" s="1758"/>
      <c r="BF553" s="1758"/>
      <c r="BG553" s="1758"/>
      <c r="BH553" s="1758"/>
      <c r="BI553" s="1758"/>
      <c r="BJ553" s="1758"/>
      <c r="BK553" s="1758"/>
      <c r="BL553" s="1758"/>
      <c r="BM553" s="1758"/>
      <c r="BN553" s="1758"/>
      <c r="BO553" s="1758"/>
      <c r="BP553" s="1758"/>
      <c r="BQ553" s="1758"/>
      <c r="BR553" s="1758"/>
      <c r="BS553" s="1758"/>
      <c r="BT553" s="1758"/>
      <c r="BU553" s="1758"/>
      <c r="BV553" s="1758"/>
      <c r="BW553" s="1758"/>
      <c r="BX553" s="1758"/>
      <c r="BY553" s="1758"/>
      <c r="BZ553" s="1758"/>
      <c r="CA553" s="1758"/>
      <c r="CB553" s="1758"/>
      <c r="CC553" s="1758"/>
      <c r="CD553" s="1758"/>
      <c r="CE553" s="1758"/>
      <c r="CF553" s="1758"/>
      <c r="CG553" s="1758"/>
      <c r="CH553" s="1758"/>
      <c r="CI553" s="1758"/>
      <c r="CJ553" s="1758"/>
      <c r="CK553" s="1758"/>
      <c r="CL553" s="1758"/>
      <c r="CM553" s="1758"/>
      <c r="CN553" s="1758"/>
      <c r="CO553" s="1758"/>
      <c r="CP553" s="1758"/>
      <c r="CQ553" s="1758"/>
      <c r="CR553" s="1758"/>
      <c r="CS553" s="1758"/>
      <c r="CT553" s="1758"/>
      <c r="CU553" s="1758"/>
      <c r="CV553" s="1758"/>
      <c r="CW553" s="1758"/>
      <c r="CX553" s="1758"/>
      <c r="CY553" s="1758"/>
      <c r="CZ553" s="1758"/>
      <c r="DA553" s="1758"/>
      <c r="DB553" s="1758"/>
      <c r="DC553" s="1758"/>
    </row>
    <row r="554" spans="1:107" s="1395" customFormat="1" ht="21" customHeight="1">
      <c r="A554" s="10827"/>
      <c r="B554" s="10731"/>
      <c r="C554" s="10728"/>
      <c r="D554" s="10728"/>
      <c r="E554" s="10728"/>
      <c r="F554" s="10744"/>
      <c r="G554" s="10728"/>
      <c r="H554" s="10728"/>
      <c r="I554" s="10728"/>
      <c r="J554" s="10728"/>
      <c r="K554" s="10735"/>
      <c r="L554" s="10738"/>
      <c r="M554" s="10738"/>
      <c r="N554" s="10738"/>
      <c r="O554" s="10735"/>
      <c r="P554" s="10735"/>
      <c r="Q554" s="10750"/>
      <c r="R554" s="5171"/>
      <c r="S554" s="5213"/>
      <c r="T554" s="5213"/>
      <c r="U554" s="5247"/>
      <c r="V554" s="5279"/>
      <c r="W554" s="5300"/>
      <c r="X554" s="7473"/>
      <c r="Y554" s="7473"/>
      <c r="Z554" s="7473"/>
      <c r="AA554" s="7474"/>
      <c r="AB554" s="5323"/>
      <c r="AC554" s="1396"/>
      <c r="AD554" s="5300"/>
      <c r="AE554" s="5346"/>
      <c r="AF554" s="5346"/>
      <c r="AG554" s="10777"/>
      <c r="AH554" s="1758"/>
      <c r="AI554" s="1758"/>
      <c r="AJ554" s="1758"/>
      <c r="AK554" s="1758"/>
      <c r="AL554" s="1758"/>
      <c r="AM554" s="1758"/>
      <c r="AN554" s="1758"/>
      <c r="AO554" s="1758"/>
      <c r="AP554" s="1758"/>
      <c r="AQ554" s="1758"/>
      <c r="AR554" s="1758"/>
      <c r="AS554" s="1758"/>
      <c r="AT554" s="1758"/>
      <c r="AU554" s="1758"/>
      <c r="AV554" s="1758"/>
      <c r="AW554" s="1758"/>
      <c r="AX554" s="1758"/>
      <c r="AY554" s="1758"/>
      <c r="AZ554" s="1758"/>
      <c r="BA554" s="1758"/>
      <c r="BB554" s="1758"/>
      <c r="BC554" s="1758"/>
      <c r="BD554" s="1758"/>
      <c r="BE554" s="1758"/>
      <c r="BF554" s="1758"/>
      <c r="BG554" s="1758"/>
      <c r="BH554" s="1758"/>
      <c r="BI554" s="1758"/>
      <c r="BJ554" s="1758"/>
      <c r="BK554" s="1758"/>
      <c r="BL554" s="1758"/>
      <c r="BM554" s="1758"/>
      <c r="BN554" s="1758"/>
      <c r="BO554" s="1758"/>
      <c r="BP554" s="1758"/>
      <c r="BQ554" s="1758"/>
      <c r="BR554" s="1758"/>
      <c r="BS554" s="1758"/>
      <c r="BT554" s="1758"/>
      <c r="BU554" s="1758"/>
      <c r="BV554" s="1758"/>
      <c r="BW554" s="1758"/>
      <c r="BX554" s="1758"/>
      <c r="BY554" s="1758"/>
      <c r="BZ554" s="1758"/>
      <c r="CA554" s="1758"/>
      <c r="CB554" s="1758"/>
      <c r="CC554" s="1758"/>
      <c r="CD554" s="1758"/>
      <c r="CE554" s="1758"/>
      <c r="CF554" s="1758"/>
      <c r="CG554" s="1758"/>
      <c r="CH554" s="1758"/>
      <c r="CI554" s="1758"/>
      <c r="CJ554" s="1758"/>
      <c r="CK554" s="1758"/>
      <c r="CL554" s="1758"/>
      <c r="CM554" s="1758"/>
      <c r="CN554" s="1758"/>
      <c r="CO554" s="1758"/>
      <c r="CP554" s="1758"/>
      <c r="CQ554" s="1758"/>
      <c r="CR554" s="1758"/>
      <c r="CS554" s="1758"/>
      <c r="CT554" s="1758"/>
      <c r="CU554" s="1758"/>
      <c r="CV554" s="1758"/>
      <c r="CW554" s="1758"/>
      <c r="CX554" s="1758"/>
      <c r="CY554" s="1758"/>
      <c r="CZ554" s="1758"/>
      <c r="DA554" s="1758"/>
      <c r="DB554" s="1758"/>
      <c r="DC554" s="1758"/>
    </row>
    <row r="555" spans="1:107" s="1395" customFormat="1" ht="21" customHeight="1">
      <c r="A555" s="10827"/>
      <c r="B555" s="10731"/>
      <c r="C555" s="10728"/>
      <c r="D555" s="10728"/>
      <c r="E555" s="10728"/>
      <c r="F555" s="10744"/>
      <c r="G555" s="10728"/>
      <c r="H555" s="10728"/>
      <c r="I555" s="10728"/>
      <c r="J555" s="10728"/>
      <c r="K555" s="10735"/>
      <c r="L555" s="10738"/>
      <c r="M555" s="10738"/>
      <c r="N555" s="10738"/>
      <c r="O555" s="10735"/>
      <c r="P555" s="10735"/>
      <c r="Q555" s="10750"/>
      <c r="R555" s="5174"/>
      <c r="S555" s="5214"/>
      <c r="T555" s="5214"/>
      <c r="U555" s="5250"/>
      <c r="V555" s="5281"/>
      <c r="W555" s="5302"/>
      <c r="X555" s="7477"/>
      <c r="Y555" s="7473"/>
      <c r="Z555" s="7473"/>
      <c r="AA555" s="7474"/>
      <c r="AB555" s="5323"/>
      <c r="AC555" s="1396"/>
      <c r="AD555" s="5300"/>
      <c r="AE555" s="5346"/>
      <c r="AF555" s="5346"/>
      <c r="AG555" s="10777"/>
      <c r="AH555" s="1758"/>
      <c r="AI555" s="1758"/>
      <c r="AJ555" s="1758"/>
      <c r="AK555" s="1758"/>
      <c r="AL555" s="1758"/>
      <c r="AM555" s="1758"/>
      <c r="AN555" s="1758"/>
      <c r="AO555" s="1758"/>
      <c r="AP555" s="1758"/>
      <c r="AQ555" s="1758"/>
      <c r="AR555" s="1758"/>
      <c r="AS555" s="1758"/>
      <c r="AT555" s="1758"/>
      <c r="AU555" s="1758"/>
      <c r="AV555" s="1758"/>
      <c r="AW555" s="1758"/>
      <c r="AX555" s="1758"/>
      <c r="AY555" s="1758"/>
      <c r="AZ555" s="1758"/>
      <c r="BA555" s="1758"/>
      <c r="BB555" s="1758"/>
      <c r="BC555" s="1758"/>
      <c r="BD555" s="1758"/>
      <c r="BE555" s="1758"/>
      <c r="BF555" s="1758"/>
      <c r="BG555" s="1758"/>
      <c r="BH555" s="1758"/>
      <c r="BI555" s="1758"/>
      <c r="BJ555" s="1758"/>
      <c r="BK555" s="1758"/>
      <c r="BL555" s="1758"/>
      <c r="BM555" s="1758"/>
      <c r="BN555" s="1758"/>
      <c r="BO555" s="1758"/>
      <c r="BP555" s="1758"/>
      <c r="BQ555" s="1758"/>
      <c r="BR555" s="1758"/>
      <c r="BS555" s="1758"/>
      <c r="BT555" s="1758"/>
      <c r="BU555" s="1758"/>
      <c r="BV555" s="1758"/>
      <c r="BW555" s="1758"/>
      <c r="BX555" s="1758"/>
      <c r="BY555" s="1758"/>
      <c r="BZ555" s="1758"/>
      <c r="CA555" s="1758"/>
      <c r="CB555" s="1758"/>
      <c r="CC555" s="1758"/>
      <c r="CD555" s="1758"/>
      <c r="CE555" s="1758"/>
      <c r="CF555" s="1758"/>
      <c r="CG555" s="1758"/>
      <c r="CH555" s="1758"/>
      <c r="CI555" s="1758"/>
      <c r="CJ555" s="1758"/>
      <c r="CK555" s="1758"/>
      <c r="CL555" s="1758"/>
      <c r="CM555" s="1758"/>
      <c r="CN555" s="1758"/>
      <c r="CO555" s="1758"/>
      <c r="CP555" s="1758"/>
      <c r="CQ555" s="1758"/>
      <c r="CR555" s="1758"/>
      <c r="CS555" s="1758"/>
      <c r="CT555" s="1758"/>
      <c r="CU555" s="1758"/>
      <c r="CV555" s="1758"/>
      <c r="CW555" s="1758"/>
      <c r="CX555" s="1758"/>
      <c r="CY555" s="1758"/>
      <c r="CZ555" s="1758"/>
      <c r="DA555" s="1758"/>
      <c r="DB555" s="1758"/>
      <c r="DC555" s="1758"/>
    </row>
    <row r="556" spans="1:107" s="1395" customFormat="1" ht="21" customHeight="1">
      <c r="A556" s="10827"/>
      <c r="B556" s="10731"/>
      <c r="C556" s="10728"/>
      <c r="D556" s="10728"/>
      <c r="E556" s="10728"/>
      <c r="F556" s="10744"/>
      <c r="G556" s="10728"/>
      <c r="H556" s="10728"/>
      <c r="I556" s="10728"/>
      <c r="J556" s="10728"/>
      <c r="K556" s="10735"/>
      <c r="L556" s="10738"/>
      <c r="M556" s="10738"/>
      <c r="N556" s="10738"/>
      <c r="O556" s="10735"/>
      <c r="P556" s="10735"/>
      <c r="Q556" s="10750"/>
      <c r="R556" s="5173"/>
      <c r="S556" s="5212"/>
      <c r="T556" s="5212"/>
      <c r="U556" s="5250"/>
      <c r="V556" s="5281"/>
      <c r="W556" s="5302"/>
      <c r="X556" s="7477"/>
      <c r="Y556" s="7473"/>
      <c r="Z556" s="7473"/>
      <c r="AA556" s="7474"/>
      <c r="AB556" s="5323"/>
      <c r="AC556" s="1396"/>
      <c r="AD556" s="5300"/>
      <c r="AE556" s="5346"/>
      <c r="AF556" s="5346"/>
      <c r="AG556" s="10777"/>
      <c r="AH556" s="1758"/>
      <c r="AI556" s="1758"/>
      <c r="AJ556" s="1758"/>
      <c r="AK556" s="1758"/>
      <c r="AL556" s="1758"/>
      <c r="AM556" s="1758"/>
      <c r="AN556" s="1758"/>
      <c r="AO556" s="1758"/>
      <c r="AP556" s="1758"/>
      <c r="AQ556" s="1758"/>
      <c r="AR556" s="1758"/>
      <c r="AS556" s="1758"/>
      <c r="AT556" s="1758"/>
      <c r="AU556" s="1758"/>
      <c r="AV556" s="1758"/>
      <c r="AW556" s="1758"/>
      <c r="AX556" s="1758"/>
      <c r="AY556" s="1758"/>
      <c r="AZ556" s="1758"/>
      <c r="BA556" s="1758"/>
      <c r="BB556" s="1758"/>
      <c r="BC556" s="1758"/>
      <c r="BD556" s="1758"/>
      <c r="BE556" s="1758"/>
      <c r="BF556" s="1758"/>
      <c r="BG556" s="1758"/>
      <c r="BH556" s="1758"/>
      <c r="BI556" s="1758"/>
      <c r="BJ556" s="1758"/>
      <c r="BK556" s="1758"/>
      <c r="BL556" s="1758"/>
      <c r="BM556" s="1758"/>
      <c r="BN556" s="1758"/>
      <c r="BO556" s="1758"/>
      <c r="BP556" s="1758"/>
      <c r="BQ556" s="1758"/>
      <c r="BR556" s="1758"/>
      <c r="BS556" s="1758"/>
      <c r="BT556" s="1758"/>
      <c r="BU556" s="1758"/>
      <c r="BV556" s="1758"/>
      <c r="BW556" s="1758"/>
      <c r="BX556" s="1758"/>
      <c r="BY556" s="1758"/>
      <c r="BZ556" s="1758"/>
      <c r="CA556" s="1758"/>
      <c r="CB556" s="1758"/>
      <c r="CC556" s="1758"/>
      <c r="CD556" s="1758"/>
      <c r="CE556" s="1758"/>
      <c r="CF556" s="1758"/>
      <c r="CG556" s="1758"/>
      <c r="CH556" s="1758"/>
      <c r="CI556" s="1758"/>
      <c r="CJ556" s="1758"/>
      <c r="CK556" s="1758"/>
      <c r="CL556" s="1758"/>
      <c r="CM556" s="1758"/>
      <c r="CN556" s="1758"/>
      <c r="CO556" s="1758"/>
      <c r="CP556" s="1758"/>
      <c r="CQ556" s="1758"/>
      <c r="CR556" s="1758"/>
      <c r="CS556" s="1758"/>
      <c r="CT556" s="1758"/>
      <c r="CU556" s="1758"/>
      <c r="CV556" s="1758"/>
      <c r="CW556" s="1758"/>
      <c r="CX556" s="1758"/>
      <c r="CY556" s="1758"/>
      <c r="CZ556" s="1758"/>
      <c r="DA556" s="1758"/>
      <c r="DB556" s="1758"/>
      <c r="DC556" s="1758"/>
    </row>
    <row r="557" spans="1:107" s="1395" customFormat="1" ht="21" customHeight="1">
      <c r="A557" s="10827"/>
      <c r="B557" s="10732"/>
      <c r="C557" s="10729"/>
      <c r="D557" s="10729"/>
      <c r="E557" s="10729"/>
      <c r="F557" s="10745"/>
      <c r="G557" s="10729"/>
      <c r="H557" s="10729"/>
      <c r="I557" s="10729"/>
      <c r="J557" s="10729"/>
      <c r="K557" s="10736"/>
      <c r="L557" s="10739"/>
      <c r="M557" s="10739"/>
      <c r="N557" s="10739"/>
      <c r="O557" s="10736"/>
      <c r="P557" s="10736"/>
      <c r="Q557" s="10751"/>
      <c r="R557" s="5175"/>
      <c r="S557" s="5215"/>
      <c r="T557" s="5215"/>
      <c r="U557" s="5251"/>
      <c r="V557" s="5282"/>
      <c r="W557" s="5303"/>
      <c r="X557" s="7479"/>
      <c r="Y557" s="7479"/>
      <c r="Z557" s="7479"/>
      <c r="AA557" s="7480"/>
      <c r="AB557" s="5326"/>
      <c r="AC557" s="1399"/>
      <c r="AD557" s="5303"/>
      <c r="AE557" s="5348"/>
      <c r="AF557" s="5348"/>
      <c r="AG557" s="10778"/>
      <c r="AH557" s="1758"/>
      <c r="AI557" s="1758"/>
      <c r="AJ557" s="1758"/>
      <c r="AK557" s="1758"/>
      <c r="AL557" s="1758"/>
      <c r="AM557" s="1758"/>
      <c r="AN557" s="1758"/>
      <c r="AO557" s="1758"/>
      <c r="AP557" s="1758"/>
      <c r="AQ557" s="1758"/>
      <c r="AR557" s="1758"/>
      <c r="AS557" s="1758"/>
      <c r="AT557" s="1758"/>
      <c r="AU557" s="1758"/>
      <c r="AV557" s="1758"/>
      <c r="AW557" s="1758"/>
      <c r="AX557" s="1758"/>
      <c r="AY557" s="1758"/>
      <c r="AZ557" s="1758"/>
      <c r="BA557" s="1758"/>
      <c r="BB557" s="1758"/>
      <c r="BC557" s="1758"/>
      <c r="BD557" s="1758"/>
      <c r="BE557" s="1758"/>
      <c r="BF557" s="1758"/>
      <c r="BG557" s="1758"/>
      <c r="BH557" s="1758"/>
      <c r="BI557" s="1758"/>
      <c r="BJ557" s="1758"/>
      <c r="BK557" s="1758"/>
      <c r="BL557" s="1758"/>
      <c r="BM557" s="1758"/>
      <c r="BN557" s="1758"/>
      <c r="BO557" s="1758"/>
      <c r="BP557" s="1758"/>
      <c r="BQ557" s="1758"/>
      <c r="BR557" s="1758"/>
      <c r="BS557" s="1758"/>
      <c r="BT557" s="1758"/>
      <c r="BU557" s="1758"/>
      <c r="BV557" s="1758"/>
      <c r="BW557" s="1758"/>
      <c r="BX557" s="1758"/>
      <c r="BY557" s="1758"/>
      <c r="BZ557" s="1758"/>
      <c r="CA557" s="1758"/>
      <c r="CB557" s="1758"/>
      <c r="CC557" s="1758"/>
      <c r="CD557" s="1758"/>
      <c r="CE557" s="1758"/>
      <c r="CF557" s="1758"/>
      <c r="CG557" s="1758"/>
      <c r="CH557" s="1758"/>
      <c r="CI557" s="1758"/>
      <c r="CJ557" s="1758"/>
      <c r="CK557" s="1758"/>
      <c r="CL557" s="1758"/>
      <c r="CM557" s="1758"/>
      <c r="CN557" s="1758"/>
      <c r="CO557" s="1758"/>
      <c r="CP557" s="1758"/>
      <c r="CQ557" s="1758"/>
      <c r="CR557" s="1758"/>
      <c r="CS557" s="1758"/>
      <c r="CT557" s="1758"/>
      <c r="CU557" s="1758"/>
      <c r="CV557" s="1758"/>
      <c r="CW557" s="1758"/>
      <c r="CX557" s="1758"/>
      <c r="CY557" s="1758"/>
      <c r="CZ557" s="1758"/>
      <c r="DA557" s="1758"/>
      <c r="DB557" s="1758"/>
      <c r="DC557" s="1758"/>
    </row>
    <row r="558" spans="1:107" s="6132" customFormat="1" ht="22.5" customHeight="1">
      <c r="A558" s="6241"/>
      <c r="B558" s="6127"/>
      <c r="C558" s="6127"/>
      <c r="D558" s="6127"/>
      <c r="E558" s="6127"/>
      <c r="F558" s="6127"/>
      <c r="G558" s="6127"/>
      <c r="H558" s="6127"/>
      <c r="I558" s="6127"/>
      <c r="J558" s="6127"/>
      <c r="K558" s="6127"/>
      <c r="L558" s="6128"/>
      <c r="M558" s="6128"/>
      <c r="N558" s="6128"/>
      <c r="O558" s="6127"/>
      <c r="P558" s="6127"/>
      <c r="Q558" s="6129"/>
      <c r="R558" s="5397" t="s">
        <v>5116</v>
      </c>
      <c r="S558" s="5399"/>
      <c r="T558" s="5399"/>
      <c r="U558" s="5398"/>
      <c r="V558" s="7467"/>
      <c r="W558" s="5398"/>
      <c r="X558" s="5399"/>
      <c r="Y558" s="5399"/>
      <c r="Z558" s="5394" t="s">
        <v>292</v>
      </c>
      <c r="AA558" s="7468">
        <f>SUM(AA488:AA557)</f>
        <v>0</v>
      </c>
      <c r="AB558" s="6130"/>
      <c r="AC558" s="6131"/>
      <c r="AD558" s="10774"/>
      <c r="AE558" s="10775"/>
      <c r="AF558" s="10775"/>
      <c r="AG558" s="10776"/>
    </row>
    <row r="559" spans="1:107" s="1395" customFormat="1" ht="26.25" customHeight="1">
      <c r="A559" s="10826" t="s">
        <v>5117</v>
      </c>
      <c r="B559" s="10730" t="s">
        <v>127</v>
      </c>
      <c r="C559" s="10733" t="s">
        <v>128</v>
      </c>
      <c r="D559" s="10733" t="s">
        <v>129</v>
      </c>
      <c r="E559" s="10733" t="s">
        <v>205</v>
      </c>
      <c r="F559" s="10752" t="s">
        <v>131</v>
      </c>
      <c r="G559" s="10733" t="s">
        <v>132</v>
      </c>
      <c r="H559" s="10733" t="s">
        <v>159</v>
      </c>
      <c r="I559" s="10753" t="s">
        <v>4983</v>
      </c>
      <c r="J559" s="10733" t="s">
        <v>4609</v>
      </c>
      <c r="K559" s="10747" t="s">
        <v>4984</v>
      </c>
      <c r="L559" s="10746">
        <v>0</v>
      </c>
      <c r="M559" s="10746">
        <v>1</v>
      </c>
      <c r="N559" s="10746">
        <v>1</v>
      </c>
      <c r="O559" s="10747" t="s">
        <v>4985</v>
      </c>
      <c r="P559" s="10747" t="s">
        <v>4986</v>
      </c>
      <c r="Q559" s="10792" t="s">
        <v>5118</v>
      </c>
      <c r="R559" s="5182"/>
      <c r="S559" s="5222"/>
      <c r="T559" s="5222"/>
      <c r="U559" s="5259"/>
      <c r="V559" s="5289"/>
      <c r="W559" s="5310"/>
      <c r="X559" s="7494"/>
      <c r="Y559" s="7494"/>
      <c r="Z559" s="7494"/>
      <c r="AA559" s="7495"/>
      <c r="AB559" s="5332"/>
      <c r="AC559" s="1405"/>
      <c r="AD559" s="5310"/>
      <c r="AE559" s="5345"/>
      <c r="AF559" s="5345"/>
      <c r="AG559" s="10780"/>
      <c r="AH559" s="1758"/>
      <c r="AI559" s="1758"/>
      <c r="AJ559" s="1758"/>
      <c r="AK559" s="1758"/>
      <c r="AL559" s="1758"/>
      <c r="AM559" s="1758"/>
      <c r="AN559" s="1758"/>
      <c r="AO559" s="1758"/>
      <c r="AP559" s="1758"/>
      <c r="AQ559" s="1758"/>
      <c r="AR559" s="1758"/>
      <c r="AS559" s="1758"/>
      <c r="AT559" s="1758"/>
      <c r="AU559" s="1758"/>
      <c r="AV559" s="1758"/>
      <c r="AW559" s="1758"/>
      <c r="AX559" s="1758"/>
      <c r="AY559" s="1758"/>
      <c r="AZ559" s="1758"/>
      <c r="BA559" s="1758"/>
      <c r="BB559" s="1758"/>
      <c r="BC559" s="1758"/>
      <c r="BD559" s="1758"/>
      <c r="BE559" s="1758"/>
      <c r="BF559" s="1758"/>
      <c r="BG559" s="1758"/>
      <c r="BH559" s="1758"/>
      <c r="BI559" s="1758"/>
      <c r="BJ559" s="1758"/>
      <c r="BK559" s="1758"/>
      <c r="BL559" s="1758"/>
      <c r="BM559" s="1758"/>
      <c r="BN559" s="1758"/>
      <c r="BO559" s="1758"/>
      <c r="BP559" s="1758"/>
      <c r="BQ559" s="1758"/>
      <c r="BR559" s="1758"/>
      <c r="BS559" s="1758"/>
      <c r="BT559" s="1758"/>
      <c r="BU559" s="1758"/>
      <c r="BV559" s="1758"/>
      <c r="BW559" s="1758"/>
      <c r="BX559" s="1758"/>
      <c r="BY559" s="1758"/>
      <c r="BZ559" s="1758"/>
      <c r="CA559" s="1758"/>
      <c r="CB559" s="1758"/>
      <c r="CC559" s="1758"/>
      <c r="CD559" s="1758"/>
      <c r="CE559" s="1758"/>
      <c r="CF559" s="1758"/>
      <c r="CG559" s="1758"/>
      <c r="CH559" s="1758"/>
      <c r="CI559" s="1758"/>
      <c r="CJ559" s="1758"/>
      <c r="CK559" s="1758"/>
      <c r="CL559" s="1758"/>
      <c r="CM559" s="1758"/>
      <c r="CN559" s="1758"/>
      <c r="CO559" s="1758"/>
      <c r="CP559" s="1758"/>
      <c r="CQ559" s="1758"/>
      <c r="CR559" s="1758"/>
      <c r="CS559" s="1758"/>
      <c r="CT559" s="1758"/>
      <c r="CU559" s="1758"/>
      <c r="CV559" s="1758"/>
      <c r="CW559" s="1758"/>
      <c r="CX559" s="1758"/>
      <c r="CY559" s="1758"/>
      <c r="CZ559" s="1758"/>
      <c r="DA559" s="1758"/>
      <c r="DB559" s="1758"/>
      <c r="DC559" s="1758"/>
    </row>
    <row r="560" spans="1:107" s="1395" customFormat="1" ht="26.25" customHeight="1">
      <c r="A560" s="10827"/>
      <c r="B560" s="10731"/>
      <c r="C560" s="10728"/>
      <c r="D560" s="10728"/>
      <c r="E560" s="10728"/>
      <c r="F560" s="10744"/>
      <c r="G560" s="10728"/>
      <c r="H560" s="10728"/>
      <c r="I560" s="10754"/>
      <c r="J560" s="10728"/>
      <c r="K560" s="10735"/>
      <c r="L560" s="10738"/>
      <c r="M560" s="10738"/>
      <c r="N560" s="10738"/>
      <c r="O560" s="10735"/>
      <c r="P560" s="10735"/>
      <c r="Q560" s="10750"/>
      <c r="R560" s="5171"/>
      <c r="S560" s="5213"/>
      <c r="T560" s="5213"/>
      <c r="U560" s="5247"/>
      <c r="V560" s="5279"/>
      <c r="W560" s="5300"/>
      <c r="X560" s="7473"/>
      <c r="Y560" s="7473"/>
      <c r="Z560" s="7473"/>
      <c r="AA560" s="7474"/>
      <c r="AB560" s="5323"/>
      <c r="AC560" s="1396"/>
      <c r="AD560" s="5300"/>
      <c r="AE560" s="5346"/>
      <c r="AF560" s="5346"/>
      <c r="AG560" s="10777"/>
      <c r="AH560" s="1758"/>
      <c r="AI560" s="1758"/>
      <c r="AJ560" s="1758"/>
      <c r="AK560" s="1758"/>
      <c r="AL560" s="1758"/>
      <c r="AM560" s="1758"/>
      <c r="AN560" s="1758"/>
      <c r="AO560" s="1758"/>
      <c r="AP560" s="1758"/>
      <c r="AQ560" s="1758"/>
      <c r="AR560" s="1758"/>
      <c r="AS560" s="1758"/>
      <c r="AT560" s="1758"/>
      <c r="AU560" s="1758"/>
      <c r="AV560" s="1758"/>
      <c r="AW560" s="1758"/>
      <c r="AX560" s="1758"/>
      <c r="AY560" s="1758"/>
      <c r="AZ560" s="1758"/>
      <c r="BA560" s="1758"/>
      <c r="BB560" s="1758"/>
      <c r="BC560" s="1758"/>
      <c r="BD560" s="1758"/>
      <c r="BE560" s="1758"/>
      <c r="BF560" s="1758"/>
      <c r="BG560" s="1758"/>
      <c r="BH560" s="1758"/>
      <c r="BI560" s="1758"/>
      <c r="BJ560" s="1758"/>
      <c r="BK560" s="1758"/>
      <c r="BL560" s="1758"/>
      <c r="BM560" s="1758"/>
      <c r="BN560" s="1758"/>
      <c r="BO560" s="1758"/>
      <c r="BP560" s="1758"/>
      <c r="BQ560" s="1758"/>
      <c r="BR560" s="1758"/>
      <c r="BS560" s="1758"/>
      <c r="BT560" s="1758"/>
      <c r="BU560" s="1758"/>
      <c r="BV560" s="1758"/>
      <c r="BW560" s="1758"/>
      <c r="BX560" s="1758"/>
      <c r="BY560" s="1758"/>
      <c r="BZ560" s="1758"/>
      <c r="CA560" s="1758"/>
      <c r="CB560" s="1758"/>
      <c r="CC560" s="1758"/>
      <c r="CD560" s="1758"/>
      <c r="CE560" s="1758"/>
      <c r="CF560" s="1758"/>
      <c r="CG560" s="1758"/>
      <c r="CH560" s="1758"/>
      <c r="CI560" s="1758"/>
      <c r="CJ560" s="1758"/>
      <c r="CK560" s="1758"/>
      <c r="CL560" s="1758"/>
      <c r="CM560" s="1758"/>
      <c r="CN560" s="1758"/>
      <c r="CO560" s="1758"/>
      <c r="CP560" s="1758"/>
      <c r="CQ560" s="1758"/>
      <c r="CR560" s="1758"/>
      <c r="CS560" s="1758"/>
      <c r="CT560" s="1758"/>
      <c r="CU560" s="1758"/>
      <c r="CV560" s="1758"/>
      <c r="CW560" s="1758"/>
      <c r="CX560" s="1758"/>
      <c r="CY560" s="1758"/>
      <c r="CZ560" s="1758"/>
      <c r="DA560" s="1758"/>
      <c r="DB560" s="1758"/>
      <c r="DC560" s="1758"/>
    </row>
    <row r="561" spans="1:107" s="1395" customFormat="1" ht="26.25" customHeight="1">
      <c r="A561" s="10827"/>
      <c r="B561" s="10731"/>
      <c r="C561" s="10728"/>
      <c r="D561" s="10728"/>
      <c r="E561" s="10728"/>
      <c r="F561" s="10744"/>
      <c r="G561" s="10728"/>
      <c r="H561" s="10728"/>
      <c r="I561" s="10754"/>
      <c r="J561" s="10728"/>
      <c r="K561" s="10735"/>
      <c r="L561" s="10738"/>
      <c r="M561" s="10738"/>
      <c r="N561" s="10738"/>
      <c r="O561" s="10735"/>
      <c r="P561" s="10735"/>
      <c r="Q561" s="10750"/>
      <c r="R561" s="5174"/>
      <c r="S561" s="5214"/>
      <c r="T561" s="5214"/>
      <c r="U561" s="5250"/>
      <c r="V561" s="5281"/>
      <c r="W561" s="5302"/>
      <c r="X561" s="7477"/>
      <c r="Y561" s="7473"/>
      <c r="Z561" s="7473"/>
      <c r="AA561" s="7474"/>
      <c r="AB561" s="5323"/>
      <c r="AC561" s="1396"/>
      <c r="AD561" s="5300"/>
      <c r="AE561" s="5346"/>
      <c r="AF561" s="5346"/>
      <c r="AG561" s="10777"/>
      <c r="AH561" s="1758"/>
      <c r="AI561" s="1758"/>
      <c r="AJ561" s="1758"/>
      <c r="AK561" s="1758"/>
      <c r="AL561" s="1758"/>
      <c r="AM561" s="1758"/>
      <c r="AN561" s="1758"/>
      <c r="AO561" s="1758"/>
      <c r="AP561" s="1758"/>
      <c r="AQ561" s="1758"/>
      <c r="AR561" s="1758"/>
      <c r="AS561" s="1758"/>
      <c r="AT561" s="1758"/>
      <c r="AU561" s="1758"/>
      <c r="AV561" s="1758"/>
      <c r="AW561" s="1758"/>
      <c r="AX561" s="1758"/>
      <c r="AY561" s="1758"/>
      <c r="AZ561" s="1758"/>
      <c r="BA561" s="1758"/>
      <c r="BB561" s="1758"/>
      <c r="BC561" s="1758"/>
      <c r="BD561" s="1758"/>
      <c r="BE561" s="1758"/>
      <c r="BF561" s="1758"/>
      <c r="BG561" s="1758"/>
      <c r="BH561" s="1758"/>
      <c r="BI561" s="1758"/>
      <c r="BJ561" s="1758"/>
      <c r="BK561" s="1758"/>
      <c r="BL561" s="1758"/>
      <c r="BM561" s="1758"/>
      <c r="BN561" s="1758"/>
      <c r="BO561" s="1758"/>
      <c r="BP561" s="1758"/>
      <c r="BQ561" s="1758"/>
      <c r="BR561" s="1758"/>
      <c r="BS561" s="1758"/>
      <c r="BT561" s="1758"/>
      <c r="BU561" s="1758"/>
      <c r="BV561" s="1758"/>
      <c r="BW561" s="1758"/>
      <c r="BX561" s="1758"/>
      <c r="BY561" s="1758"/>
      <c r="BZ561" s="1758"/>
      <c r="CA561" s="1758"/>
      <c r="CB561" s="1758"/>
      <c r="CC561" s="1758"/>
      <c r="CD561" s="1758"/>
      <c r="CE561" s="1758"/>
      <c r="CF561" s="1758"/>
      <c r="CG561" s="1758"/>
      <c r="CH561" s="1758"/>
      <c r="CI561" s="1758"/>
      <c r="CJ561" s="1758"/>
      <c r="CK561" s="1758"/>
      <c r="CL561" s="1758"/>
      <c r="CM561" s="1758"/>
      <c r="CN561" s="1758"/>
      <c r="CO561" s="1758"/>
      <c r="CP561" s="1758"/>
      <c r="CQ561" s="1758"/>
      <c r="CR561" s="1758"/>
      <c r="CS561" s="1758"/>
      <c r="CT561" s="1758"/>
      <c r="CU561" s="1758"/>
      <c r="CV561" s="1758"/>
      <c r="CW561" s="1758"/>
      <c r="CX561" s="1758"/>
      <c r="CY561" s="1758"/>
      <c r="CZ561" s="1758"/>
      <c r="DA561" s="1758"/>
      <c r="DB561" s="1758"/>
      <c r="DC561" s="1758"/>
    </row>
    <row r="562" spans="1:107" s="1395" customFormat="1" ht="26.25" customHeight="1">
      <c r="A562" s="10827"/>
      <c r="B562" s="10731"/>
      <c r="C562" s="10728"/>
      <c r="D562" s="10728"/>
      <c r="E562" s="10728"/>
      <c r="F562" s="10744"/>
      <c r="G562" s="10728"/>
      <c r="H562" s="10728"/>
      <c r="I562" s="10754"/>
      <c r="J562" s="10728"/>
      <c r="K562" s="10735"/>
      <c r="L562" s="10738"/>
      <c r="M562" s="10738"/>
      <c r="N562" s="10738"/>
      <c r="O562" s="10735"/>
      <c r="P562" s="10735"/>
      <c r="Q562" s="10750"/>
      <c r="R562" s="5173"/>
      <c r="S562" s="5212"/>
      <c r="T562" s="5212"/>
      <c r="U562" s="5250"/>
      <c r="V562" s="5281"/>
      <c r="W562" s="5302"/>
      <c r="X562" s="7477"/>
      <c r="Y562" s="7473"/>
      <c r="Z562" s="7473"/>
      <c r="AA562" s="7474"/>
      <c r="AB562" s="5323"/>
      <c r="AC562" s="1396"/>
      <c r="AD562" s="5300"/>
      <c r="AE562" s="5346"/>
      <c r="AF562" s="5346"/>
      <c r="AG562" s="10777"/>
      <c r="AH562" s="1758"/>
      <c r="AI562" s="1758"/>
      <c r="AJ562" s="1758"/>
      <c r="AK562" s="1758"/>
      <c r="AL562" s="1758"/>
      <c r="AM562" s="1758"/>
      <c r="AN562" s="1758"/>
      <c r="AO562" s="1758"/>
      <c r="AP562" s="1758"/>
      <c r="AQ562" s="1758"/>
      <c r="AR562" s="1758"/>
      <c r="AS562" s="1758"/>
      <c r="AT562" s="1758"/>
      <c r="AU562" s="1758"/>
      <c r="AV562" s="1758"/>
      <c r="AW562" s="1758"/>
      <c r="AX562" s="1758"/>
      <c r="AY562" s="1758"/>
      <c r="AZ562" s="1758"/>
      <c r="BA562" s="1758"/>
      <c r="BB562" s="1758"/>
      <c r="BC562" s="1758"/>
      <c r="BD562" s="1758"/>
      <c r="BE562" s="1758"/>
      <c r="BF562" s="1758"/>
      <c r="BG562" s="1758"/>
      <c r="BH562" s="1758"/>
      <c r="BI562" s="1758"/>
      <c r="BJ562" s="1758"/>
      <c r="BK562" s="1758"/>
      <c r="BL562" s="1758"/>
      <c r="BM562" s="1758"/>
      <c r="BN562" s="1758"/>
      <c r="BO562" s="1758"/>
      <c r="BP562" s="1758"/>
      <c r="BQ562" s="1758"/>
      <c r="BR562" s="1758"/>
      <c r="BS562" s="1758"/>
      <c r="BT562" s="1758"/>
      <c r="BU562" s="1758"/>
      <c r="BV562" s="1758"/>
      <c r="BW562" s="1758"/>
      <c r="BX562" s="1758"/>
      <c r="BY562" s="1758"/>
      <c r="BZ562" s="1758"/>
      <c r="CA562" s="1758"/>
      <c r="CB562" s="1758"/>
      <c r="CC562" s="1758"/>
      <c r="CD562" s="1758"/>
      <c r="CE562" s="1758"/>
      <c r="CF562" s="1758"/>
      <c r="CG562" s="1758"/>
      <c r="CH562" s="1758"/>
      <c r="CI562" s="1758"/>
      <c r="CJ562" s="1758"/>
      <c r="CK562" s="1758"/>
      <c r="CL562" s="1758"/>
      <c r="CM562" s="1758"/>
      <c r="CN562" s="1758"/>
      <c r="CO562" s="1758"/>
      <c r="CP562" s="1758"/>
      <c r="CQ562" s="1758"/>
      <c r="CR562" s="1758"/>
      <c r="CS562" s="1758"/>
      <c r="CT562" s="1758"/>
      <c r="CU562" s="1758"/>
      <c r="CV562" s="1758"/>
      <c r="CW562" s="1758"/>
      <c r="CX562" s="1758"/>
      <c r="CY562" s="1758"/>
      <c r="CZ562" s="1758"/>
      <c r="DA562" s="1758"/>
      <c r="DB562" s="1758"/>
      <c r="DC562" s="1758"/>
    </row>
    <row r="563" spans="1:107" s="1395" customFormat="1" ht="26.25" customHeight="1">
      <c r="A563" s="10827"/>
      <c r="B563" s="10732"/>
      <c r="C563" s="10729"/>
      <c r="D563" s="10729"/>
      <c r="E563" s="10729"/>
      <c r="F563" s="10745"/>
      <c r="G563" s="10729"/>
      <c r="H563" s="10729"/>
      <c r="I563" s="10755"/>
      <c r="J563" s="10729"/>
      <c r="K563" s="10736"/>
      <c r="L563" s="10739"/>
      <c r="M563" s="10739"/>
      <c r="N563" s="10739"/>
      <c r="O563" s="10736"/>
      <c r="P563" s="10736"/>
      <c r="Q563" s="10750"/>
      <c r="R563" s="5175"/>
      <c r="S563" s="5215"/>
      <c r="T563" s="5215"/>
      <c r="U563" s="5251"/>
      <c r="V563" s="5282"/>
      <c r="W563" s="5303"/>
      <c r="X563" s="7479"/>
      <c r="Y563" s="7479"/>
      <c r="Z563" s="7479"/>
      <c r="AA563" s="7480"/>
      <c r="AB563" s="5326"/>
      <c r="AC563" s="1399"/>
      <c r="AD563" s="5303"/>
      <c r="AE563" s="5348"/>
      <c r="AF563" s="5348"/>
      <c r="AG563" s="10778"/>
      <c r="AH563" s="1758"/>
      <c r="AI563" s="1758"/>
      <c r="AJ563" s="1758"/>
      <c r="AK563" s="1758"/>
      <c r="AL563" s="1758"/>
      <c r="AM563" s="1758"/>
      <c r="AN563" s="1758"/>
      <c r="AO563" s="1758"/>
      <c r="AP563" s="1758"/>
      <c r="AQ563" s="1758"/>
      <c r="AR563" s="1758"/>
      <c r="AS563" s="1758"/>
      <c r="AT563" s="1758"/>
      <c r="AU563" s="1758"/>
      <c r="AV563" s="1758"/>
      <c r="AW563" s="1758"/>
      <c r="AX563" s="1758"/>
      <c r="AY563" s="1758"/>
      <c r="AZ563" s="1758"/>
      <c r="BA563" s="1758"/>
      <c r="BB563" s="1758"/>
      <c r="BC563" s="1758"/>
      <c r="BD563" s="1758"/>
      <c r="BE563" s="1758"/>
      <c r="BF563" s="1758"/>
      <c r="BG563" s="1758"/>
      <c r="BH563" s="1758"/>
      <c r="BI563" s="1758"/>
      <c r="BJ563" s="1758"/>
      <c r="BK563" s="1758"/>
      <c r="BL563" s="1758"/>
      <c r="BM563" s="1758"/>
      <c r="BN563" s="1758"/>
      <c r="BO563" s="1758"/>
      <c r="BP563" s="1758"/>
      <c r="BQ563" s="1758"/>
      <c r="BR563" s="1758"/>
      <c r="BS563" s="1758"/>
      <c r="BT563" s="1758"/>
      <c r="BU563" s="1758"/>
      <c r="BV563" s="1758"/>
      <c r="BW563" s="1758"/>
      <c r="BX563" s="1758"/>
      <c r="BY563" s="1758"/>
      <c r="BZ563" s="1758"/>
      <c r="CA563" s="1758"/>
      <c r="CB563" s="1758"/>
      <c r="CC563" s="1758"/>
      <c r="CD563" s="1758"/>
      <c r="CE563" s="1758"/>
      <c r="CF563" s="1758"/>
      <c r="CG563" s="1758"/>
      <c r="CH563" s="1758"/>
      <c r="CI563" s="1758"/>
      <c r="CJ563" s="1758"/>
      <c r="CK563" s="1758"/>
      <c r="CL563" s="1758"/>
      <c r="CM563" s="1758"/>
      <c r="CN563" s="1758"/>
      <c r="CO563" s="1758"/>
      <c r="CP563" s="1758"/>
      <c r="CQ563" s="1758"/>
      <c r="CR563" s="1758"/>
      <c r="CS563" s="1758"/>
      <c r="CT563" s="1758"/>
      <c r="CU563" s="1758"/>
      <c r="CV563" s="1758"/>
      <c r="CW563" s="1758"/>
      <c r="CX563" s="1758"/>
      <c r="CY563" s="1758"/>
      <c r="CZ563" s="1758"/>
      <c r="DA563" s="1758"/>
      <c r="DB563" s="1758"/>
      <c r="DC563" s="1758"/>
    </row>
    <row r="564" spans="1:107" s="1395" customFormat="1" ht="27" customHeight="1">
      <c r="A564" s="10827"/>
      <c r="B564" s="10731" t="s">
        <v>127</v>
      </c>
      <c r="C564" s="10728" t="s">
        <v>128</v>
      </c>
      <c r="D564" s="10728" t="s">
        <v>129</v>
      </c>
      <c r="E564" s="10728" t="s">
        <v>205</v>
      </c>
      <c r="F564" s="10744" t="s">
        <v>131</v>
      </c>
      <c r="G564" s="10728" t="s">
        <v>132</v>
      </c>
      <c r="H564" s="10728" t="s">
        <v>159</v>
      </c>
      <c r="I564" s="10728" t="s">
        <v>4988</v>
      </c>
      <c r="J564" s="10742" t="s">
        <v>4615</v>
      </c>
      <c r="K564" s="10735" t="s">
        <v>4989</v>
      </c>
      <c r="L564" s="10738">
        <v>0</v>
      </c>
      <c r="M564" s="10738">
        <v>4</v>
      </c>
      <c r="N564" s="10738">
        <v>4</v>
      </c>
      <c r="O564" s="10735" t="s">
        <v>5070</v>
      </c>
      <c r="P564" s="10735" t="s">
        <v>4991</v>
      </c>
      <c r="Q564" s="10740" t="s">
        <v>5119</v>
      </c>
      <c r="R564" s="5173"/>
      <c r="S564" s="5212"/>
      <c r="T564" s="5212"/>
      <c r="U564" s="5249"/>
      <c r="V564" s="5281"/>
      <c r="W564" s="5302"/>
      <c r="X564" s="7477"/>
      <c r="Y564" s="7477"/>
      <c r="Z564" s="7477"/>
      <c r="AA564" s="7478"/>
      <c r="AB564" s="5325"/>
      <c r="AC564" s="1398"/>
      <c r="AD564" s="5302"/>
      <c r="AE564" s="5349"/>
      <c r="AF564" s="5349"/>
      <c r="AG564" s="10777" t="s">
        <v>4993</v>
      </c>
      <c r="AH564" s="1758"/>
      <c r="AI564" s="1758"/>
      <c r="AJ564" s="1758"/>
      <c r="AK564" s="1758"/>
      <c r="AL564" s="1758"/>
      <c r="AM564" s="1758"/>
      <c r="AN564" s="1758"/>
      <c r="AO564" s="1758"/>
      <c r="AP564" s="1758"/>
      <c r="AQ564" s="1758"/>
      <c r="AR564" s="1758"/>
      <c r="AS564" s="1758"/>
      <c r="AT564" s="1758"/>
      <c r="AU564" s="1758"/>
      <c r="AV564" s="1758"/>
      <c r="AW564" s="1758"/>
      <c r="AX564" s="1758"/>
      <c r="AY564" s="1758"/>
      <c r="AZ564" s="1758"/>
      <c r="BA564" s="1758"/>
      <c r="BB564" s="1758"/>
      <c r="BC564" s="1758"/>
      <c r="BD564" s="1758"/>
      <c r="BE564" s="1758"/>
      <c r="BF564" s="1758"/>
      <c r="BG564" s="1758"/>
      <c r="BH564" s="1758"/>
      <c r="BI564" s="1758"/>
      <c r="BJ564" s="1758"/>
      <c r="BK564" s="1758"/>
      <c r="BL564" s="1758"/>
      <c r="BM564" s="1758"/>
      <c r="BN564" s="1758"/>
      <c r="BO564" s="1758"/>
      <c r="BP564" s="1758"/>
      <c r="BQ564" s="1758"/>
      <c r="BR564" s="1758"/>
      <c r="BS564" s="1758"/>
      <c r="BT564" s="1758"/>
      <c r="BU564" s="1758"/>
      <c r="BV564" s="1758"/>
      <c r="BW564" s="1758"/>
      <c r="BX564" s="1758"/>
      <c r="BY564" s="1758"/>
      <c r="BZ564" s="1758"/>
      <c r="CA564" s="1758"/>
      <c r="CB564" s="1758"/>
      <c r="CC564" s="1758"/>
      <c r="CD564" s="1758"/>
      <c r="CE564" s="1758"/>
      <c r="CF564" s="1758"/>
      <c r="CG564" s="1758"/>
      <c r="CH564" s="1758"/>
      <c r="CI564" s="1758"/>
      <c r="CJ564" s="1758"/>
      <c r="CK564" s="1758"/>
      <c r="CL564" s="1758"/>
      <c r="CM564" s="1758"/>
      <c r="CN564" s="1758"/>
      <c r="CO564" s="1758"/>
      <c r="CP564" s="1758"/>
      <c r="CQ564" s="1758"/>
      <c r="CR564" s="1758"/>
      <c r="CS564" s="1758"/>
      <c r="CT564" s="1758"/>
      <c r="CU564" s="1758"/>
      <c r="CV564" s="1758"/>
      <c r="CW564" s="1758"/>
      <c r="CX564" s="1758"/>
      <c r="CY564" s="1758"/>
      <c r="CZ564" s="1758"/>
      <c r="DA564" s="1758"/>
      <c r="DB564" s="1758"/>
      <c r="DC564" s="1758"/>
    </row>
    <row r="565" spans="1:107" s="1395" customFormat="1" ht="27" customHeight="1">
      <c r="A565" s="10827"/>
      <c r="B565" s="10731"/>
      <c r="C565" s="10728"/>
      <c r="D565" s="10728"/>
      <c r="E565" s="10728"/>
      <c r="F565" s="10744"/>
      <c r="G565" s="10728"/>
      <c r="H565" s="10728"/>
      <c r="I565" s="10728"/>
      <c r="J565" s="10728"/>
      <c r="K565" s="10735"/>
      <c r="L565" s="10738"/>
      <c r="M565" s="10738"/>
      <c r="N565" s="10738"/>
      <c r="O565" s="10735"/>
      <c r="P565" s="10735"/>
      <c r="Q565" s="10741"/>
      <c r="R565" s="5171"/>
      <c r="S565" s="5213"/>
      <c r="T565" s="5213"/>
      <c r="U565" s="5247"/>
      <c r="V565" s="5279"/>
      <c r="W565" s="5300"/>
      <c r="X565" s="7473"/>
      <c r="Y565" s="7473"/>
      <c r="Z565" s="7473"/>
      <c r="AA565" s="7474"/>
      <c r="AB565" s="5323"/>
      <c r="AC565" s="1396"/>
      <c r="AD565" s="5300"/>
      <c r="AE565" s="5346"/>
      <c r="AF565" s="5346"/>
      <c r="AG565" s="10777"/>
      <c r="AH565" s="1758"/>
      <c r="AI565" s="1758"/>
      <c r="AJ565" s="1758"/>
      <c r="AK565" s="1758"/>
      <c r="AL565" s="1758"/>
      <c r="AM565" s="1758"/>
      <c r="AN565" s="1758"/>
      <c r="AO565" s="1758"/>
      <c r="AP565" s="1758"/>
      <c r="AQ565" s="1758"/>
      <c r="AR565" s="1758"/>
      <c r="AS565" s="1758"/>
      <c r="AT565" s="1758"/>
      <c r="AU565" s="1758"/>
      <c r="AV565" s="1758"/>
      <c r="AW565" s="1758"/>
      <c r="AX565" s="1758"/>
      <c r="AY565" s="1758"/>
      <c r="AZ565" s="1758"/>
      <c r="BA565" s="1758"/>
      <c r="BB565" s="1758"/>
      <c r="BC565" s="1758"/>
      <c r="BD565" s="1758"/>
      <c r="BE565" s="1758"/>
      <c r="BF565" s="1758"/>
      <c r="BG565" s="1758"/>
      <c r="BH565" s="1758"/>
      <c r="BI565" s="1758"/>
      <c r="BJ565" s="1758"/>
      <c r="BK565" s="1758"/>
      <c r="BL565" s="1758"/>
      <c r="BM565" s="1758"/>
      <c r="BN565" s="1758"/>
      <c r="BO565" s="1758"/>
      <c r="BP565" s="1758"/>
      <c r="BQ565" s="1758"/>
      <c r="BR565" s="1758"/>
      <c r="BS565" s="1758"/>
      <c r="BT565" s="1758"/>
      <c r="BU565" s="1758"/>
      <c r="BV565" s="1758"/>
      <c r="BW565" s="1758"/>
      <c r="BX565" s="1758"/>
      <c r="BY565" s="1758"/>
      <c r="BZ565" s="1758"/>
      <c r="CA565" s="1758"/>
      <c r="CB565" s="1758"/>
      <c r="CC565" s="1758"/>
      <c r="CD565" s="1758"/>
      <c r="CE565" s="1758"/>
      <c r="CF565" s="1758"/>
      <c r="CG565" s="1758"/>
      <c r="CH565" s="1758"/>
      <c r="CI565" s="1758"/>
      <c r="CJ565" s="1758"/>
      <c r="CK565" s="1758"/>
      <c r="CL565" s="1758"/>
      <c r="CM565" s="1758"/>
      <c r="CN565" s="1758"/>
      <c r="CO565" s="1758"/>
      <c r="CP565" s="1758"/>
      <c r="CQ565" s="1758"/>
      <c r="CR565" s="1758"/>
      <c r="CS565" s="1758"/>
      <c r="CT565" s="1758"/>
      <c r="CU565" s="1758"/>
      <c r="CV565" s="1758"/>
      <c r="CW565" s="1758"/>
      <c r="CX565" s="1758"/>
      <c r="CY565" s="1758"/>
      <c r="CZ565" s="1758"/>
      <c r="DA565" s="1758"/>
      <c r="DB565" s="1758"/>
      <c r="DC565" s="1758"/>
    </row>
    <row r="566" spans="1:107" s="1395" customFormat="1" ht="27" customHeight="1">
      <c r="A566" s="10827"/>
      <c r="B566" s="10731"/>
      <c r="C566" s="10728"/>
      <c r="D566" s="10728"/>
      <c r="E566" s="10728"/>
      <c r="F566" s="10744"/>
      <c r="G566" s="10728"/>
      <c r="H566" s="10728"/>
      <c r="I566" s="10728"/>
      <c r="J566" s="10728"/>
      <c r="K566" s="10735"/>
      <c r="L566" s="10738"/>
      <c r="M566" s="10738"/>
      <c r="N566" s="10738"/>
      <c r="O566" s="10735"/>
      <c r="P566" s="10735"/>
      <c r="Q566" s="10741"/>
      <c r="R566" s="5174"/>
      <c r="S566" s="5214"/>
      <c r="T566" s="5214"/>
      <c r="U566" s="5250"/>
      <c r="V566" s="5281"/>
      <c r="W566" s="5302"/>
      <c r="X566" s="7477"/>
      <c r="Y566" s="7473"/>
      <c r="Z566" s="7473"/>
      <c r="AA566" s="7474"/>
      <c r="AB566" s="5323"/>
      <c r="AC566" s="1396"/>
      <c r="AD566" s="5300"/>
      <c r="AE566" s="5346"/>
      <c r="AF566" s="5346"/>
      <c r="AG566" s="10777"/>
      <c r="AH566" s="1758"/>
      <c r="AI566" s="1758"/>
      <c r="AJ566" s="1758"/>
      <c r="AK566" s="1758"/>
      <c r="AL566" s="1758"/>
      <c r="AM566" s="1758"/>
      <c r="AN566" s="1758"/>
      <c r="AO566" s="1758"/>
      <c r="AP566" s="1758"/>
      <c r="AQ566" s="1758"/>
      <c r="AR566" s="1758"/>
      <c r="AS566" s="1758"/>
      <c r="AT566" s="1758"/>
      <c r="AU566" s="1758"/>
      <c r="AV566" s="1758"/>
      <c r="AW566" s="1758"/>
      <c r="AX566" s="1758"/>
      <c r="AY566" s="1758"/>
      <c r="AZ566" s="1758"/>
      <c r="BA566" s="1758"/>
      <c r="BB566" s="1758"/>
      <c r="BC566" s="1758"/>
      <c r="BD566" s="1758"/>
      <c r="BE566" s="1758"/>
      <c r="BF566" s="1758"/>
      <c r="BG566" s="1758"/>
      <c r="BH566" s="1758"/>
      <c r="BI566" s="1758"/>
      <c r="BJ566" s="1758"/>
      <c r="BK566" s="1758"/>
      <c r="BL566" s="1758"/>
      <c r="BM566" s="1758"/>
      <c r="BN566" s="1758"/>
      <c r="BO566" s="1758"/>
      <c r="BP566" s="1758"/>
      <c r="BQ566" s="1758"/>
      <c r="BR566" s="1758"/>
      <c r="BS566" s="1758"/>
      <c r="BT566" s="1758"/>
      <c r="BU566" s="1758"/>
      <c r="BV566" s="1758"/>
      <c r="BW566" s="1758"/>
      <c r="BX566" s="1758"/>
      <c r="BY566" s="1758"/>
      <c r="BZ566" s="1758"/>
      <c r="CA566" s="1758"/>
      <c r="CB566" s="1758"/>
      <c r="CC566" s="1758"/>
      <c r="CD566" s="1758"/>
      <c r="CE566" s="1758"/>
      <c r="CF566" s="1758"/>
      <c r="CG566" s="1758"/>
      <c r="CH566" s="1758"/>
      <c r="CI566" s="1758"/>
      <c r="CJ566" s="1758"/>
      <c r="CK566" s="1758"/>
      <c r="CL566" s="1758"/>
      <c r="CM566" s="1758"/>
      <c r="CN566" s="1758"/>
      <c r="CO566" s="1758"/>
      <c r="CP566" s="1758"/>
      <c r="CQ566" s="1758"/>
      <c r="CR566" s="1758"/>
      <c r="CS566" s="1758"/>
      <c r="CT566" s="1758"/>
      <c r="CU566" s="1758"/>
      <c r="CV566" s="1758"/>
      <c r="CW566" s="1758"/>
      <c r="CX566" s="1758"/>
      <c r="CY566" s="1758"/>
      <c r="CZ566" s="1758"/>
      <c r="DA566" s="1758"/>
      <c r="DB566" s="1758"/>
      <c r="DC566" s="1758"/>
    </row>
    <row r="567" spans="1:107" s="1395" customFormat="1" ht="27" customHeight="1">
      <c r="A567" s="10827"/>
      <c r="B567" s="10731"/>
      <c r="C567" s="10728"/>
      <c r="D567" s="10728"/>
      <c r="E567" s="10728"/>
      <c r="F567" s="10744"/>
      <c r="G567" s="10728"/>
      <c r="H567" s="10728"/>
      <c r="I567" s="10728"/>
      <c r="J567" s="10728"/>
      <c r="K567" s="10735"/>
      <c r="L567" s="10738"/>
      <c r="M567" s="10738"/>
      <c r="N567" s="10738"/>
      <c r="O567" s="10735"/>
      <c r="P567" s="10735"/>
      <c r="Q567" s="10741"/>
      <c r="R567" s="5173"/>
      <c r="S567" s="5212"/>
      <c r="T567" s="5212"/>
      <c r="U567" s="5250"/>
      <c r="V567" s="5281"/>
      <c r="W567" s="5302"/>
      <c r="X567" s="7477"/>
      <c r="Y567" s="7473"/>
      <c r="Z567" s="7473"/>
      <c r="AA567" s="7474"/>
      <c r="AB567" s="5323"/>
      <c r="AC567" s="1396"/>
      <c r="AD567" s="5300"/>
      <c r="AE567" s="5346"/>
      <c r="AF567" s="5346"/>
      <c r="AG567" s="10777"/>
      <c r="AH567" s="1758"/>
      <c r="AI567" s="1758"/>
      <c r="AJ567" s="1758"/>
      <c r="AK567" s="1758"/>
      <c r="AL567" s="1758"/>
      <c r="AM567" s="1758"/>
      <c r="AN567" s="1758"/>
      <c r="AO567" s="1758"/>
      <c r="AP567" s="1758"/>
      <c r="AQ567" s="1758"/>
      <c r="AR567" s="1758"/>
      <c r="AS567" s="1758"/>
      <c r="AT567" s="1758"/>
      <c r="AU567" s="1758"/>
      <c r="AV567" s="1758"/>
      <c r="AW567" s="1758"/>
      <c r="AX567" s="1758"/>
      <c r="AY567" s="1758"/>
      <c r="AZ567" s="1758"/>
      <c r="BA567" s="1758"/>
      <c r="BB567" s="1758"/>
      <c r="BC567" s="1758"/>
      <c r="BD567" s="1758"/>
      <c r="BE567" s="1758"/>
      <c r="BF567" s="1758"/>
      <c r="BG567" s="1758"/>
      <c r="BH567" s="1758"/>
      <c r="BI567" s="1758"/>
      <c r="BJ567" s="1758"/>
      <c r="BK567" s="1758"/>
      <c r="BL567" s="1758"/>
      <c r="BM567" s="1758"/>
      <c r="BN567" s="1758"/>
      <c r="BO567" s="1758"/>
      <c r="BP567" s="1758"/>
      <c r="BQ567" s="1758"/>
      <c r="BR567" s="1758"/>
      <c r="BS567" s="1758"/>
      <c r="BT567" s="1758"/>
      <c r="BU567" s="1758"/>
      <c r="BV567" s="1758"/>
      <c r="BW567" s="1758"/>
      <c r="BX567" s="1758"/>
      <c r="BY567" s="1758"/>
      <c r="BZ567" s="1758"/>
      <c r="CA567" s="1758"/>
      <c r="CB567" s="1758"/>
      <c r="CC567" s="1758"/>
      <c r="CD567" s="1758"/>
      <c r="CE567" s="1758"/>
      <c r="CF567" s="1758"/>
      <c r="CG567" s="1758"/>
      <c r="CH567" s="1758"/>
      <c r="CI567" s="1758"/>
      <c r="CJ567" s="1758"/>
      <c r="CK567" s="1758"/>
      <c r="CL567" s="1758"/>
      <c r="CM567" s="1758"/>
      <c r="CN567" s="1758"/>
      <c r="CO567" s="1758"/>
      <c r="CP567" s="1758"/>
      <c r="CQ567" s="1758"/>
      <c r="CR567" s="1758"/>
      <c r="CS567" s="1758"/>
      <c r="CT567" s="1758"/>
      <c r="CU567" s="1758"/>
      <c r="CV567" s="1758"/>
      <c r="CW567" s="1758"/>
      <c r="CX567" s="1758"/>
      <c r="CY567" s="1758"/>
      <c r="CZ567" s="1758"/>
      <c r="DA567" s="1758"/>
      <c r="DB567" s="1758"/>
      <c r="DC567" s="1758"/>
    </row>
    <row r="568" spans="1:107" s="1395" customFormat="1" ht="27" customHeight="1">
      <c r="A568" s="10827"/>
      <c r="B568" s="10732"/>
      <c r="C568" s="10729"/>
      <c r="D568" s="10729"/>
      <c r="E568" s="10729"/>
      <c r="F568" s="10745"/>
      <c r="G568" s="10729"/>
      <c r="H568" s="10729"/>
      <c r="I568" s="10729"/>
      <c r="J568" s="10729"/>
      <c r="K568" s="10736"/>
      <c r="L568" s="10739"/>
      <c r="M568" s="10739"/>
      <c r="N568" s="10739"/>
      <c r="O568" s="10736"/>
      <c r="P568" s="10736"/>
      <c r="Q568" s="10741"/>
      <c r="R568" s="5175"/>
      <c r="S568" s="5215"/>
      <c r="T568" s="5215"/>
      <c r="U568" s="5251"/>
      <c r="V568" s="5282"/>
      <c r="W568" s="5303"/>
      <c r="X568" s="7479"/>
      <c r="Y568" s="7479"/>
      <c r="Z568" s="7479"/>
      <c r="AA568" s="7480"/>
      <c r="AB568" s="5326"/>
      <c r="AC568" s="1399"/>
      <c r="AD568" s="5303"/>
      <c r="AE568" s="5348"/>
      <c r="AF568" s="5348"/>
      <c r="AG568" s="10778"/>
      <c r="AH568" s="1758"/>
      <c r="AI568" s="1758"/>
      <c r="AJ568" s="1758"/>
      <c r="AK568" s="1758"/>
      <c r="AL568" s="1758"/>
      <c r="AM568" s="1758"/>
      <c r="AN568" s="1758"/>
      <c r="AO568" s="1758"/>
      <c r="AP568" s="1758"/>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8"/>
      <c r="BK568" s="1758"/>
      <c r="BL568" s="1758"/>
      <c r="BM568" s="1758"/>
      <c r="BN568" s="1758"/>
      <c r="BO568" s="1758"/>
      <c r="BP568" s="1758"/>
      <c r="BQ568" s="1758"/>
      <c r="BR568" s="1758"/>
      <c r="BS568" s="1758"/>
      <c r="BT568" s="1758"/>
      <c r="BU568" s="1758"/>
      <c r="BV568" s="1758"/>
      <c r="BW568" s="1758"/>
      <c r="BX568" s="1758"/>
      <c r="BY568" s="1758"/>
      <c r="BZ568" s="1758"/>
      <c r="CA568" s="1758"/>
      <c r="CB568" s="1758"/>
      <c r="CC568" s="1758"/>
      <c r="CD568" s="1758"/>
      <c r="CE568" s="1758"/>
      <c r="CF568" s="1758"/>
      <c r="CG568" s="1758"/>
      <c r="CH568" s="1758"/>
      <c r="CI568" s="1758"/>
      <c r="CJ568" s="1758"/>
      <c r="CK568" s="1758"/>
      <c r="CL568" s="1758"/>
      <c r="CM568" s="1758"/>
      <c r="CN568" s="1758"/>
      <c r="CO568" s="1758"/>
      <c r="CP568" s="1758"/>
      <c r="CQ568" s="1758"/>
      <c r="CR568" s="1758"/>
      <c r="CS568" s="1758"/>
      <c r="CT568" s="1758"/>
      <c r="CU568" s="1758"/>
      <c r="CV568" s="1758"/>
      <c r="CW568" s="1758"/>
      <c r="CX568" s="1758"/>
      <c r="CY568" s="1758"/>
      <c r="CZ568" s="1758"/>
      <c r="DA568" s="1758"/>
      <c r="DB568" s="1758"/>
      <c r="DC568" s="1758"/>
    </row>
    <row r="569" spans="1:107" s="1395" customFormat="1" ht="26.25" customHeight="1">
      <c r="A569" s="10827"/>
      <c r="B569" s="10731" t="s">
        <v>127</v>
      </c>
      <c r="C569" s="10728" t="s">
        <v>227</v>
      </c>
      <c r="D569" s="10728" t="s">
        <v>129</v>
      </c>
      <c r="E569" s="10728" t="s">
        <v>205</v>
      </c>
      <c r="F569" s="10744" t="s">
        <v>131</v>
      </c>
      <c r="G569" s="10728" t="s">
        <v>132</v>
      </c>
      <c r="H569" s="10728" t="s">
        <v>159</v>
      </c>
      <c r="I569" s="10728" t="s">
        <v>4994</v>
      </c>
      <c r="J569" s="10742" t="s">
        <v>4620</v>
      </c>
      <c r="K569" s="10735" t="s">
        <v>4995</v>
      </c>
      <c r="L569" s="10738">
        <v>0</v>
      </c>
      <c r="M569" s="10738">
        <v>1</v>
      </c>
      <c r="N569" s="10738">
        <v>1</v>
      </c>
      <c r="O569" s="10735" t="s">
        <v>4996</v>
      </c>
      <c r="P569" s="10735" t="s">
        <v>4997</v>
      </c>
      <c r="Q569" s="10740" t="s">
        <v>5119</v>
      </c>
      <c r="R569" s="5173"/>
      <c r="S569" s="5212"/>
      <c r="T569" s="5212"/>
      <c r="U569" s="5249"/>
      <c r="V569" s="5281"/>
      <c r="W569" s="5302"/>
      <c r="X569" s="7477"/>
      <c r="Y569" s="7477"/>
      <c r="Z569" s="7477"/>
      <c r="AA569" s="7478"/>
      <c r="AB569" s="5325"/>
      <c r="AC569" s="1398"/>
      <c r="AD569" s="5302"/>
      <c r="AE569" s="5349"/>
      <c r="AF569" s="5349"/>
      <c r="AG569" s="10777" t="s">
        <v>4843</v>
      </c>
      <c r="AH569" s="1758"/>
      <c r="AI569" s="1758"/>
      <c r="AJ569" s="1758"/>
      <c r="AK569" s="1758"/>
      <c r="AL569" s="1758"/>
      <c r="AM569" s="1758"/>
      <c r="AN569" s="1758"/>
      <c r="AO569" s="1758"/>
      <c r="AP569" s="1758"/>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8"/>
      <c r="BK569" s="1758"/>
      <c r="BL569" s="1758"/>
      <c r="BM569" s="1758"/>
      <c r="BN569" s="1758"/>
      <c r="BO569" s="1758"/>
      <c r="BP569" s="1758"/>
      <c r="BQ569" s="1758"/>
      <c r="BR569" s="1758"/>
      <c r="BS569" s="1758"/>
      <c r="BT569" s="1758"/>
      <c r="BU569" s="1758"/>
      <c r="BV569" s="1758"/>
      <c r="BW569" s="1758"/>
      <c r="BX569" s="1758"/>
      <c r="BY569" s="1758"/>
      <c r="BZ569" s="1758"/>
      <c r="CA569" s="1758"/>
      <c r="CB569" s="1758"/>
      <c r="CC569" s="1758"/>
      <c r="CD569" s="1758"/>
      <c r="CE569" s="1758"/>
      <c r="CF569" s="1758"/>
      <c r="CG569" s="1758"/>
      <c r="CH569" s="1758"/>
      <c r="CI569" s="1758"/>
      <c r="CJ569" s="1758"/>
      <c r="CK569" s="1758"/>
      <c r="CL569" s="1758"/>
      <c r="CM569" s="1758"/>
      <c r="CN569" s="1758"/>
      <c r="CO569" s="1758"/>
      <c r="CP569" s="1758"/>
      <c r="CQ569" s="1758"/>
      <c r="CR569" s="1758"/>
      <c r="CS569" s="1758"/>
      <c r="CT569" s="1758"/>
      <c r="CU569" s="1758"/>
      <c r="CV569" s="1758"/>
      <c r="CW569" s="1758"/>
      <c r="CX569" s="1758"/>
      <c r="CY569" s="1758"/>
      <c r="CZ569" s="1758"/>
      <c r="DA569" s="1758"/>
      <c r="DB569" s="1758"/>
      <c r="DC569" s="1758"/>
    </row>
    <row r="570" spans="1:107" s="1395" customFormat="1" ht="26.25" customHeight="1">
      <c r="A570" s="10827"/>
      <c r="B570" s="10731"/>
      <c r="C570" s="10728"/>
      <c r="D570" s="10728"/>
      <c r="E570" s="10728"/>
      <c r="F570" s="10744"/>
      <c r="G570" s="10728"/>
      <c r="H570" s="10728"/>
      <c r="I570" s="10728"/>
      <c r="J570" s="10728"/>
      <c r="K570" s="10735"/>
      <c r="L570" s="10738"/>
      <c r="M570" s="10738"/>
      <c r="N570" s="10738"/>
      <c r="O570" s="10735"/>
      <c r="P570" s="10735"/>
      <c r="Q570" s="10741"/>
      <c r="R570" s="5171"/>
      <c r="S570" s="5213"/>
      <c r="T570" s="5213"/>
      <c r="U570" s="5247"/>
      <c r="V570" s="5279"/>
      <c r="W570" s="5300"/>
      <c r="X570" s="7473"/>
      <c r="Y570" s="7473"/>
      <c r="Z570" s="7473"/>
      <c r="AA570" s="7474"/>
      <c r="AB570" s="5323"/>
      <c r="AC570" s="1396"/>
      <c r="AD570" s="5300"/>
      <c r="AE570" s="5346"/>
      <c r="AF570" s="5346"/>
      <c r="AG570" s="10777"/>
      <c r="AH570" s="1758"/>
      <c r="AI570" s="1758"/>
      <c r="AJ570" s="1758"/>
      <c r="AK570" s="1758"/>
      <c r="AL570" s="1758"/>
      <c r="AM570" s="1758"/>
      <c r="AN570" s="1758"/>
      <c r="AO570" s="1758"/>
      <c r="AP570" s="1758"/>
      <c r="AQ570" s="1758"/>
      <c r="AR570" s="1758"/>
      <c r="AS570" s="1758"/>
      <c r="AT570" s="1758"/>
      <c r="AU570" s="1758"/>
      <c r="AV570" s="1758"/>
      <c r="AW570" s="1758"/>
      <c r="AX570" s="1758"/>
      <c r="AY570" s="1758"/>
      <c r="AZ570" s="1758"/>
      <c r="BA570" s="1758"/>
      <c r="BB570" s="1758"/>
      <c r="BC570" s="1758"/>
      <c r="BD570" s="1758"/>
      <c r="BE570" s="1758"/>
      <c r="BF570" s="1758"/>
      <c r="BG570" s="1758"/>
      <c r="BH570" s="1758"/>
      <c r="BI570" s="1758"/>
      <c r="BJ570" s="1758"/>
      <c r="BK570" s="1758"/>
      <c r="BL570" s="1758"/>
      <c r="BM570" s="1758"/>
      <c r="BN570" s="1758"/>
      <c r="BO570" s="1758"/>
      <c r="BP570" s="1758"/>
      <c r="BQ570" s="1758"/>
      <c r="BR570" s="1758"/>
      <c r="BS570" s="1758"/>
      <c r="BT570" s="1758"/>
      <c r="BU570" s="1758"/>
      <c r="BV570" s="1758"/>
      <c r="BW570" s="1758"/>
      <c r="BX570" s="1758"/>
      <c r="BY570" s="1758"/>
      <c r="BZ570" s="1758"/>
      <c r="CA570" s="1758"/>
      <c r="CB570" s="1758"/>
      <c r="CC570" s="1758"/>
      <c r="CD570" s="1758"/>
      <c r="CE570" s="1758"/>
      <c r="CF570" s="1758"/>
      <c r="CG570" s="1758"/>
      <c r="CH570" s="1758"/>
      <c r="CI570" s="1758"/>
      <c r="CJ570" s="1758"/>
      <c r="CK570" s="1758"/>
      <c r="CL570" s="1758"/>
      <c r="CM570" s="1758"/>
      <c r="CN570" s="1758"/>
      <c r="CO570" s="1758"/>
      <c r="CP570" s="1758"/>
      <c r="CQ570" s="1758"/>
      <c r="CR570" s="1758"/>
      <c r="CS570" s="1758"/>
      <c r="CT570" s="1758"/>
      <c r="CU570" s="1758"/>
      <c r="CV570" s="1758"/>
      <c r="CW570" s="1758"/>
      <c r="CX570" s="1758"/>
      <c r="CY570" s="1758"/>
      <c r="CZ570" s="1758"/>
      <c r="DA570" s="1758"/>
      <c r="DB570" s="1758"/>
      <c r="DC570" s="1758"/>
    </row>
    <row r="571" spans="1:107" s="1395" customFormat="1" ht="26.25" customHeight="1">
      <c r="A571" s="10827"/>
      <c r="B571" s="10731"/>
      <c r="C571" s="10728"/>
      <c r="D571" s="10728"/>
      <c r="E571" s="10728"/>
      <c r="F571" s="10744"/>
      <c r="G571" s="10728"/>
      <c r="H571" s="10728"/>
      <c r="I571" s="10728"/>
      <c r="J571" s="10728"/>
      <c r="K571" s="10735"/>
      <c r="L571" s="10738"/>
      <c r="M571" s="10738"/>
      <c r="N571" s="10738"/>
      <c r="O571" s="10735"/>
      <c r="P571" s="10735"/>
      <c r="Q571" s="10741"/>
      <c r="R571" s="5174"/>
      <c r="S571" s="5214"/>
      <c r="T571" s="5214"/>
      <c r="U571" s="5250"/>
      <c r="V571" s="5281"/>
      <c r="W571" s="5302"/>
      <c r="X571" s="7477"/>
      <c r="Y571" s="7473"/>
      <c r="Z571" s="7473"/>
      <c r="AA571" s="7474"/>
      <c r="AB571" s="5323"/>
      <c r="AC571" s="1396"/>
      <c r="AD571" s="5300"/>
      <c r="AE571" s="5346"/>
      <c r="AF571" s="5346"/>
      <c r="AG571" s="10777"/>
      <c r="AH571" s="1758"/>
      <c r="AI571" s="1758"/>
      <c r="AJ571" s="1758"/>
      <c r="AK571" s="1758"/>
      <c r="AL571" s="1758"/>
      <c r="AM571" s="1758"/>
      <c r="AN571" s="1758"/>
      <c r="AO571" s="1758"/>
      <c r="AP571" s="1758"/>
      <c r="AQ571" s="1758"/>
      <c r="AR571" s="1758"/>
      <c r="AS571" s="1758"/>
      <c r="AT571" s="1758"/>
      <c r="AU571" s="1758"/>
      <c r="AV571" s="1758"/>
      <c r="AW571" s="1758"/>
      <c r="AX571" s="1758"/>
      <c r="AY571" s="1758"/>
      <c r="AZ571" s="1758"/>
      <c r="BA571" s="1758"/>
      <c r="BB571" s="1758"/>
      <c r="BC571" s="1758"/>
      <c r="BD571" s="1758"/>
      <c r="BE571" s="1758"/>
      <c r="BF571" s="1758"/>
      <c r="BG571" s="1758"/>
      <c r="BH571" s="1758"/>
      <c r="BI571" s="1758"/>
      <c r="BJ571" s="1758"/>
      <c r="BK571" s="1758"/>
      <c r="BL571" s="1758"/>
      <c r="BM571" s="1758"/>
      <c r="BN571" s="1758"/>
      <c r="BO571" s="1758"/>
      <c r="BP571" s="1758"/>
      <c r="BQ571" s="1758"/>
      <c r="BR571" s="1758"/>
      <c r="BS571" s="1758"/>
      <c r="BT571" s="1758"/>
      <c r="BU571" s="1758"/>
      <c r="BV571" s="1758"/>
      <c r="BW571" s="1758"/>
      <c r="BX571" s="1758"/>
      <c r="BY571" s="1758"/>
      <c r="BZ571" s="1758"/>
      <c r="CA571" s="1758"/>
      <c r="CB571" s="1758"/>
      <c r="CC571" s="1758"/>
      <c r="CD571" s="1758"/>
      <c r="CE571" s="1758"/>
      <c r="CF571" s="1758"/>
      <c r="CG571" s="1758"/>
      <c r="CH571" s="1758"/>
      <c r="CI571" s="1758"/>
      <c r="CJ571" s="1758"/>
      <c r="CK571" s="1758"/>
      <c r="CL571" s="1758"/>
      <c r="CM571" s="1758"/>
      <c r="CN571" s="1758"/>
      <c r="CO571" s="1758"/>
      <c r="CP571" s="1758"/>
      <c r="CQ571" s="1758"/>
      <c r="CR571" s="1758"/>
      <c r="CS571" s="1758"/>
      <c r="CT571" s="1758"/>
      <c r="CU571" s="1758"/>
      <c r="CV571" s="1758"/>
      <c r="CW571" s="1758"/>
      <c r="CX571" s="1758"/>
      <c r="CY571" s="1758"/>
      <c r="CZ571" s="1758"/>
      <c r="DA571" s="1758"/>
      <c r="DB571" s="1758"/>
      <c r="DC571" s="1758"/>
    </row>
    <row r="572" spans="1:107" s="1395" customFormat="1" ht="26.25" customHeight="1">
      <c r="A572" s="10827"/>
      <c r="B572" s="10731"/>
      <c r="C572" s="10728"/>
      <c r="D572" s="10728"/>
      <c r="E572" s="10728"/>
      <c r="F572" s="10744"/>
      <c r="G572" s="10728"/>
      <c r="H572" s="10728"/>
      <c r="I572" s="10728"/>
      <c r="J572" s="10728"/>
      <c r="K572" s="10735"/>
      <c r="L572" s="10738"/>
      <c r="M572" s="10738"/>
      <c r="N572" s="10738"/>
      <c r="O572" s="10735"/>
      <c r="P572" s="10735"/>
      <c r="Q572" s="10741"/>
      <c r="R572" s="5173"/>
      <c r="S572" s="5212"/>
      <c r="T572" s="5212"/>
      <c r="U572" s="5250"/>
      <c r="V572" s="5281"/>
      <c r="W572" s="5302"/>
      <c r="X572" s="7477"/>
      <c r="Y572" s="7473"/>
      <c r="Z572" s="7473"/>
      <c r="AA572" s="7474"/>
      <c r="AB572" s="5323"/>
      <c r="AC572" s="1396"/>
      <c r="AD572" s="5300"/>
      <c r="AE572" s="5346"/>
      <c r="AF572" s="5346"/>
      <c r="AG572" s="10777"/>
      <c r="AH572" s="1758"/>
      <c r="AI572" s="1758"/>
      <c r="AJ572" s="1758"/>
      <c r="AK572" s="1758"/>
      <c r="AL572" s="1758"/>
      <c r="AM572" s="1758"/>
      <c r="AN572" s="1758"/>
      <c r="AO572" s="1758"/>
      <c r="AP572" s="1758"/>
      <c r="AQ572" s="1758"/>
      <c r="AR572" s="1758"/>
      <c r="AS572" s="1758"/>
      <c r="AT572" s="1758"/>
      <c r="AU572" s="1758"/>
      <c r="AV572" s="1758"/>
      <c r="AW572" s="1758"/>
      <c r="AX572" s="1758"/>
      <c r="AY572" s="1758"/>
      <c r="AZ572" s="1758"/>
      <c r="BA572" s="1758"/>
      <c r="BB572" s="1758"/>
      <c r="BC572" s="1758"/>
      <c r="BD572" s="1758"/>
      <c r="BE572" s="1758"/>
      <c r="BF572" s="1758"/>
      <c r="BG572" s="1758"/>
      <c r="BH572" s="1758"/>
      <c r="BI572" s="1758"/>
      <c r="BJ572" s="1758"/>
      <c r="BK572" s="1758"/>
      <c r="BL572" s="1758"/>
      <c r="BM572" s="1758"/>
      <c r="BN572" s="1758"/>
      <c r="BO572" s="1758"/>
      <c r="BP572" s="1758"/>
      <c r="BQ572" s="1758"/>
      <c r="BR572" s="1758"/>
      <c r="BS572" s="1758"/>
      <c r="BT572" s="1758"/>
      <c r="BU572" s="1758"/>
      <c r="BV572" s="1758"/>
      <c r="BW572" s="1758"/>
      <c r="BX572" s="1758"/>
      <c r="BY572" s="1758"/>
      <c r="BZ572" s="1758"/>
      <c r="CA572" s="1758"/>
      <c r="CB572" s="1758"/>
      <c r="CC572" s="1758"/>
      <c r="CD572" s="1758"/>
      <c r="CE572" s="1758"/>
      <c r="CF572" s="1758"/>
      <c r="CG572" s="1758"/>
      <c r="CH572" s="1758"/>
      <c r="CI572" s="1758"/>
      <c r="CJ572" s="1758"/>
      <c r="CK572" s="1758"/>
      <c r="CL572" s="1758"/>
      <c r="CM572" s="1758"/>
      <c r="CN572" s="1758"/>
      <c r="CO572" s="1758"/>
      <c r="CP572" s="1758"/>
      <c r="CQ572" s="1758"/>
      <c r="CR572" s="1758"/>
      <c r="CS572" s="1758"/>
      <c r="CT572" s="1758"/>
      <c r="CU572" s="1758"/>
      <c r="CV572" s="1758"/>
      <c r="CW572" s="1758"/>
      <c r="CX572" s="1758"/>
      <c r="CY572" s="1758"/>
      <c r="CZ572" s="1758"/>
      <c r="DA572" s="1758"/>
      <c r="DB572" s="1758"/>
      <c r="DC572" s="1758"/>
    </row>
    <row r="573" spans="1:107" s="1395" customFormat="1" ht="26.25" customHeight="1">
      <c r="A573" s="10827"/>
      <c r="B573" s="10732"/>
      <c r="C573" s="10729"/>
      <c r="D573" s="10729"/>
      <c r="E573" s="10729"/>
      <c r="F573" s="10745"/>
      <c r="G573" s="10729"/>
      <c r="H573" s="10729"/>
      <c r="I573" s="10729"/>
      <c r="J573" s="10729"/>
      <c r="K573" s="10736"/>
      <c r="L573" s="10739"/>
      <c r="M573" s="10739"/>
      <c r="N573" s="10739"/>
      <c r="O573" s="10736"/>
      <c r="P573" s="10736"/>
      <c r="Q573" s="10749"/>
      <c r="R573" s="5175"/>
      <c r="S573" s="5215"/>
      <c r="T573" s="5215"/>
      <c r="U573" s="5251"/>
      <c r="V573" s="5282"/>
      <c r="W573" s="5303"/>
      <c r="X573" s="7479"/>
      <c r="Y573" s="7479"/>
      <c r="Z573" s="7479"/>
      <c r="AA573" s="7480"/>
      <c r="AB573" s="5326"/>
      <c r="AC573" s="1399"/>
      <c r="AD573" s="5303"/>
      <c r="AE573" s="5348"/>
      <c r="AF573" s="5348"/>
      <c r="AG573" s="10778"/>
      <c r="AH573" s="1758"/>
      <c r="AI573" s="1758"/>
      <c r="AJ573" s="1758"/>
      <c r="AK573" s="1758"/>
      <c r="AL573" s="1758"/>
      <c r="AM573" s="1758"/>
      <c r="AN573" s="1758"/>
      <c r="AO573" s="1758"/>
      <c r="AP573" s="1758"/>
      <c r="AQ573" s="1758"/>
      <c r="AR573" s="1758"/>
      <c r="AS573" s="1758"/>
      <c r="AT573" s="1758"/>
      <c r="AU573" s="1758"/>
      <c r="AV573" s="1758"/>
      <c r="AW573" s="1758"/>
      <c r="AX573" s="1758"/>
      <c r="AY573" s="1758"/>
      <c r="AZ573" s="1758"/>
      <c r="BA573" s="1758"/>
      <c r="BB573" s="1758"/>
      <c r="BC573" s="1758"/>
      <c r="BD573" s="1758"/>
      <c r="BE573" s="1758"/>
      <c r="BF573" s="1758"/>
      <c r="BG573" s="1758"/>
      <c r="BH573" s="1758"/>
      <c r="BI573" s="1758"/>
      <c r="BJ573" s="1758"/>
      <c r="BK573" s="1758"/>
      <c r="BL573" s="1758"/>
      <c r="BM573" s="1758"/>
      <c r="BN573" s="1758"/>
      <c r="BO573" s="1758"/>
      <c r="BP573" s="1758"/>
      <c r="BQ573" s="1758"/>
      <c r="BR573" s="1758"/>
      <c r="BS573" s="1758"/>
      <c r="BT573" s="1758"/>
      <c r="BU573" s="1758"/>
      <c r="BV573" s="1758"/>
      <c r="BW573" s="1758"/>
      <c r="BX573" s="1758"/>
      <c r="BY573" s="1758"/>
      <c r="BZ573" s="1758"/>
      <c r="CA573" s="1758"/>
      <c r="CB573" s="1758"/>
      <c r="CC573" s="1758"/>
      <c r="CD573" s="1758"/>
      <c r="CE573" s="1758"/>
      <c r="CF573" s="1758"/>
      <c r="CG573" s="1758"/>
      <c r="CH573" s="1758"/>
      <c r="CI573" s="1758"/>
      <c r="CJ573" s="1758"/>
      <c r="CK573" s="1758"/>
      <c r="CL573" s="1758"/>
      <c r="CM573" s="1758"/>
      <c r="CN573" s="1758"/>
      <c r="CO573" s="1758"/>
      <c r="CP573" s="1758"/>
      <c r="CQ573" s="1758"/>
      <c r="CR573" s="1758"/>
      <c r="CS573" s="1758"/>
      <c r="CT573" s="1758"/>
      <c r="CU573" s="1758"/>
      <c r="CV573" s="1758"/>
      <c r="CW573" s="1758"/>
      <c r="CX573" s="1758"/>
      <c r="CY573" s="1758"/>
      <c r="CZ573" s="1758"/>
      <c r="DA573" s="1758"/>
      <c r="DB573" s="1758"/>
      <c r="DC573" s="1758"/>
    </row>
    <row r="574" spans="1:107" s="1395" customFormat="1" ht="27" customHeight="1">
      <c r="A574" s="10827"/>
      <c r="B574" s="10731" t="s">
        <v>127</v>
      </c>
      <c r="C574" s="10728" t="s">
        <v>128</v>
      </c>
      <c r="D574" s="10728" t="s">
        <v>129</v>
      </c>
      <c r="E574" s="10728" t="s">
        <v>205</v>
      </c>
      <c r="F574" s="10744" t="s">
        <v>131</v>
      </c>
      <c r="G574" s="10728" t="s">
        <v>132</v>
      </c>
      <c r="H574" s="10728" t="s">
        <v>159</v>
      </c>
      <c r="I574" s="10728" t="s">
        <v>5000</v>
      </c>
      <c r="J574" s="10742" t="s">
        <v>5001</v>
      </c>
      <c r="K574" s="10735" t="s">
        <v>5002</v>
      </c>
      <c r="L574" s="10738">
        <v>0</v>
      </c>
      <c r="M574" s="10738">
        <v>1</v>
      </c>
      <c r="N574" s="10738">
        <v>1</v>
      </c>
      <c r="O574" s="10735" t="s">
        <v>5003</v>
      </c>
      <c r="P574" s="10735" t="s">
        <v>5004</v>
      </c>
      <c r="Q574" s="10750" t="s">
        <v>5118</v>
      </c>
      <c r="R574" s="5173"/>
      <c r="S574" s="5212"/>
      <c r="T574" s="5212"/>
      <c r="U574" s="5249"/>
      <c r="V574" s="5281"/>
      <c r="W574" s="5302"/>
      <c r="X574" s="7477"/>
      <c r="Y574" s="7477"/>
      <c r="Z574" s="7477"/>
      <c r="AA574" s="7478"/>
      <c r="AB574" s="5325"/>
      <c r="AC574" s="1398"/>
      <c r="AD574" s="5302"/>
      <c r="AE574" s="5349"/>
      <c r="AF574" s="5349"/>
      <c r="AG574" s="10777" t="s">
        <v>5005</v>
      </c>
      <c r="AH574" s="1758"/>
      <c r="AI574" s="1758"/>
      <c r="AJ574" s="1758"/>
      <c r="AK574" s="1758"/>
      <c r="AL574" s="1758"/>
      <c r="AM574" s="1758"/>
      <c r="AN574" s="1758"/>
      <c r="AO574" s="1758"/>
      <c r="AP574" s="1758"/>
      <c r="AQ574" s="1758"/>
      <c r="AR574" s="1758"/>
      <c r="AS574" s="1758"/>
      <c r="AT574" s="1758"/>
      <c r="AU574" s="1758"/>
      <c r="AV574" s="1758"/>
      <c r="AW574" s="1758"/>
      <c r="AX574" s="1758"/>
      <c r="AY574" s="1758"/>
      <c r="AZ574" s="1758"/>
      <c r="BA574" s="1758"/>
      <c r="BB574" s="1758"/>
      <c r="BC574" s="1758"/>
      <c r="BD574" s="1758"/>
      <c r="BE574" s="1758"/>
      <c r="BF574" s="1758"/>
      <c r="BG574" s="1758"/>
      <c r="BH574" s="1758"/>
      <c r="BI574" s="1758"/>
      <c r="BJ574" s="1758"/>
      <c r="BK574" s="1758"/>
      <c r="BL574" s="1758"/>
      <c r="BM574" s="1758"/>
      <c r="BN574" s="1758"/>
      <c r="BO574" s="1758"/>
      <c r="BP574" s="1758"/>
      <c r="BQ574" s="1758"/>
      <c r="BR574" s="1758"/>
      <c r="BS574" s="1758"/>
      <c r="BT574" s="1758"/>
      <c r="BU574" s="1758"/>
      <c r="BV574" s="1758"/>
      <c r="BW574" s="1758"/>
      <c r="BX574" s="1758"/>
      <c r="BY574" s="1758"/>
      <c r="BZ574" s="1758"/>
      <c r="CA574" s="1758"/>
      <c r="CB574" s="1758"/>
      <c r="CC574" s="1758"/>
      <c r="CD574" s="1758"/>
      <c r="CE574" s="1758"/>
      <c r="CF574" s="1758"/>
      <c r="CG574" s="1758"/>
      <c r="CH574" s="1758"/>
      <c r="CI574" s="1758"/>
      <c r="CJ574" s="1758"/>
      <c r="CK574" s="1758"/>
      <c r="CL574" s="1758"/>
      <c r="CM574" s="1758"/>
      <c r="CN574" s="1758"/>
      <c r="CO574" s="1758"/>
      <c r="CP574" s="1758"/>
      <c r="CQ574" s="1758"/>
      <c r="CR574" s="1758"/>
      <c r="CS574" s="1758"/>
      <c r="CT574" s="1758"/>
      <c r="CU574" s="1758"/>
      <c r="CV574" s="1758"/>
      <c r="CW574" s="1758"/>
      <c r="CX574" s="1758"/>
      <c r="CY574" s="1758"/>
      <c r="CZ574" s="1758"/>
      <c r="DA574" s="1758"/>
      <c r="DB574" s="1758"/>
      <c r="DC574" s="1758"/>
    </row>
    <row r="575" spans="1:107" s="1395" customFormat="1" ht="27" customHeight="1">
      <c r="A575" s="10827"/>
      <c r="B575" s="10731"/>
      <c r="C575" s="10728"/>
      <c r="D575" s="10728"/>
      <c r="E575" s="10728"/>
      <c r="F575" s="10744"/>
      <c r="G575" s="10728"/>
      <c r="H575" s="10728"/>
      <c r="I575" s="10728"/>
      <c r="J575" s="10728"/>
      <c r="K575" s="10735"/>
      <c r="L575" s="10738"/>
      <c r="M575" s="10738"/>
      <c r="N575" s="10738"/>
      <c r="O575" s="10735"/>
      <c r="P575" s="10735"/>
      <c r="Q575" s="10750"/>
      <c r="R575" s="5171"/>
      <c r="S575" s="5213"/>
      <c r="T575" s="5213"/>
      <c r="U575" s="5247"/>
      <c r="V575" s="5279"/>
      <c r="W575" s="5300"/>
      <c r="X575" s="7473"/>
      <c r="Y575" s="7473"/>
      <c r="Z575" s="7473"/>
      <c r="AA575" s="7474"/>
      <c r="AB575" s="5323"/>
      <c r="AC575" s="1396"/>
      <c r="AD575" s="5300"/>
      <c r="AE575" s="5346"/>
      <c r="AF575" s="5346"/>
      <c r="AG575" s="10777"/>
      <c r="AH575" s="1758"/>
      <c r="AI575" s="1758"/>
      <c r="AJ575" s="1758"/>
      <c r="AK575" s="1758"/>
      <c r="AL575" s="1758"/>
      <c r="AM575" s="1758"/>
      <c r="AN575" s="1758"/>
      <c r="AO575" s="1758"/>
      <c r="AP575" s="1758"/>
      <c r="AQ575" s="1758"/>
      <c r="AR575" s="1758"/>
      <c r="AS575" s="1758"/>
      <c r="AT575" s="1758"/>
      <c r="AU575" s="1758"/>
      <c r="AV575" s="1758"/>
      <c r="AW575" s="1758"/>
      <c r="AX575" s="1758"/>
      <c r="AY575" s="1758"/>
      <c r="AZ575" s="1758"/>
      <c r="BA575" s="1758"/>
      <c r="BB575" s="1758"/>
      <c r="BC575" s="1758"/>
      <c r="BD575" s="1758"/>
      <c r="BE575" s="1758"/>
      <c r="BF575" s="1758"/>
      <c r="BG575" s="1758"/>
      <c r="BH575" s="1758"/>
      <c r="BI575" s="1758"/>
      <c r="BJ575" s="1758"/>
      <c r="BK575" s="1758"/>
      <c r="BL575" s="1758"/>
      <c r="BM575" s="1758"/>
      <c r="BN575" s="1758"/>
      <c r="BO575" s="1758"/>
      <c r="BP575" s="1758"/>
      <c r="BQ575" s="1758"/>
      <c r="BR575" s="1758"/>
      <c r="BS575" s="1758"/>
      <c r="BT575" s="1758"/>
      <c r="BU575" s="1758"/>
      <c r="BV575" s="1758"/>
      <c r="BW575" s="1758"/>
      <c r="BX575" s="1758"/>
      <c r="BY575" s="1758"/>
      <c r="BZ575" s="1758"/>
      <c r="CA575" s="1758"/>
      <c r="CB575" s="1758"/>
      <c r="CC575" s="1758"/>
      <c r="CD575" s="1758"/>
      <c r="CE575" s="1758"/>
      <c r="CF575" s="1758"/>
      <c r="CG575" s="1758"/>
      <c r="CH575" s="1758"/>
      <c r="CI575" s="1758"/>
      <c r="CJ575" s="1758"/>
      <c r="CK575" s="1758"/>
      <c r="CL575" s="1758"/>
      <c r="CM575" s="1758"/>
      <c r="CN575" s="1758"/>
      <c r="CO575" s="1758"/>
      <c r="CP575" s="1758"/>
      <c r="CQ575" s="1758"/>
      <c r="CR575" s="1758"/>
      <c r="CS575" s="1758"/>
      <c r="CT575" s="1758"/>
      <c r="CU575" s="1758"/>
      <c r="CV575" s="1758"/>
      <c r="CW575" s="1758"/>
      <c r="CX575" s="1758"/>
      <c r="CY575" s="1758"/>
      <c r="CZ575" s="1758"/>
      <c r="DA575" s="1758"/>
      <c r="DB575" s="1758"/>
      <c r="DC575" s="1758"/>
    </row>
    <row r="576" spans="1:107" s="1395" customFormat="1" ht="27" customHeight="1">
      <c r="A576" s="10827"/>
      <c r="B576" s="10731"/>
      <c r="C576" s="10728"/>
      <c r="D576" s="10728"/>
      <c r="E576" s="10728"/>
      <c r="F576" s="10744"/>
      <c r="G576" s="10728"/>
      <c r="H576" s="10728"/>
      <c r="I576" s="10728"/>
      <c r="J576" s="10728"/>
      <c r="K576" s="10735"/>
      <c r="L576" s="10738"/>
      <c r="M576" s="10738"/>
      <c r="N576" s="10738"/>
      <c r="O576" s="10735"/>
      <c r="P576" s="10735"/>
      <c r="Q576" s="10750"/>
      <c r="R576" s="5174"/>
      <c r="S576" s="5214"/>
      <c r="T576" s="5214"/>
      <c r="U576" s="5250"/>
      <c r="V576" s="5281"/>
      <c r="W576" s="5302"/>
      <c r="X576" s="7477"/>
      <c r="Y576" s="7473"/>
      <c r="Z576" s="7473"/>
      <c r="AA576" s="7474"/>
      <c r="AB576" s="5323"/>
      <c r="AC576" s="1396"/>
      <c r="AD576" s="5300"/>
      <c r="AE576" s="5346"/>
      <c r="AF576" s="5346"/>
      <c r="AG576" s="10777"/>
      <c r="AH576" s="1758"/>
      <c r="AI576" s="1758"/>
      <c r="AJ576" s="1758"/>
      <c r="AK576" s="1758"/>
      <c r="AL576" s="1758"/>
      <c r="AM576" s="1758"/>
      <c r="AN576" s="1758"/>
      <c r="AO576" s="1758"/>
      <c r="AP576" s="1758"/>
      <c r="AQ576" s="1758"/>
      <c r="AR576" s="1758"/>
      <c r="AS576" s="1758"/>
      <c r="AT576" s="1758"/>
      <c r="AU576" s="1758"/>
      <c r="AV576" s="1758"/>
      <c r="AW576" s="1758"/>
      <c r="AX576" s="1758"/>
      <c r="AY576" s="1758"/>
      <c r="AZ576" s="1758"/>
      <c r="BA576" s="1758"/>
      <c r="BB576" s="1758"/>
      <c r="BC576" s="1758"/>
      <c r="BD576" s="1758"/>
      <c r="BE576" s="1758"/>
      <c r="BF576" s="1758"/>
      <c r="BG576" s="1758"/>
      <c r="BH576" s="1758"/>
      <c r="BI576" s="1758"/>
      <c r="BJ576" s="1758"/>
      <c r="BK576" s="1758"/>
      <c r="BL576" s="1758"/>
      <c r="BM576" s="1758"/>
      <c r="BN576" s="1758"/>
      <c r="BO576" s="1758"/>
      <c r="BP576" s="1758"/>
      <c r="BQ576" s="1758"/>
      <c r="BR576" s="1758"/>
      <c r="BS576" s="1758"/>
      <c r="BT576" s="1758"/>
      <c r="BU576" s="1758"/>
      <c r="BV576" s="1758"/>
      <c r="BW576" s="1758"/>
      <c r="BX576" s="1758"/>
      <c r="BY576" s="1758"/>
      <c r="BZ576" s="1758"/>
      <c r="CA576" s="1758"/>
      <c r="CB576" s="1758"/>
      <c r="CC576" s="1758"/>
      <c r="CD576" s="1758"/>
      <c r="CE576" s="1758"/>
      <c r="CF576" s="1758"/>
      <c r="CG576" s="1758"/>
      <c r="CH576" s="1758"/>
      <c r="CI576" s="1758"/>
      <c r="CJ576" s="1758"/>
      <c r="CK576" s="1758"/>
      <c r="CL576" s="1758"/>
      <c r="CM576" s="1758"/>
      <c r="CN576" s="1758"/>
      <c r="CO576" s="1758"/>
      <c r="CP576" s="1758"/>
      <c r="CQ576" s="1758"/>
      <c r="CR576" s="1758"/>
      <c r="CS576" s="1758"/>
      <c r="CT576" s="1758"/>
      <c r="CU576" s="1758"/>
      <c r="CV576" s="1758"/>
      <c r="CW576" s="1758"/>
      <c r="CX576" s="1758"/>
      <c r="CY576" s="1758"/>
      <c r="CZ576" s="1758"/>
      <c r="DA576" s="1758"/>
      <c r="DB576" s="1758"/>
      <c r="DC576" s="1758"/>
    </row>
    <row r="577" spans="1:107" s="1395" customFormat="1" ht="27" customHeight="1">
      <c r="A577" s="10827"/>
      <c r="B577" s="10731"/>
      <c r="C577" s="10728"/>
      <c r="D577" s="10728"/>
      <c r="E577" s="10728"/>
      <c r="F577" s="10744"/>
      <c r="G577" s="10728"/>
      <c r="H577" s="10728"/>
      <c r="I577" s="10728"/>
      <c r="J577" s="10728"/>
      <c r="K577" s="10735"/>
      <c r="L577" s="10738"/>
      <c r="M577" s="10738"/>
      <c r="N577" s="10738"/>
      <c r="O577" s="10735"/>
      <c r="P577" s="10735"/>
      <c r="Q577" s="10750"/>
      <c r="R577" s="5173"/>
      <c r="S577" s="5212"/>
      <c r="T577" s="5212"/>
      <c r="U577" s="5250"/>
      <c r="V577" s="5281"/>
      <c r="W577" s="5302"/>
      <c r="X577" s="7477"/>
      <c r="Y577" s="7473"/>
      <c r="Z577" s="7473"/>
      <c r="AA577" s="7474"/>
      <c r="AB577" s="5323"/>
      <c r="AC577" s="1396"/>
      <c r="AD577" s="5300"/>
      <c r="AE577" s="5346"/>
      <c r="AF577" s="5346"/>
      <c r="AG577" s="10777"/>
      <c r="AH577" s="1758"/>
      <c r="AI577" s="1758"/>
      <c r="AJ577" s="1758"/>
      <c r="AK577" s="1758"/>
      <c r="AL577" s="1758"/>
      <c r="AM577" s="1758"/>
      <c r="AN577" s="1758"/>
      <c r="AO577" s="1758"/>
      <c r="AP577" s="1758"/>
      <c r="AQ577" s="1758"/>
      <c r="AR577" s="1758"/>
      <c r="AS577" s="1758"/>
      <c r="AT577" s="1758"/>
      <c r="AU577" s="1758"/>
      <c r="AV577" s="1758"/>
      <c r="AW577" s="1758"/>
      <c r="AX577" s="1758"/>
      <c r="AY577" s="1758"/>
      <c r="AZ577" s="1758"/>
      <c r="BA577" s="1758"/>
      <c r="BB577" s="1758"/>
      <c r="BC577" s="1758"/>
      <c r="BD577" s="1758"/>
      <c r="BE577" s="1758"/>
      <c r="BF577" s="1758"/>
      <c r="BG577" s="1758"/>
      <c r="BH577" s="1758"/>
      <c r="BI577" s="1758"/>
      <c r="BJ577" s="1758"/>
      <c r="BK577" s="1758"/>
      <c r="BL577" s="1758"/>
      <c r="BM577" s="1758"/>
      <c r="BN577" s="1758"/>
      <c r="BO577" s="1758"/>
      <c r="BP577" s="1758"/>
      <c r="BQ577" s="1758"/>
      <c r="BR577" s="1758"/>
      <c r="BS577" s="1758"/>
      <c r="BT577" s="1758"/>
      <c r="BU577" s="1758"/>
      <c r="BV577" s="1758"/>
      <c r="BW577" s="1758"/>
      <c r="BX577" s="1758"/>
      <c r="BY577" s="1758"/>
      <c r="BZ577" s="1758"/>
      <c r="CA577" s="1758"/>
      <c r="CB577" s="1758"/>
      <c r="CC577" s="1758"/>
      <c r="CD577" s="1758"/>
      <c r="CE577" s="1758"/>
      <c r="CF577" s="1758"/>
      <c r="CG577" s="1758"/>
      <c r="CH577" s="1758"/>
      <c r="CI577" s="1758"/>
      <c r="CJ577" s="1758"/>
      <c r="CK577" s="1758"/>
      <c r="CL577" s="1758"/>
      <c r="CM577" s="1758"/>
      <c r="CN577" s="1758"/>
      <c r="CO577" s="1758"/>
      <c r="CP577" s="1758"/>
      <c r="CQ577" s="1758"/>
      <c r="CR577" s="1758"/>
      <c r="CS577" s="1758"/>
      <c r="CT577" s="1758"/>
      <c r="CU577" s="1758"/>
      <c r="CV577" s="1758"/>
      <c r="CW577" s="1758"/>
      <c r="CX577" s="1758"/>
      <c r="CY577" s="1758"/>
      <c r="CZ577" s="1758"/>
      <c r="DA577" s="1758"/>
      <c r="DB577" s="1758"/>
      <c r="DC577" s="1758"/>
    </row>
    <row r="578" spans="1:107" s="1395" customFormat="1" ht="27" customHeight="1">
      <c r="A578" s="10827"/>
      <c r="B578" s="10732"/>
      <c r="C578" s="10729"/>
      <c r="D578" s="10729"/>
      <c r="E578" s="10729"/>
      <c r="F578" s="10745"/>
      <c r="G578" s="10729"/>
      <c r="H578" s="10729"/>
      <c r="I578" s="10729"/>
      <c r="J578" s="10729"/>
      <c r="K578" s="10736"/>
      <c r="L578" s="10739"/>
      <c r="M578" s="10739"/>
      <c r="N578" s="10739"/>
      <c r="O578" s="10736"/>
      <c r="P578" s="10736"/>
      <c r="Q578" s="10751"/>
      <c r="R578" s="5175"/>
      <c r="S578" s="5215"/>
      <c r="T578" s="5215"/>
      <c r="U578" s="5251"/>
      <c r="V578" s="5282"/>
      <c r="W578" s="5303"/>
      <c r="X578" s="7479"/>
      <c r="Y578" s="7479"/>
      <c r="Z578" s="7479"/>
      <c r="AA578" s="7480"/>
      <c r="AB578" s="5326"/>
      <c r="AC578" s="1399"/>
      <c r="AD578" s="5303"/>
      <c r="AE578" s="5348"/>
      <c r="AF578" s="5348"/>
      <c r="AG578" s="10778"/>
      <c r="AH578" s="1758"/>
      <c r="AI578" s="1758"/>
      <c r="AJ578" s="1758"/>
      <c r="AK578" s="1758"/>
      <c r="AL578" s="1758"/>
      <c r="AM578" s="1758"/>
      <c r="AN578" s="1758"/>
      <c r="AO578" s="1758"/>
      <c r="AP578" s="1758"/>
      <c r="AQ578" s="1758"/>
      <c r="AR578" s="1758"/>
      <c r="AS578" s="1758"/>
      <c r="AT578" s="1758"/>
      <c r="AU578" s="1758"/>
      <c r="AV578" s="1758"/>
      <c r="AW578" s="1758"/>
      <c r="AX578" s="1758"/>
      <c r="AY578" s="1758"/>
      <c r="AZ578" s="1758"/>
      <c r="BA578" s="1758"/>
      <c r="BB578" s="1758"/>
      <c r="BC578" s="1758"/>
      <c r="BD578" s="1758"/>
      <c r="BE578" s="1758"/>
      <c r="BF578" s="1758"/>
      <c r="BG578" s="1758"/>
      <c r="BH578" s="1758"/>
      <c r="BI578" s="1758"/>
      <c r="BJ578" s="1758"/>
      <c r="BK578" s="1758"/>
      <c r="BL578" s="1758"/>
      <c r="BM578" s="1758"/>
      <c r="BN578" s="1758"/>
      <c r="BO578" s="1758"/>
      <c r="BP578" s="1758"/>
      <c r="BQ578" s="1758"/>
      <c r="BR578" s="1758"/>
      <c r="BS578" s="1758"/>
      <c r="BT578" s="1758"/>
      <c r="BU578" s="1758"/>
      <c r="BV578" s="1758"/>
      <c r="BW578" s="1758"/>
      <c r="BX578" s="1758"/>
      <c r="BY578" s="1758"/>
      <c r="BZ578" s="1758"/>
      <c r="CA578" s="1758"/>
      <c r="CB578" s="1758"/>
      <c r="CC578" s="1758"/>
      <c r="CD578" s="1758"/>
      <c r="CE578" s="1758"/>
      <c r="CF578" s="1758"/>
      <c r="CG578" s="1758"/>
      <c r="CH578" s="1758"/>
      <c r="CI578" s="1758"/>
      <c r="CJ578" s="1758"/>
      <c r="CK578" s="1758"/>
      <c r="CL578" s="1758"/>
      <c r="CM578" s="1758"/>
      <c r="CN578" s="1758"/>
      <c r="CO578" s="1758"/>
      <c r="CP578" s="1758"/>
      <c r="CQ578" s="1758"/>
      <c r="CR578" s="1758"/>
      <c r="CS578" s="1758"/>
      <c r="CT578" s="1758"/>
      <c r="CU578" s="1758"/>
      <c r="CV578" s="1758"/>
      <c r="CW578" s="1758"/>
      <c r="CX578" s="1758"/>
      <c r="CY578" s="1758"/>
      <c r="CZ578" s="1758"/>
      <c r="DA578" s="1758"/>
      <c r="DB578" s="1758"/>
      <c r="DC578" s="1758"/>
    </row>
    <row r="579" spans="1:107" s="1395" customFormat="1" ht="45" customHeight="1">
      <c r="A579" s="10827"/>
      <c r="B579" s="10748" t="s">
        <v>127</v>
      </c>
      <c r="C579" s="10742" t="s">
        <v>128</v>
      </c>
      <c r="D579" s="10742" t="s">
        <v>1292</v>
      </c>
      <c r="E579" s="10742" t="s">
        <v>5006</v>
      </c>
      <c r="F579" s="10743" t="s">
        <v>1294</v>
      </c>
      <c r="G579" s="10742" t="s">
        <v>171</v>
      </c>
      <c r="H579" s="10742" t="s">
        <v>159</v>
      </c>
      <c r="I579" s="10742" t="s">
        <v>5120</v>
      </c>
      <c r="J579" s="10742" t="s">
        <v>5113</v>
      </c>
      <c r="K579" s="10734" t="s">
        <v>5114</v>
      </c>
      <c r="L579" s="10737">
        <v>0</v>
      </c>
      <c r="M579" s="10737">
        <v>1</v>
      </c>
      <c r="N579" s="10737">
        <v>1</v>
      </c>
      <c r="O579" s="10734" t="s">
        <v>5115</v>
      </c>
      <c r="P579" s="10734" t="s">
        <v>5010</v>
      </c>
      <c r="Q579" s="10740" t="s">
        <v>5118</v>
      </c>
      <c r="R579" s="5202" t="s">
        <v>5011</v>
      </c>
      <c r="S579" s="5227" t="s">
        <v>5012</v>
      </c>
      <c r="T579" s="5227"/>
      <c r="U579" s="5263" t="s">
        <v>16</v>
      </c>
      <c r="V579" s="5294"/>
      <c r="W579" s="5314" t="s">
        <v>180</v>
      </c>
      <c r="X579" s="7487">
        <v>370</v>
      </c>
      <c r="Y579" s="7487">
        <f>+V579*X579</f>
        <v>0</v>
      </c>
      <c r="Z579" s="7487">
        <f>+Y579*1.12</f>
        <v>0</v>
      </c>
      <c r="AA579" s="7503">
        <f>+Z579</f>
        <v>0</v>
      </c>
      <c r="AB579" s="5337"/>
      <c r="AC579" s="1416"/>
      <c r="AD579" s="5314"/>
      <c r="AE579" s="5364" t="s">
        <v>153</v>
      </c>
      <c r="AF579" s="5350"/>
      <c r="AG579" s="10779" t="s">
        <v>4843</v>
      </c>
      <c r="AH579" s="1758"/>
      <c r="AI579" s="1758"/>
      <c r="AJ579" s="1758"/>
      <c r="AK579" s="1758"/>
      <c r="AL579" s="1758"/>
      <c r="AM579" s="1758"/>
      <c r="AN579" s="1758"/>
      <c r="AO579" s="1758"/>
      <c r="AP579" s="1758"/>
      <c r="AQ579" s="1758"/>
      <c r="AR579" s="1758"/>
      <c r="AS579" s="1758"/>
      <c r="AT579" s="1758"/>
      <c r="AU579" s="1758"/>
      <c r="AV579" s="1758"/>
      <c r="AW579" s="1758"/>
      <c r="AX579" s="1758"/>
      <c r="AY579" s="1758"/>
      <c r="AZ579" s="1758"/>
      <c r="BA579" s="1758"/>
      <c r="BB579" s="1758"/>
      <c r="BC579" s="1758"/>
      <c r="BD579" s="1758"/>
      <c r="BE579" s="1758"/>
      <c r="BF579" s="1758"/>
      <c r="BG579" s="1758"/>
      <c r="BH579" s="1758"/>
      <c r="BI579" s="1758"/>
      <c r="BJ579" s="1758"/>
      <c r="BK579" s="1758"/>
      <c r="BL579" s="1758"/>
      <c r="BM579" s="1758"/>
      <c r="BN579" s="1758"/>
      <c r="BO579" s="1758"/>
      <c r="BP579" s="1758"/>
      <c r="BQ579" s="1758"/>
      <c r="BR579" s="1758"/>
      <c r="BS579" s="1758"/>
      <c r="BT579" s="1758"/>
      <c r="BU579" s="1758"/>
      <c r="BV579" s="1758"/>
      <c r="BW579" s="1758"/>
      <c r="BX579" s="1758"/>
      <c r="BY579" s="1758"/>
      <c r="BZ579" s="1758"/>
      <c r="CA579" s="1758"/>
      <c r="CB579" s="1758"/>
      <c r="CC579" s="1758"/>
      <c r="CD579" s="1758"/>
      <c r="CE579" s="1758"/>
      <c r="CF579" s="1758"/>
      <c r="CG579" s="1758"/>
      <c r="CH579" s="1758"/>
      <c r="CI579" s="1758"/>
      <c r="CJ579" s="1758"/>
      <c r="CK579" s="1758"/>
      <c r="CL579" s="1758"/>
      <c r="CM579" s="1758"/>
      <c r="CN579" s="1758"/>
      <c r="CO579" s="1758"/>
      <c r="CP579" s="1758"/>
      <c r="CQ579" s="1758"/>
      <c r="CR579" s="1758"/>
      <c r="CS579" s="1758"/>
      <c r="CT579" s="1758"/>
      <c r="CU579" s="1758"/>
      <c r="CV579" s="1758"/>
      <c r="CW579" s="1758"/>
      <c r="CX579" s="1758"/>
      <c r="CY579" s="1758"/>
      <c r="CZ579" s="1758"/>
      <c r="DA579" s="1758"/>
      <c r="DB579" s="1758"/>
      <c r="DC579" s="1758"/>
    </row>
    <row r="580" spans="1:107" s="1395" customFormat="1" ht="33.950000000000003" customHeight="1">
      <c r="A580" s="10827"/>
      <c r="B580" s="10731"/>
      <c r="C580" s="10728"/>
      <c r="D580" s="10728"/>
      <c r="E580" s="10728"/>
      <c r="F580" s="10744"/>
      <c r="G580" s="10728"/>
      <c r="H580" s="10728"/>
      <c r="I580" s="10728"/>
      <c r="J580" s="10728"/>
      <c r="K580" s="10735"/>
      <c r="L580" s="10738"/>
      <c r="M580" s="10738"/>
      <c r="N580" s="10738"/>
      <c r="O580" s="10735"/>
      <c r="P580" s="10735"/>
      <c r="Q580" s="10741"/>
      <c r="R580" s="5200" t="s">
        <v>5013</v>
      </c>
      <c r="S580" s="5228" t="s">
        <v>5014</v>
      </c>
      <c r="T580" s="5210"/>
      <c r="U580" s="5264" t="s">
        <v>5015</v>
      </c>
      <c r="V580" s="5279"/>
      <c r="W580" s="5300" t="s">
        <v>180</v>
      </c>
      <c r="X580" s="7473">
        <v>800</v>
      </c>
      <c r="Y580" s="7473">
        <f t="shared" ref="Y580:Y583" si="9">+V580*X580</f>
        <v>0</v>
      </c>
      <c r="Z580" s="7473">
        <f t="shared" ref="Z580:Z582" si="10">+Y580*1.12</f>
        <v>0</v>
      </c>
      <c r="AA580" s="7474">
        <f>+Z580</f>
        <v>0</v>
      </c>
      <c r="AB580" s="5323"/>
      <c r="AC580" s="1396"/>
      <c r="AD580" s="5300"/>
      <c r="AE580" s="5365" t="s">
        <v>153</v>
      </c>
      <c r="AF580" s="5346"/>
      <c r="AG580" s="10777"/>
      <c r="AH580" s="1758"/>
      <c r="AI580" s="1758"/>
      <c r="AJ580" s="1758"/>
      <c r="AK580" s="1758"/>
      <c r="AL580" s="1758"/>
      <c r="AM580" s="1758"/>
      <c r="AN580" s="1758"/>
      <c r="AO580" s="1758"/>
      <c r="AP580" s="1758"/>
      <c r="AQ580" s="1758"/>
      <c r="AR580" s="1758"/>
      <c r="AS580" s="1758"/>
      <c r="AT580" s="1758"/>
      <c r="AU580" s="1758"/>
      <c r="AV580" s="1758"/>
      <c r="AW580" s="1758"/>
      <c r="AX580" s="1758"/>
      <c r="AY580" s="1758"/>
      <c r="AZ580" s="1758"/>
      <c r="BA580" s="1758"/>
      <c r="BB580" s="1758"/>
      <c r="BC580" s="1758"/>
      <c r="BD580" s="1758"/>
      <c r="BE580" s="1758"/>
      <c r="BF580" s="1758"/>
      <c r="BG580" s="1758"/>
      <c r="BH580" s="1758"/>
      <c r="BI580" s="1758"/>
      <c r="BJ580" s="1758"/>
      <c r="BK580" s="1758"/>
      <c r="BL580" s="1758"/>
      <c r="BM580" s="1758"/>
      <c r="BN580" s="1758"/>
      <c r="BO580" s="1758"/>
      <c r="BP580" s="1758"/>
      <c r="BQ580" s="1758"/>
      <c r="BR580" s="1758"/>
      <c r="BS580" s="1758"/>
      <c r="BT580" s="1758"/>
      <c r="BU580" s="1758"/>
      <c r="BV580" s="1758"/>
      <c r="BW580" s="1758"/>
      <c r="BX580" s="1758"/>
      <c r="BY580" s="1758"/>
      <c r="BZ580" s="1758"/>
      <c r="CA580" s="1758"/>
      <c r="CB580" s="1758"/>
      <c r="CC580" s="1758"/>
      <c r="CD580" s="1758"/>
      <c r="CE580" s="1758"/>
      <c r="CF580" s="1758"/>
      <c r="CG580" s="1758"/>
      <c r="CH580" s="1758"/>
      <c r="CI580" s="1758"/>
      <c r="CJ580" s="1758"/>
      <c r="CK580" s="1758"/>
      <c r="CL580" s="1758"/>
      <c r="CM580" s="1758"/>
      <c r="CN580" s="1758"/>
      <c r="CO580" s="1758"/>
      <c r="CP580" s="1758"/>
      <c r="CQ580" s="1758"/>
      <c r="CR580" s="1758"/>
      <c r="CS580" s="1758"/>
      <c r="CT580" s="1758"/>
      <c r="CU580" s="1758"/>
      <c r="CV580" s="1758"/>
      <c r="CW580" s="1758"/>
      <c r="CX580" s="1758"/>
      <c r="CY580" s="1758"/>
      <c r="CZ580" s="1758"/>
      <c r="DA580" s="1758"/>
      <c r="DB580" s="1758"/>
      <c r="DC580" s="1758"/>
    </row>
    <row r="581" spans="1:107" s="1395" customFormat="1" ht="33.950000000000003" customHeight="1">
      <c r="A581" s="10827"/>
      <c r="B581" s="10731"/>
      <c r="C581" s="10728"/>
      <c r="D581" s="10728"/>
      <c r="E581" s="10728"/>
      <c r="F581" s="10744"/>
      <c r="G581" s="10728"/>
      <c r="H581" s="10728"/>
      <c r="I581" s="10728"/>
      <c r="J581" s="10728"/>
      <c r="K581" s="10735"/>
      <c r="L581" s="10738"/>
      <c r="M581" s="10738"/>
      <c r="N581" s="10738"/>
      <c r="O581" s="10735"/>
      <c r="P581" s="10735"/>
      <c r="Q581" s="10741"/>
      <c r="R581" s="5200" t="s">
        <v>5016</v>
      </c>
      <c r="S581" s="5228" t="s">
        <v>5017</v>
      </c>
      <c r="T581" s="5228"/>
      <c r="U581" s="5264" t="s">
        <v>5018</v>
      </c>
      <c r="V581" s="5279"/>
      <c r="W581" s="5300" t="s">
        <v>180</v>
      </c>
      <c r="X581" s="7473">
        <v>1000</v>
      </c>
      <c r="Y581" s="7473">
        <f t="shared" si="9"/>
        <v>0</v>
      </c>
      <c r="Z581" s="7473">
        <f t="shared" si="10"/>
        <v>0</v>
      </c>
      <c r="AA581" s="7474">
        <f>+Z581</f>
        <v>0</v>
      </c>
      <c r="AB581" s="5323"/>
      <c r="AC581" s="1396"/>
      <c r="AD581" s="5300"/>
      <c r="AE581" s="5365" t="s">
        <v>153</v>
      </c>
      <c r="AF581" s="5346"/>
      <c r="AG581" s="10777"/>
      <c r="AH581" s="1758"/>
      <c r="AI581" s="1758"/>
      <c r="AJ581" s="1758"/>
      <c r="AK581" s="1758"/>
      <c r="AL581" s="1758"/>
      <c r="AM581" s="1758"/>
      <c r="AN581" s="1758"/>
      <c r="AO581" s="1758"/>
      <c r="AP581" s="1758"/>
      <c r="AQ581" s="1758"/>
      <c r="AR581" s="1758"/>
      <c r="AS581" s="1758"/>
      <c r="AT581" s="1758"/>
      <c r="AU581" s="1758"/>
      <c r="AV581" s="1758"/>
      <c r="AW581" s="1758"/>
      <c r="AX581" s="1758"/>
      <c r="AY581" s="1758"/>
      <c r="AZ581" s="1758"/>
      <c r="BA581" s="1758"/>
      <c r="BB581" s="1758"/>
      <c r="BC581" s="1758"/>
      <c r="BD581" s="1758"/>
      <c r="BE581" s="1758"/>
      <c r="BF581" s="1758"/>
      <c r="BG581" s="1758"/>
      <c r="BH581" s="1758"/>
      <c r="BI581" s="1758"/>
      <c r="BJ581" s="1758"/>
      <c r="BK581" s="1758"/>
      <c r="BL581" s="1758"/>
      <c r="BM581" s="1758"/>
      <c r="BN581" s="1758"/>
      <c r="BO581" s="1758"/>
      <c r="BP581" s="1758"/>
      <c r="BQ581" s="1758"/>
      <c r="BR581" s="1758"/>
      <c r="BS581" s="1758"/>
      <c r="BT581" s="1758"/>
      <c r="BU581" s="1758"/>
      <c r="BV581" s="1758"/>
      <c r="BW581" s="1758"/>
      <c r="BX581" s="1758"/>
      <c r="BY581" s="1758"/>
      <c r="BZ581" s="1758"/>
      <c r="CA581" s="1758"/>
      <c r="CB581" s="1758"/>
      <c r="CC581" s="1758"/>
      <c r="CD581" s="1758"/>
      <c r="CE581" s="1758"/>
      <c r="CF581" s="1758"/>
      <c r="CG581" s="1758"/>
      <c r="CH581" s="1758"/>
      <c r="CI581" s="1758"/>
      <c r="CJ581" s="1758"/>
      <c r="CK581" s="1758"/>
      <c r="CL581" s="1758"/>
      <c r="CM581" s="1758"/>
      <c r="CN581" s="1758"/>
      <c r="CO581" s="1758"/>
      <c r="CP581" s="1758"/>
      <c r="CQ581" s="1758"/>
      <c r="CR581" s="1758"/>
      <c r="CS581" s="1758"/>
      <c r="CT581" s="1758"/>
      <c r="CU581" s="1758"/>
      <c r="CV581" s="1758"/>
      <c r="CW581" s="1758"/>
      <c r="CX581" s="1758"/>
      <c r="CY581" s="1758"/>
      <c r="CZ581" s="1758"/>
      <c r="DA581" s="1758"/>
      <c r="DB581" s="1758"/>
      <c r="DC581" s="1758"/>
    </row>
    <row r="582" spans="1:107" s="1395" customFormat="1" ht="45" customHeight="1">
      <c r="A582" s="10827"/>
      <c r="B582" s="10731"/>
      <c r="C582" s="10728"/>
      <c r="D582" s="10728"/>
      <c r="E582" s="10728"/>
      <c r="F582" s="10744"/>
      <c r="G582" s="10728"/>
      <c r="H582" s="10728"/>
      <c r="I582" s="10728"/>
      <c r="J582" s="10728"/>
      <c r="K582" s="10735"/>
      <c r="L582" s="10738"/>
      <c r="M582" s="10738"/>
      <c r="N582" s="10738"/>
      <c r="O582" s="10735"/>
      <c r="P582" s="10735"/>
      <c r="Q582" s="10741"/>
      <c r="R582" s="5200" t="s">
        <v>5019</v>
      </c>
      <c r="S582" s="5228" t="s">
        <v>5020</v>
      </c>
      <c r="T582" s="5228"/>
      <c r="U582" s="5264" t="s">
        <v>16</v>
      </c>
      <c r="V582" s="5279"/>
      <c r="W582" s="5300" t="s">
        <v>180</v>
      </c>
      <c r="X582" s="7473">
        <v>400</v>
      </c>
      <c r="Y582" s="7473">
        <f t="shared" si="9"/>
        <v>0</v>
      </c>
      <c r="Z582" s="7473">
        <f t="shared" si="10"/>
        <v>0</v>
      </c>
      <c r="AA582" s="7474">
        <f>+Z582</f>
        <v>0</v>
      </c>
      <c r="AB582" s="5323"/>
      <c r="AC582" s="1396"/>
      <c r="AD582" s="5300"/>
      <c r="AE582" s="5365" t="s">
        <v>153</v>
      </c>
      <c r="AF582" s="5346"/>
      <c r="AG582" s="10777"/>
      <c r="AH582" s="1758"/>
      <c r="AI582" s="1758"/>
      <c r="AJ582" s="1758"/>
      <c r="AK582" s="1758"/>
      <c r="AL582" s="1758"/>
      <c r="AM582" s="1758"/>
      <c r="AN582" s="1758"/>
      <c r="AO582" s="1758"/>
      <c r="AP582" s="1758"/>
      <c r="AQ582" s="1758"/>
      <c r="AR582" s="1758"/>
      <c r="AS582" s="1758"/>
      <c r="AT582" s="1758"/>
      <c r="AU582" s="1758"/>
      <c r="AV582" s="1758"/>
      <c r="AW582" s="1758"/>
      <c r="AX582" s="1758"/>
      <c r="AY582" s="1758"/>
      <c r="AZ582" s="1758"/>
      <c r="BA582" s="1758"/>
      <c r="BB582" s="1758"/>
      <c r="BC582" s="1758"/>
      <c r="BD582" s="1758"/>
      <c r="BE582" s="1758"/>
      <c r="BF582" s="1758"/>
      <c r="BG582" s="1758"/>
      <c r="BH582" s="1758"/>
      <c r="BI582" s="1758"/>
      <c r="BJ582" s="1758"/>
      <c r="BK582" s="1758"/>
      <c r="BL582" s="1758"/>
      <c r="BM582" s="1758"/>
      <c r="BN582" s="1758"/>
      <c r="BO582" s="1758"/>
      <c r="BP582" s="1758"/>
      <c r="BQ582" s="1758"/>
      <c r="BR582" s="1758"/>
      <c r="BS582" s="1758"/>
      <c r="BT582" s="1758"/>
      <c r="BU582" s="1758"/>
      <c r="BV582" s="1758"/>
      <c r="BW582" s="1758"/>
      <c r="BX582" s="1758"/>
      <c r="BY582" s="1758"/>
      <c r="BZ582" s="1758"/>
      <c r="CA582" s="1758"/>
      <c r="CB582" s="1758"/>
      <c r="CC582" s="1758"/>
      <c r="CD582" s="1758"/>
      <c r="CE582" s="1758"/>
      <c r="CF582" s="1758"/>
      <c r="CG582" s="1758"/>
      <c r="CH582" s="1758"/>
      <c r="CI582" s="1758"/>
      <c r="CJ582" s="1758"/>
      <c r="CK582" s="1758"/>
      <c r="CL582" s="1758"/>
      <c r="CM582" s="1758"/>
      <c r="CN582" s="1758"/>
      <c r="CO582" s="1758"/>
      <c r="CP582" s="1758"/>
      <c r="CQ582" s="1758"/>
      <c r="CR582" s="1758"/>
      <c r="CS582" s="1758"/>
      <c r="CT582" s="1758"/>
      <c r="CU582" s="1758"/>
      <c r="CV582" s="1758"/>
      <c r="CW582" s="1758"/>
      <c r="CX582" s="1758"/>
      <c r="CY582" s="1758"/>
      <c r="CZ582" s="1758"/>
      <c r="DA582" s="1758"/>
      <c r="DB582" s="1758"/>
      <c r="DC582" s="1758"/>
    </row>
    <row r="583" spans="1:107" s="1395" customFormat="1" ht="33.950000000000003" customHeight="1">
      <c r="A583" s="10827"/>
      <c r="B583" s="10732"/>
      <c r="C583" s="10729"/>
      <c r="D583" s="10729"/>
      <c r="E583" s="10729"/>
      <c r="F583" s="10745"/>
      <c r="G583" s="10729"/>
      <c r="H583" s="10729"/>
      <c r="I583" s="10729"/>
      <c r="J583" s="10729"/>
      <c r="K583" s="10736"/>
      <c r="L583" s="10739"/>
      <c r="M583" s="10739"/>
      <c r="N583" s="10739"/>
      <c r="O583" s="10736"/>
      <c r="P583" s="10736"/>
      <c r="Q583" s="10749"/>
      <c r="R583" s="5201" t="s">
        <v>5016</v>
      </c>
      <c r="S583" s="5232" t="s">
        <v>5021</v>
      </c>
      <c r="T583" s="5230"/>
      <c r="U583" s="5272" t="s">
        <v>5015</v>
      </c>
      <c r="V583" s="5282"/>
      <c r="W583" s="5303" t="s">
        <v>180</v>
      </c>
      <c r="X583" s="7479">
        <v>1200</v>
      </c>
      <c r="Y583" s="7479">
        <f t="shared" si="9"/>
        <v>0</v>
      </c>
      <c r="Z583" s="7479">
        <f>+Y583*1.12</f>
        <v>0</v>
      </c>
      <c r="AA583" s="7480">
        <f>+Z583</f>
        <v>0</v>
      </c>
      <c r="AB583" s="5326"/>
      <c r="AC583" s="1399"/>
      <c r="AD583" s="5303"/>
      <c r="AE583" s="5366" t="s">
        <v>153</v>
      </c>
      <c r="AF583" s="5348"/>
      <c r="AG583" s="10778"/>
      <c r="AH583" s="1758"/>
      <c r="AI583" s="1758"/>
      <c r="AJ583" s="1758"/>
      <c r="AK583" s="1758"/>
      <c r="AL583" s="1758"/>
      <c r="AM583" s="1758"/>
      <c r="AN583" s="1758"/>
      <c r="AO583" s="1758"/>
      <c r="AP583" s="1758"/>
      <c r="AQ583" s="1758"/>
      <c r="AR583" s="1758"/>
      <c r="AS583" s="1758"/>
      <c r="AT583" s="1758"/>
      <c r="AU583" s="1758"/>
      <c r="AV583" s="1758"/>
      <c r="AW583" s="1758"/>
      <c r="AX583" s="1758"/>
      <c r="AY583" s="1758"/>
      <c r="AZ583" s="1758"/>
      <c r="BA583" s="1758"/>
      <c r="BB583" s="1758"/>
      <c r="BC583" s="1758"/>
      <c r="BD583" s="1758"/>
      <c r="BE583" s="1758"/>
      <c r="BF583" s="1758"/>
      <c r="BG583" s="1758"/>
      <c r="BH583" s="1758"/>
      <c r="BI583" s="1758"/>
      <c r="BJ583" s="1758"/>
      <c r="BK583" s="1758"/>
      <c r="BL583" s="1758"/>
      <c r="BM583" s="1758"/>
      <c r="BN583" s="1758"/>
      <c r="BO583" s="1758"/>
      <c r="BP583" s="1758"/>
      <c r="BQ583" s="1758"/>
      <c r="BR583" s="1758"/>
      <c r="BS583" s="1758"/>
      <c r="BT583" s="1758"/>
      <c r="BU583" s="1758"/>
      <c r="BV583" s="1758"/>
      <c r="BW583" s="1758"/>
      <c r="BX583" s="1758"/>
      <c r="BY583" s="1758"/>
      <c r="BZ583" s="1758"/>
      <c r="CA583" s="1758"/>
      <c r="CB583" s="1758"/>
      <c r="CC583" s="1758"/>
      <c r="CD583" s="1758"/>
      <c r="CE583" s="1758"/>
      <c r="CF583" s="1758"/>
      <c r="CG583" s="1758"/>
      <c r="CH583" s="1758"/>
      <c r="CI583" s="1758"/>
      <c r="CJ583" s="1758"/>
      <c r="CK583" s="1758"/>
      <c r="CL583" s="1758"/>
      <c r="CM583" s="1758"/>
      <c r="CN583" s="1758"/>
      <c r="CO583" s="1758"/>
      <c r="CP583" s="1758"/>
      <c r="CQ583" s="1758"/>
      <c r="CR583" s="1758"/>
      <c r="CS583" s="1758"/>
      <c r="CT583" s="1758"/>
      <c r="CU583" s="1758"/>
      <c r="CV583" s="1758"/>
      <c r="CW583" s="1758"/>
      <c r="CX583" s="1758"/>
      <c r="CY583" s="1758"/>
      <c r="CZ583" s="1758"/>
      <c r="DA583" s="1758"/>
      <c r="DB583" s="1758"/>
      <c r="DC583" s="1758"/>
    </row>
    <row r="584" spans="1:107" s="1395" customFormat="1" ht="26.25" customHeight="1">
      <c r="A584" s="10827"/>
      <c r="B584" s="10731" t="s">
        <v>127</v>
      </c>
      <c r="C584" s="10728" t="s">
        <v>128</v>
      </c>
      <c r="D584" s="10728" t="s">
        <v>129</v>
      </c>
      <c r="E584" s="10728" t="s">
        <v>205</v>
      </c>
      <c r="F584" s="10744" t="s">
        <v>131</v>
      </c>
      <c r="G584" s="10728" t="s">
        <v>132</v>
      </c>
      <c r="H584" s="10728" t="s">
        <v>159</v>
      </c>
      <c r="I584" s="10728" t="s">
        <v>5121</v>
      </c>
      <c r="J584" s="10728" t="s">
        <v>4637</v>
      </c>
      <c r="K584" s="10735" t="s">
        <v>5024</v>
      </c>
      <c r="L584" s="10738">
        <v>0</v>
      </c>
      <c r="M584" s="10738">
        <v>4</v>
      </c>
      <c r="N584" s="10738">
        <v>4</v>
      </c>
      <c r="O584" s="10735" t="s">
        <v>5025</v>
      </c>
      <c r="P584" s="10735" t="s">
        <v>5026</v>
      </c>
      <c r="Q584" s="10741" t="s">
        <v>5118</v>
      </c>
      <c r="R584" s="5173"/>
      <c r="S584" s="5212"/>
      <c r="T584" s="5212"/>
      <c r="U584" s="5249"/>
      <c r="V584" s="5281"/>
      <c r="W584" s="5302"/>
      <c r="X584" s="7477"/>
      <c r="Y584" s="7477"/>
      <c r="Z584" s="7477"/>
      <c r="AA584" s="7478"/>
      <c r="AB584" s="5325"/>
      <c r="AC584" s="1398"/>
      <c r="AD584" s="5302"/>
      <c r="AE584" s="5349"/>
      <c r="AF584" s="5349"/>
      <c r="AG584" s="10777" t="s">
        <v>4843</v>
      </c>
      <c r="AH584" s="1758"/>
      <c r="AI584" s="1758"/>
      <c r="AJ584" s="1758"/>
      <c r="AK584" s="1758"/>
      <c r="AL584" s="1758"/>
      <c r="AM584" s="1758"/>
      <c r="AN584" s="1758"/>
      <c r="AO584" s="1758"/>
      <c r="AP584" s="1758"/>
      <c r="AQ584" s="1758"/>
      <c r="AR584" s="1758"/>
      <c r="AS584" s="1758"/>
      <c r="AT584" s="1758"/>
      <c r="AU584" s="1758"/>
      <c r="AV584" s="1758"/>
      <c r="AW584" s="1758"/>
      <c r="AX584" s="1758"/>
      <c r="AY584" s="1758"/>
      <c r="AZ584" s="1758"/>
      <c r="BA584" s="1758"/>
      <c r="BB584" s="1758"/>
      <c r="BC584" s="1758"/>
      <c r="BD584" s="1758"/>
      <c r="BE584" s="1758"/>
      <c r="BF584" s="1758"/>
      <c r="BG584" s="1758"/>
      <c r="BH584" s="1758"/>
      <c r="BI584" s="1758"/>
      <c r="BJ584" s="1758"/>
      <c r="BK584" s="1758"/>
      <c r="BL584" s="1758"/>
      <c r="BM584" s="1758"/>
      <c r="BN584" s="1758"/>
      <c r="BO584" s="1758"/>
      <c r="BP584" s="1758"/>
      <c r="BQ584" s="1758"/>
      <c r="BR584" s="1758"/>
      <c r="BS584" s="1758"/>
      <c r="BT584" s="1758"/>
      <c r="BU584" s="1758"/>
      <c r="BV584" s="1758"/>
      <c r="BW584" s="1758"/>
      <c r="BX584" s="1758"/>
      <c r="BY584" s="1758"/>
      <c r="BZ584" s="1758"/>
      <c r="CA584" s="1758"/>
      <c r="CB584" s="1758"/>
      <c r="CC584" s="1758"/>
      <c r="CD584" s="1758"/>
      <c r="CE584" s="1758"/>
      <c r="CF584" s="1758"/>
      <c r="CG584" s="1758"/>
      <c r="CH584" s="1758"/>
      <c r="CI584" s="1758"/>
      <c r="CJ584" s="1758"/>
      <c r="CK584" s="1758"/>
      <c r="CL584" s="1758"/>
      <c r="CM584" s="1758"/>
      <c r="CN584" s="1758"/>
      <c r="CO584" s="1758"/>
      <c r="CP584" s="1758"/>
      <c r="CQ584" s="1758"/>
      <c r="CR584" s="1758"/>
      <c r="CS584" s="1758"/>
      <c r="CT584" s="1758"/>
      <c r="CU584" s="1758"/>
      <c r="CV584" s="1758"/>
      <c r="CW584" s="1758"/>
      <c r="CX584" s="1758"/>
      <c r="CY584" s="1758"/>
      <c r="CZ584" s="1758"/>
      <c r="DA584" s="1758"/>
      <c r="DB584" s="1758"/>
      <c r="DC584" s="1758"/>
    </row>
    <row r="585" spans="1:107" s="1395" customFormat="1" ht="26.25" customHeight="1">
      <c r="A585" s="10827"/>
      <c r="B585" s="10731"/>
      <c r="C585" s="10728"/>
      <c r="D585" s="10728"/>
      <c r="E585" s="10728"/>
      <c r="F585" s="10744"/>
      <c r="G585" s="10728"/>
      <c r="H585" s="10728"/>
      <c r="I585" s="10728"/>
      <c r="J585" s="10728"/>
      <c r="K585" s="10735"/>
      <c r="L585" s="10738"/>
      <c r="M585" s="10738"/>
      <c r="N585" s="10738"/>
      <c r="O585" s="10735"/>
      <c r="P585" s="10735"/>
      <c r="Q585" s="10741"/>
      <c r="R585" s="5171"/>
      <c r="S585" s="5213"/>
      <c r="T585" s="5213"/>
      <c r="U585" s="5247"/>
      <c r="V585" s="5279"/>
      <c r="W585" s="5300"/>
      <c r="X585" s="7473"/>
      <c r="Y585" s="7473"/>
      <c r="Z585" s="7473"/>
      <c r="AA585" s="7474"/>
      <c r="AB585" s="5323"/>
      <c r="AC585" s="1396"/>
      <c r="AD585" s="5300"/>
      <c r="AE585" s="5346"/>
      <c r="AF585" s="5346"/>
      <c r="AG585" s="10777"/>
      <c r="AH585" s="1758"/>
      <c r="AI585" s="1758"/>
      <c r="AJ585" s="1758"/>
      <c r="AK585" s="1758"/>
      <c r="AL585" s="1758"/>
      <c r="AM585" s="1758"/>
      <c r="AN585" s="1758"/>
      <c r="AO585" s="1758"/>
      <c r="AP585" s="1758"/>
      <c r="AQ585" s="1758"/>
      <c r="AR585" s="1758"/>
      <c r="AS585" s="1758"/>
      <c r="AT585" s="1758"/>
      <c r="AU585" s="1758"/>
      <c r="AV585" s="1758"/>
      <c r="AW585" s="1758"/>
      <c r="AX585" s="1758"/>
      <c r="AY585" s="1758"/>
      <c r="AZ585" s="1758"/>
      <c r="BA585" s="1758"/>
      <c r="BB585" s="1758"/>
      <c r="BC585" s="1758"/>
      <c r="BD585" s="1758"/>
      <c r="BE585" s="1758"/>
      <c r="BF585" s="1758"/>
      <c r="BG585" s="1758"/>
      <c r="BH585" s="1758"/>
      <c r="BI585" s="1758"/>
      <c r="BJ585" s="1758"/>
      <c r="BK585" s="1758"/>
      <c r="BL585" s="1758"/>
      <c r="BM585" s="1758"/>
      <c r="BN585" s="1758"/>
      <c r="BO585" s="1758"/>
      <c r="BP585" s="1758"/>
      <c r="BQ585" s="1758"/>
      <c r="BR585" s="1758"/>
      <c r="BS585" s="1758"/>
      <c r="BT585" s="1758"/>
      <c r="BU585" s="1758"/>
      <c r="BV585" s="1758"/>
      <c r="BW585" s="1758"/>
      <c r="BX585" s="1758"/>
      <c r="BY585" s="1758"/>
      <c r="BZ585" s="1758"/>
      <c r="CA585" s="1758"/>
      <c r="CB585" s="1758"/>
      <c r="CC585" s="1758"/>
      <c r="CD585" s="1758"/>
      <c r="CE585" s="1758"/>
      <c r="CF585" s="1758"/>
      <c r="CG585" s="1758"/>
      <c r="CH585" s="1758"/>
      <c r="CI585" s="1758"/>
      <c r="CJ585" s="1758"/>
      <c r="CK585" s="1758"/>
      <c r="CL585" s="1758"/>
      <c r="CM585" s="1758"/>
      <c r="CN585" s="1758"/>
      <c r="CO585" s="1758"/>
      <c r="CP585" s="1758"/>
      <c r="CQ585" s="1758"/>
      <c r="CR585" s="1758"/>
      <c r="CS585" s="1758"/>
      <c r="CT585" s="1758"/>
      <c r="CU585" s="1758"/>
      <c r="CV585" s="1758"/>
      <c r="CW585" s="1758"/>
      <c r="CX585" s="1758"/>
      <c r="CY585" s="1758"/>
      <c r="CZ585" s="1758"/>
      <c r="DA585" s="1758"/>
      <c r="DB585" s="1758"/>
      <c r="DC585" s="1758"/>
    </row>
    <row r="586" spans="1:107" s="1395" customFormat="1" ht="26.25" customHeight="1">
      <c r="A586" s="10827"/>
      <c r="B586" s="10731"/>
      <c r="C586" s="10728"/>
      <c r="D586" s="10728"/>
      <c r="E586" s="10728"/>
      <c r="F586" s="10744"/>
      <c r="G586" s="10728"/>
      <c r="H586" s="10728"/>
      <c r="I586" s="10728"/>
      <c r="J586" s="10728"/>
      <c r="K586" s="10735"/>
      <c r="L586" s="10738"/>
      <c r="M586" s="10738"/>
      <c r="N586" s="10738"/>
      <c r="O586" s="10735"/>
      <c r="P586" s="10735"/>
      <c r="Q586" s="10741"/>
      <c r="R586" s="5174"/>
      <c r="S586" s="5214"/>
      <c r="T586" s="5214"/>
      <c r="U586" s="5250"/>
      <c r="V586" s="5281"/>
      <c r="W586" s="5302"/>
      <c r="X586" s="7477"/>
      <c r="Y586" s="7473"/>
      <c r="Z586" s="7473"/>
      <c r="AA586" s="7474"/>
      <c r="AB586" s="5323"/>
      <c r="AC586" s="1396"/>
      <c r="AD586" s="5300"/>
      <c r="AE586" s="5346"/>
      <c r="AF586" s="5346"/>
      <c r="AG586" s="10777"/>
      <c r="AH586" s="1758"/>
      <c r="AI586" s="1758"/>
      <c r="AJ586" s="1758"/>
      <c r="AK586" s="1758"/>
      <c r="AL586" s="1758"/>
      <c r="AM586" s="1758"/>
      <c r="AN586" s="1758"/>
      <c r="AO586" s="1758"/>
      <c r="AP586" s="1758"/>
      <c r="AQ586" s="1758"/>
      <c r="AR586" s="1758"/>
      <c r="AS586" s="1758"/>
      <c r="AT586" s="1758"/>
      <c r="AU586" s="1758"/>
      <c r="AV586" s="1758"/>
      <c r="AW586" s="1758"/>
      <c r="AX586" s="1758"/>
      <c r="AY586" s="1758"/>
      <c r="AZ586" s="1758"/>
      <c r="BA586" s="1758"/>
      <c r="BB586" s="1758"/>
      <c r="BC586" s="1758"/>
      <c r="BD586" s="1758"/>
      <c r="BE586" s="1758"/>
      <c r="BF586" s="1758"/>
      <c r="BG586" s="1758"/>
      <c r="BH586" s="1758"/>
      <c r="BI586" s="1758"/>
      <c r="BJ586" s="1758"/>
      <c r="BK586" s="1758"/>
      <c r="BL586" s="1758"/>
      <c r="BM586" s="1758"/>
      <c r="BN586" s="1758"/>
      <c r="BO586" s="1758"/>
      <c r="BP586" s="1758"/>
      <c r="BQ586" s="1758"/>
      <c r="BR586" s="1758"/>
      <c r="BS586" s="1758"/>
      <c r="BT586" s="1758"/>
      <c r="BU586" s="1758"/>
      <c r="BV586" s="1758"/>
      <c r="BW586" s="1758"/>
      <c r="BX586" s="1758"/>
      <c r="BY586" s="1758"/>
      <c r="BZ586" s="1758"/>
      <c r="CA586" s="1758"/>
      <c r="CB586" s="1758"/>
      <c r="CC586" s="1758"/>
      <c r="CD586" s="1758"/>
      <c r="CE586" s="1758"/>
      <c r="CF586" s="1758"/>
      <c r="CG586" s="1758"/>
      <c r="CH586" s="1758"/>
      <c r="CI586" s="1758"/>
      <c r="CJ586" s="1758"/>
      <c r="CK586" s="1758"/>
      <c r="CL586" s="1758"/>
      <c r="CM586" s="1758"/>
      <c r="CN586" s="1758"/>
      <c r="CO586" s="1758"/>
      <c r="CP586" s="1758"/>
      <c r="CQ586" s="1758"/>
      <c r="CR586" s="1758"/>
      <c r="CS586" s="1758"/>
      <c r="CT586" s="1758"/>
      <c r="CU586" s="1758"/>
      <c r="CV586" s="1758"/>
      <c r="CW586" s="1758"/>
      <c r="CX586" s="1758"/>
      <c r="CY586" s="1758"/>
      <c r="CZ586" s="1758"/>
      <c r="DA586" s="1758"/>
      <c r="DB586" s="1758"/>
      <c r="DC586" s="1758"/>
    </row>
    <row r="587" spans="1:107" s="1395" customFormat="1" ht="26.25" customHeight="1">
      <c r="A587" s="10827"/>
      <c r="B587" s="10731"/>
      <c r="C587" s="10728"/>
      <c r="D587" s="10728"/>
      <c r="E587" s="10728"/>
      <c r="F587" s="10744"/>
      <c r="G587" s="10728"/>
      <c r="H587" s="10728"/>
      <c r="I587" s="10728"/>
      <c r="J587" s="10728"/>
      <c r="K587" s="10735"/>
      <c r="L587" s="10738"/>
      <c r="M587" s="10738"/>
      <c r="N587" s="10738"/>
      <c r="O587" s="10735"/>
      <c r="P587" s="10735"/>
      <c r="Q587" s="10741"/>
      <c r="R587" s="5173"/>
      <c r="S587" s="5212"/>
      <c r="T587" s="5212"/>
      <c r="U587" s="5250"/>
      <c r="V587" s="5281"/>
      <c r="W587" s="5302"/>
      <c r="X587" s="7477"/>
      <c r="Y587" s="7473"/>
      <c r="Z587" s="7473"/>
      <c r="AA587" s="7474"/>
      <c r="AB587" s="5323"/>
      <c r="AC587" s="1396"/>
      <c r="AD587" s="5300"/>
      <c r="AE587" s="5346"/>
      <c r="AF587" s="5346"/>
      <c r="AG587" s="10777"/>
      <c r="AH587" s="1758"/>
      <c r="AI587" s="1758"/>
      <c r="AJ587" s="1758"/>
      <c r="AK587" s="1758"/>
      <c r="AL587" s="1758"/>
      <c r="AM587" s="1758"/>
      <c r="AN587" s="1758"/>
      <c r="AO587" s="1758"/>
      <c r="AP587" s="1758"/>
      <c r="AQ587" s="1758"/>
      <c r="AR587" s="1758"/>
      <c r="AS587" s="1758"/>
      <c r="AT587" s="1758"/>
      <c r="AU587" s="1758"/>
      <c r="AV587" s="1758"/>
      <c r="AW587" s="1758"/>
      <c r="AX587" s="1758"/>
      <c r="AY587" s="1758"/>
      <c r="AZ587" s="1758"/>
      <c r="BA587" s="1758"/>
      <c r="BB587" s="1758"/>
      <c r="BC587" s="1758"/>
      <c r="BD587" s="1758"/>
      <c r="BE587" s="1758"/>
      <c r="BF587" s="1758"/>
      <c r="BG587" s="1758"/>
      <c r="BH587" s="1758"/>
      <c r="BI587" s="1758"/>
      <c r="BJ587" s="1758"/>
      <c r="BK587" s="1758"/>
      <c r="BL587" s="1758"/>
      <c r="BM587" s="1758"/>
      <c r="BN587" s="1758"/>
      <c r="BO587" s="1758"/>
      <c r="BP587" s="1758"/>
      <c r="BQ587" s="1758"/>
      <c r="BR587" s="1758"/>
      <c r="BS587" s="1758"/>
      <c r="BT587" s="1758"/>
      <c r="BU587" s="1758"/>
      <c r="BV587" s="1758"/>
      <c r="BW587" s="1758"/>
      <c r="BX587" s="1758"/>
      <c r="BY587" s="1758"/>
      <c r="BZ587" s="1758"/>
      <c r="CA587" s="1758"/>
      <c r="CB587" s="1758"/>
      <c r="CC587" s="1758"/>
      <c r="CD587" s="1758"/>
      <c r="CE587" s="1758"/>
      <c r="CF587" s="1758"/>
      <c r="CG587" s="1758"/>
      <c r="CH587" s="1758"/>
      <c r="CI587" s="1758"/>
      <c r="CJ587" s="1758"/>
      <c r="CK587" s="1758"/>
      <c r="CL587" s="1758"/>
      <c r="CM587" s="1758"/>
      <c r="CN587" s="1758"/>
      <c r="CO587" s="1758"/>
      <c r="CP587" s="1758"/>
      <c r="CQ587" s="1758"/>
      <c r="CR587" s="1758"/>
      <c r="CS587" s="1758"/>
      <c r="CT587" s="1758"/>
      <c r="CU587" s="1758"/>
      <c r="CV587" s="1758"/>
      <c r="CW587" s="1758"/>
      <c r="CX587" s="1758"/>
      <c r="CY587" s="1758"/>
      <c r="CZ587" s="1758"/>
      <c r="DA587" s="1758"/>
      <c r="DB587" s="1758"/>
      <c r="DC587" s="1758"/>
    </row>
    <row r="588" spans="1:107" s="1395" customFormat="1" ht="26.25" customHeight="1">
      <c r="A588" s="10827"/>
      <c r="B588" s="10732"/>
      <c r="C588" s="10729"/>
      <c r="D588" s="10729"/>
      <c r="E588" s="10729"/>
      <c r="F588" s="10745"/>
      <c r="G588" s="10729"/>
      <c r="H588" s="10729"/>
      <c r="I588" s="10729"/>
      <c r="J588" s="10729"/>
      <c r="K588" s="10736"/>
      <c r="L588" s="10739"/>
      <c r="M588" s="10739"/>
      <c r="N588" s="10739"/>
      <c r="O588" s="10736"/>
      <c r="P588" s="10736"/>
      <c r="Q588" s="10749"/>
      <c r="R588" s="5175"/>
      <c r="S588" s="5215"/>
      <c r="T588" s="5215"/>
      <c r="U588" s="5251"/>
      <c r="V588" s="5282"/>
      <c r="W588" s="5303"/>
      <c r="X588" s="7479"/>
      <c r="Y588" s="7479"/>
      <c r="Z588" s="7479"/>
      <c r="AA588" s="7480"/>
      <c r="AB588" s="5326"/>
      <c r="AC588" s="1399"/>
      <c r="AD588" s="5303"/>
      <c r="AE588" s="5348"/>
      <c r="AF588" s="5348"/>
      <c r="AG588" s="10778"/>
      <c r="AH588" s="1758"/>
      <c r="AI588" s="1758"/>
      <c r="AJ588" s="1758"/>
      <c r="AK588" s="1758"/>
      <c r="AL588" s="1758"/>
      <c r="AM588" s="1758"/>
      <c r="AN588" s="1758"/>
      <c r="AO588" s="1758"/>
      <c r="AP588" s="1758"/>
      <c r="AQ588" s="1758"/>
      <c r="AR588" s="1758"/>
      <c r="AS588" s="1758"/>
      <c r="AT588" s="1758"/>
      <c r="AU588" s="1758"/>
      <c r="AV588" s="1758"/>
      <c r="AW588" s="1758"/>
      <c r="AX588" s="1758"/>
      <c r="AY588" s="1758"/>
      <c r="AZ588" s="1758"/>
      <c r="BA588" s="1758"/>
      <c r="BB588" s="1758"/>
      <c r="BC588" s="1758"/>
      <c r="BD588" s="1758"/>
      <c r="BE588" s="1758"/>
      <c r="BF588" s="1758"/>
      <c r="BG588" s="1758"/>
      <c r="BH588" s="1758"/>
      <c r="BI588" s="1758"/>
      <c r="BJ588" s="1758"/>
      <c r="BK588" s="1758"/>
      <c r="BL588" s="1758"/>
      <c r="BM588" s="1758"/>
      <c r="BN588" s="1758"/>
      <c r="BO588" s="1758"/>
      <c r="BP588" s="1758"/>
      <c r="BQ588" s="1758"/>
      <c r="BR588" s="1758"/>
      <c r="BS588" s="1758"/>
      <c r="BT588" s="1758"/>
      <c r="BU588" s="1758"/>
      <c r="BV588" s="1758"/>
      <c r="BW588" s="1758"/>
      <c r="BX588" s="1758"/>
      <c r="BY588" s="1758"/>
      <c r="BZ588" s="1758"/>
      <c r="CA588" s="1758"/>
      <c r="CB588" s="1758"/>
      <c r="CC588" s="1758"/>
      <c r="CD588" s="1758"/>
      <c r="CE588" s="1758"/>
      <c r="CF588" s="1758"/>
      <c r="CG588" s="1758"/>
      <c r="CH588" s="1758"/>
      <c r="CI588" s="1758"/>
      <c r="CJ588" s="1758"/>
      <c r="CK588" s="1758"/>
      <c r="CL588" s="1758"/>
      <c r="CM588" s="1758"/>
      <c r="CN588" s="1758"/>
      <c r="CO588" s="1758"/>
      <c r="CP588" s="1758"/>
      <c r="CQ588" s="1758"/>
      <c r="CR588" s="1758"/>
      <c r="CS588" s="1758"/>
      <c r="CT588" s="1758"/>
      <c r="CU588" s="1758"/>
      <c r="CV588" s="1758"/>
      <c r="CW588" s="1758"/>
      <c r="CX588" s="1758"/>
      <c r="CY588" s="1758"/>
      <c r="CZ588" s="1758"/>
      <c r="DA588" s="1758"/>
      <c r="DB588" s="1758"/>
      <c r="DC588" s="1758"/>
    </row>
    <row r="589" spans="1:107" s="1395" customFormat="1" ht="22.5" customHeight="1">
      <c r="A589" s="10827"/>
      <c r="B589" s="10731" t="s">
        <v>183</v>
      </c>
      <c r="C589" s="10728" t="s">
        <v>227</v>
      </c>
      <c r="D589" s="10728" t="s">
        <v>129</v>
      </c>
      <c r="E589" s="10728" t="s">
        <v>205</v>
      </c>
      <c r="F589" s="10744" t="s">
        <v>131</v>
      </c>
      <c r="G589" s="10728" t="s">
        <v>132</v>
      </c>
      <c r="H589" s="10728" t="s">
        <v>189</v>
      </c>
      <c r="I589" s="10728" t="s">
        <v>5122</v>
      </c>
      <c r="J589" s="10742" t="s">
        <v>5077</v>
      </c>
      <c r="K589" s="10735" t="s">
        <v>5030</v>
      </c>
      <c r="L589" s="10738">
        <v>0</v>
      </c>
      <c r="M589" s="10738">
        <v>3</v>
      </c>
      <c r="N589" s="10738">
        <v>3</v>
      </c>
      <c r="O589" s="10735" t="s">
        <v>5031</v>
      </c>
      <c r="P589" s="10735" t="s">
        <v>5010</v>
      </c>
      <c r="Q589" s="10750" t="s">
        <v>5118</v>
      </c>
      <c r="R589" s="5173"/>
      <c r="S589" s="5212"/>
      <c r="T589" s="5212"/>
      <c r="U589" s="5249"/>
      <c r="V589" s="5281"/>
      <c r="W589" s="5302"/>
      <c r="X589" s="7477"/>
      <c r="Y589" s="7477"/>
      <c r="Z589" s="7477"/>
      <c r="AA589" s="7478"/>
      <c r="AB589" s="5325"/>
      <c r="AC589" s="1398"/>
      <c r="AD589" s="5302"/>
      <c r="AE589" s="5349"/>
      <c r="AF589" s="5349"/>
      <c r="AG589" s="10777"/>
      <c r="AH589" s="1758"/>
      <c r="AI589" s="1758"/>
      <c r="AJ589" s="1758"/>
      <c r="AK589" s="1758"/>
      <c r="AL589" s="1758"/>
      <c r="AM589" s="1758"/>
      <c r="AN589" s="1758"/>
      <c r="AO589" s="1758"/>
      <c r="AP589" s="1758"/>
      <c r="AQ589" s="1758"/>
      <c r="AR589" s="1758"/>
      <c r="AS589" s="1758"/>
      <c r="AT589" s="1758"/>
      <c r="AU589" s="1758"/>
      <c r="AV589" s="1758"/>
      <c r="AW589" s="1758"/>
      <c r="AX589" s="1758"/>
      <c r="AY589" s="1758"/>
      <c r="AZ589" s="1758"/>
      <c r="BA589" s="1758"/>
      <c r="BB589" s="1758"/>
      <c r="BC589" s="1758"/>
      <c r="BD589" s="1758"/>
      <c r="BE589" s="1758"/>
      <c r="BF589" s="1758"/>
      <c r="BG589" s="1758"/>
      <c r="BH589" s="1758"/>
      <c r="BI589" s="1758"/>
      <c r="BJ589" s="1758"/>
      <c r="BK589" s="1758"/>
      <c r="BL589" s="1758"/>
      <c r="BM589" s="1758"/>
      <c r="BN589" s="1758"/>
      <c r="BO589" s="1758"/>
      <c r="BP589" s="1758"/>
      <c r="BQ589" s="1758"/>
      <c r="BR589" s="1758"/>
      <c r="BS589" s="1758"/>
      <c r="BT589" s="1758"/>
      <c r="BU589" s="1758"/>
      <c r="BV589" s="1758"/>
      <c r="BW589" s="1758"/>
      <c r="BX589" s="1758"/>
      <c r="BY589" s="1758"/>
      <c r="BZ589" s="1758"/>
      <c r="CA589" s="1758"/>
      <c r="CB589" s="1758"/>
      <c r="CC589" s="1758"/>
      <c r="CD589" s="1758"/>
      <c r="CE589" s="1758"/>
      <c r="CF589" s="1758"/>
      <c r="CG589" s="1758"/>
      <c r="CH589" s="1758"/>
      <c r="CI589" s="1758"/>
      <c r="CJ589" s="1758"/>
      <c r="CK589" s="1758"/>
      <c r="CL589" s="1758"/>
      <c r="CM589" s="1758"/>
      <c r="CN589" s="1758"/>
      <c r="CO589" s="1758"/>
      <c r="CP589" s="1758"/>
      <c r="CQ589" s="1758"/>
      <c r="CR589" s="1758"/>
      <c r="CS589" s="1758"/>
      <c r="CT589" s="1758"/>
      <c r="CU589" s="1758"/>
      <c r="CV589" s="1758"/>
      <c r="CW589" s="1758"/>
      <c r="CX589" s="1758"/>
      <c r="CY589" s="1758"/>
      <c r="CZ589" s="1758"/>
      <c r="DA589" s="1758"/>
      <c r="DB589" s="1758"/>
      <c r="DC589" s="1758"/>
    </row>
    <row r="590" spans="1:107" s="1395" customFormat="1" ht="22.5" customHeight="1">
      <c r="A590" s="10827"/>
      <c r="B590" s="10731"/>
      <c r="C590" s="10728"/>
      <c r="D590" s="10728"/>
      <c r="E590" s="10728"/>
      <c r="F590" s="10744"/>
      <c r="G590" s="10728"/>
      <c r="H590" s="10728"/>
      <c r="I590" s="10728"/>
      <c r="J590" s="10728"/>
      <c r="K590" s="10735"/>
      <c r="L590" s="10738"/>
      <c r="M590" s="10738"/>
      <c r="N590" s="10738"/>
      <c r="O590" s="10735"/>
      <c r="P590" s="10735"/>
      <c r="Q590" s="10750"/>
      <c r="R590" s="5171"/>
      <c r="S590" s="5213"/>
      <c r="T590" s="5213"/>
      <c r="U590" s="5247"/>
      <c r="V590" s="5279"/>
      <c r="W590" s="5300"/>
      <c r="X590" s="7473"/>
      <c r="Y590" s="7473"/>
      <c r="Z590" s="7473"/>
      <c r="AA590" s="7474"/>
      <c r="AB590" s="5323"/>
      <c r="AC590" s="1396"/>
      <c r="AD590" s="5300"/>
      <c r="AE590" s="5346"/>
      <c r="AF590" s="5346"/>
      <c r="AG590" s="10777"/>
      <c r="AH590" s="1758"/>
      <c r="AI590" s="1758"/>
      <c r="AJ590" s="1758"/>
      <c r="AK590" s="1758"/>
      <c r="AL590" s="1758"/>
      <c r="AM590" s="1758"/>
      <c r="AN590" s="1758"/>
      <c r="AO590" s="1758"/>
      <c r="AP590" s="1758"/>
      <c r="AQ590" s="1758"/>
      <c r="AR590" s="1758"/>
      <c r="AS590" s="1758"/>
      <c r="AT590" s="1758"/>
      <c r="AU590" s="1758"/>
      <c r="AV590" s="1758"/>
      <c r="AW590" s="1758"/>
      <c r="AX590" s="1758"/>
      <c r="AY590" s="1758"/>
      <c r="AZ590" s="1758"/>
      <c r="BA590" s="1758"/>
      <c r="BB590" s="1758"/>
      <c r="BC590" s="1758"/>
      <c r="BD590" s="1758"/>
      <c r="BE590" s="1758"/>
      <c r="BF590" s="1758"/>
      <c r="BG590" s="1758"/>
      <c r="BH590" s="1758"/>
      <c r="BI590" s="1758"/>
      <c r="BJ590" s="1758"/>
      <c r="BK590" s="1758"/>
      <c r="BL590" s="1758"/>
      <c r="BM590" s="1758"/>
      <c r="BN590" s="1758"/>
      <c r="BO590" s="1758"/>
      <c r="BP590" s="1758"/>
      <c r="BQ590" s="1758"/>
      <c r="BR590" s="1758"/>
      <c r="BS590" s="1758"/>
      <c r="BT590" s="1758"/>
      <c r="BU590" s="1758"/>
      <c r="BV590" s="1758"/>
      <c r="BW590" s="1758"/>
      <c r="BX590" s="1758"/>
      <c r="BY590" s="1758"/>
      <c r="BZ590" s="1758"/>
      <c r="CA590" s="1758"/>
      <c r="CB590" s="1758"/>
      <c r="CC590" s="1758"/>
      <c r="CD590" s="1758"/>
      <c r="CE590" s="1758"/>
      <c r="CF590" s="1758"/>
      <c r="CG590" s="1758"/>
      <c r="CH590" s="1758"/>
      <c r="CI590" s="1758"/>
      <c r="CJ590" s="1758"/>
      <c r="CK590" s="1758"/>
      <c r="CL590" s="1758"/>
      <c r="CM590" s="1758"/>
      <c r="CN590" s="1758"/>
      <c r="CO590" s="1758"/>
      <c r="CP590" s="1758"/>
      <c r="CQ590" s="1758"/>
      <c r="CR590" s="1758"/>
      <c r="CS590" s="1758"/>
      <c r="CT590" s="1758"/>
      <c r="CU590" s="1758"/>
      <c r="CV590" s="1758"/>
      <c r="CW590" s="1758"/>
      <c r="CX590" s="1758"/>
      <c r="CY590" s="1758"/>
      <c r="CZ590" s="1758"/>
      <c r="DA590" s="1758"/>
      <c r="DB590" s="1758"/>
      <c r="DC590" s="1758"/>
    </row>
    <row r="591" spans="1:107" s="1395" customFormat="1" ht="22.5" customHeight="1">
      <c r="A591" s="10827"/>
      <c r="B591" s="10731"/>
      <c r="C591" s="10728"/>
      <c r="D591" s="10728"/>
      <c r="E591" s="10728"/>
      <c r="F591" s="10744"/>
      <c r="G591" s="10728"/>
      <c r="H591" s="10728"/>
      <c r="I591" s="10728"/>
      <c r="J591" s="10728"/>
      <c r="K591" s="10735"/>
      <c r="L591" s="10738"/>
      <c r="M591" s="10738"/>
      <c r="N591" s="10738"/>
      <c r="O591" s="10735"/>
      <c r="P591" s="10735"/>
      <c r="Q591" s="10750"/>
      <c r="R591" s="5174"/>
      <c r="S591" s="5214"/>
      <c r="T591" s="5214"/>
      <c r="U591" s="5250"/>
      <c r="V591" s="5281"/>
      <c r="W591" s="5302"/>
      <c r="X591" s="7477"/>
      <c r="Y591" s="7473"/>
      <c r="Z591" s="7473"/>
      <c r="AA591" s="7474"/>
      <c r="AB591" s="5323"/>
      <c r="AC591" s="1396"/>
      <c r="AD591" s="5300"/>
      <c r="AE591" s="5346"/>
      <c r="AF591" s="5346"/>
      <c r="AG591" s="10777"/>
      <c r="AH591" s="1758"/>
      <c r="AI591" s="1758"/>
      <c r="AJ591" s="1758"/>
      <c r="AK591" s="1758"/>
      <c r="AL591" s="1758"/>
      <c r="AM591" s="1758"/>
      <c r="AN591" s="1758"/>
      <c r="AO591" s="1758"/>
      <c r="AP591" s="1758"/>
      <c r="AQ591" s="1758"/>
      <c r="AR591" s="1758"/>
      <c r="AS591" s="1758"/>
      <c r="AT591" s="1758"/>
      <c r="AU591" s="1758"/>
      <c r="AV591" s="1758"/>
      <c r="AW591" s="1758"/>
      <c r="AX591" s="1758"/>
      <c r="AY591" s="1758"/>
      <c r="AZ591" s="1758"/>
      <c r="BA591" s="1758"/>
      <c r="BB591" s="1758"/>
      <c r="BC591" s="1758"/>
      <c r="BD591" s="1758"/>
      <c r="BE591" s="1758"/>
      <c r="BF591" s="1758"/>
      <c r="BG591" s="1758"/>
      <c r="BH591" s="1758"/>
      <c r="BI591" s="1758"/>
      <c r="BJ591" s="1758"/>
      <c r="BK591" s="1758"/>
      <c r="BL591" s="1758"/>
      <c r="BM591" s="1758"/>
      <c r="BN591" s="1758"/>
      <c r="BO591" s="1758"/>
      <c r="BP591" s="1758"/>
      <c r="BQ591" s="1758"/>
      <c r="BR591" s="1758"/>
      <c r="BS591" s="1758"/>
      <c r="BT591" s="1758"/>
      <c r="BU591" s="1758"/>
      <c r="BV591" s="1758"/>
      <c r="BW591" s="1758"/>
      <c r="BX591" s="1758"/>
      <c r="BY591" s="1758"/>
      <c r="BZ591" s="1758"/>
      <c r="CA591" s="1758"/>
      <c r="CB591" s="1758"/>
      <c r="CC591" s="1758"/>
      <c r="CD591" s="1758"/>
      <c r="CE591" s="1758"/>
      <c r="CF591" s="1758"/>
      <c r="CG591" s="1758"/>
      <c r="CH591" s="1758"/>
      <c r="CI591" s="1758"/>
      <c r="CJ591" s="1758"/>
      <c r="CK591" s="1758"/>
      <c r="CL591" s="1758"/>
      <c r="CM591" s="1758"/>
      <c r="CN591" s="1758"/>
      <c r="CO591" s="1758"/>
      <c r="CP591" s="1758"/>
      <c r="CQ591" s="1758"/>
      <c r="CR591" s="1758"/>
      <c r="CS591" s="1758"/>
      <c r="CT591" s="1758"/>
      <c r="CU591" s="1758"/>
      <c r="CV591" s="1758"/>
      <c r="CW591" s="1758"/>
      <c r="CX591" s="1758"/>
      <c r="CY591" s="1758"/>
      <c r="CZ591" s="1758"/>
      <c r="DA591" s="1758"/>
      <c r="DB591" s="1758"/>
      <c r="DC591" s="1758"/>
    </row>
    <row r="592" spans="1:107" s="1395" customFormat="1" ht="22.5" customHeight="1">
      <c r="A592" s="10827"/>
      <c r="B592" s="10731"/>
      <c r="C592" s="10728"/>
      <c r="D592" s="10728"/>
      <c r="E592" s="10728"/>
      <c r="F592" s="10744"/>
      <c r="G592" s="10728"/>
      <c r="H592" s="10728"/>
      <c r="I592" s="10728"/>
      <c r="J592" s="10728"/>
      <c r="K592" s="10735"/>
      <c r="L592" s="10738"/>
      <c r="M592" s="10738"/>
      <c r="N592" s="10738"/>
      <c r="O592" s="10735"/>
      <c r="P592" s="10735"/>
      <c r="Q592" s="10750"/>
      <c r="R592" s="5173"/>
      <c r="S592" s="5212"/>
      <c r="T592" s="5212"/>
      <c r="U592" s="5250"/>
      <c r="V592" s="5281"/>
      <c r="W592" s="5302"/>
      <c r="X592" s="7477"/>
      <c r="Y592" s="7473"/>
      <c r="Z592" s="7473"/>
      <c r="AA592" s="7474"/>
      <c r="AB592" s="5323"/>
      <c r="AC592" s="1396"/>
      <c r="AD592" s="5300"/>
      <c r="AE592" s="5346"/>
      <c r="AF592" s="5346"/>
      <c r="AG592" s="10777"/>
      <c r="AH592" s="1758"/>
      <c r="AI592" s="1758"/>
      <c r="AJ592" s="1758"/>
      <c r="AK592" s="1758"/>
      <c r="AL592" s="1758"/>
      <c r="AM592" s="1758"/>
      <c r="AN592" s="1758"/>
      <c r="AO592" s="1758"/>
      <c r="AP592" s="1758"/>
      <c r="AQ592" s="1758"/>
      <c r="AR592" s="1758"/>
      <c r="AS592" s="1758"/>
      <c r="AT592" s="1758"/>
      <c r="AU592" s="1758"/>
      <c r="AV592" s="1758"/>
      <c r="AW592" s="1758"/>
      <c r="AX592" s="1758"/>
      <c r="AY592" s="1758"/>
      <c r="AZ592" s="1758"/>
      <c r="BA592" s="1758"/>
      <c r="BB592" s="1758"/>
      <c r="BC592" s="1758"/>
      <c r="BD592" s="1758"/>
      <c r="BE592" s="1758"/>
      <c r="BF592" s="1758"/>
      <c r="BG592" s="1758"/>
      <c r="BH592" s="1758"/>
      <c r="BI592" s="1758"/>
      <c r="BJ592" s="1758"/>
      <c r="BK592" s="1758"/>
      <c r="BL592" s="1758"/>
      <c r="BM592" s="1758"/>
      <c r="BN592" s="1758"/>
      <c r="BO592" s="1758"/>
      <c r="BP592" s="1758"/>
      <c r="BQ592" s="1758"/>
      <c r="BR592" s="1758"/>
      <c r="BS592" s="1758"/>
      <c r="BT592" s="1758"/>
      <c r="BU592" s="1758"/>
      <c r="BV592" s="1758"/>
      <c r="BW592" s="1758"/>
      <c r="BX592" s="1758"/>
      <c r="BY592" s="1758"/>
      <c r="BZ592" s="1758"/>
      <c r="CA592" s="1758"/>
      <c r="CB592" s="1758"/>
      <c r="CC592" s="1758"/>
      <c r="CD592" s="1758"/>
      <c r="CE592" s="1758"/>
      <c r="CF592" s="1758"/>
      <c r="CG592" s="1758"/>
      <c r="CH592" s="1758"/>
      <c r="CI592" s="1758"/>
      <c r="CJ592" s="1758"/>
      <c r="CK592" s="1758"/>
      <c r="CL592" s="1758"/>
      <c r="CM592" s="1758"/>
      <c r="CN592" s="1758"/>
      <c r="CO592" s="1758"/>
      <c r="CP592" s="1758"/>
      <c r="CQ592" s="1758"/>
      <c r="CR592" s="1758"/>
      <c r="CS592" s="1758"/>
      <c r="CT592" s="1758"/>
      <c r="CU592" s="1758"/>
      <c r="CV592" s="1758"/>
      <c r="CW592" s="1758"/>
      <c r="CX592" s="1758"/>
      <c r="CY592" s="1758"/>
      <c r="CZ592" s="1758"/>
      <c r="DA592" s="1758"/>
      <c r="DB592" s="1758"/>
      <c r="DC592" s="1758"/>
    </row>
    <row r="593" spans="1:107" s="1395" customFormat="1" ht="22.5" customHeight="1">
      <c r="A593" s="10827"/>
      <c r="B593" s="10732"/>
      <c r="C593" s="10729"/>
      <c r="D593" s="10729"/>
      <c r="E593" s="10729"/>
      <c r="F593" s="10745"/>
      <c r="G593" s="10729"/>
      <c r="H593" s="10729"/>
      <c r="I593" s="10729"/>
      <c r="J593" s="10729"/>
      <c r="K593" s="10736"/>
      <c r="L593" s="10739"/>
      <c r="M593" s="10739"/>
      <c r="N593" s="10739"/>
      <c r="O593" s="10736"/>
      <c r="P593" s="10736"/>
      <c r="Q593" s="10750"/>
      <c r="R593" s="5175"/>
      <c r="S593" s="5215"/>
      <c r="T593" s="5215"/>
      <c r="U593" s="5251"/>
      <c r="V593" s="5282"/>
      <c r="W593" s="5303"/>
      <c r="X593" s="7479"/>
      <c r="Y593" s="7479"/>
      <c r="Z593" s="7479"/>
      <c r="AA593" s="7480"/>
      <c r="AB593" s="5326"/>
      <c r="AC593" s="1399"/>
      <c r="AD593" s="5303"/>
      <c r="AE593" s="5348"/>
      <c r="AF593" s="5348"/>
      <c r="AG593" s="10778"/>
      <c r="AH593" s="1758"/>
      <c r="AI593" s="1758"/>
      <c r="AJ593" s="1758"/>
      <c r="AK593" s="1758"/>
      <c r="AL593" s="1758"/>
      <c r="AM593" s="1758"/>
      <c r="AN593" s="1758"/>
      <c r="AO593" s="1758"/>
      <c r="AP593" s="1758"/>
      <c r="AQ593" s="1758"/>
      <c r="AR593" s="1758"/>
      <c r="AS593" s="1758"/>
      <c r="AT593" s="1758"/>
      <c r="AU593" s="1758"/>
      <c r="AV593" s="1758"/>
      <c r="AW593" s="1758"/>
      <c r="AX593" s="1758"/>
      <c r="AY593" s="1758"/>
      <c r="AZ593" s="1758"/>
      <c r="BA593" s="1758"/>
      <c r="BB593" s="1758"/>
      <c r="BC593" s="1758"/>
      <c r="BD593" s="1758"/>
      <c r="BE593" s="1758"/>
      <c r="BF593" s="1758"/>
      <c r="BG593" s="1758"/>
      <c r="BH593" s="1758"/>
      <c r="BI593" s="1758"/>
      <c r="BJ593" s="1758"/>
      <c r="BK593" s="1758"/>
      <c r="BL593" s="1758"/>
      <c r="BM593" s="1758"/>
      <c r="BN593" s="1758"/>
      <c r="BO593" s="1758"/>
      <c r="BP593" s="1758"/>
      <c r="BQ593" s="1758"/>
      <c r="BR593" s="1758"/>
      <c r="BS593" s="1758"/>
      <c r="BT593" s="1758"/>
      <c r="BU593" s="1758"/>
      <c r="BV593" s="1758"/>
      <c r="BW593" s="1758"/>
      <c r="BX593" s="1758"/>
      <c r="BY593" s="1758"/>
      <c r="BZ593" s="1758"/>
      <c r="CA593" s="1758"/>
      <c r="CB593" s="1758"/>
      <c r="CC593" s="1758"/>
      <c r="CD593" s="1758"/>
      <c r="CE593" s="1758"/>
      <c r="CF593" s="1758"/>
      <c r="CG593" s="1758"/>
      <c r="CH593" s="1758"/>
      <c r="CI593" s="1758"/>
      <c r="CJ593" s="1758"/>
      <c r="CK593" s="1758"/>
      <c r="CL593" s="1758"/>
      <c r="CM593" s="1758"/>
      <c r="CN593" s="1758"/>
      <c r="CO593" s="1758"/>
      <c r="CP593" s="1758"/>
      <c r="CQ593" s="1758"/>
      <c r="CR593" s="1758"/>
      <c r="CS593" s="1758"/>
      <c r="CT593" s="1758"/>
      <c r="CU593" s="1758"/>
      <c r="CV593" s="1758"/>
      <c r="CW593" s="1758"/>
      <c r="CX593" s="1758"/>
      <c r="CY593" s="1758"/>
      <c r="CZ593" s="1758"/>
      <c r="DA593" s="1758"/>
      <c r="DB593" s="1758"/>
      <c r="DC593" s="1758"/>
    </row>
    <row r="594" spans="1:107" s="1395" customFormat="1" ht="20.25" customHeight="1">
      <c r="A594" s="10827"/>
      <c r="B594" s="10731" t="s">
        <v>183</v>
      </c>
      <c r="C594" s="10728" t="s">
        <v>227</v>
      </c>
      <c r="D594" s="10728" t="s">
        <v>228</v>
      </c>
      <c r="E594" s="10728" t="s">
        <v>255</v>
      </c>
      <c r="F594" s="10744" t="s">
        <v>230</v>
      </c>
      <c r="G594" s="10728" t="s">
        <v>132</v>
      </c>
      <c r="H594" s="10728" t="s">
        <v>189</v>
      </c>
      <c r="I594" s="10728" t="s">
        <v>5123</v>
      </c>
      <c r="J594" s="10742" t="s">
        <v>4647</v>
      </c>
      <c r="K594" s="10735" t="s">
        <v>5033</v>
      </c>
      <c r="L594" s="10738">
        <v>0</v>
      </c>
      <c r="M594" s="10738">
        <v>1</v>
      </c>
      <c r="N594" s="10738">
        <v>1</v>
      </c>
      <c r="O594" s="10735" t="s">
        <v>5034</v>
      </c>
      <c r="P594" s="10735" t="s">
        <v>5035</v>
      </c>
      <c r="Q594" s="10740" t="s">
        <v>5118</v>
      </c>
      <c r="R594" s="5173"/>
      <c r="S594" s="5212"/>
      <c r="T594" s="5212"/>
      <c r="U594" s="5249"/>
      <c r="V594" s="5281"/>
      <c r="W594" s="5302"/>
      <c r="X594" s="7477"/>
      <c r="Y594" s="7477"/>
      <c r="Z594" s="7477"/>
      <c r="AA594" s="7478"/>
      <c r="AB594" s="5325"/>
      <c r="AC594" s="1398"/>
      <c r="AD594" s="5302"/>
      <c r="AE594" s="5349"/>
      <c r="AF594" s="5349"/>
      <c r="AG594" s="10777"/>
      <c r="AH594" s="1758"/>
      <c r="AI594" s="1758"/>
      <c r="AJ594" s="1758"/>
      <c r="AK594" s="1758"/>
      <c r="AL594" s="1758"/>
      <c r="AM594" s="1758"/>
      <c r="AN594" s="1758"/>
      <c r="AO594" s="1758"/>
      <c r="AP594" s="1758"/>
      <c r="AQ594" s="1758"/>
      <c r="AR594" s="1758"/>
      <c r="AS594" s="1758"/>
      <c r="AT594" s="1758"/>
      <c r="AU594" s="1758"/>
      <c r="AV594" s="1758"/>
      <c r="AW594" s="1758"/>
      <c r="AX594" s="1758"/>
      <c r="AY594" s="1758"/>
      <c r="AZ594" s="1758"/>
      <c r="BA594" s="1758"/>
      <c r="BB594" s="1758"/>
      <c r="BC594" s="1758"/>
      <c r="BD594" s="1758"/>
      <c r="BE594" s="1758"/>
      <c r="BF594" s="1758"/>
      <c r="BG594" s="1758"/>
      <c r="BH594" s="1758"/>
      <c r="BI594" s="1758"/>
      <c r="BJ594" s="1758"/>
      <c r="BK594" s="1758"/>
      <c r="BL594" s="1758"/>
      <c r="BM594" s="1758"/>
      <c r="BN594" s="1758"/>
      <c r="BO594" s="1758"/>
      <c r="BP594" s="1758"/>
      <c r="BQ594" s="1758"/>
      <c r="BR594" s="1758"/>
      <c r="BS594" s="1758"/>
      <c r="BT594" s="1758"/>
      <c r="BU594" s="1758"/>
      <c r="BV594" s="1758"/>
      <c r="BW594" s="1758"/>
      <c r="BX594" s="1758"/>
      <c r="BY594" s="1758"/>
      <c r="BZ594" s="1758"/>
      <c r="CA594" s="1758"/>
      <c r="CB594" s="1758"/>
      <c r="CC594" s="1758"/>
      <c r="CD594" s="1758"/>
      <c r="CE594" s="1758"/>
      <c r="CF594" s="1758"/>
      <c r="CG594" s="1758"/>
      <c r="CH594" s="1758"/>
      <c r="CI594" s="1758"/>
      <c r="CJ594" s="1758"/>
      <c r="CK594" s="1758"/>
      <c r="CL594" s="1758"/>
      <c r="CM594" s="1758"/>
      <c r="CN594" s="1758"/>
      <c r="CO594" s="1758"/>
      <c r="CP594" s="1758"/>
      <c r="CQ594" s="1758"/>
      <c r="CR594" s="1758"/>
      <c r="CS594" s="1758"/>
      <c r="CT594" s="1758"/>
      <c r="CU594" s="1758"/>
      <c r="CV594" s="1758"/>
      <c r="CW594" s="1758"/>
      <c r="CX594" s="1758"/>
      <c r="CY594" s="1758"/>
      <c r="CZ594" s="1758"/>
      <c r="DA594" s="1758"/>
      <c r="DB594" s="1758"/>
      <c r="DC594" s="1758"/>
    </row>
    <row r="595" spans="1:107" s="1395" customFormat="1" ht="20.25" customHeight="1">
      <c r="A595" s="10827"/>
      <c r="B595" s="10731"/>
      <c r="C595" s="10728"/>
      <c r="D595" s="10728"/>
      <c r="E595" s="10728"/>
      <c r="F595" s="10744"/>
      <c r="G595" s="10728"/>
      <c r="H595" s="10728"/>
      <c r="I595" s="10728"/>
      <c r="J595" s="10728"/>
      <c r="K595" s="10735"/>
      <c r="L595" s="10738"/>
      <c r="M595" s="10738"/>
      <c r="N595" s="10738"/>
      <c r="O595" s="10735"/>
      <c r="P595" s="10735"/>
      <c r="Q595" s="10741"/>
      <c r="R595" s="5171"/>
      <c r="S595" s="5213"/>
      <c r="T595" s="5213"/>
      <c r="U595" s="5247"/>
      <c r="V595" s="5279"/>
      <c r="W595" s="5300"/>
      <c r="X595" s="7473"/>
      <c r="Y595" s="7473"/>
      <c r="Z595" s="7473"/>
      <c r="AA595" s="7474"/>
      <c r="AB595" s="5323"/>
      <c r="AC595" s="1396"/>
      <c r="AD595" s="5300"/>
      <c r="AE595" s="5346"/>
      <c r="AF595" s="5346"/>
      <c r="AG595" s="10777"/>
      <c r="AH595" s="1758"/>
      <c r="AI595" s="1758"/>
      <c r="AJ595" s="1758"/>
      <c r="AK595" s="1758"/>
      <c r="AL595" s="1758"/>
      <c r="AM595" s="1758"/>
      <c r="AN595" s="1758"/>
      <c r="AO595" s="1758"/>
      <c r="AP595" s="1758"/>
      <c r="AQ595" s="1758"/>
      <c r="AR595" s="1758"/>
      <c r="AS595" s="1758"/>
      <c r="AT595" s="1758"/>
      <c r="AU595" s="1758"/>
      <c r="AV595" s="1758"/>
      <c r="AW595" s="1758"/>
      <c r="AX595" s="1758"/>
      <c r="AY595" s="1758"/>
      <c r="AZ595" s="1758"/>
      <c r="BA595" s="1758"/>
      <c r="BB595" s="1758"/>
      <c r="BC595" s="1758"/>
      <c r="BD595" s="1758"/>
      <c r="BE595" s="1758"/>
      <c r="BF595" s="1758"/>
      <c r="BG595" s="1758"/>
      <c r="BH595" s="1758"/>
      <c r="BI595" s="1758"/>
      <c r="BJ595" s="1758"/>
      <c r="BK595" s="1758"/>
      <c r="BL595" s="1758"/>
      <c r="BM595" s="1758"/>
      <c r="BN595" s="1758"/>
      <c r="BO595" s="1758"/>
      <c r="BP595" s="1758"/>
      <c r="BQ595" s="1758"/>
      <c r="BR595" s="1758"/>
      <c r="BS595" s="1758"/>
      <c r="BT595" s="1758"/>
      <c r="BU595" s="1758"/>
      <c r="BV595" s="1758"/>
      <c r="BW595" s="1758"/>
      <c r="BX595" s="1758"/>
      <c r="BY595" s="1758"/>
      <c r="BZ595" s="1758"/>
      <c r="CA595" s="1758"/>
      <c r="CB595" s="1758"/>
      <c r="CC595" s="1758"/>
      <c r="CD595" s="1758"/>
      <c r="CE595" s="1758"/>
      <c r="CF595" s="1758"/>
      <c r="CG595" s="1758"/>
      <c r="CH595" s="1758"/>
      <c r="CI595" s="1758"/>
      <c r="CJ595" s="1758"/>
      <c r="CK595" s="1758"/>
      <c r="CL595" s="1758"/>
      <c r="CM595" s="1758"/>
      <c r="CN595" s="1758"/>
      <c r="CO595" s="1758"/>
      <c r="CP595" s="1758"/>
      <c r="CQ595" s="1758"/>
      <c r="CR595" s="1758"/>
      <c r="CS595" s="1758"/>
      <c r="CT595" s="1758"/>
      <c r="CU595" s="1758"/>
      <c r="CV595" s="1758"/>
      <c r="CW595" s="1758"/>
      <c r="CX595" s="1758"/>
      <c r="CY595" s="1758"/>
      <c r="CZ595" s="1758"/>
      <c r="DA595" s="1758"/>
      <c r="DB595" s="1758"/>
      <c r="DC595" s="1758"/>
    </row>
    <row r="596" spans="1:107" s="1395" customFormat="1" ht="20.25" customHeight="1">
      <c r="A596" s="10827"/>
      <c r="B596" s="10731"/>
      <c r="C596" s="10728"/>
      <c r="D596" s="10728"/>
      <c r="E596" s="10728"/>
      <c r="F596" s="10744"/>
      <c r="G596" s="10728"/>
      <c r="H596" s="10728"/>
      <c r="I596" s="10728"/>
      <c r="J596" s="10728"/>
      <c r="K596" s="10735"/>
      <c r="L596" s="10738"/>
      <c r="M596" s="10738"/>
      <c r="N596" s="10738"/>
      <c r="O596" s="10735"/>
      <c r="P596" s="10735"/>
      <c r="Q596" s="10741"/>
      <c r="R596" s="5174"/>
      <c r="S596" s="5214"/>
      <c r="T596" s="5214"/>
      <c r="U596" s="5250"/>
      <c r="V596" s="5281"/>
      <c r="W596" s="5302"/>
      <c r="X596" s="7477"/>
      <c r="Y596" s="7473"/>
      <c r="Z596" s="7473"/>
      <c r="AA596" s="7474"/>
      <c r="AB596" s="5323"/>
      <c r="AC596" s="1396"/>
      <c r="AD596" s="5300"/>
      <c r="AE596" s="5346"/>
      <c r="AF596" s="5346"/>
      <c r="AG596" s="10777"/>
      <c r="AH596" s="1758"/>
      <c r="AI596" s="1758"/>
      <c r="AJ596" s="1758"/>
      <c r="AK596" s="1758"/>
      <c r="AL596" s="1758"/>
      <c r="AM596" s="1758"/>
      <c r="AN596" s="1758"/>
      <c r="AO596" s="1758"/>
      <c r="AP596" s="1758"/>
      <c r="AQ596" s="1758"/>
      <c r="AR596" s="1758"/>
      <c r="AS596" s="1758"/>
      <c r="AT596" s="1758"/>
      <c r="AU596" s="1758"/>
      <c r="AV596" s="1758"/>
      <c r="AW596" s="1758"/>
      <c r="AX596" s="1758"/>
      <c r="AY596" s="1758"/>
      <c r="AZ596" s="1758"/>
      <c r="BA596" s="1758"/>
      <c r="BB596" s="1758"/>
      <c r="BC596" s="1758"/>
      <c r="BD596" s="1758"/>
      <c r="BE596" s="1758"/>
      <c r="BF596" s="1758"/>
      <c r="BG596" s="1758"/>
      <c r="BH596" s="1758"/>
      <c r="BI596" s="1758"/>
      <c r="BJ596" s="1758"/>
      <c r="BK596" s="1758"/>
      <c r="BL596" s="1758"/>
      <c r="BM596" s="1758"/>
      <c r="BN596" s="1758"/>
      <c r="BO596" s="1758"/>
      <c r="BP596" s="1758"/>
      <c r="BQ596" s="1758"/>
      <c r="BR596" s="1758"/>
      <c r="BS596" s="1758"/>
      <c r="BT596" s="1758"/>
      <c r="BU596" s="1758"/>
      <c r="BV596" s="1758"/>
      <c r="BW596" s="1758"/>
      <c r="BX596" s="1758"/>
      <c r="BY596" s="1758"/>
      <c r="BZ596" s="1758"/>
      <c r="CA596" s="1758"/>
      <c r="CB596" s="1758"/>
      <c r="CC596" s="1758"/>
      <c r="CD596" s="1758"/>
      <c r="CE596" s="1758"/>
      <c r="CF596" s="1758"/>
      <c r="CG596" s="1758"/>
      <c r="CH596" s="1758"/>
      <c r="CI596" s="1758"/>
      <c r="CJ596" s="1758"/>
      <c r="CK596" s="1758"/>
      <c r="CL596" s="1758"/>
      <c r="CM596" s="1758"/>
      <c r="CN596" s="1758"/>
      <c r="CO596" s="1758"/>
      <c r="CP596" s="1758"/>
      <c r="CQ596" s="1758"/>
      <c r="CR596" s="1758"/>
      <c r="CS596" s="1758"/>
      <c r="CT596" s="1758"/>
      <c r="CU596" s="1758"/>
      <c r="CV596" s="1758"/>
      <c r="CW596" s="1758"/>
      <c r="CX596" s="1758"/>
      <c r="CY596" s="1758"/>
      <c r="CZ596" s="1758"/>
      <c r="DA596" s="1758"/>
      <c r="DB596" s="1758"/>
      <c r="DC596" s="1758"/>
    </row>
    <row r="597" spans="1:107" s="1395" customFormat="1" ht="20.25" customHeight="1">
      <c r="A597" s="10827"/>
      <c r="B597" s="10731"/>
      <c r="C597" s="10728"/>
      <c r="D597" s="10728"/>
      <c r="E597" s="10728"/>
      <c r="F597" s="10744"/>
      <c r="G597" s="10728"/>
      <c r="H597" s="10728"/>
      <c r="I597" s="10728"/>
      <c r="J597" s="10728"/>
      <c r="K597" s="10735"/>
      <c r="L597" s="10738"/>
      <c r="M597" s="10738"/>
      <c r="N597" s="10738"/>
      <c r="O597" s="10735"/>
      <c r="P597" s="10735"/>
      <c r="Q597" s="10741"/>
      <c r="R597" s="5173"/>
      <c r="S597" s="5212"/>
      <c r="T597" s="5212"/>
      <c r="U597" s="5250"/>
      <c r="V597" s="5281"/>
      <c r="W597" s="5302"/>
      <c r="X597" s="7477"/>
      <c r="Y597" s="7473"/>
      <c r="Z597" s="7473"/>
      <c r="AA597" s="7474"/>
      <c r="AB597" s="5323"/>
      <c r="AC597" s="1396"/>
      <c r="AD597" s="5300"/>
      <c r="AE597" s="5346"/>
      <c r="AF597" s="5346"/>
      <c r="AG597" s="10777"/>
      <c r="AH597" s="1758"/>
      <c r="AI597" s="1758"/>
      <c r="AJ597" s="1758"/>
      <c r="AK597" s="1758"/>
      <c r="AL597" s="1758"/>
      <c r="AM597" s="1758"/>
      <c r="AN597" s="1758"/>
      <c r="AO597" s="1758"/>
      <c r="AP597" s="1758"/>
      <c r="AQ597" s="1758"/>
      <c r="AR597" s="1758"/>
      <c r="AS597" s="1758"/>
      <c r="AT597" s="1758"/>
      <c r="AU597" s="1758"/>
      <c r="AV597" s="1758"/>
      <c r="AW597" s="1758"/>
      <c r="AX597" s="1758"/>
      <c r="AY597" s="1758"/>
      <c r="AZ597" s="1758"/>
      <c r="BA597" s="1758"/>
      <c r="BB597" s="1758"/>
      <c r="BC597" s="1758"/>
      <c r="BD597" s="1758"/>
      <c r="BE597" s="1758"/>
      <c r="BF597" s="1758"/>
      <c r="BG597" s="1758"/>
      <c r="BH597" s="1758"/>
      <c r="BI597" s="1758"/>
      <c r="BJ597" s="1758"/>
      <c r="BK597" s="1758"/>
      <c r="BL597" s="1758"/>
      <c r="BM597" s="1758"/>
      <c r="BN597" s="1758"/>
      <c r="BO597" s="1758"/>
      <c r="BP597" s="1758"/>
      <c r="BQ597" s="1758"/>
      <c r="BR597" s="1758"/>
      <c r="BS597" s="1758"/>
      <c r="BT597" s="1758"/>
      <c r="BU597" s="1758"/>
      <c r="BV597" s="1758"/>
      <c r="BW597" s="1758"/>
      <c r="BX597" s="1758"/>
      <c r="BY597" s="1758"/>
      <c r="BZ597" s="1758"/>
      <c r="CA597" s="1758"/>
      <c r="CB597" s="1758"/>
      <c r="CC597" s="1758"/>
      <c r="CD597" s="1758"/>
      <c r="CE597" s="1758"/>
      <c r="CF597" s="1758"/>
      <c r="CG597" s="1758"/>
      <c r="CH597" s="1758"/>
      <c r="CI597" s="1758"/>
      <c r="CJ597" s="1758"/>
      <c r="CK597" s="1758"/>
      <c r="CL597" s="1758"/>
      <c r="CM597" s="1758"/>
      <c r="CN597" s="1758"/>
      <c r="CO597" s="1758"/>
      <c r="CP597" s="1758"/>
      <c r="CQ597" s="1758"/>
      <c r="CR597" s="1758"/>
      <c r="CS597" s="1758"/>
      <c r="CT597" s="1758"/>
      <c r="CU597" s="1758"/>
      <c r="CV597" s="1758"/>
      <c r="CW597" s="1758"/>
      <c r="CX597" s="1758"/>
      <c r="CY597" s="1758"/>
      <c r="CZ597" s="1758"/>
      <c r="DA597" s="1758"/>
      <c r="DB597" s="1758"/>
      <c r="DC597" s="1758"/>
    </row>
    <row r="598" spans="1:107" s="1395" customFormat="1" ht="20.25" customHeight="1">
      <c r="A598" s="10827"/>
      <c r="B598" s="10732"/>
      <c r="C598" s="10729"/>
      <c r="D598" s="10729"/>
      <c r="E598" s="10729"/>
      <c r="F598" s="10745"/>
      <c r="G598" s="10729"/>
      <c r="H598" s="10729"/>
      <c r="I598" s="10729"/>
      <c r="J598" s="10729"/>
      <c r="K598" s="10736"/>
      <c r="L598" s="10739"/>
      <c r="M598" s="10739"/>
      <c r="N598" s="10739"/>
      <c r="O598" s="10736"/>
      <c r="P598" s="10736"/>
      <c r="Q598" s="10749"/>
      <c r="R598" s="5175"/>
      <c r="S598" s="5215"/>
      <c r="T598" s="5215"/>
      <c r="U598" s="5251"/>
      <c r="V598" s="5282"/>
      <c r="W598" s="5303"/>
      <c r="X598" s="7479"/>
      <c r="Y598" s="7479"/>
      <c r="Z598" s="7479"/>
      <c r="AA598" s="7480"/>
      <c r="AB598" s="5326"/>
      <c r="AC598" s="1399"/>
      <c r="AD598" s="5303"/>
      <c r="AE598" s="5348"/>
      <c r="AF598" s="5348"/>
      <c r="AG598" s="10778"/>
      <c r="AH598" s="1758"/>
      <c r="AI598" s="1758"/>
      <c r="AJ598" s="1758"/>
      <c r="AK598" s="1758"/>
      <c r="AL598" s="1758"/>
      <c r="AM598" s="1758"/>
      <c r="AN598" s="1758"/>
      <c r="AO598" s="1758"/>
      <c r="AP598" s="1758"/>
      <c r="AQ598" s="1758"/>
      <c r="AR598" s="1758"/>
      <c r="AS598" s="1758"/>
      <c r="AT598" s="1758"/>
      <c r="AU598" s="1758"/>
      <c r="AV598" s="1758"/>
      <c r="AW598" s="1758"/>
      <c r="AX598" s="1758"/>
      <c r="AY598" s="1758"/>
      <c r="AZ598" s="1758"/>
      <c r="BA598" s="1758"/>
      <c r="BB598" s="1758"/>
      <c r="BC598" s="1758"/>
      <c r="BD598" s="1758"/>
      <c r="BE598" s="1758"/>
      <c r="BF598" s="1758"/>
      <c r="BG598" s="1758"/>
      <c r="BH598" s="1758"/>
      <c r="BI598" s="1758"/>
      <c r="BJ598" s="1758"/>
      <c r="BK598" s="1758"/>
      <c r="BL598" s="1758"/>
      <c r="BM598" s="1758"/>
      <c r="BN598" s="1758"/>
      <c r="BO598" s="1758"/>
      <c r="BP598" s="1758"/>
      <c r="BQ598" s="1758"/>
      <c r="BR598" s="1758"/>
      <c r="BS598" s="1758"/>
      <c r="BT598" s="1758"/>
      <c r="BU598" s="1758"/>
      <c r="BV598" s="1758"/>
      <c r="BW598" s="1758"/>
      <c r="BX598" s="1758"/>
      <c r="BY598" s="1758"/>
      <c r="BZ598" s="1758"/>
      <c r="CA598" s="1758"/>
      <c r="CB598" s="1758"/>
      <c r="CC598" s="1758"/>
      <c r="CD598" s="1758"/>
      <c r="CE598" s="1758"/>
      <c r="CF598" s="1758"/>
      <c r="CG598" s="1758"/>
      <c r="CH598" s="1758"/>
      <c r="CI598" s="1758"/>
      <c r="CJ598" s="1758"/>
      <c r="CK598" s="1758"/>
      <c r="CL598" s="1758"/>
      <c r="CM598" s="1758"/>
      <c r="CN598" s="1758"/>
      <c r="CO598" s="1758"/>
      <c r="CP598" s="1758"/>
      <c r="CQ598" s="1758"/>
      <c r="CR598" s="1758"/>
      <c r="CS598" s="1758"/>
      <c r="CT598" s="1758"/>
      <c r="CU598" s="1758"/>
      <c r="CV598" s="1758"/>
      <c r="CW598" s="1758"/>
      <c r="CX598" s="1758"/>
      <c r="CY598" s="1758"/>
      <c r="CZ598" s="1758"/>
      <c r="DA598" s="1758"/>
      <c r="DB598" s="1758"/>
      <c r="DC598" s="1758"/>
    </row>
    <row r="599" spans="1:107" s="1395" customFormat="1" ht="19.5" customHeight="1">
      <c r="A599" s="10827"/>
      <c r="B599" s="10731" t="s">
        <v>183</v>
      </c>
      <c r="C599" s="10728" t="s">
        <v>227</v>
      </c>
      <c r="D599" s="10728" t="s">
        <v>490</v>
      </c>
      <c r="E599" s="10728" t="s">
        <v>2210</v>
      </c>
      <c r="F599" s="10744" t="s">
        <v>230</v>
      </c>
      <c r="G599" s="10728" t="s">
        <v>132</v>
      </c>
      <c r="H599" s="10728" t="s">
        <v>189</v>
      </c>
      <c r="I599" s="10728" t="s">
        <v>5124</v>
      </c>
      <c r="J599" s="10742" t="s">
        <v>4652</v>
      </c>
      <c r="K599" s="10735" t="s">
        <v>5037</v>
      </c>
      <c r="L599" s="10738">
        <v>0</v>
      </c>
      <c r="M599" s="10738">
        <v>16</v>
      </c>
      <c r="N599" s="10738">
        <v>16</v>
      </c>
      <c r="O599" s="10735" t="s">
        <v>5038</v>
      </c>
      <c r="P599" s="10735" t="s">
        <v>5039</v>
      </c>
      <c r="Q599" s="10750" t="s">
        <v>5118</v>
      </c>
      <c r="R599" s="5173"/>
      <c r="S599" s="5212"/>
      <c r="T599" s="5212"/>
      <c r="U599" s="5249"/>
      <c r="V599" s="5281"/>
      <c r="W599" s="5302"/>
      <c r="X599" s="7477"/>
      <c r="Y599" s="7477"/>
      <c r="Z599" s="7477"/>
      <c r="AA599" s="7478"/>
      <c r="AB599" s="5325"/>
      <c r="AC599" s="1398"/>
      <c r="AD599" s="5302"/>
      <c r="AE599" s="5349"/>
      <c r="AF599" s="5349"/>
      <c r="AG599" s="10777"/>
      <c r="AH599" s="1758"/>
      <c r="AI599" s="1758"/>
      <c r="AJ599" s="1758"/>
      <c r="AK599" s="1758"/>
      <c r="AL599" s="1758"/>
      <c r="AM599" s="1758"/>
      <c r="AN599" s="1758"/>
      <c r="AO599" s="1758"/>
      <c r="AP599" s="1758"/>
      <c r="AQ599" s="1758"/>
      <c r="AR599" s="1758"/>
      <c r="AS599" s="1758"/>
      <c r="AT599" s="1758"/>
      <c r="AU599" s="1758"/>
      <c r="AV599" s="1758"/>
      <c r="AW599" s="1758"/>
      <c r="AX599" s="1758"/>
      <c r="AY599" s="1758"/>
      <c r="AZ599" s="1758"/>
      <c r="BA599" s="1758"/>
      <c r="BB599" s="1758"/>
      <c r="BC599" s="1758"/>
      <c r="BD599" s="1758"/>
      <c r="BE599" s="1758"/>
      <c r="BF599" s="1758"/>
      <c r="BG599" s="1758"/>
      <c r="BH599" s="1758"/>
      <c r="BI599" s="1758"/>
      <c r="BJ599" s="1758"/>
      <c r="BK599" s="1758"/>
      <c r="BL599" s="1758"/>
      <c r="BM599" s="1758"/>
      <c r="BN599" s="1758"/>
      <c r="BO599" s="1758"/>
      <c r="BP599" s="1758"/>
      <c r="BQ599" s="1758"/>
      <c r="BR599" s="1758"/>
      <c r="BS599" s="1758"/>
      <c r="BT599" s="1758"/>
      <c r="BU599" s="1758"/>
      <c r="BV599" s="1758"/>
      <c r="BW599" s="1758"/>
      <c r="BX599" s="1758"/>
      <c r="BY599" s="1758"/>
      <c r="BZ599" s="1758"/>
      <c r="CA599" s="1758"/>
      <c r="CB599" s="1758"/>
      <c r="CC599" s="1758"/>
      <c r="CD599" s="1758"/>
      <c r="CE599" s="1758"/>
      <c r="CF599" s="1758"/>
      <c r="CG599" s="1758"/>
      <c r="CH599" s="1758"/>
      <c r="CI599" s="1758"/>
      <c r="CJ599" s="1758"/>
      <c r="CK599" s="1758"/>
      <c r="CL599" s="1758"/>
      <c r="CM599" s="1758"/>
      <c r="CN599" s="1758"/>
      <c r="CO599" s="1758"/>
      <c r="CP599" s="1758"/>
      <c r="CQ599" s="1758"/>
      <c r="CR599" s="1758"/>
      <c r="CS599" s="1758"/>
      <c r="CT599" s="1758"/>
      <c r="CU599" s="1758"/>
      <c r="CV599" s="1758"/>
      <c r="CW599" s="1758"/>
      <c r="CX599" s="1758"/>
      <c r="CY599" s="1758"/>
      <c r="CZ599" s="1758"/>
      <c r="DA599" s="1758"/>
      <c r="DB599" s="1758"/>
      <c r="DC599" s="1758"/>
    </row>
    <row r="600" spans="1:107" s="1395" customFormat="1" ht="19.5" customHeight="1">
      <c r="A600" s="10827"/>
      <c r="B600" s="10731"/>
      <c r="C600" s="10728"/>
      <c r="D600" s="10728"/>
      <c r="E600" s="10728"/>
      <c r="F600" s="10744"/>
      <c r="G600" s="10728"/>
      <c r="H600" s="10728"/>
      <c r="I600" s="10728"/>
      <c r="J600" s="10728"/>
      <c r="K600" s="10735"/>
      <c r="L600" s="10738"/>
      <c r="M600" s="10738"/>
      <c r="N600" s="10738"/>
      <c r="O600" s="10735"/>
      <c r="P600" s="10735"/>
      <c r="Q600" s="10750"/>
      <c r="R600" s="5171"/>
      <c r="S600" s="5213"/>
      <c r="T600" s="5213"/>
      <c r="U600" s="5247"/>
      <c r="V600" s="5279"/>
      <c r="W600" s="5300"/>
      <c r="X600" s="7473"/>
      <c r="Y600" s="7473"/>
      <c r="Z600" s="7473"/>
      <c r="AA600" s="7474"/>
      <c r="AB600" s="5323"/>
      <c r="AC600" s="1396"/>
      <c r="AD600" s="5300"/>
      <c r="AE600" s="5346"/>
      <c r="AF600" s="5346"/>
      <c r="AG600" s="10777"/>
      <c r="AH600" s="1758"/>
      <c r="AI600" s="1758"/>
      <c r="AJ600" s="1758"/>
      <c r="AK600" s="1758"/>
      <c r="AL600" s="1758"/>
      <c r="AM600" s="1758"/>
      <c r="AN600" s="1758"/>
      <c r="AO600" s="1758"/>
      <c r="AP600" s="1758"/>
      <c r="AQ600" s="1758"/>
      <c r="AR600" s="1758"/>
      <c r="AS600" s="1758"/>
      <c r="AT600" s="1758"/>
      <c r="AU600" s="1758"/>
      <c r="AV600" s="1758"/>
      <c r="AW600" s="1758"/>
      <c r="AX600" s="1758"/>
      <c r="AY600" s="1758"/>
      <c r="AZ600" s="1758"/>
      <c r="BA600" s="1758"/>
      <c r="BB600" s="1758"/>
      <c r="BC600" s="1758"/>
      <c r="BD600" s="1758"/>
      <c r="BE600" s="1758"/>
      <c r="BF600" s="1758"/>
      <c r="BG600" s="1758"/>
      <c r="BH600" s="1758"/>
      <c r="BI600" s="1758"/>
      <c r="BJ600" s="1758"/>
      <c r="BK600" s="1758"/>
      <c r="BL600" s="1758"/>
      <c r="BM600" s="1758"/>
      <c r="BN600" s="1758"/>
      <c r="BO600" s="1758"/>
      <c r="BP600" s="1758"/>
      <c r="BQ600" s="1758"/>
      <c r="BR600" s="1758"/>
      <c r="BS600" s="1758"/>
      <c r="BT600" s="1758"/>
      <c r="BU600" s="1758"/>
      <c r="BV600" s="1758"/>
      <c r="BW600" s="1758"/>
      <c r="BX600" s="1758"/>
      <c r="BY600" s="1758"/>
      <c r="BZ600" s="1758"/>
      <c r="CA600" s="1758"/>
      <c r="CB600" s="1758"/>
      <c r="CC600" s="1758"/>
      <c r="CD600" s="1758"/>
      <c r="CE600" s="1758"/>
      <c r="CF600" s="1758"/>
      <c r="CG600" s="1758"/>
      <c r="CH600" s="1758"/>
      <c r="CI600" s="1758"/>
      <c r="CJ600" s="1758"/>
      <c r="CK600" s="1758"/>
      <c r="CL600" s="1758"/>
      <c r="CM600" s="1758"/>
      <c r="CN600" s="1758"/>
      <c r="CO600" s="1758"/>
      <c r="CP600" s="1758"/>
      <c r="CQ600" s="1758"/>
      <c r="CR600" s="1758"/>
      <c r="CS600" s="1758"/>
      <c r="CT600" s="1758"/>
      <c r="CU600" s="1758"/>
      <c r="CV600" s="1758"/>
      <c r="CW600" s="1758"/>
      <c r="CX600" s="1758"/>
      <c r="CY600" s="1758"/>
      <c r="CZ600" s="1758"/>
      <c r="DA600" s="1758"/>
      <c r="DB600" s="1758"/>
      <c r="DC600" s="1758"/>
    </row>
    <row r="601" spans="1:107" s="1395" customFormat="1" ht="19.5" customHeight="1">
      <c r="A601" s="10827"/>
      <c r="B601" s="10731"/>
      <c r="C601" s="10728"/>
      <c r="D601" s="10728"/>
      <c r="E601" s="10728"/>
      <c r="F601" s="10744"/>
      <c r="G601" s="10728"/>
      <c r="H601" s="10728"/>
      <c r="I601" s="10728"/>
      <c r="J601" s="10728"/>
      <c r="K601" s="10735"/>
      <c r="L601" s="10738"/>
      <c r="M601" s="10738"/>
      <c r="N601" s="10738"/>
      <c r="O601" s="10735"/>
      <c r="P601" s="10735"/>
      <c r="Q601" s="10750"/>
      <c r="R601" s="5174"/>
      <c r="S601" s="5214"/>
      <c r="T601" s="5214"/>
      <c r="U601" s="5250"/>
      <c r="V601" s="5281"/>
      <c r="W601" s="5302"/>
      <c r="X601" s="7477"/>
      <c r="Y601" s="7473"/>
      <c r="Z601" s="7473"/>
      <c r="AA601" s="7474"/>
      <c r="AB601" s="5323"/>
      <c r="AC601" s="1396"/>
      <c r="AD601" s="5300"/>
      <c r="AE601" s="5346"/>
      <c r="AF601" s="5346"/>
      <c r="AG601" s="10777"/>
      <c r="AH601" s="1758"/>
      <c r="AI601" s="1758"/>
      <c r="AJ601" s="1758"/>
      <c r="AK601" s="1758"/>
      <c r="AL601" s="1758"/>
      <c r="AM601" s="1758"/>
      <c r="AN601" s="1758"/>
      <c r="AO601" s="1758"/>
      <c r="AP601" s="1758"/>
      <c r="AQ601" s="1758"/>
      <c r="AR601" s="1758"/>
      <c r="AS601" s="1758"/>
      <c r="AT601" s="1758"/>
      <c r="AU601" s="1758"/>
      <c r="AV601" s="1758"/>
      <c r="AW601" s="1758"/>
      <c r="AX601" s="1758"/>
      <c r="AY601" s="1758"/>
      <c r="AZ601" s="1758"/>
      <c r="BA601" s="1758"/>
      <c r="BB601" s="1758"/>
      <c r="BC601" s="1758"/>
      <c r="BD601" s="1758"/>
      <c r="BE601" s="1758"/>
      <c r="BF601" s="1758"/>
      <c r="BG601" s="1758"/>
      <c r="BH601" s="1758"/>
      <c r="BI601" s="1758"/>
      <c r="BJ601" s="1758"/>
      <c r="BK601" s="1758"/>
      <c r="BL601" s="1758"/>
      <c r="BM601" s="1758"/>
      <c r="BN601" s="1758"/>
      <c r="BO601" s="1758"/>
      <c r="BP601" s="1758"/>
      <c r="BQ601" s="1758"/>
      <c r="BR601" s="1758"/>
      <c r="BS601" s="1758"/>
      <c r="BT601" s="1758"/>
      <c r="BU601" s="1758"/>
      <c r="BV601" s="1758"/>
      <c r="BW601" s="1758"/>
      <c r="BX601" s="1758"/>
      <c r="BY601" s="1758"/>
      <c r="BZ601" s="1758"/>
      <c r="CA601" s="1758"/>
      <c r="CB601" s="1758"/>
      <c r="CC601" s="1758"/>
      <c r="CD601" s="1758"/>
      <c r="CE601" s="1758"/>
      <c r="CF601" s="1758"/>
      <c r="CG601" s="1758"/>
      <c r="CH601" s="1758"/>
      <c r="CI601" s="1758"/>
      <c r="CJ601" s="1758"/>
      <c r="CK601" s="1758"/>
      <c r="CL601" s="1758"/>
      <c r="CM601" s="1758"/>
      <c r="CN601" s="1758"/>
      <c r="CO601" s="1758"/>
      <c r="CP601" s="1758"/>
      <c r="CQ601" s="1758"/>
      <c r="CR601" s="1758"/>
      <c r="CS601" s="1758"/>
      <c r="CT601" s="1758"/>
      <c r="CU601" s="1758"/>
      <c r="CV601" s="1758"/>
      <c r="CW601" s="1758"/>
      <c r="CX601" s="1758"/>
      <c r="CY601" s="1758"/>
      <c r="CZ601" s="1758"/>
      <c r="DA601" s="1758"/>
      <c r="DB601" s="1758"/>
      <c r="DC601" s="1758"/>
    </row>
    <row r="602" spans="1:107" s="1395" customFormat="1" ht="19.5" customHeight="1">
      <c r="A602" s="10827"/>
      <c r="B602" s="10731"/>
      <c r="C602" s="10728"/>
      <c r="D602" s="10728"/>
      <c r="E602" s="10728"/>
      <c r="F602" s="10744"/>
      <c r="G602" s="10728"/>
      <c r="H602" s="10728"/>
      <c r="I602" s="10728"/>
      <c r="J602" s="10728"/>
      <c r="K602" s="10735"/>
      <c r="L602" s="10738"/>
      <c r="M602" s="10738"/>
      <c r="N602" s="10738"/>
      <c r="O602" s="10735"/>
      <c r="P602" s="10735"/>
      <c r="Q602" s="10750"/>
      <c r="R602" s="5173"/>
      <c r="S602" s="5212"/>
      <c r="T602" s="5212"/>
      <c r="U602" s="5250"/>
      <c r="V602" s="5281"/>
      <c r="W602" s="5302"/>
      <c r="X602" s="7477"/>
      <c r="Y602" s="7473"/>
      <c r="Z602" s="7473"/>
      <c r="AA602" s="7474"/>
      <c r="AB602" s="5323"/>
      <c r="AC602" s="1396"/>
      <c r="AD602" s="5300"/>
      <c r="AE602" s="5346"/>
      <c r="AF602" s="5346"/>
      <c r="AG602" s="10777"/>
      <c r="AH602" s="1758"/>
      <c r="AI602" s="1758"/>
      <c r="AJ602" s="1758"/>
      <c r="AK602" s="1758"/>
      <c r="AL602" s="1758"/>
      <c r="AM602" s="1758"/>
      <c r="AN602" s="1758"/>
      <c r="AO602" s="1758"/>
      <c r="AP602" s="1758"/>
      <c r="AQ602" s="1758"/>
      <c r="AR602" s="1758"/>
      <c r="AS602" s="1758"/>
      <c r="AT602" s="1758"/>
      <c r="AU602" s="1758"/>
      <c r="AV602" s="1758"/>
      <c r="AW602" s="1758"/>
      <c r="AX602" s="1758"/>
      <c r="AY602" s="1758"/>
      <c r="AZ602" s="1758"/>
      <c r="BA602" s="1758"/>
      <c r="BB602" s="1758"/>
      <c r="BC602" s="1758"/>
      <c r="BD602" s="1758"/>
      <c r="BE602" s="1758"/>
      <c r="BF602" s="1758"/>
      <c r="BG602" s="1758"/>
      <c r="BH602" s="1758"/>
      <c r="BI602" s="1758"/>
      <c r="BJ602" s="1758"/>
      <c r="BK602" s="1758"/>
      <c r="BL602" s="1758"/>
      <c r="BM602" s="1758"/>
      <c r="BN602" s="1758"/>
      <c r="BO602" s="1758"/>
      <c r="BP602" s="1758"/>
      <c r="BQ602" s="1758"/>
      <c r="BR602" s="1758"/>
      <c r="BS602" s="1758"/>
      <c r="BT602" s="1758"/>
      <c r="BU602" s="1758"/>
      <c r="BV602" s="1758"/>
      <c r="BW602" s="1758"/>
      <c r="BX602" s="1758"/>
      <c r="BY602" s="1758"/>
      <c r="BZ602" s="1758"/>
      <c r="CA602" s="1758"/>
      <c r="CB602" s="1758"/>
      <c r="CC602" s="1758"/>
      <c r="CD602" s="1758"/>
      <c r="CE602" s="1758"/>
      <c r="CF602" s="1758"/>
      <c r="CG602" s="1758"/>
      <c r="CH602" s="1758"/>
      <c r="CI602" s="1758"/>
      <c r="CJ602" s="1758"/>
      <c r="CK602" s="1758"/>
      <c r="CL602" s="1758"/>
      <c r="CM602" s="1758"/>
      <c r="CN602" s="1758"/>
      <c r="CO602" s="1758"/>
      <c r="CP602" s="1758"/>
      <c r="CQ602" s="1758"/>
      <c r="CR602" s="1758"/>
      <c r="CS602" s="1758"/>
      <c r="CT602" s="1758"/>
      <c r="CU602" s="1758"/>
      <c r="CV602" s="1758"/>
      <c r="CW602" s="1758"/>
      <c r="CX602" s="1758"/>
      <c r="CY602" s="1758"/>
      <c r="CZ602" s="1758"/>
      <c r="DA602" s="1758"/>
      <c r="DB602" s="1758"/>
      <c r="DC602" s="1758"/>
    </row>
    <row r="603" spans="1:107" s="1395" customFormat="1" ht="19.5" customHeight="1">
      <c r="A603" s="10827"/>
      <c r="B603" s="10732"/>
      <c r="C603" s="10729"/>
      <c r="D603" s="10729"/>
      <c r="E603" s="10729"/>
      <c r="F603" s="10745"/>
      <c r="G603" s="10729"/>
      <c r="H603" s="10729"/>
      <c r="I603" s="10729"/>
      <c r="J603" s="10729"/>
      <c r="K603" s="10736"/>
      <c r="L603" s="10739"/>
      <c r="M603" s="10739"/>
      <c r="N603" s="10739"/>
      <c r="O603" s="10736"/>
      <c r="P603" s="10736"/>
      <c r="Q603" s="10750"/>
      <c r="R603" s="5175"/>
      <c r="S603" s="5215"/>
      <c r="T603" s="5215"/>
      <c r="U603" s="5251"/>
      <c r="V603" s="5282"/>
      <c r="W603" s="5303"/>
      <c r="X603" s="7479"/>
      <c r="Y603" s="7479"/>
      <c r="Z603" s="7479"/>
      <c r="AA603" s="7480"/>
      <c r="AB603" s="5326"/>
      <c r="AC603" s="1399"/>
      <c r="AD603" s="5303"/>
      <c r="AE603" s="5348"/>
      <c r="AF603" s="5348"/>
      <c r="AG603" s="10778"/>
      <c r="AH603" s="1758"/>
      <c r="AI603" s="1758"/>
      <c r="AJ603" s="1758"/>
      <c r="AK603" s="1758"/>
      <c r="AL603" s="1758"/>
      <c r="AM603" s="1758"/>
      <c r="AN603" s="1758"/>
      <c r="AO603" s="1758"/>
      <c r="AP603" s="1758"/>
      <c r="AQ603" s="1758"/>
      <c r="AR603" s="1758"/>
      <c r="AS603" s="1758"/>
      <c r="AT603" s="1758"/>
      <c r="AU603" s="1758"/>
      <c r="AV603" s="1758"/>
      <c r="AW603" s="1758"/>
      <c r="AX603" s="1758"/>
      <c r="AY603" s="1758"/>
      <c r="AZ603" s="1758"/>
      <c r="BA603" s="1758"/>
      <c r="BB603" s="1758"/>
      <c r="BC603" s="1758"/>
      <c r="BD603" s="1758"/>
      <c r="BE603" s="1758"/>
      <c r="BF603" s="1758"/>
      <c r="BG603" s="1758"/>
      <c r="BH603" s="1758"/>
      <c r="BI603" s="1758"/>
      <c r="BJ603" s="1758"/>
      <c r="BK603" s="1758"/>
      <c r="BL603" s="1758"/>
      <c r="BM603" s="1758"/>
      <c r="BN603" s="1758"/>
      <c r="BO603" s="1758"/>
      <c r="BP603" s="1758"/>
      <c r="BQ603" s="1758"/>
      <c r="BR603" s="1758"/>
      <c r="BS603" s="1758"/>
      <c r="BT603" s="1758"/>
      <c r="BU603" s="1758"/>
      <c r="BV603" s="1758"/>
      <c r="BW603" s="1758"/>
      <c r="BX603" s="1758"/>
      <c r="BY603" s="1758"/>
      <c r="BZ603" s="1758"/>
      <c r="CA603" s="1758"/>
      <c r="CB603" s="1758"/>
      <c r="CC603" s="1758"/>
      <c r="CD603" s="1758"/>
      <c r="CE603" s="1758"/>
      <c r="CF603" s="1758"/>
      <c r="CG603" s="1758"/>
      <c r="CH603" s="1758"/>
      <c r="CI603" s="1758"/>
      <c r="CJ603" s="1758"/>
      <c r="CK603" s="1758"/>
      <c r="CL603" s="1758"/>
      <c r="CM603" s="1758"/>
      <c r="CN603" s="1758"/>
      <c r="CO603" s="1758"/>
      <c r="CP603" s="1758"/>
      <c r="CQ603" s="1758"/>
      <c r="CR603" s="1758"/>
      <c r="CS603" s="1758"/>
      <c r="CT603" s="1758"/>
      <c r="CU603" s="1758"/>
      <c r="CV603" s="1758"/>
      <c r="CW603" s="1758"/>
      <c r="CX603" s="1758"/>
      <c r="CY603" s="1758"/>
      <c r="CZ603" s="1758"/>
      <c r="DA603" s="1758"/>
      <c r="DB603" s="1758"/>
      <c r="DC603" s="1758"/>
    </row>
    <row r="604" spans="1:107" s="1395" customFormat="1" ht="20.25" customHeight="1">
      <c r="A604" s="10827"/>
      <c r="B604" s="10731" t="s">
        <v>183</v>
      </c>
      <c r="C604" s="10728" t="s">
        <v>227</v>
      </c>
      <c r="D604" s="10728" t="s">
        <v>228</v>
      </c>
      <c r="E604" s="10728" t="s">
        <v>255</v>
      </c>
      <c r="F604" s="10744" t="s">
        <v>230</v>
      </c>
      <c r="G604" s="10728" t="s">
        <v>171</v>
      </c>
      <c r="H604" s="10728" t="s">
        <v>159</v>
      </c>
      <c r="I604" s="10728" t="s">
        <v>5125</v>
      </c>
      <c r="J604" s="10742" t="s">
        <v>5042</v>
      </c>
      <c r="K604" s="10735" t="s">
        <v>5043</v>
      </c>
      <c r="L604" s="10738">
        <v>0</v>
      </c>
      <c r="M604" s="10738">
        <v>2</v>
      </c>
      <c r="N604" s="10738">
        <v>2</v>
      </c>
      <c r="O604" s="10735" t="s">
        <v>5044</v>
      </c>
      <c r="P604" s="10735" t="s">
        <v>5126</v>
      </c>
      <c r="Q604" s="10740" t="s">
        <v>5118</v>
      </c>
      <c r="R604" s="5173"/>
      <c r="S604" s="5212"/>
      <c r="T604" s="5212"/>
      <c r="U604" s="5249"/>
      <c r="V604" s="5281"/>
      <c r="W604" s="5302"/>
      <c r="X604" s="7477"/>
      <c r="Y604" s="7477"/>
      <c r="Z604" s="7477"/>
      <c r="AA604" s="7478"/>
      <c r="AB604" s="5325"/>
      <c r="AC604" s="1398"/>
      <c r="AD604" s="5302"/>
      <c r="AE604" s="5349"/>
      <c r="AF604" s="5349"/>
      <c r="AG604" s="10777" t="s">
        <v>4843</v>
      </c>
      <c r="AH604" s="1758"/>
      <c r="AI604" s="1758"/>
      <c r="AJ604" s="1758"/>
      <c r="AK604" s="1758"/>
      <c r="AL604" s="1758"/>
      <c r="AM604" s="1758"/>
      <c r="AN604" s="1758"/>
      <c r="AO604" s="1758"/>
      <c r="AP604" s="1758"/>
      <c r="AQ604" s="1758"/>
      <c r="AR604" s="1758"/>
      <c r="AS604" s="1758"/>
      <c r="AT604" s="1758"/>
      <c r="AU604" s="1758"/>
      <c r="AV604" s="1758"/>
      <c r="AW604" s="1758"/>
      <c r="AX604" s="1758"/>
      <c r="AY604" s="1758"/>
      <c r="AZ604" s="1758"/>
      <c r="BA604" s="1758"/>
      <c r="BB604" s="1758"/>
      <c r="BC604" s="1758"/>
      <c r="BD604" s="1758"/>
      <c r="BE604" s="1758"/>
      <c r="BF604" s="1758"/>
      <c r="BG604" s="1758"/>
      <c r="BH604" s="1758"/>
      <c r="BI604" s="1758"/>
      <c r="BJ604" s="1758"/>
      <c r="BK604" s="1758"/>
      <c r="BL604" s="1758"/>
      <c r="BM604" s="1758"/>
      <c r="BN604" s="1758"/>
      <c r="BO604" s="1758"/>
      <c r="BP604" s="1758"/>
      <c r="BQ604" s="1758"/>
      <c r="BR604" s="1758"/>
      <c r="BS604" s="1758"/>
      <c r="BT604" s="1758"/>
      <c r="BU604" s="1758"/>
      <c r="BV604" s="1758"/>
      <c r="BW604" s="1758"/>
      <c r="BX604" s="1758"/>
      <c r="BY604" s="1758"/>
      <c r="BZ604" s="1758"/>
      <c r="CA604" s="1758"/>
      <c r="CB604" s="1758"/>
      <c r="CC604" s="1758"/>
      <c r="CD604" s="1758"/>
      <c r="CE604" s="1758"/>
      <c r="CF604" s="1758"/>
      <c r="CG604" s="1758"/>
      <c r="CH604" s="1758"/>
      <c r="CI604" s="1758"/>
      <c r="CJ604" s="1758"/>
      <c r="CK604" s="1758"/>
      <c r="CL604" s="1758"/>
      <c r="CM604" s="1758"/>
      <c r="CN604" s="1758"/>
      <c r="CO604" s="1758"/>
      <c r="CP604" s="1758"/>
      <c r="CQ604" s="1758"/>
      <c r="CR604" s="1758"/>
      <c r="CS604" s="1758"/>
      <c r="CT604" s="1758"/>
      <c r="CU604" s="1758"/>
      <c r="CV604" s="1758"/>
      <c r="CW604" s="1758"/>
      <c r="CX604" s="1758"/>
      <c r="CY604" s="1758"/>
      <c r="CZ604" s="1758"/>
      <c r="DA604" s="1758"/>
      <c r="DB604" s="1758"/>
      <c r="DC604" s="1758"/>
    </row>
    <row r="605" spans="1:107" s="1395" customFormat="1" ht="20.25" customHeight="1">
      <c r="A605" s="10827"/>
      <c r="B605" s="10731"/>
      <c r="C605" s="10728"/>
      <c r="D605" s="10728"/>
      <c r="E605" s="10728"/>
      <c r="F605" s="10744"/>
      <c r="G605" s="10728"/>
      <c r="H605" s="10728"/>
      <c r="I605" s="10728"/>
      <c r="J605" s="10728"/>
      <c r="K605" s="10735"/>
      <c r="L605" s="10738"/>
      <c r="M605" s="10738"/>
      <c r="N605" s="10738"/>
      <c r="O605" s="10735"/>
      <c r="P605" s="10735"/>
      <c r="Q605" s="10741"/>
      <c r="R605" s="5171"/>
      <c r="S605" s="5213"/>
      <c r="T605" s="5213"/>
      <c r="U605" s="5247"/>
      <c r="V605" s="5279"/>
      <c r="W605" s="5300"/>
      <c r="X605" s="7473"/>
      <c r="Y605" s="7473"/>
      <c r="Z605" s="7473"/>
      <c r="AA605" s="7474"/>
      <c r="AB605" s="5323"/>
      <c r="AC605" s="1396"/>
      <c r="AD605" s="5300"/>
      <c r="AE605" s="5346"/>
      <c r="AF605" s="5346"/>
      <c r="AG605" s="10777"/>
      <c r="AH605" s="1758"/>
      <c r="AI605" s="1758"/>
      <c r="AJ605" s="1758"/>
      <c r="AK605" s="1758"/>
      <c r="AL605" s="1758"/>
      <c r="AM605" s="1758"/>
      <c r="AN605" s="1758"/>
      <c r="AO605" s="1758"/>
      <c r="AP605" s="1758"/>
      <c r="AQ605" s="1758"/>
      <c r="AR605" s="1758"/>
      <c r="AS605" s="1758"/>
      <c r="AT605" s="1758"/>
      <c r="AU605" s="1758"/>
      <c r="AV605" s="1758"/>
      <c r="AW605" s="1758"/>
      <c r="AX605" s="1758"/>
      <c r="AY605" s="1758"/>
      <c r="AZ605" s="1758"/>
      <c r="BA605" s="1758"/>
      <c r="BB605" s="1758"/>
      <c r="BC605" s="1758"/>
      <c r="BD605" s="1758"/>
      <c r="BE605" s="1758"/>
      <c r="BF605" s="1758"/>
      <c r="BG605" s="1758"/>
      <c r="BH605" s="1758"/>
      <c r="BI605" s="1758"/>
      <c r="BJ605" s="1758"/>
      <c r="BK605" s="1758"/>
      <c r="BL605" s="1758"/>
      <c r="BM605" s="1758"/>
      <c r="BN605" s="1758"/>
      <c r="BO605" s="1758"/>
      <c r="BP605" s="1758"/>
      <c r="BQ605" s="1758"/>
      <c r="BR605" s="1758"/>
      <c r="BS605" s="1758"/>
      <c r="BT605" s="1758"/>
      <c r="BU605" s="1758"/>
      <c r="BV605" s="1758"/>
      <c r="BW605" s="1758"/>
      <c r="BX605" s="1758"/>
      <c r="BY605" s="1758"/>
      <c r="BZ605" s="1758"/>
      <c r="CA605" s="1758"/>
      <c r="CB605" s="1758"/>
      <c r="CC605" s="1758"/>
      <c r="CD605" s="1758"/>
      <c r="CE605" s="1758"/>
      <c r="CF605" s="1758"/>
      <c r="CG605" s="1758"/>
      <c r="CH605" s="1758"/>
      <c r="CI605" s="1758"/>
      <c r="CJ605" s="1758"/>
      <c r="CK605" s="1758"/>
      <c r="CL605" s="1758"/>
      <c r="CM605" s="1758"/>
      <c r="CN605" s="1758"/>
      <c r="CO605" s="1758"/>
      <c r="CP605" s="1758"/>
      <c r="CQ605" s="1758"/>
      <c r="CR605" s="1758"/>
      <c r="CS605" s="1758"/>
      <c r="CT605" s="1758"/>
      <c r="CU605" s="1758"/>
      <c r="CV605" s="1758"/>
      <c r="CW605" s="1758"/>
      <c r="CX605" s="1758"/>
      <c r="CY605" s="1758"/>
      <c r="CZ605" s="1758"/>
      <c r="DA605" s="1758"/>
      <c r="DB605" s="1758"/>
      <c r="DC605" s="1758"/>
    </row>
    <row r="606" spans="1:107" s="1395" customFormat="1" ht="20.25" customHeight="1">
      <c r="A606" s="10827"/>
      <c r="B606" s="10731"/>
      <c r="C606" s="10728"/>
      <c r="D606" s="10728"/>
      <c r="E606" s="10728"/>
      <c r="F606" s="10744"/>
      <c r="G606" s="10728"/>
      <c r="H606" s="10728"/>
      <c r="I606" s="10728"/>
      <c r="J606" s="10728"/>
      <c r="K606" s="10735"/>
      <c r="L606" s="10738"/>
      <c r="M606" s="10738"/>
      <c r="N606" s="10738"/>
      <c r="O606" s="10735"/>
      <c r="P606" s="10735"/>
      <c r="Q606" s="10741"/>
      <c r="R606" s="5174"/>
      <c r="S606" s="5214"/>
      <c r="T606" s="5214"/>
      <c r="U606" s="5250"/>
      <c r="V606" s="5281"/>
      <c r="W606" s="5302"/>
      <c r="X606" s="7477"/>
      <c r="Y606" s="7473"/>
      <c r="Z606" s="7473"/>
      <c r="AA606" s="7474"/>
      <c r="AB606" s="5323"/>
      <c r="AC606" s="1396"/>
      <c r="AD606" s="5300"/>
      <c r="AE606" s="5346"/>
      <c r="AF606" s="5346"/>
      <c r="AG606" s="10777"/>
      <c r="AH606" s="1758"/>
      <c r="AI606" s="1758"/>
      <c r="AJ606" s="1758"/>
      <c r="AK606" s="1758"/>
      <c r="AL606" s="1758"/>
      <c r="AM606" s="1758"/>
      <c r="AN606" s="1758"/>
      <c r="AO606" s="1758"/>
      <c r="AP606" s="1758"/>
      <c r="AQ606" s="1758"/>
      <c r="AR606" s="1758"/>
      <c r="AS606" s="1758"/>
      <c r="AT606" s="1758"/>
      <c r="AU606" s="1758"/>
      <c r="AV606" s="1758"/>
      <c r="AW606" s="1758"/>
      <c r="AX606" s="1758"/>
      <c r="AY606" s="1758"/>
      <c r="AZ606" s="1758"/>
      <c r="BA606" s="1758"/>
      <c r="BB606" s="1758"/>
      <c r="BC606" s="1758"/>
      <c r="BD606" s="1758"/>
      <c r="BE606" s="1758"/>
      <c r="BF606" s="1758"/>
      <c r="BG606" s="1758"/>
      <c r="BH606" s="1758"/>
      <c r="BI606" s="1758"/>
      <c r="BJ606" s="1758"/>
      <c r="BK606" s="1758"/>
      <c r="BL606" s="1758"/>
      <c r="BM606" s="1758"/>
      <c r="BN606" s="1758"/>
      <c r="BO606" s="1758"/>
      <c r="BP606" s="1758"/>
      <c r="BQ606" s="1758"/>
      <c r="BR606" s="1758"/>
      <c r="BS606" s="1758"/>
      <c r="BT606" s="1758"/>
      <c r="BU606" s="1758"/>
      <c r="BV606" s="1758"/>
      <c r="BW606" s="1758"/>
      <c r="BX606" s="1758"/>
      <c r="BY606" s="1758"/>
      <c r="BZ606" s="1758"/>
      <c r="CA606" s="1758"/>
      <c r="CB606" s="1758"/>
      <c r="CC606" s="1758"/>
      <c r="CD606" s="1758"/>
      <c r="CE606" s="1758"/>
      <c r="CF606" s="1758"/>
      <c r="CG606" s="1758"/>
      <c r="CH606" s="1758"/>
      <c r="CI606" s="1758"/>
      <c r="CJ606" s="1758"/>
      <c r="CK606" s="1758"/>
      <c r="CL606" s="1758"/>
      <c r="CM606" s="1758"/>
      <c r="CN606" s="1758"/>
      <c r="CO606" s="1758"/>
      <c r="CP606" s="1758"/>
      <c r="CQ606" s="1758"/>
      <c r="CR606" s="1758"/>
      <c r="CS606" s="1758"/>
      <c r="CT606" s="1758"/>
      <c r="CU606" s="1758"/>
      <c r="CV606" s="1758"/>
      <c r="CW606" s="1758"/>
      <c r="CX606" s="1758"/>
      <c r="CY606" s="1758"/>
      <c r="CZ606" s="1758"/>
      <c r="DA606" s="1758"/>
      <c r="DB606" s="1758"/>
      <c r="DC606" s="1758"/>
    </row>
    <row r="607" spans="1:107" s="1395" customFormat="1" ht="20.25" customHeight="1">
      <c r="A607" s="10827"/>
      <c r="B607" s="10731"/>
      <c r="C607" s="10728"/>
      <c r="D607" s="10728"/>
      <c r="E607" s="10728"/>
      <c r="F607" s="10744"/>
      <c r="G607" s="10728"/>
      <c r="H607" s="10728"/>
      <c r="I607" s="10728"/>
      <c r="J607" s="10728"/>
      <c r="K607" s="10735"/>
      <c r="L607" s="10738"/>
      <c r="M607" s="10738"/>
      <c r="N607" s="10738"/>
      <c r="O607" s="10735"/>
      <c r="P607" s="10735"/>
      <c r="Q607" s="10741"/>
      <c r="R607" s="5173"/>
      <c r="S607" s="5212"/>
      <c r="T607" s="5212"/>
      <c r="U607" s="5250"/>
      <c r="V607" s="5281"/>
      <c r="W607" s="5302"/>
      <c r="X607" s="7477"/>
      <c r="Y607" s="7473"/>
      <c r="Z607" s="7473"/>
      <c r="AA607" s="7474"/>
      <c r="AB607" s="5323"/>
      <c r="AC607" s="1396"/>
      <c r="AD607" s="5300"/>
      <c r="AE607" s="5346"/>
      <c r="AF607" s="5346"/>
      <c r="AG607" s="10777"/>
      <c r="AH607" s="1758"/>
      <c r="AI607" s="1758"/>
      <c r="AJ607" s="1758"/>
      <c r="AK607" s="1758"/>
      <c r="AL607" s="1758"/>
      <c r="AM607" s="1758"/>
      <c r="AN607" s="1758"/>
      <c r="AO607" s="1758"/>
      <c r="AP607" s="1758"/>
      <c r="AQ607" s="1758"/>
      <c r="AR607" s="1758"/>
      <c r="AS607" s="1758"/>
      <c r="AT607" s="1758"/>
      <c r="AU607" s="1758"/>
      <c r="AV607" s="1758"/>
      <c r="AW607" s="1758"/>
      <c r="AX607" s="1758"/>
      <c r="AY607" s="1758"/>
      <c r="AZ607" s="1758"/>
      <c r="BA607" s="1758"/>
      <c r="BB607" s="1758"/>
      <c r="BC607" s="1758"/>
      <c r="BD607" s="1758"/>
      <c r="BE607" s="1758"/>
      <c r="BF607" s="1758"/>
      <c r="BG607" s="1758"/>
      <c r="BH607" s="1758"/>
      <c r="BI607" s="1758"/>
      <c r="BJ607" s="1758"/>
      <c r="BK607" s="1758"/>
      <c r="BL607" s="1758"/>
      <c r="BM607" s="1758"/>
      <c r="BN607" s="1758"/>
      <c r="BO607" s="1758"/>
      <c r="BP607" s="1758"/>
      <c r="BQ607" s="1758"/>
      <c r="BR607" s="1758"/>
      <c r="BS607" s="1758"/>
      <c r="BT607" s="1758"/>
      <c r="BU607" s="1758"/>
      <c r="BV607" s="1758"/>
      <c r="BW607" s="1758"/>
      <c r="BX607" s="1758"/>
      <c r="BY607" s="1758"/>
      <c r="BZ607" s="1758"/>
      <c r="CA607" s="1758"/>
      <c r="CB607" s="1758"/>
      <c r="CC607" s="1758"/>
      <c r="CD607" s="1758"/>
      <c r="CE607" s="1758"/>
      <c r="CF607" s="1758"/>
      <c r="CG607" s="1758"/>
      <c r="CH607" s="1758"/>
      <c r="CI607" s="1758"/>
      <c r="CJ607" s="1758"/>
      <c r="CK607" s="1758"/>
      <c r="CL607" s="1758"/>
      <c r="CM607" s="1758"/>
      <c r="CN607" s="1758"/>
      <c r="CO607" s="1758"/>
      <c r="CP607" s="1758"/>
      <c r="CQ607" s="1758"/>
      <c r="CR607" s="1758"/>
      <c r="CS607" s="1758"/>
      <c r="CT607" s="1758"/>
      <c r="CU607" s="1758"/>
      <c r="CV607" s="1758"/>
      <c r="CW607" s="1758"/>
      <c r="CX607" s="1758"/>
      <c r="CY607" s="1758"/>
      <c r="CZ607" s="1758"/>
      <c r="DA607" s="1758"/>
      <c r="DB607" s="1758"/>
      <c r="DC607" s="1758"/>
    </row>
    <row r="608" spans="1:107" s="1395" customFormat="1" ht="20.25" customHeight="1">
      <c r="A608" s="10827"/>
      <c r="B608" s="10732"/>
      <c r="C608" s="10729"/>
      <c r="D608" s="10729"/>
      <c r="E608" s="10729"/>
      <c r="F608" s="10745"/>
      <c r="G608" s="10729"/>
      <c r="H608" s="10729"/>
      <c r="I608" s="10729"/>
      <c r="J608" s="10729"/>
      <c r="K608" s="10736"/>
      <c r="L608" s="10739"/>
      <c r="M608" s="10739"/>
      <c r="N608" s="10739"/>
      <c r="O608" s="10736"/>
      <c r="P608" s="10736"/>
      <c r="Q608" s="10749"/>
      <c r="R608" s="5175"/>
      <c r="S608" s="5215"/>
      <c r="T608" s="5215"/>
      <c r="U608" s="5251"/>
      <c r="V608" s="5282"/>
      <c r="W608" s="5303"/>
      <c r="X608" s="7479"/>
      <c r="Y608" s="7479"/>
      <c r="Z608" s="7479"/>
      <c r="AA608" s="7480"/>
      <c r="AB608" s="5326"/>
      <c r="AC608" s="1399"/>
      <c r="AD608" s="5303"/>
      <c r="AE608" s="5348"/>
      <c r="AF608" s="5348"/>
      <c r="AG608" s="10778"/>
      <c r="AH608" s="1758"/>
      <c r="AI608" s="1758"/>
      <c r="AJ608" s="1758"/>
      <c r="AK608" s="1758"/>
      <c r="AL608" s="1758"/>
      <c r="AM608" s="1758"/>
      <c r="AN608" s="1758"/>
      <c r="AO608" s="1758"/>
      <c r="AP608" s="1758"/>
      <c r="AQ608" s="1758"/>
      <c r="AR608" s="1758"/>
      <c r="AS608" s="1758"/>
      <c r="AT608" s="1758"/>
      <c r="AU608" s="1758"/>
      <c r="AV608" s="1758"/>
      <c r="AW608" s="1758"/>
      <c r="AX608" s="1758"/>
      <c r="AY608" s="1758"/>
      <c r="AZ608" s="1758"/>
      <c r="BA608" s="1758"/>
      <c r="BB608" s="1758"/>
      <c r="BC608" s="1758"/>
      <c r="BD608" s="1758"/>
      <c r="BE608" s="1758"/>
      <c r="BF608" s="1758"/>
      <c r="BG608" s="1758"/>
      <c r="BH608" s="1758"/>
      <c r="BI608" s="1758"/>
      <c r="BJ608" s="1758"/>
      <c r="BK608" s="1758"/>
      <c r="BL608" s="1758"/>
      <c r="BM608" s="1758"/>
      <c r="BN608" s="1758"/>
      <c r="BO608" s="1758"/>
      <c r="BP608" s="1758"/>
      <c r="BQ608" s="1758"/>
      <c r="BR608" s="1758"/>
      <c r="BS608" s="1758"/>
      <c r="BT608" s="1758"/>
      <c r="BU608" s="1758"/>
      <c r="BV608" s="1758"/>
      <c r="BW608" s="1758"/>
      <c r="BX608" s="1758"/>
      <c r="BY608" s="1758"/>
      <c r="BZ608" s="1758"/>
      <c r="CA608" s="1758"/>
      <c r="CB608" s="1758"/>
      <c r="CC608" s="1758"/>
      <c r="CD608" s="1758"/>
      <c r="CE608" s="1758"/>
      <c r="CF608" s="1758"/>
      <c r="CG608" s="1758"/>
      <c r="CH608" s="1758"/>
      <c r="CI608" s="1758"/>
      <c r="CJ608" s="1758"/>
      <c r="CK608" s="1758"/>
      <c r="CL608" s="1758"/>
      <c r="CM608" s="1758"/>
      <c r="CN608" s="1758"/>
      <c r="CO608" s="1758"/>
      <c r="CP608" s="1758"/>
      <c r="CQ608" s="1758"/>
      <c r="CR608" s="1758"/>
      <c r="CS608" s="1758"/>
      <c r="CT608" s="1758"/>
      <c r="CU608" s="1758"/>
      <c r="CV608" s="1758"/>
      <c r="CW608" s="1758"/>
      <c r="CX608" s="1758"/>
      <c r="CY608" s="1758"/>
      <c r="CZ608" s="1758"/>
      <c r="DA608" s="1758"/>
      <c r="DB608" s="1758"/>
      <c r="DC608" s="1758"/>
    </row>
    <row r="609" spans="1:107" s="1395" customFormat="1" ht="21" customHeight="1">
      <c r="A609" s="10827"/>
      <c r="B609" s="10731" t="s">
        <v>183</v>
      </c>
      <c r="C609" s="10728" t="s">
        <v>227</v>
      </c>
      <c r="D609" s="10728" t="s">
        <v>228</v>
      </c>
      <c r="E609" s="10728" t="s">
        <v>229</v>
      </c>
      <c r="F609" s="10744" t="s">
        <v>230</v>
      </c>
      <c r="G609" s="10728" t="s">
        <v>171</v>
      </c>
      <c r="H609" s="10728" t="s">
        <v>159</v>
      </c>
      <c r="I609" s="10728" t="s">
        <v>5127</v>
      </c>
      <c r="J609" s="10742" t="s">
        <v>4662</v>
      </c>
      <c r="K609" s="10735" t="s">
        <v>5048</v>
      </c>
      <c r="L609" s="10738">
        <v>0</v>
      </c>
      <c r="M609" s="10738">
        <v>1</v>
      </c>
      <c r="N609" s="10738">
        <v>1</v>
      </c>
      <c r="O609" s="10735" t="s">
        <v>5049</v>
      </c>
      <c r="P609" s="10735" t="s">
        <v>5050</v>
      </c>
      <c r="Q609" s="10741" t="s">
        <v>5119</v>
      </c>
      <c r="R609" s="5173"/>
      <c r="S609" s="5212"/>
      <c r="T609" s="5212"/>
      <c r="U609" s="5249"/>
      <c r="V609" s="5281"/>
      <c r="W609" s="5302"/>
      <c r="X609" s="7477"/>
      <c r="Y609" s="7477"/>
      <c r="Z609" s="7477"/>
      <c r="AA609" s="7478"/>
      <c r="AB609" s="5325"/>
      <c r="AC609" s="1398"/>
      <c r="AD609" s="5302"/>
      <c r="AE609" s="5349"/>
      <c r="AF609" s="5349"/>
      <c r="AG609" s="10777"/>
      <c r="AH609" s="1758"/>
      <c r="AI609" s="1758"/>
      <c r="AJ609" s="1758"/>
      <c r="AK609" s="1758"/>
      <c r="AL609" s="1758"/>
      <c r="AM609" s="1758"/>
      <c r="AN609" s="1758"/>
      <c r="AO609" s="1758"/>
      <c r="AP609" s="1758"/>
      <c r="AQ609" s="1758"/>
      <c r="AR609" s="1758"/>
      <c r="AS609" s="1758"/>
      <c r="AT609" s="1758"/>
      <c r="AU609" s="1758"/>
      <c r="AV609" s="1758"/>
      <c r="AW609" s="1758"/>
      <c r="AX609" s="1758"/>
      <c r="AY609" s="1758"/>
      <c r="AZ609" s="1758"/>
      <c r="BA609" s="1758"/>
      <c r="BB609" s="1758"/>
      <c r="BC609" s="1758"/>
      <c r="BD609" s="1758"/>
      <c r="BE609" s="1758"/>
      <c r="BF609" s="1758"/>
      <c r="BG609" s="1758"/>
      <c r="BH609" s="1758"/>
      <c r="BI609" s="1758"/>
      <c r="BJ609" s="1758"/>
      <c r="BK609" s="1758"/>
      <c r="BL609" s="1758"/>
      <c r="BM609" s="1758"/>
      <c r="BN609" s="1758"/>
      <c r="BO609" s="1758"/>
      <c r="BP609" s="1758"/>
      <c r="BQ609" s="1758"/>
      <c r="BR609" s="1758"/>
      <c r="BS609" s="1758"/>
      <c r="BT609" s="1758"/>
      <c r="BU609" s="1758"/>
      <c r="BV609" s="1758"/>
      <c r="BW609" s="1758"/>
      <c r="BX609" s="1758"/>
      <c r="BY609" s="1758"/>
      <c r="BZ609" s="1758"/>
      <c r="CA609" s="1758"/>
      <c r="CB609" s="1758"/>
      <c r="CC609" s="1758"/>
      <c r="CD609" s="1758"/>
      <c r="CE609" s="1758"/>
      <c r="CF609" s="1758"/>
      <c r="CG609" s="1758"/>
      <c r="CH609" s="1758"/>
      <c r="CI609" s="1758"/>
      <c r="CJ609" s="1758"/>
      <c r="CK609" s="1758"/>
      <c r="CL609" s="1758"/>
      <c r="CM609" s="1758"/>
      <c r="CN609" s="1758"/>
      <c r="CO609" s="1758"/>
      <c r="CP609" s="1758"/>
      <c r="CQ609" s="1758"/>
      <c r="CR609" s="1758"/>
      <c r="CS609" s="1758"/>
      <c r="CT609" s="1758"/>
      <c r="CU609" s="1758"/>
      <c r="CV609" s="1758"/>
      <c r="CW609" s="1758"/>
      <c r="CX609" s="1758"/>
      <c r="CY609" s="1758"/>
      <c r="CZ609" s="1758"/>
      <c r="DA609" s="1758"/>
      <c r="DB609" s="1758"/>
      <c r="DC609" s="1758"/>
    </row>
    <row r="610" spans="1:107" s="1395" customFormat="1" ht="21" customHeight="1">
      <c r="A610" s="10827"/>
      <c r="B610" s="10731"/>
      <c r="C610" s="10728"/>
      <c r="D610" s="10728"/>
      <c r="E610" s="10728"/>
      <c r="F610" s="10744"/>
      <c r="G610" s="10728"/>
      <c r="H610" s="10728"/>
      <c r="I610" s="10728"/>
      <c r="J610" s="10728"/>
      <c r="K610" s="10735"/>
      <c r="L610" s="10738"/>
      <c r="M610" s="10738"/>
      <c r="N610" s="10738"/>
      <c r="O610" s="10735"/>
      <c r="P610" s="10735"/>
      <c r="Q610" s="10741"/>
      <c r="R610" s="5171"/>
      <c r="S610" s="5213"/>
      <c r="T610" s="5213"/>
      <c r="U610" s="5247"/>
      <c r="V610" s="5279"/>
      <c r="W610" s="5300"/>
      <c r="X610" s="7473"/>
      <c r="Y610" s="7473"/>
      <c r="Z610" s="7473"/>
      <c r="AA610" s="7474"/>
      <c r="AB610" s="5323"/>
      <c r="AC610" s="1396"/>
      <c r="AD610" s="5300"/>
      <c r="AE610" s="5346"/>
      <c r="AF610" s="5346"/>
      <c r="AG610" s="10777"/>
      <c r="AH610" s="1758"/>
      <c r="AI610" s="1758"/>
      <c r="AJ610" s="1758"/>
      <c r="AK610" s="1758"/>
      <c r="AL610" s="1758"/>
      <c r="AM610" s="1758"/>
      <c r="AN610" s="1758"/>
      <c r="AO610" s="1758"/>
      <c r="AP610" s="1758"/>
      <c r="AQ610" s="1758"/>
      <c r="AR610" s="1758"/>
      <c r="AS610" s="1758"/>
      <c r="AT610" s="1758"/>
      <c r="AU610" s="1758"/>
      <c r="AV610" s="1758"/>
      <c r="AW610" s="1758"/>
      <c r="AX610" s="1758"/>
      <c r="AY610" s="1758"/>
      <c r="AZ610" s="1758"/>
      <c r="BA610" s="1758"/>
      <c r="BB610" s="1758"/>
      <c r="BC610" s="1758"/>
      <c r="BD610" s="1758"/>
      <c r="BE610" s="1758"/>
      <c r="BF610" s="1758"/>
      <c r="BG610" s="1758"/>
      <c r="BH610" s="1758"/>
      <c r="BI610" s="1758"/>
      <c r="BJ610" s="1758"/>
      <c r="BK610" s="1758"/>
      <c r="BL610" s="1758"/>
      <c r="BM610" s="1758"/>
      <c r="BN610" s="1758"/>
      <c r="BO610" s="1758"/>
      <c r="BP610" s="1758"/>
      <c r="BQ610" s="1758"/>
      <c r="BR610" s="1758"/>
      <c r="BS610" s="1758"/>
      <c r="BT610" s="1758"/>
      <c r="BU610" s="1758"/>
      <c r="BV610" s="1758"/>
      <c r="BW610" s="1758"/>
      <c r="BX610" s="1758"/>
      <c r="BY610" s="1758"/>
      <c r="BZ610" s="1758"/>
      <c r="CA610" s="1758"/>
      <c r="CB610" s="1758"/>
      <c r="CC610" s="1758"/>
      <c r="CD610" s="1758"/>
      <c r="CE610" s="1758"/>
      <c r="CF610" s="1758"/>
      <c r="CG610" s="1758"/>
      <c r="CH610" s="1758"/>
      <c r="CI610" s="1758"/>
      <c r="CJ610" s="1758"/>
      <c r="CK610" s="1758"/>
      <c r="CL610" s="1758"/>
      <c r="CM610" s="1758"/>
      <c r="CN610" s="1758"/>
      <c r="CO610" s="1758"/>
      <c r="CP610" s="1758"/>
      <c r="CQ610" s="1758"/>
      <c r="CR610" s="1758"/>
      <c r="CS610" s="1758"/>
      <c r="CT610" s="1758"/>
      <c r="CU610" s="1758"/>
      <c r="CV610" s="1758"/>
      <c r="CW610" s="1758"/>
      <c r="CX610" s="1758"/>
      <c r="CY610" s="1758"/>
      <c r="CZ610" s="1758"/>
      <c r="DA610" s="1758"/>
      <c r="DB610" s="1758"/>
      <c r="DC610" s="1758"/>
    </row>
    <row r="611" spans="1:107" s="1395" customFormat="1" ht="21" customHeight="1">
      <c r="A611" s="10827"/>
      <c r="B611" s="10731"/>
      <c r="C611" s="10728"/>
      <c r="D611" s="10728"/>
      <c r="E611" s="10728"/>
      <c r="F611" s="10744"/>
      <c r="G611" s="10728"/>
      <c r="H611" s="10728"/>
      <c r="I611" s="10728"/>
      <c r="J611" s="10728"/>
      <c r="K611" s="10735"/>
      <c r="L611" s="10738"/>
      <c r="M611" s="10738"/>
      <c r="N611" s="10738"/>
      <c r="O611" s="10735"/>
      <c r="P611" s="10735"/>
      <c r="Q611" s="10741"/>
      <c r="R611" s="5174"/>
      <c r="S611" s="5214"/>
      <c r="T611" s="5214"/>
      <c r="U611" s="5250"/>
      <c r="V611" s="5281"/>
      <c r="W611" s="5302"/>
      <c r="X611" s="7477"/>
      <c r="Y611" s="7473"/>
      <c r="Z611" s="7473"/>
      <c r="AA611" s="7474"/>
      <c r="AB611" s="5323"/>
      <c r="AC611" s="1396"/>
      <c r="AD611" s="5300"/>
      <c r="AE611" s="5346"/>
      <c r="AF611" s="5346"/>
      <c r="AG611" s="10777"/>
      <c r="AH611" s="1758"/>
      <c r="AI611" s="1758"/>
      <c r="AJ611" s="1758"/>
      <c r="AK611" s="1758"/>
      <c r="AL611" s="1758"/>
      <c r="AM611" s="1758"/>
      <c r="AN611" s="1758"/>
      <c r="AO611" s="1758"/>
      <c r="AP611" s="1758"/>
      <c r="AQ611" s="1758"/>
      <c r="AR611" s="1758"/>
      <c r="AS611" s="1758"/>
      <c r="AT611" s="1758"/>
      <c r="AU611" s="1758"/>
      <c r="AV611" s="1758"/>
      <c r="AW611" s="1758"/>
      <c r="AX611" s="1758"/>
      <c r="AY611" s="1758"/>
      <c r="AZ611" s="1758"/>
      <c r="BA611" s="1758"/>
      <c r="BB611" s="1758"/>
      <c r="BC611" s="1758"/>
      <c r="BD611" s="1758"/>
      <c r="BE611" s="1758"/>
      <c r="BF611" s="1758"/>
      <c r="BG611" s="1758"/>
      <c r="BH611" s="1758"/>
      <c r="BI611" s="1758"/>
      <c r="BJ611" s="1758"/>
      <c r="BK611" s="1758"/>
      <c r="BL611" s="1758"/>
      <c r="BM611" s="1758"/>
      <c r="BN611" s="1758"/>
      <c r="BO611" s="1758"/>
      <c r="BP611" s="1758"/>
      <c r="BQ611" s="1758"/>
      <c r="BR611" s="1758"/>
      <c r="BS611" s="1758"/>
      <c r="BT611" s="1758"/>
      <c r="BU611" s="1758"/>
      <c r="BV611" s="1758"/>
      <c r="BW611" s="1758"/>
      <c r="BX611" s="1758"/>
      <c r="BY611" s="1758"/>
      <c r="BZ611" s="1758"/>
      <c r="CA611" s="1758"/>
      <c r="CB611" s="1758"/>
      <c r="CC611" s="1758"/>
      <c r="CD611" s="1758"/>
      <c r="CE611" s="1758"/>
      <c r="CF611" s="1758"/>
      <c r="CG611" s="1758"/>
      <c r="CH611" s="1758"/>
      <c r="CI611" s="1758"/>
      <c r="CJ611" s="1758"/>
      <c r="CK611" s="1758"/>
      <c r="CL611" s="1758"/>
      <c r="CM611" s="1758"/>
      <c r="CN611" s="1758"/>
      <c r="CO611" s="1758"/>
      <c r="CP611" s="1758"/>
      <c r="CQ611" s="1758"/>
      <c r="CR611" s="1758"/>
      <c r="CS611" s="1758"/>
      <c r="CT611" s="1758"/>
      <c r="CU611" s="1758"/>
      <c r="CV611" s="1758"/>
      <c r="CW611" s="1758"/>
      <c r="CX611" s="1758"/>
      <c r="CY611" s="1758"/>
      <c r="CZ611" s="1758"/>
      <c r="DA611" s="1758"/>
      <c r="DB611" s="1758"/>
      <c r="DC611" s="1758"/>
    </row>
    <row r="612" spans="1:107" s="1395" customFormat="1" ht="21" customHeight="1">
      <c r="A612" s="10827"/>
      <c r="B612" s="10731"/>
      <c r="C612" s="10728"/>
      <c r="D612" s="10728"/>
      <c r="E612" s="10728"/>
      <c r="F612" s="10744"/>
      <c r="G612" s="10728"/>
      <c r="H612" s="10728"/>
      <c r="I612" s="10728"/>
      <c r="J612" s="10728"/>
      <c r="K612" s="10735"/>
      <c r="L612" s="10738"/>
      <c r="M612" s="10738"/>
      <c r="N612" s="10738"/>
      <c r="O612" s="10735"/>
      <c r="P612" s="10735"/>
      <c r="Q612" s="10741"/>
      <c r="R612" s="5173"/>
      <c r="S612" s="5212"/>
      <c r="T612" s="5212"/>
      <c r="U612" s="5250"/>
      <c r="V612" s="5281"/>
      <c r="W612" s="5302"/>
      <c r="X612" s="7477"/>
      <c r="Y612" s="7473"/>
      <c r="Z612" s="7473"/>
      <c r="AA612" s="7474"/>
      <c r="AB612" s="5323"/>
      <c r="AC612" s="1396"/>
      <c r="AD612" s="5300"/>
      <c r="AE612" s="5346"/>
      <c r="AF612" s="5346"/>
      <c r="AG612" s="10777"/>
      <c r="AH612" s="1758"/>
      <c r="AI612" s="1758"/>
      <c r="AJ612" s="1758"/>
      <c r="AK612" s="1758"/>
      <c r="AL612" s="1758"/>
      <c r="AM612" s="1758"/>
      <c r="AN612" s="1758"/>
      <c r="AO612" s="1758"/>
      <c r="AP612" s="1758"/>
      <c r="AQ612" s="1758"/>
      <c r="AR612" s="1758"/>
      <c r="AS612" s="1758"/>
      <c r="AT612" s="1758"/>
      <c r="AU612" s="1758"/>
      <c r="AV612" s="1758"/>
      <c r="AW612" s="1758"/>
      <c r="AX612" s="1758"/>
      <c r="AY612" s="1758"/>
      <c r="AZ612" s="1758"/>
      <c r="BA612" s="1758"/>
      <c r="BB612" s="1758"/>
      <c r="BC612" s="1758"/>
      <c r="BD612" s="1758"/>
      <c r="BE612" s="1758"/>
      <c r="BF612" s="1758"/>
      <c r="BG612" s="1758"/>
      <c r="BH612" s="1758"/>
      <c r="BI612" s="1758"/>
      <c r="BJ612" s="1758"/>
      <c r="BK612" s="1758"/>
      <c r="BL612" s="1758"/>
      <c r="BM612" s="1758"/>
      <c r="BN612" s="1758"/>
      <c r="BO612" s="1758"/>
      <c r="BP612" s="1758"/>
      <c r="BQ612" s="1758"/>
      <c r="BR612" s="1758"/>
      <c r="BS612" s="1758"/>
      <c r="BT612" s="1758"/>
      <c r="BU612" s="1758"/>
      <c r="BV612" s="1758"/>
      <c r="BW612" s="1758"/>
      <c r="BX612" s="1758"/>
      <c r="BY612" s="1758"/>
      <c r="BZ612" s="1758"/>
      <c r="CA612" s="1758"/>
      <c r="CB612" s="1758"/>
      <c r="CC612" s="1758"/>
      <c r="CD612" s="1758"/>
      <c r="CE612" s="1758"/>
      <c r="CF612" s="1758"/>
      <c r="CG612" s="1758"/>
      <c r="CH612" s="1758"/>
      <c r="CI612" s="1758"/>
      <c r="CJ612" s="1758"/>
      <c r="CK612" s="1758"/>
      <c r="CL612" s="1758"/>
      <c r="CM612" s="1758"/>
      <c r="CN612" s="1758"/>
      <c r="CO612" s="1758"/>
      <c r="CP612" s="1758"/>
      <c r="CQ612" s="1758"/>
      <c r="CR612" s="1758"/>
      <c r="CS612" s="1758"/>
      <c r="CT612" s="1758"/>
      <c r="CU612" s="1758"/>
      <c r="CV612" s="1758"/>
      <c r="CW612" s="1758"/>
      <c r="CX612" s="1758"/>
      <c r="CY612" s="1758"/>
      <c r="CZ612" s="1758"/>
      <c r="DA612" s="1758"/>
      <c r="DB612" s="1758"/>
      <c r="DC612" s="1758"/>
    </row>
    <row r="613" spans="1:107" s="1395" customFormat="1" ht="21" customHeight="1">
      <c r="A613" s="10827"/>
      <c r="B613" s="10732"/>
      <c r="C613" s="10729"/>
      <c r="D613" s="10729"/>
      <c r="E613" s="10729"/>
      <c r="F613" s="10745"/>
      <c r="G613" s="10729"/>
      <c r="H613" s="10729"/>
      <c r="I613" s="10729"/>
      <c r="J613" s="10729"/>
      <c r="K613" s="10736"/>
      <c r="L613" s="10739"/>
      <c r="M613" s="10739"/>
      <c r="N613" s="10739"/>
      <c r="O613" s="10736"/>
      <c r="P613" s="10736"/>
      <c r="Q613" s="10749"/>
      <c r="R613" s="5175"/>
      <c r="S613" s="5215"/>
      <c r="T613" s="5215"/>
      <c r="U613" s="5251"/>
      <c r="V613" s="5282"/>
      <c r="W613" s="5303"/>
      <c r="X613" s="7479"/>
      <c r="Y613" s="7479"/>
      <c r="Z613" s="7479"/>
      <c r="AA613" s="7480"/>
      <c r="AB613" s="5326"/>
      <c r="AC613" s="1399"/>
      <c r="AD613" s="5303"/>
      <c r="AE613" s="5348"/>
      <c r="AF613" s="5348"/>
      <c r="AG613" s="10778"/>
      <c r="AH613" s="1758"/>
      <c r="AI613" s="1758"/>
      <c r="AJ613" s="1758"/>
      <c r="AK613" s="1758"/>
      <c r="AL613" s="1758"/>
      <c r="AM613" s="1758"/>
      <c r="AN613" s="1758"/>
      <c r="AO613" s="1758"/>
      <c r="AP613" s="1758"/>
      <c r="AQ613" s="1758"/>
      <c r="AR613" s="1758"/>
      <c r="AS613" s="1758"/>
      <c r="AT613" s="1758"/>
      <c r="AU613" s="1758"/>
      <c r="AV613" s="1758"/>
      <c r="AW613" s="1758"/>
      <c r="AX613" s="1758"/>
      <c r="AY613" s="1758"/>
      <c r="AZ613" s="1758"/>
      <c r="BA613" s="1758"/>
      <c r="BB613" s="1758"/>
      <c r="BC613" s="1758"/>
      <c r="BD613" s="1758"/>
      <c r="BE613" s="1758"/>
      <c r="BF613" s="1758"/>
      <c r="BG613" s="1758"/>
      <c r="BH613" s="1758"/>
      <c r="BI613" s="1758"/>
      <c r="BJ613" s="1758"/>
      <c r="BK613" s="1758"/>
      <c r="BL613" s="1758"/>
      <c r="BM613" s="1758"/>
      <c r="BN613" s="1758"/>
      <c r="BO613" s="1758"/>
      <c r="BP613" s="1758"/>
      <c r="BQ613" s="1758"/>
      <c r="BR613" s="1758"/>
      <c r="BS613" s="1758"/>
      <c r="BT613" s="1758"/>
      <c r="BU613" s="1758"/>
      <c r="BV613" s="1758"/>
      <c r="BW613" s="1758"/>
      <c r="BX613" s="1758"/>
      <c r="BY613" s="1758"/>
      <c r="BZ613" s="1758"/>
      <c r="CA613" s="1758"/>
      <c r="CB613" s="1758"/>
      <c r="CC613" s="1758"/>
      <c r="CD613" s="1758"/>
      <c r="CE613" s="1758"/>
      <c r="CF613" s="1758"/>
      <c r="CG613" s="1758"/>
      <c r="CH613" s="1758"/>
      <c r="CI613" s="1758"/>
      <c r="CJ613" s="1758"/>
      <c r="CK613" s="1758"/>
      <c r="CL613" s="1758"/>
      <c r="CM613" s="1758"/>
      <c r="CN613" s="1758"/>
      <c r="CO613" s="1758"/>
      <c r="CP613" s="1758"/>
      <c r="CQ613" s="1758"/>
      <c r="CR613" s="1758"/>
      <c r="CS613" s="1758"/>
      <c r="CT613" s="1758"/>
      <c r="CU613" s="1758"/>
      <c r="CV613" s="1758"/>
      <c r="CW613" s="1758"/>
      <c r="CX613" s="1758"/>
      <c r="CY613" s="1758"/>
      <c r="CZ613" s="1758"/>
      <c r="DA613" s="1758"/>
      <c r="DB613" s="1758"/>
      <c r="DC613" s="1758"/>
    </row>
    <row r="614" spans="1:107" s="1395" customFormat="1" ht="20.25" customHeight="1">
      <c r="A614" s="10827"/>
      <c r="B614" s="10731" t="s">
        <v>183</v>
      </c>
      <c r="C614" s="10728" t="s">
        <v>227</v>
      </c>
      <c r="D614" s="10728" t="s">
        <v>1292</v>
      </c>
      <c r="E614" s="10728" t="s">
        <v>5052</v>
      </c>
      <c r="F614" s="10744" t="s">
        <v>230</v>
      </c>
      <c r="G614" s="10728" t="s">
        <v>231</v>
      </c>
      <c r="H614" s="10728" t="s">
        <v>189</v>
      </c>
      <c r="I614" s="10728" t="s">
        <v>5128</v>
      </c>
      <c r="J614" s="10742" t="s">
        <v>4667</v>
      </c>
      <c r="K614" s="10735" t="s">
        <v>5054</v>
      </c>
      <c r="L614" s="10738">
        <v>0</v>
      </c>
      <c r="M614" s="10738">
        <v>1</v>
      </c>
      <c r="N614" s="10738">
        <v>1</v>
      </c>
      <c r="O614" s="10735" t="s">
        <v>5055</v>
      </c>
      <c r="P614" s="10735" t="s">
        <v>5056</v>
      </c>
      <c r="Q614" s="10750" t="s">
        <v>5118</v>
      </c>
      <c r="R614" s="5173"/>
      <c r="S614" s="5212"/>
      <c r="T614" s="5212"/>
      <c r="U614" s="5249"/>
      <c r="V614" s="5281"/>
      <c r="W614" s="5302"/>
      <c r="X614" s="7477"/>
      <c r="Y614" s="7477"/>
      <c r="Z614" s="7477"/>
      <c r="AA614" s="7478"/>
      <c r="AB614" s="5325"/>
      <c r="AC614" s="1398"/>
      <c r="AD614" s="5302"/>
      <c r="AE614" s="5349"/>
      <c r="AF614" s="5349"/>
      <c r="AG614" s="10777" t="s">
        <v>4843</v>
      </c>
      <c r="AH614" s="1758"/>
      <c r="AI614" s="1758"/>
      <c r="AJ614" s="1758"/>
      <c r="AK614" s="1758"/>
      <c r="AL614" s="1758"/>
      <c r="AM614" s="1758"/>
      <c r="AN614" s="1758"/>
      <c r="AO614" s="1758"/>
      <c r="AP614" s="1758"/>
      <c r="AQ614" s="1758"/>
      <c r="AR614" s="1758"/>
      <c r="AS614" s="1758"/>
      <c r="AT614" s="1758"/>
      <c r="AU614" s="1758"/>
      <c r="AV614" s="1758"/>
      <c r="AW614" s="1758"/>
      <c r="AX614" s="1758"/>
      <c r="AY614" s="1758"/>
      <c r="AZ614" s="1758"/>
      <c r="BA614" s="1758"/>
      <c r="BB614" s="1758"/>
      <c r="BC614" s="1758"/>
      <c r="BD614" s="1758"/>
      <c r="BE614" s="1758"/>
      <c r="BF614" s="1758"/>
      <c r="BG614" s="1758"/>
      <c r="BH614" s="1758"/>
      <c r="BI614" s="1758"/>
      <c r="BJ614" s="1758"/>
      <c r="BK614" s="1758"/>
      <c r="BL614" s="1758"/>
      <c r="BM614" s="1758"/>
      <c r="BN614" s="1758"/>
      <c r="BO614" s="1758"/>
      <c r="BP614" s="1758"/>
      <c r="BQ614" s="1758"/>
      <c r="BR614" s="1758"/>
      <c r="BS614" s="1758"/>
      <c r="BT614" s="1758"/>
      <c r="BU614" s="1758"/>
      <c r="BV614" s="1758"/>
      <c r="BW614" s="1758"/>
      <c r="BX614" s="1758"/>
      <c r="BY614" s="1758"/>
      <c r="BZ614" s="1758"/>
      <c r="CA614" s="1758"/>
      <c r="CB614" s="1758"/>
      <c r="CC614" s="1758"/>
      <c r="CD614" s="1758"/>
      <c r="CE614" s="1758"/>
      <c r="CF614" s="1758"/>
      <c r="CG614" s="1758"/>
      <c r="CH614" s="1758"/>
      <c r="CI614" s="1758"/>
      <c r="CJ614" s="1758"/>
      <c r="CK614" s="1758"/>
      <c r="CL614" s="1758"/>
      <c r="CM614" s="1758"/>
      <c r="CN614" s="1758"/>
      <c r="CO614" s="1758"/>
      <c r="CP614" s="1758"/>
      <c r="CQ614" s="1758"/>
      <c r="CR614" s="1758"/>
      <c r="CS614" s="1758"/>
      <c r="CT614" s="1758"/>
      <c r="CU614" s="1758"/>
      <c r="CV614" s="1758"/>
      <c r="CW614" s="1758"/>
      <c r="CX614" s="1758"/>
      <c r="CY614" s="1758"/>
      <c r="CZ614" s="1758"/>
      <c r="DA614" s="1758"/>
      <c r="DB614" s="1758"/>
      <c r="DC614" s="1758"/>
    </row>
    <row r="615" spans="1:107" s="1395" customFormat="1" ht="20.25" customHeight="1">
      <c r="A615" s="10827"/>
      <c r="B615" s="10731"/>
      <c r="C615" s="10728"/>
      <c r="D615" s="10728"/>
      <c r="E615" s="10728"/>
      <c r="F615" s="10744"/>
      <c r="G615" s="10728"/>
      <c r="H615" s="10728"/>
      <c r="I615" s="10728"/>
      <c r="J615" s="10728"/>
      <c r="K615" s="10735"/>
      <c r="L615" s="10738"/>
      <c r="M615" s="10738"/>
      <c r="N615" s="10738"/>
      <c r="O615" s="10735"/>
      <c r="P615" s="10735"/>
      <c r="Q615" s="10750"/>
      <c r="R615" s="5171"/>
      <c r="S615" s="5213"/>
      <c r="T615" s="5213"/>
      <c r="U615" s="5247"/>
      <c r="V615" s="5279"/>
      <c r="W615" s="5300"/>
      <c r="X615" s="7473"/>
      <c r="Y615" s="7473"/>
      <c r="Z615" s="7473"/>
      <c r="AA615" s="7474"/>
      <c r="AB615" s="5323"/>
      <c r="AC615" s="1396"/>
      <c r="AD615" s="5300"/>
      <c r="AE615" s="5346"/>
      <c r="AF615" s="5346"/>
      <c r="AG615" s="10777"/>
      <c r="AH615" s="1758"/>
      <c r="AI615" s="1758"/>
      <c r="AJ615" s="1758"/>
      <c r="AK615" s="1758"/>
      <c r="AL615" s="1758"/>
      <c r="AM615" s="1758"/>
      <c r="AN615" s="1758"/>
      <c r="AO615" s="1758"/>
      <c r="AP615" s="1758"/>
      <c r="AQ615" s="1758"/>
      <c r="AR615" s="1758"/>
      <c r="AS615" s="1758"/>
      <c r="AT615" s="1758"/>
      <c r="AU615" s="1758"/>
      <c r="AV615" s="1758"/>
      <c r="AW615" s="1758"/>
      <c r="AX615" s="1758"/>
      <c r="AY615" s="1758"/>
      <c r="AZ615" s="1758"/>
      <c r="BA615" s="1758"/>
      <c r="BB615" s="1758"/>
      <c r="BC615" s="1758"/>
      <c r="BD615" s="1758"/>
      <c r="BE615" s="1758"/>
      <c r="BF615" s="1758"/>
      <c r="BG615" s="1758"/>
      <c r="BH615" s="1758"/>
      <c r="BI615" s="1758"/>
      <c r="BJ615" s="1758"/>
      <c r="BK615" s="1758"/>
      <c r="BL615" s="1758"/>
      <c r="BM615" s="1758"/>
      <c r="BN615" s="1758"/>
      <c r="BO615" s="1758"/>
      <c r="BP615" s="1758"/>
      <c r="BQ615" s="1758"/>
      <c r="BR615" s="1758"/>
      <c r="BS615" s="1758"/>
      <c r="BT615" s="1758"/>
      <c r="BU615" s="1758"/>
      <c r="BV615" s="1758"/>
      <c r="BW615" s="1758"/>
      <c r="BX615" s="1758"/>
      <c r="BY615" s="1758"/>
      <c r="BZ615" s="1758"/>
      <c r="CA615" s="1758"/>
      <c r="CB615" s="1758"/>
      <c r="CC615" s="1758"/>
      <c r="CD615" s="1758"/>
      <c r="CE615" s="1758"/>
      <c r="CF615" s="1758"/>
      <c r="CG615" s="1758"/>
      <c r="CH615" s="1758"/>
      <c r="CI615" s="1758"/>
      <c r="CJ615" s="1758"/>
      <c r="CK615" s="1758"/>
      <c r="CL615" s="1758"/>
      <c r="CM615" s="1758"/>
      <c r="CN615" s="1758"/>
      <c r="CO615" s="1758"/>
      <c r="CP615" s="1758"/>
      <c r="CQ615" s="1758"/>
      <c r="CR615" s="1758"/>
      <c r="CS615" s="1758"/>
      <c r="CT615" s="1758"/>
      <c r="CU615" s="1758"/>
      <c r="CV615" s="1758"/>
      <c r="CW615" s="1758"/>
      <c r="CX615" s="1758"/>
      <c r="CY615" s="1758"/>
      <c r="CZ615" s="1758"/>
      <c r="DA615" s="1758"/>
      <c r="DB615" s="1758"/>
      <c r="DC615" s="1758"/>
    </row>
    <row r="616" spans="1:107" s="1395" customFormat="1" ht="20.25" customHeight="1">
      <c r="A616" s="10827"/>
      <c r="B616" s="10731"/>
      <c r="C616" s="10728"/>
      <c r="D616" s="10728"/>
      <c r="E616" s="10728"/>
      <c r="F616" s="10744"/>
      <c r="G616" s="10728"/>
      <c r="H616" s="10728"/>
      <c r="I616" s="10728"/>
      <c r="J616" s="10728"/>
      <c r="K616" s="10735"/>
      <c r="L616" s="10738"/>
      <c r="M616" s="10738"/>
      <c r="N616" s="10738"/>
      <c r="O616" s="10735"/>
      <c r="P616" s="10735"/>
      <c r="Q616" s="10750"/>
      <c r="R616" s="5174"/>
      <c r="S616" s="5214"/>
      <c r="T616" s="5214"/>
      <c r="U616" s="5250"/>
      <c r="V616" s="5281"/>
      <c r="W616" s="5302"/>
      <c r="X616" s="7477"/>
      <c r="Y616" s="7473"/>
      <c r="Z616" s="7473"/>
      <c r="AA616" s="7474"/>
      <c r="AB616" s="5323"/>
      <c r="AC616" s="1396"/>
      <c r="AD616" s="5300"/>
      <c r="AE616" s="5346"/>
      <c r="AF616" s="5346"/>
      <c r="AG616" s="10777"/>
      <c r="AH616" s="1758"/>
      <c r="AI616" s="1758"/>
      <c r="AJ616" s="1758"/>
      <c r="AK616" s="1758"/>
      <c r="AL616" s="1758"/>
      <c r="AM616" s="1758"/>
      <c r="AN616" s="1758"/>
      <c r="AO616" s="1758"/>
      <c r="AP616" s="1758"/>
      <c r="AQ616" s="1758"/>
      <c r="AR616" s="1758"/>
      <c r="AS616" s="1758"/>
      <c r="AT616" s="1758"/>
      <c r="AU616" s="1758"/>
      <c r="AV616" s="1758"/>
      <c r="AW616" s="1758"/>
      <c r="AX616" s="1758"/>
      <c r="AY616" s="1758"/>
      <c r="AZ616" s="1758"/>
      <c r="BA616" s="1758"/>
      <c r="BB616" s="1758"/>
      <c r="BC616" s="1758"/>
      <c r="BD616" s="1758"/>
      <c r="BE616" s="1758"/>
      <c r="BF616" s="1758"/>
      <c r="BG616" s="1758"/>
      <c r="BH616" s="1758"/>
      <c r="BI616" s="1758"/>
      <c r="BJ616" s="1758"/>
      <c r="BK616" s="1758"/>
      <c r="BL616" s="1758"/>
      <c r="BM616" s="1758"/>
      <c r="BN616" s="1758"/>
      <c r="BO616" s="1758"/>
      <c r="BP616" s="1758"/>
      <c r="BQ616" s="1758"/>
      <c r="BR616" s="1758"/>
      <c r="BS616" s="1758"/>
      <c r="BT616" s="1758"/>
      <c r="BU616" s="1758"/>
      <c r="BV616" s="1758"/>
      <c r="BW616" s="1758"/>
      <c r="BX616" s="1758"/>
      <c r="BY616" s="1758"/>
      <c r="BZ616" s="1758"/>
      <c r="CA616" s="1758"/>
      <c r="CB616" s="1758"/>
      <c r="CC616" s="1758"/>
      <c r="CD616" s="1758"/>
      <c r="CE616" s="1758"/>
      <c r="CF616" s="1758"/>
      <c r="CG616" s="1758"/>
      <c r="CH616" s="1758"/>
      <c r="CI616" s="1758"/>
      <c r="CJ616" s="1758"/>
      <c r="CK616" s="1758"/>
      <c r="CL616" s="1758"/>
      <c r="CM616" s="1758"/>
      <c r="CN616" s="1758"/>
      <c r="CO616" s="1758"/>
      <c r="CP616" s="1758"/>
      <c r="CQ616" s="1758"/>
      <c r="CR616" s="1758"/>
      <c r="CS616" s="1758"/>
      <c r="CT616" s="1758"/>
      <c r="CU616" s="1758"/>
      <c r="CV616" s="1758"/>
      <c r="CW616" s="1758"/>
      <c r="CX616" s="1758"/>
      <c r="CY616" s="1758"/>
      <c r="CZ616" s="1758"/>
      <c r="DA616" s="1758"/>
      <c r="DB616" s="1758"/>
      <c r="DC616" s="1758"/>
    </row>
    <row r="617" spans="1:107" s="1395" customFormat="1" ht="20.25" customHeight="1">
      <c r="A617" s="10827"/>
      <c r="B617" s="10731"/>
      <c r="C617" s="10728"/>
      <c r="D617" s="10728"/>
      <c r="E617" s="10728"/>
      <c r="F617" s="10744"/>
      <c r="G617" s="10728"/>
      <c r="H617" s="10728"/>
      <c r="I617" s="10728"/>
      <c r="J617" s="10728"/>
      <c r="K617" s="10735"/>
      <c r="L617" s="10738"/>
      <c r="M617" s="10738"/>
      <c r="N617" s="10738"/>
      <c r="O617" s="10735"/>
      <c r="P617" s="10735"/>
      <c r="Q617" s="10750"/>
      <c r="R617" s="5173"/>
      <c r="S617" s="5212"/>
      <c r="T617" s="5212"/>
      <c r="U617" s="5250"/>
      <c r="V617" s="5281"/>
      <c r="W617" s="5302"/>
      <c r="X617" s="7477"/>
      <c r="Y617" s="7473"/>
      <c r="Z617" s="7473"/>
      <c r="AA617" s="7474"/>
      <c r="AB617" s="5323"/>
      <c r="AC617" s="1396"/>
      <c r="AD617" s="5300"/>
      <c r="AE617" s="5346"/>
      <c r="AF617" s="5346"/>
      <c r="AG617" s="10777"/>
      <c r="AH617" s="1758"/>
      <c r="AI617" s="1758"/>
      <c r="AJ617" s="1758"/>
      <c r="AK617" s="1758"/>
      <c r="AL617" s="1758"/>
      <c r="AM617" s="1758"/>
      <c r="AN617" s="1758"/>
      <c r="AO617" s="1758"/>
      <c r="AP617" s="1758"/>
      <c r="AQ617" s="1758"/>
      <c r="AR617" s="1758"/>
      <c r="AS617" s="1758"/>
      <c r="AT617" s="1758"/>
      <c r="AU617" s="1758"/>
      <c r="AV617" s="1758"/>
      <c r="AW617" s="1758"/>
      <c r="AX617" s="1758"/>
      <c r="AY617" s="1758"/>
      <c r="AZ617" s="1758"/>
      <c r="BA617" s="1758"/>
      <c r="BB617" s="1758"/>
      <c r="BC617" s="1758"/>
      <c r="BD617" s="1758"/>
      <c r="BE617" s="1758"/>
      <c r="BF617" s="1758"/>
      <c r="BG617" s="1758"/>
      <c r="BH617" s="1758"/>
      <c r="BI617" s="1758"/>
      <c r="BJ617" s="1758"/>
      <c r="BK617" s="1758"/>
      <c r="BL617" s="1758"/>
      <c r="BM617" s="1758"/>
      <c r="BN617" s="1758"/>
      <c r="BO617" s="1758"/>
      <c r="BP617" s="1758"/>
      <c r="BQ617" s="1758"/>
      <c r="BR617" s="1758"/>
      <c r="BS617" s="1758"/>
      <c r="BT617" s="1758"/>
      <c r="BU617" s="1758"/>
      <c r="BV617" s="1758"/>
      <c r="BW617" s="1758"/>
      <c r="BX617" s="1758"/>
      <c r="BY617" s="1758"/>
      <c r="BZ617" s="1758"/>
      <c r="CA617" s="1758"/>
      <c r="CB617" s="1758"/>
      <c r="CC617" s="1758"/>
      <c r="CD617" s="1758"/>
      <c r="CE617" s="1758"/>
      <c r="CF617" s="1758"/>
      <c r="CG617" s="1758"/>
      <c r="CH617" s="1758"/>
      <c r="CI617" s="1758"/>
      <c r="CJ617" s="1758"/>
      <c r="CK617" s="1758"/>
      <c r="CL617" s="1758"/>
      <c r="CM617" s="1758"/>
      <c r="CN617" s="1758"/>
      <c r="CO617" s="1758"/>
      <c r="CP617" s="1758"/>
      <c r="CQ617" s="1758"/>
      <c r="CR617" s="1758"/>
      <c r="CS617" s="1758"/>
      <c r="CT617" s="1758"/>
      <c r="CU617" s="1758"/>
      <c r="CV617" s="1758"/>
      <c r="CW617" s="1758"/>
      <c r="CX617" s="1758"/>
      <c r="CY617" s="1758"/>
      <c r="CZ617" s="1758"/>
      <c r="DA617" s="1758"/>
      <c r="DB617" s="1758"/>
      <c r="DC617" s="1758"/>
    </row>
    <row r="618" spans="1:107" s="1395" customFormat="1" ht="20.25" customHeight="1">
      <c r="A618" s="10827"/>
      <c r="B618" s="10732"/>
      <c r="C618" s="10729"/>
      <c r="D618" s="10729"/>
      <c r="E618" s="10729"/>
      <c r="F618" s="10745"/>
      <c r="G618" s="10729"/>
      <c r="H618" s="10729"/>
      <c r="I618" s="10729"/>
      <c r="J618" s="10729"/>
      <c r="K618" s="10736"/>
      <c r="L618" s="10739"/>
      <c r="M618" s="10739"/>
      <c r="N618" s="10739"/>
      <c r="O618" s="10736"/>
      <c r="P618" s="10736"/>
      <c r="Q618" s="10750"/>
      <c r="R618" s="5175"/>
      <c r="S618" s="5215"/>
      <c r="T618" s="5215"/>
      <c r="U618" s="5251"/>
      <c r="V618" s="5282"/>
      <c r="W618" s="5303"/>
      <c r="X618" s="7479"/>
      <c r="Y618" s="7479"/>
      <c r="Z618" s="7479"/>
      <c r="AA618" s="7480"/>
      <c r="AB618" s="5326"/>
      <c r="AC618" s="1399"/>
      <c r="AD618" s="5303"/>
      <c r="AE618" s="5348"/>
      <c r="AF618" s="5348"/>
      <c r="AG618" s="10778"/>
      <c r="AH618" s="1758"/>
      <c r="AI618" s="1758"/>
      <c r="AJ618" s="1758"/>
      <c r="AK618" s="1758"/>
      <c r="AL618" s="1758"/>
      <c r="AM618" s="1758"/>
      <c r="AN618" s="1758"/>
      <c r="AO618" s="1758"/>
      <c r="AP618" s="1758"/>
      <c r="AQ618" s="1758"/>
      <c r="AR618" s="1758"/>
      <c r="AS618" s="1758"/>
      <c r="AT618" s="1758"/>
      <c r="AU618" s="1758"/>
      <c r="AV618" s="1758"/>
      <c r="AW618" s="1758"/>
      <c r="AX618" s="1758"/>
      <c r="AY618" s="1758"/>
      <c r="AZ618" s="1758"/>
      <c r="BA618" s="1758"/>
      <c r="BB618" s="1758"/>
      <c r="BC618" s="1758"/>
      <c r="BD618" s="1758"/>
      <c r="BE618" s="1758"/>
      <c r="BF618" s="1758"/>
      <c r="BG618" s="1758"/>
      <c r="BH618" s="1758"/>
      <c r="BI618" s="1758"/>
      <c r="BJ618" s="1758"/>
      <c r="BK618" s="1758"/>
      <c r="BL618" s="1758"/>
      <c r="BM618" s="1758"/>
      <c r="BN618" s="1758"/>
      <c r="BO618" s="1758"/>
      <c r="BP618" s="1758"/>
      <c r="BQ618" s="1758"/>
      <c r="BR618" s="1758"/>
      <c r="BS618" s="1758"/>
      <c r="BT618" s="1758"/>
      <c r="BU618" s="1758"/>
      <c r="BV618" s="1758"/>
      <c r="BW618" s="1758"/>
      <c r="BX618" s="1758"/>
      <c r="BY618" s="1758"/>
      <c r="BZ618" s="1758"/>
      <c r="CA618" s="1758"/>
      <c r="CB618" s="1758"/>
      <c r="CC618" s="1758"/>
      <c r="CD618" s="1758"/>
      <c r="CE618" s="1758"/>
      <c r="CF618" s="1758"/>
      <c r="CG618" s="1758"/>
      <c r="CH618" s="1758"/>
      <c r="CI618" s="1758"/>
      <c r="CJ618" s="1758"/>
      <c r="CK618" s="1758"/>
      <c r="CL618" s="1758"/>
      <c r="CM618" s="1758"/>
      <c r="CN618" s="1758"/>
      <c r="CO618" s="1758"/>
      <c r="CP618" s="1758"/>
      <c r="CQ618" s="1758"/>
      <c r="CR618" s="1758"/>
      <c r="CS618" s="1758"/>
      <c r="CT618" s="1758"/>
      <c r="CU618" s="1758"/>
      <c r="CV618" s="1758"/>
      <c r="CW618" s="1758"/>
      <c r="CX618" s="1758"/>
      <c r="CY618" s="1758"/>
      <c r="CZ618" s="1758"/>
      <c r="DA618" s="1758"/>
      <c r="DB618" s="1758"/>
      <c r="DC618" s="1758"/>
    </row>
    <row r="619" spans="1:107" s="1395" customFormat="1" ht="25.5" customHeight="1">
      <c r="A619" s="10827"/>
      <c r="B619" s="10731" t="s">
        <v>127</v>
      </c>
      <c r="C619" s="10728" t="s">
        <v>227</v>
      </c>
      <c r="D619" s="10728" t="s">
        <v>228</v>
      </c>
      <c r="E619" s="10728" t="s">
        <v>229</v>
      </c>
      <c r="F619" s="10744" t="s">
        <v>230</v>
      </c>
      <c r="G619" s="10728" t="s">
        <v>171</v>
      </c>
      <c r="H619" s="10728" t="s">
        <v>159</v>
      </c>
      <c r="I619" s="10728" t="s">
        <v>5129</v>
      </c>
      <c r="J619" s="10742" t="s">
        <v>5058</v>
      </c>
      <c r="K619" s="10735" t="s">
        <v>5059</v>
      </c>
      <c r="L619" s="10738">
        <v>0</v>
      </c>
      <c r="M619" s="10738">
        <v>4</v>
      </c>
      <c r="N619" s="10738">
        <v>4</v>
      </c>
      <c r="O619" s="10735" t="s">
        <v>5060</v>
      </c>
      <c r="P619" s="10735" t="s">
        <v>5061</v>
      </c>
      <c r="Q619" s="10740" t="s">
        <v>5118</v>
      </c>
      <c r="R619" s="5173"/>
      <c r="S619" s="5212"/>
      <c r="T619" s="5212"/>
      <c r="U619" s="5249"/>
      <c r="V619" s="5281"/>
      <c r="W619" s="5302"/>
      <c r="X619" s="7477"/>
      <c r="Y619" s="7477"/>
      <c r="Z619" s="7477"/>
      <c r="AA619" s="7478"/>
      <c r="AB619" s="5325"/>
      <c r="AC619" s="1398"/>
      <c r="AD619" s="5302"/>
      <c r="AE619" s="5349"/>
      <c r="AF619" s="5349"/>
      <c r="AG619" s="10777" t="s">
        <v>4843</v>
      </c>
      <c r="AH619" s="1758"/>
      <c r="AI619" s="1758"/>
      <c r="AJ619" s="1758"/>
      <c r="AK619" s="1758"/>
      <c r="AL619" s="1758"/>
      <c r="AM619" s="1758"/>
      <c r="AN619" s="1758"/>
      <c r="AO619" s="1758"/>
      <c r="AP619" s="1758"/>
      <c r="AQ619" s="1758"/>
      <c r="AR619" s="1758"/>
      <c r="AS619" s="1758"/>
      <c r="AT619" s="1758"/>
      <c r="AU619" s="1758"/>
      <c r="AV619" s="1758"/>
      <c r="AW619" s="1758"/>
      <c r="AX619" s="1758"/>
      <c r="AY619" s="1758"/>
      <c r="AZ619" s="1758"/>
      <c r="BA619" s="1758"/>
      <c r="BB619" s="1758"/>
      <c r="BC619" s="1758"/>
      <c r="BD619" s="1758"/>
      <c r="BE619" s="1758"/>
      <c r="BF619" s="1758"/>
      <c r="BG619" s="1758"/>
      <c r="BH619" s="1758"/>
      <c r="BI619" s="1758"/>
      <c r="BJ619" s="1758"/>
      <c r="BK619" s="1758"/>
      <c r="BL619" s="1758"/>
      <c r="BM619" s="1758"/>
      <c r="BN619" s="1758"/>
      <c r="BO619" s="1758"/>
      <c r="BP619" s="1758"/>
      <c r="BQ619" s="1758"/>
      <c r="BR619" s="1758"/>
      <c r="BS619" s="1758"/>
      <c r="BT619" s="1758"/>
      <c r="BU619" s="1758"/>
      <c r="BV619" s="1758"/>
      <c r="BW619" s="1758"/>
      <c r="BX619" s="1758"/>
      <c r="BY619" s="1758"/>
      <c r="BZ619" s="1758"/>
      <c r="CA619" s="1758"/>
      <c r="CB619" s="1758"/>
      <c r="CC619" s="1758"/>
      <c r="CD619" s="1758"/>
      <c r="CE619" s="1758"/>
      <c r="CF619" s="1758"/>
      <c r="CG619" s="1758"/>
      <c r="CH619" s="1758"/>
      <c r="CI619" s="1758"/>
      <c r="CJ619" s="1758"/>
      <c r="CK619" s="1758"/>
      <c r="CL619" s="1758"/>
      <c r="CM619" s="1758"/>
      <c r="CN619" s="1758"/>
      <c r="CO619" s="1758"/>
      <c r="CP619" s="1758"/>
      <c r="CQ619" s="1758"/>
      <c r="CR619" s="1758"/>
      <c r="CS619" s="1758"/>
      <c r="CT619" s="1758"/>
      <c r="CU619" s="1758"/>
      <c r="CV619" s="1758"/>
      <c r="CW619" s="1758"/>
      <c r="CX619" s="1758"/>
      <c r="CY619" s="1758"/>
      <c r="CZ619" s="1758"/>
      <c r="DA619" s="1758"/>
      <c r="DB619" s="1758"/>
      <c r="DC619" s="1758"/>
    </row>
    <row r="620" spans="1:107" s="1395" customFormat="1" ht="25.5" customHeight="1">
      <c r="A620" s="10827"/>
      <c r="B620" s="10731"/>
      <c r="C620" s="10728"/>
      <c r="D620" s="10728"/>
      <c r="E620" s="10728"/>
      <c r="F620" s="10744"/>
      <c r="G620" s="10728"/>
      <c r="H620" s="10728"/>
      <c r="I620" s="10728"/>
      <c r="J620" s="10728"/>
      <c r="K620" s="10735"/>
      <c r="L620" s="10738"/>
      <c r="M620" s="10738"/>
      <c r="N620" s="10738"/>
      <c r="O620" s="10735"/>
      <c r="P620" s="10735"/>
      <c r="Q620" s="10741"/>
      <c r="R620" s="5171"/>
      <c r="S620" s="5213"/>
      <c r="T620" s="5213"/>
      <c r="U620" s="5247"/>
      <c r="V620" s="5279"/>
      <c r="W620" s="5300"/>
      <c r="X620" s="7473"/>
      <c r="Y620" s="7473"/>
      <c r="Z620" s="7473"/>
      <c r="AA620" s="7474"/>
      <c r="AB620" s="5323"/>
      <c r="AC620" s="1396"/>
      <c r="AD620" s="5300"/>
      <c r="AE620" s="5346"/>
      <c r="AF620" s="5346"/>
      <c r="AG620" s="10777"/>
      <c r="AH620" s="1758"/>
      <c r="AI620" s="1758"/>
      <c r="AJ620" s="1758"/>
      <c r="AK620" s="1758"/>
      <c r="AL620" s="1758"/>
      <c r="AM620" s="1758"/>
      <c r="AN620" s="1758"/>
      <c r="AO620" s="1758"/>
      <c r="AP620" s="1758"/>
      <c r="AQ620" s="1758"/>
      <c r="AR620" s="1758"/>
      <c r="AS620" s="1758"/>
      <c r="AT620" s="1758"/>
      <c r="AU620" s="1758"/>
      <c r="AV620" s="1758"/>
      <c r="AW620" s="1758"/>
      <c r="AX620" s="1758"/>
      <c r="AY620" s="1758"/>
      <c r="AZ620" s="1758"/>
      <c r="BA620" s="1758"/>
      <c r="BB620" s="1758"/>
      <c r="BC620" s="1758"/>
      <c r="BD620" s="1758"/>
      <c r="BE620" s="1758"/>
      <c r="BF620" s="1758"/>
      <c r="BG620" s="1758"/>
      <c r="BH620" s="1758"/>
      <c r="BI620" s="1758"/>
      <c r="BJ620" s="1758"/>
      <c r="BK620" s="1758"/>
      <c r="BL620" s="1758"/>
      <c r="BM620" s="1758"/>
      <c r="BN620" s="1758"/>
      <c r="BO620" s="1758"/>
      <c r="BP620" s="1758"/>
      <c r="BQ620" s="1758"/>
      <c r="BR620" s="1758"/>
      <c r="BS620" s="1758"/>
      <c r="BT620" s="1758"/>
      <c r="BU620" s="1758"/>
      <c r="BV620" s="1758"/>
      <c r="BW620" s="1758"/>
      <c r="BX620" s="1758"/>
      <c r="BY620" s="1758"/>
      <c r="BZ620" s="1758"/>
      <c r="CA620" s="1758"/>
      <c r="CB620" s="1758"/>
      <c r="CC620" s="1758"/>
      <c r="CD620" s="1758"/>
      <c r="CE620" s="1758"/>
      <c r="CF620" s="1758"/>
      <c r="CG620" s="1758"/>
      <c r="CH620" s="1758"/>
      <c r="CI620" s="1758"/>
      <c r="CJ620" s="1758"/>
      <c r="CK620" s="1758"/>
      <c r="CL620" s="1758"/>
      <c r="CM620" s="1758"/>
      <c r="CN620" s="1758"/>
      <c r="CO620" s="1758"/>
      <c r="CP620" s="1758"/>
      <c r="CQ620" s="1758"/>
      <c r="CR620" s="1758"/>
      <c r="CS620" s="1758"/>
      <c r="CT620" s="1758"/>
      <c r="CU620" s="1758"/>
      <c r="CV620" s="1758"/>
      <c r="CW620" s="1758"/>
      <c r="CX620" s="1758"/>
      <c r="CY620" s="1758"/>
      <c r="CZ620" s="1758"/>
      <c r="DA620" s="1758"/>
      <c r="DB620" s="1758"/>
      <c r="DC620" s="1758"/>
    </row>
    <row r="621" spans="1:107" s="1395" customFormat="1" ht="25.5" customHeight="1">
      <c r="A621" s="10827"/>
      <c r="B621" s="10731"/>
      <c r="C621" s="10728"/>
      <c r="D621" s="10728"/>
      <c r="E621" s="10728"/>
      <c r="F621" s="10744"/>
      <c r="G621" s="10728"/>
      <c r="H621" s="10728"/>
      <c r="I621" s="10728"/>
      <c r="J621" s="10728"/>
      <c r="K621" s="10735"/>
      <c r="L621" s="10738"/>
      <c r="M621" s="10738"/>
      <c r="N621" s="10738"/>
      <c r="O621" s="10735"/>
      <c r="P621" s="10735"/>
      <c r="Q621" s="10741"/>
      <c r="R621" s="5174"/>
      <c r="S621" s="5214"/>
      <c r="T621" s="5214"/>
      <c r="U621" s="5250"/>
      <c r="V621" s="5281"/>
      <c r="W621" s="5302"/>
      <c r="X621" s="7477"/>
      <c r="Y621" s="7473"/>
      <c r="Z621" s="7473"/>
      <c r="AA621" s="7474"/>
      <c r="AB621" s="5323"/>
      <c r="AC621" s="1396"/>
      <c r="AD621" s="5300"/>
      <c r="AE621" s="5346"/>
      <c r="AF621" s="5346"/>
      <c r="AG621" s="10777"/>
      <c r="AH621" s="1758"/>
      <c r="AI621" s="1758"/>
      <c r="AJ621" s="1758"/>
      <c r="AK621" s="1758"/>
      <c r="AL621" s="1758"/>
      <c r="AM621" s="1758"/>
      <c r="AN621" s="1758"/>
      <c r="AO621" s="1758"/>
      <c r="AP621" s="1758"/>
      <c r="AQ621" s="1758"/>
      <c r="AR621" s="1758"/>
      <c r="AS621" s="1758"/>
      <c r="AT621" s="1758"/>
      <c r="AU621" s="1758"/>
      <c r="AV621" s="1758"/>
      <c r="AW621" s="1758"/>
      <c r="AX621" s="1758"/>
      <c r="AY621" s="1758"/>
      <c r="AZ621" s="1758"/>
      <c r="BA621" s="1758"/>
      <c r="BB621" s="1758"/>
      <c r="BC621" s="1758"/>
      <c r="BD621" s="1758"/>
      <c r="BE621" s="1758"/>
      <c r="BF621" s="1758"/>
      <c r="BG621" s="1758"/>
      <c r="BH621" s="1758"/>
      <c r="BI621" s="1758"/>
      <c r="BJ621" s="1758"/>
      <c r="BK621" s="1758"/>
      <c r="BL621" s="1758"/>
      <c r="BM621" s="1758"/>
      <c r="BN621" s="1758"/>
      <c r="BO621" s="1758"/>
      <c r="BP621" s="1758"/>
      <c r="BQ621" s="1758"/>
      <c r="BR621" s="1758"/>
      <c r="BS621" s="1758"/>
      <c r="BT621" s="1758"/>
      <c r="BU621" s="1758"/>
      <c r="BV621" s="1758"/>
      <c r="BW621" s="1758"/>
      <c r="BX621" s="1758"/>
      <c r="BY621" s="1758"/>
      <c r="BZ621" s="1758"/>
      <c r="CA621" s="1758"/>
      <c r="CB621" s="1758"/>
      <c r="CC621" s="1758"/>
      <c r="CD621" s="1758"/>
      <c r="CE621" s="1758"/>
      <c r="CF621" s="1758"/>
      <c r="CG621" s="1758"/>
      <c r="CH621" s="1758"/>
      <c r="CI621" s="1758"/>
      <c r="CJ621" s="1758"/>
      <c r="CK621" s="1758"/>
      <c r="CL621" s="1758"/>
      <c r="CM621" s="1758"/>
      <c r="CN621" s="1758"/>
      <c r="CO621" s="1758"/>
      <c r="CP621" s="1758"/>
      <c r="CQ621" s="1758"/>
      <c r="CR621" s="1758"/>
      <c r="CS621" s="1758"/>
      <c r="CT621" s="1758"/>
      <c r="CU621" s="1758"/>
      <c r="CV621" s="1758"/>
      <c r="CW621" s="1758"/>
      <c r="CX621" s="1758"/>
      <c r="CY621" s="1758"/>
      <c r="CZ621" s="1758"/>
      <c r="DA621" s="1758"/>
      <c r="DB621" s="1758"/>
      <c r="DC621" s="1758"/>
    </row>
    <row r="622" spans="1:107" s="1395" customFormat="1" ht="25.5" customHeight="1">
      <c r="A622" s="10827"/>
      <c r="B622" s="10731"/>
      <c r="C622" s="10728"/>
      <c r="D622" s="10728"/>
      <c r="E622" s="10728"/>
      <c r="F622" s="10744"/>
      <c r="G622" s="10728"/>
      <c r="H622" s="10728"/>
      <c r="I622" s="10728"/>
      <c r="J622" s="10728"/>
      <c r="K622" s="10735"/>
      <c r="L622" s="10738"/>
      <c r="M622" s="10738"/>
      <c r="N622" s="10738"/>
      <c r="O622" s="10735"/>
      <c r="P622" s="10735"/>
      <c r="Q622" s="10741"/>
      <c r="R622" s="5173"/>
      <c r="S622" s="5212"/>
      <c r="T622" s="5212"/>
      <c r="U622" s="5250"/>
      <c r="V622" s="5281"/>
      <c r="W622" s="5302"/>
      <c r="X622" s="7477"/>
      <c r="Y622" s="7473"/>
      <c r="Z622" s="7473"/>
      <c r="AA622" s="7474"/>
      <c r="AB622" s="5323"/>
      <c r="AC622" s="1396"/>
      <c r="AD622" s="5300"/>
      <c r="AE622" s="5346"/>
      <c r="AF622" s="5346"/>
      <c r="AG622" s="10777"/>
      <c r="AH622" s="1758"/>
      <c r="AI622" s="1758"/>
      <c r="AJ622" s="1758"/>
      <c r="AK622" s="1758"/>
      <c r="AL622" s="1758"/>
      <c r="AM622" s="1758"/>
      <c r="AN622" s="1758"/>
      <c r="AO622" s="1758"/>
      <c r="AP622" s="1758"/>
      <c r="AQ622" s="1758"/>
      <c r="AR622" s="1758"/>
      <c r="AS622" s="1758"/>
      <c r="AT622" s="1758"/>
      <c r="AU622" s="1758"/>
      <c r="AV622" s="1758"/>
      <c r="AW622" s="1758"/>
      <c r="AX622" s="1758"/>
      <c r="AY622" s="1758"/>
      <c r="AZ622" s="1758"/>
      <c r="BA622" s="1758"/>
      <c r="BB622" s="1758"/>
      <c r="BC622" s="1758"/>
      <c r="BD622" s="1758"/>
      <c r="BE622" s="1758"/>
      <c r="BF622" s="1758"/>
      <c r="BG622" s="1758"/>
      <c r="BH622" s="1758"/>
      <c r="BI622" s="1758"/>
      <c r="BJ622" s="1758"/>
      <c r="BK622" s="1758"/>
      <c r="BL622" s="1758"/>
      <c r="BM622" s="1758"/>
      <c r="BN622" s="1758"/>
      <c r="BO622" s="1758"/>
      <c r="BP622" s="1758"/>
      <c r="BQ622" s="1758"/>
      <c r="BR622" s="1758"/>
      <c r="BS622" s="1758"/>
      <c r="BT622" s="1758"/>
      <c r="BU622" s="1758"/>
      <c r="BV622" s="1758"/>
      <c r="BW622" s="1758"/>
      <c r="BX622" s="1758"/>
      <c r="BY622" s="1758"/>
      <c r="BZ622" s="1758"/>
      <c r="CA622" s="1758"/>
      <c r="CB622" s="1758"/>
      <c r="CC622" s="1758"/>
      <c r="CD622" s="1758"/>
      <c r="CE622" s="1758"/>
      <c r="CF622" s="1758"/>
      <c r="CG622" s="1758"/>
      <c r="CH622" s="1758"/>
      <c r="CI622" s="1758"/>
      <c r="CJ622" s="1758"/>
      <c r="CK622" s="1758"/>
      <c r="CL622" s="1758"/>
      <c r="CM622" s="1758"/>
      <c r="CN622" s="1758"/>
      <c r="CO622" s="1758"/>
      <c r="CP622" s="1758"/>
      <c r="CQ622" s="1758"/>
      <c r="CR622" s="1758"/>
      <c r="CS622" s="1758"/>
      <c r="CT622" s="1758"/>
      <c r="CU622" s="1758"/>
      <c r="CV622" s="1758"/>
      <c r="CW622" s="1758"/>
      <c r="CX622" s="1758"/>
      <c r="CY622" s="1758"/>
      <c r="CZ622" s="1758"/>
      <c r="DA622" s="1758"/>
      <c r="DB622" s="1758"/>
      <c r="DC622" s="1758"/>
    </row>
    <row r="623" spans="1:107" s="1395" customFormat="1" ht="25.5" customHeight="1">
      <c r="A623" s="10827"/>
      <c r="B623" s="10732"/>
      <c r="C623" s="10729"/>
      <c r="D623" s="10729"/>
      <c r="E623" s="10729"/>
      <c r="F623" s="10745"/>
      <c r="G623" s="10729"/>
      <c r="H623" s="10729"/>
      <c r="I623" s="10729"/>
      <c r="J623" s="10729"/>
      <c r="K623" s="10736"/>
      <c r="L623" s="10739"/>
      <c r="M623" s="10739"/>
      <c r="N623" s="10739"/>
      <c r="O623" s="10736"/>
      <c r="P623" s="10736"/>
      <c r="Q623" s="10749"/>
      <c r="R623" s="5175"/>
      <c r="S623" s="5215"/>
      <c r="T623" s="5215"/>
      <c r="U623" s="5251"/>
      <c r="V623" s="5282"/>
      <c r="W623" s="5303"/>
      <c r="X623" s="7479"/>
      <c r="Y623" s="7479"/>
      <c r="Z623" s="7479"/>
      <c r="AA623" s="7480"/>
      <c r="AB623" s="5326"/>
      <c r="AC623" s="1399"/>
      <c r="AD623" s="5303"/>
      <c r="AE623" s="5348"/>
      <c r="AF623" s="5348"/>
      <c r="AG623" s="10778"/>
      <c r="AH623" s="1758"/>
      <c r="AI623" s="1758"/>
      <c r="AJ623" s="1758"/>
      <c r="AK623" s="1758"/>
      <c r="AL623" s="1758"/>
      <c r="AM623" s="1758"/>
      <c r="AN623" s="1758"/>
      <c r="AO623" s="1758"/>
      <c r="AP623" s="1758"/>
      <c r="AQ623" s="1758"/>
      <c r="AR623" s="1758"/>
      <c r="AS623" s="1758"/>
      <c r="AT623" s="1758"/>
      <c r="AU623" s="1758"/>
      <c r="AV623" s="1758"/>
      <c r="AW623" s="1758"/>
      <c r="AX623" s="1758"/>
      <c r="AY623" s="1758"/>
      <c r="AZ623" s="1758"/>
      <c r="BA623" s="1758"/>
      <c r="BB623" s="1758"/>
      <c r="BC623" s="1758"/>
      <c r="BD623" s="1758"/>
      <c r="BE623" s="1758"/>
      <c r="BF623" s="1758"/>
      <c r="BG623" s="1758"/>
      <c r="BH623" s="1758"/>
      <c r="BI623" s="1758"/>
      <c r="BJ623" s="1758"/>
      <c r="BK623" s="1758"/>
      <c r="BL623" s="1758"/>
      <c r="BM623" s="1758"/>
      <c r="BN623" s="1758"/>
      <c r="BO623" s="1758"/>
      <c r="BP623" s="1758"/>
      <c r="BQ623" s="1758"/>
      <c r="BR623" s="1758"/>
      <c r="BS623" s="1758"/>
      <c r="BT623" s="1758"/>
      <c r="BU623" s="1758"/>
      <c r="BV623" s="1758"/>
      <c r="BW623" s="1758"/>
      <c r="BX623" s="1758"/>
      <c r="BY623" s="1758"/>
      <c r="BZ623" s="1758"/>
      <c r="CA623" s="1758"/>
      <c r="CB623" s="1758"/>
      <c r="CC623" s="1758"/>
      <c r="CD623" s="1758"/>
      <c r="CE623" s="1758"/>
      <c r="CF623" s="1758"/>
      <c r="CG623" s="1758"/>
      <c r="CH623" s="1758"/>
      <c r="CI623" s="1758"/>
      <c r="CJ623" s="1758"/>
      <c r="CK623" s="1758"/>
      <c r="CL623" s="1758"/>
      <c r="CM623" s="1758"/>
      <c r="CN623" s="1758"/>
      <c r="CO623" s="1758"/>
      <c r="CP623" s="1758"/>
      <c r="CQ623" s="1758"/>
      <c r="CR623" s="1758"/>
      <c r="CS623" s="1758"/>
      <c r="CT623" s="1758"/>
      <c r="CU623" s="1758"/>
      <c r="CV623" s="1758"/>
      <c r="CW623" s="1758"/>
      <c r="CX623" s="1758"/>
      <c r="CY623" s="1758"/>
      <c r="CZ623" s="1758"/>
      <c r="DA623" s="1758"/>
      <c r="DB623" s="1758"/>
      <c r="DC623" s="1758"/>
    </row>
    <row r="624" spans="1:107" s="1395" customFormat="1" ht="21" customHeight="1">
      <c r="A624" s="10827"/>
      <c r="B624" s="10731" t="s">
        <v>183</v>
      </c>
      <c r="C624" s="10728" t="s">
        <v>128</v>
      </c>
      <c r="D624" s="10728" t="s">
        <v>129</v>
      </c>
      <c r="E624" s="10728" t="s">
        <v>205</v>
      </c>
      <c r="F624" s="10744" t="s">
        <v>131</v>
      </c>
      <c r="G624" s="10728" t="s">
        <v>132</v>
      </c>
      <c r="H624" s="10728" t="s">
        <v>159</v>
      </c>
      <c r="I624" s="10728" t="s">
        <v>5130</v>
      </c>
      <c r="J624" s="10742" t="s">
        <v>5063</v>
      </c>
      <c r="K624" s="10735" t="s">
        <v>5064</v>
      </c>
      <c r="L624" s="10738">
        <v>0</v>
      </c>
      <c r="M624" s="10738">
        <v>4</v>
      </c>
      <c r="N624" s="10738">
        <v>4</v>
      </c>
      <c r="O624" s="10735" t="s">
        <v>5065</v>
      </c>
      <c r="P624" s="10735" t="s">
        <v>5066</v>
      </c>
      <c r="Q624" s="10750" t="s">
        <v>5118</v>
      </c>
      <c r="R624" s="5173"/>
      <c r="S624" s="5212"/>
      <c r="T624" s="5212"/>
      <c r="U624" s="5249"/>
      <c r="V624" s="5281"/>
      <c r="W624" s="5302"/>
      <c r="X624" s="7477"/>
      <c r="Y624" s="7477"/>
      <c r="Z624" s="7477"/>
      <c r="AA624" s="7478"/>
      <c r="AB624" s="5325"/>
      <c r="AC624" s="1398"/>
      <c r="AD624" s="5302"/>
      <c r="AE624" s="5349"/>
      <c r="AF624" s="5349"/>
      <c r="AG624" s="10777" t="s">
        <v>4843</v>
      </c>
      <c r="AH624" s="1758"/>
      <c r="AI624" s="1758"/>
      <c r="AJ624" s="1758"/>
      <c r="AK624" s="1758"/>
      <c r="AL624" s="1758"/>
      <c r="AM624" s="1758"/>
      <c r="AN624" s="1758"/>
      <c r="AO624" s="1758"/>
      <c r="AP624" s="1758"/>
      <c r="AQ624" s="1758"/>
      <c r="AR624" s="1758"/>
      <c r="AS624" s="1758"/>
      <c r="AT624" s="1758"/>
      <c r="AU624" s="1758"/>
      <c r="AV624" s="1758"/>
      <c r="AW624" s="1758"/>
      <c r="AX624" s="1758"/>
      <c r="AY624" s="1758"/>
      <c r="AZ624" s="1758"/>
      <c r="BA624" s="1758"/>
      <c r="BB624" s="1758"/>
      <c r="BC624" s="1758"/>
      <c r="BD624" s="1758"/>
      <c r="BE624" s="1758"/>
      <c r="BF624" s="1758"/>
      <c r="BG624" s="1758"/>
      <c r="BH624" s="1758"/>
      <c r="BI624" s="1758"/>
      <c r="BJ624" s="1758"/>
      <c r="BK624" s="1758"/>
      <c r="BL624" s="1758"/>
      <c r="BM624" s="1758"/>
      <c r="BN624" s="1758"/>
      <c r="BO624" s="1758"/>
      <c r="BP624" s="1758"/>
      <c r="BQ624" s="1758"/>
      <c r="BR624" s="1758"/>
      <c r="BS624" s="1758"/>
      <c r="BT624" s="1758"/>
      <c r="BU624" s="1758"/>
      <c r="BV624" s="1758"/>
      <c r="BW624" s="1758"/>
      <c r="BX624" s="1758"/>
      <c r="BY624" s="1758"/>
      <c r="BZ624" s="1758"/>
      <c r="CA624" s="1758"/>
      <c r="CB624" s="1758"/>
      <c r="CC624" s="1758"/>
      <c r="CD624" s="1758"/>
      <c r="CE624" s="1758"/>
      <c r="CF624" s="1758"/>
      <c r="CG624" s="1758"/>
      <c r="CH624" s="1758"/>
      <c r="CI624" s="1758"/>
      <c r="CJ624" s="1758"/>
      <c r="CK624" s="1758"/>
      <c r="CL624" s="1758"/>
      <c r="CM624" s="1758"/>
      <c r="CN624" s="1758"/>
      <c r="CO624" s="1758"/>
      <c r="CP624" s="1758"/>
      <c r="CQ624" s="1758"/>
      <c r="CR624" s="1758"/>
      <c r="CS624" s="1758"/>
      <c r="CT624" s="1758"/>
      <c r="CU624" s="1758"/>
      <c r="CV624" s="1758"/>
      <c r="CW624" s="1758"/>
      <c r="CX624" s="1758"/>
      <c r="CY624" s="1758"/>
      <c r="CZ624" s="1758"/>
      <c r="DA624" s="1758"/>
      <c r="DB624" s="1758"/>
      <c r="DC624" s="1758"/>
    </row>
    <row r="625" spans="1:107" s="1395" customFormat="1" ht="21" customHeight="1">
      <c r="A625" s="10827"/>
      <c r="B625" s="10731"/>
      <c r="C625" s="10728"/>
      <c r="D625" s="10728"/>
      <c r="E625" s="10728"/>
      <c r="F625" s="10744"/>
      <c r="G625" s="10728"/>
      <c r="H625" s="10728"/>
      <c r="I625" s="10728"/>
      <c r="J625" s="10728"/>
      <c r="K625" s="10735"/>
      <c r="L625" s="10738"/>
      <c r="M625" s="10738"/>
      <c r="N625" s="10738"/>
      <c r="O625" s="10735"/>
      <c r="P625" s="10735"/>
      <c r="Q625" s="10750"/>
      <c r="R625" s="5171"/>
      <c r="S625" s="5213"/>
      <c r="T625" s="5213"/>
      <c r="U625" s="5247"/>
      <c r="V625" s="5279"/>
      <c r="W625" s="5300"/>
      <c r="X625" s="7473"/>
      <c r="Y625" s="7473"/>
      <c r="Z625" s="7473"/>
      <c r="AA625" s="7474"/>
      <c r="AB625" s="5323"/>
      <c r="AC625" s="1396"/>
      <c r="AD625" s="5300"/>
      <c r="AE625" s="5346"/>
      <c r="AF625" s="5346"/>
      <c r="AG625" s="10777"/>
      <c r="AH625" s="1758"/>
      <c r="AI625" s="1758"/>
      <c r="AJ625" s="1758"/>
      <c r="AK625" s="1758"/>
      <c r="AL625" s="1758"/>
      <c r="AM625" s="1758"/>
      <c r="AN625" s="1758"/>
      <c r="AO625" s="1758"/>
      <c r="AP625" s="1758"/>
      <c r="AQ625" s="1758"/>
      <c r="AR625" s="1758"/>
      <c r="AS625" s="1758"/>
      <c r="AT625" s="1758"/>
      <c r="AU625" s="1758"/>
      <c r="AV625" s="1758"/>
      <c r="AW625" s="1758"/>
      <c r="AX625" s="1758"/>
      <c r="AY625" s="1758"/>
      <c r="AZ625" s="1758"/>
      <c r="BA625" s="1758"/>
      <c r="BB625" s="1758"/>
      <c r="BC625" s="1758"/>
      <c r="BD625" s="1758"/>
      <c r="BE625" s="1758"/>
      <c r="BF625" s="1758"/>
      <c r="BG625" s="1758"/>
      <c r="BH625" s="1758"/>
      <c r="BI625" s="1758"/>
      <c r="BJ625" s="1758"/>
      <c r="BK625" s="1758"/>
      <c r="BL625" s="1758"/>
      <c r="BM625" s="1758"/>
      <c r="BN625" s="1758"/>
      <c r="BO625" s="1758"/>
      <c r="BP625" s="1758"/>
      <c r="BQ625" s="1758"/>
      <c r="BR625" s="1758"/>
      <c r="BS625" s="1758"/>
      <c r="BT625" s="1758"/>
      <c r="BU625" s="1758"/>
      <c r="BV625" s="1758"/>
      <c r="BW625" s="1758"/>
      <c r="BX625" s="1758"/>
      <c r="BY625" s="1758"/>
      <c r="BZ625" s="1758"/>
      <c r="CA625" s="1758"/>
      <c r="CB625" s="1758"/>
      <c r="CC625" s="1758"/>
      <c r="CD625" s="1758"/>
      <c r="CE625" s="1758"/>
      <c r="CF625" s="1758"/>
      <c r="CG625" s="1758"/>
      <c r="CH625" s="1758"/>
      <c r="CI625" s="1758"/>
      <c r="CJ625" s="1758"/>
      <c r="CK625" s="1758"/>
      <c r="CL625" s="1758"/>
      <c r="CM625" s="1758"/>
      <c r="CN625" s="1758"/>
      <c r="CO625" s="1758"/>
      <c r="CP625" s="1758"/>
      <c r="CQ625" s="1758"/>
      <c r="CR625" s="1758"/>
      <c r="CS625" s="1758"/>
      <c r="CT625" s="1758"/>
      <c r="CU625" s="1758"/>
      <c r="CV625" s="1758"/>
      <c r="CW625" s="1758"/>
      <c r="CX625" s="1758"/>
      <c r="CY625" s="1758"/>
      <c r="CZ625" s="1758"/>
      <c r="DA625" s="1758"/>
      <c r="DB625" s="1758"/>
      <c r="DC625" s="1758"/>
    </row>
    <row r="626" spans="1:107" s="1395" customFormat="1" ht="21" customHeight="1">
      <c r="A626" s="10827"/>
      <c r="B626" s="10731"/>
      <c r="C626" s="10728"/>
      <c r="D626" s="10728"/>
      <c r="E626" s="10728"/>
      <c r="F626" s="10744"/>
      <c r="G626" s="10728"/>
      <c r="H626" s="10728"/>
      <c r="I626" s="10728"/>
      <c r="J626" s="10728"/>
      <c r="K626" s="10735"/>
      <c r="L626" s="10738"/>
      <c r="M626" s="10738"/>
      <c r="N626" s="10738"/>
      <c r="O626" s="10735"/>
      <c r="P626" s="10735"/>
      <c r="Q626" s="10750"/>
      <c r="R626" s="5174"/>
      <c r="S626" s="5214"/>
      <c r="T626" s="5214"/>
      <c r="U626" s="5250"/>
      <c r="V626" s="5281"/>
      <c r="W626" s="5302"/>
      <c r="X626" s="7477"/>
      <c r="Y626" s="7473"/>
      <c r="Z626" s="7473"/>
      <c r="AA626" s="7474"/>
      <c r="AB626" s="5323"/>
      <c r="AC626" s="1396"/>
      <c r="AD626" s="5300"/>
      <c r="AE626" s="5346"/>
      <c r="AF626" s="5346"/>
      <c r="AG626" s="10777"/>
      <c r="AH626" s="1758"/>
      <c r="AI626" s="1758"/>
      <c r="AJ626" s="1758"/>
      <c r="AK626" s="1758"/>
      <c r="AL626" s="1758"/>
      <c r="AM626" s="1758"/>
      <c r="AN626" s="1758"/>
      <c r="AO626" s="1758"/>
      <c r="AP626" s="1758"/>
      <c r="AQ626" s="1758"/>
      <c r="AR626" s="1758"/>
      <c r="AS626" s="1758"/>
      <c r="AT626" s="1758"/>
      <c r="AU626" s="1758"/>
      <c r="AV626" s="1758"/>
      <c r="AW626" s="1758"/>
      <c r="AX626" s="1758"/>
      <c r="AY626" s="1758"/>
      <c r="AZ626" s="1758"/>
      <c r="BA626" s="1758"/>
      <c r="BB626" s="1758"/>
      <c r="BC626" s="1758"/>
      <c r="BD626" s="1758"/>
      <c r="BE626" s="1758"/>
      <c r="BF626" s="1758"/>
      <c r="BG626" s="1758"/>
      <c r="BH626" s="1758"/>
      <c r="BI626" s="1758"/>
      <c r="BJ626" s="1758"/>
      <c r="BK626" s="1758"/>
      <c r="BL626" s="1758"/>
      <c r="BM626" s="1758"/>
      <c r="BN626" s="1758"/>
      <c r="BO626" s="1758"/>
      <c r="BP626" s="1758"/>
      <c r="BQ626" s="1758"/>
      <c r="BR626" s="1758"/>
      <c r="BS626" s="1758"/>
      <c r="BT626" s="1758"/>
      <c r="BU626" s="1758"/>
      <c r="BV626" s="1758"/>
      <c r="BW626" s="1758"/>
      <c r="BX626" s="1758"/>
      <c r="BY626" s="1758"/>
      <c r="BZ626" s="1758"/>
      <c r="CA626" s="1758"/>
      <c r="CB626" s="1758"/>
      <c r="CC626" s="1758"/>
      <c r="CD626" s="1758"/>
      <c r="CE626" s="1758"/>
      <c r="CF626" s="1758"/>
      <c r="CG626" s="1758"/>
      <c r="CH626" s="1758"/>
      <c r="CI626" s="1758"/>
      <c r="CJ626" s="1758"/>
      <c r="CK626" s="1758"/>
      <c r="CL626" s="1758"/>
      <c r="CM626" s="1758"/>
      <c r="CN626" s="1758"/>
      <c r="CO626" s="1758"/>
      <c r="CP626" s="1758"/>
      <c r="CQ626" s="1758"/>
      <c r="CR626" s="1758"/>
      <c r="CS626" s="1758"/>
      <c r="CT626" s="1758"/>
      <c r="CU626" s="1758"/>
      <c r="CV626" s="1758"/>
      <c r="CW626" s="1758"/>
      <c r="CX626" s="1758"/>
      <c r="CY626" s="1758"/>
      <c r="CZ626" s="1758"/>
      <c r="DA626" s="1758"/>
      <c r="DB626" s="1758"/>
      <c r="DC626" s="1758"/>
    </row>
    <row r="627" spans="1:107" s="1395" customFormat="1" ht="21" customHeight="1">
      <c r="A627" s="10827"/>
      <c r="B627" s="10731"/>
      <c r="C627" s="10728"/>
      <c r="D627" s="10728"/>
      <c r="E627" s="10728"/>
      <c r="F627" s="10744"/>
      <c r="G627" s="10728"/>
      <c r="H627" s="10728"/>
      <c r="I627" s="10728"/>
      <c r="J627" s="10728"/>
      <c r="K627" s="10735"/>
      <c r="L627" s="10738"/>
      <c r="M627" s="10738"/>
      <c r="N627" s="10738"/>
      <c r="O627" s="10735"/>
      <c r="P627" s="10735"/>
      <c r="Q627" s="10750"/>
      <c r="R627" s="5173"/>
      <c r="S627" s="5212"/>
      <c r="T627" s="5212"/>
      <c r="U627" s="5250"/>
      <c r="V627" s="5281"/>
      <c r="W627" s="5302"/>
      <c r="X627" s="7477"/>
      <c r="Y627" s="7473"/>
      <c r="Z627" s="7473"/>
      <c r="AA627" s="7474"/>
      <c r="AB627" s="5323"/>
      <c r="AC627" s="1396"/>
      <c r="AD627" s="5300"/>
      <c r="AE627" s="5346"/>
      <c r="AF627" s="5346"/>
      <c r="AG627" s="10777"/>
      <c r="AH627" s="1758"/>
      <c r="AI627" s="1758"/>
      <c r="AJ627" s="1758"/>
      <c r="AK627" s="1758"/>
      <c r="AL627" s="1758"/>
      <c r="AM627" s="1758"/>
      <c r="AN627" s="1758"/>
      <c r="AO627" s="1758"/>
      <c r="AP627" s="1758"/>
      <c r="AQ627" s="1758"/>
      <c r="AR627" s="1758"/>
      <c r="AS627" s="1758"/>
      <c r="AT627" s="1758"/>
      <c r="AU627" s="1758"/>
      <c r="AV627" s="1758"/>
      <c r="AW627" s="1758"/>
      <c r="AX627" s="1758"/>
      <c r="AY627" s="1758"/>
      <c r="AZ627" s="1758"/>
      <c r="BA627" s="1758"/>
      <c r="BB627" s="1758"/>
      <c r="BC627" s="1758"/>
      <c r="BD627" s="1758"/>
      <c r="BE627" s="1758"/>
      <c r="BF627" s="1758"/>
      <c r="BG627" s="1758"/>
      <c r="BH627" s="1758"/>
      <c r="BI627" s="1758"/>
      <c r="BJ627" s="1758"/>
      <c r="BK627" s="1758"/>
      <c r="BL627" s="1758"/>
      <c r="BM627" s="1758"/>
      <c r="BN627" s="1758"/>
      <c r="BO627" s="1758"/>
      <c r="BP627" s="1758"/>
      <c r="BQ627" s="1758"/>
      <c r="BR627" s="1758"/>
      <c r="BS627" s="1758"/>
      <c r="BT627" s="1758"/>
      <c r="BU627" s="1758"/>
      <c r="BV627" s="1758"/>
      <c r="BW627" s="1758"/>
      <c r="BX627" s="1758"/>
      <c r="BY627" s="1758"/>
      <c r="BZ627" s="1758"/>
      <c r="CA627" s="1758"/>
      <c r="CB627" s="1758"/>
      <c r="CC627" s="1758"/>
      <c r="CD627" s="1758"/>
      <c r="CE627" s="1758"/>
      <c r="CF627" s="1758"/>
      <c r="CG627" s="1758"/>
      <c r="CH627" s="1758"/>
      <c r="CI627" s="1758"/>
      <c r="CJ627" s="1758"/>
      <c r="CK627" s="1758"/>
      <c r="CL627" s="1758"/>
      <c r="CM627" s="1758"/>
      <c r="CN627" s="1758"/>
      <c r="CO627" s="1758"/>
      <c r="CP627" s="1758"/>
      <c r="CQ627" s="1758"/>
      <c r="CR627" s="1758"/>
      <c r="CS627" s="1758"/>
      <c r="CT627" s="1758"/>
      <c r="CU627" s="1758"/>
      <c r="CV627" s="1758"/>
      <c r="CW627" s="1758"/>
      <c r="CX627" s="1758"/>
      <c r="CY627" s="1758"/>
      <c r="CZ627" s="1758"/>
      <c r="DA627" s="1758"/>
      <c r="DB627" s="1758"/>
      <c r="DC627" s="1758"/>
    </row>
    <row r="628" spans="1:107" s="1395" customFormat="1" ht="21" customHeight="1">
      <c r="A628" s="10827"/>
      <c r="B628" s="10732"/>
      <c r="C628" s="10729"/>
      <c r="D628" s="10729"/>
      <c r="E628" s="10729"/>
      <c r="F628" s="10745"/>
      <c r="G628" s="10729"/>
      <c r="H628" s="10729"/>
      <c r="I628" s="10729"/>
      <c r="J628" s="10729"/>
      <c r="K628" s="10736"/>
      <c r="L628" s="10739"/>
      <c r="M628" s="10739"/>
      <c r="N628" s="10739"/>
      <c r="O628" s="10736"/>
      <c r="P628" s="10736"/>
      <c r="Q628" s="10751"/>
      <c r="R628" s="5175"/>
      <c r="S628" s="5215"/>
      <c r="T628" s="5215"/>
      <c r="U628" s="5251"/>
      <c r="V628" s="5282"/>
      <c r="W628" s="5303"/>
      <c r="X628" s="7479"/>
      <c r="Y628" s="7479"/>
      <c r="Z628" s="7479"/>
      <c r="AA628" s="7480"/>
      <c r="AB628" s="5326"/>
      <c r="AC628" s="1399"/>
      <c r="AD628" s="5303"/>
      <c r="AE628" s="5348"/>
      <c r="AF628" s="5348"/>
      <c r="AG628" s="10778"/>
      <c r="AH628" s="1758"/>
      <c r="AI628" s="1758"/>
      <c r="AJ628" s="1758"/>
      <c r="AK628" s="1758"/>
      <c r="AL628" s="1758"/>
      <c r="AM628" s="1758"/>
      <c r="AN628" s="1758"/>
      <c r="AO628" s="1758"/>
      <c r="AP628" s="1758"/>
      <c r="AQ628" s="1758"/>
      <c r="AR628" s="1758"/>
      <c r="AS628" s="1758"/>
      <c r="AT628" s="1758"/>
      <c r="AU628" s="1758"/>
      <c r="AV628" s="1758"/>
      <c r="AW628" s="1758"/>
      <c r="AX628" s="1758"/>
      <c r="AY628" s="1758"/>
      <c r="AZ628" s="1758"/>
      <c r="BA628" s="1758"/>
      <c r="BB628" s="1758"/>
      <c r="BC628" s="1758"/>
      <c r="BD628" s="1758"/>
      <c r="BE628" s="1758"/>
      <c r="BF628" s="1758"/>
      <c r="BG628" s="1758"/>
      <c r="BH628" s="1758"/>
      <c r="BI628" s="1758"/>
      <c r="BJ628" s="1758"/>
      <c r="BK628" s="1758"/>
      <c r="BL628" s="1758"/>
      <c r="BM628" s="1758"/>
      <c r="BN628" s="1758"/>
      <c r="BO628" s="1758"/>
      <c r="BP628" s="1758"/>
      <c r="BQ628" s="1758"/>
      <c r="BR628" s="1758"/>
      <c r="BS628" s="1758"/>
      <c r="BT628" s="1758"/>
      <c r="BU628" s="1758"/>
      <c r="BV628" s="1758"/>
      <c r="BW628" s="1758"/>
      <c r="BX628" s="1758"/>
      <c r="BY628" s="1758"/>
      <c r="BZ628" s="1758"/>
      <c r="CA628" s="1758"/>
      <c r="CB628" s="1758"/>
      <c r="CC628" s="1758"/>
      <c r="CD628" s="1758"/>
      <c r="CE628" s="1758"/>
      <c r="CF628" s="1758"/>
      <c r="CG628" s="1758"/>
      <c r="CH628" s="1758"/>
      <c r="CI628" s="1758"/>
      <c r="CJ628" s="1758"/>
      <c r="CK628" s="1758"/>
      <c r="CL628" s="1758"/>
      <c r="CM628" s="1758"/>
      <c r="CN628" s="1758"/>
      <c r="CO628" s="1758"/>
      <c r="CP628" s="1758"/>
      <c r="CQ628" s="1758"/>
      <c r="CR628" s="1758"/>
      <c r="CS628" s="1758"/>
      <c r="CT628" s="1758"/>
      <c r="CU628" s="1758"/>
      <c r="CV628" s="1758"/>
      <c r="CW628" s="1758"/>
      <c r="CX628" s="1758"/>
      <c r="CY628" s="1758"/>
      <c r="CZ628" s="1758"/>
      <c r="DA628" s="1758"/>
      <c r="DB628" s="1758"/>
      <c r="DC628" s="1758"/>
    </row>
    <row r="629" spans="1:107" s="6132" customFormat="1" ht="22.5" customHeight="1" thickBot="1">
      <c r="A629" s="6241"/>
      <c r="B629" s="6127"/>
      <c r="C629" s="6127"/>
      <c r="D629" s="6127"/>
      <c r="E629" s="6127"/>
      <c r="F629" s="6127"/>
      <c r="G629" s="6127"/>
      <c r="H629" s="6127"/>
      <c r="I629" s="6127"/>
      <c r="J629" s="6127"/>
      <c r="K629" s="6127"/>
      <c r="L629" s="6128"/>
      <c r="M629" s="6128"/>
      <c r="N629" s="6128"/>
      <c r="O629" s="6127"/>
      <c r="P629" s="6127"/>
      <c r="Q629" s="6129"/>
      <c r="R629" s="5391" t="s">
        <v>5131</v>
      </c>
      <c r="S629" s="5396"/>
      <c r="T629" s="5396"/>
      <c r="U629" s="5395"/>
      <c r="V629" s="7466"/>
      <c r="W629" s="5395"/>
      <c r="X629" s="5396"/>
      <c r="Y629" s="5396"/>
      <c r="Z629" s="5394" t="s">
        <v>292</v>
      </c>
      <c r="AA629" s="7468">
        <f>SUM(AA559:AA628)</f>
        <v>0</v>
      </c>
      <c r="AB629" s="6130"/>
      <c r="AC629" s="6131"/>
      <c r="AD629" s="10789"/>
      <c r="AE629" s="10790"/>
      <c r="AF629" s="10790"/>
      <c r="AG629" s="10791"/>
    </row>
    <row r="630" spans="1:107" s="1395" customFormat="1" ht="26.25" customHeight="1">
      <c r="A630" s="10892" t="s">
        <v>5132</v>
      </c>
      <c r="B630" s="10730" t="s">
        <v>127</v>
      </c>
      <c r="C630" s="10733" t="s">
        <v>128</v>
      </c>
      <c r="D630" s="10733" t="s">
        <v>129</v>
      </c>
      <c r="E630" s="10733" t="s">
        <v>205</v>
      </c>
      <c r="F630" s="10752" t="s">
        <v>131</v>
      </c>
      <c r="G630" s="10733" t="s">
        <v>132</v>
      </c>
      <c r="H630" s="10733" t="s">
        <v>159</v>
      </c>
      <c r="I630" s="10753" t="s">
        <v>4983</v>
      </c>
      <c r="J630" s="10733" t="s">
        <v>4609</v>
      </c>
      <c r="K630" s="10747" t="s">
        <v>4984</v>
      </c>
      <c r="L630" s="10746">
        <v>0</v>
      </c>
      <c r="M630" s="10746">
        <v>1</v>
      </c>
      <c r="N630" s="10746">
        <v>1</v>
      </c>
      <c r="O630" s="10747" t="s">
        <v>4985</v>
      </c>
      <c r="P630" s="10747" t="s">
        <v>4986</v>
      </c>
      <c r="Q630" s="10792" t="s">
        <v>5133</v>
      </c>
      <c r="R630" s="5182"/>
      <c r="S630" s="5222"/>
      <c r="T630" s="5222"/>
      <c r="U630" s="5259"/>
      <c r="V630" s="5289"/>
      <c r="W630" s="5310"/>
      <c r="X630" s="7494"/>
      <c r="Y630" s="7494"/>
      <c r="Z630" s="7494"/>
      <c r="AA630" s="7495"/>
      <c r="AB630" s="5332"/>
      <c r="AC630" s="1405"/>
      <c r="AD630" s="5310"/>
      <c r="AE630" s="5345"/>
      <c r="AF630" s="5345"/>
      <c r="AG630" s="10780"/>
      <c r="AH630" s="1758"/>
      <c r="AI630" s="1758"/>
      <c r="AJ630" s="1758"/>
      <c r="AK630" s="1758"/>
      <c r="AL630" s="1758"/>
      <c r="AM630" s="1758"/>
      <c r="AN630" s="1758"/>
      <c r="AO630" s="1758"/>
      <c r="AP630" s="1758"/>
      <c r="AQ630" s="1758"/>
      <c r="AR630" s="1758"/>
      <c r="AS630" s="1758"/>
      <c r="AT630" s="1758"/>
      <c r="AU630" s="1758"/>
      <c r="AV630" s="1758"/>
      <c r="AW630" s="1758"/>
      <c r="AX630" s="1758"/>
      <c r="AY630" s="1758"/>
      <c r="AZ630" s="1758"/>
      <c r="BA630" s="1758"/>
      <c r="BB630" s="1758"/>
      <c r="BC630" s="1758"/>
      <c r="BD630" s="1758"/>
      <c r="BE630" s="1758"/>
      <c r="BF630" s="1758"/>
      <c r="BG630" s="1758"/>
      <c r="BH630" s="1758"/>
      <c r="BI630" s="1758"/>
      <c r="BJ630" s="1758"/>
      <c r="BK630" s="1758"/>
      <c r="BL630" s="1758"/>
      <c r="BM630" s="1758"/>
      <c r="BN630" s="1758"/>
      <c r="BO630" s="1758"/>
      <c r="BP630" s="1758"/>
      <c r="BQ630" s="1758"/>
      <c r="BR630" s="1758"/>
      <c r="BS630" s="1758"/>
      <c r="BT630" s="1758"/>
      <c r="BU630" s="1758"/>
      <c r="BV630" s="1758"/>
      <c r="BW630" s="1758"/>
      <c r="BX630" s="1758"/>
      <c r="BY630" s="1758"/>
      <c r="BZ630" s="1758"/>
      <c r="CA630" s="1758"/>
      <c r="CB630" s="1758"/>
      <c r="CC630" s="1758"/>
      <c r="CD630" s="1758"/>
      <c r="CE630" s="1758"/>
      <c r="CF630" s="1758"/>
      <c r="CG630" s="1758"/>
      <c r="CH630" s="1758"/>
      <c r="CI630" s="1758"/>
      <c r="CJ630" s="1758"/>
      <c r="CK630" s="1758"/>
      <c r="CL630" s="1758"/>
      <c r="CM630" s="1758"/>
      <c r="CN630" s="1758"/>
      <c r="CO630" s="1758"/>
      <c r="CP630" s="1758"/>
      <c r="CQ630" s="1758"/>
      <c r="CR630" s="1758"/>
      <c r="CS630" s="1758"/>
      <c r="CT630" s="1758"/>
      <c r="CU630" s="1758"/>
      <c r="CV630" s="1758"/>
      <c r="CW630" s="1758"/>
      <c r="CX630" s="1758"/>
      <c r="CY630" s="1758"/>
      <c r="CZ630" s="1758"/>
      <c r="DA630" s="1758"/>
      <c r="DB630" s="1758"/>
      <c r="DC630" s="1758"/>
    </row>
    <row r="631" spans="1:107" s="1395" customFormat="1" ht="26.25" customHeight="1">
      <c r="A631" s="10893"/>
      <c r="B631" s="10731"/>
      <c r="C631" s="10728"/>
      <c r="D631" s="10728"/>
      <c r="E631" s="10728"/>
      <c r="F631" s="10744"/>
      <c r="G631" s="10728"/>
      <c r="H631" s="10728"/>
      <c r="I631" s="10754"/>
      <c r="J631" s="10728"/>
      <c r="K631" s="10735"/>
      <c r="L631" s="10738"/>
      <c r="M631" s="10738"/>
      <c r="N631" s="10738"/>
      <c r="O631" s="10735"/>
      <c r="P631" s="10735"/>
      <c r="Q631" s="10750"/>
      <c r="R631" s="5171"/>
      <c r="S631" s="5213"/>
      <c r="T631" s="5213"/>
      <c r="U631" s="5247"/>
      <c r="V631" s="5279"/>
      <c r="W631" s="5300"/>
      <c r="X631" s="7473"/>
      <c r="Y631" s="7473"/>
      <c r="Z631" s="7473"/>
      <c r="AA631" s="7474"/>
      <c r="AB631" s="5323"/>
      <c r="AC631" s="1396"/>
      <c r="AD631" s="5300"/>
      <c r="AE631" s="5346"/>
      <c r="AF631" s="5346"/>
      <c r="AG631" s="10777"/>
      <c r="AH631" s="1758"/>
      <c r="AI631" s="1758"/>
      <c r="AJ631" s="1758"/>
      <c r="AK631" s="1758"/>
      <c r="AL631" s="1758"/>
      <c r="AM631" s="1758"/>
      <c r="AN631" s="1758"/>
      <c r="AO631" s="1758"/>
      <c r="AP631" s="1758"/>
      <c r="AQ631" s="1758"/>
      <c r="AR631" s="1758"/>
      <c r="AS631" s="1758"/>
      <c r="AT631" s="1758"/>
      <c r="AU631" s="1758"/>
      <c r="AV631" s="1758"/>
      <c r="AW631" s="1758"/>
      <c r="AX631" s="1758"/>
      <c r="AY631" s="1758"/>
      <c r="AZ631" s="1758"/>
      <c r="BA631" s="1758"/>
      <c r="BB631" s="1758"/>
      <c r="BC631" s="1758"/>
      <c r="BD631" s="1758"/>
      <c r="BE631" s="1758"/>
      <c r="BF631" s="1758"/>
      <c r="BG631" s="1758"/>
      <c r="BH631" s="1758"/>
      <c r="BI631" s="1758"/>
      <c r="BJ631" s="1758"/>
      <c r="BK631" s="1758"/>
      <c r="BL631" s="1758"/>
      <c r="BM631" s="1758"/>
      <c r="BN631" s="1758"/>
      <c r="BO631" s="1758"/>
      <c r="BP631" s="1758"/>
      <c r="BQ631" s="1758"/>
      <c r="BR631" s="1758"/>
      <c r="BS631" s="1758"/>
      <c r="BT631" s="1758"/>
      <c r="BU631" s="1758"/>
      <c r="BV631" s="1758"/>
      <c r="BW631" s="1758"/>
      <c r="BX631" s="1758"/>
      <c r="BY631" s="1758"/>
      <c r="BZ631" s="1758"/>
      <c r="CA631" s="1758"/>
      <c r="CB631" s="1758"/>
      <c r="CC631" s="1758"/>
      <c r="CD631" s="1758"/>
      <c r="CE631" s="1758"/>
      <c r="CF631" s="1758"/>
      <c r="CG631" s="1758"/>
      <c r="CH631" s="1758"/>
      <c r="CI631" s="1758"/>
      <c r="CJ631" s="1758"/>
      <c r="CK631" s="1758"/>
      <c r="CL631" s="1758"/>
      <c r="CM631" s="1758"/>
      <c r="CN631" s="1758"/>
      <c r="CO631" s="1758"/>
      <c r="CP631" s="1758"/>
      <c r="CQ631" s="1758"/>
      <c r="CR631" s="1758"/>
      <c r="CS631" s="1758"/>
      <c r="CT631" s="1758"/>
      <c r="CU631" s="1758"/>
      <c r="CV631" s="1758"/>
      <c r="CW631" s="1758"/>
      <c r="CX631" s="1758"/>
      <c r="CY631" s="1758"/>
      <c r="CZ631" s="1758"/>
      <c r="DA631" s="1758"/>
      <c r="DB631" s="1758"/>
      <c r="DC631" s="1758"/>
    </row>
    <row r="632" spans="1:107" s="1395" customFormat="1" ht="26.25" customHeight="1">
      <c r="A632" s="10893"/>
      <c r="B632" s="10731"/>
      <c r="C632" s="10728"/>
      <c r="D632" s="10728"/>
      <c r="E632" s="10728"/>
      <c r="F632" s="10744"/>
      <c r="G632" s="10728"/>
      <c r="H632" s="10728"/>
      <c r="I632" s="10754"/>
      <c r="J632" s="10728"/>
      <c r="K632" s="10735"/>
      <c r="L632" s="10738"/>
      <c r="M632" s="10738"/>
      <c r="N632" s="10738"/>
      <c r="O632" s="10735"/>
      <c r="P632" s="10735"/>
      <c r="Q632" s="10750"/>
      <c r="R632" s="5174"/>
      <c r="S632" s="5214"/>
      <c r="T632" s="5214"/>
      <c r="U632" s="5250"/>
      <c r="V632" s="5281"/>
      <c r="W632" s="5302"/>
      <c r="X632" s="7477"/>
      <c r="Y632" s="7473"/>
      <c r="Z632" s="7473"/>
      <c r="AA632" s="7474"/>
      <c r="AB632" s="5323"/>
      <c r="AC632" s="1396"/>
      <c r="AD632" s="5300"/>
      <c r="AE632" s="5346"/>
      <c r="AF632" s="5346"/>
      <c r="AG632" s="10777"/>
      <c r="AH632" s="1758"/>
      <c r="AI632" s="1758"/>
      <c r="AJ632" s="1758"/>
      <c r="AK632" s="1758"/>
      <c r="AL632" s="1758"/>
      <c r="AM632" s="1758"/>
      <c r="AN632" s="1758"/>
      <c r="AO632" s="1758"/>
      <c r="AP632" s="1758"/>
      <c r="AQ632" s="1758"/>
      <c r="AR632" s="1758"/>
      <c r="AS632" s="1758"/>
      <c r="AT632" s="1758"/>
      <c r="AU632" s="1758"/>
      <c r="AV632" s="1758"/>
      <c r="AW632" s="1758"/>
      <c r="AX632" s="1758"/>
      <c r="AY632" s="1758"/>
      <c r="AZ632" s="1758"/>
      <c r="BA632" s="1758"/>
      <c r="BB632" s="1758"/>
      <c r="BC632" s="1758"/>
      <c r="BD632" s="1758"/>
      <c r="BE632" s="1758"/>
      <c r="BF632" s="1758"/>
      <c r="BG632" s="1758"/>
      <c r="BH632" s="1758"/>
      <c r="BI632" s="1758"/>
      <c r="BJ632" s="1758"/>
      <c r="BK632" s="1758"/>
      <c r="BL632" s="1758"/>
      <c r="BM632" s="1758"/>
      <c r="BN632" s="1758"/>
      <c r="BO632" s="1758"/>
      <c r="BP632" s="1758"/>
      <c r="BQ632" s="1758"/>
      <c r="BR632" s="1758"/>
      <c r="BS632" s="1758"/>
      <c r="BT632" s="1758"/>
      <c r="BU632" s="1758"/>
      <c r="BV632" s="1758"/>
      <c r="BW632" s="1758"/>
      <c r="BX632" s="1758"/>
      <c r="BY632" s="1758"/>
      <c r="BZ632" s="1758"/>
      <c r="CA632" s="1758"/>
      <c r="CB632" s="1758"/>
      <c r="CC632" s="1758"/>
      <c r="CD632" s="1758"/>
      <c r="CE632" s="1758"/>
      <c r="CF632" s="1758"/>
      <c r="CG632" s="1758"/>
      <c r="CH632" s="1758"/>
      <c r="CI632" s="1758"/>
      <c r="CJ632" s="1758"/>
      <c r="CK632" s="1758"/>
      <c r="CL632" s="1758"/>
      <c r="CM632" s="1758"/>
      <c r="CN632" s="1758"/>
      <c r="CO632" s="1758"/>
      <c r="CP632" s="1758"/>
      <c r="CQ632" s="1758"/>
      <c r="CR632" s="1758"/>
      <c r="CS632" s="1758"/>
      <c r="CT632" s="1758"/>
      <c r="CU632" s="1758"/>
      <c r="CV632" s="1758"/>
      <c r="CW632" s="1758"/>
      <c r="CX632" s="1758"/>
      <c r="CY632" s="1758"/>
      <c r="CZ632" s="1758"/>
      <c r="DA632" s="1758"/>
      <c r="DB632" s="1758"/>
      <c r="DC632" s="1758"/>
    </row>
    <row r="633" spans="1:107" s="1395" customFormat="1" ht="26.25" customHeight="1">
      <c r="A633" s="10893"/>
      <c r="B633" s="10731"/>
      <c r="C633" s="10728"/>
      <c r="D633" s="10728"/>
      <c r="E633" s="10728"/>
      <c r="F633" s="10744"/>
      <c r="G633" s="10728"/>
      <c r="H633" s="10728"/>
      <c r="I633" s="10754"/>
      <c r="J633" s="10728"/>
      <c r="K633" s="10735"/>
      <c r="L633" s="10738"/>
      <c r="M633" s="10738"/>
      <c r="N633" s="10738"/>
      <c r="O633" s="10735"/>
      <c r="P633" s="10735"/>
      <c r="Q633" s="10750"/>
      <c r="R633" s="5173"/>
      <c r="S633" s="5212"/>
      <c r="T633" s="5212"/>
      <c r="U633" s="5250"/>
      <c r="V633" s="5281"/>
      <c r="W633" s="5302"/>
      <c r="X633" s="7477"/>
      <c r="Y633" s="7473"/>
      <c r="Z633" s="7473"/>
      <c r="AA633" s="7474"/>
      <c r="AB633" s="5323"/>
      <c r="AC633" s="1396"/>
      <c r="AD633" s="5300"/>
      <c r="AE633" s="5346"/>
      <c r="AF633" s="5346"/>
      <c r="AG633" s="10777"/>
      <c r="AH633" s="1758"/>
      <c r="AI633" s="1758"/>
      <c r="AJ633" s="1758"/>
      <c r="AK633" s="1758"/>
      <c r="AL633" s="1758"/>
      <c r="AM633" s="1758"/>
      <c r="AN633" s="1758"/>
      <c r="AO633" s="1758"/>
      <c r="AP633" s="1758"/>
      <c r="AQ633" s="1758"/>
      <c r="AR633" s="1758"/>
      <c r="AS633" s="1758"/>
      <c r="AT633" s="1758"/>
      <c r="AU633" s="1758"/>
      <c r="AV633" s="1758"/>
      <c r="AW633" s="1758"/>
      <c r="AX633" s="1758"/>
      <c r="AY633" s="1758"/>
      <c r="AZ633" s="1758"/>
      <c r="BA633" s="1758"/>
      <c r="BB633" s="1758"/>
      <c r="BC633" s="1758"/>
      <c r="BD633" s="1758"/>
      <c r="BE633" s="1758"/>
      <c r="BF633" s="1758"/>
      <c r="BG633" s="1758"/>
      <c r="BH633" s="1758"/>
      <c r="BI633" s="1758"/>
      <c r="BJ633" s="1758"/>
      <c r="BK633" s="1758"/>
      <c r="BL633" s="1758"/>
      <c r="BM633" s="1758"/>
      <c r="BN633" s="1758"/>
      <c r="BO633" s="1758"/>
      <c r="BP633" s="1758"/>
      <c r="BQ633" s="1758"/>
      <c r="BR633" s="1758"/>
      <c r="BS633" s="1758"/>
      <c r="BT633" s="1758"/>
      <c r="BU633" s="1758"/>
      <c r="BV633" s="1758"/>
      <c r="BW633" s="1758"/>
      <c r="BX633" s="1758"/>
      <c r="BY633" s="1758"/>
      <c r="BZ633" s="1758"/>
      <c r="CA633" s="1758"/>
      <c r="CB633" s="1758"/>
      <c r="CC633" s="1758"/>
      <c r="CD633" s="1758"/>
      <c r="CE633" s="1758"/>
      <c r="CF633" s="1758"/>
      <c r="CG633" s="1758"/>
      <c r="CH633" s="1758"/>
      <c r="CI633" s="1758"/>
      <c r="CJ633" s="1758"/>
      <c r="CK633" s="1758"/>
      <c r="CL633" s="1758"/>
      <c r="CM633" s="1758"/>
      <c r="CN633" s="1758"/>
      <c r="CO633" s="1758"/>
      <c r="CP633" s="1758"/>
      <c r="CQ633" s="1758"/>
      <c r="CR633" s="1758"/>
      <c r="CS633" s="1758"/>
      <c r="CT633" s="1758"/>
      <c r="CU633" s="1758"/>
      <c r="CV633" s="1758"/>
      <c r="CW633" s="1758"/>
      <c r="CX633" s="1758"/>
      <c r="CY633" s="1758"/>
      <c r="CZ633" s="1758"/>
      <c r="DA633" s="1758"/>
      <c r="DB633" s="1758"/>
      <c r="DC633" s="1758"/>
    </row>
    <row r="634" spans="1:107" s="1395" customFormat="1" ht="26.25" customHeight="1">
      <c r="A634" s="10893"/>
      <c r="B634" s="10732"/>
      <c r="C634" s="10729"/>
      <c r="D634" s="10729"/>
      <c r="E634" s="10729"/>
      <c r="F634" s="10745"/>
      <c r="G634" s="10729"/>
      <c r="H634" s="10729"/>
      <c r="I634" s="10755"/>
      <c r="J634" s="10729"/>
      <c r="K634" s="10736"/>
      <c r="L634" s="10739"/>
      <c r="M634" s="10739"/>
      <c r="N634" s="10739"/>
      <c r="O634" s="10736"/>
      <c r="P634" s="10736"/>
      <c r="Q634" s="10751"/>
      <c r="R634" s="5175"/>
      <c r="S634" s="5215"/>
      <c r="T634" s="5215"/>
      <c r="U634" s="5251"/>
      <c r="V634" s="5282"/>
      <c r="W634" s="5303"/>
      <c r="X634" s="7479"/>
      <c r="Y634" s="7479"/>
      <c r="Z634" s="7479"/>
      <c r="AA634" s="7480"/>
      <c r="AB634" s="5326"/>
      <c r="AC634" s="1399"/>
      <c r="AD634" s="5303"/>
      <c r="AE634" s="5348"/>
      <c r="AF634" s="5348"/>
      <c r="AG634" s="10778"/>
      <c r="AH634" s="1758"/>
      <c r="AI634" s="1758"/>
      <c r="AJ634" s="1758"/>
      <c r="AK634" s="1758"/>
      <c r="AL634" s="1758"/>
      <c r="AM634" s="1758"/>
      <c r="AN634" s="1758"/>
      <c r="AO634" s="1758"/>
      <c r="AP634" s="1758"/>
      <c r="AQ634" s="1758"/>
      <c r="AR634" s="1758"/>
      <c r="AS634" s="1758"/>
      <c r="AT634" s="1758"/>
      <c r="AU634" s="1758"/>
      <c r="AV634" s="1758"/>
      <c r="AW634" s="1758"/>
      <c r="AX634" s="1758"/>
      <c r="AY634" s="1758"/>
      <c r="AZ634" s="1758"/>
      <c r="BA634" s="1758"/>
      <c r="BB634" s="1758"/>
      <c r="BC634" s="1758"/>
      <c r="BD634" s="1758"/>
      <c r="BE634" s="1758"/>
      <c r="BF634" s="1758"/>
      <c r="BG634" s="1758"/>
      <c r="BH634" s="1758"/>
      <c r="BI634" s="1758"/>
      <c r="BJ634" s="1758"/>
      <c r="BK634" s="1758"/>
      <c r="BL634" s="1758"/>
      <c r="BM634" s="1758"/>
      <c r="BN634" s="1758"/>
      <c r="BO634" s="1758"/>
      <c r="BP634" s="1758"/>
      <c r="BQ634" s="1758"/>
      <c r="BR634" s="1758"/>
      <c r="BS634" s="1758"/>
      <c r="BT634" s="1758"/>
      <c r="BU634" s="1758"/>
      <c r="BV634" s="1758"/>
      <c r="BW634" s="1758"/>
      <c r="BX634" s="1758"/>
      <c r="BY634" s="1758"/>
      <c r="BZ634" s="1758"/>
      <c r="CA634" s="1758"/>
      <c r="CB634" s="1758"/>
      <c r="CC634" s="1758"/>
      <c r="CD634" s="1758"/>
      <c r="CE634" s="1758"/>
      <c r="CF634" s="1758"/>
      <c r="CG634" s="1758"/>
      <c r="CH634" s="1758"/>
      <c r="CI634" s="1758"/>
      <c r="CJ634" s="1758"/>
      <c r="CK634" s="1758"/>
      <c r="CL634" s="1758"/>
      <c r="CM634" s="1758"/>
      <c r="CN634" s="1758"/>
      <c r="CO634" s="1758"/>
      <c r="CP634" s="1758"/>
      <c r="CQ634" s="1758"/>
      <c r="CR634" s="1758"/>
      <c r="CS634" s="1758"/>
      <c r="CT634" s="1758"/>
      <c r="CU634" s="1758"/>
      <c r="CV634" s="1758"/>
      <c r="CW634" s="1758"/>
      <c r="CX634" s="1758"/>
      <c r="CY634" s="1758"/>
      <c r="CZ634" s="1758"/>
      <c r="DA634" s="1758"/>
      <c r="DB634" s="1758"/>
      <c r="DC634" s="1758"/>
    </row>
    <row r="635" spans="1:107" s="1395" customFormat="1" ht="26.25" customHeight="1">
      <c r="A635" s="10893"/>
      <c r="B635" s="10731" t="s">
        <v>127</v>
      </c>
      <c r="C635" s="10728" t="s">
        <v>128</v>
      </c>
      <c r="D635" s="10728" t="s">
        <v>129</v>
      </c>
      <c r="E635" s="10728" t="s">
        <v>205</v>
      </c>
      <c r="F635" s="10744" t="s">
        <v>131</v>
      </c>
      <c r="G635" s="10728" t="s">
        <v>132</v>
      </c>
      <c r="H635" s="10728" t="s">
        <v>159</v>
      </c>
      <c r="I635" s="10728" t="s">
        <v>4988</v>
      </c>
      <c r="J635" s="10742" t="s">
        <v>4615</v>
      </c>
      <c r="K635" s="10735" t="s">
        <v>4989</v>
      </c>
      <c r="L635" s="10738">
        <v>0</v>
      </c>
      <c r="M635" s="10738">
        <v>4</v>
      </c>
      <c r="N635" s="10738">
        <v>4</v>
      </c>
      <c r="O635" s="10735" t="s">
        <v>5070</v>
      </c>
      <c r="P635" s="10735" t="s">
        <v>4991</v>
      </c>
      <c r="Q635" s="10750" t="s">
        <v>5133</v>
      </c>
      <c r="R635" s="5173"/>
      <c r="S635" s="5212"/>
      <c r="T635" s="5212"/>
      <c r="U635" s="5249"/>
      <c r="V635" s="5281"/>
      <c r="W635" s="5302"/>
      <c r="X635" s="7477"/>
      <c r="Y635" s="7477"/>
      <c r="Z635" s="7477"/>
      <c r="AA635" s="7478"/>
      <c r="AB635" s="5325"/>
      <c r="AC635" s="1398"/>
      <c r="AD635" s="5302"/>
      <c r="AE635" s="5349"/>
      <c r="AF635" s="5349"/>
      <c r="AG635" s="10777" t="s">
        <v>4993</v>
      </c>
      <c r="AH635" s="1758"/>
      <c r="AI635" s="1758"/>
      <c r="AJ635" s="1758"/>
      <c r="AK635" s="1758"/>
      <c r="AL635" s="1758"/>
      <c r="AM635" s="1758"/>
      <c r="AN635" s="1758"/>
      <c r="AO635" s="1758"/>
      <c r="AP635" s="1758"/>
      <c r="AQ635" s="1758"/>
      <c r="AR635" s="1758"/>
      <c r="AS635" s="1758"/>
      <c r="AT635" s="1758"/>
      <c r="AU635" s="1758"/>
      <c r="AV635" s="1758"/>
      <c r="AW635" s="1758"/>
      <c r="AX635" s="1758"/>
      <c r="AY635" s="1758"/>
      <c r="AZ635" s="1758"/>
      <c r="BA635" s="1758"/>
      <c r="BB635" s="1758"/>
      <c r="BC635" s="1758"/>
      <c r="BD635" s="1758"/>
      <c r="BE635" s="1758"/>
      <c r="BF635" s="1758"/>
      <c r="BG635" s="1758"/>
      <c r="BH635" s="1758"/>
      <c r="BI635" s="1758"/>
      <c r="BJ635" s="1758"/>
      <c r="BK635" s="1758"/>
      <c r="BL635" s="1758"/>
      <c r="BM635" s="1758"/>
      <c r="BN635" s="1758"/>
      <c r="BO635" s="1758"/>
      <c r="BP635" s="1758"/>
      <c r="BQ635" s="1758"/>
      <c r="BR635" s="1758"/>
      <c r="BS635" s="1758"/>
      <c r="BT635" s="1758"/>
      <c r="BU635" s="1758"/>
      <c r="BV635" s="1758"/>
      <c r="BW635" s="1758"/>
      <c r="BX635" s="1758"/>
      <c r="BY635" s="1758"/>
      <c r="BZ635" s="1758"/>
      <c r="CA635" s="1758"/>
      <c r="CB635" s="1758"/>
      <c r="CC635" s="1758"/>
      <c r="CD635" s="1758"/>
      <c r="CE635" s="1758"/>
      <c r="CF635" s="1758"/>
      <c r="CG635" s="1758"/>
      <c r="CH635" s="1758"/>
      <c r="CI635" s="1758"/>
      <c r="CJ635" s="1758"/>
      <c r="CK635" s="1758"/>
      <c r="CL635" s="1758"/>
      <c r="CM635" s="1758"/>
      <c r="CN635" s="1758"/>
      <c r="CO635" s="1758"/>
      <c r="CP635" s="1758"/>
      <c r="CQ635" s="1758"/>
      <c r="CR635" s="1758"/>
      <c r="CS635" s="1758"/>
      <c r="CT635" s="1758"/>
      <c r="CU635" s="1758"/>
      <c r="CV635" s="1758"/>
      <c r="CW635" s="1758"/>
      <c r="CX635" s="1758"/>
      <c r="CY635" s="1758"/>
      <c r="CZ635" s="1758"/>
      <c r="DA635" s="1758"/>
      <c r="DB635" s="1758"/>
      <c r="DC635" s="1758"/>
    </row>
    <row r="636" spans="1:107" s="1395" customFormat="1" ht="26.25" customHeight="1">
      <c r="A636" s="10893"/>
      <c r="B636" s="10731"/>
      <c r="C636" s="10728"/>
      <c r="D636" s="10728"/>
      <c r="E636" s="10728"/>
      <c r="F636" s="10744"/>
      <c r="G636" s="10728"/>
      <c r="H636" s="10728"/>
      <c r="I636" s="10728"/>
      <c r="J636" s="10728"/>
      <c r="K636" s="10735"/>
      <c r="L636" s="10738"/>
      <c r="M636" s="10738"/>
      <c r="N636" s="10738"/>
      <c r="O636" s="10735"/>
      <c r="P636" s="10735"/>
      <c r="Q636" s="10750"/>
      <c r="R636" s="5171"/>
      <c r="S636" s="5213"/>
      <c r="T636" s="5213"/>
      <c r="U636" s="5247"/>
      <c r="V636" s="5279"/>
      <c r="W636" s="5300"/>
      <c r="X636" s="7473"/>
      <c r="Y636" s="7473"/>
      <c r="Z636" s="7473"/>
      <c r="AA636" s="7474"/>
      <c r="AB636" s="5323"/>
      <c r="AC636" s="1396"/>
      <c r="AD636" s="5300"/>
      <c r="AE636" s="5346"/>
      <c r="AF636" s="5346"/>
      <c r="AG636" s="10777"/>
      <c r="AH636" s="1758"/>
      <c r="AI636" s="1758"/>
      <c r="AJ636" s="1758"/>
      <c r="AK636" s="1758"/>
      <c r="AL636" s="1758"/>
      <c r="AM636" s="1758"/>
      <c r="AN636" s="1758"/>
      <c r="AO636" s="1758"/>
      <c r="AP636" s="1758"/>
      <c r="AQ636" s="1758"/>
      <c r="AR636" s="1758"/>
      <c r="AS636" s="1758"/>
      <c r="AT636" s="1758"/>
      <c r="AU636" s="1758"/>
      <c r="AV636" s="1758"/>
      <c r="AW636" s="1758"/>
      <c r="AX636" s="1758"/>
      <c r="AY636" s="1758"/>
      <c r="AZ636" s="1758"/>
      <c r="BA636" s="1758"/>
      <c r="BB636" s="1758"/>
      <c r="BC636" s="1758"/>
      <c r="BD636" s="1758"/>
      <c r="BE636" s="1758"/>
      <c r="BF636" s="1758"/>
      <c r="BG636" s="1758"/>
      <c r="BH636" s="1758"/>
      <c r="BI636" s="1758"/>
      <c r="BJ636" s="1758"/>
      <c r="BK636" s="1758"/>
      <c r="BL636" s="1758"/>
      <c r="BM636" s="1758"/>
      <c r="BN636" s="1758"/>
      <c r="BO636" s="1758"/>
      <c r="BP636" s="1758"/>
      <c r="BQ636" s="1758"/>
      <c r="BR636" s="1758"/>
      <c r="BS636" s="1758"/>
      <c r="BT636" s="1758"/>
      <c r="BU636" s="1758"/>
      <c r="BV636" s="1758"/>
      <c r="BW636" s="1758"/>
      <c r="BX636" s="1758"/>
      <c r="BY636" s="1758"/>
      <c r="BZ636" s="1758"/>
      <c r="CA636" s="1758"/>
      <c r="CB636" s="1758"/>
      <c r="CC636" s="1758"/>
      <c r="CD636" s="1758"/>
      <c r="CE636" s="1758"/>
      <c r="CF636" s="1758"/>
      <c r="CG636" s="1758"/>
      <c r="CH636" s="1758"/>
      <c r="CI636" s="1758"/>
      <c r="CJ636" s="1758"/>
      <c r="CK636" s="1758"/>
      <c r="CL636" s="1758"/>
      <c r="CM636" s="1758"/>
      <c r="CN636" s="1758"/>
      <c r="CO636" s="1758"/>
      <c r="CP636" s="1758"/>
      <c r="CQ636" s="1758"/>
      <c r="CR636" s="1758"/>
      <c r="CS636" s="1758"/>
      <c r="CT636" s="1758"/>
      <c r="CU636" s="1758"/>
      <c r="CV636" s="1758"/>
      <c r="CW636" s="1758"/>
      <c r="CX636" s="1758"/>
      <c r="CY636" s="1758"/>
      <c r="CZ636" s="1758"/>
      <c r="DA636" s="1758"/>
      <c r="DB636" s="1758"/>
      <c r="DC636" s="1758"/>
    </row>
    <row r="637" spans="1:107" s="1395" customFormat="1" ht="26.25" customHeight="1">
      <c r="A637" s="10893"/>
      <c r="B637" s="10731"/>
      <c r="C637" s="10728"/>
      <c r="D637" s="10728"/>
      <c r="E637" s="10728"/>
      <c r="F637" s="10744"/>
      <c r="G637" s="10728"/>
      <c r="H637" s="10728"/>
      <c r="I637" s="10728"/>
      <c r="J637" s="10728"/>
      <c r="K637" s="10735"/>
      <c r="L637" s="10738"/>
      <c r="M637" s="10738"/>
      <c r="N637" s="10738"/>
      <c r="O637" s="10735"/>
      <c r="P637" s="10735"/>
      <c r="Q637" s="10750"/>
      <c r="R637" s="5174"/>
      <c r="S637" s="5214"/>
      <c r="T637" s="5214"/>
      <c r="U637" s="5250"/>
      <c r="V637" s="5281"/>
      <c r="W637" s="5302"/>
      <c r="X637" s="7477"/>
      <c r="Y637" s="7473"/>
      <c r="Z637" s="7473"/>
      <c r="AA637" s="7474"/>
      <c r="AB637" s="5323"/>
      <c r="AC637" s="1396"/>
      <c r="AD637" s="5300"/>
      <c r="AE637" s="5346"/>
      <c r="AF637" s="5346"/>
      <c r="AG637" s="10777"/>
      <c r="AH637" s="1758"/>
      <c r="AI637" s="1758"/>
      <c r="AJ637" s="1758"/>
      <c r="AK637" s="1758"/>
      <c r="AL637" s="1758"/>
      <c r="AM637" s="1758"/>
      <c r="AN637" s="1758"/>
      <c r="AO637" s="1758"/>
      <c r="AP637" s="1758"/>
      <c r="AQ637" s="1758"/>
      <c r="AR637" s="1758"/>
      <c r="AS637" s="1758"/>
      <c r="AT637" s="1758"/>
      <c r="AU637" s="1758"/>
      <c r="AV637" s="1758"/>
      <c r="AW637" s="1758"/>
      <c r="AX637" s="1758"/>
      <c r="AY637" s="1758"/>
      <c r="AZ637" s="1758"/>
      <c r="BA637" s="1758"/>
      <c r="BB637" s="1758"/>
      <c r="BC637" s="1758"/>
      <c r="BD637" s="1758"/>
      <c r="BE637" s="1758"/>
      <c r="BF637" s="1758"/>
      <c r="BG637" s="1758"/>
      <c r="BH637" s="1758"/>
      <c r="BI637" s="1758"/>
      <c r="BJ637" s="1758"/>
      <c r="BK637" s="1758"/>
      <c r="BL637" s="1758"/>
      <c r="BM637" s="1758"/>
      <c r="BN637" s="1758"/>
      <c r="BO637" s="1758"/>
      <c r="BP637" s="1758"/>
      <c r="BQ637" s="1758"/>
      <c r="BR637" s="1758"/>
      <c r="BS637" s="1758"/>
      <c r="BT637" s="1758"/>
      <c r="BU637" s="1758"/>
      <c r="BV637" s="1758"/>
      <c r="BW637" s="1758"/>
      <c r="BX637" s="1758"/>
      <c r="BY637" s="1758"/>
      <c r="BZ637" s="1758"/>
      <c r="CA637" s="1758"/>
      <c r="CB637" s="1758"/>
      <c r="CC637" s="1758"/>
      <c r="CD637" s="1758"/>
      <c r="CE637" s="1758"/>
      <c r="CF637" s="1758"/>
      <c r="CG637" s="1758"/>
      <c r="CH637" s="1758"/>
      <c r="CI637" s="1758"/>
      <c r="CJ637" s="1758"/>
      <c r="CK637" s="1758"/>
      <c r="CL637" s="1758"/>
      <c r="CM637" s="1758"/>
      <c r="CN637" s="1758"/>
      <c r="CO637" s="1758"/>
      <c r="CP637" s="1758"/>
      <c r="CQ637" s="1758"/>
      <c r="CR637" s="1758"/>
      <c r="CS637" s="1758"/>
      <c r="CT637" s="1758"/>
      <c r="CU637" s="1758"/>
      <c r="CV637" s="1758"/>
      <c r="CW637" s="1758"/>
      <c r="CX637" s="1758"/>
      <c r="CY637" s="1758"/>
      <c r="CZ637" s="1758"/>
      <c r="DA637" s="1758"/>
      <c r="DB637" s="1758"/>
      <c r="DC637" s="1758"/>
    </row>
    <row r="638" spans="1:107" s="1395" customFormat="1" ht="26.25" customHeight="1">
      <c r="A638" s="10893"/>
      <c r="B638" s="10731"/>
      <c r="C638" s="10728"/>
      <c r="D638" s="10728"/>
      <c r="E638" s="10728"/>
      <c r="F638" s="10744"/>
      <c r="G638" s="10728"/>
      <c r="H638" s="10728"/>
      <c r="I638" s="10728"/>
      <c r="J638" s="10728"/>
      <c r="K638" s="10735"/>
      <c r="L638" s="10738"/>
      <c r="M638" s="10738"/>
      <c r="N638" s="10738"/>
      <c r="O638" s="10735"/>
      <c r="P638" s="10735"/>
      <c r="Q638" s="10750"/>
      <c r="R638" s="5173"/>
      <c r="S638" s="5212"/>
      <c r="T638" s="5212"/>
      <c r="U638" s="5250"/>
      <c r="V638" s="5281"/>
      <c r="W638" s="5302"/>
      <c r="X638" s="7477"/>
      <c r="Y638" s="7473"/>
      <c r="Z638" s="7473"/>
      <c r="AA638" s="7474"/>
      <c r="AB638" s="5323"/>
      <c r="AC638" s="1396"/>
      <c r="AD638" s="5300"/>
      <c r="AE638" s="5346"/>
      <c r="AF638" s="5346"/>
      <c r="AG638" s="10777"/>
      <c r="AH638" s="1758"/>
      <c r="AI638" s="1758"/>
      <c r="AJ638" s="1758"/>
      <c r="AK638" s="1758"/>
      <c r="AL638" s="1758"/>
      <c r="AM638" s="1758"/>
      <c r="AN638" s="1758"/>
      <c r="AO638" s="1758"/>
      <c r="AP638" s="1758"/>
      <c r="AQ638" s="1758"/>
      <c r="AR638" s="1758"/>
      <c r="AS638" s="1758"/>
      <c r="AT638" s="1758"/>
      <c r="AU638" s="1758"/>
      <c r="AV638" s="1758"/>
      <c r="AW638" s="1758"/>
      <c r="AX638" s="1758"/>
      <c r="AY638" s="1758"/>
      <c r="AZ638" s="1758"/>
      <c r="BA638" s="1758"/>
      <c r="BB638" s="1758"/>
      <c r="BC638" s="1758"/>
      <c r="BD638" s="1758"/>
      <c r="BE638" s="1758"/>
      <c r="BF638" s="1758"/>
      <c r="BG638" s="1758"/>
      <c r="BH638" s="1758"/>
      <c r="BI638" s="1758"/>
      <c r="BJ638" s="1758"/>
      <c r="BK638" s="1758"/>
      <c r="BL638" s="1758"/>
      <c r="BM638" s="1758"/>
      <c r="BN638" s="1758"/>
      <c r="BO638" s="1758"/>
      <c r="BP638" s="1758"/>
      <c r="BQ638" s="1758"/>
      <c r="BR638" s="1758"/>
      <c r="BS638" s="1758"/>
      <c r="BT638" s="1758"/>
      <c r="BU638" s="1758"/>
      <c r="BV638" s="1758"/>
      <c r="BW638" s="1758"/>
      <c r="BX638" s="1758"/>
      <c r="BY638" s="1758"/>
      <c r="BZ638" s="1758"/>
      <c r="CA638" s="1758"/>
      <c r="CB638" s="1758"/>
      <c r="CC638" s="1758"/>
      <c r="CD638" s="1758"/>
      <c r="CE638" s="1758"/>
      <c r="CF638" s="1758"/>
      <c r="CG638" s="1758"/>
      <c r="CH638" s="1758"/>
      <c r="CI638" s="1758"/>
      <c r="CJ638" s="1758"/>
      <c r="CK638" s="1758"/>
      <c r="CL638" s="1758"/>
      <c r="CM638" s="1758"/>
      <c r="CN638" s="1758"/>
      <c r="CO638" s="1758"/>
      <c r="CP638" s="1758"/>
      <c r="CQ638" s="1758"/>
      <c r="CR638" s="1758"/>
      <c r="CS638" s="1758"/>
      <c r="CT638" s="1758"/>
      <c r="CU638" s="1758"/>
      <c r="CV638" s="1758"/>
      <c r="CW638" s="1758"/>
      <c r="CX638" s="1758"/>
      <c r="CY638" s="1758"/>
      <c r="CZ638" s="1758"/>
      <c r="DA638" s="1758"/>
      <c r="DB638" s="1758"/>
      <c r="DC638" s="1758"/>
    </row>
    <row r="639" spans="1:107" s="1395" customFormat="1" ht="26.25" customHeight="1">
      <c r="A639" s="10893"/>
      <c r="B639" s="10732"/>
      <c r="C639" s="10729"/>
      <c r="D639" s="10729"/>
      <c r="E639" s="10729"/>
      <c r="F639" s="10745"/>
      <c r="G639" s="10729"/>
      <c r="H639" s="10729"/>
      <c r="I639" s="10729"/>
      <c r="J639" s="10729"/>
      <c r="K639" s="10736"/>
      <c r="L639" s="10739"/>
      <c r="M639" s="10739"/>
      <c r="N639" s="10739"/>
      <c r="O639" s="10736"/>
      <c r="P639" s="10736"/>
      <c r="Q639" s="10751"/>
      <c r="R639" s="5175"/>
      <c r="S639" s="5215"/>
      <c r="T639" s="5215"/>
      <c r="U639" s="5251"/>
      <c r="V639" s="5282"/>
      <c r="W639" s="5303"/>
      <c r="X639" s="7479"/>
      <c r="Y639" s="7479"/>
      <c r="Z639" s="7479"/>
      <c r="AA639" s="7480"/>
      <c r="AB639" s="5326"/>
      <c r="AC639" s="1399"/>
      <c r="AD639" s="5303"/>
      <c r="AE639" s="5348"/>
      <c r="AF639" s="5348"/>
      <c r="AG639" s="10778"/>
      <c r="AH639" s="1758"/>
      <c r="AI639" s="1758"/>
      <c r="AJ639" s="1758"/>
      <c r="AK639" s="1758"/>
      <c r="AL639" s="1758"/>
      <c r="AM639" s="1758"/>
      <c r="AN639" s="1758"/>
      <c r="AO639" s="1758"/>
      <c r="AP639" s="1758"/>
      <c r="AQ639" s="1758"/>
      <c r="AR639" s="1758"/>
      <c r="AS639" s="1758"/>
      <c r="AT639" s="1758"/>
      <c r="AU639" s="1758"/>
      <c r="AV639" s="1758"/>
      <c r="AW639" s="1758"/>
      <c r="AX639" s="1758"/>
      <c r="AY639" s="1758"/>
      <c r="AZ639" s="1758"/>
      <c r="BA639" s="1758"/>
      <c r="BB639" s="1758"/>
      <c r="BC639" s="1758"/>
      <c r="BD639" s="1758"/>
      <c r="BE639" s="1758"/>
      <c r="BF639" s="1758"/>
      <c r="BG639" s="1758"/>
      <c r="BH639" s="1758"/>
      <c r="BI639" s="1758"/>
      <c r="BJ639" s="1758"/>
      <c r="BK639" s="1758"/>
      <c r="BL639" s="1758"/>
      <c r="BM639" s="1758"/>
      <c r="BN639" s="1758"/>
      <c r="BO639" s="1758"/>
      <c r="BP639" s="1758"/>
      <c r="BQ639" s="1758"/>
      <c r="BR639" s="1758"/>
      <c r="BS639" s="1758"/>
      <c r="BT639" s="1758"/>
      <c r="BU639" s="1758"/>
      <c r="BV639" s="1758"/>
      <c r="BW639" s="1758"/>
      <c r="BX639" s="1758"/>
      <c r="BY639" s="1758"/>
      <c r="BZ639" s="1758"/>
      <c r="CA639" s="1758"/>
      <c r="CB639" s="1758"/>
      <c r="CC639" s="1758"/>
      <c r="CD639" s="1758"/>
      <c r="CE639" s="1758"/>
      <c r="CF639" s="1758"/>
      <c r="CG639" s="1758"/>
      <c r="CH639" s="1758"/>
      <c r="CI639" s="1758"/>
      <c r="CJ639" s="1758"/>
      <c r="CK639" s="1758"/>
      <c r="CL639" s="1758"/>
      <c r="CM639" s="1758"/>
      <c r="CN639" s="1758"/>
      <c r="CO639" s="1758"/>
      <c r="CP639" s="1758"/>
      <c r="CQ639" s="1758"/>
      <c r="CR639" s="1758"/>
      <c r="CS639" s="1758"/>
      <c r="CT639" s="1758"/>
      <c r="CU639" s="1758"/>
      <c r="CV639" s="1758"/>
      <c r="CW639" s="1758"/>
      <c r="CX639" s="1758"/>
      <c r="CY639" s="1758"/>
      <c r="CZ639" s="1758"/>
      <c r="DA639" s="1758"/>
      <c r="DB639" s="1758"/>
      <c r="DC639" s="1758"/>
    </row>
    <row r="640" spans="1:107" s="1395" customFormat="1" ht="25.5" customHeight="1">
      <c r="A640" s="10893"/>
      <c r="B640" s="10731" t="s">
        <v>127</v>
      </c>
      <c r="C640" s="10728" t="s">
        <v>227</v>
      </c>
      <c r="D640" s="10728" t="s">
        <v>129</v>
      </c>
      <c r="E640" s="10728" t="s">
        <v>205</v>
      </c>
      <c r="F640" s="10744" t="s">
        <v>131</v>
      </c>
      <c r="G640" s="10728" t="s">
        <v>132</v>
      </c>
      <c r="H640" s="10728" t="s">
        <v>159</v>
      </c>
      <c r="I640" s="10728" t="s">
        <v>4994</v>
      </c>
      <c r="J640" s="10742" t="s">
        <v>4620</v>
      </c>
      <c r="K640" s="10735" t="s">
        <v>5134</v>
      </c>
      <c r="L640" s="10738">
        <v>0</v>
      </c>
      <c r="M640" s="10738">
        <v>1</v>
      </c>
      <c r="N640" s="10738">
        <v>1</v>
      </c>
      <c r="O640" s="10735" t="s">
        <v>4996</v>
      </c>
      <c r="P640" s="10735" t="s">
        <v>4997</v>
      </c>
      <c r="Q640" s="10750" t="s">
        <v>5133</v>
      </c>
      <c r="R640" s="5173"/>
      <c r="S640" s="5212"/>
      <c r="T640" s="5212"/>
      <c r="U640" s="5249"/>
      <c r="V640" s="5281"/>
      <c r="W640" s="5302"/>
      <c r="X640" s="7477"/>
      <c r="Y640" s="7477"/>
      <c r="Z640" s="7477"/>
      <c r="AA640" s="7478"/>
      <c r="AB640" s="5325"/>
      <c r="AC640" s="1398"/>
      <c r="AD640" s="5302"/>
      <c r="AE640" s="5349"/>
      <c r="AF640" s="5349"/>
      <c r="AG640" s="10777" t="s">
        <v>4843</v>
      </c>
      <c r="AH640" s="1758"/>
      <c r="AI640" s="1758"/>
      <c r="AJ640" s="1758"/>
      <c r="AK640" s="1758"/>
      <c r="AL640" s="1758"/>
      <c r="AM640" s="1758"/>
      <c r="AN640" s="1758"/>
      <c r="AO640" s="1758"/>
      <c r="AP640" s="1758"/>
      <c r="AQ640" s="1758"/>
      <c r="AR640" s="1758"/>
      <c r="AS640" s="1758"/>
      <c r="AT640" s="1758"/>
      <c r="AU640" s="1758"/>
      <c r="AV640" s="1758"/>
      <c r="AW640" s="1758"/>
      <c r="AX640" s="1758"/>
      <c r="AY640" s="1758"/>
      <c r="AZ640" s="1758"/>
      <c r="BA640" s="1758"/>
      <c r="BB640" s="1758"/>
      <c r="BC640" s="1758"/>
      <c r="BD640" s="1758"/>
      <c r="BE640" s="1758"/>
      <c r="BF640" s="1758"/>
      <c r="BG640" s="1758"/>
      <c r="BH640" s="1758"/>
      <c r="BI640" s="1758"/>
      <c r="BJ640" s="1758"/>
      <c r="BK640" s="1758"/>
      <c r="BL640" s="1758"/>
      <c r="BM640" s="1758"/>
      <c r="BN640" s="1758"/>
      <c r="BO640" s="1758"/>
      <c r="BP640" s="1758"/>
      <c r="BQ640" s="1758"/>
      <c r="BR640" s="1758"/>
      <c r="BS640" s="1758"/>
      <c r="BT640" s="1758"/>
      <c r="BU640" s="1758"/>
      <c r="BV640" s="1758"/>
      <c r="BW640" s="1758"/>
      <c r="BX640" s="1758"/>
      <c r="BY640" s="1758"/>
      <c r="BZ640" s="1758"/>
      <c r="CA640" s="1758"/>
      <c r="CB640" s="1758"/>
      <c r="CC640" s="1758"/>
      <c r="CD640" s="1758"/>
      <c r="CE640" s="1758"/>
      <c r="CF640" s="1758"/>
      <c r="CG640" s="1758"/>
      <c r="CH640" s="1758"/>
      <c r="CI640" s="1758"/>
      <c r="CJ640" s="1758"/>
      <c r="CK640" s="1758"/>
      <c r="CL640" s="1758"/>
      <c r="CM640" s="1758"/>
      <c r="CN640" s="1758"/>
      <c r="CO640" s="1758"/>
      <c r="CP640" s="1758"/>
      <c r="CQ640" s="1758"/>
      <c r="CR640" s="1758"/>
      <c r="CS640" s="1758"/>
      <c r="CT640" s="1758"/>
      <c r="CU640" s="1758"/>
      <c r="CV640" s="1758"/>
      <c r="CW640" s="1758"/>
      <c r="CX640" s="1758"/>
      <c r="CY640" s="1758"/>
      <c r="CZ640" s="1758"/>
      <c r="DA640" s="1758"/>
      <c r="DB640" s="1758"/>
      <c r="DC640" s="1758"/>
    </row>
    <row r="641" spans="1:107" s="1395" customFormat="1" ht="25.5" customHeight="1">
      <c r="A641" s="10893"/>
      <c r="B641" s="10731"/>
      <c r="C641" s="10728"/>
      <c r="D641" s="10728"/>
      <c r="E641" s="10728"/>
      <c r="F641" s="10744"/>
      <c r="G641" s="10728"/>
      <c r="H641" s="10728"/>
      <c r="I641" s="10728"/>
      <c r="J641" s="10728"/>
      <c r="K641" s="10735"/>
      <c r="L641" s="10738"/>
      <c r="M641" s="10738"/>
      <c r="N641" s="10738"/>
      <c r="O641" s="10735"/>
      <c r="P641" s="10735"/>
      <c r="Q641" s="10750"/>
      <c r="R641" s="5171"/>
      <c r="S641" s="5213"/>
      <c r="T641" s="5213"/>
      <c r="U641" s="5247"/>
      <c r="V641" s="5279"/>
      <c r="W641" s="5300"/>
      <c r="X641" s="7473"/>
      <c r="Y641" s="7473"/>
      <c r="Z641" s="7473"/>
      <c r="AA641" s="7474"/>
      <c r="AB641" s="5323"/>
      <c r="AC641" s="1396"/>
      <c r="AD641" s="5300"/>
      <c r="AE641" s="5346"/>
      <c r="AF641" s="5346"/>
      <c r="AG641" s="10777"/>
      <c r="AH641" s="1758"/>
      <c r="AI641" s="1758"/>
      <c r="AJ641" s="1758"/>
      <c r="AK641" s="1758"/>
      <c r="AL641" s="1758"/>
      <c r="AM641" s="1758"/>
      <c r="AN641" s="1758"/>
      <c r="AO641" s="1758"/>
      <c r="AP641" s="1758"/>
      <c r="AQ641" s="1758"/>
      <c r="AR641" s="1758"/>
      <c r="AS641" s="1758"/>
      <c r="AT641" s="1758"/>
      <c r="AU641" s="1758"/>
      <c r="AV641" s="1758"/>
      <c r="AW641" s="1758"/>
      <c r="AX641" s="1758"/>
      <c r="AY641" s="1758"/>
      <c r="AZ641" s="1758"/>
      <c r="BA641" s="1758"/>
      <c r="BB641" s="1758"/>
      <c r="BC641" s="1758"/>
      <c r="BD641" s="1758"/>
      <c r="BE641" s="1758"/>
      <c r="BF641" s="1758"/>
      <c r="BG641" s="1758"/>
      <c r="BH641" s="1758"/>
      <c r="BI641" s="1758"/>
      <c r="BJ641" s="1758"/>
      <c r="BK641" s="1758"/>
      <c r="BL641" s="1758"/>
      <c r="BM641" s="1758"/>
      <c r="BN641" s="1758"/>
      <c r="BO641" s="1758"/>
      <c r="BP641" s="1758"/>
      <c r="BQ641" s="1758"/>
      <c r="BR641" s="1758"/>
      <c r="BS641" s="1758"/>
      <c r="BT641" s="1758"/>
      <c r="BU641" s="1758"/>
      <c r="BV641" s="1758"/>
      <c r="BW641" s="1758"/>
      <c r="BX641" s="1758"/>
      <c r="BY641" s="1758"/>
      <c r="BZ641" s="1758"/>
      <c r="CA641" s="1758"/>
      <c r="CB641" s="1758"/>
      <c r="CC641" s="1758"/>
      <c r="CD641" s="1758"/>
      <c r="CE641" s="1758"/>
      <c r="CF641" s="1758"/>
      <c r="CG641" s="1758"/>
      <c r="CH641" s="1758"/>
      <c r="CI641" s="1758"/>
      <c r="CJ641" s="1758"/>
      <c r="CK641" s="1758"/>
      <c r="CL641" s="1758"/>
      <c r="CM641" s="1758"/>
      <c r="CN641" s="1758"/>
      <c r="CO641" s="1758"/>
      <c r="CP641" s="1758"/>
      <c r="CQ641" s="1758"/>
      <c r="CR641" s="1758"/>
      <c r="CS641" s="1758"/>
      <c r="CT641" s="1758"/>
      <c r="CU641" s="1758"/>
      <c r="CV641" s="1758"/>
      <c r="CW641" s="1758"/>
      <c r="CX641" s="1758"/>
      <c r="CY641" s="1758"/>
      <c r="CZ641" s="1758"/>
      <c r="DA641" s="1758"/>
      <c r="DB641" s="1758"/>
      <c r="DC641" s="1758"/>
    </row>
    <row r="642" spans="1:107" s="1395" customFormat="1" ht="25.5" customHeight="1">
      <c r="A642" s="10893"/>
      <c r="B642" s="10731"/>
      <c r="C642" s="10728"/>
      <c r="D642" s="10728"/>
      <c r="E642" s="10728"/>
      <c r="F642" s="10744"/>
      <c r="G642" s="10728"/>
      <c r="H642" s="10728"/>
      <c r="I642" s="10728"/>
      <c r="J642" s="10728"/>
      <c r="K642" s="10735"/>
      <c r="L642" s="10738"/>
      <c r="M642" s="10738"/>
      <c r="N642" s="10738"/>
      <c r="O642" s="10735"/>
      <c r="P642" s="10735"/>
      <c r="Q642" s="10750"/>
      <c r="R642" s="5174"/>
      <c r="S642" s="5214"/>
      <c r="T642" s="5214"/>
      <c r="U642" s="5250"/>
      <c r="V642" s="5281"/>
      <c r="W642" s="5302"/>
      <c r="X642" s="7477"/>
      <c r="Y642" s="7473"/>
      <c r="Z642" s="7473"/>
      <c r="AA642" s="7474"/>
      <c r="AB642" s="5323"/>
      <c r="AC642" s="1396"/>
      <c r="AD642" s="5300"/>
      <c r="AE642" s="5346"/>
      <c r="AF642" s="5346"/>
      <c r="AG642" s="10777"/>
      <c r="AH642" s="1758"/>
      <c r="AI642" s="1758"/>
      <c r="AJ642" s="1758"/>
      <c r="AK642" s="1758"/>
      <c r="AL642" s="1758"/>
      <c r="AM642" s="1758"/>
      <c r="AN642" s="1758"/>
      <c r="AO642" s="1758"/>
      <c r="AP642" s="1758"/>
      <c r="AQ642" s="1758"/>
      <c r="AR642" s="1758"/>
      <c r="AS642" s="1758"/>
      <c r="AT642" s="1758"/>
      <c r="AU642" s="1758"/>
      <c r="AV642" s="1758"/>
      <c r="AW642" s="1758"/>
      <c r="AX642" s="1758"/>
      <c r="AY642" s="1758"/>
      <c r="AZ642" s="1758"/>
      <c r="BA642" s="1758"/>
      <c r="BB642" s="1758"/>
      <c r="BC642" s="1758"/>
      <c r="BD642" s="1758"/>
      <c r="BE642" s="1758"/>
      <c r="BF642" s="1758"/>
      <c r="BG642" s="1758"/>
      <c r="BH642" s="1758"/>
      <c r="BI642" s="1758"/>
      <c r="BJ642" s="1758"/>
      <c r="BK642" s="1758"/>
      <c r="BL642" s="1758"/>
      <c r="BM642" s="1758"/>
      <c r="BN642" s="1758"/>
      <c r="BO642" s="1758"/>
      <c r="BP642" s="1758"/>
      <c r="BQ642" s="1758"/>
      <c r="BR642" s="1758"/>
      <c r="BS642" s="1758"/>
      <c r="BT642" s="1758"/>
      <c r="BU642" s="1758"/>
      <c r="BV642" s="1758"/>
      <c r="BW642" s="1758"/>
      <c r="BX642" s="1758"/>
      <c r="BY642" s="1758"/>
      <c r="BZ642" s="1758"/>
      <c r="CA642" s="1758"/>
      <c r="CB642" s="1758"/>
      <c r="CC642" s="1758"/>
      <c r="CD642" s="1758"/>
      <c r="CE642" s="1758"/>
      <c r="CF642" s="1758"/>
      <c r="CG642" s="1758"/>
      <c r="CH642" s="1758"/>
      <c r="CI642" s="1758"/>
      <c r="CJ642" s="1758"/>
      <c r="CK642" s="1758"/>
      <c r="CL642" s="1758"/>
      <c r="CM642" s="1758"/>
      <c r="CN642" s="1758"/>
      <c r="CO642" s="1758"/>
      <c r="CP642" s="1758"/>
      <c r="CQ642" s="1758"/>
      <c r="CR642" s="1758"/>
      <c r="CS642" s="1758"/>
      <c r="CT642" s="1758"/>
      <c r="CU642" s="1758"/>
      <c r="CV642" s="1758"/>
      <c r="CW642" s="1758"/>
      <c r="CX642" s="1758"/>
      <c r="CY642" s="1758"/>
      <c r="CZ642" s="1758"/>
      <c r="DA642" s="1758"/>
      <c r="DB642" s="1758"/>
      <c r="DC642" s="1758"/>
    </row>
    <row r="643" spans="1:107" s="1395" customFormat="1" ht="25.5" customHeight="1">
      <c r="A643" s="10893"/>
      <c r="B643" s="10731"/>
      <c r="C643" s="10728"/>
      <c r="D643" s="10728"/>
      <c r="E643" s="10728"/>
      <c r="F643" s="10744"/>
      <c r="G643" s="10728"/>
      <c r="H643" s="10728"/>
      <c r="I643" s="10728"/>
      <c r="J643" s="10728"/>
      <c r="K643" s="10735"/>
      <c r="L643" s="10738"/>
      <c r="M643" s="10738"/>
      <c r="N643" s="10738"/>
      <c r="O643" s="10735"/>
      <c r="P643" s="10735"/>
      <c r="Q643" s="10750"/>
      <c r="R643" s="5173"/>
      <c r="S643" s="5212"/>
      <c r="T643" s="5212"/>
      <c r="U643" s="5250"/>
      <c r="V643" s="5281"/>
      <c r="W643" s="5302"/>
      <c r="X643" s="7477"/>
      <c r="Y643" s="7473"/>
      <c r="Z643" s="7473"/>
      <c r="AA643" s="7474"/>
      <c r="AB643" s="5323"/>
      <c r="AC643" s="1396"/>
      <c r="AD643" s="5300"/>
      <c r="AE643" s="5346"/>
      <c r="AF643" s="5346"/>
      <c r="AG643" s="10777"/>
      <c r="AH643" s="1758"/>
      <c r="AI643" s="1758"/>
      <c r="AJ643" s="1758"/>
      <c r="AK643" s="1758"/>
      <c r="AL643" s="1758"/>
      <c r="AM643" s="1758"/>
      <c r="AN643" s="1758"/>
      <c r="AO643" s="1758"/>
      <c r="AP643" s="1758"/>
      <c r="AQ643" s="1758"/>
      <c r="AR643" s="1758"/>
      <c r="AS643" s="1758"/>
      <c r="AT643" s="1758"/>
      <c r="AU643" s="1758"/>
      <c r="AV643" s="1758"/>
      <c r="AW643" s="1758"/>
      <c r="AX643" s="1758"/>
      <c r="AY643" s="1758"/>
      <c r="AZ643" s="1758"/>
      <c r="BA643" s="1758"/>
      <c r="BB643" s="1758"/>
      <c r="BC643" s="1758"/>
      <c r="BD643" s="1758"/>
      <c r="BE643" s="1758"/>
      <c r="BF643" s="1758"/>
      <c r="BG643" s="1758"/>
      <c r="BH643" s="1758"/>
      <c r="BI643" s="1758"/>
      <c r="BJ643" s="1758"/>
      <c r="BK643" s="1758"/>
      <c r="BL643" s="1758"/>
      <c r="BM643" s="1758"/>
      <c r="BN643" s="1758"/>
      <c r="BO643" s="1758"/>
      <c r="BP643" s="1758"/>
      <c r="BQ643" s="1758"/>
      <c r="BR643" s="1758"/>
      <c r="BS643" s="1758"/>
      <c r="BT643" s="1758"/>
      <c r="BU643" s="1758"/>
      <c r="BV643" s="1758"/>
      <c r="BW643" s="1758"/>
      <c r="BX643" s="1758"/>
      <c r="BY643" s="1758"/>
      <c r="BZ643" s="1758"/>
      <c r="CA643" s="1758"/>
      <c r="CB643" s="1758"/>
      <c r="CC643" s="1758"/>
      <c r="CD643" s="1758"/>
      <c r="CE643" s="1758"/>
      <c r="CF643" s="1758"/>
      <c r="CG643" s="1758"/>
      <c r="CH643" s="1758"/>
      <c r="CI643" s="1758"/>
      <c r="CJ643" s="1758"/>
      <c r="CK643" s="1758"/>
      <c r="CL643" s="1758"/>
      <c r="CM643" s="1758"/>
      <c r="CN643" s="1758"/>
      <c r="CO643" s="1758"/>
      <c r="CP643" s="1758"/>
      <c r="CQ643" s="1758"/>
      <c r="CR643" s="1758"/>
      <c r="CS643" s="1758"/>
      <c r="CT643" s="1758"/>
      <c r="CU643" s="1758"/>
      <c r="CV643" s="1758"/>
      <c r="CW643" s="1758"/>
      <c r="CX643" s="1758"/>
      <c r="CY643" s="1758"/>
      <c r="CZ643" s="1758"/>
      <c r="DA643" s="1758"/>
      <c r="DB643" s="1758"/>
      <c r="DC643" s="1758"/>
    </row>
    <row r="644" spans="1:107" s="1395" customFormat="1" ht="25.5" customHeight="1">
      <c r="A644" s="10893"/>
      <c r="B644" s="10732"/>
      <c r="C644" s="10729"/>
      <c r="D644" s="10729"/>
      <c r="E644" s="10729"/>
      <c r="F644" s="10745"/>
      <c r="G644" s="10729"/>
      <c r="H644" s="10729"/>
      <c r="I644" s="10729"/>
      <c r="J644" s="10729"/>
      <c r="K644" s="10736"/>
      <c r="L644" s="10739"/>
      <c r="M644" s="10739"/>
      <c r="N644" s="10739"/>
      <c r="O644" s="10736"/>
      <c r="P644" s="10736"/>
      <c r="Q644" s="10751"/>
      <c r="R644" s="5175"/>
      <c r="S644" s="5215"/>
      <c r="T644" s="5215"/>
      <c r="U644" s="5251"/>
      <c r="V644" s="5282"/>
      <c r="W644" s="5303"/>
      <c r="X644" s="7479"/>
      <c r="Y644" s="7479"/>
      <c r="Z644" s="7479"/>
      <c r="AA644" s="7480"/>
      <c r="AB644" s="5326"/>
      <c r="AC644" s="1399"/>
      <c r="AD644" s="5303"/>
      <c r="AE644" s="5348"/>
      <c r="AF644" s="5348"/>
      <c r="AG644" s="10778"/>
      <c r="AH644" s="1758"/>
      <c r="AI644" s="1758"/>
      <c r="AJ644" s="1758"/>
      <c r="AK644" s="1758"/>
      <c r="AL644" s="1758"/>
      <c r="AM644" s="1758"/>
      <c r="AN644" s="1758"/>
      <c r="AO644" s="1758"/>
      <c r="AP644" s="1758"/>
      <c r="AQ644" s="1758"/>
      <c r="AR644" s="1758"/>
      <c r="AS644" s="1758"/>
      <c r="AT644" s="1758"/>
      <c r="AU644" s="1758"/>
      <c r="AV644" s="1758"/>
      <c r="AW644" s="1758"/>
      <c r="AX644" s="1758"/>
      <c r="AY644" s="1758"/>
      <c r="AZ644" s="1758"/>
      <c r="BA644" s="1758"/>
      <c r="BB644" s="1758"/>
      <c r="BC644" s="1758"/>
      <c r="BD644" s="1758"/>
      <c r="BE644" s="1758"/>
      <c r="BF644" s="1758"/>
      <c r="BG644" s="1758"/>
      <c r="BH644" s="1758"/>
      <c r="BI644" s="1758"/>
      <c r="BJ644" s="1758"/>
      <c r="BK644" s="1758"/>
      <c r="BL644" s="1758"/>
      <c r="BM644" s="1758"/>
      <c r="BN644" s="1758"/>
      <c r="BO644" s="1758"/>
      <c r="BP644" s="1758"/>
      <c r="BQ644" s="1758"/>
      <c r="BR644" s="1758"/>
      <c r="BS644" s="1758"/>
      <c r="BT644" s="1758"/>
      <c r="BU644" s="1758"/>
      <c r="BV644" s="1758"/>
      <c r="BW644" s="1758"/>
      <c r="BX644" s="1758"/>
      <c r="BY644" s="1758"/>
      <c r="BZ644" s="1758"/>
      <c r="CA644" s="1758"/>
      <c r="CB644" s="1758"/>
      <c r="CC644" s="1758"/>
      <c r="CD644" s="1758"/>
      <c r="CE644" s="1758"/>
      <c r="CF644" s="1758"/>
      <c r="CG644" s="1758"/>
      <c r="CH644" s="1758"/>
      <c r="CI644" s="1758"/>
      <c r="CJ644" s="1758"/>
      <c r="CK644" s="1758"/>
      <c r="CL644" s="1758"/>
      <c r="CM644" s="1758"/>
      <c r="CN644" s="1758"/>
      <c r="CO644" s="1758"/>
      <c r="CP644" s="1758"/>
      <c r="CQ644" s="1758"/>
      <c r="CR644" s="1758"/>
      <c r="CS644" s="1758"/>
      <c r="CT644" s="1758"/>
      <c r="CU644" s="1758"/>
      <c r="CV644" s="1758"/>
      <c r="CW644" s="1758"/>
      <c r="CX644" s="1758"/>
      <c r="CY644" s="1758"/>
      <c r="CZ644" s="1758"/>
      <c r="DA644" s="1758"/>
      <c r="DB644" s="1758"/>
      <c r="DC644" s="1758"/>
    </row>
    <row r="645" spans="1:107" s="1395" customFormat="1" ht="26.25" customHeight="1">
      <c r="A645" s="10893"/>
      <c r="B645" s="10731" t="s">
        <v>127</v>
      </c>
      <c r="C645" s="10728" t="s">
        <v>128</v>
      </c>
      <c r="D645" s="10728" t="s">
        <v>129</v>
      </c>
      <c r="E645" s="10728" t="s">
        <v>205</v>
      </c>
      <c r="F645" s="10744" t="s">
        <v>131</v>
      </c>
      <c r="G645" s="10728" t="s">
        <v>132</v>
      </c>
      <c r="H645" s="10728" t="s">
        <v>159</v>
      </c>
      <c r="I645" s="10728" t="s">
        <v>5000</v>
      </c>
      <c r="J645" s="10742" t="s">
        <v>5135</v>
      </c>
      <c r="K645" s="10735" t="s">
        <v>5002</v>
      </c>
      <c r="L645" s="10738">
        <v>0</v>
      </c>
      <c r="M645" s="10738">
        <v>1</v>
      </c>
      <c r="N645" s="10738">
        <v>1</v>
      </c>
      <c r="O645" s="10735" t="s">
        <v>5003</v>
      </c>
      <c r="P645" s="10735" t="s">
        <v>5004</v>
      </c>
      <c r="Q645" s="10750" t="s">
        <v>5133</v>
      </c>
      <c r="R645" s="5173"/>
      <c r="S645" s="5212"/>
      <c r="T645" s="5212"/>
      <c r="U645" s="5249"/>
      <c r="V645" s="5281"/>
      <c r="W645" s="5302"/>
      <c r="X645" s="7477"/>
      <c r="Y645" s="7477"/>
      <c r="Z645" s="7477"/>
      <c r="AA645" s="7478"/>
      <c r="AB645" s="5325"/>
      <c r="AC645" s="1398"/>
      <c r="AD645" s="5302"/>
      <c r="AE645" s="5349"/>
      <c r="AF645" s="5349"/>
      <c r="AG645" s="10777" t="s">
        <v>5005</v>
      </c>
      <c r="AH645" s="1758"/>
      <c r="AI645" s="1758"/>
      <c r="AJ645" s="1758"/>
      <c r="AK645" s="1758"/>
      <c r="AL645" s="1758"/>
      <c r="AM645" s="1758"/>
      <c r="AN645" s="1758"/>
      <c r="AO645" s="1758"/>
      <c r="AP645" s="1758"/>
      <c r="AQ645" s="1758"/>
      <c r="AR645" s="1758"/>
      <c r="AS645" s="1758"/>
      <c r="AT645" s="1758"/>
      <c r="AU645" s="1758"/>
      <c r="AV645" s="1758"/>
      <c r="AW645" s="1758"/>
      <c r="AX645" s="1758"/>
      <c r="AY645" s="1758"/>
      <c r="AZ645" s="1758"/>
      <c r="BA645" s="1758"/>
      <c r="BB645" s="1758"/>
      <c r="BC645" s="1758"/>
      <c r="BD645" s="1758"/>
      <c r="BE645" s="1758"/>
      <c r="BF645" s="1758"/>
      <c r="BG645" s="1758"/>
      <c r="BH645" s="1758"/>
      <c r="BI645" s="1758"/>
      <c r="BJ645" s="1758"/>
      <c r="BK645" s="1758"/>
      <c r="BL645" s="1758"/>
      <c r="BM645" s="1758"/>
      <c r="BN645" s="1758"/>
      <c r="BO645" s="1758"/>
      <c r="BP645" s="1758"/>
      <c r="BQ645" s="1758"/>
      <c r="BR645" s="1758"/>
      <c r="BS645" s="1758"/>
      <c r="BT645" s="1758"/>
      <c r="BU645" s="1758"/>
      <c r="BV645" s="1758"/>
      <c r="BW645" s="1758"/>
      <c r="BX645" s="1758"/>
      <c r="BY645" s="1758"/>
      <c r="BZ645" s="1758"/>
      <c r="CA645" s="1758"/>
      <c r="CB645" s="1758"/>
      <c r="CC645" s="1758"/>
      <c r="CD645" s="1758"/>
      <c r="CE645" s="1758"/>
      <c r="CF645" s="1758"/>
      <c r="CG645" s="1758"/>
      <c r="CH645" s="1758"/>
      <c r="CI645" s="1758"/>
      <c r="CJ645" s="1758"/>
      <c r="CK645" s="1758"/>
      <c r="CL645" s="1758"/>
      <c r="CM645" s="1758"/>
      <c r="CN645" s="1758"/>
      <c r="CO645" s="1758"/>
      <c r="CP645" s="1758"/>
      <c r="CQ645" s="1758"/>
      <c r="CR645" s="1758"/>
      <c r="CS645" s="1758"/>
      <c r="CT645" s="1758"/>
      <c r="CU645" s="1758"/>
      <c r="CV645" s="1758"/>
      <c r="CW645" s="1758"/>
      <c r="CX645" s="1758"/>
      <c r="CY645" s="1758"/>
      <c r="CZ645" s="1758"/>
      <c r="DA645" s="1758"/>
      <c r="DB645" s="1758"/>
      <c r="DC645" s="1758"/>
    </row>
    <row r="646" spans="1:107" s="1395" customFormat="1" ht="26.25" customHeight="1">
      <c r="A646" s="10893"/>
      <c r="B646" s="10731"/>
      <c r="C646" s="10728"/>
      <c r="D646" s="10728"/>
      <c r="E646" s="10728"/>
      <c r="F646" s="10744"/>
      <c r="G646" s="10728"/>
      <c r="H646" s="10728"/>
      <c r="I646" s="10728"/>
      <c r="J646" s="10728"/>
      <c r="K646" s="10735"/>
      <c r="L646" s="10738"/>
      <c r="M646" s="10738"/>
      <c r="N646" s="10738"/>
      <c r="O646" s="10735"/>
      <c r="P646" s="10735"/>
      <c r="Q646" s="10750"/>
      <c r="R646" s="5171"/>
      <c r="S646" s="5213"/>
      <c r="T646" s="5213"/>
      <c r="U646" s="5247"/>
      <c r="V646" s="5279"/>
      <c r="W646" s="5300"/>
      <c r="X646" s="7473"/>
      <c r="Y646" s="7473"/>
      <c r="Z646" s="7473"/>
      <c r="AA646" s="7474"/>
      <c r="AB646" s="5323"/>
      <c r="AC646" s="1396"/>
      <c r="AD646" s="5300"/>
      <c r="AE646" s="5346"/>
      <c r="AF646" s="5346"/>
      <c r="AG646" s="10777"/>
      <c r="AH646" s="1758"/>
      <c r="AI646" s="1758"/>
      <c r="AJ646" s="1758"/>
      <c r="AK646" s="1758"/>
      <c r="AL646" s="1758"/>
      <c r="AM646" s="1758"/>
      <c r="AN646" s="1758"/>
      <c r="AO646" s="1758"/>
      <c r="AP646" s="1758"/>
      <c r="AQ646" s="1758"/>
      <c r="AR646" s="1758"/>
      <c r="AS646" s="1758"/>
      <c r="AT646" s="1758"/>
      <c r="AU646" s="1758"/>
      <c r="AV646" s="1758"/>
      <c r="AW646" s="1758"/>
      <c r="AX646" s="1758"/>
      <c r="AY646" s="1758"/>
      <c r="AZ646" s="1758"/>
      <c r="BA646" s="1758"/>
      <c r="BB646" s="1758"/>
      <c r="BC646" s="1758"/>
      <c r="BD646" s="1758"/>
      <c r="BE646" s="1758"/>
      <c r="BF646" s="1758"/>
      <c r="BG646" s="1758"/>
      <c r="BH646" s="1758"/>
      <c r="BI646" s="1758"/>
      <c r="BJ646" s="1758"/>
      <c r="BK646" s="1758"/>
      <c r="BL646" s="1758"/>
      <c r="BM646" s="1758"/>
      <c r="BN646" s="1758"/>
      <c r="BO646" s="1758"/>
      <c r="BP646" s="1758"/>
      <c r="BQ646" s="1758"/>
      <c r="BR646" s="1758"/>
      <c r="BS646" s="1758"/>
      <c r="BT646" s="1758"/>
      <c r="BU646" s="1758"/>
      <c r="BV646" s="1758"/>
      <c r="BW646" s="1758"/>
      <c r="BX646" s="1758"/>
      <c r="BY646" s="1758"/>
      <c r="BZ646" s="1758"/>
      <c r="CA646" s="1758"/>
      <c r="CB646" s="1758"/>
      <c r="CC646" s="1758"/>
      <c r="CD646" s="1758"/>
      <c r="CE646" s="1758"/>
      <c r="CF646" s="1758"/>
      <c r="CG646" s="1758"/>
      <c r="CH646" s="1758"/>
      <c r="CI646" s="1758"/>
      <c r="CJ646" s="1758"/>
      <c r="CK646" s="1758"/>
      <c r="CL646" s="1758"/>
      <c r="CM646" s="1758"/>
      <c r="CN646" s="1758"/>
      <c r="CO646" s="1758"/>
      <c r="CP646" s="1758"/>
      <c r="CQ646" s="1758"/>
      <c r="CR646" s="1758"/>
      <c r="CS646" s="1758"/>
      <c r="CT646" s="1758"/>
      <c r="CU646" s="1758"/>
      <c r="CV646" s="1758"/>
      <c r="CW646" s="1758"/>
      <c r="CX646" s="1758"/>
      <c r="CY646" s="1758"/>
      <c r="CZ646" s="1758"/>
      <c r="DA646" s="1758"/>
      <c r="DB646" s="1758"/>
      <c r="DC646" s="1758"/>
    </row>
    <row r="647" spans="1:107" s="1395" customFormat="1" ht="26.25" customHeight="1">
      <c r="A647" s="10893"/>
      <c r="B647" s="10731"/>
      <c r="C647" s="10728"/>
      <c r="D647" s="10728"/>
      <c r="E647" s="10728"/>
      <c r="F647" s="10744"/>
      <c r="G647" s="10728"/>
      <c r="H647" s="10728"/>
      <c r="I647" s="10728"/>
      <c r="J647" s="10728"/>
      <c r="K647" s="10735"/>
      <c r="L647" s="10738"/>
      <c r="M647" s="10738"/>
      <c r="N647" s="10738"/>
      <c r="O647" s="10735"/>
      <c r="P647" s="10735"/>
      <c r="Q647" s="10750"/>
      <c r="R647" s="5174"/>
      <c r="S647" s="5214"/>
      <c r="T647" s="5214"/>
      <c r="U647" s="5250"/>
      <c r="V647" s="5281"/>
      <c r="W647" s="5302"/>
      <c r="X647" s="7477"/>
      <c r="Y647" s="7473"/>
      <c r="Z647" s="7473"/>
      <c r="AA647" s="7474"/>
      <c r="AB647" s="5323"/>
      <c r="AC647" s="1396"/>
      <c r="AD647" s="5300"/>
      <c r="AE647" s="5346"/>
      <c r="AF647" s="5346"/>
      <c r="AG647" s="10777"/>
      <c r="AH647" s="1758"/>
      <c r="AI647" s="1758"/>
      <c r="AJ647" s="1758"/>
      <c r="AK647" s="1758"/>
      <c r="AL647" s="1758"/>
      <c r="AM647" s="1758"/>
      <c r="AN647" s="1758"/>
      <c r="AO647" s="1758"/>
      <c r="AP647" s="1758"/>
      <c r="AQ647" s="1758"/>
      <c r="AR647" s="1758"/>
      <c r="AS647" s="1758"/>
      <c r="AT647" s="1758"/>
      <c r="AU647" s="1758"/>
      <c r="AV647" s="1758"/>
      <c r="AW647" s="1758"/>
      <c r="AX647" s="1758"/>
      <c r="AY647" s="1758"/>
      <c r="AZ647" s="1758"/>
      <c r="BA647" s="1758"/>
      <c r="BB647" s="1758"/>
      <c r="BC647" s="1758"/>
      <c r="BD647" s="1758"/>
      <c r="BE647" s="1758"/>
      <c r="BF647" s="1758"/>
      <c r="BG647" s="1758"/>
      <c r="BH647" s="1758"/>
      <c r="BI647" s="1758"/>
      <c r="BJ647" s="1758"/>
      <c r="BK647" s="1758"/>
      <c r="BL647" s="1758"/>
      <c r="BM647" s="1758"/>
      <c r="BN647" s="1758"/>
      <c r="BO647" s="1758"/>
      <c r="BP647" s="1758"/>
      <c r="BQ647" s="1758"/>
      <c r="BR647" s="1758"/>
      <c r="BS647" s="1758"/>
      <c r="BT647" s="1758"/>
      <c r="BU647" s="1758"/>
      <c r="BV647" s="1758"/>
      <c r="BW647" s="1758"/>
      <c r="BX647" s="1758"/>
      <c r="BY647" s="1758"/>
      <c r="BZ647" s="1758"/>
      <c r="CA647" s="1758"/>
      <c r="CB647" s="1758"/>
      <c r="CC647" s="1758"/>
      <c r="CD647" s="1758"/>
      <c r="CE647" s="1758"/>
      <c r="CF647" s="1758"/>
      <c r="CG647" s="1758"/>
      <c r="CH647" s="1758"/>
      <c r="CI647" s="1758"/>
      <c r="CJ647" s="1758"/>
      <c r="CK647" s="1758"/>
      <c r="CL647" s="1758"/>
      <c r="CM647" s="1758"/>
      <c r="CN647" s="1758"/>
      <c r="CO647" s="1758"/>
      <c r="CP647" s="1758"/>
      <c r="CQ647" s="1758"/>
      <c r="CR647" s="1758"/>
      <c r="CS647" s="1758"/>
      <c r="CT647" s="1758"/>
      <c r="CU647" s="1758"/>
      <c r="CV647" s="1758"/>
      <c r="CW647" s="1758"/>
      <c r="CX647" s="1758"/>
      <c r="CY647" s="1758"/>
      <c r="CZ647" s="1758"/>
      <c r="DA647" s="1758"/>
      <c r="DB647" s="1758"/>
      <c r="DC647" s="1758"/>
    </row>
    <row r="648" spans="1:107" s="1395" customFormat="1" ht="26.25" customHeight="1">
      <c r="A648" s="10893"/>
      <c r="B648" s="10731"/>
      <c r="C648" s="10728"/>
      <c r="D648" s="10728"/>
      <c r="E648" s="10728"/>
      <c r="F648" s="10744"/>
      <c r="G648" s="10728"/>
      <c r="H648" s="10728"/>
      <c r="I648" s="10728"/>
      <c r="J648" s="10728"/>
      <c r="K648" s="10735"/>
      <c r="L648" s="10738"/>
      <c r="M648" s="10738"/>
      <c r="N648" s="10738"/>
      <c r="O648" s="10735"/>
      <c r="P648" s="10735"/>
      <c r="Q648" s="10750"/>
      <c r="R648" s="5173"/>
      <c r="S648" s="5212"/>
      <c r="T648" s="5212"/>
      <c r="U648" s="5250"/>
      <c r="V648" s="5281"/>
      <c r="W648" s="5302"/>
      <c r="X648" s="7477"/>
      <c r="Y648" s="7473"/>
      <c r="Z648" s="7473"/>
      <c r="AA648" s="7474"/>
      <c r="AB648" s="5323"/>
      <c r="AC648" s="1396"/>
      <c r="AD648" s="5300"/>
      <c r="AE648" s="5346"/>
      <c r="AF648" s="5346"/>
      <c r="AG648" s="10777"/>
      <c r="AH648" s="1758"/>
      <c r="AI648" s="1758"/>
      <c r="AJ648" s="1758"/>
      <c r="AK648" s="1758"/>
      <c r="AL648" s="1758"/>
      <c r="AM648" s="1758"/>
      <c r="AN648" s="1758"/>
      <c r="AO648" s="1758"/>
      <c r="AP648" s="1758"/>
      <c r="AQ648" s="1758"/>
      <c r="AR648" s="1758"/>
      <c r="AS648" s="1758"/>
      <c r="AT648" s="1758"/>
      <c r="AU648" s="1758"/>
      <c r="AV648" s="1758"/>
      <c r="AW648" s="1758"/>
      <c r="AX648" s="1758"/>
      <c r="AY648" s="1758"/>
      <c r="AZ648" s="1758"/>
      <c r="BA648" s="1758"/>
      <c r="BB648" s="1758"/>
      <c r="BC648" s="1758"/>
      <c r="BD648" s="1758"/>
      <c r="BE648" s="1758"/>
      <c r="BF648" s="1758"/>
      <c r="BG648" s="1758"/>
      <c r="BH648" s="1758"/>
      <c r="BI648" s="1758"/>
      <c r="BJ648" s="1758"/>
      <c r="BK648" s="1758"/>
      <c r="BL648" s="1758"/>
      <c r="BM648" s="1758"/>
      <c r="BN648" s="1758"/>
      <c r="BO648" s="1758"/>
      <c r="BP648" s="1758"/>
      <c r="BQ648" s="1758"/>
      <c r="BR648" s="1758"/>
      <c r="BS648" s="1758"/>
      <c r="BT648" s="1758"/>
      <c r="BU648" s="1758"/>
      <c r="BV648" s="1758"/>
      <c r="BW648" s="1758"/>
      <c r="BX648" s="1758"/>
      <c r="BY648" s="1758"/>
      <c r="BZ648" s="1758"/>
      <c r="CA648" s="1758"/>
      <c r="CB648" s="1758"/>
      <c r="CC648" s="1758"/>
      <c r="CD648" s="1758"/>
      <c r="CE648" s="1758"/>
      <c r="CF648" s="1758"/>
      <c r="CG648" s="1758"/>
      <c r="CH648" s="1758"/>
      <c r="CI648" s="1758"/>
      <c r="CJ648" s="1758"/>
      <c r="CK648" s="1758"/>
      <c r="CL648" s="1758"/>
      <c r="CM648" s="1758"/>
      <c r="CN648" s="1758"/>
      <c r="CO648" s="1758"/>
      <c r="CP648" s="1758"/>
      <c r="CQ648" s="1758"/>
      <c r="CR648" s="1758"/>
      <c r="CS648" s="1758"/>
      <c r="CT648" s="1758"/>
      <c r="CU648" s="1758"/>
      <c r="CV648" s="1758"/>
      <c r="CW648" s="1758"/>
      <c r="CX648" s="1758"/>
      <c r="CY648" s="1758"/>
      <c r="CZ648" s="1758"/>
      <c r="DA648" s="1758"/>
      <c r="DB648" s="1758"/>
      <c r="DC648" s="1758"/>
    </row>
    <row r="649" spans="1:107" s="1395" customFormat="1" ht="26.25" customHeight="1">
      <c r="A649" s="10893"/>
      <c r="B649" s="10732"/>
      <c r="C649" s="10729"/>
      <c r="D649" s="10729"/>
      <c r="E649" s="10729"/>
      <c r="F649" s="10745"/>
      <c r="G649" s="10729"/>
      <c r="H649" s="10729"/>
      <c r="I649" s="10729"/>
      <c r="J649" s="10729"/>
      <c r="K649" s="10736"/>
      <c r="L649" s="10739"/>
      <c r="M649" s="10739"/>
      <c r="N649" s="10739"/>
      <c r="O649" s="10736"/>
      <c r="P649" s="10736"/>
      <c r="Q649" s="10751"/>
      <c r="R649" s="5175"/>
      <c r="S649" s="5215"/>
      <c r="T649" s="5215"/>
      <c r="U649" s="5251"/>
      <c r="V649" s="5282"/>
      <c r="W649" s="5303"/>
      <c r="X649" s="7479"/>
      <c r="Y649" s="7479"/>
      <c r="Z649" s="7479"/>
      <c r="AA649" s="7480"/>
      <c r="AB649" s="5326"/>
      <c r="AC649" s="1399"/>
      <c r="AD649" s="5303"/>
      <c r="AE649" s="5348"/>
      <c r="AF649" s="5348"/>
      <c r="AG649" s="10778"/>
      <c r="AH649" s="1758"/>
      <c r="AI649" s="1758"/>
      <c r="AJ649" s="1758"/>
      <c r="AK649" s="1758"/>
      <c r="AL649" s="1758"/>
      <c r="AM649" s="1758"/>
      <c r="AN649" s="1758"/>
      <c r="AO649" s="1758"/>
      <c r="AP649" s="1758"/>
      <c r="AQ649" s="1758"/>
      <c r="AR649" s="1758"/>
      <c r="AS649" s="1758"/>
      <c r="AT649" s="1758"/>
      <c r="AU649" s="1758"/>
      <c r="AV649" s="1758"/>
      <c r="AW649" s="1758"/>
      <c r="AX649" s="1758"/>
      <c r="AY649" s="1758"/>
      <c r="AZ649" s="1758"/>
      <c r="BA649" s="1758"/>
      <c r="BB649" s="1758"/>
      <c r="BC649" s="1758"/>
      <c r="BD649" s="1758"/>
      <c r="BE649" s="1758"/>
      <c r="BF649" s="1758"/>
      <c r="BG649" s="1758"/>
      <c r="BH649" s="1758"/>
      <c r="BI649" s="1758"/>
      <c r="BJ649" s="1758"/>
      <c r="BK649" s="1758"/>
      <c r="BL649" s="1758"/>
      <c r="BM649" s="1758"/>
      <c r="BN649" s="1758"/>
      <c r="BO649" s="1758"/>
      <c r="BP649" s="1758"/>
      <c r="BQ649" s="1758"/>
      <c r="BR649" s="1758"/>
      <c r="BS649" s="1758"/>
      <c r="BT649" s="1758"/>
      <c r="BU649" s="1758"/>
      <c r="BV649" s="1758"/>
      <c r="BW649" s="1758"/>
      <c r="BX649" s="1758"/>
      <c r="BY649" s="1758"/>
      <c r="BZ649" s="1758"/>
      <c r="CA649" s="1758"/>
      <c r="CB649" s="1758"/>
      <c r="CC649" s="1758"/>
      <c r="CD649" s="1758"/>
      <c r="CE649" s="1758"/>
      <c r="CF649" s="1758"/>
      <c r="CG649" s="1758"/>
      <c r="CH649" s="1758"/>
      <c r="CI649" s="1758"/>
      <c r="CJ649" s="1758"/>
      <c r="CK649" s="1758"/>
      <c r="CL649" s="1758"/>
      <c r="CM649" s="1758"/>
      <c r="CN649" s="1758"/>
      <c r="CO649" s="1758"/>
      <c r="CP649" s="1758"/>
      <c r="CQ649" s="1758"/>
      <c r="CR649" s="1758"/>
      <c r="CS649" s="1758"/>
      <c r="CT649" s="1758"/>
      <c r="CU649" s="1758"/>
      <c r="CV649" s="1758"/>
      <c r="CW649" s="1758"/>
      <c r="CX649" s="1758"/>
      <c r="CY649" s="1758"/>
      <c r="CZ649" s="1758"/>
      <c r="DA649" s="1758"/>
      <c r="DB649" s="1758"/>
      <c r="DC649" s="1758"/>
    </row>
    <row r="650" spans="1:107" s="1395" customFormat="1" ht="45" customHeight="1">
      <c r="A650" s="10893"/>
      <c r="B650" s="10748" t="s">
        <v>127</v>
      </c>
      <c r="C650" s="10742" t="s">
        <v>128</v>
      </c>
      <c r="D650" s="10742" t="s">
        <v>1292</v>
      </c>
      <c r="E650" s="10742" t="s">
        <v>5006</v>
      </c>
      <c r="F650" s="10743" t="s">
        <v>1294</v>
      </c>
      <c r="G650" s="10742" t="s">
        <v>171</v>
      </c>
      <c r="H650" s="10742" t="s">
        <v>159</v>
      </c>
      <c r="I650" s="10742" t="s">
        <v>5136</v>
      </c>
      <c r="J650" s="10742" t="s">
        <v>5137</v>
      </c>
      <c r="K650" s="10734" t="s">
        <v>5138</v>
      </c>
      <c r="L650" s="10737">
        <v>0</v>
      </c>
      <c r="M650" s="10737">
        <v>1</v>
      </c>
      <c r="N650" s="10737">
        <v>1</v>
      </c>
      <c r="O650" s="10734" t="s">
        <v>5139</v>
      </c>
      <c r="P650" s="10734" t="s">
        <v>5140</v>
      </c>
      <c r="Q650" s="10831" t="s">
        <v>5133</v>
      </c>
      <c r="R650" s="5202" t="s">
        <v>5011</v>
      </c>
      <c r="S650" s="5227">
        <v>530204</v>
      </c>
      <c r="T650" s="5227"/>
      <c r="U650" s="5263" t="s">
        <v>16</v>
      </c>
      <c r="V650" s="5294"/>
      <c r="W650" s="5314" t="s">
        <v>180</v>
      </c>
      <c r="X650" s="7487">
        <v>400</v>
      </c>
      <c r="Y650" s="7487">
        <f t="shared" ref="Y650:Y653" si="11">+V650*X650</f>
        <v>0</v>
      </c>
      <c r="Z650" s="7487">
        <f t="shared" ref="Z650" si="12">+Y650*1.12</f>
        <v>0</v>
      </c>
      <c r="AA650" s="7503">
        <f>+Z650</f>
        <v>0</v>
      </c>
      <c r="AB650" s="5337"/>
      <c r="AC650" s="1416"/>
      <c r="AD650" s="5375"/>
      <c r="AE650" s="5376" t="s">
        <v>153</v>
      </c>
      <c r="AF650" s="5361"/>
      <c r="AG650" s="10779" t="s">
        <v>5095</v>
      </c>
      <c r="AH650" s="1758"/>
      <c r="AI650" s="1758"/>
      <c r="AJ650" s="1758"/>
      <c r="AK650" s="1758"/>
      <c r="AL650" s="1758"/>
      <c r="AM650" s="1758"/>
      <c r="AN650" s="1758"/>
      <c r="AO650" s="1758"/>
      <c r="AP650" s="1758"/>
      <c r="AQ650" s="1758"/>
      <c r="AR650" s="1758"/>
      <c r="AS650" s="1758"/>
      <c r="AT650" s="1758"/>
      <c r="AU650" s="1758"/>
      <c r="AV650" s="1758"/>
      <c r="AW650" s="1758"/>
      <c r="AX650" s="1758"/>
      <c r="AY650" s="1758"/>
      <c r="AZ650" s="1758"/>
      <c r="BA650" s="1758"/>
      <c r="BB650" s="1758"/>
      <c r="BC650" s="1758"/>
      <c r="BD650" s="1758"/>
      <c r="BE650" s="1758"/>
      <c r="BF650" s="1758"/>
      <c r="BG650" s="1758"/>
      <c r="BH650" s="1758"/>
      <c r="BI650" s="1758"/>
      <c r="BJ650" s="1758"/>
      <c r="BK650" s="1758"/>
      <c r="BL650" s="1758"/>
      <c r="BM650" s="1758"/>
      <c r="BN650" s="1758"/>
      <c r="BO650" s="1758"/>
      <c r="BP650" s="1758"/>
      <c r="BQ650" s="1758"/>
      <c r="BR650" s="1758"/>
      <c r="BS650" s="1758"/>
      <c r="BT650" s="1758"/>
      <c r="BU650" s="1758"/>
      <c r="BV650" s="1758"/>
      <c r="BW650" s="1758"/>
      <c r="BX650" s="1758"/>
      <c r="BY650" s="1758"/>
      <c r="BZ650" s="1758"/>
      <c r="CA650" s="1758"/>
      <c r="CB650" s="1758"/>
      <c r="CC650" s="1758"/>
      <c r="CD650" s="1758"/>
      <c r="CE650" s="1758"/>
      <c r="CF650" s="1758"/>
      <c r="CG650" s="1758"/>
      <c r="CH650" s="1758"/>
      <c r="CI650" s="1758"/>
      <c r="CJ650" s="1758"/>
      <c r="CK650" s="1758"/>
      <c r="CL650" s="1758"/>
      <c r="CM650" s="1758"/>
      <c r="CN650" s="1758"/>
      <c r="CO650" s="1758"/>
      <c r="CP650" s="1758"/>
      <c r="CQ650" s="1758"/>
      <c r="CR650" s="1758"/>
      <c r="CS650" s="1758"/>
      <c r="CT650" s="1758"/>
      <c r="CU650" s="1758"/>
      <c r="CV650" s="1758"/>
      <c r="CW650" s="1758"/>
      <c r="CX650" s="1758"/>
      <c r="CY650" s="1758"/>
      <c r="CZ650" s="1758"/>
      <c r="DA650" s="1758"/>
      <c r="DB650" s="1758"/>
      <c r="DC650" s="1758"/>
    </row>
    <row r="651" spans="1:107" s="1395" customFormat="1" ht="45" customHeight="1">
      <c r="A651" s="10893"/>
      <c r="B651" s="10731"/>
      <c r="C651" s="10728"/>
      <c r="D651" s="10728"/>
      <c r="E651" s="10728"/>
      <c r="F651" s="10744"/>
      <c r="G651" s="10728"/>
      <c r="H651" s="10728"/>
      <c r="I651" s="10728"/>
      <c r="J651" s="10728"/>
      <c r="K651" s="10735"/>
      <c r="L651" s="10738"/>
      <c r="M651" s="10738"/>
      <c r="N651" s="10738"/>
      <c r="O651" s="10735"/>
      <c r="P651" s="10735"/>
      <c r="Q651" s="10750"/>
      <c r="R651" s="8260" t="s">
        <v>5013</v>
      </c>
      <c r="S651" s="8261">
        <v>530239</v>
      </c>
      <c r="T651" s="8262"/>
      <c r="U651" s="8263" t="s">
        <v>5141</v>
      </c>
      <c r="V651" s="8264"/>
      <c r="W651" s="8265"/>
      <c r="X651" s="8266"/>
      <c r="Y651" s="8266"/>
      <c r="Z651" s="8266"/>
      <c r="AA651" s="8267">
        <f>+Z652</f>
        <v>1500</v>
      </c>
      <c r="AB651" s="8268" t="s">
        <v>26</v>
      </c>
      <c r="AC651" s="1396"/>
      <c r="AD651" s="5369"/>
      <c r="AE651" s="5370"/>
      <c r="AF651" s="5379"/>
      <c r="AG651" s="10777"/>
      <c r="AH651" s="1758"/>
      <c r="AI651" s="1758"/>
      <c r="AJ651" s="1758"/>
      <c r="AK651" s="1758"/>
      <c r="AL651" s="1758"/>
      <c r="AM651" s="1758"/>
      <c r="AN651" s="1758"/>
      <c r="AO651" s="1758"/>
      <c r="AP651" s="1758"/>
      <c r="AQ651" s="1758"/>
      <c r="AR651" s="1758"/>
      <c r="AS651" s="1758"/>
      <c r="AT651" s="1758"/>
      <c r="AU651" s="1758"/>
      <c r="AV651" s="1758"/>
      <c r="AW651" s="1758"/>
      <c r="AX651" s="1758"/>
      <c r="AY651" s="1758"/>
      <c r="AZ651" s="1758"/>
      <c r="BA651" s="1758"/>
      <c r="BB651" s="1758"/>
      <c r="BC651" s="1758"/>
      <c r="BD651" s="1758"/>
      <c r="BE651" s="1758"/>
      <c r="BF651" s="1758"/>
      <c r="BG651" s="1758"/>
      <c r="BH651" s="1758"/>
      <c r="BI651" s="1758"/>
      <c r="BJ651" s="1758"/>
      <c r="BK651" s="1758"/>
      <c r="BL651" s="1758"/>
      <c r="BM651" s="1758"/>
      <c r="BN651" s="1758"/>
      <c r="BO651" s="1758"/>
      <c r="BP651" s="1758"/>
      <c r="BQ651" s="1758"/>
      <c r="BR651" s="1758"/>
      <c r="BS651" s="1758"/>
      <c r="BT651" s="1758"/>
      <c r="BU651" s="1758"/>
      <c r="BV651" s="1758"/>
      <c r="BW651" s="1758"/>
      <c r="BX651" s="1758"/>
      <c r="BY651" s="1758"/>
      <c r="BZ651" s="1758"/>
      <c r="CA651" s="1758"/>
      <c r="CB651" s="1758"/>
      <c r="CC651" s="1758"/>
      <c r="CD651" s="1758"/>
      <c r="CE651" s="1758"/>
      <c r="CF651" s="1758"/>
      <c r="CG651" s="1758"/>
      <c r="CH651" s="1758"/>
      <c r="CI651" s="1758"/>
      <c r="CJ651" s="1758"/>
      <c r="CK651" s="1758"/>
      <c r="CL651" s="1758"/>
      <c r="CM651" s="1758"/>
      <c r="CN651" s="1758"/>
      <c r="CO651" s="1758"/>
      <c r="CP651" s="1758"/>
      <c r="CQ651" s="1758"/>
      <c r="CR651" s="1758"/>
      <c r="CS651" s="1758"/>
      <c r="CT651" s="1758"/>
      <c r="CU651" s="1758"/>
      <c r="CV651" s="1758"/>
      <c r="CW651" s="1758"/>
      <c r="CX651" s="1758"/>
      <c r="CY651" s="1758"/>
      <c r="CZ651" s="1758"/>
      <c r="DA651" s="1758"/>
      <c r="DB651" s="1758"/>
      <c r="DC651" s="1758"/>
    </row>
    <row r="652" spans="1:107" s="1395" customFormat="1" ht="45" customHeight="1">
      <c r="A652" s="10893"/>
      <c r="B652" s="10731"/>
      <c r="C652" s="10728"/>
      <c r="D652" s="10728"/>
      <c r="E652" s="10728"/>
      <c r="F652" s="10744"/>
      <c r="G652" s="10728"/>
      <c r="H652" s="10728"/>
      <c r="I652" s="10728"/>
      <c r="J652" s="10728"/>
      <c r="K652" s="10735"/>
      <c r="L652" s="10738"/>
      <c r="M652" s="10738"/>
      <c r="N652" s="10738"/>
      <c r="O652" s="10735"/>
      <c r="P652" s="10735"/>
      <c r="Q652" s="10750"/>
      <c r="R652" s="8269"/>
      <c r="S652" s="8270"/>
      <c r="T652" s="8262"/>
      <c r="U652" s="8259" t="s">
        <v>5142</v>
      </c>
      <c r="V652" s="8264">
        <v>1</v>
      </c>
      <c r="W652" s="8265" t="s">
        <v>180</v>
      </c>
      <c r="X652" s="8266">
        <f>1500/1.12</f>
        <v>1339.2857142857142</v>
      </c>
      <c r="Y652" s="8266">
        <f>+V652*X652</f>
        <v>1339.2857142857142</v>
      </c>
      <c r="Z652" s="8266">
        <f t="shared" ref="Z652" si="13">+Y652*1.12</f>
        <v>1500</v>
      </c>
      <c r="AA652" s="8267"/>
      <c r="AB652" s="8268"/>
      <c r="AC652" s="1396"/>
      <c r="AD652" s="5369"/>
      <c r="AE652" s="5370"/>
      <c r="AF652" s="5379"/>
      <c r="AG652" s="10777"/>
      <c r="AH652" s="1758"/>
      <c r="AI652" s="1758"/>
      <c r="AJ652" s="1758"/>
      <c r="AK652" s="1758"/>
      <c r="AL652" s="1758"/>
      <c r="AM652" s="1758"/>
      <c r="AN652" s="1758"/>
      <c r="AO652" s="1758"/>
      <c r="AP652" s="1758"/>
      <c r="AQ652" s="1758"/>
      <c r="AR652" s="1758"/>
      <c r="AS652" s="1758"/>
      <c r="AT652" s="1758"/>
      <c r="AU652" s="1758"/>
      <c r="AV652" s="1758"/>
      <c r="AW652" s="1758"/>
      <c r="AX652" s="1758"/>
      <c r="AY652" s="1758"/>
      <c r="AZ652" s="1758"/>
      <c r="BA652" s="1758"/>
      <c r="BB652" s="1758"/>
      <c r="BC652" s="1758"/>
      <c r="BD652" s="1758"/>
      <c r="BE652" s="1758"/>
      <c r="BF652" s="1758"/>
      <c r="BG652" s="1758"/>
      <c r="BH652" s="1758"/>
      <c r="BI652" s="1758"/>
      <c r="BJ652" s="1758"/>
      <c r="BK652" s="1758"/>
      <c r="BL652" s="1758"/>
      <c r="BM652" s="1758"/>
      <c r="BN652" s="1758"/>
      <c r="BO652" s="1758"/>
      <c r="BP652" s="1758"/>
      <c r="BQ652" s="1758"/>
      <c r="BR652" s="1758"/>
      <c r="BS652" s="1758"/>
      <c r="BT652" s="1758"/>
      <c r="BU652" s="1758"/>
      <c r="BV652" s="1758"/>
      <c r="BW652" s="1758"/>
      <c r="BX652" s="1758"/>
      <c r="BY652" s="1758"/>
      <c r="BZ652" s="1758"/>
      <c r="CA652" s="1758"/>
      <c r="CB652" s="1758"/>
      <c r="CC652" s="1758"/>
      <c r="CD652" s="1758"/>
      <c r="CE652" s="1758"/>
      <c r="CF652" s="1758"/>
      <c r="CG652" s="1758"/>
      <c r="CH652" s="1758"/>
      <c r="CI652" s="1758"/>
      <c r="CJ652" s="1758"/>
      <c r="CK652" s="1758"/>
      <c r="CL652" s="1758"/>
      <c r="CM652" s="1758"/>
      <c r="CN652" s="1758"/>
      <c r="CO652" s="1758"/>
      <c r="CP652" s="1758"/>
      <c r="CQ652" s="1758"/>
      <c r="CR652" s="1758"/>
      <c r="CS652" s="1758"/>
      <c r="CT652" s="1758"/>
      <c r="CU652" s="1758"/>
      <c r="CV652" s="1758"/>
      <c r="CW652" s="1758"/>
      <c r="CX652" s="1758"/>
      <c r="CY652" s="1758"/>
      <c r="CZ652" s="1758"/>
      <c r="DA652" s="1758"/>
      <c r="DB652" s="1758"/>
      <c r="DC652" s="1758"/>
    </row>
    <row r="653" spans="1:107" s="1395" customFormat="1" ht="26.45" customHeight="1">
      <c r="A653" s="10893"/>
      <c r="B653" s="10731"/>
      <c r="C653" s="10728"/>
      <c r="D653" s="10728"/>
      <c r="E653" s="10728"/>
      <c r="F653" s="10744"/>
      <c r="G653" s="10728"/>
      <c r="H653" s="10728"/>
      <c r="I653" s="10728"/>
      <c r="J653" s="10728"/>
      <c r="K653" s="10735"/>
      <c r="L653" s="10738"/>
      <c r="M653" s="10738"/>
      <c r="N653" s="10738"/>
      <c r="O653" s="10735"/>
      <c r="P653" s="10735"/>
      <c r="Q653" s="10750"/>
      <c r="R653" s="5200" t="s">
        <v>5013</v>
      </c>
      <c r="S653" s="5228">
        <v>530611</v>
      </c>
      <c r="T653" s="5210"/>
      <c r="U653" s="5264" t="s">
        <v>5015</v>
      </c>
      <c r="V653" s="5279"/>
      <c r="W653" s="5300" t="s">
        <v>180</v>
      </c>
      <c r="X653" s="7473">
        <v>522</v>
      </c>
      <c r="Y653" s="7473">
        <f t="shared" si="11"/>
        <v>0</v>
      </c>
      <c r="Z653" s="7473">
        <f>+Y653*1.12</f>
        <v>0</v>
      </c>
      <c r="AA653" s="7474">
        <f>+Z653</f>
        <v>0</v>
      </c>
      <c r="AB653" s="5323"/>
      <c r="AC653" s="1396"/>
      <c r="AD653" s="5311"/>
      <c r="AE653" s="5377" t="s">
        <v>153</v>
      </c>
      <c r="AF653" s="5353"/>
      <c r="AG653" s="10777"/>
      <c r="AH653" s="1758"/>
      <c r="AI653" s="1758"/>
      <c r="AJ653" s="1758"/>
      <c r="AK653" s="1758"/>
      <c r="AL653" s="1758"/>
      <c r="AM653" s="1758"/>
      <c r="AN653" s="1758"/>
      <c r="AO653" s="1758"/>
      <c r="AP653" s="1758"/>
      <c r="AQ653" s="1758"/>
      <c r="AR653" s="1758"/>
      <c r="AS653" s="1758"/>
      <c r="AT653" s="1758"/>
      <c r="AU653" s="1758"/>
      <c r="AV653" s="1758"/>
      <c r="AW653" s="1758"/>
      <c r="AX653" s="1758"/>
      <c r="AY653" s="1758"/>
      <c r="AZ653" s="1758"/>
      <c r="BA653" s="1758"/>
      <c r="BB653" s="1758"/>
      <c r="BC653" s="1758"/>
      <c r="BD653" s="1758"/>
      <c r="BE653" s="1758"/>
      <c r="BF653" s="1758"/>
      <c r="BG653" s="1758"/>
      <c r="BH653" s="1758"/>
      <c r="BI653" s="1758"/>
      <c r="BJ653" s="1758"/>
      <c r="BK653" s="1758"/>
      <c r="BL653" s="1758"/>
      <c r="BM653" s="1758"/>
      <c r="BN653" s="1758"/>
      <c r="BO653" s="1758"/>
      <c r="BP653" s="1758"/>
      <c r="BQ653" s="1758"/>
      <c r="BR653" s="1758"/>
      <c r="BS653" s="1758"/>
      <c r="BT653" s="1758"/>
      <c r="BU653" s="1758"/>
      <c r="BV653" s="1758"/>
      <c r="BW653" s="1758"/>
      <c r="BX653" s="1758"/>
      <c r="BY653" s="1758"/>
      <c r="BZ653" s="1758"/>
      <c r="CA653" s="1758"/>
      <c r="CB653" s="1758"/>
      <c r="CC653" s="1758"/>
      <c r="CD653" s="1758"/>
      <c r="CE653" s="1758"/>
      <c r="CF653" s="1758"/>
      <c r="CG653" s="1758"/>
      <c r="CH653" s="1758"/>
      <c r="CI653" s="1758"/>
      <c r="CJ653" s="1758"/>
      <c r="CK653" s="1758"/>
      <c r="CL653" s="1758"/>
      <c r="CM653" s="1758"/>
      <c r="CN653" s="1758"/>
      <c r="CO653" s="1758"/>
      <c r="CP653" s="1758"/>
      <c r="CQ653" s="1758"/>
      <c r="CR653" s="1758"/>
      <c r="CS653" s="1758"/>
      <c r="CT653" s="1758"/>
      <c r="CU653" s="1758"/>
      <c r="CV653" s="1758"/>
      <c r="CW653" s="1758"/>
      <c r="CX653" s="1758"/>
      <c r="CY653" s="1758"/>
      <c r="CZ653" s="1758"/>
      <c r="DA653" s="1758"/>
      <c r="DB653" s="1758"/>
      <c r="DC653" s="1758"/>
    </row>
    <row r="654" spans="1:107" s="1395" customFormat="1" ht="27.6" customHeight="1">
      <c r="A654" s="10893"/>
      <c r="B654" s="10731"/>
      <c r="C654" s="10728"/>
      <c r="D654" s="10728"/>
      <c r="E654" s="10728"/>
      <c r="F654" s="10744"/>
      <c r="G654" s="10728"/>
      <c r="H654" s="10728"/>
      <c r="I654" s="10728"/>
      <c r="J654" s="10728"/>
      <c r="K654" s="10735"/>
      <c r="L654" s="10738"/>
      <c r="M654" s="10738"/>
      <c r="N654" s="10738"/>
      <c r="O654" s="10735"/>
      <c r="P654" s="10735"/>
      <c r="Q654" s="10750"/>
      <c r="R654" s="5205" t="s">
        <v>5013</v>
      </c>
      <c r="S654" s="5236">
        <v>840107</v>
      </c>
      <c r="T654" s="5244"/>
      <c r="U654" s="5275" t="s">
        <v>40</v>
      </c>
      <c r="V654" s="5279"/>
      <c r="W654" s="5300"/>
      <c r="X654" s="7473"/>
      <c r="Y654" s="7473"/>
      <c r="Z654" s="7473"/>
      <c r="AA654" s="6288">
        <f>SUM(Z655:Z656)</f>
        <v>49537.600000000006</v>
      </c>
      <c r="AB654" s="5340" t="s">
        <v>18</v>
      </c>
      <c r="AC654" s="1396"/>
      <c r="AD654" s="5311"/>
      <c r="AE654" s="5377"/>
      <c r="AF654" s="5353"/>
      <c r="AG654" s="10777"/>
      <c r="AH654" s="1758"/>
      <c r="AI654" s="1758"/>
      <c r="AJ654" s="1758"/>
      <c r="AK654" s="1758"/>
      <c r="AL654" s="1758"/>
      <c r="AM654" s="1758"/>
      <c r="AN654" s="1758"/>
      <c r="AO654" s="1758"/>
      <c r="AP654" s="1758"/>
      <c r="AQ654" s="1758"/>
      <c r="AR654" s="1758"/>
      <c r="AS654" s="1758"/>
      <c r="AT654" s="1758"/>
      <c r="AU654" s="1758"/>
      <c r="AV654" s="1758"/>
      <c r="AW654" s="1758"/>
      <c r="AX654" s="1758"/>
      <c r="AY654" s="1758"/>
      <c r="AZ654" s="1758"/>
      <c r="BA654" s="1758"/>
      <c r="BB654" s="1758"/>
      <c r="BC654" s="1758"/>
      <c r="BD654" s="1758"/>
      <c r="BE654" s="1758"/>
      <c r="BF654" s="1758"/>
      <c r="BG654" s="1758"/>
      <c r="BH654" s="1758"/>
      <c r="BI654" s="1758"/>
      <c r="BJ654" s="1758"/>
      <c r="BK654" s="1758"/>
      <c r="BL654" s="1758"/>
      <c r="BM654" s="1758"/>
      <c r="BN654" s="1758"/>
      <c r="BO654" s="1758"/>
      <c r="BP654" s="1758"/>
      <c r="BQ654" s="1758"/>
      <c r="BR654" s="1758"/>
      <c r="BS654" s="1758"/>
      <c r="BT654" s="1758"/>
      <c r="BU654" s="1758"/>
      <c r="BV654" s="1758"/>
      <c r="BW654" s="1758"/>
      <c r="BX654" s="1758"/>
      <c r="BY654" s="1758"/>
      <c r="BZ654" s="1758"/>
      <c r="CA654" s="1758"/>
      <c r="CB654" s="1758"/>
      <c r="CC654" s="1758"/>
      <c r="CD654" s="1758"/>
      <c r="CE654" s="1758"/>
      <c r="CF654" s="1758"/>
      <c r="CG654" s="1758"/>
      <c r="CH654" s="1758"/>
      <c r="CI654" s="1758"/>
      <c r="CJ654" s="1758"/>
      <c r="CK654" s="1758"/>
      <c r="CL654" s="1758"/>
      <c r="CM654" s="1758"/>
      <c r="CN654" s="1758"/>
      <c r="CO654" s="1758"/>
      <c r="CP654" s="1758"/>
      <c r="CQ654" s="1758"/>
      <c r="CR654" s="1758"/>
      <c r="CS654" s="1758"/>
      <c r="CT654" s="1758"/>
      <c r="CU654" s="1758"/>
      <c r="CV654" s="1758"/>
      <c r="CW654" s="1758"/>
      <c r="CX654" s="1758"/>
      <c r="CY654" s="1758"/>
      <c r="CZ654" s="1758"/>
      <c r="DA654" s="1758"/>
      <c r="DB654" s="1758"/>
      <c r="DC654" s="1758"/>
    </row>
    <row r="655" spans="1:107" s="1395" customFormat="1" ht="31.5" customHeight="1">
      <c r="A655" s="10893"/>
      <c r="B655" s="10731"/>
      <c r="C655" s="10728"/>
      <c r="D655" s="10728"/>
      <c r="E655" s="10728"/>
      <c r="F655" s="10744"/>
      <c r="G655" s="10728"/>
      <c r="H655" s="10728"/>
      <c r="I655" s="10728"/>
      <c r="J655" s="10728"/>
      <c r="K655" s="10735"/>
      <c r="L655" s="10738"/>
      <c r="M655" s="10738"/>
      <c r="N655" s="10738"/>
      <c r="O655" s="10735"/>
      <c r="P655" s="10735"/>
      <c r="Q655" s="10750"/>
      <c r="R655" s="5200"/>
      <c r="S655" s="5210"/>
      <c r="T655" s="5235">
        <v>4523000812</v>
      </c>
      <c r="U655" s="5274" t="s">
        <v>5096</v>
      </c>
      <c r="V655" s="7772">
        <v>30</v>
      </c>
      <c r="W655" s="7771" t="s">
        <v>180</v>
      </c>
      <c r="X655" s="7770">
        <v>1381</v>
      </c>
      <c r="Y655" s="7770">
        <f>V655*X655</f>
        <v>41430</v>
      </c>
      <c r="Z655" s="7770">
        <f t="shared" ref="Z655:Z656" si="14">+Y655*1.12</f>
        <v>46401.600000000006</v>
      </c>
      <c r="AA655" s="7474"/>
      <c r="AB655" s="5323"/>
      <c r="AC655" s="1396"/>
      <c r="AD655" s="5311"/>
      <c r="AE655" s="5377" t="s">
        <v>153</v>
      </c>
      <c r="AF655" s="5353"/>
      <c r="AG655" s="10777"/>
      <c r="AH655" s="1758"/>
      <c r="AI655" s="1758"/>
      <c r="AJ655" s="1758"/>
      <c r="AK655" s="1758"/>
      <c r="AL655" s="1758"/>
      <c r="AM655" s="1758"/>
      <c r="AN655" s="1758"/>
      <c r="AO655" s="1758"/>
      <c r="AP655" s="1758"/>
      <c r="AQ655" s="1758"/>
      <c r="AR655" s="1758"/>
      <c r="AS655" s="1758"/>
      <c r="AT655" s="1758"/>
      <c r="AU655" s="1758"/>
      <c r="AV655" s="1758"/>
      <c r="AW655" s="1758"/>
      <c r="AX655" s="1758"/>
      <c r="AY655" s="1758"/>
      <c r="AZ655" s="1758"/>
      <c r="BA655" s="1758"/>
      <c r="BB655" s="1758"/>
      <c r="BC655" s="1758"/>
      <c r="BD655" s="1758"/>
      <c r="BE655" s="1758"/>
      <c r="BF655" s="1758"/>
      <c r="BG655" s="1758"/>
      <c r="BH655" s="1758"/>
      <c r="BI655" s="1758"/>
      <c r="BJ655" s="1758"/>
      <c r="BK655" s="1758"/>
      <c r="BL655" s="1758"/>
      <c r="BM655" s="1758"/>
      <c r="BN655" s="1758"/>
      <c r="BO655" s="1758"/>
      <c r="BP655" s="1758"/>
      <c r="BQ655" s="1758"/>
      <c r="BR655" s="1758"/>
      <c r="BS655" s="1758"/>
      <c r="BT655" s="1758"/>
      <c r="BU655" s="1758"/>
      <c r="BV655" s="1758"/>
      <c r="BW655" s="1758"/>
      <c r="BX655" s="1758"/>
      <c r="BY655" s="1758"/>
      <c r="BZ655" s="1758"/>
      <c r="CA655" s="1758"/>
      <c r="CB655" s="1758"/>
      <c r="CC655" s="1758"/>
      <c r="CD655" s="1758"/>
      <c r="CE655" s="1758"/>
      <c r="CF655" s="1758"/>
      <c r="CG655" s="1758"/>
      <c r="CH655" s="1758"/>
      <c r="CI655" s="1758"/>
      <c r="CJ655" s="1758"/>
      <c r="CK655" s="1758"/>
      <c r="CL655" s="1758"/>
      <c r="CM655" s="1758"/>
      <c r="CN655" s="1758"/>
      <c r="CO655" s="1758"/>
      <c r="CP655" s="1758"/>
      <c r="CQ655" s="1758"/>
      <c r="CR655" s="1758"/>
      <c r="CS655" s="1758"/>
      <c r="CT655" s="1758"/>
      <c r="CU655" s="1758"/>
      <c r="CV655" s="1758"/>
      <c r="CW655" s="1758"/>
      <c r="CX655" s="1758"/>
      <c r="CY655" s="1758"/>
      <c r="CZ655" s="1758"/>
      <c r="DA655" s="1758"/>
      <c r="DB655" s="1758"/>
      <c r="DC655" s="1758"/>
    </row>
    <row r="656" spans="1:107" s="1395" customFormat="1" ht="18" customHeight="1">
      <c r="A656" s="10893"/>
      <c r="B656" s="10731"/>
      <c r="C656" s="10728"/>
      <c r="D656" s="10728"/>
      <c r="E656" s="10728"/>
      <c r="F656" s="10744"/>
      <c r="G656" s="10728"/>
      <c r="H656" s="10728"/>
      <c r="I656" s="10728"/>
      <c r="J656" s="10728"/>
      <c r="K656" s="10735"/>
      <c r="L656" s="10738"/>
      <c r="M656" s="10738"/>
      <c r="N656" s="10738"/>
      <c r="O656" s="10735"/>
      <c r="P656" s="10735"/>
      <c r="Q656" s="10750"/>
      <c r="R656" s="5200"/>
      <c r="S656" s="5210"/>
      <c r="T656" s="5235">
        <v>4516003111</v>
      </c>
      <c r="U656" s="5274" t="s">
        <v>5143</v>
      </c>
      <c r="V656" s="5297">
        <v>7</v>
      </c>
      <c r="W656" s="5300" t="s">
        <v>180</v>
      </c>
      <c r="X656" s="7473">
        <v>400</v>
      </c>
      <c r="Y656" s="7473">
        <f>V656*X656</f>
        <v>2800</v>
      </c>
      <c r="Z656" s="7473">
        <f t="shared" si="14"/>
        <v>3136.0000000000005</v>
      </c>
      <c r="AA656" s="7474"/>
      <c r="AB656" s="5323"/>
      <c r="AC656" s="1396"/>
      <c r="AD656" s="5311"/>
      <c r="AE656" s="5377" t="s">
        <v>153</v>
      </c>
      <c r="AF656" s="5353"/>
      <c r="AG656" s="10777"/>
      <c r="AH656" s="1758"/>
      <c r="AI656" s="1758"/>
      <c r="AJ656" s="1758"/>
      <c r="AK656" s="1758"/>
      <c r="AL656" s="1758"/>
      <c r="AM656" s="1758"/>
      <c r="AN656" s="1758"/>
      <c r="AO656" s="1758"/>
      <c r="AP656" s="1758"/>
      <c r="AQ656" s="1758"/>
      <c r="AR656" s="1758"/>
      <c r="AS656" s="1758"/>
      <c r="AT656" s="1758"/>
      <c r="AU656" s="1758"/>
      <c r="AV656" s="1758"/>
      <c r="AW656" s="1758"/>
      <c r="AX656" s="1758"/>
      <c r="AY656" s="1758"/>
      <c r="AZ656" s="1758"/>
      <c r="BA656" s="1758"/>
      <c r="BB656" s="1758"/>
      <c r="BC656" s="1758"/>
      <c r="BD656" s="1758"/>
      <c r="BE656" s="1758"/>
      <c r="BF656" s="1758"/>
      <c r="BG656" s="1758"/>
      <c r="BH656" s="1758"/>
      <c r="BI656" s="1758"/>
      <c r="BJ656" s="1758"/>
      <c r="BK656" s="1758"/>
      <c r="BL656" s="1758"/>
      <c r="BM656" s="1758"/>
      <c r="BN656" s="1758"/>
      <c r="BO656" s="1758"/>
      <c r="BP656" s="1758"/>
      <c r="BQ656" s="1758"/>
      <c r="BR656" s="1758"/>
      <c r="BS656" s="1758"/>
      <c r="BT656" s="1758"/>
      <c r="BU656" s="1758"/>
      <c r="BV656" s="1758"/>
      <c r="BW656" s="1758"/>
      <c r="BX656" s="1758"/>
      <c r="BY656" s="1758"/>
      <c r="BZ656" s="1758"/>
      <c r="CA656" s="1758"/>
      <c r="CB656" s="1758"/>
      <c r="CC656" s="1758"/>
      <c r="CD656" s="1758"/>
      <c r="CE656" s="1758"/>
      <c r="CF656" s="1758"/>
      <c r="CG656" s="1758"/>
      <c r="CH656" s="1758"/>
      <c r="CI656" s="1758"/>
      <c r="CJ656" s="1758"/>
      <c r="CK656" s="1758"/>
      <c r="CL656" s="1758"/>
      <c r="CM656" s="1758"/>
      <c r="CN656" s="1758"/>
      <c r="CO656" s="1758"/>
      <c r="CP656" s="1758"/>
      <c r="CQ656" s="1758"/>
      <c r="CR656" s="1758"/>
      <c r="CS656" s="1758"/>
      <c r="CT656" s="1758"/>
      <c r="CU656" s="1758"/>
      <c r="CV656" s="1758"/>
      <c r="CW656" s="1758"/>
      <c r="CX656" s="1758"/>
      <c r="CY656" s="1758"/>
      <c r="CZ656" s="1758"/>
      <c r="DA656" s="1758"/>
      <c r="DB656" s="1758"/>
      <c r="DC656" s="1758"/>
    </row>
    <row r="657" spans="1:107" s="1395" customFormat="1" ht="32.25" customHeight="1">
      <c r="A657" s="10893"/>
      <c r="B657" s="10731"/>
      <c r="C657" s="10728"/>
      <c r="D657" s="10728"/>
      <c r="E657" s="10728"/>
      <c r="F657" s="10744"/>
      <c r="G657" s="10728"/>
      <c r="H657" s="10728"/>
      <c r="I657" s="10728"/>
      <c r="J657" s="10728"/>
      <c r="K657" s="10735"/>
      <c r="L657" s="10738"/>
      <c r="M657" s="10738"/>
      <c r="N657" s="10738"/>
      <c r="O657" s="10735"/>
      <c r="P657" s="10735"/>
      <c r="Q657" s="10750"/>
      <c r="R657" s="5205"/>
      <c r="S657" s="5236"/>
      <c r="T657" s="5235"/>
      <c r="U657" s="5277"/>
      <c r="V657" s="5279"/>
      <c r="W657" s="5300"/>
      <c r="X657" s="7473"/>
      <c r="Y657" s="7473"/>
      <c r="Z657" s="7473"/>
      <c r="AA657" s="6288"/>
      <c r="AB657" s="5340"/>
      <c r="AC657" s="1396"/>
      <c r="AD657" s="5311"/>
      <c r="AE657" s="5377"/>
      <c r="AF657" s="5353"/>
      <c r="AG657" s="10777"/>
      <c r="AH657" s="1758"/>
      <c r="AI657" s="1758"/>
      <c r="AJ657" s="1758"/>
      <c r="AK657" s="1758"/>
      <c r="AL657" s="1758"/>
      <c r="AM657" s="1758"/>
      <c r="AN657" s="1758"/>
      <c r="AO657" s="1758"/>
      <c r="AP657" s="1758"/>
      <c r="AQ657" s="1758"/>
      <c r="AR657" s="1758"/>
      <c r="AS657" s="1758"/>
      <c r="AT657" s="1758"/>
      <c r="AU657" s="1758"/>
      <c r="AV657" s="1758"/>
      <c r="AW657" s="1758"/>
      <c r="AX657" s="1758"/>
      <c r="AY657" s="1758"/>
      <c r="AZ657" s="1758"/>
      <c r="BA657" s="1758"/>
      <c r="BB657" s="1758"/>
      <c r="BC657" s="1758"/>
      <c r="BD657" s="1758"/>
      <c r="BE657" s="1758"/>
      <c r="BF657" s="1758"/>
      <c r="BG657" s="1758"/>
      <c r="BH657" s="1758"/>
      <c r="BI657" s="1758"/>
      <c r="BJ657" s="1758"/>
      <c r="BK657" s="1758"/>
      <c r="BL657" s="1758"/>
      <c r="BM657" s="1758"/>
      <c r="BN657" s="1758"/>
      <c r="BO657" s="1758"/>
      <c r="BP657" s="1758"/>
      <c r="BQ657" s="1758"/>
      <c r="BR657" s="1758"/>
      <c r="BS657" s="1758"/>
      <c r="BT657" s="1758"/>
      <c r="BU657" s="1758"/>
      <c r="BV657" s="1758"/>
      <c r="BW657" s="1758"/>
      <c r="BX657" s="1758"/>
      <c r="BY657" s="1758"/>
      <c r="BZ657" s="1758"/>
      <c r="CA657" s="1758"/>
      <c r="CB657" s="1758"/>
      <c r="CC657" s="1758"/>
      <c r="CD657" s="1758"/>
      <c r="CE657" s="1758"/>
      <c r="CF657" s="1758"/>
      <c r="CG657" s="1758"/>
      <c r="CH657" s="1758"/>
      <c r="CI657" s="1758"/>
      <c r="CJ657" s="1758"/>
      <c r="CK657" s="1758"/>
      <c r="CL657" s="1758"/>
      <c r="CM657" s="1758"/>
      <c r="CN657" s="1758"/>
      <c r="CO657" s="1758"/>
      <c r="CP657" s="1758"/>
      <c r="CQ657" s="1758"/>
      <c r="CR657" s="1758"/>
      <c r="CS657" s="1758"/>
      <c r="CT657" s="1758"/>
      <c r="CU657" s="1758"/>
      <c r="CV657" s="1758"/>
      <c r="CW657" s="1758"/>
      <c r="CX657" s="1758"/>
      <c r="CY657" s="1758"/>
      <c r="CZ657" s="1758"/>
      <c r="DA657" s="1758"/>
      <c r="DB657" s="1758"/>
      <c r="DC657" s="1758"/>
    </row>
    <row r="658" spans="1:107" s="1395" customFormat="1" ht="18" customHeight="1">
      <c r="A658" s="10893"/>
      <c r="B658" s="10731"/>
      <c r="C658" s="10728"/>
      <c r="D658" s="10728"/>
      <c r="E658" s="10728"/>
      <c r="F658" s="10744"/>
      <c r="G658" s="10728"/>
      <c r="H658" s="10728"/>
      <c r="I658" s="10728"/>
      <c r="J658" s="10728"/>
      <c r="K658" s="10735"/>
      <c r="L658" s="10738"/>
      <c r="M658" s="10738"/>
      <c r="N658" s="10738"/>
      <c r="O658" s="10735"/>
      <c r="P658" s="10735"/>
      <c r="Q658" s="10750"/>
      <c r="R658" s="5200"/>
      <c r="S658" s="5210"/>
      <c r="T658" s="5235"/>
      <c r="U658" s="5274"/>
      <c r="V658" s="5279"/>
      <c r="W658" s="5300"/>
      <c r="X658" s="7473"/>
      <c r="Y658" s="7473"/>
      <c r="Z658" s="7473"/>
      <c r="AA658" s="7474"/>
      <c r="AB658" s="5342"/>
      <c r="AC658" s="1396"/>
      <c r="AD658" s="5311"/>
      <c r="AE658" s="5377" t="s">
        <v>153</v>
      </c>
      <c r="AF658" s="5353"/>
      <c r="AG658" s="10777"/>
      <c r="AH658" s="1758"/>
      <c r="AI658" s="1758"/>
      <c r="AJ658" s="1758"/>
      <c r="AK658" s="1758"/>
      <c r="AL658" s="1758"/>
      <c r="AM658" s="1758"/>
      <c r="AN658" s="1758"/>
      <c r="AO658" s="1758"/>
      <c r="AP658" s="1758"/>
      <c r="AQ658" s="1758"/>
      <c r="AR658" s="1758"/>
      <c r="AS658" s="1758"/>
      <c r="AT658" s="1758"/>
      <c r="AU658" s="1758"/>
      <c r="AV658" s="1758"/>
      <c r="AW658" s="1758"/>
      <c r="AX658" s="1758"/>
      <c r="AY658" s="1758"/>
      <c r="AZ658" s="1758"/>
      <c r="BA658" s="1758"/>
      <c r="BB658" s="1758"/>
      <c r="BC658" s="1758"/>
      <c r="BD658" s="1758"/>
      <c r="BE658" s="1758"/>
      <c r="BF658" s="1758"/>
      <c r="BG658" s="1758"/>
      <c r="BH658" s="1758"/>
      <c r="BI658" s="1758"/>
      <c r="BJ658" s="1758"/>
      <c r="BK658" s="1758"/>
      <c r="BL658" s="1758"/>
      <c r="BM658" s="1758"/>
      <c r="BN658" s="1758"/>
      <c r="BO658" s="1758"/>
      <c r="BP658" s="1758"/>
      <c r="BQ658" s="1758"/>
      <c r="BR658" s="1758"/>
      <c r="BS658" s="1758"/>
      <c r="BT658" s="1758"/>
      <c r="BU658" s="1758"/>
      <c r="BV658" s="1758"/>
      <c r="BW658" s="1758"/>
      <c r="BX658" s="1758"/>
      <c r="BY658" s="1758"/>
      <c r="BZ658" s="1758"/>
      <c r="CA658" s="1758"/>
      <c r="CB658" s="1758"/>
      <c r="CC658" s="1758"/>
      <c r="CD658" s="1758"/>
      <c r="CE658" s="1758"/>
      <c r="CF658" s="1758"/>
      <c r="CG658" s="1758"/>
      <c r="CH658" s="1758"/>
      <c r="CI658" s="1758"/>
      <c r="CJ658" s="1758"/>
      <c r="CK658" s="1758"/>
      <c r="CL658" s="1758"/>
      <c r="CM658" s="1758"/>
      <c r="CN658" s="1758"/>
      <c r="CO658" s="1758"/>
      <c r="CP658" s="1758"/>
      <c r="CQ658" s="1758"/>
      <c r="CR658" s="1758"/>
      <c r="CS658" s="1758"/>
      <c r="CT658" s="1758"/>
      <c r="CU658" s="1758"/>
      <c r="CV658" s="1758"/>
      <c r="CW658" s="1758"/>
      <c r="CX658" s="1758"/>
      <c r="CY658" s="1758"/>
      <c r="CZ658" s="1758"/>
      <c r="DA658" s="1758"/>
      <c r="DB658" s="1758"/>
      <c r="DC658" s="1758"/>
    </row>
    <row r="659" spans="1:107" s="1395" customFormat="1" ht="26.1" customHeight="1">
      <c r="A659" s="10893"/>
      <c r="B659" s="10731"/>
      <c r="C659" s="10728"/>
      <c r="D659" s="10728"/>
      <c r="E659" s="10728"/>
      <c r="F659" s="10744"/>
      <c r="G659" s="10728"/>
      <c r="H659" s="10728"/>
      <c r="I659" s="10728"/>
      <c r="J659" s="10728"/>
      <c r="K659" s="10735"/>
      <c r="L659" s="10738"/>
      <c r="M659" s="10738"/>
      <c r="N659" s="10738"/>
      <c r="O659" s="10735"/>
      <c r="P659" s="10735"/>
      <c r="Q659" s="10750"/>
      <c r="R659" s="5200" t="s">
        <v>5013</v>
      </c>
      <c r="S659" s="5228">
        <v>840103</v>
      </c>
      <c r="T659" s="5228"/>
      <c r="U659" s="5264" t="s">
        <v>591</v>
      </c>
      <c r="V659" s="5298"/>
      <c r="W659" s="5319"/>
      <c r="X659" s="7507"/>
      <c r="Y659" s="7507"/>
      <c r="Z659" s="7507"/>
      <c r="AA659" s="6251">
        <f>+Z660</f>
        <v>6087.12</v>
      </c>
      <c r="AB659" s="5323" t="s">
        <v>18</v>
      </c>
      <c r="AC659" s="1396"/>
      <c r="AD659" s="5311"/>
      <c r="AE659" s="5377"/>
      <c r="AF659" s="5353"/>
      <c r="AG659" s="10777"/>
      <c r="AH659" s="1758"/>
      <c r="AI659" s="1758"/>
      <c r="AJ659" s="1758"/>
      <c r="AK659" s="1758"/>
      <c r="AL659" s="1758"/>
      <c r="AM659" s="1758"/>
      <c r="AN659" s="1758"/>
      <c r="AO659" s="1758"/>
      <c r="AP659" s="1758"/>
      <c r="AQ659" s="1758"/>
      <c r="AR659" s="1758"/>
      <c r="AS659" s="1758"/>
      <c r="AT659" s="1758"/>
      <c r="AU659" s="1758"/>
      <c r="AV659" s="1758"/>
      <c r="AW659" s="1758"/>
      <c r="AX659" s="1758"/>
      <c r="AY659" s="1758"/>
      <c r="AZ659" s="1758"/>
      <c r="BA659" s="1758"/>
      <c r="BB659" s="1758"/>
      <c r="BC659" s="1758"/>
      <c r="BD659" s="1758"/>
      <c r="BE659" s="1758"/>
      <c r="BF659" s="1758"/>
      <c r="BG659" s="1758"/>
      <c r="BH659" s="1758"/>
      <c r="BI659" s="1758"/>
      <c r="BJ659" s="1758"/>
      <c r="BK659" s="1758"/>
      <c r="BL659" s="1758"/>
      <c r="BM659" s="1758"/>
      <c r="BN659" s="1758"/>
      <c r="BO659" s="1758"/>
      <c r="BP659" s="1758"/>
      <c r="BQ659" s="1758"/>
      <c r="BR659" s="1758"/>
      <c r="BS659" s="1758"/>
      <c r="BT659" s="1758"/>
      <c r="BU659" s="1758"/>
      <c r="BV659" s="1758"/>
      <c r="BW659" s="1758"/>
      <c r="BX659" s="1758"/>
      <c r="BY659" s="1758"/>
      <c r="BZ659" s="1758"/>
      <c r="CA659" s="1758"/>
      <c r="CB659" s="1758"/>
      <c r="CC659" s="1758"/>
      <c r="CD659" s="1758"/>
      <c r="CE659" s="1758"/>
      <c r="CF659" s="1758"/>
      <c r="CG659" s="1758"/>
      <c r="CH659" s="1758"/>
      <c r="CI659" s="1758"/>
      <c r="CJ659" s="1758"/>
      <c r="CK659" s="1758"/>
      <c r="CL659" s="1758"/>
      <c r="CM659" s="1758"/>
      <c r="CN659" s="1758"/>
      <c r="CO659" s="1758"/>
      <c r="CP659" s="1758"/>
      <c r="CQ659" s="1758"/>
      <c r="CR659" s="1758"/>
      <c r="CS659" s="1758"/>
      <c r="CT659" s="1758"/>
      <c r="CU659" s="1758"/>
      <c r="CV659" s="1758"/>
      <c r="CW659" s="1758"/>
      <c r="CX659" s="1758"/>
      <c r="CY659" s="1758"/>
      <c r="CZ659" s="1758"/>
      <c r="DA659" s="1758"/>
      <c r="DB659" s="1758"/>
      <c r="DC659" s="1758"/>
    </row>
    <row r="660" spans="1:107" s="1395" customFormat="1" ht="18" customHeight="1">
      <c r="A660" s="10893"/>
      <c r="B660" s="10731"/>
      <c r="C660" s="10728"/>
      <c r="D660" s="10728"/>
      <c r="E660" s="10728"/>
      <c r="F660" s="10744"/>
      <c r="G660" s="10728"/>
      <c r="H660" s="10728"/>
      <c r="I660" s="10728"/>
      <c r="J660" s="10728"/>
      <c r="K660" s="10735"/>
      <c r="L660" s="10738"/>
      <c r="M660" s="10738"/>
      <c r="N660" s="10738"/>
      <c r="O660" s="10735"/>
      <c r="P660" s="10735"/>
      <c r="Q660" s="10750"/>
      <c r="R660" s="5200"/>
      <c r="S660" s="5228"/>
      <c r="T660" s="5228"/>
      <c r="U660" s="5265" t="s">
        <v>5144</v>
      </c>
      <c r="V660" s="5283">
        <v>26</v>
      </c>
      <c r="W660" s="5304" t="s">
        <v>180</v>
      </c>
      <c r="X660" s="6252">
        <f>6087.12/26</f>
        <v>234.12</v>
      </c>
      <c r="Y660" s="6252">
        <f>V660*X660</f>
        <v>6087.12</v>
      </c>
      <c r="Z660" s="6252">
        <f>Y660</f>
        <v>6087.12</v>
      </c>
      <c r="AA660" s="7474"/>
      <c r="AB660" s="5323"/>
      <c r="AC660" s="1396"/>
      <c r="AD660" s="5311"/>
      <c r="AE660" s="5377" t="s">
        <v>153</v>
      </c>
      <c r="AF660" s="5353"/>
      <c r="AG660" s="10777"/>
      <c r="AH660" s="1758"/>
      <c r="AI660" s="1758"/>
      <c r="AJ660" s="1758"/>
      <c r="AK660" s="1758"/>
      <c r="AL660" s="1758"/>
      <c r="AM660" s="1758"/>
      <c r="AN660" s="1758"/>
      <c r="AO660" s="1758"/>
      <c r="AP660" s="1758"/>
      <c r="AQ660" s="1758"/>
      <c r="AR660" s="1758"/>
      <c r="AS660" s="1758"/>
      <c r="AT660" s="1758"/>
      <c r="AU660" s="1758"/>
      <c r="AV660" s="1758"/>
      <c r="AW660" s="1758"/>
      <c r="AX660" s="1758"/>
      <c r="AY660" s="1758"/>
      <c r="AZ660" s="1758"/>
      <c r="BA660" s="1758"/>
      <c r="BB660" s="1758"/>
      <c r="BC660" s="1758"/>
      <c r="BD660" s="1758"/>
      <c r="BE660" s="1758"/>
      <c r="BF660" s="1758"/>
      <c r="BG660" s="1758"/>
      <c r="BH660" s="1758"/>
      <c r="BI660" s="1758"/>
      <c r="BJ660" s="1758"/>
      <c r="BK660" s="1758"/>
      <c r="BL660" s="1758"/>
      <c r="BM660" s="1758"/>
      <c r="BN660" s="1758"/>
      <c r="BO660" s="1758"/>
      <c r="BP660" s="1758"/>
      <c r="BQ660" s="1758"/>
      <c r="BR660" s="1758"/>
      <c r="BS660" s="1758"/>
      <c r="BT660" s="1758"/>
      <c r="BU660" s="1758"/>
      <c r="BV660" s="1758"/>
      <c r="BW660" s="1758"/>
      <c r="BX660" s="1758"/>
      <c r="BY660" s="1758"/>
      <c r="BZ660" s="1758"/>
      <c r="CA660" s="1758"/>
      <c r="CB660" s="1758"/>
      <c r="CC660" s="1758"/>
      <c r="CD660" s="1758"/>
      <c r="CE660" s="1758"/>
      <c r="CF660" s="1758"/>
      <c r="CG660" s="1758"/>
      <c r="CH660" s="1758"/>
      <c r="CI660" s="1758"/>
      <c r="CJ660" s="1758"/>
      <c r="CK660" s="1758"/>
      <c r="CL660" s="1758"/>
      <c r="CM660" s="1758"/>
      <c r="CN660" s="1758"/>
      <c r="CO660" s="1758"/>
      <c r="CP660" s="1758"/>
      <c r="CQ660" s="1758"/>
      <c r="CR660" s="1758"/>
      <c r="CS660" s="1758"/>
      <c r="CT660" s="1758"/>
      <c r="CU660" s="1758"/>
      <c r="CV660" s="1758"/>
      <c r="CW660" s="1758"/>
      <c r="CX660" s="1758"/>
      <c r="CY660" s="1758"/>
      <c r="CZ660" s="1758"/>
      <c r="DA660" s="1758"/>
      <c r="DB660" s="1758"/>
      <c r="DC660" s="1758"/>
    </row>
    <row r="661" spans="1:107" s="1395" customFormat="1" ht="30" customHeight="1">
      <c r="A661" s="10893"/>
      <c r="B661" s="10731"/>
      <c r="C661" s="10728"/>
      <c r="D661" s="10728"/>
      <c r="E661" s="10728"/>
      <c r="F661" s="10744"/>
      <c r="G661" s="10728"/>
      <c r="H661" s="10728"/>
      <c r="I661" s="10728"/>
      <c r="J661" s="10728"/>
      <c r="K661" s="10735"/>
      <c r="L661" s="10738"/>
      <c r="M661" s="10738"/>
      <c r="N661" s="10738"/>
      <c r="O661" s="10735"/>
      <c r="P661" s="10735"/>
      <c r="Q661" s="10750"/>
      <c r="R661" s="5200" t="s">
        <v>5016</v>
      </c>
      <c r="S661" s="5228">
        <v>530249</v>
      </c>
      <c r="T661" s="5234"/>
      <c r="U661" s="5264" t="s">
        <v>5018</v>
      </c>
      <c r="V661" s="5279"/>
      <c r="W661" s="5300" t="s">
        <v>180</v>
      </c>
      <c r="X661" s="7473">
        <v>1000</v>
      </c>
      <c r="Y661" s="7473">
        <f t="shared" ref="Y661:Y663" si="15">+V661*X661</f>
        <v>0</v>
      </c>
      <c r="Z661" s="7473">
        <f t="shared" ref="Z661:Z663" si="16">+Y661*1.12</f>
        <v>0</v>
      </c>
      <c r="AA661" s="7474">
        <f>+Z661</f>
        <v>0</v>
      </c>
      <c r="AB661" s="5323"/>
      <c r="AC661" s="1396"/>
      <c r="AD661" s="5311"/>
      <c r="AE661" s="5377" t="s">
        <v>153</v>
      </c>
      <c r="AF661" s="5353"/>
      <c r="AG661" s="10777"/>
      <c r="AH661" s="1758"/>
      <c r="AI661" s="1758"/>
      <c r="AJ661" s="1758"/>
      <c r="AK661" s="1758"/>
      <c r="AL661" s="1758"/>
      <c r="AM661" s="1758"/>
      <c r="AN661" s="1758"/>
      <c r="AO661" s="1758"/>
      <c r="AP661" s="1758"/>
      <c r="AQ661" s="1758"/>
      <c r="AR661" s="1758"/>
      <c r="AS661" s="1758"/>
      <c r="AT661" s="1758"/>
      <c r="AU661" s="1758"/>
      <c r="AV661" s="1758"/>
      <c r="AW661" s="1758"/>
      <c r="AX661" s="1758"/>
      <c r="AY661" s="1758"/>
      <c r="AZ661" s="1758"/>
      <c r="BA661" s="1758"/>
      <c r="BB661" s="1758"/>
      <c r="BC661" s="1758"/>
      <c r="BD661" s="1758"/>
      <c r="BE661" s="1758"/>
      <c r="BF661" s="1758"/>
      <c r="BG661" s="1758"/>
      <c r="BH661" s="1758"/>
      <c r="BI661" s="1758"/>
      <c r="BJ661" s="1758"/>
      <c r="BK661" s="1758"/>
      <c r="BL661" s="1758"/>
      <c r="BM661" s="1758"/>
      <c r="BN661" s="1758"/>
      <c r="BO661" s="1758"/>
      <c r="BP661" s="1758"/>
      <c r="BQ661" s="1758"/>
      <c r="BR661" s="1758"/>
      <c r="BS661" s="1758"/>
      <c r="BT661" s="1758"/>
      <c r="BU661" s="1758"/>
      <c r="BV661" s="1758"/>
      <c r="BW661" s="1758"/>
      <c r="BX661" s="1758"/>
      <c r="BY661" s="1758"/>
      <c r="BZ661" s="1758"/>
      <c r="CA661" s="1758"/>
      <c r="CB661" s="1758"/>
      <c r="CC661" s="1758"/>
      <c r="CD661" s="1758"/>
      <c r="CE661" s="1758"/>
      <c r="CF661" s="1758"/>
      <c r="CG661" s="1758"/>
      <c r="CH661" s="1758"/>
      <c r="CI661" s="1758"/>
      <c r="CJ661" s="1758"/>
      <c r="CK661" s="1758"/>
      <c r="CL661" s="1758"/>
      <c r="CM661" s="1758"/>
      <c r="CN661" s="1758"/>
      <c r="CO661" s="1758"/>
      <c r="CP661" s="1758"/>
      <c r="CQ661" s="1758"/>
      <c r="CR661" s="1758"/>
      <c r="CS661" s="1758"/>
      <c r="CT661" s="1758"/>
      <c r="CU661" s="1758"/>
      <c r="CV661" s="1758"/>
      <c r="CW661" s="1758"/>
      <c r="CX661" s="1758"/>
      <c r="CY661" s="1758"/>
      <c r="CZ661" s="1758"/>
      <c r="DA661" s="1758"/>
      <c r="DB661" s="1758"/>
      <c r="DC661" s="1758"/>
    </row>
    <row r="662" spans="1:107" s="1395" customFormat="1" ht="42.75" customHeight="1">
      <c r="A662" s="10893"/>
      <c r="B662" s="10731"/>
      <c r="C662" s="10728"/>
      <c r="D662" s="10728"/>
      <c r="E662" s="10728"/>
      <c r="F662" s="10744"/>
      <c r="G662" s="10728"/>
      <c r="H662" s="10728"/>
      <c r="I662" s="10728"/>
      <c r="J662" s="10728"/>
      <c r="K662" s="10735"/>
      <c r="L662" s="10738"/>
      <c r="M662" s="10738"/>
      <c r="N662" s="10738"/>
      <c r="O662" s="10735"/>
      <c r="P662" s="10735"/>
      <c r="Q662" s="10750"/>
      <c r="R662" s="5200" t="s">
        <v>5019</v>
      </c>
      <c r="S662" s="5228">
        <v>530204</v>
      </c>
      <c r="T662" s="5234"/>
      <c r="U662" s="5264" t="s">
        <v>16</v>
      </c>
      <c r="V662" s="5279"/>
      <c r="W662" s="5300" t="s">
        <v>180</v>
      </c>
      <c r="X662" s="7473">
        <v>400</v>
      </c>
      <c r="Y662" s="7473">
        <f t="shared" si="15"/>
        <v>0</v>
      </c>
      <c r="Z662" s="7473">
        <f t="shared" si="16"/>
        <v>0</v>
      </c>
      <c r="AA662" s="7474">
        <f>+Z662</f>
        <v>0</v>
      </c>
      <c r="AB662" s="5323"/>
      <c r="AC662" s="1396"/>
      <c r="AD662" s="5311"/>
      <c r="AE662" s="5377" t="s">
        <v>153</v>
      </c>
      <c r="AF662" s="5353"/>
      <c r="AG662" s="10777"/>
      <c r="AH662" s="1758"/>
      <c r="AI662" s="1758"/>
      <c r="AJ662" s="1758"/>
      <c r="AK662" s="1758"/>
      <c r="AL662" s="1758"/>
      <c r="AM662" s="1758"/>
      <c r="AN662" s="1758"/>
      <c r="AO662" s="1758"/>
      <c r="AP662" s="1758"/>
      <c r="AQ662" s="1758"/>
      <c r="AR662" s="1758"/>
      <c r="AS662" s="1758"/>
      <c r="AT662" s="1758"/>
      <c r="AU662" s="1758"/>
      <c r="AV662" s="1758"/>
      <c r="AW662" s="1758"/>
      <c r="AX662" s="1758"/>
      <c r="AY662" s="1758"/>
      <c r="AZ662" s="1758"/>
      <c r="BA662" s="1758"/>
      <c r="BB662" s="1758"/>
      <c r="BC662" s="1758"/>
      <c r="BD662" s="1758"/>
      <c r="BE662" s="1758"/>
      <c r="BF662" s="1758"/>
      <c r="BG662" s="1758"/>
      <c r="BH662" s="1758"/>
      <c r="BI662" s="1758"/>
      <c r="BJ662" s="1758"/>
      <c r="BK662" s="1758"/>
      <c r="BL662" s="1758"/>
      <c r="BM662" s="1758"/>
      <c r="BN662" s="1758"/>
      <c r="BO662" s="1758"/>
      <c r="BP662" s="1758"/>
      <c r="BQ662" s="1758"/>
      <c r="BR662" s="1758"/>
      <c r="BS662" s="1758"/>
      <c r="BT662" s="1758"/>
      <c r="BU662" s="1758"/>
      <c r="BV662" s="1758"/>
      <c r="BW662" s="1758"/>
      <c r="BX662" s="1758"/>
      <c r="BY662" s="1758"/>
      <c r="BZ662" s="1758"/>
      <c r="CA662" s="1758"/>
      <c r="CB662" s="1758"/>
      <c r="CC662" s="1758"/>
      <c r="CD662" s="1758"/>
      <c r="CE662" s="1758"/>
      <c r="CF662" s="1758"/>
      <c r="CG662" s="1758"/>
      <c r="CH662" s="1758"/>
      <c r="CI662" s="1758"/>
      <c r="CJ662" s="1758"/>
      <c r="CK662" s="1758"/>
      <c r="CL662" s="1758"/>
      <c r="CM662" s="1758"/>
      <c r="CN662" s="1758"/>
      <c r="CO662" s="1758"/>
      <c r="CP662" s="1758"/>
      <c r="CQ662" s="1758"/>
      <c r="CR662" s="1758"/>
      <c r="CS662" s="1758"/>
      <c r="CT662" s="1758"/>
      <c r="CU662" s="1758"/>
      <c r="CV662" s="1758"/>
      <c r="CW662" s="1758"/>
      <c r="CX662" s="1758"/>
      <c r="CY662" s="1758"/>
      <c r="CZ662" s="1758"/>
      <c r="DA662" s="1758"/>
      <c r="DB662" s="1758"/>
      <c r="DC662" s="1758"/>
    </row>
    <row r="663" spans="1:107" s="1395" customFormat="1" ht="33.950000000000003" customHeight="1">
      <c r="A663" s="10893"/>
      <c r="B663" s="10732"/>
      <c r="C663" s="10729"/>
      <c r="D663" s="10729"/>
      <c r="E663" s="10729"/>
      <c r="F663" s="10745"/>
      <c r="G663" s="10729"/>
      <c r="H663" s="10729"/>
      <c r="I663" s="10729"/>
      <c r="J663" s="10729"/>
      <c r="K663" s="10736"/>
      <c r="L663" s="10739"/>
      <c r="M663" s="10739"/>
      <c r="N663" s="10739"/>
      <c r="O663" s="10736"/>
      <c r="P663" s="10736"/>
      <c r="Q663" s="10751"/>
      <c r="R663" s="5201" t="s">
        <v>5016</v>
      </c>
      <c r="S663" s="5232">
        <v>530611</v>
      </c>
      <c r="T663" s="5245"/>
      <c r="U663" s="5272" t="s">
        <v>5015</v>
      </c>
      <c r="V663" s="5282"/>
      <c r="W663" s="5303" t="s">
        <v>180</v>
      </c>
      <c r="X663" s="7479">
        <v>1200</v>
      </c>
      <c r="Y663" s="7479">
        <f t="shared" si="15"/>
        <v>0</v>
      </c>
      <c r="Z663" s="7479">
        <f t="shared" si="16"/>
        <v>0</v>
      </c>
      <c r="AA663" s="7480">
        <f>+Z663</f>
        <v>0</v>
      </c>
      <c r="AB663" s="5326"/>
      <c r="AC663" s="1399"/>
      <c r="AD663" s="5313"/>
      <c r="AE663" s="5378" t="s">
        <v>153</v>
      </c>
      <c r="AF663" s="5354"/>
      <c r="AG663" s="10778"/>
      <c r="AH663" s="1758"/>
      <c r="AI663" s="1758"/>
      <c r="AJ663" s="1758"/>
      <c r="AK663" s="1758"/>
      <c r="AL663" s="1758"/>
      <c r="AM663" s="1758"/>
      <c r="AN663" s="1758"/>
      <c r="AO663" s="1758"/>
      <c r="AP663" s="1758"/>
      <c r="AQ663" s="1758"/>
      <c r="AR663" s="1758"/>
      <c r="AS663" s="1758"/>
      <c r="AT663" s="1758"/>
      <c r="AU663" s="1758"/>
      <c r="AV663" s="1758"/>
      <c r="AW663" s="1758"/>
      <c r="AX663" s="1758"/>
      <c r="AY663" s="1758"/>
      <c r="AZ663" s="1758"/>
      <c r="BA663" s="1758"/>
      <c r="BB663" s="1758"/>
      <c r="BC663" s="1758"/>
      <c r="BD663" s="1758"/>
      <c r="BE663" s="1758"/>
      <c r="BF663" s="1758"/>
      <c r="BG663" s="1758"/>
      <c r="BH663" s="1758"/>
      <c r="BI663" s="1758"/>
      <c r="BJ663" s="1758"/>
      <c r="BK663" s="1758"/>
      <c r="BL663" s="1758"/>
      <c r="BM663" s="1758"/>
      <c r="BN663" s="1758"/>
      <c r="BO663" s="1758"/>
      <c r="BP663" s="1758"/>
      <c r="BQ663" s="1758"/>
      <c r="BR663" s="1758"/>
      <c r="BS663" s="1758"/>
      <c r="BT663" s="1758"/>
      <c r="BU663" s="1758"/>
      <c r="BV663" s="1758"/>
      <c r="BW663" s="1758"/>
      <c r="BX663" s="1758"/>
      <c r="BY663" s="1758"/>
      <c r="BZ663" s="1758"/>
      <c r="CA663" s="1758"/>
      <c r="CB663" s="1758"/>
      <c r="CC663" s="1758"/>
      <c r="CD663" s="1758"/>
      <c r="CE663" s="1758"/>
      <c r="CF663" s="1758"/>
      <c r="CG663" s="1758"/>
      <c r="CH663" s="1758"/>
      <c r="CI663" s="1758"/>
      <c r="CJ663" s="1758"/>
      <c r="CK663" s="1758"/>
      <c r="CL663" s="1758"/>
      <c r="CM663" s="1758"/>
      <c r="CN663" s="1758"/>
      <c r="CO663" s="1758"/>
      <c r="CP663" s="1758"/>
      <c r="CQ663" s="1758"/>
      <c r="CR663" s="1758"/>
      <c r="CS663" s="1758"/>
      <c r="CT663" s="1758"/>
      <c r="CU663" s="1758"/>
      <c r="CV663" s="1758"/>
      <c r="CW663" s="1758"/>
      <c r="CX663" s="1758"/>
      <c r="CY663" s="1758"/>
      <c r="CZ663" s="1758"/>
      <c r="DA663" s="1758"/>
      <c r="DB663" s="1758"/>
      <c r="DC663" s="1758"/>
    </row>
    <row r="664" spans="1:107" s="1395" customFormat="1" ht="25.5" customHeight="1">
      <c r="A664" s="10893"/>
      <c r="B664" s="10731" t="s">
        <v>127</v>
      </c>
      <c r="C664" s="10728" t="s">
        <v>128</v>
      </c>
      <c r="D664" s="10728" t="s">
        <v>129</v>
      </c>
      <c r="E664" s="10728" t="s">
        <v>205</v>
      </c>
      <c r="F664" s="10744" t="s">
        <v>131</v>
      </c>
      <c r="G664" s="10728" t="s">
        <v>132</v>
      </c>
      <c r="H664" s="10728" t="s">
        <v>159</v>
      </c>
      <c r="I664" s="10728" t="s">
        <v>5022</v>
      </c>
      <c r="J664" s="10728" t="s">
        <v>4637</v>
      </c>
      <c r="K664" s="10735" t="s">
        <v>5024</v>
      </c>
      <c r="L664" s="10738">
        <v>0</v>
      </c>
      <c r="M664" s="10738">
        <v>4</v>
      </c>
      <c r="N664" s="10738">
        <v>4</v>
      </c>
      <c r="O664" s="10735" t="s">
        <v>5025</v>
      </c>
      <c r="P664" s="10735" t="s">
        <v>5026</v>
      </c>
      <c r="Q664" s="10750" t="s">
        <v>5133</v>
      </c>
      <c r="R664" s="5173"/>
      <c r="S664" s="5212"/>
      <c r="T664" s="5212"/>
      <c r="U664" s="5249"/>
      <c r="V664" s="5281"/>
      <c r="W664" s="5302"/>
      <c r="X664" s="7477"/>
      <c r="Y664" s="7477"/>
      <c r="Z664" s="7477"/>
      <c r="AA664" s="7478"/>
      <c r="AB664" s="5325"/>
      <c r="AC664" s="1398"/>
      <c r="AD664" s="5312"/>
      <c r="AE664" s="5379"/>
      <c r="AF664" s="5379"/>
      <c r="AG664" s="10777" t="s">
        <v>4843</v>
      </c>
      <c r="AH664" s="1758"/>
      <c r="AI664" s="1758"/>
      <c r="AJ664" s="1758"/>
      <c r="AK664" s="1758"/>
      <c r="AL664" s="1758"/>
      <c r="AM664" s="1758"/>
      <c r="AN664" s="1758"/>
      <c r="AO664" s="1758"/>
      <c r="AP664" s="1758"/>
      <c r="AQ664" s="1758"/>
      <c r="AR664" s="1758"/>
      <c r="AS664" s="1758"/>
      <c r="AT664" s="1758"/>
      <c r="AU664" s="1758"/>
      <c r="AV664" s="1758"/>
      <c r="AW664" s="1758"/>
      <c r="AX664" s="1758"/>
      <c r="AY664" s="1758"/>
      <c r="AZ664" s="1758"/>
      <c r="BA664" s="1758"/>
      <c r="BB664" s="1758"/>
      <c r="BC664" s="1758"/>
      <c r="BD664" s="1758"/>
      <c r="BE664" s="1758"/>
      <c r="BF664" s="1758"/>
      <c r="BG664" s="1758"/>
      <c r="BH664" s="1758"/>
      <c r="BI664" s="1758"/>
      <c r="BJ664" s="1758"/>
      <c r="BK664" s="1758"/>
      <c r="BL664" s="1758"/>
      <c r="BM664" s="1758"/>
      <c r="BN664" s="1758"/>
      <c r="BO664" s="1758"/>
      <c r="BP664" s="1758"/>
      <c r="BQ664" s="1758"/>
      <c r="BR664" s="1758"/>
      <c r="BS664" s="1758"/>
      <c r="BT664" s="1758"/>
      <c r="BU664" s="1758"/>
      <c r="BV664" s="1758"/>
      <c r="BW664" s="1758"/>
      <c r="BX664" s="1758"/>
      <c r="BY664" s="1758"/>
      <c r="BZ664" s="1758"/>
      <c r="CA664" s="1758"/>
      <c r="CB664" s="1758"/>
      <c r="CC664" s="1758"/>
      <c r="CD664" s="1758"/>
      <c r="CE664" s="1758"/>
      <c r="CF664" s="1758"/>
      <c r="CG664" s="1758"/>
      <c r="CH664" s="1758"/>
      <c r="CI664" s="1758"/>
      <c r="CJ664" s="1758"/>
      <c r="CK664" s="1758"/>
      <c r="CL664" s="1758"/>
      <c r="CM664" s="1758"/>
      <c r="CN664" s="1758"/>
      <c r="CO664" s="1758"/>
      <c r="CP664" s="1758"/>
      <c r="CQ664" s="1758"/>
      <c r="CR664" s="1758"/>
      <c r="CS664" s="1758"/>
      <c r="CT664" s="1758"/>
      <c r="CU664" s="1758"/>
      <c r="CV664" s="1758"/>
      <c r="CW664" s="1758"/>
      <c r="CX664" s="1758"/>
      <c r="CY664" s="1758"/>
      <c r="CZ664" s="1758"/>
      <c r="DA664" s="1758"/>
      <c r="DB664" s="1758"/>
      <c r="DC664" s="1758"/>
    </row>
    <row r="665" spans="1:107" s="1395" customFormat="1" ht="25.5" customHeight="1">
      <c r="A665" s="10893"/>
      <c r="B665" s="10731"/>
      <c r="C665" s="10728"/>
      <c r="D665" s="10728"/>
      <c r="E665" s="10728"/>
      <c r="F665" s="10744"/>
      <c r="G665" s="10728"/>
      <c r="H665" s="10728"/>
      <c r="I665" s="10728"/>
      <c r="J665" s="10728"/>
      <c r="K665" s="10735"/>
      <c r="L665" s="10738"/>
      <c r="M665" s="10738"/>
      <c r="N665" s="10738"/>
      <c r="O665" s="10735"/>
      <c r="P665" s="10735"/>
      <c r="Q665" s="10750"/>
      <c r="R665" s="5171"/>
      <c r="S665" s="5213"/>
      <c r="T665" s="5213"/>
      <c r="U665" s="5247"/>
      <c r="V665" s="5279"/>
      <c r="W665" s="5300"/>
      <c r="X665" s="7473"/>
      <c r="Y665" s="7473"/>
      <c r="Z665" s="7473"/>
      <c r="AA665" s="7474"/>
      <c r="AB665" s="5323"/>
      <c r="AC665" s="1396"/>
      <c r="AD665" s="5300"/>
      <c r="AE665" s="5346"/>
      <c r="AF665" s="5346"/>
      <c r="AG665" s="10777"/>
      <c r="AH665" s="1758"/>
      <c r="AI665" s="1758"/>
      <c r="AJ665" s="1758"/>
      <c r="AK665" s="1758"/>
      <c r="AL665" s="1758"/>
      <c r="AM665" s="1758"/>
      <c r="AN665" s="1758"/>
      <c r="AO665" s="1758"/>
      <c r="AP665" s="1758"/>
      <c r="AQ665" s="1758"/>
      <c r="AR665" s="1758"/>
      <c r="AS665" s="1758"/>
      <c r="AT665" s="1758"/>
      <c r="AU665" s="1758"/>
      <c r="AV665" s="1758"/>
      <c r="AW665" s="1758"/>
      <c r="AX665" s="1758"/>
      <c r="AY665" s="1758"/>
      <c r="AZ665" s="1758"/>
      <c r="BA665" s="1758"/>
      <c r="BB665" s="1758"/>
      <c r="BC665" s="1758"/>
      <c r="BD665" s="1758"/>
      <c r="BE665" s="1758"/>
      <c r="BF665" s="1758"/>
      <c r="BG665" s="1758"/>
      <c r="BH665" s="1758"/>
      <c r="BI665" s="1758"/>
      <c r="BJ665" s="1758"/>
      <c r="BK665" s="1758"/>
      <c r="BL665" s="1758"/>
      <c r="BM665" s="1758"/>
      <c r="BN665" s="1758"/>
      <c r="BO665" s="1758"/>
      <c r="BP665" s="1758"/>
      <c r="BQ665" s="1758"/>
      <c r="BR665" s="1758"/>
      <c r="BS665" s="1758"/>
      <c r="BT665" s="1758"/>
      <c r="BU665" s="1758"/>
      <c r="BV665" s="1758"/>
      <c r="BW665" s="1758"/>
      <c r="BX665" s="1758"/>
      <c r="BY665" s="1758"/>
      <c r="BZ665" s="1758"/>
      <c r="CA665" s="1758"/>
      <c r="CB665" s="1758"/>
      <c r="CC665" s="1758"/>
      <c r="CD665" s="1758"/>
      <c r="CE665" s="1758"/>
      <c r="CF665" s="1758"/>
      <c r="CG665" s="1758"/>
      <c r="CH665" s="1758"/>
      <c r="CI665" s="1758"/>
      <c r="CJ665" s="1758"/>
      <c r="CK665" s="1758"/>
      <c r="CL665" s="1758"/>
      <c r="CM665" s="1758"/>
      <c r="CN665" s="1758"/>
      <c r="CO665" s="1758"/>
      <c r="CP665" s="1758"/>
      <c r="CQ665" s="1758"/>
      <c r="CR665" s="1758"/>
      <c r="CS665" s="1758"/>
      <c r="CT665" s="1758"/>
      <c r="CU665" s="1758"/>
      <c r="CV665" s="1758"/>
      <c r="CW665" s="1758"/>
      <c r="CX665" s="1758"/>
      <c r="CY665" s="1758"/>
      <c r="CZ665" s="1758"/>
      <c r="DA665" s="1758"/>
      <c r="DB665" s="1758"/>
      <c r="DC665" s="1758"/>
    </row>
    <row r="666" spans="1:107" s="1395" customFormat="1" ht="25.5" customHeight="1">
      <c r="A666" s="10893"/>
      <c r="B666" s="10731"/>
      <c r="C666" s="10728"/>
      <c r="D666" s="10728"/>
      <c r="E666" s="10728"/>
      <c r="F666" s="10744"/>
      <c r="G666" s="10728"/>
      <c r="H666" s="10728"/>
      <c r="I666" s="10728"/>
      <c r="J666" s="10728"/>
      <c r="K666" s="10735"/>
      <c r="L666" s="10738"/>
      <c r="M666" s="10738"/>
      <c r="N666" s="10738"/>
      <c r="O666" s="10735"/>
      <c r="P666" s="10735"/>
      <c r="Q666" s="10750"/>
      <c r="R666" s="5174"/>
      <c r="S666" s="5214"/>
      <c r="T666" s="5214"/>
      <c r="U666" s="5250"/>
      <c r="V666" s="5281"/>
      <c r="W666" s="5302"/>
      <c r="X666" s="7477"/>
      <c r="Y666" s="7473"/>
      <c r="Z666" s="7473"/>
      <c r="AA666" s="7474"/>
      <c r="AB666" s="5323"/>
      <c r="AC666" s="1396"/>
      <c r="AD666" s="5300"/>
      <c r="AE666" s="5346"/>
      <c r="AF666" s="5346"/>
      <c r="AG666" s="10777"/>
      <c r="AH666" s="1758"/>
      <c r="AI666" s="1758"/>
      <c r="AJ666" s="1758"/>
      <c r="AK666" s="1758"/>
      <c r="AL666" s="1758"/>
      <c r="AM666" s="1758"/>
      <c r="AN666" s="1758"/>
      <c r="AO666" s="1758"/>
      <c r="AP666" s="1758"/>
      <c r="AQ666" s="1758"/>
      <c r="AR666" s="1758"/>
      <c r="AS666" s="1758"/>
      <c r="AT666" s="1758"/>
      <c r="AU666" s="1758"/>
      <c r="AV666" s="1758"/>
      <c r="AW666" s="1758"/>
      <c r="AX666" s="1758"/>
      <c r="AY666" s="1758"/>
      <c r="AZ666" s="1758"/>
      <c r="BA666" s="1758"/>
      <c r="BB666" s="1758"/>
      <c r="BC666" s="1758"/>
      <c r="BD666" s="1758"/>
      <c r="BE666" s="1758"/>
      <c r="BF666" s="1758"/>
      <c r="BG666" s="1758"/>
      <c r="BH666" s="1758"/>
      <c r="BI666" s="1758"/>
      <c r="BJ666" s="1758"/>
      <c r="BK666" s="1758"/>
      <c r="BL666" s="1758"/>
      <c r="BM666" s="1758"/>
      <c r="BN666" s="1758"/>
      <c r="BO666" s="1758"/>
      <c r="BP666" s="1758"/>
      <c r="BQ666" s="1758"/>
      <c r="BR666" s="1758"/>
      <c r="BS666" s="1758"/>
      <c r="BT666" s="1758"/>
      <c r="BU666" s="1758"/>
      <c r="BV666" s="1758"/>
      <c r="BW666" s="1758"/>
      <c r="BX666" s="1758"/>
      <c r="BY666" s="1758"/>
      <c r="BZ666" s="1758"/>
      <c r="CA666" s="1758"/>
      <c r="CB666" s="1758"/>
      <c r="CC666" s="1758"/>
      <c r="CD666" s="1758"/>
      <c r="CE666" s="1758"/>
      <c r="CF666" s="1758"/>
      <c r="CG666" s="1758"/>
      <c r="CH666" s="1758"/>
      <c r="CI666" s="1758"/>
      <c r="CJ666" s="1758"/>
      <c r="CK666" s="1758"/>
      <c r="CL666" s="1758"/>
      <c r="CM666" s="1758"/>
      <c r="CN666" s="1758"/>
      <c r="CO666" s="1758"/>
      <c r="CP666" s="1758"/>
      <c r="CQ666" s="1758"/>
      <c r="CR666" s="1758"/>
      <c r="CS666" s="1758"/>
      <c r="CT666" s="1758"/>
      <c r="CU666" s="1758"/>
      <c r="CV666" s="1758"/>
      <c r="CW666" s="1758"/>
      <c r="CX666" s="1758"/>
      <c r="CY666" s="1758"/>
      <c r="CZ666" s="1758"/>
      <c r="DA666" s="1758"/>
      <c r="DB666" s="1758"/>
      <c r="DC666" s="1758"/>
    </row>
    <row r="667" spans="1:107" s="1395" customFormat="1" ht="25.5" customHeight="1">
      <c r="A667" s="10893"/>
      <c r="B667" s="10731"/>
      <c r="C667" s="10728"/>
      <c r="D667" s="10728"/>
      <c r="E667" s="10728"/>
      <c r="F667" s="10744"/>
      <c r="G667" s="10728"/>
      <c r="H667" s="10728"/>
      <c r="I667" s="10728"/>
      <c r="J667" s="10728"/>
      <c r="K667" s="10735"/>
      <c r="L667" s="10738"/>
      <c r="M667" s="10738"/>
      <c r="N667" s="10738"/>
      <c r="O667" s="10735"/>
      <c r="P667" s="10735"/>
      <c r="Q667" s="10750"/>
      <c r="R667" s="5173"/>
      <c r="S667" s="5212"/>
      <c r="T667" s="5212"/>
      <c r="U667" s="5250"/>
      <c r="V667" s="5281"/>
      <c r="W667" s="5302"/>
      <c r="X667" s="7477"/>
      <c r="Y667" s="7473"/>
      <c r="Z667" s="7473"/>
      <c r="AA667" s="7474"/>
      <c r="AB667" s="5323"/>
      <c r="AC667" s="1396"/>
      <c r="AD667" s="5300"/>
      <c r="AE667" s="5346"/>
      <c r="AF667" s="5346"/>
      <c r="AG667" s="10777"/>
      <c r="AH667" s="1758"/>
      <c r="AI667" s="1758"/>
      <c r="AJ667" s="1758"/>
      <c r="AK667" s="1758"/>
      <c r="AL667" s="1758"/>
      <c r="AM667" s="1758"/>
      <c r="AN667" s="1758"/>
      <c r="AO667" s="1758"/>
      <c r="AP667" s="1758"/>
      <c r="AQ667" s="1758"/>
      <c r="AR667" s="1758"/>
      <c r="AS667" s="1758"/>
      <c r="AT667" s="1758"/>
      <c r="AU667" s="1758"/>
      <c r="AV667" s="1758"/>
      <c r="AW667" s="1758"/>
      <c r="AX667" s="1758"/>
      <c r="AY667" s="1758"/>
      <c r="AZ667" s="1758"/>
      <c r="BA667" s="1758"/>
      <c r="BB667" s="1758"/>
      <c r="BC667" s="1758"/>
      <c r="BD667" s="1758"/>
      <c r="BE667" s="1758"/>
      <c r="BF667" s="1758"/>
      <c r="BG667" s="1758"/>
      <c r="BH667" s="1758"/>
      <c r="BI667" s="1758"/>
      <c r="BJ667" s="1758"/>
      <c r="BK667" s="1758"/>
      <c r="BL667" s="1758"/>
      <c r="BM667" s="1758"/>
      <c r="BN667" s="1758"/>
      <c r="BO667" s="1758"/>
      <c r="BP667" s="1758"/>
      <c r="BQ667" s="1758"/>
      <c r="BR667" s="1758"/>
      <c r="BS667" s="1758"/>
      <c r="BT667" s="1758"/>
      <c r="BU667" s="1758"/>
      <c r="BV667" s="1758"/>
      <c r="BW667" s="1758"/>
      <c r="BX667" s="1758"/>
      <c r="BY667" s="1758"/>
      <c r="BZ667" s="1758"/>
      <c r="CA667" s="1758"/>
      <c r="CB667" s="1758"/>
      <c r="CC667" s="1758"/>
      <c r="CD667" s="1758"/>
      <c r="CE667" s="1758"/>
      <c r="CF667" s="1758"/>
      <c r="CG667" s="1758"/>
      <c r="CH667" s="1758"/>
      <c r="CI667" s="1758"/>
      <c r="CJ667" s="1758"/>
      <c r="CK667" s="1758"/>
      <c r="CL667" s="1758"/>
      <c r="CM667" s="1758"/>
      <c r="CN667" s="1758"/>
      <c r="CO667" s="1758"/>
      <c r="CP667" s="1758"/>
      <c r="CQ667" s="1758"/>
      <c r="CR667" s="1758"/>
      <c r="CS667" s="1758"/>
      <c r="CT667" s="1758"/>
      <c r="CU667" s="1758"/>
      <c r="CV667" s="1758"/>
      <c r="CW667" s="1758"/>
      <c r="CX667" s="1758"/>
      <c r="CY667" s="1758"/>
      <c r="CZ667" s="1758"/>
      <c r="DA667" s="1758"/>
      <c r="DB667" s="1758"/>
      <c r="DC667" s="1758"/>
    </row>
    <row r="668" spans="1:107" s="1395" customFormat="1" ht="25.5" customHeight="1">
      <c r="A668" s="10893"/>
      <c r="B668" s="10732"/>
      <c r="C668" s="10729"/>
      <c r="D668" s="10729"/>
      <c r="E668" s="10729"/>
      <c r="F668" s="10745"/>
      <c r="G668" s="10729"/>
      <c r="H668" s="10729"/>
      <c r="I668" s="10729"/>
      <c r="J668" s="10729"/>
      <c r="K668" s="10736"/>
      <c r="L668" s="10739"/>
      <c r="M668" s="10739"/>
      <c r="N668" s="10739"/>
      <c r="O668" s="10736"/>
      <c r="P668" s="10736"/>
      <c r="Q668" s="10751"/>
      <c r="R668" s="5175"/>
      <c r="S668" s="5215"/>
      <c r="T668" s="5215"/>
      <c r="U668" s="5251"/>
      <c r="V668" s="5282"/>
      <c r="W668" s="5303"/>
      <c r="X668" s="7479"/>
      <c r="Y668" s="7479"/>
      <c r="Z668" s="7479"/>
      <c r="AA668" s="7480"/>
      <c r="AB668" s="5326"/>
      <c r="AC668" s="1399"/>
      <c r="AD668" s="5303"/>
      <c r="AE668" s="5348"/>
      <c r="AF668" s="5348"/>
      <c r="AG668" s="10778"/>
      <c r="AH668" s="1758"/>
      <c r="AI668" s="1758"/>
      <c r="AJ668" s="1758"/>
      <c r="AK668" s="1758"/>
      <c r="AL668" s="1758"/>
      <c r="AM668" s="1758"/>
      <c r="AN668" s="1758"/>
      <c r="AO668" s="1758"/>
      <c r="AP668" s="1758"/>
      <c r="AQ668" s="1758"/>
      <c r="AR668" s="1758"/>
      <c r="AS668" s="1758"/>
      <c r="AT668" s="1758"/>
      <c r="AU668" s="1758"/>
      <c r="AV668" s="1758"/>
      <c r="AW668" s="1758"/>
      <c r="AX668" s="1758"/>
      <c r="AY668" s="1758"/>
      <c r="AZ668" s="1758"/>
      <c r="BA668" s="1758"/>
      <c r="BB668" s="1758"/>
      <c r="BC668" s="1758"/>
      <c r="BD668" s="1758"/>
      <c r="BE668" s="1758"/>
      <c r="BF668" s="1758"/>
      <c r="BG668" s="1758"/>
      <c r="BH668" s="1758"/>
      <c r="BI668" s="1758"/>
      <c r="BJ668" s="1758"/>
      <c r="BK668" s="1758"/>
      <c r="BL668" s="1758"/>
      <c r="BM668" s="1758"/>
      <c r="BN668" s="1758"/>
      <c r="BO668" s="1758"/>
      <c r="BP668" s="1758"/>
      <c r="BQ668" s="1758"/>
      <c r="BR668" s="1758"/>
      <c r="BS668" s="1758"/>
      <c r="BT668" s="1758"/>
      <c r="BU668" s="1758"/>
      <c r="BV668" s="1758"/>
      <c r="BW668" s="1758"/>
      <c r="BX668" s="1758"/>
      <c r="BY668" s="1758"/>
      <c r="BZ668" s="1758"/>
      <c r="CA668" s="1758"/>
      <c r="CB668" s="1758"/>
      <c r="CC668" s="1758"/>
      <c r="CD668" s="1758"/>
      <c r="CE668" s="1758"/>
      <c r="CF668" s="1758"/>
      <c r="CG668" s="1758"/>
      <c r="CH668" s="1758"/>
      <c r="CI668" s="1758"/>
      <c r="CJ668" s="1758"/>
      <c r="CK668" s="1758"/>
      <c r="CL668" s="1758"/>
      <c r="CM668" s="1758"/>
      <c r="CN668" s="1758"/>
      <c r="CO668" s="1758"/>
      <c r="CP668" s="1758"/>
      <c r="CQ668" s="1758"/>
      <c r="CR668" s="1758"/>
      <c r="CS668" s="1758"/>
      <c r="CT668" s="1758"/>
      <c r="CU668" s="1758"/>
      <c r="CV668" s="1758"/>
      <c r="CW668" s="1758"/>
      <c r="CX668" s="1758"/>
      <c r="CY668" s="1758"/>
      <c r="CZ668" s="1758"/>
      <c r="DA668" s="1758"/>
      <c r="DB668" s="1758"/>
      <c r="DC668" s="1758"/>
    </row>
    <row r="669" spans="1:107" s="1395" customFormat="1" ht="20.25" customHeight="1">
      <c r="A669" s="10893"/>
      <c r="B669" s="10731" t="s">
        <v>183</v>
      </c>
      <c r="C669" s="10728" t="s">
        <v>227</v>
      </c>
      <c r="D669" s="10728" t="s">
        <v>129</v>
      </c>
      <c r="E669" s="10728" t="s">
        <v>205</v>
      </c>
      <c r="F669" s="10744" t="s">
        <v>131</v>
      </c>
      <c r="G669" s="10728" t="s">
        <v>132</v>
      </c>
      <c r="H669" s="10728" t="s">
        <v>189</v>
      </c>
      <c r="I669" s="10728" t="s">
        <v>5028</v>
      </c>
      <c r="J669" s="10742" t="s">
        <v>5077</v>
      </c>
      <c r="K669" s="10735" t="s">
        <v>5030</v>
      </c>
      <c r="L669" s="10738">
        <v>0</v>
      </c>
      <c r="M669" s="10738">
        <v>3</v>
      </c>
      <c r="N669" s="10738">
        <v>3</v>
      </c>
      <c r="O669" s="10735" t="s">
        <v>5145</v>
      </c>
      <c r="P669" s="10735" t="s">
        <v>5010</v>
      </c>
      <c r="Q669" s="10750" t="s">
        <v>5133</v>
      </c>
      <c r="R669" s="5173"/>
      <c r="S669" s="5212"/>
      <c r="T669" s="5212"/>
      <c r="U669" s="5249"/>
      <c r="V669" s="5281"/>
      <c r="W669" s="5302"/>
      <c r="X669" s="7477"/>
      <c r="Y669" s="7477"/>
      <c r="Z669" s="7477"/>
      <c r="AA669" s="7478"/>
      <c r="AB669" s="5325"/>
      <c r="AC669" s="1398"/>
      <c r="AD669" s="5302"/>
      <c r="AE669" s="5349"/>
      <c r="AF669" s="5349"/>
      <c r="AG669" s="10777"/>
      <c r="AH669" s="1758"/>
      <c r="AI669" s="1758"/>
      <c r="AJ669" s="1758"/>
      <c r="AK669" s="1758"/>
      <c r="AL669" s="1758"/>
      <c r="AM669" s="1758"/>
      <c r="AN669" s="1758"/>
      <c r="AO669" s="1758"/>
      <c r="AP669" s="1758"/>
      <c r="AQ669" s="1758"/>
      <c r="AR669" s="1758"/>
      <c r="AS669" s="1758"/>
      <c r="AT669" s="1758"/>
      <c r="AU669" s="1758"/>
      <c r="AV669" s="1758"/>
      <c r="AW669" s="1758"/>
      <c r="AX669" s="1758"/>
      <c r="AY669" s="1758"/>
      <c r="AZ669" s="1758"/>
      <c r="BA669" s="1758"/>
      <c r="BB669" s="1758"/>
      <c r="BC669" s="1758"/>
      <c r="BD669" s="1758"/>
      <c r="BE669" s="1758"/>
      <c r="BF669" s="1758"/>
      <c r="BG669" s="1758"/>
      <c r="BH669" s="1758"/>
      <c r="BI669" s="1758"/>
      <c r="BJ669" s="1758"/>
      <c r="BK669" s="1758"/>
      <c r="BL669" s="1758"/>
      <c r="BM669" s="1758"/>
      <c r="BN669" s="1758"/>
      <c r="BO669" s="1758"/>
      <c r="BP669" s="1758"/>
      <c r="BQ669" s="1758"/>
      <c r="BR669" s="1758"/>
      <c r="BS669" s="1758"/>
      <c r="BT669" s="1758"/>
      <c r="BU669" s="1758"/>
      <c r="BV669" s="1758"/>
      <c r="BW669" s="1758"/>
      <c r="BX669" s="1758"/>
      <c r="BY669" s="1758"/>
      <c r="BZ669" s="1758"/>
      <c r="CA669" s="1758"/>
      <c r="CB669" s="1758"/>
      <c r="CC669" s="1758"/>
      <c r="CD669" s="1758"/>
      <c r="CE669" s="1758"/>
      <c r="CF669" s="1758"/>
      <c r="CG669" s="1758"/>
      <c r="CH669" s="1758"/>
      <c r="CI669" s="1758"/>
      <c r="CJ669" s="1758"/>
      <c r="CK669" s="1758"/>
      <c r="CL669" s="1758"/>
      <c r="CM669" s="1758"/>
      <c r="CN669" s="1758"/>
      <c r="CO669" s="1758"/>
      <c r="CP669" s="1758"/>
      <c r="CQ669" s="1758"/>
      <c r="CR669" s="1758"/>
      <c r="CS669" s="1758"/>
      <c r="CT669" s="1758"/>
      <c r="CU669" s="1758"/>
      <c r="CV669" s="1758"/>
      <c r="CW669" s="1758"/>
      <c r="CX669" s="1758"/>
      <c r="CY669" s="1758"/>
      <c r="CZ669" s="1758"/>
      <c r="DA669" s="1758"/>
      <c r="DB669" s="1758"/>
      <c r="DC669" s="1758"/>
    </row>
    <row r="670" spans="1:107" s="1395" customFormat="1" ht="20.25" customHeight="1">
      <c r="A670" s="10893"/>
      <c r="B670" s="10731"/>
      <c r="C670" s="10728"/>
      <c r="D670" s="10728"/>
      <c r="E670" s="10728"/>
      <c r="F670" s="10744"/>
      <c r="G670" s="10728"/>
      <c r="H670" s="10728"/>
      <c r="I670" s="10728"/>
      <c r="J670" s="10728"/>
      <c r="K670" s="10735"/>
      <c r="L670" s="10738"/>
      <c r="M670" s="10738"/>
      <c r="N670" s="10738"/>
      <c r="O670" s="10735"/>
      <c r="P670" s="10735"/>
      <c r="Q670" s="10750"/>
      <c r="R670" s="5171"/>
      <c r="S670" s="5213"/>
      <c r="T670" s="5213"/>
      <c r="U670" s="5247"/>
      <c r="V670" s="5279"/>
      <c r="W670" s="5300"/>
      <c r="X670" s="7473"/>
      <c r="Y670" s="7473"/>
      <c r="Z670" s="7473"/>
      <c r="AA670" s="7474"/>
      <c r="AB670" s="5323"/>
      <c r="AC670" s="1396"/>
      <c r="AD670" s="5300"/>
      <c r="AE670" s="5346"/>
      <c r="AF670" s="5346"/>
      <c r="AG670" s="10777"/>
      <c r="AH670" s="1758"/>
      <c r="AI670" s="1758"/>
      <c r="AJ670" s="1758"/>
      <c r="AK670" s="1758"/>
      <c r="AL670" s="1758"/>
      <c r="AM670" s="1758"/>
      <c r="AN670" s="1758"/>
      <c r="AO670" s="1758"/>
      <c r="AP670" s="1758"/>
      <c r="AQ670" s="1758"/>
      <c r="AR670" s="1758"/>
      <c r="AS670" s="1758"/>
      <c r="AT670" s="1758"/>
      <c r="AU670" s="1758"/>
      <c r="AV670" s="1758"/>
      <c r="AW670" s="1758"/>
      <c r="AX670" s="1758"/>
      <c r="AY670" s="1758"/>
      <c r="AZ670" s="1758"/>
      <c r="BA670" s="1758"/>
      <c r="BB670" s="1758"/>
      <c r="BC670" s="1758"/>
      <c r="BD670" s="1758"/>
      <c r="BE670" s="1758"/>
      <c r="BF670" s="1758"/>
      <c r="BG670" s="1758"/>
      <c r="BH670" s="1758"/>
      <c r="BI670" s="1758"/>
      <c r="BJ670" s="1758"/>
      <c r="BK670" s="1758"/>
      <c r="BL670" s="1758"/>
      <c r="BM670" s="1758"/>
      <c r="BN670" s="1758"/>
      <c r="BO670" s="1758"/>
      <c r="BP670" s="1758"/>
      <c r="BQ670" s="1758"/>
      <c r="BR670" s="1758"/>
      <c r="BS670" s="1758"/>
      <c r="BT670" s="1758"/>
      <c r="BU670" s="1758"/>
      <c r="BV670" s="1758"/>
      <c r="BW670" s="1758"/>
      <c r="BX670" s="1758"/>
      <c r="BY670" s="1758"/>
      <c r="BZ670" s="1758"/>
      <c r="CA670" s="1758"/>
      <c r="CB670" s="1758"/>
      <c r="CC670" s="1758"/>
      <c r="CD670" s="1758"/>
      <c r="CE670" s="1758"/>
      <c r="CF670" s="1758"/>
      <c r="CG670" s="1758"/>
      <c r="CH670" s="1758"/>
      <c r="CI670" s="1758"/>
      <c r="CJ670" s="1758"/>
      <c r="CK670" s="1758"/>
      <c r="CL670" s="1758"/>
      <c r="CM670" s="1758"/>
      <c r="CN670" s="1758"/>
      <c r="CO670" s="1758"/>
      <c r="CP670" s="1758"/>
      <c r="CQ670" s="1758"/>
      <c r="CR670" s="1758"/>
      <c r="CS670" s="1758"/>
      <c r="CT670" s="1758"/>
      <c r="CU670" s="1758"/>
      <c r="CV670" s="1758"/>
      <c r="CW670" s="1758"/>
      <c r="CX670" s="1758"/>
      <c r="CY670" s="1758"/>
      <c r="CZ670" s="1758"/>
      <c r="DA670" s="1758"/>
      <c r="DB670" s="1758"/>
      <c r="DC670" s="1758"/>
    </row>
    <row r="671" spans="1:107" s="1395" customFormat="1" ht="20.25" customHeight="1">
      <c r="A671" s="10893"/>
      <c r="B671" s="10731"/>
      <c r="C671" s="10728"/>
      <c r="D671" s="10728"/>
      <c r="E671" s="10728"/>
      <c r="F671" s="10744"/>
      <c r="G671" s="10728"/>
      <c r="H671" s="10728"/>
      <c r="I671" s="10728"/>
      <c r="J671" s="10728"/>
      <c r="K671" s="10735"/>
      <c r="L671" s="10738"/>
      <c r="M671" s="10738"/>
      <c r="N671" s="10738"/>
      <c r="O671" s="10735"/>
      <c r="P671" s="10735"/>
      <c r="Q671" s="10750"/>
      <c r="R671" s="5174"/>
      <c r="S671" s="5214"/>
      <c r="T671" s="5214"/>
      <c r="U671" s="5250"/>
      <c r="V671" s="5281"/>
      <c r="W671" s="5302"/>
      <c r="X671" s="7477"/>
      <c r="Y671" s="7473"/>
      <c r="Z671" s="7473"/>
      <c r="AA671" s="7474"/>
      <c r="AB671" s="5323"/>
      <c r="AC671" s="1396"/>
      <c r="AD671" s="5300"/>
      <c r="AE671" s="5346"/>
      <c r="AF671" s="5346"/>
      <c r="AG671" s="10777"/>
      <c r="AH671" s="1758"/>
      <c r="AI671" s="1758"/>
      <c r="AJ671" s="1758"/>
      <c r="AK671" s="1758"/>
      <c r="AL671" s="1758"/>
      <c r="AM671" s="1758"/>
      <c r="AN671" s="1758"/>
      <c r="AO671" s="1758"/>
      <c r="AP671" s="1758"/>
      <c r="AQ671" s="1758"/>
      <c r="AR671" s="1758"/>
      <c r="AS671" s="1758"/>
      <c r="AT671" s="1758"/>
      <c r="AU671" s="1758"/>
      <c r="AV671" s="1758"/>
      <c r="AW671" s="1758"/>
      <c r="AX671" s="1758"/>
      <c r="AY671" s="1758"/>
      <c r="AZ671" s="1758"/>
      <c r="BA671" s="1758"/>
      <c r="BB671" s="1758"/>
      <c r="BC671" s="1758"/>
      <c r="BD671" s="1758"/>
      <c r="BE671" s="1758"/>
      <c r="BF671" s="1758"/>
      <c r="BG671" s="1758"/>
      <c r="BH671" s="1758"/>
      <c r="BI671" s="1758"/>
      <c r="BJ671" s="1758"/>
      <c r="BK671" s="1758"/>
      <c r="BL671" s="1758"/>
      <c r="BM671" s="1758"/>
      <c r="BN671" s="1758"/>
      <c r="BO671" s="1758"/>
      <c r="BP671" s="1758"/>
      <c r="BQ671" s="1758"/>
      <c r="BR671" s="1758"/>
      <c r="BS671" s="1758"/>
      <c r="BT671" s="1758"/>
      <c r="BU671" s="1758"/>
      <c r="BV671" s="1758"/>
      <c r="BW671" s="1758"/>
      <c r="BX671" s="1758"/>
      <c r="BY671" s="1758"/>
      <c r="BZ671" s="1758"/>
      <c r="CA671" s="1758"/>
      <c r="CB671" s="1758"/>
      <c r="CC671" s="1758"/>
      <c r="CD671" s="1758"/>
      <c r="CE671" s="1758"/>
      <c r="CF671" s="1758"/>
      <c r="CG671" s="1758"/>
      <c r="CH671" s="1758"/>
      <c r="CI671" s="1758"/>
      <c r="CJ671" s="1758"/>
      <c r="CK671" s="1758"/>
      <c r="CL671" s="1758"/>
      <c r="CM671" s="1758"/>
      <c r="CN671" s="1758"/>
      <c r="CO671" s="1758"/>
      <c r="CP671" s="1758"/>
      <c r="CQ671" s="1758"/>
      <c r="CR671" s="1758"/>
      <c r="CS671" s="1758"/>
      <c r="CT671" s="1758"/>
      <c r="CU671" s="1758"/>
      <c r="CV671" s="1758"/>
      <c r="CW671" s="1758"/>
      <c r="CX671" s="1758"/>
      <c r="CY671" s="1758"/>
      <c r="CZ671" s="1758"/>
      <c r="DA671" s="1758"/>
      <c r="DB671" s="1758"/>
      <c r="DC671" s="1758"/>
    </row>
    <row r="672" spans="1:107" s="1395" customFormat="1" ht="20.25" customHeight="1">
      <c r="A672" s="10893"/>
      <c r="B672" s="10731"/>
      <c r="C672" s="10728"/>
      <c r="D672" s="10728"/>
      <c r="E672" s="10728"/>
      <c r="F672" s="10744"/>
      <c r="G672" s="10728"/>
      <c r="H672" s="10728"/>
      <c r="I672" s="10728"/>
      <c r="J672" s="10728"/>
      <c r="K672" s="10735"/>
      <c r="L672" s="10738"/>
      <c r="M672" s="10738"/>
      <c r="N672" s="10738"/>
      <c r="O672" s="10735"/>
      <c r="P672" s="10735"/>
      <c r="Q672" s="10750"/>
      <c r="R672" s="5173"/>
      <c r="S672" s="5212"/>
      <c r="T672" s="5212"/>
      <c r="U672" s="5250"/>
      <c r="V672" s="5281"/>
      <c r="W672" s="5302"/>
      <c r="X672" s="7477"/>
      <c r="Y672" s="7473"/>
      <c r="Z672" s="7473"/>
      <c r="AA672" s="7474"/>
      <c r="AB672" s="5323"/>
      <c r="AC672" s="1396"/>
      <c r="AD672" s="5300"/>
      <c r="AE672" s="5346"/>
      <c r="AF672" s="5346"/>
      <c r="AG672" s="10777"/>
      <c r="AH672" s="1758"/>
      <c r="AI672" s="1758"/>
      <c r="AJ672" s="1758"/>
      <c r="AK672" s="1758"/>
      <c r="AL672" s="1758"/>
      <c r="AM672" s="1758"/>
      <c r="AN672" s="1758"/>
      <c r="AO672" s="1758"/>
      <c r="AP672" s="1758"/>
      <c r="AQ672" s="1758"/>
      <c r="AR672" s="1758"/>
      <c r="AS672" s="1758"/>
      <c r="AT672" s="1758"/>
      <c r="AU672" s="1758"/>
      <c r="AV672" s="1758"/>
      <c r="AW672" s="1758"/>
      <c r="AX672" s="1758"/>
      <c r="AY672" s="1758"/>
      <c r="AZ672" s="1758"/>
      <c r="BA672" s="1758"/>
      <c r="BB672" s="1758"/>
      <c r="BC672" s="1758"/>
      <c r="BD672" s="1758"/>
      <c r="BE672" s="1758"/>
      <c r="BF672" s="1758"/>
      <c r="BG672" s="1758"/>
      <c r="BH672" s="1758"/>
      <c r="BI672" s="1758"/>
      <c r="BJ672" s="1758"/>
      <c r="BK672" s="1758"/>
      <c r="BL672" s="1758"/>
      <c r="BM672" s="1758"/>
      <c r="BN672" s="1758"/>
      <c r="BO672" s="1758"/>
      <c r="BP672" s="1758"/>
      <c r="BQ672" s="1758"/>
      <c r="BR672" s="1758"/>
      <c r="BS672" s="1758"/>
      <c r="BT672" s="1758"/>
      <c r="BU672" s="1758"/>
      <c r="BV672" s="1758"/>
      <c r="BW672" s="1758"/>
      <c r="BX672" s="1758"/>
      <c r="BY672" s="1758"/>
      <c r="BZ672" s="1758"/>
      <c r="CA672" s="1758"/>
      <c r="CB672" s="1758"/>
      <c r="CC672" s="1758"/>
      <c r="CD672" s="1758"/>
      <c r="CE672" s="1758"/>
      <c r="CF672" s="1758"/>
      <c r="CG672" s="1758"/>
      <c r="CH672" s="1758"/>
      <c r="CI672" s="1758"/>
      <c r="CJ672" s="1758"/>
      <c r="CK672" s="1758"/>
      <c r="CL672" s="1758"/>
      <c r="CM672" s="1758"/>
      <c r="CN672" s="1758"/>
      <c r="CO672" s="1758"/>
      <c r="CP672" s="1758"/>
      <c r="CQ672" s="1758"/>
      <c r="CR672" s="1758"/>
      <c r="CS672" s="1758"/>
      <c r="CT672" s="1758"/>
      <c r="CU672" s="1758"/>
      <c r="CV672" s="1758"/>
      <c r="CW672" s="1758"/>
      <c r="CX672" s="1758"/>
      <c r="CY672" s="1758"/>
      <c r="CZ672" s="1758"/>
      <c r="DA672" s="1758"/>
      <c r="DB672" s="1758"/>
      <c r="DC672" s="1758"/>
    </row>
    <row r="673" spans="1:107" s="1395" customFormat="1" ht="20.25" customHeight="1">
      <c r="A673" s="10893"/>
      <c r="B673" s="10732"/>
      <c r="C673" s="10729"/>
      <c r="D673" s="10729"/>
      <c r="E673" s="10729"/>
      <c r="F673" s="10745"/>
      <c r="G673" s="10729"/>
      <c r="H673" s="10729"/>
      <c r="I673" s="10729"/>
      <c r="J673" s="10729"/>
      <c r="K673" s="10736"/>
      <c r="L673" s="10739"/>
      <c r="M673" s="10739"/>
      <c r="N673" s="10739"/>
      <c r="O673" s="10736"/>
      <c r="P673" s="10736"/>
      <c r="Q673" s="10751"/>
      <c r="R673" s="5175"/>
      <c r="S673" s="5215"/>
      <c r="T673" s="5215"/>
      <c r="U673" s="5251"/>
      <c r="V673" s="5282"/>
      <c r="W673" s="5303"/>
      <c r="X673" s="7479"/>
      <c r="Y673" s="7479"/>
      <c r="Z673" s="7479"/>
      <c r="AA673" s="7480"/>
      <c r="AB673" s="5326"/>
      <c r="AC673" s="1399"/>
      <c r="AD673" s="5303"/>
      <c r="AE673" s="5348"/>
      <c r="AF673" s="5348"/>
      <c r="AG673" s="10778"/>
      <c r="AH673" s="1758"/>
      <c r="AI673" s="1758"/>
      <c r="AJ673" s="1758"/>
      <c r="AK673" s="1758"/>
      <c r="AL673" s="1758"/>
      <c r="AM673" s="1758"/>
      <c r="AN673" s="1758"/>
      <c r="AO673" s="1758"/>
      <c r="AP673" s="1758"/>
      <c r="AQ673" s="1758"/>
      <c r="AR673" s="1758"/>
      <c r="AS673" s="1758"/>
      <c r="AT673" s="1758"/>
      <c r="AU673" s="1758"/>
      <c r="AV673" s="1758"/>
      <c r="AW673" s="1758"/>
      <c r="AX673" s="1758"/>
      <c r="AY673" s="1758"/>
      <c r="AZ673" s="1758"/>
      <c r="BA673" s="1758"/>
      <c r="BB673" s="1758"/>
      <c r="BC673" s="1758"/>
      <c r="BD673" s="1758"/>
      <c r="BE673" s="1758"/>
      <c r="BF673" s="1758"/>
      <c r="BG673" s="1758"/>
      <c r="BH673" s="1758"/>
      <c r="BI673" s="1758"/>
      <c r="BJ673" s="1758"/>
      <c r="BK673" s="1758"/>
      <c r="BL673" s="1758"/>
      <c r="BM673" s="1758"/>
      <c r="BN673" s="1758"/>
      <c r="BO673" s="1758"/>
      <c r="BP673" s="1758"/>
      <c r="BQ673" s="1758"/>
      <c r="BR673" s="1758"/>
      <c r="BS673" s="1758"/>
      <c r="BT673" s="1758"/>
      <c r="BU673" s="1758"/>
      <c r="BV673" s="1758"/>
      <c r="BW673" s="1758"/>
      <c r="BX673" s="1758"/>
      <c r="BY673" s="1758"/>
      <c r="BZ673" s="1758"/>
      <c r="CA673" s="1758"/>
      <c r="CB673" s="1758"/>
      <c r="CC673" s="1758"/>
      <c r="CD673" s="1758"/>
      <c r="CE673" s="1758"/>
      <c r="CF673" s="1758"/>
      <c r="CG673" s="1758"/>
      <c r="CH673" s="1758"/>
      <c r="CI673" s="1758"/>
      <c r="CJ673" s="1758"/>
      <c r="CK673" s="1758"/>
      <c r="CL673" s="1758"/>
      <c r="CM673" s="1758"/>
      <c r="CN673" s="1758"/>
      <c r="CO673" s="1758"/>
      <c r="CP673" s="1758"/>
      <c r="CQ673" s="1758"/>
      <c r="CR673" s="1758"/>
      <c r="CS673" s="1758"/>
      <c r="CT673" s="1758"/>
      <c r="CU673" s="1758"/>
      <c r="CV673" s="1758"/>
      <c r="CW673" s="1758"/>
      <c r="CX673" s="1758"/>
      <c r="CY673" s="1758"/>
      <c r="CZ673" s="1758"/>
      <c r="DA673" s="1758"/>
      <c r="DB673" s="1758"/>
      <c r="DC673" s="1758"/>
    </row>
    <row r="674" spans="1:107" s="1395" customFormat="1" ht="21.75" customHeight="1">
      <c r="A674" s="10893"/>
      <c r="B674" s="10731" t="s">
        <v>183</v>
      </c>
      <c r="C674" s="10728" t="s">
        <v>227</v>
      </c>
      <c r="D674" s="10728" t="s">
        <v>228</v>
      </c>
      <c r="E674" s="10728" t="s">
        <v>255</v>
      </c>
      <c r="F674" s="10744" t="s">
        <v>230</v>
      </c>
      <c r="G674" s="10728" t="s">
        <v>132</v>
      </c>
      <c r="H674" s="10728" t="s">
        <v>189</v>
      </c>
      <c r="I674" s="10728" t="s">
        <v>5032</v>
      </c>
      <c r="J674" s="10742" t="s">
        <v>4647</v>
      </c>
      <c r="K674" s="10735" t="s">
        <v>5033</v>
      </c>
      <c r="L674" s="10738">
        <v>0</v>
      </c>
      <c r="M674" s="10738">
        <v>1</v>
      </c>
      <c r="N674" s="10738">
        <v>1</v>
      </c>
      <c r="O674" s="10735" t="s">
        <v>5034</v>
      </c>
      <c r="P674" s="10735" t="s">
        <v>5035</v>
      </c>
      <c r="Q674" s="10750" t="s">
        <v>5133</v>
      </c>
      <c r="R674" s="5173"/>
      <c r="S674" s="5212"/>
      <c r="T674" s="5212"/>
      <c r="U674" s="5249"/>
      <c r="V674" s="5281"/>
      <c r="W674" s="5302"/>
      <c r="X674" s="7477"/>
      <c r="Y674" s="7477"/>
      <c r="Z674" s="7477"/>
      <c r="AA674" s="7478"/>
      <c r="AB674" s="5325"/>
      <c r="AC674" s="1398"/>
      <c r="AD674" s="5302"/>
      <c r="AE674" s="5349"/>
      <c r="AF674" s="5349"/>
      <c r="AG674" s="10777"/>
      <c r="AH674" s="1758"/>
      <c r="AI674" s="1758"/>
      <c r="AJ674" s="1758"/>
      <c r="AK674" s="1758"/>
      <c r="AL674" s="1758"/>
      <c r="AM674" s="1758"/>
      <c r="AN674" s="1758"/>
      <c r="AO674" s="1758"/>
      <c r="AP674" s="1758"/>
      <c r="AQ674" s="1758"/>
      <c r="AR674" s="1758"/>
      <c r="AS674" s="1758"/>
      <c r="AT674" s="1758"/>
      <c r="AU674" s="1758"/>
      <c r="AV674" s="1758"/>
      <c r="AW674" s="1758"/>
      <c r="AX674" s="1758"/>
      <c r="AY674" s="1758"/>
      <c r="AZ674" s="1758"/>
      <c r="BA674" s="1758"/>
      <c r="BB674" s="1758"/>
      <c r="BC674" s="1758"/>
      <c r="BD674" s="1758"/>
      <c r="BE674" s="1758"/>
      <c r="BF674" s="1758"/>
      <c r="BG674" s="1758"/>
      <c r="BH674" s="1758"/>
      <c r="BI674" s="1758"/>
      <c r="BJ674" s="1758"/>
      <c r="BK674" s="1758"/>
      <c r="BL674" s="1758"/>
      <c r="BM674" s="1758"/>
      <c r="BN674" s="1758"/>
      <c r="BO674" s="1758"/>
      <c r="BP674" s="1758"/>
      <c r="BQ674" s="1758"/>
      <c r="BR674" s="1758"/>
      <c r="BS674" s="1758"/>
      <c r="BT674" s="1758"/>
      <c r="BU674" s="1758"/>
      <c r="BV674" s="1758"/>
      <c r="BW674" s="1758"/>
      <c r="BX674" s="1758"/>
      <c r="BY674" s="1758"/>
      <c r="BZ674" s="1758"/>
      <c r="CA674" s="1758"/>
      <c r="CB674" s="1758"/>
      <c r="CC674" s="1758"/>
      <c r="CD674" s="1758"/>
      <c r="CE674" s="1758"/>
      <c r="CF674" s="1758"/>
      <c r="CG674" s="1758"/>
      <c r="CH674" s="1758"/>
      <c r="CI674" s="1758"/>
      <c r="CJ674" s="1758"/>
      <c r="CK674" s="1758"/>
      <c r="CL674" s="1758"/>
      <c r="CM674" s="1758"/>
      <c r="CN674" s="1758"/>
      <c r="CO674" s="1758"/>
      <c r="CP674" s="1758"/>
      <c r="CQ674" s="1758"/>
      <c r="CR674" s="1758"/>
      <c r="CS674" s="1758"/>
      <c r="CT674" s="1758"/>
      <c r="CU674" s="1758"/>
      <c r="CV674" s="1758"/>
      <c r="CW674" s="1758"/>
      <c r="CX674" s="1758"/>
      <c r="CY674" s="1758"/>
      <c r="CZ674" s="1758"/>
      <c r="DA674" s="1758"/>
      <c r="DB674" s="1758"/>
      <c r="DC674" s="1758"/>
    </row>
    <row r="675" spans="1:107" s="1395" customFormat="1" ht="21.75" customHeight="1">
      <c r="A675" s="10893"/>
      <c r="B675" s="10731"/>
      <c r="C675" s="10728"/>
      <c r="D675" s="10728"/>
      <c r="E675" s="10728"/>
      <c r="F675" s="10744"/>
      <c r="G675" s="10728"/>
      <c r="H675" s="10728"/>
      <c r="I675" s="10728"/>
      <c r="J675" s="10728"/>
      <c r="K675" s="10735"/>
      <c r="L675" s="10738"/>
      <c r="M675" s="10738"/>
      <c r="N675" s="10738"/>
      <c r="O675" s="10735"/>
      <c r="P675" s="10735"/>
      <c r="Q675" s="10750"/>
      <c r="R675" s="5171"/>
      <c r="S675" s="5213"/>
      <c r="T675" s="5213"/>
      <c r="U675" s="5247"/>
      <c r="V675" s="5279"/>
      <c r="W675" s="5300"/>
      <c r="X675" s="7473"/>
      <c r="Y675" s="7473"/>
      <c r="Z675" s="7473"/>
      <c r="AA675" s="7474"/>
      <c r="AB675" s="5323"/>
      <c r="AC675" s="1396"/>
      <c r="AD675" s="5300"/>
      <c r="AE675" s="5346"/>
      <c r="AF675" s="5346"/>
      <c r="AG675" s="10777"/>
      <c r="AH675" s="1758"/>
      <c r="AI675" s="1758"/>
      <c r="AJ675" s="1758"/>
      <c r="AK675" s="1758"/>
      <c r="AL675" s="1758"/>
      <c r="AM675" s="1758"/>
      <c r="AN675" s="1758"/>
      <c r="AO675" s="1758"/>
      <c r="AP675" s="1758"/>
      <c r="AQ675" s="1758"/>
      <c r="AR675" s="1758"/>
      <c r="AS675" s="1758"/>
      <c r="AT675" s="1758"/>
      <c r="AU675" s="1758"/>
      <c r="AV675" s="1758"/>
      <c r="AW675" s="1758"/>
      <c r="AX675" s="1758"/>
      <c r="AY675" s="1758"/>
      <c r="AZ675" s="1758"/>
      <c r="BA675" s="1758"/>
      <c r="BB675" s="1758"/>
      <c r="BC675" s="1758"/>
      <c r="BD675" s="1758"/>
      <c r="BE675" s="1758"/>
      <c r="BF675" s="1758"/>
      <c r="BG675" s="1758"/>
      <c r="BH675" s="1758"/>
      <c r="BI675" s="1758"/>
      <c r="BJ675" s="1758"/>
      <c r="BK675" s="1758"/>
      <c r="BL675" s="1758"/>
      <c r="BM675" s="1758"/>
      <c r="BN675" s="1758"/>
      <c r="BO675" s="1758"/>
      <c r="BP675" s="1758"/>
      <c r="BQ675" s="1758"/>
      <c r="BR675" s="1758"/>
      <c r="BS675" s="1758"/>
      <c r="BT675" s="1758"/>
      <c r="BU675" s="1758"/>
      <c r="BV675" s="1758"/>
      <c r="BW675" s="1758"/>
      <c r="BX675" s="1758"/>
      <c r="BY675" s="1758"/>
      <c r="BZ675" s="1758"/>
      <c r="CA675" s="1758"/>
      <c r="CB675" s="1758"/>
      <c r="CC675" s="1758"/>
      <c r="CD675" s="1758"/>
      <c r="CE675" s="1758"/>
      <c r="CF675" s="1758"/>
      <c r="CG675" s="1758"/>
      <c r="CH675" s="1758"/>
      <c r="CI675" s="1758"/>
      <c r="CJ675" s="1758"/>
      <c r="CK675" s="1758"/>
      <c r="CL675" s="1758"/>
      <c r="CM675" s="1758"/>
      <c r="CN675" s="1758"/>
      <c r="CO675" s="1758"/>
      <c r="CP675" s="1758"/>
      <c r="CQ675" s="1758"/>
      <c r="CR675" s="1758"/>
      <c r="CS675" s="1758"/>
      <c r="CT675" s="1758"/>
      <c r="CU675" s="1758"/>
      <c r="CV675" s="1758"/>
      <c r="CW675" s="1758"/>
      <c r="CX675" s="1758"/>
      <c r="CY675" s="1758"/>
      <c r="CZ675" s="1758"/>
      <c r="DA675" s="1758"/>
      <c r="DB675" s="1758"/>
      <c r="DC675" s="1758"/>
    </row>
    <row r="676" spans="1:107" s="1395" customFormat="1" ht="21.75" customHeight="1">
      <c r="A676" s="10893"/>
      <c r="B676" s="10731"/>
      <c r="C676" s="10728"/>
      <c r="D676" s="10728"/>
      <c r="E676" s="10728"/>
      <c r="F676" s="10744"/>
      <c r="G676" s="10728"/>
      <c r="H676" s="10728"/>
      <c r="I676" s="10728"/>
      <c r="J676" s="10728"/>
      <c r="K676" s="10735"/>
      <c r="L676" s="10738"/>
      <c r="M676" s="10738"/>
      <c r="N676" s="10738"/>
      <c r="O676" s="10735"/>
      <c r="P676" s="10735"/>
      <c r="Q676" s="10750"/>
      <c r="R676" s="5174"/>
      <c r="S676" s="5214"/>
      <c r="T676" s="5214"/>
      <c r="U676" s="5250"/>
      <c r="V676" s="5281"/>
      <c r="W676" s="5302"/>
      <c r="X676" s="7477"/>
      <c r="Y676" s="7473"/>
      <c r="Z676" s="7473"/>
      <c r="AA676" s="7474"/>
      <c r="AB676" s="5323"/>
      <c r="AC676" s="1396"/>
      <c r="AD676" s="5300"/>
      <c r="AE676" s="5346"/>
      <c r="AF676" s="5346"/>
      <c r="AG676" s="10777"/>
      <c r="AH676" s="1758"/>
      <c r="AI676" s="1758"/>
      <c r="AJ676" s="1758"/>
      <c r="AK676" s="1758"/>
      <c r="AL676" s="1758"/>
      <c r="AM676" s="1758"/>
      <c r="AN676" s="1758"/>
      <c r="AO676" s="1758"/>
      <c r="AP676" s="1758"/>
      <c r="AQ676" s="1758"/>
      <c r="AR676" s="1758"/>
      <c r="AS676" s="1758"/>
      <c r="AT676" s="1758"/>
      <c r="AU676" s="1758"/>
      <c r="AV676" s="1758"/>
      <c r="AW676" s="1758"/>
      <c r="AX676" s="1758"/>
      <c r="AY676" s="1758"/>
      <c r="AZ676" s="1758"/>
      <c r="BA676" s="1758"/>
      <c r="BB676" s="1758"/>
      <c r="BC676" s="1758"/>
      <c r="BD676" s="1758"/>
      <c r="BE676" s="1758"/>
      <c r="BF676" s="1758"/>
      <c r="BG676" s="1758"/>
      <c r="BH676" s="1758"/>
      <c r="BI676" s="1758"/>
      <c r="BJ676" s="1758"/>
      <c r="BK676" s="1758"/>
      <c r="BL676" s="1758"/>
      <c r="BM676" s="1758"/>
      <c r="BN676" s="1758"/>
      <c r="BO676" s="1758"/>
      <c r="BP676" s="1758"/>
      <c r="BQ676" s="1758"/>
      <c r="BR676" s="1758"/>
      <c r="BS676" s="1758"/>
      <c r="BT676" s="1758"/>
      <c r="BU676" s="1758"/>
      <c r="BV676" s="1758"/>
      <c r="BW676" s="1758"/>
      <c r="BX676" s="1758"/>
      <c r="BY676" s="1758"/>
      <c r="BZ676" s="1758"/>
      <c r="CA676" s="1758"/>
      <c r="CB676" s="1758"/>
      <c r="CC676" s="1758"/>
      <c r="CD676" s="1758"/>
      <c r="CE676" s="1758"/>
      <c r="CF676" s="1758"/>
      <c r="CG676" s="1758"/>
      <c r="CH676" s="1758"/>
      <c r="CI676" s="1758"/>
      <c r="CJ676" s="1758"/>
      <c r="CK676" s="1758"/>
      <c r="CL676" s="1758"/>
      <c r="CM676" s="1758"/>
      <c r="CN676" s="1758"/>
      <c r="CO676" s="1758"/>
      <c r="CP676" s="1758"/>
      <c r="CQ676" s="1758"/>
      <c r="CR676" s="1758"/>
      <c r="CS676" s="1758"/>
      <c r="CT676" s="1758"/>
      <c r="CU676" s="1758"/>
      <c r="CV676" s="1758"/>
      <c r="CW676" s="1758"/>
      <c r="CX676" s="1758"/>
      <c r="CY676" s="1758"/>
      <c r="CZ676" s="1758"/>
      <c r="DA676" s="1758"/>
      <c r="DB676" s="1758"/>
      <c r="DC676" s="1758"/>
    </row>
    <row r="677" spans="1:107" s="1395" customFormat="1" ht="21.75" customHeight="1">
      <c r="A677" s="10893"/>
      <c r="B677" s="10731"/>
      <c r="C677" s="10728"/>
      <c r="D677" s="10728"/>
      <c r="E677" s="10728"/>
      <c r="F677" s="10744"/>
      <c r="G677" s="10728"/>
      <c r="H677" s="10728"/>
      <c r="I677" s="10728"/>
      <c r="J677" s="10728"/>
      <c r="K677" s="10735"/>
      <c r="L677" s="10738"/>
      <c r="M677" s="10738"/>
      <c r="N677" s="10738"/>
      <c r="O677" s="10735"/>
      <c r="P677" s="10735"/>
      <c r="Q677" s="10750"/>
      <c r="R677" s="5173"/>
      <c r="S677" s="5212"/>
      <c r="T677" s="5212"/>
      <c r="U677" s="5250"/>
      <c r="V677" s="5281"/>
      <c r="W677" s="5302"/>
      <c r="X677" s="7477"/>
      <c r="Y677" s="7473"/>
      <c r="Z677" s="7473"/>
      <c r="AA677" s="7474"/>
      <c r="AB677" s="5323"/>
      <c r="AC677" s="1396"/>
      <c r="AD677" s="5300"/>
      <c r="AE677" s="5346"/>
      <c r="AF677" s="5346"/>
      <c r="AG677" s="10777"/>
      <c r="AH677" s="1758"/>
      <c r="AI677" s="1758"/>
      <c r="AJ677" s="1758"/>
      <c r="AK677" s="1758"/>
      <c r="AL677" s="1758"/>
      <c r="AM677" s="1758"/>
      <c r="AN677" s="1758"/>
      <c r="AO677" s="1758"/>
      <c r="AP677" s="1758"/>
      <c r="AQ677" s="1758"/>
      <c r="AR677" s="1758"/>
      <c r="AS677" s="1758"/>
      <c r="AT677" s="1758"/>
      <c r="AU677" s="1758"/>
      <c r="AV677" s="1758"/>
      <c r="AW677" s="1758"/>
      <c r="AX677" s="1758"/>
      <c r="AY677" s="1758"/>
      <c r="AZ677" s="1758"/>
      <c r="BA677" s="1758"/>
      <c r="BB677" s="1758"/>
      <c r="BC677" s="1758"/>
      <c r="BD677" s="1758"/>
      <c r="BE677" s="1758"/>
      <c r="BF677" s="1758"/>
      <c r="BG677" s="1758"/>
      <c r="BH677" s="1758"/>
      <c r="BI677" s="1758"/>
      <c r="BJ677" s="1758"/>
      <c r="BK677" s="1758"/>
      <c r="BL677" s="1758"/>
      <c r="BM677" s="1758"/>
      <c r="BN677" s="1758"/>
      <c r="BO677" s="1758"/>
      <c r="BP677" s="1758"/>
      <c r="BQ677" s="1758"/>
      <c r="BR677" s="1758"/>
      <c r="BS677" s="1758"/>
      <c r="BT677" s="1758"/>
      <c r="BU677" s="1758"/>
      <c r="BV677" s="1758"/>
      <c r="BW677" s="1758"/>
      <c r="BX677" s="1758"/>
      <c r="BY677" s="1758"/>
      <c r="BZ677" s="1758"/>
      <c r="CA677" s="1758"/>
      <c r="CB677" s="1758"/>
      <c r="CC677" s="1758"/>
      <c r="CD677" s="1758"/>
      <c r="CE677" s="1758"/>
      <c r="CF677" s="1758"/>
      <c r="CG677" s="1758"/>
      <c r="CH677" s="1758"/>
      <c r="CI677" s="1758"/>
      <c r="CJ677" s="1758"/>
      <c r="CK677" s="1758"/>
      <c r="CL677" s="1758"/>
      <c r="CM677" s="1758"/>
      <c r="CN677" s="1758"/>
      <c r="CO677" s="1758"/>
      <c r="CP677" s="1758"/>
      <c r="CQ677" s="1758"/>
      <c r="CR677" s="1758"/>
      <c r="CS677" s="1758"/>
      <c r="CT677" s="1758"/>
      <c r="CU677" s="1758"/>
      <c r="CV677" s="1758"/>
      <c r="CW677" s="1758"/>
      <c r="CX677" s="1758"/>
      <c r="CY677" s="1758"/>
      <c r="CZ677" s="1758"/>
      <c r="DA677" s="1758"/>
      <c r="DB677" s="1758"/>
      <c r="DC677" s="1758"/>
    </row>
    <row r="678" spans="1:107" s="1395" customFormat="1" ht="21.75" customHeight="1">
      <c r="A678" s="10893"/>
      <c r="B678" s="10732"/>
      <c r="C678" s="10729"/>
      <c r="D678" s="10729"/>
      <c r="E678" s="10729"/>
      <c r="F678" s="10745"/>
      <c r="G678" s="10729"/>
      <c r="H678" s="10729"/>
      <c r="I678" s="10729"/>
      <c r="J678" s="10729"/>
      <c r="K678" s="10736"/>
      <c r="L678" s="10739"/>
      <c r="M678" s="10739"/>
      <c r="N678" s="10739"/>
      <c r="O678" s="10736"/>
      <c r="P678" s="10736"/>
      <c r="Q678" s="10751"/>
      <c r="R678" s="5175"/>
      <c r="S678" s="5215"/>
      <c r="T678" s="5215"/>
      <c r="U678" s="5251"/>
      <c r="V678" s="5282"/>
      <c r="W678" s="5303"/>
      <c r="X678" s="7479"/>
      <c r="Y678" s="7479"/>
      <c r="Z678" s="7479"/>
      <c r="AA678" s="7480"/>
      <c r="AB678" s="5326"/>
      <c r="AC678" s="1399"/>
      <c r="AD678" s="5303"/>
      <c r="AE678" s="5348"/>
      <c r="AF678" s="5348"/>
      <c r="AG678" s="10778"/>
      <c r="AH678" s="1758"/>
      <c r="AI678" s="1758"/>
      <c r="AJ678" s="1758"/>
      <c r="AK678" s="1758"/>
      <c r="AL678" s="1758"/>
      <c r="AM678" s="1758"/>
      <c r="AN678" s="1758"/>
      <c r="AO678" s="1758"/>
      <c r="AP678" s="1758"/>
      <c r="AQ678" s="1758"/>
      <c r="AR678" s="1758"/>
      <c r="AS678" s="1758"/>
      <c r="AT678" s="1758"/>
      <c r="AU678" s="1758"/>
      <c r="AV678" s="1758"/>
      <c r="AW678" s="1758"/>
      <c r="AX678" s="1758"/>
      <c r="AY678" s="1758"/>
      <c r="AZ678" s="1758"/>
      <c r="BA678" s="1758"/>
      <c r="BB678" s="1758"/>
      <c r="BC678" s="1758"/>
      <c r="BD678" s="1758"/>
      <c r="BE678" s="1758"/>
      <c r="BF678" s="1758"/>
      <c r="BG678" s="1758"/>
      <c r="BH678" s="1758"/>
      <c r="BI678" s="1758"/>
      <c r="BJ678" s="1758"/>
      <c r="BK678" s="1758"/>
      <c r="BL678" s="1758"/>
      <c r="BM678" s="1758"/>
      <c r="BN678" s="1758"/>
      <c r="BO678" s="1758"/>
      <c r="BP678" s="1758"/>
      <c r="BQ678" s="1758"/>
      <c r="BR678" s="1758"/>
      <c r="BS678" s="1758"/>
      <c r="BT678" s="1758"/>
      <c r="BU678" s="1758"/>
      <c r="BV678" s="1758"/>
      <c r="BW678" s="1758"/>
      <c r="BX678" s="1758"/>
      <c r="BY678" s="1758"/>
      <c r="BZ678" s="1758"/>
      <c r="CA678" s="1758"/>
      <c r="CB678" s="1758"/>
      <c r="CC678" s="1758"/>
      <c r="CD678" s="1758"/>
      <c r="CE678" s="1758"/>
      <c r="CF678" s="1758"/>
      <c r="CG678" s="1758"/>
      <c r="CH678" s="1758"/>
      <c r="CI678" s="1758"/>
      <c r="CJ678" s="1758"/>
      <c r="CK678" s="1758"/>
      <c r="CL678" s="1758"/>
      <c r="CM678" s="1758"/>
      <c r="CN678" s="1758"/>
      <c r="CO678" s="1758"/>
      <c r="CP678" s="1758"/>
      <c r="CQ678" s="1758"/>
      <c r="CR678" s="1758"/>
      <c r="CS678" s="1758"/>
      <c r="CT678" s="1758"/>
      <c r="CU678" s="1758"/>
      <c r="CV678" s="1758"/>
      <c r="CW678" s="1758"/>
      <c r="CX678" s="1758"/>
      <c r="CY678" s="1758"/>
      <c r="CZ678" s="1758"/>
      <c r="DA678" s="1758"/>
      <c r="DB678" s="1758"/>
      <c r="DC678" s="1758"/>
    </row>
    <row r="679" spans="1:107" s="1395" customFormat="1" ht="20.25" customHeight="1">
      <c r="A679" s="10893"/>
      <c r="B679" s="10731" t="s">
        <v>183</v>
      </c>
      <c r="C679" s="10728" t="s">
        <v>227</v>
      </c>
      <c r="D679" s="10728" t="s">
        <v>490</v>
      </c>
      <c r="E679" s="10728" t="s">
        <v>2210</v>
      </c>
      <c r="F679" s="10744" t="s">
        <v>230</v>
      </c>
      <c r="G679" s="10728" t="s">
        <v>132</v>
      </c>
      <c r="H679" s="10728" t="s">
        <v>189</v>
      </c>
      <c r="I679" s="10728" t="s">
        <v>5036</v>
      </c>
      <c r="J679" s="10742" t="s">
        <v>4652</v>
      </c>
      <c r="K679" s="10735" t="s">
        <v>5037</v>
      </c>
      <c r="L679" s="10738">
        <v>0</v>
      </c>
      <c r="M679" s="10738">
        <v>16</v>
      </c>
      <c r="N679" s="10738">
        <v>16</v>
      </c>
      <c r="O679" s="10735" t="s">
        <v>5038</v>
      </c>
      <c r="P679" s="10735" t="s">
        <v>5039</v>
      </c>
      <c r="Q679" s="10750" t="s">
        <v>5133</v>
      </c>
      <c r="R679" s="5173"/>
      <c r="S679" s="5212"/>
      <c r="T679" s="5212"/>
      <c r="U679" s="5249"/>
      <c r="V679" s="5281"/>
      <c r="W679" s="5302"/>
      <c r="X679" s="7477"/>
      <c r="Y679" s="7477"/>
      <c r="Z679" s="7477"/>
      <c r="AA679" s="7478"/>
      <c r="AB679" s="5325"/>
      <c r="AC679" s="1398"/>
      <c r="AD679" s="5302"/>
      <c r="AE679" s="5349"/>
      <c r="AF679" s="5349"/>
      <c r="AG679" s="10777"/>
      <c r="AH679" s="1758"/>
      <c r="AI679" s="1758"/>
      <c r="AJ679" s="1758"/>
      <c r="AK679" s="1758"/>
      <c r="AL679" s="1758"/>
      <c r="AM679" s="1758"/>
      <c r="AN679" s="1758"/>
      <c r="AO679" s="1758"/>
      <c r="AP679" s="1758"/>
      <c r="AQ679" s="1758"/>
      <c r="AR679" s="1758"/>
      <c r="AS679" s="1758"/>
      <c r="AT679" s="1758"/>
      <c r="AU679" s="1758"/>
      <c r="AV679" s="1758"/>
      <c r="AW679" s="1758"/>
      <c r="AX679" s="1758"/>
      <c r="AY679" s="1758"/>
      <c r="AZ679" s="1758"/>
      <c r="BA679" s="1758"/>
      <c r="BB679" s="1758"/>
      <c r="BC679" s="1758"/>
      <c r="BD679" s="1758"/>
      <c r="BE679" s="1758"/>
      <c r="BF679" s="1758"/>
      <c r="BG679" s="1758"/>
      <c r="BH679" s="1758"/>
      <c r="BI679" s="1758"/>
      <c r="BJ679" s="1758"/>
      <c r="BK679" s="1758"/>
      <c r="BL679" s="1758"/>
      <c r="BM679" s="1758"/>
      <c r="BN679" s="1758"/>
      <c r="BO679" s="1758"/>
      <c r="BP679" s="1758"/>
      <c r="BQ679" s="1758"/>
      <c r="BR679" s="1758"/>
      <c r="BS679" s="1758"/>
      <c r="BT679" s="1758"/>
      <c r="BU679" s="1758"/>
      <c r="BV679" s="1758"/>
      <c r="BW679" s="1758"/>
      <c r="BX679" s="1758"/>
      <c r="BY679" s="1758"/>
      <c r="BZ679" s="1758"/>
      <c r="CA679" s="1758"/>
      <c r="CB679" s="1758"/>
      <c r="CC679" s="1758"/>
      <c r="CD679" s="1758"/>
      <c r="CE679" s="1758"/>
      <c r="CF679" s="1758"/>
      <c r="CG679" s="1758"/>
      <c r="CH679" s="1758"/>
      <c r="CI679" s="1758"/>
      <c r="CJ679" s="1758"/>
      <c r="CK679" s="1758"/>
      <c r="CL679" s="1758"/>
      <c r="CM679" s="1758"/>
      <c r="CN679" s="1758"/>
      <c r="CO679" s="1758"/>
      <c r="CP679" s="1758"/>
      <c r="CQ679" s="1758"/>
      <c r="CR679" s="1758"/>
      <c r="CS679" s="1758"/>
      <c r="CT679" s="1758"/>
      <c r="CU679" s="1758"/>
      <c r="CV679" s="1758"/>
      <c r="CW679" s="1758"/>
      <c r="CX679" s="1758"/>
      <c r="CY679" s="1758"/>
      <c r="CZ679" s="1758"/>
      <c r="DA679" s="1758"/>
      <c r="DB679" s="1758"/>
      <c r="DC679" s="1758"/>
    </row>
    <row r="680" spans="1:107" s="1395" customFormat="1" ht="20.25" customHeight="1">
      <c r="A680" s="10893"/>
      <c r="B680" s="10731"/>
      <c r="C680" s="10728"/>
      <c r="D680" s="10728"/>
      <c r="E680" s="10728"/>
      <c r="F680" s="10744"/>
      <c r="G680" s="10728"/>
      <c r="H680" s="10728"/>
      <c r="I680" s="10728"/>
      <c r="J680" s="10728"/>
      <c r="K680" s="10735"/>
      <c r="L680" s="10738"/>
      <c r="M680" s="10738"/>
      <c r="N680" s="10738"/>
      <c r="O680" s="10735"/>
      <c r="P680" s="10735"/>
      <c r="Q680" s="10750"/>
      <c r="R680" s="5171"/>
      <c r="S680" s="5213"/>
      <c r="T680" s="5213"/>
      <c r="U680" s="5247"/>
      <c r="V680" s="5279"/>
      <c r="W680" s="5300"/>
      <c r="X680" s="7473"/>
      <c r="Y680" s="7473"/>
      <c r="Z680" s="7473"/>
      <c r="AA680" s="7474"/>
      <c r="AB680" s="5323"/>
      <c r="AC680" s="1396"/>
      <c r="AD680" s="5300"/>
      <c r="AE680" s="5346"/>
      <c r="AF680" s="5346"/>
      <c r="AG680" s="10777"/>
      <c r="AH680" s="1758"/>
      <c r="AI680" s="1758"/>
      <c r="AJ680" s="1758"/>
      <c r="AK680" s="1758"/>
      <c r="AL680" s="1758"/>
      <c r="AM680" s="1758"/>
      <c r="AN680" s="1758"/>
      <c r="AO680" s="1758"/>
      <c r="AP680" s="1758"/>
      <c r="AQ680" s="1758"/>
      <c r="AR680" s="1758"/>
      <c r="AS680" s="1758"/>
      <c r="AT680" s="1758"/>
      <c r="AU680" s="1758"/>
      <c r="AV680" s="1758"/>
      <c r="AW680" s="1758"/>
      <c r="AX680" s="1758"/>
      <c r="AY680" s="1758"/>
      <c r="AZ680" s="1758"/>
      <c r="BA680" s="1758"/>
      <c r="BB680" s="1758"/>
      <c r="BC680" s="1758"/>
      <c r="BD680" s="1758"/>
      <c r="BE680" s="1758"/>
      <c r="BF680" s="1758"/>
      <c r="BG680" s="1758"/>
      <c r="BH680" s="1758"/>
      <c r="BI680" s="1758"/>
      <c r="BJ680" s="1758"/>
      <c r="BK680" s="1758"/>
      <c r="BL680" s="1758"/>
      <c r="BM680" s="1758"/>
      <c r="BN680" s="1758"/>
      <c r="BO680" s="1758"/>
      <c r="BP680" s="1758"/>
      <c r="BQ680" s="1758"/>
      <c r="BR680" s="1758"/>
      <c r="BS680" s="1758"/>
      <c r="BT680" s="1758"/>
      <c r="BU680" s="1758"/>
      <c r="BV680" s="1758"/>
      <c r="BW680" s="1758"/>
      <c r="BX680" s="1758"/>
      <c r="BY680" s="1758"/>
      <c r="BZ680" s="1758"/>
      <c r="CA680" s="1758"/>
      <c r="CB680" s="1758"/>
      <c r="CC680" s="1758"/>
      <c r="CD680" s="1758"/>
      <c r="CE680" s="1758"/>
      <c r="CF680" s="1758"/>
      <c r="CG680" s="1758"/>
      <c r="CH680" s="1758"/>
      <c r="CI680" s="1758"/>
      <c r="CJ680" s="1758"/>
      <c r="CK680" s="1758"/>
      <c r="CL680" s="1758"/>
      <c r="CM680" s="1758"/>
      <c r="CN680" s="1758"/>
      <c r="CO680" s="1758"/>
      <c r="CP680" s="1758"/>
      <c r="CQ680" s="1758"/>
      <c r="CR680" s="1758"/>
      <c r="CS680" s="1758"/>
      <c r="CT680" s="1758"/>
      <c r="CU680" s="1758"/>
      <c r="CV680" s="1758"/>
      <c r="CW680" s="1758"/>
      <c r="CX680" s="1758"/>
      <c r="CY680" s="1758"/>
      <c r="CZ680" s="1758"/>
      <c r="DA680" s="1758"/>
      <c r="DB680" s="1758"/>
      <c r="DC680" s="1758"/>
    </row>
    <row r="681" spans="1:107" s="1395" customFormat="1" ht="20.25" customHeight="1">
      <c r="A681" s="10893"/>
      <c r="B681" s="10731"/>
      <c r="C681" s="10728"/>
      <c r="D681" s="10728"/>
      <c r="E681" s="10728"/>
      <c r="F681" s="10744"/>
      <c r="G681" s="10728"/>
      <c r="H681" s="10728"/>
      <c r="I681" s="10728"/>
      <c r="J681" s="10728"/>
      <c r="K681" s="10735"/>
      <c r="L681" s="10738"/>
      <c r="M681" s="10738"/>
      <c r="N681" s="10738"/>
      <c r="O681" s="10735"/>
      <c r="P681" s="10735"/>
      <c r="Q681" s="10750"/>
      <c r="R681" s="5174"/>
      <c r="S681" s="5214"/>
      <c r="T681" s="5214"/>
      <c r="U681" s="5250"/>
      <c r="V681" s="5281"/>
      <c r="W681" s="5302"/>
      <c r="X681" s="7477"/>
      <c r="Y681" s="7473"/>
      <c r="Z681" s="7473"/>
      <c r="AA681" s="7474"/>
      <c r="AB681" s="5323"/>
      <c r="AC681" s="1396"/>
      <c r="AD681" s="5300"/>
      <c r="AE681" s="5346"/>
      <c r="AF681" s="5346"/>
      <c r="AG681" s="10777"/>
      <c r="AH681" s="1758"/>
      <c r="AI681" s="1758"/>
      <c r="AJ681" s="1758"/>
      <c r="AK681" s="1758"/>
      <c r="AL681" s="1758"/>
      <c r="AM681" s="1758"/>
      <c r="AN681" s="1758"/>
      <c r="AO681" s="1758"/>
      <c r="AP681" s="1758"/>
      <c r="AQ681" s="1758"/>
      <c r="AR681" s="1758"/>
      <c r="AS681" s="1758"/>
      <c r="AT681" s="1758"/>
      <c r="AU681" s="1758"/>
      <c r="AV681" s="1758"/>
      <c r="AW681" s="1758"/>
      <c r="AX681" s="1758"/>
      <c r="AY681" s="1758"/>
      <c r="AZ681" s="1758"/>
      <c r="BA681" s="1758"/>
      <c r="BB681" s="1758"/>
      <c r="BC681" s="1758"/>
      <c r="BD681" s="1758"/>
      <c r="BE681" s="1758"/>
      <c r="BF681" s="1758"/>
      <c r="BG681" s="1758"/>
      <c r="BH681" s="1758"/>
      <c r="BI681" s="1758"/>
      <c r="BJ681" s="1758"/>
      <c r="BK681" s="1758"/>
      <c r="BL681" s="1758"/>
      <c r="BM681" s="1758"/>
      <c r="BN681" s="1758"/>
      <c r="BO681" s="1758"/>
      <c r="BP681" s="1758"/>
      <c r="BQ681" s="1758"/>
      <c r="BR681" s="1758"/>
      <c r="BS681" s="1758"/>
      <c r="BT681" s="1758"/>
      <c r="BU681" s="1758"/>
      <c r="BV681" s="1758"/>
      <c r="BW681" s="1758"/>
      <c r="BX681" s="1758"/>
      <c r="BY681" s="1758"/>
      <c r="BZ681" s="1758"/>
      <c r="CA681" s="1758"/>
      <c r="CB681" s="1758"/>
      <c r="CC681" s="1758"/>
      <c r="CD681" s="1758"/>
      <c r="CE681" s="1758"/>
      <c r="CF681" s="1758"/>
      <c r="CG681" s="1758"/>
      <c r="CH681" s="1758"/>
      <c r="CI681" s="1758"/>
      <c r="CJ681" s="1758"/>
      <c r="CK681" s="1758"/>
      <c r="CL681" s="1758"/>
      <c r="CM681" s="1758"/>
      <c r="CN681" s="1758"/>
      <c r="CO681" s="1758"/>
      <c r="CP681" s="1758"/>
      <c r="CQ681" s="1758"/>
      <c r="CR681" s="1758"/>
      <c r="CS681" s="1758"/>
      <c r="CT681" s="1758"/>
      <c r="CU681" s="1758"/>
      <c r="CV681" s="1758"/>
      <c r="CW681" s="1758"/>
      <c r="CX681" s="1758"/>
      <c r="CY681" s="1758"/>
      <c r="CZ681" s="1758"/>
      <c r="DA681" s="1758"/>
      <c r="DB681" s="1758"/>
      <c r="DC681" s="1758"/>
    </row>
    <row r="682" spans="1:107" s="1395" customFormat="1" ht="20.25" customHeight="1">
      <c r="A682" s="10893"/>
      <c r="B682" s="10731"/>
      <c r="C682" s="10728"/>
      <c r="D682" s="10728"/>
      <c r="E682" s="10728"/>
      <c r="F682" s="10744"/>
      <c r="G682" s="10728"/>
      <c r="H682" s="10728"/>
      <c r="I682" s="10728"/>
      <c r="J682" s="10728"/>
      <c r="K682" s="10735"/>
      <c r="L682" s="10738"/>
      <c r="M682" s="10738"/>
      <c r="N682" s="10738"/>
      <c r="O682" s="10735"/>
      <c r="P682" s="10735"/>
      <c r="Q682" s="10750"/>
      <c r="R682" s="5173"/>
      <c r="S682" s="5212"/>
      <c r="T682" s="5212"/>
      <c r="U682" s="5250"/>
      <c r="V682" s="5281"/>
      <c r="W682" s="5302"/>
      <c r="X682" s="7477"/>
      <c r="Y682" s="7473"/>
      <c r="Z682" s="7473"/>
      <c r="AA682" s="7474"/>
      <c r="AB682" s="5323"/>
      <c r="AC682" s="1396"/>
      <c r="AD682" s="5300"/>
      <c r="AE682" s="5346"/>
      <c r="AF682" s="5346"/>
      <c r="AG682" s="10777"/>
      <c r="AH682" s="1758"/>
      <c r="AI682" s="1758"/>
      <c r="AJ682" s="1758"/>
      <c r="AK682" s="1758"/>
      <c r="AL682" s="1758"/>
      <c r="AM682" s="1758"/>
      <c r="AN682" s="1758"/>
      <c r="AO682" s="1758"/>
      <c r="AP682" s="1758"/>
      <c r="AQ682" s="1758"/>
      <c r="AR682" s="1758"/>
      <c r="AS682" s="1758"/>
      <c r="AT682" s="1758"/>
      <c r="AU682" s="1758"/>
      <c r="AV682" s="1758"/>
      <c r="AW682" s="1758"/>
      <c r="AX682" s="1758"/>
      <c r="AY682" s="1758"/>
      <c r="AZ682" s="1758"/>
      <c r="BA682" s="1758"/>
      <c r="BB682" s="1758"/>
      <c r="BC682" s="1758"/>
      <c r="BD682" s="1758"/>
      <c r="BE682" s="1758"/>
      <c r="BF682" s="1758"/>
      <c r="BG682" s="1758"/>
      <c r="BH682" s="1758"/>
      <c r="BI682" s="1758"/>
      <c r="BJ682" s="1758"/>
      <c r="BK682" s="1758"/>
      <c r="BL682" s="1758"/>
      <c r="BM682" s="1758"/>
      <c r="BN682" s="1758"/>
      <c r="BO682" s="1758"/>
      <c r="BP682" s="1758"/>
      <c r="BQ682" s="1758"/>
      <c r="BR682" s="1758"/>
      <c r="BS682" s="1758"/>
      <c r="BT682" s="1758"/>
      <c r="BU682" s="1758"/>
      <c r="BV682" s="1758"/>
      <c r="BW682" s="1758"/>
      <c r="BX682" s="1758"/>
      <c r="BY682" s="1758"/>
      <c r="BZ682" s="1758"/>
      <c r="CA682" s="1758"/>
      <c r="CB682" s="1758"/>
      <c r="CC682" s="1758"/>
      <c r="CD682" s="1758"/>
      <c r="CE682" s="1758"/>
      <c r="CF682" s="1758"/>
      <c r="CG682" s="1758"/>
      <c r="CH682" s="1758"/>
      <c r="CI682" s="1758"/>
      <c r="CJ682" s="1758"/>
      <c r="CK682" s="1758"/>
      <c r="CL682" s="1758"/>
      <c r="CM682" s="1758"/>
      <c r="CN682" s="1758"/>
      <c r="CO682" s="1758"/>
      <c r="CP682" s="1758"/>
      <c r="CQ682" s="1758"/>
      <c r="CR682" s="1758"/>
      <c r="CS682" s="1758"/>
      <c r="CT682" s="1758"/>
      <c r="CU682" s="1758"/>
      <c r="CV682" s="1758"/>
      <c r="CW682" s="1758"/>
      <c r="CX682" s="1758"/>
      <c r="CY682" s="1758"/>
      <c r="CZ682" s="1758"/>
      <c r="DA682" s="1758"/>
      <c r="DB682" s="1758"/>
      <c r="DC682" s="1758"/>
    </row>
    <row r="683" spans="1:107" s="1395" customFormat="1" ht="20.25" customHeight="1">
      <c r="A683" s="10893"/>
      <c r="B683" s="10732"/>
      <c r="C683" s="10729"/>
      <c r="D683" s="10729"/>
      <c r="E683" s="10729"/>
      <c r="F683" s="10745"/>
      <c r="G683" s="10729"/>
      <c r="H683" s="10729"/>
      <c r="I683" s="10729"/>
      <c r="J683" s="10729"/>
      <c r="K683" s="10736"/>
      <c r="L683" s="10739"/>
      <c r="M683" s="10739"/>
      <c r="N683" s="10739"/>
      <c r="O683" s="10736"/>
      <c r="P683" s="10736"/>
      <c r="Q683" s="10751"/>
      <c r="R683" s="5175"/>
      <c r="S683" s="5215"/>
      <c r="T683" s="5215"/>
      <c r="U683" s="5251"/>
      <c r="V683" s="5282"/>
      <c r="W683" s="5303"/>
      <c r="X683" s="7479"/>
      <c r="Y683" s="7479"/>
      <c r="Z683" s="7479"/>
      <c r="AA683" s="7480"/>
      <c r="AB683" s="5326"/>
      <c r="AC683" s="1399"/>
      <c r="AD683" s="5303"/>
      <c r="AE683" s="5348"/>
      <c r="AF683" s="5348"/>
      <c r="AG683" s="10778"/>
      <c r="AH683" s="1758"/>
      <c r="AI683" s="1758"/>
      <c r="AJ683" s="1758"/>
      <c r="AK683" s="1758"/>
      <c r="AL683" s="1758"/>
      <c r="AM683" s="1758"/>
      <c r="AN683" s="1758"/>
      <c r="AO683" s="1758"/>
      <c r="AP683" s="1758"/>
      <c r="AQ683" s="1758"/>
      <c r="AR683" s="1758"/>
      <c r="AS683" s="1758"/>
      <c r="AT683" s="1758"/>
      <c r="AU683" s="1758"/>
      <c r="AV683" s="1758"/>
      <c r="AW683" s="1758"/>
      <c r="AX683" s="1758"/>
      <c r="AY683" s="1758"/>
      <c r="AZ683" s="1758"/>
      <c r="BA683" s="1758"/>
      <c r="BB683" s="1758"/>
      <c r="BC683" s="1758"/>
      <c r="BD683" s="1758"/>
      <c r="BE683" s="1758"/>
      <c r="BF683" s="1758"/>
      <c r="BG683" s="1758"/>
      <c r="BH683" s="1758"/>
      <c r="BI683" s="1758"/>
      <c r="BJ683" s="1758"/>
      <c r="BK683" s="1758"/>
      <c r="BL683" s="1758"/>
      <c r="BM683" s="1758"/>
      <c r="BN683" s="1758"/>
      <c r="BO683" s="1758"/>
      <c r="BP683" s="1758"/>
      <c r="BQ683" s="1758"/>
      <c r="BR683" s="1758"/>
      <c r="BS683" s="1758"/>
      <c r="BT683" s="1758"/>
      <c r="BU683" s="1758"/>
      <c r="BV683" s="1758"/>
      <c r="BW683" s="1758"/>
      <c r="BX683" s="1758"/>
      <c r="BY683" s="1758"/>
      <c r="BZ683" s="1758"/>
      <c r="CA683" s="1758"/>
      <c r="CB683" s="1758"/>
      <c r="CC683" s="1758"/>
      <c r="CD683" s="1758"/>
      <c r="CE683" s="1758"/>
      <c r="CF683" s="1758"/>
      <c r="CG683" s="1758"/>
      <c r="CH683" s="1758"/>
      <c r="CI683" s="1758"/>
      <c r="CJ683" s="1758"/>
      <c r="CK683" s="1758"/>
      <c r="CL683" s="1758"/>
      <c r="CM683" s="1758"/>
      <c r="CN683" s="1758"/>
      <c r="CO683" s="1758"/>
      <c r="CP683" s="1758"/>
      <c r="CQ683" s="1758"/>
      <c r="CR683" s="1758"/>
      <c r="CS683" s="1758"/>
      <c r="CT683" s="1758"/>
      <c r="CU683" s="1758"/>
      <c r="CV683" s="1758"/>
      <c r="CW683" s="1758"/>
      <c r="CX683" s="1758"/>
      <c r="CY683" s="1758"/>
      <c r="CZ683" s="1758"/>
      <c r="DA683" s="1758"/>
      <c r="DB683" s="1758"/>
      <c r="DC683" s="1758"/>
    </row>
    <row r="684" spans="1:107" s="1395" customFormat="1" ht="20.25" customHeight="1">
      <c r="A684" s="10893"/>
      <c r="B684" s="10731" t="s">
        <v>183</v>
      </c>
      <c r="C684" s="10728" t="s">
        <v>227</v>
      </c>
      <c r="D684" s="10728" t="s">
        <v>228</v>
      </c>
      <c r="E684" s="10728" t="s">
        <v>255</v>
      </c>
      <c r="F684" s="10744" t="s">
        <v>230</v>
      </c>
      <c r="G684" s="10728" t="s">
        <v>171</v>
      </c>
      <c r="H684" s="10728" t="s">
        <v>159</v>
      </c>
      <c r="I684" s="10728" t="s">
        <v>5041</v>
      </c>
      <c r="J684" s="10742" t="s">
        <v>5042</v>
      </c>
      <c r="K684" s="10735" t="s">
        <v>5043</v>
      </c>
      <c r="L684" s="10738">
        <v>0</v>
      </c>
      <c r="M684" s="10738">
        <v>2</v>
      </c>
      <c r="N684" s="10738">
        <v>2</v>
      </c>
      <c r="O684" s="10735" t="s">
        <v>5044</v>
      </c>
      <c r="P684" s="10735" t="s">
        <v>5045</v>
      </c>
      <c r="Q684" s="10750" t="s">
        <v>5133</v>
      </c>
      <c r="R684" s="5173"/>
      <c r="S684" s="5212"/>
      <c r="T684" s="5212"/>
      <c r="U684" s="5249"/>
      <c r="V684" s="5281"/>
      <c r="W684" s="5302"/>
      <c r="X684" s="7477"/>
      <c r="Y684" s="7477"/>
      <c r="Z684" s="7477"/>
      <c r="AA684" s="7478"/>
      <c r="AB684" s="5325"/>
      <c r="AC684" s="1398"/>
      <c r="AD684" s="5302"/>
      <c r="AE684" s="5349"/>
      <c r="AF684" s="5349"/>
      <c r="AG684" s="10777" t="s">
        <v>4843</v>
      </c>
      <c r="AH684" s="1758"/>
      <c r="AI684" s="1758"/>
      <c r="AJ684" s="1758"/>
      <c r="AK684" s="1758"/>
      <c r="AL684" s="1758"/>
      <c r="AM684" s="1758"/>
      <c r="AN684" s="1758"/>
      <c r="AO684" s="1758"/>
      <c r="AP684" s="1758"/>
      <c r="AQ684" s="1758"/>
      <c r="AR684" s="1758"/>
      <c r="AS684" s="1758"/>
      <c r="AT684" s="1758"/>
      <c r="AU684" s="1758"/>
      <c r="AV684" s="1758"/>
      <c r="AW684" s="1758"/>
      <c r="AX684" s="1758"/>
      <c r="AY684" s="1758"/>
      <c r="AZ684" s="1758"/>
      <c r="BA684" s="1758"/>
      <c r="BB684" s="1758"/>
      <c r="BC684" s="1758"/>
      <c r="BD684" s="1758"/>
      <c r="BE684" s="1758"/>
      <c r="BF684" s="1758"/>
      <c r="BG684" s="1758"/>
      <c r="BH684" s="1758"/>
      <c r="BI684" s="1758"/>
      <c r="BJ684" s="1758"/>
      <c r="BK684" s="1758"/>
      <c r="BL684" s="1758"/>
      <c r="BM684" s="1758"/>
      <c r="BN684" s="1758"/>
      <c r="BO684" s="1758"/>
      <c r="BP684" s="1758"/>
      <c r="BQ684" s="1758"/>
      <c r="BR684" s="1758"/>
      <c r="BS684" s="1758"/>
      <c r="BT684" s="1758"/>
      <c r="BU684" s="1758"/>
      <c r="BV684" s="1758"/>
      <c r="BW684" s="1758"/>
      <c r="BX684" s="1758"/>
      <c r="BY684" s="1758"/>
      <c r="BZ684" s="1758"/>
      <c r="CA684" s="1758"/>
      <c r="CB684" s="1758"/>
      <c r="CC684" s="1758"/>
      <c r="CD684" s="1758"/>
      <c r="CE684" s="1758"/>
      <c r="CF684" s="1758"/>
      <c r="CG684" s="1758"/>
      <c r="CH684" s="1758"/>
      <c r="CI684" s="1758"/>
      <c r="CJ684" s="1758"/>
      <c r="CK684" s="1758"/>
      <c r="CL684" s="1758"/>
      <c r="CM684" s="1758"/>
      <c r="CN684" s="1758"/>
      <c r="CO684" s="1758"/>
      <c r="CP684" s="1758"/>
      <c r="CQ684" s="1758"/>
      <c r="CR684" s="1758"/>
      <c r="CS684" s="1758"/>
      <c r="CT684" s="1758"/>
      <c r="CU684" s="1758"/>
      <c r="CV684" s="1758"/>
      <c r="CW684" s="1758"/>
      <c r="CX684" s="1758"/>
      <c r="CY684" s="1758"/>
      <c r="CZ684" s="1758"/>
      <c r="DA684" s="1758"/>
      <c r="DB684" s="1758"/>
      <c r="DC684" s="1758"/>
    </row>
    <row r="685" spans="1:107" s="1395" customFormat="1" ht="20.25" customHeight="1">
      <c r="A685" s="10893"/>
      <c r="B685" s="10731"/>
      <c r="C685" s="10728"/>
      <c r="D685" s="10728"/>
      <c r="E685" s="10728"/>
      <c r="F685" s="10744"/>
      <c r="G685" s="10728"/>
      <c r="H685" s="10728"/>
      <c r="I685" s="10728"/>
      <c r="J685" s="10728"/>
      <c r="K685" s="10735"/>
      <c r="L685" s="10738"/>
      <c r="M685" s="10738"/>
      <c r="N685" s="10738"/>
      <c r="O685" s="10735"/>
      <c r="P685" s="10735"/>
      <c r="Q685" s="10750"/>
      <c r="R685" s="5171"/>
      <c r="S685" s="5213"/>
      <c r="T685" s="5213"/>
      <c r="U685" s="5247"/>
      <c r="V685" s="5279"/>
      <c r="W685" s="5300"/>
      <c r="X685" s="7473"/>
      <c r="Y685" s="7473"/>
      <c r="Z685" s="7473"/>
      <c r="AA685" s="7474"/>
      <c r="AB685" s="5323"/>
      <c r="AC685" s="1396"/>
      <c r="AD685" s="5300"/>
      <c r="AE685" s="5346"/>
      <c r="AF685" s="5346"/>
      <c r="AG685" s="10777"/>
      <c r="AH685" s="1758"/>
      <c r="AI685" s="1758"/>
      <c r="AJ685" s="1758"/>
      <c r="AK685" s="1758"/>
      <c r="AL685" s="1758"/>
      <c r="AM685" s="1758"/>
      <c r="AN685" s="1758"/>
      <c r="AO685" s="1758"/>
      <c r="AP685" s="1758"/>
      <c r="AQ685" s="1758"/>
      <c r="AR685" s="1758"/>
      <c r="AS685" s="1758"/>
      <c r="AT685" s="1758"/>
      <c r="AU685" s="1758"/>
      <c r="AV685" s="1758"/>
      <c r="AW685" s="1758"/>
      <c r="AX685" s="1758"/>
      <c r="AY685" s="1758"/>
      <c r="AZ685" s="1758"/>
      <c r="BA685" s="1758"/>
      <c r="BB685" s="1758"/>
      <c r="BC685" s="1758"/>
      <c r="BD685" s="1758"/>
      <c r="BE685" s="1758"/>
      <c r="BF685" s="1758"/>
      <c r="BG685" s="1758"/>
      <c r="BH685" s="1758"/>
      <c r="BI685" s="1758"/>
      <c r="BJ685" s="1758"/>
      <c r="BK685" s="1758"/>
      <c r="BL685" s="1758"/>
      <c r="BM685" s="1758"/>
      <c r="BN685" s="1758"/>
      <c r="BO685" s="1758"/>
      <c r="BP685" s="1758"/>
      <c r="BQ685" s="1758"/>
      <c r="BR685" s="1758"/>
      <c r="BS685" s="1758"/>
      <c r="BT685" s="1758"/>
      <c r="BU685" s="1758"/>
      <c r="BV685" s="1758"/>
      <c r="BW685" s="1758"/>
      <c r="BX685" s="1758"/>
      <c r="BY685" s="1758"/>
      <c r="BZ685" s="1758"/>
      <c r="CA685" s="1758"/>
      <c r="CB685" s="1758"/>
      <c r="CC685" s="1758"/>
      <c r="CD685" s="1758"/>
      <c r="CE685" s="1758"/>
      <c r="CF685" s="1758"/>
      <c r="CG685" s="1758"/>
      <c r="CH685" s="1758"/>
      <c r="CI685" s="1758"/>
      <c r="CJ685" s="1758"/>
      <c r="CK685" s="1758"/>
      <c r="CL685" s="1758"/>
      <c r="CM685" s="1758"/>
      <c r="CN685" s="1758"/>
      <c r="CO685" s="1758"/>
      <c r="CP685" s="1758"/>
      <c r="CQ685" s="1758"/>
      <c r="CR685" s="1758"/>
      <c r="CS685" s="1758"/>
      <c r="CT685" s="1758"/>
      <c r="CU685" s="1758"/>
      <c r="CV685" s="1758"/>
      <c r="CW685" s="1758"/>
      <c r="CX685" s="1758"/>
      <c r="CY685" s="1758"/>
      <c r="CZ685" s="1758"/>
      <c r="DA685" s="1758"/>
      <c r="DB685" s="1758"/>
      <c r="DC685" s="1758"/>
    </row>
    <row r="686" spans="1:107" s="1395" customFormat="1" ht="20.25" customHeight="1">
      <c r="A686" s="10893"/>
      <c r="B686" s="10731"/>
      <c r="C686" s="10728"/>
      <c r="D686" s="10728"/>
      <c r="E686" s="10728"/>
      <c r="F686" s="10744"/>
      <c r="G686" s="10728"/>
      <c r="H686" s="10728"/>
      <c r="I686" s="10728"/>
      <c r="J686" s="10728"/>
      <c r="K686" s="10735"/>
      <c r="L686" s="10738"/>
      <c r="M686" s="10738"/>
      <c r="N686" s="10738"/>
      <c r="O686" s="10735"/>
      <c r="P686" s="10735"/>
      <c r="Q686" s="10750"/>
      <c r="R686" s="5174"/>
      <c r="S686" s="5214"/>
      <c r="T686" s="5214"/>
      <c r="U686" s="5250"/>
      <c r="V686" s="5281"/>
      <c r="W686" s="5302"/>
      <c r="X686" s="7477"/>
      <c r="Y686" s="7473"/>
      <c r="Z686" s="7473"/>
      <c r="AA686" s="7474"/>
      <c r="AB686" s="5323"/>
      <c r="AC686" s="1396"/>
      <c r="AD686" s="5300"/>
      <c r="AE686" s="5346"/>
      <c r="AF686" s="5346"/>
      <c r="AG686" s="10777"/>
      <c r="AH686" s="1758"/>
      <c r="AI686" s="1758"/>
      <c r="AJ686" s="1758"/>
      <c r="AK686" s="1758"/>
      <c r="AL686" s="1758"/>
      <c r="AM686" s="1758"/>
      <c r="AN686" s="1758"/>
      <c r="AO686" s="1758"/>
      <c r="AP686" s="1758"/>
      <c r="AQ686" s="1758"/>
      <c r="AR686" s="1758"/>
      <c r="AS686" s="1758"/>
      <c r="AT686" s="1758"/>
      <c r="AU686" s="1758"/>
      <c r="AV686" s="1758"/>
      <c r="AW686" s="1758"/>
      <c r="AX686" s="1758"/>
      <c r="AY686" s="1758"/>
      <c r="AZ686" s="1758"/>
      <c r="BA686" s="1758"/>
      <c r="BB686" s="1758"/>
      <c r="BC686" s="1758"/>
      <c r="BD686" s="1758"/>
      <c r="BE686" s="1758"/>
      <c r="BF686" s="1758"/>
      <c r="BG686" s="1758"/>
      <c r="BH686" s="1758"/>
      <c r="BI686" s="1758"/>
      <c r="BJ686" s="1758"/>
      <c r="BK686" s="1758"/>
      <c r="BL686" s="1758"/>
      <c r="BM686" s="1758"/>
      <c r="BN686" s="1758"/>
      <c r="BO686" s="1758"/>
      <c r="BP686" s="1758"/>
      <c r="BQ686" s="1758"/>
      <c r="BR686" s="1758"/>
      <c r="BS686" s="1758"/>
      <c r="BT686" s="1758"/>
      <c r="BU686" s="1758"/>
      <c r="BV686" s="1758"/>
      <c r="BW686" s="1758"/>
      <c r="BX686" s="1758"/>
      <c r="BY686" s="1758"/>
      <c r="BZ686" s="1758"/>
      <c r="CA686" s="1758"/>
      <c r="CB686" s="1758"/>
      <c r="CC686" s="1758"/>
      <c r="CD686" s="1758"/>
      <c r="CE686" s="1758"/>
      <c r="CF686" s="1758"/>
      <c r="CG686" s="1758"/>
      <c r="CH686" s="1758"/>
      <c r="CI686" s="1758"/>
      <c r="CJ686" s="1758"/>
      <c r="CK686" s="1758"/>
      <c r="CL686" s="1758"/>
      <c r="CM686" s="1758"/>
      <c r="CN686" s="1758"/>
      <c r="CO686" s="1758"/>
      <c r="CP686" s="1758"/>
      <c r="CQ686" s="1758"/>
      <c r="CR686" s="1758"/>
      <c r="CS686" s="1758"/>
      <c r="CT686" s="1758"/>
      <c r="CU686" s="1758"/>
      <c r="CV686" s="1758"/>
      <c r="CW686" s="1758"/>
      <c r="CX686" s="1758"/>
      <c r="CY686" s="1758"/>
      <c r="CZ686" s="1758"/>
      <c r="DA686" s="1758"/>
      <c r="DB686" s="1758"/>
      <c r="DC686" s="1758"/>
    </row>
    <row r="687" spans="1:107" s="1395" customFormat="1" ht="20.25" customHeight="1">
      <c r="A687" s="10893"/>
      <c r="B687" s="10731"/>
      <c r="C687" s="10728"/>
      <c r="D687" s="10728"/>
      <c r="E687" s="10728"/>
      <c r="F687" s="10744"/>
      <c r="G687" s="10728"/>
      <c r="H687" s="10728"/>
      <c r="I687" s="10728"/>
      <c r="J687" s="10728"/>
      <c r="K687" s="10735"/>
      <c r="L687" s="10738"/>
      <c r="M687" s="10738"/>
      <c r="N687" s="10738"/>
      <c r="O687" s="10735"/>
      <c r="P687" s="10735"/>
      <c r="Q687" s="10750"/>
      <c r="R687" s="5173"/>
      <c r="S687" s="5212"/>
      <c r="T687" s="5212"/>
      <c r="U687" s="5250"/>
      <c r="V687" s="5281"/>
      <c r="W687" s="5302"/>
      <c r="X687" s="7477"/>
      <c r="Y687" s="7473"/>
      <c r="Z687" s="7473"/>
      <c r="AA687" s="7474"/>
      <c r="AB687" s="5323"/>
      <c r="AC687" s="1396"/>
      <c r="AD687" s="5300"/>
      <c r="AE687" s="5346"/>
      <c r="AF687" s="5346"/>
      <c r="AG687" s="10777"/>
      <c r="AH687" s="1758"/>
      <c r="AI687" s="1758"/>
      <c r="AJ687" s="1758"/>
      <c r="AK687" s="1758"/>
      <c r="AL687" s="1758"/>
      <c r="AM687" s="1758"/>
      <c r="AN687" s="1758"/>
      <c r="AO687" s="1758"/>
      <c r="AP687" s="1758"/>
      <c r="AQ687" s="1758"/>
      <c r="AR687" s="1758"/>
      <c r="AS687" s="1758"/>
      <c r="AT687" s="1758"/>
      <c r="AU687" s="1758"/>
      <c r="AV687" s="1758"/>
      <c r="AW687" s="1758"/>
      <c r="AX687" s="1758"/>
      <c r="AY687" s="1758"/>
      <c r="AZ687" s="1758"/>
      <c r="BA687" s="1758"/>
      <c r="BB687" s="1758"/>
      <c r="BC687" s="1758"/>
      <c r="BD687" s="1758"/>
      <c r="BE687" s="1758"/>
      <c r="BF687" s="1758"/>
      <c r="BG687" s="1758"/>
      <c r="BH687" s="1758"/>
      <c r="BI687" s="1758"/>
      <c r="BJ687" s="1758"/>
      <c r="BK687" s="1758"/>
      <c r="BL687" s="1758"/>
      <c r="BM687" s="1758"/>
      <c r="BN687" s="1758"/>
      <c r="BO687" s="1758"/>
      <c r="BP687" s="1758"/>
      <c r="BQ687" s="1758"/>
      <c r="BR687" s="1758"/>
      <c r="BS687" s="1758"/>
      <c r="BT687" s="1758"/>
      <c r="BU687" s="1758"/>
      <c r="BV687" s="1758"/>
      <c r="BW687" s="1758"/>
      <c r="BX687" s="1758"/>
      <c r="BY687" s="1758"/>
      <c r="BZ687" s="1758"/>
      <c r="CA687" s="1758"/>
      <c r="CB687" s="1758"/>
      <c r="CC687" s="1758"/>
      <c r="CD687" s="1758"/>
      <c r="CE687" s="1758"/>
      <c r="CF687" s="1758"/>
      <c r="CG687" s="1758"/>
      <c r="CH687" s="1758"/>
      <c r="CI687" s="1758"/>
      <c r="CJ687" s="1758"/>
      <c r="CK687" s="1758"/>
      <c r="CL687" s="1758"/>
      <c r="CM687" s="1758"/>
      <c r="CN687" s="1758"/>
      <c r="CO687" s="1758"/>
      <c r="CP687" s="1758"/>
      <c r="CQ687" s="1758"/>
      <c r="CR687" s="1758"/>
      <c r="CS687" s="1758"/>
      <c r="CT687" s="1758"/>
      <c r="CU687" s="1758"/>
      <c r="CV687" s="1758"/>
      <c r="CW687" s="1758"/>
      <c r="CX687" s="1758"/>
      <c r="CY687" s="1758"/>
      <c r="CZ687" s="1758"/>
      <c r="DA687" s="1758"/>
      <c r="DB687" s="1758"/>
      <c r="DC687" s="1758"/>
    </row>
    <row r="688" spans="1:107" s="1395" customFormat="1" ht="20.25" customHeight="1">
      <c r="A688" s="10893"/>
      <c r="B688" s="10732"/>
      <c r="C688" s="10729"/>
      <c r="D688" s="10729"/>
      <c r="E688" s="10729"/>
      <c r="F688" s="10745"/>
      <c r="G688" s="10729"/>
      <c r="H688" s="10729"/>
      <c r="I688" s="10729"/>
      <c r="J688" s="10729"/>
      <c r="K688" s="10736"/>
      <c r="L688" s="10739"/>
      <c r="M688" s="10739"/>
      <c r="N688" s="10739"/>
      <c r="O688" s="10736"/>
      <c r="P688" s="10736"/>
      <c r="Q688" s="10751"/>
      <c r="R688" s="5175"/>
      <c r="S688" s="5215"/>
      <c r="T688" s="5215"/>
      <c r="U688" s="5251"/>
      <c r="V688" s="5282"/>
      <c r="W688" s="5303"/>
      <c r="X688" s="7479"/>
      <c r="Y688" s="7479"/>
      <c r="Z688" s="7479"/>
      <c r="AA688" s="7480"/>
      <c r="AB688" s="5326"/>
      <c r="AC688" s="1399"/>
      <c r="AD688" s="5303"/>
      <c r="AE688" s="5348"/>
      <c r="AF688" s="5348"/>
      <c r="AG688" s="10778"/>
      <c r="AH688" s="1758"/>
      <c r="AI688" s="1758"/>
      <c r="AJ688" s="1758"/>
      <c r="AK688" s="1758"/>
      <c r="AL688" s="1758"/>
      <c r="AM688" s="1758"/>
      <c r="AN688" s="1758"/>
      <c r="AO688" s="1758"/>
      <c r="AP688" s="1758"/>
      <c r="AQ688" s="1758"/>
      <c r="AR688" s="1758"/>
      <c r="AS688" s="1758"/>
      <c r="AT688" s="1758"/>
      <c r="AU688" s="1758"/>
      <c r="AV688" s="1758"/>
      <c r="AW688" s="1758"/>
      <c r="AX688" s="1758"/>
      <c r="AY688" s="1758"/>
      <c r="AZ688" s="1758"/>
      <c r="BA688" s="1758"/>
      <c r="BB688" s="1758"/>
      <c r="BC688" s="1758"/>
      <c r="BD688" s="1758"/>
      <c r="BE688" s="1758"/>
      <c r="BF688" s="1758"/>
      <c r="BG688" s="1758"/>
      <c r="BH688" s="1758"/>
      <c r="BI688" s="1758"/>
      <c r="BJ688" s="1758"/>
      <c r="BK688" s="1758"/>
      <c r="BL688" s="1758"/>
      <c r="BM688" s="1758"/>
      <c r="BN688" s="1758"/>
      <c r="BO688" s="1758"/>
      <c r="BP688" s="1758"/>
      <c r="BQ688" s="1758"/>
      <c r="BR688" s="1758"/>
      <c r="BS688" s="1758"/>
      <c r="BT688" s="1758"/>
      <c r="BU688" s="1758"/>
      <c r="BV688" s="1758"/>
      <c r="BW688" s="1758"/>
      <c r="BX688" s="1758"/>
      <c r="BY688" s="1758"/>
      <c r="BZ688" s="1758"/>
      <c r="CA688" s="1758"/>
      <c r="CB688" s="1758"/>
      <c r="CC688" s="1758"/>
      <c r="CD688" s="1758"/>
      <c r="CE688" s="1758"/>
      <c r="CF688" s="1758"/>
      <c r="CG688" s="1758"/>
      <c r="CH688" s="1758"/>
      <c r="CI688" s="1758"/>
      <c r="CJ688" s="1758"/>
      <c r="CK688" s="1758"/>
      <c r="CL688" s="1758"/>
      <c r="CM688" s="1758"/>
      <c r="CN688" s="1758"/>
      <c r="CO688" s="1758"/>
      <c r="CP688" s="1758"/>
      <c r="CQ688" s="1758"/>
      <c r="CR688" s="1758"/>
      <c r="CS688" s="1758"/>
      <c r="CT688" s="1758"/>
      <c r="CU688" s="1758"/>
      <c r="CV688" s="1758"/>
      <c r="CW688" s="1758"/>
      <c r="CX688" s="1758"/>
      <c r="CY688" s="1758"/>
      <c r="CZ688" s="1758"/>
      <c r="DA688" s="1758"/>
      <c r="DB688" s="1758"/>
      <c r="DC688" s="1758"/>
    </row>
    <row r="689" spans="1:107" s="1395" customFormat="1" ht="21.75" customHeight="1">
      <c r="A689" s="10893"/>
      <c r="B689" s="10731" t="s">
        <v>183</v>
      </c>
      <c r="C689" s="10728" t="s">
        <v>227</v>
      </c>
      <c r="D689" s="10728" t="s">
        <v>228</v>
      </c>
      <c r="E689" s="10728" t="s">
        <v>229</v>
      </c>
      <c r="F689" s="10744" t="s">
        <v>230</v>
      </c>
      <c r="G689" s="10728" t="s">
        <v>171</v>
      </c>
      <c r="H689" s="10728" t="s">
        <v>159</v>
      </c>
      <c r="I689" s="10728" t="s">
        <v>5047</v>
      </c>
      <c r="J689" s="10742" t="s">
        <v>4662</v>
      </c>
      <c r="K689" s="10735" t="s">
        <v>5048</v>
      </c>
      <c r="L689" s="10738">
        <v>0</v>
      </c>
      <c r="M689" s="10738">
        <v>1</v>
      </c>
      <c r="N689" s="10738">
        <v>1</v>
      </c>
      <c r="O689" s="10735" t="s">
        <v>5049</v>
      </c>
      <c r="P689" s="10735" t="s">
        <v>5050</v>
      </c>
      <c r="Q689" s="10750" t="s">
        <v>5133</v>
      </c>
      <c r="R689" s="5173"/>
      <c r="S689" s="5212"/>
      <c r="T689" s="5212"/>
      <c r="U689" s="5249"/>
      <c r="V689" s="5281"/>
      <c r="W689" s="5302"/>
      <c r="X689" s="7477"/>
      <c r="Y689" s="7477"/>
      <c r="Z689" s="7477"/>
      <c r="AA689" s="7478"/>
      <c r="AB689" s="5325"/>
      <c r="AC689" s="1398"/>
      <c r="AD689" s="5302"/>
      <c r="AE689" s="5349"/>
      <c r="AF689" s="5349"/>
      <c r="AG689" s="10777"/>
      <c r="AH689" s="1758"/>
      <c r="AI689" s="1758"/>
      <c r="AJ689" s="1758"/>
      <c r="AK689" s="1758"/>
      <c r="AL689" s="1758"/>
      <c r="AM689" s="1758"/>
      <c r="AN689" s="1758"/>
      <c r="AO689" s="1758"/>
      <c r="AP689" s="1758"/>
      <c r="AQ689" s="1758"/>
      <c r="AR689" s="1758"/>
      <c r="AS689" s="1758"/>
      <c r="AT689" s="1758"/>
      <c r="AU689" s="1758"/>
      <c r="AV689" s="1758"/>
      <c r="AW689" s="1758"/>
      <c r="AX689" s="1758"/>
      <c r="AY689" s="1758"/>
      <c r="AZ689" s="1758"/>
      <c r="BA689" s="1758"/>
      <c r="BB689" s="1758"/>
      <c r="BC689" s="1758"/>
      <c r="BD689" s="1758"/>
      <c r="BE689" s="1758"/>
      <c r="BF689" s="1758"/>
      <c r="BG689" s="1758"/>
      <c r="BH689" s="1758"/>
      <c r="BI689" s="1758"/>
      <c r="BJ689" s="1758"/>
      <c r="BK689" s="1758"/>
      <c r="BL689" s="1758"/>
      <c r="BM689" s="1758"/>
      <c r="BN689" s="1758"/>
      <c r="BO689" s="1758"/>
      <c r="BP689" s="1758"/>
      <c r="BQ689" s="1758"/>
      <c r="BR689" s="1758"/>
      <c r="BS689" s="1758"/>
      <c r="BT689" s="1758"/>
      <c r="BU689" s="1758"/>
      <c r="BV689" s="1758"/>
      <c r="BW689" s="1758"/>
      <c r="BX689" s="1758"/>
      <c r="BY689" s="1758"/>
      <c r="BZ689" s="1758"/>
      <c r="CA689" s="1758"/>
      <c r="CB689" s="1758"/>
      <c r="CC689" s="1758"/>
      <c r="CD689" s="1758"/>
      <c r="CE689" s="1758"/>
      <c r="CF689" s="1758"/>
      <c r="CG689" s="1758"/>
      <c r="CH689" s="1758"/>
      <c r="CI689" s="1758"/>
      <c r="CJ689" s="1758"/>
      <c r="CK689" s="1758"/>
      <c r="CL689" s="1758"/>
      <c r="CM689" s="1758"/>
      <c r="CN689" s="1758"/>
      <c r="CO689" s="1758"/>
      <c r="CP689" s="1758"/>
      <c r="CQ689" s="1758"/>
      <c r="CR689" s="1758"/>
      <c r="CS689" s="1758"/>
      <c r="CT689" s="1758"/>
      <c r="CU689" s="1758"/>
      <c r="CV689" s="1758"/>
      <c r="CW689" s="1758"/>
      <c r="CX689" s="1758"/>
      <c r="CY689" s="1758"/>
      <c r="CZ689" s="1758"/>
      <c r="DA689" s="1758"/>
      <c r="DB689" s="1758"/>
      <c r="DC689" s="1758"/>
    </row>
    <row r="690" spans="1:107" s="1395" customFormat="1" ht="21.75" customHeight="1">
      <c r="A690" s="10893"/>
      <c r="B690" s="10731"/>
      <c r="C690" s="10728"/>
      <c r="D690" s="10728"/>
      <c r="E690" s="10728"/>
      <c r="F690" s="10744"/>
      <c r="G690" s="10728"/>
      <c r="H690" s="10728"/>
      <c r="I690" s="10728"/>
      <c r="J690" s="10728"/>
      <c r="K690" s="10735"/>
      <c r="L690" s="10738"/>
      <c r="M690" s="10738"/>
      <c r="N690" s="10738"/>
      <c r="O690" s="10735"/>
      <c r="P690" s="10735"/>
      <c r="Q690" s="10750"/>
      <c r="R690" s="5171"/>
      <c r="S690" s="5213"/>
      <c r="T690" s="5213"/>
      <c r="U690" s="5247"/>
      <c r="V690" s="5279"/>
      <c r="W690" s="5300"/>
      <c r="X690" s="7473"/>
      <c r="Y690" s="7473"/>
      <c r="Z690" s="7473"/>
      <c r="AA690" s="7474"/>
      <c r="AB690" s="5323"/>
      <c r="AC690" s="1396"/>
      <c r="AD690" s="5300"/>
      <c r="AE690" s="5346"/>
      <c r="AF690" s="5346"/>
      <c r="AG690" s="10777"/>
      <c r="AH690" s="1758"/>
      <c r="AI690" s="1758"/>
      <c r="AJ690" s="1758"/>
      <c r="AK690" s="1758"/>
      <c r="AL690" s="1758"/>
      <c r="AM690" s="1758"/>
      <c r="AN690" s="1758"/>
      <c r="AO690" s="1758"/>
      <c r="AP690" s="1758"/>
      <c r="AQ690" s="1758"/>
      <c r="AR690" s="1758"/>
      <c r="AS690" s="1758"/>
      <c r="AT690" s="1758"/>
      <c r="AU690" s="1758"/>
      <c r="AV690" s="1758"/>
      <c r="AW690" s="1758"/>
      <c r="AX690" s="1758"/>
      <c r="AY690" s="1758"/>
      <c r="AZ690" s="1758"/>
      <c r="BA690" s="1758"/>
      <c r="BB690" s="1758"/>
      <c r="BC690" s="1758"/>
      <c r="BD690" s="1758"/>
      <c r="BE690" s="1758"/>
      <c r="BF690" s="1758"/>
      <c r="BG690" s="1758"/>
      <c r="BH690" s="1758"/>
      <c r="BI690" s="1758"/>
      <c r="BJ690" s="1758"/>
      <c r="BK690" s="1758"/>
      <c r="BL690" s="1758"/>
      <c r="BM690" s="1758"/>
      <c r="BN690" s="1758"/>
      <c r="BO690" s="1758"/>
      <c r="BP690" s="1758"/>
      <c r="BQ690" s="1758"/>
      <c r="BR690" s="1758"/>
      <c r="BS690" s="1758"/>
      <c r="BT690" s="1758"/>
      <c r="BU690" s="1758"/>
      <c r="BV690" s="1758"/>
      <c r="BW690" s="1758"/>
      <c r="BX690" s="1758"/>
      <c r="BY690" s="1758"/>
      <c r="BZ690" s="1758"/>
      <c r="CA690" s="1758"/>
      <c r="CB690" s="1758"/>
      <c r="CC690" s="1758"/>
      <c r="CD690" s="1758"/>
      <c r="CE690" s="1758"/>
      <c r="CF690" s="1758"/>
      <c r="CG690" s="1758"/>
      <c r="CH690" s="1758"/>
      <c r="CI690" s="1758"/>
      <c r="CJ690" s="1758"/>
      <c r="CK690" s="1758"/>
      <c r="CL690" s="1758"/>
      <c r="CM690" s="1758"/>
      <c r="CN690" s="1758"/>
      <c r="CO690" s="1758"/>
      <c r="CP690" s="1758"/>
      <c r="CQ690" s="1758"/>
      <c r="CR690" s="1758"/>
      <c r="CS690" s="1758"/>
      <c r="CT690" s="1758"/>
      <c r="CU690" s="1758"/>
      <c r="CV690" s="1758"/>
      <c r="CW690" s="1758"/>
      <c r="CX690" s="1758"/>
      <c r="CY690" s="1758"/>
      <c r="CZ690" s="1758"/>
      <c r="DA690" s="1758"/>
      <c r="DB690" s="1758"/>
      <c r="DC690" s="1758"/>
    </row>
    <row r="691" spans="1:107" s="1395" customFormat="1" ht="21.75" customHeight="1">
      <c r="A691" s="10893"/>
      <c r="B691" s="10731"/>
      <c r="C691" s="10728"/>
      <c r="D691" s="10728"/>
      <c r="E691" s="10728"/>
      <c r="F691" s="10744"/>
      <c r="G691" s="10728"/>
      <c r="H691" s="10728"/>
      <c r="I691" s="10728"/>
      <c r="J691" s="10728"/>
      <c r="K691" s="10735"/>
      <c r="L691" s="10738"/>
      <c r="M691" s="10738"/>
      <c r="N691" s="10738"/>
      <c r="O691" s="10735"/>
      <c r="P691" s="10735"/>
      <c r="Q691" s="10750"/>
      <c r="R691" s="5174"/>
      <c r="S691" s="5214"/>
      <c r="T691" s="5214"/>
      <c r="U691" s="5250"/>
      <c r="V691" s="5281"/>
      <c r="W691" s="5302"/>
      <c r="X691" s="7477"/>
      <c r="Y691" s="7473"/>
      <c r="Z691" s="7473"/>
      <c r="AA691" s="7474"/>
      <c r="AB691" s="5323"/>
      <c r="AC691" s="1396"/>
      <c r="AD691" s="5300"/>
      <c r="AE691" s="5346"/>
      <c r="AF691" s="5346"/>
      <c r="AG691" s="10777"/>
      <c r="AH691" s="1758"/>
      <c r="AI691" s="1758"/>
      <c r="AJ691" s="1758"/>
      <c r="AK691" s="1758"/>
      <c r="AL691" s="1758"/>
      <c r="AM691" s="1758"/>
      <c r="AN691" s="1758"/>
      <c r="AO691" s="1758"/>
      <c r="AP691" s="1758"/>
      <c r="AQ691" s="1758"/>
      <c r="AR691" s="1758"/>
      <c r="AS691" s="1758"/>
      <c r="AT691" s="1758"/>
      <c r="AU691" s="1758"/>
      <c r="AV691" s="1758"/>
      <c r="AW691" s="1758"/>
      <c r="AX691" s="1758"/>
      <c r="AY691" s="1758"/>
      <c r="AZ691" s="1758"/>
      <c r="BA691" s="1758"/>
      <c r="BB691" s="1758"/>
      <c r="BC691" s="1758"/>
      <c r="BD691" s="1758"/>
      <c r="BE691" s="1758"/>
      <c r="BF691" s="1758"/>
      <c r="BG691" s="1758"/>
      <c r="BH691" s="1758"/>
      <c r="BI691" s="1758"/>
      <c r="BJ691" s="1758"/>
      <c r="BK691" s="1758"/>
      <c r="BL691" s="1758"/>
      <c r="BM691" s="1758"/>
      <c r="BN691" s="1758"/>
      <c r="BO691" s="1758"/>
      <c r="BP691" s="1758"/>
      <c r="BQ691" s="1758"/>
      <c r="BR691" s="1758"/>
      <c r="BS691" s="1758"/>
      <c r="BT691" s="1758"/>
      <c r="BU691" s="1758"/>
      <c r="BV691" s="1758"/>
      <c r="BW691" s="1758"/>
      <c r="BX691" s="1758"/>
      <c r="BY691" s="1758"/>
      <c r="BZ691" s="1758"/>
      <c r="CA691" s="1758"/>
      <c r="CB691" s="1758"/>
      <c r="CC691" s="1758"/>
      <c r="CD691" s="1758"/>
      <c r="CE691" s="1758"/>
      <c r="CF691" s="1758"/>
      <c r="CG691" s="1758"/>
      <c r="CH691" s="1758"/>
      <c r="CI691" s="1758"/>
      <c r="CJ691" s="1758"/>
      <c r="CK691" s="1758"/>
      <c r="CL691" s="1758"/>
      <c r="CM691" s="1758"/>
      <c r="CN691" s="1758"/>
      <c r="CO691" s="1758"/>
      <c r="CP691" s="1758"/>
      <c r="CQ691" s="1758"/>
      <c r="CR691" s="1758"/>
      <c r="CS691" s="1758"/>
      <c r="CT691" s="1758"/>
      <c r="CU691" s="1758"/>
      <c r="CV691" s="1758"/>
      <c r="CW691" s="1758"/>
      <c r="CX691" s="1758"/>
      <c r="CY691" s="1758"/>
      <c r="CZ691" s="1758"/>
      <c r="DA691" s="1758"/>
      <c r="DB691" s="1758"/>
      <c r="DC691" s="1758"/>
    </row>
    <row r="692" spans="1:107" s="1395" customFormat="1" ht="21.75" customHeight="1">
      <c r="A692" s="10893"/>
      <c r="B692" s="10731"/>
      <c r="C692" s="10728"/>
      <c r="D692" s="10728"/>
      <c r="E692" s="10728"/>
      <c r="F692" s="10744"/>
      <c r="G692" s="10728"/>
      <c r="H692" s="10728"/>
      <c r="I692" s="10728"/>
      <c r="J692" s="10728"/>
      <c r="K692" s="10735"/>
      <c r="L692" s="10738"/>
      <c r="M692" s="10738"/>
      <c r="N692" s="10738"/>
      <c r="O692" s="10735"/>
      <c r="P692" s="10735"/>
      <c r="Q692" s="10750"/>
      <c r="R692" s="5173"/>
      <c r="S692" s="5212"/>
      <c r="T692" s="5212"/>
      <c r="U692" s="5250"/>
      <c r="V692" s="5281"/>
      <c r="W692" s="5302"/>
      <c r="X692" s="7477"/>
      <c r="Y692" s="7473"/>
      <c r="Z692" s="7473"/>
      <c r="AA692" s="7474"/>
      <c r="AB692" s="5323"/>
      <c r="AC692" s="1396"/>
      <c r="AD692" s="5300"/>
      <c r="AE692" s="5346"/>
      <c r="AF692" s="5346"/>
      <c r="AG692" s="10777"/>
      <c r="AH692" s="1758"/>
      <c r="AI692" s="1758"/>
      <c r="AJ692" s="1758"/>
      <c r="AK692" s="1758"/>
      <c r="AL692" s="1758"/>
      <c r="AM692" s="1758"/>
      <c r="AN692" s="1758"/>
      <c r="AO692" s="1758"/>
      <c r="AP692" s="1758"/>
      <c r="AQ692" s="1758"/>
      <c r="AR692" s="1758"/>
      <c r="AS692" s="1758"/>
      <c r="AT692" s="1758"/>
      <c r="AU692" s="1758"/>
      <c r="AV692" s="1758"/>
      <c r="AW692" s="1758"/>
      <c r="AX692" s="1758"/>
      <c r="AY692" s="1758"/>
      <c r="AZ692" s="1758"/>
      <c r="BA692" s="1758"/>
      <c r="BB692" s="1758"/>
      <c r="BC692" s="1758"/>
      <c r="BD692" s="1758"/>
      <c r="BE692" s="1758"/>
      <c r="BF692" s="1758"/>
      <c r="BG692" s="1758"/>
      <c r="BH692" s="1758"/>
      <c r="BI692" s="1758"/>
      <c r="BJ692" s="1758"/>
      <c r="BK692" s="1758"/>
      <c r="BL692" s="1758"/>
      <c r="BM692" s="1758"/>
      <c r="BN692" s="1758"/>
      <c r="BO692" s="1758"/>
      <c r="BP692" s="1758"/>
      <c r="BQ692" s="1758"/>
      <c r="BR692" s="1758"/>
      <c r="BS692" s="1758"/>
      <c r="BT692" s="1758"/>
      <c r="BU692" s="1758"/>
      <c r="BV692" s="1758"/>
      <c r="BW692" s="1758"/>
      <c r="BX692" s="1758"/>
      <c r="BY692" s="1758"/>
      <c r="BZ692" s="1758"/>
      <c r="CA692" s="1758"/>
      <c r="CB692" s="1758"/>
      <c r="CC692" s="1758"/>
      <c r="CD692" s="1758"/>
      <c r="CE692" s="1758"/>
      <c r="CF692" s="1758"/>
      <c r="CG692" s="1758"/>
      <c r="CH692" s="1758"/>
      <c r="CI692" s="1758"/>
      <c r="CJ692" s="1758"/>
      <c r="CK692" s="1758"/>
      <c r="CL692" s="1758"/>
      <c r="CM692" s="1758"/>
      <c r="CN692" s="1758"/>
      <c r="CO692" s="1758"/>
      <c r="CP692" s="1758"/>
      <c r="CQ692" s="1758"/>
      <c r="CR692" s="1758"/>
      <c r="CS692" s="1758"/>
      <c r="CT692" s="1758"/>
      <c r="CU692" s="1758"/>
      <c r="CV692" s="1758"/>
      <c r="CW692" s="1758"/>
      <c r="CX692" s="1758"/>
      <c r="CY692" s="1758"/>
      <c r="CZ692" s="1758"/>
      <c r="DA692" s="1758"/>
      <c r="DB692" s="1758"/>
      <c r="DC692" s="1758"/>
    </row>
    <row r="693" spans="1:107" s="1395" customFormat="1" ht="21.75" customHeight="1">
      <c r="A693" s="10893"/>
      <c r="B693" s="10732"/>
      <c r="C693" s="10729"/>
      <c r="D693" s="10729"/>
      <c r="E693" s="10729"/>
      <c r="F693" s="10745"/>
      <c r="G693" s="10729"/>
      <c r="H693" s="10729"/>
      <c r="I693" s="10729"/>
      <c r="J693" s="10729"/>
      <c r="K693" s="10736"/>
      <c r="L693" s="10739"/>
      <c r="M693" s="10739"/>
      <c r="N693" s="10739"/>
      <c r="O693" s="10736"/>
      <c r="P693" s="10736"/>
      <c r="Q693" s="10751"/>
      <c r="R693" s="5175"/>
      <c r="S693" s="5215"/>
      <c r="T693" s="5215"/>
      <c r="U693" s="5251"/>
      <c r="V693" s="5282"/>
      <c r="W693" s="5303"/>
      <c r="X693" s="7479"/>
      <c r="Y693" s="7479"/>
      <c r="Z693" s="7479"/>
      <c r="AA693" s="7480"/>
      <c r="AB693" s="5326"/>
      <c r="AC693" s="1399"/>
      <c r="AD693" s="5303"/>
      <c r="AE693" s="5348"/>
      <c r="AF693" s="5348"/>
      <c r="AG693" s="10778"/>
      <c r="AH693" s="1758"/>
      <c r="AI693" s="1758"/>
      <c r="AJ693" s="1758"/>
      <c r="AK693" s="1758"/>
      <c r="AL693" s="1758"/>
      <c r="AM693" s="1758"/>
      <c r="AN693" s="1758"/>
      <c r="AO693" s="1758"/>
      <c r="AP693" s="1758"/>
      <c r="AQ693" s="1758"/>
      <c r="AR693" s="1758"/>
      <c r="AS693" s="1758"/>
      <c r="AT693" s="1758"/>
      <c r="AU693" s="1758"/>
      <c r="AV693" s="1758"/>
      <c r="AW693" s="1758"/>
      <c r="AX693" s="1758"/>
      <c r="AY693" s="1758"/>
      <c r="AZ693" s="1758"/>
      <c r="BA693" s="1758"/>
      <c r="BB693" s="1758"/>
      <c r="BC693" s="1758"/>
      <c r="BD693" s="1758"/>
      <c r="BE693" s="1758"/>
      <c r="BF693" s="1758"/>
      <c r="BG693" s="1758"/>
      <c r="BH693" s="1758"/>
      <c r="BI693" s="1758"/>
      <c r="BJ693" s="1758"/>
      <c r="BK693" s="1758"/>
      <c r="BL693" s="1758"/>
      <c r="BM693" s="1758"/>
      <c r="BN693" s="1758"/>
      <c r="BO693" s="1758"/>
      <c r="BP693" s="1758"/>
      <c r="BQ693" s="1758"/>
      <c r="BR693" s="1758"/>
      <c r="BS693" s="1758"/>
      <c r="BT693" s="1758"/>
      <c r="BU693" s="1758"/>
      <c r="BV693" s="1758"/>
      <c r="BW693" s="1758"/>
      <c r="BX693" s="1758"/>
      <c r="BY693" s="1758"/>
      <c r="BZ693" s="1758"/>
      <c r="CA693" s="1758"/>
      <c r="CB693" s="1758"/>
      <c r="CC693" s="1758"/>
      <c r="CD693" s="1758"/>
      <c r="CE693" s="1758"/>
      <c r="CF693" s="1758"/>
      <c r="CG693" s="1758"/>
      <c r="CH693" s="1758"/>
      <c r="CI693" s="1758"/>
      <c r="CJ693" s="1758"/>
      <c r="CK693" s="1758"/>
      <c r="CL693" s="1758"/>
      <c r="CM693" s="1758"/>
      <c r="CN693" s="1758"/>
      <c r="CO693" s="1758"/>
      <c r="CP693" s="1758"/>
      <c r="CQ693" s="1758"/>
      <c r="CR693" s="1758"/>
      <c r="CS693" s="1758"/>
      <c r="CT693" s="1758"/>
      <c r="CU693" s="1758"/>
      <c r="CV693" s="1758"/>
      <c r="CW693" s="1758"/>
      <c r="CX693" s="1758"/>
      <c r="CY693" s="1758"/>
      <c r="CZ693" s="1758"/>
      <c r="DA693" s="1758"/>
      <c r="DB693" s="1758"/>
      <c r="DC693" s="1758"/>
    </row>
    <row r="694" spans="1:107" s="1395" customFormat="1" ht="21" customHeight="1">
      <c r="A694" s="10893"/>
      <c r="B694" s="10731" t="s">
        <v>183</v>
      </c>
      <c r="C694" s="10728" t="s">
        <v>227</v>
      </c>
      <c r="D694" s="10728" t="s">
        <v>1292</v>
      </c>
      <c r="E694" s="10728" t="s">
        <v>5052</v>
      </c>
      <c r="F694" s="10744" t="s">
        <v>230</v>
      </c>
      <c r="G694" s="10728" t="s">
        <v>231</v>
      </c>
      <c r="H694" s="10728" t="s">
        <v>189</v>
      </c>
      <c r="I694" s="10728" t="s">
        <v>5053</v>
      </c>
      <c r="J694" s="10742" t="s">
        <v>4667</v>
      </c>
      <c r="K694" s="10735" t="s">
        <v>5054</v>
      </c>
      <c r="L694" s="10738">
        <v>0</v>
      </c>
      <c r="M694" s="10738">
        <v>1</v>
      </c>
      <c r="N694" s="10738">
        <v>1</v>
      </c>
      <c r="O694" s="10735" t="s">
        <v>5055</v>
      </c>
      <c r="P694" s="10735" t="s">
        <v>5056</v>
      </c>
      <c r="Q694" s="10750" t="s">
        <v>5133</v>
      </c>
      <c r="R694" s="5173"/>
      <c r="S694" s="5212"/>
      <c r="T694" s="5212"/>
      <c r="U694" s="5249"/>
      <c r="V694" s="5281"/>
      <c r="W694" s="5302"/>
      <c r="X694" s="7477"/>
      <c r="Y694" s="7477"/>
      <c r="Z694" s="7477"/>
      <c r="AA694" s="7478"/>
      <c r="AB694" s="5325"/>
      <c r="AC694" s="1398"/>
      <c r="AD694" s="5302"/>
      <c r="AE694" s="5349"/>
      <c r="AF694" s="5349"/>
      <c r="AG694" s="10777" t="s">
        <v>4843</v>
      </c>
      <c r="AH694" s="1758"/>
      <c r="AI694" s="1758"/>
      <c r="AJ694" s="1758"/>
      <c r="AK694" s="1758"/>
      <c r="AL694" s="1758"/>
      <c r="AM694" s="1758"/>
      <c r="AN694" s="1758"/>
      <c r="AO694" s="1758"/>
      <c r="AP694" s="1758"/>
      <c r="AQ694" s="1758"/>
      <c r="AR694" s="1758"/>
      <c r="AS694" s="1758"/>
      <c r="AT694" s="1758"/>
      <c r="AU694" s="1758"/>
      <c r="AV694" s="1758"/>
      <c r="AW694" s="1758"/>
      <c r="AX694" s="1758"/>
      <c r="AY694" s="1758"/>
      <c r="AZ694" s="1758"/>
      <c r="BA694" s="1758"/>
      <c r="BB694" s="1758"/>
      <c r="BC694" s="1758"/>
      <c r="BD694" s="1758"/>
      <c r="BE694" s="1758"/>
      <c r="BF694" s="1758"/>
      <c r="BG694" s="1758"/>
      <c r="BH694" s="1758"/>
      <c r="BI694" s="1758"/>
      <c r="BJ694" s="1758"/>
      <c r="BK694" s="1758"/>
      <c r="BL694" s="1758"/>
      <c r="BM694" s="1758"/>
      <c r="BN694" s="1758"/>
      <c r="BO694" s="1758"/>
      <c r="BP694" s="1758"/>
      <c r="BQ694" s="1758"/>
      <c r="BR694" s="1758"/>
      <c r="BS694" s="1758"/>
      <c r="BT694" s="1758"/>
      <c r="BU694" s="1758"/>
      <c r="BV694" s="1758"/>
      <c r="BW694" s="1758"/>
      <c r="BX694" s="1758"/>
      <c r="BY694" s="1758"/>
      <c r="BZ694" s="1758"/>
      <c r="CA694" s="1758"/>
      <c r="CB694" s="1758"/>
      <c r="CC694" s="1758"/>
      <c r="CD694" s="1758"/>
      <c r="CE694" s="1758"/>
      <c r="CF694" s="1758"/>
      <c r="CG694" s="1758"/>
      <c r="CH694" s="1758"/>
      <c r="CI694" s="1758"/>
      <c r="CJ694" s="1758"/>
      <c r="CK694" s="1758"/>
      <c r="CL694" s="1758"/>
      <c r="CM694" s="1758"/>
      <c r="CN694" s="1758"/>
      <c r="CO694" s="1758"/>
      <c r="CP694" s="1758"/>
      <c r="CQ694" s="1758"/>
      <c r="CR694" s="1758"/>
      <c r="CS694" s="1758"/>
      <c r="CT694" s="1758"/>
      <c r="CU694" s="1758"/>
      <c r="CV694" s="1758"/>
      <c r="CW694" s="1758"/>
      <c r="CX694" s="1758"/>
      <c r="CY694" s="1758"/>
      <c r="CZ694" s="1758"/>
      <c r="DA694" s="1758"/>
      <c r="DB694" s="1758"/>
      <c r="DC694" s="1758"/>
    </row>
    <row r="695" spans="1:107" s="1395" customFormat="1" ht="21" customHeight="1">
      <c r="A695" s="10893"/>
      <c r="B695" s="10731"/>
      <c r="C695" s="10728"/>
      <c r="D695" s="10728"/>
      <c r="E695" s="10728"/>
      <c r="F695" s="10744"/>
      <c r="G695" s="10728"/>
      <c r="H695" s="10728"/>
      <c r="I695" s="10728"/>
      <c r="J695" s="10728"/>
      <c r="K695" s="10735"/>
      <c r="L695" s="10738"/>
      <c r="M695" s="10738"/>
      <c r="N695" s="10738"/>
      <c r="O695" s="10735"/>
      <c r="P695" s="10735"/>
      <c r="Q695" s="10750"/>
      <c r="R695" s="5171"/>
      <c r="S695" s="5213"/>
      <c r="T695" s="5213"/>
      <c r="U695" s="5247"/>
      <c r="V695" s="5279"/>
      <c r="W695" s="5300"/>
      <c r="X695" s="7473"/>
      <c r="Y695" s="7473"/>
      <c r="Z695" s="7473"/>
      <c r="AA695" s="7474"/>
      <c r="AB695" s="5323"/>
      <c r="AC695" s="1396"/>
      <c r="AD695" s="5300"/>
      <c r="AE695" s="5346"/>
      <c r="AF695" s="5346"/>
      <c r="AG695" s="10777"/>
      <c r="AH695" s="1758"/>
      <c r="AI695" s="1758"/>
      <c r="AJ695" s="1758"/>
      <c r="AK695" s="1758"/>
      <c r="AL695" s="1758"/>
      <c r="AM695" s="1758"/>
      <c r="AN695" s="1758"/>
      <c r="AO695" s="1758"/>
      <c r="AP695" s="1758"/>
      <c r="AQ695" s="1758"/>
      <c r="AR695" s="1758"/>
      <c r="AS695" s="1758"/>
      <c r="AT695" s="1758"/>
      <c r="AU695" s="1758"/>
      <c r="AV695" s="1758"/>
      <c r="AW695" s="1758"/>
      <c r="AX695" s="1758"/>
      <c r="AY695" s="1758"/>
      <c r="AZ695" s="1758"/>
      <c r="BA695" s="1758"/>
      <c r="BB695" s="1758"/>
      <c r="BC695" s="1758"/>
      <c r="BD695" s="1758"/>
      <c r="BE695" s="1758"/>
      <c r="BF695" s="1758"/>
      <c r="BG695" s="1758"/>
      <c r="BH695" s="1758"/>
      <c r="BI695" s="1758"/>
      <c r="BJ695" s="1758"/>
      <c r="BK695" s="1758"/>
      <c r="BL695" s="1758"/>
      <c r="BM695" s="1758"/>
      <c r="BN695" s="1758"/>
      <c r="BO695" s="1758"/>
      <c r="BP695" s="1758"/>
      <c r="BQ695" s="1758"/>
      <c r="BR695" s="1758"/>
      <c r="BS695" s="1758"/>
      <c r="BT695" s="1758"/>
      <c r="BU695" s="1758"/>
      <c r="BV695" s="1758"/>
      <c r="BW695" s="1758"/>
      <c r="BX695" s="1758"/>
      <c r="BY695" s="1758"/>
      <c r="BZ695" s="1758"/>
      <c r="CA695" s="1758"/>
      <c r="CB695" s="1758"/>
      <c r="CC695" s="1758"/>
      <c r="CD695" s="1758"/>
      <c r="CE695" s="1758"/>
      <c r="CF695" s="1758"/>
      <c r="CG695" s="1758"/>
      <c r="CH695" s="1758"/>
      <c r="CI695" s="1758"/>
      <c r="CJ695" s="1758"/>
      <c r="CK695" s="1758"/>
      <c r="CL695" s="1758"/>
      <c r="CM695" s="1758"/>
      <c r="CN695" s="1758"/>
      <c r="CO695" s="1758"/>
      <c r="CP695" s="1758"/>
      <c r="CQ695" s="1758"/>
      <c r="CR695" s="1758"/>
      <c r="CS695" s="1758"/>
      <c r="CT695" s="1758"/>
      <c r="CU695" s="1758"/>
      <c r="CV695" s="1758"/>
      <c r="CW695" s="1758"/>
      <c r="CX695" s="1758"/>
      <c r="CY695" s="1758"/>
      <c r="CZ695" s="1758"/>
      <c r="DA695" s="1758"/>
      <c r="DB695" s="1758"/>
      <c r="DC695" s="1758"/>
    </row>
    <row r="696" spans="1:107" s="1395" customFormat="1" ht="21" customHeight="1">
      <c r="A696" s="10893"/>
      <c r="B696" s="10731"/>
      <c r="C696" s="10728"/>
      <c r="D696" s="10728"/>
      <c r="E696" s="10728"/>
      <c r="F696" s="10744"/>
      <c r="G696" s="10728"/>
      <c r="H696" s="10728"/>
      <c r="I696" s="10728"/>
      <c r="J696" s="10728"/>
      <c r="K696" s="10735"/>
      <c r="L696" s="10738"/>
      <c r="M696" s="10738"/>
      <c r="N696" s="10738"/>
      <c r="O696" s="10735"/>
      <c r="P696" s="10735"/>
      <c r="Q696" s="10750"/>
      <c r="R696" s="5174"/>
      <c r="S696" s="5214"/>
      <c r="T696" s="5214"/>
      <c r="U696" s="5250"/>
      <c r="V696" s="5281"/>
      <c r="W696" s="5302"/>
      <c r="X696" s="7477"/>
      <c r="Y696" s="7473"/>
      <c r="Z696" s="7473"/>
      <c r="AA696" s="7474"/>
      <c r="AB696" s="5323"/>
      <c r="AC696" s="1396"/>
      <c r="AD696" s="5300"/>
      <c r="AE696" s="5346"/>
      <c r="AF696" s="5346"/>
      <c r="AG696" s="10777"/>
      <c r="AH696" s="1758"/>
      <c r="AI696" s="1758"/>
      <c r="AJ696" s="1758"/>
      <c r="AK696" s="1758"/>
      <c r="AL696" s="1758"/>
      <c r="AM696" s="1758"/>
      <c r="AN696" s="1758"/>
      <c r="AO696" s="1758"/>
      <c r="AP696" s="1758"/>
      <c r="AQ696" s="1758"/>
      <c r="AR696" s="1758"/>
      <c r="AS696" s="1758"/>
      <c r="AT696" s="1758"/>
      <c r="AU696" s="1758"/>
      <c r="AV696" s="1758"/>
      <c r="AW696" s="1758"/>
      <c r="AX696" s="1758"/>
      <c r="AY696" s="1758"/>
      <c r="AZ696" s="1758"/>
      <c r="BA696" s="1758"/>
      <c r="BB696" s="1758"/>
      <c r="BC696" s="1758"/>
      <c r="BD696" s="1758"/>
      <c r="BE696" s="1758"/>
      <c r="BF696" s="1758"/>
      <c r="BG696" s="1758"/>
      <c r="BH696" s="1758"/>
      <c r="BI696" s="1758"/>
      <c r="BJ696" s="1758"/>
      <c r="BK696" s="1758"/>
      <c r="BL696" s="1758"/>
      <c r="BM696" s="1758"/>
      <c r="BN696" s="1758"/>
      <c r="BO696" s="1758"/>
      <c r="BP696" s="1758"/>
      <c r="BQ696" s="1758"/>
      <c r="BR696" s="1758"/>
      <c r="BS696" s="1758"/>
      <c r="BT696" s="1758"/>
      <c r="BU696" s="1758"/>
      <c r="BV696" s="1758"/>
      <c r="BW696" s="1758"/>
      <c r="BX696" s="1758"/>
      <c r="BY696" s="1758"/>
      <c r="BZ696" s="1758"/>
      <c r="CA696" s="1758"/>
      <c r="CB696" s="1758"/>
      <c r="CC696" s="1758"/>
      <c r="CD696" s="1758"/>
      <c r="CE696" s="1758"/>
      <c r="CF696" s="1758"/>
      <c r="CG696" s="1758"/>
      <c r="CH696" s="1758"/>
      <c r="CI696" s="1758"/>
      <c r="CJ696" s="1758"/>
      <c r="CK696" s="1758"/>
      <c r="CL696" s="1758"/>
      <c r="CM696" s="1758"/>
      <c r="CN696" s="1758"/>
      <c r="CO696" s="1758"/>
      <c r="CP696" s="1758"/>
      <c r="CQ696" s="1758"/>
      <c r="CR696" s="1758"/>
      <c r="CS696" s="1758"/>
      <c r="CT696" s="1758"/>
      <c r="CU696" s="1758"/>
      <c r="CV696" s="1758"/>
      <c r="CW696" s="1758"/>
      <c r="CX696" s="1758"/>
      <c r="CY696" s="1758"/>
      <c r="CZ696" s="1758"/>
      <c r="DA696" s="1758"/>
      <c r="DB696" s="1758"/>
      <c r="DC696" s="1758"/>
    </row>
    <row r="697" spans="1:107" s="1395" customFormat="1" ht="21" customHeight="1">
      <c r="A697" s="10893"/>
      <c r="B697" s="10731"/>
      <c r="C697" s="10728"/>
      <c r="D697" s="10728"/>
      <c r="E697" s="10728"/>
      <c r="F697" s="10744"/>
      <c r="G697" s="10728"/>
      <c r="H697" s="10728"/>
      <c r="I697" s="10728"/>
      <c r="J697" s="10728"/>
      <c r="K697" s="10735"/>
      <c r="L697" s="10738"/>
      <c r="M697" s="10738"/>
      <c r="N697" s="10738"/>
      <c r="O697" s="10735"/>
      <c r="P697" s="10735"/>
      <c r="Q697" s="10750"/>
      <c r="R697" s="5173"/>
      <c r="S697" s="5212"/>
      <c r="T697" s="5212"/>
      <c r="U697" s="5250"/>
      <c r="V697" s="5281"/>
      <c r="W697" s="5302"/>
      <c r="X697" s="7477"/>
      <c r="Y697" s="7473"/>
      <c r="Z697" s="7473"/>
      <c r="AA697" s="7474"/>
      <c r="AB697" s="5323"/>
      <c r="AC697" s="1396"/>
      <c r="AD697" s="5300"/>
      <c r="AE697" s="5346"/>
      <c r="AF697" s="5346"/>
      <c r="AG697" s="10777"/>
      <c r="AH697" s="1758"/>
      <c r="AI697" s="1758"/>
      <c r="AJ697" s="1758"/>
      <c r="AK697" s="1758"/>
      <c r="AL697" s="1758"/>
      <c r="AM697" s="1758"/>
      <c r="AN697" s="1758"/>
      <c r="AO697" s="1758"/>
      <c r="AP697" s="1758"/>
      <c r="AQ697" s="1758"/>
      <c r="AR697" s="1758"/>
      <c r="AS697" s="1758"/>
      <c r="AT697" s="1758"/>
      <c r="AU697" s="1758"/>
      <c r="AV697" s="1758"/>
      <c r="AW697" s="1758"/>
      <c r="AX697" s="1758"/>
      <c r="AY697" s="1758"/>
      <c r="AZ697" s="1758"/>
      <c r="BA697" s="1758"/>
      <c r="BB697" s="1758"/>
      <c r="BC697" s="1758"/>
      <c r="BD697" s="1758"/>
      <c r="BE697" s="1758"/>
      <c r="BF697" s="1758"/>
      <c r="BG697" s="1758"/>
      <c r="BH697" s="1758"/>
      <c r="BI697" s="1758"/>
      <c r="BJ697" s="1758"/>
      <c r="BK697" s="1758"/>
      <c r="BL697" s="1758"/>
      <c r="BM697" s="1758"/>
      <c r="BN697" s="1758"/>
      <c r="BO697" s="1758"/>
      <c r="BP697" s="1758"/>
      <c r="BQ697" s="1758"/>
      <c r="BR697" s="1758"/>
      <c r="BS697" s="1758"/>
      <c r="BT697" s="1758"/>
      <c r="BU697" s="1758"/>
      <c r="BV697" s="1758"/>
      <c r="BW697" s="1758"/>
      <c r="BX697" s="1758"/>
      <c r="BY697" s="1758"/>
      <c r="BZ697" s="1758"/>
      <c r="CA697" s="1758"/>
      <c r="CB697" s="1758"/>
      <c r="CC697" s="1758"/>
      <c r="CD697" s="1758"/>
      <c r="CE697" s="1758"/>
      <c r="CF697" s="1758"/>
      <c r="CG697" s="1758"/>
      <c r="CH697" s="1758"/>
      <c r="CI697" s="1758"/>
      <c r="CJ697" s="1758"/>
      <c r="CK697" s="1758"/>
      <c r="CL697" s="1758"/>
      <c r="CM697" s="1758"/>
      <c r="CN697" s="1758"/>
      <c r="CO697" s="1758"/>
      <c r="CP697" s="1758"/>
      <c r="CQ697" s="1758"/>
      <c r="CR697" s="1758"/>
      <c r="CS697" s="1758"/>
      <c r="CT697" s="1758"/>
      <c r="CU697" s="1758"/>
      <c r="CV697" s="1758"/>
      <c r="CW697" s="1758"/>
      <c r="CX697" s="1758"/>
      <c r="CY697" s="1758"/>
      <c r="CZ697" s="1758"/>
      <c r="DA697" s="1758"/>
      <c r="DB697" s="1758"/>
      <c r="DC697" s="1758"/>
    </row>
    <row r="698" spans="1:107" s="1395" customFormat="1" ht="21" customHeight="1">
      <c r="A698" s="10893"/>
      <c r="B698" s="10732"/>
      <c r="C698" s="10729"/>
      <c r="D698" s="10729"/>
      <c r="E698" s="10729"/>
      <c r="F698" s="10745"/>
      <c r="G698" s="10729"/>
      <c r="H698" s="10729"/>
      <c r="I698" s="10729"/>
      <c r="J698" s="10729"/>
      <c r="K698" s="10736"/>
      <c r="L698" s="10739"/>
      <c r="M698" s="10739"/>
      <c r="N698" s="10739"/>
      <c r="O698" s="10736"/>
      <c r="P698" s="10736"/>
      <c r="Q698" s="10751"/>
      <c r="R698" s="5175"/>
      <c r="S698" s="5215"/>
      <c r="T698" s="5215"/>
      <c r="U698" s="5251"/>
      <c r="V698" s="5282"/>
      <c r="W698" s="5303"/>
      <c r="X698" s="7479"/>
      <c r="Y698" s="7479"/>
      <c r="Z698" s="7479"/>
      <c r="AA698" s="7480"/>
      <c r="AB698" s="5326"/>
      <c r="AC698" s="1399"/>
      <c r="AD698" s="5303"/>
      <c r="AE698" s="5348"/>
      <c r="AF698" s="5348"/>
      <c r="AG698" s="10778"/>
      <c r="AH698" s="1758"/>
      <c r="AI698" s="1758"/>
      <c r="AJ698" s="1758"/>
      <c r="AK698" s="1758"/>
      <c r="AL698" s="1758"/>
      <c r="AM698" s="1758"/>
      <c r="AN698" s="1758"/>
      <c r="AO698" s="1758"/>
      <c r="AP698" s="1758"/>
      <c r="AQ698" s="1758"/>
      <c r="AR698" s="1758"/>
      <c r="AS698" s="1758"/>
      <c r="AT698" s="1758"/>
      <c r="AU698" s="1758"/>
      <c r="AV698" s="1758"/>
      <c r="AW698" s="1758"/>
      <c r="AX698" s="1758"/>
      <c r="AY698" s="1758"/>
      <c r="AZ698" s="1758"/>
      <c r="BA698" s="1758"/>
      <c r="BB698" s="1758"/>
      <c r="BC698" s="1758"/>
      <c r="BD698" s="1758"/>
      <c r="BE698" s="1758"/>
      <c r="BF698" s="1758"/>
      <c r="BG698" s="1758"/>
      <c r="BH698" s="1758"/>
      <c r="BI698" s="1758"/>
      <c r="BJ698" s="1758"/>
      <c r="BK698" s="1758"/>
      <c r="BL698" s="1758"/>
      <c r="BM698" s="1758"/>
      <c r="BN698" s="1758"/>
      <c r="BO698" s="1758"/>
      <c r="BP698" s="1758"/>
      <c r="BQ698" s="1758"/>
      <c r="BR698" s="1758"/>
      <c r="BS698" s="1758"/>
      <c r="BT698" s="1758"/>
      <c r="BU698" s="1758"/>
      <c r="BV698" s="1758"/>
      <c r="BW698" s="1758"/>
      <c r="BX698" s="1758"/>
      <c r="BY698" s="1758"/>
      <c r="BZ698" s="1758"/>
      <c r="CA698" s="1758"/>
      <c r="CB698" s="1758"/>
      <c r="CC698" s="1758"/>
      <c r="CD698" s="1758"/>
      <c r="CE698" s="1758"/>
      <c r="CF698" s="1758"/>
      <c r="CG698" s="1758"/>
      <c r="CH698" s="1758"/>
      <c r="CI698" s="1758"/>
      <c r="CJ698" s="1758"/>
      <c r="CK698" s="1758"/>
      <c r="CL698" s="1758"/>
      <c r="CM698" s="1758"/>
      <c r="CN698" s="1758"/>
      <c r="CO698" s="1758"/>
      <c r="CP698" s="1758"/>
      <c r="CQ698" s="1758"/>
      <c r="CR698" s="1758"/>
      <c r="CS698" s="1758"/>
      <c r="CT698" s="1758"/>
      <c r="CU698" s="1758"/>
      <c r="CV698" s="1758"/>
      <c r="CW698" s="1758"/>
      <c r="CX698" s="1758"/>
      <c r="CY698" s="1758"/>
      <c r="CZ698" s="1758"/>
      <c r="DA698" s="1758"/>
      <c r="DB698" s="1758"/>
      <c r="DC698" s="1758"/>
    </row>
    <row r="699" spans="1:107" s="1395" customFormat="1" ht="26.25" customHeight="1">
      <c r="A699" s="10893"/>
      <c r="B699" s="10731" t="s">
        <v>127</v>
      </c>
      <c r="C699" s="10728" t="s">
        <v>227</v>
      </c>
      <c r="D699" s="10728" t="s">
        <v>228</v>
      </c>
      <c r="E699" s="10728" t="s">
        <v>229</v>
      </c>
      <c r="F699" s="10744" t="s">
        <v>230</v>
      </c>
      <c r="G699" s="10728" t="s">
        <v>171</v>
      </c>
      <c r="H699" s="10728" t="s">
        <v>159</v>
      </c>
      <c r="I699" s="10728" t="s">
        <v>5057</v>
      </c>
      <c r="J699" s="10742" t="s">
        <v>5058</v>
      </c>
      <c r="K699" s="10735" t="s">
        <v>5059</v>
      </c>
      <c r="L699" s="10738">
        <v>0</v>
      </c>
      <c r="M699" s="10738">
        <v>4</v>
      </c>
      <c r="N699" s="10738">
        <v>4</v>
      </c>
      <c r="O699" s="10735" t="s">
        <v>5060</v>
      </c>
      <c r="P699" s="10735" t="s">
        <v>5061</v>
      </c>
      <c r="Q699" s="10750" t="s">
        <v>5133</v>
      </c>
      <c r="R699" s="5173"/>
      <c r="S699" s="5212"/>
      <c r="T699" s="5212"/>
      <c r="U699" s="5249"/>
      <c r="V699" s="5281"/>
      <c r="W699" s="5302"/>
      <c r="X699" s="7477"/>
      <c r="Y699" s="7477"/>
      <c r="Z699" s="7477"/>
      <c r="AA699" s="7478"/>
      <c r="AB699" s="5325"/>
      <c r="AC699" s="1398"/>
      <c r="AD699" s="5302"/>
      <c r="AE699" s="5349"/>
      <c r="AF699" s="5349"/>
      <c r="AG699" s="10777" t="s">
        <v>4843</v>
      </c>
      <c r="AH699" s="1758"/>
      <c r="AI699" s="1758"/>
      <c r="AJ699" s="1758"/>
      <c r="AK699" s="1758"/>
      <c r="AL699" s="1758"/>
      <c r="AM699" s="1758"/>
      <c r="AN699" s="1758"/>
      <c r="AO699" s="1758"/>
      <c r="AP699" s="1758"/>
      <c r="AQ699" s="1758"/>
      <c r="AR699" s="1758"/>
      <c r="AS699" s="1758"/>
      <c r="AT699" s="1758"/>
      <c r="AU699" s="1758"/>
      <c r="AV699" s="1758"/>
      <c r="AW699" s="1758"/>
      <c r="AX699" s="1758"/>
      <c r="AY699" s="1758"/>
      <c r="AZ699" s="1758"/>
      <c r="BA699" s="1758"/>
      <c r="BB699" s="1758"/>
      <c r="BC699" s="1758"/>
      <c r="BD699" s="1758"/>
      <c r="BE699" s="1758"/>
      <c r="BF699" s="1758"/>
      <c r="BG699" s="1758"/>
      <c r="BH699" s="1758"/>
      <c r="BI699" s="1758"/>
      <c r="BJ699" s="1758"/>
      <c r="BK699" s="1758"/>
      <c r="BL699" s="1758"/>
      <c r="BM699" s="1758"/>
      <c r="BN699" s="1758"/>
      <c r="BO699" s="1758"/>
      <c r="BP699" s="1758"/>
      <c r="BQ699" s="1758"/>
      <c r="BR699" s="1758"/>
      <c r="BS699" s="1758"/>
      <c r="BT699" s="1758"/>
      <c r="BU699" s="1758"/>
      <c r="BV699" s="1758"/>
      <c r="BW699" s="1758"/>
      <c r="BX699" s="1758"/>
      <c r="BY699" s="1758"/>
      <c r="BZ699" s="1758"/>
      <c r="CA699" s="1758"/>
      <c r="CB699" s="1758"/>
      <c r="CC699" s="1758"/>
      <c r="CD699" s="1758"/>
      <c r="CE699" s="1758"/>
      <c r="CF699" s="1758"/>
      <c r="CG699" s="1758"/>
      <c r="CH699" s="1758"/>
      <c r="CI699" s="1758"/>
      <c r="CJ699" s="1758"/>
      <c r="CK699" s="1758"/>
      <c r="CL699" s="1758"/>
      <c r="CM699" s="1758"/>
      <c r="CN699" s="1758"/>
      <c r="CO699" s="1758"/>
      <c r="CP699" s="1758"/>
      <c r="CQ699" s="1758"/>
      <c r="CR699" s="1758"/>
      <c r="CS699" s="1758"/>
      <c r="CT699" s="1758"/>
      <c r="CU699" s="1758"/>
      <c r="CV699" s="1758"/>
      <c r="CW699" s="1758"/>
      <c r="CX699" s="1758"/>
      <c r="CY699" s="1758"/>
      <c r="CZ699" s="1758"/>
      <c r="DA699" s="1758"/>
      <c r="DB699" s="1758"/>
      <c r="DC699" s="1758"/>
    </row>
    <row r="700" spans="1:107" s="1395" customFormat="1" ht="26.25" customHeight="1">
      <c r="A700" s="10893"/>
      <c r="B700" s="10731"/>
      <c r="C700" s="10728"/>
      <c r="D700" s="10728"/>
      <c r="E700" s="10728"/>
      <c r="F700" s="10744"/>
      <c r="G700" s="10728"/>
      <c r="H700" s="10728"/>
      <c r="I700" s="10728"/>
      <c r="J700" s="10728"/>
      <c r="K700" s="10735"/>
      <c r="L700" s="10738"/>
      <c r="M700" s="10738"/>
      <c r="N700" s="10738"/>
      <c r="O700" s="10735"/>
      <c r="P700" s="10735"/>
      <c r="Q700" s="10750"/>
      <c r="R700" s="5171"/>
      <c r="S700" s="5213"/>
      <c r="T700" s="5213"/>
      <c r="U700" s="5247"/>
      <c r="V700" s="5279"/>
      <c r="W700" s="5300"/>
      <c r="X700" s="7473"/>
      <c r="Y700" s="7473"/>
      <c r="Z700" s="7473"/>
      <c r="AA700" s="7474"/>
      <c r="AB700" s="5323"/>
      <c r="AC700" s="1396"/>
      <c r="AD700" s="5300"/>
      <c r="AE700" s="5346"/>
      <c r="AF700" s="5346"/>
      <c r="AG700" s="10777"/>
      <c r="AH700" s="1758"/>
      <c r="AI700" s="1758"/>
      <c r="AJ700" s="1758"/>
      <c r="AK700" s="1758"/>
      <c r="AL700" s="1758"/>
      <c r="AM700" s="1758"/>
      <c r="AN700" s="1758"/>
      <c r="AO700" s="1758"/>
      <c r="AP700" s="1758"/>
      <c r="AQ700" s="1758"/>
      <c r="AR700" s="1758"/>
      <c r="AS700" s="1758"/>
      <c r="AT700" s="1758"/>
      <c r="AU700" s="1758"/>
      <c r="AV700" s="1758"/>
      <c r="AW700" s="1758"/>
      <c r="AX700" s="1758"/>
      <c r="AY700" s="1758"/>
      <c r="AZ700" s="1758"/>
      <c r="BA700" s="1758"/>
      <c r="BB700" s="1758"/>
      <c r="BC700" s="1758"/>
      <c r="BD700" s="1758"/>
      <c r="BE700" s="1758"/>
      <c r="BF700" s="1758"/>
      <c r="BG700" s="1758"/>
      <c r="BH700" s="1758"/>
      <c r="BI700" s="1758"/>
      <c r="BJ700" s="1758"/>
      <c r="BK700" s="1758"/>
      <c r="BL700" s="1758"/>
      <c r="BM700" s="1758"/>
      <c r="BN700" s="1758"/>
      <c r="BO700" s="1758"/>
      <c r="BP700" s="1758"/>
      <c r="BQ700" s="1758"/>
      <c r="BR700" s="1758"/>
      <c r="BS700" s="1758"/>
      <c r="BT700" s="1758"/>
      <c r="BU700" s="1758"/>
      <c r="BV700" s="1758"/>
      <c r="BW700" s="1758"/>
      <c r="BX700" s="1758"/>
      <c r="BY700" s="1758"/>
      <c r="BZ700" s="1758"/>
      <c r="CA700" s="1758"/>
      <c r="CB700" s="1758"/>
      <c r="CC700" s="1758"/>
      <c r="CD700" s="1758"/>
      <c r="CE700" s="1758"/>
      <c r="CF700" s="1758"/>
      <c r="CG700" s="1758"/>
      <c r="CH700" s="1758"/>
      <c r="CI700" s="1758"/>
      <c r="CJ700" s="1758"/>
      <c r="CK700" s="1758"/>
      <c r="CL700" s="1758"/>
      <c r="CM700" s="1758"/>
      <c r="CN700" s="1758"/>
      <c r="CO700" s="1758"/>
      <c r="CP700" s="1758"/>
      <c r="CQ700" s="1758"/>
      <c r="CR700" s="1758"/>
      <c r="CS700" s="1758"/>
      <c r="CT700" s="1758"/>
      <c r="CU700" s="1758"/>
      <c r="CV700" s="1758"/>
      <c r="CW700" s="1758"/>
      <c r="CX700" s="1758"/>
      <c r="CY700" s="1758"/>
      <c r="CZ700" s="1758"/>
      <c r="DA700" s="1758"/>
      <c r="DB700" s="1758"/>
      <c r="DC700" s="1758"/>
    </row>
    <row r="701" spans="1:107" s="1395" customFormat="1" ht="26.25" customHeight="1">
      <c r="A701" s="10893"/>
      <c r="B701" s="10731"/>
      <c r="C701" s="10728"/>
      <c r="D701" s="10728"/>
      <c r="E701" s="10728"/>
      <c r="F701" s="10744"/>
      <c r="G701" s="10728"/>
      <c r="H701" s="10728"/>
      <c r="I701" s="10728"/>
      <c r="J701" s="10728"/>
      <c r="K701" s="10735"/>
      <c r="L701" s="10738"/>
      <c r="M701" s="10738"/>
      <c r="N701" s="10738"/>
      <c r="O701" s="10735"/>
      <c r="P701" s="10735"/>
      <c r="Q701" s="10750"/>
      <c r="R701" s="5174"/>
      <c r="S701" s="5214"/>
      <c r="T701" s="5214"/>
      <c r="U701" s="5250"/>
      <c r="V701" s="5281"/>
      <c r="W701" s="5302"/>
      <c r="X701" s="7477"/>
      <c r="Y701" s="7473"/>
      <c r="Z701" s="7473"/>
      <c r="AA701" s="7474"/>
      <c r="AB701" s="5323"/>
      <c r="AC701" s="1396"/>
      <c r="AD701" s="5300"/>
      <c r="AE701" s="5346"/>
      <c r="AF701" s="5346"/>
      <c r="AG701" s="10777"/>
      <c r="AH701" s="1758"/>
      <c r="AI701" s="1758"/>
      <c r="AJ701" s="1758"/>
      <c r="AK701" s="1758"/>
      <c r="AL701" s="1758"/>
      <c r="AM701" s="1758"/>
      <c r="AN701" s="1758"/>
      <c r="AO701" s="1758"/>
      <c r="AP701" s="1758"/>
      <c r="AQ701" s="1758"/>
      <c r="AR701" s="1758"/>
      <c r="AS701" s="1758"/>
      <c r="AT701" s="1758"/>
      <c r="AU701" s="1758"/>
      <c r="AV701" s="1758"/>
      <c r="AW701" s="1758"/>
      <c r="AX701" s="1758"/>
      <c r="AY701" s="1758"/>
      <c r="AZ701" s="1758"/>
      <c r="BA701" s="1758"/>
      <c r="BB701" s="1758"/>
      <c r="BC701" s="1758"/>
      <c r="BD701" s="1758"/>
      <c r="BE701" s="1758"/>
      <c r="BF701" s="1758"/>
      <c r="BG701" s="1758"/>
      <c r="BH701" s="1758"/>
      <c r="BI701" s="1758"/>
      <c r="BJ701" s="1758"/>
      <c r="BK701" s="1758"/>
      <c r="BL701" s="1758"/>
      <c r="BM701" s="1758"/>
      <c r="BN701" s="1758"/>
      <c r="BO701" s="1758"/>
      <c r="BP701" s="1758"/>
      <c r="BQ701" s="1758"/>
      <c r="BR701" s="1758"/>
      <c r="BS701" s="1758"/>
      <c r="BT701" s="1758"/>
      <c r="BU701" s="1758"/>
      <c r="BV701" s="1758"/>
      <c r="BW701" s="1758"/>
      <c r="BX701" s="1758"/>
      <c r="BY701" s="1758"/>
      <c r="BZ701" s="1758"/>
      <c r="CA701" s="1758"/>
      <c r="CB701" s="1758"/>
      <c r="CC701" s="1758"/>
      <c r="CD701" s="1758"/>
      <c r="CE701" s="1758"/>
      <c r="CF701" s="1758"/>
      <c r="CG701" s="1758"/>
      <c r="CH701" s="1758"/>
      <c r="CI701" s="1758"/>
      <c r="CJ701" s="1758"/>
      <c r="CK701" s="1758"/>
      <c r="CL701" s="1758"/>
      <c r="CM701" s="1758"/>
      <c r="CN701" s="1758"/>
      <c r="CO701" s="1758"/>
      <c r="CP701" s="1758"/>
      <c r="CQ701" s="1758"/>
      <c r="CR701" s="1758"/>
      <c r="CS701" s="1758"/>
      <c r="CT701" s="1758"/>
      <c r="CU701" s="1758"/>
      <c r="CV701" s="1758"/>
      <c r="CW701" s="1758"/>
      <c r="CX701" s="1758"/>
      <c r="CY701" s="1758"/>
      <c r="CZ701" s="1758"/>
      <c r="DA701" s="1758"/>
      <c r="DB701" s="1758"/>
      <c r="DC701" s="1758"/>
    </row>
    <row r="702" spans="1:107" s="1395" customFormat="1" ht="26.25" customHeight="1">
      <c r="A702" s="10893"/>
      <c r="B702" s="10731"/>
      <c r="C702" s="10728"/>
      <c r="D702" s="10728"/>
      <c r="E702" s="10728"/>
      <c r="F702" s="10744"/>
      <c r="G702" s="10728"/>
      <c r="H702" s="10728"/>
      <c r="I702" s="10728"/>
      <c r="J702" s="10728"/>
      <c r="K702" s="10735"/>
      <c r="L702" s="10738"/>
      <c r="M702" s="10738"/>
      <c r="N702" s="10738"/>
      <c r="O702" s="10735"/>
      <c r="P702" s="10735"/>
      <c r="Q702" s="10750"/>
      <c r="R702" s="5173"/>
      <c r="S702" s="5212"/>
      <c r="T702" s="5212"/>
      <c r="U702" s="5250"/>
      <c r="V702" s="5281"/>
      <c r="W702" s="5302"/>
      <c r="X702" s="7477"/>
      <c r="Y702" s="7473"/>
      <c r="Z702" s="7473"/>
      <c r="AA702" s="7474"/>
      <c r="AB702" s="5323"/>
      <c r="AC702" s="1396"/>
      <c r="AD702" s="5300"/>
      <c r="AE702" s="5346"/>
      <c r="AF702" s="5346"/>
      <c r="AG702" s="10777"/>
      <c r="AH702" s="1758"/>
      <c r="AI702" s="1758"/>
      <c r="AJ702" s="1758"/>
      <c r="AK702" s="1758"/>
      <c r="AL702" s="1758"/>
      <c r="AM702" s="1758"/>
      <c r="AN702" s="1758"/>
      <c r="AO702" s="1758"/>
      <c r="AP702" s="1758"/>
      <c r="AQ702" s="1758"/>
      <c r="AR702" s="1758"/>
      <c r="AS702" s="1758"/>
      <c r="AT702" s="1758"/>
      <c r="AU702" s="1758"/>
      <c r="AV702" s="1758"/>
      <c r="AW702" s="1758"/>
      <c r="AX702" s="1758"/>
      <c r="AY702" s="1758"/>
      <c r="AZ702" s="1758"/>
      <c r="BA702" s="1758"/>
      <c r="BB702" s="1758"/>
      <c r="BC702" s="1758"/>
      <c r="BD702" s="1758"/>
      <c r="BE702" s="1758"/>
      <c r="BF702" s="1758"/>
      <c r="BG702" s="1758"/>
      <c r="BH702" s="1758"/>
      <c r="BI702" s="1758"/>
      <c r="BJ702" s="1758"/>
      <c r="BK702" s="1758"/>
      <c r="BL702" s="1758"/>
      <c r="BM702" s="1758"/>
      <c r="BN702" s="1758"/>
      <c r="BO702" s="1758"/>
      <c r="BP702" s="1758"/>
      <c r="BQ702" s="1758"/>
      <c r="BR702" s="1758"/>
      <c r="BS702" s="1758"/>
      <c r="BT702" s="1758"/>
      <c r="BU702" s="1758"/>
      <c r="BV702" s="1758"/>
      <c r="BW702" s="1758"/>
      <c r="BX702" s="1758"/>
      <c r="BY702" s="1758"/>
      <c r="BZ702" s="1758"/>
      <c r="CA702" s="1758"/>
      <c r="CB702" s="1758"/>
      <c r="CC702" s="1758"/>
      <c r="CD702" s="1758"/>
      <c r="CE702" s="1758"/>
      <c r="CF702" s="1758"/>
      <c r="CG702" s="1758"/>
      <c r="CH702" s="1758"/>
      <c r="CI702" s="1758"/>
      <c r="CJ702" s="1758"/>
      <c r="CK702" s="1758"/>
      <c r="CL702" s="1758"/>
      <c r="CM702" s="1758"/>
      <c r="CN702" s="1758"/>
      <c r="CO702" s="1758"/>
      <c r="CP702" s="1758"/>
      <c r="CQ702" s="1758"/>
      <c r="CR702" s="1758"/>
      <c r="CS702" s="1758"/>
      <c r="CT702" s="1758"/>
      <c r="CU702" s="1758"/>
      <c r="CV702" s="1758"/>
      <c r="CW702" s="1758"/>
      <c r="CX702" s="1758"/>
      <c r="CY702" s="1758"/>
      <c r="CZ702" s="1758"/>
      <c r="DA702" s="1758"/>
      <c r="DB702" s="1758"/>
      <c r="DC702" s="1758"/>
    </row>
    <row r="703" spans="1:107" s="1395" customFormat="1" ht="26.25" customHeight="1">
      <c r="A703" s="10893"/>
      <c r="B703" s="10732"/>
      <c r="C703" s="10729"/>
      <c r="D703" s="10729"/>
      <c r="E703" s="10729"/>
      <c r="F703" s="10745"/>
      <c r="G703" s="10729"/>
      <c r="H703" s="10729"/>
      <c r="I703" s="10729"/>
      <c r="J703" s="10729"/>
      <c r="K703" s="10736"/>
      <c r="L703" s="10739"/>
      <c r="M703" s="10739"/>
      <c r="N703" s="10739"/>
      <c r="O703" s="10736"/>
      <c r="P703" s="10736"/>
      <c r="Q703" s="10751"/>
      <c r="R703" s="5175"/>
      <c r="S703" s="5215"/>
      <c r="T703" s="5215"/>
      <c r="U703" s="5251"/>
      <c r="V703" s="5282"/>
      <c r="W703" s="5303"/>
      <c r="X703" s="7479"/>
      <c r="Y703" s="7479"/>
      <c r="Z703" s="7479"/>
      <c r="AA703" s="7480"/>
      <c r="AB703" s="5326"/>
      <c r="AC703" s="1399"/>
      <c r="AD703" s="5303"/>
      <c r="AE703" s="5348"/>
      <c r="AF703" s="5348"/>
      <c r="AG703" s="10778"/>
      <c r="AH703" s="1758"/>
      <c r="AI703" s="1758"/>
      <c r="AJ703" s="1758"/>
      <c r="AK703" s="1758"/>
      <c r="AL703" s="1758"/>
      <c r="AM703" s="1758"/>
      <c r="AN703" s="1758"/>
      <c r="AO703" s="1758"/>
      <c r="AP703" s="1758"/>
      <c r="AQ703" s="1758"/>
      <c r="AR703" s="1758"/>
      <c r="AS703" s="1758"/>
      <c r="AT703" s="1758"/>
      <c r="AU703" s="1758"/>
      <c r="AV703" s="1758"/>
      <c r="AW703" s="1758"/>
      <c r="AX703" s="1758"/>
      <c r="AY703" s="1758"/>
      <c r="AZ703" s="1758"/>
      <c r="BA703" s="1758"/>
      <c r="BB703" s="1758"/>
      <c r="BC703" s="1758"/>
      <c r="BD703" s="1758"/>
      <c r="BE703" s="1758"/>
      <c r="BF703" s="1758"/>
      <c r="BG703" s="1758"/>
      <c r="BH703" s="1758"/>
      <c r="BI703" s="1758"/>
      <c r="BJ703" s="1758"/>
      <c r="BK703" s="1758"/>
      <c r="BL703" s="1758"/>
      <c r="BM703" s="1758"/>
      <c r="BN703" s="1758"/>
      <c r="BO703" s="1758"/>
      <c r="BP703" s="1758"/>
      <c r="BQ703" s="1758"/>
      <c r="BR703" s="1758"/>
      <c r="BS703" s="1758"/>
      <c r="BT703" s="1758"/>
      <c r="BU703" s="1758"/>
      <c r="BV703" s="1758"/>
      <c r="BW703" s="1758"/>
      <c r="BX703" s="1758"/>
      <c r="BY703" s="1758"/>
      <c r="BZ703" s="1758"/>
      <c r="CA703" s="1758"/>
      <c r="CB703" s="1758"/>
      <c r="CC703" s="1758"/>
      <c r="CD703" s="1758"/>
      <c r="CE703" s="1758"/>
      <c r="CF703" s="1758"/>
      <c r="CG703" s="1758"/>
      <c r="CH703" s="1758"/>
      <c r="CI703" s="1758"/>
      <c r="CJ703" s="1758"/>
      <c r="CK703" s="1758"/>
      <c r="CL703" s="1758"/>
      <c r="CM703" s="1758"/>
      <c r="CN703" s="1758"/>
      <c r="CO703" s="1758"/>
      <c r="CP703" s="1758"/>
      <c r="CQ703" s="1758"/>
      <c r="CR703" s="1758"/>
      <c r="CS703" s="1758"/>
      <c r="CT703" s="1758"/>
      <c r="CU703" s="1758"/>
      <c r="CV703" s="1758"/>
      <c r="CW703" s="1758"/>
      <c r="CX703" s="1758"/>
      <c r="CY703" s="1758"/>
      <c r="CZ703" s="1758"/>
      <c r="DA703" s="1758"/>
      <c r="DB703" s="1758"/>
      <c r="DC703" s="1758"/>
    </row>
    <row r="704" spans="1:107" s="1395" customFormat="1" ht="22.5" customHeight="1">
      <c r="A704" s="10893"/>
      <c r="B704" s="10731" t="s">
        <v>183</v>
      </c>
      <c r="C704" s="10728" t="s">
        <v>128</v>
      </c>
      <c r="D704" s="10728" t="s">
        <v>129</v>
      </c>
      <c r="E704" s="10728" t="s">
        <v>205</v>
      </c>
      <c r="F704" s="10744" t="s">
        <v>131</v>
      </c>
      <c r="G704" s="10728" t="s">
        <v>132</v>
      </c>
      <c r="H704" s="10728" t="s">
        <v>159</v>
      </c>
      <c r="I704" s="10728" t="s">
        <v>5062</v>
      </c>
      <c r="J704" s="10742" t="s">
        <v>5063</v>
      </c>
      <c r="K704" s="10735" t="s">
        <v>5064</v>
      </c>
      <c r="L704" s="10738">
        <v>0</v>
      </c>
      <c r="M704" s="10738">
        <v>4</v>
      </c>
      <c r="N704" s="10738">
        <v>4</v>
      </c>
      <c r="O704" s="10735" t="s">
        <v>5065</v>
      </c>
      <c r="P704" s="10735" t="s">
        <v>5066</v>
      </c>
      <c r="Q704" s="10750" t="s">
        <v>5133</v>
      </c>
      <c r="R704" s="5173"/>
      <c r="S704" s="5212"/>
      <c r="T704" s="5212"/>
      <c r="U704" s="5249"/>
      <c r="V704" s="5281"/>
      <c r="W704" s="5302"/>
      <c r="X704" s="7477"/>
      <c r="Y704" s="7477"/>
      <c r="Z704" s="7477"/>
      <c r="AA704" s="7478"/>
      <c r="AB704" s="5325"/>
      <c r="AC704" s="1398"/>
      <c r="AD704" s="5302"/>
      <c r="AE704" s="5349"/>
      <c r="AF704" s="5349"/>
      <c r="AG704" s="10777" t="s">
        <v>4843</v>
      </c>
      <c r="AH704" s="1758"/>
      <c r="AI704" s="1758"/>
      <c r="AJ704" s="1758"/>
      <c r="AK704" s="1758"/>
      <c r="AL704" s="1758"/>
      <c r="AM704" s="1758"/>
      <c r="AN704" s="1758"/>
      <c r="AO704" s="1758"/>
      <c r="AP704" s="1758"/>
      <c r="AQ704" s="1758"/>
      <c r="AR704" s="1758"/>
      <c r="AS704" s="1758"/>
      <c r="AT704" s="1758"/>
      <c r="AU704" s="1758"/>
      <c r="AV704" s="1758"/>
      <c r="AW704" s="1758"/>
      <c r="AX704" s="1758"/>
      <c r="AY704" s="1758"/>
      <c r="AZ704" s="1758"/>
      <c r="BA704" s="1758"/>
      <c r="BB704" s="1758"/>
      <c r="BC704" s="1758"/>
      <c r="BD704" s="1758"/>
      <c r="BE704" s="1758"/>
      <c r="BF704" s="1758"/>
      <c r="BG704" s="1758"/>
      <c r="BH704" s="1758"/>
      <c r="BI704" s="1758"/>
      <c r="BJ704" s="1758"/>
      <c r="BK704" s="1758"/>
      <c r="BL704" s="1758"/>
      <c r="BM704" s="1758"/>
      <c r="BN704" s="1758"/>
      <c r="BO704" s="1758"/>
      <c r="BP704" s="1758"/>
      <c r="BQ704" s="1758"/>
      <c r="BR704" s="1758"/>
      <c r="BS704" s="1758"/>
      <c r="BT704" s="1758"/>
      <c r="BU704" s="1758"/>
      <c r="BV704" s="1758"/>
      <c r="BW704" s="1758"/>
      <c r="BX704" s="1758"/>
      <c r="BY704" s="1758"/>
      <c r="BZ704" s="1758"/>
      <c r="CA704" s="1758"/>
      <c r="CB704" s="1758"/>
      <c r="CC704" s="1758"/>
      <c r="CD704" s="1758"/>
      <c r="CE704" s="1758"/>
      <c r="CF704" s="1758"/>
      <c r="CG704" s="1758"/>
      <c r="CH704" s="1758"/>
      <c r="CI704" s="1758"/>
      <c r="CJ704" s="1758"/>
      <c r="CK704" s="1758"/>
      <c r="CL704" s="1758"/>
      <c r="CM704" s="1758"/>
      <c r="CN704" s="1758"/>
      <c r="CO704" s="1758"/>
      <c r="CP704" s="1758"/>
      <c r="CQ704" s="1758"/>
      <c r="CR704" s="1758"/>
      <c r="CS704" s="1758"/>
      <c r="CT704" s="1758"/>
      <c r="CU704" s="1758"/>
      <c r="CV704" s="1758"/>
      <c r="CW704" s="1758"/>
      <c r="CX704" s="1758"/>
      <c r="CY704" s="1758"/>
      <c r="CZ704" s="1758"/>
      <c r="DA704" s="1758"/>
      <c r="DB704" s="1758"/>
      <c r="DC704" s="1758"/>
    </row>
    <row r="705" spans="1:107" s="1395" customFormat="1" ht="22.5" customHeight="1">
      <c r="A705" s="10893"/>
      <c r="B705" s="10731"/>
      <c r="C705" s="10728"/>
      <c r="D705" s="10728"/>
      <c r="E705" s="10728"/>
      <c r="F705" s="10744"/>
      <c r="G705" s="10728"/>
      <c r="H705" s="10728"/>
      <c r="I705" s="10728"/>
      <c r="J705" s="10728"/>
      <c r="K705" s="10735"/>
      <c r="L705" s="10738"/>
      <c r="M705" s="10738"/>
      <c r="N705" s="10738"/>
      <c r="O705" s="10735"/>
      <c r="P705" s="10735"/>
      <c r="Q705" s="10750"/>
      <c r="R705" s="5171"/>
      <c r="S705" s="5213"/>
      <c r="T705" s="5213"/>
      <c r="U705" s="5247"/>
      <c r="V705" s="5279"/>
      <c r="W705" s="5300"/>
      <c r="X705" s="7473"/>
      <c r="Y705" s="7473"/>
      <c r="Z705" s="7473"/>
      <c r="AA705" s="7474"/>
      <c r="AB705" s="5323"/>
      <c r="AC705" s="1396"/>
      <c r="AD705" s="5300"/>
      <c r="AE705" s="5346"/>
      <c r="AF705" s="5346"/>
      <c r="AG705" s="10777"/>
      <c r="AH705" s="1758"/>
      <c r="AI705" s="1758"/>
      <c r="AJ705" s="1758"/>
      <c r="AK705" s="1758"/>
      <c r="AL705" s="1758"/>
      <c r="AM705" s="1758"/>
      <c r="AN705" s="1758"/>
      <c r="AO705" s="1758"/>
      <c r="AP705" s="1758"/>
      <c r="AQ705" s="1758"/>
      <c r="AR705" s="1758"/>
      <c r="AS705" s="1758"/>
      <c r="AT705" s="1758"/>
      <c r="AU705" s="1758"/>
      <c r="AV705" s="1758"/>
      <c r="AW705" s="1758"/>
      <c r="AX705" s="1758"/>
      <c r="AY705" s="1758"/>
      <c r="AZ705" s="1758"/>
      <c r="BA705" s="1758"/>
      <c r="BB705" s="1758"/>
      <c r="BC705" s="1758"/>
      <c r="BD705" s="1758"/>
      <c r="BE705" s="1758"/>
      <c r="BF705" s="1758"/>
      <c r="BG705" s="1758"/>
      <c r="BH705" s="1758"/>
      <c r="BI705" s="1758"/>
      <c r="BJ705" s="1758"/>
      <c r="BK705" s="1758"/>
      <c r="BL705" s="1758"/>
      <c r="BM705" s="1758"/>
      <c r="BN705" s="1758"/>
      <c r="BO705" s="1758"/>
      <c r="BP705" s="1758"/>
      <c r="BQ705" s="1758"/>
      <c r="BR705" s="1758"/>
      <c r="BS705" s="1758"/>
      <c r="BT705" s="1758"/>
      <c r="BU705" s="1758"/>
      <c r="BV705" s="1758"/>
      <c r="BW705" s="1758"/>
      <c r="BX705" s="1758"/>
      <c r="BY705" s="1758"/>
      <c r="BZ705" s="1758"/>
      <c r="CA705" s="1758"/>
      <c r="CB705" s="1758"/>
      <c r="CC705" s="1758"/>
      <c r="CD705" s="1758"/>
      <c r="CE705" s="1758"/>
      <c r="CF705" s="1758"/>
      <c r="CG705" s="1758"/>
      <c r="CH705" s="1758"/>
      <c r="CI705" s="1758"/>
      <c r="CJ705" s="1758"/>
      <c r="CK705" s="1758"/>
      <c r="CL705" s="1758"/>
      <c r="CM705" s="1758"/>
      <c r="CN705" s="1758"/>
      <c r="CO705" s="1758"/>
      <c r="CP705" s="1758"/>
      <c r="CQ705" s="1758"/>
      <c r="CR705" s="1758"/>
      <c r="CS705" s="1758"/>
      <c r="CT705" s="1758"/>
      <c r="CU705" s="1758"/>
      <c r="CV705" s="1758"/>
      <c r="CW705" s="1758"/>
      <c r="CX705" s="1758"/>
      <c r="CY705" s="1758"/>
      <c r="CZ705" s="1758"/>
      <c r="DA705" s="1758"/>
      <c r="DB705" s="1758"/>
      <c r="DC705" s="1758"/>
    </row>
    <row r="706" spans="1:107" s="1395" customFormat="1" ht="22.5" customHeight="1">
      <c r="A706" s="10893"/>
      <c r="B706" s="10731"/>
      <c r="C706" s="10728"/>
      <c r="D706" s="10728"/>
      <c r="E706" s="10728"/>
      <c r="F706" s="10744"/>
      <c r="G706" s="10728"/>
      <c r="H706" s="10728"/>
      <c r="I706" s="10728"/>
      <c r="J706" s="10728"/>
      <c r="K706" s="10735"/>
      <c r="L706" s="10738"/>
      <c r="M706" s="10738"/>
      <c r="N706" s="10738"/>
      <c r="O706" s="10735"/>
      <c r="P706" s="10735"/>
      <c r="Q706" s="10750"/>
      <c r="R706" s="5174"/>
      <c r="S706" s="5214"/>
      <c r="T706" s="5214"/>
      <c r="U706" s="5250"/>
      <c r="V706" s="5281"/>
      <c r="W706" s="5302"/>
      <c r="X706" s="7477"/>
      <c r="Y706" s="7473"/>
      <c r="Z706" s="7473"/>
      <c r="AA706" s="7474"/>
      <c r="AB706" s="5323"/>
      <c r="AC706" s="1396"/>
      <c r="AD706" s="5300"/>
      <c r="AE706" s="5346"/>
      <c r="AF706" s="5346"/>
      <c r="AG706" s="10777"/>
      <c r="AH706" s="1758"/>
      <c r="AI706" s="1758"/>
      <c r="AJ706" s="1758"/>
      <c r="AK706" s="1758"/>
      <c r="AL706" s="1758"/>
      <c r="AM706" s="1758"/>
      <c r="AN706" s="1758"/>
      <c r="AO706" s="1758"/>
      <c r="AP706" s="1758"/>
      <c r="AQ706" s="1758"/>
      <c r="AR706" s="1758"/>
      <c r="AS706" s="1758"/>
      <c r="AT706" s="1758"/>
      <c r="AU706" s="1758"/>
      <c r="AV706" s="1758"/>
      <c r="AW706" s="1758"/>
      <c r="AX706" s="1758"/>
      <c r="AY706" s="1758"/>
      <c r="AZ706" s="1758"/>
      <c r="BA706" s="1758"/>
      <c r="BB706" s="1758"/>
      <c r="BC706" s="1758"/>
      <c r="BD706" s="1758"/>
      <c r="BE706" s="1758"/>
      <c r="BF706" s="1758"/>
      <c r="BG706" s="1758"/>
      <c r="BH706" s="1758"/>
      <c r="BI706" s="1758"/>
      <c r="BJ706" s="1758"/>
      <c r="BK706" s="1758"/>
      <c r="BL706" s="1758"/>
      <c r="BM706" s="1758"/>
      <c r="BN706" s="1758"/>
      <c r="BO706" s="1758"/>
      <c r="BP706" s="1758"/>
      <c r="BQ706" s="1758"/>
      <c r="BR706" s="1758"/>
      <c r="BS706" s="1758"/>
      <c r="BT706" s="1758"/>
      <c r="BU706" s="1758"/>
      <c r="BV706" s="1758"/>
      <c r="BW706" s="1758"/>
      <c r="BX706" s="1758"/>
      <c r="BY706" s="1758"/>
      <c r="BZ706" s="1758"/>
      <c r="CA706" s="1758"/>
      <c r="CB706" s="1758"/>
      <c r="CC706" s="1758"/>
      <c r="CD706" s="1758"/>
      <c r="CE706" s="1758"/>
      <c r="CF706" s="1758"/>
      <c r="CG706" s="1758"/>
      <c r="CH706" s="1758"/>
      <c r="CI706" s="1758"/>
      <c r="CJ706" s="1758"/>
      <c r="CK706" s="1758"/>
      <c r="CL706" s="1758"/>
      <c r="CM706" s="1758"/>
      <c r="CN706" s="1758"/>
      <c r="CO706" s="1758"/>
      <c r="CP706" s="1758"/>
      <c r="CQ706" s="1758"/>
      <c r="CR706" s="1758"/>
      <c r="CS706" s="1758"/>
      <c r="CT706" s="1758"/>
      <c r="CU706" s="1758"/>
      <c r="CV706" s="1758"/>
      <c r="CW706" s="1758"/>
      <c r="CX706" s="1758"/>
      <c r="CY706" s="1758"/>
      <c r="CZ706" s="1758"/>
      <c r="DA706" s="1758"/>
      <c r="DB706" s="1758"/>
      <c r="DC706" s="1758"/>
    </row>
    <row r="707" spans="1:107" s="1395" customFormat="1" ht="22.5" customHeight="1">
      <c r="A707" s="10893"/>
      <c r="B707" s="10731"/>
      <c r="C707" s="10728"/>
      <c r="D707" s="10728"/>
      <c r="E707" s="10728"/>
      <c r="F707" s="10744"/>
      <c r="G707" s="10728"/>
      <c r="H707" s="10728"/>
      <c r="I707" s="10728"/>
      <c r="J707" s="10728"/>
      <c r="K707" s="10735"/>
      <c r="L707" s="10738"/>
      <c r="M707" s="10738"/>
      <c r="N707" s="10738"/>
      <c r="O707" s="10735"/>
      <c r="P707" s="10735"/>
      <c r="Q707" s="10750"/>
      <c r="R707" s="5173"/>
      <c r="S707" s="5212"/>
      <c r="T707" s="5212"/>
      <c r="U707" s="5250"/>
      <c r="V707" s="5281"/>
      <c r="W707" s="5302"/>
      <c r="X707" s="7477"/>
      <c r="Y707" s="7473"/>
      <c r="Z707" s="7473"/>
      <c r="AA707" s="7474"/>
      <c r="AB707" s="5323"/>
      <c r="AC707" s="1396"/>
      <c r="AD707" s="5300"/>
      <c r="AE707" s="5346"/>
      <c r="AF707" s="5346"/>
      <c r="AG707" s="10777"/>
      <c r="AH707" s="1758"/>
      <c r="AI707" s="1758"/>
      <c r="AJ707" s="1758"/>
      <c r="AK707" s="1758"/>
      <c r="AL707" s="1758"/>
      <c r="AM707" s="1758"/>
      <c r="AN707" s="1758"/>
      <c r="AO707" s="1758"/>
      <c r="AP707" s="1758"/>
      <c r="AQ707" s="1758"/>
      <c r="AR707" s="1758"/>
      <c r="AS707" s="1758"/>
      <c r="AT707" s="1758"/>
      <c r="AU707" s="1758"/>
      <c r="AV707" s="1758"/>
      <c r="AW707" s="1758"/>
      <c r="AX707" s="1758"/>
      <c r="AY707" s="1758"/>
      <c r="AZ707" s="1758"/>
      <c r="BA707" s="1758"/>
      <c r="BB707" s="1758"/>
      <c r="BC707" s="1758"/>
      <c r="BD707" s="1758"/>
      <c r="BE707" s="1758"/>
      <c r="BF707" s="1758"/>
      <c r="BG707" s="1758"/>
      <c r="BH707" s="1758"/>
      <c r="BI707" s="1758"/>
      <c r="BJ707" s="1758"/>
      <c r="BK707" s="1758"/>
      <c r="BL707" s="1758"/>
      <c r="BM707" s="1758"/>
      <c r="BN707" s="1758"/>
      <c r="BO707" s="1758"/>
      <c r="BP707" s="1758"/>
      <c r="BQ707" s="1758"/>
      <c r="BR707" s="1758"/>
      <c r="BS707" s="1758"/>
      <c r="BT707" s="1758"/>
      <c r="BU707" s="1758"/>
      <c r="BV707" s="1758"/>
      <c r="BW707" s="1758"/>
      <c r="BX707" s="1758"/>
      <c r="BY707" s="1758"/>
      <c r="BZ707" s="1758"/>
      <c r="CA707" s="1758"/>
      <c r="CB707" s="1758"/>
      <c r="CC707" s="1758"/>
      <c r="CD707" s="1758"/>
      <c r="CE707" s="1758"/>
      <c r="CF707" s="1758"/>
      <c r="CG707" s="1758"/>
      <c r="CH707" s="1758"/>
      <c r="CI707" s="1758"/>
      <c r="CJ707" s="1758"/>
      <c r="CK707" s="1758"/>
      <c r="CL707" s="1758"/>
      <c r="CM707" s="1758"/>
      <c r="CN707" s="1758"/>
      <c r="CO707" s="1758"/>
      <c r="CP707" s="1758"/>
      <c r="CQ707" s="1758"/>
      <c r="CR707" s="1758"/>
      <c r="CS707" s="1758"/>
      <c r="CT707" s="1758"/>
      <c r="CU707" s="1758"/>
      <c r="CV707" s="1758"/>
      <c r="CW707" s="1758"/>
      <c r="CX707" s="1758"/>
      <c r="CY707" s="1758"/>
      <c r="CZ707" s="1758"/>
      <c r="DA707" s="1758"/>
      <c r="DB707" s="1758"/>
      <c r="DC707" s="1758"/>
    </row>
    <row r="708" spans="1:107" s="1395" customFormat="1" ht="22.5" customHeight="1">
      <c r="A708" s="10893"/>
      <c r="B708" s="10732"/>
      <c r="C708" s="10729"/>
      <c r="D708" s="10729"/>
      <c r="E708" s="10729"/>
      <c r="F708" s="10745"/>
      <c r="G708" s="10729"/>
      <c r="H708" s="10729"/>
      <c r="I708" s="10729"/>
      <c r="J708" s="10729"/>
      <c r="K708" s="10736"/>
      <c r="L708" s="10739"/>
      <c r="M708" s="10739"/>
      <c r="N708" s="10739"/>
      <c r="O708" s="10736"/>
      <c r="P708" s="10736"/>
      <c r="Q708" s="10751"/>
      <c r="R708" s="5175"/>
      <c r="S708" s="5215"/>
      <c r="T708" s="5215"/>
      <c r="U708" s="5251"/>
      <c r="V708" s="5282"/>
      <c r="W708" s="5303"/>
      <c r="X708" s="7479"/>
      <c r="Y708" s="7479"/>
      <c r="Z708" s="7508"/>
      <c r="AA708" s="7509"/>
      <c r="AB708" s="5343"/>
      <c r="AC708" s="2928"/>
      <c r="AD708" s="5303"/>
      <c r="AE708" s="5348"/>
      <c r="AF708" s="5348"/>
      <c r="AG708" s="10778"/>
      <c r="AH708" s="1758"/>
      <c r="AI708" s="1758"/>
      <c r="AJ708" s="1758"/>
      <c r="AK708" s="1758"/>
      <c r="AL708" s="1758"/>
      <c r="AM708" s="1758"/>
      <c r="AN708" s="1758"/>
      <c r="AO708" s="1758"/>
      <c r="AP708" s="1758"/>
      <c r="AQ708" s="1758"/>
      <c r="AR708" s="1758"/>
      <c r="AS708" s="1758"/>
      <c r="AT708" s="1758"/>
      <c r="AU708" s="1758"/>
      <c r="AV708" s="1758"/>
      <c r="AW708" s="1758"/>
      <c r="AX708" s="1758"/>
      <c r="AY708" s="1758"/>
      <c r="AZ708" s="1758"/>
      <c r="BA708" s="1758"/>
      <c r="BB708" s="1758"/>
      <c r="BC708" s="1758"/>
      <c r="BD708" s="1758"/>
      <c r="BE708" s="1758"/>
      <c r="BF708" s="1758"/>
      <c r="BG708" s="1758"/>
      <c r="BH708" s="1758"/>
      <c r="BI708" s="1758"/>
      <c r="BJ708" s="1758"/>
      <c r="BK708" s="1758"/>
      <c r="BL708" s="1758"/>
      <c r="BM708" s="1758"/>
      <c r="BN708" s="1758"/>
      <c r="BO708" s="1758"/>
      <c r="BP708" s="1758"/>
      <c r="BQ708" s="1758"/>
      <c r="BR708" s="1758"/>
      <c r="BS708" s="1758"/>
      <c r="BT708" s="1758"/>
      <c r="BU708" s="1758"/>
      <c r="BV708" s="1758"/>
      <c r="BW708" s="1758"/>
      <c r="BX708" s="1758"/>
      <c r="BY708" s="1758"/>
      <c r="BZ708" s="1758"/>
      <c r="CA708" s="1758"/>
      <c r="CB708" s="1758"/>
      <c r="CC708" s="1758"/>
      <c r="CD708" s="1758"/>
      <c r="CE708" s="1758"/>
      <c r="CF708" s="1758"/>
      <c r="CG708" s="1758"/>
      <c r="CH708" s="1758"/>
      <c r="CI708" s="1758"/>
      <c r="CJ708" s="1758"/>
      <c r="CK708" s="1758"/>
      <c r="CL708" s="1758"/>
      <c r="CM708" s="1758"/>
      <c r="CN708" s="1758"/>
      <c r="CO708" s="1758"/>
      <c r="CP708" s="1758"/>
      <c r="CQ708" s="1758"/>
      <c r="CR708" s="1758"/>
      <c r="CS708" s="1758"/>
      <c r="CT708" s="1758"/>
      <c r="CU708" s="1758"/>
      <c r="CV708" s="1758"/>
      <c r="CW708" s="1758"/>
      <c r="CX708" s="1758"/>
      <c r="CY708" s="1758"/>
      <c r="CZ708" s="1758"/>
      <c r="DA708" s="1758"/>
      <c r="DB708" s="1758"/>
      <c r="DC708" s="1758"/>
    </row>
    <row r="709" spans="1:107" s="1006" customFormat="1" ht="22.5" customHeight="1" thickBot="1">
      <c r="A709" s="6240"/>
      <c r="B709" s="10898"/>
      <c r="C709" s="10899"/>
      <c r="D709" s="10899"/>
      <c r="E709" s="10899"/>
      <c r="F709" s="10899"/>
      <c r="G709" s="10899"/>
      <c r="H709" s="10899"/>
      <c r="I709" s="10899"/>
      <c r="J709" s="10899"/>
      <c r="K709" s="10899"/>
      <c r="L709" s="10899"/>
      <c r="M709" s="10899"/>
      <c r="N709" s="10899"/>
      <c r="O709" s="10899"/>
      <c r="P709" s="10899"/>
      <c r="Q709" s="10900"/>
      <c r="R709" s="10896" t="s">
        <v>5146</v>
      </c>
      <c r="S709" s="10897"/>
      <c r="T709" s="10897"/>
      <c r="U709" s="10897"/>
      <c r="V709" s="10897"/>
      <c r="W709" s="10897"/>
      <c r="X709" s="10897"/>
      <c r="Y709" s="10897"/>
      <c r="Z709" s="5404" t="s">
        <v>292</v>
      </c>
      <c r="AA709" s="7470">
        <f>SUM(AA630:AA708)</f>
        <v>57124.720000000008</v>
      </c>
      <c r="AB709" s="5405"/>
      <c r="AC709" s="5406"/>
      <c r="AD709" s="10784"/>
      <c r="AE709" s="10785"/>
      <c r="AF709" s="10785"/>
      <c r="AG709" s="10786"/>
    </row>
    <row r="710" spans="1:107" s="1006" customFormat="1" ht="30" customHeight="1" thickBot="1">
      <c r="A710" s="6235"/>
      <c r="B710" s="2942"/>
      <c r="C710" s="2942"/>
      <c r="D710" s="2942"/>
      <c r="E710" s="2942"/>
      <c r="F710" s="2942"/>
      <c r="G710" s="2942"/>
      <c r="H710" s="2942"/>
      <c r="I710" s="2942"/>
      <c r="J710" s="2942"/>
      <c r="K710" s="2942"/>
      <c r="L710" s="2942"/>
      <c r="M710" s="2942"/>
      <c r="N710" s="2942"/>
      <c r="O710" s="2942"/>
      <c r="P710" s="2942"/>
      <c r="Q710" s="2942"/>
      <c r="R710" s="5400" t="s">
        <v>5147</v>
      </c>
      <c r="S710" s="5400"/>
      <c r="T710" s="5400"/>
      <c r="U710" s="5400"/>
      <c r="V710" s="5400"/>
      <c r="W710" s="5400"/>
      <c r="X710" s="5400"/>
      <c r="Y710" s="5400"/>
      <c r="Z710" s="502" t="s">
        <v>292</v>
      </c>
      <c r="AA710" s="5401">
        <f>+AA74+AA167+AA228+AA269+AA340+AA411+AA487+AA558+AA629+AA709</f>
        <v>154170.25912</v>
      </c>
      <c r="AB710" s="5402"/>
      <c r="AC710" s="5403"/>
      <c r="AD710" s="10787"/>
      <c r="AE710" s="9675"/>
      <c r="AF710" s="9675"/>
      <c r="AG710" s="9676"/>
    </row>
    <row r="711" spans="1:107" s="1395" customFormat="1">
      <c r="A711" s="1758"/>
      <c r="B711" s="7667" t="s">
        <v>5148</v>
      </c>
      <c r="C711" s="1758"/>
      <c r="D711" s="1758"/>
      <c r="E711" s="1758"/>
      <c r="F711" s="1758"/>
      <c r="G711" s="1758"/>
      <c r="H711" s="1758"/>
      <c r="I711" s="1758"/>
      <c r="J711" s="1758"/>
      <c r="K711" s="1758"/>
      <c r="L711" s="1758"/>
      <c r="M711" s="1758"/>
      <c r="N711" s="1758"/>
      <c r="O711" s="1758"/>
      <c r="P711" s="1758"/>
      <c r="Q711" s="1758"/>
      <c r="R711" s="10788" t="s">
        <v>533</v>
      </c>
      <c r="S711" s="10788"/>
      <c r="T711" s="10788"/>
      <c r="U711" s="10788"/>
      <c r="V711" s="10788"/>
      <c r="W711" s="10788"/>
      <c r="X711" s="10788"/>
      <c r="Y711" s="10788"/>
      <c r="Z711" s="10788"/>
      <c r="AA711" s="10788"/>
      <c r="AB711" s="10788"/>
      <c r="AC711" s="10788"/>
      <c r="AD711" s="10788"/>
      <c r="AE711" s="10788"/>
      <c r="AF711" s="10788"/>
      <c r="AG711" s="10788"/>
      <c r="AH711" s="1758"/>
      <c r="AI711" s="1758"/>
      <c r="AJ711" s="1758"/>
      <c r="AK711" s="1758"/>
      <c r="AL711" s="1758"/>
      <c r="AM711" s="1758"/>
      <c r="AN711" s="1758"/>
      <c r="AO711" s="1758"/>
      <c r="AP711" s="1758"/>
      <c r="AQ711" s="1758"/>
      <c r="AR711" s="1758"/>
      <c r="AS711" s="1758"/>
      <c r="AT711" s="1758"/>
      <c r="AU711" s="1758"/>
      <c r="AV711" s="1758"/>
      <c r="AW711" s="1758"/>
      <c r="AX711" s="1758"/>
      <c r="AY711" s="1758"/>
      <c r="AZ711" s="1758"/>
      <c r="BA711" s="1758"/>
      <c r="BB711" s="1758"/>
      <c r="BC711" s="1758"/>
      <c r="BD711" s="1758"/>
      <c r="BE711" s="1758"/>
      <c r="BF711" s="1758"/>
      <c r="BG711" s="1758"/>
      <c r="BH711" s="1758"/>
      <c r="BI711" s="1758"/>
      <c r="BJ711" s="1758"/>
      <c r="BK711" s="1758"/>
      <c r="BL711" s="1758"/>
      <c r="BM711" s="1758"/>
      <c r="BN711" s="1758"/>
      <c r="BO711" s="1758"/>
      <c r="BP711" s="1758"/>
      <c r="BQ711" s="1758"/>
      <c r="BR711" s="1758"/>
      <c r="BS711" s="1758"/>
      <c r="BT711" s="1758"/>
      <c r="BU711" s="1758"/>
      <c r="BV711" s="1758"/>
      <c r="BW711" s="1758"/>
      <c r="BX711" s="1758"/>
      <c r="BY711" s="1758"/>
      <c r="BZ711" s="1758"/>
      <c r="CA711" s="1758"/>
      <c r="CB711" s="1758"/>
      <c r="CC711" s="1758"/>
      <c r="CD711" s="1758"/>
      <c r="CE711" s="1758"/>
      <c r="CF711" s="1758"/>
      <c r="CG711" s="1758"/>
      <c r="CH711" s="1758"/>
      <c r="CI711" s="1758"/>
      <c r="CJ711" s="1758"/>
      <c r="CK711" s="1758"/>
      <c r="CL711" s="1758"/>
      <c r="CM711" s="1758"/>
      <c r="CN711" s="1758"/>
      <c r="CO711" s="1758"/>
      <c r="CP711" s="1758"/>
      <c r="CQ711" s="1758"/>
      <c r="CR711" s="1758"/>
      <c r="CS711" s="1758"/>
      <c r="CT711" s="1758"/>
      <c r="CU711" s="1758"/>
      <c r="CV711" s="1758"/>
      <c r="CW711" s="1758"/>
      <c r="CX711" s="1758"/>
      <c r="CY711" s="1758"/>
      <c r="CZ711" s="1758"/>
      <c r="DA711" s="1758"/>
      <c r="DB711" s="1758"/>
      <c r="DC711" s="1758"/>
    </row>
    <row r="712" spans="1:107" s="1395" customFormat="1" ht="16.5" customHeight="1">
      <c r="A712" s="1758"/>
      <c r="B712" s="7667" t="s">
        <v>5149</v>
      </c>
      <c r="C712" s="1758"/>
      <c r="D712" s="1758"/>
      <c r="E712" s="1758"/>
      <c r="F712" s="1758"/>
      <c r="G712" s="1758"/>
      <c r="H712" s="1758"/>
      <c r="I712" s="1758"/>
      <c r="J712" s="1758"/>
      <c r="K712" s="1758"/>
      <c r="L712" s="1758"/>
      <c r="M712" s="1758"/>
      <c r="N712" s="1758"/>
      <c r="O712" s="1758"/>
      <c r="P712" s="1758"/>
      <c r="Q712" s="1758"/>
      <c r="R712" s="1760"/>
      <c r="S712" s="1760"/>
      <c r="T712" s="1760"/>
      <c r="U712" s="1758"/>
      <c r="V712" s="1758"/>
      <c r="W712" s="1758"/>
      <c r="X712" s="1758"/>
      <c r="Y712" s="1758"/>
      <c r="Z712" s="1758"/>
      <c r="AA712" s="1761"/>
      <c r="AB712" s="1838"/>
      <c r="AC712" s="1762"/>
      <c r="AD712" s="1758"/>
      <c r="AE712" s="1758"/>
      <c r="AF712" s="1758"/>
      <c r="AG712" s="1758"/>
      <c r="AH712" s="1758"/>
      <c r="AI712" s="1758"/>
      <c r="AJ712" s="1758"/>
      <c r="AK712" s="1758"/>
      <c r="AL712" s="1758"/>
      <c r="AM712" s="1758"/>
      <c r="AN712" s="1758"/>
      <c r="AO712" s="1758"/>
      <c r="AP712" s="1758"/>
      <c r="AQ712" s="1758"/>
      <c r="AR712" s="1758"/>
      <c r="AS712" s="1758"/>
      <c r="AT712" s="1758"/>
      <c r="AU712" s="1758"/>
      <c r="AV712" s="1758"/>
      <c r="AW712" s="1758"/>
      <c r="AX712" s="1758"/>
      <c r="AY712" s="1758"/>
      <c r="AZ712" s="1758"/>
      <c r="BA712" s="1758"/>
      <c r="BB712" s="1758"/>
      <c r="BC712" s="1758"/>
      <c r="BD712" s="1758"/>
      <c r="BE712" s="1758"/>
      <c r="BF712" s="1758"/>
      <c r="BG712" s="1758"/>
      <c r="BH712" s="1758"/>
      <c r="BI712" s="1758"/>
      <c r="BJ712" s="1758"/>
      <c r="BK712" s="1758"/>
      <c r="BL712" s="1758"/>
      <c r="BM712" s="1758"/>
      <c r="BN712" s="1758"/>
      <c r="BO712" s="1758"/>
      <c r="BP712" s="1758"/>
      <c r="BQ712" s="1758"/>
      <c r="BR712" s="1758"/>
      <c r="BS712" s="1758"/>
      <c r="BT712" s="1758"/>
      <c r="BU712" s="1758"/>
      <c r="BV712" s="1758"/>
      <c r="BW712" s="1758"/>
      <c r="BX712" s="1758"/>
      <c r="BY712" s="1758"/>
      <c r="BZ712" s="1758"/>
      <c r="CA712" s="1758"/>
      <c r="CB712" s="1758"/>
      <c r="CC712" s="1758"/>
      <c r="CD712" s="1758"/>
      <c r="CE712" s="1758"/>
      <c r="CF712" s="1758"/>
      <c r="CG712" s="1758"/>
      <c r="CH712" s="1758"/>
      <c r="CI712" s="1758"/>
      <c r="CJ712" s="1758"/>
      <c r="CK712" s="1758"/>
      <c r="CL712" s="1758"/>
      <c r="CM712" s="1758"/>
      <c r="CN712" s="1758"/>
      <c r="CO712" s="1758"/>
      <c r="CP712" s="1758"/>
      <c r="CQ712" s="1758"/>
      <c r="CR712" s="1758"/>
      <c r="CS712" s="1758"/>
      <c r="CT712" s="1758"/>
      <c r="CU712" s="1758"/>
      <c r="CV712" s="1758"/>
      <c r="CW712" s="1758"/>
      <c r="CX712" s="1758"/>
      <c r="CY712" s="1758"/>
      <c r="CZ712" s="1758"/>
      <c r="DA712" s="1758"/>
      <c r="DB712" s="1758"/>
      <c r="DC712" s="1758"/>
    </row>
    <row r="713" spans="1:107" s="1395" customFormat="1" ht="18" customHeight="1">
      <c r="A713" s="1758"/>
      <c r="B713" s="1758"/>
      <c r="C713" s="1758"/>
      <c r="D713" s="1758"/>
      <c r="E713" s="1758"/>
      <c r="F713" s="1758"/>
      <c r="G713" s="1758"/>
      <c r="H713" s="1758"/>
      <c r="I713" s="1758"/>
      <c r="J713" s="1758"/>
      <c r="K713" s="1758"/>
      <c r="L713" s="1758"/>
      <c r="M713" s="1758"/>
      <c r="N713" s="1758"/>
      <c r="O713" s="1758"/>
      <c r="P713" s="1758"/>
      <c r="Q713" s="1758"/>
      <c r="R713" s="1760"/>
      <c r="S713" s="1418"/>
      <c r="T713" s="10894" t="s">
        <v>3415</v>
      </c>
      <c r="U713" s="10895"/>
      <c r="V713" s="10895"/>
      <c r="W713" s="10895"/>
      <c r="X713" s="10895"/>
      <c r="Y713" s="10895"/>
      <c r="Z713" s="1763"/>
      <c r="AA713" s="1419"/>
      <c r="AB713" s="1837"/>
      <c r="AC713" s="1420"/>
      <c r="AD713" s="1763"/>
      <c r="AE713" s="1763"/>
      <c r="AF713" s="1763"/>
      <c r="AG713" s="1763"/>
      <c r="AH713" s="1758"/>
      <c r="AI713" s="1758"/>
      <c r="AJ713" s="1758"/>
      <c r="AK713" s="1758"/>
      <c r="AL713" s="1758"/>
      <c r="AM713" s="1758"/>
      <c r="AN713" s="1758"/>
      <c r="AO713" s="1758"/>
      <c r="AP713" s="1758"/>
      <c r="AQ713" s="1758"/>
      <c r="AR713" s="1758"/>
      <c r="AS713" s="1758"/>
      <c r="AT713" s="1758"/>
      <c r="AU713" s="1758"/>
      <c r="AV713" s="1758"/>
      <c r="AW713" s="1758"/>
      <c r="AX713" s="1758"/>
      <c r="AY713" s="1758"/>
      <c r="AZ713" s="1758"/>
      <c r="BA713" s="1758"/>
      <c r="BB713" s="1758"/>
      <c r="BC713" s="1758"/>
      <c r="BD713" s="1758"/>
      <c r="BE713" s="1758"/>
      <c r="BF713" s="1758"/>
      <c r="BG713" s="1758"/>
      <c r="BH713" s="1758"/>
      <c r="BI713" s="1758"/>
      <c r="BJ713" s="1758"/>
      <c r="BK713" s="1758"/>
      <c r="BL713" s="1758"/>
      <c r="BM713" s="1758"/>
      <c r="BN713" s="1758"/>
      <c r="BO713" s="1758"/>
      <c r="BP713" s="1758"/>
      <c r="BQ713" s="1758"/>
      <c r="BR713" s="1758"/>
      <c r="BS713" s="1758"/>
      <c r="BT713" s="1758"/>
      <c r="BU713" s="1758"/>
      <c r="BV713" s="1758"/>
      <c r="BW713" s="1758"/>
      <c r="BX713" s="1758"/>
      <c r="BY713" s="1758"/>
      <c r="BZ713" s="1758"/>
      <c r="CA713" s="1758"/>
      <c r="CB713" s="1758"/>
      <c r="CC713" s="1758"/>
      <c r="CD713" s="1758"/>
      <c r="CE713" s="1758"/>
      <c r="CF713" s="1758"/>
      <c r="CG713" s="1758"/>
      <c r="CH713" s="1758"/>
      <c r="CI713" s="1758"/>
      <c r="CJ713" s="1758"/>
      <c r="CK713" s="1758"/>
      <c r="CL713" s="1758"/>
      <c r="CM713" s="1758"/>
      <c r="CN713" s="1758"/>
      <c r="CO713" s="1758"/>
      <c r="CP713" s="1758"/>
      <c r="CQ713" s="1758"/>
      <c r="CR713" s="1758"/>
      <c r="CS713" s="1758"/>
      <c r="CT713" s="1758"/>
      <c r="CU713" s="1758"/>
      <c r="CV713" s="1758"/>
      <c r="CW713" s="1758"/>
      <c r="CX713" s="1758"/>
      <c r="CY713" s="1758"/>
      <c r="CZ713" s="1758"/>
      <c r="DA713" s="1758"/>
      <c r="DB713" s="1758"/>
      <c r="DC713" s="1758"/>
    </row>
    <row r="714" spans="1:107" s="1395" customFormat="1" ht="16.5" customHeight="1">
      <c r="A714" s="1758"/>
      <c r="B714" s="1758"/>
      <c r="C714" s="1758"/>
      <c r="D714" s="1758"/>
      <c r="E714" s="1758"/>
      <c r="F714" s="1758"/>
      <c r="G714" s="1758"/>
      <c r="H714" s="1758"/>
      <c r="I714" s="1758"/>
      <c r="J714" s="1758"/>
      <c r="K714" s="1758"/>
      <c r="L714" s="1758"/>
      <c r="M714" s="1758"/>
      <c r="N714" s="1758"/>
      <c r="O714" s="1758"/>
      <c r="P714" s="1758"/>
      <c r="Q714" s="1758"/>
      <c r="R714" s="1421"/>
      <c r="S714" s="1421"/>
      <c r="T714" s="1422"/>
      <c r="U714" s="1422"/>
      <c r="V714" s="1422"/>
      <c r="W714" s="1758"/>
      <c r="X714" s="1758"/>
      <c r="Y714" s="1758"/>
      <c r="Z714" s="1763"/>
      <c r="AA714" s="1763"/>
      <c r="AB714" s="1839"/>
      <c r="AC714" s="1764"/>
      <c r="AD714" s="1763"/>
      <c r="AE714" s="1763"/>
      <c r="AF714" s="1763"/>
      <c r="AG714" s="1763"/>
      <c r="AH714" s="1758"/>
      <c r="AI714" s="1758"/>
      <c r="AJ714" s="1758"/>
      <c r="AK714" s="1758"/>
      <c r="AL714" s="1758"/>
      <c r="AM714" s="1758"/>
      <c r="AN714" s="1758"/>
      <c r="AO714" s="1758"/>
      <c r="AP714" s="1758"/>
      <c r="AQ714" s="1758"/>
      <c r="AR714" s="1758"/>
      <c r="AS714" s="1758"/>
      <c r="AT714" s="1758"/>
      <c r="AU714" s="1758"/>
      <c r="AV714" s="1758"/>
      <c r="AW714" s="1758"/>
      <c r="AX714" s="1758"/>
      <c r="AY714" s="1758"/>
      <c r="AZ714" s="1758"/>
      <c r="BA714" s="1758"/>
      <c r="BB714" s="1758"/>
      <c r="BC714" s="1758"/>
      <c r="BD714" s="1758"/>
      <c r="BE714" s="1758"/>
      <c r="BF714" s="1758"/>
      <c r="BG714" s="1758"/>
      <c r="BH714" s="1758"/>
      <c r="BI714" s="1758"/>
      <c r="BJ714" s="1758"/>
      <c r="BK714" s="1758"/>
      <c r="BL714" s="1758"/>
      <c r="BM714" s="1758"/>
      <c r="BN714" s="1758"/>
      <c r="BO714" s="1758"/>
      <c r="BP714" s="1758"/>
      <c r="BQ714" s="1758"/>
      <c r="BR714" s="1758"/>
      <c r="BS714" s="1758"/>
      <c r="BT714" s="1758"/>
      <c r="BU714" s="1758"/>
      <c r="BV714" s="1758"/>
      <c r="BW714" s="1758"/>
      <c r="BX714" s="1758"/>
      <c r="BY714" s="1758"/>
      <c r="BZ714" s="1758"/>
      <c r="CA714" s="1758"/>
      <c r="CB714" s="1758"/>
      <c r="CC714" s="1758"/>
      <c r="CD714" s="1758"/>
      <c r="CE714" s="1758"/>
      <c r="CF714" s="1758"/>
      <c r="CG714" s="1758"/>
      <c r="CH714" s="1758"/>
      <c r="CI714" s="1758"/>
      <c r="CJ714" s="1758"/>
      <c r="CK714" s="1758"/>
      <c r="CL714" s="1758"/>
      <c r="CM714" s="1758"/>
      <c r="CN714" s="1758"/>
      <c r="CO714" s="1758"/>
      <c r="CP714" s="1758"/>
      <c r="CQ714" s="1758"/>
      <c r="CR714" s="1758"/>
      <c r="CS714" s="1758"/>
      <c r="CT714" s="1758"/>
      <c r="CU714" s="1758"/>
      <c r="CV714" s="1758"/>
      <c r="CW714" s="1758"/>
      <c r="CX714" s="1758"/>
      <c r="CY714" s="1758"/>
      <c r="CZ714" s="1758"/>
      <c r="DA714" s="1758"/>
      <c r="DB714" s="1758"/>
      <c r="DC714" s="1758"/>
    </row>
    <row r="715" spans="1:107" s="1395" customFormat="1" ht="18" customHeight="1">
      <c r="A715" s="1758"/>
      <c r="B715" s="1758"/>
      <c r="C715" s="1758"/>
      <c r="D715" s="1758"/>
      <c r="E715" s="1758"/>
      <c r="F715" s="1758"/>
      <c r="G715" s="1758"/>
      <c r="H715" s="1758"/>
      <c r="I715" s="1758"/>
      <c r="J715" s="1758"/>
      <c r="K715" s="1758"/>
      <c r="L715" s="1758"/>
      <c r="M715" s="1758"/>
      <c r="N715" s="1758"/>
      <c r="O715" s="1758"/>
      <c r="P715" s="1758"/>
      <c r="Q715" s="1758"/>
      <c r="R715" s="1760"/>
      <c r="S715" s="1760"/>
      <c r="T715" s="5910" t="s">
        <v>5</v>
      </c>
      <c r="U715" s="5911" t="s">
        <v>6</v>
      </c>
      <c r="V715" s="5912" t="s">
        <v>7</v>
      </c>
      <c r="W715" s="5913" t="s">
        <v>352</v>
      </c>
      <c r="X715" s="5913" t="s">
        <v>9</v>
      </c>
      <c r="Y715" s="5914" t="s">
        <v>353</v>
      </c>
      <c r="Z715" s="1763"/>
      <c r="AA715" s="1763"/>
      <c r="AB715" s="1839"/>
      <c r="AC715" s="1764"/>
      <c r="AD715" s="1763"/>
      <c r="AE715" s="1763"/>
      <c r="AF715" s="1763"/>
      <c r="AG715" s="1763"/>
      <c r="AH715" s="1758"/>
      <c r="AI715" s="1758"/>
      <c r="AJ715" s="1758"/>
      <c r="AK715" s="1758"/>
      <c r="AL715" s="1758"/>
      <c r="AM715" s="1758"/>
      <c r="AN715" s="1758"/>
      <c r="AO715" s="1758"/>
      <c r="AP715" s="1758"/>
      <c r="AQ715" s="1758"/>
      <c r="AR715" s="1758"/>
      <c r="AS715" s="1758"/>
      <c r="AT715" s="1758"/>
      <c r="AU715" s="1758"/>
      <c r="AV715" s="1758"/>
      <c r="AW715" s="1758"/>
      <c r="AX715" s="1758"/>
      <c r="AY715" s="1758"/>
      <c r="AZ715" s="1758"/>
      <c r="BA715" s="1758"/>
      <c r="BB715" s="1758"/>
      <c r="BC715" s="1758"/>
      <c r="BD715" s="1758"/>
      <c r="BE715" s="1758"/>
      <c r="BF715" s="1758"/>
      <c r="BG715" s="1758"/>
      <c r="BH715" s="1758"/>
      <c r="BI715" s="1758"/>
      <c r="BJ715" s="1758"/>
      <c r="BK715" s="1758"/>
      <c r="BL715" s="1758"/>
      <c r="BM715" s="1758"/>
      <c r="BN715" s="1758"/>
      <c r="BO715" s="1758"/>
      <c r="BP715" s="1758"/>
      <c r="BQ715" s="1758"/>
      <c r="BR715" s="1758"/>
      <c r="BS715" s="1758"/>
      <c r="BT715" s="1758"/>
      <c r="BU715" s="1758"/>
      <c r="BV715" s="1758"/>
      <c r="BW715" s="1758"/>
      <c r="BX715" s="1758"/>
      <c r="BY715" s="1758"/>
      <c r="BZ715" s="1758"/>
      <c r="CA715" s="1758"/>
      <c r="CB715" s="1758"/>
      <c r="CC715" s="1758"/>
      <c r="CD715" s="1758"/>
      <c r="CE715" s="1758"/>
      <c r="CF715" s="1758"/>
      <c r="CG715" s="1758"/>
      <c r="CH715" s="1758"/>
      <c r="CI715" s="1758"/>
      <c r="CJ715" s="1758"/>
      <c r="CK715" s="1758"/>
      <c r="CL715" s="1758"/>
      <c r="CM715" s="1758"/>
      <c r="CN715" s="1758"/>
      <c r="CO715" s="1758"/>
      <c r="CP715" s="1758"/>
      <c r="CQ715" s="1758"/>
      <c r="CR715" s="1758"/>
      <c r="CS715" s="1758"/>
      <c r="CT715" s="1758"/>
      <c r="CU715" s="1758"/>
      <c r="CV715" s="1758"/>
      <c r="CW715" s="1758"/>
      <c r="CX715" s="1758"/>
      <c r="CY715" s="1758"/>
      <c r="CZ715" s="1758"/>
      <c r="DA715" s="1758"/>
      <c r="DB715" s="1758"/>
      <c r="DC715" s="1758"/>
    </row>
    <row r="716" spans="1:107" s="1395" customFormat="1" ht="33">
      <c r="A716" s="1758"/>
      <c r="B716" s="1758"/>
      <c r="C716" s="1758"/>
      <c r="D716" s="1758"/>
      <c r="E716" s="1758"/>
      <c r="F716" s="1758"/>
      <c r="G716" s="1758"/>
      <c r="H716" s="1758"/>
      <c r="I716" s="1758"/>
      <c r="J716" s="1758"/>
      <c r="K716" s="1758"/>
      <c r="L716" s="1758"/>
      <c r="M716" s="1758"/>
      <c r="N716" s="1758"/>
      <c r="O716" s="1758"/>
      <c r="P716" s="1758"/>
      <c r="Q716" s="1758"/>
      <c r="R716" s="1760"/>
      <c r="S716" s="1760"/>
      <c r="T716" s="2122" t="s">
        <v>79</v>
      </c>
      <c r="U716" s="2123" t="s">
        <v>671</v>
      </c>
      <c r="V716" s="2124" t="s">
        <v>1156</v>
      </c>
      <c r="W716" s="690" t="s">
        <v>17</v>
      </c>
      <c r="X716" s="690" t="s">
        <v>18</v>
      </c>
      <c r="Y716" s="2820">
        <f>+AA108</f>
        <v>1517.88</v>
      </c>
      <c r="Z716" s="1763"/>
      <c r="AA716" s="1765"/>
      <c r="AB716" s="1839"/>
      <c r="AC716" s="1764"/>
      <c r="AD716" s="1763"/>
      <c r="AE716" s="1763"/>
      <c r="AF716" s="1763"/>
      <c r="AG716" s="1763"/>
      <c r="AH716" s="1758"/>
      <c r="AI716" s="1758"/>
      <c r="AJ716" s="1758"/>
      <c r="AK716" s="1758"/>
      <c r="AL716" s="1758"/>
      <c r="AM716" s="1758"/>
      <c r="AN716" s="1758"/>
      <c r="AO716" s="1758"/>
      <c r="AP716" s="1758"/>
      <c r="AQ716" s="1758"/>
      <c r="AR716" s="1758"/>
      <c r="AS716" s="1758"/>
      <c r="AT716" s="1758"/>
      <c r="AU716" s="1758"/>
      <c r="AV716" s="1758"/>
      <c r="AW716" s="1758"/>
      <c r="AX716" s="1758"/>
      <c r="AY716" s="1758"/>
      <c r="AZ716" s="1758"/>
      <c r="BA716" s="1758"/>
      <c r="BB716" s="1758"/>
      <c r="BC716" s="1758"/>
      <c r="BD716" s="1758"/>
      <c r="BE716" s="1758"/>
      <c r="BF716" s="1758"/>
      <c r="BG716" s="1758"/>
      <c r="BH716" s="1758"/>
      <c r="BI716" s="1758"/>
      <c r="BJ716" s="1758"/>
      <c r="BK716" s="1758"/>
      <c r="BL716" s="1758"/>
      <c r="BM716" s="1758"/>
      <c r="BN716" s="1758"/>
      <c r="BO716" s="1758"/>
      <c r="BP716" s="1758"/>
      <c r="BQ716" s="1758"/>
      <c r="BR716" s="1758"/>
      <c r="BS716" s="1758"/>
      <c r="BT716" s="1758"/>
      <c r="BU716" s="1758"/>
      <c r="BV716" s="1758"/>
      <c r="BW716" s="1758"/>
      <c r="BX716" s="1758"/>
      <c r="BY716" s="1758"/>
      <c r="BZ716" s="1758"/>
      <c r="CA716" s="1758"/>
      <c r="CB716" s="1758"/>
      <c r="CC716" s="1758"/>
      <c r="CD716" s="1758"/>
      <c r="CE716" s="1758"/>
      <c r="CF716" s="1758"/>
      <c r="CG716" s="1758"/>
      <c r="CH716" s="1758"/>
      <c r="CI716" s="1758"/>
      <c r="CJ716" s="1758"/>
      <c r="CK716" s="1758"/>
      <c r="CL716" s="1758"/>
      <c r="CM716" s="1758"/>
      <c r="CN716" s="1758"/>
      <c r="CO716" s="1758"/>
      <c r="CP716" s="1758"/>
      <c r="CQ716" s="1758"/>
      <c r="CR716" s="1758"/>
      <c r="CS716" s="1758"/>
      <c r="CT716" s="1758"/>
      <c r="CU716" s="1758"/>
      <c r="CV716" s="1758"/>
      <c r="CW716" s="1758"/>
      <c r="CX716" s="1758"/>
      <c r="CY716" s="1758"/>
      <c r="CZ716" s="1758"/>
      <c r="DA716" s="1758"/>
      <c r="DB716" s="1758"/>
      <c r="DC716" s="1758"/>
    </row>
    <row r="717" spans="1:107" s="1395" customFormat="1" ht="33">
      <c r="A717" s="1758"/>
      <c r="B717" s="1758"/>
      <c r="C717" s="1758"/>
      <c r="D717" s="1758"/>
      <c r="E717" s="1758"/>
      <c r="F717" s="1758"/>
      <c r="G717" s="1758"/>
      <c r="H717" s="1758"/>
      <c r="I717" s="1758"/>
      <c r="J717" s="1758"/>
      <c r="K717" s="1758"/>
      <c r="L717" s="1758"/>
      <c r="M717" s="1758"/>
      <c r="N717" s="1758"/>
      <c r="O717" s="1758"/>
      <c r="P717" s="1758"/>
      <c r="Q717" s="1758"/>
      <c r="R717" s="1760"/>
      <c r="S717" s="1760"/>
      <c r="T717" s="2122" t="s">
        <v>79</v>
      </c>
      <c r="U717" s="2123" t="s">
        <v>40</v>
      </c>
      <c r="V717" s="2124" t="s">
        <v>261</v>
      </c>
      <c r="W717" s="690" t="s">
        <v>17</v>
      </c>
      <c r="X717" s="690" t="s">
        <v>25</v>
      </c>
      <c r="Y717" s="2820">
        <f>$AA$110</f>
        <v>231.45920000000001</v>
      </c>
      <c r="Z717" s="1766"/>
      <c r="AA717" s="1423"/>
      <c r="AB717" s="1837"/>
      <c r="AC717" s="1424"/>
      <c r="AD717" s="1763"/>
      <c r="AE717" s="1763"/>
      <c r="AF717" s="1763"/>
      <c r="AG717" s="1763"/>
      <c r="AH717" s="1758"/>
      <c r="AI717" s="1758"/>
      <c r="AJ717" s="1758"/>
      <c r="AK717" s="1758"/>
      <c r="AL717" s="1758"/>
      <c r="AM717" s="1758"/>
      <c r="AN717" s="1758"/>
      <c r="AO717" s="1758"/>
      <c r="AP717" s="1758"/>
      <c r="AQ717" s="1758"/>
      <c r="AR717" s="1758"/>
      <c r="AS717" s="1758"/>
      <c r="AT717" s="1758"/>
      <c r="AU717" s="1758"/>
      <c r="AV717" s="1758"/>
      <c r="AW717" s="1758"/>
      <c r="AX717" s="1758"/>
      <c r="AY717" s="1758"/>
      <c r="AZ717" s="1758"/>
      <c r="BA717" s="1758"/>
      <c r="BB717" s="1758"/>
      <c r="BC717" s="1758"/>
      <c r="BD717" s="1758"/>
      <c r="BE717" s="1758"/>
      <c r="BF717" s="1758"/>
      <c r="BG717" s="1758"/>
      <c r="BH717" s="1758"/>
      <c r="BI717" s="1758"/>
      <c r="BJ717" s="1758"/>
      <c r="BK717" s="1758"/>
      <c r="BL717" s="1758"/>
      <c r="BM717" s="1758"/>
      <c r="BN717" s="1758"/>
      <c r="BO717" s="1758"/>
      <c r="BP717" s="1758"/>
      <c r="BQ717" s="1758"/>
      <c r="BR717" s="1758"/>
      <c r="BS717" s="1758"/>
      <c r="BT717" s="1758"/>
      <c r="BU717" s="1758"/>
      <c r="BV717" s="1758"/>
      <c r="BW717" s="1758"/>
      <c r="BX717" s="1758"/>
      <c r="BY717" s="1758"/>
      <c r="BZ717" s="1758"/>
      <c r="CA717" s="1758"/>
      <c r="CB717" s="1758"/>
      <c r="CC717" s="1758"/>
      <c r="CD717" s="1758"/>
      <c r="CE717" s="1758"/>
      <c r="CF717" s="1758"/>
      <c r="CG717" s="1758"/>
      <c r="CH717" s="1758"/>
      <c r="CI717" s="1758"/>
      <c r="CJ717" s="1758"/>
      <c r="CK717" s="1758"/>
      <c r="CL717" s="1758"/>
      <c r="CM717" s="1758"/>
      <c r="CN717" s="1758"/>
      <c r="CO717" s="1758"/>
      <c r="CP717" s="1758"/>
      <c r="CQ717" s="1758"/>
      <c r="CR717" s="1758"/>
      <c r="CS717" s="1758"/>
      <c r="CT717" s="1758"/>
      <c r="CU717" s="1758"/>
      <c r="CV717" s="1758"/>
      <c r="CW717" s="1758"/>
      <c r="CX717" s="1758"/>
      <c r="CY717" s="1758"/>
      <c r="CZ717" s="1758"/>
      <c r="DA717" s="1758"/>
      <c r="DB717" s="1758"/>
      <c r="DC717" s="1758"/>
    </row>
    <row r="718" spans="1:107" s="1395" customFormat="1" ht="33">
      <c r="A718" s="1758"/>
      <c r="B718" s="1758"/>
      <c r="C718" s="1758"/>
      <c r="D718" s="1758"/>
      <c r="E718" s="1758"/>
      <c r="F718" s="1758"/>
      <c r="G718" s="1758"/>
      <c r="H718" s="1758"/>
      <c r="I718" s="1758"/>
      <c r="J718" s="1758"/>
      <c r="K718" s="1758"/>
      <c r="L718" s="1758"/>
      <c r="M718" s="1758"/>
      <c r="N718" s="1758"/>
      <c r="O718" s="1758"/>
      <c r="P718" s="1758"/>
      <c r="Q718" s="1758"/>
      <c r="R718" s="1760"/>
      <c r="S718" s="1760"/>
      <c r="T718" s="2122" t="s">
        <v>79</v>
      </c>
      <c r="U718" s="2123" t="s">
        <v>40</v>
      </c>
      <c r="V718" s="2124" t="s">
        <v>1129</v>
      </c>
      <c r="W718" s="690" t="s">
        <v>17</v>
      </c>
      <c r="X718" s="690" t="s">
        <v>18</v>
      </c>
      <c r="Y718" s="2820">
        <f>+$AA$100</f>
        <v>6575.22</v>
      </c>
      <c r="Z718" s="1763"/>
      <c r="AA718" s="1763"/>
      <c r="AB718" s="1839"/>
      <c r="AC718" s="1764"/>
      <c r="AD718" s="1763"/>
      <c r="AE718" s="1763"/>
      <c r="AF718" s="1763"/>
      <c r="AG718" s="1763"/>
      <c r="AH718" s="1758"/>
      <c r="AI718" s="1758"/>
      <c r="AJ718" s="1758"/>
      <c r="AK718" s="1758"/>
      <c r="AL718" s="1758"/>
      <c r="AM718" s="1758"/>
      <c r="AN718" s="1758"/>
      <c r="AO718" s="1758"/>
      <c r="AP718" s="1758"/>
      <c r="AQ718" s="1758"/>
      <c r="AR718" s="1758"/>
      <c r="AS718" s="1758"/>
      <c r="AT718" s="1758"/>
      <c r="AU718" s="1758"/>
      <c r="AV718" s="1758"/>
      <c r="AW718" s="1758"/>
      <c r="AX718" s="1758"/>
      <c r="AY718" s="1758"/>
      <c r="AZ718" s="1758"/>
      <c r="BA718" s="1758"/>
      <c r="BB718" s="1758"/>
      <c r="BC718" s="1758"/>
      <c r="BD718" s="1758"/>
      <c r="BE718" s="1758"/>
      <c r="BF718" s="1758"/>
      <c r="BG718" s="1758"/>
      <c r="BH718" s="1758"/>
      <c r="BI718" s="1758"/>
      <c r="BJ718" s="1758"/>
      <c r="BK718" s="1758"/>
      <c r="BL718" s="1758"/>
      <c r="BM718" s="1758"/>
      <c r="BN718" s="1758"/>
      <c r="BO718" s="1758"/>
      <c r="BP718" s="1758"/>
      <c r="BQ718" s="1758"/>
      <c r="BR718" s="1758"/>
      <c r="BS718" s="1758"/>
      <c r="BT718" s="1758"/>
      <c r="BU718" s="1758"/>
      <c r="BV718" s="1758"/>
      <c r="BW718" s="1758"/>
      <c r="BX718" s="1758"/>
      <c r="BY718" s="1758"/>
      <c r="BZ718" s="1758"/>
      <c r="CA718" s="1758"/>
      <c r="CB718" s="1758"/>
      <c r="CC718" s="1758"/>
      <c r="CD718" s="1758"/>
      <c r="CE718" s="1758"/>
      <c r="CF718" s="1758"/>
      <c r="CG718" s="1758"/>
      <c r="CH718" s="1758"/>
      <c r="CI718" s="1758"/>
      <c r="CJ718" s="1758"/>
      <c r="CK718" s="1758"/>
      <c r="CL718" s="1758"/>
      <c r="CM718" s="1758"/>
      <c r="CN718" s="1758"/>
      <c r="CO718" s="1758"/>
      <c r="CP718" s="1758"/>
      <c r="CQ718" s="1758"/>
      <c r="CR718" s="1758"/>
      <c r="CS718" s="1758"/>
      <c r="CT718" s="1758"/>
      <c r="CU718" s="1758"/>
      <c r="CV718" s="1758"/>
      <c r="CW718" s="1758"/>
      <c r="CX718" s="1758"/>
      <c r="CY718" s="1758"/>
      <c r="CZ718" s="1758"/>
      <c r="DA718" s="1758"/>
      <c r="DB718" s="1758"/>
      <c r="DC718" s="1758"/>
    </row>
    <row r="719" spans="1:107" s="1395" customFormat="1" ht="33">
      <c r="A719" s="1758"/>
      <c r="B719" s="1758"/>
      <c r="C719" s="1758"/>
      <c r="D719" s="1758"/>
      <c r="E719" s="1758"/>
      <c r="F719" s="1758"/>
      <c r="G719" s="1758"/>
      <c r="H719" s="1758"/>
      <c r="I719" s="1758"/>
      <c r="J719" s="1758"/>
      <c r="K719" s="1758"/>
      <c r="L719" s="1758"/>
      <c r="M719" s="1758"/>
      <c r="N719" s="1758"/>
      <c r="O719" s="1758"/>
      <c r="P719" s="1758"/>
      <c r="Q719" s="1758"/>
      <c r="R719" s="1760"/>
      <c r="S719" s="1760"/>
      <c r="T719" s="2122" t="s">
        <v>80</v>
      </c>
      <c r="U719" s="2123" t="s">
        <v>5150</v>
      </c>
      <c r="V719" s="2124" t="s">
        <v>5151</v>
      </c>
      <c r="W719" s="690" t="s">
        <v>17</v>
      </c>
      <c r="X719" s="690" t="s">
        <v>26</v>
      </c>
      <c r="Y719" s="2820">
        <f>AA651</f>
        <v>1500</v>
      </c>
      <c r="Z719" s="1763"/>
      <c r="AA719" s="1763"/>
      <c r="AB719" s="1839"/>
      <c r="AC719" s="1764"/>
      <c r="AD719" s="1763"/>
      <c r="AE719" s="1763"/>
      <c r="AF719" s="1763"/>
      <c r="AG719" s="1763"/>
      <c r="AH719" s="1758"/>
      <c r="AI719" s="1758"/>
      <c r="AJ719" s="1758"/>
      <c r="AK719" s="1758"/>
      <c r="AL719" s="1758"/>
      <c r="AM719" s="1758"/>
      <c r="AN719" s="1758"/>
      <c r="AO719" s="1758"/>
      <c r="AP719" s="1758"/>
      <c r="AQ719" s="1758"/>
      <c r="AR719" s="1758"/>
      <c r="AS719" s="1758"/>
      <c r="AT719" s="1758"/>
      <c r="AU719" s="1758"/>
      <c r="AV719" s="1758"/>
      <c r="AW719" s="1758"/>
      <c r="AX719" s="1758"/>
      <c r="AY719" s="1758"/>
      <c r="AZ719" s="1758"/>
      <c r="BA719" s="1758"/>
      <c r="BB719" s="1758"/>
      <c r="BC719" s="1758"/>
      <c r="BD719" s="1758"/>
      <c r="BE719" s="1758"/>
      <c r="BF719" s="1758"/>
      <c r="BG719" s="1758"/>
      <c r="BH719" s="1758"/>
      <c r="BI719" s="1758"/>
      <c r="BJ719" s="1758"/>
      <c r="BK719" s="1758"/>
      <c r="BL719" s="1758"/>
      <c r="BM719" s="1758"/>
      <c r="BN719" s="1758"/>
      <c r="BO719" s="1758"/>
      <c r="BP719" s="1758"/>
      <c r="BQ719" s="1758"/>
      <c r="BR719" s="1758"/>
      <c r="BS719" s="1758"/>
      <c r="BT719" s="1758"/>
      <c r="BU719" s="1758"/>
      <c r="BV719" s="1758"/>
      <c r="BW719" s="1758"/>
      <c r="BX719" s="1758"/>
      <c r="BY719" s="1758"/>
      <c r="BZ719" s="1758"/>
      <c r="CA719" s="1758"/>
      <c r="CB719" s="1758"/>
      <c r="CC719" s="1758"/>
      <c r="CD719" s="1758"/>
      <c r="CE719" s="1758"/>
      <c r="CF719" s="1758"/>
      <c r="CG719" s="1758"/>
      <c r="CH719" s="1758"/>
      <c r="CI719" s="1758"/>
      <c r="CJ719" s="1758"/>
      <c r="CK719" s="1758"/>
      <c r="CL719" s="1758"/>
      <c r="CM719" s="1758"/>
      <c r="CN719" s="1758"/>
      <c r="CO719" s="1758"/>
      <c r="CP719" s="1758"/>
      <c r="CQ719" s="1758"/>
      <c r="CR719" s="1758"/>
      <c r="CS719" s="1758"/>
      <c r="CT719" s="1758"/>
      <c r="CU719" s="1758"/>
      <c r="CV719" s="1758"/>
      <c r="CW719" s="1758"/>
      <c r="CX719" s="1758"/>
      <c r="CY719" s="1758"/>
      <c r="CZ719" s="1758"/>
      <c r="DA719" s="1758"/>
      <c r="DB719" s="1758"/>
      <c r="DC719" s="1758"/>
    </row>
    <row r="720" spans="1:107" s="1395" customFormat="1" ht="33">
      <c r="A720" s="1758"/>
      <c r="B720" s="1758"/>
      <c r="C720" s="1758"/>
      <c r="D720" s="1758"/>
      <c r="E720" s="1758"/>
      <c r="F720" s="1758"/>
      <c r="G720" s="1758"/>
      <c r="H720" s="1758"/>
      <c r="I720" s="1758"/>
      <c r="J720" s="1758"/>
      <c r="K720" s="1758"/>
      <c r="L720" s="1758"/>
      <c r="M720" s="1758"/>
      <c r="N720" s="1758"/>
      <c r="O720" s="1758"/>
      <c r="P720" s="1758"/>
      <c r="Q720" s="1758"/>
      <c r="R720" s="1760"/>
      <c r="S720" s="1760"/>
      <c r="T720" s="2122" t="s">
        <v>80</v>
      </c>
      <c r="U720" s="2123" t="s">
        <v>33</v>
      </c>
      <c r="V720" s="2124" t="s">
        <v>5152</v>
      </c>
      <c r="W720" s="690" t="s">
        <v>17</v>
      </c>
      <c r="X720" s="2124" t="s">
        <v>26</v>
      </c>
      <c r="Y720" s="2821">
        <f>+AA434</f>
        <v>5000</v>
      </c>
      <c r="Z720" s="1763"/>
      <c r="AA720" s="1763"/>
      <c r="AB720" s="1839"/>
      <c r="AC720" s="1764"/>
      <c r="AD720" s="1763"/>
      <c r="AE720" s="1763"/>
      <c r="AF720" s="1763"/>
      <c r="AG720" s="1763"/>
      <c r="AH720" s="1758"/>
      <c r="AI720" s="1758"/>
      <c r="AJ720" s="1758"/>
      <c r="AK720" s="1758"/>
      <c r="AL720" s="1758"/>
      <c r="AM720" s="1758"/>
      <c r="AN720" s="1758"/>
      <c r="AO720" s="1758"/>
      <c r="AP720" s="1758"/>
      <c r="AQ720" s="1758"/>
      <c r="AR720" s="1758"/>
      <c r="AS720" s="1758"/>
      <c r="AT720" s="1758"/>
      <c r="AU720" s="1758"/>
      <c r="AV720" s="1758"/>
      <c r="AW720" s="1758"/>
      <c r="AX720" s="1758"/>
      <c r="AY720" s="1758"/>
      <c r="AZ720" s="1758"/>
      <c r="BA720" s="1758"/>
      <c r="BB720" s="1758"/>
      <c r="BC720" s="1758"/>
      <c r="BD720" s="1758"/>
      <c r="BE720" s="1758"/>
      <c r="BF720" s="1758"/>
      <c r="BG720" s="1758"/>
      <c r="BH720" s="1758"/>
      <c r="BI720" s="1758"/>
      <c r="BJ720" s="1758"/>
      <c r="BK720" s="1758"/>
      <c r="BL720" s="1758"/>
      <c r="BM720" s="1758"/>
      <c r="BN720" s="1758"/>
      <c r="BO720" s="1758"/>
      <c r="BP720" s="1758"/>
      <c r="BQ720" s="1758"/>
      <c r="BR720" s="1758"/>
      <c r="BS720" s="1758"/>
      <c r="BT720" s="1758"/>
      <c r="BU720" s="1758"/>
      <c r="BV720" s="1758"/>
      <c r="BW720" s="1758"/>
      <c r="BX720" s="1758"/>
      <c r="BY720" s="1758"/>
      <c r="BZ720" s="1758"/>
      <c r="CA720" s="1758"/>
      <c r="CB720" s="1758"/>
      <c r="CC720" s="1758"/>
      <c r="CD720" s="1758"/>
      <c r="CE720" s="1758"/>
      <c r="CF720" s="1758"/>
      <c r="CG720" s="1758"/>
      <c r="CH720" s="1758"/>
      <c r="CI720" s="1758"/>
      <c r="CJ720" s="1758"/>
      <c r="CK720" s="1758"/>
      <c r="CL720" s="1758"/>
      <c r="CM720" s="1758"/>
      <c r="CN720" s="1758"/>
      <c r="CO720" s="1758"/>
      <c r="CP720" s="1758"/>
      <c r="CQ720" s="1758"/>
      <c r="CR720" s="1758"/>
      <c r="CS720" s="1758"/>
      <c r="CT720" s="1758"/>
      <c r="CU720" s="1758"/>
      <c r="CV720" s="1758"/>
      <c r="CW720" s="1758"/>
      <c r="CX720" s="1758"/>
      <c r="CY720" s="1758"/>
      <c r="CZ720" s="1758"/>
      <c r="DA720" s="1758"/>
      <c r="DB720" s="1758"/>
      <c r="DC720" s="1758"/>
    </row>
    <row r="721" spans="1:107" s="1395" customFormat="1" ht="33">
      <c r="A721" s="1758"/>
      <c r="B721" s="1758"/>
      <c r="C721" s="1758"/>
      <c r="D721" s="1758"/>
      <c r="E721" s="1758"/>
      <c r="F721" s="1758"/>
      <c r="G721" s="1758"/>
      <c r="H721" s="1758"/>
      <c r="I721" s="1758"/>
      <c r="J721" s="1758"/>
      <c r="K721" s="1758"/>
      <c r="L721" s="1758"/>
      <c r="M721" s="1758"/>
      <c r="N721" s="1758"/>
      <c r="O721" s="1758"/>
      <c r="P721" s="1758"/>
      <c r="Q721" s="1758"/>
      <c r="R721" s="1760"/>
      <c r="S721" s="1760"/>
      <c r="T721" s="2122" t="s">
        <v>80</v>
      </c>
      <c r="U721" s="2123" t="s">
        <v>671</v>
      </c>
      <c r="V721" s="2124" t="s">
        <v>1143</v>
      </c>
      <c r="W721" s="690" t="s">
        <v>17</v>
      </c>
      <c r="X721" s="2124" t="s">
        <v>18</v>
      </c>
      <c r="Y721" s="2821">
        <f>$AA$659</f>
        <v>6087.12</v>
      </c>
      <c r="Z721" s="1763"/>
      <c r="AA721" s="1763"/>
      <c r="AB721" s="1839"/>
      <c r="AC721" s="1764"/>
      <c r="AD721" s="1763"/>
      <c r="AE721" s="1763"/>
      <c r="AF721" s="1763"/>
      <c r="AG721" s="1763"/>
      <c r="AH721" s="1758"/>
      <c r="AI721" s="1758"/>
      <c r="AJ721" s="1758"/>
      <c r="AK721" s="1758"/>
      <c r="AL721" s="1758"/>
      <c r="AM721" s="1758"/>
      <c r="AN721" s="1758"/>
      <c r="AO721" s="1758"/>
      <c r="AP721" s="1758"/>
      <c r="AQ721" s="1758"/>
      <c r="AR721" s="1758"/>
      <c r="AS721" s="1758"/>
      <c r="AT721" s="1758"/>
      <c r="AU721" s="1758"/>
      <c r="AV721" s="1758"/>
      <c r="AW721" s="1758"/>
      <c r="AX721" s="1758"/>
      <c r="AY721" s="1758"/>
      <c r="AZ721" s="1758"/>
      <c r="BA721" s="1758"/>
      <c r="BB721" s="1758"/>
      <c r="BC721" s="1758"/>
      <c r="BD721" s="1758"/>
      <c r="BE721" s="1758"/>
      <c r="BF721" s="1758"/>
      <c r="BG721" s="1758"/>
      <c r="BH721" s="1758"/>
      <c r="BI721" s="1758"/>
      <c r="BJ721" s="1758"/>
      <c r="BK721" s="1758"/>
      <c r="BL721" s="1758"/>
      <c r="BM721" s="1758"/>
      <c r="BN721" s="1758"/>
      <c r="BO721" s="1758"/>
      <c r="BP721" s="1758"/>
      <c r="BQ721" s="1758"/>
      <c r="BR721" s="1758"/>
      <c r="BS721" s="1758"/>
      <c r="BT721" s="1758"/>
      <c r="BU721" s="1758"/>
      <c r="BV721" s="1758"/>
      <c r="BW721" s="1758"/>
      <c r="BX721" s="1758"/>
      <c r="BY721" s="1758"/>
      <c r="BZ721" s="1758"/>
      <c r="CA721" s="1758"/>
      <c r="CB721" s="1758"/>
      <c r="CC721" s="1758"/>
      <c r="CD721" s="1758"/>
      <c r="CE721" s="1758"/>
      <c r="CF721" s="1758"/>
      <c r="CG721" s="1758"/>
      <c r="CH721" s="1758"/>
      <c r="CI721" s="1758"/>
      <c r="CJ721" s="1758"/>
      <c r="CK721" s="1758"/>
      <c r="CL721" s="1758"/>
      <c r="CM721" s="1758"/>
      <c r="CN721" s="1758"/>
      <c r="CO721" s="1758"/>
      <c r="CP721" s="1758"/>
      <c r="CQ721" s="1758"/>
      <c r="CR721" s="1758"/>
      <c r="CS721" s="1758"/>
      <c r="CT721" s="1758"/>
      <c r="CU721" s="1758"/>
      <c r="CV721" s="1758"/>
      <c r="CW721" s="1758"/>
      <c r="CX721" s="1758"/>
      <c r="CY721" s="1758"/>
      <c r="CZ721" s="1758"/>
      <c r="DA721" s="1758"/>
      <c r="DB721" s="1758"/>
      <c r="DC721" s="1758"/>
    </row>
    <row r="722" spans="1:107" s="1395" customFormat="1" ht="33">
      <c r="A722" s="1758"/>
      <c r="B722" s="1758"/>
      <c r="C722" s="1758"/>
      <c r="D722" s="1758"/>
      <c r="E722" s="1758"/>
      <c r="F722" s="1758"/>
      <c r="G722" s="1758"/>
      <c r="H722" s="1758"/>
      <c r="I722" s="1758"/>
      <c r="J722" s="1758"/>
      <c r="K722" s="1758"/>
      <c r="L722" s="1758"/>
      <c r="M722" s="1758"/>
      <c r="N722" s="1758"/>
      <c r="O722" s="1758"/>
      <c r="P722" s="1758"/>
      <c r="Q722" s="1758"/>
      <c r="R722" s="1760"/>
      <c r="S722" s="1760"/>
      <c r="T722" s="2122" t="s">
        <v>80</v>
      </c>
      <c r="U722" s="2123" t="s">
        <v>39</v>
      </c>
      <c r="V722" s="2124" t="s">
        <v>1107</v>
      </c>
      <c r="W722" s="690" t="s">
        <v>17</v>
      </c>
      <c r="X722" s="2124" t="s">
        <v>18</v>
      </c>
      <c r="Y722" s="2821">
        <f>+AA440+AA657</f>
        <v>8505</v>
      </c>
      <c r="Z722" s="1763"/>
      <c r="AA722" s="1763"/>
      <c r="AB722" s="1839"/>
      <c r="AC722" s="1764"/>
      <c r="AD722" s="1763"/>
      <c r="AE722" s="1763"/>
      <c r="AF722" s="1763"/>
      <c r="AG722" s="1763"/>
      <c r="AH722" s="1758"/>
      <c r="AI722" s="1758"/>
      <c r="AJ722" s="1758"/>
      <c r="AK722" s="1758"/>
      <c r="AL722" s="1758"/>
      <c r="AM722" s="1758"/>
      <c r="AN722" s="1758"/>
      <c r="AO722" s="1758"/>
      <c r="AP722" s="1758"/>
      <c r="AQ722" s="1758"/>
      <c r="AR722" s="1758"/>
      <c r="AS722" s="1758"/>
      <c r="AT722" s="1758"/>
      <c r="AU722" s="1758"/>
      <c r="AV722" s="1758"/>
      <c r="AW722" s="1758"/>
      <c r="AX722" s="1758"/>
      <c r="AY722" s="1758"/>
      <c r="AZ722" s="1758"/>
      <c r="BA722" s="1758"/>
      <c r="BB722" s="1758"/>
      <c r="BC722" s="1758"/>
      <c r="BD722" s="1758"/>
      <c r="BE722" s="1758"/>
      <c r="BF722" s="1758"/>
      <c r="BG722" s="1758"/>
      <c r="BH722" s="1758"/>
      <c r="BI722" s="1758"/>
      <c r="BJ722" s="1758"/>
      <c r="BK722" s="1758"/>
      <c r="BL722" s="1758"/>
      <c r="BM722" s="1758"/>
      <c r="BN722" s="1758"/>
      <c r="BO722" s="1758"/>
      <c r="BP722" s="1758"/>
      <c r="BQ722" s="1758"/>
      <c r="BR722" s="1758"/>
      <c r="BS722" s="1758"/>
      <c r="BT722" s="1758"/>
      <c r="BU722" s="1758"/>
      <c r="BV722" s="1758"/>
      <c r="BW722" s="1758"/>
      <c r="BX722" s="1758"/>
      <c r="BY722" s="1758"/>
      <c r="BZ722" s="1758"/>
      <c r="CA722" s="1758"/>
      <c r="CB722" s="1758"/>
      <c r="CC722" s="1758"/>
      <c r="CD722" s="1758"/>
      <c r="CE722" s="1758"/>
      <c r="CF722" s="1758"/>
      <c r="CG722" s="1758"/>
      <c r="CH722" s="1758"/>
      <c r="CI722" s="1758"/>
      <c r="CJ722" s="1758"/>
      <c r="CK722" s="1758"/>
      <c r="CL722" s="1758"/>
      <c r="CM722" s="1758"/>
      <c r="CN722" s="1758"/>
      <c r="CO722" s="1758"/>
      <c r="CP722" s="1758"/>
      <c r="CQ722" s="1758"/>
      <c r="CR722" s="1758"/>
      <c r="CS722" s="1758"/>
      <c r="CT722" s="1758"/>
      <c r="CU722" s="1758"/>
      <c r="CV722" s="1758"/>
      <c r="CW722" s="1758"/>
      <c r="CX722" s="1758"/>
      <c r="CY722" s="1758"/>
      <c r="CZ722" s="1758"/>
      <c r="DA722" s="1758"/>
      <c r="DB722" s="1758"/>
      <c r="DC722" s="1758"/>
    </row>
    <row r="723" spans="1:107" s="1395" customFormat="1" ht="33">
      <c r="A723" s="1758"/>
      <c r="B723" s="1758"/>
      <c r="C723" s="1758"/>
      <c r="D723" s="1758"/>
      <c r="E723" s="1758"/>
      <c r="F723" s="1758"/>
      <c r="G723" s="1758"/>
      <c r="H723" s="1758"/>
      <c r="I723" s="1758"/>
      <c r="J723" s="1758"/>
      <c r="K723" s="1758"/>
      <c r="L723" s="1758"/>
      <c r="M723" s="1758"/>
      <c r="N723" s="1758"/>
      <c r="O723" s="1758"/>
      <c r="P723" s="1758"/>
      <c r="Q723" s="1758"/>
      <c r="R723" s="1760"/>
      <c r="S723" s="1760"/>
      <c r="T723" s="2122" t="s">
        <v>80</v>
      </c>
      <c r="U723" s="2123" t="s">
        <v>40</v>
      </c>
      <c r="V723" s="2124" t="s">
        <v>1129</v>
      </c>
      <c r="W723" s="690" t="s">
        <v>17</v>
      </c>
      <c r="X723" s="690" t="s">
        <v>18</v>
      </c>
      <c r="Y723" s="2820">
        <f>+AA103+AA173+AA234+AA432+AA438+AA654</f>
        <v>124404.52992</v>
      </c>
      <c r="Z723" s="2720"/>
      <c r="AA723" s="1767"/>
      <c r="AB723" s="1838"/>
      <c r="AC723" s="1768"/>
      <c r="AD723" s="1758"/>
      <c r="AE723" s="1758"/>
      <c r="AF723" s="1758"/>
      <c r="AG723" s="1758"/>
      <c r="AH723" s="1758"/>
      <c r="AI723" s="1758"/>
      <c r="AJ723" s="1758"/>
      <c r="AK723" s="1758"/>
      <c r="AL723" s="1758"/>
      <c r="AM723" s="1758"/>
      <c r="AN723" s="1758"/>
      <c r="AO723" s="1758"/>
      <c r="AP723" s="1758"/>
      <c r="AQ723" s="1758"/>
      <c r="AR723" s="1758"/>
      <c r="AS723" s="1758"/>
      <c r="AT723" s="1758"/>
      <c r="AU723" s="1758"/>
      <c r="AV723" s="1758"/>
      <c r="AW723" s="1758"/>
      <c r="AX723" s="1758"/>
      <c r="AY723" s="1758"/>
      <c r="AZ723" s="1758"/>
      <c r="BA723" s="1758"/>
      <c r="BB723" s="1758"/>
      <c r="BC723" s="1758"/>
      <c r="BD723" s="1758"/>
      <c r="BE723" s="1758"/>
      <c r="BF723" s="1758"/>
      <c r="BG723" s="1758"/>
      <c r="BH723" s="1758"/>
      <c r="BI723" s="1758"/>
      <c r="BJ723" s="1758"/>
      <c r="BK723" s="1758"/>
      <c r="BL723" s="1758"/>
      <c r="BM723" s="1758"/>
      <c r="BN723" s="1758"/>
      <c r="BO723" s="1758"/>
      <c r="BP723" s="1758"/>
      <c r="BQ723" s="1758"/>
      <c r="BR723" s="1758"/>
      <c r="BS723" s="1758"/>
      <c r="BT723" s="1758"/>
      <c r="BU723" s="1758"/>
      <c r="BV723" s="1758"/>
      <c r="BW723" s="1758"/>
      <c r="BX723" s="1758"/>
      <c r="BY723" s="1758"/>
      <c r="BZ723" s="1758"/>
      <c r="CA723" s="1758"/>
      <c r="CB723" s="1758"/>
      <c r="CC723" s="1758"/>
      <c r="CD723" s="1758"/>
      <c r="CE723" s="1758"/>
      <c r="CF723" s="1758"/>
      <c r="CG723" s="1758"/>
      <c r="CH723" s="1758"/>
      <c r="CI723" s="1758"/>
      <c r="CJ723" s="1758"/>
      <c r="CK723" s="1758"/>
      <c r="CL723" s="1758"/>
      <c r="CM723" s="1758"/>
      <c r="CN723" s="1758"/>
      <c r="CO723" s="1758"/>
      <c r="CP723" s="1758"/>
      <c r="CQ723" s="1758"/>
      <c r="CR723" s="1758"/>
      <c r="CS723" s="1758"/>
      <c r="CT723" s="1758"/>
      <c r="CU723" s="1758"/>
      <c r="CV723" s="1758"/>
      <c r="CW723" s="1758"/>
      <c r="CX723" s="1758"/>
      <c r="CY723" s="1758"/>
      <c r="CZ723" s="1758"/>
      <c r="DA723" s="1758"/>
      <c r="DB723" s="1758"/>
      <c r="DC723" s="1758"/>
    </row>
    <row r="724" spans="1:107" s="1395" customFormat="1" ht="49.5">
      <c r="A724" s="1758"/>
      <c r="B724" s="1758"/>
      <c r="C724" s="1758"/>
      <c r="D724" s="1758"/>
      <c r="E724" s="1758"/>
      <c r="F724" s="1758"/>
      <c r="G724" s="1758"/>
      <c r="H724" s="1758"/>
      <c r="I724" s="1758"/>
      <c r="J724" s="1758"/>
      <c r="K724" s="1758"/>
      <c r="L724" s="1758"/>
      <c r="M724" s="1758"/>
      <c r="N724" s="1758"/>
      <c r="O724" s="1758"/>
      <c r="P724" s="1758"/>
      <c r="Q724" s="1758"/>
      <c r="R724" s="1760"/>
      <c r="S724" s="1760"/>
      <c r="T724" s="4411" t="s">
        <v>81</v>
      </c>
      <c r="U724" s="4412" t="s">
        <v>761</v>
      </c>
      <c r="V724" s="4413" t="s">
        <v>4756</v>
      </c>
      <c r="W724" s="4414" t="s">
        <v>17</v>
      </c>
      <c r="X724" s="5933" t="s">
        <v>673</v>
      </c>
      <c r="Y724" s="4415">
        <f>+AA29</f>
        <v>349.05000000000291</v>
      </c>
      <c r="Z724" s="2720"/>
      <c r="AA724" s="1767"/>
      <c r="AB724" s="1838"/>
      <c r="AC724" s="1768"/>
      <c r="AD724" s="1758"/>
      <c r="AE724" s="1758"/>
      <c r="AF724" s="1758"/>
      <c r="AG724" s="1758"/>
      <c r="AH724" s="1758"/>
      <c r="AI724" s="1758"/>
      <c r="AJ724" s="1758"/>
      <c r="AK724" s="1758"/>
      <c r="AL724" s="1758"/>
      <c r="AM724" s="1758"/>
      <c r="AN724" s="1758"/>
      <c r="AO724" s="1758"/>
      <c r="AP724" s="1758"/>
      <c r="AQ724" s="1758"/>
      <c r="AR724" s="1758"/>
      <c r="AS724" s="1758"/>
      <c r="AT724" s="1758"/>
      <c r="AU724" s="1758"/>
      <c r="AV724" s="1758"/>
      <c r="AW724" s="1758"/>
      <c r="AX724" s="1758"/>
      <c r="AY724" s="1758"/>
      <c r="AZ724" s="1758"/>
      <c r="BA724" s="1758"/>
      <c r="BB724" s="1758"/>
      <c r="BC724" s="1758"/>
      <c r="BD724" s="1758"/>
      <c r="BE724" s="1758"/>
      <c r="BF724" s="1758"/>
      <c r="BG724" s="1758"/>
      <c r="BH724" s="1758"/>
      <c r="BI724" s="1758"/>
      <c r="BJ724" s="1758"/>
      <c r="BK724" s="1758"/>
      <c r="BL724" s="1758"/>
      <c r="BM724" s="1758"/>
      <c r="BN724" s="1758"/>
      <c r="BO724" s="1758"/>
      <c r="BP724" s="1758"/>
      <c r="BQ724" s="1758"/>
      <c r="BR724" s="1758"/>
      <c r="BS724" s="1758"/>
      <c r="BT724" s="1758"/>
      <c r="BU724" s="1758"/>
      <c r="BV724" s="1758"/>
      <c r="BW724" s="1758"/>
      <c r="BX724" s="1758"/>
      <c r="BY724" s="1758"/>
      <c r="BZ724" s="1758"/>
      <c r="CA724" s="1758"/>
      <c r="CB724" s="1758"/>
      <c r="CC724" s="1758"/>
      <c r="CD724" s="1758"/>
      <c r="CE724" s="1758"/>
      <c r="CF724" s="1758"/>
      <c r="CG724" s="1758"/>
      <c r="CH724" s="1758"/>
      <c r="CI724" s="1758"/>
      <c r="CJ724" s="1758"/>
      <c r="CK724" s="1758"/>
      <c r="CL724" s="1758"/>
      <c r="CM724" s="1758"/>
      <c r="CN724" s="1758"/>
      <c r="CO724" s="1758"/>
      <c r="CP724" s="1758"/>
      <c r="CQ724" s="1758"/>
      <c r="CR724" s="1758"/>
      <c r="CS724" s="1758"/>
      <c r="CT724" s="1758"/>
      <c r="CU724" s="1758"/>
      <c r="CV724" s="1758"/>
      <c r="CW724" s="1758"/>
      <c r="CX724" s="1758"/>
      <c r="CY724" s="1758"/>
      <c r="CZ724" s="1758"/>
      <c r="DA724" s="1758"/>
      <c r="DB724" s="1758"/>
      <c r="DC724" s="1758"/>
    </row>
    <row r="725" spans="1:107" s="1395" customFormat="1" ht="18" customHeight="1" thickBot="1">
      <c r="A725" s="1758"/>
      <c r="B725" s="1758"/>
      <c r="C725" s="1758"/>
      <c r="D725" s="1758"/>
      <c r="E725" s="1758"/>
      <c r="F725" s="1758"/>
      <c r="G725" s="1758"/>
      <c r="H725" s="1758"/>
      <c r="I725" s="1758"/>
      <c r="J725" s="1758"/>
      <c r="K725" s="1758"/>
      <c r="L725" s="1758"/>
      <c r="M725" s="1758"/>
      <c r="N725" s="1758"/>
      <c r="O725" s="1758"/>
      <c r="P725" s="1758"/>
      <c r="Q725" s="1758"/>
      <c r="R725" s="1760"/>
      <c r="S725" s="1760"/>
      <c r="T725" s="5930"/>
      <c r="U725" s="5931" t="s">
        <v>67</v>
      </c>
      <c r="V725" s="5932"/>
      <c r="W725" s="5932"/>
      <c r="X725" s="5926" t="s">
        <v>292</v>
      </c>
      <c r="Y725" s="5934">
        <f>SUM(Y716:Y724)</f>
        <v>154170.25912</v>
      </c>
      <c r="Z725" s="1758"/>
      <c r="AA725" s="1770"/>
      <c r="AB725" s="1771"/>
      <c r="AC725" s="1771"/>
      <c r="AD725" s="1758"/>
      <c r="AE725" s="1758"/>
      <c r="AF725" s="1758"/>
      <c r="AG725" s="1758"/>
      <c r="AH725" s="1758"/>
      <c r="AI725" s="1758"/>
      <c r="AJ725" s="1758"/>
      <c r="AK725" s="1758"/>
      <c r="AL725" s="1758"/>
      <c r="AM725" s="1758"/>
      <c r="AN725" s="1758"/>
      <c r="AO725" s="1758"/>
      <c r="AP725" s="1758"/>
      <c r="AQ725" s="1758"/>
      <c r="AR725" s="1758"/>
      <c r="AS725" s="1758"/>
      <c r="AT725" s="1758"/>
      <c r="AU725" s="1758"/>
      <c r="AV725" s="1758"/>
      <c r="AW725" s="1758"/>
      <c r="AX725" s="1758"/>
      <c r="AY725" s="1758"/>
      <c r="AZ725" s="1758"/>
      <c r="BA725" s="1758"/>
      <c r="BB725" s="1758"/>
      <c r="BC725" s="1758"/>
      <c r="BD725" s="1758"/>
      <c r="BE725" s="1758"/>
      <c r="BF725" s="1758"/>
      <c r="BG725" s="1758"/>
      <c r="BH725" s="1758"/>
      <c r="BI725" s="1758"/>
      <c r="BJ725" s="1758"/>
      <c r="BK725" s="1758"/>
      <c r="BL725" s="1758"/>
      <c r="BM725" s="1758"/>
      <c r="BN725" s="1758"/>
      <c r="BO725" s="1758"/>
      <c r="BP725" s="1758"/>
      <c r="BQ725" s="1758"/>
      <c r="BR725" s="1758"/>
      <c r="BS725" s="1758"/>
      <c r="BT725" s="1758"/>
      <c r="BU725" s="1758"/>
      <c r="BV725" s="1758"/>
      <c r="BW725" s="1758"/>
      <c r="BX725" s="1758"/>
      <c r="BY725" s="1758"/>
      <c r="BZ725" s="1758"/>
      <c r="CA725" s="1758"/>
      <c r="CB725" s="1758"/>
      <c r="CC725" s="1758"/>
      <c r="CD725" s="1758"/>
      <c r="CE725" s="1758"/>
      <c r="CF725" s="1758"/>
      <c r="CG725" s="1758"/>
      <c r="CH725" s="1758"/>
      <c r="CI725" s="1758"/>
      <c r="CJ725" s="1758"/>
      <c r="CK725" s="1758"/>
      <c r="CL725" s="1758"/>
      <c r="CM725" s="1758"/>
      <c r="CN725" s="1758"/>
      <c r="CO725" s="1758"/>
      <c r="CP725" s="1758"/>
      <c r="CQ725" s="1758"/>
      <c r="CR725" s="1758"/>
      <c r="CS725" s="1758"/>
      <c r="CT725" s="1758"/>
      <c r="CU725" s="1758"/>
      <c r="CV725" s="1758"/>
      <c r="CW725" s="1758"/>
      <c r="CX725" s="1758"/>
      <c r="CY725" s="1758"/>
      <c r="CZ725" s="1758"/>
      <c r="DA725" s="1758"/>
      <c r="DB725" s="1758"/>
      <c r="DC725" s="1758"/>
    </row>
    <row r="726" spans="1:107" s="1395" customFormat="1" ht="16.5" customHeight="1" thickTop="1">
      <c r="A726" s="1758"/>
      <c r="B726" s="1758"/>
      <c r="C726" s="1758"/>
      <c r="D726" s="1758"/>
      <c r="E726" s="1758"/>
      <c r="F726" s="1758"/>
      <c r="G726" s="1758"/>
      <c r="H726" s="1758"/>
      <c r="I726" s="1758"/>
      <c r="J726" s="1758"/>
      <c r="K726" s="1758"/>
      <c r="L726" s="1758"/>
      <c r="M726" s="1758"/>
      <c r="N726" s="1758"/>
      <c r="O726" s="1758"/>
      <c r="P726" s="1758"/>
      <c r="Q726" s="1758"/>
      <c r="R726" s="1760"/>
      <c r="S726" s="1760"/>
      <c r="T726" s="1760"/>
      <c r="U726" s="1758"/>
      <c r="V726" s="1758"/>
      <c r="W726" s="1758"/>
      <c r="X726" s="1758"/>
      <c r="Y726" s="1758"/>
      <c r="Z726" s="1758"/>
      <c r="AA726" s="1758"/>
      <c r="AB726" s="1840"/>
      <c r="AC726" s="1769"/>
      <c r="AD726" s="1758"/>
      <c r="AE726" s="1758"/>
      <c r="AF726" s="1758"/>
      <c r="AG726" s="1758"/>
      <c r="AH726" s="1758"/>
      <c r="AI726" s="1758"/>
      <c r="AJ726" s="1758"/>
      <c r="AK726" s="1758"/>
      <c r="AL726" s="1758"/>
      <c r="AM726" s="1758"/>
      <c r="AN726" s="1758"/>
      <c r="AO726" s="1758"/>
      <c r="AP726" s="1758"/>
      <c r="AQ726" s="1758"/>
      <c r="AR726" s="1758"/>
      <c r="AS726" s="1758"/>
      <c r="AT726" s="1758"/>
      <c r="AU726" s="1758"/>
      <c r="AV726" s="1758"/>
      <c r="AW726" s="1758"/>
      <c r="AX726" s="1758"/>
      <c r="AY726" s="1758"/>
      <c r="AZ726" s="1758"/>
      <c r="BA726" s="1758"/>
      <c r="BB726" s="1758"/>
      <c r="BC726" s="1758"/>
      <c r="BD726" s="1758"/>
      <c r="BE726" s="1758"/>
      <c r="BF726" s="1758"/>
      <c r="BG726" s="1758"/>
      <c r="BH726" s="1758"/>
      <c r="BI726" s="1758"/>
      <c r="BJ726" s="1758"/>
      <c r="BK726" s="1758"/>
      <c r="BL726" s="1758"/>
      <c r="BM726" s="1758"/>
      <c r="BN726" s="1758"/>
      <c r="BO726" s="1758"/>
      <c r="BP726" s="1758"/>
      <c r="BQ726" s="1758"/>
      <c r="BR726" s="1758"/>
      <c r="BS726" s="1758"/>
      <c r="BT726" s="1758"/>
      <c r="BU726" s="1758"/>
      <c r="BV726" s="1758"/>
      <c r="BW726" s="1758"/>
      <c r="BX726" s="1758"/>
      <c r="BY726" s="1758"/>
      <c r="BZ726" s="1758"/>
      <c r="CA726" s="1758"/>
      <c r="CB726" s="1758"/>
      <c r="CC726" s="1758"/>
      <c r="CD726" s="1758"/>
      <c r="CE726" s="1758"/>
      <c r="CF726" s="1758"/>
      <c r="CG726" s="1758"/>
      <c r="CH726" s="1758"/>
      <c r="CI726" s="1758"/>
      <c r="CJ726" s="1758"/>
      <c r="CK726" s="1758"/>
      <c r="CL726" s="1758"/>
      <c r="CM726" s="1758"/>
      <c r="CN726" s="1758"/>
      <c r="CO726" s="1758"/>
      <c r="CP726" s="1758"/>
      <c r="CQ726" s="1758"/>
      <c r="CR726" s="1758"/>
      <c r="CS726" s="1758"/>
      <c r="CT726" s="1758"/>
      <c r="CU726" s="1758"/>
      <c r="CV726" s="1758"/>
      <c r="CW726" s="1758"/>
      <c r="CX726" s="1758"/>
      <c r="CY726" s="1758"/>
      <c r="CZ726" s="1758"/>
      <c r="DA726" s="1758"/>
      <c r="DB726" s="1758"/>
      <c r="DC726" s="1758"/>
    </row>
    <row r="727" spans="1:107" s="1395" customFormat="1" ht="16.5" customHeight="1">
      <c r="A727" s="1758"/>
      <c r="B727" s="1758"/>
      <c r="C727" s="1758"/>
      <c r="D727" s="1758"/>
      <c r="E727" s="1758"/>
      <c r="F727" s="1758"/>
      <c r="G727" s="1758"/>
      <c r="H727" s="1758"/>
      <c r="I727" s="1758"/>
      <c r="J727" s="1758"/>
      <c r="K727" s="1758"/>
      <c r="L727" s="1758"/>
      <c r="M727" s="1758"/>
      <c r="N727" s="1758"/>
      <c r="O727" s="1758"/>
      <c r="P727" s="1758"/>
      <c r="Q727" s="1758"/>
      <c r="R727" s="1760"/>
      <c r="S727" s="1760"/>
      <c r="T727" s="1760"/>
      <c r="U727" s="1758"/>
      <c r="V727" s="1758"/>
      <c r="W727" s="1763"/>
      <c r="X727" s="1763"/>
      <c r="Y727" s="1763"/>
      <c r="Z727" s="1763"/>
      <c r="AA727" s="1763"/>
      <c r="AB727" s="1840"/>
      <c r="AC727" s="1769"/>
      <c r="AD727" s="1758"/>
      <c r="AE727" s="1758"/>
      <c r="AF727" s="1758"/>
      <c r="AG727" s="1758"/>
      <c r="AH727" s="1758"/>
      <c r="AI727" s="1758"/>
      <c r="AJ727" s="1758"/>
      <c r="AK727" s="1758"/>
      <c r="AL727" s="1758"/>
      <c r="AM727" s="1758"/>
      <c r="AN727" s="1758"/>
      <c r="AO727" s="1758"/>
      <c r="AP727" s="1758"/>
      <c r="AQ727" s="1758"/>
      <c r="AR727" s="1758"/>
      <c r="AS727" s="1758"/>
      <c r="AT727" s="1758"/>
      <c r="AU727" s="1758"/>
      <c r="AV727" s="1758"/>
      <c r="AW727" s="1758"/>
      <c r="AX727" s="1758"/>
      <c r="AY727" s="1758"/>
      <c r="AZ727" s="1758"/>
      <c r="BA727" s="1758"/>
      <c r="BB727" s="1758"/>
      <c r="BC727" s="1758"/>
      <c r="BD727" s="1758"/>
      <c r="BE727" s="1758"/>
      <c r="BF727" s="1758"/>
      <c r="BG727" s="1758"/>
      <c r="BH727" s="1758"/>
      <c r="BI727" s="1758"/>
      <c r="BJ727" s="1758"/>
      <c r="BK727" s="1758"/>
      <c r="BL727" s="1758"/>
      <c r="BM727" s="1758"/>
      <c r="BN727" s="1758"/>
      <c r="BO727" s="1758"/>
      <c r="BP727" s="1758"/>
      <c r="BQ727" s="1758"/>
      <c r="BR727" s="1758"/>
      <c r="BS727" s="1758"/>
      <c r="BT727" s="1758"/>
      <c r="BU727" s="1758"/>
      <c r="BV727" s="1758"/>
      <c r="BW727" s="1758"/>
      <c r="BX727" s="1758"/>
      <c r="BY727" s="1758"/>
      <c r="BZ727" s="1758"/>
      <c r="CA727" s="1758"/>
      <c r="CB727" s="1758"/>
      <c r="CC727" s="1758"/>
      <c r="CD727" s="1758"/>
      <c r="CE727" s="1758"/>
      <c r="CF727" s="1758"/>
      <c r="CG727" s="1758"/>
      <c r="CH727" s="1758"/>
      <c r="CI727" s="1758"/>
      <c r="CJ727" s="1758"/>
      <c r="CK727" s="1758"/>
      <c r="CL727" s="1758"/>
      <c r="CM727" s="1758"/>
      <c r="CN727" s="1758"/>
      <c r="CO727" s="1758"/>
      <c r="CP727" s="1758"/>
      <c r="CQ727" s="1758"/>
      <c r="CR727" s="1758"/>
      <c r="CS727" s="1758"/>
      <c r="CT727" s="1758"/>
      <c r="CU727" s="1758"/>
      <c r="CV727" s="1758"/>
      <c r="CW727" s="1758"/>
      <c r="CX727" s="1758"/>
      <c r="CY727" s="1758"/>
      <c r="CZ727" s="1758"/>
      <c r="DA727" s="1758"/>
      <c r="DB727" s="1758"/>
      <c r="DC727" s="1758"/>
    </row>
    <row r="728" spans="1:107" s="1395" customFormat="1" ht="16.5" customHeight="1">
      <c r="A728" s="1758"/>
      <c r="B728" s="1758"/>
      <c r="C728" s="1758"/>
      <c r="D728" s="1758"/>
      <c r="E728" s="1758"/>
      <c r="F728" s="1758"/>
      <c r="G728" s="1758"/>
      <c r="H728" s="1758"/>
      <c r="I728" s="1758"/>
      <c r="J728" s="1758"/>
      <c r="K728" s="1758"/>
      <c r="L728" s="1758"/>
      <c r="M728" s="1758"/>
      <c r="N728" s="1758"/>
      <c r="O728" s="1758"/>
      <c r="P728" s="1758"/>
      <c r="Q728" s="1758"/>
      <c r="R728" s="1760"/>
      <c r="S728" s="1760"/>
      <c r="T728" s="10721" t="s">
        <v>356</v>
      </c>
      <c r="U728" s="10722"/>
      <c r="V728" s="10723"/>
      <c r="W728" s="1763"/>
      <c r="X728" s="2119" t="s">
        <v>357</v>
      </c>
      <c r="Y728" s="2120" t="str">
        <f>IF(Y725=$AA$710,"OK","NO")</f>
        <v>OK</v>
      </c>
      <c r="Z728" s="1763"/>
      <c r="AA728" s="1763"/>
      <c r="AB728" s="1840"/>
      <c r="AC728" s="1769"/>
      <c r="AD728" s="1758"/>
      <c r="AE728" s="1758"/>
      <c r="AF728" s="1758"/>
      <c r="AG728" s="1758"/>
      <c r="AH728" s="1758"/>
      <c r="AI728" s="1758"/>
      <c r="AJ728" s="1758"/>
      <c r="AK728" s="1758"/>
      <c r="AL728" s="1758"/>
      <c r="AM728" s="1758"/>
      <c r="AN728" s="1758"/>
      <c r="AO728" s="1758"/>
      <c r="AP728" s="1758"/>
      <c r="AQ728" s="1758"/>
      <c r="AR728" s="1758"/>
      <c r="AS728" s="1758"/>
      <c r="AT728" s="1758"/>
      <c r="AU728" s="1758"/>
      <c r="AV728" s="1758"/>
      <c r="AW728" s="1758"/>
      <c r="AX728" s="1758"/>
      <c r="AY728" s="1758"/>
      <c r="AZ728" s="1758"/>
      <c r="BA728" s="1758"/>
      <c r="BB728" s="1758"/>
      <c r="BC728" s="1758"/>
      <c r="BD728" s="1758"/>
      <c r="BE728" s="1758"/>
      <c r="BF728" s="1758"/>
      <c r="BG728" s="1758"/>
      <c r="BH728" s="1758"/>
      <c r="BI728" s="1758"/>
      <c r="BJ728" s="1758"/>
      <c r="BK728" s="1758"/>
      <c r="BL728" s="1758"/>
      <c r="BM728" s="1758"/>
      <c r="BN728" s="1758"/>
      <c r="BO728" s="1758"/>
      <c r="BP728" s="1758"/>
      <c r="BQ728" s="1758"/>
      <c r="BR728" s="1758"/>
      <c r="BS728" s="1758"/>
      <c r="BT728" s="1758"/>
      <c r="BU728" s="1758"/>
      <c r="BV728" s="1758"/>
      <c r="BW728" s="1758"/>
      <c r="BX728" s="1758"/>
      <c r="BY728" s="1758"/>
      <c r="BZ728" s="1758"/>
      <c r="CA728" s="1758"/>
      <c r="CB728" s="1758"/>
      <c r="CC728" s="1758"/>
      <c r="CD728" s="1758"/>
      <c r="CE728" s="1758"/>
      <c r="CF728" s="1758"/>
      <c r="CG728" s="1758"/>
      <c r="CH728" s="1758"/>
      <c r="CI728" s="1758"/>
      <c r="CJ728" s="1758"/>
      <c r="CK728" s="1758"/>
      <c r="CL728" s="1758"/>
      <c r="CM728" s="1758"/>
      <c r="CN728" s="1758"/>
      <c r="CO728" s="1758"/>
      <c r="CP728" s="1758"/>
      <c r="CQ728" s="1758"/>
      <c r="CR728" s="1758"/>
      <c r="CS728" s="1758"/>
      <c r="CT728" s="1758"/>
      <c r="CU728" s="1758"/>
      <c r="CV728" s="1758"/>
      <c r="CW728" s="1758"/>
      <c r="CX728" s="1758"/>
      <c r="CY728" s="1758"/>
      <c r="CZ728" s="1758"/>
      <c r="DA728" s="1758"/>
      <c r="DB728" s="1758"/>
      <c r="DC728" s="1758"/>
    </row>
    <row r="729" spans="1:107" s="1395" customFormat="1" ht="16.5" customHeight="1">
      <c r="A729" s="1758"/>
      <c r="B729" s="1758"/>
      <c r="C729" s="1758"/>
      <c r="D729" s="1758"/>
      <c r="E729" s="1758"/>
      <c r="F729" s="1758"/>
      <c r="G729" s="1758"/>
      <c r="H729" s="1758"/>
      <c r="I729" s="1758"/>
      <c r="J729" s="1758"/>
      <c r="K729" s="1758"/>
      <c r="L729" s="1758"/>
      <c r="M729" s="1758"/>
      <c r="N729" s="1758"/>
      <c r="O729" s="1758"/>
      <c r="P729" s="1758"/>
      <c r="Q729" s="1758"/>
      <c r="R729" s="1760"/>
      <c r="S729" s="1760"/>
      <c r="T729" s="5380" t="s">
        <v>5153</v>
      </c>
      <c r="U729" s="2915"/>
      <c r="V729" s="2916">
        <f>+Y717</f>
        <v>231.45920000000001</v>
      </c>
      <c r="W729" s="1763"/>
      <c r="X729" s="2120"/>
      <c r="Y729" s="2120" t="str">
        <f>IF(V733=$AA$710,"OK","NO")</f>
        <v>OK</v>
      </c>
      <c r="Z729" s="1763"/>
      <c r="AA729" s="1763"/>
      <c r="AB729" s="1840"/>
      <c r="AC729" s="1769"/>
      <c r="AD729" s="1758"/>
      <c r="AE729" s="1758"/>
      <c r="AF729" s="1758"/>
      <c r="AG729" s="1758"/>
      <c r="AH729" s="1758"/>
      <c r="AI729" s="1758"/>
      <c r="AJ729" s="1758"/>
      <c r="AK729" s="1758"/>
      <c r="AL729" s="1758"/>
      <c r="AM729" s="1758"/>
      <c r="AN729" s="1758"/>
      <c r="AO729" s="1758"/>
      <c r="AP729" s="1758"/>
      <c r="AQ729" s="1758"/>
      <c r="AR729" s="1758"/>
      <c r="AS729" s="1758"/>
      <c r="AT729" s="1758"/>
      <c r="AU729" s="1758"/>
      <c r="AV729" s="1758"/>
      <c r="AW729" s="1758"/>
      <c r="AX729" s="1758"/>
      <c r="AY729" s="1758"/>
      <c r="AZ729" s="1758"/>
      <c r="BA729" s="1758"/>
      <c r="BB729" s="1758"/>
      <c r="BC729" s="1758"/>
      <c r="BD729" s="1758"/>
      <c r="BE729" s="1758"/>
      <c r="BF729" s="1758"/>
      <c r="BG729" s="1758"/>
      <c r="BH729" s="1758"/>
      <c r="BI729" s="1758"/>
      <c r="BJ729" s="1758"/>
      <c r="BK729" s="1758"/>
      <c r="BL729" s="1758"/>
      <c r="BM729" s="1758"/>
      <c r="BN729" s="1758"/>
      <c r="BO729" s="1758"/>
      <c r="BP729" s="1758"/>
      <c r="BQ729" s="1758"/>
      <c r="BR729" s="1758"/>
      <c r="BS729" s="1758"/>
      <c r="BT729" s="1758"/>
      <c r="BU729" s="1758"/>
      <c r="BV729" s="1758"/>
      <c r="BW729" s="1758"/>
      <c r="BX729" s="1758"/>
      <c r="BY729" s="1758"/>
      <c r="BZ729" s="1758"/>
      <c r="CA729" s="1758"/>
      <c r="CB729" s="1758"/>
      <c r="CC729" s="1758"/>
      <c r="CD729" s="1758"/>
      <c r="CE729" s="1758"/>
      <c r="CF729" s="1758"/>
      <c r="CG729" s="1758"/>
      <c r="CH729" s="1758"/>
      <c r="CI729" s="1758"/>
      <c r="CJ729" s="1758"/>
      <c r="CK729" s="1758"/>
      <c r="CL729" s="1758"/>
      <c r="CM729" s="1758"/>
      <c r="CN729" s="1758"/>
      <c r="CO729" s="1758"/>
      <c r="CP729" s="1758"/>
      <c r="CQ729" s="1758"/>
      <c r="CR729" s="1758"/>
      <c r="CS729" s="1758"/>
      <c r="CT729" s="1758"/>
      <c r="CU729" s="1758"/>
      <c r="CV729" s="1758"/>
      <c r="CW729" s="1758"/>
      <c r="CX729" s="1758"/>
      <c r="CY729" s="1758"/>
      <c r="CZ729" s="1758"/>
      <c r="DA729" s="1758"/>
      <c r="DB729" s="1758"/>
      <c r="DC729" s="1758"/>
    </row>
    <row r="730" spans="1:107" s="1395" customFormat="1" ht="16.5" customHeight="1">
      <c r="A730" s="1758"/>
      <c r="B730" s="1758"/>
      <c r="C730" s="1758"/>
      <c r="D730" s="1758"/>
      <c r="E730" s="1758"/>
      <c r="F730" s="1758"/>
      <c r="G730" s="1758"/>
      <c r="H730" s="1758"/>
      <c r="I730" s="1758"/>
      <c r="J730" s="1758"/>
      <c r="K730" s="1758"/>
      <c r="L730" s="1758"/>
      <c r="M730" s="1758"/>
      <c r="N730" s="1758"/>
      <c r="O730" s="1758"/>
      <c r="P730" s="1758"/>
      <c r="Q730" s="1758"/>
      <c r="R730" s="1760"/>
      <c r="S730" s="1760"/>
      <c r="T730" s="5381" t="s">
        <v>5154</v>
      </c>
      <c r="U730" s="1425"/>
      <c r="V730" s="2917">
        <f>+Y719+Y720</f>
        <v>6500</v>
      </c>
      <c r="W730" s="1763"/>
      <c r="X730" s="2120"/>
      <c r="Y730" s="2120" t="str">
        <f>IF(V740=$AA$710,"OK","NO")</f>
        <v>OK</v>
      </c>
      <c r="Z730" s="1765"/>
      <c r="AA730" s="1763"/>
      <c r="AB730" s="1840"/>
      <c r="AC730" s="1769"/>
      <c r="AD730" s="1758"/>
      <c r="AE730" s="1758"/>
      <c r="AF730" s="1758"/>
      <c r="AG730" s="1758"/>
      <c r="AH730" s="1758"/>
      <c r="AI730" s="1758"/>
      <c r="AJ730" s="1758"/>
      <c r="AK730" s="1758"/>
      <c r="AL730" s="1758"/>
      <c r="AM730" s="1758"/>
      <c r="AN730" s="1758"/>
      <c r="AO730" s="1758"/>
      <c r="AP730" s="1758"/>
      <c r="AQ730" s="1758"/>
      <c r="AR730" s="1758"/>
      <c r="AS730" s="1758"/>
      <c r="AT730" s="1758"/>
      <c r="AU730" s="1758"/>
      <c r="AV730" s="1758"/>
      <c r="AW730" s="1758"/>
      <c r="AX730" s="1758"/>
      <c r="AY730" s="1758"/>
      <c r="AZ730" s="1758"/>
      <c r="BA730" s="1758"/>
      <c r="BB730" s="1758"/>
      <c r="BC730" s="1758"/>
      <c r="BD730" s="1758"/>
      <c r="BE730" s="1758"/>
      <c r="BF730" s="1758"/>
      <c r="BG730" s="1758"/>
      <c r="BH730" s="1758"/>
      <c r="BI730" s="1758"/>
      <c r="BJ730" s="1758"/>
      <c r="BK730" s="1758"/>
      <c r="BL730" s="1758"/>
      <c r="BM730" s="1758"/>
      <c r="BN730" s="1758"/>
      <c r="BO730" s="1758"/>
      <c r="BP730" s="1758"/>
      <c r="BQ730" s="1758"/>
      <c r="BR730" s="1758"/>
      <c r="BS730" s="1758"/>
      <c r="BT730" s="1758"/>
      <c r="BU730" s="1758"/>
      <c r="BV730" s="1758"/>
      <c r="BW730" s="1758"/>
      <c r="BX730" s="1758"/>
      <c r="BY730" s="1758"/>
      <c r="BZ730" s="1758"/>
      <c r="CA730" s="1758"/>
      <c r="CB730" s="1758"/>
      <c r="CC730" s="1758"/>
      <c r="CD730" s="1758"/>
      <c r="CE730" s="1758"/>
      <c r="CF730" s="1758"/>
      <c r="CG730" s="1758"/>
      <c r="CH730" s="1758"/>
      <c r="CI730" s="1758"/>
      <c r="CJ730" s="1758"/>
      <c r="CK730" s="1758"/>
      <c r="CL730" s="1758"/>
      <c r="CM730" s="1758"/>
      <c r="CN730" s="1758"/>
      <c r="CO730" s="1758"/>
      <c r="CP730" s="1758"/>
      <c r="CQ730" s="1758"/>
      <c r="CR730" s="1758"/>
      <c r="CS730" s="1758"/>
      <c r="CT730" s="1758"/>
      <c r="CU730" s="1758"/>
      <c r="CV730" s="1758"/>
      <c r="CW730" s="1758"/>
      <c r="CX730" s="1758"/>
      <c r="CY730" s="1758"/>
      <c r="CZ730" s="1758"/>
      <c r="DA730" s="1758"/>
      <c r="DB730" s="1758"/>
      <c r="DC730" s="1758"/>
    </row>
    <row r="731" spans="1:107" s="1395" customFormat="1" ht="16.5" customHeight="1">
      <c r="A731" s="1758"/>
      <c r="B731" s="1758"/>
      <c r="C731" s="1758"/>
      <c r="D731" s="1758"/>
      <c r="E731" s="1758"/>
      <c r="F731" s="1758"/>
      <c r="G731" s="1758"/>
      <c r="H731" s="1758"/>
      <c r="I731" s="1758"/>
      <c r="J731" s="1758"/>
      <c r="K731" s="1758"/>
      <c r="L731" s="1758"/>
      <c r="M731" s="1758"/>
      <c r="N731" s="1758"/>
      <c r="O731" s="1758"/>
      <c r="P731" s="1758"/>
      <c r="Q731" s="1758"/>
      <c r="R731" s="1760"/>
      <c r="S731" s="1760"/>
      <c r="T731" s="5381" t="s">
        <v>5155</v>
      </c>
      <c r="U731" s="1426"/>
      <c r="V731" s="2917">
        <f>+Y716+Y718+Y721+Y722+Y723</f>
        <v>147089.74992</v>
      </c>
      <c r="W731" s="1763"/>
      <c r="X731" s="2120"/>
      <c r="Y731" s="2120" t="str">
        <f>IF(Resumen!C422=$AA$710,"OK","NO")</f>
        <v>OK</v>
      </c>
      <c r="Z731" s="1765"/>
      <c r="AA731" s="1763"/>
      <c r="AB731" s="1840"/>
      <c r="AC731" s="1769"/>
      <c r="AD731" s="1758"/>
      <c r="AE731" s="1758"/>
      <c r="AF731" s="1758"/>
      <c r="AG731" s="1758"/>
      <c r="AH731" s="1758"/>
      <c r="AI731" s="1758"/>
      <c r="AJ731" s="1758"/>
      <c r="AK731" s="1758"/>
      <c r="AL731" s="1758"/>
      <c r="AM731" s="1758"/>
      <c r="AN731" s="1758"/>
      <c r="AO731" s="1758"/>
      <c r="AP731" s="1758"/>
      <c r="AQ731" s="1758"/>
      <c r="AR731" s="1758"/>
      <c r="AS731" s="1758"/>
      <c r="AT731" s="1758"/>
      <c r="AU731" s="1758"/>
      <c r="AV731" s="1758"/>
      <c r="AW731" s="1758"/>
      <c r="AX731" s="1758"/>
      <c r="AY731" s="1758"/>
      <c r="AZ731" s="1758"/>
      <c r="BA731" s="1758"/>
      <c r="BB731" s="1758"/>
      <c r="BC731" s="1758"/>
      <c r="BD731" s="1758"/>
      <c r="BE731" s="1758"/>
      <c r="BF731" s="1758"/>
      <c r="BG731" s="1758"/>
      <c r="BH731" s="1758"/>
      <c r="BI731" s="1758"/>
      <c r="BJ731" s="1758"/>
      <c r="BK731" s="1758"/>
      <c r="BL731" s="1758"/>
      <c r="BM731" s="1758"/>
      <c r="BN731" s="1758"/>
      <c r="BO731" s="1758"/>
      <c r="BP731" s="1758"/>
      <c r="BQ731" s="1758"/>
      <c r="BR731" s="1758"/>
      <c r="BS731" s="1758"/>
      <c r="BT731" s="1758"/>
      <c r="BU731" s="1758"/>
      <c r="BV731" s="1758"/>
      <c r="BW731" s="1758"/>
      <c r="BX731" s="1758"/>
      <c r="BY731" s="1758"/>
      <c r="BZ731" s="1758"/>
      <c r="CA731" s="1758"/>
      <c r="CB731" s="1758"/>
      <c r="CC731" s="1758"/>
      <c r="CD731" s="1758"/>
      <c r="CE731" s="1758"/>
      <c r="CF731" s="1758"/>
      <c r="CG731" s="1758"/>
      <c r="CH731" s="1758"/>
      <c r="CI731" s="1758"/>
      <c r="CJ731" s="1758"/>
      <c r="CK731" s="1758"/>
      <c r="CL731" s="1758"/>
      <c r="CM731" s="1758"/>
      <c r="CN731" s="1758"/>
      <c r="CO731" s="1758"/>
      <c r="CP731" s="1758"/>
      <c r="CQ731" s="1758"/>
      <c r="CR731" s="1758"/>
      <c r="CS731" s="1758"/>
      <c r="CT731" s="1758"/>
      <c r="CU731" s="1758"/>
      <c r="CV731" s="1758"/>
      <c r="CW731" s="1758"/>
      <c r="CX731" s="1758"/>
      <c r="CY731" s="1758"/>
      <c r="CZ731" s="1758"/>
      <c r="DA731" s="1758"/>
      <c r="DB731" s="1758"/>
      <c r="DC731" s="1758"/>
    </row>
    <row r="732" spans="1:107" s="1395" customFormat="1" ht="16.5" customHeight="1">
      <c r="A732" s="1758"/>
      <c r="B732" s="1758"/>
      <c r="C732" s="1758"/>
      <c r="D732" s="1758"/>
      <c r="E732" s="1758"/>
      <c r="F732" s="1758"/>
      <c r="G732" s="1758"/>
      <c r="H732" s="1758"/>
      <c r="I732" s="1758"/>
      <c r="J732" s="1758"/>
      <c r="K732" s="1758"/>
      <c r="L732" s="1758"/>
      <c r="M732" s="1758"/>
      <c r="N732" s="1758"/>
      <c r="O732" s="1758"/>
      <c r="P732" s="1758"/>
      <c r="Q732" s="1758"/>
      <c r="R732" s="1760"/>
      <c r="S732" s="1760"/>
      <c r="T732" s="5381" t="s">
        <v>5156</v>
      </c>
      <c r="U732" s="1426"/>
      <c r="V732" s="2918">
        <f>+Y724</f>
        <v>349.05000000000291</v>
      </c>
      <c r="W732" s="1772"/>
      <c r="X732" s="2121"/>
      <c r="Y732" s="1758"/>
      <c r="Z732" s="1772"/>
      <c r="AA732" s="1763"/>
      <c r="AB732" s="1840"/>
      <c r="AC732" s="1769"/>
      <c r="AD732" s="1758"/>
      <c r="AE732" s="1758"/>
      <c r="AF732" s="1758"/>
      <c r="AG732" s="1758"/>
      <c r="AH732" s="1758"/>
      <c r="AI732" s="1758"/>
      <c r="AJ732" s="1758"/>
      <c r="AK732" s="1758"/>
      <c r="AL732" s="1758"/>
      <c r="AM732" s="1758"/>
      <c r="AN732" s="1758"/>
      <c r="AO732" s="1758"/>
      <c r="AP732" s="1758"/>
      <c r="AQ732" s="1758"/>
      <c r="AR732" s="1758"/>
      <c r="AS732" s="1758"/>
      <c r="AT732" s="1758"/>
      <c r="AU732" s="1758"/>
      <c r="AV732" s="1758"/>
      <c r="AW732" s="1758"/>
      <c r="AX732" s="1758"/>
      <c r="AY732" s="1758"/>
      <c r="AZ732" s="1758"/>
      <c r="BA732" s="1758"/>
      <c r="BB732" s="1758"/>
      <c r="BC732" s="1758"/>
      <c r="BD732" s="1758"/>
      <c r="BE732" s="1758"/>
      <c r="BF732" s="1758"/>
      <c r="BG732" s="1758"/>
      <c r="BH732" s="1758"/>
      <c r="BI732" s="1758"/>
      <c r="BJ732" s="1758"/>
      <c r="BK732" s="1758"/>
      <c r="BL732" s="1758"/>
      <c r="BM732" s="1758"/>
      <c r="BN732" s="1758"/>
      <c r="BO732" s="1758"/>
      <c r="BP732" s="1758"/>
      <c r="BQ732" s="1758"/>
      <c r="BR732" s="1758"/>
      <c r="BS732" s="1758"/>
      <c r="BT732" s="1758"/>
      <c r="BU732" s="1758"/>
      <c r="BV732" s="1758"/>
      <c r="BW732" s="1758"/>
      <c r="BX732" s="1758"/>
      <c r="BY732" s="1758"/>
      <c r="BZ732" s="1758"/>
      <c r="CA732" s="1758"/>
      <c r="CB732" s="1758"/>
      <c r="CC732" s="1758"/>
      <c r="CD732" s="1758"/>
      <c r="CE732" s="1758"/>
      <c r="CF732" s="1758"/>
      <c r="CG732" s="1758"/>
      <c r="CH732" s="1758"/>
      <c r="CI732" s="1758"/>
      <c r="CJ732" s="1758"/>
      <c r="CK732" s="1758"/>
      <c r="CL732" s="1758"/>
      <c r="CM732" s="1758"/>
      <c r="CN732" s="1758"/>
      <c r="CO732" s="1758"/>
      <c r="CP732" s="1758"/>
      <c r="CQ732" s="1758"/>
      <c r="CR732" s="1758"/>
      <c r="CS732" s="1758"/>
      <c r="CT732" s="1758"/>
      <c r="CU732" s="1758"/>
      <c r="CV732" s="1758"/>
      <c r="CW732" s="1758"/>
      <c r="CX732" s="1758"/>
      <c r="CY732" s="1758"/>
      <c r="CZ732" s="1758"/>
      <c r="DA732" s="1758"/>
      <c r="DB732" s="1758"/>
      <c r="DC732" s="1758"/>
    </row>
    <row r="733" spans="1:107" s="1395" customFormat="1" ht="16.5" customHeight="1">
      <c r="A733" s="1758"/>
      <c r="B733" s="1758"/>
      <c r="C733" s="1758"/>
      <c r="D733" s="1758"/>
      <c r="E733" s="1758"/>
      <c r="F733" s="1758"/>
      <c r="G733" s="1758"/>
      <c r="H733" s="1758"/>
      <c r="I733" s="1758"/>
      <c r="J733" s="1758"/>
      <c r="K733" s="1758"/>
      <c r="L733" s="1758"/>
      <c r="M733" s="1758"/>
      <c r="N733" s="1758"/>
      <c r="O733" s="1758"/>
      <c r="P733" s="1758"/>
      <c r="Q733" s="1758"/>
      <c r="R733" s="1760"/>
      <c r="S733" s="1760"/>
      <c r="T733" s="5382" t="s">
        <v>67</v>
      </c>
      <c r="U733" s="2919"/>
      <c r="V733" s="2920">
        <f>SUM(V729:V732)</f>
        <v>154170.25912</v>
      </c>
      <c r="W733" s="1772"/>
      <c r="X733" s="1765"/>
      <c r="Y733" s="1765"/>
      <c r="Z733" s="1763"/>
      <c r="AA733" s="1763"/>
      <c r="AB733" s="1840"/>
      <c r="AC733" s="1769"/>
      <c r="AD733" s="1758"/>
      <c r="AE733" s="1758"/>
      <c r="AF733" s="1758"/>
      <c r="AG733" s="1758"/>
      <c r="AH733" s="1758"/>
      <c r="AI733" s="1758"/>
      <c r="AJ733" s="1758"/>
      <c r="AK733" s="1758"/>
      <c r="AL733" s="1758"/>
      <c r="AM733" s="1758"/>
      <c r="AN733" s="1758"/>
      <c r="AO733" s="1758"/>
      <c r="AP733" s="1758"/>
      <c r="AQ733" s="1758"/>
      <c r="AR733" s="1758"/>
      <c r="AS733" s="1758"/>
      <c r="AT733" s="1758"/>
      <c r="AU733" s="1758"/>
      <c r="AV733" s="1758"/>
      <c r="AW733" s="1758"/>
      <c r="AX733" s="1758"/>
      <c r="AY733" s="1758"/>
      <c r="AZ733" s="1758"/>
      <c r="BA733" s="1758"/>
      <c r="BB733" s="1758"/>
      <c r="BC733" s="1758"/>
      <c r="BD733" s="1758"/>
      <c r="BE733" s="1758"/>
      <c r="BF733" s="1758"/>
      <c r="BG733" s="1758"/>
      <c r="BH733" s="1758"/>
      <c r="BI733" s="1758"/>
      <c r="BJ733" s="1758"/>
      <c r="BK733" s="1758"/>
      <c r="BL733" s="1758"/>
      <c r="BM733" s="1758"/>
      <c r="BN733" s="1758"/>
      <c r="BO733" s="1758"/>
      <c r="BP733" s="1758"/>
      <c r="BQ733" s="1758"/>
      <c r="BR733" s="1758"/>
      <c r="BS733" s="1758"/>
      <c r="BT733" s="1758"/>
      <c r="BU733" s="1758"/>
      <c r="BV733" s="1758"/>
      <c r="BW733" s="1758"/>
      <c r="BX733" s="1758"/>
      <c r="BY733" s="1758"/>
      <c r="BZ733" s="1758"/>
      <c r="CA733" s="1758"/>
      <c r="CB733" s="1758"/>
      <c r="CC733" s="1758"/>
      <c r="CD733" s="1758"/>
      <c r="CE733" s="1758"/>
      <c r="CF733" s="1758"/>
      <c r="CG733" s="1758"/>
      <c r="CH733" s="1758"/>
      <c r="CI733" s="1758"/>
      <c r="CJ733" s="1758"/>
      <c r="CK733" s="1758"/>
      <c r="CL733" s="1758"/>
      <c r="CM733" s="1758"/>
      <c r="CN733" s="1758"/>
      <c r="CO733" s="1758"/>
      <c r="CP733" s="1758"/>
      <c r="CQ733" s="1758"/>
      <c r="CR733" s="1758"/>
      <c r="CS733" s="1758"/>
      <c r="CT733" s="1758"/>
      <c r="CU733" s="1758"/>
      <c r="CV733" s="1758"/>
      <c r="CW733" s="1758"/>
      <c r="CX733" s="1758"/>
      <c r="CY733" s="1758"/>
      <c r="CZ733" s="1758"/>
      <c r="DA733" s="1758"/>
      <c r="DB733" s="1758"/>
      <c r="DC733" s="1758"/>
    </row>
    <row r="734" spans="1:107" s="1395" customFormat="1" ht="16.5" customHeight="1">
      <c r="A734" s="1758"/>
      <c r="B734" s="1758"/>
      <c r="C734" s="1758"/>
      <c r="D734" s="1758"/>
      <c r="E734" s="1758"/>
      <c r="F734" s="1758"/>
      <c r="G734" s="1758"/>
      <c r="H734" s="1758"/>
      <c r="I734" s="1758"/>
      <c r="J734" s="1758"/>
      <c r="K734" s="1758"/>
      <c r="L734" s="1758"/>
      <c r="M734" s="1758"/>
      <c r="N734" s="1758"/>
      <c r="O734" s="1758"/>
      <c r="P734" s="1758"/>
      <c r="Q734" s="1758"/>
      <c r="R734" s="1760"/>
      <c r="S734" s="1760"/>
      <c r="T734" s="10724" t="s">
        <v>362</v>
      </c>
      <c r="U734" s="10725"/>
      <c r="V734" s="10726"/>
      <c r="W734" s="1763"/>
      <c r="X734" s="1763"/>
      <c r="Y734" s="1763"/>
      <c r="Z734" s="1763"/>
      <c r="AA734" s="1763"/>
      <c r="AB734" s="1840"/>
      <c r="AC734" s="1769"/>
      <c r="AD734" s="1758"/>
      <c r="AE734" s="1758"/>
      <c r="AF734" s="1758"/>
      <c r="AG734" s="1758"/>
      <c r="AH734" s="1758"/>
      <c r="AI734" s="1758"/>
      <c r="AJ734" s="1758"/>
      <c r="AK734" s="1758"/>
      <c r="AL734" s="1758"/>
      <c r="AM734" s="1758"/>
      <c r="AN734" s="1758"/>
      <c r="AO734" s="1758"/>
      <c r="AP734" s="1758"/>
      <c r="AQ734" s="1758"/>
      <c r="AR734" s="1758"/>
      <c r="AS734" s="1758"/>
      <c r="AT734" s="1758"/>
      <c r="AU734" s="1758"/>
      <c r="AV734" s="1758"/>
      <c r="AW734" s="1758"/>
      <c r="AX734" s="1758"/>
      <c r="AY734" s="1758"/>
      <c r="AZ734" s="1758"/>
      <c r="BA734" s="1758"/>
      <c r="BB734" s="1758"/>
      <c r="BC734" s="1758"/>
      <c r="BD734" s="1758"/>
      <c r="BE734" s="1758"/>
      <c r="BF734" s="1758"/>
      <c r="BG734" s="1758"/>
      <c r="BH734" s="1758"/>
      <c r="BI734" s="1758"/>
      <c r="BJ734" s="1758"/>
      <c r="BK734" s="1758"/>
      <c r="BL734" s="1758"/>
      <c r="BM734" s="1758"/>
      <c r="BN734" s="1758"/>
      <c r="BO734" s="1758"/>
      <c r="BP734" s="1758"/>
      <c r="BQ734" s="1758"/>
      <c r="BR734" s="1758"/>
      <c r="BS734" s="1758"/>
      <c r="BT734" s="1758"/>
      <c r="BU734" s="1758"/>
      <c r="BV734" s="1758"/>
      <c r="BW734" s="1758"/>
      <c r="BX734" s="1758"/>
      <c r="BY734" s="1758"/>
      <c r="BZ734" s="1758"/>
      <c r="CA734" s="1758"/>
      <c r="CB734" s="1758"/>
      <c r="CC734" s="1758"/>
      <c r="CD734" s="1758"/>
      <c r="CE734" s="1758"/>
      <c r="CF734" s="1758"/>
      <c r="CG734" s="1758"/>
      <c r="CH734" s="1758"/>
      <c r="CI734" s="1758"/>
      <c r="CJ734" s="1758"/>
      <c r="CK734" s="1758"/>
      <c r="CL734" s="1758"/>
      <c r="CM734" s="1758"/>
      <c r="CN734" s="1758"/>
      <c r="CO734" s="1758"/>
      <c r="CP734" s="1758"/>
      <c r="CQ734" s="1758"/>
      <c r="CR734" s="1758"/>
      <c r="CS734" s="1758"/>
      <c r="CT734" s="1758"/>
      <c r="CU734" s="1758"/>
      <c r="CV734" s="1758"/>
      <c r="CW734" s="1758"/>
      <c r="CX734" s="1758"/>
      <c r="CY734" s="1758"/>
      <c r="CZ734" s="1758"/>
      <c r="DA734" s="1758"/>
      <c r="DB734" s="1758"/>
      <c r="DC734" s="1758"/>
    </row>
    <row r="735" spans="1:107" s="1395" customFormat="1" ht="16.5" customHeight="1">
      <c r="A735" s="1758"/>
      <c r="B735" s="1758"/>
      <c r="C735" s="1758"/>
      <c r="D735" s="1758"/>
      <c r="E735" s="1758"/>
      <c r="F735" s="1758"/>
      <c r="G735" s="1758"/>
      <c r="H735" s="1758"/>
      <c r="I735" s="1758"/>
      <c r="J735" s="1758"/>
      <c r="K735" s="1758"/>
      <c r="L735" s="1758"/>
      <c r="M735" s="1758"/>
      <c r="N735" s="1758"/>
      <c r="O735" s="1758"/>
      <c r="P735" s="1758"/>
      <c r="Q735" s="1758"/>
      <c r="R735" s="1760"/>
      <c r="S735" s="1760"/>
      <c r="T735" s="5876" t="s">
        <v>5157</v>
      </c>
      <c r="U735" s="2921"/>
      <c r="V735" s="2922">
        <f>+Y716+Y717+Y719+Y720</f>
        <v>8249.3392000000003</v>
      </c>
      <c r="W735" s="1763"/>
      <c r="X735" s="1763"/>
      <c r="Y735" s="1763"/>
      <c r="Z735" s="1763"/>
      <c r="AA735" s="1763"/>
      <c r="AB735" s="1840"/>
      <c r="AC735" s="1769"/>
      <c r="AD735" s="1758"/>
      <c r="AE735" s="1758"/>
      <c r="AF735" s="1758"/>
      <c r="AG735" s="1758"/>
      <c r="AH735" s="1758"/>
      <c r="AI735" s="1758"/>
      <c r="AJ735" s="1758"/>
      <c r="AK735" s="1758"/>
      <c r="AL735" s="1758"/>
      <c r="AM735" s="1758"/>
      <c r="AN735" s="1758"/>
      <c r="AO735" s="1758"/>
      <c r="AP735" s="1758"/>
      <c r="AQ735" s="1758"/>
      <c r="AR735" s="1758"/>
      <c r="AS735" s="1758"/>
      <c r="AT735" s="1758"/>
      <c r="AU735" s="1758"/>
      <c r="AV735" s="1758"/>
      <c r="AW735" s="1758"/>
      <c r="AX735" s="1758"/>
      <c r="AY735" s="1758"/>
      <c r="AZ735" s="1758"/>
      <c r="BA735" s="1758"/>
      <c r="BB735" s="1758"/>
      <c r="BC735" s="1758"/>
      <c r="BD735" s="1758"/>
      <c r="BE735" s="1758"/>
      <c r="BF735" s="1758"/>
      <c r="BG735" s="1758"/>
      <c r="BH735" s="1758"/>
      <c r="BI735" s="1758"/>
      <c r="BJ735" s="1758"/>
      <c r="BK735" s="1758"/>
      <c r="BL735" s="1758"/>
      <c r="BM735" s="1758"/>
      <c r="BN735" s="1758"/>
      <c r="BO735" s="1758"/>
      <c r="BP735" s="1758"/>
      <c r="BQ735" s="1758"/>
      <c r="BR735" s="1758"/>
      <c r="BS735" s="1758"/>
      <c r="BT735" s="1758"/>
      <c r="BU735" s="1758"/>
      <c r="BV735" s="1758"/>
      <c r="BW735" s="1758"/>
      <c r="BX735" s="1758"/>
      <c r="BY735" s="1758"/>
      <c r="BZ735" s="1758"/>
      <c r="CA735" s="1758"/>
      <c r="CB735" s="1758"/>
      <c r="CC735" s="1758"/>
      <c r="CD735" s="1758"/>
      <c r="CE735" s="1758"/>
      <c r="CF735" s="1758"/>
      <c r="CG735" s="1758"/>
      <c r="CH735" s="1758"/>
      <c r="CI735" s="1758"/>
      <c r="CJ735" s="1758"/>
      <c r="CK735" s="1758"/>
      <c r="CL735" s="1758"/>
      <c r="CM735" s="1758"/>
      <c r="CN735" s="1758"/>
      <c r="CO735" s="1758"/>
      <c r="CP735" s="1758"/>
      <c r="CQ735" s="1758"/>
      <c r="CR735" s="1758"/>
      <c r="CS735" s="1758"/>
      <c r="CT735" s="1758"/>
      <c r="CU735" s="1758"/>
      <c r="CV735" s="1758"/>
      <c r="CW735" s="1758"/>
      <c r="CX735" s="1758"/>
      <c r="CY735" s="1758"/>
      <c r="CZ735" s="1758"/>
      <c r="DA735" s="1758"/>
      <c r="DB735" s="1758"/>
      <c r="DC735" s="1758"/>
    </row>
    <row r="736" spans="1:107" s="1395" customFormat="1" ht="16.5" customHeight="1">
      <c r="A736" s="1758"/>
      <c r="B736" s="1758"/>
      <c r="C736" s="1758"/>
      <c r="D736" s="1758"/>
      <c r="E736" s="1758"/>
      <c r="F736" s="1758"/>
      <c r="G736" s="1758"/>
      <c r="H736" s="1758"/>
      <c r="I736" s="1758"/>
      <c r="J736" s="1758"/>
      <c r="K736" s="1758"/>
      <c r="L736" s="1758"/>
      <c r="M736" s="1758"/>
      <c r="N736" s="1758"/>
      <c r="O736" s="1758"/>
      <c r="P736" s="1758"/>
      <c r="Q736" s="1758"/>
      <c r="R736" s="1760"/>
      <c r="S736" s="1760"/>
      <c r="T736" s="5877" t="s">
        <v>5158</v>
      </c>
      <c r="U736" s="1427"/>
      <c r="V736" s="2923">
        <v>0</v>
      </c>
      <c r="W736" s="1758"/>
      <c r="X736" s="1763"/>
      <c r="Y736" s="1763"/>
      <c r="Z736" s="1763"/>
      <c r="AA736" s="1763"/>
      <c r="AB736" s="1840"/>
      <c r="AC736" s="1769"/>
      <c r="AD736" s="1758"/>
      <c r="AE736" s="1758"/>
      <c r="AF736" s="1758"/>
      <c r="AG736" s="1758"/>
      <c r="AH736" s="1758"/>
      <c r="AI736" s="1758"/>
      <c r="AJ736" s="1758"/>
      <c r="AK736" s="1758"/>
      <c r="AL736" s="1758"/>
      <c r="AM736" s="1758"/>
      <c r="AN736" s="1758"/>
      <c r="AO736" s="1758"/>
      <c r="AP736" s="1758"/>
      <c r="AQ736" s="1758"/>
      <c r="AR736" s="1758"/>
      <c r="AS736" s="1758"/>
      <c r="AT736" s="1758"/>
      <c r="AU736" s="1758"/>
      <c r="AV736" s="1758"/>
      <c r="AW736" s="1758"/>
      <c r="AX736" s="1758"/>
      <c r="AY736" s="1758"/>
      <c r="AZ736" s="1758"/>
      <c r="BA736" s="1758"/>
      <c r="BB736" s="1758"/>
      <c r="BC736" s="1758"/>
      <c r="BD736" s="1758"/>
      <c r="BE736" s="1758"/>
      <c r="BF736" s="1758"/>
      <c r="BG736" s="1758"/>
      <c r="BH736" s="1758"/>
      <c r="BI736" s="1758"/>
      <c r="BJ736" s="1758"/>
      <c r="BK736" s="1758"/>
      <c r="BL736" s="1758"/>
      <c r="BM736" s="1758"/>
      <c r="BN736" s="1758"/>
      <c r="BO736" s="1758"/>
      <c r="BP736" s="1758"/>
      <c r="BQ736" s="1758"/>
      <c r="BR736" s="1758"/>
      <c r="BS736" s="1758"/>
      <c r="BT736" s="1758"/>
      <c r="BU736" s="1758"/>
      <c r="BV736" s="1758"/>
      <c r="BW736" s="1758"/>
      <c r="BX736" s="1758"/>
      <c r="BY736" s="1758"/>
      <c r="BZ736" s="1758"/>
      <c r="CA736" s="1758"/>
      <c r="CB736" s="1758"/>
      <c r="CC736" s="1758"/>
      <c r="CD736" s="1758"/>
      <c r="CE736" s="1758"/>
      <c r="CF736" s="1758"/>
      <c r="CG736" s="1758"/>
      <c r="CH736" s="1758"/>
      <c r="CI736" s="1758"/>
      <c r="CJ736" s="1758"/>
      <c r="CK736" s="1758"/>
      <c r="CL736" s="1758"/>
      <c r="CM736" s="1758"/>
      <c r="CN736" s="1758"/>
      <c r="CO736" s="1758"/>
      <c r="CP736" s="1758"/>
      <c r="CQ736" s="1758"/>
      <c r="CR736" s="1758"/>
      <c r="CS736" s="1758"/>
      <c r="CT736" s="1758"/>
      <c r="CU736" s="1758"/>
      <c r="CV736" s="1758"/>
      <c r="CW736" s="1758"/>
      <c r="CX736" s="1758"/>
      <c r="CY736" s="1758"/>
      <c r="CZ736" s="1758"/>
      <c r="DA736" s="1758"/>
      <c r="DB736" s="1758"/>
      <c r="DC736" s="1758"/>
    </row>
    <row r="737" spans="1:107" s="1395" customFormat="1" ht="16.5" customHeight="1">
      <c r="A737" s="1758"/>
      <c r="B737" s="1758"/>
      <c r="C737" s="1758"/>
      <c r="D737" s="1758"/>
      <c r="E737" s="1758"/>
      <c r="F737" s="1758"/>
      <c r="G737" s="1758"/>
      <c r="H737" s="1758"/>
      <c r="I737" s="1758"/>
      <c r="J737" s="1758"/>
      <c r="K737" s="1758"/>
      <c r="L737" s="1758"/>
      <c r="M737" s="1758"/>
      <c r="N737" s="1758"/>
      <c r="O737" s="1758"/>
      <c r="P737" s="1758"/>
      <c r="Q737" s="1758"/>
      <c r="R737" s="1760"/>
      <c r="S737" s="1760"/>
      <c r="T737" s="5878" t="s">
        <v>368</v>
      </c>
      <c r="U737" s="1427"/>
      <c r="V737" s="2923">
        <f>+Y724</f>
        <v>349.05000000000291</v>
      </c>
      <c r="W737" s="1758"/>
      <c r="X737" s="1763"/>
      <c r="Y737" s="1763"/>
      <c r="Z737" s="1763"/>
      <c r="AA737" s="1763"/>
      <c r="AB737" s="1840"/>
      <c r="AC737" s="1769"/>
      <c r="AD737" s="1758"/>
      <c r="AE737" s="1758"/>
      <c r="AF737" s="1758"/>
      <c r="AG737" s="1758"/>
      <c r="AH737" s="1758"/>
      <c r="AI737" s="1758"/>
      <c r="AJ737" s="1758"/>
      <c r="AK737" s="1758"/>
      <c r="AL737" s="1758"/>
      <c r="AM737" s="1758"/>
      <c r="AN737" s="1758"/>
      <c r="AO737" s="1758"/>
      <c r="AP737" s="1758"/>
      <c r="AQ737" s="1758"/>
      <c r="AR737" s="1758"/>
      <c r="AS737" s="1758"/>
      <c r="AT737" s="1758"/>
      <c r="AU737" s="1758"/>
      <c r="AV737" s="1758"/>
      <c r="AW737" s="1758"/>
      <c r="AX737" s="1758"/>
      <c r="AY737" s="1758"/>
      <c r="AZ737" s="1758"/>
      <c r="BA737" s="1758"/>
      <c r="BB737" s="1758"/>
      <c r="BC737" s="1758"/>
      <c r="BD737" s="1758"/>
      <c r="BE737" s="1758"/>
      <c r="BF737" s="1758"/>
      <c r="BG737" s="1758"/>
      <c r="BH737" s="1758"/>
      <c r="BI737" s="1758"/>
      <c r="BJ737" s="1758"/>
      <c r="BK737" s="1758"/>
      <c r="BL737" s="1758"/>
      <c r="BM737" s="1758"/>
      <c r="BN737" s="1758"/>
      <c r="BO737" s="1758"/>
      <c r="BP737" s="1758"/>
      <c r="BQ737" s="1758"/>
      <c r="BR737" s="1758"/>
      <c r="BS737" s="1758"/>
      <c r="BT737" s="1758"/>
      <c r="BU737" s="1758"/>
      <c r="BV737" s="1758"/>
      <c r="BW737" s="1758"/>
      <c r="BX737" s="1758"/>
      <c r="BY737" s="1758"/>
      <c r="BZ737" s="1758"/>
      <c r="CA737" s="1758"/>
      <c r="CB737" s="1758"/>
      <c r="CC737" s="1758"/>
      <c r="CD737" s="1758"/>
      <c r="CE737" s="1758"/>
      <c r="CF737" s="1758"/>
      <c r="CG737" s="1758"/>
      <c r="CH737" s="1758"/>
      <c r="CI737" s="1758"/>
      <c r="CJ737" s="1758"/>
      <c r="CK737" s="1758"/>
      <c r="CL737" s="1758"/>
      <c r="CM737" s="1758"/>
      <c r="CN737" s="1758"/>
      <c r="CO737" s="1758"/>
      <c r="CP737" s="1758"/>
      <c r="CQ737" s="1758"/>
      <c r="CR737" s="1758"/>
      <c r="CS737" s="1758"/>
      <c r="CT737" s="1758"/>
      <c r="CU737" s="1758"/>
      <c r="CV737" s="1758"/>
      <c r="CW737" s="1758"/>
      <c r="CX737" s="1758"/>
      <c r="CY737" s="1758"/>
      <c r="CZ737" s="1758"/>
      <c r="DA737" s="1758"/>
      <c r="DB737" s="1758"/>
      <c r="DC737" s="1758"/>
    </row>
    <row r="738" spans="1:107" s="1395" customFormat="1" ht="16.5" customHeight="1">
      <c r="A738" s="1758"/>
      <c r="B738" s="1758"/>
      <c r="C738" s="1758"/>
      <c r="D738" s="1758"/>
      <c r="E738" s="1758"/>
      <c r="F738" s="1758"/>
      <c r="G738" s="1758"/>
      <c r="H738" s="1758"/>
      <c r="I738" s="1758"/>
      <c r="J738" s="1758"/>
      <c r="K738" s="1758"/>
      <c r="L738" s="1758"/>
      <c r="M738" s="1758"/>
      <c r="N738" s="1758"/>
      <c r="O738" s="1758"/>
      <c r="P738" s="1758"/>
      <c r="Q738" s="1758"/>
      <c r="R738" s="1760"/>
      <c r="S738" s="1760"/>
      <c r="T738" s="5879" t="s">
        <v>5159</v>
      </c>
      <c r="U738" s="1427"/>
      <c r="V738" s="2923">
        <f>+Y718+Y721+Y722+Y723</f>
        <v>145571.86992</v>
      </c>
      <c r="W738" s="1758"/>
      <c r="X738" s="1763"/>
      <c r="Y738" s="1763"/>
      <c r="Z738" s="1763"/>
      <c r="AA738" s="1763"/>
      <c r="AB738" s="1840"/>
      <c r="AC738" s="1769"/>
      <c r="AD738" s="1758"/>
      <c r="AE738" s="1758"/>
      <c r="AF738" s="1758"/>
      <c r="AG738" s="1758"/>
      <c r="AH738" s="1758"/>
      <c r="AI738" s="1758"/>
      <c r="AJ738" s="1758"/>
      <c r="AK738" s="1758"/>
      <c r="AL738" s="1758"/>
      <c r="AM738" s="1758"/>
      <c r="AN738" s="1758"/>
      <c r="AO738" s="1758"/>
      <c r="AP738" s="1758"/>
      <c r="AQ738" s="1758"/>
      <c r="AR738" s="1758"/>
      <c r="AS738" s="1758"/>
      <c r="AT738" s="1758"/>
      <c r="AU738" s="1758"/>
      <c r="AV738" s="1758"/>
      <c r="AW738" s="1758"/>
      <c r="AX738" s="1758"/>
      <c r="AY738" s="1758"/>
      <c r="AZ738" s="1758"/>
      <c r="BA738" s="1758"/>
      <c r="BB738" s="1758"/>
      <c r="BC738" s="1758"/>
      <c r="BD738" s="1758"/>
      <c r="BE738" s="1758"/>
      <c r="BF738" s="1758"/>
      <c r="BG738" s="1758"/>
      <c r="BH738" s="1758"/>
      <c r="BI738" s="1758"/>
      <c r="BJ738" s="1758"/>
      <c r="BK738" s="1758"/>
      <c r="BL738" s="1758"/>
      <c r="BM738" s="1758"/>
      <c r="BN738" s="1758"/>
      <c r="BO738" s="1758"/>
      <c r="BP738" s="1758"/>
      <c r="BQ738" s="1758"/>
      <c r="BR738" s="1758"/>
      <c r="BS738" s="1758"/>
      <c r="BT738" s="1758"/>
      <c r="BU738" s="1758"/>
      <c r="BV738" s="1758"/>
      <c r="BW738" s="1758"/>
      <c r="BX738" s="1758"/>
      <c r="BY738" s="1758"/>
      <c r="BZ738" s="1758"/>
      <c r="CA738" s="1758"/>
      <c r="CB738" s="1758"/>
      <c r="CC738" s="1758"/>
      <c r="CD738" s="1758"/>
      <c r="CE738" s="1758"/>
      <c r="CF738" s="1758"/>
      <c r="CG738" s="1758"/>
      <c r="CH738" s="1758"/>
      <c r="CI738" s="1758"/>
      <c r="CJ738" s="1758"/>
      <c r="CK738" s="1758"/>
      <c r="CL738" s="1758"/>
      <c r="CM738" s="1758"/>
      <c r="CN738" s="1758"/>
      <c r="CO738" s="1758"/>
      <c r="CP738" s="1758"/>
      <c r="CQ738" s="1758"/>
      <c r="CR738" s="1758"/>
      <c r="CS738" s="1758"/>
      <c r="CT738" s="1758"/>
      <c r="CU738" s="1758"/>
      <c r="CV738" s="1758"/>
      <c r="CW738" s="1758"/>
      <c r="CX738" s="1758"/>
      <c r="CY738" s="1758"/>
      <c r="CZ738" s="1758"/>
      <c r="DA738" s="1758"/>
      <c r="DB738" s="1758"/>
      <c r="DC738" s="1758"/>
    </row>
    <row r="739" spans="1:107" s="1395" customFormat="1" ht="16.5" customHeight="1">
      <c r="A739" s="1758"/>
      <c r="B739" s="1758"/>
      <c r="C739" s="1758"/>
      <c r="D739" s="1758"/>
      <c r="E739" s="1758"/>
      <c r="F739" s="1758"/>
      <c r="G739" s="1758"/>
      <c r="H739" s="1758"/>
      <c r="I739" s="1758"/>
      <c r="J739" s="1758"/>
      <c r="K739" s="1758"/>
      <c r="L739" s="1758"/>
      <c r="M739" s="1758"/>
      <c r="N739" s="1758"/>
      <c r="O739" s="1758"/>
      <c r="P739" s="1758"/>
      <c r="Q739" s="1758"/>
      <c r="R739" s="1760"/>
      <c r="S739" s="1760"/>
      <c r="T739" s="5880" t="s">
        <v>5160</v>
      </c>
      <c r="U739" s="1427"/>
      <c r="V739" s="2924">
        <v>0</v>
      </c>
      <c r="W739" s="1758"/>
      <c r="X739" s="1763"/>
      <c r="Y739" s="1419"/>
      <c r="Z739" s="1763"/>
      <c r="AA739" s="1763"/>
      <c r="AB739" s="1840"/>
      <c r="AC739" s="1769"/>
      <c r="AD739" s="1758"/>
      <c r="AE739" s="1758"/>
      <c r="AF739" s="1758"/>
      <c r="AG739" s="1758"/>
      <c r="AH739" s="1758"/>
      <c r="AI739" s="1758"/>
      <c r="AJ739" s="1758"/>
      <c r="AK739" s="1758"/>
      <c r="AL739" s="1758"/>
      <c r="AM739" s="1758"/>
      <c r="AN739" s="1758"/>
      <c r="AO739" s="1758"/>
      <c r="AP739" s="1758"/>
      <c r="AQ739" s="1758"/>
      <c r="AR739" s="1758"/>
      <c r="AS739" s="1758"/>
      <c r="AT739" s="1758"/>
      <c r="AU739" s="1758"/>
      <c r="AV739" s="1758"/>
      <c r="AW739" s="1758"/>
      <c r="AX739" s="1758"/>
      <c r="AY739" s="1758"/>
      <c r="AZ739" s="1758"/>
      <c r="BA739" s="1758"/>
      <c r="BB739" s="1758"/>
      <c r="BC739" s="1758"/>
      <c r="BD739" s="1758"/>
      <c r="BE739" s="1758"/>
      <c r="BF739" s="1758"/>
      <c r="BG739" s="1758"/>
      <c r="BH739" s="1758"/>
      <c r="BI739" s="1758"/>
      <c r="BJ739" s="1758"/>
      <c r="BK739" s="1758"/>
      <c r="BL739" s="1758"/>
      <c r="BM739" s="1758"/>
      <c r="BN739" s="1758"/>
      <c r="BO739" s="1758"/>
      <c r="BP739" s="1758"/>
      <c r="BQ739" s="1758"/>
      <c r="BR739" s="1758"/>
      <c r="BS739" s="1758"/>
      <c r="BT739" s="1758"/>
      <c r="BU739" s="1758"/>
      <c r="BV739" s="1758"/>
      <c r="BW739" s="1758"/>
      <c r="BX739" s="1758"/>
      <c r="BY739" s="1758"/>
      <c r="BZ739" s="1758"/>
      <c r="CA739" s="1758"/>
      <c r="CB739" s="1758"/>
      <c r="CC739" s="1758"/>
      <c r="CD739" s="1758"/>
      <c r="CE739" s="1758"/>
      <c r="CF739" s="1758"/>
      <c r="CG739" s="1758"/>
      <c r="CH739" s="1758"/>
      <c r="CI739" s="1758"/>
      <c r="CJ739" s="1758"/>
      <c r="CK739" s="1758"/>
      <c r="CL739" s="1758"/>
      <c r="CM739" s="1758"/>
      <c r="CN739" s="1758"/>
      <c r="CO739" s="1758"/>
      <c r="CP739" s="1758"/>
      <c r="CQ739" s="1758"/>
      <c r="CR739" s="1758"/>
      <c r="CS739" s="1758"/>
      <c r="CT739" s="1758"/>
      <c r="CU739" s="1758"/>
      <c r="CV739" s="1758"/>
      <c r="CW739" s="1758"/>
      <c r="CX739" s="1758"/>
      <c r="CY739" s="1758"/>
      <c r="CZ739" s="1758"/>
      <c r="DA739" s="1758"/>
      <c r="DB739" s="1758"/>
      <c r="DC739" s="1758"/>
    </row>
    <row r="740" spans="1:107" s="1395" customFormat="1" ht="16.5" customHeight="1">
      <c r="A740" s="1758"/>
      <c r="B740" s="1758"/>
      <c r="C740" s="1758"/>
      <c r="D740" s="1758"/>
      <c r="E740" s="1758"/>
      <c r="F740" s="1758"/>
      <c r="G740" s="1758"/>
      <c r="H740" s="1758"/>
      <c r="I740" s="1758"/>
      <c r="J740" s="1758"/>
      <c r="K740" s="1758"/>
      <c r="L740" s="1758"/>
      <c r="M740" s="1758"/>
      <c r="N740" s="1758"/>
      <c r="O740" s="1758"/>
      <c r="P740" s="1758"/>
      <c r="Q740" s="1758"/>
      <c r="R740" s="1760"/>
      <c r="S740" s="1760"/>
      <c r="T740" s="5383" t="s">
        <v>67</v>
      </c>
      <c r="U740" s="2925"/>
      <c r="V740" s="2926">
        <f>SUM(V735:V739)</f>
        <v>154170.25912</v>
      </c>
      <c r="W740" s="1758"/>
      <c r="X740" s="1758"/>
      <c r="Y740" s="1761"/>
      <c r="Z740" s="1758"/>
      <c r="AA740" s="1758"/>
      <c r="AB740" s="1840"/>
      <c r="AC740" s="1769"/>
      <c r="AD740" s="1758"/>
      <c r="AE740" s="1758"/>
      <c r="AF740" s="1758"/>
      <c r="AG740" s="1758"/>
      <c r="AH740" s="1758"/>
      <c r="AI740" s="1758"/>
      <c r="AJ740" s="1758"/>
      <c r="AK740" s="1758"/>
      <c r="AL740" s="1758"/>
      <c r="AM740" s="1758"/>
      <c r="AN740" s="1758"/>
      <c r="AO740" s="1758"/>
      <c r="AP740" s="1758"/>
      <c r="AQ740" s="1758"/>
      <c r="AR740" s="1758"/>
      <c r="AS740" s="1758"/>
      <c r="AT740" s="1758"/>
      <c r="AU740" s="1758"/>
      <c r="AV740" s="1758"/>
      <c r="AW740" s="1758"/>
      <c r="AX740" s="1758"/>
      <c r="AY740" s="1758"/>
      <c r="AZ740" s="1758"/>
      <c r="BA740" s="1758"/>
      <c r="BB740" s="1758"/>
      <c r="BC740" s="1758"/>
      <c r="BD740" s="1758"/>
      <c r="BE740" s="1758"/>
      <c r="BF740" s="1758"/>
      <c r="BG740" s="1758"/>
      <c r="BH740" s="1758"/>
      <c r="BI740" s="1758"/>
      <c r="BJ740" s="1758"/>
      <c r="BK740" s="1758"/>
      <c r="BL740" s="1758"/>
      <c r="BM740" s="1758"/>
      <c r="BN740" s="1758"/>
      <c r="BO740" s="1758"/>
      <c r="BP740" s="1758"/>
      <c r="BQ740" s="1758"/>
      <c r="BR740" s="1758"/>
      <c r="BS740" s="1758"/>
      <c r="BT740" s="1758"/>
      <c r="BU740" s="1758"/>
      <c r="BV740" s="1758"/>
      <c r="BW740" s="1758"/>
      <c r="BX740" s="1758"/>
      <c r="BY740" s="1758"/>
      <c r="BZ740" s="1758"/>
      <c r="CA740" s="1758"/>
      <c r="CB740" s="1758"/>
      <c r="CC740" s="1758"/>
      <c r="CD740" s="1758"/>
      <c r="CE740" s="1758"/>
      <c r="CF740" s="1758"/>
      <c r="CG740" s="1758"/>
      <c r="CH740" s="1758"/>
      <c r="CI740" s="1758"/>
      <c r="CJ740" s="1758"/>
      <c r="CK740" s="1758"/>
      <c r="CL740" s="1758"/>
      <c r="CM740" s="1758"/>
      <c r="CN740" s="1758"/>
      <c r="CO740" s="1758"/>
      <c r="CP740" s="1758"/>
      <c r="CQ740" s="1758"/>
      <c r="CR740" s="1758"/>
      <c r="CS740" s="1758"/>
      <c r="CT740" s="1758"/>
      <c r="CU740" s="1758"/>
      <c r="CV740" s="1758"/>
      <c r="CW740" s="1758"/>
      <c r="CX740" s="1758"/>
      <c r="CY740" s="1758"/>
      <c r="CZ740" s="1758"/>
      <c r="DA740" s="1758"/>
      <c r="DB740" s="1758"/>
      <c r="DC740" s="1758"/>
    </row>
    <row r="741" spans="1:107" s="1395" customFormat="1" ht="16.5" customHeight="1">
      <c r="A741" s="1758"/>
      <c r="B741" s="1758"/>
      <c r="C741" s="1758"/>
      <c r="D741" s="1758"/>
      <c r="E741" s="1758"/>
      <c r="F741" s="1758"/>
      <c r="G741" s="1758"/>
      <c r="H741" s="1758"/>
      <c r="I741" s="1758"/>
      <c r="J741" s="1758"/>
      <c r="K741" s="1758"/>
      <c r="L741" s="1758"/>
      <c r="M741" s="1758"/>
      <c r="N741" s="1758"/>
      <c r="O741" s="1758"/>
      <c r="P741" s="1758"/>
      <c r="Q741" s="1758"/>
      <c r="R741" s="1760"/>
      <c r="S741" s="1760"/>
      <c r="T741" s="1760"/>
      <c r="U741" s="1758"/>
      <c r="V741" s="1758"/>
      <c r="W741" s="1758"/>
      <c r="X741" s="1758"/>
      <c r="Y741" s="1761"/>
      <c r="Z741" s="1758"/>
      <c r="AA741" s="1758"/>
      <c r="AB741" s="1840"/>
      <c r="AC741" s="1769"/>
      <c r="AD741" s="1758"/>
      <c r="AE741" s="1758"/>
      <c r="AF741" s="1758"/>
      <c r="AG741" s="1758"/>
      <c r="AH741" s="1758"/>
      <c r="AI741" s="1758"/>
      <c r="AJ741" s="1758"/>
      <c r="AK741" s="1758"/>
      <c r="AL741" s="1758"/>
      <c r="AM741" s="1758"/>
      <c r="AN741" s="1758"/>
      <c r="AO741" s="1758"/>
      <c r="AP741" s="1758"/>
      <c r="AQ741" s="1758"/>
      <c r="AR741" s="1758"/>
      <c r="AS741" s="1758"/>
      <c r="AT741" s="1758"/>
      <c r="AU741" s="1758"/>
      <c r="AV741" s="1758"/>
      <c r="AW741" s="1758"/>
      <c r="AX741" s="1758"/>
      <c r="AY741" s="1758"/>
      <c r="AZ741" s="1758"/>
      <c r="BA741" s="1758"/>
      <c r="BB741" s="1758"/>
      <c r="BC741" s="1758"/>
      <c r="BD741" s="1758"/>
      <c r="BE741" s="1758"/>
      <c r="BF741" s="1758"/>
      <c r="BG741" s="1758"/>
      <c r="BH741" s="1758"/>
      <c r="BI741" s="1758"/>
      <c r="BJ741" s="1758"/>
      <c r="BK741" s="1758"/>
      <c r="BL741" s="1758"/>
      <c r="BM741" s="1758"/>
      <c r="BN741" s="1758"/>
      <c r="BO741" s="1758"/>
      <c r="BP741" s="1758"/>
      <c r="BQ741" s="1758"/>
      <c r="BR741" s="1758"/>
      <c r="BS741" s="1758"/>
      <c r="BT741" s="1758"/>
      <c r="BU741" s="1758"/>
      <c r="BV741" s="1758"/>
      <c r="BW741" s="1758"/>
      <c r="BX741" s="1758"/>
      <c r="BY741" s="1758"/>
      <c r="BZ741" s="1758"/>
      <c r="CA741" s="1758"/>
      <c r="CB741" s="1758"/>
      <c r="CC741" s="1758"/>
      <c r="CD741" s="1758"/>
      <c r="CE741" s="1758"/>
      <c r="CF741" s="1758"/>
      <c r="CG741" s="1758"/>
      <c r="CH741" s="1758"/>
      <c r="CI741" s="1758"/>
      <c r="CJ741" s="1758"/>
      <c r="CK741" s="1758"/>
      <c r="CL741" s="1758"/>
      <c r="CM741" s="1758"/>
      <c r="CN741" s="1758"/>
      <c r="CO741" s="1758"/>
      <c r="CP741" s="1758"/>
      <c r="CQ741" s="1758"/>
      <c r="CR741" s="1758"/>
      <c r="CS741" s="1758"/>
      <c r="CT741" s="1758"/>
      <c r="CU741" s="1758"/>
      <c r="CV741" s="1758"/>
      <c r="CW741" s="1758"/>
      <c r="CX741" s="1758"/>
      <c r="CY741" s="1758"/>
      <c r="CZ741" s="1758"/>
      <c r="DA741" s="1758"/>
      <c r="DB741" s="1758"/>
      <c r="DC741" s="1758"/>
    </row>
    <row r="742" spans="1:107" s="1395" customFormat="1" ht="16.5" customHeight="1">
      <c r="A742" s="1758"/>
      <c r="B742" s="1758"/>
      <c r="C742" s="1758"/>
      <c r="D742" s="1758"/>
      <c r="E742" s="1758"/>
      <c r="F742" s="1758"/>
      <c r="G742" s="1758"/>
      <c r="H742" s="1758"/>
      <c r="I742" s="1758"/>
      <c r="J742" s="1758"/>
      <c r="K742" s="1758"/>
      <c r="L742" s="1758"/>
      <c r="M742" s="1758"/>
      <c r="N742" s="1758"/>
      <c r="O742" s="1758"/>
      <c r="P742" s="1758"/>
      <c r="Q742" s="1758"/>
      <c r="R742" s="1760"/>
      <c r="S742" s="1760"/>
      <c r="T742" s="1760"/>
      <c r="U742" s="1758"/>
      <c r="V742" s="1758"/>
      <c r="W742" s="1758"/>
      <c r="X742" s="1758"/>
      <c r="Y742" s="1758"/>
      <c r="Z742" s="1758"/>
      <c r="AA742" s="1761"/>
      <c r="AB742" s="1838"/>
      <c r="AC742" s="1762"/>
      <c r="AD742" s="1758"/>
      <c r="AE742" s="1758"/>
      <c r="AF742" s="1758"/>
      <c r="AG742" s="1758"/>
      <c r="AH742" s="1758"/>
      <c r="AI742" s="1758"/>
      <c r="AJ742" s="1758"/>
      <c r="AK742" s="1758"/>
      <c r="AL742" s="1758"/>
      <c r="AM742" s="1758"/>
      <c r="AN742" s="1758"/>
      <c r="AO742" s="1758"/>
      <c r="AP742" s="1758"/>
      <c r="AQ742" s="1758"/>
      <c r="AR742" s="1758"/>
      <c r="AS742" s="1758"/>
      <c r="AT742" s="1758"/>
      <c r="AU742" s="1758"/>
      <c r="AV742" s="1758"/>
      <c r="AW742" s="1758"/>
      <c r="AX742" s="1758"/>
      <c r="AY742" s="1758"/>
      <c r="AZ742" s="1758"/>
      <c r="BA742" s="1758"/>
      <c r="BB742" s="1758"/>
      <c r="BC742" s="1758"/>
      <c r="BD742" s="1758"/>
      <c r="BE742" s="1758"/>
      <c r="BF742" s="1758"/>
      <c r="BG742" s="1758"/>
      <c r="BH742" s="1758"/>
      <c r="BI742" s="1758"/>
      <c r="BJ742" s="1758"/>
      <c r="BK742" s="1758"/>
      <c r="BL742" s="1758"/>
      <c r="BM742" s="1758"/>
      <c r="BN742" s="1758"/>
      <c r="BO742" s="1758"/>
      <c r="BP742" s="1758"/>
      <c r="BQ742" s="1758"/>
      <c r="BR742" s="1758"/>
      <c r="BS742" s="1758"/>
      <c r="BT742" s="1758"/>
      <c r="BU742" s="1758"/>
      <c r="BV742" s="1758"/>
      <c r="BW742" s="1758"/>
      <c r="BX742" s="1758"/>
      <c r="BY742" s="1758"/>
      <c r="BZ742" s="1758"/>
      <c r="CA742" s="1758"/>
      <c r="CB742" s="1758"/>
      <c r="CC742" s="1758"/>
      <c r="CD742" s="1758"/>
      <c r="CE742" s="1758"/>
      <c r="CF742" s="1758"/>
      <c r="CG742" s="1758"/>
      <c r="CH742" s="1758"/>
      <c r="CI742" s="1758"/>
      <c r="CJ742" s="1758"/>
      <c r="CK742" s="1758"/>
      <c r="CL742" s="1758"/>
      <c r="CM742" s="1758"/>
      <c r="CN742" s="1758"/>
      <c r="CO742" s="1758"/>
      <c r="CP742" s="1758"/>
      <c r="CQ742" s="1758"/>
      <c r="CR742" s="1758"/>
      <c r="CS742" s="1758"/>
      <c r="CT742" s="1758"/>
      <c r="CU742" s="1758"/>
      <c r="CV742" s="1758"/>
      <c r="CW742" s="1758"/>
      <c r="CX742" s="1758"/>
      <c r="CY742" s="1758"/>
      <c r="CZ742" s="1758"/>
      <c r="DA742" s="1758"/>
      <c r="DB742" s="1758"/>
      <c r="DC742" s="1758"/>
    </row>
    <row r="743" spans="1:107" s="1395" customFormat="1" ht="16.5" customHeight="1">
      <c r="A743" s="1758"/>
      <c r="B743" s="1758"/>
      <c r="C743" s="1758"/>
      <c r="D743" s="1758"/>
      <c r="E743" s="1758"/>
      <c r="F743" s="1758"/>
      <c r="G743" s="1758"/>
      <c r="H743" s="1758"/>
      <c r="I743" s="1758"/>
      <c r="J743" s="1758"/>
      <c r="K743" s="1758"/>
      <c r="L743" s="1758"/>
      <c r="M743" s="1758"/>
      <c r="N743" s="1758"/>
      <c r="O743" s="1758"/>
      <c r="P743" s="1758"/>
      <c r="Q743" s="1758"/>
      <c r="R743" s="1760"/>
      <c r="S743" s="1760"/>
      <c r="T743" s="1760"/>
      <c r="U743" s="1758"/>
      <c r="V743" s="1758"/>
      <c r="W743" s="1758"/>
      <c r="X743" s="1758"/>
      <c r="Y743" s="1758"/>
      <c r="Z743" s="1758"/>
      <c r="AA743" s="1761"/>
      <c r="AB743" s="1838"/>
      <c r="AC743" s="1762"/>
      <c r="AD743" s="1758"/>
      <c r="AE743" s="1758"/>
      <c r="AF743" s="1758"/>
      <c r="AG743" s="1758"/>
      <c r="AH743" s="1758"/>
      <c r="AI743" s="1758"/>
      <c r="AJ743" s="1758"/>
      <c r="AK743" s="1758"/>
      <c r="AL743" s="1758"/>
      <c r="AM743" s="1758"/>
      <c r="AN743" s="1758"/>
      <c r="AO743" s="1758"/>
      <c r="AP743" s="1758"/>
      <c r="AQ743" s="1758"/>
      <c r="AR743" s="1758"/>
      <c r="AS743" s="1758"/>
      <c r="AT743" s="1758"/>
      <c r="AU743" s="1758"/>
      <c r="AV743" s="1758"/>
      <c r="AW743" s="1758"/>
      <c r="AX743" s="1758"/>
      <c r="AY743" s="1758"/>
      <c r="AZ743" s="1758"/>
      <c r="BA743" s="1758"/>
      <c r="BB743" s="1758"/>
      <c r="BC743" s="1758"/>
      <c r="BD743" s="1758"/>
      <c r="BE743" s="1758"/>
      <c r="BF743" s="1758"/>
      <c r="BG743" s="1758"/>
      <c r="BH743" s="1758"/>
      <c r="BI743" s="1758"/>
      <c r="BJ743" s="1758"/>
      <c r="BK743" s="1758"/>
      <c r="BL743" s="1758"/>
      <c r="BM743" s="1758"/>
      <c r="BN743" s="1758"/>
      <c r="BO743" s="1758"/>
      <c r="BP743" s="1758"/>
      <c r="BQ743" s="1758"/>
      <c r="BR743" s="1758"/>
      <c r="BS743" s="1758"/>
      <c r="BT743" s="1758"/>
      <c r="BU743" s="1758"/>
      <c r="BV743" s="1758"/>
      <c r="BW743" s="1758"/>
      <c r="BX743" s="1758"/>
      <c r="BY743" s="1758"/>
      <c r="BZ743" s="1758"/>
      <c r="CA743" s="1758"/>
      <c r="CB743" s="1758"/>
      <c r="CC743" s="1758"/>
      <c r="CD743" s="1758"/>
      <c r="CE743" s="1758"/>
      <c r="CF743" s="1758"/>
      <c r="CG743" s="1758"/>
      <c r="CH743" s="1758"/>
      <c r="CI743" s="1758"/>
      <c r="CJ743" s="1758"/>
      <c r="CK743" s="1758"/>
      <c r="CL743" s="1758"/>
      <c r="CM743" s="1758"/>
      <c r="CN743" s="1758"/>
      <c r="CO743" s="1758"/>
      <c r="CP743" s="1758"/>
      <c r="CQ743" s="1758"/>
      <c r="CR743" s="1758"/>
      <c r="CS743" s="1758"/>
      <c r="CT743" s="1758"/>
      <c r="CU743" s="1758"/>
      <c r="CV743" s="1758"/>
      <c r="CW743" s="1758"/>
      <c r="CX743" s="1758"/>
      <c r="CY743" s="1758"/>
      <c r="CZ743" s="1758"/>
      <c r="DA743" s="1758"/>
      <c r="DB743" s="1758"/>
      <c r="DC743" s="1758"/>
    </row>
    <row r="744" spans="1:107" s="1395" customFormat="1" ht="16.5" customHeight="1">
      <c r="A744" s="1758"/>
      <c r="B744" s="1758"/>
      <c r="C744" s="1758"/>
      <c r="D744" s="1758"/>
      <c r="E744" s="1758"/>
      <c r="F744" s="1758"/>
      <c r="G744" s="1758"/>
      <c r="H744" s="1758"/>
      <c r="I744" s="1758"/>
      <c r="J744" s="1758"/>
      <c r="K744" s="1758"/>
      <c r="L744" s="1758"/>
      <c r="M744" s="1758"/>
      <c r="N744" s="1758"/>
      <c r="O744" s="1758"/>
      <c r="P744" s="1758"/>
      <c r="Q744" s="1758"/>
      <c r="R744" s="1760"/>
      <c r="S744" s="1760"/>
      <c r="T744" s="1760"/>
      <c r="U744" s="1758"/>
      <c r="V744" s="1758"/>
      <c r="W744" s="1758"/>
      <c r="X744" s="1758"/>
      <c r="Y744" s="1758"/>
      <c r="Z744" s="1758"/>
      <c r="AA744" s="1761"/>
      <c r="AB744" s="1838"/>
      <c r="AC744" s="1762"/>
      <c r="AD744" s="1758"/>
      <c r="AE744" s="1758"/>
      <c r="AF744" s="1758"/>
      <c r="AG744" s="1758"/>
      <c r="AH744" s="1758"/>
      <c r="AI744" s="1758"/>
      <c r="AJ744" s="1758"/>
      <c r="AK744" s="1758"/>
      <c r="AL744" s="1758"/>
      <c r="AM744" s="1758"/>
      <c r="AN744" s="1758"/>
      <c r="AO744" s="1758"/>
      <c r="AP744" s="1758"/>
      <c r="AQ744" s="1758"/>
      <c r="AR744" s="1758"/>
      <c r="AS744" s="1758"/>
      <c r="AT744" s="1758"/>
      <c r="AU744" s="1758"/>
      <c r="AV744" s="1758"/>
      <c r="AW744" s="1758"/>
      <c r="AX744" s="1758"/>
      <c r="AY744" s="1758"/>
      <c r="AZ744" s="1758"/>
      <c r="BA744" s="1758"/>
      <c r="BB744" s="1758"/>
      <c r="BC744" s="1758"/>
      <c r="BD744" s="1758"/>
      <c r="BE744" s="1758"/>
      <c r="BF744" s="1758"/>
      <c r="BG744" s="1758"/>
      <c r="BH744" s="1758"/>
      <c r="BI744" s="1758"/>
      <c r="BJ744" s="1758"/>
      <c r="BK744" s="1758"/>
      <c r="BL744" s="1758"/>
      <c r="BM744" s="1758"/>
      <c r="BN744" s="1758"/>
      <c r="BO744" s="1758"/>
      <c r="BP744" s="1758"/>
      <c r="BQ744" s="1758"/>
      <c r="BR744" s="1758"/>
      <c r="BS744" s="1758"/>
      <c r="BT744" s="1758"/>
      <c r="BU744" s="1758"/>
      <c r="BV744" s="1758"/>
      <c r="BW744" s="1758"/>
      <c r="BX744" s="1758"/>
      <c r="BY744" s="1758"/>
      <c r="BZ744" s="1758"/>
      <c r="CA744" s="1758"/>
      <c r="CB744" s="1758"/>
      <c r="CC744" s="1758"/>
      <c r="CD744" s="1758"/>
      <c r="CE744" s="1758"/>
      <c r="CF744" s="1758"/>
      <c r="CG744" s="1758"/>
      <c r="CH744" s="1758"/>
      <c r="CI744" s="1758"/>
      <c r="CJ744" s="1758"/>
      <c r="CK744" s="1758"/>
      <c r="CL744" s="1758"/>
      <c r="CM744" s="1758"/>
      <c r="CN744" s="1758"/>
      <c r="CO744" s="1758"/>
      <c r="CP744" s="1758"/>
      <c r="CQ744" s="1758"/>
      <c r="CR744" s="1758"/>
      <c r="CS744" s="1758"/>
      <c r="CT744" s="1758"/>
      <c r="CU744" s="1758"/>
      <c r="CV744" s="1758"/>
      <c r="CW744" s="1758"/>
      <c r="CX744" s="1758"/>
      <c r="CY744" s="1758"/>
      <c r="CZ744" s="1758"/>
      <c r="DA744" s="1758"/>
      <c r="DB744" s="1758"/>
      <c r="DC744" s="1758"/>
    </row>
    <row r="745" spans="1:107" s="1395" customFormat="1" ht="16.5" customHeight="1">
      <c r="A745" s="1758"/>
      <c r="B745" s="1758"/>
      <c r="C745" s="1758"/>
      <c r="D745" s="1758"/>
      <c r="E745" s="1758"/>
      <c r="F745" s="1758"/>
      <c r="G745" s="1758"/>
      <c r="H745" s="1758"/>
      <c r="I745" s="1758"/>
      <c r="J745" s="1758"/>
      <c r="K745" s="1758"/>
      <c r="L745" s="1758"/>
      <c r="M745" s="1758"/>
      <c r="N745" s="1758"/>
      <c r="O745" s="1758"/>
      <c r="P745" s="1758"/>
      <c r="Q745" s="1758"/>
      <c r="R745" s="1760"/>
      <c r="S745" s="1760"/>
      <c r="T745" s="438"/>
      <c r="U745" s="433"/>
      <c r="V745" s="433"/>
      <c r="W745" s="1758"/>
      <c r="X745" s="1758"/>
      <c r="Y745" s="1758"/>
      <c r="Z745" s="1758"/>
      <c r="AA745" s="1761"/>
      <c r="AB745" s="1838"/>
      <c r="AC745" s="1762"/>
      <c r="AD745" s="1758"/>
      <c r="AE745" s="1758"/>
      <c r="AF745" s="1758"/>
      <c r="AG745" s="1758"/>
      <c r="AH745" s="1758"/>
      <c r="AI745" s="1758"/>
      <c r="AJ745" s="1758"/>
      <c r="AK745" s="1758"/>
      <c r="AL745" s="1758"/>
      <c r="AM745" s="1758"/>
      <c r="AN745" s="1758"/>
      <c r="AO745" s="1758"/>
      <c r="AP745" s="1758"/>
      <c r="AQ745" s="1758"/>
      <c r="AR745" s="1758"/>
      <c r="AS745" s="1758"/>
      <c r="AT745" s="1758"/>
      <c r="AU745" s="1758"/>
      <c r="AV745" s="1758"/>
      <c r="AW745" s="1758"/>
      <c r="AX745" s="1758"/>
      <c r="AY745" s="1758"/>
      <c r="AZ745" s="1758"/>
      <c r="BA745" s="1758"/>
      <c r="BB745" s="1758"/>
      <c r="BC745" s="1758"/>
      <c r="BD745" s="1758"/>
      <c r="BE745" s="1758"/>
      <c r="BF745" s="1758"/>
      <c r="BG745" s="1758"/>
      <c r="BH745" s="1758"/>
      <c r="BI745" s="1758"/>
      <c r="BJ745" s="1758"/>
      <c r="BK745" s="1758"/>
      <c r="BL745" s="1758"/>
      <c r="BM745" s="1758"/>
      <c r="BN745" s="1758"/>
      <c r="BO745" s="1758"/>
      <c r="BP745" s="1758"/>
      <c r="BQ745" s="1758"/>
      <c r="BR745" s="1758"/>
      <c r="BS745" s="1758"/>
      <c r="BT745" s="1758"/>
      <c r="BU745" s="1758"/>
      <c r="BV745" s="1758"/>
      <c r="BW745" s="1758"/>
      <c r="BX745" s="1758"/>
      <c r="BY745" s="1758"/>
      <c r="BZ745" s="1758"/>
      <c r="CA745" s="1758"/>
      <c r="CB745" s="1758"/>
      <c r="CC745" s="1758"/>
      <c r="CD745" s="1758"/>
      <c r="CE745" s="1758"/>
      <c r="CF745" s="1758"/>
      <c r="CG745" s="1758"/>
      <c r="CH745" s="1758"/>
      <c r="CI745" s="1758"/>
      <c r="CJ745" s="1758"/>
      <c r="CK745" s="1758"/>
      <c r="CL745" s="1758"/>
      <c r="CM745" s="1758"/>
      <c r="CN745" s="1758"/>
      <c r="CO745" s="1758"/>
      <c r="CP745" s="1758"/>
      <c r="CQ745" s="1758"/>
      <c r="CR745" s="1758"/>
      <c r="CS745" s="1758"/>
      <c r="CT745" s="1758"/>
      <c r="CU745" s="1758"/>
      <c r="CV745" s="1758"/>
      <c r="CW745" s="1758"/>
      <c r="CX745" s="1758"/>
      <c r="CY745" s="1758"/>
      <c r="CZ745" s="1758"/>
      <c r="DA745" s="1758"/>
      <c r="DB745" s="1758"/>
      <c r="DC745" s="1758"/>
    </row>
  </sheetData>
  <mergeCells count="2335">
    <mergeCell ref="A630:A708"/>
    <mergeCell ref="T713:Y713"/>
    <mergeCell ref="R709:Y709"/>
    <mergeCell ref="B709:Q709"/>
    <mergeCell ref="A1:AG1"/>
    <mergeCell ref="A2:AG2"/>
    <mergeCell ref="A3:AG3"/>
    <mergeCell ref="A4:AG4"/>
    <mergeCell ref="B704:B708"/>
    <mergeCell ref="C704:C708"/>
    <mergeCell ref="D704:D708"/>
    <mergeCell ref="E704:E708"/>
    <mergeCell ref="F704:F708"/>
    <mergeCell ref="G704:G708"/>
    <mergeCell ref="H704:H708"/>
    <mergeCell ref="I704:I708"/>
    <mergeCell ref="J704:J708"/>
    <mergeCell ref="K704:K708"/>
    <mergeCell ref="L704:L708"/>
    <mergeCell ref="M704:M708"/>
    <mergeCell ref="N704:N708"/>
    <mergeCell ref="O704:O708"/>
    <mergeCell ref="P704:P708"/>
    <mergeCell ref="Q704:Q708"/>
    <mergeCell ref="AG704:AG708"/>
    <mergeCell ref="B699:B703"/>
    <mergeCell ref="C699:C703"/>
    <mergeCell ref="D699:D703"/>
    <mergeCell ref="E699:E703"/>
    <mergeCell ref="F699:F703"/>
    <mergeCell ref="G699:G703"/>
    <mergeCell ref="H699:H703"/>
    <mergeCell ref="I699:I703"/>
    <mergeCell ref="J699:J703"/>
    <mergeCell ref="K699:K703"/>
    <mergeCell ref="L699:L703"/>
    <mergeCell ref="M699:M703"/>
    <mergeCell ref="N699:N703"/>
    <mergeCell ref="O699:O703"/>
    <mergeCell ref="P699:P703"/>
    <mergeCell ref="Q699:Q703"/>
    <mergeCell ref="AG699:AG703"/>
    <mergeCell ref="B694:B698"/>
    <mergeCell ref="C694:C698"/>
    <mergeCell ref="D694:D698"/>
    <mergeCell ref="E694:E698"/>
    <mergeCell ref="F694:F698"/>
    <mergeCell ref="G694:G698"/>
    <mergeCell ref="H694:H698"/>
    <mergeCell ref="I694:I698"/>
    <mergeCell ref="J694:J698"/>
    <mergeCell ref="K694:K698"/>
    <mergeCell ref="L694:L698"/>
    <mergeCell ref="M694:M698"/>
    <mergeCell ref="N694:N698"/>
    <mergeCell ref="O694:O698"/>
    <mergeCell ref="P694:P698"/>
    <mergeCell ref="Q694:Q698"/>
    <mergeCell ref="AG694:AG698"/>
    <mergeCell ref="B689:B693"/>
    <mergeCell ref="C689:C693"/>
    <mergeCell ref="D689:D693"/>
    <mergeCell ref="E689:E693"/>
    <mergeCell ref="F689:F693"/>
    <mergeCell ref="G689:G693"/>
    <mergeCell ref="H689:H693"/>
    <mergeCell ref="I689:I693"/>
    <mergeCell ref="J689:J693"/>
    <mergeCell ref="K689:K693"/>
    <mergeCell ref="L689:L693"/>
    <mergeCell ref="M689:M693"/>
    <mergeCell ref="N689:N693"/>
    <mergeCell ref="O689:O693"/>
    <mergeCell ref="P689:P693"/>
    <mergeCell ref="Q689:Q693"/>
    <mergeCell ref="AG689:AG693"/>
    <mergeCell ref="B684:B688"/>
    <mergeCell ref="C684:C688"/>
    <mergeCell ref="D684:D688"/>
    <mergeCell ref="E684:E688"/>
    <mergeCell ref="F684:F688"/>
    <mergeCell ref="G684:G688"/>
    <mergeCell ref="H684:H688"/>
    <mergeCell ref="I684:I688"/>
    <mergeCell ref="J684:J688"/>
    <mergeCell ref="K684:K688"/>
    <mergeCell ref="L684:L688"/>
    <mergeCell ref="M684:M688"/>
    <mergeCell ref="N684:N688"/>
    <mergeCell ref="O684:O688"/>
    <mergeCell ref="P684:P688"/>
    <mergeCell ref="Q684:Q688"/>
    <mergeCell ref="AG684:AG688"/>
    <mergeCell ref="B679:B683"/>
    <mergeCell ref="C679:C683"/>
    <mergeCell ref="D679:D683"/>
    <mergeCell ref="E679:E683"/>
    <mergeCell ref="F679:F683"/>
    <mergeCell ref="G679:G683"/>
    <mergeCell ref="H679:H683"/>
    <mergeCell ref="I679:I683"/>
    <mergeCell ref="J679:J683"/>
    <mergeCell ref="K679:K683"/>
    <mergeCell ref="L679:L683"/>
    <mergeCell ref="M679:M683"/>
    <mergeCell ref="N679:N683"/>
    <mergeCell ref="O679:O683"/>
    <mergeCell ref="P679:P683"/>
    <mergeCell ref="Q679:Q683"/>
    <mergeCell ref="AG679:AG683"/>
    <mergeCell ref="B674:B678"/>
    <mergeCell ref="C674:C678"/>
    <mergeCell ref="D674:D678"/>
    <mergeCell ref="E674:E678"/>
    <mergeCell ref="F674:F678"/>
    <mergeCell ref="G674:G678"/>
    <mergeCell ref="H674:H678"/>
    <mergeCell ref="I674:I678"/>
    <mergeCell ref="J674:J678"/>
    <mergeCell ref="K674:K678"/>
    <mergeCell ref="L674:L678"/>
    <mergeCell ref="M674:M678"/>
    <mergeCell ref="N674:N678"/>
    <mergeCell ref="O674:O678"/>
    <mergeCell ref="P674:P678"/>
    <mergeCell ref="Q674:Q678"/>
    <mergeCell ref="AG674:AG678"/>
    <mergeCell ref="B669:B673"/>
    <mergeCell ref="C669:C673"/>
    <mergeCell ref="D669:D673"/>
    <mergeCell ref="E669:E673"/>
    <mergeCell ref="F669:F673"/>
    <mergeCell ref="G669:G673"/>
    <mergeCell ref="H669:H673"/>
    <mergeCell ref="I669:I673"/>
    <mergeCell ref="J669:J673"/>
    <mergeCell ref="K669:K673"/>
    <mergeCell ref="L669:L673"/>
    <mergeCell ref="M669:M673"/>
    <mergeCell ref="N669:N673"/>
    <mergeCell ref="O669:O673"/>
    <mergeCell ref="P669:P673"/>
    <mergeCell ref="Q669:Q673"/>
    <mergeCell ref="AG669:AG673"/>
    <mergeCell ref="B664:B668"/>
    <mergeCell ref="C664:C668"/>
    <mergeCell ref="D664:D668"/>
    <mergeCell ref="E664:E668"/>
    <mergeCell ref="F664:F668"/>
    <mergeCell ref="G664:G668"/>
    <mergeCell ref="H664:H668"/>
    <mergeCell ref="I664:I668"/>
    <mergeCell ref="J664:J668"/>
    <mergeCell ref="K664:K668"/>
    <mergeCell ref="L664:L668"/>
    <mergeCell ref="M664:M668"/>
    <mergeCell ref="N664:N668"/>
    <mergeCell ref="O664:O668"/>
    <mergeCell ref="P664:P668"/>
    <mergeCell ref="Q664:Q668"/>
    <mergeCell ref="AG664:AG668"/>
    <mergeCell ref="AG645:AG649"/>
    <mergeCell ref="B650:B663"/>
    <mergeCell ref="C650:C663"/>
    <mergeCell ref="D650:D663"/>
    <mergeCell ref="E650:E663"/>
    <mergeCell ref="F650:F663"/>
    <mergeCell ref="G650:G663"/>
    <mergeCell ref="H650:H663"/>
    <mergeCell ref="I650:I663"/>
    <mergeCell ref="J650:J663"/>
    <mergeCell ref="K650:K663"/>
    <mergeCell ref="L650:L663"/>
    <mergeCell ref="M650:M663"/>
    <mergeCell ref="N650:N663"/>
    <mergeCell ref="O650:O663"/>
    <mergeCell ref="P650:P663"/>
    <mergeCell ref="Q650:Q663"/>
    <mergeCell ref="AG650:AG663"/>
    <mergeCell ref="B645:B649"/>
    <mergeCell ref="C645:C649"/>
    <mergeCell ref="D645:D649"/>
    <mergeCell ref="E645:E649"/>
    <mergeCell ref="F645:F649"/>
    <mergeCell ref="G645:G649"/>
    <mergeCell ref="H645:H649"/>
    <mergeCell ref="I645:I649"/>
    <mergeCell ref="J645:J649"/>
    <mergeCell ref="K645:K649"/>
    <mergeCell ref="L645:L649"/>
    <mergeCell ref="M645:M649"/>
    <mergeCell ref="N645:N649"/>
    <mergeCell ref="O645:O649"/>
    <mergeCell ref="AD629:AG629"/>
    <mergeCell ref="B640:B644"/>
    <mergeCell ref="C640:C644"/>
    <mergeCell ref="D640:D644"/>
    <mergeCell ref="E640:E644"/>
    <mergeCell ref="F640:F644"/>
    <mergeCell ref="G640:G644"/>
    <mergeCell ref="H640:H644"/>
    <mergeCell ref="I640:I644"/>
    <mergeCell ref="J640:J644"/>
    <mergeCell ref="K640:K644"/>
    <mergeCell ref="L640:L644"/>
    <mergeCell ref="M640:M644"/>
    <mergeCell ref="N640:N644"/>
    <mergeCell ref="O640:O644"/>
    <mergeCell ref="P640:P644"/>
    <mergeCell ref="Q640:Q644"/>
    <mergeCell ref="AG640:AG644"/>
    <mergeCell ref="AG630:AG634"/>
    <mergeCell ref="AG635:AG639"/>
    <mergeCell ref="Q630:Q634"/>
    <mergeCell ref="D630:D634"/>
    <mergeCell ref="E630:E634"/>
    <mergeCell ref="F630:F634"/>
    <mergeCell ref="G630:G634"/>
    <mergeCell ref="H630:H634"/>
    <mergeCell ref="I630:I634"/>
    <mergeCell ref="J630:J634"/>
    <mergeCell ref="K635:K639"/>
    <mergeCell ref="L635:L639"/>
    <mergeCell ref="M635:M639"/>
    <mergeCell ref="N635:N639"/>
    <mergeCell ref="B624:B628"/>
    <mergeCell ref="C624:C628"/>
    <mergeCell ref="D624:D628"/>
    <mergeCell ref="E624:E628"/>
    <mergeCell ref="F624:F628"/>
    <mergeCell ref="G624:G628"/>
    <mergeCell ref="H624:H628"/>
    <mergeCell ref="I624:I628"/>
    <mergeCell ref="J624:J628"/>
    <mergeCell ref="K624:K628"/>
    <mergeCell ref="L624:L628"/>
    <mergeCell ref="M624:M628"/>
    <mergeCell ref="N624:N628"/>
    <mergeCell ref="O624:O628"/>
    <mergeCell ref="P624:P628"/>
    <mergeCell ref="Q624:Q628"/>
    <mergeCell ref="AG624:AG628"/>
    <mergeCell ref="B619:B623"/>
    <mergeCell ref="C619:C623"/>
    <mergeCell ref="D619:D623"/>
    <mergeCell ref="E619:E623"/>
    <mergeCell ref="F619:F623"/>
    <mergeCell ref="G619:G623"/>
    <mergeCell ref="H619:H623"/>
    <mergeCell ref="I619:I623"/>
    <mergeCell ref="J619:J623"/>
    <mergeCell ref="K619:K623"/>
    <mergeCell ref="L619:L623"/>
    <mergeCell ref="M619:M623"/>
    <mergeCell ref="N619:N623"/>
    <mergeCell ref="O619:O623"/>
    <mergeCell ref="P619:P623"/>
    <mergeCell ref="Q619:Q623"/>
    <mergeCell ref="AG619:AG623"/>
    <mergeCell ref="B614:B618"/>
    <mergeCell ref="C614:C618"/>
    <mergeCell ref="D614:D618"/>
    <mergeCell ref="E614:E618"/>
    <mergeCell ref="F614:F618"/>
    <mergeCell ref="G614:G618"/>
    <mergeCell ref="H614:H618"/>
    <mergeCell ref="I614:I618"/>
    <mergeCell ref="J614:J618"/>
    <mergeCell ref="K614:K618"/>
    <mergeCell ref="L614:L618"/>
    <mergeCell ref="M614:M618"/>
    <mergeCell ref="N614:N618"/>
    <mergeCell ref="O614:O618"/>
    <mergeCell ref="P614:P618"/>
    <mergeCell ref="Q614:Q618"/>
    <mergeCell ref="AG614:AG618"/>
    <mergeCell ref="B609:B613"/>
    <mergeCell ref="C609:C613"/>
    <mergeCell ref="D609:D613"/>
    <mergeCell ref="E609:E613"/>
    <mergeCell ref="F609:F613"/>
    <mergeCell ref="G609:G613"/>
    <mergeCell ref="H609:H613"/>
    <mergeCell ref="I609:I613"/>
    <mergeCell ref="J609:J613"/>
    <mergeCell ref="K609:K613"/>
    <mergeCell ref="L609:L613"/>
    <mergeCell ref="M609:M613"/>
    <mergeCell ref="N609:N613"/>
    <mergeCell ref="O609:O613"/>
    <mergeCell ref="P609:P613"/>
    <mergeCell ref="Q609:Q613"/>
    <mergeCell ref="AG609:AG613"/>
    <mergeCell ref="B604:B608"/>
    <mergeCell ref="C604:C608"/>
    <mergeCell ref="D604:D608"/>
    <mergeCell ref="E604:E608"/>
    <mergeCell ref="F604:F608"/>
    <mergeCell ref="G604:G608"/>
    <mergeCell ref="H604:H608"/>
    <mergeCell ref="I604:I608"/>
    <mergeCell ref="J604:J608"/>
    <mergeCell ref="K604:K608"/>
    <mergeCell ref="L604:L608"/>
    <mergeCell ref="M604:M608"/>
    <mergeCell ref="N604:N608"/>
    <mergeCell ref="O604:O608"/>
    <mergeCell ref="P604:P608"/>
    <mergeCell ref="Q604:Q608"/>
    <mergeCell ref="AG604:AG608"/>
    <mergeCell ref="AG594:AG598"/>
    <mergeCell ref="B599:B603"/>
    <mergeCell ref="C599:C603"/>
    <mergeCell ref="D599:D603"/>
    <mergeCell ref="E599:E603"/>
    <mergeCell ref="F599:F603"/>
    <mergeCell ref="G599:G603"/>
    <mergeCell ref="H599:H603"/>
    <mergeCell ref="I599:I603"/>
    <mergeCell ref="J599:J603"/>
    <mergeCell ref="K599:K603"/>
    <mergeCell ref="L599:L603"/>
    <mergeCell ref="M599:M603"/>
    <mergeCell ref="N599:N603"/>
    <mergeCell ref="O599:O603"/>
    <mergeCell ref="P599:P603"/>
    <mergeCell ref="Q599:Q603"/>
    <mergeCell ref="AG599:AG603"/>
    <mergeCell ref="B594:B598"/>
    <mergeCell ref="C594:C598"/>
    <mergeCell ref="F584:F588"/>
    <mergeCell ref="G584:G588"/>
    <mergeCell ref="H584:H588"/>
    <mergeCell ref="B584:B588"/>
    <mergeCell ref="C584:C588"/>
    <mergeCell ref="F594:F598"/>
    <mergeCell ref="G594:G598"/>
    <mergeCell ref="H594:H598"/>
    <mergeCell ref="I594:I598"/>
    <mergeCell ref="J594:J598"/>
    <mergeCell ref="K594:K598"/>
    <mergeCell ref="L594:L598"/>
    <mergeCell ref="M594:M598"/>
    <mergeCell ref="N594:N598"/>
    <mergeCell ref="O594:O598"/>
    <mergeCell ref="P594:P598"/>
    <mergeCell ref="Q594:Q598"/>
    <mergeCell ref="B589:B593"/>
    <mergeCell ref="C589:C593"/>
    <mergeCell ref="D589:D593"/>
    <mergeCell ref="E589:E593"/>
    <mergeCell ref="F589:F593"/>
    <mergeCell ref="G589:G593"/>
    <mergeCell ref="H589:H593"/>
    <mergeCell ref="I589:I593"/>
    <mergeCell ref="J589:J593"/>
    <mergeCell ref="K589:K593"/>
    <mergeCell ref="L589:L593"/>
    <mergeCell ref="M589:M593"/>
    <mergeCell ref="N589:N593"/>
    <mergeCell ref="O589:O593"/>
    <mergeCell ref="P589:P593"/>
    <mergeCell ref="J579:J583"/>
    <mergeCell ref="K579:K583"/>
    <mergeCell ref="L579:L583"/>
    <mergeCell ref="M579:M583"/>
    <mergeCell ref="N579:N583"/>
    <mergeCell ref="O579:O583"/>
    <mergeCell ref="P579:P583"/>
    <mergeCell ref="I584:I588"/>
    <mergeCell ref="J584:J588"/>
    <mergeCell ref="K584:K588"/>
    <mergeCell ref="L584:L588"/>
    <mergeCell ref="M584:M588"/>
    <mergeCell ref="N584:N588"/>
    <mergeCell ref="O584:O588"/>
    <mergeCell ref="P584:P588"/>
    <mergeCell ref="Q584:Q588"/>
    <mergeCell ref="AG584:AG588"/>
    <mergeCell ref="E553:E557"/>
    <mergeCell ref="F553:F557"/>
    <mergeCell ref="G553:G557"/>
    <mergeCell ref="H553:H557"/>
    <mergeCell ref="I553:I557"/>
    <mergeCell ref="J553:J557"/>
    <mergeCell ref="K553:K557"/>
    <mergeCell ref="L553:L557"/>
    <mergeCell ref="M553:M557"/>
    <mergeCell ref="N553:N557"/>
    <mergeCell ref="O553:O557"/>
    <mergeCell ref="P553:P557"/>
    <mergeCell ref="Q553:Q557"/>
    <mergeCell ref="AG553:AG557"/>
    <mergeCell ref="A559:A628"/>
    <mergeCell ref="B574:B578"/>
    <mergeCell ref="C574:C578"/>
    <mergeCell ref="D574:D578"/>
    <mergeCell ref="E574:E578"/>
    <mergeCell ref="F574:F578"/>
    <mergeCell ref="G574:G578"/>
    <mergeCell ref="H574:H578"/>
    <mergeCell ref="I574:I578"/>
    <mergeCell ref="J574:J578"/>
    <mergeCell ref="K574:K578"/>
    <mergeCell ref="L574:L578"/>
    <mergeCell ref="M574:M578"/>
    <mergeCell ref="N574:N578"/>
    <mergeCell ref="O574:O578"/>
    <mergeCell ref="P574:P578"/>
    <mergeCell ref="I579:I583"/>
    <mergeCell ref="AG589:AG593"/>
    <mergeCell ref="B503:B507"/>
    <mergeCell ref="C503:C507"/>
    <mergeCell ref="D503:D507"/>
    <mergeCell ref="E503:E507"/>
    <mergeCell ref="F503:F507"/>
    <mergeCell ref="G503:G507"/>
    <mergeCell ref="H503:H507"/>
    <mergeCell ref="I503:I507"/>
    <mergeCell ref="J503:J507"/>
    <mergeCell ref="K503:K507"/>
    <mergeCell ref="L503:L507"/>
    <mergeCell ref="M503:M507"/>
    <mergeCell ref="N503:N507"/>
    <mergeCell ref="O503:O507"/>
    <mergeCell ref="P503:P507"/>
    <mergeCell ref="Q503:Q507"/>
    <mergeCell ref="AG503:AG507"/>
    <mergeCell ref="B498:B502"/>
    <mergeCell ref="C498:C502"/>
    <mergeCell ref="D498:D502"/>
    <mergeCell ref="E498:E502"/>
    <mergeCell ref="F498:F502"/>
    <mergeCell ref="G498:G502"/>
    <mergeCell ref="H498:H502"/>
    <mergeCell ref="I498:I502"/>
    <mergeCell ref="J498:J502"/>
    <mergeCell ref="K498:K502"/>
    <mergeCell ref="L498:L502"/>
    <mergeCell ref="M498:M502"/>
    <mergeCell ref="N498:N502"/>
    <mergeCell ref="O498:O502"/>
    <mergeCell ref="P498:P502"/>
    <mergeCell ref="Q498:Q502"/>
    <mergeCell ref="AG498:AG502"/>
    <mergeCell ref="A488:A557"/>
    <mergeCell ref="B488:B492"/>
    <mergeCell ref="C488:C492"/>
    <mergeCell ref="D488:D492"/>
    <mergeCell ref="E488:E492"/>
    <mergeCell ref="F488:F492"/>
    <mergeCell ref="G488:G492"/>
    <mergeCell ref="H488:H492"/>
    <mergeCell ref="I488:I492"/>
    <mergeCell ref="J488:J492"/>
    <mergeCell ref="K488:K492"/>
    <mergeCell ref="L488:L492"/>
    <mergeCell ref="M488:M492"/>
    <mergeCell ref="N488:N492"/>
    <mergeCell ref="O488:O492"/>
    <mergeCell ref="P488:P492"/>
    <mergeCell ref="Q488:Q492"/>
    <mergeCell ref="B493:B497"/>
    <mergeCell ref="C493:C497"/>
    <mergeCell ref="D493:D497"/>
    <mergeCell ref="E493:E497"/>
    <mergeCell ref="F493:F497"/>
    <mergeCell ref="G493:G497"/>
    <mergeCell ref="H493:H497"/>
    <mergeCell ref="I493:I497"/>
    <mergeCell ref="J493:J497"/>
    <mergeCell ref="K493:K497"/>
    <mergeCell ref="L493:L497"/>
    <mergeCell ref="M493:M497"/>
    <mergeCell ref="N493:N497"/>
    <mergeCell ref="O493:O497"/>
    <mergeCell ref="P493:P497"/>
    <mergeCell ref="B482:B486"/>
    <mergeCell ref="C482:C486"/>
    <mergeCell ref="D482:D486"/>
    <mergeCell ref="E482:E486"/>
    <mergeCell ref="F482:F486"/>
    <mergeCell ref="G482:G486"/>
    <mergeCell ref="H482:H486"/>
    <mergeCell ref="I482:I486"/>
    <mergeCell ref="J482:J486"/>
    <mergeCell ref="K482:K486"/>
    <mergeCell ref="L482:L486"/>
    <mergeCell ref="M482:M486"/>
    <mergeCell ref="N482:N486"/>
    <mergeCell ref="O482:O486"/>
    <mergeCell ref="P482:P486"/>
    <mergeCell ref="Q482:Q486"/>
    <mergeCell ref="AG482:AG486"/>
    <mergeCell ref="B477:B481"/>
    <mergeCell ref="C477:C481"/>
    <mergeCell ref="D477:D481"/>
    <mergeCell ref="E477:E481"/>
    <mergeCell ref="F477:F481"/>
    <mergeCell ref="G477:G481"/>
    <mergeCell ref="H477:H481"/>
    <mergeCell ref="I477:I481"/>
    <mergeCell ref="J477:J481"/>
    <mergeCell ref="K477:K481"/>
    <mergeCell ref="L477:L481"/>
    <mergeCell ref="M477:M481"/>
    <mergeCell ref="N477:N481"/>
    <mergeCell ref="O477:O481"/>
    <mergeCell ref="P477:P481"/>
    <mergeCell ref="Q477:Q481"/>
    <mergeCell ref="AG477:AG481"/>
    <mergeCell ref="B472:B476"/>
    <mergeCell ref="C472:C476"/>
    <mergeCell ref="D472:D476"/>
    <mergeCell ref="E472:E476"/>
    <mergeCell ref="F472:F476"/>
    <mergeCell ref="G472:G476"/>
    <mergeCell ref="H472:H476"/>
    <mergeCell ref="I472:I476"/>
    <mergeCell ref="J472:J476"/>
    <mergeCell ref="K472:K476"/>
    <mergeCell ref="L472:L476"/>
    <mergeCell ref="M472:M476"/>
    <mergeCell ref="N472:N476"/>
    <mergeCell ref="O472:O476"/>
    <mergeCell ref="P472:P476"/>
    <mergeCell ref="Q472:Q476"/>
    <mergeCell ref="AG472:AG476"/>
    <mergeCell ref="B467:B471"/>
    <mergeCell ref="C467:C471"/>
    <mergeCell ref="D467:D471"/>
    <mergeCell ref="E467:E471"/>
    <mergeCell ref="F467:F471"/>
    <mergeCell ref="G467:G471"/>
    <mergeCell ref="H467:H471"/>
    <mergeCell ref="I467:I471"/>
    <mergeCell ref="J467:J471"/>
    <mergeCell ref="K467:K471"/>
    <mergeCell ref="L467:L471"/>
    <mergeCell ref="M467:M471"/>
    <mergeCell ref="N467:N471"/>
    <mergeCell ref="O467:O471"/>
    <mergeCell ref="P467:P471"/>
    <mergeCell ref="Q467:Q471"/>
    <mergeCell ref="AG467:AG471"/>
    <mergeCell ref="B462:B466"/>
    <mergeCell ref="C462:C466"/>
    <mergeCell ref="D462:D466"/>
    <mergeCell ref="E462:E466"/>
    <mergeCell ref="F462:F466"/>
    <mergeCell ref="G462:G466"/>
    <mergeCell ref="H462:H466"/>
    <mergeCell ref="I462:I466"/>
    <mergeCell ref="J462:J466"/>
    <mergeCell ref="K462:K466"/>
    <mergeCell ref="L462:L466"/>
    <mergeCell ref="M462:M466"/>
    <mergeCell ref="N462:N466"/>
    <mergeCell ref="O462:O466"/>
    <mergeCell ref="P462:P466"/>
    <mergeCell ref="Q462:Q466"/>
    <mergeCell ref="AG462:AG466"/>
    <mergeCell ref="B457:B461"/>
    <mergeCell ref="C457:C461"/>
    <mergeCell ref="D457:D461"/>
    <mergeCell ref="E457:E461"/>
    <mergeCell ref="F457:F461"/>
    <mergeCell ref="G457:G461"/>
    <mergeCell ref="H457:H461"/>
    <mergeCell ref="I457:I461"/>
    <mergeCell ref="J457:J461"/>
    <mergeCell ref="K457:K461"/>
    <mergeCell ref="L457:L461"/>
    <mergeCell ref="M457:M461"/>
    <mergeCell ref="N457:N461"/>
    <mergeCell ref="O457:O461"/>
    <mergeCell ref="P457:P461"/>
    <mergeCell ref="Q457:Q461"/>
    <mergeCell ref="AG457:AG461"/>
    <mergeCell ref="B452:B456"/>
    <mergeCell ref="C452:C456"/>
    <mergeCell ref="D452:D456"/>
    <mergeCell ref="E452:E456"/>
    <mergeCell ref="F452:F456"/>
    <mergeCell ref="G452:G456"/>
    <mergeCell ref="H452:H456"/>
    <mergeCell ref="I452:I456"/>
    <mergeCell ref="J452:J456"/>
    <mergeCell ref="K452:K456"/>
    <mergeCell ref="L452:L456"/>
    <mergeCell ref="M452:M456"/>
    <mergeCell ref="N452:N456"/>
    <mergeCell ref="O452:O456"/>
    <mergeCell ref="P452:P456"/>
    <mergeCell ref="Q452:Q456"/>
    <mergeCell ref="AG452:AG456"/>
    <mergeCell ref="B447:B451"/>
    <mergeCell ref="C447:C451"/>
    <mergeCell ref="D447:D451"/>
    <mergeCell ref="E447:E451"/>
    <mergeCell ref="F447:F451"/>
    <mergeCell ref="G447:G451"/>
    <mergeCell ref="H447:H451"/>
    <mergeCell ref="I447:I451"/>
    <mergeCell ref="J447:J451"/>
    <mergeCell ref="K447:K451"/>
    <mergeCell ref="L447:L451"/>
    <mergeCell ref="M447:M451"/>
    <mergeCell ref="N447:N451"/>
    <mergeCell ref="O447:O451"/>
    <mergeCell ref="P447:P451"/>
    <mergeCell ref="Q447:Q451"/>
    <mergeCell ref="AG447:AG451"/>
    <mergeCell ref="B442:B446"/>
    <mergeCell ref="C442:C446"/>
    <mergeCell ref="D442:D446"/>
    <mergeCell ref="E442:E446"/>
    <mergeCell ref="F442:F446"/>
    <mergeCell ref="G442:G446"/>
    <mergeCell ref="H442:H446"/>
    <mergeCell ref="I442:I446"/>
    <mergeCell ref="J442:J446"/>
    <mergeCell ref="K442:K446"/>
    <mergeCell ref="L442:L446"/>
    <mergeCell ref="M442:M446"/>
    <mergeCell ref="N442:N446"/>
    <mergeCell ref="O442:O446"/>
    <mergeCell ref="P442:P446"/>
    <mergeCell ref="Q442:Q446"/>
    <mergeCell ref="AG442:AG446"/>
    <mergeCell ref="B432:B441"/>
    <mergeCell ref="C432:C441"/>
    <mergeCell ref="D432:D441"/>
    <mergeCell ref="E432:E441"/>
    <mergeCell ref="F432:F441"/>
    <mergeCell ref="G432:G441"/>
    <mergeCell ref="H432:H441"/>
    <mergeCell ref="I432:I441"/>
    <mergeCell ref="J432:J441"/>
    <mergeCell ref="K432:K441"/>
    <mergeCell ref="L432:L441"/>
    <mergeCell ref="M432:M441"/>
    <mergeCell ref="N432:N441"/>
    <mergeCell ref="O432:O441"/>
    <mergeCell ref="P432:P441"/>
    <mergeCell ref="Q432:Q441"/>
    <mergeCell ref="AG432:AG441"/>
    <mergeCell ref="B427:B431"/>
    <mergeCell ref="C427:C431"/>
    <mergeCell ref="D427:D431"/>
    <mergeCell ref="E427:E431"/>
    <mergeCell ref="F427:F431"/>
    <mergeCell ref="G427:G431"/>
    <mergeCell ref="H427:H431"/>
    <mergeCell ref="I427:I431"/>
    <mergeCell ref="J427:J431"/>
    <mergeCell ref="K427:K431"/>
    <mergeCell ref="L427:L431"/>
    <mergeCell ref="M427:M431"/>
    <mergeCell ref="N427:N431"/>
    <mergeCell ref="O427:O431"/>
    <mergeCell ref="P427:P431"/>
    <mergeCell ref="Q427:Q431"/>
    <mergeCell ref="AG427:AG431"/>
    <mergeCell ref="B422:B426"/>
    <mergeCell ref="C422:C426"/>
    <mergeCell ref="D422:D426"/>
    <mergeCell ref="E422:E426"/>
    <mergeCell ref="F422:F426"/>
    <mergeCell ref="G422:G426"/>
    <mergeCell ref="H422:H426"/>
    <mergeCell ref="I422:I426"/>
    <mergeCell ref="J422:J426"/>
    <mergeCell ref="K422:K426"/>
    <mergeCell ref="L422:L426"/>
    <mergeCell ref="M422:M426"/>
    <mergeCell ref="N422:N426"/>
    <mergeCell ref="O422:O426"/>
    <mergeCell ref="P422:P426"/>
    <mergeCell ref="Q422:Q426"/>
    <mergeCell ref="AG422:AG426"/>
    <mergeCell ref="A412:A486"/>
    <mergeCell ref="B412:B416"/>
    <mergeCell ref="C412:C416"/>
    <mergeCell ref="D412:D416"/>
    <mergeCell ref="E412:E416"/>
    <mergeCell ref="F412:F416"/>
    <mergeCell ref="G412:G416"/>
    <mergeCell ref="H412:H416"/>
    <mergeCell ref="I412:I416"/>
    <mergeCell ref="J412:J416"/>
    <mergeCell ref="K412:K416"/>
    <mergeCell ref="L412:L416"/>
    <mergeCell ref="M412:M416"/>
    <mergeCell ref="N412:N416"/>
    <mergeCell ref="O412:O416"/>
    <mergeCell ref="P412:P416"/>
    <mergeCell ref="Q412:Q416"/>
    <mergeCell ref="B417:B421"/>
    <mergeCell ref="C417:C421"/>
    <mergeCell ref="D417:D421"/>
    <mergeCell ref="E417:E421"/>
    <mergeCell ref="F417:F421"/>
    <mergeCell ref="G417:G421"/>
    <mergeCell ref="H417:H421"/>
    <mergeCell ref="I417:I421"/>
    <mergeCell ref="J417:J421"/>
    <mergeCell ref="K417:K421"/>
    <mergeCell ref="L417:L421"/>
    <mergeCell ref="M417:M421"/>
    <mergeCell ref="N417:N421"/>
    <mergeCell ref="O417:O421"/>
    <mergeCell ref="P417:P421"/>
    <mergeCell ref="B406:B410"/>
    <mergeCell ref="C406:C410"/>
    <mergeCell ref="D406:D410"/>
    <mergeCell ref="E406:E410"/>
    <mergeCell ref="F406:F410"/>
    <mergeCell ref="G406:G410"/>
    <mergeCell ref="H406:H410"/>
    <mergeCell ref="I406:I410"/>
    <mergeCell ref="J406:J410"/>
    <mergeCell ref="K406:K410"/>
    <mergeCell ref="L406:L410"/>
    <mergeCell ref="M406:M410"/>
    <mergeCell ref="N406:N410"/>
    <mergeCell ref="O406:O410"/>
    <mergeCell ref="P406:P410"/>
    <mergeCell ref="Q406:Q410"/>
    <mergeCell ref="AG406:AG410"/>
    <mergeCell ref="B401:B405"/>
    <mergeCell ref="C401:C405"/>
    <mergeCell ref="D401:D405"/>
    <mergeCell ref="E401:E405"/>
    <mergeCell ref="F401:F405"/>
    <mergeCell ref="G401:G405"/>
    <mergeCell ref="H401:H405"/>
    <mergeCell ref="I401:I405"/>
    <mergeCell ref="J401:J405"/>
    <mergeCell ref="K401:K405"/>
    <mergeCell ref="L401:L405"/>
    <mergeCell ref="M401:M405"/>
    <mergeCell ref="N401:N405"/>
    <mergeCell ref="O401:O405"/>
    <mergeCell ref="P401:P405"/>
    <mergeCell ref="Q401:Q405"/>
    <mergeCell ref="AG401:AG405"/>
    <mergeCell ref="B396:B400"/>
    <mergeCell ref="C396:C400"/>
    <mergeCell ref="D396:D400"/>
    <mergeCell ref="E396:E400"/>
    <mergeCell ref="F396:F400"/>
    <mergeCell ref="G396:G400"/>
    <mergeCell ref="H396:H400"/>
    <mergeCell ref="I396:I400"/>
    <mergeCell ref="J396:J400"/>
    <mergeCell ref="K396:K400"/>
    <mergeCell ref="L396:L400"/>
    <mergeCell ref="M396:M400"/>
    <mergeCell ref="N396:N400"/>
    <mergeCell ref="O396:O400"/>
    <mergeCell ref="P396:P400"/>
    <mergeCell ref="Q396:Q400"/>
    <mergeCell ref="AG396:AG400"/>
    <mergeCell ref="B391:B395"/>
    <mergeCell ref="C391:C395"/>
    <mergeCell ref="D391:D395"/>
    <mergeCell ref="E391:E395"/>
    <mergeCell ref="F391:F395"/>
    <mergeCell ref="G391:G395"/>
    <mergeCell ref="H391:H395"/>
    <mergeCell ref="I391:I395"/>
    <mergeCell ref="J391:J395"/>
    <mergeCell ref="K391:K395"/>
    <mergeCell ref="L391:L395"/>
    <mergeCell ref="M391:M395"/>
    <mergeCell ref="N391:N395"/>
    <mergeCell ref="O391:O395"/>
    <mergeCell ref="P391:P395"/>
    <mergeCell ref="Q391:Q395"/>
    <mergeCell ref="AG391:AG395"/>
    <mergeCell ref="B386:B390"/>
    <mergeCell ref="C386:C390"/>
    <mergeCell ref="D386:D390"/>
    <mergeCell ref="E386:E390"/>
    <mergeCell ref="F386:F390"/>
    <mergeCell ref="G386:G390"/>
    <mergeCell ref="H386:H390"/>
    <mergeCell ref="I386:I390"/>
    <mergeCell ref="J386:J390"/>
    <mergeCell ref="K386:K390"/>
    <mergeCell ref="L386:L390"/>
    <mergeCell ref="M386:M390"/>
    <mergeCell ref="N386:N390"/>
    <mergeCell ref="O386:O390"/>
    <mergeCell ref="P386:P390"/>
    <mergeCell ref="Q386:Q390"/>
    <mergeCell ref="AG386:AG390"/>
    <mergeCell ref="B381:B385"/>
    <mergeCell ref="C381:C385"/>
    <mergeCell ref="D381:D385"/>
    <mergeCell ref="E381:E385"/>
    <mergeCell ref="F381:F385"/>
    <mergeCell ref="G381:G385"/>
    <mergeCell ref="H381:H385"/>
    <mergeCell ref="I381:I385"/>
    <mergeCell ref="J381:J385"/>
    <mergeCell ref="K381:K385"/>
    <mergeCell ref="L381:L385"/>
    <mergeCell ref="M381:M385"/>
    <mergeCell ref="N381:N385"/>
    <mergeCell ref="O381:O385"/>
    <mergeCell ref="P381:P385"/>
    <mergeCell ref="Q381:Q385"/>
    <mergeCell ref="AG381:AG385"/>
    <mergeCell ref="B376:B380"/>
    <mergeCell ref="C376:C380"/>
    <mergeCell ref="D376:D380"/>
    <mergeCell ref="E376:E380"/>
    <mergeCell ref="F376:F380"/>
    <mergeCell ref="G376:G380"/>
    <mergeCell ref="H376:H380"/>
    <mergeCell ref="I376:I380"/>
    <mergeCell ref="J376:J380"/>
    <mergeCell ref="K376:K380"/>
    <mergeCell ref="L376:L380"/>
    <mergeCell ref="M376:M380"/>
    <mergeCell ref="N376:N380"/>
    <mergeCell ref="O376:O380"/>
    <mergeCell ref="P376:P380"/>
    <mergeCell ref="Q376:Q380"/>
    <mergeCell ref="AG376:AG380"/>
    <mergeCell ref="B371:B375"/>
    <mergeCell ref="C371:C375"/>
    <mergeCell ref="D371:D375"/>
    <mergeCell ref="E371:E375"/>
    <mergeCell ref="F371:F375"/>
    <mergeCell ref="G371:G375"/>
    <mergeCell ref="H371:H375"/>
    <mergeCell ref="I371:I375"/>
    <mergeCell ref="J371:J375"/>
    <mergeCell ref="K371:K375"/>
    <mergeCell ref="L371:L375"/>
    <mergeCell ref="M371:M375"/>
    <mergeCell ref="N371:N375"/>
    <mergeCell ref="O371:O375"/>
    <mergeCell ref="P371:P375"/>
    <mergeCell ref="Q371:Q375"/>
    <mergeCell ref="AG371:AG375"/>
    <mergeCell ref="B366:B370"/>
    <mergeCell ref="C366:C370"/>
    <mergeCell ref="D366:D370"/>
    <mergeCell ref="E366:E370"/>
    <mergeCell ref="F366:F370"/>
    <mergeCell ref="G366:G370"/>
    <mergeCell ref="H366:H370"/>
    <mergeCell ref="I366:I370"/>
    <mergeCell ref="J366:J370"/>
    <mergeCell ref="K366:K370"/>
    <mergeCell ref="L366:L370"/>
    <mergeCell ref="M366:M370"/>
    <mergeCell ref="N366:N370"/>
    <mergeCell ref="O366:O370"/>
    <mergeCell ref="P366:P370"/>
    <mergeCell ref="Q366:Q370"/>
    <mergeCell ref="AG366:AG370"/>
    <mergeCell ref="D356:D360"/>
    <mergeCell ref="E356:E360"/>
    <mergeCell ref="F356:F360"/>
    <mergeCell ref="G356:G360"/>
    <mergeCell ref="H356:H360"/>
    <mergeCell ref="I356:I360"/>
    <mergeCell ref="J356:J360"/>
    <mergeCell ref="K356:K360"/>
    <mergeCell ref="L356:L360"/>
    <mergeCell ref="M356:M360"/>
    <mergeCell ref="N356:N360"/>
    <mergeCell ref="O356:O360"/>
    <mergeCell ref="P356:P360"/>
    <mergeCell ref="Q356:Q360"/>
    <mergeCell ref="AG356:AG360"/>
    <mergeCell ref="B361:B365"/>
    <mergeCell ref="C361:C365"/>
    <mergeCell ref="D361:D365"/>
    <mergeCell ref="E361:E365"/>
    <mergeCell ref="F361:F365"/>
    <mergeCell ref="G361:G365"/>
    <mergeCell ref="H361:H365"/>
    <mergeCell ref="I361:I365"/>
    <mergeCell ref="J361:J365"/>
    <mergeCell ref="K361:K365"/>
    <mergeCell ref="L361:L365"/>
    <mergeCell ref="M361:M365"/>
    <mergeCell ref="N361:N365"/>
    <mergeCell ref="O361:O365"/>
    <mergeCell ref="P361:P365"/>
    <mergeCell ref="Q361:Q365"/>
    <mergeCell ref="AG361:AG365"/>
    <mergeCell ref="Q346:Q350"/>
    <mergeCell ref="AG346:AG350"/>
    <mergeCell ref="B351:B355"/>
    <mergeCell ref="C351:C355"/>
    <mergeCell ref="D351:D355"/>
    <mergeCell ref="E351:E355"/>
    <mergeCell ref="F351:F355"/>
    <mergeCell ref="G351:G355"/>
    <mergeCell ref="H351:H355"/>
    <mergeCell ref="I351:I355"/>
    <mergeCell ref="J351:J355"/>
    <mergeCell ref="K351:K355"/>
    <mergeCell ref="L351:L355"/>
    <mergeCell ref="M351:M355"/>
    <mergeCell ref="N351:N355"/>
    <mergeCell ref="O351:O355"/>
    <mergeCell ref="P351:P355"/>
    <mergeCell ref="Q351:Q355"/>
    <mergeCell ref="AG351:AG355"/>
    <mergeCell ref="A341:A410"/>
    <mergeCell ref="B341:B345"/>
    <mergeCell ref="C341:C345"/>
    <mergeCell ref="D341:D345"/>
    <mergeCell ref="E341:E345"/>
    <mergeCell ref="F341:F345"/>
    <mergeCell ref="G341:G345"/>
    <mergeCell ref="H341:H345"/>
    <mergeCell ref="I341:I345"/>
    <mergeCell ref="J341:J345"/>
    <mergeCell ref="K341:K345"/>
    <mergeCell ref="L341:L345"/>
    <mergeCell ref="M341:M345"/>
    <mergeCell ref="N341:N345"/>
    <mergeCell ref="O341:O345"/>
    <mergeCell ref="P341:P345"/>
    <mergeCell ref="Q341:Q345"/>
    <mergeCell ref="B346:B350"/>
    <mergeCell ref="C346:C350"/>
    <mergeCell ref="D346:D350"/>
    <mergeCell ref="E346:E350"/>
    <mergeCell ref="F346:F350"/>
    <mergeCell ref="G346:G350"/>
    <mergeCell ref="H346:H350"/>
    <mergeCell ref="I346:I350"/>
    <mergeCell ref="J346:J350"/>
    <mergeCell ref="K346:K350"/>
    <mergeCell ref="L346:L350"/>
    <mergeCell ref="M346:M350"/>
    <mergeCell ref="N346:N350"/>
    <mergeCell ref="O346:O350"/>
    <mergeCell ref="P346:P350"/>
    <mergeCell ref="B335:B339"/>
    <mergeCell ref="C335:C339"/>
    <mergeCell ref="D335:D339"/>
    <mergeCell ref="E335:E339"/>
    <mergeCell ref="F335:F339"/>
    <mergeCell ref="G335:G339"/>
    <mergeCell ref="H335:H339"/>
    <mergeCell ref="I335:I339"/>
    <mergeCell ref="J335:J339"/>
    <mergeCell ref="K335:K339"/>
    <mergeCell ref="L335:L339"/>
    <mergeCell ref="M335:M339"/>
    <mergeCell ref="N335:N339"/>
    <mergeCell ref="O335:O339"/>
    <mergeCell ref="P335:P339"/>
    <mergeCell ref="Q335:Q339"/>
    <mergeCell ref="AG335:AG339"/>
    <mergeCell ref="B330:B334"/>
    <mergeCell ref="C330:C334"/>
    <mergeCell ref="D330:D334"/>
    <mergeCell ref="E330:E334"/>
    <mergeCell ref="F330:F334"/>
    <mergeCell ref="G330:G334"/>
    <mergeCell ref="H330:H334"/>
    <mergeCell ref="I330:I334"/>
    <mergeCell ref="J330:J334"/>
    <mergeCell ref="K330:K334"/>
    <mergeCell ref="L330:L334"/>
    <mergeCell ref="M330:M334"/>
    <mergeCell ref="N330:N334"/>
    <mergeCell ref="O330:O334"/>
    <mergeCell ref="P330:P334"/>
    <mergeCell ref="Q330:Q334"/>
    <mergeCell ref="AG330:AG334"/>
    <mergeCell ref="B325:B329"/>
    <mergeCell ref="C325:C329"/>
    <mergeCell ref="D325:D329"/>
    <mergeCell ref="E325:E329"/>
    <mergeCell ref="F325:F329"/>
    <mergeCell ref="G325:G329"/>
    <mergeCell ref="H325:H329"/>
    <mergeCell ref="I325:I329"/>
    <mergeCell ref="J325:J329"/>
    <mergeCell ref="K325:K329"/>
    <mergeCell ref="L325:L329"/>
    <mergeCell ref="M325:M329"/>
    <mergeCell ref="N325:N329"/>
    <mergeCell ref="O325:O329"/>
    <mergeCell ref="P325:P329"/>
    <mergeCell ref="Q325:Q329"/>
    <mergeCell ref="AG325:AG329"/>
    <mergeCell ref="B320:B324"/>
    <mergeCell ref="C320:C324"/>
    <mergeCell ref="D320:D324"/>
    <mergeCell ref="E320:E324"/>
    <mergeCell ref="F320:F324"/>
    <mergeCell ref="G320:G324"/>
    <mergeCell ref="H320:H324"/>
    <mergeCell ref="I320:I324"/>
    <mergeCell ref="J320:J324"/>
    <mergeCell ref="K320:K324"/>
    <mergeCell ref="L320:L324"/>
    <mergeCell ref="M320:M324"/>
    <mergeCell ref="N320:N324"/>
    <mergeCell ref="O320:O324"/>
    <mergeCell ref="P320:P324"/>
    <mergeCell ref="Q320:Q324"/>
    <mergeCell ref="AG320:AG324"/>
    <mergeCell ref="B315:B319"/>
    <mergeCell ref="C315:C319"/>
    <mergeCell ref="D315:D319"/>
    <mergeCell ref="E315:E319"/>
    <mergeCell ref="F315:F319"/>
    <mergeCell ref="G315:G319"/>
    <mergeCell ref="H315:H319"/>
    <mergeCell ref="I315:I319"/>
    <mergeCell ref="J315:J319"/>
    <mergeCell ref="K315:K319"/>
    <mergeCell ref="L315:L319"/>
    <mergeCell ref="M315:M319"/>
    <mergeCell ref="N315:N319"/>
    <mergeCell ref="O315:O319"/>
    <mergeCell ref="P315:P319"/>
    <mergeCell ref="Q315:Q319"/>
    <mergeCell ref="AG315:AG319"/>
    <mergeCell ref="B310:B314"/>
    <mergeCell ref="C310:C314"/>
    <mergeCell ref="D310:D314"/>
    <mergeCell ref="E310:E314"/>
    <mergeCell ref="F310:F314"/>
    <mergeCell ref="G310:G314"/>
    <mergeCell ref="H310:H314"/>
    <mergeCell ref="I310:I314"/>
    <mergeCell ref="J310:J314"/>
    <mergeCell ref="K310:K314"/>
    <mergeCell ref="L310:L314"/>
    <mergeCell ref="M310:M314"/>
    <mergeCell ref="N310:N314"/>
    <mergeCell ref="O310:O314"/>
    <mergeCell ref="P310:P314"/>
    <mergeCell ref="Q310:Q314"/>
    <mergeCell ref="AG310:AG314"/>
    <mergeCell ref="B305:B309"/>
    <mergeCell ref="C305:C309"/>
    <mergeCell ref="D305:D309"/>
    <mergeCell ref="E305:E309"/>
    <mergeCell ref="F305:F309"/>
    <mergeCell ref="G305:G309"/>
    <mergeCell ref="H305:H309"/>
    <mergeCell ref="I305:I309"/>
    <mergeCell ref="J305:J309"/>
    <mergeCell ref="K305:K309"/>
    <mergeCell ref="L305:L309"/>
    <mergeCell ref="M305:M309"/>
    <mergeCell ref="N305:N309"/>
    <mergeCell ref="O305:O309"/>
    <mergeCell ref="P305:P309"/>
    <mergeCell ref="Q305:Q309"/>
    <mergeCell ref="AG305:AG309"/>
    <mergeCell ref="B300:B304"/>
    <mergeCell ref="C300:C304"/>
    <mergeCell ref="D300:D304"/>
    <mergeCell ref="E300:E304"/>
    <mergeCell ref="F300:F304"/>
    <mergeCell ref="G300:G304"/>
    <mergeCell ref="H300:H304"/>
    <mergeCell ref="I300:I304"/>
    <mergeCell ref="J300:J304"/>
    <mergeCell ref="K300:K304"/>
    <mergeCell ref="L300:L304"/>
    <mergeCell ref="M300:M304"/>
    <mergeCell ref="N300:N304"/>
    <mergeCell ref="O300:O304"/>
    <mergeCell ref="P300:P304"/>
    <mergeCell ref="Q300:Q304"/>
    <mergeCell ref="AG300:AG304"/>
    <mergeCell ref="B295:B299"/>
    <mergeCell ref="C295:C299"/>
    <mergeCell ref="D295:D299"/>
    <mergeCell ref="E295:E299"/>
    <mergeCell ref="F295:F299"/>
    <mergeCell ref="G295:G299"/>
    <mergeCell ref="H295:H299"/>
    <mergeCell ref="I295:I299"/>
    <mergeCell ref="J295:J299"/>
    <mergeCell ref="K295:K299"/>
    <mergeCell ref="L295:L299"/>
    <mergeCell ref="M295:M299"/>
    <mergeCell ref="N295:N299"/>
    <mergeCell ref="O295:O299"/>
    <mergeCell ref="P295:P299"/>
    <mergeCell ref="Q295:Q299"/>
    <mergeCell ref="AG295:AG299"/>
    <mergeCell ref="B290:B294"/>
    <mergeCell ref="C290:C294"/>
    <mergeCell ref="D290:D294"/>
    <mergeCell ref="E290:E294"/>
    <mergeCell ref="F290:F294"/>
    <mergeCell ref="G290:G294"/>
    <mergeCell ref="H290:H294"/>
    <mergeCell ref="I290:I294"/>
    <mergeCell ref="J290:J294"/>
    <mergeCell ref="K290:K294"/>
    <mergeCell ref="L290:L294"/>
    <mergeCell ref="M290:M294"/>
    <mergeCell ref="N290:N294"/>
    <mergeCell ref="O290:O294"/>
    <mergeCell ref="P290:P294"/>
    <mergeCell ref="Q290:Q294"/>
    <mergeCell ref="AG290:AG294"/>
    <mergeCell ref="B285:B289"/>
    <mergeCell ref="C285:C289"/>
    <mergeCell ref="D285:D289"/>
    <mergeCell ref="E285:E289"/>
    <mergeCell ref="F285:F289"/>
    <mergeCell ref="G285:G289"/>
    <mergeCell ref="H285:H289"/>
    <mergeCell ref="I285:I289"/>
    <mergeCell ref="J285:J289"/>
    <mergeCell ref="K285:K289"/>
    <mergeCell ref="L285:L289"/>
    <mergeCell ref="M285:M289"/>
    <mergeCell ref="N285:N289"/>
    <mergeCell ref="O285:O289"/>
    <mergeCell ref="P285:P289"/>
    <mergeCell ref="Q285:Q289"/>
    <mergeCell ref="AG285:AG289"/>
    <mergeCell ref="P275:P279"/>
    <mergeCell ref="Q275:Q279"/>
    <mergeCell ref="AG275:AG279"/>
    <mergeCell ref="B280:B284"/>
    <mergeCell ref="C280:C284"/>
    <mergeCell ref="D280:D284"/>
    <mergeCell ref="E280:E284"/>
    <mergeCell ref="F280:F284"/>
    <mergeCell ref="G280:G284"/>
    <mergeCell ref="H280:H284"/>
    <mergeCell ref="I280:I284"/>
    <mergeCell ref="J280:J284"/>
    <mergeCell ref="K280:K284"/>
    <mergeCell ref="L280:L284"/>
    <mergeCell ref="M280:M284"/>
    <mergeCell ref="N280:N284"/>
    <mergeCell ref="O280:O284"/>
    <mergeCell ref="P280:P284"/>
    <mergeCell ref="Q280:Q284"/>
    <mergeCell ref="AG280:AG284"/>
    <mergeCell ref="AD269:AG269"/>
    <mergeCell ref="A270:A339"/>
    <mergeCell ref="B270:B274"/>
    <mergeCell ref="C270:C274"/>
    <mergeCell ref="D270:D274"/>
    <mergeCell ref="E270:E274"/>
    <mergeCell ref="F270:F274"/>
    <mergeCell ref="G270:G274"/>
    <mergeCell ref="H270:H274"/>
    <mergeCell ref="I270:I274"/>
    <mergeCell ref="J270:J274"/>
    <mergeCell ref="K270:K274"/>
    <mergeCell ref="L270:L274"/>
    <mergeCell ref="M270:M274"/>
    <mergeCell ref="N270:N274"/>
    <mergeCell ref="O270:O274"/>
    <mergeCell ref="P270:P274"/>
    <mergeCell ref="Q270:Q274"/>
    <mergeCell ref="AG270:AG274"/>
    <mergeCell ref="B275:B279"/>
    <mergeCell ref="C275:C279"/>
    <mergeCell ref="D275:D279"/>
    <mergeCell ref="E275:E279"/>
    <mergeCell ref="F275:F279"/>
    <mergeCell ref="G275:G279"/>
    <mergeCell ref="H275:H279"/>
    <mergeCell ref="I275:I279"/>
    <mergeCell ref="J275:J279"/>
    <mergeCell ref="K275:K279"/>
    <mergeCell ref="L275:L279"/>
    <mergeCell ref="M275:M279"/>
    <mergeCell ref="N275:N279"/>
    <mergeCell ref="B264:B268"/>
    <mergeCell ref="C264:C268"/>
    <mergeCell ref="D264:D268"/>
    <mergeCell ref="E264:E268"/>
    <mergeCell ref="F264:F268"/>
    <mergeCell ref="G264:G268"/>
    <mergeCell ref="H264:H268"/>
    <mergeCell ref="I264:I268"/>
    <mergeCell ref="J264:J268"/>
    <mergeCell ref="K264:K268"/>
    <mergeCell ref="L264:L268"/>
    <mergeCell ref="M264:M268"/>
    <mergeCell ref="N264:N268"/>
    <mergeCell ref="O264:O268"/>
    <mergeCell ref="P264:P268"/>
    <mergeCell ref="Q264:Q268"/>
    <mergeCell ref="AG264:AG268"/>
    <mergeCell ref="B259:B263"/>
    <mergeCell ref="C259:C263"/>
    <mergeCell ref="D259:D263"/>
    <mergeCell ref="E259:E263"/>
    <mergeCell ref="F259:F263"/>
    <mergeCell ref="G259:G263"/>
    <mergeCell ref="H259:H263"/>
    <mergeCell ref="I259:I263"/>
    <mergeCell ref="J259:J263"/>
    <mergeCell ref="K259:K263"/>
    <mergeCell ref="L259:L263"/>
    <mergeCell ref="M259:M263"/>
    <mergeCell ref="N259:N263"/>
    <mergeCell ref="O259:O263"/>
    <mergeCell ref="P259:P263"/>
    <mergeCell ref="Q259:Q263"/>
    <mergeCell ref="AG259:AG263"/>
    <mergeCell ref="P244:P248"/>
    <mergeCell ref="Q244:Q248"/>
    <mergeCell ref="AG244:AG248"/>
    <mergeCell ref="B249:B253"/>
    <mergeCell ref="C249:C253"/>
    <mergeCell ref="D249:D253"/>
    <mergeCell ref="E249:E253"/>
    <mergeCell ref="F249:F253"/>
    <mergeCell ref="G249:G253"/>
    <mergeCell ref="H249:H253"/>
    <mergeCell ref="I249:I253"/>
    <mergeCell ref="J249:J253"/>
    <mergeCell ref="K249:K253"/>
    <mergeCell ref="L249:L253"/>
    <mergeCell ref="M249:M253"/>
    <mergeCell ref="N249:N253"/>
    <mergeCell ref="O249:O253"/>
    <mergeCell ref="P249:P253"/>
    <mergeCell ref="Q249:Q253"/>
    <mergeCell ref="AG249:AG253"/>
    <mergeCell ref="AG234:AG238"/>
    <mergeCell ref="B239:B243"/>
    <mergeCell ref="C239:C243"/>
    <mergeCell ref="D239:D243"/>
    <mergeCell ref="E239:E243"/>
    <mergeCell ref="F239:F243"/>
    <mergeCell ref="G239:G243"/>
    <mergeCell ref="H239:H243"/>
    <mergeCell ref="I239:I243"/>
    <mergeCell ref="J239:J243"/>
    <mergeCell ref="K239:K243"/>
    <mergeCell ref="L239:L243"/>
    <mergeCell ref="M239:M243"/>
    <mergeCell ref="N239:N243"/>
    <mergeCell ref="O239:O243"/>
    <mergeCell ref="P239:P243"/>
    <mergeCell ref="Q239:Q243"/>
    <mergeCell ref="AG239:AG243"/>
    <mergeCell ref="AD228:AG228"/>
    <mergeCell ref="A229:A268"/>
    <mergeCell ref="B229:B233"/>
    <mergeCell ref="C229:C233"/>
    <mergeCell ref="D229:D233"/>
    <mergeCell ref="E229:E233"/>
    <mergeCell ref="F229:F233"/>
    <mergeCell ref="G229:G233"/>
    <mergeCell ref="H229:H233"/>
    <mergeCell ref="I229:I233"/>
    <mergeCell ref="J229:J233"/>
    <mergeCell ref="K229:K233"/>
    <mergeCell ref="L229:L233"/>
    <mergeCell ref="M229:M233"/>
    <mergeCell ref="N229:N233"/>
    <mergeCell ref="O229:O233"/>
    <mergeCell ref="P229:P233"/>
    <mergeCell ref="Q229:Q233"/>
    <mergeCell ref="AG229:AG233"/>
    <mergeCell ref="B234:B238"/>
    <mergeCell ref="C234:C238"/>
    <mergeCell ref="D234:D238"/>
    <mergeCell ref="E234:E238"/>
    <mergeCell ref="F234:F238"/>
    <mergeCell ref="G234:G238"/>
    <mergeCell ref="H234:H238"/>
    <mergeCell ref="I234:I238"/>
    <mergeCell ref="J234:J238"/>
    <mergeCell ref="K234:K238"/>
    <mergeCell ref="L234:L238"/>
    <mergeCell ref="M234:M238"/>
    <mergeCell ref="N234:N238"/>
    <mergeCell ref="B223:B227"/>
    <mergeCell ref="C223:C227"/>
    <mergeCell ref="D223:D227"/>
    <mergeCell ref="E223:E227"/>
    <mergeCell ref="F223:F227"/>
    <mergeCell ref="G223:G227"/>
    <mergeCell ref="H223:H227"/>
    <mergeCell ref="I223:I227"/>
    <mergeCell ref="J223:J227"/>
    <mergeCell ref="K223:K227"/>
    <mergeCell ref="L223:L227"/>
    <mergeCell ref="M223:M227"/>
    <mergeCell ref="N223:N227"/>
    <mergeCell ref="O223:O227"/>
    <mergeCell ref="P223:P227"/>
    <mergeCell ref="Q223:Q227"/>
    <mergeCell ref="AG223:AG227"/>
    <mergeCell ref="B218:B222"/>
    <mergeCell ref="C218:C222"/>
    <mergeCell ref="D218:D222"/>
    <mergeCell ref="E218:E222"/>
    <mergeCell ref="F218:F222"/>
    <mergeCell ref="G218:G222"/>
    <mergeCell ref="H218:H222"/>
    <mergeCell ref="I218:I222"/>
    <mergeCell ref="J218:J222"/>
    <mergeCell ref="K218:K222"/>
    <mergeCell ref="L218:L222"/>
    <mergeCell ref="M218:M222"/>
    <mergeCell ref="N218:N222"/>
    <mergeCell ref="O218:O222"/>
    <mergeCell ref="P218:P222"/>
    <mergeCell ref="Q218:Q222"/>
    <mergeCell ref="AG218:AG222"/>
    <mergeCell ref="B213:B217"/>
    <mergeCell ref="C213:C217"/>
    <mergeCell ref="D213:D217"/>
    <mergeCell ref="E213:E217"/>
    <mergeCell ref="F213:F217"/>
    <mergeCell ref="G213:G217"/>
    <mergeCell ref="H213:H217"/>
    <mergeCell ref="I213:I217"/>
    <mergeCell ref="J213:J217"/>
    <mergeCell ref="K213:K217"/>
    <mergeCell ref="L213:L217"/>
    <mergeCell ref="M213:M217"/>
    <mergeCell ref="N213:N217"/>
    <mergeCell ref="O213:O217"/>
    <mergeCell ref="P213:P217"/>
    <mergeCell ref="Q213:Q217"/>
    <mergeCell ref="AG213:AG217"/>
    <mergeCell ref="F203:F207"/>
    <mergeCell ref="G203:G207"/>
    <mergeCell ref="H203:H207"/>
    <mergeCell ref="I203:I207"/>
    <mergeCell ref="J203:J207"/>
    <mergeCell ref="K203:K207"/>
    <mergeCell ref="L203:L207"/>
    <mergeCell ref="M203:M207"/>
    <mergeCell ref="N203:N207"/>
    <mergeCell ref="O203:O207"/>
    <mergeCell ref="P203:P207"/>
    <mergeCell ref="Q203:Q207"/>
    <mergeCell ref="AG203:AG207"/>
    <mergeCell ref="B208:B212"/>
    <mergeCell ref="C208:C212"/>
    <mergeCell ref="D208:D212"/>
    <mergeCell ref="E208:E212"/>
    <mergeCell ref="F208:F212"/>
    <mergeCell ref="G208:G212"/>
    <mergeCell ref="H208:H212"/>
    <mergeCell ref="I208:I212"/>
    <mergeCell ref="J208:J212"/>
    <mergeCell ref="K208:K212"/>
    <mergeCell ref="L208:L212"/>
    <mergeCell ref="M208:M212"/>
    <mergeCell ref="N208:N212"/>
    <mergeCell ref="O208:O212"/>
    <mergeCell ref="P208:P212"/>
    <mergeCell ref="Q208:Q212"/>
    <mergeCell ref="AG208:AG212"/>
    <mergeCell ref="A191:A227"/>
    <mergeCell ref="B193:B197"/>
    <mergeCell ref="C193:C197"/>
    <mergeCell ref="D193:D197"/>
    <mergeCell ref="E193:E197"/>
    <mergeCell ref="F193:F197"/>
    <mergeCell ref="G193:G197"/>
    <mergeCell ref="H193:H197"/>
    <mergeCell ref="I193:I197"/>
    <mergeCell ref="J193:J197"/>
    <mergeCell ref="K193:K197"/>
    <mergeCell ref="L193:L197"/>
    <mergeCell ref="M193:M197"/>
    <mergeCell ref="N193:N197"/>
    <mergeCell ref="O193:O197"/>
    <mergeCell ref="P193:P197"/>
    <mergeCell ref="Q193:Q197"/>
    <mergeCell ref="B198:B202"/>
    <mergeCell ref="C198:C202"/>
    <mergeCell ref="D198:D202"/>
    <mergeCell ref="E198:E202"/>
    <mergeCell ref="F198:F202"/>
    <mergeCell ref="G198:G202"/>
    <mergeCell ref="H198:H202"/>
    <mergeCell ref="I198:I202"/>
    <mergeCell ref="J198:J202"/>
    <mergeCell ref="K198:K202"/>
    <mergeCell ref="L198:L202"/>
    <mergeCell ref="M198:M202"/>
    <mergeCell ref="N198:N202"/>
    <mergeCell ref="O198:O202"/>
    <mergeCell ref="P198:P202"/>
    <mergeCell ref="P183:P187"/>
    <mergeCell ref="Q183:Q187"/>
    <mergeCell ref="AG183:AG187"/>
    <mergeCell ref="B188:B192"/>
    <mergeCell ref="C188:C192"/>
    <mergeCell ref="D188:D192"/>
    <mergeCell ref="E188:E192"/>
    <mergeCell ref="F188:F192"/>
    <mergeCell ref="G188:G192"/>
    <mergeCell ref="H188:H192"/>
    <mergeCell ref="I188:I192"/>
    <mergeCell ref="J188:J192"/>
    <mergeCell ref="K188:K192"/>
    <mergeCell ref="L188:L192"/>
    <mergeCell ref="M188:M192"/>
    <mergeCell ref="N188:N192"/>
    <mergeCell ref="O188:O192"/>
    <mergeCell ref="P188:P192"/>
    <mergeCell ref="Q188:Q192"/>
    <mergeCell ref="AG188:AG192"/>
    <mergeCell ref="J183:J187"/>
    <mergeCell ref="K183:K187"/>
    <mergeCell ref="L183:L187"/>
    <mergeCell ref="M183:M187"/>
    <mergeCell ref="N183:N187"/>
    <mergeCell ref="O183:O187"/>
    <mergeCell ref="M173:M177"/>
    <mergeCell ref="N173:N177"/>
    <mergeCell ref="O173:O177"/>
    <mergeCell ref="P173:P177"/>
    <mergeCell ref="Q173:Q177"/>
    <mergeCell ref="AG173:AG177"/>
    <mergeCell ref="B178:B182"/>
    <mergeCell ref="C178:C182"/>
    <mergeCell ref="D178:D182"/>
    <mergeCell ref="E178:E182"/>
    <mergeCell ref="F178:F182"/>
    <mergeCell ref="G178:G182"/>
    <mergeCell ref="H178:H182"/>
    <mergeCell ref="I178:I182"/>
    <mergeCell ref="J178:J182"/>
    <mergeCell ref="K178:K182"/>
    <mergeCell ref="L178:L182"/>
    <mergeCell ref="M178:M182"/>
    <mergeCell ref="N178:N182"/>
    <mergeCell ref="O178:O182"/>
    <mergeCell ref="P178:P182"/>
    <mergeCell ref="Q178:Q182"/>
    <mergeCell ref="AG178:AG182"/>
    <mergeCell ref="Q162:Q166"/>
    <mergeCell ref="AG162:AG166"/>
    <mergeCell ref="AD167:AG167"/>
    <mergeCell ref="A168:A190"/>
    <mergeCell ref="B168:B172"/>
    <mergeCell ref="C168:C172"/>
    <mergeCell ref="D168:D172"/>
    <mergeCell ref="E168:E172"/>
    <mergeCell ref="F168:F172"/>
    <mergeCell ref="G168:G172"/>
    <mergeCell ref="H168:H172"/>
    <mergeCell ref="I168:I172"/>
    <mergeCell ref="J168:J172"/>
    <mergeCell ref="K168:K172"/>
    <mergeCell ref="L168:L172"/>
    <mergeCell ref="M168:M172"/>
    <mergeCell ref="N168:N172"/>
    <mergeCell ref="O168:O172"/>
    <mergeCell ref="P168:P172"/>
    <mergeCell ref="Q168:Q172"/>
    <mergeCell ref="AG168:AG172"/>
    <mergeCell ref="B173:B177"/>
    <mergeCell ref="C173:C177"/>
    <mergeCell ref="D173:D177"/>
    <mergeCell ref="E173:E177"/>
    <mergeCell ref="F173:F177"/>
    <mergeCell ref="G173:G177"/>
    <mergeCell ref="H173:H177"/>
    <mergeCell ref="I173:I177"/>
    <mergeCell ref="J173:J177"/>
    <mergeCell ref="K173:K177"/>
    <mergeCell ref="L173:L177"/>
    <mergeCell ref="A156:A166"/>
    <mergeCell ref="B157:B161"/>
    <mergeCell ref="C157:C161"/>
    <mergeCell ref="D157:D161"/>
    <mergeCell ref="E157:E161"/>
    <mergeCell ref="F157:F161"/>
    <mergeCell ref="G157:G161"/>
    <mergeCell ref="H157:H161"/>
    <mergeCell ref="I157:I161"/>
    <mergeCell ref="J157:J161"/>
    <mergeCell ref="K157:K161"/>
    <mergeCell ref="L157:L161"/>
    <mergeCell ref="M157:M161"/>
    <mergeCell ref="N157:N161"/>
    <mergeCell ref="O157:O161"/>
    <mergeCell ref="P157:P161"/>
    <mergeCell ref="Q157:Q161"/>
    <mergeCell ref="B162:B166"/>
    <mergeCell ref="C162:C166"/>
    <mergeCell ref="D162:D166"/>
    <mergeCell ref="E162:E166"/>
    <mergeCell ref="F162:F166"/>
    <mergeCell ref="G162:G166"/>
    <mergeCell ref="H162:H166"/>
    <mergeCell ref="I162:I166"/>
    <mergeCell ref="J162:J166"/>
    <mergeCell ref="K162:K166"/>
    <mergeCell ref="L162:L166"/>
    <mergeCell ref="M162:M166"/>
    <mergeCell ref="N162:N166"/>
    <mergeCell ref="O162:O166"/>
    <mergeCell ref="P162:P166"/>
    <mergeCell ref="B152:B156"/>
    <mergeCell ref="C152:C156"/>
    <mergeCell ref="D152:D156"/>
    <mergeCell ref="E152:E156"/>
    <mergeCell ref="F152:F156"/>
    <mergeCell ref="G152:G156"/>
    <mergeCell ref="H152:H156"/>
    <mergeCell ref="I152:I156"/>
    <mergeCell ref="J152:J156"/>
    <mergeCell ref="K152:K156"/>
    <mergeCell ref="L152:L156"/>
    <mergeCell ref="M152:M156"/>
    <mergeCell ref="N152:N156"/>
    <mergeCell ref="O152:O156"/>
    <mergeCell ref="P152:P156"/>
    <mergeCell ref="Q152:Q156"/>
    <mergeCell ref="AG152:AG156"/>
    <mergeCell ref="B147:B151"/>
    <mergeCell ref="C147:C151"/>
    <mergeCell ref="D147:D151"/>
    <mergeCell ref="E147:E151"/>
    <mergeCell ref="F147:F151"/>
    <mergeCell ref="G147:G151"/>
    <mergeCell ref="H147:H151"/>
    <mergeCell ref="I147:I151"/>
    <mergeCell ref="J147:J151"/>
    <mergeCell ref="K147:K151"/>
    <mergeCell ref="L147:L151"/>
    <mergeCell ref="M147:M151"/>
    <mergeCell ref="N147:N151"/>
    <mergeCell ref="O147:O151"/>
    <mergeCell ref="P147:P151"/>
    <mergeCell ref="Q147:Q151"/>
    <mergeCell ref="AG147:AG151"/>
    <mergeCell ref="H137:H141"/>
    <mergeCell ref="I137:I141"/>
    <mergeCell ref="J137:J141"/>
    <mergeCell ref="K137:K141"/>
    <mergeCell ref="L137:L141"/>
    <mergeCell ref="M137:M141"/>
    <mergeCell ref="N137:N141"/>
    <mergeCell ref="O137:O141"/>
    <mergeCell ref="P137:P141"/>
    <mergeCell ref="Q137:Q141"/>
    <mergeCell ref="AG137:AG141"/>
    <mergeCell ref="B142:B146"/>
    <mergeCell ref="C142:C146"/>
    <mergeCell ref="D142:D146"/>
    <mergeCell ref="E142:E146"/>
    <mergeCell ref="F142:F146"/>
    <mergeCell ref="G142:G146"/>
    <mergeCell ref="H142:H146"/>
    <mergeCell ref="I142:I146"/>
    <mergeCell ref="J142:J146"/>
    <mergeCell ref="K142:K146"/>
    <mergeCell ref="L142:L146"/>
    <mergeCell ref="M142:M146"/>
    <mergeCell ref="N142:N146"/>
    <mergeCell ref="O142:O146"/>
    <mergeCell ref="P142:P146"/>
    <mergeCell ref="Q142:Q146"/>
    <mergeCell ref="AG142:AG146"/>
    <mergeCell ref="B137:B141"/>
    <mergeCell ref="C137:C141"/>
    <mergeCell ref="D137:D141"/>
    <mergeCell ref="E137:E141"/>
    <mergeCell ref="L127:L131"/>
    <mergeCell ref="M127:M131"/>
    <mergeCell ref="N127:N131"/>
    <mergeCell ref="O127:O131"/>
    <mergeCell ref="P127:P131"/>
    <mergeCell ref="Q127:Q131"/>
    <mergeCell ref="AG127:AG131"/>
    <mergeCell ref="B132:B136"/>
    <mergeCell ref="C132:C136"/>
    <mergeCell ref="D132:D136"/>
    <mergeCell ref="E132:E136"/>
    <mergeCell ref="F132:F136"/>
    <mergeCell ref="G132:G136"/>
    <mergeCell ref="H132:H136"/>
    <mergeCell ref="I132:I136"/>
    <mergeCell ref="J132:J136"/>
    <mergeCell ref="K132:K136"/>
    <mergeCell ref="L132:L136"/>
    <mergeCell ref="M132:M136"/>
    <mergeCell ref="N132:N136"/>
    <mergeCell ref="O132:O136"/>
    <mergeCell ref="P132:P136"/>
    <mergeCell ref="Q132:Q136"/>
    <mergeCell ref="AG132:AG136"/>
    <mergeCell ref="E127:E131"/>
    <mergeCell ref="F127:F131"/>
    <mergeCell ref="G127:G131"/>
    <mergeCell ref="H127:H131"/>
    <mergeCell ref="I127:I131"/>
    <mergeCell ref="J127:J131"/>
    <mergeCell ref="K127:K131"/>
    <mergeCell ref="D127:D131"/>
    <mergeCell ref="A116:A155"/>
    <mergeCell ref="B117:B121"/>
    <mergeCell ref="C117:C121"/>
    <mergeCell ref="D117:D121"/>
    <mergeCell ref="E117:E121"/>
    <mergeCell ref="F117:F121"/>
    <mergeCell ref="G117:G121"/>
    <mergeCell ref="H117:H121"/>
    <mergeCell ref="I117:I121"/>
    <mergeCell ref="J117:J121"/>
    <mergeCell ref="K117:K121"/>
    <mergeCell ref="L117:L121"/>
    <mergeCell ref="M117:M121"/>
    <mergeCell ref="N117:N121"/>
    <mergeCell ref="O117:O121"/>
    <mergeCell ref="P117:P121"/>
    <mergeCell ref="Q117:Q121"/>
    <mergeCell ref="B122:B126"/>
    <mergeCell ref="C122:C126"/>
    <mergeCell ref="D122:D126"/>
    <mergeCell ref="E122:E126"/>
    <mergeCell ref="F122:F126"/>
    <mergeCell ref="G122:G126"/>
    <mergeCell ref="H122:H126"/>
    <mergeCell ref="I122:I126"/>
    <mergeCell ref="J122:J126"/>
    <mergeCell ref="K122:K126"/>
    <mergeCell ref="L122:L126"/>
    <mergeCell ref="M122:M126"/>
    <mergeCell ref="N122:N126"/>
    <mergeCell ref="O122:O126"/>
    <mergeCell ref="P122:P126"/>
    <mergeCell ref="B112:B116"/>
    <mergeCell ref="C112:C116"/>
    <mergeCell ref="D112:D116"/>
    <mergeCell ref="E112:E116"/>
    <mergeCell ref="F112:F116"/>
    <mergeCell ref="G112:G116"/>
    <mergeCell ref="H112:H116"/>
    <mergeCell ref="I112:I116"/>
    <mergeCell ref="J112:J116"/>
    <mergeCell ref="K112:K116"/>
    <mergeCell ref="L112:L116"/>
    <mergeCell ref="M112:M116"/>
    <mergeCell ref="N112:N116"/>
    <mergeCell ref="O112:O116"/>
    <mergeCell ref="P112:P116"/>
    <mergeCell ref="Q112:Q116"/>
    <mergeCell ref="AG112:AG116"/>
    <mergeCell ref="L95:L99"/>
    <mergeCell ref="M95:M99"/>
    <mergeCell ref="N95:N99"/>
    <mergeCell ref="O95:O99"/>
    <mergeCell ref="P95:P99"/>
    <mergeCell ref="Q95:Q99"/>
    <mergeCell ref="AG95:AG99"/>
    <mergeCell ref="B100:B111"/>
    <mergeCell ref="C100:C111"/>
    <mergeCell ref="D100:D111"/>
    <mergeCell ref="E100:E111"/>
    <mergeCell ref="F100:F111"/>
    <mergeCell ref="G100:G111"/>
    <mergeCell ref="H100:H111"/>
    <mergeCell ref="I100:I111"/>
    <mergeCell ref="J100:J111"/>
    <mergeCell ref="K100:K111"/>
    <mergeCell ref="L100:L111"/>
    <mergeCell ref="M100:M111"/>
    <mergeCell ref="N100:N111"/>
    <mergeCell ref="O100:O111"/>
    <mergeCell ref="P100:P111"/>
    <mergeCell ref="Q100:Q111"/>
    <mergeCell ref="AG100:AG111"/>
    <mergeCell ref="B95:B99"/>
    <mergeCell ref="C95:C99"/>
    <mergeCell ref="E95:E99"/>
    <mergeCell ref="F95:F99"/>
    <mergeCell ref="G95:G99"/>
    <mergeCell ref="H95:H99"/>
    <mergeCell ref="I95:I99"/>
    <mergeCell ref="J95:J99"/>
    <mergeCell ref="P85:P89"/>
    <mergeCell ref="Q85:Q89"/>
    <mergeCell ref="AG85:AG89"/>
    <mergeCell ref="B90:B94"/>
    <mergeCell ref="C90:C94"/>
    <mergeCell ref="D90:D94"/>
    <mergeCell ref="E90:E94"/>
    <mergeCell ref="F90:F94"/>
    <mergeCell ref="G90:G94"/>
    <mergeCell ref="H90:H94"/>
    <mergeCell ref="I90:I94"/>
    <mergeCell ref="J90:J94"/>
    <mergeCell ref="K90:K94"/>
    <mergeCell ref="L90:L94"/>
    <mergeCell ref="M90:M94"/>
    <mergeCell ref="N90:N94"/>
    <mergeCell ref="O90:O94"/>
    <mergeCell ref="P90:P94"/>
    <mergeCell ref="Q90:Q94"/>
    <mergeCell ref="AG90:AG94"/>
    <mergeCell ref="B85:B89"/>
    <mergeCell ref="C85:C89"/>
    <mergeCell ref="AD74:AG74"/>
    <mergeCell ref="A75:A115"/>
    <mergeCell ref="B75:B79"/>
    <mergeCell ref="C75:C79"/>
    <mergeCell ref="D75:D79"/>
    <mergeCell ref="E75:E79"/>
    <mergeCell ref="F75:F79"/>
    <mergeCell ref="G75:G79"/>
    <mergeCell ref="H75:H79"/>
    <mergeCell ref="I75:I79"/>
    <mergeCell ref="J75:J79"/>
    <mergeCell ref="K75:K79"/>
    <mergeCell ref="L75:L79"/>
    <mergeCell ref="M75:M79"/>
    <mergeCell ref="N75:N79"/>
    <mergeCell ref="O75:O79"/>
    <mergeCell ref="P75:P79"/>
    <mergeCell ref="Q75:Q79"/>
    <mergeCell ref="AG75:AG79"/>
    <mergeCell ref="B80:B84"/>
    <mergeCell ref="C80:C84"/>
    <mergeCell ref="D80:D84"/>
    <mergeCell ref="E80:E84"/>
    <mergeCell ref="F80:F84"/>
    <mergeCell ref="G80:G84"/>
    <mergeCell ref="H80:H84"/>
    <mergeCell ref="I80:I84"/>
    <mergeCell ref="J80:J84"/>
    <mergeCell ref="K80:K84"/>
    <mergeCell ref="L80:L84"/>
    <mergeCell ref="M80:M84"/>
    <mergeCell ref="N80:N84"/>
    <mergeCell ref="N44:N48"/>
    <mergeCell ref="O44:O48"/>
    <mergeCell ref="M59:M63"/>
    <mergeCell ref="N59:N63"/>
    <mergeCell ref="O59:O63"/>
    <mergeCell ref="P59:P63"/>
    <mergeCell ref="Q59:Q63"/>
    <mergeCell ref="AG59:AG63"/>
    <mergeCell ref="L64:L68"/>
    <mergeCell ref="M64:M68"/>
    <mergeCell ref="N64:N68"/>
    <mergeCell ref="O64:O68"/>
    <mergeCell ref="P64:P68"/>
    <mergeCell ref="Q64:Q68"/>
    <mergeCell ref="AG64:AG68"/>
    <mergeCell ref="B69:B73"/>
    <mergeCell ref="C69:C73"/>
    <mergeCell ref="D69:D73"/>
    <mergeCell ref="E69:E73"/>
    <mergeCell ref="F69:F73"/>
    <mergeCell ref="G69:G73"/>
    <mergeCell ref="H69:H73"/>
    <mergeCell ref="I69:I73"/>
    <mergeCell ref="J69:J73"/>
    <mergeCell ref="K69:K73"/>
    <mergeCell ref="L69:L73"/>
    <mergeCell ref="M69:M73"/>
    <mergeCell ref="N69:N73"/>
    <mergeCell ref="O69:O73"/>
    <mergeCell ref="P69:P73"/>
    <mergeCell ref="Q69:Q73"/>
    <mergeCell ref="AG69:AG73"/>
    <mergeCell ref="P34:P38"/>
    <mergeCell ref="Q34:Q38"/>
    <mergeCell ref="AG44:AG48"/>
    <mergeCell ref="B49:B53"/>
    <mergeCell ref="C49:C53"/>
    <mergeCell ref="D49:D53"/>
    <mergeCell ref="E49:E53"/>
    <mergeCell ref="F49:F53"/>
    <mergeCell ref="G49:G53"/>
    <mergeCell ref="H49:H53"/>
    <mergeCell ref="I49:I53"/>
    <mergeCell ref="J49:J53"/>
    <mergeCell ref="K49:K53"/>
    <mergeCell ref="L49:L53"/>
    <mergeCell ref="M49:M53"/>
    <mergeCell ref="N49:N53"/>
    <mergeCell ref="O49:O53"/>
    <mergeCell ref="P49:P53"/>
    <mergeCell ref="Q49:Q53"/>
    <mergeCell ref="AG49:AG53"/>
    <mergeCell ref="B44:B48"/>
    <mergeCell ref="C44:C48"/>
    <mergeCell ref="D44:D48"/>
    <mergeCell ref="E44:E48"/>
    <mergeCell ref="F44:F48"/>
    <mergeCell ref="G44:G48"/>
    <mergeCell ref="H44:H48"/>
    <mergeCell ref="I44:I48"/>
    <mergeCell ref="J44:J48"/>
    <mergeCell ref="K44:K48"/>
    <mergeCell ref="L44:L48"/>
    <mergeCell ref="M44:M48"/>
    <mergeCell ref="A34:A73"/>
    <mergeCell ref="B34:B38"/>
    <mergeCell ref="C34:C38"/>
    <mergeCell ref="D34:D38"/>
    <mergeCell ref="E34:E38"/>
    <mergeCell ref="F34:F38"/>
    <mergeCell ref="G34:G38"/>
    <mergeCell ref="H34:H38"/>
    <mergeCell ref="I34:I38"/>
    <mergeCell ref="J34:J38"/>
    <mergeCell ref="K34:K38"/>
    <mergeCell ref="L34:L38"/>
    <mergeCell ref="B59:B63"/>
    <mergeCell ref="C59:C63"/>
    <mergeCell ref="D59:D63"/>
    <mergeCell ref="E59:E63"/>
    <mergeCell ref="F59:F63"/>
    <mergeCell ref="G59:G63"/>
    <mergeCell ref="H59:H63"/>
    <mergeCell ref="I59:I63"/>
    <mergeCell ref="J59:J63"/>
    <mergeCell ref="K59:K63"/>
    <mergeCell ref="L59:L63"/>
    <mergeCell ref="H64:H68"/>
    <mergeCell ref="I64:I68"/>
    <mergeCell ref="B39:B43"/>
    <mergeCell ref="C39:C43"/>
    <mergeCell ref="D39:D43"/>
    <mergeCell ref="E39:E43"/>
    <mergeCell ref="F39:F43"/>
    <mergeCell ref="G39:G43"/>
    <mergeCell ref="H39:H43"/>
    <mergeCell ref="H29:H33"/>
    <mergeCell ref="I29:I33"/>
    <mergeCell ref="J29:J33"/>
    <mergeCell ref="K29:K33"/>
    <mergeCell ref="L29:L33"/>
    <mergeCell ref="M29:M33"/>
    <mergeCell ref="N29:N33"/>
    <mergeCell ref="O29:O33"/>
    <mergeCell ref="P29:P33"/>
    <mergeCell ref="Q29:Q33"/>
    <mergeCell ref="AG29:AG33"/>
    <mergeCell ref="P44:P48"/>
    <mergeCell ref="Q44:Q48"/>
    <mergeCell ref="B24:B28"/>
    <mergeCell ref="C24:C28"/>
    <mergeCell ref="D24:D28"/>
    <mergeCell ref="E24:E28"/>
    <mergeCell ref="F24:F28"/>
    <mergeCell ref="AG34:AG38"/>
    <mergeCell ref="I39:I43"/>
    <mergeCell ref="J39:J43"/>
    <mergeCell ref="K39:K43"/>
    <mergeCell ref="L39:L43"/>
    <mergeCell ref="M39:M43"/>
    <mergeCell ref="N39:N43"/>
    <mergeCell ref="O39:O43"/>
    <mergeCell ref="P39:P43"/>
    <mergeCell ref="Q39:Q43"/>
    <mergeCell ref="AG39:AG43"/>
    <mergeCell ref="M34:M38"/>
    <mergeCell ref="N34:N38"/>
    <mergeCell ref="O34:O38"/>
    <mergeCell ref="AG9:AG13"/>
    <mergeCell ref="B14:B18"/>
    <mergeCell ref="C14:C18"/>
    <mergeCell ref="D14:D18"/>
    <mergeCell ref="E14:E18"/>
    <mergeCell ref="F14:F18"/>
    <mergeCell ref="G14:G18"/>
    <mergeCell ref="H14:H18"/>
    <mergeCell ref="I14:I18"/>
    <mergeCell ref="J14:J18"/>
    <mergeCell ref="K14:K18"/>
    <mergeCell ref="L14:L18"/>
    <mergeCell ref="O14:O18"/>
    <mergeCell ref="P14:P18"/>
    <mergeCell ref="Q14:Q18"/>
    <mergeCell ref="AG14:AG18"/>
    <mergeCell ref="B19:B23"/>
    <mergeCell ref="C19:C23"/>
    <mergeCell ref="D19:D23"/>
    <mergeCell ref="E19:E23"/>
    <mergeCell ref="F19:F23"/>
    <mergeCell ref="G19:G23"/>
    <mergeCell ref="H19:H23"/>
    <mergeCell ref="I19:I23"/>
    <mergeCell ref="J19:J23"/>
    <mergeCell ref="K19:K23"/>
    <mergeCell ref="L19:L23"/>
    <mergeCell ref="M19:M23"/>
    <mergeCell ref="N19:N23"/>
    <mergeCell ref="O19:O23"/>
    <mergeCell ref="P19:P23"/>
    <mergeCell ref="Q19:Q23"/>
    <mergeCell ref="A9:A33"/>
    <mergeCell ref="B9:B13"/>
    <mergeCell ref="C9:C13"/>
    <mergeCell ref="D9:D13"/>
    <mergeCell ref="E9:E13"/>
    <mergeCell ref="F9:F13"/>
    <mergeCell ref="G9:G13"/>
    <mergeCell ref="H9:H13"/>
    <mergeCell ref="I9:I13"/>
    <mergeCell ref="J9:J13"/>
    <mergeCell ref="K9:K13"/>
    <mergeCell ref="L9:L13"/>
    <mergeCell ref="M9:M13"/>
    <mergeCell ref="N9:N13"/>
    <mergeCell ref="O9:O13"/>
    <mergeCell ref="P9:P13"/>
    <mergeCell ref="Q9:Q13"/>
    <mergeCell ref="G24:G28"/>
    <mergeCell ref="J24:J28"/>
    <mergeCell ref="K24:K28"/>
    <mergeCell ref="L24:L28"/>
    <mergeCell ref="M24:M28"/>
    <mergeCell ref="N24:N28"/>
    <mergeCell ref="O24:O28"/>
    <mergeCell ref="P24:P28"/>
    <mergeCell ref="Q24:Q28"/>
    <mergeCell ref="B29:B33"/>
    <mergeCell ref="C29:C33"/>
    <mergeCell ref="D29:D33"/>
    <mergeCell ref="E29:E33"/>
    <mergeCell ref="F29:F33"/>
    <mergeCell ref="G29:G33"/>
    <mergeCell ref="A6:A8"/>
    <mergeCell ref="B6:C6"/>
    <mergeCell ref="D6:H6"/>
    <mergeCell ref="I6:Q6"/>
    <mergeCell ref="R6:AG6"/>
    <mergeCell ref="B7:B8"/>
    <mergeCell ref="C7:C8"/>
    <mergeCell ref="D7:D8"/>
    <mergeCell ref="E7:E8"/>
    <mergeCell ref="F7:F8"/>
    <mergeCell ref="G7:G8"/>
    <mergeCell ref="H7:H8"/>
    <mergeCell ref="I7:I8"/>
    <mergeCell ref="J7:J8"/>
    <mergeCell ref="K7:K8"/>
    <mergeCell ref="L7:N7"/>
    <mergeCell ref="O7:O8"/>
    <mergeCell ref="P7:P8"/>
    <mergeCell ref="Q7:Q8"/>
    <mergeCell ref="R7:X7"/>
    <mergeCell ref="AD7:AF7"/>
    <mergeCell ref="AG7:AG8"/>
    <mergeCell ref="C356:C360"/>
    <mergeCell ref="Q198:Q202"/>
    <mergeCell ref="B203:B207"/>
    <mergeCell ref="C203:C207"/>
    <mergeCell ref="D203:D207"/>
    <mergeCell ref="O234:O238"/>
    <mergeCell ref="P234:P238"/>
    <mergeCell ref="Q234:Q238"/>
    <mergeCell ref="B244:B248"/>
    <mergeCell ref="C244:C248"/>
    <mergeCell ref="D244:D248"/>
    <mergeCell ref="E244:E248"/>
    <mergeCell ref="F244:F248"/>
    <mergeCell ref="G244:G248"/>
    <mergeCell ref="H244:H248"/>
    <mergeCell ref="I244:I248"/>
    <mergeCell ref="J244:J248"/>
    <mergeCell ref="K244:K248"/>
    <mergeCell ref="L244:L248"/>
    <mergeCell ref="M244:M248"/>
    <mergeCell ref="N244:N248"/>
    <mergeCell ref="O244:O248"/>
    <mergeCell ref="B254:B258"/>
    <mergeCell ref="C254:C258"/>
    <mergeCell ref="D254:D258"/>
    <mergeCell ref="E254:E258"/>
    <mergeCell ref="F254:F258"/>
    <mergeCell ref="G254:G258"/>
    <mergeCell ref="H254:H258"/>
    <mergeCell ref="I254:I258"/>
    <mergeCell ref="J254:J258"/>
    <mergeCell ref="E203:E207"/>
    <mergeCell ref="D54:D58"/>
    <mergeCell ref="E54:E58"/>
    <mergeCell ref="F54:F58"/>
    <mergeCell ref="G54:G58"/>
    <mergeCell ref="H54:H58"/>
    <mergeCell ref="I54:I58"/>
    <mergeCell ref="J54:J58"/>
    <mergeCell ref="K54:K58"/>
    <mergeCell ref="L54:L58"/>
    <mergeCell ref="AG80:AG84"/>
    <mergeCell ref="AG117:AG121"/>
    <mergeCell ref="AG122:AG126"/>
    <mergeCell ref="AG157:AG161"/>
    <mergeCell ref="AG193:AG197"/>
    <mergeCell ref="AG198:AG202"/>
    <mergeCell ref="D85:D89"/>
    <mergeCell ref="E85:E89"/>
    <mergeCell ref="F85:F89"/>
    <mergeCell ref="G85:G89"/>
    <mergeCell ref="H85:H89"/>
    <mergeCell ref="I85:I89"/>
    <mergeCell ref="J85:J89"/>
    <mergeCell ref="K85:K89"/>
    <mergeCell ref="L85:L89"/>
    <mergeCell ref="D95:D99"/>
    <mergeCell ref="AG54:AG58"/>
    <mergeCell ref="D64:D68"/>
    <mergeCell ref="E64:E68"/>
    <mergeCell ref="J64:J68"/>
    <mergeCell ref="K64:K68"/>
    <mergeCell ref="F64:F68"/>
    <mergeCell ref="G64:G68"/>
    <mergeCell ref="AG569:AG573"/>
    <mergeCell ref="AD709:AG709"/>
    <mergeCell ref="AD710:AG710"/>
    <mergeCell ref="R711:AG711"/>
    <mergeCell ref="M14:M18"/>
    <mergeCell ref="N14:N18"/>
    <mergeCell ref="O80:O84"/>
    <mergeCell ref="P80:P84"/>
    <mergeCell ref="Q80:Q84"/>
    <mergeCell ref="M85:M89"/>
    <mergeCell ref="N85:N89"/>
    <mergeCell ref="O85:O89"/>
    <mergeCell ref="O275:O279"/>
    <mergeCell ref="Q417:Q421"/>
    <mergeCell ref="P548:P552"/>
    <mergeCell ref="Q548:Q552"/>
    <mergeCell ref="O518:O522"/>
    <mergeCell ref="AD340:AG340"/>
    <mergeCell ref="AG341:AG345"/>
    <mergeCell ref="AD411:AG411"/>
    <mergeCell ref="AG412:AG416"/>
    <mergeCell ref="AG417:AG421"/>
    <mergeCell ref="AG508:AG512"/>
    <mergeCell ref="AG513:AG517"/>
    <mergeCell ref="AG518:AG522"/>
    <mergeCell ref="AG523:AG527"/>
    <mergeCell ref="AD487:AG487"/>
    <mergeCell ref="P559:P563"/>
    <mergeCell ref="Q559:Q563"/>
    <mergeCell ref="AG19:AG23"/>
    <mergeCell ref="AG24:AG28"/>
    <mergeCell ref="P645:P649"/>
    <mergeCell ref="F137:F141"/>
    <mergeCell ref="G137:G141"/>
    <mergeCell ref="AD558:AG558"/>
    <mergeCell ref="AG574:AG578"/>
    <mergeCell ref="Q579:Q583"/>
    <mergeCell ref="AG579:AG583"/>
    <mergeCell ref="AG488:AG492"/>
    <mergeCell ref="AG493:AG497"/>
    <mergeCell ref="AG528:AG532"/>
    <mergeCell ref="AG533:AG537"/>
    <mergeCell ref="AG538:AG542"/>
    <mergeCell ref="AG543:AG547"/>
    <mergeCell ref="AG548:AG552"/>
    <mergeCell ref="K254:K258"/>
    <mergeCell ref="L254:L258"/>
    <mergeCell ref="M254:M258"/>
    <mergeCell ref="N254:N258"/>
    <mergeCell ref="O254:O258"/>
    <mergeCell ref="P254:P258"/>
    <mergeCell ref="Q254:Q258"/>
    <mergeCell ref="I548:I552"/>
    <mergeCell ref="J548:J552"/>
    <mergeCell ref="Q569:Q573"/>
    <mergeCell ref="F569:F573"/>
    <mergeCell ref="G569:G573"/>
    <mergeCell ref="H569:H573"/>
    <mergeCell ref="L559:L563"/>
    <mergeCell ref="M559:M563"/>
    <mergeCell ref="N559:N563"/>
    <mergeCell ref="O559:O563"/>
    <mergeCell ref="AG559:AG563"/>
    <mergeCell ref="AG564:AG568"/>
    <mergeCell ref="B356:B360"/>
    <mergeCell ref="H559:H563"/>
    <mergeCell ref="I559:I563"/>
    <mergeCell ref="H24:H28"/>
    <mergeCell ref="I24:I28"/>
    <mergeCell ref="B54:B58"/>
    <mergeCell ref="C54:C58"/>
    <mergeCell ref="M54:M58"/>
    <mergeCell ref="N54:N58"/>
    <mergeCell ref="O54:O58"/>
    <mergeCell ref="P54:P58"/>
    <mergeCell ref="Q54:Q58"/>
    <mergeCell ref="B64:B68"/>
    <mergeCell ref="C64:C68"/>
    <mergeCell ref="B183:B187"/>
    <mergeCell ref="C183:C187"/>
    <mergeCell ref="D183:D187"/>
    <mergeCell ref="E183:E187"/>
    <mergeCell ref="F183:F187"/>
    <mergeCell ref="G183:G187"/>
    <mergeCell ref="H183:H187"/>
    <mergeCell ref="I183:I187"/>
    <mergeCell ref="Q493:Q497"/>
    <mergeCell ref="D508:D512"/>
    <mergeCell ref="I508:I512"/>
    <mergeCell ref="O508:O512"/>
    <mergeCell ref="P508:P512"/>
    <mergeCell ref="Q508:Q512"/>
    <mergeCell ref="K95:K99"/>
    <mergeCell ref="Q122:Q126"/>
    <mergeCell ref="B127:B131"/>
    <mergeCell ref="C127:C131"/>
    <mergeCell ref="G508:G512"/>
    <mergeCell ref="H508:H512"/>
    <mergeCell ref="J508:J512"/>
    <mergeCell ref="K508:K512"/>
    <mergeCell ref="L508:L512"/>
    <mergeCell ref="M508:M512"/>
    <mergeCell ref="N508:N512"/>
    <mergeCell ref="E508:E512"/>
    <mergeCell ref="F508:F512"/>
    <mergeCell ref="D513:D517"/>
    <mergeCell ref="E513:E517"/>
    <mergeCell ref="H518:H522"/>
    <mergeCell ref="K538:K542"/>
    <mergeCell ref="O635:O639"/>
    <mergeCell ref="P635:P639"/>
    <mergeCell ref="Q635:Q639"/>
    <mergeCell ref="D635:D639"/>
    <mergeCell ref="E635:E639"/>
    <mergeCell ref="F635:F639"/>
    <mergeCell ref="G635:G639"/>
    <mergeCell ref="H635:H639"/>
    <mergeCell ref="I635:I639"/>
    <mergeCell ref="J635:J639"/>
    <mergeCell ref="F559:F563"/>
    <mergeCell ref="K528:K532"/>
    <mergeCell ref="L528:L532"/>
    <mergeCell ref="M528:M532"/>
    <mergeCell ref="N528:N532"/>
    <mergeCell ref="O528:O532"/>
    <mergeCell ref="P528:P532"/>
    <mergeCell ref="N538:N542"/>
    <mergeCell ref="O538:O542"/>
    <mergeCell ref="Q645:Q649"/>
    <mergeCell ref="B635:B639"/>
    <mergeCell ref="C635:C639"/>
    <mergeCell ref="D584:D588"/>
    <mergeCell ref="E584:E588"/>
    <mergeCell ref="M564:M568"/>
    <mergeCell ref="N564:N568"/>
    <mergeCell ref="O564:O568"/>
    <mergeCell ref="P564:P568"/>
    <mergeCell ref="Q564:Q568"/>
    <mergeCell ref="D564:D568"/>
    <mergeCell ref="E564:E568"/>
    <mergeCell ref="F564:F568"/>
    <mergeCell ref="G564:G568"/>
    <mergeCell ref="H564:H568"/>
    <mergeCell ref="I564:I568"/>
    <mergeCell ref="J564:J568"/>
    <mergeCell ref="I569:I573"/>
    <mergeCell ref="J569:J573"/>
    <mergeCell ref="K564:K568"/>
    <mergeCell ref="L564:L568"/>
    <mergeCell ref="D569:D573"/>
    <mergeCell ref="E569:E573"/>
    <mergeCell ref="Q574:Q578"/>
    <mergeCell ref="B579:B583"/>
    <mergeCell ref="C579:C583"/>
    <mergeCell ref="D579:D583"/>
    <mergeCell ref="E579:E583"/>
    <mergeCell ref="F579:F583"/>
    <mergeCell ref="G579:G583"/>
    <mergeCell ref="H579:H583"/>
    <mergeCell ref="Q589:Q593"/>
    <mergeCell ref="Q538:Q542"/>
    <mergeCell ref="D538:D542"/>
    <mergeCell ref="E538:E542"/>
    <mergeCell ref="F538:F542"/>
    <mergeCell ref="G538:G542"/>
    <mergeCell ref="H538:H542"/>
    <mergeCell ref="I538:I542"/>
    <mergeCell ref="J538:J542"/>
    <mergeCell ref="Q533:Q537"/>
    <mergeCell ref="D533:D537"/>
    <mergeCell ref="E533:E537"/>
    <mergeCell ref="F533:F537"/>
    <mergeCell ref="G533:G537"/>
    <mergeCell ref="M538:M542"/>
    <mergeCell ref="L538:L542"/>
    <mergeCell ref="F513:F517"/>
    <mergeCell ref="G513:G517"/>
    <mergeCell ref="H513:H517"/>
    <mergeCell ref="J513:J517"/>
    <mergeCell ref="K513:K517"/>
    <mergeCell ref="L513:L517"/>
    <mergeCell ref="D528:D532"/>
    <mergeCell ref="E528:E532"/>
    <mergeCell ref="F528:F532"/>
    <mergeCell ref="G528:G532"/>
    <mergeCell ref="H528:H532"/>
    <mergeCell ref="Q528:Q532"/>
    <mergeCell ref="I528:I532"/>
    <mergeCell ref="J528:J532"/>
    <mergeCell ref="K533:K537"/>
    <mergeCell ref="L533:L537"/>
    <mergeCell ref="M533:M537"/>
    <mergeCell ref="B508:B512"/>
    <mergeCell ref="P513:P517"/>
    <mergeCell ref="Q513:Q517"/>
    <mergeCell ref="I513:I517"/>
    <mergeCell ref="Q523:Q527"/>
    <mergeCell ref="D523:D527"/>
    <mergeCell ref="K523:K527"/>
    <mergeCell ref="L523:L527"/>
    <mergeCell ref="E523:E527"/>
    <mergeCell ref="F523:F527"/>
    <mergeCell ref="G523:G527"/>
    <mergeCell ref="H523:H527"/>
    <mergeCell ref="I523:I527"/>
    <mergeCell ref="J523:J527"/>
    <mergeCell ref="P518:P522"/>
    <mergeCell ref="Q518:Q522"/>
    <mergeCell ref="I518:I522"/>
    <mergeCell ref="J518:J522"/>
    <mergeCell ref="K518:K522"/>
    <mergeCell ref="L518:L522"/>
    <mergeCell ref="M518:M522"/>
    <mergeCell ref="N518:N522"/>
    <mergeCell ref="D518:D522"/>
    <mergeCell ref="E518:E522"/>
    <mergeCell ref="F518:F522"/>
    <mergeCell ref="G518:G522"/>
    <mergeCell ref="M513:M517"/>
    <mergeCell ref="N513:N517"/>
    <mergeCell ref="O513:O517"/>
    <mergeCell ref="C508:C512"/>
    <mergeCell ref="B513:B517"/>
    <mergeCell ref="C513:C517"/>
    <mergeCell ref="B518:B522"/>
    <mergeCell ref="C518:C522"/>
    <mergeCell ref="B548:B552"/>
    <mergeCell ref="C548:C552"/>
    <mergeCell ref="D548:D552"/>
    <mergeCell ref="E548:E552"/>
    <mergeCell ref="F548:F552"/>
    <mergeCell ref="C528:C532"/>
    <mergeCell ref="B533:B537"/>
    <mergeCell ref="C533:C537"/>
    <mergeCell ref="B538:B542"/>
    <mergeCell ref="C538:C542"/>
    <mergeCell ref="H533:H537"/>
    <mergeCell ref="I533:I537"/>
    <mergeCell ref="J533:J537"/>
    <mergeCell ref="B523:B527"/>
    <mergeCell ref="C523:C527"/>
    <mergeCell ref="B528:B532"/>
    <mergeCell ref="O533:O537"/>
    <mergeCell ref="P533:P537"/>
    <mergeCell ref="B559:B563"/>
    <mergeCell ref="C559:C563"/>
    <mergeCell ref="B564:B568"/>
    <mergeCell ref="C564:C568"/>
    <mergeCell ref="B569:B573"/>
    <mergeCell ref="C569:C573"/>
    <mergeCell ref="G548:G552"/>
    <mergeCell ref="H548:H552"/>
    <mergeCell ref="J559:J563"/>
    <mergeCell ref="K630:K634"/>
    <mergeCell ref="L630:L634"/>
    <mergeCell ref="G559:G563"/>
    <mergeCell ref="D559:D563"/>
    <mergeCell ref="E559:E563"/>
    <mergeCell ref="K569:K573"/>
    <mergeCell ref="L569:L573"/>
    <mergeCell ref="M569:M573"/>
    <mergeCell ref="N569:N573"/>
    <mergeCell ref="O569:O573"/>
    <mergeCell ref="P569:P573"/>
    <mergeCell ref="K548:K552"/>
    <mergeCell ref="L548:L552"/>
    <mergeCell ref="M548:M552"/>
    <mergeCell ref="N548:N552"/>
    <mergeCell ref="O548:O552"/>
    <mergeCell ref="K559:K563"/>
    <mergeCell ref="P538:P542"/>
    <mergeCell ref="B553:B557"/>
    <mergeCell ref="C553:C557"/>
    <mergeCell ref="D553:D557"/>
    <mergeCell ref="T728:V728"/>
    <mergeCell ref="T734:V734"/>
    <mergeCell ref="Y7:AC7"/>
    <mergeCell ref="D594:D598"/>
    <mergeCell ref="E594:E598"/>
    <mergeCell ref="B630:B634"/>
    <mergeCell ref="C630:C634"/>
    <mergeCell ref="K543:K547"/>
    <mergeCell ref="L543:L547"/>
    <mergeCell ref="M543:M547"/>
    <mergeCell ref="N543:N547"/>
    <mergeCell ref="O543:O547"/>
    <mergeCell ref="P543:P547"/>
    <mergeCell ref="Q543:Q547"/>
    <mergeCell ref="D543:D547"/>
    <mergeCell ref="E543:E547"/>
    <mergeCell ref="F543:F547"/>
    <mergeCell ref="G543:G547"/>
    <mergeCell ref="H543:H547"/>
    <mergeCell ref="I543:I547"/>
    <mergeCell ref="J543:J547"/>
    <mergeCell ref="M630:M634"/>
    <mergeCell ref="N630:N634"/>
    <mergeCell ref="O630:O634"/>
    <mergeCell ref="P630:P634"/>
    <mergeCell ref="B543:B547"/>
    <mergeCell ref="C543:C547"/>
    <mergeCell ref="M523:M527"/>
    <mergeCell ref="N523:N527"/>
    <mergeCell ref="O523:O527"/>
    <mergeCell ref="P523:P527"/>
    <mergeCell ref="N533:N537"/>
  </mergeCells>
  <dataValidations count="10">
    <dataValidation type="list" allowBlank="1" showErrorMessage="1" sqref="E173 E178 E183 E188 E193 E198 E203 E208 E213 E218 E223" xr:uid="{00000000-0002-0000-1600-000000000000}">
      <formula1>INDIRECT($D173)</formula1>
    </dataValidation>
    <dataValidation type="list" allowBlank="1" showInputMessage="1" showErrorMessage="1" prompt="Orientación: - Escoja un Lineamiento Estratégico de la lista despegable." sqref="E168 E361" xr:uid="{00000000-0002-0000-1600-000001000000}">
      <formula1>INDIRECT($D168)</formula1>
    </dataValidation>
    <dataValidation type="list" allowBlank="1" showInputMessage="1" showErrorMessage="1" prompt="Orientación: - Escoja un Eje Estratégico de la lista despegable." sqref="D168 D361" xr:uid="{00000000-0002-0000-1600-000002000000}">
      <formula1>INDIRECT($F168)</formula1>
    </dataValidation>
    <dataValidation type="list" allowBlank="1" showErrorMessage="1" sqref="D173 D178 D183 D188 D193 D198 D203 D208 D213 D218 D223" xr:uid="{00000000-0002-0000-1600-000003000000}">
      <formula1>INDIRECT($F173)</formula1>
    </dataValidation>
    <dataValidation type="decimal" allowBlank="1" showInputMessage="1" showErrorMessage="1" prompt="DPLAN - Sólo debe ingresar valores, NO porcentajes." sqref="L168:N168 L223:N223 L188:N188 L193:N193 L203:N203 L208:N208 L218:N218 L361:N361" xr:uid="{00000000-0002-0000-1600-000004000000}">
      <formula1>0</formula1>
      <formula2>1000000</formula2>
    </dataValidation>
    <dataValidation type="list" allowBlank="1" showInputMessage="1" showErrorMessage="1" promptTitle="Orientación:" prompt="Escoja un Lineamiento Estratégico de la lista despegable." sqref="E9:E13 E75:E79 E229:E233 E270:E339 E513:E557 E412:E432 E442:E486 E559:E579 E584:E628 E488:E508 E341:E360 E366:E410 E630:E708" xr:uid="{00000000-0002-0000-1600-000005000000}">
      <formula1>INDIRECT($D9)</formula1>
    </dataValidation>
    <dataValidation type="list" allowBlank="1" showInputMessage="1" showErrorMessage="1" promptTitle="Orientación:" prompt="Escoja un Eje Estratégico de la lista despegable." sqref="D9:D13 D75:D79 D229:D233 D270:D339 D488:D508 D442:D486 D412:D432 D584:D628 D559:D579 D513:D557 D341:D360 D366:D410 D630:D708" xr:uid="{00000000-0002-0000-1600-000006000000}">
      <formula1>INDIRECT($F9)</formula1>
    </dataValidation>
    <dataValidation type="list" allowBlank="1" showInputMessage="1" showErrorMessage="1" sqref="E14:E73 E234:E254 E259:E268 E80:E166" xr:uid="{00000000-0002-0000-1600-000007000000}">
      <formula1>INDIRECT($D14)</formula1>
    </dataValidation>
    <dataValidation type="list" allowBlank="1" showInputMessage="1" showErrorMessage="1" sqref="D14:D73 D234:D254 D259:D268 D80:D166" xr:uid="{00000000-0002-0000-1600-000008000000}">
      <formula1>INDIRECT($F14)</formula1>
    </dataValidation>
    <dataValidation type="whole" allowBlank="1" showInputMessage="1" showErrorMessage="1" errorTitle="DPLAN" error="Sólo debe ingresar valores, NO porcentajes." sqref="L66222:N66241 L131758:N131777 L197294:N197313 L262830:N262849 L328366:N328385 L393902:N393921 L459438:N459457 L524974:N524993 L590510:N590529 L656046:N656065 L721582:N721601 L787118:N787137 L852654:N852673 L918190:N918209 L983726:N983745 M9 M34 M49 M69 L9:L13 N9:N13 L29:L38 N29:N38 M29 L44:L53 N44:N53 M44 L59:L73 N59:N73 M59 M64 L75:N79 L132:N141 L147:N166 M259 L259:L263 L249:L254 N259:N263 M229 N249:N254 L229:L233 N229:N233 M249 M254 L100:N121 L270:N339 L412:N432 L442:N486 L584:N628 L559:N579 L488:N508 L513:N557 L341:N360 L366:N410 L630:N708" xr:uid="{00000000-0002-0000-1600-000009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&amp;LFacultad de Ciencias Empresariales&amp;C&amp;P</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E36C09"/>
  </sheetPr>
  <dimension ref="A1:AG756"/>
  <sheetViews>
    <sheetView showGridLines="0" topLeftCell="R729" zoomScaleNormal="100" workbookViewId="0">
      <selection activeCell="Y729" sqref="Y729"/>
    </sheetView>
  </sheetViews>
  <sheetFormatPr baseColWidth="10" defaultColWidth="10.7109375" defaultRowHeight="15.75" customHeight="1"/>
  <cols>
    <col min="1" max="1" width="5.7109375" style="2723" customWidth="1"/>
    <col min="2" max="5" width="25.7109375" style="2723" customWidth="1"/>
    <col min="6" max="6" width="26.7109375" style="2723" customWidth="1"/>
    <col min="7" max="11" width="25.7109375" style="2723" customWidth="1"/>
    <col min="12" max="14" width="8.7109375" style="2723" customWidth="1"/>
    <col min="15" max="17" width="25.7109375" style="2723" customWidth="1"/>
    <col min="18" max="18" width="22.7109375" style="2723" customWidth="1"/>
    <col min="19" max="20" width="18.7109375" style="2723" customWidth="1"/>
    <col min="21" max="21" width="40.7109375" style="2723" customWidth="1"/>
    <col min="22" max="22" width="14.42578125" style="2723" bestFit="1" customWidth="1"/>
    <col min="23" max="24" width="12.7109375" style="2723" customWidth="1"/>
    <col min="25" max="25" width="14.42578125" style="2723" bestFit="1" customWidth="1"/>
    <col min="26" max="26" width="12.7109375" style="2723" customWidth="1"/>
    <col min="27" max="27" width="13.42578125" style="2723" bestFit="1" customWidth="1"/>
    <col min="28" max="28" width="12.140625" style="2723" customWidth="1"/>
    <col min="29" max="29" width="10.28515625" style="2723" customWidth="1"/>
    <col min="30" max="32" width="8.7109375" style="2723" customWidth="1"/>
    <col min="33" max="33" width="19.7109375" style="2723" customWidth="1"/>
    <col min="34" max="16384" width="10.7109375" style="2723"/>
  </cols>
  <sheetData>
    <row r="1" spans="1:33" ht="45.75">
      <c r="A1" s="11076" t="s">
        <v>0</v>
      </c>
      <c r="B1" s="11076"/>
      <c r="C1" s="11076"/>
      <c r="D1" s="11076"/>
      <c r="E1" s="11076"/>
      <c r="F1" s="11076"/>
      <c r="G1" s="11076"/>
      <c r="H1" s="11076"/>
      <c r="I1" s="11076"/>
      <c r="J1" s="11076"/>
      <c r="K1" s="11076"/>
      <c r="L1" s="11076"/>
      <c r="M1" s="11076"/>
      <c r="N1" s="11076"/>
      <c r="O1" s="11076"/>
      <c r="P1" s="11076"/>
      <c r="Q1" s="11076"/>
      <c r="R1" s="11076"/>
      <c r="S1" s="11076"/>
      <c r="T1" s="11076"/>
      <c r="U1" s="11076"/>
      <c r="V1" s="11076"/>
      <c r="W1" s="11076"/>
      <c r="X1" s="11076"/>
      <c r="Y1" s="11076"/>
      <c r="Z1" s="11076"/>
      <c r="AA1" s="11076"/>
      <c r="AB1" s="11076"/>
      <c r="AC1" s="11076"/>
      <c r="AD1" s="11076"/>
      <c r="AE1" s="11076"/>
      <c r="AF1" s="11076"/>
      <c r="AG1" s="11076"/>
    </row>
    <row r="2" spans="1:33" ht="27" customHeight="1">
      <c r="A2" s="11077" t="s">
        <v>1</v>
      </c>
      <c r="B2" s="11077"/>
      <c r="C2" s="11077"/>
      <c r="D2" s="11077"/>
      <c r="E2" s="11077"/>
      <c r="F2" s="11077"/>
      <c r="G2" s="11077"/>
      <c r="H2" s="11077"/>
      <c r="I2" s="11077"/>
      <c r="J2" s="11077"/>
      <c r="K2" s="11077"/>
      <c r="L2" s="11077"/>
      <c r="M2" s="11077"/>
      <c r="N2" s="11077"/>
      <c r="O2" s="11077"/>
      <c r="P2" s="11077"/>
      <c r="Q2" s="11077"/>
      <c r="R2" s="11077"/>
      <c r="S2" s="11077"/>
      <c r="T2" s="11077"/>
      <c r="U2" s="11077"/>
      <c r="V2" s="11077"/>
      <c r="W2" s="11077"/>
      <c r="X2" s="11077"/>
      <c r="Y2" s="11077"/>
      <c r="Z2" s="11077"/>
      <c r="AA2" s="11077"/>
      <c r="AB2" s="11077"/>
      <c r="AC2" s="11077"/>
      <c r="AD2" s="11077"/>
      <c r="AE2" s="11077"/>
      <c r="AF2" s="11077"/>
      <c r="AG2" s="11077"/>
    </row>
    <row r="3" spans="1:33" ht="27" customHeight="1">
      <c r="A3" s="11078" t="s">
        <v>5161</v>
      </c>
      <c r="B3" s="11078"/>
      <c r="C3" s="11078"/>
      <c r="D3" s="11078"/>
      <c r="E3" s="11078"/>
      <c r="F3" s="11078"/>
      <c r="G3" s="11078"/>
      <c r="H3" s="11078"/>
      <c r="I3" s="11078"/>
      <c r="J3" s="11078"/>
      <c r="K3" s="11078"/>
      <c r="L3" s="11078"/>
      <c r="M3" s="11078"/>
      <c r="N3" s="11078"/>
      <c r="O3" s="11078"/>
      <c r="P3" s="11078"/>
      <c r="Q3" s="11078"/>
      <c r="R3" s="11078"/>
      <c r="S3" s="11078"/>
      <c r="T3" s="11078"/>
      <c r="U3" s="11078"/>
      <c r="V3" s="11078"/>
      <c r="W3" s="11078"/>
      <c r="X3" s="11078"/>
      <c r="Y3" s="11078"/>
      <c r="Z3" s="11078"/>
      <c r="AA3" s="11078"/>
      <c r="AB3" s="11078"/>
      <c r="AC3" s="11078"/>
      <c r="AD3" s="11078"/>
      <c r="AE3" s="11078"/>
      <c r="AF3" s="11078"/>
      <c r="AG3" s="11078"/>
    </row>
    <row r="4" spans="1:33" ht="27" customHeight="1">
      <c r="A4" s="11079" t="s">
        <v>88</v>
      </c>
      <c r="B4" s="11079"/>
      <c r="C4" s="11079"/>
      <c r="D4" s="11079"/>
      <c r="E4" s="11079"/>
      <c r="F4" s="11079"/>
      <c r="G4" s="11079"/>
      <c r="H4" s="11079"/>
      <c r="I4" s="11079"/>
      <c r="J4" s="11079"/>
      <c r="K4" s="11079"/>
      <c r="L4" s="11079"/>
      <c r="M4" s="11079"/>
      <c r="N4" s="11079"/>
      <c r="O4" s="11079"/>
      <c r="P4" s="11079"/>
      <c r="Q4" s="11079"/>
      <c r="R4" s="11079"/>
      <c r="S4" s="11079"/>
      <c r="T4" s="11079"/>
      <c r="U4" s="11079"/>
      <c r="V4" s="11079"/>
      <c r="W4" s="11079"/>
      <c r="X4" s="11079"/>
      <c r="Y4" s="11079"/>
      <c r="Z4" s="11079"/>
      <c r="AA4" s="11079"/>
      <c r="AB4" s="11079"/>
      <c r="AC4" s="11079"/>
      <c r="AD4" s="11079"/>
      <c r="AE4" s="11079"/>
      <c r="AF4" s="11079"/>
      <c r="AG4" s="11079"/>
    </row>
    <row r="5" spans="1:33" ht="15.75" customHeight="1" thickBot="1">
      <c r="B5" s="2773"/>
      <c r="C5" s="2773"/>
      <c r="D5" s="2773"/>
      <c r="E5" s="2773"/>
      <c r="F5" s="2773"/>
      <c r="G5" s="2773"/>
      <c r="H5" s="2773"/>
      <c r="I5" s="2773"/>
      <c r="J5" s="2773"/>
      <c r="K5" s="2773"/>
      <c r="L5" s="2773"/>
      <c r="M5" s="2773"/>
      <c r="N5" s="2773"/>
      <c r="O5" s="2773"/>
      <c r="P5" s="2773"/>
      <c r="Q5" s="2773"/>
      <c r="R5" s="2773"/>
      <c r="S5" s="2773"/>
      <c r="T5" s="2773"/>
      <c r="U5" s="2773"/>
      <c r="V5" s="2773"/>
      <c r="W5" s="2773"/>
      <c r="X5" s="2773"/>
      <c r="Y5" s="2773"/>
      <c r="Z5" s="2773"/>
      <c r="AA5" s="2773"/>
      <c r="AB5" s="2773"/>
      <c r="AC5" s="2773"/>
      <c r="AD5" s="2773"/>
      <c r="AE5" s="2773"/>
      <c r="AF5" s="2773"/>
      <c r="AG5" s="2773"/>
    </row>
    <row r="6" spans="1:33" ht="24.75" customHeight="1" thickTop="1">
      <c r="A6" s="11080" t="s">
        <v>89</v>
      </c>
      <c r="B6" s="11083" t="s">
        <v>90</v>
      </c>
      <c r="C6" s="11084"/>
      <c r="D6" s="11096" t="s">
        <v>91</v>
      </c>
      <c r="E6" s="11097"/>
      <c r="F6" s="11097"/>
      <c r="G6" s="11097"/>
      <c r="H6" s="11097"/>
      <c r="I6" s="11098" t="s">
        <v>92</v>
      </c>
      <c r="J6" s="11099"/>
      <c r="K6" s="11099"/>
      <c r="L6" s="11099"/>
      <c r="M6" s="11099"/>
      <c r="N6" s="11099"/>
      <c r="O6" s="11099"/>
      <c r="P6" s="11099"/>
      <c r="Q6" s="11100"/>
      <c r="R6" s="11101" t="s">
        <v>93</v>
      </c>
      <c r="S6" s="11102"/>
      <c r="T6" s="11102"/>
      <c r="U6" s="11102"/>
      <c r="V6" s="11102"/>
      <c r="W6" s="11102"/>
      <c r="X6" s="11102"/>
      <c r="Y6" s="11102"/>
      <c r="Z6" s="11102"/>
      <c r="AA6" s="11102"/>
      <c r="AB6" s="11102"/>
      <c r="AC6" s="11102"/>
      <c r="AD6" s="11102"/>
      <c r="AE6" s="11102"/>
      <c r="AF6" s="11102"/>
      <c r="AG6" s="11103"/>
    </row>
    <row r="7" spans="1:33" ht="39.75" customHeight="1">
      <c r="A7" s="11081"/>
      <c r="B7" s="11110" t="s">
        <v>94</v>
      </c>
      <c r="C7" s="11087" t="s">
        <v>95</v>
      </c>
      <c r="D7" s="11089" t="s">
        <v>96</v>
      </c>
      <c r="E7" s="11089" t="s">
        <v>97</v>
      </c>
      <c r="F7" s="11089" t="s">
        <v>98</v>
      </c>
      <c r="G7" s="11089" t="s">
        <v>99</v>
      </c>
      <c r="H7" s="11089" t="s">
        <v>100</v>
      </c>
      <c r="I7" s="11113" t="s">
        <v>101</v>
      </c>
      <c r="J7" s="11093" t="s">
        <v>102</v>
      </c>
      <c r="K7" s="11093" t="s">
        <v>103</v>
      </c>
      <c r="L7" s="11093" t="s">
        <v>104</v>
      </c>
      <c r="M7" s="11095"/>
      <c r="N7" s="11095"/>
      <c r="O7" s="11093" t="s">
        <v>105</v>
      </c>
      <c r="P7" s="11093" t="s">
        <v>106</v>
      </c>
      <c r="Q7" s="11085" t="s">
        <v>107</v>
      </c>
      <c r="R7" s="11104" t="s">
        <v>108</v>
      </c>
      <c r="S7" s="11105"/>
      <c r="T7" s="11105"/>
      <c r="U7" s="11105"/>
      <c r="V7" s="11105"/>
      <c r="W7" s="11105"/>
      <c r="X7" s="11106"/>
      <c r="Y7" s="11107" t="s">
        <v>109</v>
      </c>
      <c r="Z7" s="11108"/>
      <c r="AA7" s="11108"/>
      <c r="AB7" s="11108"/>
      <c r="AC7" s="11109"/>
      <c r="AD7" s="11107" t="s">
        <v>110</v>
      </c>
      <c r="AE7" s="11105"/>
      <c r="AF7" s="11106"/>
      <c r="AG7" s="11091" t="s">
        <v>111</v>
      </c>
    </row>
    <row r="8" spans="1:33" ht="51.75" customHeight="1" thickBot="1">
      <c r="A8" s="11082"/>
      <c r="B8" s="11111"/>
      <c r="C8" s="11088"/>
      <c r="D8" s="11090"/>
      <c r="E8" s="11090"/>
      <c r="F8" s="11090"/>
      <c r="G8" s="11090"/>
      <c r="H8" s="11090"/>
      <c r="I8" s="11114"/>
      <c r="J8" s="11094"/>
      <c r="K8" s="11094"/>
      <c r="L8" s="5146" t="s">
        <v>112</v>
      </c>
      <c r="M8" s="5146" t="s">
        <v>113</v>
      </c>
      <c r="N8" s="5146" t="s">
        <v>114</v>
      </c>
      <c r="O8" s="11094"/>
      <c r="P8" s="11094"/>
      <c r="Q8" s="11086"/>
      <c r="R8" s="5147" t="s">
        <v>115</v>
      </c>
      <c r="S8" s="5148" t="s">
        <v>116</v>
      </c>
      <c r="T8" s="5149" t="s">
        <v>117</v>
      </c>
      <c r="U8" s="5148" t="s">
        <v>118</v>
      </c>
      <c r="V8" s="5148" t="s">
        <v>119</v>
      </c>
      <c r="W8" s="5148" t="s">
        <v>372</v>
      </c>
      <c r="X8" s="5150" t="s">
        <v>121</v>
      </c>
      <c r="Y8" s="5148" t="s">
        <v>122</v>
      </c>
      <c r="Z8" s="5148" t="s">
        <v>123</v>
      </c>
      <c r="AA8" s="5148" t="s">
        <v>124</v>
      </c>
      <c r="AB8" s="5150" t="s">
        <v>125</v>
      </c>
      <c r="AC8" s="5150" t="s">
        <v>1100</v>
      </c>
      <c r="AD8" s="5148" t="s">
        <v>112</v>
      </c>
      <c r="AE8" s="5148" t="s">
        <v>113</v>
      </c>
      <c r="AF8" s="5148" t="s">
        <v>114</v>
      </c>
      <c r="AG8" s="11092"/>
    </row>
    <row r="9" spans="1:33" ht="24.75" customHeight="1">
      <c r="A9" s="11000" t="s">
        <v>4188</v>
      </c>
      <c r="B9" s="10950" t="s">
        <v>127</v>
      </c>
      <c r="C9" s="10948" t="s">
        <v>128</v>
      </c>
      <c r="D9" s="10948" t="s">
        <v>129</v>
      </c>
      <c r="E9" s="10948" t="s">
        <v>268</v>
      </c>
      <c r="F9" s="10951" t="s">
        <v>131</v>
      </c>
      <c r="G9" s="10948" t="s">
        <v>132</v>
      </c>
      <c r="H9" s="10948" t="s">
        <v>159</v>
      </c>
      <c r="I9" s="11001" t="s">
        <v>5162</v>
      </c>
      <c r="J9" s="10948" t="s">
        <v>4730</v>
      </c>
      <c r="K9" s="10948" t="s">
        <v>5163</v>
      </c>
      <c r="L9" s="11004">
        <v>1</v>
      </c>
      <c r="M9" s="11004">
        <v>1</v>
      </c>
      <c r="N9" s="11004">
        <v>1</v>
      </c>
      <c r="O9" s="10948" t="s">
        <v>5164</v>
      </c>
      <c r="P9" s="10948" t="s">
        <v>5165</v>
      </c>
      <c r="Q9" s="10986" t="s">
        <v>5166</v>
      </c>
      <c r="R9" s="5145" t="s">
        <v>5167</v>
      </c>
      <c r="S9" s="3907">
        <v>530239</v>
      </c>
      <c r="T9" s="3907" t="s">
        <v>294</v>
      </c>
      <c r="U9" s="3906" t="s">
        <v>1323</v>
      </c>
      <c r="V9" s="6189" t="s">
        <v>294</v>
      </c>
      <c r="W9" s="3908" t="s">
        <v>294</v>
      </c>
      <c r="X9" s="7562" t="s">
        <v>294</v>
      </c>
      <c r="Y9" s="7563" t="s">
        <v>294</v>
      </c>
      <c r="Z9" s="7563" t="s">
        <v>294</v>
      </c>
      <c r="AA9" s="7564">
        <f>+SUM(Z10:Z11)</f>
        <v>4500</v>
      </c>
      <c r="AB9" s="7668" t="s">
        <v>26</v>
      </c>
      <c r="AC9" s="3909"/>
      <c r="AD9" s="3910" t="s">
        <v>294</v>
      </c>
      <c r="AE9" s="3911" t="s">
        <v>294</v>
      </c>
      <c r="AF9" s="3912" t="s">
        <v>294</v>
      </c>
      <c r="AG9" s="10910" t="s">
        <v>294</v>
      </c>
    </row>
    <row r="10" spans="1:33" ht="15.75" customHeight="1">
      <c r="A10" s="11000"/>
      <c r="B10" s="10934"/>
      <c r="C10" s="10937"/>
      <c r="D10" s="10937"/>
      <c r="E10" s="10937"/>
      <c r="F10" s="10940"/>
      <c r="G10" s="10937"/>
      <c r="H10" s="10937"/>
      <c r="I10" s="11002"/>
      <c r="J10" s="10937"/>
      <c r="K10" s="10937"/>
      <c r="L10" s="11005"/>
      <c r="M10" s="11005"/>
      <c r="N10" s="11005"/>
      <c r="O10" s="10937"/>
      <c r="P10" s="10937"/>
      <c r="Q10" s="10953"/>
      <c r="R10" s="4013" t="s">
        <v>294</v>
      </c>
      <c r="S10" s="3916" t="s">
        <v>294</v>
      </c>
      <c r="T10" s="3917" t="s">
        <v>3661</v>
      </c>
      <c r="U10" s="3918" t="s">
        <v>5168</v>
      </c>
      <c r="V10" s="7527">
        <v>1</v>
      </c>
      <c r="W10" s="3919" t="s">
        <v>180</v>
      </c>
      <c r="X10" s="7565">
        <v>3000</v>
      </c>
      <c r="Y10" s="7565">
        <f>+V10*X10</f>
        <v>3000</v>
      </c>
      <c r="Z10" s="7565">
        <f>Y10</f>
        <v>3000</v>
      </c>
      <c r="AA10" s="7566" t="s">
        <v>294</v>
      </c>
      <c r="AB10" s="7669"/>
      <c r="AC10" s="3920"/>
      <c r="AD10" s="3921" t="s">
        <v>294</v>
      </c>
      <c r="AE10" s="3922" t="s">
        <v>294</v>
      </c>
      <c r="AF10" s="3923" t="s">
        <v>153</v>
      </c>
      <c r="AG10" s="10908"/>
    </row>
    <row r="11" spans="1:33" ht="15.75" customHeight="1">
      <c r="A11" s="11000"/>
      <c r="B11" s="10934"/>
      <c r="C11" s="10937"/>
      <c r="D11" s="10937"/>
      <c r="E11" s="10937"/>
      <c r="F11" s="10940"/>
      <c r="G11" s="10937"/>
      <c r="H11" s="10937"/>
      <c r="I11" s="11002"/>
      <c r="J11" s="10937"/>
      <c r="K11" s="10937"/>
      <c r="L11" s="11005"/>
      <c r="M11" s="11005"/>
      <c r="N11" s="11005"/>
      <c r="O11" s="10937"/>
      <c r="P11" s="10937"/>
      <c r="Q11" s="10953"/>
      <c r="R11" s="4014" t="s">
        <v>294</v>
      </c>
      <c r="S11" s="3917" t="s">
        <v>294</v>
      </c>
      <c r="T11" s="3917" t="s">
        <v>3661</v>
      </c>
      <c r="U11" s="3918" t="s">
        <v>5169</v>
      </c>
      <c r="V11" s="7527">
        <v>1</v>
      </c>
      <c r="W11" s="3919" t="s">
        <v>180</v>
      </c>
      <c r="X11" s="7565">
        <v>1500</v>
      </c>
      <c r="Y11" s="7565">
        <f>+V11*X11</f>
        <v>1500</v>
      </c>
      <c r="Z11" s="7565">
        <f>Y11</f>
        <v>1500</v>
      </c>
      <c r="AA11" s="7566" t="s">
        <v>294</v>
      </c>
      <c r="AB11" s="7669"/>
      <c r="AC11" s="3920"/>
      <c r="AD11" s="3921" t="s">
        <v>294</v>
      </c>
      <c r="AE11" s="3922" t="s">
        <v>153</v>
      </c>
      <c r="AF11" s="3923" t="s">
        <v>153</v>
      </c>
      <c r="AG11" s="10908"/>
    </row>
    <row r="12" spans="1:33" ht="15.75" customHeight="1">
      <c r="A12" s="11000"/>
      <c r="B12" s="10934"/>
      <c r="C12" s="10937"/>
      <c r="D12" s="10937"/>
      <c r="E12" s="10937"/>
      <c r="F12" s="10940"/>
      <c r="G12" s="10937"/>
      <c r="H12" s="10937"/>
      <c r="I12" s="11002"/>
      <c r="J12" s="10937"/>
      <c r="K12" s="10937"/>
      <c r="L12" s="11005"/>
      <c r="M12" s="11005"/>
      <c r="N12" s="11005"/>
      <c r="O12" s="10937"/>
      <c r="P12" s="10937"/>
      <c r="Q12" s="10953"/>
      <c r="R12" s="4015"/>
      <c r="S12" s="3916"/>
      <c r="T12" s="3916"/>
      <c r="U12" s="3914"/>
      <c r="V12" s="6190"/>
      <c r="W12" s="3925"/>
      <c r="X12" s="7567"/>
      <c r="Y12" s="7567"/>
      <c r="Z12" s="7567"/>
      <c r="AA12" s="7566"/>
      <c r="AB12" s="7669"/>
      <c r="AC12" s="3920"/>
      <c r="AD12" s="3921"/>
      <c r="AE12" s="3922" t="s">
        <v>294</v>
      </c>
      <c r="AF12" s="3923" t="s">
        <v>294</v>
      </c>
      <c r="AG12" s="10908"/>
    </row>
    <row r="13" spans="1:33" ht="15.75" customHeight="1">
      <c r="A13" s="11000"/>
      <c r="B13" s="10993"/>
      <c r="C13" s="10985"/>
      <c r="D13" s="10985"/>
      <c r="E13" s="10985"/>
      <c r="F13" s="10994"/>
      <c r="G13" s="10985"/>
      <c r="H13" s="10985"/>
      <c r="I13" s="11003"/>
      <c r="J13" s="10985"/>
      <c r="K13" s="10985"/>
      <c r="L13" s="11006"/>
      <c r="M13" s="11006"/>
      <c r="N13" s="11006"/>
      <c r="O13" s="10985"/>
      <c r="P13" s="10985"/>
      <c r="Q13" s="10987"/>
      <c r="R13" s="4037"/>
      <c r="S13" s="4038"/>
      <c r="T13" s="4038"/>
      <c r="U13" s="3982"/>
      <c r="V13" s="6191"/>
      <c r="W13" s="4039"/>
      <c r="X13" s="7568"/>
      <c r="Y13" s="7568"/>
      <c r="Z13" s="7568"/>
      <c r="AA13" s="7569"/>
      <c r="AB13" s="7670"/>
      <c r="AC13" s="4040"/>
      <c r="AD13" s="4041"/>
      <c r="AE13" s="4042"/>
      <c r="AF13" s="4043"/>
      <c r="AG13" s="10911"/>
    </row>
    <row r="14" spans="1:33" ht="36.75" customHeight="1">
      <c r="A14" s="11000"/>
      <c r="B14" s="10933" t="s">
        <v>127</v>
      </c>
      <c r="C14" s="10936" t="s">
        <v>128</v>
      </c>
      <c r="D14" s="10936" t="s">
        <v>129</v>
      </c>
      <c r="E14" s="10936" t="s">
        <v>268</v>
      </c>
      <c r="F14" s="10939" t="s">
        <v>131</v>
      </c>
      <c r="G14" s="10936" t="s">
        <v>132</v>
      </c>
      <c r="H14" s="10936" t="s">
        <v>159</v>
      </c>
      <c r="I14" s="11025" t="s">
        <v>5170</v>
      </c>
      <c r="J14" s="10936" t="s">
        <v>4196</v>
      </c>
      <c r="K14" s="10936" t="s">
        <v>5171</v>
      </c>
      <c r="L14" s="11036">
        <v>2</v>
      </c>
      <c r="M14" s="11036">
        <v>2</v>
      </c>
      <c r="N14" s="11036">
        <v>2</v>
      </c>
      <c r="O14" s="10936" t="s">
        <v>5172</v>
      </c>
      <c r="P14" s="11037" t="s">
        <v>5173</v>
      </c>
      <c r="Q14" s="10952" t="s">
        <v>5174</v>
      </c>
      <c r="R14" s="4012" t="s">
        <v>5167</v>
      </c>
      <c r="S14" s="4000">
        <v>530402</v>
      </c>
      <c r="T14" s="4000" t="s">
        <v>294</v>
      </c>
      <c r="U14" s="3981" t="s">
        <v>281</v>
      </c>
      <c r="V14" s="6192" t="s">
        <v>294</v>
      </c>
      <c r="W14" s="4001" t="s">
        <v>294</v>
      </c>
      <c r="X14" s="8057" t="s">
        <v>294</v>
      </c>
      <c r="Y14" s="8057" t="s">
        <v>294</v>
      </c>
      <c r="Z14" s="8057" t="s">
        <v>294</v>
      </c>
      <c r="AA14" s="8058">
        <f>+Z15</f>
        <v>5059.7</v>
      </c>
      <c r="AB14" s="7671" t="s">
        <v>18</v>
      </c>
      <c r="AC14" s="4002"/>
      <c r="AD14" s="4003" t="s">
        <v>294</v>
      </c>
      <c r="AE14" s="4004" t="s">
        <v>294</v>
      </c>
      <c r="AF14" s="4005" t="s">
        <v>294</v>
      </c>
      <c r="AG14" s="10907" t="s">
        <v>5175</v>
      </c>
    </row>
    <row r="15" spans="1:33" ht="36.75" customHeight="1">
      <c r="A15" s="11000"/>
      <c r="B15" s="10934"/>
      <c r="C15" s="10937"/>
      <c r="D15" s="10937"/>
      <c r="E15" s="10937"/>
      <c r="F15" s="10940"/>
      <c r="G15" s="10937"/>
      <c r="H15" s="10937"/>
      <c r="I15" s="11026"/>
      <c r="J15" s="10937"/>
      <c r="K15" s="10937"/>
      <c r="L15" s="11005"/>
      <c r="M15" s="11005"/>
      <c r="N15" s="11005"/>
      <c r="O15" s="10937"/>
      <c r="P15" s="11008"/>
      <c r="Q15" s="10953"/>
      <c r="R15" s="4014" t="s">
        <v>294</v>
      </c>
      <c r="S15" s="3917" t="s">
        <v>294</v>
      </c>
      <c r="T15" s="3917" t="s">
        <v>3661</v>
      </c>
      <c r="U15" s="3913" t="s">
        <v>5176</v>
      </c>
      <c r="V15" s="6190">
        <v>1</v>
      </c>
      <c r="W15" s="3925" t="s">
        <v>5177</v>
      </c>
      <c r="X15" s="8059">
        <v>5059.7</v>
      </c>
      <c r="Y15" s="8059">
        <f>+V15*X15</f>
        <v>5059.7</v>
      </c>
      <c r="Z15" s="8059">
        <f>Y15</f>
        <v>5059.7</v>
      </c>
      <c r="AA15" s="7785" t="s">
        <v>294</v>
      </c>
      <c r="AB15" s="7669"/>
      <c r="AC15" s="3920"/>
      <c r="AD15" s="3921" t="s">
        <v>294</v>
      </c>
      <c r="AE15" s="3922" t="s">
        <v>153</v>
      </c>
      <c r="AF15" s="3923" t="s">
        <v>294</v>
      </c>
      <c r="AG15" s="10908"/>
    </row>
    <row r="16" spans="1:33" ht="36.75" customHeight="1">
      <c r="A16" s="11000"/>
      <c r="B16" s="10934"/>
      <c r="C16" s="10937"/>
      <c r="D16" s="10937"/>
      <c r="E16" s="10937"/>
      <c r="F16" s="10940"/>
      <c r="G16" s="10937"/>
      <c r="H16" s="10937"/>
      <c r="I16" s="11026"/>
      <c r="J16" s="10937"/>
      <c r="K16" s="10937"/>
      <c r="L16" s="11005"/>
      <c r="M16" s="11005"/>
      <c r="N16" s="11005"/>
      <c r="O16" s="10937"/>
      <c r="P16" s="11008"/>
      <c r="Q16" s="10953"/>
      <c r="R16" s="4016" t="s">
        <v>5011</v>
      </c>
      <c r="S16" s="3916">
        <v>530402</v>
      </c>
      <c r="T16" s="3916" t="s">
        <v>294</v>
      </c>
      <c r="U16" s="3914" t="s">
        <v>281</v>
      </c>
      <c r="V16" s="6190" t="s">
        <v>294</v>
      </c>
      <c r="W16" s="3925" t="s">
        <v>294</v>
      </c>
      <c r="X16" s="7567" t="s">
        <v>294</v>
      </c>
      <c r="Y16" s="7567" t="s">
        <v>294</v>
      </c>
      <c r="Z16" s="7567" t="s">
        <v>294</v>
      </c>
      <c r="AA16" s="7572">
        <f>+Z17</f>
        <v>0</v>
      </c>
      <c r="AB16" s="7669" t="s">
        <v>18</v>
      </c>
      <c r="AC16" s="3920"/>
      <c r="AD16" s="3921"/>
      <c r="AE16" s="3922"/>
      <c r="AF16" s="3923"/>
      <c r="AG16" s="10908"/>
    </row>
    <row r="17" spans="1:33" ht="36.75" customHeight="1">
      <c r="A17" s="11000"/>
      <c r="B17" s="10934"/>
      <c r="C17" s="10937"/>
      <c r="D17" s="10937"/>
      <c r="E17" s="10937"/>
      <c r="F17" s="10940"/>
      <c r="G17" s="10937"/>
      <c r="H17" s="10937"/>
      <c r="I17" s="11026"/>
      <c r="J17" s="10937"/>
      <c r="K17" s="10937"/>
      <c r="L17" s="11005"/>
      <c r="M17" s="11005"/>
      <c r="N17" s="11005"/>
      <c r="O17" s="10937"/>
      <c r="P17" s="11008"/>
      <c r="Q17" s="10953"/>
      <c r="R17" s="4014" t="s">
        <v>294</v>
      </c>
      <c r="S17" s="3917" t="s">
        <v>294</v>
      </c>
      <c r="T17" s="3917" t="s">
        <v>3661</v>
      </c>
      <c r="U17" s="3913" t="s">
        <v>5178</v>
      </c>
      <c r="V17" s="7528">
        <v>0</v>
      </c>
      <c r="W17" s="3926" t="s">
        <v>5177</v>
      </c>
      <c r="X17" s="7567">
        <v>12185.73</v>
      </c>
      <c r="Y17" s="7567">
        <f>+V17*X17</f>
        <v>0</v>
      </c>
      <c r="Z17" s="7567">
        <f>+Y17*1.12</f>
        <v>0</v>
      </c>
      <c r="AA17" s="7566" t="s">
        <v>294</v>
      </c>
      <c r="AB17" s="7669"/>
      <c r="AC17" s="3920"/>
      <c r="AD17" s="3921"/>
      <c r="AE17" s="3927" t="s">
        <v>153</v>
      </c>
      <c r="AF17" s="3923"/>
      <c r="AG17" s="10908"/>
    </row>
    <row r="18" spans="1:33" ht="15.75" customHeight="1">
      <c r="A18" s="11000"/>
      <c r="B18" s="10934"/>
      <c r="C18" s="10937"/>
      <c r="D18" s="10937"/>
      <c r="E18" s="10937"/>
      <c r="F18" s="10940"/>
      <c r="G18" s="10937"/>
      <c r="H18" s="10937"/>
      <c r="I18" s="11026"/>
      <c r="J18" s="10937"/>
      <c r="K18" s="10937"/>
      <c r="L18" s="11005"/>
      <c r="M18" s="11005"/>
      <c r="N18" s="11005"/>
      <c r="O18" s="10937"/>
      <c r="P18" s="11008"/>
      <c r="Q18" s="10953"/>
      <c r="R18" s="4016" t="s">
        <v>5011</v>
      </c>
      <c r="S18" s="3916">
        <v>840104</v>
      </c>
      <c r="T18" s="3917" t="s">
        <v>294</v>
      </c>
      <c r="U18" s="3914" t="s">
        <v>39</v>
      </c>
      <c r="V18" s="6190" t="s">
        <v>294</v>
      </c>
      <c r="W18" s="3925" t="s">
        <v>294</v>
      </c>
      <c r="X18" s="7567" t="s">
        <v>294</v>
      </c>
      <c r="Y18" s="7567" t="s">
        <v>294</v>
      </c>
      <c r="Z18" s="7567" t="s">
        <v>294</v>
      </c>
      <c r="AA18" s="7572">
        <f>+Z19</f>
        <v>0</v>
      </c>
      <c r="AB18" s="7669" t="s">
        <v>25</v>
      </c>
      <c r="AC18" s="3920"/>
      <c r="AD18" s="3921" t="s">
        <v>294</v>
      </c>
      <c r="AE18" s="3922" t="s">
        <v>294</v>
      </c>
      <c r="AF18" s="3923" t="s">
        <v>294</v>
      </c>
      <c r="AG18" s="10908"/>
    </row>
    <row r="19" spans="1:33" ht="15.75" customHeight="1">
      <c r="A19" s="11000"/>
      <c r="B19" s="10935"/>
      <c r="C19" s="10938"/>
      <c r="D19" s="10938"/>
      <c r="E19" s="10938"/>
      <c r="F19" s="10941"/>
      <c r="G19" s="10938"/>
      <c r="H19" s="10938"/>
      <c r="I19" s="11027"/>
      <c r="J19" s="10938"/>
      <c r="K19" s="10938"/>
      <c r="L19" s="11039"/>
      <c r="M19" s="11039"/>
      <c r="N19" s="11039"/>
      <c r="O19" s="10938"/>
      <c r="P19" s="11038"/>
      <c r="Q19" s="10954"/>
      <c r="R19" s="4216" t="s">
        <v>294</v>
      </c>
      <c r="S19" s="3996" t="s">
        <v>294</v>
      </c>
      <c r="T19" s="3977">
        <v>47313001</v>
      </c>
      <c r="U19" s="3952" t="s">
        <v>1833</v>
      </c>
      <c r="V19" s="7529">
        <v>0</v>
      </c>
      <c r="W19" s="3978" t="s">
        <v>180</v>
      </c>
      <c r="X19" s="7573">
        <v>850</v>
      </c>
      <c r="Y19" s="7573">
        <f>+V19*X19</f>
        <v>0</v>
      </c>
      <c r="Z19" s="7573">
        <f>+Y19*1.12</f>
        <v>0</v>
      </c>
      <c r="AA19" s="7574"/>
      <c r="AB19" s="7672"/>
      <c r="AC19" s="3979"/>
      <c r="AD19" s="4035" t="s">
        <v>294</v>
      </c>
      <c r="AE19" s="4036" t="s">
        <v>153</v>
      </c>
      <c r="AF19" s="3980" t="s">
        <v>294</v>
      </c>
      <c r="AG19" s="10909"/>
    </row>
    <row r="20" spans="1:33" ht="15.75" customHeight="1">
      <c r="A20" s="11000"/>
      <c r="B20" s="10950" t="s">
        <v>127</v>
      </c>
      <c r="C20" s="10948" t="s">
        <v>128</v>
      </c>
      <c r="D20" s="10948" t="s">
        <v>129</v>
      </c>
      <c r="E20" s="10948" t="s">
        <v>268</v>
      </c>
      <c r="F20" s="10951" t="s">
        <v>131</v>
      </c>
      <c r="G20" s="10948" t="s">
        <v>132</v>
      </c>
      <c r="H20" s="10948" t="s">
        <v>159</v>
      </c>
      <c r="I20" s="11028" t="s">
        <v>5179</v>
      </c>
      <c r="J20" s="10948" t="s">
        <v>4213</v>
      </c>
      <c r="K20" s="10948" t="s">
        <v>5180</v>
      </c>
      <c r="L20" s="11004">
        <v>1</v>
      </c>
      <c r="M20" s="11004">
        <v>0</v>
      </c>
      <c r="N20" s="11004">
        <v>1</v>
      </c>
      <c r="O20" s="10948" t="s">
        <v>5181</v>
      </c>
      <c r="P20" s="11007" t="s">
        <v>5182</v>
      </c>
      <c r="Q20" s="10986" t="s">
        <v>5166</v>
      </c>
      <c r="R20" s="4044" t="s">
        <v>294</v>
      </c>
      <c r="S20" s="4045" t="s">
        <v>294</v>
      </c>
      <c r="T20" s="4045" t="s">
        <v>294</v>
      </c>
      <c r="U20" s="3906" t="s">
        <v>294</v>
      </c>
      <c r="V20" s="7530" t="s">
        <v>294</v>
      </c>
      <c r="W20" s="4046" t="s">
        <v>294</v>
      </c>
      <c r="X20" s="7562" t="s">
        <v>294</v>
      </c>
      <c r="Y20" s="7562" t="s">
        <v>294</v>
      </c>
      <c r="Z20" s="7562" t="s">
        <v>294</v>
      </c>
      <c r="AA20" s="7563" t="s">
        <v>294</v>
      </c>
      <c r="AB20" s="7668"/>
      <c r="AC20" s="3909"/>
      <c r="AD20" s="3910" t="s">
        <v>294</v>
      </c>
      <c r="AE20" s="3911" t="s">
        <v>294</v>
      </c>
      <c r="AF20" s="3912" t="s">
        <v>294</v>
      </c>
      <c r="AG20" s="10910" t="s">
        <v>294</v>
      </c>
    </row>
    <row r="21" spans="1:33" ht="15.75" customHeight="1">
      <c r="A21" s="11000"/>
      <c r="B21" s="10934"/>
      <c r="C21" s="10937"/>
      <c r="D21" s="10937"/>
      <c r="E21" s="10937"/>
      <c r="F21" s="10940"/>
      <c r="G21" s="10937"/>
      <c r="H21" s="10937"/>
      <c r="I21" s="11026"/>
      <c r="J21" s="10937"/>
      <c r="K21" s="10937"/>
      <c r="L21" s="11005"/>
      <c r="M21" s="11005"/>
      <c r="N21" s="11005"/>
      <c r="O21" s="10937"/>
      <c r="P21" s="11008"/>
      <c r="Q21" s="10953"/>
      <c r="R21" s="4014" t="s">
        <v>294</v>
      </c>
      <c r="S21" s="3931" t="s">
        <v>294</v>
      </c>
      <c r="T21" s="3931" t="s">
        <v>294</v>
      </c>
      <c r="U21" s="3932" t="s">
        <v>294</v>
      </c>
      <c r="V21" s="7531" t="s">
        <v>294</v>
      </c>
      <c r="W21" s="3933" t="s">
        <v>294</v>
      </c>
      <c r="X21" s="7575" t="s">
        <v>294</v>
      </c>
      <c r="Y21" s="7575" t="s">
        <v>294</v>
      </c>
      <c r="Z21" s="7575" t="s">
        <v>294</v>
      </c>
      <c r="AA21" s="7576" t="s">
        <v>294</v>
      </c>
      <c r="AB21" s="7673"/>
      <c r="AC21" s="3934"/>
      <c r="AD21" s="3921" t="s">
        <v>294</v>
      </c>
      <c r="AE21" s="3922" t="s">
        <v>294</v>
      </c>
      <c r="AF21" s="3923" t="s">
        <v>294</v>
      </c>
      <c r="AG21" s="10908"/>
    </row>
    <row r="22" spans="1:33" ht="15.75" customHeight="1">
      <c r="A22" s="11000"/>
      <c r="B22" s="10934"/>
      <c r="C22" s="10937"/>
      <c r="D22" s="10937"/>
      <c r="E22" s="10937"/>
      <c r="F22" s="10940"/>
      <c r="G22" s="10937"/>
      <c r="H22" s="10937"/>
      <c r="I22" s="11026"/>
      <c r="J22" s="10937"/>
      <c r="K22" s="10937"/>
      <c r="L22" s="11005"/>
      <c r="M22" s="11005"/>
      <c r="N22" s="11005"/>
      <c r="O22" s="10937"/>
      <c r="P22" s="11008"/>
      <c r="Q22" s="10953"/>
      <c r="R22" s="4014" t="s">
        <v>294</v>
      </c>
      <c r="S22" s="3931" t="s">
        <v>294</v>
      </c>
      <c r="T22" s="3931" t="s">
        <v>294</v>
      </c>
      <c r="U22" s="3932" t="s">
        <v>294</v>
      </c>
      <c r="V22" s="7531" t="s">
        <v>294</v>
      </c>
      <c r="W22" s="3933" t="s">
        <v>294</v>
      </c>
      <c r="X22" s="7575" t="s">
        <v>294</v>
      </c>
      <c r="Y22" s="7575" t="s">
        <v>294</v>
      </c>
      <c r="Z22" s="7575" t="s">
        <v>294</v>
      </c>
      <c r="AA22" s="7576" t="s">
        <v>294</v>
      </c>
      <c r="AB22" s="7673"/>
      <c r="AC22" s="3934"/>
      <c r="AD22" s="3921" t="s">
        <v>294</v>
      </c>
      <c r="AE22" s="3922" t="s">
        <v>294</v>
      </c>
      <c r="AF22" s="3923" t="s">
        <v>294</v>
      </c>
      <c r="AG22" s="10908"/>
    </row>
    <row r="23" spans="1:33" ht="15.75" customHeight="1">
      <c r="A23" s="11000"/>
      <c r="B23" s="10934"/>
      <c r="C23" s="10937"/>
      <c r="D23" s="10937"/>
      <c r="E23" s="10937"/>
      <c r="F23" s="10940"/>
      <c r="G23" s="10937"/>
      <c r="H23" s="10937"/>
      <c r="I23" s="11026"/>
      <c r="J23" s="10937"/>
      <c r="K23" s="10937"/>
      <c r="L23" s="11005"/>
      <c r="M23" s="11005"/>
      <c r="N23" s="11005"/>
      <c r="O23" s="10937"/>
      <c r="P23" s="11008"/>
      <c r="Q23" s="10953"/>
      <c r="R23" s="4013" t="s">
        <v>294</v>
      </c>
      <c r="S23" s="3935" t="s">
        <v>294</v>
      </c>
      <c r="T23" s="3935" t="s">
        <v>294</v>
      </c>
      <c r="U23" s="3932" t="s">
        <v>294</v>
      </c>
      <c r="V23" s="7531" t="s">
        <v>294</v>
      </c>
      <c r="W23" s="3933" t="s">
        <v>294</v>
      </c>
      <c r="X23" s="7575" t="s">
        <v>294</v>
      </c>
      <c r="Y23" s="7575" t="s">
        <v>294</v>
      </c>
      <c r="Z23" s="7575" t="s">
        <v>294</v>
      </c>
      <c r="AA23" s="7576" t="s">
        <v>294</v>
      </c>
      <c r="AB23" s="7673"/>
      <c r="AC23" s="3934"/>
      <c r="AD23" s="3921" t="s">
        <v>294</v>
      </c>
      <c r="AE23" s="3922" t="s">
        <v>294</v>
      </c>
      <c r="AF23" s="3923" t="s">
        <v>294</v>
      </c>
      <c r="AG23" s="10908"/>
    </row>
    <row r="24" spans="1:33" ht="15.75" customHeight="1">
      <c r="A24" s="11000"/>
      <c r="B24" s="10993"/>
      <c r="C24" s="10985"/>
      <c r="D24" s="10985"/>
      <c r="E24" s="10985"/>
      <c r="F24" s="10994"/>
      <c r="G24" s="10985"/>
      <c r="H24" s="10985"/>
      <c r="I24" s="11030"/>
      <c r="J24" s="10985"/>
      <c r="K24" s="10985"/>
      <c r="L24" s="11006"/>
      <c r="M24" s="11006"/>
      <c r="N24" s="11006"/>
      <c r="O24" s="10985"/>
      <c r="P24" s="11009"/>
      <c r="Q24" s="10987"/>
      <c r="R24" s="4037" t="s">
        <v>294</v>
      </c>
      <c r="S24" s="4054" t="s">
        <v>294</v>
      </c>
      <c r="T24" s="4054" t="s">
        <v>294</v>
      </c>
      <c r="U24" s="4055" t="s">
        <v>294</v>
      </c>
      <c r="V24" s="7532" t="s">
        <v>294</v>
      </c>
      <c r="W24" s="4056" t="s">
        <v>294</v>
      </c>
      <c r="X24" s="7577" t="s">
        <v>294</v>
      </c>
      <c r="Y24" s="7577" t="s">
        <v>294</v>
      </c>
      <c r="Z24" s="7577" t="s">
        <v>294</v>
      </c>
      <c r="AA24" s="7578" t="s">
        <v>294</v>
      </c>
      <c r="AB24" s="7674"/>
      <c r="AC24" s="4057"/>
      <c r="AD24" s="4041" t="s">
        <v>294</v>
      </c>
      <c r="AE24" s="4042" t="s">
        <v>294</v>
      </c>
      <c r="AF24" s="4043" t="s">
        <v>294</v>
      </c>
      <c r="AG24" s="10909"/>
    </row>
    <row r="25" spans="1:33" ht="15.75" customHeight="1">
      <c r="A25" s="11000"/>
      <c r="B25" s="10933" t="s">
        <v>127</v>
      </c>
      <c r="C25" s="10936" t="s">
        <v>128</v>
      </c>
      <c r="D25" s="10936" t="s">
        <v>129</v>
      </c>
      <c r="E25" s="10936" t="s">
        <v>268</v>
      </c>
      <c r="F25" s="10939" t="s">
        <v>131</v>
      </c>
      <c r="G25" s="10936" t="s">
        <v>132</v>
      </c>
      <c r="H25" s="10936" t="s">
        <v>159</v>
      </c>
      <c r="I25" s="11025" t="s">
        <v>5183</v>
      </c>
      <c r="J25" s="10936" t="s">
        <v>4222</v>
      </c>
      <c r="K25" s="10936" t="s">
        <v>5184</v>
      </c>
      <c r="L25" s="11036">
        <v>8</v>
      </c>
      <c r="M25" s="11036">
        <v>8</v>
      </c>
      <c r="N25" s="11036">
        <v>8</v>
      </c>
      <c r="O25" s="10936" t="s">
        <v>5185</v>
      </c>
      <c r="P25" s="10936" t="s">
        <v>5186</v>
      </c>
      <c r="Q25" s="10952" t="s">
        <v>5166</v>
      </c>
      <c r="R25" s="4047" t="s">
        <v>294</v>
      </c>
      <c r="S25" s="4048" t="s">
        <v>294</v>
      </c>
      <c r="T25" s="4048" t="s">
        <v>294</v>
      </c>
      <c r="U25" s="3999" t="s">
        <v>294</v>
      </c>
      <c r="V25" s="7533" t="s">
        <v>294</v>
      </c>
      <c r="W25" s="4049" t="s">
        <v>294</v>
      </c>
      <c r="X25" s="7579" t="s">
        <v>294</v>
      </c>
      <c r="Y25" s="7579" t="s">
        <v>294</v>
      </c>
      <c r="Z25" s="7579" t="s">
        <v>294</v>
      </c>
      <c r="AA25" s="7580" t="s">
        <v>294</v>
      </c>
      <c r="AB25" s="7675"/>
      <c r="AC25" s="4011"/>
      <c r="AD25" s="4003" t="s">
        <v>294</v>
      </c>
      <c r="AE25" s="4004" t="s">
        <v>294</v>
      </c>
      <c r="AF25" s="4005" t="s">
        <v>294</v>
      </c>
      <c r="AG25" s="10907" t="s">
        <v>294</v>
      </c>
    </row>
    <row r="26" spans="1:33" ht="15.75" customHeight="1">
      <c r="A26" s="11000"/>
      <c r="B26" s="10934"/>
      <c r="C26" s="10937"/>
      <c r="D26" s="10937"/>
      <c r="E26" s="10937"/>
      <c r="F26" s="10940"/>
      <c r="G26" s="10937"/>
      <c r="H26" s="10937"/>
      <c r="I26" s="11026"/>
      <c r="J26" s="10937"/>
      <c r="K26" s="10937"/>
      <c r="L26" s="11005"/>
      <c r="M26" s="11005"/>
      <c r="N26" s="11005"/>
      <c r="O26" s="10937"/>
      <c r="P26" s="10937"/>
      <c r="Q26" s="10953"/>
      <c r="R26" s="4014" t="s">
        <v>294</v>
      </c>
      <c r="S26" s="3931" t="s">
        <v>294</v>
      </c>
      <c r="T26" s="3931" t="s">
        <v>294</v>
      </c>
      <c r="U26" s="3932" t="s">
        <v>294</v>
      </c>
      <c r="V26" s="7531" t="s">
        <v>294</v>
      </c>
      <c r="W26" s="3933" t="s">
        <v>294</v>
      </c>
      <c r="X26" s="7575" t="s">
        <v>294</v>
      </c>
      <c r="Y26" s="7575" t="s">
        <v>294</v>
      </c>
      <c r="Z26" s="7575" t="s">
        <v>294</v>
      </c>
      <c r="AA26" s="7576" t="s">
        <v>294</v>
      </c>
      <c r="AB26" s="7673"/>
      <c r="AC26" s="3934"/>
      <c r="AD26" s="3921" t="s">
        <v>294</v>
      </c>
      <c r="AE26" s="3922" t="s">
        <v>294</v>
      </c>
      <c r="AF26" s="3923" t="s">
        <v>294</v>
      </c>
      <c r="AG26" s="10908"/>
    </row>
    <row r="27" spans="1:33" ht="15.75" customHeight="1">
      <c r="A27" s="11000"/>
      <c r="B27" s="10934"/>
      <c r="C27" s="10937"/>
      <c r="D27" s="10937"/>
      <c r="E27" s="10937"/>
      <c r="F27" s="10940"/>
      <c r="G27" s="10937"/>
      <c r="H27" s="10937"/>
      <c r="I27" s="11026"/>
      <c r="J27" s="10937"/>
      <c r="K27" s="10937"/>
      <c r="L27" s="11005"/>
      <c r="M27" s="11005"/>
      <c r="N27" s="11005"/>
      <c r="O27" s="10937"/>
      <c r="P27" s="10937"/>
      <c r="Q27" s="10953"/>
      <c r="R27" s="4014" t="s">
        <v>294</v>
      </c>
      <c r="S27" s="3931" t="s">
        <v>294</v>
      </c>
      <c r="T27" s="3931" t="s">
        <v>294</v>
      </c>
      <c r="U27" s="3932" t="s">
        <v>294</v>
      </c>
      <c r="V27" s="7531" t="s">
        <v>294</v>
      </c>
      <c r="W27" s="3933" t="s">
        <v>294</v>
      </c>
      <c r="X27" s="7575" t="s">
        <v>294</v>
      </c>
      <c r="Y27" s="7575" t="s">
        <v>294</v>
      </c>
      <c r="Z27" s="7575" t="s">
        <v>294</v>
      </c>
      <c r="AA27" s="7576" t="s">
        <v>294</v>
      </c>
      <c r="AB27" s="7673"/>
      <c r="AC27" s="3934"/>
      <c r="AD27" s="3921" t="s">
        <v>294</v>
      </c>
      <c r="AE27" s="3922" t="s">
        <v>294</v>
      </c>
      <c r="AF27" s="3923" t="s">
        <v>294</v>
      </c>
      <c r="AG27" s="10908"/>
    </row>
    <row r="28" spans="1:33" ht="15.75" customHeight="1">
      <c r="A28" s="11000"/>
      <c r="B28" s="10934"/>
      <c r="C28" s="10937"/>
      <c r="D28" s="10937"/>
      <c r="E28" s="10937"/>
      <c r="F28" s="10940"/>
      <c r="G28" s="10937"/>
      <c r="H28" s="10937"/>
      <c r="I28" s="11026"/>
      <c r="J28" s="10937"/>
      <c r="K28" s="10937"/>
      <c r="L28" s="11005"/>
      <c r="M28" s="11005"/>
      <c r="N28" s="11005"/>
      <c r="O28" s="10937"/>
      <c r="P28" s="10937"/>
      <c r="Q28" s="10953"/>
      <c r="R28" s="4013" t="s">
        <v>294</v>
      </c>
      <c r="S28" s="3935" t="s">
        <v>294</v>
      </c>
      <c r="T28" s="3935" t="s">
        <v>294</v>
      </c>
      <c r="U28" s="3932" t="s">
        <v>294</v>
      </c>
      <c r="V28" s="7531" t="s">
        <v>294</v>
      </c>
      <c r="W28" s="3933" t="s">
        <v>294</v>
      </c>
      <c r="X28" s="7575" t="s">
        <v>294</v>
      </c>
      <c r="Y28" s="7575" t="s">
        <v>294</v>
      </c>
      <c r="Z28" s="7575" t="s">
        <v>294</v>
      </c>
      <c r="AA28" s="7576" t="s">
        <v>294</v>
      </c>
      <c r="AB28" s="7673"/>
      <c r="AC28" s="3934"/>
      <c r="AD28" s="3921" t="s">
        <v>294</v>
      </c>
      <c r="AE28" s="3922" t="s">
        <v>294</v>
      </c>
      <c r="AF28" s="3923" t="s">
        <v>294</v>
      </c>
      <c r="AG28" s="10908"/>
    </row>
    <row r="29" spans="1:33" ht="15.75" customHeight="1">
      <c r="A29" s="11000"/>
      <c r="B29" s="10935"/>
      <c r="C29" s="10938"/>
      <c r="D29" s="10938"/>
      <c r="E29" s="10938"/>
      <c r="F29" s="10941"/>
      <c r="G29" s="10938"/>
      <c r="H29" s="10938"/>
      <c r="I29" s="11027"/>
      <c r="J29" s="10938"/>
      <c r="K29" s="10938"/>
      <c r="L29" s="11039"/>
      <c r="M29" s="11039"/>
      <c r="N29" s="11039"/>
      <c r="O29" s="10938"/>
      <c r="P29" s="10938"/>
      <c r="Q29" s="10954"/>
      <c r="R29" s="4033" t="s">
        <v>294</v>
      </c>
      <c r="S29" s="4050" t="s">
        <v>294</v>
      </c>
      <c r="T29" s="4050" t="s">
        <v>294</v>
      </c>
      <c r="U29" s="4051" t="s">
        <v>294</v>
      </c>
      <c r="V29" s="7534" t="s">
        <v>294</v>
      </c>
      <c r="W29" s="4052" t="s">
        <v>294</v>
      </c>
      <c r="X29" s="7581" t="s">
        <v>294</v>
      </c>
      <c r="Y29" s="7581" t="s">
        <v>294</v>
      </c>
      <c r="Z29" s="7581" t="s">
        <v>294</v>
      </c>
      <c r="AA29" s="7582" t="s">
        <v>294</v>
      </c>
      <c r="AB29" s="7676"/>
      <c r="AC29" s="4053"/>
      <c r="AD29" s="4035" t="s">
        <v>294</v>
      </c>
      <c r="AE29" s="4036" t="s">
        <v>294</v>
      </c>
      <c r="AF29" s="3980" t="s">
        <v>294</v>
      </c>
      <c r="AG29" s="10909"/>
    </row>
    <row r="30" spans="1:33" ht="31.5" customHeight="1">
      <c r="A30" s="11000"/>
      <c r="B30" s="10950" t="s">
        <v>127</v>
      </c>
      <c r="C30" s="10948" t="s">
        <v>128</v>
      </c>
      <c r="D30" s="10948" t="s">
        <v>129</v>
      </c>
      <c r="E30" s="10948" t="s">
        <v>268</v>
      </c>
      <c r="F30" s="10951" t="s">
        <v>131</v>
      </c>
      <c r="G30" s="10948" t="s">
        <v>132</v>
      </c>
      <c r="H30" s="10948" t="s">
        <v>159</v>
      </c>
      <c r="I30" s="11028" t="s">
        <v>5187</v>
      </c>
      <c r="J30" s="10948" t="s">
        <v>4228</v>
      </c>
      <c r="K30" s="10948" t="s">
        <v>5188</v>
      </c>
      <c r="L30" s="11004">
        <v>1</v>
      </c>
      <c r="M30" s="11004">
        <v>1</v>
      </c>
      <c r="N30" s="11004">
        <v>1</v>
      </c>
      <c r="O30" s="11007" t="s">
        <v>5189</v>
      </c>
      <c r="P30" s="11007" t="s">
        <v>5190</v>
      </c>
      <c r="Q30" s="10986" t="s">
        <v>5166</v>
      </c>
      <c r="R30" s="4416" t="s">
        <v>80</v>
      </c>
      <c r="S30" s="7510">
        <v>840104</v>
      </c>
      <c r="T30" s="7511" t="s">
        <v>294</v>
      </c>
      <c r="U30" s="4417" t="s">
        <v>39</v>
      </c>
      <c r="V30" s="7555" t="s">
        <v>294</v>
      </c>
      <c r="W30" s="4271" t="s">
        <v>294</v>
      </c>
      <c r="X30" s="8107" t="s">
        <v>294</v>
      </c>
      <c r="Y30" s="8107" t="s">
        <v>294</v>
      </c>
      <c r="Z30" s="8107" t="s">
        <v>294</v>
      </c>
      <c r="AA30" s="7784">
        <f>SUM(Z31)</f>
        <v>21978</v>
      </c>
      <c r="AB30" s="7677" t="s">
        <v>25</v>
      </c>
      <c r="AC30" s="4270"/>
      <c r="AD30" s="4272" t="s">
        <v>294</v>
      </c>
      <c r="AE30" s="4272" t="s">
        <v>294</v>
      </c>
      <c r="AF30" s="4272" t="s">
        <v>294</v>
      </c>
      <c r="AG30" s="10907" t="s">
        <v>294</v>
      </c>
    </row>
    <row r="31" spans="1:33" ht="42.75" customHeight="1">
      <c r="A31" s="11000"/>
      <c r="B31" s="10934"/>
      <c r="C31" s="10937"/>
      <c r="D31" s="10937"/>
      <c r="E31" s="10937"/>
      <c r="F31" s="10940"/>
      <c r="G31" s="10937"/>
      <c r="H31" s="10937"/>
      <c r="I31" s="11026"/>
      <c r="J31" s="10937"/>
      <c r="K31" s="10937"/>
      <c r="L31" s="11005"/>
      <c r="M31" s="11005"/>
      <c r="N31" s="11005"/>
      <c r="O31" s="11008"/>
      <c r="P31" s="11008"/>
      <c r="Q31" s="10953"/>
      <c r="R31" s="4273"/>
      <c r="S31" s="7512" t="s">
        <v>294</v>
      </c>
      <c r="T31" s="7512" t="s">
        <v>294</v>
      </c>
      <c r="U31" s="4418" t="s">
        <v>5191</v>
      </c>
      <c r="V31" s="7527">
        <v>26</v>
      </c>
      <c r="W31" s="4419" t="s">
        <v>180</v>
      </c>
      <c r="X31" s="7782">
        <f>21978/26</f>
        <v>845.30769230769226</v>
      </c>
      <c r="Y31" s="7782">
        <f>X31*V31</f>
        <v>21978</v>
      </c>
      <c r="Z31" s="7782">
        <f>Y31</f>
        <v>21978</v>
      </c>
      <c r="AA31" s="8108"/>
      <c r="AB31" s="7678"/>
      <c r="AC31" s="4274"/>
      <c r="AD31" s="4275" t="s">
        <v>294</v>
      </c>
      <c r="AE31" s="4275" t="s">
        <v>294</v>
      </c>
      <c r="AF31" s="4275" t="s">
        <v>153</v>
      </c>
      <c r="AG31" s="10908"/>
    </row>
    <row r="32" spans="1:33" ht="15.75" customHeight="1">
      <c r="A32" s="11000"/>
      <c r="B32" s="10934"/>
      <c r="C32" s="10937"/>
      <c r="D32" s="10937"/>
      <c r="E32" s="10937"/>
      <c r="F32" s="10940"/>
      <c r="G32" s="10937"/>
      <c r="H32" s="10937"/>
      <c r="I32" s="11026"/>
      <c r="J32" s="10937"/>
      <c r="K32" s="10937"/>
      <c r="L32" s="11005"/>
      <c r="M32" s="11005"/>
      <c r="N32" s="11005"/>
      <c r="O32" s="11008"/>
      <c r="P32" s="11008"/>
      <c r="Q32" s="10953"/>
      <c r="R32" s="4017" t="s">
        <v>294</v>
      </c>
      <c r="S32" s="3930" t="s">
        <v>294</v>
      </c>
      <c r="T32" s="3928" t="s">
        <v>294</v>
      </c>
      <c r="U32" s="3938" t="s">
        <v>294</v>
      </c>
      <c r="V32" s="7556"/>
      <c r="W32" s="3939" t="s">
        <v>294</v>
      </c>
      <c r="X32" s="7567"/>
      <c r="Y32" s="7567" t="s">
        <v>294</v>
      </c>
      <c r="Z32" s="7567" t="s">
        <v>294</v>
      </c>
      <c r="AA32" s="7566"/>
      <c r="AB32" s="3940"/>
      <c r="AC32" s="3941"/>
      <c r="AD32" s="3925" t="s">
        <v>294</v>
      </c>
      <c r="AE32" s="3925" t="s">
        <v>294</v>
      </c>
      <c r="AF32" s="3923" t="s">
        <v>294</v>
      </c>
      <c r="AG32" s="10908"/>
    </row>
    <row r="33" spans="1:33" ht="15.75" customHeight="1">
      <c r="A33" s="11000"/>
      <c r="B33" s="10934"/>
      <c r="C33" s="10937"/>
      <c r="D33" s="10937"/>
      <c r="E33" s="10937"/>
      <c r="F33" s="10940"/>
      <c r="G33" s="10937"/>
      <c r="H33" s="10937"/>
      <c r="I33" s="11026"/>
      <c r="J33" s="10937"/>
      <c r="K33" s="10937"/>
      <c r="L33" s="11005"/>
      <c r="M33" s="11005"/>
      <c r="N33" s="11005"/>
      <c r="O33" s="11008"/>
      <c r="P33" s="11008"/>
      <c r="Q33" s="10953"/>
      <c r="R33" s="4017" t="s">
        <v>294</v>
      </c>
      <c r="S33" s="3928" t="s">
        <v>294</v>
      </c>
      <c r="T33" s="3928" t="s">
        <v>294</v>
      </c>
      <c r="U33" s="3942" t="s">
        <v>294</v>
      </c>
      <c r="V33" s="7537" t="s">
        <v>294</v>
      </c>
      <c r="W33" s="3943" t="s">
        <v>294</v>
      </c>
      <c r="X33" s="7567" t="s">
        <v>294</v>
      </c>
      <c r="Y33" s="7567" t="s">
        <v>294</v>
      </c>
      <c r="Z33" s="7567" t="s">
        <v>294</v>
      </c>
      <c r="AA33" s="7566" t="s">
        <v>294</v>
      </c>
      <c r="AB33" s="3940"/>
      <c r="AC33" s="3941"/>
      <c r="AD33" s="3937" t="s">
        <v>294</v>
      </c>
      <c r="AE33" s="3937" t="s">
        <v>294</v>
      </c>
      <c r="AF33" s="3944" t="s">
        <v>294</v>
      </c>
      <c r="AG33" s="10908"/>
    </row>
    <row r="34" spans="1:33" ht="15.75" customHeight="1">
      <c r="A34" s="11112"/>
      <c r="B34" s="10993"/>
      <c r="C34" s="10985"/>
      <c r="D34" s="10985"/>
      <c r="E34" s="10985"/>
      <c r="F34" s="10994"/>
      <c r="G34" s="10985"/>
      <c r="H34" s="10985"/>
      <c r="I34" s="11030"/>
      <c r="J34" s="10985"/>
      <c r="K34" s="10985"/>
      <c r="L34" s="11006"/>
      <c r="M34" s="11006"/>
      <c r="N34" s="11006"/>
      <c r="O34" s="11009"/>
      <c r="P34" s="11009"/>
      <c r="Q34" s="10987"/>
      <c r="R34" s="4061" t="s">
        <v>294</v>
      </c>
      <c r="S34" s="4062" t="s">
        <v>294</v>
      </c>
      <c r="T34" s="4062" t="s">
        <v>294</v>
      </c>
      <c r="U34" s="3982" t="s">
        <v>294</v>
      </c>
      <c r="V34" s="7535" t="s">
        <v>294</v>
      </c>
      <c r="W34" s="4063" t="s">
        <v>294</v>
      </c>
      <c r="X34" s="7568" t="s">
        <v>294</v>
      </c>
      <c r="Y34" s="7568" t="s">
        <v>294</v>
      </c>
      <c r="Z34" s="7568" t="s">
        <v>294</v>
      </c>
      <c r="AA34" s="7569" t="s">
        <v>294</v>
      </c>
      <c r="AB34" s="7670"/>
      <c r="AC34" s="4040"/>
      <c r="AD34" s="4039" t="s">
        <v>294</v>
      </c>
      <c r="AE34" s="4039" t="s">
        <v>294</v>
      </c>
      <c r="AF34" s="4039" t="s">
        <v>294</v>
      </c>
      <c r="AG34" s="10909"/>
    </row>
    <row r="35" spans="1:33" ht="15.75" customHeight="1">
      <c r="A35" s="10922" t="s">
        <v>4188</v>
      </c>
      <c r="B35" s="10933" t="s">
        <v>127</v>
      </c>
      <c r="C35" s="10936" t="s">
        <v>128</v>
      </c>
      <c r="D35" s="10936" t="s">
        <v>129</v>
      </c>
      <c r="E35" s="10936" t="s">
        <v>268</v>
      </c>
      <c r="F35" s="10939" t="s">
        <v>131</v>
      </c>
      <c r="G35" s="10936" t="s">
        <v>132</v>
      </c>
      <c r="H35" s="10936" t="s">
        <v>159</v>
      </c>
      <c r="I35" s="11025" t="s">
        <v>5192</v>
      </c>
      <c r="J35" s="10936" t="s">
        <v>4243</v>
      </c>
      <c r="K35" s="10936" t="s">
        <v>5193</v>
      </c>
      <c r="L35" s="11036">
        <v>1</v>
      </c>
      <c r="M35" s="11036">
        <v>0</v>
      </c>
      <c r="N35" s="11036">
        <v>0</v>
      </c>
      <c r="O35" s="11037" t="s">
        <v>5194</v>
      </c>
      <c r="P35" s="11037" t="s">
        <v>5195</v>
      </c>
      <c r="Q35" s="10952" t="s">
        <v>5166</v>
      </c>
      <c r="R35" s="4024" t="s">
        <v>294</v>
      </c>
      <c r="S35" s="4059" t="s">
        <v>294</v>
      </c>
      <c r="T35" s="4059" t="s">
        <v>294</v>
      </c>
      <c r="U35" s="3981" t="s">
        <v>294</v>
      </c>
      <c r="V35" s="7536" t="s">
        <v>294</v>
      </c>
      <c r="W35" s="4060" t="s">
        <v>294</v>
      </c>
      <c r="X35" s="7570" t="s">
        <v>294</v>
      </c>
      <c r="Y35" s="7570" t="s">
        <v>294</v>
      </c>
      <c r="Z35" s="7570" t="s">
        <v>294</v>
      </c>
      <c r="AA35" s="7571" t="s">
        <v>294</v>
      </c>
      <c r="AB35" s="7671"/>
      <c r="AC35" s="4002"/>
      <c r="AD35" s="4001" t="s">
        <v>294</v>
      </c>
      <c r="AE35" s="4005" t="s">
        <v>294</v>
      </c>
      <c r="AF35" s="4005" t="s">
        <v>294</v>
      </c>
      <c r="AG35" s="10907" t="s">
        <v>294</v>
      </c>
    </row>
    <row r="36" spans="1:33" ht="15.75" customHeight="1">
      <c r="A36" s="10923"/>
      <c r="B36" s="10934"/>
      <c r="C36" s="10937"/>
      <c r="D36" s="10937"/>
      <c r="E36" s="10937"/>
      <c r="F36" s="10940"/>
      <c r="G36" s="10937"/>
      <c r="H36" s="10937"/>
      <c r="I36" s="11026"/>
      <c r="J36" s="10937"/>
      <c r="K36" s="10937"/>
      <c r="L36" s="11005"/>
      <c r="M36" s="11005"/>
      <c r="N36" s="11005"/>
      <c r="O36" s="11008"/>
      <c r="P36" s="11008"/>
      <c r="Q36" s="10953"/>
      <c r="R36" s="4019" t="s">
        <v>294</v>
      </c>
      <c r="S36" s="3928" t="s">
        <v>294</v>
      </c>
      <c r="T36" s="3928" t="s">
        <v>294</v>
      </c>
      <c r="U36" s="3913" t="s">
        <v>294</v>
      </c>
      <c r="V36" s="7537" t="s">
        <v>294</v>
      </c>
      <c r="W36" s="3929" t="s">
        <v>294</v>
      </c>
      <c r="X36" s="7567" t="s">
        <v>294</v>
      </c>
      <c r="Y36" s="7567" t="s">
        <v>294</v>
      </c>
      <c r="Z36" s="7567" t="s">
        <v>294</v>
      </c>
      <c r="AA36" s="7566" t="s">
        <v>294</v>
      </c>
      <c r="AB36" s="7669"/>
      <c r="AC36" s="3920"/>
      <c r="AD36" s="3925" t="s">
        <v>294</v>
      </c>
      <c r="AE36" s="3923" t="s">
        <v>294</v>
      </c>
      <c r="AF36" s="3923" t="s">
        <v>294</v>
      </c>
      <c r="AG36" s="10908"/>
    </row>
    <row r="37" spans="1:33" ht="15.75" customHeight="1">
      <c r="A37" s="10923"/>
      <c r="B37" s="10934"/>
      <c r="C37" s="10937"/>
      <c r="D37" s="10937"/>
      <c r="E37" s="10937"/>
      <c r="F37" s="10940"/>
      <c r="G37" s="10937"/>
      <c r="H37" s="10937"/>
      <c r="I37" s="11026"/>
      <c r="J37" s="10937"/>
      <c r="K37" s="10937"/>
      <c r="L37" s="11005"/>
      <c r="M37" s="11005"/>
      <c r="N37" s="11005"/>
      <c r="O37" s="11008"/>
      <c r="P37" s="11008"/>
      <c r="Q37" s="10953"/>
      <c r="R37" s="4019" t="s">
        <v>294</v>
      </c>
      <c r="S37" s="3928" t="s">
        <v>294</v>
      </c>
      <c r="T37" s="3928" t="s">
        <v>294</v>
      </c>
      <c r="U37" s="3913" t="s">
        <v>294</v>
      </c>
      <c r="V37" s="7537" t="s">
        <v>294</v>
      </c>
      <c r="W37" s="3929" t="s">
        <v>294</v>
      </c>
      <c r="X37" s="7567" t="s">
        <v>294</v>
      </c>
      <c r="Y37" s="7567" t="s">
        <v>294</v>
      </c>
      <c r="Z37" s="7567" t="s">
        <v>294</v>
      </c>
      <c r="AA37" s="7566" t="s">
        <v>294</v>
      </c>
      <c r="AB37" s="7669"/>
      <c r="AC37" s="3920"/>
      <c r="AD37" s="3925" t="s">
        <v>294</v>
      </c>
      <c r="AE37" s="3923" t="s">
        <v>294</v>
      </c>
      <c r="AF37" s="3923" t="s">
        <v>294</v>
      </c>
      <c r="AG37" s="10908"/>
    </row>
    <row r="38" spans="1:33" ht="15.75" customHeight="1">
      <c r="A38" s="10923"/>
      <c r="B38" s="10934"/>
      <c r="C38" s="10937"/>
      <c r="D38" s="10937"/>
      <c r="E38" s="10937"/>
      <c r="F38" s="10940"/>
      <c r="G38" s="10937"/>
      <c r="H38" s="10937"/>
      <c r="I38" s="11026"/>
      <c r="J38" s="10937"/>
      <c r="K38" s="10937"/>
      <c r="L38" s="11005"/>
      <c r="M38" s="11005"/>
      <c r="N38" s="11005"/>
      <c r="O38" s="11008"/>
      <c r="P38" s="11008"/>
      <c r="Q38" s="10953"/>
      <c r="R38" s="4019" t="s">
        <v>294</v>
      </c>
      <c r="S38" s="3928" t="s">
        <v>294</v>
      </c>
      <c r="T38" s="3928" t="s">
        <v>294</v>
      </c>
      <c r="U38" s="3913" t="s">
        <v>294</v>
      </c>
      <c r="V38" s="7537" t="s">
        <v>294</v>
      </c>
      <c r="W38" s="3929" t="s">
        <v>294</v>
      </c>
      <c r="X38" s="7567" t="s">
        <v>294</v>
      </c>
      <c r="Y38" s="7567" t="s">
        <v>294</v>
      </c>
      <c r="Z38" s="7567" t="s">
        <v>294</v>
      </c>
      <c r="AA38" s="7566" t="s">
        <v>294</v>
      </c>
      <c r="AB38" s="7669"/>
      <c r="AC38" s="3920"/>
      <c r="AD38" s="3925" t="s">
        <v>294</v>
      </c>
      <c r="AE38" s="3923" t="s">
        <v>294</v>
      </c>
      <c r="AF38" s="3923" t="s">
        <v>294</v>
      </c>
      <c r="AG38" s="10908"/>
    </row>
    <row r="39" spans="1:33" ht="15.75" customHeight="1">
      <c r="A39" s="10923"/>
      <c r="B39" s="10935"/>
      <c r="C39" s="10938"/>
      <c r="D39" s="10938"/>
      <c r="E39" s="10938"/>
      <c r="F39" s="10941"/>
      <c r="G39" s="10938"/>
      <c r="H39" s="10938"/>
      <c r="I39" s="11027"/>
      <c r="J39" s="10938"/>
      <c r="K39" s="10938"/>
      <c r="L39" s="11039"/>
      <c r="M39" s="11039"/>
      <c r="N39" s="11039"/>
      <c r="O39" s="11038"/>
      <c r="P39" s="11038"/>
      <c r="Q39" s="10954"/>
      <c r="R39" s="4025" t="s">
        <v>294</v>
      </c>
      <c r="S39" s="4034" t="s">
        <v>294</v>
      </c>
      <c r="T39" s="4034" t="s">
        <v>294</v>
      </c>
      <c r="U39" s="3952" t="s">
        <v>294</v>
      </c>
      <c r="V39" s="7538" t="s">
        <v>294</v>
      </c>
      <c r="W39" s="3992" t="s">
        <v>294</v>
      </c>
      <c r="X39" s="7573" t="s">
        <v>294</v>
      </c>
      <c r="Y39" s="7573" t="s">
        <v>294</v>
      </c>
      <c r="Z39" s="7573" t="s">
        <v>294</v>
      </c>
      <c r="AA39" s="7574" t="s">
        <v>294</v>
      </c>
      <c r="AB39" s="7672"/>
      <c r="AC39" s="3979"/>
      <c r="AD39" s="3978" t="s">
        <v>294</v>
      </c>
      <c r="AE39" s="3980" t="s">
        <v>294</v>
      </c>
      <c r="AF39" s="3980" t="s">
        <v>294</v>
      </c>
      <c r="AG39" s="10909"/>
    </row>
    <row r="40" spans="1:33" ht="15.75" customHeight="1">
      <c r="A40" s="10923"/>
      <c r="B40" s="10950" t="s">
        <v>127</v>
      </c>
      <c r="C40" s="10948" t="s">
        <v>128</v>
      </c>
      <c r="D40" s="10948" t="s">
        <v>129</v>
      </c>
      <c r="E40" s="10948" t="s">
        <v>268</v>
      </c>
      <c r="F40" s="10951" t="s">
        <v>131</v>
      </c>
      <c r="G40" s="10948" t="s">
        <v>132</v>
      </c>
      <c r="H40" s="10948" t="s">
        <v>159</v>
      </c>
      <c r="I40" s="11028" t="s">
        <v>5196</v>
      </c>
      <c r="J40" s="10948" t="s">
        <v>4249</v>
      </c>
      <c r="K40" s="11007" t="s">
        <v>5197</v>
      </c>
      <c r="L40" s="11004">
        <v>5</v>
      </c>
      <c r="M40" s="11004">
        <v>5</v>
      </c>
      <c r="N40" s="11004">
        <v>5</v>
      </c>
      <c r="O40" s="11007" t="s">
        <v>5198</v>
      </c>
      <c r="P40" s="11007" t="s">
        <v>5199</v>
      </c>
      <c r="Q40" s="10986" t="s">
        <v>5166</v>
      </c>
      <c r="R40" s="4064" t="s">
        <v>294</v>
      </c>
      <c r="S40" s="4045" t="s">
        <v>294</v>
      </c>
      <c r="T40" s="4045" t="s">
        <v>294</v>
      </c>
      <c r="U40" s="3906" t="s">
        <v>294</v>
      </c>
      <c r="V40" s="7530" t="s">
        <v>294</v>
      </c>
      <c r="W40" s="4046" t="s">
        <v>294</v>
      </c>
      <c r="X40" s="7562" t="s">
        <v>294</v>
      </c>
      <c r="Y40" s="7562" t="s">
        <v>294</v>
      </c>
      <c r="Z40" s="7562" t="s">
        <v>294</v>
      </c>
      <c r="AA40" s="7563" t="s">
        <v>294</v>
      </c>
      <c r="AB40" s="7668"/>
      <c r="AC40" s="3909"/>
      <c r="AD40" s="3908" t="s">
        <v>294</v>
      </c>
      <c r="AE40" s="3912" t="s">
        <v>294</v>
      </c>
      <c r="AF40" s="3912" t="s">
        <v>294</v>
      </c>
      <c r="AG40" s="10907" t="s">
        <v>294</v>
      </c>
    </row>
    <row r="41" spans="1:33" ht="15.75" customHeight="1">
      <c r="A41" s="10923"/>
      <c r="B41" s="10934"/>
      <c r="C41" s="10937"/>
      <c r="D41" s="10937"/>
      <c r="E41" s="10937"/>
      <c r="F41" s="10940"/>
      <c r="G41" s="10937"/>
      <c r="H41" s="10937"/>
      <c r="I41" s="11026"/>
      <c r="J41" s="10937"/>
      <c r="K41" s="11008"/>
      <c r="L41" s="11005"/>
      <c r="M41" s="11005"/>
      <c r="N41" s="11005"/>
      <c r="O41" s="11008"/>
      <c r="P41" s="11008"/>
      <c r="Q41" s="10953"/>
      <c r="R41" s="4019" t="s">
        <v>294</v>
      </c>
      <c r="S41" s="3928" t="s">
        <v>294</v>
      </c>
      <c r="T41" s="3928" t="s">
        <v>294</v>
      </c>
      <c r="U41" s="3913" t="s">
        <v>294</v>
      </c>
      <c r="V41" s="7537" t="s">
        <v>294</v>
      </c>
      <c r="W41" s="3929" t="s">
        <v>294</v>
      </c>
      <c r="X41" s="7567" t="s">
        <v>294</v>
      </c>
      <c r="Y41" s="7567" t="s">
        <v>294</v>
      </c>
      <c r="Z41" s="7567" t="s">
        <v>294</v>
      </c>
      <c r="AA41" s="7566" t="s">
        <v>294</v>
      </c>
      <c r="AB41" s="7669"/>
      <c r="AC41" s="3920"/>
      <c r="AD41" s="3925" t="s">
        <v>294</v>
      </c>
      <c r="AE41" s="3923" t="s">
        <v>294</v>
      </c>
      <c r="AF41" s="3923" t="s">
        <v>294</v>
      </c>
      <c r="AG41" s="10908"/>
    </row>
    <row r="42" spans="1:33" ht="15.75" customHeight="1">
      <c r="A42" s="10923"/>
      <c r="B42" s="10934"/>
      <c r="C42" s="10937"/>
      <c r="D42" s="10937"/>
      <c r="E42" s="10937"/>
      <c r="F42" s="10940"/>
      <c r="G42" s="10937"/>
      <c r="H42" s="10937"/>
      <c r="I42" s="11026"/>
      <c r="J42" s="10937"/>
      <c r="K42" s="11008"/>
      <c r="L42" s="11005"/>
      <c r="M42" s="11005"/>
      <c r="N42" s="11005"/>
      <c r="O42" s="11008"/>
      <c r="P42" s="11008"/>
      <c r="Q42" s="10953"/>
      <c r="R42" s="4019" t="s">
        <v>294</v>
      </c>
      <c r="S42" s="3928" t="s">
        <v>294</v>
      </c>
      <c r="T42" s="3928" t="s">
        <v>294</v>
      </c>
      <c r="U42" s="3913" t="s">
        <v>294</v>
      </c>
      <c r="V42" s="7537" t="s">
        <v>294</v>
      </c>
      <c r="W42" s="3929" t="s">
        <v>294</v>
      </c>
      <c r="X42" s="7567" t="s">
        <v>294</v>
      </c>
      <c r="Y42" s="7567" t="s">
        <v>294</v>
      </c>
      <c r="Z42" s="7567" t="s">
        <v>294</v>
      </c>
      <c r="AA42" s="7566" t="s">
        <v>294</v>
      </c>
      <c r="AB42" s="7669"/>
      <c r="AC42" s="3920"/>
      <c r="AD42" s="3925" t="s">
        <v>294</v>
      </c>
      <c r="AE42" s="3923" t="s">
        <v>294</v>
      </c>
      <c r="AF42" s="3923" t="s">
        <v>294</v>
      </c>
      <c r="AG42" s="10908"/>
    </row>
    <row r="43" spans="1:33" ht="15.75" customHeight="1">
      <c r="A43" s="10923"/>
      <c r="B43" s="10934"/>
      <c r="C43" s="10937"/>
      <c r="D43" s="10937"/>
      <c r="E43" s="10937"/>
      <c r="F43" s="10940"/>
      <c r="G43" s="10937"/>
      <c r="H43" s="10937"/>
      <c r="I43" s="11026"/>
      <c r="J43" s="10937"/>
      <c r="K43" s="11008"/>
      <c r="L43" s="11005"/>
      <c r="M43" s="11005"/>
      <c r="N43" s="11005"/>
      <c r="O43" s="11008"/>
      <c r="P43" s="11008"/>
      <c r="Q43" s="10953"/>
      <c r="R43" s="4018" t="s">
        <v>294</v>
      </c>
      <c r="S43" s="3930" t="s">
        <v>294</v>
      </c>
      <c r="T43" s="3930" t="s">
        <v>294</v>
      </c>
      <c r="U43" s="3913" t="s">
        <v>294</v>
      </c>
      <c r="V43" s="7537" t="s">
        <v>294</v>
      </c>
      <c r="W43" s="3929" t="s">
        <v>294</v>
      </c>
      <c r="X43" s="7567" t="s">
        <v>294</v>
      </c>
      <c r="Y43" s="7567" t="s">
        <v>294</v>
      </c>
      <c r="Z43" s="7567" t="s">
        <v>294</v>
      </c>
      <c r="AA43" s="7566" t="s">
        <v>294</v>
      </c>
      <c r="AB43" s="7669"/>
      <c r="AC43" s="3920"/>
      <c r="AD43" s="3925" t="s">
        <v>294</v>
      </c>
      <c r="AE43" s="3923" t="s">
        <v>294</v>
      </c>
      <c r="AF43" s="3923" t="s">
        <v>294</v>
      </c>
      <c r="AG43" s="10908"/>
    </row>
    <row r="44" spans="1:33" ht="15.75" customHeight="1">
      <c r="A44" s="10923"/>
      <c r="B44" s="10993"/>
      <c r="C44" s="10985"/>
      <c r="D44" s="10985"/>
      <c r="E44" s="10985"/>
      <c r="F44" s="10994"/>
      <c r="G44" s="10985"/>
      <c r="H44" s="10985"/>
      <c r="I44" s="11030"/>
      <c r="J44" s="10985"/>
      <c r="K44" s="11009"/>
      <c r="L44" s="11006"/>
      <c r="M44" s="11006"/>
      <c r="N44" s="11006"/>
      <c r="O44" s="11009"/>
      <c r="P44" s="11009"/>
      <c r="Q44" s="10987"/>
      <c r="R44" s="4066" t="s">
        <v>294</v>
      </c>
      <c r="S44" s="4067" t="s">
        <v>294</v>
      </c>
      <c r="T44" s="4067" t="s">
        <v>294</v>
      </c>
      <c r="U44" s="3982" t="s">
        <v>294</v>
      </c>
      <c r="V44" s="7535" t="s">
        <v>294</v>
      </c>
      <c r="W44" s="4063" t="s">
        <v>294</v>
      </c>
      <c r="X44" s="7568" t="s">
        <v>294</v>
      </c>
      <c r="Y44" s="7568" t="s">
        <v>294</v>
      </c>
      <c r="Z44" s="7568" t="s">
        <v>294</v>
      </c>
      <c r="AA44" s="7569" t="s">
        <v>294</v>
      </c>
      <c r="AB44" s="7670"/>
      <c r="AC44" s="4040"/>
      <c r="AD44" s="4039" t="s">
        <v>294</v>
      </c>
      <c r="AE44" s="4043" t="s">
        <v>294</v>
      </c>
      <c r="AF44" s="4043" t="s">
        <v>294</v>
      </c>
      <c r="AG44" s="10909"/>
    </row>
    <row r="45" spans="1:33" ht="15.75" customHeight="1">
      <c r="A45" s="10923"/>
      <c r="B45" s="10933" t="s">
        <v>127</v>
      </c>
      <c r="C45" s="10936" t="s">
        <v>128</v>
      </c>
      <c r="D45" s="10936" t="s">
        <v>129</v>
      </c>
      <c r="E45" s="10936" t="s">
        <v>268</v>
      </c>
      <c r="F45" s="10939" t="s">
        <v>131</v>
      </c>
      <c r="G45" s="10936" t="s">
        <v>132</v>
      </c>
      <c r="H45" s="10936" t="s">
        <v>159</v>
      </c>
      <c r="I45" s="11025" t="s">
        <v>5200</v>
      </c>
      <c r="J45" s="10936" t="s">
        <v>4770</v>
      </c>
      <c r="K45" s="10936" t="s">
        <v>4256</v>
      </c>
      <c r="L45" s="11036">
        <v>2</v>
      </c>
      <c r="M45" s="11036">
        <v>3</v>
      </c>
      <c r="N45" s="11036">
        <v>2</v>
      </c>
      <c r="O45" s="10936" t="s">
        <v>5201</v>
      </c>
      <c r="P45" s="11025" t="s">
        <v>5202</v>
      </c>
      <c r="Q45" s="10952" t="s">
        <v>5166</v>
      </c>
      <c r="R45" s="4024" t="s">
        <v>294</v>
      </c>
      <c r="S45" s="4059" t="s">
        <v>294</v>
      </c>
      <c r="T45" s="4059" t="s">
        <v>294</v>
      </c>
      <c r="U45" s="3981" t="s">
        <v>294</v>
      </c>
      <c r="V45" s="7536" t="s">
        <v>294</v>
      </c>
      <c r="W45" s="4060" t="s">
        <v>294</v>
      </c>
      <c r="X45" s="7570" t="s">
        <v>294</v>
      </c>
      <c r="Y45" s="7570" t="s">
        <v>294</v>
      </c>
      <c r="Z45" s="7570" t="s">
        <v>294</v>
      </c>
      <c r="AA45" s="7571" t="s">
        <v>294</v>
      </c>
      <c r="AB45" s="7671"/>
      <c r="AC45" s="4002"/>
      <c r="AD45" s="4001" t="s">
        <v>294</v>
      </c>
      <c r="AE45" s="4001" t="s">
        <v>294</v>
      </c>
      <c r="AF45" s="4001" t="s">
        <v>294</v>
      </c>
      <c r="AG45" s="10907" t="s">
        <v>294</v>
      </c>
    </row>
    <row r="46" spans="1:33" ht="13.5" customHeight="1">
      <c r="A46" s="10923"/>
      <c r="B46" s="10934"/>
      <c r="C46" s="10937"/>
      <c r="D46" s="10937"/>
      <c r="E46" s="10937"/>
      <c r="F46" s="10940"/>
      <c r="G46" s="10937"/>
      <c r="H46" s="10937"/>
      <c r="I46" s="11026"/>
      <c r="J46" s="10937"/>
      <c r="K46" s="10937"/>
      <c r="L46" s="11005"/>
      <c r="M46" s="11005"/>
      <c r="N46" s="11005"/>
      <c r="O46" s="10937"/>
      <c r="P46" s="11026"/>
      <c r="Q46" s="10953"/>
      <c r="R46" s="4016"/>
      <c r="S46" s="7513"/>
      <c r="T46" s="7514"/>
      <c r="U46" s="3924"/>
      <c r="V46" s="7557"/>
      <c r="W46" s="3945"/>
      <c r="X46" s="7584"/>
      <c r="Y46" s="7584"/>
      <c r="Z46" s="7584"/>
      <c r="AA46" s="7584"/>
      <c r="AB46" s="3946"/>
      <c r="AC46" s="3947" t="s">
        <v>294</v>
      </c>
      <c r="AD46" s="3948" t="s">
        <v>294</v>
      </c>
      <c r="AE46" s="3925" t="s">
        <v>294</v>
      </c>
      <c r="AF46" s="3925" t="s">
        <v>294</v>
      </c>
      <c r="AG46" s="10908"/>
    </row>
    <row r="47" spans="1:33" ht="15.75" customHeight="1">
      <c r="A47" s="10923"/>
      <c r="B47" s="10934"/>
      <c r="C47" s="10937"/>
      <c r="D47" s="10937"/>
      <c r="E47" s="10937"/>
      <c r="F47" s="10940"/>
      <c r="G47" s="10937"/>
      <c r="H47" s="10937"/>
      <c r="I47" s="11026"/>
      <c r="J47" s="10937"/>
      <c r="K47" s="10937"/>
      <c r="L47" s="11005"/>
      <c r="M47" s="11005"/>
      <c r="N47" s="11005"/>
      <c r="O47" s="10937"/>
      <c r="P47" s="11026"/>
      <c r="Q47" s="10953"/>
      <c r="R47" s="4020"/>
      <c r="S47" s="7514"/>
      <c r="T47" s="7514"/>
      <c r="U47" s="3949"/>
      <c r="V47" s="7557"/>
      <c r="W47" s="3945"/>
      <c r="X47" s="7584"/>
      <c r="Y47" s="7584"/>
      <c r="Z47" s="7584"/>
      <c r="AA47" s="7584"/>
      <c r="AB47" s="3946"/>
      <c r="AC47" s="3947" t="s">
        <v>294</v>
      </c>
      <c r="AD47" s="3950"/>
      <c r="AE47" s="3950"/>
      <c r="AF47" s="3951"/>
      <c r="AG47" s="10908"/>
    </row>
    <row r="48" spans="1:33" ht="15.75" customHeight="1">
      <c r="A48" s="10923"/>
      <c r="B48" s="10934"/>
      <c r="C48" s="10937"/>
      <c r="D48" s="10937"/>
      <c r="E48" s="10937"/>
      <c r="F48" s="10940"/>
      <c r="G48" s="10937"/>
      <c r="H48" s="10937"/>
      <c r="I48" s="11026"/>
      <c r="J48" s="10937"/>
      <c r="K48" s="10937"/>
      <c r="L48" s="11005"/>
      <c r="M48" s="11005"/>
      <c r="N48" s="11005"/>
      <c r="O48" s="10937"/>
      <c r="P48" s="11026"/>
      <c r="Q48" s="10953"/>
      <c r="R48" s="4019" t="s">
        <v>294</v>
      </c>
      <c r="S48" s="3928" t="s">
        <v>294</v>
      </c>
      <c r="T48" s="3928" t="s">
        <v>294</v>
      </c>
      <c r="U48" s="3913" t="s">
        <v>294</v>
      </c>
      <c r="V48" s="7537" t="s">
        <v>294</v>
      </c>
      <c r="W48" s="3929" t="s">
        <v>294</v>
      </c>
      <c r="X48" s="7567" t="s">
        <v>294</v>
      </c>
      <c r="Y48" s="7567" t="s">
        <v>294</v>
      </c>
      <c r="Z48" s="7567" t="s">
        <v>294</v>
      </c>
      <c r="AA48" s="7567" t="s">
        <v>294</v>
      </c>
      <c r="AB48" s="3946"/>
      <c r="AC48" s="3947" t="s">
        <v>294</v>
      </c>
      <c r="AD48" s="3925" t="s">
        <v>294</v>
      </c>
      <c r="AE48" s="3925" t="s">
        <v>294</v>
      </c>
      <c r="AF48" s="3923" t="s">
        <v>294</v>
      </c>
      <c r="AG48" s="10908"/>
    </row>
    <row r="49" spans="1:33" ht="15.75" customHeight="1">
      <c r="A49" s="10923"/>
      <c r="B49" s="10935"/>
      <c r="C49" s="10938"/>
      <c r="D49" s="10938"/>
      <c r="E49" s="10938"/>
      <c r="F49" s="10941"/>
      <c r="G49" s="10938"/>
      <c r="H49" s="10938"/>
      <c r="I49" s="11027"/>
      <c r="J49" s="10938"/>
      <c r="K49" s="10938"/>
      <c r="L49" s="11039"/>
      <c r="M49" s="11039"/>
      <c r="N49" s="11039"/>
      <c r="O49" s="10938"/>
      <c r="P49" s="11027"/>
      <c r="Q49" s="10954"/>
      <c r="R49" s="4025" t="s">
        <v>294</v>
      </c>
      <c r="S49" s="4034" t="s">
        <v>294</v>
      </c>
      <c r="T49" s="4034" t="s">
        <v>294</v>
      </c>
      <c r="U49" s="3952" t="s">
        <v>294</v>
      </c>
      <c r="V49" s="7538" t="s">
        <v>294</v>
      </c>
      <c r="W49" s="3992" t="s">
        <v>294</v>
      </c>
      <c r="X49" s="7573" t="s">
        <v>294</v>
      </c>
      <c r="Y49" s="7573" t="s">
        <v>294</v>
      </c>
      <c r="Z49" s="7573" t="s">
        <v>294</v>
      </c>
      <c r="AA49" s="7574" t="s">
        <v>294</v>
      </c>
      <c r="AB49" s="7672"/>
      <c r="AC49" s="3979"/>
      <c r="AD49" s="3978" t="s">
        <v>294</v>
      </c>
      <c r="AE49" s="3978" t="s">
        <v>294</v>
      </c>
      <c r="AF49" s="3980" t="s">
        <v>294</v>
      </c>
      <c r="AG49" s="10909"/>
    </row>
    <row r="50" spans="1:33" ht="15.75" customHeight="1">
      <c r="A50" s="10923"/>
      <c r="B50" s="10950" t="s">
        <v>127</v>
      </c>
      <c r="C50" s="10948" t="s">
        <v>128</v>
      </c>
      <c r="D50" s="10948" t="s">
        <v>129</v>
      </c>
      <c r="E50" s="10948" t="s">
        <v>268</v>
      </c>
      <c r="F50" s="10951" t="s">
        <v>131</v>
      </c>
      <c r="G50" s="10948" t="s">
        <v>132</v>
      </c>
      <c r="H50" s="10948" t="s">
        <v>159</v>
      </c>
      <c r="I50" s="11028" t="s">
        <v>5203</v>
      </c>
      <c r="J50" s="10948" t="s">
        <v>4261</v>
      </c>
      <c r="K50" s="10948" t="s">
        <v>5204</v>
      </c>
      <c r="L50" s="11004">
        <v>3</v>
      </c>
      <c r="M50" s="11004">
        <v>3</v>
      </c>
      <c r="N50" s="11004">
        <v>3</v>
      </c>
      <c r="O50" s="10948" t="s">
        <v>5205</v>
      </c>
      <c r="P50" s="10948" t="s">
        <v>5206</v>
      </c>
      <c r="Q50" s="10986" t="s">
        <v>5166</v>
      </c>
      <c r="R50" s="4064" t="s">
        <v>294</v>
      </c>
      <c r="S50" s="4045" t="s">
        <v>294</v>
      </c>
      <c r="T50" s="4045" t="s">
        <v>294</v>
      </c>
      <c r="U50" s="3906" t="s">
        <v>294</v>
      </c>
      <c r="V50" s="7530" t="s">
        <v>294</v>
      </c>
      <c r="W50" s="4046" t="s">
        <v>294</v>
      </c>
      <c r="X50" s="7562" t="s">
        <v>294</v>
      </c>
      <c r="Y50" s="7562" t="s">
        <v>294</v>
      </c>
      <c r="Z50" s="7562" t="s">
        <v>294</v>
      </c>
      <c r="AA50" s="7563" t="s">
        <v>294</v>
      </c>
      <c r="AB50" s="7668"/>
      <c r="AC50" s="3909"/>
      <c r="AD50" s="3908" t="s">
        <v>294</v>
      </c>
      <c r="AE50" s="3912" t="s">
        <v>294</v>
      </c>
      <c r="AF50" s="3912" t="s">
        <v>294</v>
      </c>
      <c r="AG50" s="10907" t="s">
        <v>294</v>
      </c>
    </row>
    <row r="51" spans="1:33" ht="15.75" customHeight="1">
      <c r="A51" s="10923"/>
      <c r="B51" s="10934"/>
      <c r="C51" s="10937"/>
      <c r="D51" s="10937"/>
      <c r="E51" s="10937"/>
      <c r="F51" s="10940"/>
      <c r="G51" s="10937"/>
      <c r="H51" s="10937"/>
      <c r="I51" s="11026"/>
      <c r="J51" s="10937"/>
      <c r="K51" s="10937"/>
      <c r="L51" s="11005"/>
      <c r="M51" s="11005"/>
      <c r="N51" s="11005"/>
      <c r="O51" s="10937"/>
      <c r="P51" s="10937"/>
      <c r="Q51" s="10953"/>
      <c r="R51" s="4019" t="s">
        <v>294</v>
      </c>
      <c r="S51" s="3928" t="s">
        <v>294</v>
      </c>
      <c r="T51" s="3928" t="s">
        <v>294</v>
      </c>
      <c r="U51" s="3913" t="s">
        <v>294</v>
      </c>
      <c r="V51" s="7537" t="s">
        <v>294</v>
      </c>
      <c r="W51" s="3929" t="s">
        <v>294</v>
      </c>
      <c r="X51" s="7567" t="s">
        <v>294</v>
      </c>
      <c r="Y51" s="7567" t="s">
        <v>294</v>
      </c>
      <c r="Z51" s="7567" t="s">
        <v>294</v>
      </c>
      <c r="AA51" s="7566" t="s">
        <v>294</v>
      </c>
      <c r="AB51" s="7669"/>
      <c r="AC51" s="3920"/>
      <c r="AD51" s="3925" t="s">
        <v>294</v>
      </c>
      <c r="AE51" s="3923" t="s">
        <v>294</v>
      </c>
      <c r="AF51" s="3923" t="s">
        <v>294</v>
      </c>
      <c r="AG51" s="10908"/>
    </row>
    <row r="52" spans="1:33" ht="15.75" customHeight="1">
      <c r="A52" s="10923"/>
      <c r="B52" s="10934"/>
      <c r="C52" s="10937"/>
      <c r="D52" s="10937"/>
      <c r="E52" s="10937"/>
      <c r="F52" s="10940"/>
      <c r="G52" s="10937"/>
      <c r="H52" s="10937"/>
      <c r="I52" s="11026"/>
      <c r="J52" s="10937"/>
      <c r="K52" s="10937"/>
      <c r="L52" s="11005"/>
      <c r="M52" s="11005"/>
      <c r="N52" s="11005"/>
      <c r="O52" s="10937"/>
      <c r="P52" s="10937"/>
      <c r="Q52" s="10953"/>
      <c r="R52" s="4019" t="s">
        <v>294</v>
      </c>
      <c r="S52" s="3928" t="s">
        <v>294</v>
      </c>
      <c r="T52" s="3928" t="s">
        <v>294</v>
      </c>
      <c r="U52" s="3913" t="s">
        <v>294</v>
      </c>
      <c r="V52" s="7537" t="s">
        <v>294</v>
      </c>
      <c r="W52" s="3929" t="s">
        <v>294</v>
      </c>
      <c r="X52" s="7567" t="s">
        <v>294</v>
      </c>
      <c r="Y52" s="7567" t="s">
        <v>294</v>
      </c>
      <c r="Z52" s="7567" t="s">
        <v>294</v>
      </c>
      <c r="AA52" s="7566" t="s">
        <v>294</v>
      </c>
      <c r="AB52" s="7669"/>
      <c r="AC52" s="3920"/>
      <c r="AD52" s="3925" t="s">
        <v>294</v>
      </c>
      <c r="AE52" s="3923" t="s">
        <v>294</v>
      </c>
      <c r="AF52" s="3923" t="s">
        <v>294</v>
      </c>
      <c r="AG52" s="10908"/>
    </row>
    <row r="53" spans="1:33" ht="15.75" customHeight="1">
      <c r="A53" s="10923"/>
      <c r="B53" s="10934"/>
      <c r="C53" s="10937"/>
      <c r="D53" s="10937"/>
      <c r="E53" s="10937"/>
      <c r="F53" s="10940"/>
      <c r="G53" s="10937"/>
      <c r="H53" s="10937"/>
      <c r="I53" s="11026"/>
      <c r="J53" s="10937"/>
      <c r="K53" s="10937"/>
      <c r="L53" s="11005"/>
      <c r="M53" s="11005"/>
      <c r="N53" s="11005"/>
      <c r="O53" s="10937"/>
      <c r="P53" s="10937"/>
      <c r="Q53" s="10953"/>
      <c r="R53" s="4019" t="s">
        <v>294</v>
      </c>
      <c r="S53" s="3928" t="s">
        <v>294</v>
      </c>
      <c r="T53" s="3928" t="s">
        <v>294</v>
      </c>
      <c r="U53" s="3913" t="s">
        <v>294</v>
      </c>
      <c r="V53" s="7537" t="s">
        <v>294</v>
      </c>
      <c r="W53" s="3929" t="s">
        <v>294</v>
      </c>
      <c r="X53" s="7567" t="s">
        <v>294</v>
      </c>
      <c r="Y53" s="7567" t="s">
        <v>294</v>
      </c>
      <c r="Z53" s="7567" t="s">
        <v>294</v>
      </c>
      <c r="AA53" s="7566" t="s">
        <v>294</v>
      </c>
      <c r="AB53" s="7669"/>
      <c r="AC53" s="3920"/>
      <c r="AD53" s="3925" t="s">
        <v>294</v>
      </c>
      <c r="AE53" s="3923" t="s">
        <v>294</v>
      </c>
      <c r="AF53" s="3923" t="s">
        <v>294</v>
      </c>
      <c r="AG53" s="10908"/>
    </row>
    <row r="54" spans="1:33" ht="15.75" customHeight="1">
      <c r="A54" s="10923"/>
      <c r="B54" s="10993"/>
      <c r="C54" s="10985"/>
      <c r="D54" s="10985"/>
      <c r="E54" s="10985"/>
      <c r="F54" s="10994"/>
      <c r="G54" s="10985"/>
      <c r="H54" s="10985"/>
      <c r="I54" s="11030"/>
      <c r="J54" s="10985"/>
      <c r="K54" s="10985"/>
      <c r="L54" s="11006"/>
      <c r="M54" s="11006"/>
      <c r="N54" s="11006"/>
      <c r="O54" s="10985"/>
      <c r="P54" s="10985"/>
      <c r="Q54" s="10987"/>
      <c r="R54" s="4066" t="s">
        <v>294</v>
      </c>
      <c r="S54" s="4067" t="s">
        <v>294</v>
      </c>
      <c r="T54" s="4067" t="s">
        <v>294</v>
      </c>
      <c r="U54" s="3982" t="s">
        <v>294</v>
      </c>
      <c r="V54" s="7535" t="s">
        <v>294</v>
      </c>
      <c r="W54" s="4063" t="s">
        <v>294</v>
      </c>
      <c r="X54" s="7568" t="s">
        <v>294</v>
      </c>
      <c r="Y54" s="7568" t="s">
        <v>294</v>
      </c>
      <c r="Z54" s="7568" t="s">
        <v>294</v>
      </c>
      <c r="AA54" s="7569" t="s">
        <v>294</v>
      </c>
      <c r="AB54" s="7670"/>
      <c r="AC54" s="4040"/>
      <c r="AD54" s="4039" t="s">
        <v>294</v>
      </c>
      <c r="AE54" s="4043" t="s">
        <v>294</v>
      </c>
      <c r="AF54" s="4043" t="s">
        <v>294</v>
      </c>
      <c r="AG54" s="10909"/>
    </row>
    <row r="55" spans="1:33" ht="15.75" customHeight="1">
      <c r="A55" s="10923"/>
      <c r="B55" s="10933" t="s">
        <v>127</v>
      </c>
      <c r="C55" s="10936" t="s">
        <v>128</v>
      </c>
      <c r="D55" s="10936" t="s">
        <v>140</v>
      </c>
      <c r="E55" s="10936" t="s">
        <v>141</v>
      </c>
      <c r="F55" s="10939" t="s">
        <v>131</v>
      </c>
      <c r="G55" s="10936" t="s">
        <v>213</v>
      </c>
      <c r="H55" s="10936" t="s">
        <v>159</v>
      </c>
      <c r="I55" s="11025" t="s">
        <v>5207</v>
      </c>
      <c r="J55" s="10936" t="s">
        <v>4268</v>
      </c>
      <c r="K55" s="11037" t="s">
        <v>5208</v>
      </c>
      <c r="L55" s="11036">
        <v>1</v>
      </c>
      <c r="M55" s="11036">
        <v>1</v>
      </c>
      <c r="N55" s="3998">
        <v>1</v>
      </c>
      <c r="O55" s="10936" t="s">
        <v>5209</v>
      </c>
      <c r="P55" s="10936" t="s">
        <v>5210</v>
      </c>
      <c r="Q55" s="10952" t="s">
        <v>5174</v>
      </c>
      <c r="R55" s="4024" t="s">
        <v>294</v>
      </c>
      <c r="S55" s="4059" t="s">
        <v>294</v>
      </c>
      <c r="T55" s="4059" t="s">
        <v>294</v>
      </c>
      <c r="U55" s="3981" t="s">
        <v>294</v>
      </c>
      <c r="V55" s="7536" t="s">
        <v>294</v>
      </c>
      <c r="W55" s="4060" t="s">
        <v>294</v>
      </c>
      <c r="X55" s="7570" t="s">
        <v>294</v>
      </c>
      <c r="Y55" s="7570" t="s">
        <v>294</v>
      </c>
      <c r="Z55" s="7570" t="s">
        <v>294</v>
      </c>
      <c r="AA55" s="7571" t="s">
        <v>294</v>
      </c>
      <c r="AB55" s="7671"/>
      <c r="AC55" s="4002"/>
      <c r="AD55" s="4001" t="s">
        <v>294</v>
      </c>
      <c r="AE55" s="4005" t="s">
        <v>294</v>
      </c>
      <c r="AF55" s="4005" t="s">
        <v>294</v>
      </c>
      <c r="AG55" s="10907" t="s">
        <v>294</v>
      </c>
    </row>
    <row r="56" spans="1:33" ht="15.75" customHeight="1">
      <c r="A56" s="10923"/>
      <c r="B56" s="10934"/>
      <c r="C56" s="10937"/>
      <c r="D56" s="10937"/>
      <c r="E56" s="10937"/>
      <c r="F56" s="10940"/>
      <c r="G56" s="10937"/>
      <c r="H56" s="10937"/>
      <c r="I56" s="11026"/>
      <c r="J56" s="10937"/>
      <c r="K56" s="11008"/>
      <c r="L56" s="11005"/>
      <c r="M56" s="11005"/>
      <c r="N56" s="3915" t="s">
        <v>294</v>
      </c>
      <c r="O56" s="10937"/>
      <c r="P56" s="10937"/>
      <c r="Q56" s="10953"/>
      <c r="R56" s="4019" t="s">
        <v>294</v>
      </c>
      <c r="S56" s="3928" t="s">
        <v>294</v>
      </c>
      <c r="T56" s="3928" t="s">
        <v>294</v>
      </c>
      <c r="U56" s="3913" t="s">
        <v>294</v>
      </c>
      <c r="V56" s="7537" t="s">
        <v>294</v>
      </c>
      <c r="W56" s="3929" t="s">
        <v>294</v>
      </c>
      <c r="X56" s="7567" t="s">
        <v>294</v>
      </c>
      <c r="Y56" s="7567" t="s">
        <v>294</v>
      </c>
      <c r="Z56" s="7567" t="s">
        <v>294</v>
      </c>
      <c r="AA56" s="7566" t="s">
        <v>294</v>
      </c>
      <c r="AB56" s="7669"/>
      <c r="AC56" s="3920"/>
      <c r="AD56" s="3925" t="s">
        <v>294</v>
      </c>
      <c r="AE56" s="3923" t="s">
        <v>294</v>
      </c>
      <c r="AF56" s="3923" t="s">
        <v>294</v>
      </c>
      <c r="AG56" s="10908"/>
    </row>
    <row r="57" spans="1:33" ht="15.75" customHeight="1">
      <c r="A57" s="10923"/>
      <c r="B57" s="10934"/>
      <c r="C57" s="10937"/>
      <c r="D57" s="10937"/>
      <c r="E57" s="10937"/>
      <c r="F57" s="10940"/>
      <c r="G57" s="10937"/>
      <c r="H57" s="10937"/>
      <c r="I57" s="11026"/>
      <c r="J57" s="10937"/>
      <c r="K57" s="11008"/>
      <c r="L57" s="11005"/>
      <c r="M57" s="11005"/>
      <c r="N57" s="3915" t="s">
        <v>294</v>
      </c>
      <c r="O57" s="10937"/>
      <c r="P57" s="10937"/>
      <c r="Q57" s="10953"/>
      <c r="R57" s="4019" t="s">
        <v>294</v>
      </c>
      <c r="S57" s="3928" t="s">
        <v>294</v>
      </c>
      <c r="T57" s="3928" t="s">
        <v>294</v>
      </c>
      <c r="U57" s="3913" t="s">
        <v>294</v>
      </c>
      <c r="V57" s="7537" t="s">
        <v>294</v>
      </c>
      <c r="W57" s="3929" t="s">
        <v>294</v>
      </c>
      <c r="X57" s="7567" t="s">
        <v>294</v>
      </c>
      <c r="Y57" s="7567" t="s">
        <v>294</v>
      </c>
      <c r="Z57" s="7567" t="s">
        <v>294</v>
      </c>
      <c r="AA57" s="7566" t="s">
        <v>294</v>
      </c>
      <c r="AB57" s="7669"/>
      <c r="AC57" s="3920"/>
      <c r="AD57" s="3925" t="s">
        <v>294</v>
      </c>
      <c r="AE57" s="3923" t="s">
        <v>294</v>
      </c>
      <c r="AF57" s="3923" t="s">
        <v>294</v>
      </c>
      <c r="AG57" s="10908"/>
    </row>
    <row r="58" spans="1:33" ht="15.75" customHeight="1">
      <c r="A58" s="10923"/>
      <c r="B58" s="10934"/>
      <c r="C58" s="10937"/>
      <c r="D58" s="10937"/>
      <c r="E58" s="10937"/>
      <c r="F58" s="10940"/>
      <c r="G58" s="10937"/>
      <c r="H58" s="10937"/>
      <c r="I58" s="11026"/>
      <c r="J58" s="10937"/>
      <c r="K58" s="11008"/>
      <c r="L58" s="11005"/>
      <c r="M58" s="11005"/>
      <c r="N58" s="3915" t="s">
        <v>294</v>
      </c>
      <c r="O58" s="10937"/>
      <c r="P58" s="10937"/>
      <c r="Q58" s="10953"/>
      <c r="R58" s="4018" t="s">
        <v>294</v>
      </c>
      <c r="S58" s="3930" t="s">
        <v>294</v>
      </c>
      <c r="T58" s="3930" t="s">
        <v>294</v>
      </c>
      <c r="U58" s="3913" t="s">
        <v>294</v>
      </c>
      <c r="V58" s="7537" t="s">
        <v>294</v>
      </c>
      <c r="W58" s="3929" t="s">
        <v>294</v>
      </c>
      <c r="X58" s="7567" t="s">
        <v>294</v>
      </c>
      <c r="Y58" s="7567" t="s">
        <v>294</v>
      </c>
      <c r="Z58" s="7567" t="s">
        <v>294</v>
      </c>
      <c r="AA58" s="7566" t="s">
        <v>294</v>
      </c>
      <c r="AB58" s="7669"/>
      <c r="AC58" s="3920"/>
      <c r="AD58" s="3925" t="s">
        <v>294</v>
      </c>
      <c r="AE58" s="3923" t="s">
        <v>294</v>
      </c>
      <c r="AF58" s="3923" t="s">
        <v>294</v>
      </c>
      <c r="AG58" s="10908"/>
    </row>
    <row r="59" spans="1:33" ht="15.75" customHeight="1">
      <c r="A59" s="10923"/>
      <c r="B59" s="10935"/>
      <c r="C59" s="10938"/>
      <c r="D59" s="10938"/>
      <c r="E59" s="10938"/>
      <c r="F59" s="10941"/>
      <c r="G59" s="10938"/>
      <c r="H59" s="10938"/>
      <c r="I59" s="11027"/>
      <c r="J59" s="10938"/>
      <c r="K59" s="11038"/>
      <c r="L59" s="11039"/>
      <c r="M59" s="11039"/>
      <c r="N59" s="4032" t="s">
        <v>294</v>
      </c>
      <c r="O59" s="10938"/>
      <c r="P59" s="10938"/>
      <c r="Q59" s="10954"/>
      <c r="R59" s="4025" t="s">
        <v>294</v>
      </c>
      <c r="S59" s="4034" t="s">
        <v>294</v>
      </c>
      <c r="T59" s="4034" t="s">
        <v>294</v>
      </c>
      <c r="U59" s="3952" t="s">
        <v>294</v>
      </c>
      <c r="V59" s="7538" t="s">
        <v>294</v>
      </c>
      <c r="W59" s="3992" t="s">
        <v>294</v>
      </c>
      <c r="X59" s="7573" t="s">
        <v>294</v>
      </c>
      <c r="Y59" s="7573" t="s">
        <v>294</v>
      </c>
      <c r="Z59" s="7573" t="s">
        <v>294</v>
      </c>
      <c r="AA59" s="7574" t="s">
        <v>294</v>
      </c>
      <c r="AB59" s="7672"/>
      <c r="AC59" s="3979"/>
      <c r="AD59" s="3978" t="s">
        <v>294</v>
      </c>
      <c r="AE59" s="3980" t="s">
        <v>294</v>
      </c>
      <c r="AF59" s="3980" t="s">
        <v>294</v>
      </c>
      <c r="AG59" s="10909"/>
    </row>
    <row r="60" spans="1:33" ht="15.75" customHeight="1">
      <c r="A60" s="10923"/>
      <c r="B60" s="10950" t="s">
        <v>127</v>
      </c>
      <c r="C60" s="10948" t="s">
        <v>128</v>
      </c>
      <c r="D60" s="10948" t="s">
        <v>129</v>
      </c>
      <c r="E60" s="10948" t="s">
        <v>268</v>
      </c>
      <c r="F60" s="10951" t="s">
        <v>131</v>
      </c>
      <c r="G60" s="10948" t="s">
        <v>132</v>
      </c>
      <c r="H60" s="10948" t="s">
        <v>159</v>
      </c>
      <c r="I60" s="11028" t="s">
        <v>5211</v>
      </c>
      <c r="J60" s="10948" t="s">
        <v>5212</v>
      </c>
      <c r="K60" s="10948" t="s">
        <v>5213</v>
      </c>
      <c r="L60" s="11004">
        <v>5</v>
      </c>
      <c r="M60" s="11004">
        <v>5</v>
      </c>
      <c r="N60" s="11004">
        <v>5</v>
      </c>
      <c r="O60" s="10948" t="s">
        <v>5214</v>
      </c>
      <c r="P60" s="10948" t="s">
        <v>5215</v>
      </c>
      <c r="Q60" s="10986" t="s">
        <v>5166</v>
      </c>
      <c r="R60" s="4064" t="s">
        <v>294</v>
      </c>
      <c r="S60" s="4045" t="s">
        <v>294</v>
      </c>
      <c r="T60" s="4045" t="s">
        <v>294</v>
      </c>
      <c r="U60" s="3906" t="s">
        <v>294</v>
      </c>
      <c r="V60" s="7530" t="s">
        <v>294</v>
      </c>
      <c r="W60" s="4046" t="s">
        <v>294</v>
      </c>
      <c r="X60" s="7562" t="s">
        <v>294</v>
      </c>
      <c r="Y60" s="7562" t="s">
        <v>294</v>
      </c>
      <c r="Z60" s="7562" t="s">
        <v>294</v>
      </c>
      <c r="AA60" s="7563" t="s">
        <v>294</v>
      </c>
      <c r="AB60" s="7668"/>
      <c r="AC60" s="3909"/>
      <c r="AD60" s="3908" t="s">
        <v>294</v>
      </c>
      <c r="AE60" s="3908" t="s">
        <v>294</v>
      </c>
      <c r="AF60" s="3908" t="s">
        <v>294</v>
      </c>
      <c r="AG60" s="10907" t="s">
        <v>294</v>
      </c>
    </row>
    <row r="61" spans="1:33" ht="15.75" customHeight="1">
      <c r="A61" s="10923"/>
      <c r="B61" s="10934"/>
      <c r="C61" s="10937"/>
      <c r="D61" s="10937"/>
      <c r="E61" s="10937"/>
      <c r="F61" s="10940"/>
      <c r="G61" s="10937"/>
      <c r="H61" s="10937"/>
      <c r="I61" s="11026"/>
      <c r="J61" s="10937"/>
      <c r="K61" s="10937"/>
      <c r="L61" s="11005"/>
      <c r="M61" s="11005"/>
      <c r="N61" s="11005"/>
      <c r="O61" s="10937"/>
      <c r="P61" s="10937"/>
      <c r="Q61" s="10953"/>
      <c r="R61" s="4019" t="s">
        <v>294</v>
      </c>
      <c r="S61" s="3928" t="s">
        <v>294</v>
      </c>
      <c r="T61" s="3928" t="s">
        <v>294</v>
      </c>
      <c r="U61" s="3913" t="s">
        <v>294</v>
      </c>
      <c r="V61" s="7537" t="s">
        <v>294</v>
      </c>
      <c r="W61" s="3929" t="s">
        <v>294</v>
      </c>
      <c r="X61" s="7567" t="s">
        <v>294</v>
      </c>
      <c r="Y61" s="7567" t="s">
        <v>294</v>
      </c>
      <c r="Z61" s="7567" t="s">
        <v>294</v>
      </c>
      <c r="AA61" s="7566" t="s">
        <v>294</v>
      </c>
      <c r="AB61" s="7669"/>
      <c r="AC61" s="3920"/>
      <c r="AD61" s="3925" t="s">
        <v>294</v>
      </c>
      <c r="AE61" s="3925" t="s">
        <v>294</v>
      </c>
      <c r="AF61" s="3925" t="s">
        <v>294</v>
      </c>
      <c r="AG61" s="10908"/>
    </row>
    <row r="62" spans="1:33" ht="15.75" customHeight="1">
      <c r="A62" s="10923"/>
      <c r="B62" s="10934"/>
      <c r="C62" s="10937"/>
      <c r="D62" s="10937"/>
      <c r="E62" s="10937"/>
      <c r="F62" s="10940"/>
      <c r="G62" s="10937"/>
      <c r="H62" s="10937"/>
      <c r="I62" s="11026"/>
      <c r="J62" s="10937"/>
      <c r="K62" s="10937"/>
      <c r="L62" s="11005"/>
      <c r="M62" s="11005"/>
      <c r="N62" s="11005"/>
      <c r="O62" s="10937"/>
      <c r="P62" s="10937"/>
      <c r="Q62" s="10953"/>
      <c r="R62" s="4019" t="s">
        <v>294</v>
      </c>
      <c r="S62" s="3928" t="s">
        <v>294</v>
      </c>
      <c r="T62" s="3928" t="s">
        <v>294</v>
      </c>
      <c r="U62" s="3913" t="s">
        <v>294</v>
      </c>
      <c r="V62" s="7537" t="s">
        <v>294</v>
      </c>
      <c r="W62" s="3929" t="s">
        <v>294</v>
      </c>
      <c r="X62" s="7567" t="s">
        <v>294</v>
      </c>
      <c r="Y62" s="7567" t="s">
        <v>294</v>
      </c>
      <c r="Z62" s="7567" t="s">
        <v>294</v>
      </c>
      <c r="AA62" s="7566" t="s">
        <v>294</v>
      </c>
      <c r="AB62" s="7669"/>
      <c r="AC62" s="3920"/>
      <c r="AD62" s="3925" t="s">
        <v>294</v>
      </c>
      <c r="AE62" s="3925" t="s">
        <v>294</v>
      </c>
      <c r="AF62" s="3923" t="s">
        <v>294</v>
      </c>
      <c r="AG62" s="10908"/>
    </row>
    <row r="63" spans="1:33" ht="15.75" customHeight="1">
      <c r="A63" s="10923"/>
      <c r="B63" s="10934"/>
      <c r="C63" s="10937"/>
      <c r="D63" s="10937"/>
      <c r="E63" s="10937"/>
      <c r="F63" s="10940"/>
      <c r="G63" s="10937"/>
      <c r="H63" s="10937"/>
      <c r="I63" s="11026"/>
      <c r="J63" s="10937"/>
      <c r="K63" s="10937"/>
      <c r="L63" s="11005"/>
      <c r="M63" s="11005"/>
      <c r="N63" s="11005"/>
      <c r="O63" s="10937"/>
      <c r="P63" s="10937"/>
      <c r="Q63" s="10953"/>
      <c r="R63" s="4019" t="s">
        <v>294</v>
      </c>
      <c r="S63" s="3928" t="s">
        <v>294</v>
      </c>
      <c r="T63" s="3928" t="s">
        <v>294</v>
      </c>
      <c r="U63" s="3913" t="s">
        <v>294</v>
      </c>
      <c r="V63" s="7537" t="s">
        <v>294</v>
      </c>
      <c r="W63" s="3929" t="s">
        <v>294</v>
      </c>
      <c r="X63" s="7567" t="s">
        <v>294</v>
      </c>
      <c r="Y63" s="7567" t="s">
        <v>294</v>
      </c>
      <c r="Z63" s="7567" t="s">
        <v>294</v>
      </c>
      <c r="AA63" s="7566" t="s">
        <v>294</v>
      </c>
      <c r="AB63" s="7669"/>
      <c r="AC63" s="3920"/>
      <c r="AD63" s="3925" t="s">
        <v>294</v>
      </c>
      <c r="AE63" s="3925" t="s">
        <v>294</v>
      </c>
      <c r="AF63" s="3923" t="s">
        <v>294</v>
      </c>
      <c r="AG63" s="10908"/>
    </row>
    <row r="64" spans="1:33" ht="15.75" customHeight="1">
      <c r="A64" s="10923"/>
      <c r="B64" s="10993"/>
      <c r="C64" s="10985"/>
      <c r="D64" s="10985"/>
      <c r="E64" s="10985"/>
      <c r="F64" s="10994"/>
      <c r="G64" s="10985"/>
      <c r="H64" s="10985"/>
      <c r="I64" s="11030"/>
      <c r="J64" s="10985"/>
      <c r="K64" s="10985"/>
      <c r="L64" s="11006"/>
      <c r="M64" s="11006"/>
      <c r="N64" s="11006"/>
      <c r="O64" s="10985"/>
      <c r="P64" s="10985"/>
      <c r="Q64" s="10987"/>
      <c r="R64" s="4066" t="s">
        <v>294</v>
      </c>
      <c r="S64" s="4067" t="s">
        <v>294</v>
      </c>
      <c r="T64" s="4067" t="s">
        <v>294</v>
      </c>
      <c r="U64" s="3982" t="s">
        <v>294</v>
      </c>
      <c r="V64" s="7535" t="s">
        <v>294</v>
      </c>
      <c r="W64" s="4063" t="s">
        <v>294</v>
      </c>
      <c r="X64" s="7568" t="s">
        <v>294</v>
      </c>
      <c r="Y64" s="7568" t="s">
        <v>294</v>
      </c>
      <c r="Z64" s="7568" t="s">
        <v>294</v>
      </c>
      <c r="AA64" s="7569" t="s">
        <v>294</v>
      </c>
      <c r="AB64" s="7670"/>
      <c r="AC64" s="4040"/>
      <c r="AD64" s="4039" t="s">
        <v>294</v>
      </c>
      <c r="AE64" s="4039" t="s">
        <v>294</v>
      </c>
      <c r="AF64" s="4043" t="s">
        <v>294</v>
      </c>
      <c r="AG64" s="10909"/>
    </row>
    <row r="65" spans="1:33" ht="103.5" customHeight="1">
      <c r="A65" s="10923"/>
      <c r="B65" s="4068" t="s">
        <v>127</v>
      </c>
      <c r="C65" s="4069" t="s">
        <v>128</v>
      </c>
      <c r="D65" s="4069" t="s">
        <v>140</v>
      </c>
      <c r="E65" s="4069" t="s">
        <v>724</v>
      </c>
      <c r="F65" s="4070" t="s">
        <v>131</v>
      </c>
      <c r="G65" s="4069" t="s">
        <v>213</v>
      </c>
      <c r="H65" s="4069" t="s">
        <v>159</v>
      </c>
      <c r="I65" s="4071" t="s">
        <v>5216</v>
      </c>
      <c r="J65" s="4069" t="s">
        <v>286</v>
      </c>
      <c r="K65" s="4069" t="s">
        <v>5217</v>
      </c>
      <c r="L65" s="4072">
        <v>0</v>
      </c>
      <c r="M65" s="4072">
        <v>1</v>
      </c>
      <c r="N65" s="4072">
        <v>1</v>
      </c>
      <c r="O65" s="4069" t="s">
        <v>5218</v>
      </c>
      <c r="P65" s="4069" t="s">
        <v>5219</v>
      </c>
      <c r="Q65" s="4073" t="s">
        <v>5174</v>
      </c>
      <c r="R65" s="4074" t="s">
        <v>294</v>
      </c>
      <c r="S65" s="4075" t="s">
        <v>294</v>
      </c>
      <c r="T65" s="4075" t="s">
        <v>294</v>
      </c>
      <c r="U65" s="4070" t="s">
        <v>294</v>
      </c>
      <c r="V65" s="7539" t="s">
        <v>294</v>
      </c>
      <c r="W65" s="4076" t="s">
        <v>294</v>
      </c>
      <c r="X65" s="7585" t="s">
        <v>294</v>
      </c>
      <c r="Y65" s="7585" t="s">
        <v>294</v>
      </c>
      <c r="Z65" s="7585" t="s">
        <v>294</v>
      </c>
      <c r="AA65" s="7586" t="s">
        <v>294</v>
      </c>
      <c r="AB65" s="7679"/>
      <c r="AC65" s="4077"/>
      <c r="AD65" s="4078" t="s">
        <v>294</v>
      </c>
      <c r="AE65" s="4079" t="s">
        <v>294</v>
      </c>
      <c r="AF65" s="4079" t="s">
        <v>294</v>
      </c>
      <c r="AG65" s="4080" t="s">
        <v>294</v>
      </c>
    </row>
    <row r="66" spans="1:33" ht="103.5" customHeight="1">
      <c r="A66" s="10923"/>
      <c r="B66" s="4081" t="s">
        <v>127</v>
      </c>
      <c r="C66" s="4082" t="s">
        <v>128</v>
      </c>
      <c r="D66" s="4082" t="s">
        <v>129</v>
      </c>
      <c r="E66" s="4082" t="s">
        <v>268</v>
      </c>
      <c r="F66" s="4083" t="s">
        <v>131</v>
      </c>
      <c r="G66" s="4082" t="s">
        <v>132</v>
      </c>
      <c r="H66" s="4082" t="s">
        <v>159</v>
      </c>
      <c r="I66" s="4084" t="s">
        <v>5220</v>
      </c>
      <c r="J66" s="4082" t="s">
        <v>1378</v>
      </c>
      <c r="K66" s="4082" t="s">
        <v>5221</v>
      </c>
      <c r="L66" s="4085">
        <v>1</v>
      </c>
      <c r="M66" s="4085">
        <v>0</v>
      </c>
      <c r="N66" s="4085">
        <v>1</v>
      </c>
      <c r="O66" s="4082" t="s">
        <v>5222</v>
      </c>
      <c r="P66" s="4082" t="s">
        <v>1381</v>
      </c>
      <c r="Q66" s="4086" t="s">
        <v>5174</v>
      </c>
      <c r="R66" s="4087" t="s">
        <v>294</v>
      </c>
      <c r="S66" s="4088" t="s">
        <v>294</v>
      </c>
      <c r="T66" s="4088" t="s">
        <v>294</v>
      </c>
      <c r="U66" s="4083" t="s">
        <v>294</v>
      </c>
      <c r="V66" s="7540" t="s">
        <v>294</v>
      </c>
      <c r="W66" s="4089" t="s">
        <v>294</v>
      </c>
      <c r="X66" s="7587" t="s">
        <v>294</v>
      </c>
      <c r="Y66" s="7587" t="s">
        <v>294</v>
      </c>
      <c r="Z66" s="7587" t="s">
        <v>294</v>
      </c>
      <c r="AA66" s="7588" t="s">
        <v>294</v>
      </c>
      <c r="AB66" s="7680"/>
      <c r="AC66" s="4090"/>
      <c r="AD66" s="4091" t="s">
        <v>294</v>
      </c>
      <c r="AE66" s="4092" t="s">
        <v>294</v>
      </c>
      <c r="AF66" s="4092" t="s">
        <v>294</v>
      </c>
      <c r="AG66" s="4093" t="s">
        <v>294</v>
      </c>
    </row>
    <row r="67" spans="1:33" s="6145" customFormat="1" ht="15.75" customHeight="1" thickBot="1">
      <c r="A67" s="6140"/>
      <c r="B67" s="5407" t="s">
        <v>294</v>
      </c>
      <c r="C67" s="5407" t="s">
        <v>294</v>
      </c>
      <c r="D67" s="5407" t="s">
        <v>294</v>
      </c>
      <c r="E67" s="5407" t="s">
        <v>294</v>
      </c>
      <c r="F67" s="5407" t="s">
        <v>294</v>
      </c>
      <c r="G67" s="5407" t="s">
        <v>294</v>
      </c>
      <c r="H67" s="5407" t="s">
        <v>294</v>
      </c>
      <c r="I67" s="5407" t="s">
        <v>294</v>
      </c>
      <c r="J67" s="5407" t="s">
        <v>294</v>
      </c>
      <c r="K67" s="5407" t="s">
        <v>294</v>
      </c>
      <c r="L67" s="5408" t="s">
        <v>294</v>
      </c>
      <c r="M67" s="5408" t="s">
        <v>294</v>
      </c>
      <c r="N67" s="5408" t="s">
        <v>294</v>
      </c>
      <c r="O67" s="5409" t="s">
        <v>294</v>
      </c>
      <c r="P67" s="5409" t="s">
        <v>294</v>
      </c>
      <c r="Q67" s="5410" t="s">
        <v>294</v>
      </c>
      <c r="R67" s="10982" t="s">
        <v>4289</v>
      </c>
      <c r="S67" s="10983"/>
      <c r="T67" s="10983"/>
      <c r="U67" s="10983"/>
      <c r="V67" s="10983"/>
      <c r="W67" s="10983"/>
      <c r="X67" s="10983"/>
      <c r="Y67" s="10983"/>
      <c r="Z67" s="6143" t="s">
        <v>292</v>
      </c>
      <c r="AA67" s="7589">
        <f>SUM(AA9:AA66)</f>
        <v>31537.7</v>
      </c>
      <c r="AB67" s="6144"/>
      <c r="AC67" s="5411"/>
      <c r="AD67" s="11075" t="s">
        <v>294</v>
      </c>
      <c r="AE67" s="11075"/>
      <c r="AF67" s="11075"/>
      <c r="AG67" s="10959"/>
    </row>
    <row r="68" spans="1:33" ht="15.75" customHeight="1">
      <c r="A68" s="11029" t="s">
        <v>4290</v>
      </c>
      <c r="B68" s="11017" t="s">
        <v>183</v>
      </c>
      <c r="C68" s="11015" t="s">
        <v>227</v>
      </c>
      <c r="D68" s="11015" t="s">
        <v>228</v>
      </c>
      <c r="E68" s="11015" t="s">
        <v>229</v>
      </c>
      <c r="F68" s="11018" t="s">
        <v>230</v>
      </c>
      <c r="G68" s="11015" t="s">
        <v>132</v>
      </c>
      <c r="H68" s="11015" t="s">
        <v>133</v>
      </c>
      <c r="I68" s="11019" t="s">
        <v>5223</v>
      </c>
      <c r="J68" s="11015" t="s">
        <v>4292</v>
      </c>
      <c r="K68" s="11015" t="s">
        <v>5224</v>
      </c>
      <c r="L68" s="11074">
        <v>2</v>
      </c>
      <c r="M68" s="11074">
        <v>0</v>
      </c>
      <c r="N68" s="11074">
        <v>2</v>
      </c>
      <c r="O68" s="11015" t="s">
        <v>5225</v>
      </c>
      <c r="P68" s="11015" t="s">
        <v>5226</v>
      </c>
      <c r="Q68" s="11073" t="s">
        <v>5227</v>
      </c>
      <c r="R68" s="5412" t="s">
        <v>294</v>
      </c>
      <c r="S68" s="5419" t="s">
        <v>294</v>
      </c>
      <c r="T68" s="5419" t="s">
        <v>294</v>
      </c>
      <c r="U68" s="5413" t="s">
        <v>294</v>
      </c>
      <c r="V68" s="6194" t="s">
        <v>294</v>
      </c>
      <c r="W68" s="5414" t="s">
        <v>294</v>
      </c>
      <c r="X68" s="7590" t="s">
        <v>294</v>
      </c>
      <c r="Y68" s="7590" t="s">
        <v>294</v>
      </c>
      <c r="Z68" s="7590" t="s">
        <v>294</v>
      </c>
      <c r="AA68" s="7591" t="s">
        <v>294</v>
      </c>
      <c r="AB68" s="5415"/>
      <c r="AC68" s="5416"/>
      <c r="AD68" s="5414" t="s">
        <v>294</v>
      </c>
      <c r="AE68" s="5417" t="s">
        <v>294</v>
      </c>
      <c r="AF68" s="5417" t="s">
        <v>294</v>
      </c>
      <c r="AG68" s="10926" t="s">
        <v>5228</v>
      </c>
    </row>
    <row r="69" spans="1:33" ht="15.75" customHeight="1">
      <c r="A69" s="11000"/>
      <c r="B69" s="10934"/>
      <c r="C69" s="10937"/>
      <c r="D69" s="10937"/>
      <c r="E69" s="10937"/>
      <c r="F69" s="10940"/>
      <c r="G69" s="10937"/>
      <c r="H69" s="10937"/>
      <c r="I69" s="11002"/>
      <c r="J69" s="10937"/>
      <c r="K69" s="10937"/>
      <c r="L69" s="11053"/>
      <c r="M69" s="11053"/>
      <c r="N69" s="11053"/>
      <c r="O69" s="10937"/>
      <c r="P69" s="10937"/>
      <c r="Q69" s="11056"/>
      <c r="R69" s="4022" t="s">
        <v>294</v>
      </c>
      <c r="S69" s="3917" t="s">
        <v>294</v>
      </c>
      <c r="T69" s="3917" t="s">
        <v>294</v>
      </c>
      <c r="U69" s="3913" t="s">
        <v>294</v>
      </c>
      <c r="V69" s="6190" t="s">
        <v>294</v>
      </c>
      <c r="W69" s="3925" t="s">
        <v>294</v>
      </c>
      <c r="X69" s="7567" t="s">
        <v>294</v>
      </c>
      <c r="Y69" s="7567" t="s">
        <v>294</v>
      </c>
      <c r="Z69" s="7567" t="s">
        <v>294</v>
      </c>
      <c r="AA69" s="7566" t="s">
        <v>294</v>
      </c>
      <c r="AB69" s="3940"/>
      <c r="AC69" s="3956"/>
      <c r="AD69" s="3925" t="s">
        <v>294</v>
      </c>
      <c r="AE69" s="3923" t="s">
        <v>294</v>
      </c>
      <c r="AF69" s="3923" t="s">
        <v>294</v>
      </c>
      <c r="AG69" s="10908"/>
    </row>
    <row r="70" spans="1:33" ht="15.75" customHeight="1">
      <c r="A70" s="11000"/>
      <c r="B70" s="10934"/>
      <c r="C70" s="10937"/>
      <c r="D70" s="10937"/>
      <c r="E70" s="10937"/>
      <c r="F70" s="10940"/>
      <c r="G70" s="10937"/>
      <c r="H70" s="10937"/>
      <c r="I70" s="11002"/>
      <c r="J70" s="10937"/>
      <c r="K70" s="10937"/>
      <c r="L70" s="11053"/>
      <c r="M70" s="11053"/>
      <c r="N70" s="11053"/>
      <c r="O70" s="10937"/>
      <c r="P70" s="10937"/>
      <c r="Q70" s="11056"/>
      <c r="R70" s="4022" t="s">
        <v>294</v>
      </c>
      <c r="S70" s="3917" t="s">
        <v>294</v>
      </c>
      <c r="T70" s="3917" t="s">
        <v>294</v>
      </c>
      <c r="U70" s="3913" t="s">
        <v>294</v>
      </c>
      <c r="V70" s="6190" t="s">
        <v>294</v>
      </c>
      <c r="W70" s="3925" t="s">
        <v>294</v>
      </c>
      <c r="X70" s="7567" t="s">
        <v>294</v>
      </c>
      <c r="Y70" s="7567" t="s">
        <v>294</v>
      </c>
      <c r="Z70" s="7567" t="s">
        <v>294</v>
      </c>
      <c r="AA70" s="7566" t="s">
        <v>294</v>
      </c>
      <c r="AB70" s="3940"/>
      <c r="AC70" s="3956"/>
      <c r="AD70" s="3925" t="s">
        <v>294</v>
      </c>
      <c r="AE70" s="3923" t="s">
        <v>294</v>
      </c>
      <c r="AF70" s="3923" t="s">
        <v>294</v>
      </c>
      <c r="AG70" s="10908"/>
    </row>
    <row r="71" spans="1:33" ht="15.75" customHeight="1">
      <c r="A71" s="11000"/>
      <c r="B71" s="10934"/>
      <c r="C71" s="10937"/>
      <c r="D71" s="10937"/>
      <c r="E71" s="10937"/>
      <c r="F71" s="10940"/>
      <c r="G71" s="10937"/>
      <c r="H71" s="10937"/>
      <c r="I71" s="11002"/>
      <c r="J71" s="10937"/>
      <c r="K71" s="10937"/>
      <c r="L71" s="11053"/>
      <c r="M71" s="11053"/>
      <c r="N71" s="11053"/>
      <c r="O71" s="10937"/>
      <c r="P71" s="10937"/>
      <c r="Q71" s="11056"/>
      <c r="R71" s="4023" t="s">
        <v>294</v>
      </c>
      <c r="S71" s="3916" t="s">
        <v>294</v>
      </c>
      <c r="T71" s="3916" t="s">
        <v>294</v>
      </c>
      <c r="U71" s="3913" t="s">
        <v>294</v>
      </c>
      <c r="V71" s="6190" t="s">
        <v>294</v>
      </c>
      <c r="W71" s="3925" t="s">
        <v>294</v>
      </c>
      <c r="X71" s="7567" t="s">
        <v>294</v>
      </c>
      <c r="Y71" s="7567" t="s">
        <v>294</v>
      </c>
      <c r="Z71" s="7567" t="s">
        <v>294</v>
      </c>
      <c r="AA71" s="7566" t="s">
        <v>294</v>
      </c>
      <c r="AB71" s="3940"/>
      <c r="AC71" s="3956"/>
      <c r="AD71" s="3925" t="s">
        <v>294</v>
      </c>
      <c r="AE71" s="3923" t="s">
        <v>294</v>
      </c>
      <c r="AF71" s="3923" t="s">
        <v>294</v>
      </c>
      <c r="AG71" s="10908"/>
    </row>
    <row r="72" spans="1:33" ht="15.75" customHeight="1">
      <c r="A72" s="11000"/>
      <c r="B72" s="10993"/>
      <c r="C72" s="10985"/>
      <c r="D72" s="10985"/>
      <c r="E72" s="10985"/>
      <c r="F72" s="10994"/>
      <c r="G72" s="10985"/>
      <c r="H72" s="10985"/>
      <c r="I72" s="11003"/>
      <c r="J72" s="10985"/>
      <c r="K72" s="10985"/>
      <c r="L72" s="11059"/>
      <c r="M72" s="11059"/>
      <c r="N72" s="11059"/>
      <c r="O72" s="10985"/>
      <c r="P72" s="10985"/>
      <c r="Q72" s="11058"/>
      <c r="R72" s="4096" t="s">
        <v>294</v>
      </c>
      <c r="S72" s="4038" t="s">
        <v>294</v>
      </c>
      <c r="T72" s="4038" t="s">
        <v>294</v>
      </c>
      <c r="U72" s="3982" t="s">
        <v>294</v>
      </c>
      <c r="V72" s="6191" t="s">
        <v>294</v>
      </c>
      <c r="W72" s="4039" t="s">
        <v>294</v>
      </c>
      <c r="X72" s="7568" t="s">
        <v>294</v>
      </c>
      <c r="Y72" s="7568" t="s">
        <v>294</v>
      </c>
      <c r="Z72" s="7568" t="s">
        <v>294</v>
      </c>
      <c r="AA72" s="7569" t="s">
        <v>294</v>
      </c>
      <c r="AB72" s="4097"/>
      <c r="AC72" s="4098"/>
      <c r="AD72" s="4039" t="s">
        <v>294</v>
      </c>
      <c r="AE72" s="4043" t="s">
        <v>294</v>
      </c>
      <c r="AF72" s="4043" t="s">
        <v>294</v>
      </c>
      <c r="AG72" s="10911"/>
    </row>
    <row r="73" spans="1:33" ht="15.75" customHeight="1">
      <c r="A73" s="11000"/>
      <c r="B73" s="10933" t="s">
        <v>183</v>
      </c>
      <c r="C73" s="10936" t="s">
        <v>227</v>
      </c>
      <c r="D73" s="10936" t="s">
        <v>228</v>
      </c>
      <c r="E73" s="10936" t="s">
        <v>229</v>
      </c>
      <c r="F73" s="10939" t="s">
        <v>230</v>
      </c>
      <c r="G73" s="10936" t="s">
        <v>132</v>
      </c>
      <c r="H73" s="10936" t="s">
        <v>133</v>
      </c>
      <c r="I73" s="10939" t="s">
        <v>5229</v>
      </c>
      <c r="J73" s="10936" t="s">
        <v>4299</v>
      </c>
      <c r="K73" s="10936" t="s">
        <v>5230</v>
      </c>
      <c r="L73" s="11063">
        <v>10</v>
      </c>
      <c r="M73" s="11063">
        <v>10</v>
      </c>
      <c r="N73" s="11063">
        <v>10</v>
      </c>
      <c r="O73" s="10936" t="s">
        <v>4301</v>
      </c>
      <c r="P73" s="10936" t="s">
        <v>5231</v>
      </c>
      <c r="Q73" s="11060" t="s">
        <v>5232</v>
      </c>
      <c r="R73" s="4094" t="s">
        <v>294</v>
      </c>
      <c r="S73" s="4000" t="s">
        <v>294</v>
      </c>
      <c r="T73" s="4000" t="s">
        <v>294</v>
      </c>
      <c r="U73" s="3981" t="s">
        <v>294</v>
      </c>
      <c r="V73" s="6192" t="s">
        <v>294</v>
      </c>
      <c r="W73" s="4001" t="s">
        <v>294</v>
      </c>
      <c r="X73" s="7570" t="s">
        <v>294</v>
      </c>
      <c r="Y73" s="7570" t="s">
        <v>294</v>
      </c>
      <c r="Z73" s="7570" t="s">
        <v>294</v>
      </c>
      <c r="AA73" s="7571" t="s">
        <v>294</v>
      </c>
      <c r="AB73" s="4006"/>
      <c r="AC73" s="4007"/>
      <c r="AD73" s="4001" t="s">
        <v>294</v>
      </c>
      <c r="AE73" s="4005" t="s">
        <v>294</v>
      </c>
      <c r="AF73" s="4005" t="s">
        <v>294</v>
      </c>
      <c r="AG73" s="10919" t="s">
        <v>294</v>
      </c>
    </row>
    <row r="74" spans="1:33" ht="15.75" customHeight="1">
      <c r="A74" s="11000"/>
      <c r="B74" s="10934"/>
      <c r="C74" s="10937"/>
      <c r="D74" s="10937"/>
      <c r="E74" s="10937"/>
      <c r="F74" s="10940"/>
      <c r="G74" s="10937"/>
      <c r="H74" s="10937"/>
      <c r="I74" s="10940"/>
      <c r="J74" s="10937"/>
      <c r="K74" s="10937"/>
      <c r="L74" s="11053"/>
      <c r="M74" s="11053"/>
      <c r="N74" s="11053"/>
      <c r="O74" s="10937"/>
      <c r="P74" s="10937"/>
      <c r="Q74" s="11056"/>
      <c r="R74" s="4022" t="s">
        <v>294</v>
      </c>
      <c r="S74" s="3917" t="s">
        <v>294</v>
      </c>
      <c r="T74" s="3917" t="s">
        <v>294</v>
      </c>
      <c r="U74" s="3913" t="s">
        <v>294</v>
      </c>
      <c r="V74" s="6190" t="s">
        <v>294</v>
      </c>
      <c r="W74" s="3925" t="s">
        <v>294</v>
      </c>
      <c r="X74" s="7567" t="s">
        <v>294</v>
      </c>
      <c r="Y74" s="7567" t="s">
        <v>294</v>
      </c>
      <c r="Z74" s="7567" t="s">
        <v>294</v>
      </c>
      <c r="AA74" s="7566" t="s">
        <v>294</v>
      </c>
      <c r="AB74" s="3940"/>
      <c r="AC74" s="3956"/>
      <c r="AD74" s="3925" t="s">
        <v>294</v>
      </c>
      <c r="AE74" s="3923" t="s">
        <v>294</v>
      </c>
      <c r="AF74" s="3923" t="s">
        <v>294</v>
      </c>
      <c r="AG74" s="10920"/>
    </row>
    <row r="75" spans="1:33" ht="15.75" customHeight="1">
      <c r="A75" s="11000"/>
      <c r="B75" s="10934"/>
      <c r="C75" s="10937"/>
      <c r="D75" s="10937"/>
      <c r="E75" s="10937"/>
      <c r="F75" s="10940"/>
      <c r="G75" s="10937"/>
      <c r="H75" s="10937"/>
      <c r="I75" s="10940"/>
      <c r="J75" s="10937"/>
      <c r="K75" s="10937"/>
      <c r="L75" s="11053"/>
      <c r="M75" s="11053"/>
      <c r="N75" s="11053"/>
      <c r="O75" s="10937"/>
      <c r="P75" s="10937"/>
      <c r="Q75" s="11056"/>
      <c r="R75" s="4022" t="s">
        <v>294</v>
      </c>
      <c r="S75" s="3917" t="s">
        <v>294</v>
      </c>
      <c r="T75" s="3917" t="s">
        <v>294</v>
      </c>
      <c r="U75" s="3913" t="s">
        <v>294</v>
      </c>
      <c r="V75" s="6190" t="s">
        <v>294</v>
      </c>
      <c r="W75" s="3925" t="s">
        <v>294</v>
      </c>
      <c r="X75" s="7567" t="s">
        <v>294</v>
      </c>
      <c r="Y75" s="7567" t="s">
        <v>294</v>
      </c>
      <c r="Z75" s="7567" t="s">
        <v>294</v>
      </c>
      <c r="AA75" s="7566" t="s">
        <v>294</v>
      </c>
      <c r="AB75" s="3940"/>
      <c r="AC75" s="3956"/>
      <c r="AD75" s="3925" t="s">
        <v>294</v>
      </c>
      <c r="AE75" s="3923" t="s">
        <v>294</v>
      </c>
      <c r="AF75" s="3923" t="s">
        <v>294</v>
      </c>
      <c r="AG75" s="10920"/>
    </row>
    <row r="76" spans="1:33" ht="15.75" customHeight="1">
      <c r="A76" s="11000"/>
      <c r="B76" s="10935"/>
      <c r="C76" s="10938"/>
      <c r="D76" s="10938"/>
      <c r="E76" s="10938"/>
      <c r="F76" s="10941"/>
      <c r="G76" s="10938"/>
      <c r="H76" s="10938"/>
      <c r="I76" s="10941"/>
      <c r="J76" s="10938"/>
      <c r="K76" s="10938"/>
      <c r="L76" s="11054"/>
      <c r="M76" s="11054"/>
      <c r="N76" s="11054"/>
      <c r="O76" s="10938"/>
      <c r="P76" s="10938"/>
      <c r="Q76" s="11057"/>
      <c r="R76" s="4095" t="s">
        <v>294</v>
      </c>
      <c r="S76" s="3996" t="s">
        <v>294</v>
      </c>
      <c r="T76" s="3996" t="s">
        <v>294</v>
      </c>
      <c r="U76" s="3952" t="s">
        <v>294</v>
      </c>
      <c r="V76" s="6193" t="s">
        <v>294</v>
      </c>
      <c r="W76" s="3978" t="s">
        <v>294</v>
      </c>
      <c r="X76" s="7573" t="s">
        <v>294</v>
      </c>
      <c r="Y76" s="7573" t="s">
        <v>294</v>
      </c>
      <c r="Z76" s="7573" t="s">
        <v>294</v>
      </c>
      <c r="AA76" s="7574" t="s">
        <v>294</v>
      </c>
      <c r="AB76" s="3994"/>
      <c r="AC76" s="3995"/>
      <c r="AD76" s="3978" t="s">
        <v>294</v>
      </c>
      <c r="AE76" s="3980" t="s">
        <v>294</v>
      </c>
      <c r="AF76" s="3980" t="s">
        <v>294</v>
      </c>
      <c r="AG76" s="10921"/>
    </row>
    <row r="77" spans="1:33" ht="15.75" customHeight="1">
      <c r="A77" s="11000"/>
      <c r="B77" s="10950" t="s">
        <v>183</v>
      </c>
      <c r="C77" s="10948" t="s">
        <v>227</v>
      </c>
      <c r="D77" s="10948" t="s">
        <v>490</v>
      </c>
      <c r="E77" s="10948" t="s">
        <v>1484</v>
      </c>
      <c r="F77" s="10951" t="s">
        <v>230</v>
      </c>
      <c r="G77" s="10948" t="s">
        <v>231</v>
      </c>
      <c r="H77" s="10948" t="s">
        <v>159</v>
      </c>
      <c r="I77" s="10951" t="s">
        <v>5233</v>
      </c>
      <c r="J77" s="10948" t="s">
        <v>4305</v>
      </c>
      <c r="K77" s="10948" t="s">
        <v>5234</v>
      </c>
      <c r="L77" s="11052">
        <v>0</v>
      </c>
      <c r="M77" s="11052">
        <v>0</v>
      </c>
      <c r="N77" s="11052">
        <v>0</v>
      </c>
      <c r="O77" s="4670" t="s">
        <v>294</v>
      </c>
      <c r="P77" s="4670" t="s">
        <v>294</v>
      </c>
      <c r="Q77" s="4675" t="s">
        <v>294</v>
      </c>
      <c r="R77" s="4099" t="s">
        <v>294</v>
      </c>
      <c r="S77" s="4118" t="s">
        <v>294</v>
      </c>
      <c r="T77" s="4118" t="s">
        <v>294</v>
      </c>
      <c r="U77" s="4666" t="s">
        <v>294</v>
      </c>
      <c r="V77" s="6189" t="s">
        <v>294</v>
      </c>
      <c r="W77" s="3908" t="s">
        <v>294</v>
      </c>
      <c r="X77" s="7562" t="s">
        <v>294</v>
      </c>
      <c r="Y77" s="7562" t="s">
        <v>294</v>
      </c>
      <c r="Z77" s="7562" t="s">
        <v>294</v>
      </c>
      <c r="AA77" s="7563" t="s">
        <v>294</v>
      </c>
      <c r="AB77" s="3953"/>
      <c r="AC77" s="3954"/>
      <c r="AD77" s="3908" t="s">
        <v>294</v>
      </c>
      <c r="AE77" s="3912" t="s">
        <v>294</v>
      </c>
      <c r="AF77" s="3912" t="s">
        <v>294</v>
      </c>
      <c r="AG77" s="10910" t="s">
        <v>5235</v>
      </c>
    </row>
    <row r="78" spans="1:33" ht="15.75" customHeight="1">
      <c r="A78" s="11000"/>
      <c r="B78" s="10934"/>
      <c r="C78" s="10937"/>
      <c r="D78" s="10937"/>
      <c r="E78" s="10937"/>
      <c r="F78" s="10940"/>
      <c r="G78" s="10937"/>
      <c r="H78" s="10937"/>
      <c r="I78" s="10940"/>
      <c r="J78" s="10937"/>
      <c r="K78" s="10937"/>
      <c r="L78" s="11053"/>
      <c r="M78" s="11053"/>
      <c r="N78" s="11053"/>
      <c r="O78" s="3957" t="s">
        <v>294</v>
      </c>
      <c r="P78" s="3957" t="s">
        <v>294</v>
      </c>
      <c r="Q78" s="4030" t="s">
        <v>294</v>
      </c>
      <c r="R78" s="4023" t="s">
        <v>294</v>
      </c>
      <c r="S78" s="3916" t="s">
        <v>294</v>
      </c>
      <c r="T78" s="3916" t="s">
        <v>294</v>
      </c>
      <c r="U78" s="3914" t="s">
        <v>294</v>
      </c>
      <c r="V78" s="6190" t="s">
        <v>294</v>
      </c>
      <c r="W78" s="3925" t="s">
        <v>294</v>
      </c>
      <c r="X78" s="7567" t="s">
        <v>294</v>
      </c>
      <c r="Y78" s="7567" t="s">
        <v>294</v>
      </c>
      <c r="Z78" s="7567" t="s">
        <v>294</v>
      </c>
      <c r="AA78" s="7566" t="s">
        <v>294</v>
      </c>
      <c r="AB78" s="3940"/>
      <c r="AC78" s="3956"/>
      <c r="AD78" s="3925" t="s">
        <v>294</v>
      </c>
      <c r="AE78" s="3923" t="s">
        <v>294</v>
      </c>
      <c r="AF78" s="3923" t="s">
        <v>294</v>
      </c>
      <c r="AG78" s="10908"/>
    </row>
    <row r="79" spans="1:33" ht="15.75" customHeight="1">
      <c r="A79" s="11000"/>
      <c r="B79" s="10934"/>
      <c r="C79" s="10937"/>
      <c r="D79" s="10937"/>
      <c r="E79" s="10937"/>
      <c r="F79" s="10940"/>
      <c r="G79" s="10937"/>
      <c r="H79" s="10937"/>
      <c r="I79" s="10940"/>
      <c r="J79" s="10937"/>
      <c r="K79" s="10937"/>
      <c r="L79" s="11053"/>
      <c r="M79" s="11053"/>
      <c r="N79" s="11053"/>
      <c r="O79" s="3957" t="s">
        <v>294</v>
      </c>
      <c r="P79" s="3957" t="s">
        <v>294</v>
      </c>
      <c r="Q79" s="4030" t="s">
        <v>294</v>
      </c>
      <c r="R79" s="4022" t="s">
        <v>294</v>
      </c>
      <c r="S79" s="3917" t="s">
        <v>294</v>
      </c>
      <c r="T79" s="3917" t="s">
        <v>294</v>
      </c>
      <c r="U79" s="3913" t="s">
        <v>294</v>
      </c>
      <c r="V79" s="6190" t="s">
        <v>294</v>
      </c>
      <c r="W79" s="3925" t="s">
        <v>294</v>
      </c>
      <c r="X79" s="7567" t="s">
        <v>294</v>
      </c>
      <c r="Y79" s="7567" t="s">
        <v>294</v>
      </c>
      <c r="Z79" s="7567" t="s">
        <v>294</v>
      </c>
      <c r="AA79" s="7566" t="s">
        <v>294</v>
      </c>
      <c r="AB79" s="3940"/>
      <c r="AC79" s="3956"/>
      <c r="AD79" s="3925" t="s">
        <v>294</v>
      </c>
      <c r="AE79" s="3923" t="s">
        <v>294</v>
      </c>
      <c r="AF79" s="3923" t="s">
        <v>294</v>
      </c>
      <c r="AG79" s="10908"/>
    </row>
    <row r="80" spans="1:33" ht="15.75" customHeight="1">
      <c r="A80" s="11000"/>
      <c r="B80" s="10934"/>
      <c r="C80" s="10937"/>
      <c r="D80" s="10937"/>
      <c r="E80" s="10937"/>
      <c r="F80" s="10940"/>
      <c r="G80" s="10937"/>
      <c r="H80" s="10937"/>
      <c r="I80" s="10940"/>
      <c r="J80" s="10937"/>
      <c r="K80" s="10937"/>
      <c r="L80" s="11053"/>
      <c r="M80" s="11053"/>
      <c r="N80" s="11053"/>
      <c r="O80" s="3957" t="s">
        <v>294</v>
      </c>
      <c r="P80" s="3957" t="s">
        <v>294</v>
      </c>
      <c r="Q80" s="4030" t="s">
        <v>294</v>
      </c>
      <c r="R80" s="4022" t="s">
        <v>294</v>
      </c>
      <c r="S80" s="3917" t="s">
        <v>294</v>
      </c>
      <c r="T80" s="3917" t="s">
        <v>294</v>
      </c>
      <c r="U80" s="3913" t="s">
        <v>294</v>
      </c>
      <c r="V80" s="6190" t="s">
        <v>294</v>
      </c>
      <c r="W80" s="3925" t="s">
        <v>294</v>
      </c>
      <c r="X80" s="7567" t="s">
        <v>294</v>
      </c>
      <c r="Y80" s="7567" t="s">
        <v>294</v>
      </c>
      <c r="Z80" s="7567" t="s">
        <v>294</v>
      </c>
      <c r="AA80" s="7566" t="s">
        <v>294</v>
      </c>
      <c r="AB80" s="3940"/>
      <c r="AC80" s="3956"/>
      <c r="AD80" s="3925" t="s">
        <v>294</v>
      </c>
      <c r="AE80" s="3923" t="s">
        <v>294</v>
      </c>
      <c r="AF80" s="3923" t="s">
        <v>294</v>
      </c>
      <c r="AG80" s="10908"/>
    </row>
    <row r="81" spans="1:33" ht="15.75" customHeight="1">
      <c r="A81" s="11000"/>
      <c r="B81" s="10993"/>
      <c r="C81" s="10985"/>
      <c r="D81" s="10985"/>
      <c r="E81" s="10985"/>
      <c r="F81" s="10994"/>
      <c r="G81" s="10985"/>
      <c r="H81" s="10985"/>
      <c r="I81" s="10994"/>
      <c r="J81" s="10985"/>
      <c r="K81" s="10985"/>
      <c r="L81" s="11059"/>
      <c r="M81" s="11059"/>
      <c r="N81" s="11059"/>
      <c r="O81" s="4103" t="s">
        <v>294</v>
      </c>
      <c r="P81" s="4103" t="s">
        <v>294</v>
      </c>
      <c r="Q81" s="4104" t="s">
        <v>294</v>
      </c>
      <c r="R81" s="4105" t="s">
        <v>294</v>
      </c>
      <c r="S81" s="4116" t="s">
        <v>294</v>
      </c>
      <c r="T81" s="4116" t="s">
        <v>294</v>
      </c>
      <c r="U81" s="3982" t="s">
        <v>294</v>
      </c>
      <c r="V81" s="6191" t="s">
        <v>294</v>
      </c>
      <c r="W81" s="4039" t="s">
        <v>294</v>
      </c>
      <c r="X81" s="7568" t="s">
        <v>294</v>
      </c>
      <c r="Y81" s="7568" t="s">
        <v>294</v>
      </c>
      <c r="Z81" s="7568" t="s">
        <v>294</v>
      </c>
      <c r="AA81" s="7569" t="s">
        <v>294</v>
      </c>
      <c r="AB81" s="4097"/>
      <c r="AC81" s="4098"/>
      <c r="AD81" s="4039" t="s">
        <v>294</v>
      </c>
      <c r="AE81" s="4043" t="s">
        <v>294</v>
      </c>
      <c r="AF81" s="4043" t="s">
        <v>294</v>
      </c>
      <c r="AG81" s="10911"/>
    </row>
    <row r="82" spans="1:33" ht="15.75" customHeight="1">
      <c r="A82" s="11000"/>
      <c r="B82" s="10933" t="s">
        <v>183</v>
      </c>
      <c r="C82" s="10936" t="s">
        <v>227</v>
      </c>
      <c r="D82" s="10936" t="s">
        <v>228</v>
      </c>
      <c r="E82" s="10936" t="s">
        <v>229</v>
      </c>
      <c r="F82" s="10939" t="s">
        <v>230</v>
      </c>
      <c r="G82" s="10936" t="s">
        <v>132</v>
      </c>
      <c r="H82" s="10936" t="s">
        <v>159</v>
      </c>
      <c r="I82" s="10939" t="s">
        <v>5236</v>
      </c>
      <c r="J82" s="10936" t="s">
        <v>4312</v>
      </c>
      <c r="K82" s="10936" t="s">
        <v>5237</v>
      </c>
      <c r="L82" s="11063">
        <v>0</v>
      </c>
      <c r="M82" s="11063">
        <v>5</v>
      </c>
      <c r="N82" s="11063">
        <v>5</v>
      </c>
      <c r="O82" s="11037" t="s">
        <v>5238</v>
      </c>
      <c r="P82" s="11037" t="s">
        <v>5239</v>
      </c>
      <c r="Q82" s="11060" t="s">
        <v>5240</v>
      </c>
      <c r="R82" s="4100" t="s">
        <v>294</v>
      </c>
      <c r="S82" s="4008" t="s">
        <v>294</v>
      </c>
      <c r="T82" s="4008" t="s">
        <v>294</v>
      </c>
      <c r="U82" s="4664" t="s">
        <v>294</v>
      </c>
      <c r="V82" s="6192" t="s">
        <v>294</v>
      </c>
      <c r="W82" s="4001" t="s">
        <v>294</v>
      </c>
      <c r="X82" s="7570" t="s">
        <v>294</v>
      </c>
      <c r="Y82" s="7570" t="s">
        <v>294</v>
      </c>
      <c r="Z82" s="7570" t="s">
        <v>294</v>
      </c>
      <c r="AA82" s="7571" t="s">
        <v>294</v>
      </c>
      <c r="AB82" s="4006"/>
      <c r="AC82" s="4007"/>
      <c r="AD82" s="4001" t="s">
        <v>294</v>
      </c>
      <c r="AE82" s="4005" t="s">
        <v>294</v>
      </c>
      <c r="AF82" s="4005" t="s">
        <v>294</v>
      </c>
      <c r="AG82" s="10919" t="s">
        <v>294</v>
      </c>
    </row>
    <row r="83" spans="1:33" ht="15.75" customHeight="1">
      <c r="A83" s="11000"/>
      <c r="B83" s="10934"/>
      <c r="C83" s="10937"/>
      <c r="D83" s="10937"/>
      <c r="E83" s="10937"/>
      <c r="F83" s="10940"/>
      <c r="G83" s="10937"/>
      <c r="H83" s="10937"/>
      <c r="I83" s="10940"/>
      <c r="J83" s="10937"/>
      <c r="K83" s="10937"/>
      <c r="L83" s="11053"/>
      <c r="M83" s="11053"/>
      <c r="N83" s="11053"/>
      <c r="O83" s="11008"/>
      <c r="P83" s="11008"/>
      <c r="Q83" s="11056"/>
      <c r="R83" s="4023" t="s">
        <v>294</v>
      </c>
      <c r="S83" s="3990" t="s">
        <v>294</v>
      </c>
      <c r="T83" s="3990" t="s">
        <v>294</v>
      </c>
      <c r="U83" s="3924" t="s">
        <v>294</v>
      </c>
      <c r="V83" s="7551" t="s">
        <v>294</v>
      </c>
      <c r="W83" s="3921" t="s">
        <v>294</v>
      </c>
      <c r="X83" s="7575" t="s">
        <v>294</v>
      </c>
      <c r="Y83" s="7575" t="s">
        <v>294</v>
      </c>
      <c r="Z83" s="7575" t="s">
        <v>294</v>
      </c>
      <c r="AA83" s="7576" t="s">
        <v>294</v>
      </c>
      <c r="AB83" s="3936"/>
      <c r="AC83" s="3958"/>
      <c r="AD83" s="3921" t="s">
        <v>294</v>
      </c>
      <c r="AE83" s="3923" t="s">
        <v>294</v>
      </c>
      <c r="AF83" s="3923" t="s">
        <v>294</v>
      </c>
      <c r="AG83" s="10920"/>
    </row>
    <row r="84" spans="1:33" ht="15.75" customHeight="1">
      <c r="A84" s="11000"/>
      <c r="B84" s="10934"/>
      <c r="C84" s="10937"/>
      <c r="D84" s="10937"/>
      <c r="E84" s="10937"/>
      <c r="F84" s="10940"/>
      <c r="G84" s="10937"/>
      <c r="H84" s="10937"/>
      <c r="I84" s="10940"/>
      <c r="J84" s="10937"/>
      <c r="K84" s="10937"/>
      <c r="L84" s="11053"/>
      <c r="M84" s="11053"/>
      <c r="N84" s="11053"/>
      <c r="O84" s="11008"/>
      <c r="P84" s="11008"/>
      <c r="Q84" s="11056"/>
      <c r="R84" s="4022" t="s">
        <v>294</v>
      </c>
      <c r="S84" s="3989" t="s">
        <v>294</v>
      </c>
      <c r="T84" s="3989" t="s">
        <v>294</v>
      </c>
      <c r="U84" s="3932" t="s">
        <v>294</v>
      </c>
      <c r="V84" s="7551" t="s">
        <v>294</v>
      </c>
      <c r="W84" s="3921" t="s">
        <v>294</v>
      </c>
      <c r="X84" s="7575" t="s">
        <v>294</v>
      </c>
      <c r="Y84" s="7575" t="s">
        <v>294</v>
      </c>
      <c r="Z84" s="7575" t="s">
        <v>294</v>
      </c>
      <c r="AA84" s="7576" t="s">
        <v>294</v>
      </c>
      <c r="AB84" s="3936"/>
      <c r="AC84" s="3958"/>
      <c r="AD84" s="3921" t="s">
        <v>294</v>
      </c>
      <c r="AE84" s="3923" t="s">
        <v>294</v>
      </c>
      <c r="AF84" s="3923" t="s">
        <v>294</v>
      </c>
      <c r="AG84" s="10920"/>
    </row>
    <row r="85" spans="1:33" ht="15.75" customHeight="1">
      <c r="A85" s="11000"/>
      <c r="B85" s="10934"/>
      <c r="C85" s="10937"/>
      <c r="D85" s="10937"/>
      <c r="E85" s="10937"/>
      <c r="F85" s="10940"/>
      <c r="G85" s="10937"/>
      <c r="H85" s="10937"/>
      <c r="I85" s="10940"/>
      <c r="J85" s="10937"/>
      <c r="K85" s="10937"/>
      <c r="L85" s="11053"/>
      <c r="M85" s="11053"/>
      <c r="N85" s="11053"/>
      <c r="O85" s="11008"/>
      <c r="P85" s="11008"/>
      <c r="Q85" s="11056"/>
      <c r="R85" s="4022" t="s">
        <v>294</v>
      </c>
      <c r="S85" s="3989" t="s">
        <v>294</v>
      </c>
      <c r="T85" s="3989" t="s">
        <v>294</v>
      </c>
      <c r="U85" s="3932" t="s">
        <v>294</v>
      </c>
      <c r="V85" s="7551" t="s">
        <v>294</v>
      </c>
      <c r="W85" s="3921" t="s">
        <v>294</v>
      </c>
      <c r="X85" s="7575" t="s">
        <v>294</v>
      </c>
      <c r="Y85" s="7575" t="s">
        <v>294</v>
      </c>
      <c r="Z85" s="7575" t="s">
        <v>294</v>
      </c>
      <c r="AA85" s="7576" t="s">
        <v>294</v>
      </c>
      <c r="AB85" s="3936"/>
      <c r="AC85" s="3958"/>
      <c r="AD85" s="3921" t="s">
        <v>294</v>
      </c>
      <c r="AE85" s="3923" t="s">
        <v>294</v>
      </c>
      <c r="AF85" s="3923" t="s">
        <v>294</v>
      </c>
      <c r="AG85" s="10920"/>
    </row>
    <row r="86" spans="1:33" ht="15.75" customHeight="1">
      <c r="A86" s="11000"/>
      <c r="B86" s="10935"/>
      <c r="C86" s="10938"/>
      <c r="D86" s="10938"/>
      <c r="E86" s="10938"/>
      <c r="F86" s="10941"/>
      <c r="G86" s="10938"/>
      <c r="H86" s="10938"/>
      <c r="I86" s="10941"/>
      <c r="J86" s="10938"/>
      <c r="K86" s="10938"/>
      <c r="L86" s="11054"/>
      <c r="M86" s="11054"/>
      <c r="N86" s="11054"/>
      <c r="O86" s="11038"/>
      <c r="P86" s="11038"/>
      <c r="Q86" s="11057"/>
      <c r="R86" s="4095" t="s">
        <v>294</v>
      </c>
      <c r="S86" s="7515" t="s">
        <v>294</v>
      </c>
      <c r="T86" s="7515" t="s">
        <v>294</v>
      </c>
      <c r="U86" s="4051" t="s">
        <v>294</v>
      </c>
      <c r="V86" s="7552" t="s">
        <v>294</v>
      </c>
      <c r="W86" s="4035" t="s">
        <v>294</v>
      </c>
      <c r="X86" s="7581" t="s">
        <v>294</v>
      </c>
      <c r="Y86" s="7581" t="s">
        <v>294</v>
      </c>
      <c r="Z86" s="7581" t="s">
        <v>294</v>
      </c>
      <c r="AA86" s="7582" t="s">
        <v>294</v>
      </c>
      <c r="AB86" s="4101"/>
      <c r="AC86" s="4102"/>
      <c r="AD86" s="4035" t="s">
        <v>294</v>
      </c>
      <c r="AE86" s="3980" t="s">
        <v>294</v>
      </c>
      <c r="AF86" s="3980" t="s">
        <v>294</v>
      </c>
      <c r="AG86" s="10921"/>
    </row>
    <row r="87" spans="1:33" ht="15.75" customHeight="1">
      <c r="A87" s="11000"/>
      <c r="B87" s="10950" t="s">
        <v>183</v>
      </c>
      <c r="C87" s="10948" t="s">
        <v>227</v>
      </c>
      <c r="D87" s="10948" t="s">
        <v>228</v>
      </c>
      <c r="E87" s="10948" t="s">
        <v>255</v>
      </c>
      <c r="F87" s="10951" t="s">
        <v>230</v>
      </c>
      <c r="G87" s="10948" t="s">
        <v>132</v>
      </c>
      <c r="H87" s="10948" t="s">
        <v>133</v>
      </c>
      <c r="I87" s="10951" t="s">
        <v>5241</v>
      </c>
      <c r="J87" s="10948" t="s">
        <v>4326</v>
      </c>
      <c r="K87" s="10948" t="s">
        <v>5242</v>
      </c>
      <c r="L87" s="11052">
        <v>1</v>
      </c>
      <c r="M87" s="11052">
        <v>0</v>
      </c>
      <c r="N87" s="11052">
        <v>1</v>
      </c>
      <c r="O87" s="11007" t="s">
        <v>5243</v>
      </c>
      <c r="P87" s="11007" t="s">
        <v>5244</v>
      </c>
      <c r="Q87" s="11055" t="s">
        <v>5245</v>
      </c>
      <c r="R87" s="4099" t="s">
        <v>294</v>
      </c>
      <c r="S87" s="7516" t="s">
        <v>294</v>
      </c>
      <c r="T87" s="7516" t="s">
        <v>294</v>
      </c>
      <c r="U87" s="4106" t="s">
        <v>294</v>
      </c>
      <c r="V87" s="7558" t="s">
        <v>294</v>
      </c>
      <c r="W87" s="3910" t="s">
        <v>294</v>
      </c>
      <c r="X87" s="7592" t="s">
        <v>294</v>
      </c>
      <c r="Y87" s="7592" t="s">
        <v>294</v>
      </c>
      <c r="Z87" s="7592" t="s">
        <v>294</v>
      </c>
      <c r="AA87" s="7593" t="s">
        <v>294</v>
      </c>
      <c r="AB87" s="4058"/>
      <c r="AC87" s="4107"/>
      <c r="AD87" s="3910" t="s">
        <v>294</v>
      </c>
      <c r="AE87" s="3912" t="s">
        <v>294</v>
      </c>
      <c r="AF87" s="3912" t="s">
        <v>294</v>
      </c>
      <c r="AG87" s="10910" t="s">
        <v>4818</v>
      </c>
    </row>
    <row r="88" spans="1:33" ht="15.75" customHeight="1">
      <c r="A88" s="11000"/>
      <c r="B88" s="10934"/>
      <c r="C88" s="10937"/>
      <c r="D88" s="10937"/>
      <c r="E88" s="10937"/>
      <c r="F88" s="10940"/>
      <c r="G88" s="10937"/>
      <c r="H88" s="10937"/>
      <c r="I88" s="10940"/>
      <c r="J88" s="10937"/>
      <c r="K88" s="10937"/>
      <c r="L88" s="11053"/>
      <c r="M88" s="11053"/>
      <c r="N88" s="11053"/>
      <c r="O88" s="11008"/>
      <c r="P88" s="11008"/>
      <c r="Q88" s="11056"/>
      <c r="R88" s="4023" t="s">
        <v>294</v>
      </c>
      <c r="S88" s="3990" t="s">
        <v>294</v>
      </c>
      <c r="T88" s="3990" t="s">
        <v>294</v>
      </c>
      <c r="U88" s="3924" t="s">
        <v>294</v>
      </c>
      <c r="V88" s="7551" t="s">
        <v>294</v>
      </c>
      <c r="W88" s="3921" t="s">
        <v>294</v>
      </c>
      <c r="X88" s="7575" t="s">
        <v>294</v>
      </c>
      <c r="Y88" s="7575" t="s">
        <v>294</v>
      </c>
      <c r="Z88" s="7575" t="s">
        <v>294</v>
      </c>
      <c r="AA88" s="7576" t="s">
        <v>294</v>
      </c>
      <c r="AB88" s="3936"/>
      <c r="AC88" s="3958"/>
      <c r="AD88" s="3921" t="s">
        <v>294</v>
      </c>
      <c r="AE88" s="3923" t="s">
        <v>294</v>
      </c>
      <c r="AF88" s="3923" t="s">
        <v>294</v>
      </c>
      <c r="AG88" s="10908"/>
    </row>
    <row r="89" spans="1:33" ht="15.75" customHeight="1">
      <c r="A89" s="11000"/>
      <c r="B89" s="10934"/>
      <c r="C89" s="10937"/>
      <c r="D89" s="10937"/>
      <c r="E89" s="10937"/>
      <c r="F89" s="10940"/>
      <c r="G89" s="10937"/>
      <c r="H89" s="10937"/>
      <c r="I89" s="10940"/>
      <c r="J89" s="10937"/>
      <c r="K89" s="10937"/>
      <c r="L89" s="11053"/>
      <c r="M89" s="11053"/>
      <c r="N89" s="11053"/>
      <c r="O89" s="11008"/>
      <c r="P89" s="11008"/>
      <c r="Q89" s="11056"/>
      <c r="R89" s="4022" t="s">
        <v>294</v>
      </c>
      <c r="S89" s="3989" t="s">
        <v>294</v>
      </c>
      <c r="T89" s="3989" t="s">
        <v>294</v>
      </c>
      <c r="U89" s="3932" t="s">
        <v>294</v>
      </c>
      <c r="V89" s="7551" t="s">
        <v>294</v>
      </c>
      <c r="W89" s="3921" t="s">
        <v>294</v>
      </c>
      <c r="X89" s="7575" t="s">
        <v>294</v>
      </c>
      <c r="Y89" s="7575" t="s">
        <v>294</v>
      </c>
      <c r="Z89" s="7575" t="s">
        <v>294</v>
      </c>
      <c r="AA89" s="7576" t="s">
        <v>294</v>
      </c>
      <c r="AB89" s="3936"/>
      <c r="AC89" s="3958"/>
      <c r="AD89" s="3921" t="s">
        <v>294</v>
      </c>
      <c r="AE89" s="3923" t="s">
        <v>294</v>
      </c>
      <c r="AF89" s="3923" t="s">
        <v>294</v>
      </c>
      <c r="AG89" s="10908"/>
    </row>
    <row r="90" spans="1:33" ht="15.75" customHeight="1">
      <c r="A90" s="11000"/>
      <c r="B90" s="10934"/>
      <c r="C90" s="10937"/>
      <c r="D90" s="10937"/>
      <c r="E90" s="10937"/>
      <c r="F90" s="10940"/>
      <c r="G90" s="10937"/>
      <c r="H90" s="10937"/>
      <c r="I90" s="10940"/>
      <c r="J90" s="10937"/>
      <c r="K90" s="10937"/>
      <c r="L90" s="11053"/>
      <c r="M90" s="11053"/>
      <c r="N90" s="11053"/>
      <c r="O90" s="11008"/>
      <c r="P90" s="11008"/>
      <c r="Q90" s="11056"/>
      <c r="R90" s="4022" t="s">
        <v>294</v>
      </c>
      <c r="S90" s="3989" t="s">
        <v>294</v>
      </c>
      <c r="T90" s="3989" t="s">
        <v>294</v>
      </c>
      <c r="U90" s="3932" t="s">
        <v>294</v>
      </c>
      <c r="V90" s="7551" t="s">
        <v>294</v>
      </c>
      <c r="W90" s="3921" t="s">
        <v>294</v>
      </c>
      <c r="X90" s="7575" t="s">
        <v>294</v>
      </c>
      <c r="Y90" s="7575" t="s">
        <v>294</v>
      </c>
      <c r="Z90" s="7575" t="s">
        <v>294</v>
      </c>
      <c r="AA90" s="7576" t="s">
        <v>294</v>
      </c>
      <c r="AB90" s="3936"/>
      <c r="AC90" s="3958"/>
      <c r="AD90" s="3921" t="s">
        <v>294</v>
      </c>
      <c r="AE90" s="3923" t="s">
        <v>294</v>
      </c>
      <c r="AF90" s="3923" t="s">
        <v>294</v>
      </c>
      <c r="AG90" s="10908"/>
    </row>
    <row r="91" spans="1:33" ht="15.75" customHeight="1">
      <c r="A91" s="11000"/>
      <c r="B91" s="10993"/>
      <c r="C91" s="10985"/>
      <c r="D91" s="10985"/>
      <c r="E91" s="10985"/>
      <c r="F91" s="10994"/>
      <c r="G91" s="10985"/>
      <c r="H91" s="10985"/>
      <c r="I91" s="10994"/>
      <c r="J91" s="10985"/>
      <c r="K91" s="10985"/>
      <c r="L91" s="11059"/>
      <c r="M91" s="11059"/>
      <c r="N91" s="11059"/>
      <c r="O91" s="11009"/>
      <c r="P91" s="11009"/>
      <c r="Q91" s="11058"/>
      <c r="R91" s="4105" t="s">
        <v>294</v>
      </c>
      <c r="S91" s="7517" t="s">
        <v>294</v>
      </c>
      <c r="T91" s="7517" t="s">
        <v>294</v>
      </c>
      <c r="U91" s="4055" t="s">
        <v>294</v>
      </c>
      <c r="V91" s="7549" t="s">
        <v>294</v>
      </c>
      <c r="W91" s="4041" t="s">
        <v>294</v>
      </c>
      <c r="X91" s="7577" t="s">
        <v>294</v>
      </c>
      <c r="Y91" s="7577" t="s">
        <v>294</v>
      </c>
      <c r="Z91" s="7577" t="s">
        <v>294</v>
      </c>
      <c r="AA91" s="7578" t="s">
        <v>294</v>
      </c>
      <c r="AB91" s="4110"/>
      <c r="AC91" s="4111"/>
      <c r="AD91" s="4041" t="s">
        <v>294</v>
      </c>
      <c r="AE91" s="4043" t="s">
        <v>294</v>
      </c>
      <c r="AF91" s="4043" t="s">
        <v>294</v>
      </c>
      <c r="AG91" s="10911"/>
    </row>
    <row r="92" spans="1:33" ht="28.5" customHeight="1">
      <c r="A92" s="11000"/>
      <c r="B92" s="10933" t="s">
        <v>183</v>
      </c>
      <c r="C92" s="10936" t="s">
        <v>227</v>
      </c>
      <c r="D92" s="10936" t="s">
        <v>228</v>
      </c>
      <c r="E92" s="10936" t="s">
        <v>229</v>
      </c>
      <c r="F92" s="10939" t="s">
        <v>230</v>
      </c>
      <c r="G92" s="10936" t="s">
        <v>132</v>
      </c>
      <c r="H92" s="10936" t="s">
        <v>159</v>
      </c>
      <c r="I92" s="10939" t="s">
        <v>5246</v>
      </c>
      <c r="J92" s="10936" t="s">
        <v>5247</v>
      </c>
      <c r="K92" s="10936" t="s">
        <v>5248</v>
      </c>
      <c r="L92" s="11063">
        <v>45</v>
      </c>
      <c r="M92" s="11063">
        <v>55</v>
      </c>
      <c r="N92" s="11063">
        <v>30</v>
      </c>
      <c r="O92" s="10936" t="s">
        <v>5249</v>
      </c>
      <c r="P92" s="10936" t="s">
        <v>5250</v>
      </c>
      <c r="Q92" s="11060" t="s">
        <v>5251</v>
      </c>
      <c r="R92" s="4026" t="s">
        <v>4102</v>
      </c>
      <c r="S92" s="4000" t="s">
        <v>5252</v>
      </c>
      <c r="T92" s="4008" t="s">
        <v>294</v>
      </c>
      <c r="U92" s="3981" t="s">
        <v>39</v>
      </c>
      <c r="V92" s="6192" t="s">
        <v>294</v>
      </c>
      <c r="W92" s="4001" t="s">
        <v>294</v>
      </c>
      <c r="X92" s="7570" t="s">
        <v>294</v>
      </c>
      <c r="Y92" s="7570" t="s">
        <v>294</v>
      </c>
      <c r="Z92" s="7570" t="s">
        <v>294</v>
      </c>
      <c r="AA92" s="7571">
        <f>+SUM(Z93:Z96)</f>
        <v>18003.1152</v>
      </c>
      <c r="AB92" s="7671" t="s">
        <v>26</v>
      </c>
      <c r="AC92" s="4002"/>
      <c r="AD92" s="4003" t="s">
        <v>294</v>
      </c>
      <c r="AE92" s="4005" t="s">
        <v>294</v>
      </c>
      <c r="AF92" s="4005" t="s">
        <v>294</v>
      </c>
      <c r="AG92" s="10907" t="s">
        <v>294</v>
      </c>
    </row>
    <row r="93" spans="1:33" ht="15.75" customHeight="1">
      <c r="A93" s="11000"/>
      <c r="B93" s="10934"/>
      <c r="C93" s="10937"/>
      <c r="D93" s="10937"/>
      <c r="E93" s="10937"/>
      <c r="F93" s="10940"/>
      <c r="G93" s="10937"/>
      <c r="H93" s="10937"/>
      <c r="I93" s="10940"/>
      <c r="J93" s="10937"/>
      <c r="K93" s="10937"/>
      <c r="L93" s="11053"/>
      <c r="M93" s="11053"/>
      <c r="N93" s="11053"/>
      <c r="O93" s="10937"/>
      <c r="P93" s="10937"/>
      <c r="Q93" s="11056"/>
      <c r="R93" s="3984" t="s">
        <v>294</v>
      </c>
      <c r="S93" s="3916" t="s">
        <v>294</v>
      </c>
      <c r="T93" s="3917">
        <v>4391300136</v>
      </c>
      <c r="U93" s="3913" t="s">
        <v>5253</v>
      </c>
      <c r="V93" s="6190">
        <v>1</v>
      </c>
      <c r="W93" s="3925" t="s">
        <v>180</v>
      </c>
      <c r="X93" s="7567">
        <v>1000</v>
      </c>
      <c r="Y93" s="7567">
        <f>+V93*X93</f>
        <v>1000</v>
      </c>
      <c r="Z93" s="7567">
        <f>+Y93*1.12</f>
        <v>1120</v>
      </c>
      <c r="AA93" s="7566" t="s">
        <v>294</v>
      </c>
      <c r="AB93" s="3940"/>
      <c r="AC93" s="3956"/>
      <c r="AD93" s="3921" t="s">
        <v>294</v>
      </c>
      <c r="AE93" s="3923" t="s">
        <v>153</v>
      </c>
      <c r="AF93" s="3923" t="s">
        <v>294</v>
      </c>
      <c r="AG93" s="10908"/>
    </row>
    <row r="94" spans="1:33" ht="15.75" customHeight="1">
      <c r="A94" s="11000"/>
      <c r="B94" s="10934"/>
      <c r="C94" s="10937"/>
      <c r="D94" s="10937"/>
      <c r="E94" s="10937"/>
      <c r="F94" s="10940"/>
      <c r="G94" s="10937"/>
      <c r="H94" s="10937"/>
      <c r="I94" s="10940"/>
      <c r="J94" s="10937"/>
      <c r="K94" s="10937"/>
      <c r="L94" s="11053"/>
      <c r="M94" s="11053"/>
      <c r="N94" s="11053"/>
      <c r="O94" s="10937"/>
      <c r="P94" s="10937"/>
      <c r="Q94" s="11056"/>
      <c r="R94" s="3984" t="s">
        <v>294</v>
      </c>
      <c r="S94" s="3916" t="s">
        <v>294</v>
      </c>
      <c r="T94" s="3917">
        <v>482610011</v>
      </c>
      <c r="U94" s="3913" t="s">
        <v>5254</v>
      </c>
      <c r="V94" s="6190">
        <v>1</v>
      </c>
      <c r="W94" s="3925" t="s">
        <v>180</v>
      </c>
      <c r="X94" s="7567">
        <v>7500.21</v>
      </c>
      <c r="Y94" s="7567">
        <f>+V94*X94</f>
        <v>7500.21</v>
      </c>
      <c r="Z94" s="7567">
        <f>+Y94*1.12</f>
        <v>8400.235200000001</v>
      </c>
      <c r="AA94" s="7566" t="s">
        <v>294</v>
      </c>
      <c r="AB94" s="3940"/>
      <c r="AC94" s="3956"/>
      <c r="AD94" s="3921" t="s">
        <v>294</v>
      </c>
      <c r="AE94" s="3923" t="s">
        <v>153</v>
      </c>
      <c r="AF94" s="3923" t="s">
        <v>294</v>
      </c>
      <c r="AG94" s="10908"/>
    </row>
    <row r="95" spans="1:33" ht="15.75" customHeight="1">
      <c r="A95" s="11000"/>
      <c r="B95" s="10934"/>
      <c r="C95" s="10937"/>
      <c r="D95" s="10937"/>
      <c r="E95" s="10937"/>
      <c r="F95" s="10940"/>
      <c r="G95" s="10937"/>
      <c r="H95" s="10937"/>
      <c r="I95" s="10940"/>
      <c r="J95" s="10937"/>
      <c r="K95" s="10937"/>
      <c r="L95" s="11053"/>
      <c r="M95" s="11053"/>
      <c r="N95" s="11053"/>
      <c r="O95" s="10937"/>
      <c r="P95" s="10937"/>
      <c r="Q95" s="11056"/>
      <c r="R95" s="3984" t="s">
        <v>294</v>
      </c>
      <c r="S95" s="3916" t="s">
        <v>294</v>
      </c>
      <c r="T95" s="3917">
        <v>482610011</v>
      </c>
      <c r="U95" s="3913" t="s">
        <v>5255</v>
      </c>
      <c r="V95" s="6190">
        <v>1</v>
      </c>
      <c r="W95" s="3925" t="s">
        <v>180</v>
      </c>
      <c r="X95" s="7567">
        <v>1524</v>
      </c>
      <c r="Y95" s="7567">
        <f>+V95*X95</f>
        <v>1524</v>
      </c>
      <c r="Z95" s="7567">
        <f>+Y95*1.12</f>
        <v>1706.88</v>
      </c>
      <c r="AA95" s="7566" t="s">
        <v>294</v>
      </c>
      <c r="AB95" s="3940"/>
      <c r="AC95" s="3956"/>
      <c r="AD95" s="3921" t="s">
        <v>294</v>
      </c>
      <c r="AE95" s="3923" t="s">
        <v>153</v>
      </c>
      <c r="AF95" s="3923" t="s">
        <v>294</v>
      </c>
      <c r="AG95" s="10908"/>
    </row>
    <row r="96" spans="1:33" ht="15.75" customHeight="1">
      <c r="A96" s="11000"/>
      <c r="B96" s="10934"/>
      <c r="C96" s="10937"/>
      <c r="D96" s="10937"/>
      <c r="E96" s="10937"/>
      <c r="F96" s="10940"/>
      <c r="G96" s="10937"/>
      <c r="H96" s="10937"/>
      <c r="I96" s="10940"/>
      <c r="J96" s="10937"/>
      <c r="K96" s="10937"/>
      <c r="L96" s="11053"/>
      <c r="M96" s="11053"/>
      <c r="N96" s="11053"/>
      <c r="O96" s="10937"/>
      <c r="P96" s="10937"/>
      <c r="Q96" s="11056"/>
      <c r="R96" s="3984" t="s">
        <v>294</v>
      </c>
      <c r="S96" s="3916" t="s">
        <v>294</v>
      </c>
      <c r="T96" s="3917">
        <v>482610011</v>
      </c>
      <c r="U96" s="3913" t="s">
        <v>5256</v>
      </c>
      <c r="V96" s="6190">
        <v>1</v>
      </c>
      <c r="W96" s="3925" t="s">
        <v>180</v>
      </c>
      <c r="X96" s="7567">
        <v>6050</v>
      </c>
      <c r="Y96" s="7567">
        <f>+V96*X96</f>
        <v>6050</v>
      </c>
      <c r="Z96" s="7567">
        <f>+Y96*1.12</f>
        <v>6776.0000000000009</v>
      </c>
      <c r="AA96" s="7566" t="s">
        <v>294</v>
      </c>
      <c r="AB96" s="3940"/>
      <c r="AC96" s="3956"/>
      <c r="AD96" s="3921" t="s">
        <v>294</v>
      </c>
      <c r="AE96" s="3923" t="s">
        <v>153</v>
      </c>
      <c r="AF96" s="3923" t="s">
        <v>294</v>
      </c>
      <c r="AG96" s="10908"/>
    </row>
    <row r="97" spans="1:33" ht="25.5">
      <c r="A97" s="11000"/>
      <c r="B97" s="10934"/>
      <c r="C97" s="10937"/>
      <c r="D97" s="10937"/>
      <c r="E97" s="10937"/>
      <c r="F97" s="10940"/>
      <c r="G97" s="10937"/>
      <c r="H97" s="10937"/>
      <c r="I97" s="10940"/>
      <c r="J97" s="10937"/>
      <c r="K97" s="10937"/>
      <c r="L97" s="11053"/>
      <c r="M97" s="11053"/>
      <c r="N97" s="11053"/>
      <c r="O97" s="10937"/>
      <c r="P97" s="10937"/>
      <c r="Q97" s="11056"/>
      <c r="R97" s="3984" t="s">
        <v>5011</v>
      </c>
      <c r="S97" s="3916" t="s">
        <v>5257</v>
      </c>
      <c r="T97" s="3917" t="s">
        <v>294</v>
      </c>
      <c r="U97" s="8089" t="s">
        <v>4323</v>
      </c>
      <c r="V97" s="8084" t="s">
        <v>294</v>
      </c>
      <c r="W97" s="8090" t="s">
        <v>294</v>
      </c>
      <c r="X97" s="8059" t="s">
        <v>294</v>
      </c>
      <c r="Y97" s="8059" t="s">
        <v>294</v>
      </c>
      <c r="Z97" s="8059" t="s">
        <v>294</v>
      </c>
      <c r="AA97" s="7785">
        <f>Z98</f>
        <v>648.84</v>
      </c>
      <c r="AB97" s="7669" t="s">
        <v>26</v>
      </c>
      <c r="AC97" s="3920"/>
      <c r="AD97" s="3921" t="s">
        <v>294</v>
      </c>
      <c r="AE97" s="3923" t="s">
        <v>294</v>
      </c>
      <c r="AF97" s="3923" t="s">
        <v>294</v>
      </c>
      <c r="AG97" s="10908"/>
    </row>
    <row r="98" spans="1:33" ht="63.75">
      <c r="A98" s="11000"/>
      <c r="B98" s="10934"/>
      <c r="C98" s="10937"/>
      <c r="D98" s="10937"/>
      <c r="E98" s="10937"/>
      <c r="F98" s="10940"/>
      <c r="G98" s="10937"/>
      <c r="H98" s="10937"/>
      <c r="I98" s="10940"/>
      <c r="J98" s="10937"/>
      <c r="K98" s="10937"/>
      <c r="L98" s="11053"/>
      <c r="M98" s="11053"/>
      <c r="N98" s="11053"/>
      <c r="O98" s="10937"/>
      <c r="P98" s="10937"/>
      <c r="Q98" s="11056"/>
      <c r="R98" s="3984" t="s">
        <v>294</v>
      </c>
      <c r="S98" s="3916" t="s">
        <v>294</v>
      </c>
      <c r="T98" s="3917"/>
      <c r="U98" s="8091" t="s">
        <v>5258</v>
      </c>
      <c r="V98" s="8084">
        <v>1</v>
      </c>
      <c r="W98" s="8090" t="s">
        <v>479</v>
      </c>
      <c r="X98" s="8059">
        <v>648.84</v>
      </c>
      <c r="Y98" s="8059">
        <f t="shared" ref="Y98" si="0">+V98*X98</f>
        <v>648.84</v>
      </c>
      <c r="Z98" s="8059">
        <f>Y98</f>
        <v>648.84</v>
      </c>
      <c r="AA98" s="7785"/>
      <c r="AB98" s="3940"/>
      <c r="AC98" s="3956"/>
      <c r="AD98" s="3921" t="s">
        <v>294</v>
      </c>
      <c r="AE98" s="3923" t="s">
        <v>153</v>
      </c>
      <c r="AF98" s="3923" t="s">
        <v>294</v>
      </c>
      <c r="AG98" s="10908"/>
    </row>
    <row r="99" spans="1:33" ht="15.75" customHeight="1">
      <c r="A99" s="11000"/>
      <c r="B99" s="10934"/>
      <c r="C99" s="10937"/>
      <c r="D99" s="10937"/>
      <c r="E99" s="10937"/>
      <c r="F99" s="10940"/>
      <c r="G99" s="10937"/>
      <c r="H99" s="10937"/>
      <c r="I99" s="10940"/>
      <c r="J99" s="10937"/>
      <c r="K99" s="10937"/>
      <c r="L99" s="11053"/>
      <c r="M99" s="11053"/>
      <c r="N99" s="11053"/>
      <c r="O99" s="10937"/>
      <c r="P99" s="10937"/>
      <c r="Q99" s="11056"/>
      <c r="R99" s="3984" t="s">
        <v>294</v>
      </c>
      <c r="S99" s="3916" t="s">
        <v>294</v>
      </c>
      <c r="T99" s="3917"/>
      <c r="U99" s="3913"/>
      <c r="V99" s="6190"/>
      <c r="W99" s="3925"/>
      <c r="X99" s="7567"/>
      <c r="Y99" s="7567"/>
      <c r="Z99" s="7567"/>
      <c r="AA99" s="7566" t="s">
        <v>294</v>
      </c>
      <c r="AB99" s="3940"/>
      <c r="AC99" s="3956"/>
      <c r="AD99" s="3921" t="s">
        <v>294</v>
      </c>
      <c r="AE99" s="3923" t="s">
        <v>153</v>
      </c>
      <c r="AF99" s="3923" t="s">
        <v>294</v>
      </c>
      <c r="AG99" s="10908"/>
    </row>
    <row r="100" spans="1:33" ht="15.75" customHeight="1">
      <c r="A100" s="11000"/>
      <c r="B100" s="10934"/>
      <c r="C100" s="10937"/>
      <c r="D100" s="10937"/>
      <c r="E100" s="10937"/>
      <c r="F100" s="10940"/>
      <c r="G100" s="10937"/>
      <c r="H100" s="10937"/>
      <c r="I100" s="10940"/>
      <c r="J100" s="10937"/>
      <c r="K100" s="10937"/>
      <c r="L100" s="11053"/>
      <c r="M100" s="11053"/>
      <c r="N100" s="11053"/>
      <c r="O100" s="10937"/>
      <c r="P100" s="10937"/>
      <c r="Q100" s="11056"/>
      <c r="R100" s="3984" t="s">
        <v>294</v>
      </c>
      <c r="S100" s="3916" t="s">
        <v>294</v>
      </c>
      <c r="T100" s="3917"/>
      <c r="U100" s="3913"/>
      <c r="V100" s="6190"/>
      <c r="W100" s="3925"/>
      <c r="X100" s="7567"/>
      <c r="Y100" s="7567"/>
      <c r="Z100" s="7567"/>
      <c r="AA100" s="7566" t="s">
        <v>294</v>
      </c>
      <c r="AB100" s="3940"/>
      <c r="AC100" s="3956"/>
      <c r="AD100" s="3921" t="s">
        <v>294</v>
      </c>
      <c r="AE100" s="3923" t="s">
        <v>153</v>
      </c>
      <c r="AF100" s="3923" t="s">
        <v>294</v>
      </c>
      <c r="AG100" s="10908"/>
    </row>
    <row r="101" spans="1:33" ht="15.75" customHeight="1">
      <c r="A101" s="11000"/>
      <c r="B101" s="10934"/>
      <c r="C101" s="10937"/>
      <c r="D101" s="10937"/>
      <c r="E101" s="10937"/>
      <c r="F101" s="10940"/>
      <c r="G101" s="10937"/>
      <c r="H101" s="10937"/>
      <c r="I101" s="10940"/>
      <c r="J101" s="10937"/>
      <c r="K101" s="10937"/>
      <c r="L101" s="11053"/>
      <c r="M101" s="11053"/>
      <c r="N101" s="11053"/>
      <c r="O101" s="10937"/>
      <c r="P101" s="10937"/>
      <c r="Q101" s="11056"/>
      <c r="R101" s="3984" t="s">
        <v>294</v>
      </c>
      <c r="S101" s="3916" t="s">
        <v>294</v>
      </c>
      <c r="T101" s="3917"/>
      <c r="U101" s="3913"/>
      <c r="V101" s="6190"/>
      <c r="W101" s="3925"/>
      <c r="X101" s="7567"/>
      <c r="Y101" s="7567"/>
      <c r="Z101" s="7567"/>
      <c r="AA101" s="7566" t="s">
        <v>294</v>
      </c>
      <c r="AB101" s="3940"/>
      <c r="AC101" s="3956"/>
      <c r="AD101" s="3921" t="s">
        <v>294</v>
      </c>
      <c r="AE101" s="3923" t="s">
        <v>153</v>
      </c>
      <c r="AF101" s="3923" t="s">
        <v>294</v>
      </c>
      <c r="AG101" s="10908"/>
    </row>
    <row r="102" spans="1:33" ht="15.75" customHeight="1">
      <c r="A102" s="11000"/>
      <c r="B102" s="10934"/>
      <c r="C102" s="10937"/>
      <c r="D102" s="10937"/>
      <c r="E102" s="10937"/>
      <c r="F102" s="10940"/>
      <c r="G102" s="10937"/>
      <c r="H102" s="10937"/>
      <c r="I102" s="10940"/>
      <c r="J102" s="10937"/>
      <c r="K102" s="10937"/>
      <c r="L102" s="11053"/>
      <c r="M102" s="11053"/>
      <c r="N102" s="11053"/>
      <c r="O102" s="10937"/>
      <c r="P102" s="10937"/>
      <c r="Q102" s="11056"/>
      <c r="R102" s="3984" t="s">
        <v>294</v>
      </c>
      <c r="S102" s="3916" t="s">
        <v>294</v>
      </c>
      <c r="T102" s="3917"/>
      <c r="U102" s="3913"/>
      <c r="V102" s="6190"/>
      <c r="W102" s="3925"/>
      <c r="X102" s="7567"/>
      <c r="Y102" s="7567"/>
      <c r="Z102" s="7567"/>
      <c r="AA102" s="7566" t="s">
        <v>294</v>
      </c>
      <c r="AB102" s="3940"/>
      <c r="AC102" s="3956"/>
      <c r="AD102" s="3921" t="s">
        <v>294</v>
      </c>
      <c r="AE102" s="3923" t="s">
        <v>153</v>
      </c>
      <c r="AF102" s="3923" t="s">
        <v>294</v>
      </c>
      <c r="AG102" s="10908"/>
    </row>
    <row r="103" spans="1:33" ht="15.75" customHeight="1">
      <c r="A103" s="11000"/>
      <c r="B103" s="10934"/>
      <c r="C103" s="10937"/>
      <c r="D103" s="10937"/>
      <c r="E103" s="10937"/>
      <c r="F103" s="10940"/>
      <c r="G103" s="10937"/>
      <c r="H103" s="10937"/>
      <c r="I103" s="10940"/>
      <c r="J103" s="10937"/>
      <c r="K103" s="10937"/>
      <c r="L103" s="11053"/>
      <c r="M103" s="11053"/>
      <c r="N103" s="11053"/>
      <c r="O103" s="10937"/>
      <c r="P103" s="10937"/>
      <c r="Q103" s="11056"/>
      <c r="R103" s="3984" t="s">
        <v>294</v>
      </c>
      <c r="S103" s="3916" t="s">
        <v>294</v>
      </c>
      <c r="T103" s="3917"/>
      <c r="U103" s="3913"/>
      <c r="V103" s="6190"/>
      <c r="W103" s="3925"/>
      <c r="X103" s="7567"/>
      <c r="Y103" s="7567"/>
      <c r="Z103" s="7567"/>
      <c r="AA103" s="7566" t="s">
        <v>294</v>
      </c>
      <c r="AB103" s="3940"/>
      <c r="AC103" s="3956"/>
      <c r="AD103" s="3921" t="s">
        <v>294</v>
      </c>
      <c r="AE103" s="3923" t="s">
        <v>153</v>
      </c>
      <c r="AF103" s="3923" t="s">
        <v>294</v>
      </c>
      <c r="AG103" s="10908"/>
    </row>
    <row r="104" spans="1:33" ht="15.75" customHeight="1">
      <c r="A104" s="11000"/>
      <c r="B104" s="10934"/>
      <c r="C104" s="10937"/>
      <c r="D104" s="10937"/>
      <c r="E104" s="10937"/>
      <c r="F104" s="10940"/>
      <c r="G104" s="10937"/>
      <c r="H104" s="10937"/>
      <c r="I104" s="10940"/>
      <c r="J104" s="10937"/>
      <c r="K104" s="10937"/>
      <c r="L104" s="11053"/>
      <c r="M104" s="11053"/>
      <c r="N104" s="11053"/>
      <c r="O104" s="10937"/>
      <c r="P104" s="10937"/>
      <c r="Q104" s="11056"/>
      <c r="R104" s="3984" t="s">
        <v>294</v>
      </c>
      <c r="S104" s="3916" t="s">
        <v>294</v>
      </c>
      <c r="T104" s="3917"/>
      <c r="U104" s="3913"/>
      <c r="V104" s="6190"/>
      <c r="W104" s="3925"/>
      <c r="X104" s="7567"/>
      <c r="Y104" s="7567"/>
      <c r="Z104" s="7567"/>
      <c r="AA104" s="7566" t="s">
        <v>294</v>
      </c>
      <c r="AB104" s="3940"/>
      <c r="AC104" s="3956"/>
      <c r="AD104" s="3921" t="s">
        <v>294</v>
      </c>
      <c r="AE104" s="3923" t="s">
        <v>153</v>
      </c>
      <c r="AF104" s="3923" t="s">
        <v>294</v>
      </c>
      <c r="AG104" s="10908"/>
    </row>
    <row r="105" spans="1:33" ht="15.75" customHeight="1">
      <c r="A105" s="11000"/>
      <c r="B105" s="10934"/>
      <c r="C105" s="10937"/>
      <c r="D105" s="10937"/>
      <c r="E105" s="10937"/>
      <c r="F105" s="10940"/>
      <c r="G105" s="10937"/>
      <c r="H105" s="10937"/>
      <c r="I105" s="10940"/>
      <c r="J105" s="10937"/>
      <c r="K105" s="10937"/>
      <c r="L105" s="11053"/>
      <c r="M105" s="11053"/>
      <c r="N105" s="11053"/>
      <c r="O105" s="10937"/>
      <c r="P105" s="10937"/>
      <c r="Q105" s="11056"/>
      <c r="R105" s="3984" t="s">
        <v>294</v>
      </c>
      <c r="S105" s="3916" t="s">
        <v>294</v>
      </c>
      <c r="T105" s="3917"/>
      <c r="U105" s="3913"/>
      <c r="V105" s="6190"/>
      <c r="W105" s="3925"/>
      <c r="X105" s="7567"/>
      <c r="Y105" s="7567"/>
      <c r="Z105" s="7567"/>
      <c r="AA105" s="7566" t="s">
        <v>294</v>
      </c>
      <c r="AB105" s="3940"/>
      <c r="AC105" s="3956"/>
      <c r="AD105" s="3921" t="s">
        <v>294</v>
      </c>
      <c r="AE105" s="3923" t="s">
        <v>153</v>
      </c>
      <c r="AF105" s="3923" t="s">
        <v>294</v>
      </c>
      <c r="AG105" s="10908"/>
    </row>
    <row r="106" spans="1:33" ht="15.75" customHeight="1">
      <c r="A106" s="11000"/>
      <c r="B106" s="10934"/>
      <c r="C106" s="10937"/>
      <c r="D106" s="10937"/>
      <c r="E106" s="10937"/>
      <c r="F106" s="10940"/>
      <c r="G106" s="10937"/>
      <c r="H106" s="10937"/>
      <c r="I106" s="10940"/>
      <c r="J106" s="10937"/>
      <c r="K106" s="10937"/>
      <c r="L106" s="11053"/>
      <c r="M106" s="11053"/>
      <c r="N106" s="11053"/>
      <c r="O106" s="10937"/>
      <c r="P106" s="10937"/>
      <c r="Q106" s="11056"/>
      <c r="R106" s="3984" t="s">
        <v>294</v>
      </c>
      <c r="S106" s="3916" t="s">
        <v>294</v>
      </c>
      <c r="T106" s="3917"/>
      <c r="U106" s="3913"/>
      <c r="V106" s="6190"/>
      <c r="W106" s="3925"/>
      <c r="X106" s="7567"/>
      <c r="Y106" s="7567"/>
      <c r="Z106" s="7567"/>
      <c r="AA106" s="7566" t="s">
        <v>294</v>
      </c>
      <c r="AB106" s="3940"/>
      <c r="AC106" s="3956"/>
      <c r="AD106" s="3921" t="s">
        <v>294</v>
      </c>
      <c r="AE106" s="3923" t="s">
        <v>153</v>
      </c>
      <c r="AF106" s="3923" t="s">
        <v>294</v>
      </c>
      <c r="AG106" s="10908"/>
    </row>
    <row r="107" spans="1:33" ht="42" customHeight="1">
      <c r="A107" s="11000"/>
      <c r="B107" s="10934"/>
      <c r="C107" s="10937"/>
      <c r="D107" s="10937"/>
      <c r="E107" s="10937"/>
      <c r="F107" s="10940"/>
      <c r="G107" s="10937"/>
      <c r="H107" s="10937"/>
      <c r="I107" s="10940"/>
      <c r="J107" s="10937"/>
      <c r="K107" s="10937"/>
      <c r="L107" s="11053"/>
      <c r="M107" s="11053"/>
      <c r="N107" s="11053"/>
      <c r="O107" s="10937"/>
      <c r="P107" s="10937"/>
      <c r="Q107" s="11056"/>
      <c r="R107" s="4448" t="s">
        <v>5259</v>
      </c>
      <c r="S107" s="3916" t="s">
        <v>5260</v>
      </c>
      <c r="T107" s="3917" t="s">
        <v>294</v>
      </c>
      <c r="U107" s="3914" t="s">
        <v>3341</v>
      </c>
      <c r="V107" s="6190" t="s">
        <v>294</v>
      </c>
      <c r="W107" s="3925" t="s">
        <v>294</v>
      </c>
      <c r="X107" s="7567" t="s">
        <v>294</v>
      </c>
      <c r="Y107" s="7567" t="s">
        <v>294</v>
      </c>
      <c r="Z107" s="7567" t="s">
        <v>294</v>
      </c>
      <c r="AA107" s="7566">
        <f>SUM(Z108:Z120)</f>
        <v>849.5200000000001</v>
      </c>
      <c r="AB107" s="7669" t="s">
        <v>26</v>
      </c>
      <c r="AC107" s="3920"/>
      <c r="AD107" s="3921" t="s">
        <v>294</v>
      </c>
      <c r="AE107" s="3923" t="s">
        <v>294</v>
      </c>
      <c r="AF107" s="3923" t="s">
        <v>294</v>
      </c>
      <c r="AG107" s="10908"/>
    </row>
    <row r="108" spans="1:33" ht="15.75" customHeight="1">
      <c r="A108" s="11000"/>
      <c r="B108" s="10934"/>
      <c r="C108" s="10937"/>
      <c r="D108" s="10937"/>
      <c r="E108" s="10937"/>
      <c r="F108" s="10940"/>
      <c r="G108" s="10937"/>
      <c r="H108" s="10937"/>
      <c r="I108" s="10940"/>
      <c r="J108" s="10937"/>
      <c r="K108" s="10937"/>
      <c r="L108" s="11053"/>
      <c r="M108" s="11053"/>
      <c r="N108" s="11053"/>
      <c r="O108" s="10937"/>
      <c r="P108" s="10937"/>
      <c r="Q108" s="11056"/>
      <c r="R108" s="3984" t="s">
        <v>294</v>
      </c>
      <c r="S108" s="3916" t="s">
        <v>294</v>
      </c>
      <c r="T108" s="3917">
        <v>3529010976</v>
      </c>
      <c r="U108" s="3913" t="s">
        <v>5261</v>
      </c>
      <c r="V108" s="6190">
        <v>20</v>
      </c>
      <c r="W108" s="3925" t="s">
        <v>5262</v>
      </c>
      <c r="X108" s="7567">
        <v>6.8</v>
      </c>
      <c r="Y108" s="7567">
        <f t="shared" ref="Y108:Y120" si="1">+V108*X108</f>
        <v>136</v>
      </c>
      <c r="Z108" s="7567">
        <f t="shared" ref="Z108:Z120" si="2">+Y108*1.12</f>
        <v>152.32000000000002</v>
      </c>
      <c r="AA108" s="7566" t="s">
        <v>294</v>
      </c>
      <c r="AB108" s="3940"/>
      <c r="AC108" s="3956"/>
      <c r="AD108" s="3921" t="s">
        <v>294</v>
      </c>
      <c r="AE108" s="3923" t="s">
        <v>153</v>
      </c>
      <c r="AF108" s="3923" t="s">
        <v>294</v>
      </c>
      <c r="AG108" s="10908"/>
    </row>
    <row r="109" spans="1:33" ht="15.75" customHeight="1">
      <c r="A109" s="11000"/>
      <c r="B109" s="10934"/>
      <c r="C109" s="10937"/>
      <c r="D109" s="10937"/>
      <c r="E109" s="10937"/>
      <c r="F109" s="10940"/>
      <c r="G109" s="10937"/>
      <c r="H109" s="10937"/>
      <c r="I109" s="10940"/>
      <c r="J109" s="10937"/>
      <c r="K109" s="10937"/>
      <c r="L109" s="11053"/>
      <c r="M109" s="11053"/>
      <c r="N109" s="11053"/>
      <c r="O109" s="10937"/>
      <c r="P109" s="10937"/>
      <c r="Q109" s="11056"/>
      <c r="R109" s="3984" t="s">
        <v>294</v>
      </c>
      <c r="S109" s="3916" t="s">
        <v>294</v>
      </c>
      <c r="T109" s="3917">
        <v>32100011</v>
      </c>
      <c r="U109" s="3913" t="s">
        <v>5263</v>
      </c>
      <c r="V109" s="6190">
        <v>30</v>
      </c>
      <c r="W109" s="3925" t="s">
        <v>5264</v>
      </c>
      <c r="X109" s="7567">
        <v>10.199999999999999</v>
      </c>
      <c r="Y109" s="7567">
        <f t="shared" si="1"/>
        <v>306</v>
      </c>
      <c r="Z109" s="7567">
        <f t="shared" si="2"/>
        <v>342.72</v>
      </c>
      <c r="AA109" s="7566" t="s">
        <v>294</v>
      </c>
      <c r="AB109" s="3940"/>
      <c r="AC109" s="3956"/>
      <c r="AD109" s="3921" t="s">
        <v>294</v>
      </c>
      <c r="AE109" s="3923" t="s">
        <v>153</v>
      </c>
      <c r="AF109" s="3923" t="s">
        <v>294</v>
      </c>
      <c r="AG109" s="10908"/>
    </row>
    <row r="110" spans="1:33" ht="15.75" customHeight="1">
      <c r="A110" s="11000"/>
      <c r="B110" s="10934"/>
      <c r="C110" s="10937"/>
      <c r="D110" s="10937"/>
      <c r="E110" s="10937"/>
      <c r="F110" s="10940"/>
      <c r="G110" s="10937"/>
      <c r="H110" s="10937"/>
      <c r="I110" s="10940"/>
      <c r="J110" s="10937"/>
      <c r="K110" s="10937"/>
      <c r="L110" s="11053"/>
      <c r="M110" s="11053"/>
      <c r="N110" s="11053"/>
      <c r="O110" s="10937"/>
      <c r="P110" s="10937"/>
      <c r="Q110" s="11056"/>
      <c r="R110" s="3984" t="s">
        <v>294</v>
      </c>
      <c r="S110" s="3916" t="s">
        <v>294</v>
      </c>
      <c r="T110" s="3917">
        <v>282500013</v>
      </c>
      <c r="U110" s="3913" t="s">
        <v>5265</v>
      </c>
      <c r="V110" s="6190">
        <v>100</v>
      </c>
      <c r="W110" s="3925" t="s">
        <v>180</v>
      </c>
      <c r="X110" s="7567">
        <v>0.12</v>
      </c>
      <c r="Y110" s="7567">
        <f t="shared" si="1"/>
        <v>12</v>
      </c>
      <c r="Z110" s="7567">
        <f t="shared" si="2"/>
        <v>13.440000000000001</v>
      </c>
      <c r="AA110" s="7566" t="s">
        <v>294</v>
      </c>
      <c r="AB110" s="3940"/>
      <c r="AC110" s="3956"/>
      <c r="AD110" s="3921" t="s">
        <v>294</v>
      </c>
      <c r="AE110" s="3923" t="s">
        <v>153</v>
      </c>
      <c r="AF110" s="3923" t="s">
        <v>294</v>
      </c>
      <c r="AG110" s="10908"/>
    </row>
    <row r="111" spans="1:33" ht="15.75" customHeight="1">
      <c r="A111" s="11000"/>
      <c r="B111" s="10934"/>
      <c r="C111" s="10937"/>
      <c r="D111" s="10937"/>
      <c r="E111" s="10937"/>
      <c r="F111" s="10940"/>
      <c r="G111" s="10937"/>
      <c r="H111" s="10937"/>
      <c r="I111" s="10940"/>
      <c r="J111" s="10937"/>
      <c r="K111" s="10937"/>
      <c r="L111" s="11053"/>
      <c r="M111" s="11053"/>
      <c r="N111" s="11053"/>
      <c r="O111" s="10937"/>
      <c r="P111" s="10937"/>
      <c r="Q111" s="11056"/>
      <c r="R111" s="3984" t="s">
        <v>294</v>
      </c>
      <c r="S111" s="3916" t="s">
        <v>294</v>
      </c>
      <c r="T111" s="3917">
        <v>3529010963</v>
      </c>
      <c r="U111" s="3913" t="s">
        <v>5266</v>
      </c>
      <c r="V111" s="6190">
        <v>1</v>
      </c>
      <c r="W111" s="3925" t="s">
        <v>5264</v>
      </c>
      <c r="X111" s="7567">
        <v>14.5</v>
      </c>
      <c r="Y111" s="7567">
        <f t="shared" si="1"/>
        <v>14.5</v>
      </c>
      <c r="Z111" s="7567">
        <f t="shared" si="2"/>
        <v>16.240000000000002</v>
      </c>
      <c r="AA111" s="7566" t="s">
        <v>294</v>
      </c>
      <c r="AB111" s="3940"/>
      <c r="AC111" s="3956"/>
      <c r="AD111" s="3921" t="s">
        <v>294</v>
      </c>
      <c r="AE111" s="3923" t="s">
        <v>153</v>
      </c>
      <c r="AF111" s="3923" t="s">
        <v>294</v>
      </c>
      <c r="AG111" s="10908"/>
    </row>
    <row r="112" spans="1:33" ht="15.75" customHeight="1">
      <c r="A112" s="11000"/>
      <c r="B112" s="10934"/>
      <c r="C112" s="10937"/>
      <c r="D112" s="10937"/>
      <c r="E112" s="10937"/>
      <c r="F112" s="10940"/>
      <c r="G112" s="10937"/>
      <c r="H112" s="10937"/>
      <c r="I112" s="10940"/>
      <c r="J112" s="10937"/>
      <c r="K112" s="10937"/>
      <c r="L112" s="11053"/>
      <c r="M112" s="11053"/>
      <c r="N112" s="11053"/>
      <c r="O112" s="10937"/>
      <c r="P112" s="10937"/>
      <c r="Q112" s="11056"/>
      <c r="R112" s="3984" t="s">
        <v>294</v>
      </c>
      <c r="S112" s="3916" t="s">
        <v>294</v>
      </c>
      <c r="T112" s="3917">
        <v>371950017</v>
      </c>
      <c r="U112" s="3913" t="s">
        <v>5267</v>
      </c>
      <c r="V112" s="6190">
        <v>1</v>
      </c>
      <c r="W112" s="3925" t="s">
        <v>5268</v>
      </c>
      <c r="X112" s="7567">
        <v>10</v>
      </c>
      <c r="Y112" s="7567">
        <f t="shared" si="1"/>
        <v>10</v>
      </c>
      <c r="Z112" s="7567">
        <f t="shared" si="2"/>
        <v>11.200000000000001</v>
      </c>
      <c r="AA112" s="7566" t="s">
        <v>294</v>
      </c>
      <c r="AB112" s="3940"/>
      <c r="AC112" s="3956"/>
      <c r="AD112" s="3921" t="s">
        <v>294</v>
      </c>
      <c r="AE112" s="3923" t="s">
        <v>153</v>
      </c>
      <c r="AF112" s="3923" t="s">
        <v>294</v>
      </c>
      <c r="AG112" s="10908"/>
    </row>
    <row r="113" spans="1:33" ht="15.75" customHeight="1">
      <c r="A113" s="11000"/>
      <c r="B113" s="10934"/>
      <c r="C113" s="10937"/>
      <c r="D113" s="10937"/>
      <c r="E113" s="10937"/>
      <c r="F113" s="10940"/>
      <c r="G113" s="10937"/>
      <c r="H113" s="10937"/>
      <c r="I113" s="10940"/>
      <c r="J113" s="10937"/>
      <c r="K113" s="10937"/>
      <c r="L113" s="11053"/>
      <c r="M113" s="11053"/>
      <c r="N113" s="11053"/>
      <c r="O113" s="10937"/>
      <c r="P113" s="10937"/>
      <c r="Q113" s="11056"/>
      <c r="R113" s="3984" t="s">
        <v>294</v>
      </c>
      <c r="S113" s="3916" t="s">
        <v>294</v>
      </c>
      <c r="T113" s="3917">
        <v>352901091</v>
      </c>
      <c r="U113" s="3913" t="s">
        <v>5269</v>
      </c>
      <c r="V113" s="6190">
        <v>2</v>
      </c>
      <c r="W113" s="3925" t="s">
        <v>5270</v>
      </c>
      <c r="X113" s="7567">
        <v>5</v>
      </c>
      <c r="Y113" s="7567">
        <f t="shared" si="1"/>
        <v>10</v>
      </c>
      <c r="Z113" s="7567">
        <f t="shared" si="2"/>
        <v>11.200000000000001</v>
      </c>
      <c r="AA113" s="7566" t="s">
        <v>294</v>
      </c>
      <c r="AB113" s="3940"/>
      <c r="AC113" s="3956"/>
      <c r="AD113" s="3921" t="s">
        <v>294</v>
      </c>
      <c r="AE113" s="3923" t="s">
        <v>153</v>
      </c>
      <c r="AF113" s="3923" t="s">
        <v>294</v>
      </c>
      <c r="AG113" s="10908"/>
    </row>
    <row r="114" spans="1:33" ht="15.75" customHeight="1">
      <c r="A114" s="11000"/>
      <c r="B114" s="10934"/>
      <c r="C114" s="10937"/>
      <c r="D114" s="10937"/>
      <c r="E114" s="10937"/>
      <c r="F114" s="10940"/>
      <c r="G114" s="10937"/>
      <c r="H114" s="10937"/>
      <c r="I114" s="10940"/>
      <c r="J114" s="10937"/>
      <c r="K114" s="10937"/>
      <c r="L114" s="11053"/>
      <c r="M114" s="11053"/>
      <c r="N114" s="11053"/>
      <c r="O114" s="10937"/>
      <c r="P114" s="10937"/>
      <c r="Q114" s="11056"/>
      <c r="R114" s="3984" t="s">
        <v>294</v>
      </c>
      <c r="S114" s="3916" t="s">
        <v>294</v>
      </c>
      <c r="T114" s="3917">
        <v>371950111</v>
      </c>
      <c r="U114" s="3913" t="s">
        <v>5271</v>
      </c>
      <c r="V114" s="6190">
        <v>20</v>
      </c>
      <c r="W114" s="3925" t="s">
        <v>5272</v>
      </c>
      <c r="X114" s="7567">
        <v>3.5</v>
      </c>
      <c r="Y114" s="7567">
        <f t="shared" si="1"/>
        <v>70</v>
      </c>
      <c r="Z114" s="7567">
        <f t="shared" si="2"/>
        <v>78.400000000000006</v>
      </c>
      <c r="AA114" s="7566" t="s">
        <v>294</v>
      </c>
      <c r="AB114" s="3940"/>
      <c r="AC114" s="3956"/>
      <c r="AD114" s="3921" t="s">
        <v>294</v>
      </c>
      <c r="AE114" s="3923" t="s">
        <v>153</v>
      </c>
      <c r="AF114" s="3923" t="s">
        <v>294</v>
      </c>
      <c r="AG114" s="10908"/>
    </row>
    <row r="115" spans="1:33" ht="15.75" customHeight="1">
      <c r="A115" s="11000"/>
      <c r="B115" s="10934"/>
      <c r="C115" s="10937"/>
      <c r="D115" s="10937"/>
      <c r="E115" s="10937"/>
      <c r="F115" s="10940"/>
      <c r="G115" s="10937"/>
      <c r="H115" s="10937"/>
      <c r="I115" s="10940"/>
      <c r="J115" s="10937"/>
      <c r="K115" s="10937"/>
      <c r="L115" s="11053"/>
      <c r="M115" s="11053"/>
      <c r="N115" s="11053"/>
      <c r="O115" s="10937"/>
      <c r="P115" s="10937"/>
      <c r="Q115" s="11056"/>
      <c r="R115" s="3984" t="s">
        <v>294</v>
      </c>
      <c r="S115" s="3916" t="s">
        <v>294</v>
      </c>
      <c r="T115" s="3917">
        <v>371950111</v>
      </c>
      <c r="U115" s="3913" t="s">
        <v>5273</v>
      </c>
      <c r="V115" s="6190">
        <v>10</v>
      </c>
      <c r="W115" s="3925" t="s">
        <v>5262</v>
      </c>
      <c r="X115" s="7567">
        <v>3.5</v>
      </c>
      <c r="Y115" s="7567">
        <f t="shared" si="1"/>
        <v>35</v>
      </c>
      <c r="Z115" s="7567">
        <f t="shared" si="2"/>
        <v>39.200000000000003</v>
      </c>
      <c r="AA115" s="7566" t="s">
        <v>294</v>
      </c>
      <c r="AB115" s="3940"/>
      <c r="AC115" s="3956"/>
      <c r="AD115" s="3921" t="s">
        <v>294</v>
      </c>
      <c r="AE115" s="3923" t="s">
        <v>153</v>
      </c>
      <c r="AF115" s="3923" t="s">
        <v>294</v>
      </c>
      <c r="AG115" s="10908"/>
    </row>
    <row r="116" spans="1:33" ht="15.75" customHeight="1">
      <c r="A116" s="11000"/>
      <c r="B116" s="10934"/>
      <c r="C116" s="10937"/>
      <c r="D116" s="10937"/>
      <c r="E116" s="10937"/>
      <c r="F116" s="10940"/>
      <c r="G116" s="10937"/>
      <c r="H116" s="10937"/>
      <c r="I116" s="10940"/>
      <c r="J116" s="10937"/>
      <c r="K116" s="10937"/>
      <c r="L116" s="11053"/>
      <c r="M116" s="11053"/>
      <c r="N116" s="11053"/>
      <c r="O116" s="10937"/>
      <c r="P116" s="10937"/>
      <c r="Q116" s="11056"/>
      <c r="R116" s="3984" t="s">
        <v>294</v>
      </c>
      <c r="S116" s="3916" t="s">
        <v>294</v>
      </c>
      <c r="T116" s="3917">
        <v>371110211</v>
      </c>
      <c r="U116" s="3913" t="s">
        <v>5274</v>
      </c>
      <c r="V116" s="6190">
        <v>1</v>
      </c>
      <c r="W116" s="3925" t="s">
        <v>5264</v>
      </c>
      <c r="X116" s="7567">
        <v>15</v>
      </c>
      <c r="Y116" s="7567">
        <f t="shared" si="1"/>
        <v>15</v>
      </c>
      <c r="Z116" s="7567">
        <f t="shared" si="2"/>
        <v>16.8</v>
      </c>
      <c r="AA116" s="7566" t="s">
        <v>294</v>
      </c>
      <c r="AB116" s="3940"/>
      <c r="AC116" s="3956"/>
      <c r="AD116" s="3921" t="s">
        <v>294</v>
      </c>
      <c r="AE116" s="3923" t="s">
        <v>153</v>
      </c>
      <c r="AF116" s="3923" t="s">
        <v>294</v>
      </c>
      <c r="AG116" s="10908"/>
    </row>
    <row r="117" spans="1:33" ht="15.75" customHeight="1">
      <c r="A117" s="11000"/>
      <c r="B117" s="10934"/>
      <c r="C117" s="10937"/>
      <c r="D117" s="10937"/>
      <c r="E117" s="10937"/>
      <c r="F117" s="10940"/>
      <c r="G117" s="10937"/>
      <c r="H117" s="10937"/>
      <c r="I117" s="10940"/>
      <c r="J117" s="10937"/>
      <c r="K117" s="10937"/>
      <c r="L117" s="11053"/>
      <c r="M117" s="11053"/>
      <c r="N117" s="11053"/>
      <c r="O117" s="10937"/>
      <c r="P117" s="10937"/>
      <c r="Q117" s="11056"/>
      <c r="R117" s="3984" t="s">
        <v>294</v>
      </c>
      <c r="S117" s="3916" t="s">
        <v>294</v>
      </c>
      <c r="T117" s="3917">
        <v>352901091</v>
      </c>
      <c r="U117" s="3913" t="s">
        <v>5275</v>
      </c>
      <c r="V117" s="6190">
        <v>1</v>
      </c>
      <c r="W117" s="3925" t="s">
        <v>5276</v>
      </c>
      <c r="X117" s="7567">
        <v>25</v>
      </c>
      <c r="Y117" s="7567">
        <f t="shared" si="1"/>
        <v>25</v>
      </c>
      <c r="Z117" s="7567">
        <f t="shared" si="2"/>
        <v>28.000000000000004</v>
      </c>
      <c r="AA117" s="7566" t="s">
        <v>294</v>
      </c>
      <c r="AB117" s="3940"/>
      <c r="AC117" s="3956"/>
      <c r="AD117" s="3921" t="s">
        <v>294</v>
      </c>
      <c r="AE117" s="3923" t="s">
        <v>153</v>
      </c>
      <c r="AF117" s="3959" t="s">
        <v>294</v>
      </c>
      <c r="AG117" s="10908"/>
    </row>
    <row r="118" spans="1:33" ht="15.75" customHeight="1">
      <c r="A118" s="11000"/>
      <c r="B118" s="10934"/>
      <c r="C118" s="10937"/>
      <c r="D118" s="10937"/>
      <c r="E118" s="10937"/>
      <c r="F118" s="10940"/>
      <c r="G118" s="10937"/>
      <c r="H118" s="10937"/>
      <c r="I118" s="10940"/>
      <c r="J118" s="10937"/>
      <c r="K118" s="10937"/>
      <c r="L118" s="11053"/>
      <c r="M118" s="11053"/>
      <c r="N118" s="11053"/>
      <c r="O118" s="10937"/>
      <c r="P118" s="10937"/>
      <c r="Q118" s="11056"/>
      <c r="R118" s="3984" t="s">
        <v>294</v>
      </c>
      <c r="S118" s="3916" t="s">
        <v>294</v>
      </c>
      <c r="T118" s="3917">
        <v>352901091</v>
      </c>
      <c r="U118" s="3913" t="s">
        <v>5277</v>
      </c>
      <c r="V118" s="6190">
        <v>1</v>
      </c>
      <c r="W118" s="3925" t="s">
        <v>5278</v>
      </c>
      <c r="X118" s="7567">
        <v>25</v>
      </c>
      <c r="Y118" s="7567">
        <f t="shared" si="1"/>
        <v>25</v>
      </c>
      <c r="Z118" s="7567">
        <f t="shared" si="2"/>
        <v>28.000000000000004</v>
      </c>
      <c r="AA118" s="7566" t="s">
        <v>294</v>
      </c>
      <c r="AB118" s="3940"/>
      <c r="AC118" s="3956"/>
      <c r="AD118" s="3921" t="s">
        <v>294</v>
      </c>
      <c r="AE118" s="3923" t="s">
        <v>153</v>
      </c>
      <c r="AF118" s="3959" t="s">
        <v>294</v>
      </c>
      <c r="AG118" s="10908"/>
    </row>
    <row r="119" spans="1:33" ht="15.75" customHeight="1">
      <c r="A119" s="11000"/>
      <c r="B119" s="10934"/>
      <c r="C119" s="10937"/>
      <c r="D119" s="10937"/>
      <c r="E119" s="10937"/>
      <c r="F119" s="10940"/>
      <c r="G119" s="10937"/>
      <c r="H119" s="10937"/>
      <c r="I119" s="10940"/>
      <c r="J119" s="10937"/>
      <c r="K119" s="10937"/>
      <c r="L119" s="11053"/>
      <c r="M119" s="11053"/>
      <c r="N119" s="11053"/>
      <c r="O119" s="10937"/>
      <c r="P119" s="10937"/>
      <c r="Q119" s="11056"/>
      <c r="R119" s="3984" t="s">
        <v>294</v>
      </c>
      <c r="S119" s="3916" t="s">
        <v>294</v>
      </c>
      <c r="T119" s="3917">
        <v>371110211</v>
      </c>
      <c r="U119" s="3913" t="s">
        <v>5279</v>
      </c>
      <c r="V119" s="6190">
        <v>1</v>
      </c>
      <c r="W119" s="3925" t="s">
        <v>5264</v>
      </c>
      <c r="X119" s="7567">
        <v>50</v>
      </c>
      <c r="Y119" s="7567">
        <f t="shared" si="1"/>
        <v>50</v>
      </c>
      <c r="Z119" s="7567">
        <f t="shared" si="2"/>
        <v>56.000000000000007</v>
      </c>
      <c r="AA119" s="7566" t="s">
        <v>294</v>
      </c>
      <c r="AB119" s="3940"/>
      <c r="AC119" s="3956"/>
      <c r="AD119" s="3921" t="s">
        <v>294</v>
      </c>
      <c r="AE119" s="3923" t="s">
        <v>153</v>
      </c>
      <c r="AF119" s="3959" t="s">
        <v>294</v>
      </c>
      <c r="AG119" s="10908"/>
    </row>
    <row r="120" spans="1:33" ht="15.75" customHeight="1">
      <c r="A120" s="11000"/>
      <c r="B120" s="10934"/>
      <c r="C120" s="10937"/>
      <c r="D120" s="10937"/>
      <c r="E120" s="10937"/>
      <c r="F120" s="10940"/>
      <c r="G120" s="10937"/>
      <c r="H120" s="10937"/>
      <c r="I120" s="10940"/>
      <c r="J120" s="10937"/>
      <c r="K120" s="10937"/>
      <c r="L120" s="11059"/>
      <c r="M120" s="11059"/>
      <c r="N120" s="11059"/>
      <c r="O120" s="10985"/>
      <c r="P120" s="10985"/>
      <c r="Q120" s="11058"/>
      <c r="R120" s="4420" t="s">
        <v>294</v>
      </c>
      <c r="S120" s="4116" t="s">
        <v>294</v>
      </c>
      <c r="T120" s="4038">
        <v>371110211</v>
      </c>
      <c r="U120" s="3982" t="s">
        <v>5280</v>
      </c>
      <c r="V120" s="6191">
        <v>1</v>
      </c>
      <c r="W120" s="4039" t="s">
        <v>5264</v>
      </c>
      <c r="X120" s="7568">
        <v>50</v>
      </c>
      <c r="Y120" s="7568">
        <f t="shared" si="1"/>
        <v>50</v>
      </c>
      <c r="Z120" s="7568">
        <f t="shared" si="2"/>
        <v>56.000000000000007</v>
      </c>
      <c r="AA120" s="7569" t="s">
        <v>294</v>
      </c>
      <c r="AB120" s="4097"/>
      <c r="AC120" s="4098"/>
      <c r="AD120" s="4041" t="s">
        <v>294</v>
      </c>
      <c r="AE120" s="4043" t="s">
        <v>153</v>
      </c>
      <c r="AF120" s="4117" t="s">
        <v>294</v>
      </c>
      <c r="AG120" s="10911"/>
    </row>
    <row r="121" spans="1:33" ht="24.75" customHeight="1">
      <c r="A121" s="11000"/>
      <c r="B121" s="10934"/>
      <c r="C121" s="10937"/>
      <c r="D121" s="10937"/>
      <c r="E121" s="10937"/>
      <c r="F121" s="10940"/>
      <c r="G121" s="10937"/>
      <c r="H121" s="10937"/>
      <c r="I121" s="10940"/>
      <c r="J121" s="10937"/>
      <c r="K121" s="10937"/>
      <c r="L121" s="11063">
        <v>45</v>
      </c>
      <c r="M121" s="11063">
        <v>55</v>
      </c>
      <c r="N121" s="11063">
        <v>30</v>
      </c>
      <c r="O121" s="10936" t="s">
        <v>5281</v>
      </c>
      <c r="P121" s="10936" t="s">
        <v>5250</v>
      </c>
      <c r="Q121" s="11060" t="s">
        <v>5282</v>
      </c>
      <c r="R121" s="4421" t="s">
        <v>5011</v>
      </c>
      <c r="S121" s="4236" t="s">
        <v>5283</v>
      </c>
      <c r="T121" s="4236" t="s">
        <v>294</v>
      </c>
      <c r="U121" s="4237" t="s">
        <v>39</v>
      </c>
      <c r="V121" s="7541" t="s">
        <v>294</v>
      </c>
      <c r="W121" s="4238" t="s">
        <v>294</v>
      </c>
      <c r="X121" s="7594"/>
      <c r="Y121" s="7594" t="s">
        <v>294</v>
      </c>
      <c r="Z121" s="7594" t="s">
        <v>294</v>
      </c>
      <c r="AA121" s="7595">
        <f>+SUM(Z122:Z127)</f>
        <v>33827.160000000003</v>
      </c>
      <c r="AB121" s="7681" t="s">
        <v>18</v>
      </c>
      <c r="AC121" s="4239"/>
      <c r="AD121" s="4238" t="s">
        <v>294</v>
      </c>
      <c r="AE121" s="4240" t="s">
        <v>294</v>
      </c>
      <c r="AF121" s="4114" t="s">
        <v>294</v>
      </c>
      <c r="AG121" s="10907" t="s">
        <v>5284</v>
      </c>
    </row>
    <row r="122" spans="1:33" ht="15.75" customHeight="1">
      <c r="A122" s="11000"/>
      <c r="B122" s="10934"/>
      <c r="C122" s="10937"/>
      <c r="D122" s="10937"/>
      <c r="E122" s="10937"/>
      <c r="F122" s="10940"/>
      <c r="G122" s="10937"/>
      <c r="H122" s="10937"/>
      <c r="I122" s="10940"/>
      <c r="J122" s="10937"/>
      <c r="K122" s="10937"/>
      <c r="L122" s="11053"/>
      <c r="M122" s="11053"/>
      <c r="N122" s="11053"/>
      <c r="O122" s="10937"/>
      <c r="P122" s="10937"/>
      <c r="Q122" s="11056"/>
      <c r="R122" s="4422" t="s">
        <v>294</v>
      </c>
      <c r="S122" s="4226" t="s">
        <v>294</v>
      </c>
      <c r="T122" s="4233">
        <v>4391300136</v>
      </c>
      <c r="U122" s="4234" t="s">
        <v>5253</v>
      </c>
      <c r="V122" s="7542">
        <v>1</v>
      </c>
      <c r="W122" s="4229" t="s">
        <v>180</v>
      </c>
      <c r="X122" s="7596">
        <v>1000</v>
      </c>
      <c r="Y122" s="7596">
        <f t="shared" ref="Y122:Y127" si="3">+V122*X122</f>
        <v>1000</v>
      </c>
      <c r="Z122" s="7596">
        <f>+Y122*1.12</f>
        <v>1120</v>
      </c>
      <c r="AA122" s="7597" t="s">
        <v>294</v>
      </c>
      <c r="AB122" s="7682"/>
      <c r="AC122" s="4230"/>
      <c r="AD122" s="4229" t="s">
        <v>153</v>
      </c>
      <c r="AE122" s="4241" t="s">
        <v>153</v>
      </c>
      <c r="AF122" s="3961" t="s">
        <v>294</v>
      </c>
      <c r="AG122" s="10908"/>
    </row>
    <row r="123" spans="1:33" ht="15.75" customHeight="1">
      <c r="A123" s="11000"/>
      <c r="B123" s="10934"/>
      <c r="C123" s="10937"/>
      <c r="D123" s="10937"/>
      <c r="E123" s="10937"/>
      <c r="F123" s="10940"/>
      <c r="G123" s="10937"/>
      <c r="H123" s="10937"/>
      <c r="I123" s="10940"/>
      <c r="J123" s="10937"/>
      <c r="K123" s="10937"/>
      <c r="L123" s="11053"/>
      <c r="M123" s="11053"/>
      <c r="N123" s="11053"/>
      <c r="O123" s="10937"/>
      <c r="P123" s="10937"/>
      <c r="Q123" s="11056"/>
      <c r="R123" s="4422" t="s">
        <v>294</v>
      </c>
      <c r="S123" s="4226" t="s">
        <v>294</v>
      </c>
      <c r="T123" s="4233">
        <v>482610011</v>
      </c>
      <c r="U123" s="4234" t="s">
        <v>5255</v>
      </c>
      <c r="V123" s="7542">
        <v>6</v>
      </c>
      <c r="W123" s="4229" t="s">
        <v>180</v>
      </c>
      <c r="X123" s="7596">
        <v>1568.33</v>
      </c>
      <c r="Y123" s="7596">
        <f t="shared" si="3"/>
        <v>9409.98</v>
      </c>
      <c r="Z123" s="7596">
        <f>+Y123*1.12</f>
        <v>10539.177600000001</v>
      </c>
      <c r="AA123" s="7597" t="s">
        <v>294</v>
      </c>
      <c r="AB123" s="7682"/>
      <c r="AC123" s="4230"/>
      <c r="AD123" s="4229" t="s">
        <v>294</v>
      </c>
      <c r="AE123" s="4241" t="s">
        <v>153</v>
      </c>
      <c r="AF123" s="3961" t="s">
        <v>294</v>
      </c>
      <c r="AG123" s="10908"/>
    </row>
    <row r="124" spans="1:33" ht="15.75" customHeight="1">
      <c r="A124" s="11000"/>
      <c r="B124" s="10934"/>
      <c r="C124" s="10937"/>
      <c r="D124" s="10937"/>
      <c r="E124" s="10937"/>
      <c r="F124" s="10940"/>
      <c r="G124" s="10937"/>
      <c r="H124" s="10937"/>
      <c r="I124" s="10940"/>
      <c r="J124" s="10937"/>
      <c r="K124" s="10937"/>
      <c r="L124" s="11053"/>
      <c r="M124" s="11053"/>
      <c r="N124" s="11053"/>
      <c r="O124" s="10937"/>
      <c r="P124" s="10937"/>
      <c r="Q124" s="11056"/>
      <c r="R124" s="4422" t="s">
        <v>294</v>
      </c>
      <c r="S124" s="4226" t="s">
        <v>294</v>
      </c>
      <c r="T124" s="4233">
        <v>482610011</v>
      </c>
      <c r="U124" s="4234" t="s">
        <v>5256</v>
      </c>
      <c r="V124" s="7542">
        <v>2</v>
      </c>
      <c r="W124" s="4229" t="s">
        <v>180</v>
      </c>
      <c r="X124" s="7596">
        <v>6050</v>
      </c>
      <c r="Y124" s="7596">
        <f t="shared" si="3"/>
        <v>12100</v>
      </c>
      <c r="Z124" s="7596">
        <f>+Y124*1.12</f>
        <v>13552.000000000002</v>
      </c>
      <c r="AA124" s="7597" t="s">
        <v>294</v>
      </c>
      <c r="AB124" s="7682"/>
      <c r="AC124" s="4230"/>
      <c r="AD124" s="4229" t="s">
        <v>294</v>
      </c>
      <c r="AE124" s="4241" t="s">
        <v>153</v>
      </c>
      <c r="AF124" s="3961" t="s">
        <v>294</v>
      </c>
      <c r="AG124" s="10908"/>
    </row>
    <row r="125" spans="1:33" ht="15.75" customHeight="1">
      <c r="A125" s="11000"/>
      <c r="B125" s="10934"/>
      <c r="C125" s="10937"/>
      <c r="D125" s="10937"/>
      <c r="E125" s="10937"/>
      <c r="F125" s="10940"/>
      <c r="G125" s="10937"/>
      <c r="H125" s="10937"/>
      <c r="I125" s="10940"/>
      <c r="J125" s="10937"/>
      <c r="K125" s="10937"/>
      <c r="L125" s="11053"/>
      <c r="M125" s="11053"/>
      <c r="N125" s="11053"/>
      <c r="O125" s="10937"/>
      <c r="P125" s="10937"/>
      <c r="Q125" s="11056"/>
      <c r="R125" s="4422" t="s">
        <v>294</v>
      </c>
      <c r="S125" s="4226" t="s">
        <v>294</v>
      </c>
      <c r="T125" s="4233">
        <v>4815009128</v>
      </c>
      <c r="U125" s="4234" t="s">
        <v>5285</v>
      </c>
      <c r="V125" s="7542">
        <v>1</v>
      </c>
      <c r="W125" s="4229" t="s">
        <v>180</v>
      </c>
      <c r="X125" s="7596">
        <v>5500.02</v>
      </c>
      <c r="Y125" s="7596">
        <f t="shared" si="3"/>
        <v>5500.02</v>
      </c>
      <c r="Z125" s="7596">
        <f>+Y125*1.12</f>
        <v>6160.0224000000007</v>
      </c>
      <c r="AA125" s="7597" t="s">
        <v>294</v>
      </c>
      <c r="AB125" s="7682"/>
      <c r="AC125" s="4230"/>
      <c r="AD125" s="4229" t="s">
        <v>294</v>
      </c>
      <c r="AE125" s="4241" t="s">
        <v>153</v>
      </c>
      <c r="AF125" s="3961" t="s">
        <v>294</v>
      </c>
      <c r="AG125" s="10908"/>
    </row>
    <row r="126" spans="1:33" ht="15.75" customHeight="1">
      <c r="A126" s="11000"/>
      <c r="B126" s="10934"/>
      <c r="C126" s="10937"/>
      <c r="D126" s="10937"/>
      <c r="E126" s="10937"/>
      <c r="F126" s="10940"/>
      <c r="G126" s="10937"/>
      <c r="H126" s="10937"/>
      <c r="I126" s="10940"/>
      <c r="J126" s="10937"/>
      <c r="K126" s="10937"/>
      <c r="L126" s="11053"/>
      <c r="M126" s="11053"/>
      <c r="N126" s="11053"/>
      <c r="O126" s="10937"/>
      <c r="P126" s="10937"/>
      <c r="Q126" s="11056"/>
      <c r="R126" s="4422" t="s">
        <v>294</v>
      </c>
      <c r="S126" s="4226" t="s">
        <v>294</v>
      </c>
      <c r="T126" s="4233">
        <v>4291100162</v>
      </c>
      <c r="U126" s="4234" t="s">
        <v>5286</v>
      </c>
      <c r="V126" s="7542">
        <v>4</v>
      </c>
      <c r="W126" s="4229" t="s">
        <v>180</v>
      </c>
      <c r="X126" s="7596">
        <v>245</v>
      </c>
      <c r="Y126" s="7596">
        <f t="shared" si="3"/>
        <v>980</v>
      </c>
      <c r="Z126" s="7596">
        <f>+Y126*1.12+24.83+224.73</f>
        <v>1347.16</v>
      </c>
      <c r="AA126" s="7597" t="s">
        <v>294</v>
      </c>
      <c r="AB126" s="7682"/>
      <c r="AC126" s="4230"/>
      <c r="AD126" s="4229" t="s">
        <v>294</v>
      </c>
      <c r="AE126" s="4241" t="s">
        <v>153</v>
      </c>
      <c r="AF126" s="3961" t="s">
        <v>294</v>
      </c>
      <c r="AG126" s="10908"/>
    </row>
    <row r="127" spans="1:33" ht="15.75" customHeight="1">
      <c r="A127" s="11000"/>
      <c r="B127" s="10934"/>
      <c r="C127" s="10937"/>
      <c r="D127" s="10937"/>
      <c r="E127" s="10937"/>
      <c r="F127" s="10940"/>
      <c r="G127" s="10937"/>
      <c r="H127" s="10937"/>
      <c r="I127" s="10940"/>
      <c r="J127" s="10937"/>
      <c r="K127" s="10937"/>
      <c r="L127" s="11053"/>
      <c r="M127" s="11053"/>
      <c r="N127" s="11053"/>
      <c r="O127" s="10937"/>
      <c r="P127" s="10937"/>
      <c r="Q127" s="11056"/>
      <c r="R127" s="4422" t="s">
        <v>294</v>
      </c>
      <c r="S127" s="4226" t="s">
        <v>294</v>
      </c>
      <c r="T127" s="4233">
        <v>482650229</v>
      </c>
      <c r="U127" s="4234" t="s">
        <v>5287</v>
      </c>
      <c r="V127" s="7542">
        <v>2</v>
      </c>
      <c r="W127" s="4229" t="s">
        <v>180</v>
      </c>
      <c r="X127" s="7596">
        <v>495</v>
      </c>
      <c r="Y127" s="7596">
        <f t="shared" si="3"/>
        <v>990</v>
      </c>
      <c r="Z127" s="7596">
        <f>+Y127*1.12</f>
        <v>1108.8000000000002</v>
      </c>
      <c r="AA127" s="7597" t="s">
        <v>294</v>
      </c>
      <c r="AB127" s="7682"/>
      <c r="AC127" s="4230"/>
      <c r="AD127" s="4229" t="s">
        <v>294</v>
      </c>
      <c r="AE127" s="4241" t="s">
        <v>153</v>
      </c>
      <c r="AF127" s="3961" t="s">
        <v>294</v>
      </c>
      <c r="AG127" s="10908"/>
    </row>
    <row r="128" spans="1:33" ht="25.5">
      <c r="A128" s="11000"/>
      <c r="B128" s="10934"/>
      <c r="C128" s="10937"/>
      <c r="D128" s="10937"/>
      <c r="E128" s="10937"/>
      <c r="F128" s="10940"/>
      <c r="G128" s="10937"/>
      <c r="H128" s="10937"/>
      <c r="I128" s="10940"/>
      <c r="J128" s="10937"/>
      <c r="K128" s="10937"/>
      <c r="L128" s="11053"/>
      <c r="M128" s="11053"/>
      <c r="N128" s="11053"/>
      <c r="O128" s="10937"/>
      <c r="P128" s="10937"/>
      <c r="Q128" s="11056"/>
      <c r="R128" s="3984" t="s">
        <v>5011</v>
      </c>
      <c r="S128" s="3916" t="s">
        <v>5257</v>
      </c>
      <c r="T128" s="3917" t="s">
        <v>294</v>
      </c>
      <c r="U128" s="8089" t="s">
        <v>4323</v>
      </c>
      <c r="V128" s="8084" t="s">
        <v>294</v>
      </c>
      <c r="W128" s="8090" t="s">
        <v>294</v>
      </c>
      <c r="X128" s="8059" t="s">
        <v>294</v>
      </c>
      <c r="Y128" s="8059" t="s">
        <v>294</v>
      </c>
      <c r="Z128" s="8059" t="s">
        <v>294</v>
      </c>
      <c r="AA128" s="7785">
        <f>+SUM(Z129:Z151)</f>
        <v>388.4</v>
      </c>
      <c r="AB128" s="7669" t="s">
        <v>26</v>
      </c>
      <c r="AC128" s="3920"/>
      <c r="AD128" s="3921" t="s">
        <v>294</v>
      </c>
      <c r="AE128" s="3959" t="s">
        <v>294</v>
      </c>
      <c r="AF128" s="3959" t="s">
        <v>294</v>
      </c>
      <c r="AG128" s="10918"/>
    </row>
    <row r="129" spans="1:33" ht="15.75" customHeight="1">
      <c r="A129" s="11000"/>
      <c r="B129" s="10934"/>
      <c r="C129" s="10937"/>
      <c r="D129" s="10937"/>
      <c r="E129" s="10937"/>
      <c r="F129" s="10940"/>
      <c r="G129" s="10937"/>
      <c r="H129" s="10937"/>
      <c r="I129" s="10940"/>
      <c r="J129" s="10937"/>
      <c r="K129" s="10937"/>
      <c r="L129" s="11053"/>
      <c r="M129" s="11053"/>
      <c r="N129" s="11053"/>
      <c r="O129" s="10937"/>
      <c r="P129" s="10937"/>
      <c r="Q129" s="11056"/>
      <c r="R129" s="3984" t="s">
        <v>294</v>
      </c>
      <c r="S129" s="3916" t="s">
        <v>294</v>
      </c>
      <c r="T129" s="3917"/>
      <c r="U129" s="8091" t="s">
        <v>5288</v>
      </c>
      <c r="V129" s="8084">
        <v>1</v>
      </c>
      <c r="W129" s="8090" t="s">
        <v>479</v>
      </c>
      <c r="X129" s="8059">
        <v>388.4</v>
      </c>
      <c r="Y129" s="8059">
        <f t="shared" ref="Y129" si="4">+V129*X129</f>
        <v>388.4</v>
      </c>
      <c r="Z129" s="8059">
        <f>Y129</f>
        <v>388.4</v>
      </c>
      <c r="AA129" s="7785" t="s">
        <v>294</v>
      </c>
      <c r="AB129" s="7669"/>
      <c r="AC129" s="3920"/>
      <c r="AD129" s="3921" t="s">
        <v>294</v>
      </c>
      <c r="AE129" s="3959" t="s">
        <v>153</v>
      </c>
      <c r="AF129" s="3959" t="s">
        <v>294</v>
      </c>
      <c r="AG129" s="10916"/>
    </row>
    <row r="130" spans="1:33" ht="15.75" customHeight="1">
      <c r="A130" s="11000"/>
      <c r="B130" s="10934"/>
      <c r="C130" s="10937"/>
      <c r="D130" s="10937"/>
      <c r="E130" s="10937"/>
      <c r="F130" s="10940"/>
      <c r="G130" s="10937"/>
      <c r="H130" s="10937"/>
      <c r="I130" s="10940"/>
      <c r="J130" s="10937"/>
      <c r="K130" s="10937"/>
      <c r="L130" s="11053"/>
      <c r="M130" s="11053"/>
      <c r="N130" s="11053"/>
      <c r="O130" s="10937"/>
      <c r="P130" s="10937"/>
      <c r="Q130" s="11056"/>
      <c r="R130" s="3984" t="s">
        <v>294</v>
      </c>
      <c r="S130" s="3916" t="s">
        <v>294</v>
      </c>
      <c r="T130" s="3917"/>
      <c r="U130" s="3913"/>
      <c r="V130" s="6190"/>
      <c r="W130" s="3925"/>
      <c r="X130" s="7567"/>
      <c r="Y130" s="7567"/>
      <c r="Z130" s="7567"/>
      <c r="AA130" s="7566"/>
      <c r="AB130" s="7669"/>
      <c r="AC130" s="3920"/>
      <c r="AD130" s="3921" t="s">
        <v>294</v>
      </c>
      <c r="AE130" s="3959" t="s">
        <v>153</v>
      </c>
      <c r="AF130" s="3959" t="s">
        <v>294</v>
      </c>
      <c r="AG130" s="10916"/>
    </row>
    <row r="131" spans="1:33" ht="15.75" customHeight="1">
      <c r="A131" s="11000"/>
      <c r="B131" s="10934"/>
      <c r="C131" s="10937"/>
      <c r="D131" s="10937"/>
      <c r="E131" s="10937"/>
      <c r="F131" s="10940"/>
      <c r="G131" s="10937"/>
      <c r="H131" s="10937"/>
      <c r="I131" s="10940"/>
      <c r="J131" s="10937"/>
      <c r="K131" s="10937"/>
      <c r="L131" s="11053"/>
      <c r="M131" s="11053"/>
      <c r="N131" s="11053"/>
      <c r="O131" s="10937"/>
      <c r="P131" s="10937"/>
      <c r="Q131" s="11056"/>
      <c r="R131" s="3984" t="s">
        <v>294</v>
      </c>
      <c r="S131" s="3916" t="s">
        <v>294</v>
      </c>
      <c r="T131" s="3917"/>
      <c r="U131" s="3913"/>
      <c r="V131" s="6190"/>
      <c r="W131" s="3925"/>
      <c r="X131" s="7567"/>
      <c r="Y131" s="7567"/>
      <c r="Z131" s="7567"/>
      <c r="AA131" s="7566"/>
      <c r="AB131" s="7669"/>
      <c r="AC131" s="3920"/>
      <c r="AD131" s="3921" t="s">
        <v>294</v>
      </c>
      <c r="AE131" s="3959" t="s">
        <v>153</v>
      </c>
      <c r="AF131" s="3959" t="s">
        <v>294</v>
      </c>
      <c r="AG131" s="10916"/>
    </row>
    <row r="132" spans="1:33" ht="15.75" customHeight="1">
      <c r="A132" s="11000"/>
      <c r="B132" s="10934"/>
      <c r="C132" s="10937"/>
      <c r="D132" s="10937"/>
      <c r="E132" s="10937"/>
      <c r="F132" s="10940"/>
      <c r="G132" s="10937"/>
      <c r="H132" s="10937"/>
      <c r="I132" s="10940"/>
      <c r="J132" s="10937"/>
      <c r="K132" s="10937"/>
      <c r="L132" s="11053"/>
      <c r="M132" s="11053"/>
      <c r="N132" s="11053"/>
      <c r="O132" s="10937"/>
      <c r="P132" s="10937"/>
      <c r="Q132" s="11056"/>
      <c r="R132" s="3984" t="s">
        <v>294</v>
      </c>
      <c r="S132" s="3916" t="s">
        <v>294</v>
      </c>
      <c r="T132" s="3917"/>
      <c r="U132" s="3913"/>
      <c r="V132" s="6190"/>
      <c r="W132" s="3925"/>
      <c r="X132" s="7567"/>
      <c r="Y132" s="7567"/>
      <c r="Z132" s="7567"/>
      <c r="AA132" s="7566"/>
      <c r="AB132" s="7669"/>
      <c r="AC132" s="3920"/>
      <c r="AD132" s="3921" t="s">
        <v>294</v>
      </c>
      <c r="AE132" s="3959" t="s">
        <v>153</v>
      </c>
      <c r="AF132" s="3959" t="s">
        <v>294</v>
      </c>
      <c r="AG132" s="10916"/>
    </row>
    <row r="133" spans="1:33" ht="15.75" customHeight="1">
      <c r="A133" s="11000"/>
      <c r="B133" s="10934"/>
      <c r="C133" s="10937"/>
      <c r="D133" s="10937"/>
      <c r="E133" s="10937"/>
      <c r="F133" s="10940"/>
      <c r="G133" s="10937"/>
      <c r="H133" s="10937"/>
      <c r="I133" s="10940"/>
      <c r="J133" s="10937"/>
      <c r="K133" s="10937"/>
      <c r="L133" s="11053"/>
      <c r="M133" s="11053"/>
      <c r="N133" s="11053"/>
      <c r="O133" s="10937"/>
      <c r="P133" s="10937"/>
      <c r="Q133" s="11056"/>
      <c r="R133" s="3984" t="s">
        <v>294</v>
      </c>
      <c r="S133" s="3916" t="s">
        <v>294</v>
      </c>
      <c r="T133" s="3917"/>
      <c r="U133" s="3913"/>
      <c r="V133" s="6190"/>
      <c r="W133" s="3925"/>
      <c r="X133" s="7567"/>
      <c r="Y133" s="7567"/>
      <c r="Z133" s="7567"/>
      <c r="AA133" s="7566"/>
      <c r="AB133" s="7669"/>
      <c r="AC133" s="3920"/>
      <c r="AD133" s="3921" t="s">
        <v>294</v>
      </c>
      <c r="AE133" s="3959" t="s">
        <v>153</v>
      </c>
      <c r="AF133" s="3959" t="s">
        <v>294</v>
      </c>
      <c r="AG133" s="10916"/>
    </row>
    <row r="134" spans="1:33" ht="15.75" customHeight="1">
      <c r="A134" s="11000"/>
      <c r="B134" s="10934"/>
      <c r="C134" s="10937"/>
      <c r="D134" s="10937"/>
      <c r="E134" s="10937"/>
      <c r="F134" s="10940"/>
      <c r="G134" s="10937"/>
      <c r="H134" s="10937"/>
      <c r="I134" s="10940"/>
      <c r="J134" s="10937"/>
      <c r="K134" s="10937"/>
      <c r="L134" s="11053"/>
      <c r="M134" s="11053"/>
      <c r="N134" s="11053"/>
      <c r="O134" s="10937"/>
      <c r="P134" s="10937"/>
      <c r="Q134" s="11056"/>
      <c r="R134" s="3984" t="s">
        <v>294</v>
      </c>
      <c r="S134" s="3916" t="s">
        <v>294</v>
      </c>
      <c r="T134" s="3917"/>
      <c r="U134" s="3913"/>
      <c r="V134" s="6190"/>
      <c r="W134" s="3925"/>
      <c r="X134" s="7567"/>
      <c r="Y134" s="7567"/>
      <c r="Z134" s="7567"/>
      <c r="AA134" s="7566"/>
      <c r="AB134" s="7669"/>
      <c r="AC134" s="3920"/>
      <c r="AD134" s="3921" t="s">
        <v>294</v>
      </c>
      <c r="AE134" s="3959" t="s">
        <v>153</v>
      </c>
      <c r="AF134" s="3959" t="s">
        <v>294</v>
      </c>
      <c r="AG134" s="10916"/>
    </row>
    <row r="135" spans="1:33" ht="15.75" customHeight="1">
      <c r="A135" s="11000"/>
      <c r="B135" s="10934"/>
      <c r="C135" s="10937"/>
      <c r="D135" s="10937"/>
      <c r="E135" s="10937"/>
      <c r="F135" s="10940"/>
      <c r="G135" s="10937"/>
      <c r="H135" s="10937"/>
      <c r="I135" s="10940"/>
      <c r="J135" s="10937"/>
      <c r="K135" s="10937"/>
      <c r="L135" s="11053"/>
      <c r="M135" s="11053"/>
      <c r="N135" s="11053"/>
      <c r="O135" s="10937"/>
      <c r="P135" s="10937"/>
      <c r="Q135" s="11056"/>
      <c r="R135" s="3984" t="s">
        <v>294</v>
      </c>
      <c r="S135" s="3916" t="s">
        <v>294</v>
      </c>
      <c r="T135" s="3917"/>
      <c r="U135" s="3913"/>
      <c r="V135" s="6190"/>
      <c r="W135" s="3925"/>
      <c r="X135" s="7567"/>
      <c r="Y135" s="7567"/>
      <c r="Z135" s="7567"/>
      <c r="AA135" s="7566"/>
      <c r="AB135" s="7669"/>
      <c r="AC135" s="3920"/>
      <c r="AD135" s="3921" t="s">
        <v>294</v>
      </c>
      <c r="AE135" s="3959" t="s">
        <v>153</v>
      </c>
      <c r="AF135" s="3959" t="s">
        <v>294</v>
      </c>
      <c r="AG135" s="10916"/>
    </row>
    <row r="136" spans="1:33" ht="15.75" customHeight="1">
      <c r="A136" s="11000"/>
      <c r="B136" s="10934"/>
      <c r="C136" s="10937"/>
      <c r="D136" s="10937"/>
      <c r="E136" s="10937"/>
      <c r="F136" s="10940"/>
      <c r="G136" s="10937"/>
      <c r="H136" s="10937"/>
      <c r="I136" s="10940"/>
      <c r="J136" s="10937"/>
      <c r="K136" s="10937"/>
      <c r="L136" s="11053"/>
      <c r="M136" s="11053"/>
      <c r="N136" s="11053"/>
      <c r="O136" s="10937"/>
      <c r="P136" s="10937"/>
      <c r="Q136" s="11056"/>
      <c r="R136" s="3984" t="s">
        <v>294</v>
      </c>
      <c r="S136" s="3916" t="s">
        <v>294</v>
      </c>
      <c r="T136" s="3917"/>
      <c r="U136" s="3913"/>
      <c r="V136" s="6190"/>
      <c r="W136" s="3925"/>
      <c r="X136" s="7567"/>
      <c r="Y136" s="7567"/>
      <c r="Z136" s="7567"/>
      <c r="AA136" s="7566"/>
      <c r="AB136" s="7669"/>
      <c r="AC136" s="3920"/>
      <c r="AD136" s="3921" t="s">
        <v>294</v>
      </c>
      <c r="AE136" s="3959" t="s">
        <v>153</v>
      </c>
      <c r="AF136" s="3959" t="s">
        <v>294</v>
      </c>
      <c r="AG136" s="10916"/>
    </row>
    <row r="137" spans="1:33" ht="15.75" customHeight="1">
      <c r="A137" s="11000"/>
      <c r="B137" s="10934"/>
      <c r="C137" s="10937"/>
      <c r="D137" s="10937"/>
      <c r="E137" s="10937"/>
      <c r="F137" s="10940"/>
      <c r="G137" s="10937"/>
      <c r="H137" s="10937"/>
      <c r="I137" s="10940"/>
      <c r="J137" s="10937"/>
      <c r="K137" s="10937"/>
      <c r="L137" s="11053"/>
      <c r="M137" s="11053"/>
      <c r="N137" s="11053"/>
      <c r="O137" s="10937"/>
      <c r="P137" s="10937"/>
      <c r="Q137" s="11056"/>
      <c r="R137" s="3984" t="s">
        <v>294</v>
      </c>
      <c r="S137" s="3916" t="s">
        <v>294</v>
      </c>
      <c r="T137" s="3917"/>
      <c r="U137" s="3913"/>
      <c r="V137" s="6190"/>
      <c r="W137" s="3925"/>
      <c r="X137" s="7567"/>
      <c r="Y137" s="7567"/>
      <c r="Z137" s="7567"/>
      <c r="AA137" s="7566"/>
      <c r="AB137" s="7669"/>
      <c r="AC137" s="3920"/>
      <c r="AD137" s="3921" t="s">
        <v>294</v>
      </c>
      <c r="AE137" s="3922" t="s">
        <v>153</v>
      </c>
      <c r="AF137" s="3959" t="s">
        <v>294</v>
      </c>
      <c r="AG137" s="10916"/>
    </row>
    <row r="138" spans="1:33" ht="15.75" customHeight="1">
      <c r="A138" s="11000"/>
      <c r="B138" s="10934"/>
      <c r="C138" s="10937"/>
      <c r="D138" s="10937"/>
      <c r="E138" s="10937"/>
      <c r="F138" s="10940"/>
      <c r="G138" s="10937"/>
      <c r="H138" s="10937"/>
      <c r="I138" s="10940"/>
      <c r="J138" s="10937"/>
      <c r="K138" s="10937"/>
      <c r="L138" s="11053"/>
      <c r="M138" s="11053"/>
      <c r="N138" s="11053"/>
      <c r="O138" s="10937"/>
      <c r="P138" s="10937"/>
      <c r="Q138" s="11056"/>
      <c r="R138" s="3984" t="s">
        <v>294</v>
      </c>
      <c r="S138" s="3916" t="s">
        <v>294</v>
      </c>
      <c r="T138" s="3917"/>
      <c r="U138" s="3913"/>
      <c r="V138" s="6190"/>
      <c r="W138" s="3925"/>
      <c r="X138" s="7567"/>
      <c r="Y138" s="7567"/>
      <c r="Z138" s="7567"/>
      <c r="AA138" s="7566"/>
      <c r="AB138" s="7669"/>
      <c r="AC138" s="3920"/>
      <c r="AD138" s="3921" t="s">
        <v>294</v>
      </c>
      <c r="AE138" s="3922" t="s">
        <v>153</v>
      </c>
      <c r="AF138" s="3959" t="s">
        <v>294</v>
      </c>
      <c r="AG138" s="10916"/>
    </row>
    <row r="139" spans="1:33" ht="15.75" customHeight="1">
      <c r="A139" s="11000"/>
      <c r="B139" s="10934"/>
      <c r="C139" s="10937"/>
      <c r="D139" s="10937"/>
      <c r="E139" s="10937"/>
      <c r="F139" s="10940"/>
      <c r="G139" s="10937"/>
      <c r="H139" s="10937"/>
      <c r="I139" s="10940"/>
      <c r="J139" s="10937"/>
      <c r="K139" s="10937"/>
      <c r="L139" s="11053"/>
      <c r="M139" s="11053"/>
      <c r="N139" s="11053"/>
      <c r="O139" s="10937"/>
      <c r="P139" s="10937"/>
      <c r="Q139" s="11056"/>
      <c r="R139" s="3984" t="s">
        <v>294</v>
      </c>
      <c r="S139" s="3916" t="s">
        <v>294</v>
      </c>
      <c r="T139" s="3917"/>
      <c r="U139" s="3913"/>
      <c r="V139" s="6190"/>
      <c r="W139" s="3925"/>
      <c r="X139" s="7567"/>
      <c r="Y139" s="7567"/>
      <c r="Z139" s="7567"/>
      <c r="AA139" s="7566"/>
      <c r="AB139" s="7669"/>
      <c r="AC139" s="3920"/>
      <c r="AD139" s="3921" t="s">
        <v>294</v>
      </c>
      <c r="AE139" s="3922" t="s">
        <v>153</v>
      </c>
      <c r="AF139" s="3959" t="s">
        <v>294</v>
      </c>
      <c r="AG139" s="10916"/>
    </row>
    <row r="140" spans="1:33" ht="15.75" customHeight="1">
      <c r="A140" s="11000"/>
      <c r="B140" s="10934"/>
      <c r="C140" s="10937"/>
      <c r="D140" s="10937"/>
      <c r="E140" s="10937"/>
      <c r="F140" s="10940"/>
      <c r="G140" s="10937"/>
      <c r="H140" s="10937"/>
      <c r="I140" s="10940"/>
      <c r="J140" s="10937"/>
      <c r="K140" s="10937"/>
      <c r="L140" s="11053"/>
      <c r="M140" s="11053"/>
      <c r="N140" s="11053"/>
      <c r="O140" s="10937"/>
      <c r="P140" s="10937"/>
      <c r="Q140" s="11056"/>
      <c r="R140" s="3984" t="s">
        <v>294</v>
      </c>
      <c r="S140" s="3916" t="s">
        <v>294</v>
      </c>
      <c r="T140" s="3917"/>
      <c r="U140" s="3913"/>
      <c r="V140" s="6190"/>
      <c r="W140" s="3925"/>
      <c r="X140" s="7567"/>
      <c r="Y140" s="7567"/>
      <c r="Z140" s="7567"/>
      <c r="AA140" s="7566"/>
      <c r="AB140" s="7669"/>
      <c r="AC140" s="3920"/>
      <c r="AD140" s="3921" t="s">
        <v>294</v>
      </c>
      <c r="AE140" s="3922" t="s">
        <v>153</v>
      </c>
      <c r="AF140" s="3959" t="s">
        <v>294</v>
      </c>
      <c r="AG140" s="10916"/>
    </row>
    <row r="141" spans="1:33" ht="15.75" customHeight="1">
      <c r="A141" s="11000"/>
      <c r="B141" s="10934"/>
      <c r="C141" s="10937"/>
      <c r="D141" s="10937"/>
      <c r="E141" s="10937"/>
      <c r="F141" s="10940"/>
      <c r="G141" s="10937"/>
      <c r="H141" s="10937"/>
      <c r="I141" s="10940"/>
      <c r="J141" s="10937"/>
      <c r="K141" s="10937"/>
      <c r="L141" s="11053"/>
      <c r="M141" s="11053"/>
      <c r="N141" s="11053"/>
      <c r="O141" s="10937"/>
      <c r="P141" s="10937"/>
      <c r="Q141" s="11056"/>
      <c r="R141" s="3984" t="s">
        <v>294</v>
      </c>
      <c r="S141" s="3916" t="s">
        <v>294</v>
      </c>
      <c r="T141" s="3917"/>
      <c r="U141" s="3913"/>
      <c r="V141" s="6190"/>
      <c r="W141" s="3925"/>
      <c r="X141" s="7567"/>
      <c r="Y141" s="7567"/>
      <c r="Z141" s="7567"/>
      <c r="AA141" s="7566"/>
      <c r="AB141" s="7669"/>
      <c r="AC141" s="3920"/>
      <c r="AD141" s="3921" t="s">
        <v>294</v>
      </c>
      <c r="AE141" s="3922" t="s">
        <v>153</v>
      </c>
      <c r="AF141" s="3959" t="s">
        <v>294</v>
      </c>
      <c r="AG141" s="10916"/>
    </row>
    <row r="142" spans="1:33" ht="15.75" customHeight="1">
      <c r="A142" s="11000"/>
      <c r="B142" s="10934"/>
      <c r="C142" s="10937"/>
      <c r="D142" s="10937"/>
      <c r="E142" s="10937"/>
      <c r="F142" s="10940"/>
      <c r="G142" s="10937"/>
      <c r="H142" s="10937"/>
      <c r="I142" s="10940"/>
      <c r="J142" s="10937"/>
      <c r="K142" s="10937"/>
      <c r="L142" s="11053"/>
      <c r="M142" s="11053"/>
      <c r="N142" s="11053"/>
      <c r="O142" s="10937"/>
      <c r="P142" s="10937"/>
      <c r="Q142" s="11056"/>
      <c r="R142" s="3984" t="s">
        <v>294</v>
      </c>
      <c r="S142" s="3916" t="s">
        <v>294</v>
      </c>
      <c r="T142" s="3917"/>
      <c r="U142" s="3913"/>
      <c r="V142" s="6190"/>
      <c r="W142" s="3925"/>
      <c r="X142" s="7567"/>
      <c r="Y142" s="7567"/>
      <c r="Z142" s="7567"/>
      <c r="AA142" s="7566"/>
      <c r="AB142" s="7669"/>
      <c r="AC142" s="3920"/>
      <c r="AD142" s="3921" t="s">
        <v>294</v>
      </c>
      <c r="AE142" s="3922" t="s">
        <v>153</v>
      </c>
      <c r="AF142" s="3959" t="s">
        <v>294</v>
      </c>
      <c r="AG142" s="10916"/>
    </row>
    <row r="143" spans="1:33" ht="15.75" customHeight="1">
      <c r="A143" s="11000"/>
      <c r="B143" s="10934"/>
      <c r="C143" s="10937"/>
      <c r="D143" s="10937"/>
      <c r="E143" s="10937"/>
      <c r="F143" s="10940"/>
      <c r="G143" s="10937"/>
      <c r="H143" s="10937"/>
      <c r="I143" s="10940"/>
      <c r="J143" s="10937"/>
      <c r="K143" s="10937"/>
      <c r="L143" s="11053"/>
      <c r="M143" s="11053"/>
      <c r="N143" s="11053"/>
      <c r="O143" s="10937"/>
      <c r="P143" s="10937"/>
      <c r="Q143" s="11056"/>
      <c r="R143" s="3984" t="s">
        <v>294</v>
      </c>
      <c r="S143" s="3916" t="s">
        <v>294</v>
      </c>
      <c r="T143" s="3917"/>
      <c r="U143" s="3913"/>
      <c r="V143" s="6190"/>
      <c r="W143" s="3925"/>
      <c r="X143" s="7567"/>
      <c r="Y143" s="7567"/>
      <c r="Z143" s="7567"/>
      <c r="AA143" s="7566"/>
      <c r="AB143" s="7669"/>
      <c r="AC143" s="3920"/>
      <c r="AD143" s="3921" t="s">
        <v>294</v>
      </c>
      <c r="AE143" s="3922" t="s">
        <v>153</v>
      </c>
      <c r="AF143" s="3959" t="s">
        <v>294</v>
      </c>
      <c r="AG143" s="10916"/>
    </row>
    <row r="144" spans="1:33" ht="15.75" customHeight="1">
      <c r="A144" s="11000"/>
      <c r="B144" s="10934"/>
      <c r="C144" s="10937"/>
      <c r="D144" s="10937"/>
      <c r="E144" s="10937"/>
      <c r="F144" s="10940"/>
      <c r="G144" s="10937"/>
      <c r="H144" s="10937"/>
      <c r="I144" s="10940"/>
      <c r="J144" s="10937"/>
      <c r="K144" s="10937"/>
      <c r="L144" s="11053"/>
      <c r="M144" s="11053"/>
      <c r="N144" s="11053"/>
      <c r="O144" s="10937"/>
      <c r="P144" s="10937"/>
      <c r="Q144" s="11056"/>
      <c r="R144" s="3984" t="s">
        <v>294</v>
      </c>
      <c r="S144" s="3916" t="s">
        <v>294</v>
      </c>
      <c r="T144" s="3917"/>
      <c r="U144" s="3913"/>
      <c r="V144" s="6190"/>
      <c r="W144" s="3925"/>
      <c r="X144" s="7567"/>
      <c r="Y144" s="7567"/>
      <c r="Z144" s="7567"/>
      <c r="AA144" s="7566"/>
      <c r="AB144" s="7669"/>
      <c r="AC144" s="3920"/>
      <c r="AD144" s="3921" t="s">
        <v>294</v>
      </c>
      <c r="AE144" s="3922" t="s">
        <v>153</v>
      </c>
      <c r="AF144" s="3959" t="s">
        <v>294</v>
      </c>
      <c r="AG144" s="10916"/>
    </row>
    <row r="145" spans="1:33" ht="15.75" customHeight="1">
      <c r="A145" s="11000"/>
      <c r="B145" s="10934"/>
      <c r="C145" s="10937"/>
      <c r="D145" s="10937"/>
      <c r="E145" s="10937"/>
      <c r="F145" s="10940"/>
      <c r="G145" s="10937"/>
      <c r="H145" s="10937"/>
      <c r="I145" s="10940"/>
      <c r="J145" s="10937"/>
      <c r="K145" s="10937"/>
      <c r="L145" s="11053"/>
      <c r="M145" s="11053"/>
      <c r="N145" s="11053"/>
      <c r="O145" s="10937"/>
      <c r="P145" s="10937"/>
      <c r="Q145" s="11056"/>
      <c r="R145" s="3984" t="s">
        <v>294</v>
      </c>
      <c r="S145" s="3916" t="s">
        <v>294</v>
      </c>
      <c r="T145" s="3917"/>
      <c r="U145" s="3913"/>
      <c r="V145" s="6190"/>
      <c r="W145" s="3925"/>
      <c r="X145" s="7567"/>
      <c r="Y145" s="7567"/>
      <c r="Z145" s="7567"/>
      <c r="AA145" s="7566"/>
      <c r="AB145" s="7669"/>
      <c r="AC145" s="3920"/>
      <c r="AD145" s="3921" t="s">
        <v>294</v>
      </c>
      <c r="AE145" s="3922" t="s">
        <v>153</v>
      </c>
      <c r="AF145" s="3959" t="s">
        <v>294</v>
      </c>
      <c r="AG145" s="10916"/>
    </row>
    <row r="146" spans="1:33" ht="15.75" customHeight="1">
      <c r="A146" s="11000"/>
      <c r="B146" s="10934"/>
      <c r="C146" s="10937"/>
      <c r="D146" s="10937"/>
      <c r="E146" s="10937"/>
      <c r="F146" s="10940"/>
      <c r="G146" s="10937"/>
      <c r="H146" s="10937"/>
      <c r="I146" s="10940"/>
      <c r="J146" s="10937"/>
      <c r="K146" s="10937"/>
      <c r="L146" s="11053"/>
      <c r="M146" s="11053"/>
      <c r="N146" s="11053"/>
      <c r="O146" s="10937"/>
      <c r="P146" s="10937"/>
      <c r="Q146" s="11056"/>
      <c r="R146" s="3984" t="s">
        <v>294</v>
      </c>
      <c r="S146" s="3916" t="s">
        <v>294</v>
      </c>
      <c r="T146" s="3917"/>
      <c r="U146" s="3913"/>
      <c r="V146" s="6190"/>
      <c r="W146" s="3925"/>
      <c r="X146" s="7567"/>
      <c r="Y146" s="7567"/>
      <c r="Z146" s="7567"/>
      <c r="AA146" s="7566"/>
      <c r="AB146" s="7669"/>
      <c r="AC146" s="3920"/>
      <c r="AD146" s="3921" t="s">
        <v>294</v>
      </c>
      <c r="AE146" s="3922" t="s">
        <v>153</v>
      </c>
      <c r="AF146" s="3959" t="s">
        <v>294</v>
      </c>
      <c r="AG146" s="10916"/>
    </row>
    <row r="147" spans="1:33" ht="15.75" customHeight="1">
      <c r="A147" s="11000"/>
      <c r="B147" s="10934"/>
      <c r="C147" s="10937"/>
      <c r="D147" s="10937"/>
      <c r="E147" s="10937"/>
      <c r="F147" s="10940"/>
      <c r="G147" s="10937"/>
      <c r="H147" s="10937"/>
      <c r="I147" s="10940"/>
      <c r="J147" s="10937"/>
      <c r="K147" s="10937"/>
      <c r="L147" s="11053"/>
      <c r="M147" s="11053"/>
      <c r="N147" s="11053"/>
      <c r="O147" s="10937"/>
      <c r="P147" s="10937"/>
      <c r="Q147" s="11056"/>
      <c r="R147" s="3984" t="s">
        <v>294</v>
      </c>
      <c r="S147" s="3916" t="s">
        <v>294</v>
      </c>
      <c r="T147" s="3917"/>
      <c r="U147" s="3913"/>
      <c r="V147" s="6190"/>
      <c r="W147" s="3925"/>
      <c r="X147" s="7567"/>
      <c r="Y147" s="7567"/>
      <c r="Z147" s="7567"/>
      <c r="AA147" s="7566"/>
      <c r="AB147" s="7669"/>
      <c r="AC147" s="3920"/>
      <c r="AD147" s="3921" t="s">
        <v>294</v>
      </c>
      <c r="AE147" s="3922" t="s">
        <v>153</v>
      </c>
      <c r="AF147" s="3959" t="s">
        <v>294</v>
      </c>
      <c r="AG147" s="10916"/>
    </row>
    <row r="148" spans="1:33" ht="15.75" customHeight="1">
      <c r="A148" s="11000"/>
      <c r="B148" s="10934"/>
      <c r="C148" s="10937"/>
      <c r="D148" s="10937"/>
      <c r="E148" s="10937"/>
      <c r="F148" s="10940"/>
      <c r="G148" s="10937"/>
      <c r="H148" s="10937"/>
      <c r="I148" s="10940"/>
      <c r="J148" s="10937"/>
      <c r="K148" s="10937"/>
      <c r="L148" s="11053"/>
      <c r="M148" s="11053"/>
      <c r="N148" s="11053"/>
      <c r="O148" s="10937"/>
      <c r="P148" s="10937"/>
      <c r="Q148" s="11056"/>
      <c r="R148" s="3984" t="s">
        <v>294</v>
      </c>
      <c r="S148" s="3916" t="s">
        <v>294</v>
      </c>
      <c r="T148" s="3917"/>
      <c r="U148" s="3913"/>
      <c r="V148" s="6190"/>
      <c r="W148" s="3925"/>
      <c r="X148" s="7567"/>
      <c r="Y148" s="7567"/>
      <c r="Z148" s="7567"/>
      <c r="AA148" s="7566"/>
      <c r="AB148" s="7669"/>
      <c r="AC148" s="3920"/>
      <c r="AD148" s="3921" t="s">
        <v>294</v>
      </c>
      <c r="AE148" s="3922" t="s">
        <v>153</v>
      </c>
      <c r="AF148" s="3959" t="s">
        <v>294</v>
      </c>
      <c r="AG148" s="10916"/>
    </row>
    <row r="149" spans="1:33" ht="15.75" customHeight="1">
      <c r="A149" s="11000"/>
      <c r="B149" s="10934"/>
      <c r="C149" s="10937"/>
      <c r="D149" s="10937"/>
      <c r="E149" s="10937"/>
      <c r="F149" s="10940"/>
      <c r="G149" s="10937"/>
      <c r="H149" s="10937"/>
      <c r="I149" s="10940"/>
      <c r="J149" s="10937"/>
      <c r="K149" s="10937"/>
      <c r="L149" s="11053"/>
      <c r="M149" s="11053"/>
      <c r="N149" s="11053"/>
      <c r="O149" s="10937"/>
      <c r="P149" s="10937"/>
      <c r="Q149" s="11056"/>
      <c r="R149" s="3984" t="s">
        <v>294</v>
      </c>
      <c r="S149" s="3916" t="s">
        <v>294</v>
      </c>
      <c r="T149" s="3917"/>
      <c r="U149" s="3913"/>
      <c r="V149" s="6190"/>
      <c r="W149" s="3925"/>
      <c r="X149" s="7567"/>
      <c r="Y149" s="7567"/>
      <c r="Z149" s="7567"/>
      <c r="AA149" s="7566"/>
      <c r="AB149" s="7669"/>
      <c r="AC149" s="3920"/>
      <c r="AD149" s="3921" t="s">
        <v>294</v>
      </c>
      <c r="AE149" s="3922" t="s">
        <v>153</v>
      </c>
      <c r="AF149" s="3959" t="s">
        <v>294</v>
      </c>
      <c r="AG149" s="10916"/>
    </row>
    <row r="150" spans="1:33" ht="15.75" customHeight="1">
      <c r="A150" s="11000"/>
      <c r="B150" s="10934"/>
      <c r="C150" s="10937"/>
      <c r="D150" s="10937"/>
      <c r="E150" s="10937"/>
      <c r="F150" s="10940"/>
      <c r="G150" s="10937"/>
      <c r="H150" s="10937"/>
      <c r="I150" s="10940"/>
      <c r="J150" s="10937"/>
      <c r="K150" s="10937"/>
      <c r="L150" s="11053"/>
      <c r="M150" s="11053"/>
      <c r="N150" s="11053"/>
      <c r="O150" s="10937"/>
      <c r="P150" s="10937"/>
      <c r="Q150" s="11056"/>
      <c r="R150" s="3984" t="s">
        <v>294</v>
      </c>
      <c r="S150" s="3916" t="s">
        <v>294</v>
      </c>
      <c r="T150" s="3917"/>
      <c r="U150" s="3913"/>
      <c r="V150" s="6190"/>
      <c r="W150" s="3925"/>
      <c r="X150" s="7567"/>
      <c r="Y150" s="7567"/>
      <c r="Z150" s="7567"/>
      <c r="AA150" s="7566"/>
      <c r="AB150" s="7669"/>
      <c r="AC150" s="3920"/>
      <c r="AD150" s="3921" t="s">
        <v>294</v>
      </c>
      <c r="AE150" s="3922" t="s">
        <v>153</v>
      </c>
      <c r="AF150" s="3959" t="s">
        <v>294</v>
      </c>
      <c r="AG150" s="10916"/>
    </row>
    <row r="151" spans="1:33" ht="15.75" customHeight="1">
      <c r="A151" s="11000"/>
      <c r="B151" s="10934"/>
      <c r="C151" s="10937"/>
      <c r="D151" s="10937"/>
      <c r="E151" s="10937"/>
      <c r="F151" s="10940"/>
      <c r="G151" s="10937"/>
      <c r="H151" s="10937"/>
      <c r="I151" s="10940"/>
      <c r="J151" s="10937"/>
      <c r="K151" s="10937"/>
      <c r="L151" s="11053"/>
      <c r="M151" s="11053"/>
      <c r="N151" s="11053"/>
      <c r="O151" s="10937"/>
      <c r="P151" s="10937"/>
      <c r="Q151" s="11056"/>
      <c r="R151" s="3984" t="s">
        <v>294</v>
      </c>
      <c r="S151" s="3916" t="s">
        <v>294</v>
      </c>
      <c r="T151" s="3917"/>
      <c r="U151" s="3913"/>
      <c r="V151" s="6190"/>
      <c r="W151" s="3925"/>
      <c r="X151" s="7567"/>
      <c r="Y151" s="7567"/>
      <c r="Z151" s="7567"/>
      <c r="AA151" s="7566"/>
      <c r="AB151" s="7669"/>
      <c r="AC151" s="3920"/>
      <c r="AD151" s="3921" t="s">
        <v>294</v>
      </c>
      <c r="AE151" s="3922" t="s">
        <v>153</v>
      </c>
      <c r="AF151" s="3959" t="s">
        <v>294</v>
      </c>
      <c r="AG151" s="10916"/>
    </row>
    <row r="152" spans="1:33" ht="15.75" customHeight="1">
      <c r="A152" s="11000"/>
      <c r="B152" s="10934"/>
      <c r="C152" s="10937"/>
      <c r="D152" s="10937"/>
      <c r="E152" s="10937"/>
      <c r="F152" s="10940"/>
      <c r="G152" s="10937"/>
      <c r="H152" s="10937"/>
      <c r="I152" s="10940"/>
      <c r="J152" s="10937"/>
      <c r="K152" s="10937"/>
      <c r="L152" s="11053"/>
      <c r="M152" s="11053"/>
      <c r="N152" s="11053"/>
      <c r="O152" s="10937"/>
      <c r="P152" s="10937"/>
      <c r="Q152" s="11056"/>
      <c r="R152" s="3984" t="s">
        <v>5259</v>
      </c>
      <c r="S152" s="3916" t="s">
        <v>5260</v>
      </c>
      <c r="T152" s="3917" t="s">
        <v>294</v>
      </c>
      <c r="U152" s="3914" t="s">
        <v>3341</v>
      </c>
      <c r="V152" s="6190" t="s">
        <v>294</v>
      </c>
      <c r="W152" s="3925" t="s">
        <v>294</v>
      </c>
      <c r="X152" s="7567" t="s">
        <v>294</v>
      </c>
      <c r="Y152" s="7567" t="s">
        <v>294</v>
      </c>
      <c r="Z152" s="7567" t="s">
        <v>294</v>
      </c>
      <c r="AA152" s="7566">
        <f>SUM(Z153:Z171)</f>
        <v>1166.48</v>
      </c>
      <c r="AB152" s="7669" t="s">
        <v>26</v>
      </c>
      <c r="AC152" s="3920"/>
      <c r="AD152" s="3921" t="s">
        <v>294</v>
      </c>
      <c r="AE152" s="3922" t="s">
        <v>294</v>
      </c>
      <c r="AF152" s="3959" t="s">
        <v>294</v>
      </c>
      <c r="AG152" s="10916"/>
    </row>
    <row r="153" spans="1:33" ht="15.75" customHeight="1">
      <c r="A153" s="11000"/>
      <c r="B153" s="10934"/>
      <c r="C153" s="10937"/>
      <c r="D153" s="10937"/>
      <c r="E153" s="10937"/>
      <c r="F153" s="10940"/>
      <c r="G153" s="10937"/>
      <c r="H153" s="10937"/>
      <c r="I153" s="10940"/>
      <c r="J153" s="10937"/>
      <c r="K153" s="10937"/>
      <c r="L153" s="11053"/>
      <c r="M153" s="11053"/>
      <c r="N153" s="11053"/>
      <c r="O153" s="10937"/>
      <c r="P153" s="10937"/>
      <c r="Q153" s="11056"/>
      <c r="R153" s="3984" t="s">
        <v>294</v>
      </c>
      <c r="S153" s="3916" t="s">
        <v>294</v>
      </c>
      <c r="T153" s="3917">
        <v>3529010976</v>
      </c>
      <c r="U153" s="3913" t="s">
        <v>5261</v>
      </c>
      <c r="V153" s="6190">
        <v>10</v>
      </c>
      <c r="W153" s="3925" t="s">
        <v>5262</v>
      </c>
      <c r="X153" s="7567">
        <v>6.8</v>
      </c>
      <c r="Y153" s="7567">
        <f t="shared" ref="Y153:Y171" si="5">+V153*X153</f>
        <v>68</v>
      </c>
      <c r="Z153" s="7567">
        <f t="shared" ref="Z153:Z171" si="6">+Y153*1.12</f>
        <v>76.160000000000011</v>
      </c>
      <c r="AA153" s="7566" t="s">
        <v>294</v>
      </c>
      <c r="AB153" s="7669"/>
      <c r="AC153" s="3920"/>
      <c r="AD153" s="3921" t="s">
        <v>294</v>
      </c>
      <c r="AE153" s="3922" t="s">
        <v>153</v>
      </c>
      <c r="AF153" s="3959" t="s">
        <v>294</v>
      </c>
      <c r="AG153" s="10916"/>
    </row>
    <row r="154" spans="1:33" ht="15.75" customHeight="1">
      <c r="A154" s="11000"/>
      <c r="B154" s="10934"/>
      <c r="C154" s="10937"/>
      <c r="D154" s="10937"/>
      <c r="E154" s="10937"/>
      <c r="F154" s="10940"/>
      <c r="G154" s="10937"/>
      <c r="H154" s="10937"/>
      <c r="I154" s="10940"/>
      <c r="J154" s="10937"/>
      <c r="K154" s="10937"/>
      <c r="L154" s="11053"/>
      <c r="M154" s="11053"/>
      <c r="N154" s="11053"/>
      <c r="O154" s="10937"/>
      <c r="P154" s="10937"/>
      <c r="Q154" s="11056"/>
      <c r="R154" s="3984" t="s">
        <v>294</v>
      </c>
      <c r="S154" s="3916" t="s">
        <v>294</v>
      </c>
      <c r="T154" s="3917">
        <v>32100011</v>
      </c>
      <c r="U154" s="3913" t="s">
        <v>5263</v>
      </c>
      <c r="V154" s="6190">
        <v>30</v>
      </c>
      <c r="W154" s="3925" t="s">
        <v>5264</v>
      </c>
      <c r="X154" s="7567">
        <v>10.199999999999999</v>
      </c>
      <c r="Y154" s="7567">
        <f t="shared" si="5"/>
        <v>306</v>
      </c>
      <c r="Z154" s="7567">
        <f t="shared" si="6"/>
        <v>342.72</v>
      </c>
      <c r="AA154" s="7566" t="s">
        <v>294</v>
      </c>
      <c r="AB154" s="7669"/>
      <c r="AC154" s="3920"/>
      <c r="AD154" s="3921" t="s">
        <v>294</v>
      </c>
      <c r="AE154" s="3922" t="s">
        <v>153</v>
      </c>
      <c r="AF154" s="3959" t="s">
        <v>294</v>
      </c>
      <c r="AG154" s="10916"/>
    </row>
    <row r="155" spans="1:33" ht="15.75" customHeight="1">
      <c r="A155" s="11000"/>
      <c r="B155" s="10934"/>
      <c r="C155" s="10937"/>
      <c r="D155" s="10937"/>
      <c r="E155" s="10937"/>
      <c r="F155" s="10940"/>
      <c r="G155" s="10937"/>
      <c r="H155" s="10937"/>
      <c r="I155" s="10940"/>
      <c r="J155" s="10937"/>
      <c r="K155" s="10937"/>
      <c r="L155" s="11053"/>
      <c r="M155" s="11053"/>
      <c r="N155" s="11053"/>
      <c r="O155" s="10937"/>
      <c r="P155" s="10937"/>
      <c r="Q155" s="11056"/>
      <c r="R155" s="3984" t="s">
        <v>294</v>
      </c>
      <c r="S155" s="3916" t="s">
        <v>294</v>
      </c>
      <c r="T155" s="3917">
        <v>282500013</v>
      </c>
      <c r="U155" s="3913" t="s">
        <v>5265</v>
      </c>
      <c r="V155" s="6190">
        <v>100</v>
      </c>
      <c r="W155" s="3925" t="s">
        <v>180</v>
      </c>
      <c r="X155" s="7567">
        <v>0.12</v>
      </c>
      <c r="Y155" s="7567">
        <f t="shared" si="5"/>
        <v>12</v>
      </c>
      <c r="Z155" s="7567">
        <f t="shared" si="6"/>
        <v>13.440000000000001</v>
      </c>
      <c r="AA155" s="7566" t="s">
        <v>294</v>
      </c>
      <c r="AB155" s="7669"/>
      <c r="AC155" s="3920"/>
      <c r="AD155" s="3921" t="s">
        <v>294</v>
      </c>
      <c r="AE155" s="3922" t="s">
        <v>153</v>
      </c>
      <c r="AF155" s="3959" t="s">
        <v>294</v>
      </c>
      <c r="AG155" s="10916"/>
    </row>
    <row r="156" spans="1:33" ht="15.75" customHeight="1">
      <c r="A156" s="11000"/>
      <c r="B156" s="10934"/>
      <c r="C156" s="10937"/>
      <c r="D156" s="10937"/>
      <c r="E156" s="10937"/>
      <c r="F156" s="10940"/>
      <c r="G156" s="10937"/>
      <c r="H156" s="10937"/>
      <c r="I156" s="10940"/>
      <c r="J156" s="10937"/>
      <c r="K156" s="10937"/>
      <c r="L156" s="11053"/>
      <c r="M156" s="11053"/>
      <c r="N156" s="11053"/>
      <c r="O156" s="10937"/>
      <c r="P156" s="10937"/>
      <c r="Q156" s="11056"/>
      <c r="R156" s="3984" t="s">
        <v>294</v>
      </c>
      <c r="S156" s="3916" t="s">
        <v>294</v>
      </c>
      <c r="T156" s="3917">
        <v>3529010963</v>
      </c>
      <c r="U156" s="3913" t="s">
        <v>5266</v>
      </c>
      <c r="V156" s="6190">
        <v>1</v>
      </c>
      <c r="W156" s="3925" t="s">
        <v>5264</v>
      </c>
      <c r="X156" s="7567">
        <v>14.5</v>
      </c>
      <c r="Y156" s="7567">
        <f t="shared" si="5"/>
        <v>14.5</v>
      </c>
      <c r="Z156" s="7567">
        <f t="shared" si="6"/>
        <v>16.240000000000002</v>
      </c>
      <c r="AA156" s="7566" t="s">
        <v>294</v>
      </c>
      <c r="AB156" s="7669"/>
      <c r="AC156" s="3920"/>
      <c r="AD156" s="3921" t="s">
        <v>294</v>
      </c>
      <c r="AE156" s="3922" t="s">
        <v>153</v>
      </c>
      <c r="AF156" s="3959" t="s">
        <v>294</v>
      </c>
      <c r="AG156" s="10916"/>
    </row>
    <row r="157" spans="1:33" ht="15.75" customHeight="1">
      <c r="A157" s="11000"/>
      <c r="B157" s="10934"/>
      <c r="C157" s="10937"/>
      <c r="D157" s="10937"/>
      <c r="E157" s="10937"/>
      <c r="F157" s="10940"/>
      <c r="G157" s="10937"/>
      <c r="H157" s="10937"/>
      <c r="I157" s="10940"/>
      <c r="J157" s="10937"/>
      <c r="K157" s="10937"/>
      <c r="L157" s="11053"/>
      <c r="M157" s="11053"/>
      <c r="N157" s="11053"/>
      <c r="O157" s="10937"/>
      <c r="P157" s="10937"/>
      <c r="Q157" s="11056"/>
      <c r="R157" s="3984" t="s">
        <v>294</v>
      </c>
      <c r="S157" s="3916" t="s">
        <v>294</v>
      </c>
      <c r="T157" s="3917">
        <v>371950017</v>
      </c>
      <c r="U157" s="3913" t="s">
        <v>5289</v>
      </c>
      <c r="V157" s="6190">
        <v>1</v>
      </c>
      <c r="W157" s="3925" t="s">
        <v>5290</v>
      </c>
      <c r="X157" s="7567">
        <v>10</v>
      </c>
      <c r="Y157" s="7567">
        <f t="shared" si="5"/>
        <v>10</v>
      </c>
      <c r="Z157" s="7567">
        <f t="shared" si="6"/>
        <v>11.200000000000001</v>
      </c>
      <c r="AA157" s="7566" t="s">
        <v>294</v>
      </c>
      <c r="AB157" s="7669"/>
      <c r="AC157" s="3920"/>
      <c r="AD157" s="3921" t="s">
        <v>294</v>
      </c>
      <c r="AE157" s="3922" t="s">
        <v>153</v>
      </c>
      <c r="AF157" s="3959" t="s">
        <v>294</v>
      </c>
      <c r="AG157" s="10916"/>
    </row>
    <row r="158" spans="1:33" ht="15.75" customHeight="1">
      <c r="A158" s="11000"/>
      <c r="B158" s="10934"/>
      <c r="C158" s="10937"/>
      <c r="D158" s="10937"/>
      <c r="E158" s="10937"/>
      <c r="F158" s="10940"/>
      <c r="G158" s="10937"/>
      <c r="H158" s="10937"/>
      <c r="I158" s="10940"/>
      <c r="J158" s="10937"/>
      <c r="K158" s="10937"/>
      <c r="L158" s="11053"/>
      <c r="M158" s="11053"/>
      <c r="N158" s="11053"/>
      <c r="O158" s="10937"/>
      <c r="P158" s="10937"/>
      <c r="Q158" s="11056"/>
      <c r="R158" s="3984" t="s">
        <v>294</v>
      </c>
      <c r="S158" s="3916" t="s">
        <v>294</v>
      </c>
      <c r="T158" s="3917">
        <v>352901091</v>
      </c>
      <c r="U158" s="3913" t="s">
        <v>5269</v>
      </c>
      <c r="V158" s="6190">
        <v>2</v>
      </c>
      <c r="W158" s="3925" t="s">
        <v>5270</v>
      </c>
      <c r="X158" s="7567">
        <v>5</v>
      </c>
      <c r="Y158" s="7567">
        <f t="shared" si="5"/>
        <v>10</v>
      </c>
      <c r="Z158" s="7567">
        <f t="shared" si="6"/>
        <v>11.200000000000001</v>
      </c>
      <c r="AA158" s="7566" t="s">
        <v>294</v>
      </c>
      <c r="AB158" s="7669"/>
      <c r="AC158" s="3920"/>
      <c r="AD158" s="3921" t="s">
        <v>294</v>
      </c>
      <c r="AE158" s="3922" t="s">
        <v>153</v>
      </c>
      <c r="AF158" s="3959" t="s">
        <v>294</v>
      </c>
      <c r="AG158" s="10916"/>
    </row>
    <row r="159" spans="1:33" ht="15.75" customHeight="1">
      <c r="A159" s="11000"/>
      <c r="B159" s="10934"/>
      <c r="C159" s="10937"/>
      <c r="D159" s="10937"/>
      <c r="E159" s="10937"/>
      <c r="F159" s="10940"/>
      <c r="G159" s="10937"/>
      <c r="H159" s="10937"/>
      <c r="I159" s="10940"/>
      <c r="J159" s="10937"/>
      <c r="K159" s="10937"/>
      <c r="L159" s="11053"/>
      <c r="M159" s="11053"/>
      <c r="N159" s="11053"/>
      <c r="O159" s="10937"/>
      <c r="P159" s="10937"/>
      <c r="Q159" s="11056"/>
      <c r="R159" s="3984" t="s">
        <v>294</v>
      </c>
      <c r="S159" s="3916" t="s">
        <v>294</v>
      </c>
      <c r="T159" s="3917">
        <v>371950111</v>
      </c>
      <c r="U159" s="3913" t="s">
        <v>5271</v>
      </c>
      <c r="V159" s="6190">
        <v>10</v>
      </c>
      <c r="W159" s="3925" t="s">
        <v>5272</v>
      </c>
      <c r="X159" s="7567">
        <v>3.5</v>
      </c>
      <c r="Y159" s="7567">
        <f t="shared" si="5"/>
        <v>35</v>
      </c>
      <c r="Z159" s="7567">
        <f t="shared" si="6"/>
        <v>39.200000000000003</v>
      </c>
      <c r="AA159" s="7566" t="s">
        <v>294</v>
      </c>
      <c r="AB159" s="7669"/>
      <c r="AC159" s="3920"/>
      <c r="AD159" s="3921" t="s">
        <v>294</v>
      </c>
      <c r="AE159" s="3922" t="s">
        <v>153</v>
      </c>
      <c r="AF159" s="3959" t="s">
        <v>294</v>
      </c>
      <c r="AG159" s="10916"/>
    </row>
    <row r="160" spans="1:33" ht="15.75" customHeight="1">
      <c r="A160" s="11000"/>
      <c r="B160" s="10934"/>
      <c r="C160" s="10937"/>
      <c r="D160" s="10937"/>
      <c r="E160" s="10937"/>
      <c r="F160" s="10940"/>
      <c r="G160" s="10937"/>
      <c r="H160" s="10937"/>
      <c r="I160" s="10940"/>
      <c r="J160" s="10937"/>
      <c r="K160" s="10937"/>
      <c r="L160" s="11053"/>
      <c r="M160" s="11053"/>
      <c r="N160" s="11053"/>
      <c r="O160" s="10937"/>
      <c r="P160" s="10937"/>
      <c r="Q160" s="11056"/>
      <c r="R160" s="3984" t="s">
        <v>294</v>
      </c>
      <c r="S160" s="3916" t="s">
        <v>294</v>
      </c>
      <c r="T160" s="3917">
        <v>371950111</v>
      </c>
      <c r="U160" s="3913" t="s">
        <v>5273</v>
      </c>
      <c r="V160" s="6190">
        <v>20</v>
      </c>
      <c r="W160" s="3925" t="s">
        <v>5262</v>
      </c>
      <c r="X160" s="7567">
        <v>3.5</v>
      </c>
      <c r="Y160" s="7567">
        <f t="shared" si="5"/>
        <v>70</v>
      </c>
      <c r="Z160" s="7567">
        <f t="shared" si="6"/>
        <v>78.400000000000006</v>
      </c>
      <c r="AA160" s="7566" t="s">
        <v>294</v>
      </c>
      <c r="AB160" s="7669"/>
      <c r="AC160" s="3920"/>
      <c r="AD160" s="3921" t="s">
        <v>294</v>
      </c>
      <c r="AE160" s="3922" t="s">
        <v>153</v>
      </c>
      <c r="AF160" s="3959" t="s">
        <v>294</v>
      </c>
      <c r="AG160" s="10916"/>
    </row>
    <row r="161" spans="1:33" ht="15.75" customHeight="1">
      <c r="A161" s="11000"/>
      <c r="B161" s="10934"/>
      <c r="C161" s="10937"/>
      <c r="D161" s="10937"/>
      <c r="E161" s="10937"/>
      <c r="F161" s="10940"/>
      <c r="G161" s="10937"/>
      <c r="H161" s="10937"/>
      <c r="I161" s="10940"/>
      <c r="J161" s="10937"/>
      <c r="K161" s="10937"/>
      <c r="L161" s="11053"/>
      <c r="M161" s="11053"/>
      <c r="N161" s="11053"/>
      <c r="O161" s="10937"/>
      <c r="P161" s="10937"/>
      <c r="Q161" s="11056"/>
      <c r="R161" s="3984" t="s">
        <v>294</v>
      </c>
      <c r="S161" s="3916" t="s">
        <v>294</v>
      </c>
      <c r="T161" s="3917">
        <v>371110211</v>
      </c>
      <c r="U161" s="3913" t="s">
        <v>5291</v>
      </c>
      <c r="V161" s="6190">
        <v>1</v>
      </c>
      <c r="W161" s="3925" t="s">
        <v>5264</v>
      </c>
      <c r="X161" s="7567">
        <v>15</v>
      </c>
      <c r="Y161" s="7567">
        <f t="shared" si="5"/>
        <v>15</v>
      </c>
      <c r="Z161" s="7567">
        <f t="shared" si="6"/>
        <v>16.8</v>
      </c>
      <c r="AA161" s="7566" t="s">
        <v>294</v>
      </c>
      <c r="AB161" s="7669"/>
      <c r="AC161" s="3920"/>
      <c r="AD161" s="3921" t="s">
        <v>294</v>
      </c>
      <c r="AE161" s="3922" t="s">
        <v>153</v>
      </c>
      <c r="AF161" s="3959" t="s">
        <v>294</v>
      </c>
      <c r="AG161" s="10916"/>
    </row>
    <row r="162" spans="1:33" ht="15.75" customHeight="1">
      <c r="A162" s="11000"/>
      <c r="B162" s="10934"/>
      <c r="C162" s="10937"/>
      <c r="D162" s="10937"/>
      <c r="E162" s="10937"/>
      <c r="F162" s="10940"/>
      <c r="G162" s="10937"/>
      <c r="H162" s="10937"/>
      <c r="I162" s="10940"/>
      <c r="J162" s="10937"/>
      <c r="K162" s="10937"/>
      <c r="L162" s="11053"/>
      <c r="M162" s="11053"/>
      <c r="N162" s="11053"/>
      <c r="O162" s="10937"/>
      <c r="P162" s="10937"/>
      <c r="Q162" s="11056"/>
      <c r="R162" s="3984" t="s">
        <v>294</v>
      </c>
      <c r="S162" s="3916" t="s">
        <v>294</v>
      </c>
      <c r="T162" s="3917">
        <v>352901091</v>
      </c>
      <c r="U162" s="3913" t="s">
        <v>5292</v>
      </c>
      <c r="V162" s="6190">
        <v>2</v>
      </c>
      <c r="W162" s="3925" t="s">
        <v>5276</v>
      </c>
      <c r="X162" s="7567">
        <v>25</v>
      </c>
      <c r="Y162" s="7567">
        <f t="shared" si="5"/>
        <v>50</v>
      </c>
      <c r="Z162" s="7567">
        <f t="shared" si="6"/>
        <v>56.000000000000007</v>
      </c>
      <c r="AA162" s="7566" t="s">
        <v>294</v>
      </c>
      <c r="AB162" s="7669"/>
      <c r="AC162" s="3920"/>
      <c r="AD162" s="3921" t="s">
        <v>294</v>
      </c>
      <c r="AE162" s="3922" t="s">
        <v>153</v>
      </c>
      <c r="AF162" s="3959" t="s">
        <v>294</v>
      </c>
      <c r="AG162" s="10916"/>
    </row>
    <row r="163" spans="1:33" ht="15.75" customHeight="1">
      <c r="A163" s="11000"/>
      <c r="B163" s="10934"/>
      <c r="C163" s="10937"/>
      <c r="D163" s="10937"/>
      <c r="E163" s="10937"/>
      <c r="F163" s="10940"/>
      <c r="G163" s="10937"/>
      <c r="H163" s="10937"/>
      <c r="I163" s="10940"/>
      <c r="J163" s="10937"/>
      <c r="K163" s="10937"/>
      <c r="L163" s="11053"/>
      <c r="M163" s="11053"/>
      <c r="N163" s="11053"/>
      <c r="O163" s="10937"/>
      <c r="P163" s="10937"/>
      <c r="Q163" s="11056"/>
      <c r="R163" s="3984" t="s">
        <v>294</v>
      </c>
      <c r="S163" s="3916" t="s">
        <v>294</v>
      </c>
      <c r="T163" s="3917">
        <v>352901091</v>
      </c>
      <c r="U163" s="3913" t="s">
        <v>5293</v>
      </c>
      <c r="V163" s="6190">
        <v>2</v>
      </c>
      <c r="W163" s="3925" t="s">
        <v>5278</v>
      </c>
      <c r="X163" s="7567">
        <v>25</v>
      </c>
      <c r="Y163" s="7567">
        <f t="shared" si="5"/>
        <v>50</v>
      </c>
      <c r="Z163" s="7567">
        <f t="shared" si="6"/>
        <v>56.000000000000007</v>
      </c>
      <c r="AA163" s="7566" t="s">
        <v>294</v>
      </c>
      <c r="AB163" s="7669"/>
      <c r="AC163" s="3920"/>
      <c r="AD163" s="3921" t="s">
        <v>294</v>
      </c>
      <c r="AE163" s="3922" t="s">
        <v>153</v>
      </c>
      <c r="AF163" s="3959" t="s">
        <v>294</v>
      </c>
      <c r="AG163" s="10916"/>
    </row>
    <row r="164" spans="1:33" ht="15.75" customHeight="1">
      <c r="A164" s="11000"/>
      <c r="B164" s="10934"/>
      <c r="C164" s="10937"/>
      <c r="D164" s="10937"/>
      <c r="E164" s="10937"/>
      <c r="F164" s="10940"/>
      <c r="G164" s="10937"/>
      <c r="H164" s="10937"/>
      <c r="I164" s="10940"/>
      <c r="J164" s="10937"/>
      <c r="K164" s="10937"/>
      <c r="L164" s="11053"/>
      <c r="M164" s="11053"/>
      <c r="N164" s="11053"/>
      <c r="O164" s="10937"/>
      <c r="P164" s="10937"/>
      <c r="Q164" s="11056"/>
      <c r="R164" s="3984" t="s">
        <v>294</v>
      </c>
      <c r="S164" s="3916" t="s">
        <v>294</v>
      </c>
      <c r="T164" s="3917">
        <v>481500021</v>
      </c>
      <c r="U164" s="3913" t="s">
        <v>5294</v>
      </c>
      <c r="V164" s="6190">
        <v>2</v>
      </c>
      <c r="W164" s="3925" t="s">
        <v>5264</v>
      </c>
      <c r="X164" s="7567">
        <v>50</v>
      </c>
      <c r="Y164" s="7567">
        <f t="shared" si="5"/>
        <v>100</v>
      </c>
      <c r="Z164" s="7567">
        <f t="shared" si="6"/>
        <v>112.00000000000001</v>
      </c>
      <c r="AA164" s="7566" t="s">
        <v>294</v>
      </c>
      <c r="AB164" s="7669"/>
      <c r="AC164" s="3920"/>
      <c r="AD164" s="3921" t="s">
        <v>294</v>
      </c>
      <c r="AE164" s="3922" t="s">
        <v>153</v>
      </c>
      <c r="AF164" s="3959" t="s">
        <v>294</v>
      </c>
      <c r="AG164" s="10916"/>
    </row>
    <row r="165" spans="1:33" ht="15.75" customHeight="1">
      <c r="A165" s="11000"/>
      <c r="B165" s="10934"/>
      <c r="C165" s="10937"/>
      <c r="D165" s="10937"/>
      <c r="E165" s="10937"/>
      <c r="F165" s="10940"/>
      <c r="G165" s="10937"/>
      <c r="H165" s="10937"/>
      <c r="I165" s="10940"/>
      <c r="J165" s="10937"/>
      <c r="K165" s="10937"/>
      <c r="L165" s="11053"/>
      <c r="M165" s="11053"/>
      <c r="N165" s="11053"/>
      <c r="O165" s="10937"/>
      <c r="P165" s="10937"/>
      <c r="Q165" s="11056"/>
      <c r="R165" s="3984" t="s">
        <v>294</v>
      </c>
      <c r="S165" s="3916" t="s">
        <v>294</v>
      </c>
      <c r="T165" s="3917">
        <v>481500021</v>
      </c>
      <c r="U165" s="3913" t="s">
        <v>5295</v>
      </c>
      <c r="V165" s="6190">
        <v>2</v>
      </c>
      <c r="W165" s="3925" t="s">
        <v>5264</v>
      </c>
      <c r="X165" s="7567">
        <v>50</v>
      </c>
      <c r="Y165" s="7567">
        <f t="shared" si="5"/>
        <v>100</v>
      </c>
      <c r="Z165" s="7567">
        <f t="shared" si="6"/>
        <v>112.00000000000001</v>
      </c>
      <c r="AA165" s="7566" t="s">
        <v>294</v>
      </c>
      <c r="AB165" s="7669"/>
      <c r="AC165" s="3920"/>
      <c r="AD165" s="3921" t="s">
        <v>294</v>
      </c>
      <c r="AE165" s="3922" t="s">
        <v>153</v>
      </c>
      <c r="AF165" s="3959" t="s">
        <v>294</v>
      </c>
      <c r="AG165" s="10916"/>
    </row>
    <row r="166" spans="1:33" ht="15.75" customHeight="1">
      <c r="A166" s="11000"/>
      <c r="B166" s="10934"/>
      <c r="C166" s="10937"/>
      <c r="D166" s="10937"/>
      <c r="E166" s="10937"/>
      <c r="F166" s="10940"/>
      <c r="G166" s="10937"/>
      <c r="H166" s="10937"/>
      <c r="I166" s="10940"/>
      <c r="J166" s="10937"/>
      <c r="K166" s="10937"/>
      <c r="L166" s="11053"/>
      <c r="M166" s="11053"/>
      <c r="N166" s="11053"/>
      <c r="O166" s="10937"/>
      <c r="P166" s="10937"/>
      <c r="Q166" s="11056"/>
      <c r="R166" s="3984" t="s">
        <v>294</v>
      </c>
      <c r="S166" s="3916" t="s">
        <v>294</v>
      </c>
      <c r="T166" s="3917">
        <v>352901091</v>
      </c>
      <c r="U166" s="3913" t="s">
        <v>5296</v>
      </c>
      <c r="V166" s="6190">
        <v>2</v>
      </c>
      <c r="W166" s="3925" t="s">
        <v>5297</v>
      </c>
      <c r="X166" s="7567">
        <v>15</v>
      </c>
      <c r="Y166" s="7567">
        <f t="shared" si="5"/>
        <v>30</v>
      </c>
      <c r="Z166" s="7567">
        <f t="shared" si="6"/>
        <v>33.6</v>
      </c>
      <c r="AA166" s="7566" t="s">
        <v>294</v>
      </c>
      <c r="AB166" s="7669"/>
      <c r="AC166" s="3920"/>
      <c r="AD166" s="3921" t="s">
        <v>294</v>
      </c>
      <c r="AE166" s="3922" t="s">
        <v>153</v>
      </c>
      <c r="AF166" s="3959" t="s">
        <v>294</v>
      </c>
      <c r="AG166" s="10916"/>
    </row>
    <row r="167" spans="1:33" ht="15.75" customHeight="1">
      <c r="A167" s="11000"/>
      <c r="B167" s="10934"/>
      <c r="C167" s="10937"/>
      <c r="D167" s="10937"/>
      <c r="E167" s="10937"/>
      <c r="F167" s="10940"/>
      <c r="G167" s="10937"/>
      <c r="H167" s="10937"/>
      <c r="I167" s="10940"/>
      <c r="J167" s="10937"/>
      <c r="K167" s="10937"/>
      <c r="L167" s="11053"/>
      <c r="M167" s="11053"/>
      <c r="N167" s="11053"/>
      <c r="O167" s="10937"/>
      <c r="P167" s="10937"/>
      <c r="Q167" s="11056"/>
      <c r="R167" s="3984" t="s">
        <v>294</v>
      </c>
      <c r="S167" s="3916" t="s">
        <v>294</v>
      </c>
      <c r="T167" s="3917">
        <v>352901091</v>
      </c>
      <c r="U167" s="3913" t="s">
        <v>5298</v>
      </c>
      <c r="V167" s="6190">
        <v>2</v>
      </c>
      <c r="W167" s="3925" t="s">
        <v>5299</v>
      </c>
      <c r="X167" s="7567">
        <v>15</v>
      </c>
      <c r="Y167" s="7567">
        <f t="shared" si="5"/>
        <v>30</v>
      </c>
      <c r="Z167" s="7567">
        <f t="shared" si="6"/>
        <v>33.6</v>
      </c>
      <c r="AA167" s="7566" t="s">
        <v>294</v>
      </c>
      <c r="AB167" s="7669"/>
      <c r="AC167" s="3920"/>
      <c r="AD167" s="3921" t="s">
        <v>294</v>
      </c>
      <c r="AE167" s="3922" t="s">
        <v>153</v>
      </c>
      <c r="AF167" s="3959" t="s">
        <v>294</v>
      </c>
      <c r="AG167" s="10916"/>
    </row>
    <row r="168" spans="1:33" ht="15.75" customHeight="1">
      <c r="A168" s="11000"/>
      <c r="B168" s="10934"/>
      <c r="C168" s="10937"/>
      <c r="D168" s="10937"/>
      <c r="E168" s="10937"/>
      <c r="F168" s="10940"/>
      <c r="G168" s="10937"/>
      <c r="H168" s="10937"/>
      <c r="I168" s="10940"/>
      <c r="J168" s="10937"/>
      <c r="K168" s="10937"/>
      <c r="L168" s="11053"/>
      <c r="M168" s="11053"/>
      <c r="N168" s="11053"/>
      <c r="O168" s="10937"/>
      <c r="P168" s="10937"/>
      <c r="Q168" s="11056"/>
      <c r="R168" s="3984" t="s">
        <v>294</v>
      </c>
      <c r="S168" s="3916" t="s">
        <v>294</v>
      </c>
      <c r="T168" s="3917">
        <v>371950013</v>
      </c>
      <c r="U168" s="3913" t="s">
        <v>5300</v>
      </c>
      <c r="V168" s="6190">
        <v>3</v>
      </c>
      <c r="W168" s="3925" t="s">
        <v>5264</v>
      </c>
      <c r="X168" s="7567">
        <v>15</v>
      </c>
      <c r="Y168" s="7567">
        <f t="shared" si="5"/>
        <v>45</v>
      </c>
      <c r="Z168" s="7567">
        <f t="shared" si="6"/>
        <v>50.400000000000006</v>
      </c>
      <c r="AA168" s="7566" t="s">
        <v>294</v>
      </c>
      <c r="AB168" s="7669"/>
      <c r="AC168" s="3920"/>
      <c r="AD168" s="3921" t="s">
        <v>294</v>
      </c>
      <c r="AE168" s="3922" t="s">
        <v>153</v>
      </c>
      <c r="AF168" s="3959" t="s">
        <v>294</v>
      </c>
      <c r="AG168" s="10916"/>
    </row>
    <row r="169" spans="1:33" ht="15.75" customHeight="1">
      <c r="A169" s="11000"/>
      <c r="B169" s="10934"/>
      <c r="C169" s="10937"/>
      <c r="D169" s="10937"/>
      <c r="E169" s="10937"/>
      <c r="F169" s="10940"/>
      <c r="G169" s="10937"/>
      <c r="H169" s="10937"/>
      <c r="I169" s="10940"/>
      <c r="J169" s="10937"/>
      <c r="K169" s="10937"/>
      <c r="L169" s="11053"/>
      <c r="M169" s="11053"/>
      <c r="N169" s="11053"/>
      <c r="O169" s="10937"/>
      <c r="P169" s="10937"/>
      <c r="Q169" s="11056"/>
      <c r="R169" s="3984" t="s">
        <v>294</v>
      </c>
      <c r="S169" s="3916" t="s">
        <v>294</v>
      </c>
      <c r="T169" s="3917">
        <v>371950013</v>
      </c>
      <c r="U169" s="3913" t="s">
        <v>5301</v>
      </c>
      <c r="V169" s="6190">
        <v>3</v>
      </c>
      <c r="W169" s="3925" t="s">
        <v>5302</v>
      </c>
      <c r="X169" s="7567">
        <v>22</v>
      </c>
      <c r="Y169" s="7567">
        <f t="shared" si="5"/>
        <v>66</v>
      </c>
      <c r="Z169" s="7567">
        <f t="shared" si="6"/>
        <v>73.92</v>
      </c>
      <c r="AA169" s="7566" t="s">
        <v>294</v>
      </c>
      <c r="AB169" s="7669"/>
      <c r="AC169" s="3920"/>
      <c r="AD169" s="3921" t="s">
        <v>294</v>
      </c>
      <c r="AE169" s="3922" t="s">
        <v>153</v>
      </c>
      <c r="AF169" s="3959" t="s">
        <v>294</v>
      </c>
      <c r="AG169" s="10916"/>
    </row>
    <row r="170" spans="1:33" ht="15.75" customHeight="1">
      <c r="A170" s="11000"/>
      <c r="B170" s="10934"/>
      <c r="C170" s="10937"/>
      <c r="D170" s="10937"/>
      <c r="E170" s="10937"/>
      <c r="F170" s="10940"/>
      <c r="G170" s="10937"/>
      <c r="H170" s="10937"/>
      <c r="I170" s="10940"/>
      <c r="J170" s="10937"/>
      <c r="K170" s="10937"/>
      <c r="L170" s="11053"/>
      <c r="M170" s="11053"/>
      <c r="N170" s="11053"/>
      <c r="O170" s="10937"/>
      <c r="P170" s="10937"/>
      <c r="Q170" s="11056"/>
      <c r="R170" s="3984" t="s">
        <v>294</v>
      </c>
      <c r="S170" s="3916" t="s">
        <v>294</v>
      </c>
      <c r="T170" s="3917">
        <v>352901091</v>
      </c>
      <c r="U170" s="3913" t="s">
        <v>5303</v>
      </c>
      <c r="V170" s="6190">
        <v>10</v>
      </c>
      <c r="W170" s="3925" t="s">
        <v>180</v>
      </c>
      <c r="X170" s="7567">
        <v>1.5</v>
      </c>
      <c r="Y170" s="7567">
        <f t="shared" si="5"/>
        <v>15</v>
      </c>
      <c r="Z170" s="7567">
        <f t="shared" si="6"/>
        <v>16.8</v>
      </c>
      <c r="AA170" s="7566" t="s">
        <v>294</v>
      </c>
      <c r="AB170" s="7669"/>
      <c r="AC170" s="3920"/>
      <c r="AD170" s="3921" t="s">
        <v>294</v>
      </c>
      <c r="AE170" s="3922" t="s">
        <v>153</v>
      </c>
      <c r="AF170" s="3959" t="s">
        <v>294</v>
      </c>
      <c r="AG170" s="10916"/>
    </row>
    <row r="171" spans="1:33" ht="15.75" customHeight="1">
      <c r="A171" s="11000"/>
      <c r="B171" s="10934"/>
      <c r="C171" s="10937"/>
      <c r="D171" s="10937"/>
      <c r="E171" s="10937"/>
      <c r="F171" s="10940"/>
      <c r="G171" s="10937"/>
      <c r="H171" s="10937"/>
      <c r="I171" s="10940"/>
      <c r="J171" s="10937"/>
      <c r="K171" s="10937"/>
      <c r="L171" s="11054"/>
      <c r="M171" s="11054"/>
      <c r="N171" s="11054"/>
      <c r="O171" s="10938"/>
      <c r="P171" s="10938"/>
      <c r="Q171" s="11057"/>
      <c r="R171" s="4423" t="s">
        <v>294</v>
      </c>
      <c r="S171" s="3996" t="s">
        <v>294</v>
      </c>
      <c r="T171" s="3977">
        <v>352901091</v>
      </c>
      <c r="U171" s="4115" t="s">
        <v>5304</v>
      </c>
      <c r="V171" s="7543">
        <v>10</v>
      </c>
      <c r="W171" s="3978" t="s">
        <v>180</v>
      </c>
      <c r="X171" s="7573">
        <v>1.5</v>
      </c>
      <c r="Y171" s="7573">
        <f t="shared" si="5"/>
        <v>15</v>
      </c>
      <c r="Z171" s="7573">
        <f t="shared" si="6"/>
        <v>16.8</v>
      </c>
      <c r="AA171" s="7574" t="s">
        <v>294</v>
      </c>
      <c r="AB171" s="7672"/>
      <c r="AC171" s="3979"/>
      <c r="AD171" s="4035" t="s">
        <v>294</v>
      </c>
      <c r="AE171" s="4036" t="s">
        <v>153</v>
      </c>
      <c r="AF171" s="3997" t="s">
        <v>294</v>
      </c>
      <c r="AG171" s="10917"/>
    </row>
    <row r="172" spans="1:33" ht="45" customHeight="1">
      <c r="A172" s="11000"/>
      <c r="B172" s="10934"/>
      <c r="C172" s="10937"/>
      <c r="D172" s="10937"/>
      <c r="E172" s="10937"/>
      <c r="F172" s="10940"/>
      <c r="G172" s="10937"/>
      <c r="H172" s="10937"/>
      <c r="I172" s="10940"/>
      <c r="J172" s="10937"/>
      <c r="K172" s="10937"/>
      <c r="L172" s="10912">
        <v>1</v>
      </c>
      <c r="M172" s="10912">
        <v>32</v>
      </c>
      <c r="N172" s="10912">
        <v>31</v>
      </c>
      <c r="O172" s="10948" t="s">
        <v>5281</v>
      </c>
      <c r="P172" s="10948" t="s">
        <v>5305</v>
      </c>
      <c r="Q172" s="11055" t="s">
        <v>5306</v>
      </c>
      <c r="R172" s="3983" t="s">
        <v>5011</v>
      </c>
      <c r="S172" s="3907">
        <v>840104</v>
      </c>
      <c r="T172" s="4118" t="s">
        <v>294</v>
      </c>
      <c r="U172" s="3906" t="s">
        <v>39</v>
      </c>
      <c r="V172" s="6189" t="s">
        <v>294</v>
      </c>
      <c r="W172" s="3908" t="s">
        <v>294</v>
      </c>
      <c r="X172" s="7562" t="s">
        <v>294</v>
      </c>
      <c r="Y172" s="7562" t="s">
        <v>294</v>
      </c>
      <c r="Z172" s="7562" t="s">
        <v>294</v>
      </c>
      <c r="AA172" s="7564">
        <f>+Z173</f>
        <v>1224.8</v>
      </c>
      <c r="AB172" s="7668" t="s">
        <v>25</v>
      </c>
      <c r="AC172" s="3909"/>
      <c r="AD172" s="3910" t="s">
        <v>294</v>
      </c>
      <c r="AE172" s="3911" t="s">
        <v>294</v>
      </c>
      <c r="AF172" s="3987" t="s">
        <v>294</v>
      </c>
      <c r="AG172" s="10915" t="s">
        <v>294</v>
      </c>
    </row>
    <row r="173" spans="1:33" ht="45" customHeight="1">
      <c r="A173" s="11000"/>
      <c r="B173" s="10934"/>
      <c r="C173" s="10937"/>
      <c r="D173" s="10937"/>
      <c r="E173" s="10937"/>
      <c r="F173" s="10940"/>
      <c r="G173" s="10937"/>
      <c r="H173" s="10937"/>
      <c r="I173" s="10940"/>
      <c r="J173" s="10937"/>
      <c r="K173" s="10937"/>
      <c r="L173" s="10913"/>
      <c r="M173" s="10913"/>
      <c r="N173" s="10913"/>
      <c r="O173" s="10985"/>
      <c r="P173" s="10985"/>
      <c r="Q173" s="11058"/>
      <c r="R173" s="4420" t="s">
        <v>294</v>
      </c>
      <c r="S173" s="4038" t="s">
        <v>294</v>
      </c>
      <c r="T173" s="4038">
        <v>482310011</v>
      </c>
      <c r="U173" s="3982" t="s">
        <v>5307</v>
      </c>
      <c r="V173" s="6191">
        <v>1</v>
      </c>
      <c r="W173" s="4039" t="s">
        <v>180</v>
      </c>
      <c r="X173" s="7598">
        <f>1224.8/1.12</f>
        <v>1093.5714285714284</v>
      </c>
      <c r="Y173" s="7598">
        <f>+V173*X173</f>
        <v>1093.5714285714284</v>
      </c>
      <c r="Z173" s="7598">
        <f>+Y173*1.12</f>
        <v>1224.8</v>
      </c>
      <c r="AA173" s="7569" t="s">
        <v>294</v>
      </c>
      <c r="AB173" s="4097"/>
      <c r="AC173" s="4098"/>
      <c r="AD173" s="4041" t="s">
        <v>294</v>
      </c>
      <c r="AE173" s="4042"/>
      <c r="AF173" s="4117" t="s">
        <v>153</v>
      </c>
      <c r="AG173" s="10917"/>
    </row>
    <row r="174" spans="1:33" ht="101.25" customHeight="1">
      <c r="A174" s="11000"/>
      <c r="B174" s="10934"/>
      <c r="C174" s="10937"/>
      <c r="D174" s="10937"/>
      <c r="E174" s="10937"/>
      <c r="F174" s="10940"/>
      <c r="G174" s="10937"/>
      <c r="H174" s="10937"/>
      <c r="I174" s="10940"/>
      <c r="J174" s="10937"/>
      <c r="K174" s="10937"/>
      <c r="L174" s="4677">
        <v>1</v>
      </c>
      <c r="M174" s="4677">
        <v>1</v>
      </c>
      <c r="N174" s="4677">
        <v>1</v>
      </c>
      <c r="O174" s="4125" t="s">
        <v>5281</v>
      </c>
      <c r="P174" s="4678" t="s">
        <v>5308</v>
      </c>
      <c r="Q174" s="4126" t="s">
        <v>5309</v>
      </c>
      <c r="R174" s="4424" t="s">
        <v>294</v>
      </c>
      <c r="S174" s="7518" t="s">
        <v>294</v>
      </c>
      <c r="T174" s="7518" t="s">
        <v>294</v>
      </c>
      <c r="U174" s="4127" t="s">
        <v>294</v>
      </c>
      <c r="V174" s="7559" t="s">
        <v>294</v>
      </c>
      <c r="W174" s="4128" t="s">
        <v>294</v>
      </c>
      <c r="X174" s="7599" t="s">
        <v>294</v>
      </c>
      <c r="Y174" s="7599" t="s">
        <v>294</v>
      </c>
      <c r="Z174" s="7599" t="s">
        <v>294</v>
      </c>
      <c r="AA174" s="7600" t="s">
        <v>294</v>
      </c>
      <c r="AB174" s="4129"/>
      <c r="AC174" s="4130"/>
      <c r="AD174" s="4131" t="s">
        <v>294</v>
      </c>
      <c r="AE174" s="4132" t="s">
        <v>294</v>
      </c>
      <c r="AF174" s="4133" t="s">
        <v>294</v>
      </c>
      <c r="AG174" s="4134" t="s">
        <v>294</v>
      </c>
    </row>
    <row r="175" spans="1:33" ht="49.5" customHeight="1">
      <c r="A175" s="11000"/>
      <c r="B175" s="10934"/>
      <c r="C175" s="10937"/>
      <c r="D175" s="10937"/>
      <c r="E175" s="10937"/>
      <c r="F175" s="10940"/>
      <c r="G175" s="10937"/>
      <c r="H175" s="10937"/>
      <c r="I175" s="10940"/>
      <c r="J175" s="10937"/>
      <c r="K175" s="10937"/>
      <c r="L175" s="10912">
        <v>2</v>
      </c>
      <c r="M175" s="10912">
        <v>3</v>
      </c>
      <c r="N175" s="10912">
        <v>2</v>
      </c>
      <c r="O175" s="10936" t="s">
        <v>5281</v>
      </c>
      <c r="P175" s="10936" t="s">
        <v>5310</v>
      </c>
      <c r="Q175" s="11060" t="s">
        <v>5311</v>
      </c>
      <c r="R175" s="4026" t="s">
        <v>5011</v>
      </c>
      <c r="S175" s="4124">
        <v>840104</v>
      </c>
      <c r="T175" s="4010" t="s">
        <v>294</v>
      </c>
      <c r="U175" s="3981" t="s">
        <v>39</v>
      </c>
      <c r="V175" s="6192" t="s">
        <v>294</v>
      </c>
      <c r="W175" s="4001" t="s">
        <v>294</v>
      </c>
      <c r="X175" s="7570" t="s">
        <v>294</v>
      </c>
      <c r="Y175" s="7570" t="s">
        <v>294</v>
      </c>
      <c r="Z175" s="7570" t="s">
        <v>294</v>
      </c>
      <c r="AA175" s="7571">
        <f>+Z176</f>
        <v>6776.0000000000009</v>
      </c>
      <c r="AB175" s="7671" t="s">
        <v>25</v>
      </c>
      <c r="AC175" s="4002"/>
      <c r="AD175" s="4003" t="s">
        <v>294</v>
      </c>
      <c r="AE175" s="4003" t="s">
        <v>294</v>
      </c>
      <c r="AF175" s="4671" t="s">
        <v>294</v>
      </c>
      <c r="AG175" s="10915" t="s">
        <v>294</v>
      </c>
    </row>
    <row r="176" spans="1:33" ht="49.5" customHeight="1">
      <c r="A176" s="11000"/>
      <c r="B176" s="10934"/>
      <c r="C176" s="10937"/>
      <c r="D176" s="10937"/>
      <c r="E176" s="10937"/>
      <c r="F176" s="10940"/>
      <c r="G176" s="10937"/>
      <c r="H176" s="10937"/>
      <c r="I176" s="10940"/>
      <c r="J176" s="10937"/>
      <c r="K176" s="10937"/>
      <c r="L176" s="10913"/>
      <c r="M176" s="10913"/>
      <c r="N176" s="10913"/>
      <c r="O176" s="10985"/>
      <c r="P176" s="10985"/>
      <c r="Q176" s="11058"/>
      <c r="R176" s="4420" t="s">
        <v>294</v>
      </c>
      <c r="S176" s="4116" t="s">
        <v>294</v>
      </c>
      <c r="T176" s="4038" t="s">
        <v>5312</v>
      </c>
      <c r="U176" s="3982" t="s">
        <v>5313</v>
      </c>
      <c r="V176" s="6191">
        <v>1</v>
      </c>
      <c r="W176" s="4043" t="s">
        <v>180</v>
      </c>
      <c r="X176" s="7568">
        <v>6050</v>
      </c>
      <c r="Y176" s="7568">
        <f>+V176*X176</f>
        <v>6050</v>
      </c>
      <c r="Z176" s="7568">
        <f>+Y176*1.12</f>
        <v>6776.0000000000009</v>
      </c>
      <c r="AA176" s="7568" t="s">
        <v>294</v>
      </c>
      <c r="AB176" s="4135"/>
      <c r="AC176" s="4063"/>
      <c r="AD176" s="4041" t="s">
        <v>294</v>
      </c>
      <c r="AE176" s="4041" t="s">
        <v>153</v>
      </c>
      <c r="AF176" s="4674" t="s">
        <v>294</v>
      </c>
      <c r="AG176" s="10917"/>
    </row>
    <row r="177" spans="1:33" ht="25.5">
      <c r="A177" s="11000"/>
      <c r="B177" s="10934"/>
      <c r="C177" s="10937"/>
      <c r="D177" s="10937"/>
      <c r="E177" s="10937"/>
      <c r="F177" s="10940"/>
      <c r="G177" s="10937"/>
      <c r="H177" s="10937"/>
      <c r="I177" s="10940"/>
      <c r="J177" s="10937"/>
      <c r="K177" s="10937"/>
      <c r="L177" s="10912">
        <v>1</v>
      </c>
      <c r="M177" s="10912">
        <v>3</v>
      </c>
      <c r="N177" s="10912">
        <v>2</v>
      </c>
      <c r="O177" s="10936" t="s">
        <v>5281</v>
      </c>
      <c r="P177" s="10936" t="s">
        <v>5310</v>
      </c>
      <c r="Q177" s="11060" t="s">
        <v>5314</v>
      </c>
      <c r="R177" s="4421" t="s">
        <v>5011</v>
      </c>
      <c r="S177" s="4247">
        <v>840104</v>
      </c>
      <c r="T177" s="4248" t="s">
        <v>294</v>
      </c>
      <c r="U177" s="4244" t="s">
        <v>39</v>
      </c>
      <c r="V177" s="7541" t="s">
        <v>294</v>
      </c>
      <c r="W177" s="4238" t="s">
        <v>294</v>
      </c>
      <c r="X177" s="7594" t="s">
        <v>294</v>
      </c>
      <c r="Y177" s="7594" t="s">
        <v>294</v>
      </c>
      <c r="Z177" s="7594" t="s">
        <v>294</v>
      </c>
      <c r="AA177" s="7601">
        <f>+Z178</f>
        <v>448</v>
      </c>
      <c r="AB177" s="7681" t="s">
        <v>18</v>
      </c>
      <c r="AC177" s="4239"/>
      <c r="AD177" s="4245" t="s">
        <v>294</v>
      </c>
      <c r="AE177" s="4245" t="s">
        <v>294</v>
      </c>
      <c r="AF177" s="4249" t="s">
        <v>294</v>
      </c>
      <c r="AG177" s="10915" t="s">
        <v>294</v>
      </c>
    </row>
    <row r="178" spans="1:33" ht="15.75" customHeight="1">
      <c r="A178" s="11000"/>
      <c r="B178" s="10934"/>
      <c r="C178" s="10937"/>
      <c r="D178" s="10937"/>
      <c r="E178" s="10937"/>
      <c r="F178" s="10940"/>
      <c r="G178" s="10937"/>
      <c r="H178" s="10937"/>
      <c r="I178" s="10940"/>
      <c r="J178" s="10937"/>
      <c r="K178" s="10937"/>
      <c r="L178" s="10914"/>
      <c r="M178" s="10914"/>
      <c r="N178" s="10914"/>
      <c r="O178" s="10937"/>
      <c r="P178" s="10937"/>
      <c r="Q178" s="11056"/>
      <c r="R178" s="4422" t="s">
        <v>294</v>
      </c>
      <c r="S178" s="4226" t="s">
        <v>294</v>
      </c>
      <c r="T178" s="4233">
        <v>48253.05</v>
      </c>
      <c r="U178" s="4234" t="s">
        <v>5315</v>
      </c>
      <c r="V178" s="7542">
        <v>1</v>
      </c>
      <c r="W178" s="4229" t="s">
        <v>180</v>
      </c>
      <c r="X178" s="7602">
        <f>448/1.12</f>
        <v>399.99999999999994</v>
      </c>
      <c r="Y178" s="7602">
        <f>+V178*X178</f>
        <v>399.99999999999994</v>
      </c>
      <c r="Z178" s="7602">
        <f>+Y178*1.12</f>
        <v>448</v>
      </c>
      <c r="AA178" s="7597" t="s">
        <v>294</v>
      </c>
      <c r="AB178" s="7683"/>
      <c r="AC178" s="4235"/>
      <c r="AD178" s="4231" t="s">
        <v>294</v>
      </c>
      <c r="AE178" s="4232"/>
      <c r="AF178" s="4250" t="s">
        <v>153</v>
      </c>
      <c r="AG178" s="10916"/>
    </row>
    <row r="179" spans="1:33" ht="38.25">
      <c r="A179" s="11000"/>
      <c r="B179" s="10934"/>
      <c r="C179" s="10937"/>
      <c r="D179" s="10937"/>
      <c r="E179" s="10937"/>
      <c r="F179" s="10940"/>
      <c r="G179" s="10937"/>
      <c r="H179" s="10937"/>
      <c r="I179" s="10940"/>
      <c r="J179" s="10937"/>
      <c r="K179" s="10937"/>
      <c r="L179" s="10914"/>
      <c r="M179" s="10914"/>
      <c r="N179" s="10914"/>
      <c r="O179" s="10937"/>
      <c r="P179" s="10937"/>
      <c r="Q179" s="11056"/>
      <c r="R179" s="4425" t="s">
        <v>5259</v>
      </c>
      <c r="S179" s="3965">
        <v>840104</v>
      </c>
      <c r="T179" s="3966" t="s">
        <v>294</v>
      </c>
      <c r="U179" s="3967" t="s">
        <v>39</v>
      </c>
      <c r="V179" s="7544" t="s">
        <v>294</v>
      </c>
      <c r="W179" s="3968" t="s">
        <v>294</v>
      </c>
      <c r="X179" s="7603" t="s">
        <v>294</v>
      </c>
      <c r="Y179" s="7603" t="s">
        <v>294</v>
      </c>
      <c r="Z179" s="7603" t="s">
        <v>294</v>
      </c>
      <c r="AA179" s="7583">
        <f>+Z180</f>
        <v>39.200000000000003</v>
      </c>
      <c r="AB179" s="7684" t="s">
        <v>18</v>
      </c>
      <c r="AC179" s="3920"/>
      <c r="AD179" s="3921" t="s">
        <v>294</v>
      </c>
      <c r="AE179" s="3922" t="s">
        <v>294</v>
      </c>
      <c r="AF179" s="3959" t="s">
        <v>294</v>
      </c>
      <c r="AG179" s="10916"/>
    </row>
    <row r="180" spans="1:33" ht="15.75" customHeight="1">
      <c r="A180" s="11000"/>
      <c r="B180" s="10934"/>
      <c r="C180" s="10937"/>
      <c r="D180" s="10937"/>
      <c r="E180" s="10937"/>
      <c r="F180" s="10940"/>
      <c r="G180" s="10937"/>
      <c r="H180" s="10937"/>
      <c r="I180" s="10940"/>
      <c r="J180" s="10937"/>
      <c r="K180" s="10937"/>
      <c r="L180" s="10914"/>
      <c r="M180" s="10914"/>
      <c r="N180" s="10914"/>
      <c r="O180" s="10937"/>
      <c r="P180" s="10937"/>
      <c r="Q180" s="11056"/>
      <c r="R180" s="4426" t="s">
        <v>294</v>
      </c>
      <c r="S180" s="3966" t="s">
        <v>294</v>
      </c>
      <c r="T180" s="3966">
        <v>48253.04</v>
      </c>
      <c r="U180" s="3969" t="s">
        <v>5316</v>
      </c>
      <c r="V180" s="7544">
        <v>1</v>
      </c>
      <c r="W180" s="3968" t="s">
        <v>180</v>
      </c>
      <c r="X180" s="7565">
        <f>39.2/1.12</f>
        <v>35</v>
      </c>
      <c r="Y180" s="7565">
        <f>+V180*X180</f>
        <v>35</v>
      </c>
      <c r="Z180" s="7565">
        <f>+Y180*1.12</f>
        <v>39.200000000000003</v>
      </c>
      <c r="AA180" s="7604" t="s">
        <v>294</v>
      </c>
      <c r="AB180" s="3970"/>
      <c r="AC180" s="3956"/>
      <c r="AD180" s="3921" t="s">
        <v>294</v>
      </c>
      <c r="AE180" s="3922"/>
      <c r="AF180" s="4242" t="s">
        <v>153</v>
      </c>
      <c r="AG180" s="10916"/>
    </row>
    <row r="181" spans="1:33" ht="15.75" customHeight="1">
      <c r="A181" s="11000"/>
      <c r="B181" s="10934"/>
      <c r="C181" s="10937"/>
      <c r="D181" s="10937"/>
      <c r="E181" s="10937"/>
      <c r="F181" s="10940"/>
      <c r="G181" s="10937"/>
      <c r="H181" s="10937"/>
      <c r="I181" s="10940"/>
      <c r="J181" s="10937"/>
      <c r="K181" s="10937"/>
      <c r="L181" s="10913"/>
      <c r="M181" s="10913"/>
      <c r="N181" s="10913"/>
      <c r="O181" s="10938"/>
      <c r="P181" s="10938"/>
      <c r="Q181" s="11057"/>
      <c r="R181" s="4423" t="s">
        <v>294</v>
      </c>
      <c r="S181" s="3977"/>
      <c r="T181" s="3977" t="s">
        <v>294</v>
      </c>
      <c r="U181" s="3952" t="s">
        <v>294</v>
      </c>
      <c r="V181" s="6193" t="s">
        <v>294</v>
      </c>
      <c r="W181" s="3978" t="s">
        <v>294</v>
      </c>
      <c r="X181" s="7573" t="s">
        <v>294</v>
      </c>
      <c r="Y181" s="7573" t="s">
        <v>294</v>
      </c>
      <c r="Z181" s="7573" t="s">
        <v>294</v>
      </c>
      <c r="AA181" s="7574" t="s">
        <v>294</v>
      </c>
      <c r="AB181" s="3994"/>
      <c r="AC181" s="3995"/>
      <c r="AD181" s="4035" t="s">
        <v>294</v>
      </c>
      <c r="AE181" s="4036" t="s">
        <v>294</v>
      </c>
      <c r="AF181" s="3997" t="s">
        <v>294</v>
      </c>
      <c r="AG181" s="10917"/>
    </row>
    <row r="182" spans="1:33" ht="51" customHeight="1">
      <c r="A182" s="11000"/>
      <c r="B182" s="10934"/>
      <c r="C182" s="10937"/>
      <c r="D182" s="10937"/>
      <c r="E182" s="10937"/>
      <c r="F182" s="10940"/>
      <c r="G182" s="10937"/>
      <c r="H182" s="10937"/>
      <c r="I182" s="10940"/>
      <c r="J182" s="10937"/>
      <c r="K182" s="10937"/>
      <c r="L182" s="10912">
        <v>8</v>
      </c>
      <c r="M182" s="10912">
        <v>20</v>
      </c>
      <c r="N182" s="10912">
        <v>10</v>
      </c>
      <c r="O182" s="10948" t="s">
        <v>5281</v>
      </c>
      <c r="P182" s="10948" t="s">
        <v>5310</v>
      </c>
      <c r="Q182" s="11055" t="s">
        <v>5317</v>
      </c>
      <c r="R182" s="3983" t="s">
        <v>5011</v>
      </c>
      <c r="S182" s="3907">
        <v>840104</v>
      </c>
      <c r="T182" s="4118" t="s">
        <v>294</v>
      </c>
      <c r="U182" s="3906" t="s">
        <v>39</v>
      </c>
      <c r="V182" s="6189" t="s">
        <v>294</v>
      </c>
      <c r="W182" s="3908" t="s">
        <v>294</v>
      </c>
      <c r="X182" s="7562" t="s">
        <v>294</v>
      </c>
      <c r="Y182" s="7562" t="s">
        <v>294</v>
      </c>
      <c r="Z182" s="7562" t="s">
        <v>294</v>
      </c>
      <c r="AA182" s="7564">
        <f>+Z183</f>
        <v>1444.8</v>
      </c>
      <c r="AB182" s="7668" t="s">
        <v>25</v>
      </c>
      <c r="AC182" s="3909"/>
      <c r="AD182" s="3910" t="s">
        <v>294</v>
      </c>
      <c r="AE182" s="3911" t="s">
        <v>294</v>
      </c>
      <c r="AF182" s="3987" t="s">
        <v>294</v>
      </c>
      <c r="AG182" s="10915" t="s">
        <v>294</v>
      </c>
    </row>
    <row r="183" spans="1:33" ht="51" customHeight="1">
      <c r="A183" s="11000"/>
      <c r="B183" s="10934"/>
      <c r="C183" s="10937"/>
      <c r="D183" s="10937"/>
      <c r="E183" s="10937"/>
      <c r="F183" s="10940"/>
      <c r="G183" s="10937"/>
      <c r="H183" s="10937"/>
      <c r="I183" s="10940"/>
      <c r="J183" s="10937"/>
      <c r="K183" s="10937"/>
      <c r="L183" s="10913"/>
      <c r="M183" s="10913"/>
      <c r="N183" s="10913"/>
      <c r="O183" s="10985"/>
      <c r="P183" s="10985"/>
      <c r="Q183" s="11058"/>
      <c r="R183" s="4420" t="s">
        <v>294</v>
      </c>
      <c r="S183" s="4116" t="s">
        <v>294</v>
      </c>
      <c r="T183" s="4038" t="s">
        <v>5318</v>
      </c>
      <c r="U183" s="3982" t="s">
        <v>5319</v>
      </c>
      <c r="V183" s="6191">
        <v>1</v>
      </c>
      <c r="W183" s="4039" t="s">
        <v>180</v>
      </c>
      <c r="X183" s="7598">
        <f>1444.8/1.12</f>
        <v>1289.9999999999998</v>
      </c>
      <c r="Y183" s="7598">
        <f>+V183*X183</f>
        <v>1289.9999999999998</v>
      </c>
      <c r="Z183" s="7598">
        <f>+Y183*1.12</f>
        <v>1444.8</v>
      </c>
      <c r="AA183" s="7569" t="s">
        <v>294</v>
      </c>
      <c r="AB183" s="4097"/>
      <c r="AC183" s="4098"/>
      <c r="AD183" s="4041" t="s">
        <v>294</v>
      </c>
      <c r="AE183" s="4042"/>
      <c r="AF183" s="4266" t="s">
        <v>153</v>
      </c>
      <c r="AG183" s="10917"/>
    </row>
    <row r="184" spans="1:33" ht="48" customHeight="1">
      <c r="A184" s="11000"/>
      <c r="B184" s="10934"/>
      <c r="C184" s="10937"/>
      <c r="D184" s="10937"/>
      <c r="E184" s="10937"/>
      <c r="F184" s="10940"/>
      <c r="G184" s="10937"/>
      <c r="H184" s="10937"/>
      <c r="I184" s="10940"/>
      <c r="J184" s="10937"/>
      <c r="K184" s="10937"/>
      <c r="L184" s="11063">
        <v>1</v>
      </c>
      <c r="M184" s="11063">
        <v>2</v>
      </c>
      <c r="N184" s="11063">
        <v>1</v>
      </c>
      <c r="O184" s="10936" t="s">
        <v>5320</v>
      </c>
      <c r="P184" s="10936" t="s">
        <v>5321</v>
      </c>
      <c r="Q184" s="11068" t="s">
        <v>5322</v>
      </c>
      <c r="R184" s="4026" t="s">
        <v>5011</v>
      </c>
      <c r="S184" s="4000">
        <v>530823</v>
      </c>
      <c r="T184" s="4000" t="s">
        <v>294</v>
      </c>
      <c r="U184" s="3981" t="s">
        <v>4443</v>
      </c>
      <c r="V184" s="6192" t="s">
        <v>294</v>
      </c>
      <c r="W184" s="4001" t="s">
        <v>294</v>
      </c>
      <c r="X184" s="7570" t="s">
        <v>294</v>
      </c>
      <c r="Y184" s="7570" t="s">
        <v>294</v>
      </c>
      <c r="Z184" s="7570" t="s">
        <v>294</v>
      </c>
      <c r="AA184" s="7571">
        <f>+Z185</f>
        <v>672.00000000000011</v>
      </c>
      <c r="AB184" s="7671" t="s">
        <v>26</v>
      </c>
      <c r="AC184" s="4002"/>
      <c r="AD184" s="4003" t="s">
        <v>294</v>
      </c>
      <c r="AE184" s="4004" t="s">
        <v>294</v>
      </c>
      <c r="AF184" s="4009" t="s">
        <v>294</v>
      </c>
      <c r="AG184" s="10915" t="s">
        <v>294</v>
      </c>
    </row>
    <row r="185" spans="1:33" ht="48" customHeight="1">
      <c r="A185" s="11000"/>
      <c r="B185" s="10934"/>
      <c r="C185" s="10937"/>
      <c r="D185" s="10937"/>
      <c r="E185" s="10937"/>
      <c r="F185" s="10940"/>
      <c r="G185" s="10937"/>
      <c r="H185" s="10937"/>
      <c r="I185" s="10940"/>
      <c r="J185" s="10937"/>
      <c r="K185" s="10937"/>
      <c r="L185" s="11054"/>
      <c r="M185" s="11054"/>
      <c r="N185" s="11054"/>
      <c r="O185" s="10938"/>
      <c r="P185" s="10938"/>
      <c r="Q185" s="11069"/>
      <c r="R185" s="4423" t="s">
        <v>294</v>
      </c>
      <c r="S185" s="3977" t="s">
        <v>294</v>
      </c>
      <c r="T185" s="3977">
        <v>23310.09</v>
      </c>
      <c r="U185" s="3952" t="s">
        <v>5323</v>
      </c>
      <c r="V185" s="6193">
        <v>20</v>
      </c>
      <c r="W185" s="3978" t="s">
        <v>5324</v>
      </c>
      <c r="X185" s="7573">
        <v>30</v>
      </c>
      <c r="Y185" s="7573">
        <f>+V185*X185</f>
        <v>600</v>
      </c>
      <c r="Z185" s="7573">
        <f>+Y185*1.12</f>
        <v>672.00000000000011</v>
      </c>
      <c r="AA185" s="7574" t="s">
        <v>294</v>
      </c>
      <c r="AB185" s="3994"/>
      <c r="AC185" s="3995"/>
      <c r="AD185" s="4035" t="s">
        <v>294</v>
      </c>
      <c r="AE185" s="4036" t="s">
        <v>153</v>
      </c>
      <c r="AF185" s="3997" t="s">
        <v>294</v>
      </c>
      <c r="AG185" s="10917"/>
    </row>
    <row r="186" spans="1:33" ht="25.5">
      <c r="A186" s="11000"/>
      <c r="B186" s="10934"/>
      <c r="C186" s="10937"/>
      <c r="D186" s="10937"/>
      <c r="E186" s="10937"/>
      <c r="F186" s="10940"/>
      <c r="G186" s="10937"/>
      <c r="H186" s="10937"/>
      <c r="I186" s="10940"/>
      <c r="J186" s="10937"/>
      <c r="K186" s="10937"/>
      <c r="L186" s="11052">
        <v>15</v>
      </c>
      <c r="M186" s="11052">
        <v>30</v>
      </c>
      <c r="N186" s="11052">
        <v>15</v>
      </c>
      <c r="O186" s="10948" t="s">
        <v>5325</v>
      </c>
      <c r="P186" s="10948" t="s">
        <v>5326</v>
      </c>
      <c r="Q186" s="11070" t="s">
        <v>5327</v>
      </c>
      <c r="R186" s="3983" t="s">
        <v>5011</v>
      </c>
      <c r="S186" s="3907">
        <v>530404</v>
      </c>
      <c r="T186" s="4118" t="s">
        <v>294</v>
      </c>
      <c r="U186" s="3906" t="s">
        <v>505</v>
      </c>
      <c r="V186" s="6189" t="s">
        <v>294</v>
      </c>
      <c r="W186" s="3908" t="s">
        <v>294</v>
      </c>
      <c r="X186" s="7562" t="s">
        <v>294</v>
      </c>
      <c r="Y186" s="7562" t="s">
        <v>294</v>
      </c>
      <c r="Z186" s="7562" t="s">
        <v>294</v>
      </c>
      <c r="AA186" s="8085">
        <f>+Z187</f>
        <v>0</v>
      </c>
      <c r="AB186" s="7668" t="s">
        <v>18</v>
      </c>
      <c r="AC186" s="3909"/>
      <c r="AD186" s="3910" t="s">
        <v>294</v>
      </c>
      <c r="AE186" s="3911" t="s">
        <v>294</v>
      </c>
      <c r="AF186" s="3987" t="s">
        <v>294</v>
      </c>
      <c r="AG186" s="10915" t="s">
        <v>294</v>
      </c>
    </row>
    <row r="187" spans="1:33" ht="41.25" customHeight="1">
      <c r="A187" s="11000"/>
      <c r="B187" s="10934"/>
      <c r="C187" s="10937"/>
      <c r="D187" s="10937"/>
      <c r="E187" s="10937"/>
      <c r="F187" s="10940"/>
      <c r="G187" s="10937"/>
      <c r="H187" s="10937"/>
      <c r="I187" s="10940"/>
      <c r="J187" s="10937"/>
      <c r="K187" s="10937"/>
      <c r="L187" s="11053"/>
      <c r="M187" s="11053"/>
      <c r="N187" s="11053"/>
      <c r="O187" s="10937"/>
      <c r="P187" s="10937"/>
      <c r="Q187" s="11071"/>
      <c r="R187" s="3984" t="s">
        <v>294</v>
      </c>
      <c r="S187" s="3916" t="s">
        <v>294</v>
      </c>
      <c r="T187" s="3960">
        <v>547900411</v>
      </c>
      <c r="U187" s="3913" t="s">
        <v>5328</v>
      </c>
      <c r="V187" s="8084">
        <v>0</v>
      </c>
      <c r="W187" s="3925" t="s">
        <v>180</v>
      </c>
      <c r="X187" s="7567">
        <v>2100</v>
      </c>
      <c r="Y187" s="7567">
        <f>+V187*X187</f>
        <v>0</v>
      </c>
      <c r="Z187" s="7567">
        <f>+Y187*1.12</f>
        <v>0</v>
      </c>
      <c r="AA187" s="7566" t="s">
        <v>294</v>
      </c>
      <c r="AB187" s="3940"/>
      <c r="AC187" s="3956"/>
      <c r="AD187" s="3921" t="s">
        <v>294</v>
      </c>
      <c r="AE187" s="3922" t="s">
        <v>153</v>
      </c>
      <c r="AF187" s="3959" t="s">
        <v>294</v>
      </c>
      <c r="AG187" s="10916"/>
    </row>
    <row r="188" spans="1:33" ht="15.75" customHeight="1">
      <c r="A188" s="11000"/>
      <c r="B188" s="10934"/>
      <c r="C188" s="10937"/>
      <c r="D188" s="10937"/>
      <c r="E188" s="10937"/>
      <c r="F188" s="10940"/>
      <c r="G188" s="10937"/>
      <c r="H188" s="10937"/>
      <c r="I188" s="10940"/>
      <c r="J188" s="10937"/>
      <c r="K188" s="10937"/>
      <c r="L188" s="11053"/>
      <c r="M188" s="11053"/>
      <c r="N188" s="11053"/>
      <c r="O188" s="10937"/>
      <c r="P188" s="10937"/>
      <c r="Q188" s="11071"/>
      <c r="R188" s="3984" t="s">
        <v>294</v>
      </c>
      <c r="S188" s="3916" t="s">
        <v>294</v>
      </c>
      <c r="T188" s="3917" t="s">
        <v>294</v>
      </c>
      <c r="U188" s="3914" t="s">
        <v>294</v>
      </c>
      <c r="V188" s="6190" t="s">
        <v>294</v>
      </c>
      <c r="W188" s="3925" t="s">
        <v>294</v>
      </c>
      <c r="X188" s="7567" t="s">
        <v>294</v>
      </c>
      <c r="Y188" s="7567" t="s">
        <v>294</v>
      </c>
      <c r="Z188" s="7567" t="s">
        <v>294</v>
      </c>
      <c r="AA188" s="7566" t="s">
        <v>294</v>
      </c>
      <c r="AB188" s="3940"/>
      <c r="AC188" s="3956"/>
      <c r="AD188" s="3921" t="s">
        <v>294</v>
      </c>
      <c r="AE188" s="3922" t="s">
        <v>294</v>
      </c>
      <c r="AF188" s="3959" t="s">
        <v>294</v>
      </c>
      <c r="AG188" s="10916"/>
    </row>
    <row r="189" spans="1:33" ht="15.75" customHeight="1">
      <c r="A189" s="11000"/>
      <c r="B189" s="10934"/>
      <c r="C189" s="10937"/>
      <c r="D189" s="10937"/>
      <c r="E189" s="10937"/>
      <c r="F189" s="10940"/>
      <c r="G189" s="10937"/>
      <c r="H189" s="10937"/>
      <c r="I189" s="10940"/>
      <c r="J189" s="10937"/>
      <c r="K189" s="10937"/>
      <c r="L189" s="11053"/>
      <c r="M189" s="11053"/>
      <c r="N189" s="11053"/>
      <c r="O189" s="10937"/>
      <c r="P189" s="10937"/>
      <c r="Q189" s="11071"/>
      <c r="R189" s="3984"/>
      <c r="S189" s="3916"/>
      <c r="T189" s="3917"/>
      <c r="U189" s="3914"/>
      <c r="V189" s="6190"/>
      <c r="W189" s="3925"/>
      <c r="X189" s="7567"/>
      <c r="Y189" s="7567"/>
      <c r="Z189" s="7567"/>
      <c r="AA189" s="7566"/>
      <c r="AB189" s="3940"/>
      <c r="AC189" s="3956"/>
      <c r="AD189" s="3921"/>
      <c r="AE189" s="3922"/>
      <c r="AF189" s="3959"/>
      <c r="AG189" s="10916"/>
    </row>
    <row r="190" spans="1:33" ht="15.75" customHeight="1">
      <c r="A190" s="11000"/>
      <c r="B190" s="10934"/>
      <c r="C190" s="10937"/>
      <c r="D190" s="10937"/>
      <c r="E190" s="10937"/>
      <c r="F190" s="10940"/>
      <c r="G190" s="10937"/>
      <c r="H190" s="10937"/>
      <c r="I190" s="10940"/>
      <c r="J190" s="10937"/>
      <c r="K190" s="10937"/>
      <c r="L190" s="11059"/>
      <c r="M190" s="11059"/>
      <c r="N190" s="11059"/>
      <c r="O190" s="10985"/>
      <c r="P190" s="10985"/>
      <c r="Q190" s="11072"/>
      <c r="R190" s="4420" t="s">
        <v>294</v>
      </c>
      <c r="S190" s="4038" t="s">
        <v>294</v>
      </c>
      <c r="T190" s="4038" t="s">
        <v>294</v>
      </c>
      <c r="U190" s="3982" t="s">
        <v>294</v>
      </c>
      <c r="V190" s="6191" t="s">
        <v>294</v>
      </c>
      <c r="W190" s="4039" t="s">
        <v>294</v>
      </c>
      <c r="X190" s="7568" t="s">
        <v>294</v>
      </c>
      <c r="Y190" s="7568" t="s">
        <v>294</v>
      </c>
      <c r="Z190" s="7568" t="s">
        <v>294</v>
      </c>
      <c r="AA190" s="7569" t="s">
        <v>294</v>
      </c>
      <c r="AB190" s="4097"/>
      <c r="AC190" s="4098"/>
      <c r="AD190" s="4041" t="s">
        <v>294</v>
      </c>
      <c r="AE190" s="4042" t="s">
        <v>294</v>
      </c>
      <c r="AF190" s="4117" t="s">
        <v>294</v>
      </c>
      <c r="AG190" s="10917"/>
    </row>
    <row r="191" spans="1:33" ht="28.5" customHeight="1">
      <c r="A191" s="11000"/>
      <c r="B191" s="10934"/>
      <c r="C191" s="10937"/>
      <c r="D191" s="10937"/>
      <c r="E191" s="10937"/>
      <c r="F191" s="10940"/>
      <c r="G191" s="10937"/>
      <c r="H191" s="10937"/>
      <c r="I191" s="10940"/>
      <c r="J191" s="10937"/>
      <c r="K191" s="10937"/>
      <c r="L191" s="11063">
        <v>5</v>
      </c>
      <c r="M191" s="11063">
        <v>50</v>
      </c>
      <c r="N191" s="11063">
        <v>3</v>
      </c>
      <c r="O191" s="10936" t="s">
        <v>5329</v>
      </c>
      <c r="P191" s="10936" t="s">
        <v>5330</v>
      </c>
      <c r="Q191" s="11060" t="s">
        <v>5331</v>
      </c>
      <c r="R191" s="4026" t="s">
        <v>5011</v>
      </c>
      <c r="S191" s="4000">
        <v>840104</v>
      </c>
      <c r="T191" s="4000" t="s">
        <v>294</v>
      </c>
      <c r="U191" s="3981" t="s">
        <v>39</v>
      </c>
      <c r="V191" s="6192" t="s">
        <v>294</v>
      </c>
      <c r="W191" s="4001" t="s">
        <v>294</v>
      </c>
      <c r="X191" s="7570" t="s">
        <v>294</v>
      </c>
      <c r="Y191" s="7570" t="s">
        <v>294</v>
      </c>
      <c r="Z191" s="7570" t="s">
        <v>294</v>
      </c>
      <c r="AA191" s="7605">
        <f>+SUM(Z192:Z195)</f>
        <v>6820.8</v>
      </c>
      <c r="AB191" s="7671" t="s">
        <v>25</v>
      </c>
      <c r="AC191" s="4002"/>
      <c r="AD191" s="4003" t="s">
        <v>294</v>
      </c>
      <c r="AE191" s="4004" t="s">
        <v>294</v>
      </c>
      <c r="AF191" s="4009" t="s">
        <v>294</v>
      </c>
      <c r="AG191" s="10915" t="s">
        <v>294</v>
      </c>
    </row>
    <row r="192" spans="1:33" ht="15.75" customHeight="1">
      <c r="A192" s="11000"/>
      <c r="B192" s="10934"/>
      <c r="C192" s="10937"/>
      <c r="D192" s="10937"/>
      <c r="E192" s="10937"/>
      <c r="F192" s="10940"/>
      <c r="G192" s="10937"/>
      <c r="H192" s="10937"/>
      <c r="I192" s="10940"/>
      <c r="J192" s="10937"/>
      <c r="K192" s="10937"/>
      <c r="L192" s="11053"/>
      <c r="M192" s="11053"/>
      <c r="N192" s="11053"/>
      <c r="O192" s="10937"/>
      <c r="P192" s="10937"/>
      <c r="Q192" s="11056"/>
      <c r="R192" s="4427" t="s">
        <v>294</v>
      </c>
      <c r="S192" s="3917" t="s">
        <v>294</v>
      </c>
      <c r="T192" s="3964">
        <v>482310011</v>
      </c>
      <c r="U192" s="3913" t="s">
        <v>5332</v>
      </c>
      <c r="V192" s="6190">
        <v>1</v>
      </c>
      <c r="W192" s="3925" t="s">
        <v>180</v>
      </c>
      <c r="X192" s="7565">
        <f>1444.8/1.12</f>
        <v>1289.9999999999998</v>
      </c>
      <c r="Y192" s="7565">
        <f>+V192*X192</f>
        <v>1289.9999999999998</v>
      </c>
      <c r="Z192" s="7565">
        <f>+Y192*1.12</f>
        <v>1444.8</v>
      </c>
      <c r="AA192" s="7567" t="s">
        <v>294</v>
      </c>
      <c r="AB192" s="3940"/>
      <c r="AC192" s="3955"/>
      <c r="AD192" s="3921" t="s">
        <v>294</v>
      </c>
      <c r="AE192" s="3922"/>
      <c r="AF192" s="4242" t="s">
        <v>153</v>
      </c>
      <c r="AG192" s="10916"/>
    </row>
    <row r="193" spans="1:33" ht="15.75" customHeight="1">
      <c r="A193" s="11000"/>
      <c r="B193" s="10934"/>
      <c r="C193" s="10937"/>
      <c r="D193" s="10937"/>
      <c r="E193" s="10937"/>
      <c r="F193" s="10940"/>
      <c r="G193" s="10937"/>
      <c r="H193" s="10937"/>
      <c r="I193" s="10940"/>
      <c r="J193" s="10937"/>
      <c r="K193" s="10937"/>
      <c r="L193" s="11053"/>
      <c r="M193" s="11053"/>
      <c r="N193" s="11053"/>
      <c r="O193" s="10937"/>
      <c r="P193" s="10937"/>
      <c r="Q193" s="11056"/>
      <c r="R193" s="4427" t="s">
        <v>294</v>
      </c>
      <c r="S193" s="3917" t="s">
        <v>294</v>
      </c>
      <c r="T193" s="3917">
        <v>373401011</v>
      </c>
      <c r="U193" s="3913" t="s">
        <v>5333</v>
      </c>
      <c r="V193" s="6190">
        <v>1</v>
      </c>
      <c r="W193" s="3925" t="s">
        <v>180</v>
      </c>
      <c r="X193" s="7565">
        <f>4536/1.12</f>
        <v>4049.9999999999995</v>
      </c>
      <c r="Y193" s="7565">
        <f>+V193*X193</f>
        <v>4049.9999999999995</v>
      </c>
      <c r="Z193" s="7565">
        <f>+Y193*1.12</f>
        <v>4536</v>
      </c>
      <c r="AA193" s="7567" t="s">
        <v>294</v>
      </c>
      <c r="AB193" s="3940"/>
      <c r="AC193" s="3955"/>
      <c r="AD193" s="3921" t="s">
        <v>294</v>
      </c>
      <c r="AE193" s="3922"/>
      <c r="AF193" s="4242" t="s">
        <v>153</v>
      </c>
      <c r="AG193" s="10916"/>
    </row>
    <row r="194" spans="1:33" ht="15.75" customHeight="1">
      <c r="A194" s="11000"/>
      <c r="B194" s="10934"/>
      <c r="C194" s="10937"/>
      <c r="D194" s="10937"/>
      <c r="E194" s="10937"/>
      <c r="F194" s="10940"/>
      <c r="G194" s="10937"/>
      <c r="H194" s="10937"/>
      <c r="I194" s="10940"/>
      <c r="J194" s="10937"/>
      <c r="K194" s="10937"/>
      <c r="L194" s="11053"/>
      <c r="M194" s="11053"/>
      <c r="N194" s="11053"/>
      <c r="O194" s="10937"/>
      <c r="P194" s="10937"/>
      <c r="Q194" s="11056"/>
      <c r="R194" s="4427" t="s">
        <v>294</v>
      </c>
      <c r="S194" s="3917" t="s">
        <v>294</v>
      </c>
      <c r="T194" s="3917">
        <v>47120.03</v>
      </c>
      <c r="U194" s="3913" t="s">
        <v>5334</v>
      </c>
      <c r="V194" s="6190">
        <v>1</v>
      </c>
      <c r="W194" s="3925" t="s">
        <v>180</v>
      </c>
      <c r="X194" s="7565">
        <f>448/1.12</f>
        <v>399.99999999999994</v>
      </c>
      <c r="Y194" s="7565">
        <f>+V194*X194</f>
        <v>399.99999999999994</v>
      </c>
      <c r="Z194" s="7565">
        <f>+Y194*1.12</f>
        <v>448</v>
      </c>
      <c r="AA194" s="7567" t="s">
        <v>294</v>
      </c>
      <c r="AB194" s="3940"/>
      <c r="AC194" s="3955"/>
      <c r="AD194" s="3921" t="s">
        <v>294</v>
      </c>
      <c r="AE194" s="3922"/>
      <c r="AF194" s="4242" t="s">
        <v>153</v>
      </c>
      <c r="AG194" s="10916"/>
    </row>
    <row r="195" spans="1:33" ht="15.75" customHeight="1">
      <c r="A195" s="11000"/>
      <c r="B195" s="10934"/>
      <c r="C195" s="10937"/>
      <c r="D195" s="10937"/>
      <c r="E195" s="10937"/>
      <c r="F195" s="10940"/>
      <c r="G195" s="10937"/>
      <c r="H195" s="10937"/>
      <c r="I195" s="10940"/>
      <c r="J195" s="10937"/>
      <c r="K195" s="10937"/>
      <c r="L195" s="11054"/>
      <c r="M195" s="11054"/>
      <c r="N195" s="11054"/>
      <c r="O195" s="10938"/>
      <c r="P195" s="10938"/>
      <c r="Q195" s="11057"/>
      <c r="R195" s="4428" t="s">
        <v>294</v>
      </c>
      <c r="S195" s="3977" t="s">
        <v>294</v>
      </c>
      <c r="T195" s="3977">
        <v>48265.02</v>
      </c>
      <c r="U195" s="3952" t="s">
        <v>5335</v>
      </c>
      <c r="V195" s="6193">
        <v>1</v>
      </c>
      <c r="W195" s="3978" t="s">
        <v>180</v>
      </c>
      <c r="X195" s="7606">
        <f>392/1.12</f>
        <v>349.99999999999994</v>
      </c>
      <c r="Y195" s="7606">
        <f>+V195*X195</f>
        <v>349.99999999999994</v>
      </c>
      <c r="Z195" s="7606">
        <f>+Y195*1.12</f>
        <v>392</v>
      </c>
      <c r="AA195" s="7573" t="s">
        <v>294</v>
      </c>
      <c r="AB195" s="3994"/>
      <c r="AC195" s="3993"/>
      <c r="AD195" s="4035" t="s">
        <v>294</v>
      </c>
      <c r="AE195" s="4036"/>
      <c r="AF195" s="4267" t="s">
        <v>153</v>
      </c>
      <c r="AG195" s="10917"/>
    </row>
    <row r="196" spans="1:33" ht="33" customHeight="1">
      <c r="A196" s="11000"/>
      <c r="B196" s="10934"/>
      <c r="C196" s="10937"/>
      <c r="D196" s="10937"/>
      <c r="E196" s="10937"/>
      <c r="F196" s="10940"/>
      <c r="G196" s="10937"/>
      <c r="H196" s="10937"/>
      <c r="I196" s="10940"/>
      <c r="J196" s="10937"/>
      <c r="K196" s="10937"/>
      <c r="L196" s="11052">
        <v>3</v>
      </c>
      <c r="M196" s="11052">
        <v>12</v>
      </c>
      <c r="N196" s="11052">
        <v>5</v>
      </c>
      <c r="O196" s="10948" t="s">
        <v>5329</v>
      </c>
      <c r="P196" s="10948" t="s">
        <v>5336</v>
      </c>
      <c r="Q196" s="11055" t="s">
        <v>5337</v>
      </c>
      <c r="R196" s="4429" t="s">
        <v>5011</v>
      </c>
      <c r="S196" s="4251">
        <v>840104</v>
      </c>
      <c r="T196" s="4251" t="s">
        <v>294</v>
      </c>
      <c r="U196" s="4252" t="s">
        <v>39</v>
      </c>
      <c r="V196" s="7545" t="s">
        <v>294</v>
      </c>
      <c r="W196" s="4253" t="s">
        <v>294</v>
      </c>
      <c r="X196" s="7607" t="s">
        <v>294</v>
      </c>
      <c r="Y196" s="7607" t="s">
        <v>294</v>
      </c>
      <c r="Z196" s="7607" t="s">
        <v>294</v>
      </c>
      <c r="AA196" s="7608">
        <f>+Z197</f>
        <v>1444.8</v>
      </c>
      <c r="AB196" s="7685" t="s">
        <v>18</v>
      </c>
      <c r="AC196" s="4254"/>
      <c r="AD196" s="4255" t="s">
        <v>294</v>
      </c>
      <c r="AE196" s="4256" t="s">
        <v>294</v>
      </c>
      <c r="AF196" s="4257" t="s">
        <v>294</v>
      </c>
      <c r="AG196" s="10915" t="s">
        <v>294</v>
      </c>
    </row>
    <row r="197" spans="1:33" ht="33" customHeight="1">
      <c r="A197" s="11000"/>
      <c r="B197" s="10934"/>
      <c r="C197" s="10937"/>
      <c r="D197" s="10937"/>
      <c r="E197" s="10937"/>
      <c r="F197" s="10940"/>
      <c r="G197" s="10937"/>
      <c r="H197" s="10937"/>
      <c r="I197" s="10940"/>
      <c r="J197" s="10937"/>
      <c r="K197" s="10937"/>
      <c r="L197" s="11059"/>
      <c r="M197" s="11059"/>
      <c r="N197" s="11059"/>
      <c r="O197" s="10985"/>
      <c r="P197" s="10985"/>
      <c r="Q197" s="11058"/>
      <c r="R197" s="4430" t="s">
        <v>294</v>
      </c>
      <c r="S197" s="4258" t="s">
        <v>294</v>
      </c>
      <c r="T197" s="4259">
        <v>448240022</v>
      </c>
      <c r="U197" s="4260" t="s">
        <v>5338</v>
      </c>
      <c r="V197" s="7546">
        <v>1</v>
      </c>
      <c r="W197" s="4261" t="s">
        <v>180</v>
      </c>
      <c r="X197" s="7609">
        <f>1444.8/1.12</f>
        <v>1289.9999999999998</v>
      </c>
      <c r="Y197" s="7609">
        <f>+V197*X197</f>
        <v>1289.9999999999998</v>
      </c>
      <c r="Z197" s="7609">
        <f>+Y197*1.12</f>
        <v>1444.8</v>
      </c>
      <c r="AA197" s="7610" t="s">
        <v>294</v>
      </c>
      <c r="AB197" s="7686"/>
      <c r="AC197" s="4262"/>
      <c r="AD197" s="4263" t="s">
        <v>294</v>
      </c>
      <c r="AE197" s="4264"/>
      <c r="AF197" s="4268" t="s">
        <v>153</v>
      </c>
      <c r="AG197" s="10917"/>
    </row>
    <row r="198" spans="1:33" ht="25.5">
      <c r="A198" s="11000"/>
      <c r="B198" s="10934"/>
      <c r="C198" s="10937"/>
      <c r="D198" s="10937"/>
      <c r="E198" s="10937"/>
      <c r="F198" s="10940"/>
      <c r="G198" s="10937"/>
      <c r="H198" s="10937"/>
      <c r="I198" s="10940"/>
      <c r="J198" s="10937"/>
      <c r="K198" s="10937"/>
      <c r="L198" s="11063">
        <v>17</v>
      </c>
      <c r="M198" s="11063">
        <v>110</v>
      </c>
      <c r="N198" s="11063">
        <v>20</v>
      </c>
      <c r="O198" s="10936" t="s">
        <v>5339</v>
      </c>
      <c r="P198" s="10936" t="s">
        <v>5336</v>
      </c>
      <c r="Q198" s="11060" t="s">
        <v>5340</v>
      </c>
      <c r="R198" s="4421" t="s">
        <v>5011</v>
      </c>
      <c r="S198" s="4236">
        <v>840104</v>
      </c>
      <c r="T198" s="4243" t="s">
        <v>294</v>
      </c>
      <c r="U198" s="4244" t="s">
        <v>39</v>
      </c>
      <c r="V198" s="7541" t="s">
        <v>294</v>
      </c>
      <c r="W198" s="4238" t="s">
        <v>294</v>
      </c>
      <c r="X198" s="7594" t="s">
        <v>294</v>
      </c>
      <c r="Y198" s="7594" t="s">
        <v>294</v>
      </c>
      <c r="Z198" s="7594" t="s">
        <v>294</v>
      </c>
      <c r="AA198" s="7601">
        <f>+Z199</f>
        <v>1444.8</v>
      </c>
      <c r="AB198" s="7681" t="s">
        <v>18</v>
      </c>
      <c r="AC198" s="4239"/>
      <c r="AD198" s="4245" t="s">
        <v>294</v>
      </c>
      <c r="AE198" s="4246" t="s">
        <v>294</v>
      </c>
      <c r="AF198" s="4265" t="s">
        <v>294</v>
      </c>
      <c r="AG198" s="10915" t="s">
        <v>294</v>
      </c>
    </row>
    <row r="199" spans="1:33" ht="15.75" customHeight="1">
      <c r="A199" s="11000"/>
      <c r="B199" s="10934"/>
      <c r="C199" s="10937"/>
      <c r="D199" s="10937"/>
      <c r="E199" s="10937"/>
      <c r="F199" s="10940"/>
      <c r="G199" s="10937"/>
      <c r="H199" s="10937"/>
      <c r="I199" s="10940"/>
      <c r="J199" s="10937"/>
      <c r="K199" s="10937"/>
      <c r="L199" s="11053"/>
      <c r="M199" s="11053"/>
      <c r="N199" s="11053"/>
      <c r="O199" s="10937"/>
      <c r="P199" s="10937"/>
      <c r="Q199" s="11056"/>
      <c r="R199" s="4422" t="s">
        <v>294</v>
      </c>
      <c r="S199" s="4226" t="s">
        <v>294</v>
      </c>
      <c r="T199" s="4233" t="s">
        <v>5318</v>
      </c>
      <c r="U199" s="4234" t="s">
        <v>5338</v>
      </c>
      <c r="V199" s="7542">
        <v>1</v>
      </c>
      <c r="W199" s="4229" t="s">
        <v>180</v>
      </c>
      <c r="X199" s="7602">
        <f>1444.8/1.12</f>
        <v>1289.9999999999998</v>
      </c>
      <c r="Y199" s="7602">
        <f>+V199*X199</f>
        <v>1289.9999999999998</v>
      </c>
      <c r="Z199" s="7602">
        <f>+Y199*1.12</f>
        <v>1444.8</v>
      </c>
      <c r="AA199" s="7597" t="s">
        <v>294</v>
      </c>
      <c r="AB199" s="7683"/>
      <c r="AC199" s="4235"/>
      <c r="AD199" s="4231" t="s">
        <v>294</v>
      </c>
      <c r="AE199" s="4232"/>
      <c r="AF199" s="4250" t="s">
        <v>153</v>
      </c>
      <c r="AG199" s="10916"/>
    </row>
    <row r="200" spans="1:33" ht="38.25">
      <c r="A200" s="11000"/>
      <c r="B200" s="10934"/>
      <c r="C200" s="10937"/>
      <c r="D200" s="10937"/>
      <c r="E200" s="10937"/>
      <c r="F200" s="10940"/>
      <c r="G200" s="10937"/>
      <c r="H200" s="10937"/>
      <c r="I200" s="10940"/>
      <c r="J200" s="10937"/>
      <c r="K200" s="10937"/>
      <c r="L200" s="11053"/>
      <c r="M200" s="11053"/>
      <c r="N200" s="11053"/>
      <c r="O200" s="10937"/>
      <c r="P200" s="10937"/>
      <c r="Q200" s="11056"/>
      <c r="R200" s="3984" t="s">
        <v>5259</v>
      </c>
      <c r="S200" s="3916">
        <v>840107</v>
      </c>
      <c r="T200" s="3917" t="s">
        <v>294</v>
      </c>
      <c r="U200" s="3914" t="s">
        <v>40</v>
      </c>
      <c r="V200" s="6190" t="s">
        <v>294</v>
      </c>
      <c r="W200" s="3925" t="s">
        <v>294</v>
      </c>
      <c r="X200" s="7567" t="s">
        <v>294</v>
      </c>
      <c r="Y200" s="7567" t="s">
        <v>294</v>
      </c>
      <c r="Z200" s="7567" t="s">
        <v>294</v>
      </c>
      <c r="AA200" s="7566">
        <f>+Z201+0.01</f>
        <v>336.01000000000005</v>
      </c>
      <c r="AB200" s="7669" t="s">
        <v>18</v>
      </c>
      <c r="AC200" s="3920"/>
      <c r="AD200" s="3921" t="s">
        <v>294</v>
      </c>
      <c r="AE200" s="3922" t="s">
        <v>294</v>
      </c>
      <c r="AF200" s="3959" t="s">
        <v>294</v>
      </c>
      <c r="AG200" s="10916"/>
    </row>
    <row r="201" spans="1:33" ht="15.75" customHeight="1">
      <c r="A201" s="11000"/>
      <c r="B201" s="10934"/>
      <c r="C201" s="10937"/>
      <c r="D201" s="10937"/>
      <c r="E201" s="10937"/>
      <c r="F201" s="10940"/>
      <c r="G201" s="10937"/>
      <c r="H201" s="10937"/>
      <c r="I201" s="10940"/>
      <c r="J201" s="10937"/>
      <c r="K201" s="10937"/>
      <c r="L201" s="11054"/>
      <c r="M201" s="11054"/>
      <c r="N201" s="11054"/>
      <c r="O201" s="10938"/>
      <c r="P201" s="10938"/>
      <c r="Q201" s="11057"/>
      <c r="R201" s="4423"/>
      <c r="S201" s="3996"/>
      <c r="T201" s="3977">
        <v>4516003185</v>
      </c>
      <c r="U201" s="3952" t="s">
        <v>1995</v>
      </c>
      <c r="V201" s="6193">
        <v>1</v>
      </c>
      <c r="W201" s="3978" t="s">
        <v>180</v>
      </c>
      <c r="X201" s="7573">
        <v>300</v>
      </c>
      <c r="Y201" s="7573">
        <f>+V201*X201</f>
        <v>300</v>
      </c>
      <c r="Z201" s="7573">
        <f>+Y201*1.12</f>
        <v>336.00000000000006</v>
      </c>
      <c r="AA201" s="7574"/>
      <c r="AB201" s="7672"/>
      <c r="AC201" s="3979"/>
      <c r="AD201" s="4035"/>
      <c r="AE201" s="4036" t="s">
        <v>153</v>
      </c>
      <c r="AF201" s="3997"/>
      <c r="AG201" s="10917"/>
    </row>
    <row r="202" spans="1:33" ht="15.75" customHeight="1">
      <c r="A202" s="11000"/>
      <c r="B202" s="10934"/>
      <c r="C202" s="10937"/>
      <c r="D202" s="10937"/>
      <c r="E202" s="10937"/>
      <c r="F202" s="10940"/>
      <c r="G202" s="10937"/>
      <c r="H202" s="10937"/>
      <c r="I202" s="10940"/>
      <c r="J202" s="10937"/>
      <c r="K202" s="10937"/>
      <c r="L202" s="11052">
        <v>10</v>
      </c>
      <c r="M202" s="11052">
        <v>20</v>
      </c>
      <c r="N202" s="11052">
        <v>15</v>
      </c>
      <c r="O202" s="11007" t="s">
        <v>5341</v>
      </c>
      <c r="P202" s="10948" t="s">
        <v>5342</v>
      </c>
      <c r="Q202" s="11055" t="s">
        <v>5343</v>
      </c>
      <c r="R202" s="3983" t="s">
        <v>294</v>
      </c>
      <c r="S202" s="3907" t="s">
        <v>294</v>
      </c>
      <c r="T202" s="3907" t="s">
        <v>294</v>
      </c>
      <c r="U202" s="3906" t="s">
        <v>294</v>
      </c>
      <c r="V202" s="6189" t="s">
        <v>294</v>
      </c>
      <c r="W202" s="3908" t="s">
        <v>294</v>
      </c>
      <c r="X202" s="7562" t="s">
        <v>294</v>
      </c>
      <c r="Y202" s="7562" t="s">
        <v>294</v>
      </c>
      <c r="Z202" s="7562" t="s">
        <v>294</v>
      </c>
      <c r="AA202" s="7563" t="s">
        <v>294</v>
      </c>
      <c r="AB202" s="3953"/>
      <c r="AC202" s="3954"/>
      <c r="AD202" s="3910" t="s">
        <v>294</v>
      </c>
      <c r="AE202" s="3911" t="s">
        <v>294</v>
      </c>
      <c r="AF202" s="3987" t="s">
        <v>294</v>
      </c>
      <c r="AG202" s="10915" t="s">
        <v>294</v>
      </c>
    </row>
    <row r="203" spans="1:33" ht="15.75" customHeight="1">
      <c r="A203" s="11000"/>
      <c r="B203" s="10934"/>
      <c r="C203" s="10937"/>
      <c r="D203" s="10937"/>
      <c r="E203" s="10937"/>
      <c r="F203" s="10940"/>
      <c r="G203" s="10937"/>
      <c r="H203" s="10937"/>
      <c r="I203" s="10940"/>
      <c r="J203" s="10937"/>
      <c r="K203" s="10937"/>
      <c r="L203" s="11053"/>
      <c r="M203" s="11053"/>
      <c r="N203" s="11053"/>
      <c r="O203" s="11008"/>
      <c r="P203" s="10937"/>
      <c r="Q203" s="11056"/>
      <c r="R203" s="3984" t="s">
        <v>294</v>
      </c>
      <c r="S203" s="3916" t="s">
        <v>294</v>
      </c>
      <c r="T203" s="3917" t="s">
        <v>294</v>
      </c>
      <c r="U203" s="3913" t="s">
        <v>294</v>
      </c>
      <c r="V203" s="6190" t="s">
        <v>294</v>
      </c>
      <c r="W203" s="3925" t="s">
        <v>294</v>
      </c>
      <c r="X203" s="7567" t="s">
        <v>294</v>
      </c>
      <c r="Y203" s="7567" t="s">
        <v>294</v>
      </c>
      <c r="Z203" s="7567" t="s">
        <v>294</v>
      </c>
      <c r="AA203" s="7566" t="s">
        <v>294</v>
      </c>
      <c r="AB203" s="3940"/>
      <c r="AC203" s="3956"/>
      <c r="AD203" s="3921" t="s">
        <v>294</v>
      </c>
      <c r="AE203" s="3922" t="s">
        <v>294</v>
      </c>
      <c r="AF203" s="3959" t="s">
        <v>294</v>
      </c>
      <c r="AG203" s="10916"/>
    </row>
    <row r="204" spans="1:33" ht="15.75" customHeight="1">
      <c r="A204" s="11000"/>
      <c r="B204" s="10934"/>
      <c r="C204" s="10937"/>
      <c r="D204" s="10937"/>
      <c r="E204" s="10937"/>
      <c r="F204" s="10940"/>
      <c r="G204" s="10937"/>
      <c r="H204" s="10937"/>
      <c r="I204" s="10940"/>
      <c r="J204" s="10937"/>
      <c r="K204" s="10937"/>
      <c r="L204" s="11059"/>
      <c r="M204" s="11059"/>
      <c r="N204" s="11059"/>
      <c r="O204" s="11009"/>
      <c r="P204" s="10985"/>
      <c r="Q204" s="11058"/>
      <c r="R204" s="4420"/>
      <c r="S204" s="4116"/>
      <c r="T204" s="4038"/>
      <c r="U204" s="3982"/>
      <c r="V204" s="6191"/>
      <c r="W204" s="4039"/>
      <c r="X204" s="7568"/>
      <c r="Y204" s="7568"/>
      <c r="Z204" s="7568"/>
      <c r="AA204" s="7569"/>
      <c r="AB204" s="4097"/>
      <c r="AC204" s="4098"/>
      <c r="AD204" s="4041"/>
      <c r="AE204" s="4042"/>
      <c r="AF204" s="4117"/>
      <c r="AG204" s="10916"/>
    </row>
    <row r="205" spans="1:33" ht="15.75" customHeight="1">
      <c r="A205" s="11000"/>
      <c r="B205" s="10934"/>
      <c r="C205" s="10937"/>
      <c r="D205" s="10937"/>
      <c r="E205" s="10937"/>
      <c r="F205" s="10940"/>
      <c r="G205" s="10937"/>
      <c r="H205" s="10937"/>
      <c r="I205" s="10940"/>
      <c r="J205" s="10937"/>
      <c r="K205" s="10937"/>
      <c r="L205" s="11059"/>
      <c r="M205" s="11059"/>
      <c r="N205" s="11059"/>
      <c r="O205" s="11009"/>
      <c r="P205" s="10985"/>
      <c r="Q205" s="11058"/>
      <c r="R205" s="4420"/>
      <c r="S205" s="4116"/>
      <c r="T205" s="4038"/>
      <c r="U205" s="3982"/>
      <c r="V205" s="6191"/>
      <c r="W205" s="4039"/>
      <c r="X205" s="7568"/>
      <c r="Y205" s="7568"/>
      <c r="Z205" s="7568"/>
      <c r="AA205" s="7569"/>
      <c r="AB205" s="4097"/>
      <c r="AC205" s="4098"/>
      <c r="AD205" s="4041"/>
      <c r="AE205" s="4042"/>
      <c r="AF205" s="4117"/>
      <c r="AG205" s="10916"/>
    </row>
    <row r="206" spans="1:33" ht="15.75" customHeight="1">
      <c r="A206" s="11000"/>
      <c r="B206" s="10934"/>
      <c r="C206" s="10937"/>
      <c r="D206" s="10937"/>
      <c r="E206" s="10937"/>
      <c r="F206" s="10940"/>
      <c r="G206" s="10937"/>
      <c r="H206" s="10937"/>
      <c r="I206" s="10940"/>
      <c r="J206" s="10937"/>
      <c r="K206" s="10937"/>
      <c r="L206" s="11059"/>
      <c r="M206" s="11059"/>
      <c r="N206" s="11059"/>
      <c r="O206" s="11009"/>
      <c r="P206" s="10985"/>
      <c r="Q206" s="11058"/>
      <c r="R206" s="4420" t="s">
        <v>294</v>
      </c>
      <c r="S206" s="4038" t="s">
        <v>294</v>
      </c>
      <c r="T206" s="4038" t="s">
        <v>294</v>
      </c>
      <c r="U206" s="3982" t="s">
        <v>294</v>
      </c>
      <c r="V206" s="6191" t="s">
        <v>294</v>
      </c>
      <c r="W206" s="4039" t="s">
        <v>294</v>
      </c>
      <c r="X206" s="7568" t="s">
        <v>294</v>
      </c>
      <c r="Y206" s="7568" t="s">
        <v>294</v>
      </c>
      <c r="Z206" s="7568" t="s">
        <v>294</v>
      </c>
      <c r="AA206" s="7569" t="s">
        <v>294</v>
      </c>
      <c r="AB206" s="4097"/>
      <c r="AC206" s="4098"/>
      <c r="AD206" s="4041" t="s">
        <v>294</v>
      </c>
      <c r="AE206" s="4042" t="s">
        <v>294</v>
      </c>
      <c r="AF206" s="4117" t="s">
        <v>294</v>
      </c>
      <c r="AG206" s="10917"/>
    </row>
    <row r="207" spans="1:33" ht="25.5">
      <c r="A207" s="11000"/>
      <c r="B207" s="10934"/>
      <c r="C207" s="10937"/>
      <c r="D207" s="10937"/>
      <c r="E207" s="10937"/>
      <c r="F207" s="10940"/>
      <c r="G207" s="10937"/>
      <c r="H207" s="10937"/>
      <c r="I207" s="10940"/>
      <c r="J207" s="10937"/>
      <c r="K207" s="10937"/>
      <c r="L207" s="11063">
        <v>12</v>
      </c>
      <c r="M207" s="11063">
        <v>25</v>
      </c>
      <c r="N207" s="11063">
        <v>25</v>
      </c>
      <c r="O207" s="11037" t="s">
        <v>5344</v>
      </c>
      <c r="P207" s="10936" t="s">
        <v>5345</v>
      </c>
      <c r="Q207" s="11060" t="s">
        <v>5346</v>
      </c>
      <c r="R207" s="4026" t="s">
        <v>5011</v>
      </c>
      <c r="S207" s="4000">
        <v>530404</v>
      </c>
      <c r="T207" s="4000" t="s">
        <v>294</v>
      </c>
      <c r="U207" s="3981" t="s">
        <v>505</v>
      </c>
      <c r="V207" s="6192" t="s">
        <v>294</v>
      </c>
      <c r="W207" s="4001" t="s">
        <v>294</v>
      </c>
      <c r="X207" s="7570" t="s">
        <v>294</v>
      </c>
      <c r="Y207" s="7570" t="s">
        <v>294</v>
      </c>
      <c r="Z207" s="7570" t="s">
        <v>294</v>
      </c>
      <c r="AA207" s="7571">
        <f>+Z208</f>
        <v>0</v>
      </c>
      <c r="AB207" s="7671" t="s">
        <v>18</v>
      </c>
      <c r="AC207" s="4002"/>
      <c r="AD207" s="4003" t="s">
        <v>294</v>
      </c>
      <c r="AE207" s="4004" t="s">
        <v>294</v>
      </c>
      <c r="AF207" s="4009" t="s">
        <v>294</v>
      </c>
      <c r="AG207" s="10915" t="s">
        <v>294</v>
      </c>
    </row>
    <row r="208" spans="1:33" ht="29.25" customHeight="1">
      <c r="A208" s="11000"/>
      <c r="B208" s="10934"/>
      <c r="C208" s="10937"/>
      <c r="D208" s="10937"/>
      <c r="E208" s="10937"/>
      <c r="F208" s="10940"/>
      <c r="G208" s="10937"/>
      <c r="H208" s="10937"/>
      <c r="I208" s="10940"/>
      <c r="J208" s="10937"/>
      <c r="K208" s="10937"/>
      <c r="L208" s="11053"/>
      <c r="M208" s="11053"/>
      <c r="N208" s="11053"/>
      <c r="O208" s="11008"/>
      <c r="P208" s="10937"/>
      <c r="Q208" s="11056"/>
      <c r="R208" s="3984" t="s">
        <v>294</v>
      </c>
      <c r="S208" s="3916" t="s">
        <v>294</v>
      </c>
      <c r="T208" s="3971" t="s">
        <v>3661</v>
      </c>
      <c r="U208" s="3913" t="s">
        <v>5347</v>
      </c>
      <c r="V208" s="8084">
        <v>0</v>
      </c>
      <c r="W208" s="3925" t="s">
        <v>180</v>
      </c>
      <c r="X208" s="7567">
        <v>1200</v>
      </c>
      <c r="Y208" s="7567">
        <f>+V208*X208</f>
        <v>0</v>
      </c>
      <c r="Z208" s="7567">
        <f>+Y208*1.12</f>
        <v>0</v>
      </c>
      <c r="AA208" s="7566" t="s">
        <v>294</v>
      </c>
      <c r="AB208" s="3940"/>
      <c r="AC208" s="3956"/>
      <c r="AD208" s="3921" t="s">
        <v>294</v>
      </c>
      <c r="AE208" s="3922" t="s">
        <v>153</v>
      </c>
      <c r="AF208" s="3959" t="s">
        <v>294</v>
      </c>
      <c r="AG208" s="10916"/>
    </row>
    <row r="209" spans="1:33" ht="38.25">
      <c r="A209" s="11000"/>
      <c r="B209" s="10934"/>
      <c r="C209" s="10937"/>
      <c r="D209" s="10937"/>
      <c r="E209" s="10937"/>
      <c r="F209" s="10940"/>
      <c r="G209" s="10937"/>
      <c r="H209" s="10937"/>
      <c r="I209" s="10940"/>
      <c r="J209" s="10937"/>
      <c r="K209" s="10937"/>
      <c r="L209" s="11053"/>
      <c r="M209" s="11053"/>
      <c r="N209" s="11053"/>
      <c r="O209" s="11008"/>
      <c r="P209" s="10937"/>
      <c r="Q209" s="11056"/>
      <c r="R209" s="3984" t="s">
        <v>5259</v>
      </c>
      <c r="S209" s="3916">
        <v>530826</v>
      </c>
      <c r="T209" s="3972" t="s">
        <v>294</v>
      </c>
      <c r="U209" s="3914" t="s">
        <v>3341</v>
      </c>
      <c r="V209" s="6190" t="s">
        <v>294</v>
      </c>
      <c r="W209" s="3925" t="s">
        <v>294</v>
      </c>
      <c r="X209" s="7567" t="s">
        <v>294</v>
      </c>
      <c r="Y209" s="7567" t="s">
        <v>294</v>
      </c>
      <c r="Z209" s="7567" t="s">
        <v>294</v>
      </c>
      <c r="AA209" s="7566">
        <f>SUM(Z210:Z213)</f>
        <v>1036</v>
      </c>
      <c r="AB209" s="7669" t="s">
        <v>26</v>
      </c>
      <c r="AC209" s="3920"/>
      <c r="AD209" s="3921" t="s">
        <v>294</v>
      </c>
      <c r="AE209" s="3922" t="s">
        <v>294</v>
      </c>
      <c r="AF209" s="3959" t="s">
        <v>294</v>
      </c>
      <c r="AG209" s="10916"/>
    </row>
    <row r="210" spans="1:33" ht="15.75" customHeight="1">
      <c r="A210" s="11000"/>
      <c r="B210" s="10934"/>
      <c r="C210" s="10937"/>
      <c r="D210" s="10937"/>
      <c r="E210" s="10937"/>
      <c r="F210" s="10940"/>
      <c r="G210" s="10937"/>
      <c r="H210" s="10937"/>
      <c r="I210" s="10940"/>
      <c r="J210" s="10937"/>
      <c r="K210" s="10937"/>
      <c r="L210" s="11053"/>
      <c r="M210" s="11053"/>
      <c r="N210" s="11053"/>
      <c r="O210" s="11008"/>
      <c r="P210" s="10937"/>
      <c r="Q210" s="11056"/>
      <c r="R210" s="3984" t="s">
        <v>294</v>
      </c>
      <c r="S210" s="3916" t="s">
        <v>294</v>
      </c>
      <c r="T210" s="3917">
        <v>3529010947</v>
      </c>
      <c r="U210" s="3913" t="s">
        <v>5348</v>
      </c>
      <c r="V210" s="6190">
        <v>25</v>
      </c>
      <c r="W210" s="3925" t="s">
        <v>5349</v>
      </c>
      <c r="X210" s="7567">
        <v>20</v>
      </c>
      <c r="Y210" s="7567">
        <f>+V210*X210</f>
        <v>500</v>
      </c>
      <c r="Z210" s="7567">
        <f>+Y210*1.12</f>
        <v>560</v>
      </c>
      <c r="AA210" s="7566" t="s">
        <v>294</v>
      </c>
      <c r="AB210" s="3940"/>
      <c r="AC210" s="3956"/>
      <c r="AD210" s="3921" t="s">
        <v>294</v>
      </c>
      <c r="AE210" s="3922" t="s">
        <v>153</v>
      </c>
      <c r="AF210" s="3959" t="s">
        <v>294</v>
      </c>
      <c r="AG210" s="10916"/>
    </row>
    <row r="211" spans="1:33" ht="15.75" customHeight="1">
      <c r="A211" s="11000"/>
      <c r="B211" s="10934"/>
      <c r="C211" s="10937"/>
      <c r="D211" s="10937"/>
      <c r="E211" s="10937"/>
      <c r="F211" s="10940"/>
      <c r="G211" s="10937"/>
      <c r="H211" s="10937"/>
      <c r="I211" s="10940"/>
      <c r="J211" s="10937"/>
      <c r="K211" s="10937"/>
      <c r="L211" s="11053"/>
      <c r="M211" s="11053"/>
      <c r="N211" s="11053"/>
      <c r="O211" s="11008"/>
      <c r="P211" s="10937"/>
      <c r="Q211" s="11056"/>
      <c r="R211" s="3984" t="s">
        <v>294</v>
      </c>
      <c r="S211" s="3916" t="s">
        <v>294</v>
      </c>
      <c r="T211" s="3917">
        <v>3529010975</v>
      </c>
      <c r="U211" s="3913" t="s">
        <v>5350</v>
      </c>
      <c r="V211" s="6190">
        <v>15</v>
      </c>
      <c r="W211" s="3925" t="s">
        <v>5351</v>
      </c>
      <c r="X211" s="7567">
        <v>7</v>
      </c>
      <c r="Y211" s="7567">
        <f>+V211*X211</f>
        <v>105</v>
      </c>
      <c r="Z211" s="7567">
        <f>+Y211*1.12</f>
        <v>117.60000000000001</v>
      </c>
      <c r="AA211" s="7566" t="s">
        <v>294</v>
      </c>
      <c r="AB211" s="3940"/>
      <c r="AC211" s="3956"/>
      <c r="AD211" s="3921" t="s">
        <v>294</v>
      </c>
      <c r="AE211" s="3922" t="s">
        <v>153</v>
      </c>
      <c r="AF211" s="3959" t="s">
        <v>294</v>
      </c>
      <c r="AG211" s="10916"/>
    </row>
    <row r="212" spans="1:33" ht="23.25" customHeight="1">
      <c r="A212" s="11000"/>
      <c r="B212" s="10934"/>
      <c r="C212" s="10937"/>
      <c r="D212" s="10937"/>
      <c r="E212" s="10937"/>
      <c r="F212" s="10940"/>
      <c r="G212" s="10937"/>
      <c r="H212" s="10937"/>
      <c r="I212" s="10940"/>
      <c r="J212" s="10937"/>
      <c r="K212" s="10937"/>
      <c r="L212" s="11053"/>
      <c r="M212" s="11053"/>
      <c r="N212" s="11053"/>
      <c r="O212" s="11008"/>
      <c r="P212" s="10937"/>
      <c r="Q212" s="11056"/>
      <c r="R212" s="3984" t="s">
        <v>294</v>
      </c>
      <c r="S212" s="3917" t="s">
        <v>294</v>
      </c>
      <c r="T212" s="3917">
        <v>3529010963</v>
      </c>
      <c r="U212" s="3913" t="s">
        <v>5352</v>
      </c>
      <c r="V212" s="6190">
        <v>20</v>
      </c>
      <c r="W212" s="3925" t="s">
        <v>5353</v>
      </c>
      <c r="X212" s="7567">
        <v>13</v>
      </c>
      <c r="Y212" s="7567">
        <f>+V212*X212</f>
        <v>260</v>
      </c>
      <c r="Z212" s="7567">
        <f>+Y212*1.12</f>
        <v>291.20000000000005</v>
      </c>
      <c r="AA212" s="7566" t="s">
        <v>294</v>
      </c>
      <c r="AB212" s="3940"/>
      <c r="AC212" s="3956"/>
      <c r="AD212" s="3921" t="s">
        <v>294</v>
      </c>
      <c r="AE212" s="3922" t="s">
        <v>153</v>
      </c>
      <c r="AF212" s="3959" t="s">
        <v>294</v>
      </c>
      <c r="AG212" s="10916"/>
    </row>
    <row r="213" spans="1:33" ht="25.5">
      <c r="A213" s="11000"/>
      <c r="B213" s="10934"/>
      <c r="C213" s="10937"/>
      <c r="D213" s="10937"/>
      <c r="E213" s="10937"/>
      <c r="F213" s="10940"/>
      <c r="G213" s="10937"/>
      <c r="H213" s="10937"/>
      <c r="I213" s="10940"/>
      <c r="J213" s="10937"/>
      <c r="K213" s="10937"/>
      <c r="L213" s="11053"/>
      <c r="M213" s="11053"/>
      <c r="N213" s="11053"/>
      <c r="O213" s="11008"/>
      <c r="P213" s="10937"/>
      <c r="Q213" s="11056"/>
      <c r="R213" s="3984" t="s">
        <v>294</v>
      </c>
      <c r="S213" s="3917" t="s">
        <v>294</v>
      </c>
      <c r="T213" s="3917">
        <v>3529010976</v>
      </c>
      <c r="U213" s="3913" t="s">
        <v>5354</v>
      </c>
      <c r="V213" s="6190">
        <v>20</v>
      </c>
      <c r="W213" s="3925" t="s">
        <v>5355</v>
      </c>
      <c r="X213" s="7567">
        <v>3</v>
      </c>
      <c r="Y213" s="7567">
        <f>+V213*X213</f>
        <v>60</v>
      </c>
      <c r="Z213" s="7567">
        <f>+Y213*1.12</f>
        <v>67.2</v>
      </c>
      <c r="AA213" s="7566" t="s">
        <v>294</v>
      </c>
      <c r="AB213" s="3940"/>
      <c r="AC213" s="3956"/>
      <c r="AD213" s="3921" t="s">
        <v>294</v>
      </c>
      <c r="AE213" s="3922" t="s">
        <v>153</v>
      </c>
      <c r="AF213" s="3959" t="s">
        <v>294</v>
      </c>
      <c r="AG213" s="10916"/>
    </row>
    <row r="214" spans="1:33" ht="15.75" customHeight="1">
      <c r="A214" s="11000"/>
      <c r="B214" s="10934"/>
      <c r="C214" s="10937"/>
      <c r="D214" s="10937"/>
      <c r="E214" s="10937"/>
      <c r="F214" s="10940"/>
      <c r="G214" s="10937"/>
      <c r="H214" s="10937"/>
      <c r="I214" s="10940"/>
      <c r="J214" s="10937"/>
      <c r="K214" s="10937"/>
      <c r="L214" s="11053"/>
      <c r="M214" s="11053"/>
      <c r="N214" s="11053"/>
      <c r="O214" s="11008"/>
      <c r="P214" s="10937"/>
      <c r="Q214" s="11056"/>
      <c r="R214" s="3984" t="s">
        <v>5011</v>
      </c>
      <c r="S214" s="3916">
        <v>840107</v>
      </c>
      <c r="T214" s="3916" t="s">
        <v>294</v>
      </c>
      <c r="U214" s="3914" t="s">
        <v>40</v>
      </c>
      <c r="V214" s="6190" t="s">
        <v>294</v>
      </c>
      <c r="W214" s="3963" t="s">
        <v>294</v>
      </c>
      <c r="X214" s="7852" t="s">
        <v>294</v>
      </c>
      <c r="Y214" s="7852" t="s">
        <v>294</v>
      </c>
      <c r="Z214" s="7852" t="s">
        <v>294</v>
      </c>
      <c r="AA214" s="7854">
        <f>+Z215</f>
        <v>1252.98</v>
      </c>
      <c r="AB214" s="7669" t="s">
        <v>25</v>
      </c>
      <c r="AC214" s="3920"/>
      <c r="AD214" s="3921" t="s">
        <v>294</v>
      </c>
      <c r="AE214" s="3922" t="s">
        <v>294</v>
      </c>
      <c r="AF214" s="3959" t="s">
        <v>294</v>
      </c>
      <c r="AG214" s="10916"/>
    </row>
    <row r="215" spans="1:33" ht="30" customHeight="1">
      <c r="A215" s="11000"/>
      <c r="B215" s="10934"/>
      <c r="C215" s="10937"/>
      <c r="D215" s="10937"/>
      <c r="E215" s="10937"/>
      <c r="F215" s="10940"/>
      <c r="G215" s="10937"/>
      <c r="H215" s="10937"/>
      <c r="I215" s="10940"/>
      <c r="J215" s="10937"/>
      <c r="K215" s="10937"/>
      <c r="L215" s="11054"/>
      <c r="M215" s="11054"/>
      <c r="N215" s="11054"/>
      <c r="O215" s="11038"/>
      <c r="P215" s="10938"/>
      <c r="Q215" s="11057"/>
      <c r="R215" s="4431" t="s">
        <v>294</v>
      </c>
      <c r="S215" s="3996" t="s">
        <v>294</v>
      </c>
      <c r="T215" s="3977">
        <v>4523000810</v>
      </c>
      <c r="U215" s="3952" t="s">
        <v>5356</v>
      </c>
      <c r="V215" s="6193">
        <v>1</v>
      </c>
      <c r="W215" s="3978" t="s">
        <v>479</v>
      </c>
      <c r="X215" s="7855">
        <v>1252.98</v>
      </c>
      <c r="Y215" s="7855">
        <f>+V215*X215</f>
        <v>1252.98</v>
      </c>
      <c r="Z215" s="7855">
        <f>Y215</f>
        <v>1252.98</v>
      </c>
      <c r="AA215" s="7856" t="s">
        <v>294</v>
      </c>
      <c r="AB215" s="3994"/>
      <c r="AC215" s="3995"/>
      <c r="AD215" s="4035" t="s">
        <v>294</v>
      </c>
      <c r="AE215" s="4036" t="s">
        <v>153</v>
      </c>
      <c r="AF215" s="3997" t="s">
        <v>294</v>
      </c>
      <c r="AG215" s="10917"/>
    </row>
    <row r="216" spans="1:33" ht="25.5">
      <c r="A216" s="11000"/>
      <c r="B216" s="10934"/>
      <c r="C216" s="10937"/>
      <c r="D216" s="10937"/>
      <c r="E216" s="10937"/>
      <c r="F216" s="10940"/>
      <c r="G216" s="10937"/>
      <c r="H216" s="10937"/>
      <c r="I216" s="10940"/>
      <c r="J216" s="10937"/>
      <c r="K216" s="10937"/>
      <c r="L216" s="11052">
        <v>25</v>
      </c>
      <c r="M216" s="11052">
        <v>35</v>
      </c>
      <c r="N216" s="11052">
        <v>30</v>
      </c>
      <c r="O216" s="11007" t="s">
        <v>5344</v>
      </c>
      <c r="P216" s="10948" t="s">
        <v>5345</v>
      </c>
      <c r="Q216" s="11055" t="s">
        <v>5357</v>
      </c>
      <c r="R216" s="4429" t="s">
        <v>5011</v>
      </c>
      <c r="S216" s="4251">
        <v>840104</v>
      </c>
      <c r="T216" s="4251" t="s">
        <v>294</v>
      </c>
      <c r="U216" s="4252" t="s">
        <v>39</v>
      </c>
      <c r="V216" s="7545" t="s">
        <v>294</v>
      </c>
      <c r="W216" s="4253" t="s">
        <v>294</v>
      </c>
      <c r="X216" s="7607" t="s">
        <v>294</v>
      </c>
      <c r="Y216" s="7607" t="s">
        <v>294</v>
      </c>
      <c r="Z216" s="7607" t="s">
        <v>294</v>
      </c>
      <c r="AA216" s="7611">
        <f>+Z217</f>
        <v>6776.0000000000009</v>
      </c>
      <c r="AB216" s="7685" t="s">
        <v>18</v>
      </c>
      <c r="AC216" s="4254"/>
      <c r="AD216" s="4255" t="s">
        <v>294</v>
      </c>
      <c r="AE216" s="4256" t="s">
        <v>294</v>
      </c>
      <c r="AF216" s="3987" t="s">
        <v>294</v>
      </c>
      <c r="AG216" s="10915" t="s">
        <v>294</v>
      </c>
    </row>
    <row r="217" spans="1:33" ht="15.75" customHeight="1">
      <c r="A217" s="11000"/>
      <c r="B217" s="10934"/>
      <c r="C217" s="10937"/>
      <c r="D217" s="10937"/>
      <c r="E217" s="10937"/>
      <c r="F217" s="10940"/>
      <c r="G217" s="10937"/>
      <c r="H217" s="10937"/>
      <c r="I217" s="10940"/>
      <c r="J217" s="10937"/>
      <c r="K217" s="10937"/>
      <c r="L217" s="11053"/>
      <c r="M217" s="11053"/>
      <c r="N217" s="11053"/>
      <c r="O217" s="11008"/>
      <c r="P217" s="10937"/>
      <c r="Q217" s="11056"/>
      <c r="R217" s="4422" t="s">
        <v>294</v>
      </c>
      <c r="S217" s="4226" t="s">
        <v>294</v>
      </c>
      <c r="T217" s="4233">
        <v>48314.11</v>
      </c>
      <c r="U217" s="4269" t="s">
        <v>5358</v>
      </c>
      <c r="V217" s="7542">
        <v>1</v>
      </c>
      <c r="W217" s="4229" t="s">
        <v>180</v>
      </c>
      <c r="X217" s="7596">
        <v>6050</v>
      </c>
      <c r="Y217" s="7596">
        <f>+V217*X217</f>
        <v>6050</v>
      </c>
      <c r="Z217" s="7596">
        <f>+Y217*1.12</f>
        <v>6776.0000000000009</v>
      </c>
      <c r="AA217" s="7597" t="s">
        <v>294</v>
      </c>
      <c r="AB217" s="7683"/>
      <c r="AC217" s="4235"/>
      <c r="AD217" s="4231" t="s">
        <v>294</v>
      </c>
      <c r="AE217" s="4231" t="s">
        <v>153</v>
      </c>
      <c r="AF217" s="4672" t="s">
        <v>294</v>
      </c>
      <c r="AG217" s="10916"/>
    </row>
    <row r="218" spans="1:33" ht="15.75" customHeight="1">
      <c r="A218" s="11000"/>
      <c r="B218" s="10934"/>
      <c r="C218" s="10937"/>
      <c r="D218" s="10937"/>
      <c r="E218" s="10937"/>
      <c r="F218" s="10940"/>
      <c r="G218" s="10937"/>
      <c r="H218" s="10937"/>
      <c r="I218" s="10940"/>
      <c r="J218" s="10937"/>
      <c r="K218" s="10937"/>
      <c r="L218" s="11053"/>
      <c r="M218" s="11053"/>
      <c r="N218" s="11053"/>
      <c r="O218" s="11008"/>
      <c r="P218" s="10937"/>
      <c r="Q218" s="11056"/>
      <c r="R218" s="3984" t="s">
        <v>5011</v>
      </c>
      <c r="S218" s="3916">
        <v>530819</v>
      </c>
      <c r="T218" s="3917" t="s">
        <v>294</v>
      </c>
      <c r="U218" s="3914" t="s">
        <v>4141</v>
      </c>
      <c r="V218" s="6190" t="s">
        <v>294</v>
      </c>
      <c r="W218" s="3925" t="s">
        <v>294</v>
      </c>
      <c r="X218" s="7567" t="s">
        <v>294</v>
      </c>
      <c r="Y218" s="7567" t="s">
        <v>294</v>
      </c>
      <c r="Z218" s="7567" t="s">
        <v>294</v>
      </c>
      <c r="AA218" s="7566">
        <f>+SUM(Z219:Z221)</f>
        <v>302.40000000000003</v>
      </c>
      <c r="AB218" s="7669" t="s">
        <v>18</v>
      </c>
      <c r="AC218" s="3920"/>
      <c r="AD218" s="3921" t="s">
        <v>294</v>
      </c>
      <c r="AE218" s="3921" t="s">
        <v>294</v>
      </c>
      <c r="AF218" s="4672" t="s">
        <v>294</v>
      </c>
      <c r="AG218" s="10916"/>
    </row>
    <row r="219" spans="1:33" ht="15.75" customHeight="1">
      <c r="A219" s="11000"/>
      <c r="B219" s="10934"/>
      <c r="C219" s="10937"/>
      <c r="D219" s="10937"/>
      <c r="E219" s="10937"/>
      <c r="F219" s="10940"/>
      <c r="G219" s="10937"/>
      <c r="H219" s="10937"/>
      <c r="I219" s="10940"/>
      <c r="J219" s="10937"/>
      <c r="K219" s="10937"/>
      <c r="L219" s="11053"/>
      <c r="M219" s="11053"/>
      <c r="N219" s="11053"/>
      <c r="O219" s="11008"/>
      <c r="P219" s="10937"/>
      <c r="Q219" s="11056"/>
      <c r="R219" s="3984" t="s">
        <v>294</v>
      </c>
      <c r="S219" s="3916" t="s">
        <v>294</v>
      </c>
      <c r="T219" s="3917">
        <v>371950111</v>
      </c>
      <c r="U219" s="3913" t="s">
        <v>5271</v>
      </c>
      <c r="V219" s="6190">
        <v>20</v>
      </c>
      <c r="W219" s="3925" t="s">
        <v>5272</v>
      </c>
      <c r="X219" s="7567">
        <v>4</v>
      </c>
      <c r="Y219" s="7567">
        <f>+V219*X219</f>
        <v>80</v>
      </c>
      <c r="Z219" s="7567">
        <f>+Y219*1.12</f>
        <v>89.600000000000009</v>
      </c>
      <c r="AA219" s="7566" t="s">
        <v>294</v>
      </c>
      <c r="AB219" s="3940"/>
      <c r="AC219" s="3956"/>
      <c r="AD219" s="3921" t="s">
        <v>294</v>
      </c>
      <c r="AE219" s="3921" t="s">
        <v>153</v>
      </c>
      <c r="AF219" s="4672" t="s">
        <v>294</v>
      </c>
      <c r="AG219" s="10916"/>
    </row>
    <row r="220" spans="1:33" ht="15.75" customHeight="1">
      <c r="A220" s="11000"/>
      <c r="B220" s="10934"/>
      <c r="C220" s="10937"/>
      <c r="D220" s="10937"/>
      <c r="E220" s="10937"/>
      <c r="F220" s="10940"/>
      <c r="G220" s="10937"/>
      <c r="H220" s="10937"/>
      <c r="I220" s="10940"/>
      <c r="J220" s="10937"/>
      <c r="K220" s="10937"/>
      <c r="L220" s="11053"/>
      <c r="M220" s="11053"/>
      <c r="N220" s="11053"/>
      <c r="O220" s="11008"/>
      <c r="P220" s="10937"/>
      <c r="Q220" s="11056"/>
      <c r="R220" s="3984" t="s">
        <v>294</v>
      </c>
      <c r="S220" s="3916" t="s">
        <v>294</v>
      </c>
      <c r="T220" s="3917">
        <v>371950111</v>
      </c>
      <c r="U220" s="3913" t="s">
        <v>5273</v>
      </c>
      <c r="V220" s="6190">
        <v>25</v>
      </c>
      <c r="W220" s="3925" t="s">
        <v>5262</v>
      </c>
      <c r="X220" s="7567">
        <v>4</v>
      </c>
      <c r="Y220" s="7567">
        <f>+V220*X220</f>
        <v>100</v>
      </c>
      <c r="Z220" s="7567">
        <f>+Y220*1.12</f>
        <v>112.00000000000001</v>
      </c>
      <c r="AA220" s="7566" t="s">
        <v>294</v>
      </c>
      <c r="AB220" s="3940"/>
      <c r="AC220" s="3956"/>
      <c r="AD220" s="3921" t="s">
        <v>294</v>
      </c>
      <c r="AE220" s="3921" t="s">
        <v>153</v>
      </c>
      <c r="AF220" s="4672" t="s">
        <v>294</v>
      </c>
      <c r="AG220" s="10916"/>
    </row>
    <row r="221" spans="1:33" ht="15.75" customHeight="1">
      <c r="A221" s="11000"/>
      <c r="B221" s="10934"/>
      <c r="C221" s="10937"/>
      <c r="D221" s="10937"/>
      <c r="E221" s="10937"/>
      <c r="F221" s="10940"/>
      <c r="G221" s="10937"/>
      <c r="H221" s="10937"/>
      <c r="I221" s="10940"/>
      <c r="J221" s="10937"/>
      <c r="K221" s="10937"/>
      <c r="L221" s="11053"/>
      <c r="M221" s="11053"/>
      <c r="N221" s="11053"/>
      <c r="O221" s="11008"/>
      <c r="P221" s="10937"/>
      <c r="Q221" s="11056"/>
      <c r="R221" s="3984" t="s">
        <v>294</v>
      </c>
      <c r="S221" s="3916" t="s">
        <v>294</v>
      </c>
      <c r="T221" s="3917">
        <v>34540.019999999997</v>
      </c>
      <c r="U221" s="3913" t="s">
        <v>5359</v>
      </c>
      <c r="V221" s="6190">
        <v>6</v>
      </c>
      <c r="W221" s="3925" t="s">
        <v>5360</v>
      </c>
      <c r="X221" s="7567">
        <v>15</v>
      </c>
      <c r="Y221" s="7567">
        <f>+V221*X221</f>
        <v>90</v>
      </c>
      <c r="Z221" s="7567">
        <f>+Y221*1.12</f>
        <v>100.80000000000001</v>
      </c>
      <c r="AA221" s="7566" t="s">
        <v>294</v>
      </c>
      <c r="AB221" s="3940"/>
      <c r="AC221" s="3956"/>
      <c r="AD221" s="3921" t="s">
        <v>294</v>
      </c>
      <c r="AE221" s="3921" t="s">
        <v>153</v>
      </c>
      <c r="AF221" s="4672" t="s">
        <v>294</v>
      </c>
      <c r="AG221" s="10916"/>
    </row>
    <row r="222" spans="1:33" ht="38.25">
      <c r="A222" s="11000"/>
      <c r="B222" s="10934"/>
      <c r="C222" s="10937"/>
      <c r="D222" s="10937"/>
      <c r="E222" s="10937"/>
      <c r="F222" s="10940"/>
      <c r="G222" s="10937"/>
      <c r="H222" s="10937"/>
      <c r="I222" s="10940"/>
      <c r="J222" s="10937"/>
      <c r="K222" s="10937"/>
      <c r="L222" s="11053"/>
      <c r="M222" s="11053"/>
      <c r="N222" s="11053"/>
      <c r="O222" s="11008"/>
      <c r="P222" s="10937"/>
      <c r="Q222" s="11056"/>
      <c r="R222" s="3984" t="s">
        <v>5259</v>
      </c>
      <c r="S222" s="3916">
        <v>530826</v>
      </c>
      <c r="T222" s="3917" t="s">
        <v>294</v>
      </c>
      <c r="U222" s="3914" t="s">
        <v>3341</v>
      </c>
      <c r="V222" s="6190" t="s">
        <v>294</v>
      </c>
      <c r="W222" s="3925" t="s">
        <v>294</v>
      </c>
      <c r="X222" s="7567" t="s">
        <v>294</v>
      </c>
      <c r="Y222" s="7567" t="s">
        <v>294</v>
      </c>
      <c r="Z222" s="7567" t="s">
        <v>294</v>
      </c>
      <c r="AA222" s="7566">
        <f>SUM(Z223:Z227)</f>
        <v>846.72000000000014</v>
      </c>
      <c r="AB222" s="7669" t="s">
        <v>26</v>
      </c>
      <c r="AC222" s="3920"/>
      <c r="AD222" s="3921" t="s">
        <v>294</v>
      </c>
      <c r="AE222" s="3921" t="s">
        <v>294</v>
      </c>
      <c r="AF222" s="4672" t="s">
        <v>294</v>
      </c>
      <c r="AG222" s="10916"/>
    </row>
    <row r="223" spans="1:33" ht="25.5">
      <c r="A223" s="11000"/>
      <c r="B223" s="10934"/>
      <c r="C223" s="10937"/>
      <c r="D223" s="10937"/>
      <c r="E223" s="10937"/>
      <c r="F223" s="10940"/>
      <c r="G223" s="10937"/>
      <c r="H223" s="10937"/>
      <c r="I223" s="10940"/>
      <c r="J223" s="10937"/>
      <c r="K223" s="10937"/>
      <c r="L223" s="11053"/>
      <c r="M223" s="11053"/>
      <c r="N223" s="11053"/>
      <c r="O223" s="11008"/>
      <c r="P223" s="10937"/>
      <c r="Q223" s="11056"/>
      <c r="R223" s="3984" t="s">
        <v>294</v>
      </c>
      <c r="S223" s="3916" t="s">
        <v>294</v>
      </c>
      <c r="T223" s="3917">
        <v>3529010947</v>
      </c>
      <c r="U223" s="3913" t="s">
        <v>5361</v>
      </c>
      <c r="V223" s="6190">
        <v>12</v>
      </c>
      <c r="W223" s="3925" t="s">
        <v>5362</v>
      </c>
      <c r="X223" s="7567">
        <v>20</v>
      </c>
      <c r="Y223" s="7567">
        <f>+V223*X223</f>
        <v>240</v>
      </c>
      <c r="Z223" s="7567">
        <f>+Y223*1.12</f>
        <v>268.8</v>
      </c>
      <c r="AA223" s="7566" t="s">
        <v>294</v>
      </c>
      <c r="AB223" s="3940"/>
      <c r="AC223" s="3956"/>
      <c r="AD223" s="3921" t="s">
        <v>294</v>
      </c>
      <c r="AE223" s="3921" t="s">
        <v>153</v>
      </c>
      <c r="AF223" s="4672" t="s">
        <v>294</v>
      </c>
      <c r="AG223" s="10916"/>
    </row>
    <row r="224" spans="1:33" ht="25.5">
      <c r="A224" s="11000"/>
      <c r="B224" s="10934"/>
      <c r="C224" s="10937"/>
      <c r="D224" s="10937"/>
      <c r="E224" s="10937"/>
      <c r="F224" s="10940"/>
      <c r="G224" s="10937"/>
      <c r="H224" s="10937"/>
      <c r="I224" s="10940"/>
      <c r="J224" s="10937"/>
      <c r="K224" s="10937"/>
      <c r="L224" s="11053"/>
      <c r="M224" s="11053"/>
      <c r="N224" s="11053"/>
      <c r="O224" s="11008"/>
      <c r="P224" s="10937"/>
      <c r="Q224" s="11056"/>
      <c r="R224" s="3984" t="s">
        <v>294</v>
      </c>
      <c r="S224" s="3916" t="s">
        <v>294</v>
      </c>
      <c r="T224" s="3917">
        <v>3529010975</v>
      </c>
      <c r="U224" s="3913" t="s">
        <v>5363</v>
      </c>
      <c r="V224" s="6190">
        <v>8</v>
      </c>
      <c r="W224" s="3925" t="s">
        <v>5351</v>
      </c>
      <c r="X224" s="7567">
        <v>7</v>
      </c>
      <c r="Y224" s="7567">
        <f>+V224*X224</f>
        <v>56</v>
      </c>
      <c r="Z224" s="7567">
        <f>+Y224*1.12</f>
        <v>62.720000000000006</v>
      </c>
      <c r="AA224" s="7566" t="s">
        <v>294</v>
      </c>
      <c r="AB224" s="3940"/>
      <c r="AC224" s="3956"/>
      <c r="AD224" s="3921" t="s">
        <v>294</v>
      </c>
      <c r="AE224" s="3921" t="s">
        <v>153</v>
      </c>
      <c r="AF224" s="4672" t="s">
        <v>294</v>
      </c>
      <c r="AG224" s="10916"/>
    </row>
    <row r="225" spans="1:33" ht="25.5">
      <c r="A225" s="11000"/>
      <c r="B225" s="10934"/>
      <c r="C225" s="10937"/>
      <c r="D225" s="10937"/>
      <c r="E225" s="10937"/>
      <c r="F225" s="10940"/>
      <c r="G225" s="10937"/>
      <c r="H225" s="10937"/>
      <c r="I225" s="10940"/>
      <c r="J225" s="10937"/>
      <c r="K225" s="10937"/>
      <c r="L225" s="11053"/>
      <c r="M225" s="11053"/>
      <c r="N225" s="11053"/>
      <c r="O225" s="11008"/>
      <c r="P225" s="10937"/>
      <c r="Q225" s="11056"/>
      <c r="R225" s="3984" t="s">
        <v>294</v>
      </c>
      <c r="S225" s="3916" t="s">
        <v>294</v>
      </c>
      <c r="T225" s="3917">
        <v>3529010963</v>
      </c>
      <c r="U225" s="3913" t="s">
        <v>5364</v>
      </c>
      <c r="V225" s="6190">
        <v>10</v>
      </c>
      <c r="W225" s="3925" t="s">
        <v>5353</v>
      </c>
      <c r="X225" s="7567">
        <v>13</v>
      </c>
      <c r="Y225" s="7567">
        <f>+V225*X225</f>
        <v>130</v>
      </c>
      <c r="Z225" s="7567">
        <f>+Y225*1.12</f>
        <v>145.60000000000002</v>
      </c>
      <c r="AA225" s="7566" t="s">
        <v>294</v>
      </c>
      <c r="AB225" s="3940"/>
      <c r="AC225" s="3956"/>
      <c r="AD225" s="3921" t="s">
        <v>294</v>
      </c>
      <c r="AE225" s="3921" t="s">
        <v>153</v>
      </c>
      <c r="AF225" s="4672" t="s">
        <v>294</v>
      </c>
      <c r="AG225" s="10916"/>
    </row>
    <row r="226" spans="1:33" ht="25.5">
      <c r="A226" s="11000"/>
      <c r="B226" s="10934"/>
      <c r="C226" s="10937"/>
      <c r="D226" s="10937"/>
      <c r="E226" s="10937"/>
      <c r="F226" s="10940"/>
      <c r="G226" s="10937"/>
      <c r="H226" s="10937"/>
      <c r="I226" s="10940"/>
      <c r="J226" s="10937"/>
      <c r="K226" s="10937"/>
      <c r="L226" s="11053"/>
      <c r="M226" s="11053"/>
      <c r="N226" s="11053"/>
      <c r="O226" s="11008"/>
      <c r="P226" s="10937"/>
      <c r="Q226" s="11056"/>
      <c r="R226" s="3984" t="s">
        <v>294</v>
      </c>
      <c r="S226" s="3916" t="s">
        <v>294</v>
      </c>
      <c r="T226" s="3917" t="s">
        <v>294</v>
      </c>
      <c r="U226" s="3913" t="s">
        <v>5365</v>
      </c>
      <c r="V226" s="6190">
        <v>2</v>
      </c>
      <c r="W226" s="3925" t="s">
        <v>5355</v>
      </c>
      <c r="X226" s="7567">
        <v>150</v>
      </c>
      <c r="Y226" s="7567">
        <f>+V226*X226</f>
        <v>300</v>
      </c>
      <c r="Z226" s="7567">
        <f>+Y226*1.12</f>
        <v>336.00000000000006</v>
      </c>
      <c r="AA226" s="7566" t="s">
        <v>294</v>
      </c>
      <c r="AB226" s="3940"/>
      <c r="AC226" s="3956"/>
      <c r="AD226" s="3921" t="s">
        <v>294</v>
      </c>
      <c r="AE226" s="3921" t="s">
        <v>153</v>
      </c>
      <c r="AF226" s="4672" t="s">
        <v>294</v>
      </c>
      <c r="AG226" s="10916"/>
    </row>
    <row r="227" spans="1:33" ht="25.5">
      <c r="A227" s="11000"/>
      <c r="B227" s="10934"/>
      <c r="C227" s="10937"/>
      <c r="D227" s="10937"/>
      <c r="E227" s="10937"/>
      <c r="F227" s="10940"/>
      <c r="G227" s="10937"/>
      <c r="H227" s="10937"/>
      <c r="I227" s="10940"/>
      <c r="J227" s="10937"/>
      <c r="K227" s="10937"/>
      <c r="L227" s="11059"/>
      <c r="M227" s="11059"/>
      <c r="N227" s="11059"/>
      <c r="O227" s="11009"/>
      <c r="P227" s="10985"/>
      <c r="Q227" s="11058"/>
      <c r="R227" s="4420" t="s">
        <v>294</v>
      </c>
      <c r="S227" s="4116" t="s">
        <v>294</v>
      </c>
      <c r="T227" s="4137">
        <v>3529010976</v>
      </c>
      <c r="U227" s="3982" t="s">
        <v>5366</v>
      </c>
      <c r="V227" s="6191">
        <v>10</v>
      </c>
      <c r="W227" s="4039" t="s">
        <v>5355</v>
      </c>
      <c r="X227" s="7568">
        <v>3</v>
      </c>
      <c r="Y227" s="7568">
        <f>+V227*X227</f>
        <v>30</v>
      </c>
      <c r="Z227" s="7568">
        <f>+Y227*1.12</f>
        <v>33.6</v>
      </c>
      <c r="AA227" s="7569" t="s">
        <v>294</v>
      </c>
      <c r="AB227" s="4097"/>
      <c r="AC227" s="4098"/>
      <c r="AD227" s="4041" t="s">
        <v>294</v>
      </c>
      <c r="AE227" s="4041" t="s">
        <v>153</v>
      </c>
      <c r="AF227" s="4117" t="s">
        <v>294</v>
      </c>
      <c r="AG227" s="10917"/>
    </row>
    <row r="228" spans="1:33" ht="25.5">
      <c r="A228" s="11000"/>
      <c r="B228" s="10934"/>
      <c r="C228" s="10937"/>
      <c r="D228" s="10937"/>
      <c r="E228" s="10937"/>
      <c r="F228" s="10940"/>
      <c r="G228" s="10937"/>
      <c r="H228" s="10937"/>
      <c r="I228" s="10940"/>
      <c r="J228" s="10937"/>
      <c r="K228" s="10937"/>
      <c r="L228" s="11063">
        <v>10</v>
      </c>
      <c r="M228" s="11063">
        <v>15</v>
      </c>
      <c r="N228" s="11063">
        <v>15</v>
      </c>
      <c r="O228" s="11037" t="s">
        <v>5344</v>
      </c>
      <c r="P228" s="10936" t="s">
        <v>5367</v>
      </c>
      <c r="Q228" s="11060" t="s">
        <v>5368</v>
      </c>
      <c r="R228" s="4421" t="s">
        <v>5011</v>
      </c>
      <c r="S228" s="4236" t="s">
        <v>5369</v>
      </c>
      <c r="T228" s="4243" t="s">
        <v>294</v>
      </c>
      <c r="U228" s="4244" t="s">
        <v>39</v>
      </c>
      <c r="V228" s="7541" t="s">
        <v>294</v>
      </c>
      <c r="W228" s="4238" t="s">
        <v>294</v>
      </c>
      <c r="X228" s="8057" t="s">
        <v>294</v>
      </c>
      <c r="Y228" s="8057" t="s">
        <v>294</v>
      </c>
      <c r="Z228" s="8057" t="s">
        <v>294</v>
      </c>
      <c r="AA228" s="7783">
        <f>+Z229</f>
        <v>9062.5624999999982</v>
      </c>
      <c r="AB228" s="7681" t="s">
        <v>18</v>
      </c>
      <c r="AC228" s="4239"/>
      <c r="AD228" s="4245" t="s">
        <v>294</v>
      </c>
      <c r="AE228" s="4246" t="s">
        <v>294</v>
      </c>
      <c r="AF228" s="4009" t="s">
        <v>294</v>
      </c>
      <c r="AG228" s="10915" t="s">
        <v>294</v>
      </c>
    </row>
    <row r="229" spans="1:33" ht="15.75" customHeight="1">
      <c r="A229" s="11000"/>
      <c r="B229" s="10934"/>
      <c r="C229" s="10937"/>
      <c r="D229" s="10937"/>
      <c r="E229" s="10937"/>
      <c r="F229" s="10940"/>
      <c r="G229" s="10937"/>
      <c r="H229" s="10937"/>
      <c r="I229" s="10940"/>
      <c r="J229" s="10937"/>
      <c r="K229" s="10937"/>
      <c r="L229" s="11053"/>
      <c r="M229" s="11053"/>
      <c r="N229" s="11053"/>
      <c r="O229" s="11008"/>
      <c r="P229" s="10937"/>
      <c r="Q229" s="11056"/>
      <c r="R229" s="4432" t="s">
        <v>294</v>
      </c>
      <c r="S229" s="4233" t="s">
        <v>294</v>
      </c>
      <c r="T229" s="4233">
        <v>389960011</v>
      </c>
      <c r="U229" s="4234" t="s">
        <v>5370</v>
      </c>
      <c r="V229" s="7542">
        <v>1</v>
      </c>
      <c r="W229" s="4229" t="s">
        <v>180</v>
      </c>
      <c r="X229" s="7782">
        <f>10150.07/1.12</f>
        <v>9062.5624999999982</v>
      </c>
      <c r="Y229" s="7782">
        <f>+V229*X229</f>
        <v>9062.5624999999982</v>
      </c>
      <c r="Z229" s="7782">
        <f>Y229</f>
        <v>9062.5624999999982</v>
      </c>
      <c r="AA229" s="7785"/>
      <c r="AB229" s="7683"/>
      <c r="AC229" s="4235"/>
      <c r="AD229" s="4231" t="s">
        <v>294</v>
      </c>
      <c r="AE229" s="4231"/>
      <c r="AF229" s="3919" t="s">
        <v>153</v>
      </c>
      <c r="AG229" s="10916"/>
    </row>
    <row r="230" spans="1:33" ht="38.25">
      <c r="A230" s="11000"/>
      <c r="B230" s="10934"/>
      <c r="C230" s="10937"/>
      <c r="D230" s="10937"/>
      <c r="E230" s="10937"/>
      <c r="F230" s="10940"/>
      <c r="G230" s="10937"/>
      <c r="H230" s="10937"/>
      <c r="I230" s="10940"/>
      <c r="J230" s="10937"/>
      <c r="K230" s="10937"/>
      <c r="L230" s="11053"/>
      <c r="M230" s="11053"/>
      <c r="N230" s="11053"/>
      <c r="O230" s="11008"/>
      <c r="P230" s="10937"/>
      <c r="Q230" s="11056"/>
      <c r="R230" s="3984" t="s">
        <v>5259</v>
      </c>
      <c r="S230" s="3916" t="s">
        <v>5371</v>
      </c>
      <c r="T230" s="3972" t="s">
        <v>294</v>
      </c>
      <c r="U230" s="3914" t="s">
        <v>3341</v>
      </c>
      <c r="V230" s="6190" t="s">
        <v>294</v>
      </c>
      <c r="W230" s="3925" t="s">
        <v>294</v>
      </c>
      <c r="X230" s="7567" t="s">
        <v>294</v>
      </c>
      <c r="Y230" s="7567" t="s">
        <v>294</v>
      </c>
      <c r="Z230" s="7567"/>
      <c r="AA230" s="7566">
        <f>SUM(Z231:Z234)</f>
        <v>481.60000000000008</v>
      </c>
      <c r="AB230" s="7669" t="s">
        <v>26</v>
      </c>
      <c r="AC230" s="3920"/>
      <c r="AD230" s="3921" t="s">
        <v>294</v>
      </c>
      <c r="AE230" s="3922" t="s">
        <v>294</v>
      </c>
      <c r="AF230" s="3959" t="s">
        <v>294</v>
      </c>
      <c r="AG230" s="10916"/>
    </row>
    <row r="231" spans="1:33" ht="25.5">
      <c r="A231" s="11000"/>
      <c r="B231" s="10934"/>
      <c r="C231" s="10937"/>
      <c r="D231" s="10937"/>
      <c r="E231" s="10937"/>
      <c r="F231" s="10940"/>
      <c r="G231" s="10937"/>
      <c r="H231" s="10937"/>
      <c r="I231" s="10940"/>
      <c r="J231" s="10937"/>
      <c r="K231" s="10937"/>
      <c r="L231" s="11053"/>
      <c r="M231" s="11053"/>
      <c r="N231" s="11053"/>
      <c r="O231" s="11008"/>
      <c r="P231" s="10937"/>
      <c r="Q231" s="11056"/>
      <c r="R231" s="3984" t="s">
        <v>294</v>
      </c>
      <c r="S231" s="3916" t="s">
        <v>294</v>
      </c>
      <c r="T231" s="3917">
        <v>3529010947</v>
      </c>
      <c r="U231" s="3913" t="s">
        <v>5348</v>
      </c>
      <c r="V231" s="6190">
        <v>10</v>
      </c>
      <c r="W231" s="3925" t="s">
        <v>5349</v>
      </c>
      <c r="X231" s="7567">
        <v>20</v>
      </c>
      <c r="Y231" s="7567">
        <f>+V231*X231</f>
        <v>200</v>
      </c>
      <c r="Z231" s="7567">
        <f>+Y231*1.12</f>
        <v>224.00000000000003</v>
      </c>
      <c r="AA231" s="7566" t="s">
        <v>294</v>
      </c>
      <c r="AB231" s="3940"/>
      <c r="AC231" s="3956"/>
      <c r="AD231" s="3921" t="s">
        <v>294</v>
      </c>
      <c r="AE231" s="3921" t="s">
        <v>153</v>
      </c>
      <c r="AF231" s="4672" t="s">
        <v>294</v>
      </c>
      <c r="AG231" s="10916"/>
    </row>
    <row r="232" spans="1:33" ht="25.5">
      <c r="A232" s="11000"/>
      <c r="B232" s="10934"/>
      <c r="C232" s="10937"/>
      <c r="D232" s="10937"/>
      <c r="E232" s="10937"/>
      <c r="F232" s="10940"/>
      <c r="G232" s="10937"/>
      <c r="H232" s="10937"/>
      <c r="I232" s="10940"/>
      <c r="J232" s="10937"/>
      <c r="K232" s="10937"/>
      <c r="L232" s="11053"/>
      <c r="M232" s="11053"/>
      <c r="N232" s="11053"/>
      <c r="O232" s="11008"/>
      <c r="P232" s="10937"/>
      <c r="Q232" s="11056"/>
      <c r="R232" s="3984" t="s">
        <v>294</v>
      </c>
      <c r="S232" s="3916" t="s">
        <v>294</v>
      </c>
      <c r="T232" s="3917">
        <v>3529010975</v>
      </c>
      <c r="U232" s="3913" t="s">
        <v>5350</v>
      </c>
      <c r="V232" s="6190">
        <v>10</v>
      </c>
      <c r="W232" s="3925" t="s">
        <v>5351</v>
      </c>
      <c r="X232" s="7567">
        <v>7</v>
      </c>
      <c r="Y232" s="7567">
        <f>+V232*X232</f>
        <v>70</v>
      </c>
      <c r="Z232" s="7567">
        <f>+Y232*1.12</f>
        <v>78.400000000000006</v>
      </c>
      <c r="AA232" s="7566" t="s">
        <v>294</v>
      </c>
      <c r="AB232" s="3940"/>
      <c r="AC232" s="3956"/>
      <c r="AD232" s="3921" t="s">
        <v>294</v>
      </c>
      <c r="AE232" s="3921" t="s">
        <v>153</v>
      </c>
      <c r="AF232" s="4672" t="s">
        <v>294</v>
      </c>
      <c r="AG232" s="10916"/>
    </row>
    <row r="233" spans="1:33" ht="25.5">
      <c r="A233" s="11000"/>
      <c r="B233" s="10934"/>
      <c r="C233" s="10937"/>
      <c r="D233" s="10937"/>
      <c r="E233" s="10937"/>
      <c r="F233" s="10940"/>
      <c r="G233" s="10937"/>
      <c r="H233" s="10937"/>
      <c r="I233" s="10940"/>
      <c r="J233" s="10937"/>
      <c r="K233" s="10937"/>
      <c r="L233" s="11053"/>
      <c r="M233" s="11053"/>
      <c r="N233" s="11053"/>
      <c r="O233" s="11008"/>
      <c r="P233" s="10937"/>
      <c r="Q233" s="11056"/>
      <c r="R233" s="3984" t="s">
        <v>294</v>
      </c>
      <c r="S233" s="3917" t="s">
        <v>294</v>
      </c>
      <c r="T233" s="3917">
        <v>3529010963</v>
      </c>
      <c r="U233" s="3913" t="s">
        <v>5364</v>
      </c>
      <c r="V233" s="6190">
        <v>10</v>
      </c>
      <c r="W233" s="3925" t="s">
        <v>5353</v>
      </c>
      <c r="X233" s="7567">
        <v>13</v>
      </c>
      <c r="Y233" s="7567">
        <f>+V233*X233</f>
        <v>130</v>
      </c>
      <c r="Z233" s="7567">
        <f>+Y233*1.12</f>
        <v>145.60000000000002</v>
      </c>
      <c r="AA233" s="7566" t="s">
        <v>294</v>
      </c>
      <c r="AB233" s="3940"/>
      <c r="AC233" s="3956"/>
      <c r="AD233" s="3921" t="s">
        <v>294</v>
      </c>
      <c r="AE233" s="3921" t="s">
        <v>153</v>
      </c>
      <c r="AF233" s="4672" t="s">
        <v>294</v>
      </c>
      <c r="AG233" s="10916"/>
    </row>
    <row r="234" spans="1:33" ht="25.5">
      <c r="A234" s="11000"/>
      <c r="B234" s="10934"/>
      <c r="C234" s="10937"/>
      <c r="D234" s="10937"/>
      <c r="E234" s="10937"/>
      <c r="F234" s="10940"/>
      <c r="G234" s="10937"/>
      <c r="H234" s="10937"/>
      <c r="I234" s="10940"/>
      <c r="J234" s="10937"/>
      <c r="K234" s="10937"/>
      <c r="L234" s="11054"/>
      <c r="M234" s="11054"/>
      <c r="N234" s="11054"/>
      <c r="O234" s="11038"/>
      <c r="P234" s="10938"/>
      <c r="Q234" s="11057"/>
      <c r="R234" s="4423" t="s">
        <v>294</v>
      </c>
      <c r="S234" s="3977" t="s">
        <v>294</v>
      </c>
      <c r="T234" s="3977">
        <v>3529010976</v>
      </c>
      <c r="U234" s="3952" t="s">
        <v>5354</v>
      </c>
      <c r="V234" s="6193">
        <v>10</v>
      </c>
      <c r="W234" s="3978" t="s">
        <v>5355</v>
      </c>
      <c r="X234" s="7573">
        <v>3</v>
      </c>
      <c r="Y234" s="7573">
        <f>+V234*X234</f>
        <v>30</v>
      </c>
      <c r="Z234" s="7573">
        <f>+Y234*1.12</f>
        <v>33.6</v>
      </c>
      <c r="AA234" s="7574" t="s">
        <v>294</v>
      </c>
      <c r="AB234" s="3994"/>
      <c r="AC234" s="3995"/>
      <c r="AD234" s="4035" t="s">
        <v>294</v>
      </c>
      <c r="AE234" s="4035" t="s">
        <v>153</v>
      </c>
      <c r="AF234" s="4673" t="s">
        <v>294</v>
      </c>
      <c r="AG234" s="10917"/>
    </row>
    <row r="235" spans="1:33" ht="15.75" customHeight="1">
      <c r="A235" s="11000"/>
      <c r="B235" s="10934"/>
      <c r="C235" s="10937"/>
      <c r="D235" s="10937"/>
      <c r="E235" s="10937"/>
      <c r="F235" s="10940"/>
      <c r="G235" s="10937"/>
      <c r="H235" s="10937"/>
      <c r="I235" s="10940"/>
      <c r="J235" s="10937"/>
      <c r="K235" s="10937"/>
      <c r="L235" s="11052">
        <v>8</v>
      </c>
      <c r="M235" s="11052">
        <v>20</v>
      </c>
      <c r="N235" s="11052">
        <v>12</v>
      </c>
      <c r="O235" s="10948" t="s">
        <v>5372</v>
      </c>
      <c r="P235" s="10948" t="s">
        <v>5373</v>
      </c>
      <c r="Q235" s="11055" t="s">
        <v>5374</v>
      </c>
      <c r="R235" s="3983" t="s">
        <v>5011</v>
      </c>
      <c r="S235" s="8513" t="s">
        <v>5375</v>
      </c>
      <c r="U235" s="8089" t="s">
        <v>5376</v>
      </c>
      <c r="V235" s="6189" t="s">
        <v>294</v>
      </c>
      <c r="W235" s="3908" t="s">
        <v>294</v>
      </c>
      <c r="X235" s="7562" t="s">
        <v>294</v>
      </c>
      <c r="Y235" s="7562" t="s">
        <v>294</v>
      </c>
      <c r="Z235" s="7562" t="s">
        <v>294</v>
      </c>
      <c r="AA235" s="8085">
        <f>+SUM(Z236:Z251)</f>
        <v>318.18079999999998</v>
      </c>
      <c r="AB235" s="7668" t="s">
        <v>18</v>
      </c>
      <c r="AC235" s="3909"/>
      <c r="AD235" s="3910" t="s">
        <v>294</v>
      </c>
      <c r="AE235" s="3911" t="s">
        <v>294</v>
      </c>
      <c r="AF235" s="3987" t="s">
        <v>294</v>
      </c>
      <c r="AG235" s="10915" t="s">
        <v>294</v>
      </c>
    </row>
    <row r="236" spans="1:33" ht="25.5">
      <c r="A236" s="11000"/>
      <c r="B236" s="10934"/>
      <c r="C236" s="10937"/>
      <c r="D236" s="10937"/>
      <c r="E236" s="10937"/>
      <c r="F236" s="10940"/>
      <c r="G236" s="10937"/>
      <c r="H236" s="10937"/>
      <c r="I236" s="10940"/>
      <c r="J236" s="10937"/>
      <c r="K236" s="10937"/>
      <c r="L236" s="11053"/>
      <c r="M236" s="11053"/>
      <c r="N236" s="11053"/>
      <c r="O236" s="10937"/>
      <c r="P236" s="10937"/>
      <c r="Q236" s="11056"/>
      <c r="R236" s="3984" t="s">
        <v>294</v>
      </c>
      <c r="S236" s="3917" t="s">
        <v>294</v>
      </c>
      <c r="T236" s="3917">
        <v>88160</v>
      </c>
      <c r="U236" s="3913" t="s">
        <v>5377</v>
      </c>
      <c r="V236" s="6190">
        <v>1</v>
      </c>
      <c r="W236" s="3925" t="s">
        <v>5378</v>
      </c>
      <c r="X236" s="7567">
        <v>15.09</v>
      </c>
      <c r="Y236" s="7567">
        <f t="shared" ref="Y236:Y251" si="7">+V236*X236</f>
        <v>15.09</v>
      </c>
      <c r="Z236" s="7567">
        <f t="shared" ref="Z236:Z251" si="8">+Y236*1.12</f>
        <v>16.9008</v>
      </c>
      <c r="AA236" s="7566" t="s">
        <v>294</v>
      </c>
      <c r="AB236" s="3940"/>
      <c r="AC236" s="3956"/>
      <c r="AD236" s="3921" t="s">
        <v>294</v>
      </c>
      <c r="AE236" s="3921" t="s">
        <v>153</v>
      </c>
      <c r="AF236" s="3959" t="s">
        <v>294</v>
      </c>
      <c r="AG236" s="10916"/>
    </row>
    <row r="237" spans="1:33" ht="25.5">
      <c r="A237" s="11000"/>
      <c r="B237" s="10934"/>
      <c r="C237" s="10937"/>
      <c r="D237" s="10937"/>
      <c r="E237" s="10937"/>
      <c r="F237" s="10940"/>
      <c r="G237" s="10937"/>
      <c r="H237" s="10937"/>
      <c r="I237" s="10940"/>
      <c r="J237" s="10937"/>
      <c r="K237" s="10937"/>
      <c r="L237" s="11053"/>
      <c r="M237" s="11053"/>
      <c r="N237" s="11053"/>
      <c r="O237" s="10937"/>
      <c r="P237" s="10937"/>
      <c r="Q237" s="11056"/>
      <c r="R237" s="3984" t="s">
        <v>294</v>
      </c>
      <c r="S237" s="3917" t="s">
        <v>294</v>
      </c>
      <c r="T237" s="3917">
        <v>88160</v>
      </c>
      <c r="U237" s="3913" t="s">
        <v>5379</v>
      </c>
      <c r="V237" s="6190">
        <v>1</v>
      </c>
      <c r="W237" s="3925" t="s">
        <v>5378</v>
      </c>
      <c r="X237" s="7567">
        <v>17</v>
      </c>
      <c r="Y237" s="7567">
        <f t="shared" si="7"/>
        <v>17</v>
      </c>
      <c r="Z237" s="7567">
        <f t="shared" si="8"/>
        <v>19.040000000000003</v>
      </c>
      <c r="AA237" s="7566" t="s">
        <v>294</v>
      </c>
      <c r="AB237" s="3940"/>
      <c r="AC237" s="3956"/>
      <c r="AD237" s="3921" t="s">
        <v>294</v>
      </c>
      <c r="AE237" s="3921" t="s">
        <v>153</v>
      </c>
      <c r="AF237" s="3959" t="s">
        <v>294</v>
      </c>
      <c r="AG237" s="10916"/>
    </row>
    <row r="238" spans="1:33" ht="25.5">
      <c r="A238" s="11000"/>
      <c r="B238" s="10934"/>
      <c r="C238" s="10937"/>
      <c r="D238" s="10937"/>
      <c r="E238" s="10937"/>
      <c r="F238" s="10940"/>
      <c r="G238" s="10937"/>
      <c r="H238" s="10937"/>
      <c r="I238" s="10940"/>
      <c r="J238" s="10937"/>
      <c r="K238" s="10937"/>
      <c r="L238" s="11053"/>
      <c r="M238" s="11053"/>
      <c r="N238" s="11053"/>
      <c r="O238" s="10937"/>
      <c r="P238" s="10937"/>
      <c r="Q238" s="11056"/>
      <c r="R238" s="3984" t="s">
        <v>294</v>
      </c>
      <c r="S238" s="3917" t="s">
        <v>294</v>
      </c>
      <c r="T238" s="3917">
        <v>88160</v>
      </c>
      <c r="U238" s="3913" t="s">
        <v>5380</v>
      </c>
      <c r="V238" s="6190">
        <v>1</v>
      </c>
      <c r="W238" s="3925" t="s">
        <v>5378</v>
      </c>
      <c r="X238" s="7567">
        <v>11</v>
      </c>
      <c r="Y238" s="7567">
        <f t="shared" si="7"/>
        <v>11</v>
      </c>
      <c r="Z238" s="7567">
        <f t="shared" si="8"/>
        <v>12.32</v>
      </c>
      <c r="AA238" s="7566" t="s">
        <v>294</v>
      </c>
      <c r="AB238" s="3940"/>
      <c r="AC238" s="3956"/>
      <c r="AD238" s="3921" t="s">
        <v>294</v>
      </c>
      <c r="AE238" s="3921" t="s">
        <v>153</v>
      </c>
      <c r="AF238" s="3959" t="s">
        <v>294</v>
      </c>
      <c r="AG238" s="10916"/>
    </row>
    <row r="239" spans="1:33" ht="25.5">
      <c r="A239" s="11000"/>
      <c r="B239" s="10934"/>
      <c r="C239" s="10937"/>
      <c r="D239" s="10937"/>
      <c r="E239" s="10937"/>
      <c r="F239" s="10940"/>
      <c r="G239" s="10937"/>
      <c r="H239" s="10937"/>
      <c r="I239" s="10940"/>
      <c r="J239" s="10937"/>
      <c r="K239" s="10937"/>
      <c r="L239" s="11053"/>
      <c r="M239" s="11053"/>
      <c r="N239" s="11053"/>
      <c r="O239" s="10937"/>
      <c r="P239" s="10937"/>
      <c r="Q239" s="11056"/>
      <c r="R239" s="3984" t="s">
        <v>294</v>
      </c>
      <c r="S239" s="3917" t="s">
        <v>294</v>
      </c>
      <c r="T239" s="3917">
        <v>88160</v>
      </c>
      <c r="U239" s="3913" t="s">
        <v>5381</v>
      </c>
      <c r="V239" s="6190">
        <v>1</v>
      </c>
      <c r="W239" s="3925" t="s">
        <v>5378</v>
      </c>
      <c r="X239" s="7567">
        <v>35</v>
      </c>
      <c r="Y239" s="7567">
        <f t="shared" si="7"/>
        <v>35</v>
      </c>
      <c r="Z239" s="7567">
        <f t="shared" si="8"/>
        <v>39.200000000000003</v>
      </c>
      <c r="AA239" s="7566" t="s">
        <v>294</v>
      </c>
      <c r="AB239" s="3940"/>
      <c r="AC239" s="3956"/>
      <c r="AD239" s="3921" t="s">
        <v>294</v>
      </c>
      <c r="AE239" s="3921" t="s">
        <v>153</v>
      </c>
      <c r="AF239" s="3959" t="s">
        <v>294</v>
      </c>
      <c r="AG239" s="10916"/>
    </row>
    <row r="240" spans="1:33" ht="63.75">
      <c r="A240" s="11000"/>
      <c r="B240" s="10934"/>
      <c r="C240" s="10937"/>
      <c r="D240" s="10937"/>
      <c r="E240" s="10937"/>
      <c r="F240" s="10940"/>
      <c r="G240" s="10937"/>
      <c r="H240" s="10937"/>
      <c r="I240" s="10940"/>
      <c r="J240" s="10937"/>
      <c r="K240" s="10937"/>
      <c r="L240" s="11053"/>
      <c r="M240" s="11053"/>
      <c r="N240" s="11053"/>
      <c r="O240" s="10937"/>
      <c r="P240" s="10937"/>
      <c r="Q240" s="11056"/>
      <c r="R240" s="3984" t="s">
        <v>294</v>
      </c>
      <c r="S240" s="3917" t="s">
        <v>294</v>
      </c>
      <c r="T240" s="3917">
        <v>347904311</v>
      </c>
      <c r="U240" s="3913" t="s">
        <v>5382</v>
      </c>
      <c r="V240" s="6190">
        <v>1</v>
      </c>
      <c r="W240" s="3925" t="s">
        <v>5378</v>
      </c>
      <c r="X240" s="7567">
        <v>15</v>
      </c>
      <c r="Y240" s="7567">
        <f t="shared" si="7"/>
        <v>15</v>
      </c>
      <c r="Z240" s="7567">
        <f t="shared" si="8"/>
        <v>16.8</v>
      </c>
      <c r="AA240" s="7566" t="s">
        <v>294</v>
      </c>
      <c r="AB240" s="3940"/>
      <c r="AC240" s="3956"/>
      <c r="AD240" s="3921" t="s">
        <v>294</v>
      </c>
      <c r="AE240" s="3921" t="s">
        <v>153</v>
      </c>
      <c r="AF240" s="3959" t="s">
        <v>294</v>
      </c>
      <c r="AG240" s="10916"/>
    </row>
    <row r="241" spans="1:33" ht="15.75" customHeight="1">
      <c r="A241" s="11000"/>
      <c r="B241" s="10934"/>
      <c r="C241" s="10937"/>
      <c r="D241" s="10937"/>
      <c r="E241" s="10937"/>
      <c r="F241" s="10940"/>
      <c r="G241" s="10937"/>
      <c r="H241" s="10937"/>
      <c r="I241" s="10940"/>
      <c r="J241" s="10937"/>
      <c r="K241" s="10937"/>
      <c r="L241" s="11053"/>
      <c r="M241" s="11053"/>
      <c r="N241" s="11053"/>
      <c r="O241" s="10937"/>
      <c r="P241" s="10937"/>
      <c r="Q241" s="11056"/>
      <c r="R241" s="3984" t="s">
        <v>294</v>
      </c>
      <c r="S241" s="3917" t="s">
        <v>294</v>
      </c>
      <c r="T241" s="3917">
        <v>32301111</v>
      </c>
      <c r="U241" s="3913" t="s">
        <v>5383</v>
      </c>
      <c r="V241" s="6190">
        <v>1</v>
      </c>
      <c r="W241" s="3925" t="s">
        <v>5378</v>
      </c>
      <c r="X241" s="7567">
        <v>35</v>
      </c>
      <c r="Y241" s="7567">
        <f t="shared" si="7"/>
        <v>35</v>
      </c>
      <c r="Z241" s="7567">
        <f t="shared" si="8"/>
        <v>39.200000000000003</v>
      </c>
      <c r="AA241" s="7566" t="s">
        <v>294</v>
      </c>
      <c r="AB241" s="3940"/>
      <c r="AC241" s="3956"/>
      <c r="AD241" s="3921" t="s">
        <v>294</v>
      </c>
      <c r="AE241" s="3921" t="s">
        <v>153</v>
      </c>
      <c r="AF241" s="3959" t="s">
        <v>294</v>
      </c>
      <c r="AG241" s="10916"/>
    </row>
    <row r="242" spans="1:33" ht="15.75" customHeight="1">
      <c r="A242" s="11000"/>
      <c r="B242" s="10934"/>
      <c r="C242" s="10937"/>
      <c r="D242" s="10937"/>
      <c r="E242" s="10937"/>
      <c r="F242" s="10940"/>
      <c r="G242" s="10937"/>
      <c r="H242" s="10937"/>
      <c r="I242" s="10940"/>
      <c r="J242" s="10937"/>
      <c r="K242" s="10937"/>
      <c r="L242" s="11053"/>
      <c r="M242" s="11053"/>
      <c r="N242" s="11053"/>
      <c r="O242" s="10937"/>
      <c r="P242" s="10937"/>
      <c r="Q242" s="11056"/>
      <c r="R242" s="3984" t="s">
        <v>294</v>
      </c>
      <c r="S242" s="3917" t="s">
        <v>294</v>
      </c>
      <c r="T242" s="3917">
        <v>2399909110</v>
      </c>
      <c r="U242" s="3913" t="s">
        <v>5384</v>
      </c>
      <c r="V242" s="6190">
        <v>0.5</v>
      </c>
      <c r="W242" s="3925" t="s">
        <v>5385</v>
      </c>
      <c r="X242" s="7567">
        <v>28</v>
      </c>
      <c r="Y242" s="7567">
        <f t="shared" si="7"/>
        <v>14</v>
      </c>
      <c r="Z242" s="7567">
        <f t="shared" si="8"/>
        <v>15.680000000000001</v>
      </c>
      <c r="AA242" s="7566" t="s">
        <v>294</v>
      </c>
      <c r="AB242" s="3940"/>
      <c r="AC242" s="3956"/>
      <c r="AD242" s="3921" t="s">
        <v>294</v>
      </c>
      <c r="AE242" s="3921" t="s">
        <v>153</v>
      </c>
      <c r="AF242" s="3959" t="s">
        <v>294</v>
      </c>
      <c r="AG242" s="10916"/>
    </row>
    <row r="243" spans="1:33" ht="15.75" customHeight="1">
      <c r="A243" s="11000"/>
      <c r="B243" s="10934"/>
      <c r="C243" s="10937"/>
      <c r="D243" s="10937"/>
      <c r="E243" s="10937"/>
      <c r="F243" s="10940"/>
      <c r="G243" s="10937"/>
      <c r="H243" s="10937"/>
      <c r="I243" s="10940"/>
      <c r="J243" s="10937"/>
      <c r="K243" s="10937"/>
      <c r="L243" s="11053"/>
      <c r="M243" s="11053"/>
      <c r="N243" s="11053"/>
      <c r="O243" s="10937"/>
      <c r="P243" s="10937"/>
      <c r="Q243" s="11056"/>
      <c r="R243" s="3984" t="s">
        <v>294</v>
      </c>
      <c r="S243" s="3917" t="s">
        <v>294</v>
      </c>
      <c r="T243" s="3917">
        <v>2399909115</v>
      </c>
      <c r="U243" s="3913" t="s">
        <v>5386</v>
      </c>
      <c r="V243" s="6190">
        <v>0.5</v>
      </c>
      <c r="W243" s="3925" t="s">
        <v>5385</v>
      </c>
      <c r="X243" s="7567">
        <v>28</v>
      </c>
      <c r="Y243" s="7567">
        <f t="shared" si="7"/>
        <v>14</v>
      </c>
      <c r="Z243" s="7567">
        <f t="shared" si="8"/>
        <v>15.680000000000001</v>
      </c>
      <c r="AA243" s="7566" t="s">
        <v>294</v>
      </c>
      <c r="AB243" s="3940"/>
      <c r="AC243" s="3956"/>
      <c r="AD243" s="3921" t="s">
        <v>294</v>
      </c>
      <c r="AE243" s="3921" t="s">
        <v>153</v>
      </c>
      <c r="AF243" s="3959" t="s">
        <v>294</v>
      </c>
      <c r="AG243" s="10916"/>
    </row>
    <row r="244" spans="1:33" ht="15.75" customHeight="1">
      <c r="A244" s="11000"/>
      <c r="B244" s="10934"/>
      <c r="C244" s="10937"/>
      <c r="D244" s="10937"/>
      <c r="E244" s="10937"/>
      <c r="F244" s="10940"/>
      <c r="G244" s="10937"/>
      <c r="H244" s="10937"/>
      <c r="I244" s="10940"/>
      <c r="J244" s="10937"/>
      <c r="K244" s="10937"/>
      <c r="L244" s="11053"/>
      <c r="M244" s="11053"/>
      <c r="N244" s="11053"/>
      <c r="O244" s="10937"/>
      <c r="P244" s="10937"/>
      <c r="Q244" s="11056"/>
      <c r="R244" s="3984" t="s">
        <v>294</v>
      </c>
      <c r="S244" s="3917" t="s">
        <v>294</v>
      </c>
      <c r="T244" s="3917">
        <v>2399909126</v>
      </c>
      <c r="U244" s="3913" t="s">
        <v>5387</v>
      </c>
      <c r="V244" s="6190">
        <v>0.5</v>
      </c>
      <c r="W244" s="3925" t="s">
        <v>5388</v>
      </c>
      <c r="X244" s="7567">
        <v>34</v>
      </c>
      <c r="Y244" s="7567">
        <f t="shared" si="7"/>
        <v>17</v>
      </c>
      <c r="Z244" s="7567">
        <f t="shared" si="8"/>
        <v>19.040000000000003</v>
      </c>
      <c r="AA244" s="7566" t="s">
        <v>294</v>
      </c>
      <c r="AB244" s="3940"/>
      <c r="AC244" s="3956"/>
      <c r="AD244" s="3921" t="s">
        <v>294</v>
      </c>
      <c r="AE244" s="3921" t="s">
        <v>153</v>
      </c>
      <c r="AF244" s="3959" t="s">
        <v>294</v>
      </c>
      <c r="AG244" s="10916"/>
    </row>
    <row r="245" spans="1:33" ht="15.75" customHeight="1">
      <c r="A245" s="11000"/>
      <c r="B245" s="10934"/>
      <c r="C245" s="10937"/>
      <c r="D245" s="10937"/>
      <c r="E245" s="10937"/>
      <c r="F245" s="10940"/>
      <c r="G245" s="10937"/>
      <c r="H245" s="10937"/>
      <c r="I245" s="10940"/>
      <c r="J245" s="10937"/>
      <c r="K245" s="10937"/>
      <c r="L245" s="11053"/>
      <c r="M245" s="11053"/>
      <c r="N245" s="11053"/>
      <c r="O245" s="10937"/>
      <c r="P245" s="10937"/>
      <c r="Q245" s="11056"/>
      <c r="R245" s="3984" t="s">
        <v>294</v>
      </c>
      <c r="S245" s="3917" t="s">
        <v>294</v>
      </c>
      <c r="T245" s="3917">
        <v>2399909141</v>
      </c>
      <c r="U245" s="3913" t="s">
        <v>5389</v>
      </c>
      <c r="V245" s="6190">
        <v>0.5</v>
      </c>
      <c r="W245" s="3925" t="s">
        <v>5385</v>
      </c>
      <c r="X245" s="7567">
        <v>34</v>
      </c>
      <c r="Y245" s="7567">
        <f t="shared" si="7"/>
        <v>17</v>
      </c>
      <c r="Z245" s="7567">
        <f t="shared" si="8"/>
        <v>19.040000000000003</v>
      </c>
      <c r="AA245" s="7566" t="s">
        <v>294</v>
      </c>
      <c r="AB245" s="3940"/>
      <c r="AC245" s="3956"/>
      <c r="AD245" s="3921" t="s">
        <v>294</v>
      </c>
      <c r="AE245" s="3921" t="s">
        <v>153</v>
      </c>
      <c r="AF245" s="3959" t="s">
        <v>294</v>
      </c>
      <c r="AG245" s="10916"/>
    </row>
    <row r="246" spans="1:33" ht="15.75" customHeight="1">
      <c r="A246" s="11000"/>
      <c r="B246" s="10934"/>
      <c r="C246" s="10937"/>
      <c r="D246" s="10937"/>
      <c r="E246" s="10937"/>
      <c r="F246" s="10940"/>
      <c r="G246" s="10937"/>
      <c r="H246" s="10937"/>
      <c r="I246" s="10940"/>
      <c r="J246" s="10937"/>
      <c r="K246" s="10937"/>
      <c r="L246" s="11053"/>
      <c r="M246" s="11053"/>
      <c r="N246" s="11053"/>
      <c r="O246" s="10937"/>
      <c r="P246" s="10937"/>
      <c r="Q246" s="11056"/>
      <c r="R246" s="3984" t="s">
        <v>294</v>
      </c>
      <c r="S246" s="3917" t="s">
        <v>294</v>
      </c>
      <c r="T246" s="3917">
        <v>239990914</v>
      </c>
      <c r="U246" s="3913" t="s">
        <v>5390</v>
      </c>
      <c r="V246" s="6190">
        <v>0.5</v>
      </c>
      <c r="W246" s="3925" t="s">
        <v>5385</v>
      </c>
      <c r="X246" s="7567">
        <v>32</v>
      </c>
      <c r="Y246" s="7567">
        <f t="shared" si="7"/>
        <v>16</v>
      </c>
      <c r="Z246" s="7567">
        <f t="shared" si="8"/>
        <v>17.920000000000002</v>
      </c>
      <c r="AA246" s="7566" t="s">
        <v>294</v>
      </c>
      <c r="AB246" s="3940"/>
      <c r="AC246" s="3956"/>
      <c r="AD246" s="3921" t="s">
        <v>294</v>
      </c>
      <c r="AE246" s="3921" t="s">
        <v>153</v>
      </c>
      <c r="AF246" s="3959" t="s">
        <v>294</v>
      </c>
      <c r="AG246" s="10916"/>
    </row>
    <row r="247" spans="1:33" ht="15.75" customHeight="1">
      <c r="A247" s="11000"/>
      <c r="B247" s="10934"/>
      <c r="C247" s="10937"/>
      <c r="D247" s="10937"/>
      <c r="E247" s="10937"/>
      <c r="F247" s="10940"/>
      <c r="G247" s="10937"/>
      <c r="H247" s="10937"/>
      <c r="I247" s="10940"/>
      <c r="J247" s="10937"/>
      <c r="K247" s="10937"/>
      <c r="L247" s="11053"/>
      <c r="M247" s="11053"/>
      <c r="N247" s="11053"/>
      <c r="O247" s="10937"/>
      <c r="P247" s="10937"/>
      <c r="Q247" s="11056"/>
      <c r="R247" s="3984" t="s">
        <v>294</v>
      </c>
      <c r="S247" s="3917" t="s">
        <v>294</v>
      </c>
      <c r="T247" s="3917">
        <v>2399909156</v>
      </c>
      <c r="U247" s="3913" t="s">
        <v>5391</v>
      </c>
      <c r="V247" s="6190">
        <v>0.5</v>
      </c>
      <c r="W247" s="3925" t="s">
        <v>5385</v>
      </c>
      <c r="X247" s="7567">
        <v>34</v>
      </c>
      <c r="Y247" s="7567">
        <f t="shared" si="7"/>
        <v>17</v>
      </c>
      <c r="Z247" s="7567">
        <f t="shared" si="8"/>
        <v>19.040000000000003</v>
      </c>
      <c r="AA247" s="7566" t="s">
        <v>294</v>
      </c>
      <c r="AB247" s="3940"/>
      <c r="AC247" s="3956"/>
      <c r="AD247" s="3921" t="s">
        <v>294</v>
      </c>
      <c r="AE247" s="3921" t="s">
        <v>153</v>
      </c>
      <c r="AF247" s="3959" t="s">
        <v>294</v>
      </c>
      <c r="AG247" s="10916"/>
    </row>
    <row r="248" spans="1:33" ht="15.75" customHeight="1">
      <c r="A248" s="11000"/>
      <c r="B248" s="10934"/>
      <c r="C248" s="10937"/>
      <c r="D248" s="10937"/>
      <c r="E248" s="10937"/>
      <c r="F248" s="10940"/>
      <c r="G248" s="10937"/>
      <c r="H248" s="10937"/>
      <c r="I248" s="10940"/>
      <c r="J248" s="10937"/>
      <c r="K248" s="10937"/>
      <c r="L248" s="11053"/>
      <c r="M248" s="11053"/>
      <c r="N248" s="11053"/>
      <c r="O248" s="10937"/>
      <c r="P248" s="10937"/>
      <c r="Q248" s="11056"/>
      <c r="R248" s="3984" t="s">
        <v>294</v>
      </c>
      <c r="S248" s="3917" t="s">
        <v>294</v>
      </c>
      <c r="T248" s="3917">
        <v>2399909146</v>
      </c>
      <c r="U248" s="3913" t="s">
        <v>5392</v>
      </c>
      <c r="V248" s="6190">
        <v>0.5</v>
      </c>
      <c r="W248" s="3925" t="s">
        <v>5385</v>
      </c>
      <c r="X248" s="7567">
        <v>32</v>
      </c>
      <c r="Y248" s="7567">
        <f t="shared" si="7"/>
        <v>16</v>
      </c>
      <c r="Z248" s="7567">
        <f t="shared" si="8"/>
        <v>17.920000000000002</v>
      </c>
      <c r="AA248" s="7566" t="s">
        <v>294</v>
      </c>
      <c r="AB248" s="3940"/>
      <c r="AC248" s="3956"/>
      <c r="AD248" s="3921" t="s">
        <v>294</v>
      </c>
      <c r="AE248" s="3921" t="s">
        <v>153</v>
      </c>
      <c r="AF248" s="3959" t="s">
        <v>294</v>
      </c>
      <c r="AG248" s="10916"/>
    </row>
    <row r="249" spans="1:33" ht="25.5">
      <c r="A249" s="11000"/>
      <c r="B249" s="10934"/>
      <c r="C249" s="10937"/>
      <c r="D249" s="10937"/>
      <c r="E249" s="10937"/>
      <c r="F249" s="10940"/>
      <c r="G249" s="10937"/>
      <c r="H249" s="10937"/>
      <c r="I249" s="10940"/>
      <c r="J249" s="10937"/>
      <c r="K249" s="10937"/>
      <c r="L249" s="11053"/>
      <c r="M249" s="11053"/>
      <c r="N249" s="11053"/>
      <c r="O249" s="10937"/>
      <c r="P249" s="10937"/>
      <c r="Q249" s="11056"/>
      <c r="R249" s="3984" t="s">
        <v>294</v>
      </c>
      <c r="S249" s="3917" t="s">
        <v>294</v>
      </c>
      <c r="T249" s="3917">
        <v>88160</v>
      </c>
      <c r="U249" s="3913" t="s">
        <v>5393</v>
      </c>
      <c r="V249" s="6190">
        <v>1</v>
      </c>
      <c r="W249" s="3925" t="s">
        <v>5378</v>
      </c>
      <c r="X249" s="7567">
        <v>30</v>
      </c>
      <c r="Y249" s="7567">
        <f t="shared" si="7"/>
        <v>30</v>
      </c>
      <c r="Z249" s="7567">
        <f t="shared" si="8"/>
        <v>33.6</v>
      </c>
      <c r="AA249" s="7566" t="s">
        <v>294</v>
      </c>
      <c r="AB249" s="3940"/>
      <c r="AC249" s="3956"/>
      <c r="AD249" s="3921" t="s">
        <v>294</v>
      </c>
      <c r="AE249" s="3921" t="s">
        <v>153</v>
      </c>
      <c r="AF249" s="3959" t="s">
        <v>294</v>
      </c>
      <c r="AG249" s="10916"/>
    </row>
    <row r="250" spans="1:33" ht="38.25">
      <c r="A250" s="11000"/>
      <c r="B250" s="10934"/>
      <c r="C250" s="10937"/>
      <c r="D250" s="10937"/>
      <c r="E250" s="10937"/>
      <c r="F250" s="10940"/>
      <c r="G250" s="10937"/>
      <c r="H250" s="10937"/>
      <c r="I250" s="10940"/>
      <c r="J250" s="10937"/>
      <c r="K250" s="10937"/>
      <c r="L250" s="11053"/>
      <c r="M250" s="11053"/>
      <c r="N250" s="11053"/>
      <c r="O250" s="10937"/>
      <c r="P250" s="10937"/>
      <c r="Q250" s="11056"/>
      <c r="R250" s="3984" t="s">
        <v>294</v>
      </c>
      <c r="S250" s="3917" t="s">
        <v>294</v>
      </c>
      <c r="T250" s="3917">
        <v>88160</v>
      </c>
      <c r="U250" s="3913" t="s">
        <v>5394</v>
      </c>
      <c r="V250" s="6190">
        <v>0.25</v>
      </c>
      <c r="W250" s="3925" t="s">
        <v>5378</v>
      </c>
      <c r="X250" s="7567">
        <v>30</v>
      </c>
      <c r="Y250" s="7567">
        <f t="shared" si="7"/>
        <v>7.5</v>
      </c>
      <c r="Z250" s="7567">
        <f t="shared" si="8"/>
        <v>8.4</v>
      </c>
      <c r="AA250" s="7566" t="s">
        <v>294</v>
      </c>
      <c r="AB250" s="3940"/>
      <c r="AC250" s="3956"/>
      <c r="AD250" s="3921" t="s">
        <v>294</v>
      </c>
      <c r="AE250" s="3921" t="s">
        <v>153</v>
      </c>
      <c r="AF250" s="3959" t="s">
        <v>294</v>
      </c>
      <c r="AG250" s="10916"/>
    </row>
    <row r="251" spans="1:33" ht="38.25">
      <c r="A251" s="11000"/>
      <c r="B251" s="10934"/>
      <c r="C251" s="10937"/>
      <c r="D251" s="10937"/>
      <c r="E251" s="10937"/>
      <c r="F251" s="10940"/>
      <c r="G251" s="10937"/>
      <c r="H251" s="10937"/>
      <c r="I251" s="10940"/>
      <c r="J251" s="10937"/>
      <c r="K251" s="10937"/>
      <c r="L251" s="11053"/>
      <c r="M251" s="11053"/>
      <c r="N251" s="11053"/>
      <c r="O251" s="10937"/>
      <c r="P251" s="10937"/>
      <c r="Q251" s="11056"/>
      <c r="R251" s="3984" t="s">
        <v>294</v>
      </c>
      <c r="S251" s="3917" t="s">
        <v>294</v>
      </c>
      <c r="T251" s="3917">
        <v>88160</v>
      </c>
      <c r="U251" s="3913" t="s">
        <v>5395</v>
      </c>
      <c r="V251" s="6190">
        <v>0.25</v>
      </c>
      <c r="W251" s="3925" t="s">
        <v>5378</v>
      </c>
      <c r="X251" s="7567">
        <v>30</v>
      </c>
      <c r="Y251" s="7567">
        <f t="shared" si="7"/>
        <v>7.5</v>
      </c>
      <c r="Z251" s="7567">
        <f t="shared" si="8"/>
        <v>8.4</v>
      </c>
      <c r="AA251" s="7566" t="s">
        <v>294</v>
      </c>
      <c r="AB251" s="3940"/>
      <c r="AC251" s="3956"/>
      <c r="AD251" s="3921" t="s">
        <v>294</v>
      </c>
      <c r="AE251" s="3921" t="s">
        <v>153</v>
      </c>
      <c r="AF251" s="3959" t="s">
        <v>294</v>
      </c>
      <c r="AG251" s="10916"/>
    </row>
    <row r="252" spans="1:33" ht="15.75" customHeight="1">
      <c r="A252" s="11000"/>
      <c r="B252" s="10934"/>
      <c r="C252" s="10937"/>
      <c r="D252" s="10937"/>
      <c r="E252" s="10937"/>
      <c r="F252" s="10940"/>
      <c r="G252" s="10937"/>
      <c r="H252" s="10937"/>
      <c r="I252" s="10940"/>
      <c r="J252" s="10937"/>
      <c r="K252" s="10937"/>
      <c r="L252" s="11053"/>
      <c r="M252" s="11053"/>
      <c r="N252" s="11053"/>
      <c r="O252" s="10937"/>
      <c r="P252" s="10937"/>
      <c r="Q252" s="11056"/>
      <c r="R252" s="3984" t="s">
        <v>5011</v>
      </c>
      <c r="S252" s="8513" t="s">
        <v>5396</v>
      </c>
      <c r="T252" s="8514" t="s">
        <v>294</v>
      </c>
      <c r="U252" s="8089" t="s">
        <v>5376</v>
      </c>
      <c r="V252" s="6190" t="s">
        <v>294</v>
      </c>
      <c r="W252" s="3925" t="s">
        <v>294</v>
      </c>
      <c r="X252" s="7567" t="s">
        <v>294</v>
      </c>
      <c r="Y252" s="7567" t="s">
        <v>294</v>
      </c>
      <c r="Z252" s="7567" t="s">
        <v>294</v>
      </c>
      <c r="AA252" s="7785">
        <f>+Z253</f>
        <v>56.000000000000007</v>
      </c>
      <c r="AB252" s="7669" t="s">
        <v>25</v>
      </c>
      <c r="AC252" s="3920"/>
      <c r="AD252" s="3921" t="s">
        <v>294</v>
      </c>
      <c r="AE252" s="3922" t="s">
        <v>294</v>
      </c>
      <c r="AF252" s="3959" t="s">
        <v>294</v>
      </c>
      <c r="AG252" s="10916"/>
    </row>
    <row r="253" spans="1:33" ht="38.25">
      <c r="A253" s="11000"/>
      <c r="B253" s="10934"/>
      <c r="C253" s="10937"/>
      <c r="D253" s="10937"/>
      <c r="E253" s="10937"/>
      <c r="F253" s="10940"/>
      <c r="G253" s="10937"/>
      <c r="H253" s="10937"/>
      <c r="I253" s="10940"/>
      <c r="J253" s="10937"/>
      <c r="K253" s="10937"/>
      <c r="L253" s="11053"/>
      <c r="M253" s="11053"/>
      <c r="N253" s="11053"/>
      <c r="O253" s="10937"/>
      <c r="P253" s="10937"/>
      <c r="Q253" s="11056"/>
      <c r="R253" s="3984" t="s">
        <v>294</v>
      </c>
      <c r="S253" s="3917" t="s">
        <v>294</v>
      </c>
      <c r="T253" s="3917">
        <v>88160</v>
      </c>
      <c r="U253" s="3913" t="s">
        <v>5397</v>
      </c>
      <c r="V253" s="8084">
        <v>2</v>
      </c>
      <c r="W253" s="3925" t="s">
        <v>5398</v>
      </c>
      <c r="X253" s="7567">
        <v>25</v>
      </c>
      <c r="Y253" s="7567">
        <f>+V253*X253</f>
        <v>50</v>
      </c>
      <c r="Z253" s="7567">
        <f>+Y253*1.12</f>
        <v>56.000000000000007</v>
      </c>
      <c r="AA253" s="7566" t="s">
        <v>294</v>
      </c>
      <c r="AB253" s="3940"/>
      <c r="AC253" s="3956"/>
      <c r="AD253" s="3921" t="s">
        <v>294</v>
      </c>
      <c r="AE253" s="3921" t="s">
        <v>153</v>
      </c>
      <c r="AF253" s="3959" t="s">
        <v>294</v>
      </c>
      <c r="AG253" s="10916"/>
    </row>
    <row r="254" spans="1:33" ht="15.75" customHeight="1">
      <c r="A254" s="11000"/>
      <c r="B254" s="10934"/>
      <c r="C254" s="10937"/>
      <c r="D254" s="10937"/>
      <c r="E254" s="10937"/>
      <c r="F254" s="10940"/>
      <c r="G254" s="10937"/>
      <c r="H254" s="10937"/>
      <c r="I254" s="10940"/>
      <c r="J254" s="10937"/>
      <c r="K254" s="10937"/>
      <c r="L254" s="11053"/>
      <c r="M254" s="11053"/>
      <c r="N254" s="11053"/>
      <c r="O254" s="10937"/>
      <c r="P254" s="10937"/>
      <c r="Q254" s="11056"/>
      <c r="R254" s="3984" t="s">
        <v>5011</v>
      </c>
      <c r="S254" s="3916" t="s">
        <v>5399</v>
      </c>
      <c r="T254" s="3917" t="s">
        <v>294</v>
      </c>
      <c r="U254" s="3914" t="s">
        <v>4163</v>
      </c>
      <c r="V254" s="6190" t="s">
        <v>294</v>
      </c>
      <c r="W254" s="3925" t="s">
        <v>294</v>
      </c>
      <c r="X254" s="7567" t="s">
        <v>294</v>
      </c>
      <c r="Y254" s="7567" t="s">
        <v>294</v>
      </c>
      <c r="Z254" s="7567" t="s">
        <v>294</v>
      </c>
      <c r="AA254" s="7785">
        <f>+Z255</f>
        <v>0</v>
      </c>
      <c r="AB254" s="7669" t="s">
        <v>26</v>
      </c>
      <c r="AC254" s="3920"/>
      <c r="AD254" s="3921" t="s">
        <v>294</v>
      </c>
      <c r="AE254" s="3922" t="s">
        <v>294</v>
      </c>
      <c r="AF254" s="3959" t="s">
        <v>294</v>
      </c>
      <c r="AG254" s="10916"/>
    </row>
    <row r="255" spans="1:33" ht="15.75" customHeight="1">
      <c r="A255" s="11000"/>
      <c r="B255" s="10934"/>
      <c r="C255" s="10937"/>
      <c r="D255" s="10937"/>
      <c r="E255" s="10937"/>
      <c r="F255" s="10940"/>
      <c r="G255" s="10937"/>
      <c r="H255" s="10937"/>
      <c r="I255" s="10940"/>
      <c r="J255" s="10937"/>
      <c r="K255" s="10937"/>
      <c r="L255" s="11059"/>
      <c r="M255" s="11059"/>
      <c r="N255" s="11059"/>
      <c r="O255" s="10985"/>
      <c r="P255" s="10985"/>
      <c r="Q255" s="11058"/>
      <c r="R255" s="4420" t="s">
        <v>294</v>
      </c>
      <c r="S255" s="4116" t="s">
        <v>294</v>
      </c>
      <c r="T255" s="4038">
        <v>481500213</v>
      </c>
      <c r="U255" s="3982" t="s">
        <v>5400</v>
      </c>
      <c r="V255" s="8095">
        <v>0</v>
      </c>
      <c r="W255" s="4039" t="s">
        <v>180</v>
      </c>
      <c r="X255" s="7568">
        <v>35</v>
      </c>
      <c r="Y255" s="7568">
        <f>+V255*X255</f>
        <v>0</v>
      </c>
      <c r="Z255" s="7568">
        <f>+Y255*1.12</f>
        <v>0</v>
      </c>
      <c r="AA255" s="7569" t="s">
        <v>294</v>
      </c>
      <c r="AB255" s="4097"/>
      <c r="AC255" s="4098"/>
      <c r="AD255" s="4041" t="s">
        <v>294</v>
      </c>
      <c r="AE255" s="4041" t="s">
        <v>153</v>
      </c>
      <c r="AF255" s="4117" t="s">
        <v>294</v>
      </c>
      <c r="AG255" s="10917"/>
    </row>
    <row r="256" spans="1:33" ht="15.75" customHeight="1">
      <c r="A256" s="11000"/>
      <c r="B256" s="10934"/>
      <c r="C256" s="10937"/>
      <c r="D256" s="10937"/>
      <c r="E256" s="10937"/>
      <c r="F256" s="10940"/>
      <c r="G256" s="10937"/>
      <c r="H256" s="10937"/>
      <c r="I256" s="10940"/>
      <c r="J256" s="10937"/>
      <c r="K256" s="10937"/>
      <c r="L256" s="4162"/>
      <c r="M256" s="4162"/>
      <c r="N256" s="4162"/>
      <c r="O256" s="4147"/>
      <c r="P256" s="4147"/>
      <c r="Q256" s="8507"/>
      <c r="R256" s="8512"/>
      <c r="S256" s="8513"/>
      <c r="T256" s="8514"/>
      <c r="U256" s="8089"/>
      <c r="V256" s="8084"/>
      <c r="W256" s="8090"/>
      <c r="X256" s="8515"/>
      <c r="Y256" s="8515"/>
      <c r="Z256" s="8515"/>
      <c r="AA256" s="8516"/>
      <c r="AB256" s="8522"/>
      <c r="AC256" s="8511"/>
      <c r="AD256" s="4186"/>
      <c r="AE256" s="4186"/>
      <c r="AF256" s="4164" t="s">
        <v>153</v>
      </c>
      <c r="AG256" s="8488"/>
    </row>
    <row r="257" spans="1:33" ht="15.75" customHeight="1">
      <c r="A257" s="11000"/>
      <c r="B257" s="10934"/>
      <c r="C257" s="10937"/>
      <c r="D257" s="10937"/>
      <c r="E257" s="10937"/>
      <c r="F257" s="10940"/>
      <c r="G257" s="10937"/>
      <c r="H257" s="10937"/>
      <c r="I257" s="10940"/>
      <c r="J257" s="10937"/>
      <c r="K257" s="10937"/>
      <c r="L257" s="4162"/>
      <c r="M257" s="4162"/>
      <c r="N257" s="4162"/>
      <c r="O257" s="4147"/>
      <c r="P257" s="4147"/>
      <c r="Q257" s="8507"/>
      <c r="R257" s="8517"/>
      <c r="S257" s="8518"/>
      <c r="T257" s="8519"/>
      <c r="U257" s="8520"/>
      <c r="V257" s="8509"/>
      <c r="W257" s="8521"/>
      <c r="X257" s="8515"/>
      <c r="Y257" s="8515"/>
      <c r="Z257" s="8515"/>
      <c r="AA257" s="8516"/>
      <c r="AB257" s="8522"/>
      <c r="AC257" s="8511"/>
      <c r="AD257" s="4186"/>
      <c r="AE257" s="4186"/>
      <c r="AF257" s="4164"/>
      <c r="AG257" s="8488"/>
    </row>
    <row r="258" spans="1:33" ht="15.75" customHeight="1">
      <c r="A258" s="11000"/>
      <c r="B258" s="10934"/>
      <c r="C258" s="10937"/>
      <c r="D258" s="10937"/>
      <c r="E258" s="10937"/>
      <c r="F258" s="10940"/>
      <c r="G258" s="10937"/>
      <c r="H258" s="10937"/>
      <c r="I258" s="10940"/>
      <c r="J258" s="10937"/>
      <c r="K258" s="10937"/>
      <c r="L258" s="4162"/>
      <c r="M258" s="4162"/>
      <c r="N258" s="4162"/>
      <c r="O258" s="4147"/>
      <c r="P258" s="4147"/>
      <c r="Q258" s="8507"/>
      <c r="R258" s="8512"/>
      <c r="S258" s="8513"/>
      <c r="T258" s="8514"/>
      <c r="U258" s="8089"/>
      <c r="V258" s="8084"/>
      <c r="W258" s="8090"/>
      <c r="X258" s="8515"/>
      <c r="Y258" s="8515"/>
      <c r="Z258" s="8515"/>
      <c r="AA258" s="8516"/>
      <c r="AB258" s="8522"/>
      <c r="AC258" s="8511"/>
      <c r="AD258" s="4186"/>
      <c r="AE258" s="4186"/>
      <c r="AF258" s="4164" t="s">
        <v>153</v>
      </c>
      <c r="AG258" s="8488"/>
    </row>
    <row r="259" spans="1:33" ht="15.75" customHeight="1">
      <c r="A259" s="11000"/>
      <c r="B259" s="10934"/>
      <c r="C259" s="10937"/>
      <c r="D259" s="10937"/>
      <c r="E259" s="10937"/>
      <c r="F259" s="10940"/>
      <c r="G259" s="10937"/>
      <c r="H259" s="10937"/>
      <c r="I259" s="10940"/>
      <c r="J259" s="10937"/>
      <c r="K259" s="10937"/>
      <c r="L259" s="4162"/>
      <c r="M259" s="4162"/>
      <c r="N259" s="4162"/>
      <c r="O259" s="4147"/>
      <c r="P259" s="4147"/>
      <c r="Q259" s="8507"/>
      <c r="R259" s="8508"/>
      <c r="S259" s="4171"/>
      <c r="T259" s="4172"/>
      <c r="U259" s="4082"/>
      <c r="V259" s="8509"/>
      <c r="W259" s="4153"/>
      <c r="X259" s="7621"/>
      <c r="Y259" s="7621"/>
      <c r="Z259" s="7621"/>
      <c r="AA259" s="7622"/>
      <c r="AB259" s="8510"/>
      <c r="AC259" s="8511"/>
      <c r="AD259" s="4186"/>
      <c r="AE259" s="4186"/>
      <c r="AF259" s="4164"/>
      <c r="AG259" s="8488"/>
    </row>
    <row r="260" spans="1:33" ht="15.75" customHeight="1">
      <c r="A260" s="11000"/>
      <c r="B260" s="10934"/>
      <c r="C260" s="10937"/>
      <c r="D260" s="10937"/>
      <c r="E260" s="10937"/>
      <c r="F260" s="10940"/>
      <c r="G260" s="10937"/>
      <c r="H260" s="10937"/>
      <c r="I260" s="10940"/>
      <c r="J260" s="10937"/>
      <c r="K260" s="10937"/>
      <c r="L260" s="11063">
        <v>12</v>
      </c>
      <c r="M260" s="11063">
        <v>20</v>
      </c>
      <c r="N260" s="11063">
        <v>8</v>
      </c>
      <c r="O260" s="11037" t="s">
        <v>5401</v>
      </c>
      <c r="P260" s="11037" t="s">
        <v>5373</v>
      </c>
      <c r="Q260" s="11060" t="s">
        <v>5402</v>
      </c>
      <c r="R260" s="4026" t="s">
        <v>5259</v>
      </c>
      <c r="S260" s="8618">
        <v>530812</v>
      </c>
      <c r="T260" s="8619" t="s">
        <v>294</v>
      </c>
      <c r="U260" s="8620" t="s">
        <v>1089</v>
      </c>
      <c r="V260" s="8093" t="s">
        <v>294</v>
      </c>
      <c r="W260" s="8094" t="s">
        <v>294</v>
      </c>
      <c r="X260" s="8057" t="s">
        <v>294</v>
      </c>
      <c r="Y260" s="8057" t="s">
        <v>294</v>
      </c>
      <c r="Z260" s="8057" t="s">
        <v>294</v>
      </c>
      <c r="AA260" s="8058">
        <f>SUM(Z261:Z270)</f>
        <v>619.36</v>
      </c>
      <c r="AB260" s="7671" t="s">
        <v>26</v>
      </c>
      <c r="AC260" s="4002"/>
      <c r="AD260" s="4003" t="s">
        <v>294</v>
      </c>
      <c r="AE260" s="4004" t="s">
        <v>294</v>
      </c>
      <c r="AF260" s="4009" t="s">
        <v>294</v>
      </c>
      <c r="AG260" s="10915" t="s">
        <v>294</v>
      </c>
    </row>
    <row r="261" spans="1:33" ht="25.5">
      <c r="A261" s="11000"/>
      <c r="B261" s="10934"/>
      <c r="C261" s="10937"/>
      <c r="D261" s="10937"/>
      <c r="E261" s="10937"/>
      <c r="F261" s="10940"/>
      <c r="G261" s="10937"/>
      <c r="H261" s="10937"/>
      <c r="I261" s="10940"/>
      <c r="J261" s="10937"/>
      <c r="K261" s="10937"/>
      <c r="L261" s="11053"/>
      <c r="M261" s="11053"/>
      <c r="N261" s="11053"/>
      <c r="O261" s="11008"/>
      <c r="P261" s="11008"/>
      <c r="Q261" s="11056"/>
      <c r="R261" s="3984" t="s">
        <v>294</v>
      </c>
      <c r="S261" s="3917" t="s">
        <v>294</v>
      </c>
      <c r="T261" s="3917">
        <v>2399504123</v>
      </c>
      <c r="U261" s="3913" t="s">
        <v>5403</v>
      </c>
      <c r="V261" s="8084">
        <v>2</v>
      </c>
      <c r="W261" s="8090" t="s">
        <v>5404</v>
      </c>
      <c r="X261" s="8059">
        <v>10</v>
      </c>
      <c r="Y261" s="8059">
        <f t="shared" ref="Y261:Y270" si="9">+V261*X261</f>
        <v>20</v>
      </c>
      <c r="Z261" s="8059">
        <f t="shared" ref="Z261:Z270" si="10">+Y261*1.12</f>
        <v>22.400000000000002</v>
      </c>
      <c r="AA261" s="7785" t="s">
        <v>294</v>
      </c>
      <c r="AB261" s="3940"/>
      <c r="AC261" s="3956"/>
      <c r="AD261" s="3921" t="s">
        <v>294</v>
      </c>
      <c r="AE261" s="3921" t="s">
        <v>153</v>
      </c>
      <c r="AF261" s="3959" t="s">
        <v>294</v>
      </c>
      <c r="AG261" s="10916"/>
    </row>
    <row r="262" spans="1:33" ht="25.5">
      <c r="A262" s="11000"/>
      <c r="B262" s="10934"/>
      <c r="C262" s="10937"/>
      <c r="D262" s="10937"/>
      <c r="E262" s="10937"/>
      <c r="F262" s="10940"/>
      <c r="G262" s="10937"/>
      <c r="H262" s="10937"/>
      <c r="I262" s="10940"/>
      <c r="J262" s="10937"/>
      <c r="K262" s="10937"/>
      <c r="L262" s="11053"/>
      <c r="M262" s="11053"/>
      <c r="N262" s="11053"/>
      <c r="O262" s="11008"/>
      <c r="P262" s="11008"/>
      <c r="Q262" s="11056"/>
      <c r="R262" s="3984" t="s">
        <v>294</v>
      </c>
      <c r="S262" s="3917" t="s">
        <v>294</v>
      </c>
      <c r="T262" s="3917">
        <v>2399504123</v>
      </c>
      <c r="U262" s="3913" t="s">
        <v>5405</v>
      </c>
      <c r="V262" s="8084">
        <v>2</v>
      </c>
      <c r="W262" s="8090" t="s">
        <v>5404</v>
      </c>
      <c r="X262" s="8059">
        <v>12</v>
      </c>
      <c r="Y262" s="8059">
        <f t="shared" si="9"/>
        <v>24</v>
      </c>
      <c r="Z262" s="8059">
        <f t="shared" si="10"/>
        <v>26.880000000000003</v>
      </c>
      <c r="AA262" s="7785" t="s">
        <v>294</v>
      </c>
      <c r="AB262" s="3940"/>
      <c r="AC262" s="3956"/>
      <c r="AD262" s="3921" t="s">
        <v>294</v>
      </c>
      <c r="AE262" s="3921" t="s">
        <v>153</v>
      </c>
      <c r="AF262" s="3959" t="s">
        <v>294</v>
      </c>
      <c r="AG262" s="10916"/>
    </row>
    <row r="263" spans="1:33" ht="25.5">
      <c r="A263" s="11000"/>
      <c r="B263" s="10934"/>
      <c r="C263" s="10937"/>
      <c r="D263" s="10937"/>
      <c r="E263" s="10937"/>
      <c r="F263" s="10940"/>
      <c r="G263" s="10937"/>
      <c r="H263" s="10937"/>
      <c r="I263" s="10940"/>
      <c r="J263" s="10937"/>
      <c r="K263" s="10937"/>
      <c r="L263" s="11053"/>
      <c r="M263" s="11053"/>
      <c r="N263" s="11053"/>
      <c r="O263" s="11008"/>
      <c r="P263" s="11008"/>
      <c r="Q263" s="11056"/>
      <c r="R263" s="3984" t="s">
        <v>294</v>
      </c>
      <c r="S263" s="3917" t="s">
        <v>294</v>
      </c>
      <c r="T263" s="3917">
        <v>2399504123</v>
      </c>
      <c r="U263" s="3913" t="s">
        <v>5406</v>
      </c>
      <c r="V263" s="8084">
        <v>2</v>
      </c>
      <c r="W263" s="8090" t="s">
        <v>5404</v>
      </c>
      <c r="X263" s="8059">
        <v>12</v>
      </c>
      <c r="Y263" s="8059">
        <f t="shared" si="9"/>
        <v>24</v>
      </c>
      <c r="Z263" s="8059">
        <f t="shared" si="10"/>
        <v>26.880000000000003</v>
      </c>
      <c r="AA263" s="7785" t="s">
        <v>294</v>
      </c>
      <c r="AB263" s="3940"/>
      <c r="AC263" s="3956"/>
      <c r="AD263" s="3921" t="s">
        <v>294</v>
      </c>
      <c r="AE263" s="3921" t="s">
        <v>153</v>
      </c>
      <c r="AF263" s="3959" t="s">
        <v>294</v>
      </c>
      <c r="AG263" s="10916"/>
    </row>
    <row r="264" spans="1:33" ht="25.5">
      <c r="A264" s="11000"/>
      <c r="B264" s="10934"/>
      <c r="C264" s="10937"/>
      <c r="D264" s="10937"/>
      <c r="E264" s="10937"/>
      <c r="F264" s="10940"/>
      <c r="G264" s="10937"/>
      <c r="H264" s="10937"/>
      <c r="I264" s="10940"/>
      <c r="J264" s="10937"/>
      <c r="K264" s="10937"/>
      <c r="L264" s="11053"/>
      <c r="M264" s="11053"/>
      <c r="N264" s="11053"/>
      <c r="O264" s="11008"/>
      <c r="P264" s="11008"/>
      <c r="Q264" s="11056"/>
      <c r="R264" s="3984" t="s">
        <v>294</v>
      </c>
      <c r="S264" s="3917" t="s">
        <v>294</v>
      </c>
      <c r="T264" s="3917">
        <v>2399504123</v>
      </c>
      <c r="U264" s="3913" t="s">
        <v>5407</v>
      </c>
      <c r="V264" s="8084">
        <v>2</v>
      </c>
      <c r="W264" s="8090" t="s">
        <v>5404</v>
      </c>
      <c r="X264" s="8059">
        <v>12</v>
      </c>
      <c r="Y264" s="8059">
        <f t="shared" si="9"/>
        <v>24</v>
      </c>
      <c r="Z264" s="8059">
        <f t="shared" si="10"/>
        <v>26.880000000000003</v>
      </c>
      <c r="AA264" s="7785" t="s">
        <v>294</v>
      </c>
      <c r="AB264" s="3940"/>
      <c r="AC264" s="3956"/>
      <c r="AD264" s="3921" t="s">
        <v>294</v>
      </c>
      <c r="AE264" s="3921" t="s">
        <v>153</v>
      </c>
      <c r="AF264" s="3959" t="s">
        <v>294</v>
      </c>
      <c r="AG264" s="10916"/>
    </row>
    <row r="265" spans="1:33" ht="25.5">
      <c r="A265" s="11000"/>
      <c r="B265" s="10934"/>
      <c r="C265" s="10937"/>
      <c r="D265" s="10937"/>
      <c r="E265" s="10937"/>
      <c r="F265" s="10940"/>
      <c r="G265" s="10937"/>
      <c r="H265" s="10937"/>
      <c r="I265" s="10940"/>
      <c r="J265" s="10937"/>
      <c r="K265" s="10937"/>
      <c r="L265" s="11053"/>
      <c r="M265" s="11053"/>
      <c r="N265" s="11053"/>
      <c r="O265" s="11008"/>
      <c r="P265" s="11008"/>
      <c r="Q265" s="11056"/>
      <c r="R265" s="3984" t="s">
        <v>294</v>
      </c>
      <c r="S265" s="3917" t="s">
        <v>294</v>
      </c>
      <c r="T265" s="3917">
        <v>2399504123</v>
      </c>
      <c r="U265" s="3913" t="s">
        <v>5408</v>
      </c>
      <c r="V265" s="8084">
        <v>2</v>
      </c>
      <c r="W265" s="8090" t="s">
        <v>5404</v>
      </c>
      <c r="X265" s="8059">
        <v>12</v>
      </c>
      <c r="Y265" s="8059">
        <f t="shared" si="9"/>
        <v>24</v>
      </c>
      <c r="Z265" s="8059">
        <f t="shared" si="10"/>
        <v>26.880000000000003</v>
      </c>
      <c r="AA265" s="7785" t="s">
        <v>294</v>
      </c>
      <c r="AB265" s="3940"/>
      <c r="AC265" s="3956"/>
      <c r="AD265" s="3921" t="s">
        <v>294</v>
      </c>
      <c r="AE265" s="3921" t="s">
        <v>153</v>
      </c>
      <c r="AF265" s="3959" t="s">
        <v>294</v>
      </c>
      <c r="AG265" s="10916"/>
    </row>
    <row r="266" spans="1:33" ht="16.350000000000001" customHeight="1">
      <c r="A266" s="11000"/>
      <c r="B266" s="10934"/>
      <c r="C266" s="10937"/>
      <c r="D266" s="10937"/>
      <c r="E266" s="10937"/>
      <c r="F266" s="10940"/>
      <c r="G266" s="10937"/>
      <c r="H266" s="10937"/>
      <c r="I266" s="10940"/>
      <c r="J266" s="10937"/>
      <c r="K266" s="10937"/>
      <c r="L266" s="11053"/>
      <c r="M266" s="11053"/>
      <c r="N266" s="11053"/>
      <c r="O266" s="11008"/>
      <c r="P266" s="11008"/>
      <c r="Q266" s="11056"/>
      <c r="R266" s="3984" t="s">
        <v>294</v>
      </c>
      <c r="S266" s="3917" t="s">
        <v>294</v>
      </c>
      <c r="T266" s="3917">
        <v>2399504123</v>
      </c>
      <c r="U266" s="3913" t="s">
        <v>5409</v>
      </c>
      <c r="V266" s="8084">
        <v>2</v>
      </c>
      <c r="W266" s="8090" t="s">
        <v>5404</v>
      </c>
      <c r="X266" s="8059">
        <v>12</v>
      </c>
      <c r="Y266" s="8059">
        <f t="shared" si="9"/>
        <v>24</v>
      </c>
      <c r="Z266" s="8059">
        <f t="shared" si="10"/>
        <v>26.880000000000003</v>
      </c>
      <c r="AA266" s="7785" t="s">
        <v>294</v>
      </c>
      <c r="AB266" s="3940"/>
      <c r="AC266" s="3956"/>
      <c r="AD266" s="3921" t="s">
        <v>294</v>
      </c>
      <c r="AE266" s="3921" t="s">
        <v>153</v>
      </c>
      <c r="AF266" s="3959" t="s">
        <v>294</v>
      </c>
      <c r="AG266" s="10916"/>
    </row>
    <row r="267" spans="1:33" ht="89.25">
      <c r="A267" s="11000"/>
      <c r="B267" s="10934"/>
      <c r="C267" s="10937"/>
      <c r="D267" s="10937"/>
      <c r="E267" s="10937"/>
      <c r="F267" s="10940"/>
      <c r="G267" s="10937"/>
      <c r="H267" s="10937"/>
      <c r="I267" s="10940"/>
      <c r="J267" s="10937"/>
      <c r="K267" s="10937"/>
      <c r="L267" s="11053"/>
      <c r="M267" s="11053"/>
      <c r="N267" s="11053"/>
      <c r="O267" s="11008"/>
      <c r="P267" s="11008"/>
      <c r="Q267" s="11056"/>
      <c r="R267" s="3984" t="s">
        <v>294</v>
      </c>
      <c r="S267" s="3917" t="s">
        <v>294</v>
      </c>
      <c r="T267" s="3917">
        <v>363200011</v>
      </c>
      <c r="U267" s="3913" t="s">
        <v>5410</v>
      </c>
      <c r="V267" s="8084">
        <v>12</v>
      </c>
      <c r="W267" s="8090" t="s">
        <v>5411</v>
      </c>
      <c r="X267" s="8059">
        <v>12</v>
      </c>
      <c r="Y267" s="8059">
        <f t="shared" si="9"/>
        <v>144</v>
      </c>
      <c r="Z267" s="8059">
        <f t="shared" si="10"/>
        <v>161.28000000000003</v>
      </c>
      <c r="AA267" s="7785" t="s">
        <v>294</v>
      </c>
      <c r="AB267" s="3940"/>
      <c r="AC267" s="3956"/>
      <c r="AD267" s="3921" t="s">
        <v>294</v>
      </c>
      <c r="AE267" s="3921" t="s">
        <v>153</v>
      </c>
      <c r="AF267" s="3959" t="s">
        <v>294</v>
      </c>
      <c r="AG267" s="10916"/>
    </row>
    <row r="268" spans="1:33" ht="76.5">
      <c r="A268" s="11000"/>
      <c r="B268" s="10934"/>
      <c r="C268" s="10937"/>
      <c r="D268" s="10937"/>
      <c r="E268" s="10937"/>
      <c r="F268" s="10940"/>
      <c r="G268" s="10937"/>
      <c r="H268" s="10937"/>
      <c r="I268" s="10940"/>
      <c r="J268" s="10937"/>
      <c r="K268" s="10937"/>
      <c r="L268" s="11053"/>
      <c r="M268" s="11053"/>
      <c r="N268" s="11053"/>
      <c r="O268" s="11008"/>
      <c r="P268" s="11008"/>
      <c r="Q268" s="11056"/>
      <c r="R268" s="3984" t="s">
        <v>294</v>
      </c>
      <c r="S268" s="3917" t="s">
        <v>294</v>
      </c>
      <c r="T268" s="3917">
        <v>363200011</v>
      </c>
      <c r="U268" s="3913" t="s">
        <v>5412</v>
      </c>
      <c r="V268" s="8084">
        <v>100</v>
      </c>
      <c r="W268" s="8090" t="s">
        <v>5413</v>
      </c>
      <c r="X268" s="8059">
        <v>0.65</v>
      </c>
      <c r="Y268" s="8059">
        <f t="shared" si="9"/>
        <v>65</v>
      </c>
      <c r="Z268" s="8059">
        <f t="shared" si="10"/>
        <v>72.800000000000011</v>
      </c>
      <c r="AA268" s="7785" t="s">
        <v>294</v>
      </c>
      <c r="AB268" s="3940"/>
      <c r="AC268" s="3956"/>
      <c r="AD268" s="3921" t="s">
        <v>294</v>
      </c>
      <c r="AE268" s="3921" t="s">
        <v>153</v>
      </c>
      <c r="AF268" s="3959" t="s">
        <v>294</v>
      </c>
      <c r="AG268" s="10916"/>
    </row>
    <row r="269" spans="1:33" ht="76.5">
      <c r="A269" s="11000"/>
      <c r="B269" s="10934"/>
      <c r="C269" s="10937"/>
      <c r="D269" s="10937"/>
      <c r="E269" s="10937"/>
      <c r="F269" s="10940"/>
      <c r="G269" s="10937"/>
      <c r="H269" s="10937"/>
      <c r="I269" s="10940"/>
      <c r="J269" s="10937"/>
      <c r="K269" s="10937"/>
      <c r="L269" s="11053"/>
      <c r="M269" s="11053"/>
      <c r="N269" s="11053"/>
      <c r="O269" s="11008"/>
      <c r="P269" s="11008"/>
      <c r="Q269" s="11056"/>
      <c r="R269" s="3984" t="s">
        <v>294</v>
      </c>
      <c r="S269" s="3917" t="s">
        <v>294</v>
      </c>
      <c r="T269" s="3917">
        <v>363200011</v>
      </c>
      <c r="U269" s="3913" t="s">
        <v>5414</v>
      </c>
      <c r="V269" s="8084">
        <v>12</v>
      </c>
      <c r="W269" s="8090" t="s">
        <v>5411</v>
      </c>
      <c r="X269" s="8059">
        <v>7</v>
      </c>
      <c r="Y269" s="8059">
        <f t="shared" si="9"/>
        <v>84</v>
      </c>
      <c r="Z269" s="8059">
        <f t="shared" si="10"/>
        <v>94.080000000000013</v>
      </c>
      <c r="AA269" s="7785" t="s">
        <v>294</v>
      </c>
      <c r="AB269" s="3940"/>
      <c r="AC269" s="3956"/>
      <c r="AD269" s="3921" t="s">
        <v>294</v>
      </c>
      <c r="AE269" s="3921" t="s">
        <v>153</v>
      </c>
      <c r="AF269" s="3959" t="s">
        <v>294</v>
      </c>
      <c r="AG269" s="10916"/>
    </row>
    <row r="270" spans="1:33" ht="76.5">
      <c r="A270" s="11000"/>
      <c r="B270" s="10934"/>
      <c r="C270" s="10937"/>
      <c r="D270" s="10937"/>
      <c r="E270" s="10937"/>
      <c r="F270" s="10940"/>
      <c r="G270" s="10937"/>
      <c r="H270" s="10937"/>
      <c r="I270" s="10940"/>
      <c r="J270" s="10937"/>
      <c r="K270" s="10937"/>
      <c r="L270" s="11053"/>
      <c r="M270" s="11053"/>
      <c r="N270" s="11053"/>
      <c r="O270" s="11008"/>
      <c r="P270" s="11008"/>
      <c r="Q270" s="11056"/>
      <c r="R270" s="3984" t="s">
        <v>294</v>
      </c>
      <c r="S270" s="3917" t="s">
        <v>294</v>
      </c>
      <c r="T270" s="3917">
        <v>363200011</v>
      </c>
      <c r="U270" s="3913" t="s">
        <v>5415</v>
      </c>
      <c r="V270" s="8084">
        <v>100</v>
      </c>
      <c r="W270" s="8090" t="s">
        <v>5413</v>
      </c>
      <c r="X270" s="8059">
        <v>1.2</v>
      </c>
      <c r="Y270" s="8059">
        <f t="shared" si="9"/>
        <v>120</v>
      </c>
      <c r="Z270" s="8059">
        <f t="shared" si="10"/>
        <v>134.4</v>
      </c>
      <c r="AA270" s="7785" t="s">
        <v>294</v>
      </c>
      <c r="AB270" s="3940"/>
      <c r="AC270" s="3956"/>
      <c r="AD270" s="3921" t="s">
        <v>294</v>
      </c>
      <c r="AE270" s="3921" t="s">
        <v>153</v>
      </c>
      <c r="AF270" s="3959" t="s">
        <v>294</v>
      </c>
      <c r="AG270" s="10916"/>
    </row>
    <row r="271" spans="1:33" ht="38.25">
      <c r="A271" s="11000"/>
      <c r="B271" s="10934"/>
      <c r="C271" s="10937"/>
      <c r="D271" s="10937"/>
      <c r="E271" s="10937"/>
      <c r="F271" s="10940"/>
      <c r="G271" s="10937"/>
      <c r="H271" s="10937"/>
      <c r="I271" s="10940"/>
      <c r="J271" s="10937"/>
      <c r="K271" s="10937"/>
      <c r="L271" s="11053"/>
      <c r="M271" s="11053"/>
      <c r="N271" s="11053"/>
      <c r="O271" s="11008"/>
      <c r="P271" s="11008"/>
      <c r="Q271" s="11056"/>
      <c r="R271" s="3984" t="s">
        <v>5416</v>
      </c>
      <c r="S271" s="8513">
        <v>530812</v>
      </c>
      <c r="T271" s="8514" t="s">
        <v>294</v>
      </c>
      <c r="U271" s="8089" t="s">
        <v>1089</v>
      </c>
      <c r="V271" s="6190" t="s">
        <v>294</v>
      </c>
      <c r="W271" s="3925" t="s">
        <v>294</v>
      </c>
      <c r="X271" s="7567" t="s">
        <v>294</v>
      </c>
      <c r="Y271" s="7567" t="s">
        <v>294</v>
      </c>
      <c r="Z271" s="7567" t="s">
        <v>294</v>
      </c>
      <c r="AA271" s="7785">
        <f>SUM(Z272:Z276)</f>
        <v>162.4</v>
      </c>
      <c r="AB271" s="7669" t="s">
        <v>26</v>
      </c>
      <c r="AC271" s="3920"/>
      <c r="AD271" s="3921" t="s">
        <v>294</v>
      </c>
      <c r="AE271" s="3922" t="s">
        <v>294</v>
      </c>
      <c r="AF271" s="3959" t="s">
        <v>294</v>
      </c>
      <c r="AG271" s="10916"/>
    </row>
    <row r="272" spans="1:33" ht="33" customHeight="1">
      <c r="A272" s="11000"/>
      <c r="B272" s="10934"/>
      <c r="C272" s="10937"/>
      <c r="D272" s="10937"/>
      <c r="E272" s="10937"/>
      <c r="F272" s="10940"/>
      <c r="G272" s="10937"/>
      <c r="H272" s="10937"/>
      <c r="I272" s="10940"/>
      <c r="J272" s="10937"/>
      <c r="K272" s="10937"/>
      <c r="L272" s="11053"/>
      <c r="M272" s="11053"/>
      <c r="N272" s="11053"/>
      <c r="O272" s="11008"/>
      <c r="P272" s="11008"/>
      <c r="Q272" s="11056"/>
      <c r="R272" s="3984" t="s">
        <v>294</v>
      </c>
      <c r="S272" s="3917" t="s">
        <v>294</v>
      </c>
      <c r="T272" s="3917">
        <v>354200311</v>
      </c>
      <c r="U272" s="8091" t="s">
        <v>5417</v>
      </c>
      <c r="V272" s="8084">
        <v>4</v>
      </c>
      <c r="W272" s="3925" t="s">
        <v>5378</v>
      </c>
      <c r="X272" s="7567">
        <v>16</v>
      </c>
      <c r="Y272" s="7567">
        <f>+V272*X272</f>
        <v>64</v>
      </c>
      <c r="Z272" s="7567">
        <f>+Y272*1.12</f>
        <v>71.680000000000007</v>
      </c>
      <c r="AA272" s="7566" t="s">
        <v>294</v>
      </c>
      <c r="AB272" s="3940"/>
      <c r="AC272" s="3956"/>
      <c r="AD272" s="3921" t="s">
        <v>294</v>
      </c>
      <c r="AE272" s="3921" t="s">
        <v>153</v>
      </c>
      <c r="AF272" s="3959" t="s">
        <v>294</v>
      </c>
      <c r="AG272" s="10916"/>
    </row>
    <row r="273" spans="1:33" ht="33" customHeight="1">
      <c r="A273" s="11000"/>
      <c r="B273" s="10934"/>
      <c r="C273" s="10937"/>
      <c r="D273" s="10937"/>
      <c r="E273" s="10937"/>
      <c r="F273" s="10940"/>
      <c r="G273" s="10937"/>
      <c r="H273" s="10937"/>
      <c r="I273" s="10940"/>
      <c r="J273" s="10937"/>
      <c r="K273" s="10937"/>
      <c r="L273" s="11053"/>
      <c r="M273" s="11053"/>
      <c r="N273" s="11053"/>
      <c r="O273" s="11008"/>
      <c r="P273" s="11008"/>
      <c r="Q273" s="11056"/>
      <c r="R273" s="3984" t="s">
        <v>294</v>
      </c>
      <c r="S273" s="3917" t="s">
        <v>294</v>
      </c>
      <c r="T273" s="3917">
        <v>88160</v>
      </c>
      <c r="U273" s="8091" t="s">
        <v>5418</v>
      </c>
      <c r="V273" s="8084">
        <v>1</v>
      </c>
      <c r="W273" s="3925" t="s">
        <v>5378</v>
      </c>
      <c r="X273" s="7567">
        <v>9</v>
      </c>
      <c r="Y273" s="7567">
        <f>+V273*X273</f>
        <v>9</v>
      </c>
      <c r="Z273" s="7567">
        <f>+Y273*1.12</f>
        <v>10.080000000000002</v>
      </c>
      <c r="AA273" s="7566" t="s">
        <v>294</v>
      </c>
      <c r="AB273" s="3940"/>
      <c r="AC273" s="3956"/>
      <c r="AD273" s="3921" t="s">
        <v>294</v>
      </c>
      <c r="AE273" s="3921" t="s">
        <v>153</v>
      </c>
      <c r="AF273" s="3959" t="s">
        <v>294</v>
      </c>
      <c r="AG273" s="10916"/>
    </row>
    <row r="274" spans="1:33" ht="15.75" customHeight="1">
      <c r="A274" s="11000"/>
      <c r="B274" s="10934"/>
      <c r="C274" s="10937"/>
      <c r="D274" s="10937"/>
      <c r="E274" s="10937"/>
      <c r="F274" s="10940"/>
      <c r="G274" s="10937"/>
      <c r="H274" s="10937"/>
      <c r="I274" s="10940"/>
      <c r="J274" s="10937"/>
      <c r="K274" s="10937"/>
      <c r="L274" s="11053"/>
      <c r="M274" s="11053"/>
      <c r="N274" s="11053"/>
      <c r="O274" s="11008"/>
      <c r="P274" s="11008"/>
      <c r="Q274" s="11056"/>
      <c r="R274" s="3984" t="s">
        <v>294</v>
      </c>
      <c r="S274" s="3917" t="s">
        <v>294</v>
      </c>
      <c r="T274" s="3917">
        <v>3520000052</v>
      </c>
      <c r="U274" s="8091" t="s">
        <v>5419</v>
      </c>
      <c r="V274" s="8084">
        <v>1</v>
      </c>
      <c r="W274" s="3925" t="s">
        <v>5378</v>
      </c>
      <c r="X274" s="7567">
        <v>27</v>
      </c>
      <c r="Y274" s="7567">
        <f>+V274*X274</f>
        <v>27</v>
      </c>
      <c r="Z274" s="7567">
        <f>+Y274*1.12</f>
        <v>30.240000000000002</v>
      </c>
      <c r="AA274" s="7566" t="s">
        <v>294</v>
      </c>
      <c r="AB274" s="3940"/>
      <c r="AC274" s="3956"/>
      <c r="AD274" s="3921" t="s">
        <v>294</v>
      </c>
      <c r="AE274" s="3921" t="s">
        <v>153</v>
      </c>
      <c r="AF274" s="3959" t="s">
        <v>294</v>
      </c>
      <c r="AG274" s="10916"/>
    </row>
    <row r="275" spans="1:33" ht="15.75" customHeight="1">
      <c r="A275" s="11000"/>
      <c r="B275" s="10934"/>
      <c r="C275" s="10937"/>
      <c r="D275" s="10937"/>
      <c r="E275" s="10937"/>
      <c r="F275" s="10940"/>
      <c r="G275" s="10937"/>
      <c r="H275" s="10937"/>
      <c r="I275" s="10940"/>
      <c r="J275" s="10937"/>
      <c r="K275" s="10937"/>
      <c r="L275" s="11053"/>
      <c r="M275" s="11053"/>
      <c r="N275" s="11053"/>
      <c r="O275" s="11008"/>
      <c r="P275" s="11008"/>
      <c r="Q275" s="11056"/>
      <c r="R275" s="3984" t="s">
        <v>294</v>
      </c>
      <c r="S275" s="3917" t="s">
        <v>294</v>
      </c>
      <c r="T275" s="3917">
        <v>341403211</v>
      </c>
      <c r="U275" s="8091" t="s">
        <v>5420</v>
      </c>
      <c r="V275" s="8084">
        <v>2</v>
      </c>
      <c r="W275" s="3925" t="s">
        <v>5378</v>
      </c>
      <c r="X275" s="7567">
        <v>10.5</v>
      </c>
      <c r="Y275" s="7567">
        <f>+V275*X275</f>
        <v>21</v>
      </c>
      <c r="Z275" s="7567">
        <f>+Y275*1.12</f>
        <v>23.520000000000003</v>
      </c>
      <c r="AA275" s="7566" t="s">
        <v>294</v>
      </c>
      <c r="AB275" s="3940"/>
      <c r="AC275" s="3956"/>
      <c r="AD275" s="3921" t="s">
        <v>294</v>
      </c>
      <c r="AE275" s="3921" t="s">
        <v>153</v>
      </c>
      <c r="AF275" s="3959" t="s">
        <v>294</v>
      </c>
      <c r="AG275" s="10916"/>
    </row>
    <row r="276" spans="1:33" ht="15.75" customHeight="1">
      <c r="A276" s="11000"/>
      <c r="B276" s="10934"/>
      <c r="C276" s="10937"/>
      <c r="D276" s="10937"/>
      <c r="E276" s="10937"/>
      <c r="F276" s="10940"/>
      <c r="G276" s="10937"/>
      <c r="H276" s="10937"/>
      <c r="I276" s="10940"/>
      <c r="J276" s="10937"/>
      <c r="K276" s="10937"/>
      <c r="L276" s="11053"/>
      <c r="M276" s="11053"/>
      <c r="N276" s="11053"/>
      <c r="O276" s="11008"/>
      <c r="P276" s="11008"/>
      <c r="Q276" s="11056"/>
      <c r="R276" s="3984" t="s">
        <v>294</v>
      </c>
      <c r="S276" s="3917" t="s">
        <v>294</v>
      </c>
      <c r="T276" s="3917">
        <v>342403311</v>
      </c>
      <c r="U276" s="8091" t="s">
        <v>5421</v>
      </c>
      <c r="V276" s="8084">
        <v>2</v>
      </c>
      <c r="W276" s="3925" t="s">
        <v>5378</v>
      </c>
      <c r="X276" s="7567">
        <v>12</v>
      </c>
      <c r="Y276" s="7567">
        <f>+V276*X276</f>
        <v>24</v>
      </c>
      <c r="Z276" s="7567">
        <f>+Y276*1.12</f>
        <v>26.880000000000003</v>
      </c>
      <c r="AA276" s="7566" t="s">
        <v>294</v>
      </c>
      <c r="AB276" s="3940"/>
      <c r="AC276" s="3956"/>
      <c r="AD276" s="3921" t="s">
        <v>294</v>
      </c>
      <c r="AE276" s="3921" t="s">
        <v>153</v>
      </c>
      <c r="AF276" s="3959" t="s">
        <v>294</v>
      </c>
      <c r="AG276" s="10916"/>
    </row>
    <row r="277" spans="1:33" ht="38.25">
      <c r="A277" s="11000"/>
      <c r="B277" s="10934"/>
      <c r="C277" s="10937"/>
      <c r="D277" s="10937"/>
      <c r="E277" s="10937"/>
      <c r="F277" s="10940"/>
      <c r="G277" s="10937"/>
      <c r="H277" s="10937"/>
      <c r="I277" s="10940"/>
      <c r="J277" s="10937"/>
      <c r="K277" s="10937"/>
      <c r="L277" s="11053"/>
      <c r="M277" s="11053"/>
      <c r="N277" s="11053"/>
      <c r="O277" s="11008"/>
      <c r="P277" s="11008"/>
      <c r="Q277" s="11056"/>
      <c r="R277" s="3984" t="s">
        <v>5259</v>
      </c>
      <c r="S277" s="3916">
        <v>530404</v>
      </c>
      <c r="T277" s="3916" t="s">
        <v>294</v>
      </c>
      <c r="U277" s="3914" t="s">
        <v>505</v>
      </c>
      <c r="V277" s="6190" t="s">
        <v>294</v>
      </c>
      <c r="W277" s="3925" t="s">
        <v>294</v>
      </c>
      <c r="X277" s="7852" t="s">
        <v>294</v>
      </c>
      <c r="Y277" s="7852" t="s">
        <v>294</v>
      </c>
      <c r="Z277" s="7852" t="s">
        <v>294</v>
      </c>
      <c r="AA277" s="7854">
        <f>+Z278</f>
        <v>2000</v>
      </c>
      <c r="AB277" s="7669" t="s">
        <v>26</v>
      </c>
      <c r="AC277" s="3920"/>
      <c r="AD277" s="3921" t="s">
        <v>294</v>
      </c>
      <c r="AE277" s="3922" t="s">
        <v>294</v>
      </c>
      <c r="AF277" s="3959" t="s">
        <v>294</v>
      </c>
      <c r="AG277" s="10916"/>
    </row>
    <row r="278" spans="1:33" ht="25.5">
      <c r="A278" s="11000"/>
      <c r="B278" s="10934"/>
      <c r="C278" s="10937"/>
      <c r="D278" s="10937"/>
      <c r="E278" s="10937"/>
      <c r="F278" s="10940"/>
      <c r="G278" s="10937"/>
      <c r="H278" s="10937"/>
      <c r="I278" s="10940"/>
      <c r="J278" s="10937"/>
      <c r="K278" s="10937"/>
      <c r="L278" s="11054"/>
      <c r="M278" s="11054"/>
      <c r="N278" s="11054"/>
      <c r="O278" s="11038"/>
      <c r="P278" s="11038"/>
      <c r="Q278" s="11057"/>
      <c r="R278" s="4423" t="s">
        <v>294</v>
      </c>
      <c r="S278" s="3996" t="s">
        <v>294</v>
      </c>
      <c r="T278" s="3977">
        <v>547900411</v>
      </c>
      <c r="U278" s="3952" t="s">
        <v>5422</v>
      </c>
      <c r="V278" s="6193">
        <v>1</v>
      </c>
      <c r="W278" s="3978" t="s">
        <v>5423</v>
      </c>
      <c r="X278" s="7855">
        <v>2000</v>
      </c>
      <c r="Y278" s="7855">
        <f>+V278*X278</f>
        <v>2000</v>
      </c>
      <c r="Z278" s="7855">
        <f>Y278</f>
        <v>2000</v>
      </c>
      <c r="AA278" s="7856" t="s">
        <v>294</v>
      </c>
      <c r="AB278" s="3994"/>
      <c r="AC278" s="3995"/>
      <c r="AD278" s="4035" t="s">
        <v>294</v>
      </c>
      <c r="AE278" s="4035" t="s">
        <v>153</v>
      </c>
      <c r="AF278" s="3997" t="s">
        <v>294</v>
      </c>
      <c r="AG278" s="10917"/>
    </row>
    <row r="279" spans="1:33" ht="27.75" customHeight="1">
      <c r="A279" s="11000"/>
      <c r="B279" s="10934"/>
      <c r="C279" s="10937"/>
      <c r="D279" s="10937"/>
      <c r="E279" s="10937"/>
      <c r="F279" s="10940"/>
      <c r="G279" s="10937"/>
      <c r="H279" s="10937"/>
      <c r="I279" s="10940"/>
      <c r="J279" s="10937"/>
      <c r="K279" s="10937"/>
      <c r="L279" s="11052">
        <v>8</v>
      </c>
      <c r="M279" s="11052">
        <v>16</v>
      </c>
      <c r="N279" s="11052">
        <v>16</v>
      </c>
      <c r="O279" s="10948" t="s">
        <v>5424</v>
      </c>
      <c r="P279" s="11007" t="s">
        <v>5425</v>
      </c>
      <c r="Q279" s="11055" t="s">
        <v>5426</v>
      </c>
      <c r="R279" s="3983" t="s">
        <v>5011</v>
      </c>
      <c r="S279" s="3907">
        <v>840104</v>
      </c>
      <c r="T279" s="4118" t="s">
        <v>294</v>
      </c>
      <c r="U279" s="3906" t="s">
        <v>39</v>
      </c>
      <c r="V279" s="6189" t="s">
        <v>294</v>
      </c>
      <c r="W279" s="3908" t="s">
        <v>294</v>
      </c>
      <c r="X279" s="7562" t="s">
        <v>294</v>
      </c>
      <c r="Y279" s="7562" t="s">
        <v>294</v>
      </c>
      <c r="Z279" s="7562" t="s">
        <v>294</v>
      </c>
      <c r="AA279" s="7564">
        <f>+SUM(Z280:Z282)</f>
        <v>3412.0207142857143</v>
      </c>
      <c r="AB279" s="7668" t="s">
        <v>25</v>
      </c>
      <c r="AC279" s="3909"/>
      <c r="AD279" s="3910" t="s">
        <v>294</v>
      </c>
      <c r="AE279" s="3911" t="s">
        <v>294</v>
      </c>
      <c r="AF279" s="3987" t="s">
        <v>294</v>
      </c>
      <c r="AG279" s="10927" t="s">
        <v>294</v>
      </c>
    </row>
    <row r="280" spans="1:33" ht="22.5" customHeight="1">
      <c r="A280" s="11000"/>
      <c r="B280" s="10934"/>
      <c r="C280" s="10937"/>
      <c r="D280" s="10937"/>
      <c r="E280" s="10937"/>
      <c r="F280" s="10940"/>
      <c r="G280" s="10937"/>
      <c r="H280" s="10937"/>
      <c r="I280" s="10940"/>
      <c r="J280" s="10937"/>
      <c r="K280" s="10937"/>
      <c r="L280" s="11053"/>
      <c r="M280" s="11053"/>
      <c r="N280" s="11053"/>
      <c r="O280" s="10937"/>
      <c r="P280" s="11008"/>
      <c r="Q280" s="11056"/>
      <c r="R280" s="3984" t="s">
        <v>294</v>
      </c>
      <c r="S280" s="3917" t="s">
        <v>294</v>
      </c>
      <c r="T280" s="3917">
        <v>891210714</v>
      </c>
      <c r="U280" s="3913" t="s">
        <v>5427</v>
      </c>
      <c r="V280" s="6190">
        <v>1</v>
      </c>
      <c r="W280" s="3925" t="s">
        <v>180</v>
      </c>
      <c r="X280" s="7851">
        <f>2614.26/1.12</f>
        <v>2334.1607142857142</v>
      </c>
      <c r="Y280" s="7851">
        <f>+V280*X280</f>
        <v>2334.1607142857142</v>
      </c>
      <c r="Z280" s="7851">
        <f>Y280</f>
        <v>2334.1607142857142</v>
      </c>
      <c r="AA280" s="7785"/>
      <c r="AB280" s="3940"/>
      <c r="AC280" s="3956"/>
      <c r="AD280" s="3921" t="s">
        <v>294</v>
      </c>
      <c r="AE280" s="3921"/>
      <c r="AF280" s="4242" t="s">
        <v>153</v>
      </c>
      <c r="AG280" s="10928"/>
    </row>
    <row r="281" spans="1:33" ht="76.5" customHeight="1">
      <c r="A281" s="11000"/>
      <c r="B281" s="10934"/>
      <c r="C281" s="10937"/>
      <c r="D281" s="10937"/>
      <c r="E281" s="10937"/>
      <c r="F281" s="10940"/>
      <c r="G281" s="10937"/>
      <c r="H281" s="10937"/>
      <c r="I281" s="10940"/>
      <c r="J281" s="10937"/>
      <c r="K281" s="10937"/>
      <c r="L281" s="11053"/>
      <c r="M281" s="11053"/>
      <c r="N281" s="11053"/>
      <c r="O281" s="10937"/>
      <c r="P281" s="11008"/>
      <c r="Q281" s="11056"/>
      <c r="R281" s="3984" t="s">
        <v>294</v>
      </c>
      <c r="S281" s="3917" t="s">
        <v>294</v>
      </c>
      <c r="T281" s="3917">
        <v>381110319</v>
      </c>
      <c r="U281" s="3913" t="s">
        <v>5428</v>
      </c>
      <c r="V281" s="6190">
        <v>1</v>
      </c>
      <c r="W281" s="3925" t="s">
        <v>479</v>
      </c>
      <c r="X281" s="7851">
        <v>1077.8599999999999</v>
      </c>
      <c r="Y281" s="7851">
        <f>+V281*X281</f>
        <v>1077.8599999999999</v>
      </c>
      <c r="Z281" s="7851">
        <f>Y281</f>
        <v>1077.8599999999999</v>
      </c>
      <c r="AA281" s="7566" t="s">
        <v>294</v>
      </c>
      <c r="AB281" s="3940"/>
      <c r="AC281" s="3956"/>
      <c r="AD281" s="3921" t="s">
        <v>294</v>
      </c>
      <c r="AE281" s="3921"/>
      <c r="AF281" s="4242" t="s">
        <v>153</v>
      </c>
      <c r="AG281" s="10928"/>
    </row>
    <row r="282" spans="1:33" ht="15.75" customHeight="1">
      <c r="A282" s="11000"/>
      <c r="B282" s="10934"/>
      <c r="C282" s="10937"/>
      <c r="D282" s="10937"/>
      <c r="E282" s="10937"/>
      <c r="F282" s="10940"/>
      <c r="G282" s="10937"/>
      <c r="H282" s="10937"/>
      <c r="I282" s="10940"/>
      <c r="J282" s="10937"/>
      <c r="K282" s="10937"/>
      <c r="L282" s="11053"/>
      <c r="M282" s="11053"/>
      <c r="N282" s="11053"/>
      <c r="O282" s="10937"/>
      <c r="P282" s="11008"/>
      <c r="Q282" s="11056"/>
      <c r="R282" s="3984" t="s">
        <v>294</v>
      </c>
      <c r="S282" s="3917" t="s">
        <v>294</v>
      </c>
      <c r="T282" s="3917"/>
      <c r="U282" s="3913"/>
      <c r="V282" s="6190"/>
      <c r="W282" s="3925"/>
      <c r="X282" s="7565"/>
      <c r="Y282" s="7565"/>
      <c r="Z282" s="7565"/>
      <c r="AA282" s="7566" t="s">
        <v>294</v>
      </c>
      <c r="AB282" s="3940"/>
      <c r="AC282" s="3956"/>
      <c r="AD282" s="3921" t="s">
        <v>294</v>
      </c>
      <c r="AE282" s="3921"/>
      <c r="AF282" s="4242" t="s">
        <v>153</v>
      </c>
      <c r="AG282" s="10928"/>
    </row>
    <row r="283" spans="1:33" ht="15.75" customHeight="1">
      <c r="A283" s="11000"/>
      <c r="B283" s="10934"/>
      <c r="C283" s="10937"/>
      <c r="D283" s="10937"/>
      <c r="E283" s="10937"/>
      <c r="F283" s="10940"/>
      <c r="G283" s="10937"/>
      <c r="H283" s="10937"/>
      <c r="I283" s="10940"/>
      <c r="J283" s="10937"/>
      <c r="K283" s="10937"/>
      <c r="L283" s="11053"/>
      <c r="M283" s="11053"/>
      <c r="N283" s="11053"/>
      <c r="O283" s="10937"/>
      <c r="P283" s="11008"/>
      <c r="Q283" s="11056"/>
      <c r="R283" s="3984" t="s">
        <v>5259</v>
      </c>
      <c r="S283" s="3916">
        <v>530826</v>
      </c>
      <c r="T283" s="3917" t="s">
        <v>294</v>
      </c>
      <c r="U283" s="3914" t="s">
        <v>3341</v>
      </c>
      <c r="V283" s="6190" t="s">
        <v>294</v>
      </c>
      <c r="W283" s="3925" t="s">
        <v>294</v>
      </c>
      <c r="X283" s="7567" t="s">
        <v>294</v>
      </c>
      <c r="Y283" s="7567" t="s">
        <v>294</v>
      </c>
      <c r="Z283" s="7567" t="s">
        <v>294</v>
      </c>
      <c r="AA283" s="7566">
        <f>SUM(Z284:Z287)</f>
        <v>442.40000000000009</v>
      </c>
      <c r="AB283" s="7669" t="s">
        <v>26</v>
      </c>
      <c r="AC283" s="3920"/>
      <c r="AD283" s="3921" t="s">
        <v>294</v>
      </c>
      <c r="AE283" s="3922" t="s">
        <v>294</v>
      </c>
      <c r="AF283" s="3959" t="s">
        <v>294</v>
      </c>
      <c r="AG283" s="10928"/>
    </row>
    <row r="284" spans="1:33" ht="15.75" customHeight="1">
      <c r="A284" s="11000"/>
      <c r="B284" s="10934"/>
      <c r="C284" s="10937"/>
      <c r="D284" s="10937"/>
      <c r="E284" s="10937"/>
      <c r="F284" s="10940"/>
      <c r="G284" s="10937"/>
      <c r="H284" s="10937"/>
      <c r="I284" s="10940"/>
      <c r="J284" s="10937"/>
      <c r="K284" s="10937"/>
      <c r="L284" s="11053"/>
      <c r="M284" s="11053"/>
      <c r="N284" s="11053"/>
      <c r="O284" s="10937"/>
      <c r="P284" s="11008"/>
      <c r="Q284" s="11056"/>
      <c r="R284" s="3984" t="s">
        <v>294</v>
      </c>
      <c r="S284" s="3917" t="s">
        <v>294</v>
      </c>
      <c r="T284" s="3917">
        <v>3529010947</v>
      </c>
      <c r="U284" s="3913" t="s">
        <v>5348</v>
      </c>
      <c r="V284" s="6190">
        <v>10</v>
      </c>
      <c r="W284" s="3925" t="s">
        <v>5349</v>
      </c>
      <c r="X284" s="7567">
        <v>20</v>
      </c>
      <c r="Y284" s="7567">
        <f>+V284*X284</f>
        <v>200</v>
      </c>
      <c r="Z284" s="7567">
        <f>+Y284*1.12</f>
        <v>224.00000000000003</v>
      </c>
      <c r="AA284" s="7566" t="s">
        <v>294</v>
      </c>
      <c r="AB284" s="3940"/>
      <c r="AC284" s="3956"/>
      <c r="AD284" s="3921" t="s">
        <v>294</v>
      </c>
      <c r="AE284" s="3921" t="s">
        <v>153</v>
      </c>
      <c r="AF284" s="3959" t="s">
        <v>294</v>
      </c>
      <c r="AG284" s="10928"/>
    </row>
    <row r="285" spans="1:33" ht="15.75" customHeight="1">
      <c r="A285" s="11000"/>
      <c r="B285" s="10934"/>
      <c r="C285" s="10937"/>
      <c r="D285" s="10937"/>
      <c r="E285" s="10937"/>
      <c r="F285" s="10940"/>
      <c r="G285" s="10937"/>
      <c r="H285" s="10937"/>
      <c r="I285" s="10940"/>
      <c r="J285" s="10937"/>
      <c r="K285" s="10937"/>
      <c r="L285" s="11053"/>
      <c r="M285" s="11053"/>
      <c r="N285" s="11053"/>
      <c r="O285" s="10937"/>
      <c r="P285" s="11008"/>
      <c r="Q285" s="11056"/>
      <c r="R285" s="3984" t="s">
        <v>294</v>
      </c>
      <c r="S285" s="3917" t="s">
        <v>294</v>
      </c>
      <c r="T285" s="3917">
        <v>3529010975</v>
      </c>
      <c r="U285" s="3913" t="s">
        <v>5350</v>
      </c>
      <c r="V285" s="6190">
        <v>5</v>
      </c>
      <c r="W285" s="3925" t="s">
        <v>5351</v>
      </c>
      <c r="X285" s="7567">
        <v>7</v>
      </c>
      <c r="Y285" s="7567">
        <f>+V285*X285</f>
        <v>35</v>
      </c>
      <c r="Z285" s="7567">
        <f>+Y285*1.12</f>
        <v>39.200000000000003</v>
      </c>
      <c r="AA285" s="7566" t="s">
        <v>294</v>
      </c>
      <c r="AB285" s="3940"/>
      <c r="AC285" s="3956"/>
      <c r="AD285" s="3921" t="s">
        <v>294</v>
      </c>
      <c r="AE285" s="3921" t="s">
        <v>153</v>
      </c>
      <c r="AF285" s="3959" t="s">
        <v>294</v>
      </c>
      <c r="AG285" s="10928"/>
    </row>
    <row r="286" spans="1:33" ht="27" customHeight="1">
      <c r="A286" s="11000"/>
      <c r="B286" s="10934"/>
      <c r="C286" s="10937"/>
      <c r="D286" s="10937"/>
      <c r="E286" s="10937"/>
      <c r="F286" s="10940"/>
      <c r="G286" s="10937"/>
      <c r="H286" s="10937"/>
      <c r="I286" s="10940"/>
      <c r="J286" s="10937"/>
      <c r="K286" s="10937"/>
      <c r="L286" s="11053"/>
      <c r="M286" s="11053"/>
      <c r="N286" s="11053"/>
      <c r="O286" s="10937"/>
      <c r="P286" s="11008"/>
      <c r="Q286" s="11056"/>
      <c r="R286" s="3984" t="s">
        <v>294</v>
      </c>
      <c r="S286" s="3917" t="s">
        <v>294</v>
      </c>
      <c r="T286" s="3917">
        <v>3529010963</v>
      </c>
      <c r="U286" s="3913" t="s">
        <v>5352</v>
      </c>
      <c r="V286" s="6190">
        <v>10</v>
      </c>
      <c r="W286" s="3925" t="s">
        <v>5353</v>
      </c>
      <c r="X286" s="7567">
        <v>13</v>
      </c>
      <c r="Y286" s="7567">
        <f>+V286*X286</f>
        <v>130</v>
      </c>
      <c r="Z286" s="7567">
        <f>+Y286*1.12</f>
        <v>145.60000000000002</v>
      </c>
      <c r="AA286" s="7566" t="s">
        <v>294</v>
      </c>
      <c r="AB286" s="3940"/>
      <c r="AC286" s="3956"/>
      <c r="AD286" s="3921" t="s">
        <v>294</v>
      </c>
      <c r="AE286" s="3921" t="s">
        <v>153</v>
      </c>
      <c r="AF286" s="3959" t="s">
        <v>294</v>
      </c>
      <c r="AG286" s="10928"/>
    </row>
    <row r="287" spans="1:33" ht="25.5">
      <c r="A287" s="11000"/>
      <c r="B287" s="10934"/>
      <c r="C287" s="10937"/>
      <c r="D287" s="10937"/>
      <c r="E287" s="10937"/>
      <c r="F287" s="10940"/>
      <c r="G287" s="10937"/>
      <c r="H287" s="10937"/>
      <c r="I287" s="10940"/>
      <c r="J287" s="10937"/>
      <c r="K287" s="10937"/>
      <c r="L287" s="11059"/>
      <c r="M287" s="11059"/>
      <c r="N287" s="11059"/>
      <c r="O287" s="10985"/>
      <c r="P287" s="11009"/>
      <c r="Q287" s="11058"/>
      <c r="R287" s="4420" t="s">
        <v>294</v>
      </c>
      <c r="S287" s="4038" t="s">
        <v>294</v>
      </c>
      <c r="T287" s="4038">
        <v>3529010976</v>
      </c>
      <c r="U287" s="3982" t="s">
        <v>5354</v>
      </c>
      <c r="V287" s="6191">
        <v>10</v>
      </c>
      <c r="W287" s="4039" t="s">
        <v>5355</v>
      </c>
      <c r="X287" s="7568">
        <v>3</v>
      </c>
      <c r="Y287" s="7568">
        <f>+V287*X287</f>
        <v>30</v>
      </c>
      <c r="Z287" s="7568">
        <f>+Y287*1.12</f>
        <v>33.6</v>
      </c>
      <c r="AA287" s="7569" t="s">
        <v>294</v>
      </c>
      <c r="AB287" s="4097"/>
      <c r="AC287" s="4098"/>
      <c r="AD287" s="4041" t="s">
        <v>294</v>
      </c>
      <c r="AE287" s="4041" t="s">
        <v>153</v>
      </c>
      <c r="AF287" s="4117" t="s">
        <v>294</v>
      </c>
      <c r="AG287" s="10929"/>
    </row>
    <row r="288" spans="1:33" ht="41.25" customHeight="1">
      <c r="A288" s="11000"/>
      <c r="B288" s="10934"/>
      <c r="C288" s="10937"/>
      <c r="D288" s="10937"/>
      <c r="E288" s="10937"/>
      <c r="F288" s="10940"/>
      <c r="G288" s="10937"/>
      <c r="H288" s="10937"/>
      <c r="I288" s="10940"/>
      <c r="J288" s="10937"/>
      <c r="K288" s="10937"/>
      <c r="L288" s="11063">
        <v>3</v>
      </c>
      <c r="M288" s="11063">
        <v>10</v>
      </c>
      <c r="N288" s="11063">
        <v>10</v>
      </c>
      <c r="O288" s="10936" t="s">
        <v>5424</v>
      </c>
      <c r="P288" s="11065" t="s">
        <v>5425</v>
      </c>
      <c r="Q288" s="11060" t="s">
        <v>5429</v>
      </c>
      <c r="R288" s="4449" t="s">
        <v>5259</v>
      </c>
      <c r="S288" s="4000">
        <v>840113</v>
      </c>
      <c r="T288" s="4000" t="s">
        <v>294</v>
      </c>
      <c r="U288" s="3981" t="s">
        <v>5430</v>
      </c>
      <c r="V288" s="6192" t="s">
        <v>294</v>
      </c>
      <c r="W288" s="4001" t="s">
        <v>294</v>
      </c>
      <c r="X288" s="7570" t="s">
        <v>294</v>
      </c>
      <c r="Y288" s="7570" t="s">
        <v>294</v>
      </c>
      <c r="Z288" s="7570" t="s">
        <v>294</v>
      </c>
      <c r="AA288" s="7783">
        <f>Z289</f>
        <v>1512.0000000000002</v>
      </c>
      <c r="AB288" s="7671" t="s">
        <v>18</v>
      </c>
      <c r="AC288" s="4002"/>
      <c r="AD288" s="4003" t="s">
        <v>294</v>
      </c>
      <c r="AE288" s="4004" t="s">
        <v>294</v>
      </c>
      <c r="AF288" s="4009" t="s">
        <v>294</v>
      </c>
      <c r="AG288" s="10927" t="s">
        <v>294</v>
      </c>
    </row>
    <row r="289" spans="1:33" ht="15.75" customHeight="1">
      <c r="A289" s="11000"/>
      <c r="B289" s="10934"/>
      <c r="C289" s="10937"/>
      <c r="D289" s="10937"/>
      <c r="E289" s="10937"/>
      <c r="F289" s="10940"/>
      <c r="G289" s="10937"/>
      <c r="H289" s="10937"/>
      <c r="I289" s="10940"/>
      <c r="J289" s="10937"/>
      <c r="K289" s="10937"/>
      <c r="L289" s="11053"/>
      <c r="M289" s="11053"/>
      <c r="N289" s="11053"/>
      <c r="O289" s="10937"/>
      <c r="P289" s="11066"/>
      <c r="Q289" s="11056"/>
      <c r="R289" s="3984" t="s">
        <v>294</v>
      </c>
      <c r="S289" s="3916" t="s">
        <v>294</v>
      </c>
      <c r="T289" s="3964">
        <v>481500921</v>
      </c>
      <c r="U289" s="3913" t="s">
        <v>5431</v>
      </c>
      <c r="V289" s="6190">
        <v>18</v>
      </c>
      <c r="W289" s="3925" t="s">
        <v>180</v>
      </c>
      <c r="X289" s="7565">
        <v>75</v>
      </c>
      <c r="Y289" s="7565">
        <f>+V289*X289</f>
        <v>1350</v>
      </c>
      <c r="Z289" s="7565">
        <f>+Y289*1.12</f>
        <v>1512.0000000000002</v>
      </c>
      <c r="AA289" s="7566" t="s">
        <v>294</v>
      </c>
      <c r="AB289" s="3940"/>
      <c r="AC289" s="3956"/>
      <c r="AD289" s="3921" t="s">
        <v>294</v>
      </c>
      <c r="AE289" s="3921"/>
      <c r="AF289" s="3959" t="s">
        <v>153</v>
      </c>
      <c r="AG289" s="10928"/>
    </row>
    <row r="290" spans="1:33" ht="15.75" customHeight="1">
      <c r="A290" s="11000"/>
      <c r="B290" s="10934"/>
      <c r="C290" s="10937"/>
      <c r="D290" s="10937"/>
      <c r="E290" s="10937"/>
      <c r="F290" s="10940"/>
      <c r="G290" s="10937"/>
      <c r="H290" s="10937"/>
      <c r="I290" s="10940"/>
      <c r="J290" s="10937"/>
      <c r="K290" s="10937"/>
      <c r="L290" s="11053"/>
      <c r="M290" s="11053"/>
      <c r="N290" s="11053"/>
      <c r="O290" s="10937"/>
      <c r="P290" s="11066"/>
      <c r="Q290" s="11056"/>
      <c r="R290" s="4433" t="s">
        <v>5259</v>
      </c>
      <c r="S290" s="4226">
        <v>840104</v>
      </c>
      <c r="T290" s="4227" t="s">
        <v>294</v>
      </c>
      <c r="U290" s="4228" t="s">
        <v>39</v>
      </c>
      <c r="V290" s="7542" t="s">
        <v>294</v>
      </c>
      <c r="W290" s="4229" t="s">
        <v>294</v>
      </c>
      <c r="X290" s="7596" t="s">
        <v>294</v>
      </c>
      <c r="Y290" s="7596" t="s">
        <v>294</v>
      </c>
      <c r="Z290" s="7596" t="s">
        <v>294</v>
      </c>
      <c r="AA290" s="7863">
        <f>+SUM(Z291:Z292)</f>
        <v>5643.93</v>
      </c>
      <c r="AB290" s="7682" t="s">
        <v>25</v>
      </c>
      <c r="AC290" s="4230"/>
      <c r="AD290" s="4231" t="s">
        <v>294</v>
      </c>
      <c r="AE290" s="4232" t="s">
        <v>294</v>
      </c>
      <c r="AF290" s="3959" t="s">
        <v>294</v>
      </c>
      <c r="AG290" s="10928"/>
    </row>
    <row r="291" spans="1:33" ht="15.75" customHeight="1">
      <c r="A291" s="11000"/>
      <c r="B291" s="10934"/>
      <c r="C291" s="10937"/>
      <c r="D291" s="10937"/>
      <c r="E291" s="10937"/>
      <c r="F291" s="10940"/>
      <c r="G291" s="10937"/>
      <c r="H291" s="10937"/>
      <c r="I291" s="10940"/>
      <c r="J291" s="10937"/>
      <c r="K291" s="10937"/>
      <c r="L291" s="11053"/>
      <c r="M291" s="11053"/>
      <c r="N291" s="11053"/>
      <c r="O291" s="10937"/>
      <c r="P291" s="11066"/>
      <c r="Q291" s="11056"/>
      <c r="R291" s="4433" t="s">
        <v>294</v>
      </c>
      <c r="S291" s="4233" t="s">
        <v>294</v>
      </c>
      <c r="T291" s="4233">
        <v>891210714</v>
      </c>
      <c r="U291" s="4234" t="s">
        <v>5432</v>
      </c>
      <c r="V291" s="7542">
        <v>1</v>
      </c>
      <c r="W291" s="4229" t="s">
        <v>180</v>
      </c>
      <c r="X291" s="7851">
        <f>5290.93</f>
        <v>5290.93</v>
      </c>
      <c r="Y291" s="7851">
        <f>+V291*X291</f>
        <v>5290.93</v>
      </c>
      <c r="Z291" s="7851">
        <f>Y291</f>
        <v>5290.93</v>
      </c>
      <c r="AA291" s="7597"/>
      <c r="AB291" s="7683"/>
      <c r="AC291" s="4235"/>
      <c r="AD291" s="4231" t="s">
        <v>294</v>
      </c>
      <c r="AE291" s="4231"/>
      <c r="AF291" s="3959" t="s">
        <v>153</v>
      </c>
      <c r="AG291" s="10928"/>
    </row>
    <row r="292" spans="1:33" ht="22.5" customHeight="1">
      <c r="A292" s="11000"/>
      <c r="B292" s="10934"/>
      <c r="C292" s="10937"/>
      <c r="D292" s="10937"/>
      <c r="E292" s="10937"/>
      <c r="F292" s="10940"/>
      <c r="G292" s="10937"/>
      <c r="H292" s="10937"/>
      <c r="I292" s="10940"/>
      <c r="J292" s="10937"/>
      <c r="K292" s="10937"/>
      <c r="L292" s="11053"/>
      <c r="M292" s="11053"/>
      <c r="N292" s="11053"/>
      <c r="O292" s="10937"/>
      <c r="P292" s="11066"/>
      <c r="Q292" s="11056"/>
      <c r="R292" s="4433" t="s">
        <v>294</v>
      </c>
      <c r="S292" s="4233" t="s">
        <v>294</v>
      </c>
      <c r="T292" s="4227">
        <v>481600111</v>
      </c>
      <c r="U292" s="4234" t="s">
        <v>5433</v>
      </c>
      <c r="V292" s="7542">
        <v>1</v>
      </c>
      <c r="W292" s="4229" t="s">
        <v>180</v>
      </c>
      <c r="X292" s="7602">
        <f>395.36/1.12</f>
        <v>353</v>
      </c>
      <c r="Y292" s="7602">
        <f>+V292*X292</f>
        <v>353</v>
      </c>
      <c r="Z292" s="7782">
        <f>Y292</f>
        <v>353</v>
      </c>
      <c r="AA292" s="7597"/>
      <c r="AB292" s="7683"/>
      <c r="AC292" s="4235"/>
      <c r="AD292" s="4231" t="s">
        <v>294</v>
      </c>
      <c r="AE292" s="4231"/>
      <c r="AF292" s="3959" t="s">
        <v>153</v>
      </c>
      <c r="AG292" s="10928"/>
    </row>
    <row r="293" spans="1:33" ht="15.75" customHeight="1">
      <c r="A293" s="11000"/>
      <c r="B293" s="10934"/>
      <c r="C293" s="10937"/>
      <c r="D293" s="10937"/>
      <c r="E293" s="10937"/>
      <c r="F293" s="10940"/>
      <c r="G293" s="10937"/>
      <c r="H293" s="10937"/>
      <c r="I293" s="10940"/>
      <c r="J293" s="10937"/>
      <c r="K293" s="10937"/>
      <c r="L293" s="11053"/>
      <c r="M293" s="11053"/>
      <c r="N293" s="11053"/>
      <c r="O293" s="10937"/>
      <c r="P293" s="11066"/>
      <c r="Q293" s="11056"/>
      <c r="R293" s="4434" t="s">
        <v>5259</v>
      </c>
      <c r="S293" s="3916">
        <v>530826</v>
      </c>
      <c r="T293" s="3917" t="s">
        <v>294</v>
      </c>
      <c r="U293" s="3914" t="s">
        <v>3341</v>
      </c>
      <c r="V293" s="6190" t="s">
        <v>294</v>
      </c>
      <c r="W293" s="3925" t="s">
        <v>294</v>
      </c>
      <c r="X293" s="7567" t="s">
        <v>294</v>
      </c>
      <c r="Y293" s="7567" t="s">
        <v>294</v>
      </c>
      <c r="Z293" s="7567" t="s">
        <v>294</v>
      </c>
      <c r="AA293" s="7566">
        <f>SUM(Z294:Z297)</f>
        <v>388.64000000000004</v>
      </c>
      <c r="AB293" s="7669" t="s">
        <v>26</v>
      </c>
      <c r="AC293" s="3920"/>
      <c r="AD293" s="3921" t="s">
        <v>294</v>
      </c>
      <c r="AE293" s="3922" t="s">
        <v>294</v>
      </c>
      <c r="AF293" s="3959" t="s">
        <v>294</v>
      </c>
      <c r="AG293" s="10928"/>
    </row>
    <row r="294" spans="1:33" ht="15.75" customHeight="1">
      <c r="A294" s="11000"/>
      <c r="B294" s="10934"/>
      <c r="C294" s="10937"/>
      <c r="D294" s="10937"/>
      <c r="E294" s="10937"/>
      <c r="F294" s="10940"/>
      <c r="G294" s="10937"/>
      <c r="H294" s="10937"/>
      <c r="I294" s="10940"/>
      <c r="J294" s="10937"/>
      <c r="K294" s="10937"/>
      <c r="L294" s="11053"/>
      <c r="M294" s="11053"/>
      <c r="N294" s="11053"/>
      <c r="O294" s="10937"/>
      <c r="P294" s="11066"/>
      <c r="Q294" s="11056"/>
      <c r="R294" s="3984" t="s">
        <v>294</v>
      </c>
      <c r="S294" s="3916" t="s">
        <v>294</v>
      </c>
      <c r="T294" s="3917">
        <v>3529010947</v>
      </c>
      <c r="U294" s="3913" t="s">
        <v>5348</v>
      </c>
      <c r="V294" s="6190">
        <v>10</v>
      </c>
      <c r="W294" s="3925" t="s">
        <v>5349</v>
      </c>
      <c r="X294" s="7567">
        <v>20</v>
      </c>
      <c r="Y294" s="7567">
        <f>+V294*X294</f>
        <v>200</v>
      </c>
      <c r="Z294" s="7567">
        <f>+Y294*1.12</f>
        <v>224.00000000000003</v>
      </c>
      <c r="AA294" s="7566" t="s">
        <v>294</v>
      </c>
      <c r="AB294" s="3940"/>
      <c r="AC294" s="3956"/>
      <c r="AD294" s="3921" t="s">
        <v>294</v>
      </c>
      <c r="AE294" s="3921" t="s">
        <v>153</v>
      </c>
      <c r="AF294" s="3959" t="s">
        <v>294</v>
      </c>
      <c r="AG294" s="10928"/>
    </row>
    <row r="295" spans="1:33" ht="15.75" customHeight="1">
      <c r="A295" s="11000"/>
      <c r="B295" s="10934"/>
      <c r="C295" s="10937"/>
      <c r="D295" s="10937"/>
      <c r="E295" s="10937"/>
      <c r="F295" s="10940"/>
      <c r="G295" s="10937"/>
      <c r="H295" s="10937"/>
      <c r="I295" s="10940"/>
      <c r="J295" s="10937"/>
      <c r="K295" s="10937"/>
      <c r="L295" s="11053"/>
      <c r="M295" s="11053"/>
      <c r="N295" s="11053"/>
      <c r="O295" s="10937"/>
      <c r="P295" s="11066"/>
      <c r="Q295" s="11056"/>
      <c r="R295" s="3984" t="s">
        <v>294</v>
      </c>
      <c r="S295" s="3916" t="s">
        <v>294</v>
      </c>
      <c r="T295" s="3917">
        <v>3529010975</v>
      </c>
      <c r="U295" s="3913" t="s">
        <v>5350</v>
      </c>
      <c r="V295" s="6190">
        <v>5</v>
      </c>
      <c r="W295" s="3925" t="s">
        <v>5351</v>
      </c>
      <c r="X295" s="7567">
        <v>7</v>
      </c>
      <c r="Y295" s="7567">
        <f>+V295*X295</f>
        <v>35</v>
      </c>
      <c r="Z295" s="7567">
        <f>+Y295*1.12</f>
        <v>39.200000000000003</v>
      </c>
      <c r="AA295" s="7566" t="s">
        <v>294</v>
      </c>
      <c r="AB295" s="3940"/>
      <c r="AC295" s="3956"/>
      <c r="AD295" s="3921" t="s">
        <v>294</v>
      </c>
      <c r="AE295" s="3921" t="s">
        <v>153</v>
      </c>
      <c r="AF295" s="3959" t="s">
        <v>294</v>
      </c>
      <c r="AG295" s="10928"/>
    </row>
    <row r="296" spans="1:33" ht="27.75" customHeight="1">
      <c r="A296" s="11000"/>
      <c r="B296" s="10934"/>
      <c r="C296" s="10937"/>
      <c r="D296" s="10937"/>
      <c r="E296" s="10937"/>
      <c r="F296" s="10940"/>
      <c r="G296" s="10937"/>
      <c r="H296" s="10937"/>
      <c r="I296" s="10940"/>
      <c r="J296" s="10937"/>
      <c r="K296" s="10937"/>
      <c r="L296" s="11053"/>
      <c r="M296" s="11053"/>
      <c r="N296" s="11053"/>
      <c r="O296" s="10937"/>
      <c r="P296" s="11066"/>
      <c r="Q296" s="11056"/>
      <c r="R296" s="3984" t="s">
        <v>294</v>
      </c>
      <c r="S296" s="3916" t="s">
        <v>294</v>
      </c>
      <c r="T296" s="3917">
        <v>3529010963</v>
      </c>
      <c r="U296" s="3913" t="s">
        <v>5352</v>
      </c>
      <c r="V296" s="6190">
        <v>7</v>
      </c>
      <c r="W296" s="3925" t="s">
        <v>5353</v>
      </c>
      <c r="X296" s="7567">
        <v>13</v>
      </c>
      <c r="Y296" s="7567">
        <f>+V296*X296</f>
        <v>91</v>
      </c>
      <c r="Z296" s="7567">
        <f>+Y296*1.12</f>
        <v>101.92000000000002</v>
      </c>
      <c r="AA296" s="7566" t="s">
        <v>294</v>
      </c>
      <c r="AB296" s="3940"/>
      <c r="AC296" s="3956"/>
      <c r="AD296" s="3921" t="s">
        <v>294</v>
      </c>
      <c r="AE296" s="3921" t="s">
        <v>153</v>
      </c>
      <c r="AF296" s="3959" t="s">
        <v>294</v>
      </c>
      <c r="AG296" s="10928"/>
    </row>
    <row r="297" spans="1:33" ht="25.5">
      <c r="A297" s="11000"/>
      <c r="B297" s="10934"/>
      <c r="C297" s="10937"/>
      <c r="D297" s="10937"/>
      <c r="E297" s="10937"/>
      <c r="F297" s="10940"/>
      <c r="G297" s="10937"/>
      <c r="H297" s="10937"/>
      <c r="I297" s="10940"/>
      <c r="J297" s="10937"/>
      <c r="K297" s="10937"/>
      <c r="L297" s="11054"/>
      <c r="M297" s="11054"/>
      <c r="N297" s="11054"/>
      <c r="O297" s="10938"/>
      <c r="P297" s="11067"/>
      <c r="Q297" s="11057"/>
      <c r="R297" s="4423" t="s">
        <v>294</v>
      </c>
      <c r="S297" s="3977" t="s">
        <v>294</v>
      </c>
      <c r="T297" s="3977">
        <v>3529010976</v>
      </c>
      <c r="U297" s="3952" t="s">
        <v>5354</v>
      </c>
      <c r="V297" s="6193">
        <v>7</v>
      </c>
      <c r="W297" s="3978" t="s">
        <v>5355</v>
      </c>
      <c r="X297" s="7573">
        <v>3</v>
      </c>
      <c r="Y297" s="7573">
        <f>+V297*X297</f>
        <v>21</v>
      </c>
      <c r="Z297" s="7573">
        <f>+Y297*1.12</f>
        <v>23.520000000000003</v>
      </c>
      <c r="AA297" s="7574" t="s">
        <v>294</v>
      </c>
      <c r="AB297" s="3994"/>
      <c r="AC297" s="3995"/>
      <c r="AD297" s="4035" t="s">
        <v>294</v>
      </c>
      <c r="AE297" s="4035" t="s">
        <v>153</v>
      </c>
      <c r="AF297" s="3997" t="s">
        <v>294</v>
      </c>
      <c r="AG297" s="10929"/>
    </row>
    <row r="298" spans="1:33" ht="39.75" customHeight="1">
      <c r="A298" s="11000"/>
      <c r="B298" s="10934"/>
      <c r="C298" s="10937"/>
      <c r="D298" s="10937"/>
      <c r="E298" s="10937"/>
      <c r="F298" s="10940"/>
      <c r="G298" s="10937"/>
      <c r="H298" s="10937"/>
      <c r="I298" s="10940"/>
      <c r="J298" s="10937"/>
      <c r="K298" s="10937"/>
      <c r="L298" s="11052">
        <v>3</v>
      </c>
      <c r="M298" s="11052">
        <v>8</v>
      </c>
      <c r="N298" s="11052">
        <v>8</v>
      </c>
      <c r="O298" s="10948" t="s">
        <v>5424</v>
      </c>
      <c r="P298" s="10948" t="s">
        <v>5434</v>
      </c>
      <c r="Q298" s="11055" t="s">
        <v>5435</v>
      </c>
      <c r="R298" s="3983" t="s">
        <v>5259</v>
      </c>
      <c r="S298" s="3907">
        <v>840104</v>
      </c>
      <c r="T298" s="3907" t="s">
        <v>294</v>
      </c>
      <c r="U298" s="3906" t="s">
        <v>39</v>
      </c>
      <c r="V298" s="6189" t="s">
        <v>294</v>
      </c>
      <c r="W298" s="3908" t="s">
        <v>294</v>
      </c>
      <c r="X298" s="7562" t="s">
        <v>294</v>
      </c>
      <c r="Y298" s="7562" t="s">
        <v>294</v>
      </c>
      <c r="Z298" s="7562" t="s">
        <v>294</v>
      </c>
      <c r="AA298" s="7784">
        <f>+Z299</f>
        <v>187.04</v>
      </c>
      <c r="AB298" s="7668" t="s">
        <v>18</v>
      </c>
      <c r="AC298" s="3909"/>
      <c r="AD298" s="3910" t="s">
        <v>294</v>
      </c>
      <c r="AE298" s="3911" t="s">
        <v>294</v>
      </c>
      <c r="AF298" s="3987" t="s">
        <v>294</v>
      </c>
      <c r="AG298" s="10927" t="s">
        <v>294</v>
      </c>
    </row>
    <row r="299" spans="1:33" ht="15.75" customHeight="1">
      <c r="A299" s="11000"/>
      <c r="B299" s="10934"/>
      <c r="C299" s="10937"/>
      <c r="D299" s="10937"/>
      <c r="E299" s="10937"/>
      <c r="F299" s="10940"/>
      <c r="G299" s="10937"/>
      <c r="H299" s="10937"/>
      <c r="I299" s="10940"/>
      <c r="J299" s="10937"/>
      <c r="K299" s="10937"/>
      <c r="L299" s="11053"/>
      <c r="M299" s="11053"/>
      <c r="N299" s="11053"/>
      <c r="O299" s="10937"/>
      <c r="P299" s="10937"/>
      <c r="Q299" s="11056"/>
      <c r="R299" s="3984" t="s">
        <v>294</v>
      </c>
      <c r="S299" s="3916" t="s">
        <v>294</v>
      </c>
      <c r="T299" s="3917">
        <v>381110319</v>
      </c>
      <c r="U299" s="3913" t="s">
        <v>5436</v>
      </c>
      <c r="V299" s="6190">
        <v>1</v>
      </c>
      <c r="W299" s="3925" t="s">
        <v>180</v>
      </c>
      <c r="X299" s="7565">
        <f>187.04/1.12</f>
        <v>166.99999999999997</v>
      </c>
      <c r="Y299" s="7565">
        <f>+V299*X299</f>
        <v>166.99999999999997</v>
      </c>
      <c r="Z299" s="7782">
        <f>+Y299*1.12</f>
        <v>187.04</v>
      </c>
      <c r="AA299" s="7566" t="s">
        <v>294</v>
      </c>
      <c r="AB299" s="3940"/>
      <c r="AC299" s="3956"/>
      <c r="AD299" s="3921" t="s">
        <v>294</v>
      </c>
      <c r="AE299" s="3921"/>
      <c r="AF299" s="4242" t="s">
        <v>153</v>
      </c>
      <c r="AG299" s="10928"/>
    </row>
    <row r="300" spans="1:33" ht="36" customHeight="1">
      <c r="A300" s="11000"/>
      <c r="B300" s="10934"/>
      <c r="C300" s="10937"/>
      <c r="D300" s="10937"/>
      <c r="E300" s="10937"/>
      <c r="F300" s="10940"/>
      <c r="G300" s="10937"/>
      <c r="H300" s="10937"/>
      <c r="I300" s="10940"/>
      <c r="J300" s="10937"/>
      <c r="K300" s="10937"/>
      <c r="L300" s="11053"/>
      <c r="M300" s="11053"/>
      <c r="N300" s="11053"/>
      <c r="O300" s="10937"/>
      <c r="P300" s="10937"/>
      <c r="Q300" s="11056"/>
      <c r="R300" s="3984" t="s">
        <v>5259</v>
      </c>
      <c r="S300" s="3916">
        <v>530826</v>
      </c>
      <c r="T300" s="3916" t="s">
        <v>294</v>
      </c>
      <c r="U300" s="3914" t="s">
        <v>3341</v>
      </c>
      <c r="V300" s="6190" t="s">
        <v>294</v>
      </c>
      <c r="W300" s="3925" t="s">
        <v>294</v>
      </c>
      <c r="X300" s="7567" t="s">
        <v>294</v>
      </c>
      <c r="Y300" s="7567" t="s">
        <v>294</v>
      </c>
      <c r="Z300" s="7567" t="s">
        <v>294</v>
      </c>
      <c r="AA300" s="7566">
        <f>SUM(Z301:Z304)</f>
        <v>388.64000000000004</v>
      </c>
      <c r="AB300" s="7669" t="s">
        <v>26</v>
      </c>
      <c r="AC300" s="3920"/>
      <c r="AD300" s="3921" t="s">
        <v>294</v>
      </c>
      <c r="AE300" s="3922" t="s">
        <v>294</v>
      </c>
      <c r="AF300" s="3959" t="s">
        <v>294</v>
      </c>
      <c r="AG300" s="10928"/>
    </row>
    <row r="301" spans="1:33" ht="15.75" customHeight="1">
      <c r="A301" s="11000"/>
      <c r="B301" s="10934"/>
      <c r="C301" s="10937"/>
      <c r="D301" s="10937"/>
      <c r="E301" s="10937"/>
      <c r="F301" s="10940"/>
      <c r="G301" s="10937"/>
      <c r="H301" s="10937"/>
      <c r="I301" s="10940"/>
      <c r="J301" s="10937"/>
      <c r="K301" s="10937"/>
      <c r="L301" s="11053"/>
      <c r="M301" s="11053"/>
      <c r="N301" s="11053"/>
      <c r="O301" s="10937"/>
      <c r="P301" s="10937"/>
      <c r="Q301" s="11056"/>
      <c r="R301" s="3984" t="s">
        <v>294</v>
      </c>
      <c r="S301" s="3916" t="s">
        <v>294</v>
      </c>
      <c r="T301" s="3917">
        <v>3529010947</v>
      </c>
      <c r="U301" s="3913" t="s">
        <v>5348</v>
      </c>
      <c r="V301" s="6190">
        <v>10</v>
      </c>
      <c r="W301" s="3925" t="s">
        <v>5349</v>
      </c>
      <c r="X301" s="7567">
        <v>20</v>
      </c>
      <c r="Y301" s="7567">
        <f>+V301*X301</f>
        <v>200</v>
      </c>
      <c r="Z301" s="7567">
        <f>+Y301*1.12</f>
        <v>224.00000000000003</v>
      </c>
      <c r="AA301" s="7566" t="s">
        <v>294</v>
      </c>
      <c r="AB301" s="3940"/>
      <c r="AC301" s="3956"/>
      <c r="AD301" s="3921" t="s">
        <v>294</v>
      </c>
      <c r="AE301" s="3921" t="s">
        <v>153</v>
      </c>
      <c r="AF301" s="3959" t="s">
        <v>294</v>
      </c>
      <c r="AG301" s="10928"/>
    </row>
    <row r="302" spans="1:33" ht="15.75" customHeight="1">
      <c r="A302" s="11000"/>
      <c r="B302" s="10934"/>
      <c r="C302" s="10937"/>
      <c r="D302" s="10937"/>
      <c r="E302" s="10937"/>
      <c r="F302" s="10940"/>
      <c r="G302" s="10937"/>
      <c r="H302" s="10937"/>
      <c r="I302" s="10940"/>
      <c r="J302" s="10937"/>
      <c r="K302" s="10937"/>
      <c r="L302" s="11053"/>
      <c r="M302" s="11053"/>
      <c r="N302" s="11053"/>
      <c r="O302" s="10937"/>
      <c r="P302" s="10937"/>
      <c r="Q302" s="11056"/>
      <c r="R302" s="3984" t="s">
        <v>294</v>
      </c>
      <c r="S302" s="3916" t="s">
        <v>294</v>
      </c>
      <c r="T302" s="3917">
        <v>3529010975</v>
      </c>
      <c r="U302" s="3913" t="s">
        <v>5350</v>
      </c>
      <c r="V302" s="6190">
        <v>5</v>
      </c>
      <c r="W302" s="3925" t="s">
        <v>5351</v>
      </c>
      <c r="X302" s="7567">
        <v>7</v>
      </c>
      <c r="Y302" s="7567">
        <f>+V302*X302</f>
        <v>35</v>
      </c>
      <c r="Z302" s="7567">
        <f>+Y302*1.12</f>
        <v>39.200000000000003</v>
      </c>
      <c r="AA302" s="7566" t="s">
        <v>294</v>
      </c>
      <c r="AB302" s="3940"/>
      <c r="AC302" s="3956"/>
      <c r="AD302" s="3921" t="s">
        <v>294</v>
      </c>
      <c r="AE302" s="3921" t="s">
        <v>153</v>
      </c>
      <c r="AF302" s="3959" t="s">
        <v>294</v>
      </c>
      <c r="AG302" s="10928"/>
    </row>
    <row r="303" spans="1:33" ht="15.75" customHeight="1">
      <c r="A303" s="11000"/>
      <c r="B303" s="10934"/>
      <c r="C303" s="10937"/>
      <c r="D303" s="10937"/>
      <c r="E303" s="10937"/>
      <c r="F303" s="10940"/>
      <c r="G303" s="10937"/>
      <c r="H303" s="10937"/>
      <c r="I303" s="10940"/>
      <c r="J303" s="10937"/>
      <c r="K303" s="10937"/>
      <c r="L303" s="11053"/>
      <c r="M303" s="11053"/>
      <c r="N303" s="11053"/>
      <c r="O303" s="10937"/>
      <c r="P303" s="10937"/>
      <c r="Q303" s="11056"/>
      <c r="R303" s="3984" t="s">
        <v>294</v>
      </c>
      <c r="S303" s="3916" t="s">
        <v>294</v>
      </c>
      <c r="T303" s="3917">
        <v>3529010963</v>
      </c>
      <c r="U303" s="3913" t="s">
        <v>5352</v>
      </c>
      <c r="V303" s="6190">
        <v>7</v>
      </c>
      <c r="W303" s="3925" t="s">
        <v>5353</v>
      </c>
      <c r="X303" s="7567">
        <v>13</v>
      </c>
      <c r="Y303" s="7567">
        <f>+V303*X303</f>
        <v>91</v>
      </c>
      <c r="Z303" s="7567">
        <f>+Y303*1.12</f>
        <v>101.92000000000002</v>
      </c>
      <c r="AA303" s="7566" t="s">
        <v>294</v>
      </c>
      <c r="AB303" s="3940"/>
      <c r="AC303" s="3956"/>
      <c r="AD303" s="3921" t="s">
        <v>294</v>
      </c>
      <c r="AE303" s="3921" t="s">
        <v>153</v>
      </c>
      <c r="AF303" s="3959" t="s">
        <v>294</v>
      </c>
      <c r="AG303" s="10928"/>
    </row>
    <row r="304" spans="1:33" ht="25.5">
      <c r="A304" s="11000"/>
      <c r="B304" s="10934"/>
      <c r="C304" s="10937"/>
      <c r="D304" s="10937"/>
      <c r="E304" s="10937"/>
      <c r="F304" s="10940"/>
      <c r="G304" s="10937"/>
      <c r="H304" s="10937"/>
      <c r="I304" s="10940"/>
      <c r="J304" s="10937"/>
      <c r="K304" s="10985"/>
      <c r="L304" s="11059"/>
      <c r="M304" s="11059"/>
      <c r="N304" s="11059"/>
      <c r="O304" s="10985"/>
      <c r="P304" s="10985"/>
      <c r="Q304" s="11058"/>
      <c r="R304" s="4420" t="s">
        <v>294</v>
      </c>
      <c r="S304" s="4038" t="s">
        <v>294</v>
      </c>
      <c r="T304" s="4038">
        <v>3529010976</v>
      </c>
      <c r="U304" s="3982" t="s">
        <v>5354</v>
      </c>
      <c r="V304" s="6191">
        <v>7</v>
      </c>
      <c r="W304" s="4039" t="s">
        <v>5355</v>
      </c>
      <c r="X304" s="7568">
        <v>3</v>
      </c>
      <c r="Y304" s="7568">
        <f>+V304*X304</f>
        <v>21</v>
      </c>
      <c r="Z304" s="7568">
        <f>+Y304*1.12</f>
        <v>23.520000000000003</v>
      </c>
      <c r="AA304" s="7569" t="s">
        <v>294</v>
      </c>
      <c r="AB304" s="4097"/>
      <c r="AC304" s="4098"/>
      <c r="AD304" s="4041" t="s">
        <v>294</v>
      </c>
      <c r="AE304" s="4041" t="s">
        <v>153</v>
      </c>
      <c r="AF304" s="4117" t="s">
        <v>294</v>
      </c>
      <c r="AG304" s="10929"/>
    </row>
    <row r="305" spans="1:33" ht="25.5">
      <c r="A305" s="11000"/>
      <c r="B305" s="10934"/>
      <c r="C305" s="10937"/>
      <c r="D305" s="10937"/>
      <c r="E305" s="10937"/>
      <c r="F305" s="10940"/>
      <c r="G305" s="10937"/>
      <c r="H305" s="10937"/>
      <c r="I305" s="10940"/>
      <c r="J305" s="10937"/>
      <c r="K305" s="10936" t="s">
        <v>5437</v>
      </c>
      <c r="L305" s="11063">
        <v>20</v>
      </c>
      <c r="M305" s="11063">
        <v>130</v>
      </c>
      <c r="N305" s="11063">
        <v>30</v>
      </c>
      <c r="O305" s="10936" t="s">
        <v>5438</v>
      </c>
      <c r="P305" s="10936" t="s">
        <v>5439</v>
      </c>
      <c r="Q305" s="11060" t="s">
        <v>5440</v>
      </c>
      <c r="R305" s="4026" t="s">
        <v>5011</v>
      </c>
      <c r="S305" s="4000">
        <v>530829</v>
      </c>
      <c r="T305" s="4000" t="s">
        <v>294</v>
      </c>
      <c r="U305" s="8092" t="s">
        <v>4323</v>
      </c>
      <c r="V305" s="8093" t="s">
        <v>294</v>
      </c>
      <c r="W305" s="8094" t="s">
        <v>294</v>
      </c>
      <c r="X305" s="8057" t="s">
        <v>294</v>
      </c>
      <c r="Y305" s="8057" t="s">
        <v>294</v>
      </c>
      <c r="Z305" s="8057" t="s">
        <v>294</v>
      </c>
      <c r="AA305" s="8058">
        <f>+SUM(Z306:Z327)</f>
        <v>1895</v>
      </c>
      <c r="AB305" s="7671" t="s">
        <v>26</v>
      </c>
      <c r="AC305" s="4002"/>
      <c r="AD305" s="4003" t="s">
        <v>294</v>
      </c>
      <c r="AE305" s="4004" t="s">
        <v>294</v>
      </c>
      <c r="AF305" s="4009" t="s">
        <v>294</v>
      </c>
      <c r="AG305" s="10915" t="s">
        <v>294</v>
      </c>
    </row>
    <row r="306" spans="1:33" ht="15.75" customHeight="1">
      <c r="A306" s="11000"/>
      <c r="B306" s="10934"/>
      <c r="C306" s="10937"/>
      <c r="D306" s="10937"/>
      <c r="E306" s="10937"/>
      <c r="F306" s="10940"/>
      <c r="G306" s="10937"/>
      <c r="H306" s="10937"/>
      <c r="I306" s="10940"/>
      <c r="J306" s="10937"/>
      <c r="K306" s="10937"/>
      <c r="L306" s="11053"/>
      <c r="M306" s="11053"/>
      <c r="N306" s="11053"/>
      <c r="O306" s="10937"/>
      <c r="P306" s="10937"/>
      <c r="Q306" s="11056"/>
      <c r="R306" s="3984" t="s">
        <v>294</v>
      </c>
      <c r="S306" s="3917" t="s">
        <v>294</v>
      </c>
      <c r="T306" s="3917" t="s">
        <v>5441</v>
      </c>
      <c r="U306" s="8091" t="s">
        <v>5442</v>
      </c>
      <c r="V306" s="8084">
        <v>1</v>
      </c>
      <c r="W306" s="8090" t="s">
        <v>479</v>
      </c>
      <c r="X306" s="8059">
        <v>1895</v>
      </c>
      <c r="Y306" s="8059">
        <f t="shared" ref="Y306" si="11">+V306*X306</f>
        <v>1895</v>
      </c>
      <c r="Z306" s="8059">
        <f>Y306</f>
        <v>1895</v>
      </c>
      <c r="AA306" s="7785" t="s">
        <v>294</v>
      </c>
      <c r="AB306" s="3940"/>
      <c r="AC306" s="3956"/>
      <c r="AD306" s="3921" t="s">
        <v>294</v>
      </c>
      <c r="AE306" s="3921" t="s">
        <v>153</v>
      </c>
      <c r="AF306" s="3959" t="s">
        <v>294</v>
      </c>
      <c r="AG306" s="10916"/>
    </row>
    <row r="307" spans="1:33" ht="15.75" customHeight="1">
      <c r="A307" s="11000"/>
      <c r="B307" s="10934"/>
      <c r="C307" s="10937"/>
      <c r="D307" s="10937"/>
      <c r="E307" s="10937"/>
      <c r="F307" s="10940"/>
      <c r="G307" s="10937"/>
      <c r="H307" s="10937"/>
      <c r="I307" s="10940"/>
      <c r="J307" s="10937"/>
      <c r="K307" s="10937"/>
      <c r="L307" s="11053"/>
      <c r="M307" s="11053"/>
      <c r="N307" s="11053"/>
      <c r="O307" s="10937"/>
      <c r="P307" s="10937"/>
      <c r="Q307" s="11056"/>
      <c r="R307" s="3984" t="s">
        <v>294</v>
      </c>
      <c r="S307" s="3917" t="s">
        <v>294</v>
      </c>
      <c r="T307" s="3917"/>
      <c r="U307" s="3913"/>
      <c r="V307" s="6190"/>
      <c r="W307" s="3925"/>
      <c r="X307" s="7567"/>
      <c r="Y307" s="7567"/>
      <c r="Z307" s="7567"/>
      <c r="AA307" s="7566" t="s">
        <v>294</v>
      </c>
      <c r="AB307" s="3940"/>
      <c r="AC307" s="3956"/>
      <c r="AD307" s="3921" t="s">
        <v>294</v>
      </c>
      <c r="AE307" s="3921" t="s">
        <v>153</v>
      </c>
      <c r="AF307" s="3959" t="s">
        <v>294</v>
      </c>
      <c r="AG307" s="10916"/>
    </row>
    <row r="308" spans="1:33" ht="15.75" customHeight="1">
      <c r="A308" s="11000"/>
      <c r="B308" s="10934"/>
      <c r="C308" s="10937"/>
      <c r="D308" s="10937"/>
      <c r="E308" s="10937"/>
      <c r="F308" s="10940"/>
      <c r="G308" s="10937"/>
      <c r="H308" s="10937"/>
      <c r="I308" s="10940"/>
      <c r="J308" s="10937"/>
      <c r="K308" s="10937"/>
      <c r="L308" s="11053"/>
      <c r="M308" s="11053"/>
      <c r="N308" s="11053"/>
      <c r="O308" s="10937"/>
      <c r="P308" s="10937"/>
      <c r="Q308" s="11056"/>
      <c r="R308" s="3984" t="s">
        <v>294</v>
      </c>
      <c r="S308" s="3917" t="s">
        <v>294</v>
      </c>
      <c r="T308" s="3917"/>
      <c r="U308" s="3913"/>
      <c r="V308" s="6190"/>
      <c r="W308" s="3925"/>
      <c r="X308" s="7567"/>
      <c r="Y308" s="7567"/>
      <c r="Z308" s="7567"/>
      <c r="AA308" s="7566"/>
      <c r="AB308" s="3940"/>
      <c r="AC308" s="3956"/>
      <c r="AD308" s="3921" t="s">
        <v>294</v>
      </c>
      <c r="AE308" s="3921" t="s">
        <v>153</v>
      </c>
      <c r="AF308" s="3959" t="s">
        <v>294</v>
      </c>
      <c r="AG308" s="10916"/>
    </row>
    <row r="309" spans="1:33" ht="15.75" customHeight="1">
      <c r="A309" s="11000"/>
      <c r="B309" s="10934"/>
      <c r="C309" s="10937"/>
      <c r="D309" s="10937"/>
      <c r="E309" s="10937"/>
      <c r="F309" s="10940"/>
      <c r="G309" s="10937"/>
      <c r="H309" s="10937"/>
      <c r="I309" s="10940"/>
      <c r="J309" s="10937"/>
      <c r="K309" s="10937"/>
      <c r="L309" s="11053"/>
      <c r="M309" s="11053"/>
      <c r="N309" s="11053"/>
      <c r="O309" s="10937"/>
      <c r="P309" s="10937"/>
      <c r="Q309" s="11056"/>
      <c r="R309" s="3984" t="s">
        <v>294</v>
      </c>
      <c r="S309" s="3917" t="s">
        <v>294</v>
      </c>
      <c r="T309" s="3917"/>
      <c r="U309" s="3913"/>
      <c r="V309" s="6190"/>
      <c r="W309" s="3925"/>
      <c r="X309" s="7567"/>
      <c r="Y309" s="7567"/>
      <c r="Z309" s="7567"/>
      <c r="AA309" s="7566" t="s">
        <v>294</v>
      </c>
      <c r="AB309" s="3940"/>
      <c r="AC309" s="3956"/>
      <c r="AD309" s="3921" t="s">
        <v>294</v>
      </c>
      <c r="AE309" s="3921" t="s">
        <v>153</v>
      </c>
      <c r="AF309" s="3959" t="s">
        <v>294</v>
      </c>
      <c r="AG309" s="10916"/>
    </row>
    <row r="310" spans="1:33" ht="15.75" customHeight="1">
      <c r="A310" s="11000"/>
      <c r="B310" s="10934"/>
      <c r="C310" s="10937"/>
      <c r="D310" s="10937"/>
      <c r="E310" s="10937"/>
      <c r="F310" s="10940"/>
      <c r="G310" s="10937"/>
      <c r="H310" s="10937"/>
      <c r="I310" s="10940"/>
      <c r="J310" s="10937"/>
      <c r="K310" s="10937"/>
      <c r="L310" s="11053"/>
      <c r="M310" s="11053"/>
      <c r="N310" s="11053"/>
      <c r="O310" s="10937"/>
      <c r="P310" s="10937"/>
      <c r="Q310" s="11056"/>
      <c r="R310" s="3984" t="s">
        <v>294</v>
      </c>
      <c r="S310" s="3917" t="s">
        <v>294</v>
      </c>
      <c r="T310" s="3917"/>
      <c r="U310" s="3913"/>
      <c r="V310" s="6190"/>
      <c r="W310" s="3925"/>
      <c r="X310" s="7567"/>
      <c r="Y310" s="7567"/>
      <c r="Z310" s="7567"/>
      <c r="AA310" s="7566" t="s">
        <v>294</v>
      </c>
      <c r="AB310" s="3940"/>
      <c r="AC310" s="3956"/>
      <c r="AD310" s="3921" t="s">
        <v>294</v>
      </c>
      <c r="AE310" s="3921" t="s">
        <v>153</v>
      </c>
      <c r="AF310" s="3959" t="s">
        <v>294</v>
      </c>
      <c r="AG310" s="10916"/>
    </row>
    <row r="311" spans="1:33" ht="15.75" customHeight="1">
      <c r="A311" s="11000"/>
      <c r="B311" s="10934"/>
      <c r="C311" s="10937"/>
      <c r="D311" s="10937"/>
      <c r="E311" s="10937"/>
      <c r="F311" s="10940"/>
      <c r="G311" s="10937"/>
      <c r="H311" s="10937"/>
      <c r="I311" s="10940"/>
      <c r="J311" s="10937"/>
      <c r="K311" s="10937"/>
      <c r="L311" s="11053"/>
      <c r="M311" s="11053"/>
      <c r="N311" s="11053"/>
      <c r="O311" s="10937"/>
      <c r="P311" s="10937"/>
      <c r="Q311" s="11056"/>
      <c r="R311" s="3984" t="s">
        <v>294</v>
      </c>
      <c r="S311" s="3917" t="s">
        <v>294</v>
      </c>
      <c r="T311" s="3917"/>
      <c r="U311" s="3913"/>
      <c r="V311" s="6190"/>
      <c r="W311" s="3925"/>
      <c r="X311" s="7567"/>
      <c r="Y311" s="7567"/>
      <c r="Z311" s="7567"/>
      <c r="AA311" s="7566" t="s">
        <v>294</v>
      </c>
      <c r="AB311" s="3940"/>
      <c r="AC311" s="3956"/>
      <c r="AD311" s="3921" t="s">
        <v>294</v>
      </c>
      <c r="AE311" s="3921" t="s">
        <v>153</v>
      </c>
      <c r="AF311" s="3959" t="s">
        <v>294</v>
      </c>
      <c r="AG311" s="10916"/>
    </row>
    <row r="312" spans="1:33" ht="15.75" customHeight="1">
      <c r="A312" s="11000"/>
      <c r="B312" s="10934"/>
      <c r="C312" s="10937"/>
      <c r="D312" s="10937"/>
      <c r="E312" s="10937"/>
      <c r="F312" s="10940"/>
      <c r="G312" s="10937"/>
      <c r="H312" s="10937"/>
      <c r="I312" s="10940"/>
      <c r="J312" s="10937"/>
      <c r="K312" s="10937"/>
      <c r="L312" s="11053"/>
      <c r="M312" s="11053"/>
      <c r="N312" s="11053"/>
      <c r="O312" s="10937"/>
      <c r="P312" s="10937"/>
      <c r="Q312" s="11056"/>
      <c r="R312" s="3984" t="s">
        <v>294</v>
      </c>
      <c r="S312" s="3917" t="s">
        <v>294</v>
      </c>
      <c r="T312" s="3917"/>
      <c r="U312" s="3913"/>
      <c r="V312" s="6190"/>
      <c r="W312" s="3925"/>
      <c r="X312" s="7567"/>
      <c r="Y312" s="7567"/>
      <c r="Z312" s="7567"/>
      <c r="AA312" s="7566" t="s">
        <v>294</v>
      </c>
      <c r="AB312" s="3940"/>
      <c r="AC312" s="3956"/>
      <c r="AD312" s="3921" t="s">
        <v>294</v>
      </c>
      <c r="AE312" s="3921" t="s">
        <v>153</v>
      </c>
      <c r="AF312" s="3959" t="s">
        <v>294</v>
      </c>
      <c r="AG312" s="10916"/>
    </row>
    <row r="313" spans="1:33" ht="15.75" customHeight="1">
      <c r="A313" s="11000"/>
      <c r="B313" s="10934"/>
      <c r="C313" s="10937"/>
      <c r="D313" s="10937"/>
      <c r="E313" s="10937"/>
      <c r="F313" s="10940"/>
      <c r="G313" s="10937"/>
      <c r="H313" s="10937"/>
      <c r="I313" s="10940"/>
      <c r="J313" s="10937"/>
      <c r="K313" s="10937"/>
      <c r="L313" s="11053"/>
      <c r="M313" s="11053"/>
      <c r="N313" s="11053"/>
      <c r="O313" s="10937"/>
      <c r="P313" s="10937"/>
      <c r="Q313" s="11056"/>
      <c r="R313" s="3984" t="s">
        <v>294</v>
      </c>
      <c r="S313" s="3917" t="s">
        <v>294</v>
      </c>
      <c r="T313" s="3917"/>
      <c r="U313" s="3913"/>
      <c r="V313" s="6190"/>
      <c r="W313" s="3925"/>
      <c r="X313" s="7567"/>
      <c r="Y313" s="7567"/>
      <c r="Z313" s="7567"/>
      <c r="AA313" s="7566" t="s">
        <v>294</v>
      </c>
      <c r="AB313" s="3940"/>
      <c r="AC313" s="3956"/>
      <c r="AD313" s="3921" t="s">
        <v>294</v>
      </c>
      <c r="AE313" s="3921" t="s">
        <v>153</v>
      </c>
      <c r="AF313" s="3959" t="s">
        <v>294</v>
      </c>
      <c r="AG313" s="10916"/>
    </row>
    <row r="314" spans="1:33" ht="15.75" customHeight="1">
      <c r="A314" s="11000"/>
      <c r="B314" s="10934"/>
      <c r="C314" s="10937"/>
      <c r="D314" s="10937"/>
      <c r="E314" s="10937"/>
      <c r="F314" s="10940"/>
      <c r="G314" s="10937"/>
      <c r="H314" s="10937"/>
      <c r="I314" s="10940"/>
      <c r="J314" s="10937"/>
      <c r="K314" s="10937"/>
      <c r="L314" s="11053"/>
      <c r="M314" s="11053"/>
      <c r="N314" s="11053"/>
      <c r="O314" s="10937"/>
      <c r="P314" s="10937"/>
      <c r="Q314" s="11056"/>
      <c r="R314" s="3984" t="s">
        <v>294</v>
      </c>
      <c r="S314" s="3917" t="s">
        <v>294</v>
      </c>
      <c r="T314" s="3917"/>
      <c r="U314" s="3913"/>
      <c r="V314" s="6190"/>
      <c r="W314" s="3925"/>
      <c r="X314" s="7567"/>
      <c r="Y314" s="7567"/>
      <c r="Z314" s="7567"/>
      <c r="AA314" s="7566" t="s">
        <v>294</v>
      </c>
      <c r="AB314" s="3940"/>
      <c r="AC314" s="3956"/>
      <c r="AD314" s="3921" t="s">
        <v>294</v>
      </c>
      <c r="AE314" s="3921" t="s">
        <v>153</v>
      </c>
      <c r="AF314" s="3959" t="s">
        <v>294</v>
      </c>
      <c r="AG314" s="10916"/>
    </row>
    <row r="315" spans="1:33" ht="15.75" customHeight="1">
      <c r="A315" s="11000"/>
      <c r="B315" s="10934"/>
      <c r="C315" s="10937"/>
      <c r="D315" s="10937"/>
      <c r="E315" s="10937"/>
      <c r="F315" s="10940"/>
      <c r="G315" s="10937"/>
      <c r="H315" s="10937"/>
      <c r="I315" s="10940"/>
      <c r="J315" s="10937"/>
      <c r="K315" s="10937"/>
      <c r="L315" s="11053"/>
      <c r="M315" s="11053"/>
      <c r="N315" s="11053"/>
      <c r="O315" s="10937"/>
      <c r="P315" s="10937"/>
      <c r="Q315" s="11056"/>
      <c r="R315" s="3984" t="s">
        <v>294</v>
      </c>
      <c r="S315" s="3917" t="s">
        <v>294</v>
      </c>
      <c r="T315" s="3917"/>
      <c r="U315" s="3913"/>
      <c r="V315" s="6190"/>
      <c r="W315" s="3925"/>
      <c r="X315" s="7567"/>
      <c r="Y315" s="7567"/>
      <c r="Z315" s="7567"/>
      <c r="AA315" s="7566" t="s">
        <v>294</v>
      </c>
      <c r="AB315" s="3940"/>
      <c r="AC315" s="3956"/>
      <c r="AD315" s="3921" t="s">
        <v>294</v>
      </c>
      <c r="AE315" s="3921" t="s">
        <v>153</v>
      </c>
      <c r="AF315" s="3959" t="s">
        <v>294</v>
      </c>
      <c r="AG315" s="10916"/>
    </row>
    <row r="316" spans="1:33" ht="15.75" customHeight="1">
      <c r="A316" s="11000"/>
      <c r="B316" s="10934"/>
      <c r="C316" s="10937"/>
      <c r="D316" s="10937"/>
      <c r="E316" s="10937"/>
      <c r="F316" s="10940"/>
      <c r="G316" s="10937"/>
      <c r="H316" s="10937"/>
      <c r="I316" s="10940"/>
      <c r="J316" s="10937"/>
      <c r="K316" s="10937"/>
      <c r="L316" s="11053"/>
      <c r="M316" s="11053"/>
      <c r="N316" s="11053"/>
      <c r="O316" s="10937"/>
      <c r="P316" s="10937"/>
      <c r="Q316" s="11056"/>
      <c r="R316" s="3984" t="s">
        <v>294</v>
      </c>
      <c r="S316" s="3917" t="s">
        <v>294</v>
      </c>
      <c r="T316" s="3917"/>
      <c r="U316" s="3913"/>
      <c r="V316" s="6190"/>
      <c r="W316" s="3925"/>
      <c r="X316" s="7567"/>
      <c r="Y316" s="7567"/>
      <c r="Z316" s="7567"/>
      <c r="AA316" s="7566" t="s">
        <v>294</v>
      </c>
      <c r="AB316" s="3940"/>
      <c r="AC316" s="3956"/>
      <c r="AD316" s="3921" t="s">
        <v>294</v>
      </c>
      <c r="AE316" s="3921" t="s">
        <v>153</v>
      </c>
      <c r="AF316" s="3959" t="s">
        <v>294</v>
      </c>
      <c r="AG316" s="10916"/>
    </row>
    <row r="317" spans="1:33" ht="15.75" customHeight="1">
      <c r="A317" s="11000"/>
      <c r="B317" s="10934"/>
      <c r="C317" s="10937"/>
      <c r="D317" s="10937"/>
      <c r="E317" s="10937"/>
      <c r="F317" s="10940"/>
      <c r="G317" s="10937"/>
      <c r="H317" s="10937"/>
      <c r="I317" s="10940"/>
      <c r="J317" s="10937"/>
      <c r="K317" s="10937"/>
      <c r="L317" s="11053"/>
      <c r="M317" s="11053"/>
      <c r="N317" s="11053"/>
      <c r="O317" s="10937"/>
      <c r="P317" s="10937"/>
      <c r="Q317" s="11056"/>
      <c r="R317" s="3984" t="s">
        <v>294</v>
      </c>
      <c r="S317" s="3917" t="s">
        <v>294</v>
      </c>
      <c r="T317" s="3917"/>
      <c r="U317" s="3913"/>
      <c r="V317" s="6190"/>
      <c r="W317" s="3925"/>
      <c r="X317" s="7567"/>
      <c r="Y317" s="7567"/>
      <c r="Z317" s="7567"/>
      <c r="AA317" s="7566" t="s">
        <v>294</v>
      </c>
      <c r="AB317" s="3940"/>
      <c r="AC317" s="3956"/>
      <c r="AD317" s="4672" t="s">
        <v>294</v>
      </c>
      <c r="AE317" s="4672" t="s">
        <v>153</v>
      </c>
      <c r="AF317" s="3959" t="s">
        <v>294</v>
      </c>
      <c r="AG317" s="10916"/>
    </row>
    <row r="318" spans="1:33" ht="15.75" customHeight="1">
      <c r="A318" s="11000"/>
      <c r="B318" s="10934"/>
      <c r="C318" s="10937"/>
      <c r="D318" s="10937"/>
      <c r="E318" s="10937"/>
      <c r="F318" s="10940"/>
      <c r="G318" s="10937"/>
      <c r="H318" s="10937"/>
      <c r="I318" s="10940"/>
      <c r="J318" s="10937"/>
      <c r="K318" s="10937"/>
      <c r="L318" s="11053"/>
      <c r="M318" s="11053"/>
      <c r="N318" s="11053"/>
      <c r="O318" s="10937"/>
      <c r="P318" s="10937"/>
      <c r="Q318" s="11056"/>
      <c r="R318" s="3984" t="s">
        <v>294</v>
      </c>
      <c r="S318" s="3917" t="s">
        <v>294</v>
      </c>
      <c r="T318" s="3917"/>
      <c r="U318" s="3913"/>
      <c r="V318" s="6190"/>
      <c r="W318" s="3925"/>
      <c r="X318" s="7567"/>
      <c r="Y318" s="7567"/>
      <c r="Z318" s="7567"/>
      <c r="AA318" s="7566" t="s">
        <v>294</v>
      </c>
      <c r="AB318" s="3940"/>
      <c r="AC318" s="3956"/>
      <c r="AD318" s="4672" t="s">
        <v>294</v>
      </c>
      <c r="AE318" s="4672" t="s">
        <v>153</v>
      </c>
      <c r="AF318" s="3959" t="s">
        <v>294</v>
      </c>
      <c r="AG318" s="10916"/>
    </row>
    <row r="319" spans="1:33" ht="15.75" customHeight="1">
      <c r="A319" s="11000"/>
      <c r="B319" s="10934"/>
      <c r="C319" s="10937"/>
      <c r="D319" s="10937"/>
      <c r="E319" s="10937"/>
      <c r="F319" s="10940"/>
      <c r="G319" s="10937"/>
      <c r="H319" s="10937"/>
      <c r="I319" s="10940"/>
      <c r="J319" s="10937"/>
      <c r="K319" s="10937"/>
      <c r="L319" s="11053"/>
      <c r="M319" s="11053"/>
      <c r="N319" s="11053"/>
      <c r="O319" s="10937"/>
      <c r="P319" s="10937"/>
      <c r="Q319" s="11056"/>
      <c r="R319" s="3984" t="s">
        <v>294</v>
      </c>
      <c r="S319" s="3917" t="s">
        <v>294</v>
      </c>
      <c r="T319" s="3917"/>
      <c r="U319" s="3913"/>
      <c r="V319" s="6190"/>
      <c r="W319" s="3925"/>
      <c r="X319" s="7567"/>
      <c r="Y319" s="7567"/>
      <c r="Z319" s="7567"/>
      <c r="AA319" s="7566" t="s">
        <v>294</v>
      </c>
      <c r="AB319" s="3940"/>
      <c r="AC319" s="3956"/>
      <c r="AD319" s="4672" t="s">
        <v>294</v>
      </c>
      <c r="AE319" s="4672" t="s">
        <v>153</v>
      </c>
      <c r="AF319" s="3959" t="s">
        <v>294</v>
      </c>
      <c r="AG319" s="10916"/>
    </row>
    <row r="320" spans="1:33" ht="15.75" customHeight="1">
      <c r="A320" s="11000"/>
      <c r="B320" s="10934"/>
      <c r="C320" s="10937"/>
      <c r="D320" s="10937"/>
      <c r="E320" s="10937"/>
      <c r="F320" s="10940"/>
      <c r="G320" s="10937"/>
      <c r="H320" s="10937"/>
      <c r="I320" s="10940"/>
      <c r="J320" s="10937"/>
      <c r="K320" s="10937"/>
      <c r="L320" s="11053"/>
      <c r="M320" s="11053"/>
      <c r="N320" s="11053"/>
      <c r="O320" s="10937"/>
      <c r="P320" s="10937"/>
      <c r="Q320" s="11056"/>
      <c r="R320" s="3984" t="s">
        <v>294</v>
      </c>
      <c r="S320" s="3917" t="s">
        <v>294</v>
      </c>
      <c r="T320" s="3917"/>
      <c r="U320" s="3913"/>
      <c r="V320" s="6190"/>
      <c r="W320" s="3925"/>
      <c r="X320" s="7567"/>
      <c r="Y320" s="7567"/>
      <c r="Z320" s="7567"/>
      <c r="AA320" s="7566" t="s">
        <v>294</v>
      </c>
      <c r="AB320" s="3940"/>
      <c r="AC320" s="3956"/>
      <c r="AD320" s="4672" t="s">
        <v>294</v>
      </c>
      <c r="AE320" s="4672" t="s">
        <v>153</v>
      </c>
      <c r="AF320" s="3959" t="s">
        <v>294</v>
      </c>
      <c r="AG320" s="10916"/>
    </row>
    <row r="321" spans="1:33" ht="15.75" customHeight="1">
      <c r="A321" s="11000"/>
      <c r="B321" s="10934"/>
      <c r="C321" s="10937"/>
      <c r="D321" s="10937"/>
      <c r="E321" s="10937"/>
      <c r="F321" s="10940"/>
      <c r="G321" s="10937"/>
      <c r="H321" s="10937"/>
      <c r="I321" s="10940"/>
      <c r="J321" s="10937"/>
      <c r="K321" s="10937"/>
      <c r="L321" s="11053"/>
      <c r="M321" s="11053"/>
      <c r="N321" s="11053"/>
      <c r="O321" s="10937"/>
      <c r="P321" s="10937"/>
      <c r="Q321" s="11056"/>
      <c r="R321" s="3984" t="s">
        <v>294</v>
      </c>
      <c r="S321" s="3917" t="s">
        <v>294</v>
      </c>
      <c r="T321" s="3917"/>
      <c r="U321" s="3913"/>
      <c r="V321" s="6190"/>
      <c r="W321" s="3925"/>
      <c r="X321" s="7567"/>
      <c r="Y321" s="7567"/>
      <c r="Z321" s="7567"/>
      <c r="AA321" s="7566" t="s">
        <v>294</v>
      </c>
      <c r="AB321" s="3940"/>
      <c r="AC321" s="3956"/>
      <c r="AD321" s="4672" t="s">
        <v>294</v>
      </c>
      <c r="AE321" s="4672" t="s">
        <v>153</v>
      </c>
      <c r="AF321" s="3959" t="s">
        <v>294</v>
      </c>
      <c r="AG321" s="10916"/>
    </row>
    <row r="322" spans="1:33" ht="15.75" customHeight="1">
      <c r="A322" s="11000"/>
      <c r="B322" s="10934"/>
      <c r="C322" s="10937"/>
      <c r="D322" s="10937"/>
      <c r="E322" s="10937"/>
      <c r="F322" s="10940"/>
      <c r="G322" s="10937"/>
      <c r="H322" s="10937"/>
      <c r="I322" s="10940"/>
      <c r="J322" s="10937"/>
      <c r="K322" s="10937"/>
      <c r="L322" s="11053"/>
      <c r="M322" s="11053"/>
      <c r="N322" s="11053"/>
      <c r="O322" s="10937"/>
      <c r="P322" s="10937"/>
      <c r="Q322" s="11056"/>
      <c r="R322" s="3984" t="s">
        <v>294</v>
      </c>
      <c r="S322" s="3917" t="s">
        <v>294</v>
      </c>
      <c r="T322" s="3917"/>
      <c r="U322" s="3913"/>
      <c r="V322" s="6190"/>
      <c r="W322" s="3925"/>
      <c r="X322" s="7567"/>
      <c r="Y322" s="7567"/>
      <c r="Z322" s="7567"/>
      <c r="AA322" s="7566" t="s">
        <v>294</v>
      </c>
      <c r="AB322" s="3940"/>
      <c r="AC322" s="3956"/>
      <c r="AD322" s="4672" t="s">
        <v>294</v>
      </c>
      <c r="AE322" s="4672" t="s">
        <v>153</v>
      </c>
      <c r="AF322" s="3959" t="s">
        <v>294</v>
      </c>
      <c r="AG322" s="10916"/>
    </row>
    <row r="323" spans="1:33" ht="15.75" customHeight="1">
      <c r="A323" s="11000"/>
      <c r="B323" s="10934"/>
      <c r="C323" s="10937"/>
      <c r="D323" s="10937"/>
      <c r="E323" s="10937"/>
      <c r="F323" s="10940"/>
      <c r="G323" s="10937"/>
      <c r="H323" s="10937"/>
      <c r="I323" s="10940"/>
      <c r="J323" s="10937"/>
      <c r="K323" s="10937"/>
      <c r="L323" s="11053"/>
      <c r="M323" s="11053"/>
      <c r="N323" s="11053"/>
      <c r="O323" s="10937"/>
      <c r="P323" s="10937"/>
      <c r="Q323" s="11056"/>
      <c r="R323" s="3984" t="s">
        <v>294</v>
      </c>
      <c r="S323" s="3917" t="s">
        <v>294</v>
      </c>
      <c r="T323" s="3917"/>
      <c r="U323" s="3913"/>
      <c r="V323" s="6190"/>
      <c r="W323" s="3925"/>
      <c r="X323" s="7567"/>
      <c r="Y323" s="7567"/>
      <c r="Z323" s="7567"/>
      <c r="AA323" s="7566" t="s">
        <v>294</v>
      </c>
      <c r="AB323" s="3940"/>
      <c r="AC323" s="3956"/>
      <c r="AD323" s="4672" t="s">
        <v>294</v>
      </c>
      <c r="AE323" s="4672" t="s">
        <v>153</v>
      </c>
      <c r="AF323" s="3959" t="s">
        <v>294</v>
      </c>
      <c r="AG323" s="10916"/>
    </row>
    <row r="324" spans="1:33" ht="15.75" customHeight="1">
      <c r="A324" s="11000"/>
      <c r="B324" s="10934"/>
      <c r="C324" s="10937"/>
      <c r="D324" s="10937"/>
      <c r="E324" s="10937"/>
      <c r="F324" s="10940"/>
      <c r="G324" s="10937"/>
      <c r="H324" s="10937"/>
      <c r="I324" s="10940"/>
      <c r="J324" s="10937"/>
      <c r="K324" s="10937"/>
      <c r="L324" s="11053"/>
      <c r="M324" s="11053"/>
      <c r="N324" s="11053"/>
      <c r="O324" s="10937"/>
      <c r="P324" s="10937"/>
      <c r="Q324" s="11056"/>
      <c r="R324" s="3984" t="s">
        <v>294</v>
      </c>
      <c r="S324" s="3917" t="s">
        <v>294</v>
      </c>
      <c r="T324" s="3917"/>
      <c r="U324" s="3913"/>
      <c r="V324" s="6190"/>
      <c r="W324" s="3925"/>
      <c r="X324" s="7567"/>
      <c r="Y324" s="7567"/>
      <c r="Z324" s="7567"/>
      <c r="AA324" s="7566" t="s">
        <v>294</v>
      </c>
      <c r="AB324" s="3940"/>
      <c r="AC324" s="3956"/>
      <c r="AD324" s="4672" t="s">
        <v>294</v>
      </c>
      <c r="AE324" s="4672" t="s">
        <v>153</v>
      </c>
      <c r="AF324" s="3959" t="s">
        <v>294</v>
      </c>
      <c r="AG324" s="10916"/>
    </row>
    <row r="325" spans="1:33" ht="15.75" customHeight="1">
      <c r="A325" s="11000"/>
      <c r="B325" s="10934"/>
      <c r="C325" s="10937"/>
      <c r="D325" s="10937"/>
      <c r="E325" s="10937"/>
      <c r="F325" s="10940"/>
      <c r="G325" s="10937"/>
      <c r="H325" s="10937"/>
      <c r="I325" s="10940"/>
      <c r="J325" s="10937"/>
      <c r="K325" s="10937"/>
      <c r="L325" s="11053"/>
      <c r="M325" s="11053"/>
      <c r="N325" s="11053"/>
      <c r="O325" s="10937"/>
      <c r="P325" s="10937"/>
      <c r="Q325" s="11056"/>
      <c r="R325" s="3984" t="s">
        <v>294</v>
      </c>
      <c r="S325" s="3917" t="s">
        <v>294</v>
      </c>
      <c r="T325" s="3917"/>
      <c r="U325" s="3913"/>
      <c r="V325" s="6190"/>
      <c r="W325" s="3925"/>
      <c r="X325" s="7567"/>
      <c r="Y325" s="7567"/>
      <c r="Z325" s="7567"/>
      <c r="AA325" s="7566" t="s">
        <v>294</v>
      </c>
      <c r="AB325" s="3940"/>
      <c r="AC325" s="3956"/>
      <c r="AD325" s="4672" t="s">
        <v>294</v>
      </c>
      <c r="AE325" s="4672" t="s">
        <v>153</v>
      </c>
      <c r="AF325" s="3959" t="s">
        <v>294</v>
      </c>
      <c r="AG325" s="10916"/>
    </row>
    <row r="326" spans="1:33" ht="15.75" customHeight="1">
      <c r="A326" s="11000"/>
      <c r="B326" s="10934"/>
      <c r="C326" s="10937"/>
      <c r="D326" s="10937"/>
      <c r="E326" s="10937"/>
      <c r="F326" s="10940"/>
      <c r="G326" s="10937"/>
      <c r="H326" s="10937"/>
      <c r="I326" s="10940"/>
      <c r="J326" s="10937"/>
      <c r="K326" s="10937"/>
      <c r="L326" s="11053"/>
      <c r="M326" s="11053"/>
      <c r="N326" s="11053"/>
      <c r="O326" s="10937"/>
      <c r="P326" s="10937"/>
      <c r="Q326" s="11056"/>
      <c r="R326" s="3984" t="s">
        <v>294</v>
      </c>
      <c r="S326" s="3917" t="s">
        <v>294</v>
      </c>
      <c r="T326" s="3917"/>
      <c r="U326" s="3913"/>
      <c r="V326" s="6190"/>
      <c r="W326" s="3925"/>
      <c r="X326" s="7567"/>
      <c r="Y326" s="7567"/>
      <c r="Z326" s="7567"/>
      <c r="AA326" s="7566" t="s">
        <v>294</v>
      </c>
      <c r="AB326" s="3940"/>
      <c r="AC326" s="3956"/>
      <c r="AD326" s="4672" t="s">
        <v>294</v>
      </c>
      <c r="AE326" s="4672" t="s">
        <v>153</v>
      </c>
      <c r="AF326" s="3959" t="s">
        <v>294</v>
      </c>
      <c r="AG326" s="10916"/>
    </row>
    <row r="327" spans="1:33" ht="15.75" customHeight="1">
      <c r="A327" s="11000"/>
      <c r="B327" s="10934"/>
      <c r="C327" s="10937"/>
      <c r="D327" s="10937"/>
      <c r="E327" s="10937"/>
      <c r="F327" s="10940"/>
      <c r="G327" s="10937"/>
      <c r="H327" s="10937"/>
      <c r="I327" s="10940"/>
      <c r="J327" s="10937"/>
      <c r="K327" s="10938"/>
      <c r="L327" s="11054"/>
      <c r="M327" s="11054"/>
      <c r="N327" s="11054"/>
      <c r="O327" s="10938"/>
      <c r="P327" s="10938"/>
      <c r="Q327" s="11057"/>
      <c r="R327" s="4423" t="s">
        <v>294</v>
      </c>
      <c r="S327" s="3977" t="s">
        <v>294</v>
      </c>
      <c r="T327" s="3977"/>
      <c r="U327" s="3952"/>
      <c r="V327" s="6193"/>
      <c r="W327" s="3978"/>
      <c r="X327" s="7573"/>
      <c r="Y327" s="7573"/>
      <c r="Z327" s="7573"/>
      <c r="AA327" s="7574" t="s">
        <v>294</v>
      </c>
      <c r="AB327" s="3994"/>
      <c r="AC327" s="3995"/>
      <c r="AD327" s="4673" t="s">
        <v>294</v>
      </c>
      <c r="AE327" s="4673" t="s">
        <v>153</v>
      </c>
      <c r="AF327" s="3997" t="s">
        <v>294</v>
      </c>
      <c r="AG327" s="10917"/>
    </row>
    <row r="328" spans="1:33" ht="15.75" customHeight="1">
      <c r="A328" s="11000"/>
      <c r="B328" s="10934"/>
      <c r="C328" s="10937"/>
      <c r="D328" s="10937"/>
      <c r="E328" s="10937"/>
      <c r="F328" s="10940"/>
      <c r="G328" s="10937"/>
      <c r="H328" s="10937"/>
      <c r="I328" s="10940"/>
      <c r="J328" s="10937"/>
      <c r="K328" s="10948" t="s">
        <v>5443</v>
      </c>
      <c r="L328" s="11052">
        <v>7</v>
      </c>
      <c r="M328" s="11052">
        <v>138</v>
      </c>
      <c r="N328" s="11052">
        <v>19</v>
      </c>
      <c r="O328" s="10948" t="s">
        <v>5444</v>
      </c>
      <c r="P328" s="10948" t="s">
        <v>5445</v>
      </c>
      <c r="Q328" s="11055" t="s">
        <v>5446</v>
      </c>
      <c r="R328" s="3983" t="s">
        <v>294</v>
      </c>
      <c r="S328" s="3907" t="s">
        <v>294</v>
      </c>
      <c r="T328" s="3907" t="s">
        <v>294</v>
      </c>
      <c r="U328" s="3906" t="s">
        <v>294</v>
      </c>
      <c r="V328" s="6189" t="s">
        <v>294</v>
      </c>
      <c r="W328" s="3908" t="s">
        <v>294</v>
      </c>
      <c r="X328" s="7562" t="s">
        <v>294</v>
      </c>
      <c r="Y328" s="7562" t="s">
        <v>294</v>
      </c>
      <c r="Z328" s="7562" t="s">
        <v>294</v>
      </c>
      <c r="AA328" s="7563" t="s">
        <v>294</v>
      </c>
      <c r="AB328" s="3953"/>
      <c r="AC328" s="3954"/>
      <c r="AD328" s="4676" t="s">
        <v>294</v>
      </c>
      <c r="AE328" s="3987" t="s">
        <v>294</v>
      </c>
      <c r="AF328" s="3987" t="s">
        <v>294</v>
      </c>
      <c r="AG328" s="10907" t="s">
        <v>294</v>
      </c>
    </row>
    <row r="329" spans="1:33" ht="15.75" customHeight="1">
      <c r="A329" s="11000"/>
      <c r="B329" s="10934"/>
      <c r="C329" s="10937"/>
      <c r="D329" s="10937"/>
      <c r="E329" s="10937"/>
      <c r="F329" s="10940"/>
      <c r="G329" s="10937"/>
      <c r="H329" s="10937"/>
      <c r="I329" s="10940"/>
      <c r="J329" s="10937"/>
      <c r="K329" s="10937"/>
      <c r="L329" s="11053"/>
      <c r="M329" s="11053"/>
      <c r="N329" s="11053"/>
      <c r="O329" s="10937"/>
      <c r="P329" s="10937"/>
      <c r="Q329" s="11056"/>
      <c r="R329" s="3984" t="s">
        <v>294</v>
      </c>
      <c r="S329" s="3916" t="s">
        <v>294</v>
      </c>
      <c r="T329" s="3916" t="s">
        <v>294</v>
      </c>
      <c r="U329" s="3962" t="s">
        <v>294</v>
      </c>
      <c r="V329" s="7560" t="s">
        <v>294</v>
      </c>
      <c r="W329" s="3923" t="s">
        <v>294</v>
      </c>
      <c r="X329" s="7567" t="s">
        <v>294</v>
      </c>
      <c r="Y329" s="7567" t="s">
        <v>294</v>
      </c>
      <c r="Z329" s="7567" t="s">
        <v>294</v>
      </c>
      <c r="AA329" s="7566" t="s">
        <v>294</v>
      </c>
      <c r="AB329" s="3940"/>
      <c r="AC329" s="3956"/>
      <c r="AD329" s="4672" t="s">
        <v>294</v>
      </c>
      <c r="AE329" s="3959" t="s">
        <v>294</v>
      </c>
      <c r="AF329" s="3959" t="s">
        <v>294</v>
      </c>
      <c r="AG329" s="10908"/>
    </row>
    <row r="330" spans="1:33" ht="15.75" customHeight="1">
      <c r="A330" s="11000"/>
      <c r="B330" s="10934"/>
      <c r="C330" s="10937"/>
      <c r="D330" s="10937"/>
      <c r="E330" s="10937"/>
      <c r="F330" s="10940"/>
      <c r="G330" s="10937"/>
      <c r="H330" s="10937"/>
      <c r="I330" s="10940"/>
      <c r="J330" s="10937"/>
      <c r="K330" s="10937"/>
      <c r="L330" s="11053"/>
      <c r="M330" s="11053"/>
      <c r="N330" s="11053"/>
      <c r="O330" s="10937"/>
      <c r="P330" s="10937"/>
      <c r="Q330" s="11056"/>
      <c r="R330" s="4435" t="s">
        <v>294</v>
      </c>
      <c r="S330" s="3917" t="s">
        <v>294</v>
      </c>
      <c r="T330" s="3986" t="s">
        <v>294</v>
      </c>
      <c r="U330" s="4668" t="s">
        <v>294</v>
      </c>
      <c r="V330" s="3915" t="s">
        <v>294</v>
      </c>
      <c r="W330" s="4672" t="s">
        <v>294</v>
      </c>
      <c r="X330" s="7612" t="s">
        <v>294</v>
      </c>
      <c r="Y330" s="7612" t="s">
        <v>294</v>
      </c>
      <c r="Z330" s="7612" t="s">
        <v>294</v>
      </c>
      <c r="AA330" s="7613" t="s">
        <v>294</v>
      </c>
      <c r="AB330" s="3974"/>
      <c r="AC330" s="3975"/>
      <c r="AD330" s="4672" t="s">
        <v>294</v>
      </c>
      <c r="AE330" s="3959" t="s">
        <v>294</v>
      </c>
      <c r="AF330" s="3959" t="s">
        <v>294</v>
      </c>
      <c r="AG330" s="10908"/>
    </row>
    <row r="331" spans="1:33" ht="15.75" customHeight="1">
      <c r="A331" s="11000"/>
      <c r="B331" s="10934"/>
      <c r="C331" s="10937"/>
      <c r="D331" s="10937"/>
      <c r="E331" s="10937"/>
      <c r="F331" s="10940"/>
      <c r="G331" s="10937"/>
      <c r="H331" s="10937"/>
      <c r="I331" s="10940"/>
      <c r="J331" s="10937"/>
      <c r="K331" s="10937"/>
      <c r="L331" s="11053"/>
      <c r="M331" s="11053"/>
      <c r="N331" s="11053"/>
      <c r="O331" s="10937"/>
      <c r="P331" s="10937"/>
      <c r="Q331" s="11056"/>
      <c r="R331" s="4435" t="s">
        <v>294</v>
      </c>
      <c r="S331" s="3917" t="s">
        <v>294</v>
      </c>
      <c r="T331" s="3986" t="s">
        <v>294</v>
      </c>
      <c r="U331" s="4668" t="s">
        <v>294</v>
      </c>
      <c r="V331" s="3915" t="s">
        <v>294</v>
      </c>
      <c r="W331" s="4672" t="s">
        <v>294</v>
      </c>
      <c r="X331" s="7612" t="s">
        <v>294</v>
      </c>
      <c r="Y331" s="7612" t="s">
        <v>294</v>
      </c>
      <c r="Z331" s="7612" t="s">
        <v>294</v>
      </c>
      <c r="AA331" s="7613" t="s">
        <v>294</v>
      </c>
      <c r="AB331" s="3974"/>
      <c r="AC331" s="3975"/>
      <c r="AD331" s="4672" t="s">
        <v>294</v>
      </c>
      <c r="AE331" s="3959" t="s">
        <v>294</v>
      </c>
      <c r="AF331" s="3959" t="s">
        <v>294</v>
      </c>
      <c r="AG331" s="10908"/>
    </row>
    <row r="332" spans="1:33" ht="15.75" customHeight="1">
      <c r="A332" s="11000"/>
      <c r="B332" s="10935"/>
      <c r="C332" s="10938"/>
      <c r="D332" s="10938"/>
      <c r="E332" s="10938"/>
      <c r="F332" s="10941"/>
      <c r="G332" s="10938"/>
      <c r="H332" s="10938"/>
      <c r="I332" s="10941"/>
      <c r="J332" s="10938"/>
      <c r="K332" s="10938"/>
      <c r="L332" s="11054"/>
      <c r="M332" s="11054"/>
      <c r="N332" s="11054"/>
      <c r="O332" s="10938"/>
      <c r="P332" s="10938"/>
      <c r="Q332" s="11057"/>
      <c r="R332" s="4436" t="s">
        <v>294</v>
      </c>
      <c r="S332" s="3977" t="s">
        <v>294</v>
      </c>
      <c r="T332" s="7519" t="s">
        <v>294</v>
      </c>
      <c r="U332" s="4669" t="s">
        <v>294</v>
      </c>
      <c r="V332" s="4032" t="s">
        <v>294</v>
      </c>
      <c r="W332" s="4673" t="s">
        <v>294</v>
      </c>
      <c r="X332" s="7614" t="s">
        <v>294</v>
      </c>
      <c r="Y332" s="7614" t="s">
        <v>294</v>
      </c>
      <c r="Z332" s="7614" t="s">
        <v>294</v>
      </c>
      <c r="AA332" s="7615" t="s">
        <v>294</v>
      </c>
      <c r="AB332" s="4108"/>
      <c r="AC332" s="4109"/>
      <c r="AD332" s="4673" t="s">
        <v>294</v>
      </c>
      <c r="AE332" s="3997" t="s">
        <v>294</v>
      </c>
      <c r="AF332" s="3997" t="s">
        <v>294</v>
      </c>
      <c r="AG332" s="10909"/>
    </row>
    <row r="333" spans="1:33" ht="15.75" customHeight="1">
      <c r="A333" s="11000"/>
      <c r="B333" s="10950" t="s">
        <v>127</v>
      </c>
      <c r="C333" s="10948" t="s">
        <v>128</v>
      </c>
      <c r="D333" s="10948" t="s">
        <v>140</v>
      </c>
      <c r="E333" s="10948" t="s">
        <v>212</v>
      </c>
      <c r="F333" s="10951" t="s">
        <v>131</v>
      </c>
      <c r="G333" s="10948" t="s">
        <v>213</v>
      </c>
      <c r="H333" s="10948" t="s">
        <v>189</v>
      </c>
      <c r="I333" s="10951" t="s">
        <v>5447</v>
      </c>
      <c r="J333" s="10948" t="s">
        <v>4332</v>
      </c>
      <c r="K333" s="10948" t="s">
        <v>5448</v>
      </c>
      <c r="L333" s="11052">
        <v>0</v>
      </c>
      <c r="M333" s="11052">
        <v>5</v>
      </c>
      <c r="N333" s="11052">
        <v>5</v>
      </c>
      <c r="O333" s="10948" t="s">
        <v>5449</v>
      </c>
      <c r="P333" s="10948" t="s">
        <v>5450</v>
      </c>
      <c r="Q333" s="11055" t="s">
        <v>5451</v>
      </c>
      <c r="R333" s="4437" t="s">
        <v>294</v>
      </c>
      <c r="S333" s="3907" t="s">
        <v>294</v>
      </c>
      <c r="T333" s="7520" t="s">
        <v>294</v>
      </c>
      <c r="U333" s="4670" t="s">
        <v>294</v>
      </c>
      <c r="V333" s="6188" t="s">
        <v>294</v>
      </c>
      <c r="W333" s="4676" t="s">
        <v>294</v>
      </c>
      <c r="X333" s="7616" t="s">
        <v>294</v>
      </c>
      <c r="Y333" s="7616" t="s">
        <v>294</v>
      </c>
      <c r="Z333" s="7616" t="s">
        <v>294</v>
      </c>
      <c r="AA333" s="7617" t="s">
        <v>294</v>
      </c>
      <c r="AB333" s="4112"/>
      <c r="AC333" s="4113"/>
      <c r="AD333" s="4676" t="s">
        <v>294</v>
      </c>
      <c r="AE333" s="3987" t="s">
        <v>294</v>
      </c>
      <c r="AF333" s="3987" t="s">
        <v>294</v>
      </c>
      <c r="AG333" s="10910" t="s">
        <v>4843</v>
      </c>
    </row>
    <row r="334" spans="1:33" ht="15.75" customHeight="1">
      <c r="A334" s="11000"/>
      <c r="B334" s="10934"/>
      <c r="C334" s="10937"/>
      <c r="D334" s="10937"/>
      <c r="E334" s="10937"/>
      <c r="F334" s="10940"/>
      <c r="G334" s="10937"/>
      <c r="H334" s="10937"/>
      <c r="I334" s="10940"/>
      <c r="J334" s="10937"/>
      <c r="K334" s="10937"/>
      <c r="L334" s="11053"/>
      <c r="M334" s="11053"/>
      <c r="N334" s="11053"/>
      <c r="O334" s="10937"/>
      <c r="P334" s="10937"/>
      <c r="Q334" s="11056"/>
      <c r="R334" s="4438" t="s">
        <v>294</v>
      </c>
      <c r="S334" s="3917" t="s">
        <v>294</v>
      </c>
      <c r="T334" s="3986" t="s">
        <v>294</v>
      </c>
      <c r="U334" s="4668" t="s">
        <v>294</v>
      </c>
      <c r="V334" s="3915" t="s">
        <v>294</v>
      </c>
      <c r="W334" s="4672" t="s">
        <v>294</v>
      </c>
      <c r="X334" s="7612" t="s">
        <v>294</v>
      </c>
      <c r="Y334" s="7612" t="s">
        <v>294</v>
      </c>
      <c r="Z334" s="7612" t="s">
        <v>294</v>
      </c>
      <c r="AA334" s="7613" t="s">
        <v>294</v>
      </c>
      <c r="AB334" s="3974"/>
      <c r="AC334" s="3975"/>
      <c r="AD334" s="4672" t="s">
        <v>294</v>
      </c>
      <c r="AE334" s="3959" t="s">
        <v>294</v>
      </c>
      <c r="AF334" s="3959" t="s">
        <v>294</v>
      </c>
      <c r="AG334" s="10908"/>
    </row>
    <row r="335" spans="1:33" ht="15.75" customHeight="1">
      <c r="A335" s="11000"/>
      <c r="B335" s="10934"/>
      <c r="C335" s="10937"/>
      <c r="D335" s="10937"/>
      <c r="E335" s="10937"/>
      <c r="F335" s="10940"/>
      <c r="G335" s="10937"/>
      <c r="H335" s="10937"/>
      <c r="I335" s="10940"/>
      <c r="J335" s="10937"/>
      <c r="K335" s="10937"/>
      <c r="L335" s="11053"/>
      <c r="M335" s="11053"/>
      <c r="N335" s="11053"/>
      <c r="O335" s="10937"/>
      <c r="P335" s="10937"/>
      <c r="Q335" s="11056"/>
      <c r="R335" s="4439" t="s">
        <v>294</v>
      </c>
      <c r="S335" s="3916" t="s">
        <v>294</v>
      </c>
      <c r="T335" s="7521" t="s">
        <v>294</v>
      </c>
      <c r="U335" s="3976" t="s">
        <v>294</v>
      </c>
      <c r="V335" s="3915" t="s">
        <v>294</v>
      </c>
      <c r="W335" s="4672" t="s">
        <v>294</v>
      </c>
      <c r="X335" s="7612" t="s">
        <v>294</v>
      </c>
      <c r="Y335" s="7612" t="s">
        <v>294</v>
      </c>
      <c r="Z335" s="7612" t="s">
        <v>294</v>
      </c>
      <c r="AA335" s="7613" t="s">
        <v>294</v>
      </c>
      <c r="AB335" s="3974"/>
      <c r="AC335" s="3975"/>
      <c r="AD335" s="4672" t="s">
        <v>294</v>
      </c>
      <c r="AE335" s="3959" t="s">
        <v>294</v>
      </c>
      <c r="AF335" s="3959" t="s">
        <v>294</v>
      </c>
      <c r="AG335" s="10908"/>
    </row>
    <row r="336" spans="1:33" ht="15.75" customHeight="1">
      <c r="A336" s="11000"/>
      <c r="B336" s="10934"/>
      <c r="C336" s="10937"/>
      <c r="D336" s="10937"/>
      <c r="E336" s="10937"/>
      <c r="F336" s="10940"/>
      <c r="G336" s="10937"/>
      <c r="H336" s="10937"/>
      <c r="I336" s="10940"/>
      <c r="J336" s="10937"/>
      <c r="K336" s="10937"/>
      <c r="L336" s="11053"/>
      <c r="M336" s="11053"/>
      <c r="N336" s="11053"/>
      <c r="O336" s="10937"/>
      <c r="P336" s="10937"/>
      <c r="Q336" s="11056"/>
      <c r="R336" s="4438" t="s">
        <v>294</v>
      </c>
      <c r="S336" s="3917" t="s">
        <v>294</v>
      </c>
      <c r="T336" s="3986" t="s">
        <v>294</v>
      </c>
      <c r="U336" s="4668" t="s">
        <v>294</v>
      </c>
      <c r="V336" s="3915" t="s">
        <v>294</v>
      </c>
      <c r="W336" s="4672" t="s">
        <v>294</v>
      </c>
      <c r="X336" s="7612" t="s">
        <v>294</v>
      </c>
      <c r="Y336" s="7612" t="s">
        <v>294</v>
      </c>
      <c r="Z336" s="7612" t="s">
        <v>294</v>
      </c>
      <c r="AA336" s="7613" t="s">
        <v>294</v>
      </c>
      <c r="AB336" s="3974"/>
      <c r="AC336" s="3975"/>
      <c r="AD336" s="4672" t="s">
        <v>294</v>
      </c>
      <c r="AE336" s="3959" t="s">
        <v>294</v>
      </c>
      <c r="AF336" s="3959" t="s">
        <v>294</v>
      </c>
      <c r="AG336" s="10908"/>
    </row>
    <row r="337" spans="1:33" ht="15.75" customHeight="1">
      <c r="A337" s="11000"/>
      <c r="B337" s="10993"/>
      <c r="C337" s="10985"/>
      <c r="D337" s="10985"/>
      <c r="E337" s="10985"/>
      <c r="F337" s="10994"/>
      <c r="G337" s="10985"/>
      <c r="H337" s="10985"/>
      <c r="I337" s="10994"/>
      <c r="J337" s="10985"/>
      <c r="K337" s="10985"/>
      <c r="L337" s="11059"/>
      <c r="M337" s="11059"/>
      <c r="N337" s="11059"/>
      <c r="O337" s="10985"/>
      <c r="P337" s="10985"/>
      <c r="Q337" s="11058"/>
      <c r="R337" s="4440" t="s">
        <v>294</v>
      </c>
      <c r="S337" s="4038" t="s">
        <v>294</v>
      </c>
      <c r="T337" s="4038" t="s">
        <v>294</v>
      </c>
      <c r="U337" s="3982" t="s">
        <v>294</v>
      </c>
      <c r="V337" s="6191" t="s">
        <v>294</v>
      </c>
      <c r="W337" s="4039" t="s">
        <v>294</v>
      </c>
      <c r="X337" s="7568" t="s">
        <v>294</v>
      </c>
      <c r="Y337" s="7568" t="s">
        <v>294</v>
      </c>
      <c r="Z337" s="7568" t="s">
        <v>294</v>
      </c>
      <c r="AA337" s="7569" t="s">
        <v>294</v>
      </c>
      <c r="AB337" s="4097"/>
      <c r="AC337" s="4098"/>
      <c r="AD337" s="4039" t="s">
        <v>294</v>
      </c>
      <c r="AE337" s="4043" t="s">
        <v>294</v>
      </c>
      <c r="AF337" s="4043" t="s">
        <v>294</v>
      </c>
      <c r="AG337" s="10911"/>
    </row>
    <row r="338" spans="1:33" ht="15.75" customHeight="1">
      <c r="A338" s="11000"/>
      <c r="B338" s="10933" t="s">
        <v>183</v>
      </c>
      <c r="C338" s="10936" t="s">
        <v>227</v>
      </c>
      <c r="D338" s="10936" t="s">
        <v>185</v>
      </c>
      <c r="E338" s="10936" t="s">
        <v>1938</v>
      </c>
      <c r="F338" s="10939" t="s">
        <v>230</v>
      </c>
      <c r="G338" s="10936" t="s">
        <v>171</v>
      </c>
      <c r="H338" s="10936" t="s">
        <v>133</v>
      </c>
      <c r="I338" s="10939" t="s">
        <v>5452</v>
      </c>
      <c r="J338" s="10936" t="s">
        <v>5453</v>
      </c>
      <c r="K338" s="10936" t="s">
        <v>4845</v>
      </c>
      <c r="L338" s="11063">
        <v>0</v>
      </c>
      <c r="M338" s="11063">
        <v>1</v>
      </c>
      <c r="N338" s="11063">
        <v>1</v>
      </c>
      <c r="O338" s="10936" t="s">
        <v>5454</v>
      </c>
      <c r="P338" s="10936" t="s">
        <v>4341</v>
      </c>
      <c r="Q338" s="11060" t="s">
        <v>5455</v>
      </c>
      <c r="R338" s="4021" t="s">
        <v>294</v>
      </c>
      <c r="S338" s="4000" t="s">
        <v>294</v>
      </c>
      <c r="T338" s="4000" t="s">
        <v>294</v>
      </c>
      <c r="U338" s="4664" t="s">
        <v>294</v>
      </c>
      <c r="V338" s="6192" t="s">
        <v>294</v>
      </c>
      <c r="W338" s="4001" t="s">
        <v>294</v>
      </c>
      <c r="X338" s="7570" t="s">
        <v>294</v>
      </c>
      <c r="Y338" s="7570" t="s">
        <v>294</v>
      </c>
      <c r="Z338" s="7570" t="s">
        <v>294</v>
      </c>
      <c r="AA338" s="7571" t="s">
        <v>294</v>
      </c>
      <c r="AB338" s="4006"/>
      <c r="AC338" s="4007"/>
      <c r="AD338" s="4001" t="s">
        <v>294</v>
      </c>
      <c r="AE338" s="4005" t="s">
        <v>294</v>
      </c>
      <c r="AF338" s="4005" t="s">
        <v>294</v>
      </c>
      <c r="AG338" s="10907" t="s">
        <v>4843</v>
      </c>
    </row>
    <row r="339" spans="1:33" ht="15.75" customHeight="1">
      <c r="A339" s="11000"/>
      <c r="B339" s="10934"/>
      <c r="C339" s="10937"/>
      <c r="D339" s="10937"/>
      <c r="E339" s="10937"/>
      <c r="F339" s="10940"/>
      <c r="G339" s="10937"/>
      <c r="H339" s="10937"/>
      <c r="I339" s="10940"/>
      <c r="J339" s="10937"/>
      <c r="K339" s="10937"/>
      <c r="L339" s="11053"/>
      <c r="M339" s="11053"/>
      <c r="N339" s="11053"/>
      <c r="O339" s="10937"/>
      <c r="P339" s="10937"/>
      <c r="Q339" s="11056"/>
      <c r="R339" s="4441" t="s">
        <v>294</v>
      </c>
      <c r="S339" s="3917" t="s">
        <v>294</v>
      </c>
      <c r="T339" s="3917" t="s">
        <v>294</v>
      </c>
      <c r="U339" s="3913" t="s">
        <v>294</v>
      </c>
      <c r="V339" s="6190" t="s">
        <v>294</v>
      </c>
      <c r="W339" s="3925" t="s">
        <v>294</v>
      </c>
      <c r="X339" s="7567" t="s">
        <v>294</v>
      </c>
      <c r="Y339" s="7567" t="s">
        <v>294</v>
      </c>
      <c r="Z339" s="7567" t="s">
        <v>294</v>
      </c>
      <c r="AA339" s="7566" t="s">
        <v>294</v>
      </c>
      <c r="AB339" s="3940"/>
      <c r="AC339" s="3956"/>
      <c r="AD339" s="3925" t="s">
        <v>294</v>
      </c>
      <c r="AE339" s="3923" t="s">
        <v>294</v>
      </c>
      <c r="AF339" s="3923" t="s">
        <v>294</v>
      </c>
      <c r="AG339" s="10908"/>
    </row>
    <row r="340" spans="1:33" ht="15.75" customHeight="1">
      <c r="A340" s="11000"/>
      <c r="B340" s="10934"/>
      <c r="C340" s="10937"/>
      <c r="D340" s="10937"/>
      <c r="E340" s="10937"/>
      <c r="F340" s="10940"/>
      <c r="G340" s="10937"/>
      <c r="H340" s="10937"/>
      <c r="I340" s="10940"/>
      <c r="J340" s="10937"/>
      <c r="K340" s="10937"/>
      <c r="L340" s="11053"/>
      <c r="M340" s="11053"/>
      <c r="N340" s="11053"/>
      <c r="O340" s="10937"/>
      <c r="P340" s="10937"/>
      <c r="Q340" s="11056"/>
      <c r="R340" s="4434" t="s">
        <v>294</v>
      </c>
      <c r="S340" s="3916" t="s">
        <v>294</v>
      </c>
      <c r="T340" s="3916" t="s">
        <v>294</v>
      </c>
      <c r="U340" s="3914" t="s">
        <v>294</v>
      </c>
      <c r="V340" s="6190" t="s">
        <v>294</v>
      </c>
      <c r="W340" s="3925" t="s">
        <v>294</v>
      </c>
      <c r="X340" s="7567" t="s">
        <v>294</v>
      </c>
      <c r="Y340" s="7567" t="s">
        <v>294</v>
      </c>
      <c r="Z340" s="7567" t="s">
        <v>294</v>
      </c>
      <c r="AA340" s="7566" t="s">
        <v>294</v>
      </c>
      <c r="AB340" s="3940"/>
      <c r="AC340" s="3956"/>
      <c r="AD340" s="3925" t="s">
        <v>294</v>
      </c>
      <c r="AE340" s="3923" t="s">
        <v>294</v>
      </c>
      <c r="AF340" s="3923" t="s">
        <v>294</v>
      </c>
      <c r="AG340" s="10908"/>
    </row>
    <row r="341" spans="1:33" ht="15.75" customHeight="1">
      <c r="A341" s="11000"/>
      <c r="B341" s="10934"/>
      <c r="C341" s="10937"/>
      <c r="D341" s="10937"/>
      <c r="E341" s="10937"/>
      <c r="F341" s="10940"/>
      <c r="G341" s="10937"/>
      <c r="H341" s="10937"/>
      <c r="I341" s="10940"/>
      <c r="J341" s="10937"/>
      <c r="K341" s="10937"/>
      <c r="L341" s="11053"/>
      <c r="M341" s="11053"/>
      <c r="N341" s="11053"/>
      <c r="O341" s="10937"/>
      <c r="P341" s="10937"/>
      <c r="Q341" s="11056"/>
      <c r="R341" s="4441" t="s">
        <v>294</v>
      </c>
      <c r="S341" s="3917" t="s">
        <v>294</v>
      </c>
      <c r="T341" s="3917" t="s">
        <v>294</v>
      </c>
      <c r="U341" s="3913" t="s">
        <v>294</v>
      </c>
      <c r="V341" s="6190" t="s">
        <v>294</v>
      </c>
      <c r="W341" s="3925" t="s">
        <v>294</v>
      </c>
      <c r="X341" s="7567" t="s">
        <v>294</v>
      </c>
      <c r="Y341" s="7567" t="s">
        <v>294</v>
      </c>
      <c r="Z341" s="7567" t="s">
        <v>294</v>
      </c>
      <c r="AA341" s="7566" t="s">
        <v>294</v>
      </c>
      <c r="AB341" s="3940"/>
      <c r="AC341" s="3956"/>
      <c r="AD341" s="3925" t="s">
        <v>294</v>
      </c>
      <c r="AE341" s="3923" t="s">
        <v>294</v>
      </c>
      <c r="AF341" s="3923" t="s">
        <v>294</v>
      </c>
      <c r="AG341" s="10908"/>
    </row>
    <row r="342" spans="1:33" ht="15.75" customHeight="1">
      <c r="A342" s="11000"/>
      <c r="B342" s="10935"/>
      <c r="C342" s="10938"/>
      <c r="D342" s="10938"/>
      <c r="E342" s="10938"/>
      <c r="F342" s="10941"/>
      <c r="G342" s="10938"/>
      <c r="H342" s="10938"/>
      <c r="I342" s="10941"/>
      <c r="J342" s="10938"/>
      <c r="K342" s="10938"/>
      <c r="L342" s="11054"/>
      <c r="M342" s="11054"/>
      <c r="N342" s="11054"/>
      <c r="O342" s="10938"/>
      <c r="P342" s="10938"/>
      <c r="Q342" s="11057"/>
      <c r="R342" s="4442" t="s">
        <v>294</v>
      </c>
      <c r="S342" s="3977" t="s">
        <v>294</v>
      </c>
      <c r="T342" s="3977" t="s">
        <v>294</v>
      </c>
      <c r="U342" s="3952" t="s">
        <v>294</v>
      </c>
      <c r="V342" s="6193" t="s">
        <v>294</v>
      </c>
      <c r="W342" s="3978" t="s">
        <v>294</v>
      </c>
      <c r="X342" s="7573" t="s">
        <v>294</v>
      </c>
      <c r="Y342" s="7573" t="s">
        <v>294</v>
      </c>
      <c r="Z342" s="7573" t="s">
        <v>294</v>
      </c>
      <c r="AA342" s="7574" t="s">
        <v>294</v>
      </c>
      <c r="AB342" s="3994"/>
      <c r="AC342" s="3995"/>
      <c r="AD342" s="3978" t="s">
        <v>294</v>
      </c>
      <c r="AE342" s="3980" t="s">
        <v>294</v>
      </c>
      <c r="AF342" s="3980" t="s">
        <v>294</v>
      </c>
      <c r="AG342" s="10909"/>
    </row>
    <row r="343" spans="1:33" ht="15.75" customHeight="1">
      <c r="A343" s="11000"/>
      <c r="B343" s="10950" t="s">
        <v>127</v>
      </c>
      <c r="C343" s="10948" t="s">
        <v>128</v>
      </c>
      <c r="D343" s="10948" t="s">
        <v>129</v>
      </c>
      <c r="E343" s="10948" t="s">
        <v>157</v>
      </c>
      <c r="F343" s="10951" t="s">
        <v>131</v>
      </c>
      <c r="G343" s="10948" t="s">
        <v>158</v>
      </c>
      <c r="H343" s="10948" t="s">
        <v>133</v>
      </c>
      <c r="I343" s="10951" t="s">
        <v>5456</v>
      </c>
      <c r="J343" s="10948" t="s">
        <v>4348</v>
      </c>
      <c r="K343" s="10948" t="s">
        <v>5457</v>
      </c>
      <c r="L343" s="11052">
        <v>0</v>
      </c>
      <c r="M343" s="11052">
        <v>0</v>
      </c>
      <c r="N343" s="11052">
        <v>5</v>
      </c>
      <c r="O343" s="10948" t="s">
        <v>5458</v>
      </c>
      <c r="P343" s="10948" t="s">
        <v>5459</v>
      </c>
      <c r="Q343" s="11055" t="s">
        <v>5460</v>
      </c>
      <c r="R343" s="4443" t="s">
        <v>294</v>
      </c>
      <c r="S343" s="3907" t="s">
        <v>294</v>
      </c>
      <c r="T343" s="3907" t="s">
        <v>294</v>
      </c>
      <c r="U343" s="4666" t="s">
        <v>294</v>
      </c>
      <c r="V343" s="6189" t="s">
        <v>294</v>
      </c>
      <c r="W343" s="3908" t="s">
        <v>294</v>
      </c>
      <c r="X343" s="7562" t="s">
        <v>294</v>
      </c>
      <c r="Y343" s="7562" t="s">
        <v>294</v>
      </c>
      <c r="Z343" s="7562" t="s">
        <v>294</v>
      </c>
      <c r="AA343" s="7563" t="s">
        <v>294</v>
      </c>
      <c r="AB343" s="3953"/>
      <c r="AC343" s="3954"/>
      <c r="AD343" s="3908" t="s">
        <v>294</v>
      </c>
      <c r="AE343" s="3912" t="s">
        <v>294</v>
      </c>
      <c r="AF343" s="3912" t="s">
        <v>294</v>
      </c>
      <c r="AG343" s="10907" t="s">
        <v>294</v>
      </c>
    </row>
    <row r="344" spans="1:33" ht="15.75" customHeight="1">
      <c r="A344" s="11000"/>
      <c r="B344" s="10934"/>
      <c r="C344" s="10937"/>
      <c r="D344" s="10937"/>
      <c r="E344" s="10937"/>
      <c r="F344" s="10940"/>
      <c r="G344" s="10937"/>
      <c r="H344" s="10937"/>
      <c r="I344" s="10940"/>
      <c r="J344" s="10937"/>
      <c r="K344" s="10937"/>
      <c r="L344" s="11053"/>
      <c r="M344" s="11053"/>
      <c r="N344" s="11053"/>
      <c r="O344" s="10937"/>
      <c r="P344" s="10937"/>
      <c r="Q344" s="11056"/>
      <c r="R344" s="4441" t="s">
        <v>294</v>
      </c>
      <c r="S344" s="3917" t="s">
        <v>294</v>
      </c>
      <c r="T344" s="3917" t="s">
        <v>294</v>
      </c>
      <c r="U344" s="3913" t="s">
        <v>294</v>
      </c>
      <c r="V344" s="6190" t="s">
        <v>294</v>
      </c>
      <c r="W344" s="3925" t="s">
        <v>294</v>
      </c>
      <c r="X344" s="7567" t="s">
        <v>294</v>
      </c>
      <c r="Y344" s="7567" t="s">
        <v>294</v>
      </c>
      <c r="Z344" s="7567" t="s">
        <v>294</v>
      </c>
      <c r="AA344" s="7566" t="s">
        <v>294</v>
      </c>
      <c r="AB344" s="3940"/>
      <c r="AC344" s="3956"/>
      <c r="AD344" s="3925" t="s">
        <v>294</v>
      </c>
      <c r="AE344" s="3923" t="s">
        <v>294</v>
      </c>
      <c r="AF344" s="3923" t="s">
        <v>294</v>
      </c>
      <c r="AG344" s="10908"/>
    </row>
    <row r="345" spans="1:33" ht="15.75" customHeight="1">
      <c r="A345" s="11000"/>
      <c r="B345" s="10934"/>
      <c r="C345" s="10937"/>
      <c r="D345" s="10937"/>
      <c r="E345" s="10937"/>
      <c r="F345" s="10940"/>
      <c r="G345" s="10937"/>
      <c r="H345" s="10937"/>
      <c r="I345" s="10940"/>
      <c r="J345" s="10937"/>
      <c r="K345" s="10937"/>
      <c r="L345" s="11053"/>
      <c r="M345" s="11053"/>
      <c r="N345" s="11053"/>
      <c r="O345" s="10937"/>
      <c r="P345" s="10937"/>
      <c r="Q345" s="11056"/>
      <c r="R345" s="4434" t="s">
        <v>294</v>
      </c>
      <c r="S345" s="3916" t="s">
        <v>294</v>
      </c>
      <c r="T345" s="3916" t="s">
        <v>294</v>
      </c>
      <c r="U345" s="3914" t="s">
        <v>294</v>
      </c>
      <c r="V345" s="6190" t="s">
        <v>294</v>
      </c>
      <c r="W345" s="3925" t="s">
        <v>294</v>
      </c>
      <c r="X345" s="7567" t="s">
        <v>294</v>
      </c>
      <c r="Y345" s="7567" t="s">
        <v>294</v>
      </c>
      <c r="Z345" s="7567" t="s">
        <v>294</v>
      </c>
      <c r="AA345" s="7566" t="s">
        <v>294</v>
      </c>
      <c r="AB345" s="3940"/>
      <c r="AC345" s="3956"/>
      <c r="AD345" s="3925" t="s">
        <v>294</v>
      </c>
      <c r="AE345" s="3923" t="s">
        <v>294</v>
      </c>
      <c r="AF345" s="3923" t="s">
        <v>294</v>
      </c>
      <c r="AG345" s="10908"/>
    </row>
    <row r="346" spans="1:33" ht="15.75" customHeight="1">
      <c r="A346" s="11000"/>
      <c r="B346" s="10934"/>
      <c r="C346" s="10937"/>
      <c r="D346" s="10937"/>
      <c r="E346" s="10937"/>
      <c r="F346" s="10940"/>
      <c r="G346" s="10937"/>
      <c r="H346" s="10937"/>
      <c r="I346" s="10940"/>
      <c r="J346" s="10937"/>
      <c r="K346" s="10937"/>
      <c r="L346" s="11053"/>
      <c r="M346" s="11053"/>
      <c r="N346" s="11053"/>
      <c r="O346" s="10937"/>
      <c r="P346" s="10937"/>
      <c r="Q346" s="11056"/>
      <c r="R346" s="4441" t="s">
        <v>294</v>
      </c>
      <c r="S346" s="3917" t="s">
        <v>294</v>
      </c>
      <c r="T346" s="3917" t="s">
        <v>294</v>
      </c>
      <c r="U346" s="3913" t="s">
        <v>294</v>
      </c>
      <c r="V346" s="6190" t="s">
        <v>294</v>
      </c>
      <c r="W346" s="3925" t="s">
        <v>294</v>
      </c>
      <c r="X346" s="7567" t="s">
        <v>294</v>
      </c>
      <c r="Y346" s="7567" t="s">
        <v>294</v>
      </c>
      <c r="Z346" s="7567" t="s">
        <v>294</v>
      </c>
      <c r="AA346" s="7566" t="s">
        <v>294</v>
      </c>
      <c r="AB346" s="3940"/>
      <c r="AC346" s="3956"/>
      <c r="AD346" s="3925" t="s">
        <v>294</v>
      </c>
      <c r="AE346" s="3923" t="s">
        <v>294</v>
      </c>
      <c r="AF346" s="3923" t="s">
        <v>294</v>
      </c>
      <c r="AG346" s="10908"/>
    </row>
    <row r="347" spans="1:33" ht="15.75" customHeight="1">
      <c r="A347" s="11000"/>
      <c r="B347" s="10993"/>
      <c r="C347" s="10985"/>
      <c r="D347" s="10985"/>
      <c r="E347" s="10985"/>
      <c r="F347" s="10994"/>
      <c r="G347" s="10985"/>
      <c r="H347" s="10985"/>
      <c r="I347" s="10994"/>
      <c r="J347" s="10985"/>
      <c r="K347" s="10985"/>
      <c r="L347" s="11059"/>
      <c r="M347" s="11059"/>
      <c r="N347" s="11059"/>
      <c r="O347" s="10985"/>
      <c r="P347" s="10985"/>
      <c r="Q347" s="11058"/>
      <c r="R347" s="4444" t="s">
        <v>294</v>
      </c>
      <c r="S347" s="4038" t="s">
        <v>294</v>
      </c>
      <c r="T347" s="4038" t="s">
        <v>294</v>
      </c>
      <c r="U347" s="3982" t="s">
        <v>294</v>
      </c>
      <c r="V347" s="6191" t="s">
        <v>294</v>
      </c>
      <c r="W347" s="4039" t="s">
        <v>294</v>
      </c>
      <c r="X347" s="7568" t="s">
        <v>294</v>
      </c>
      <c r="Y347" s="7568" t="s">
        <v>294</v>
      </c>
      <c r="Z347" s="7568" t="s">
        <v>294</v>
      </c>
      <c r="AA347" s="7569" t="s">
        <v>294</v>
      </c>
      <c r="AB347" s="4097"/>
      <c r="AC347" s="4098"/>
      <c r="AD347" s="4039" t="s">
        <v>294</v>
      </c>
      <c r="AE347" s="4043" t="s">
        <v>294</v>
      </c>
      <c r="AF347" s="4043" t="s">
        <v>294</v>
      </c>
      <c r="AG347" s="10909"/>
    </row>
    <row r="348" spans="1:33" ht="15.75" customHeight="1">
      <c r="A348" s="11000"/>
      <c r="B348" s="10933" t="s">
        <v>183</v>
      </c>
      <c r="C348" s="10936" t="s">
        <v>227</v>
      </c>
      <c r="D348" s="10936" t="s">
        <v>228</v>
      </c>
      <c r="E348" s="10936" t="s">
        <v>229</v>
      </c>
      <c r="F348" s="10939" t="s">
        <v>230</v>
      </c>
      <c r="G348" s="10936" t="s">
        <v>171</v>
      </c>
      <c r="H348" s="10936" t="s">
        <v>159</v>
      </c>
      <c r="I348" s="10939" t="s">
        <v>5461</v>
      </c>
      <c r="J348" s="10936" t="s">
        <v>4355</v>
      </c>
      <c r="K348" s="10936" t="s">
        <v>5462</v>
      </c>
      <c r="L348" s="11063">
        <v>0</v>
      </c>
      <c r="M348" s="11063">
        <v>5</v>
      </c>
      <c r="N348" s="11063">
        <v>5</v>
      </c>
      <c r="O348" s="10936" t="s">
        <v>5463</v>
      </c>
      <c r="P348" s="10936" t="s">
        <v>5464</v>
      </c>
      <c r="Q348" s="11060" t="s">
        <v>5455</v>
      </c>
      <c r="R348" s="4021" t="s">
        <v>294</v>
      </c>
      <c r="S348" s="4000" t="s">
        <v>294</v>
      </c>
      <c r="T348" s="4000" t="s">
        <v>294</v>
      </c>
      <c r="U348" s="4664" t="s">
        <v>294</v>
      </c>
      <c r="V348" s="6192" t="s">
        <v>294</v>
      </c>
      <c r="W348" s="4001" t="s">
        <v>294</v>
      </c>
      <c r="X348" s="7570" t="s">
        <v>294</v>
      </c>
      <c r="Y348" s="7570" t="s">
        <v>294</v>
      </c>
      <c r="Z348" s="7570" t="s">
        <v>294</v>
      </c>
      <c r="AA348" s="7571" t="s">
        <v>294</v>
      </c>
      <c r="AB348" s="4006"/>
      <c r="AC348" s="4007"/>
      <c r="AD348" s="4001" t="s">
        <v>294</v>
      </c>
      <c r="AE348" s="4005" t="s">
        <v>294</v>
      </c>
      <c r="AF348" s="4005" t="s">
        <v>294</v>
      </c>
      <c r="AG348" s="10907" t="s">
        <v>294</v>
      </c>
    </row>
    <row r="349" spans="1:33" ht="15.75" customHeight="1">
      <c r="A349" s="11000"/>
      <c r="B349" s="10934"/>
      <c r="C349" s="10937"/>
      <c r="D349" s="10937"/>
      <c r="E349" s="10937"/>
      <c r="F349" s="10940"/>
      <c r="G349" s="10937"/>
      <c r="H349" s="10937"/>
      <c r="I349" s="10940"/>
      <c r="J349" s="10937"/>
      <c r="K349" s="10937"/>
      <c r="L349" s="11053"/>
      <c r="M349" s="11053"/>
      <c r="N349" s="11053"/>
      <c r="O349" s="10937"/>
      <c r="P349" s="10937"/>
      <c r="Q349" s="11056"/>
      <c r="R349" s="4441" t="s">
        <v>294</v>
      </c>
      <c r="S349" s="3917" t="s">
        <v>294</v>
      </c>
      <c r="T349" s="3917" t="s">
        <v>294</v>
      </c>
      <c r="U349" s="3913" t="s">
        <v>294</v>
      </c>
      <c r="V349" s="6190" t="s">
        <v>294</v>
      </c>
      <c r="W349" s="3925" t="s">
        <v>294</v>
      </c>
      <c r="X349" s="7567" t="s">
        <v>294</v>
      </c>
      <c r="Y349" s="7567" t="s">
        <v>294</v>
      </c>
      <c r="Z349" s="7567" t="s">
        <v>294</v>
      </c>
      <c r="AA349" s="7566" t="s">
        <v>294</v>
      </c>
      <c r="AB349" s="3940"/>
      <c r="AC349" s="3956"/>
      <c r="AD349" s="3925" t="s">
        <v>294</v>
      </c>
      <c r="AE349" s="3923" t="s">
        <v>294</v>
      </c>
      <c r="AF349" s="3923" t="s">
        <v>294</v>
      </c>
      <c r="AG349" s="10908"/>
    </row>
    <row r="350" spans="1:33" ht="15.75" customHeight="1">
      <c r="A350" s="11000"/>
      <c r="B350" s="10993"/>
      <c r="C350" s="10985"/>
      <c r="D350" s="10985"/>
      <c r="E350" s="10985"/>
      <c r="F350" s="10994"/>
      <c r="G350" s="10985"/>
      <c r="H350" s="10985"/>
      <c r="I350" s="10994"/>
      <c r="J350" s="10985"/>
      <c r="K350" s="10985"/>
      <c r="L350" s="11059"/>
      <c r="M350" s="11059"/>
      <c r="N350" s="11059"/>
      <c r="O350" s="10985"/>
      <c r="P350" s="10985"/>
      <c r="Q350" s="11058"/>
      <c r="R350" s="4444"/>
      <c r="S350" s="4038"/>
      <c r="T350" s="4038"/>
      <c r="U350" s="3982"/>
      <c r="V350" s="6191"/>
      <c r="W350" s="4039"/>
      <c r="X350" s="7568"/>
      <c r="Y350" s="7568"/>
      <c r="Z350" s="7568"/>
      <c r="AA350" s="7569"/>
      <c r="AB350" s="4097"/>
      <c r="AC350" s="4098"/>
      <c r="AD350" s="4039"/>
      <c r="AE350" s="4043"/>
      <c r="AF350" s="4043"/>
      <c r="AG350" s="10908"/>
    </row>
    <row r="351" spans="1:33" ht="15.75" customHeight="1">
      <c r="A351" s="11000"/>
      <c r="B351" s="10993"/>
      <c r="C351" s="10985"/>
      <c r="D351" s="10985"/>
      <c r="E351" s="10985"/>
      <c r="F351" s="10994"/>
      <c r="G351" s="10985"/>
      <c r="H351" s="10985"/>
      <c r="I351" s="10994"/>
      <c r="J351" s="10985"/>
      <c r="K351" s="10985"/>
      <c r="L351" s="11059"/>
      <c r="M351" s="11059"/>
      <c r="N351" s="11059"/>
      <c r="O351" s="10985"/>
      <c r="P351" s="10985"/>
      <c r="Q351" s="11058"/>
      <c r="R351" s="4444"/>
      <c r="S351" s="4038"/>
      <c r="T351" s="4038"/>
      <c r="U351" s="3982"/>
      <c r="V351" s="6191"/>
      <c r="W351" s="4039"/>
      <c r="X351" s="7568"/>
      <c r="Y351" s="7568"/>
      <c r="Z351" s="7568"/>
      <c r="AA351" s="7569"/>
      <c r="AB351" s="4097"/>
      <c r="AC351" s="4098"/>
      <c r="AD351" s="4039"/>
      <c r="AE351" s="4043"/>
      <c r="AF351" s="4043"/>
      <c r="AG351" s="10908"/>
    </row>
    <row r="352" spans="1:33" ht="15.75" customHeight="1">
      <c r="A352" s="11000"/>
      <c r="B352" s="10935"/>
      <c r="C352" s="10938"/>
      <c r="D352" s="10938"/>
      <c r="E352" s="10938"/>
      <c r="F352" s="10941"/>
      <c r="G352" s="10938"/>
      <c r="H352" s="10938"/>
      <c r="I352" s="10941"/>
      <c r="J352" s="10938"/>
      <c r="K352" s="10938"/>
      <c r="L352" s="11054"/>
      <c r="M352" s="11054"/>
      <c r="N352" s="11054"/>
      <c r="O352" s="10938"/>
      <c r="P352" s="10938"/>
      <c r="Q352" s="11057"/>
      <c r="R352" s="4431" t="s">
        <v>294</v>
      </c>
      <c r="S352" s="3996" t="s">
        <v>294</v>
      </c>
      <c r="T352" s="3996" t="s">
        <v>294</v>
      </c>
      <c r="U352" s="4665" t="s">
        <v>294</v>
      </c>
      <c r="V352" s="6193" t="s">
        <v>294</v>
      </c>
      <c r="W352" s="3978" t="s">
        <v>294</v>
      </c>
      <c r="X352" s="7573" t="s">
        <v>294</v>
      </c>
      <c r="Y352" s="7573" t="s">
        <v>294</v>
      </c>
      <c r="Z352" s="7573" t="s">
        <v>294</v>
      </c>
      <c r="AA352" s="7574" t="s">
        <v>294</v>
      </c>
      <c r="AB352" s="3994"/>
      <c r="AC352" s="3995"/>
      <c r="AD352" s="3978" t="s">
        <v>294</v>
      </c>
      <c r="AE352" s="3980" t="s">
        <v>294</v>
      </c>
      <c r="AF352" s="3980" t="s">
        <v>294</v>
      </c>
      <c r="AG352" s="10909"/>
    </row>
    <row r="353" spans="1:33" ht="15.75" customHeight="1">
      <c r="A353" s="11000"/>
      <c r="B353" s="10950" t="s">
        <v>183</v>
      </c>
      <c r="C353" s="10948" t="s">
        <v>227</v>
      </c>
      <c r="D353" s="10948" t="s">
        <v>228</v>
      </c>
      <c r="E353" s="10948" t="s">
        <v>229</v>
      </c>
      <c r="F353" s="10951" t="s">
        <v>230</v>
      </c>
      <c r="G353" s="10948" t="s">
        <v>132</v>
      </c>
      <c r="H353" s="10948" t="s">
        <v>159</v>
      </c>
      <c r="I353" s="10951" t="s">
        <v>5465</v>
      </c>
      <c r="J353" s="10948" t="s">
        <v>4362</v>
      </c>
      <c r="K353" s="10948" t="s">
        <v>5466</v>
      </c>
      <c r="L353" s="11052">
        <v>0</v>
      </c>
      <c r="M353" s="11052">
        <v>1</v>
      </c>
      <c r="N353" s="11052">
        <v>1</v>
      </c>
      <c r="O353" s="10948" t="s">
        <v>5467</v>
      </c>
      <c r="P353" s="10948" t="s">
        <v>5468</v>
      </c>
      <c r="Q353" s="11055" t="s">
        <v>5455</v>
      </c>
      <c r="R353" s="4445" t="s">
        <v>294</v>
      </c>
      <c r="S353" s="4118" t="s">
        <v>294</v>
      </c>
      <c r="T353" s="4118" t="s">
        <v>294</v>
      </c>
      <c r="U353" s="4666" t="s">
        <v>294</v>
      </c>
      <c r="V353" s="6189" t="s">
        <v>294</v>
      </c>
      <c r="W353" s="3908" t="s">
        <v>294</v>
      </c>
      <c r="X353" s="7562" t="s">
        <v>294</v>
      </c>
      <c r="Y353" s="7562" t="s">
        <v>294</v>
      </c>
      <c r="Z353" s="7562" t="s">
        <v>294</v>
      </c>
      <c r="AA353" s="7563" t="s">
        <v>294</v>
      </c>
      <c r="AB353" s="3953"/>
      <c r="AC353" s="3954"/>
      <c r="AD353" s="3908" t="s">
        <v>294</v>
      </c>
      <c r="AE353" s="3912" t="s">
        <v>294</v>
      </c>
      <c r="AF353" s="3912" t="s">
        <v>294</v>
      </c>
      <c r="AG353" s="10910" t="s">
        <v>4843</v>
      </c>
    </row>
    <row r="354" spans="1:33" ht="15.75" customHeight="1">
      <c r="A354" s="11000"/>
      <c r="B354" s="10934"/>
      <c r="C354" s="10937"/>
      <c r="D354" s="10937"/>
      <c r="E354" s="10937"/>
      <c r="F354" s="10940"/>
      <c r="G354" s="10937"/>
      <c r="H354" s="10937"/>
      <c r="I354" s="10940"/>
      <c r="J354" s="10937"/>
      <c r="K354" s="10937"/>
      <c r="L354" s="11053"/>
      <c r="M354" s="11053"/>
      <c r="N354" s="11053"/>
      <c r="O354" s="10937"/>
      <c r="P354" s="10937"/>
      <c r="Q354" s="11056"/>
      <c r="R354" s="4441" t="s">
        <v>294</v>
      </c>
      <c r="S354" s="3917" t="s">
        <v>294</v>
      </c>
      <c r="T354" s="3917" t="s">
        <v>294</v>
      </c>
      <c r="U354" s="3913" t="s">
        <v>294</v>
      </c>
      <c r="V354" s="6190" t="s">
        <v>294</v>
      </c>
      <c r="W354" s="3925" t="s">
        <v>294</v>
      </c>
      <c r="X354" s="7567" t="s">
        <v>294</v>
      </c>
      <c r="Y354" s="7567" t="s">
        <v>294</v>
      </c>
      <c r="Z354" s="7567" t="s">
        <v>294</v>
      </c>
      <c r="AA354" s="7566" t="s">
        <v>294</v>
      </c>
      <c r="AB354" s="3940"/>
      <c r="AC354" s="3956"/>
      <c r="AD354" s="3925" t="s">
        <v>294</v>
      </c>
      <c r="AE354" s="3923" t="s">
        <v>294</v>
      </c>
      <c r="AF354" s="3923" t="s">
        <v>294</v>
      </c>
      <c r="AG354" s="10908"/>
    </row>
    <row r="355" spans="1:33" ht="15.75" customHeight="1">
      <c r="A355" s="11000"/>
      <c r="B355" s="10934"/>
      <c r="C355" s="10937"/>
      <c r="D355" s="10937"/>
      <c r="E355" s="10937"/>
      <c r="F355" s="10940"/>
      <c r="G355" s="10937"/>
      <c r="H355" s="10937"/>
      <c r="I355" s="10940"/>
      <c r="J355" s="10937"/>
      <c r="K355" s="10937"/>
      <c r="L355" s="11053"/>
      <c r="M355" s="11053"/>
      <c r="N355" s="11053"/>
      <c r="O355" s="10937"/>
      <c r="P355" s="10937"/>
      <c r="Q355" s="11056"/>
      <c r="R355" s="4434" t="s">
        <v>294</v>
      </c>
      <c r="S355" s="3916" t="s">
        <v>294</v>
      </c>
      <c r="T355" s="3916" t="s">
        <v>294</v>
      </c>
      <c r="U355" s="3913" t="s">
        <v>294</v>
      </c>
      <c r="V355" s="6190" t="s">
        <v>294</v>
      </c>
      <c r="W355" s="3925" t="s">
        <v>294</v>
      </c>
      <c r="X355" s="7567" t="s">
        <v>294</v>
      </c>
      <c r="Y355" s="7567" t="s">
        <v>294</v>
      </c>
      <c r="Z355" s="7567" t="s">
        <v>294</v>
      </c>
      <c r="AA355" s="7566" t="s">
        <v>294</v>
      </c>
      <c r="AB355" s="3940"/>
      <c r="AC355" s="3956"/>
      <c r="AD355" s="3925" t="s">
        <v>294</v>
      </c>
      <c r="AE355" s="3923" t="s">
        <v>294</v>
      </c>
      <c r="AF355" s="3923" t="s">
        <v>294</v>
      </c>
      <c r="AG355" s="10908"/>
    </row>
    <row r="356" spans="1:33" ht="15.75" customHeight="1">
      <c r="A356" s="11000"/>
      <c r="B356" s="10934"/>
      <c r="C356" s="10937"/>
      <c r="D356" s="10937"/>
      <c r="E356" s="10937"/>
      <c r="F356" s="10940"/>
      <c r="G356" s="10937"/>
      <c r="H356" s="10937"/>
      <c r="I356" s="10940"/>
      <c r="J356" s="10937"/>
      <c r="K356" s="10937"/>
      <c r="L356" s="11053"/>
      <c r="M356" s="11053"/>
      <c r="N356" s="11053"/>
      <c r="O356" s="10937"/>
      <c r="P356" s="10937"/>
      <c r="Q356" s="11056"/>
      <c r="R356" s="4441" t="s">
        <v>294</v>
      </c>
      <c r="S356" s="3917" t="s">
        <v>294</v>
      </c>
      <c r="T356" s="3917" t="s">
        <v>294</v>
      </c>
      <c r="U356" s="3913" t="s">
        <v>294</v>
      </c>
      <c r="V356" s="6190" t="s">
        <v>294</v>
      </c>
      <c r="W356" s="3925" t="s">
        <v>294</v>
      </c>
      <c r="X356" s="7567" t="s">
        <v>294</v>
      </c>
      <c r="Y356" s="7567" t="s">
        <v>294</v>
      </c>
      <c r="Z356" s="7567" t="s">
        <v>294</v>
      </c>
      <c r="AA356" s="7566" t="s">
        <v>294</v>
      </c>
      <c r="AB356" s="3940"/>
      <c r="AC356" s="3956"/>
      <c r="AD356" s="3925" t="s">
        <v>294</v>
      </c>
      <c r="AE356" s="3923" t="s">
        <v>294</v>
      </c>
      <c r="AF356" s="3923" t="s">
        <v>294</v>
      </c>
      <c r="AG356" s="10908"/>
    </row>
    <row r="357" spans="1:33" ht="15.75" customHeight="1">
      <c r="A357" s="11000"/>
      <c r="B357" s="10993"/>
      <c r="C357" s="10985"/>
      <c r="D357" s="10985"/>
      <c r="E357" s="10985"/>
      <c r="F357" s="10994"/>
      <c r="G357" s="10985"/>
      <c r="H357" s="10985"/>
      <c r="I357" s="10994"/>
      <c r="J357" s="10985"/>
      <c r="K357" s="10985"/>
      <c r="L357" s="11059"/>
      <c r="M357" s="11059"/>
      <c r="N357" s="11059"/>
      <c r="O357" s="10985"/>
      <c r="P357" s="10985"/>
      <c r="Q357" s="11058"/>
      <c r="R357" s="4446" t="s">
        <v>294</v>
      </c>
      <c r="S357" s="4116" t="s">
        <v>294</v>
      </c>
      <c r="T357" s="4116" t="s">
        <v>294</v>
      </c>
      <c r="U357" s="4667" t="s">
        <v>294</v>
      </c>
      <c r="V357" s="6191" t="s">
        <v>294</v>
      </c>
      <c r="W357" s="4039" t="s">
        <v>294</v>
      </c>
      <c r="X357" s="7568" t="s">
        <v>294</v>
      </c>
      <c r="Y357" s="7568" t="s">
        <v>294</v>
      </c>
      <c r="Z357" s="7568" t="s">
        <v>294</v>
      </c>
      <c r="AA357" s="7569" t="s">
        <v>294</v>
      </c>
      <c r="AB357" s="4097"/>
      <c r="AC357" s="4098"/>
      <c r="AD357" s="4039" t="s">
        <v>294</v>
      </c>
      <c r="AE357" s="4043" t="s">
        <v>294</v>
      </c>
      <c r="AF357" s="4043" t="s">
        <v>294</v>
      </c>
      <c r="AG357" s="10911"/>
    </row>
    <row r="358" spans="1:33" ht="15.75" customHeight="1">
      <c r="A358" s="11000"/>
      <c r="B358" s="10933" t="s">
        <v>183</v>
      </c>
      <c r="C358" s="10936" t="s">
        <v>227</v>
      </c>
      <c r="D358" s="10936" t="s">
        <v>228</v>
      </c>
      <c r="E358" s="10936" t="s">
        <v>2272</v>
      </c>
      <c r="F358" s="10939" t="s">
        <v>230</v>
      </c>
      <c r="G358" s="10936" t="s">
        <v>158</v>
      </c>
      <c r="H358" s="10936" t="s">
        <v>133</v>
      </c>
      <c r="I358" s="10939" t="s">
        <v>5469</v>
      </c>
      <c r="J358" s="10936" t="s">
        <v>4368</v>
      </c>
      <c r="K358" s="10936" t="s">
        <v>5470</v>
      </c>
      <c r="L358" s="11063">
        <v>0</v>
      </c>
      <c r="M358" s="11063">
        <v>1</v>
      </c>
      <c r="N358" s="11063">
        <v>1</v>
      </c>
      <c r="O358" s="10936" t="s">
        <v>5471</v>
      </c>
      <c r="P358" s="10936" t="s">
        <v>4371</v>
      </c>
      <c r="Q358" s="11060" t="s">
        <v>5455</v>
      </c>
      <c r="R358" s="4447" t="s">
        <v>294</v>
      </c>
      <c r="S358" s="4008" t="s">
        <v>294</v>
      </c>
      <c r="T358" s="4008" t="s">
        <v>294</v>
      </c>
      <c r="U358" s="4664" t="s">
        <v>294</v>
      </c>
      <c r="V358" s="6192" t="s">
        <v>294</v>
      </c>
      <c r="W358" s="4001" t="s">
        <v>294</v>
      </c>
      <c r="X358" s="7570" t="s">
        <v>294</v>
      </c>
      <c r="Y358" s="7570" t="s">
        <v>294</v>
      </c>
      <c r="Z358" s="7570" t="s">
        <v>294</v>
      </c>
      <c r="AA358" s="7571" t="s">
        <v>294</v>
      </c>
      <c r="AB358" s="4006"/>
      <c r="AC358" s="4007"/>
      <c r="AD358" s="4001" t="s">
        <v>294</v>
      </c>
      <c r="AE358" s="4005" t="s">
        <v>294</v>
      </c>
      <c r="AF358" s="4005" t="s">
        <v>294</v>
      </c>
      <c r="AG358" s="10907" t="s">
        <v>4843</v>
      </c>
    </row>
    <row r="359" spans="1:33" ht="15.75" customHeight="1">
      <c r="A359" s="11000"/>
      <c r="B359" s="10934"/>
      <c r="C359" s="10937"/>
      <c r="D359" s="10937"/>
      <c r="E359" s="10937"/>
      <c r="F359" s="10940"/>
      <c r="G359" s="10937"/>
      <c r="H359" s="10937"/>
      <c r="I359" s="10940"/>
      <c r="J359" s="10937"/>
      <c r="K359" s="10937"/>
      <c r="L359" s="11053"/>
      <c r="M359" s="11053"/>
      <c r="N359" s="11053"/>
      <c r="O359" s="10937"/>
      <c r="P359" s="10937"/>
      <c r="Q359" s="11056"/>
      <c r="R359" s="4441" t="s">
        <v>294</v>
      </c>
      <c r="S359" s="3917" t="s">
        <v>294</v>
      </c>
      <c r="T359" s="3917" t="s">
        <v>294</v>
      </c>
      <c r="U359" s="3913" t="s">
        <v>294</v>
      </c>
      <c r="V359" s="6190" t="s">
        <v>294</v>
      </c>
      <c r="W359" s="3925" t="s">
        <v>294</v>
      </c>
      <c r="X359" s="7567" t="s">
        <v>294</v>
      </c>
      <c r="Y359" s="7567" t="s">
        <v>294</v>
      </c>
      <c r="Z359" s="7567" t="s">
        <v>294</v>
      </c>
      <c r="AA359" s="7566" t="s">
        <v>294</v>
      </c>
      <c r="AB359" s="3940"/>
      <c r="AC359" s="3956"/>
      <c r="AD359" s="3925" t="s">
        <v>294</v>
      </c>
      <c r="AE359" s="3923" t="s">
        <v>294</v>
      </c>
      <c r="AF359" s="3923" t="s">
        <v>294</v>
      </c>
      <c r="AG359" s="10908"/>
    </row>
    <row r="360" spans="1:33" ht="15.75" customHeight="1">
      <c r="A360" s="11000"/>
      <c r="B360" s="10934"/>
      <c r="C360" s="10937"/>
      <c r="D360" s="10937"/>
      <c r="E360" s="10937"/>
      <c r="F360" s="10940"/>
      <c r="G360" s="10937"/>
      <c r="H360" s="10937"/>
      <c r="I360" s="10940"/>
      <c r="J360" s="10937"/>
      <c r="K360" s="10937"/>
      <c r="L360" s="11053"/>
      <c r="M360" s="11053"/>
      <c r="N360" s="11053"/>
      <c r="O360" s="10937"/>
      <c r="P360" s="10937"/>
      <c r="Q360" s="11056"/>
      <c r="R360" s="4434" t="s">
        <v>294</v>
      </c>
      <c r="S360" s="3916" t="s">
        <v>294</v>
      </c>
      <c r="T360" s="3916" t="s">
        <v>294</v>
      </c>
      <c r="U360" s="3913" t="s">
        <v>294</v>
      </c>
      <c r="V360" s="6190" t="s">
        <v>294</v>
      </c>
      <c r="W360" s="3925" t="s">
        <v>294</v>
      </c>
      <c r="X360" s="7567" t="s">
        <v>294</v>
      </c>
      <c r="Y360" s="7567" t="s">
        <v>294</v>
      </c>
      <c r="Z360" s="7567" t="s">
        <v>294</v>
      </c>
      <c r="AA360" s="7566" t="s">
        <v>294</v>
      </c>
      <c r="AB360" s="3940"/>
      <c r="AC360" s="3956"/>
      <c r="AD360" s="3925" t="s">
        <v>294</v>
      </c>
      <c r="AE360" s="3923" t="s">
        <v>294</v>
      </c>
      <c r="AF360" s="3923" t="s">
        <v>294</v>
      </c>
      <c r="AG360" s="10908"/>
    </row>
    <row r="361" spans="1:33" ht="15.75" customHeight="1">
      <c r="A361" s="11000"/>
      <c r="B361" s="10934"/>
      <c r="C361" s="10937"/>
      <c r="D361" s="10937"/>
      <c r="E361" s="10937"/>
      <c r="F361" s="10940"/>
      <c r="G361" s="10937"/>
      <c r="H361" s="10937"/>
      <c r="I361" s="10940"/>
      <c r="J361" s="10937"/>
      <c r="K361" s="10937"/>
      <c r="L361" s="11053"/>
      <c r="M361" s="11053"/>
      <c r="N361" s="11053"/>
      <c r="O361" s="10937"/>
      <c r="P361" s="10937"/>
      <c r="Q361" s="11056"/>
      <c r="R361" s="4441" t="s">
        <v>294</v>
      </c>
      <c r="S361" s="3917" t="s">
        <v>294</v>
      </c>
      <c r="T361" s="3917" t="s">
        <v>294</v>
      </c>
      <c r="U361" s="3913" t="s">
        <v>294</v>
      </c>
      <c r="V361" s="6190" t="s">
        <v>294</v>
      </c>
      <c r="W361" s="3925" t="s">
        <v>294</v>
      </c>
      <c r="X361" s="7567" t="s">
        <v>294</v>
      </c>
      <c r="Y361" s="7567" t="s">
        <v>294</v>
      </c>
      <c r="Z361" s="7567" t="s">
        <v>294</v>
      </c>
      <c r="AA361" s="7566" t="s">
        <v>294</v>
      </c>
      <c r="AB361" s="3940"/>
      <c r="AC361" s="3956"/>
      <c r="AD361" s="3925" t="s">
        <v>294</v>
      </c>
      <c r="AE361" s="3923" t="s">
        <v>294</v>
      </c>
      <c r="AF361" s="3923" t="s">
        <v>294</v>
      </c>
      <c r="AG361" s="10908"/>
    </row>
    <row r="362" spans="1:33" ht="15.75" customHeight="1">
      <c r="A362" s="11000"/>
      <c r="B362" s="10935"/>
      <c r="C362" s="10938"/>
      <c r="D362" s="10938"/>
      <c r="E362" s="10938"/>
      <c r="F362" s="10941"/>
      <c r="G362" s="10938"/>
      <c r="H362" s="10938"/>
      <c r="I362" s="10941"/>
      <c r="J362" s="10938"/>
      <c r="K362" s="10938"/>
      <c r="L362" s="11054"/>
      <c r="M362" s="11054"/>
      <c r="N362" s="11054"/>
      <c r="O362" s="10938"/>
      <c r="P362" s="10938"/>
      <c r="Q362" s="11057"/>
      <c r="R362" s="4431" t="s">
        <v>294</v>
      </c>
      <c r="S362" s="3996" t="s">
        <v>294</v>
      </c>
      <c r="T362" s="3996" t="s">
        <v>294</v>
      </c>
      <c r="U362" s="4665" t="s">
        <v>294</v>
      </c>
      <c r="V362" s="6193" t="s">
        <v>294</v>
      </c>
      <c r="W362" s="3978" t="s">
        <v>294</v>
      </c>
      <c r="X362" s="7573" t="s">
        <v>294</v>
      </c>
      <c r="Y362" s="7573" t="s">
        <v>294</v>
      </c>
      <c r="Z362" s="7573" t="s">
        <v>294</v>
      </c>
      <c r="AA362" s="7574" t="s">
        <v>294</v>
      </c>
      <c r="AB362" s="3994"/>
      <c r="AC362" s="3995"/>
      <c r="AD362" s="3978" t="s">
        <v>294</v>
      </c>
      <c r="AE362" s="3980" t="s">
        <v>294</v>
      </c>
      <c r="AF362" s="3980" t="s">
        <v>294</v>
      </c>
      <c r="AG362" s="10909"/>
    </row>
    <row r="363" spans="1:33" ht="15.75" customHeight="1">
      <c r="A363" s="11000"/>
      <c r="B363" s="10950" t="s">
        <v>183</v>
      </c>
      <c r="C363" s="10948" t="s">
        <v>227</v>
      </c>
      <c r="D363" s="10948" t="s">
        <v>228</v>
      </c>
      <c r="E363" s="10948" t="s">
        <v>229</v>
      </c>
      <c r="F363" s="10951" t="s">
        <v>230</v>
      </c>
      <c r="G363" s="10948" t="s">
        <v>132</v>
      </c>
      <c r="H363" s="10948" t="s">
        <v>159</v>
      </c>
      <c r="I363" s="10951" t="s">
        <v>5472</v>
      </c>
      <c r="J363" s="10948" t="s">
        <v>4375</v>
      </c>
      <c r="K363" s="10948" t="s">
        <v>294</v>
      </c>
      <c r="L363" s="11052">
        <v>0</v>
      </c>
      <c r="M363" s="11052">
        <v>0</v>
      </c>
      <c r="N363" s="11052">
        <v>0</v>
      </c>
      <c r="O363" s="11064"/>
      <c r="P363" s="11064" t="s">
        <v>294</v>
      </c>
      <c r="Q363" s="10901" t="s">
        <v>294</v>
      </c>
      <c r="R363" s="4445" t="s">
        <v>294</v>
      </c>
      <c r="S363" s="4118" t="s">
        <v>294</v>
      </c>
      <c r="T363" s="4118" t="s">
        <v>294</v>
      </c>
      <c r="U363" s="4666" t="s">
        <v>294</v>
      </c>
      <c r="V363" s="6189" t="s">
        <v>294</v>
      </c>
      <c r="W363" s="3908" t="s">
        <v>294</v>
      </c>
      <c r="X363" s="7562" t="s">
        <v>294</v>
      </c>
      <c r="Y363" s="7562" t="s">
        <v>294</v>
      </c>
      <c r="Z363" s="7562" t="s">
        <v>294</v>
      </c>
      <c r="AA363" s="7563" t="s">
        <v>294</v>
      </c>
      <c r="AB363" s="3953"/>
      <c r="AC363" s="3954"/>
      <c r="AD363" s="3908" t="s">
        <v>294</v>
      </c>
      <c r="AE363" s="3912" t="s">
        <v>294</v>
      </c>
      <c r="AF363" s="3912" t="s">
        <v>294</v>
      </c>
      <c r="AG363" s="10910" t="s">
        <v>5473</v>
      </c>
    </row>
    <row r="364" spans="1:33" ht="15.75" customHeight="1">
      <c r="A364" s="11000"/>
      <c r="B364" s="10934"/>
      <c r="C364" s="10937"/>
      <c r="D364" s="10937"/>
      <c r="E364" s="10937"/>
      <c r="F364" s="10940"/>
      <c r="G364" s="10937"/>
      <c r="H364" s="10937"/>
      <c r="I364" s="10940"/>
      <c r="J364" s="10937"/>
      <c r="K364" s="10937"/>
      <c r="L364" s="11053"/>
      <c r="M364" s="11053"/>
      <c r="N364" s="11053"/>
      <c r="O364" s="11061"/>
      <c r="P364" s="11061"/>
      <c r="Q364" s="10902"/>
      <c r="R364" s="4441" t="s">
        <v>294</v>
      </c>
      <c r="S364" s="3917" t="s">
        <v>294</v>
      </c>
      <c r="T364" s="3917" t="s">
        <v>294</v>
      </c>
      <c r="U364" s="3913" t="s">
        <v>294</v>
      </c>
      <c r="V364" s="6190" t="s">
        <v>294</v>
      </c>
      <c r="W364" s="3925" t="s">
        <v>294</v>
      </c>
      <c r="X364" s="7567" t="s">
        <v>294</v>
      </c>
      <c r="Y364" s="7567" t="s">
        <v>294</v>
      </c>
      <c r="Z364" s="7567" t="s">
        <v>294</v>
      </c>
      <c r="AA364" s="7566" t="s">
        <v>294</v>
      </c>
      <c r="AB364" s="3940"/>
      <c r="AC364" s="3956"/>
      <c r="AD364" s="3925" t="s">
        <v>294</v>
      </c>
      <c r="AE364" s="3923" t="s">
        <v>294</v>
      </c>
      <c r="AF364" s="3923" t="s">
        <v>294</v>
      </c>
      <c r="AG364" s="10908"/>
    </row>
    <row r="365" spans="1:33" ht="15.75" customHeight="1">
      <c r="A365" s="11000"/>
      <c r="B365" s="10934"/>
      <c r="C365" s="10937"/>
      <c r="D365" s="10937"/>
      <c r="E365" s="10937"/>
      <c r="F365" s="10940"/>
      <c r="G365" s="10937"/>
      <c r="H365" s="10937"/>
      <c r="I365" s="10940"/>
      <c r="J365" s="10937"/>
      <c r="K365" s="10937"/>
      <c r="L365" s="11053"/>
      <c r="M365" s="11053"/>
      <c r="N365" s="11053"/>
      <c r="O365" s="11061"/>
      <c r="P365" s="11061"/>
      <c r="Q365" s="10902"/>
      <c r="R365" s="4434" t="s">
        <v>294</v>
      </c>
      <c r="S365" s="3916" t="s">
        <v>294</v>
      </c>
      <c r="T365" s="3916" t="s">
        <v>294</v>
      </c>
      <c r="U365" s="3913" t="s">
        <v>294</v>
      </c>
      <c r="V365" s="6190" t="s">
        <v>294</v>
      </c>
      <c r="W365" s="3925" t="s">
        <v>294</v>
      </c>
      <c r="X365" s="7567" t="s">
        <v>294</v>
      </c>
      <c r="Y365" s="7567" t="s">
        <v>294</v>
      </c>
      <c r="Z365" s="7567" t="s">
        <v>294</v>
      </c>
      <c r="AA365" s="7566" t="s">
        <v>294</v>
      </c>
      <c r="AB365" s="3940"/>
      <c r="AC365" s="3956"/>
      <c r="AD365" s="3925" t="s">
        <v>294</v>
      </c>
      <c r="AE365" s="3923" t="s">
        <v>294</v>
      </c>
      <c r="AF365" s="3923" t="s">
        <v>294</v>
      </c>
      <c r="AG365" s="10908"/>
    </row>
    <row r="366" spans="1:33" ht="15.75" customHeight="1">
      <c r="A366" s="11000"/>
      <c r="B366" s="10934"/>
      <c r="C366" s="10937"/>
      <c r="D366" s="10937"/>
      <c r="E366" s="10937"/>
      <c r="F366" s="10940"/>
      <c r="G366" s="10937"/>
      <c r="H366" s="10937"/>
      <c r="I366" s="10940"/>
      <c r="J366" s="10937"/>
      <c r="K366" s="10937"/>
      <c r="L366" s="11053"/>
      <c r="M366" s="11053"/>
      <c r="N366" s="11053"/>
      <c r="O366" s="11061"/>
      <c r="P366" s="11061"/>
      <c r="Q366" s="10902"/>
      <c r="R366" s="4441" t="s">
        <v>294</v>
      </c>
      <c r="S366" s="3917" t="s">
        <v>294</v>
      </c>
      <c r="T366" s="3917" t="s">
        <v>294</v>
      </c>
      <c r="U366" s="3913" t="s">
        <v>294</v>
      </c>
      <c r="V366" s="6190" t="s">
        <v>294</v>
      </c>
      <c r="W366" s="3925" t="s">
        <v>294</v>
      </c>
      <c r="X366" s="7567" t="s">
        <v>294</v>
      </c>
      <c r="Y366" s="7567" t="s">
        <v>294</v>
      </c>
      <c r="Z366" s="7567" t="s">
        <v>294</v>
      </c>
      <c r="AA366" s="7566" t="s">
        <v>294</v>
      </c>
      <c r="AB366" s="3940"/>
      <c r="AC366" s="3956"/>
      <c r="AD366" s="3925" t="s">
        <v>294</v>
      </c>
      <c r="AE366" s="3923" t="s">
        <v>294</v>
      </c>
      <c r="AF366" s="3923" t="s">
        <v>294</v>
      </c>
      <c r="AG366" s="10908"/>
    </row>
    <row r="367" spans="1:33" ht="15.75" customHeight="1">
      <c r="A367" s="11000"/>
      <c r="B367" s="10993"/>
      <c r="C367" s="10985"/>
      <c r="D367" s="10985"/>
      <c r="E367" s="10985"/>
      <c r="F367" s="10994"/>
      <c r="G367" s="10985"/>
      <c r="H367" s="10985"/>
      <c r="I367" s="10994"/>
      <c r="J367" s="10985"/>
      <c r="K367" s="10985"/>
      <c r="L367" s="11059"/>
      <c r="M367" s="11059"/>
      <c r="N367" s="11059"/>
      <c r="O367" s="11062"/>
      <c r="P367" s="11062"/>
      <c r="Q367" s="10903"/>
      <c r="R367" s="4446" t="s">
        <v>294</v>
      </c>
      <c r="S367" s="4116" t="s">
        <v>294</v>
      </c>
      <c r="T367" s="4116" t="s">
        <v>294</v>
      </c>
      <c r="U367" s="4667" t="s">
        <v>294</v>
      </c>
      <c r="V367" s="6191" t="s">
        <v>294</v>
      </c>
      <c r="W367" s="4039" t="s">
        <v>294</v>
      </c>
      <c r="X367" s="7568" t="s">
        <v>294</v>
      </c>
      <c r="Y367" s="7568" t="s">
        <v>294</v>
      </c>
      <c r="Z367" s="7568" t="s">
        <v>294</v>
      </c>
      <c r="AA367" s="7569" t="s">
        <v>294</v>
      </c>
      <c r="AB367" s="4097"/>
      <c r="AC367" s="4098"/>
      <c r="AD367" s="4039" t="s">
        <v>294</v>
      </c>
      <c r="AE367" s="4043" t="s">
        <v>294</v>
      </c>
      <c r="AF367" s="4043" t="s">
        <v>294</v>
      </c>
      <c r="AG367" s="10911"/>
    </row>
    <row r="368" spans="1:33" ht="15.75" customHeight="1">
      <c r="A368" s="11000"/>
      <c r="B368" s="10933" t="s">
        <v>183</v>
      </c>
      <c r="C368" s="10936" t="s">
        <v>227</v>
      </c>
      <c r="D368" s="10936" t="s">
        <v>228</v>
      </c>
      <c r="E368" s="10936" t="s">
        <v>229</v>
      </c>
      <c r="F368" s="10939" t="s">
        <v>230</v>
      </c>
      <c r="G368" s="10936" t="s">
        <v>132</v>
      </c>
      <c r="H368" s="10936" t="s">
        <v>159</v>
      </c>
      <c r="I368" s="10939" t="s">
        <v>5474</v>
      </c>
      <c r="J368" s="10936" t="s">
        <v>5475</v>
      </c>
      <c r="K368" s="10936" t="s">
        <v>4869</v>
      </c>
      <c r="L368" s="11063">
        <v>0</v>
      </c>
      <c r="M368" s="11063">
        <v>5</v>
      </c>
      <c r="N368" s="11063">
        <v>5</v>
      </c>
      <c r="O368" s="10936" t="s">
        <v>5476</v>
      </c>
      <c r="P368" s="10936" t="s">
        <v>5477</v>
      </c>
      <c r="Q368" s="11060" t="s">
        <v>5455</v>
      </c>
      <c r="R368" s="4447" t="s">
        <v>294</v>
      </c>
      <c r="S368" s="4008" t="s">
        <v>294</v>
      </c>
      <c r="T368" s="4008" t="s">
        <v>294</v>
      </c>
      <c r="U368" s="4664" t="s">
        <v>294</v>
      </c>
      <c r="V368" s="6192" t="s">
        <v>294</v>
      </c>
      <c r="W368" s="4001" t="s">
        <v>294</v>
      </c>
      <c r="X368" s="7570" t="s">
        <v>294</v>
      </c>
      <c r="Y368" s="7570" t="s">
        <v>294</v>
      </c>
      <c r="Z368" s="7570" t="s">
        <v>294</v>
      </c>
      <c r="AA368" s="7571" t="s">
        <v>294</v>
      </c>
      <c r="AB368" s="4006"/>
      <c r="AC368" s="4007"/>
      <c r="AD368" s="4001" t="s">
        <v>294</v>
      </c>
      <c r="AE368" s="4005" t="s">
        <v>294</v>
      </c>
      <c r="AF368" s="4005" t="s">
        <v>294</v>
      </c>
      <c r="AG368" s="10907" t="s">
        <v>4999</v>
      </c>
    </row>
    <row r="369" spans="1:33" ht="15.75" customHeight="1">
      <c r="A369" s="11000"/>
      <c r="B369" s="10934"/>
      <c r="C369" s="10937"/>
      <c r="D369" s="10937"/>
      <c r="E369" s="10937"/>
      <c r="F369" s="10940"/>
      <c r="G369" s="10937"/>
      <c r="H369" s="10937"/>
      <c r="I369" s="10940"/>
      <c r="J369" s="10937"/>
      <c r="K369" s="10937"/>
      <c r="L369" s="11053"/>
      <c r="M369" s="11053"/>
      <c r="N369" s="11053"/>
      <c r="O369" s="10937"/>
      <c r="P369" s="10937"/>
      <c r="Q369" s="11056"/>
      <c r="R369" s="4441" t="s">
        <v>294</v>
      </c>
      <c r="S369" s="3917" t="s">
        <v>294</v>
      </c>
      <c r="T369" s="3917" t="s">
        <v>294</v>
      </c>
      <c r="U369" s="3913" t="s">
        <v>294</v>
      </c>
      <c r="V369" s="6190" t="s">
        <v>294</v>
      </c>
      <c r="W369" s="3925" t="s">
        <v>294</v>
      </c>
      <c r="X369" s="7567" t="s">
        <v>294</v>
      </c>
      <c r="Y369" s="7567" t="s">
        <v>294</v>
      </c>
      <c r="Z369" s="7567" t="s">
        <v>294</v>
      </c>
      <c r="AA369" s="7566" t="s">
        <v>294</v>
      </c>
      <c r="AB369" s="3940"/>
      <c r="AC369" s="3956"/>
      <c r="AD369" s="3925" t="s">
        <v>294</v>
      </c>
      <c r="AE369" s="3923" t="s">
        <v>294</v>
      </c>
      <c r="AF369" s="3923" t="s">
        <v>294</v>
      </c>
      <c r="AG369" s="10908"/>
    </row>
    <row r="370" spans="1:33" ht="15.75" customHeight="1">
      <c r="A370" s="11000"/>
      <c r="B370" s="10934"/>
      <c r="C370" s="10937"/>
      <c r="D370" s="10937"/>
      <c r="E370" s="10937"/>
      <c r="F370" s="10940"/>
      <c r="G370" s="10937"/>
      <c r="H370" s="10937"/>
      <c r="I370" s="10940"/>
      <c r="J370" s="10937"/>
      <c r="K370" s="10937"/>
      <c r="L370" s="11053"/>
      <c r="M370" s="11053"/>
      <c r="N370" s="11053"/>
      <c r="O370" s="10937"/>
      <c r="P370" s="10937"/>
      <c r="Q370" s="11056"/>
      <c r="R370" s="4434" t="s">
        <v>294</v>
      </c>
      <c r="S370" s="3916" t="s">
        <v>294</v>
      </c>
      <c r="T370" s="3916" t="s">
        <v>294</v>
      </c>
      <c r="U370" s="3913" t="s">
        <v>294</v>
      </c>
      <c r="V370" s="6190" t="s">
        <v>294</v>
      </c>
      <c r="W370" s="3925" t="s">
        <v>294</v>
      </c>
      <c r="X370" s="7567" t="s">
        <v>294</v>
      </c>
      <c r="Y370" s="7567" t="s">
        <v>294</v>
      </c>
      <c r="Z370" s="7567" t="s">
        <v>294</v>
      </c>
      <c r="AA370" s="7566" t="s">
        <v>294</v>
      </c>
      <c r="AB370" s="3940"/>
      <c r="AC370" s="3956"/>
      <c r="AD370" s="3925" t="s">
        <v>294</v>
      </c>
      <c r="AE370" s="3923" t="s">
        <v>294</v>
      </c>
      <c r="AF370" s="3923" t="s">
        <v>294</v>
      </c>
      <c r="AG370" s="10908"/>
    </row>
    <row r="371" spans="1:33" ht="15.75" customHeight="1">
      <c r="A371" s="11000"/>
      <c r="B371" s="10934"/>
      <c r="C371" s="10937"/>
      <c r="D371" s="10937"/>
      <c r="E371" s="10937"/>
      <c r="F371" s="10940"/>
      <c r="G371" s="10937"/>
      <c r="H371" s="10937"/>
      <c r="I371" s="10940"/>
      <c r="J371" s="10937"/>
      <c r="K371" s="10937"/>
      <c r="L371" s="11053"/>
      <c r="M371" s="11053"/>
      <c r="N371" s="11053"/>
      <c r="O371" s="10937"/>
      <c r="P371" s="10937"/>
      <c r="Q371" s="11056"/>
      <c r="R371" s="4441" t="s">
        <v>294</v>
      </c>
      <c r="S371" s="3917" t="s">
        <v>294</v>
      </c>
      <c r="T371" s="3917" t="s">
        <v>294</v>
      </c>
      <c r="U371" s="3913" t="s">
        <v>294</v>
      </c>
      <c r="V371" s="6190" t="s">
        <v>294</v>
      </c>
      <c r="W371" s="3925" t="s">
        <v>294</v>
      </c>
      <c r="X371" s="7567" t="s">
        <v>294</v>
      </c>
      <c r="Y371" s="7567" t="s">
        <v>294</v>
      </c>
      <c r="Z371" s="7567" t="s">
        <v>294</v>
      </c>
      <c r="AA371" s="7566" t="s">
        <v>294</v>
      </c>
      <c r="AB371" s="3940"/>
      <c r="AC371" s="3956"/>
      <c r="AD371" s="3925" t="s">
        <v>294</v>
      </c>
      <c r="AE371" s="3923" t="s">
        <v>294</v>
      </c>
      <c r="AF371" s="3923" t="s">
        <v>294</v>
      </c>
      <c r="AG371" s="10908"/>
    </row>
    <row r="372" spans="1:33" ht="15.75" customHeight="1">
      <c r="A372" s="11000"/>
      <c r="B372" s="10935"/>
      <c r="C372" s="10938"/>
      <c r="D372" s="10938"/>
      <c r="E372" s="10938"/>
      <c r="F372" s="10941"/>
      <c r="G372" s="10938"/>
      <c r="H372" s="10938"/>
      <c r="I372" s="10941"/>
      <c r="J372" s="10938"/>
      <c r="K372" s="10938"/>
      <c r="L372" s="11054"/>
      <c r="M372" s="11054"/>
      <c r="N372" s="11054"/>
      <c r="O372" s="10938"/>
      <c r="P372" s="10938"/>
      <c r="Q372" s="11057"/>
      <c r="R372" s="4431" t="s">
        <v>294</v>
      </c>
      <c r="S372" s="3996" t="s">
        <v>294</v>
      </c>
      <c r="T372" s="3996" t="s">
        <v>294</v>
      </c>
      <c r="U372" s="4665" t="s">
        <v>294</v>
      </c>
      <c r="V372" s="6193" t="s">
        <v>294</v>
      </c>
      <c r="W372" s="3978" t="s">
        <v>294</v>
      </c>
      <c r="X372" s="7573" t="s">
        <v>294</v>
      </c>
      <c r="Y372" s="7573" t="s">
        <v>294</v>
      </c>
      <c r="Z372" s="7573" t="s">
        <v>294</v>
      </c>
      <c r="AA372" s="7574" t="s">
        <v>294</v>
      </c>
      <c r="AB372" s="3994"/>
      <c r="AC372" s="3995"/>
      <c r="AD372" s="3978" t="s">
        <v>294</v>
      </c>
      <c r="AE372" s="3980" t="s">
        <v>294</v>
      </c>
      <c r="AF372" s="3980" t="s">
        <v>294</v>
      </c>
      <c r="AG372" s="10909"/>
    </row>
    <row r="373" spans="1:33" ht="15.75" customHeight="1">
      <c r="A373" s="11000"/>
      <c r="B373" s="10950" t="s">
        <v>127</v>
      </c>
      <c r="C373" s="10948" t="s">
        <v>128</v>
      </c>
      <c r="D373" s="10948" t="s">
        <v>140</v>
      </c>
      <c r="E373" s="10948" t="s">
        <v>1691</v>
      </c>
      <c r="F373" s="10951" t="s">
        <v>131</v>
      </c>
      <c r="G373" s="10948" t="s">
        <v>132</v>
      </c>
      <c r="H373" s="10948" t="s">
        <v>133</v>
      </c>
      <c r="I373" s="10951" t="s">
        <v>5478</v>
      </c>
      <c r="J373" s="10948" t="s">
        <v>4476</v>
      </c>
      <c r="K373" s="10948" t="s">
        <v>5479</v>
      </c>
      <c r="L373" s="11052">
        <v>5</v>
      </c>
      <c r="M373" s="11052">
        <v>5</v>
      </c>
      <c r="N373" s="10912">
        <v>10</v>
      </c>
      <c r="O373" s="11061" t="s">
        <v>5480</v>
      </c>
      <c r="P373" s="11061" t="s">
        <v>5481</v>
      </c>
      <c r="Q373" s="11055" t="s">
        <v>5455</v>
      </c>
      <c r="R373" s="4445" t="s">
        <v>294</v>
      </c>
      <c r="S373" s="4118" t="s">
        <v>294</v>
      </c>
      <c r="T373" s="4118" t="s">
        <v>294</v>
      </c>
      <c r="U373" s="4666" t="s">
        <v>294</v>
      </c>
      <c r="V373" s="6189" t="s">
        <v>294</v>
      </c>
      <c r="W373" s="3908" t="s">
        <v>294</v>
      </c>
      <c r="X373" s="7562" t="s">
        <v>294</v>
      </c>
      <c r="Y373" s="7562" t="s">
        <v>294</v>
      </c>
      <c r="Z373" s="7562" t="s">
        <v>294</v>
      </c>
      <c r="AA373" s="7563" t="s">
        <v>294</v>
      </c>
      <c r="AB373" s="3953"/>
      <c r="AC373" s="3954"/>
      <c r="AD373" s="3908" t="s">
        <v>294</v>
      </c>
      <c r="AE373" s="3912" t="s">
        <v>294</v>
      </c>
      <c r="AF373" s="3912" t="s">
        <v>294</v>
      </c>
      <c r="AG373" s="10910" t="s">
        <v>4843</v>
      </c>
    </row>
    <row r="374" spans="1:33" ht="15.75" customHeight="1">
      <c r="A374" s="11000"/>
      <c r="B374" s="10934"/>
      <c r="C374" s="10937"/>
      <c r="D374" s="10937"/>
      <c r="E374" s="10937"/>
      <c r="F374" s="10940"/>
      <c r="G374" s="10937"/>
      <c r="H374" s="10937"/>
      <c r="I374" s="10940"/>
      <c r="J374" s="10937"/>
      <c r="K374" s="10937"/>
      <c r="L374" s="11053"/>
      <c r="M374" s="11053"/>
      <c r="N374" s="10914"/>
      <c r="O374" s="11061"/>
      <c r="P374" s="11061"/>
      <c r="Q374" s="11056"/>
      <c r="R374" s="4441" t="s">
        <v>294</v>
      </c>
      <c r="S374" s="3917" t="s">
        <v>294</v>
      </c>
      <c r="T374" s="3917" t="s">
        <v>294</v>
      </c>
      <c r="U374" s="3913" t="s">
        <v>294</v>
      </c>
      <c r="V374" s="6190" t="s">
        <v>294</v>
      </c>
      <c r="W374" s="3925" t="s">
        <v>294</v>
      </c>
      <c r="X374" s="7567" t="s">
        <v>294</v>
      </c>
      <c r="Y374" s="7567" t="s">
        <v>294</v>
      </c>
      <c r="Z374" s="7567" t="s">
        <v>294</v>
      </c>
      <c r="AA374" s="7566" t="s">
        <v>294</v>
      </c>
      <c r="AB374" s="3940"/>
      <c r="AC374" s="3956"/>
      <c r="AD374" s="3925" t="s">
        <v>294</v>
      </c>
      <c r="AE374" s="3923" t="s">
        <v>294</v>
      </c>
      <c r="AF374" s="3923" t="s">
        <v>294</v>
      </c>
      <c r="AG374" s="10908"/>
    </row>
    <row r="375" spans="1:33" ht="15.75" customHeight="1">
      <c r="A375" s="11000"/>
      <c r="B375" s="10934"/>
      <c r="C375" s="10937"/>
      <c r="D375" s="10937"/>
      <c r="E375" s="10937"/>
      <c r="F375" s="10940"/>
      <c r="G375" s="10937"/>
      <c r="H375" s="10937"/>
      <c r="I375" s="10940"/>
      <c r="J375" s="10937"/>
      <c r="K375" s="10937"/>
      <c r="L375" s="11053"/>
      <c r="M375" s="11053"/>
      <c r="N375" s="10914"/>
      <c r="O375" s="11061"/>
      <c r="P375" s="11061"/>
      <c r="Q375" s="11056"/>
      <c r="R375" s="4434" t="s">
        <v>294</v>
      </c>
      <c r="S375" s="3916" t="s">
        <v>294</v>
      </c>
      <c r="T375" s="3916" t="s">
        <v>294</v>
      </c>
      <c r="U375" s="3913" t="s">
        <v>294</v>
      </c>
      <c r="V375" s="6190" t="s">
        <v>294</v>
      </c>
      <c r="W375" s="3925" t="s">
        <v>294</v>
      </c>
      <c r="X375" s="7567" t="s">
        <v>294</v>
      </c>
      <c r="Y375" s="7567" t="s">
        <v>294</v>
      </c>
      <c r="Z375" s="7567" t="s">
        <v>294</v>
      </c>
      <c r="AA375" s="7566" t="s">
        <v>294</v>
      </c>
      <c r="AB375" s="3940"/>
      <c r="AC375" s="3956"/>
      <c r="AD375" s="3925" t="s">
        <v>294</v>
      </c>
      <c r="AE375" s="3923" t="s">
        <v>294</v>
      </c>
      <c r="AF375" s="3923" t="s">
        <v>294</v>
      </c>
      <c r="AG375" s="10908"/>
    </row>
    <row r="376" spans="1:33" ht="15.75" customHeight="1">
      <c r="A376" s="11000"/>
      <c r="B376" s="10934"/>
      <c r="C376" s="10937"/>
      <c r="D376" s="10937"/>
      <c r="E376" s="10937"/>
      <c r="F376" s="10940"/>
      <c r="G376" s="10937"/>
      <c r="H376" s="10937"/>
      <c r="I376" s="10940"/>
      <c r="J376" s="10937"/>
      <c r="K376" s="10937"/>
      <c r="L376" s="11053"/>
      <c r="M376" s="11053"/>
      <c r="N376" s="10914"/>
      <c r="O376" s="11061"/>
      <c r="P376" s="11061"/>
      <c r="Q376" s="11056"/>
      <c r="R376" s="4441" t="s">
        <v>294</v>
      </c>
      <c r="S376" s="3917" t="s">
        <v>294</v>
      </c>
      <c r="T376" s="3917" t="s">
        <v>294</v>
      </c>
      <c r="U376" s="3913" t="s">
        <v>294</v>
      </c>
      <c r="V376" s="6190" t="s">
        <v>294</v>
      </c>
      <c r="W376" s="3925" t="s">
        <v>294</v>
      </c>
      <c r="X376" s="7567" t="s">
        <v>294</v>
      </c>
      <c r="Y376" s="7567" t="s">
        <v>294</v>
      </c>
      <c r="Z376" s="7567" t="s">
        <v>294</v>
      </c>
      <c r="AA376" s="7566" t="s">
        <v>294</v>
      </c>
      <c r="AB376" s="3940"/>
      <c r="AC376" s="3956"/>
      <c r="AD376" s="3925" t="s">
        <v>294</v>
      </c>
      <c r="AE376" s="3923" t="s">
        <v>294</v>
      </c>
      <c r="AF376" s="3923" t="s">
        <v>294</v>
      </c>
      <c r="AG376" s="10908"/>
    </row>
    <row r="377" spans="1:33" ht="15.75" customHeight="1">
      <c r="A377" s="11000"/>
      <c r="B377" s="10993"/>
      <c r="C377" s="10985"/>
      <c r="D377" s="10985"/>
      <c r="E377" s="10985"/>
      <c r="F377" s="10994"/>
      <c r="G377" s="10985"/>
      <c r="H377" s="10985"/>
      <c r="I377" s="10994"/>
      <c r="J377" s="10985"/>
      <c r="K377" s="10985"/>
      <c r="L377" s="11059"/>
      <c r="M377" s="11059"/>
      <c r="N377" s="10913"/>
      <c r="O377" s="11062"/>
      <c r="P377" s="11062"/>
      <c r="Q377" s="11058"/>
      <c r="R377" s="4446" t="s">
        <v>294</v>
      </c>
      <c r="S377" s="4116" t="s">
        <v>294</v>
      </c>
      <c r="T377" s="4116" t="s">
        <v>294</v>
      </c>
      <c r="U377" s="4667" t="s">
        <v>294</v>
      </c>
      <c r="V377" s="6191" t="s">
        <v>294</v>
      </c>
      <c r="W377" s="4039" t="s">
        <v>294</v>
      </c>
      <c r="X377" s="7568" t="s">
        <v>294</v>
      </c>
      <c r="Y377" s="7568" t="s">
        <v>294</v>
      </c>
      <c r="Z377" s="7568" t="s">
        <v>294</v>
      </c>
      <c r="AA377" s="7569" t="s">
        <v>294</v>
      </c>
      <c r="AB377" s="4097"/>
      <c r="AC377" s="4098"/>
      <c r="AD377" s="4039" t="s">
        <v>294</v>
      </c>
      <c r="AE377" s="4043" t="s">
        <v>294</v>
      </c>
      <c r="AF377" s="4043" t="s">
        <v>294</v>
      </c>
      <c r="AG377" s="10911"/>
    </row>
    <row r="378" spans="1:33" ht="15.75" customHeight="1">
      <c r="A378" s="11000"/>
      <c r="B378" s="10933" t="s">
        <v>127</v>
      </c>
      <c r="C378" s="10936" t="s">
        <v>128</v>
      </c>
      <c r="D378" s="10936" t="s">
        <v>129</v>
      </c>
      <c r="E378" s="10936" t="s">
        <v>157</v>
      </c>
      <c r="F378" s="10939" t="s">
        <v>131</v>
      </c>
      <c r="G378" s="10936" t="s">
        <v>132</v>
      </c>
      <c r="H378" s="10936" t="s">
        <v>159</v>
      </c>
      <c r="I378" s="10939" t="s">
        <v>5482</v>
      </c>
      <c r="J378" s="10936" t="s">
        <v>286</v>
      </c>
      <c r="K378" s="10936" t="s">
        <v>5483</v>
      </c>
      <c r="L378" s="11020">
        <v>0</v>
      </c>
      <c r="M378" s="11020">
        <v>1</v>
      </c>
      <c r="N378" s="11020">
        <v>1</v>
      </c>
      <c r="O378" s="10936" t="s">
        <v>5484</v>
      </c>
      <c r="P378" s="10936" t="s">
        <v>5485</v>
      </c>
      <c r="Q378" s="11060" t="s">
        <v>5486</v>
      </c>
      <c r="R378" s="4447" t="s">
        <v>294</v>
      </c>
      <c r="S378" s="4008" t="s">
        <v>294</v>
      </c>
      <c r="T378" s="4008" t="s">
        <v>294</v>
      </c>
      <c r="U378" s="4664" t="s">
        <v>294</v>
      </c>
      <c r="V378" s="6192" t="s">
        <v>294</v>
      </c>
      <c r="W378" s="4001" t="s">
        <v>294</v>
      </c>
      <c r="X378" s="7570" t="s">
        <v>294</v>
      </c>
      <c r="Y378" s="7570" t="s">
        <v>294</v>
      </c>
      <c r="Z378" s="7570" t="s">
        <v>294</v>
      </c>
      <c r="AA378" s="7571" t="s">
        <v>294</v>
      </c>
      <c r="AB378" s="4006"/>
      <c r="AC378" s="4007"/>
      <c r="AD378" s="4001" t="s">
        <v>294</v>
      </c>
      <c r="AE378" s="4005" t="s">
        <v>294</v>
      </c>
      <c r="AF378" s="4005" t="s">
        <v>294</v>
      </c>
      <c r="AG378" s="10907" t="s">
        <v>294</v>
      </c>
    </row>
    <row r="379" spans="1:33" ht="15.75" customHeight="1">
      <c r="A379" s="11000"/>
      <c r="B379" s="10934"/>
      <c r="C379" s="10937"/>
      <c r="D379" s="10937"/>
      <c r="E379" s="10937"/>
      <c r="F379" s="10940"/>
      <c r="G379" s="10937"/>
      <c r="H379" s="10937"/>
      <c r="I379" s="10940"/>
      <c r="J379" s="10937"/>
      <c r="K379" s="10937"/>
      <c r="L379" s="11021"/>
      <c r="M379" s="11021"/>
      <c r="N379" s="11021"/>
      <c r="O379" s="10937"/>
      <c r="P379" s="10937"/>
      <c r="Q379" s="11056"/>
      <c r="R379" s="4441" t="s">
        <v>294</v>
      </c>
      <c r="S379" s="3917" t="s">
        <v>294</v>
      </c>
      <c r="T379" s="3917" t="s">
        <v>294</v>
      </c>
      <c r="U379" s="3913" t="s">
        <v>294</v>
      </c>
      <c r="V379" s="6190" t="s">
        <v>294</v>
      </c>
      <c r="W379" s="3925" t="s">
        <v>294</v>
      </c>
      <c r="X379" s="7567" t="s">
        <v>294</v>
      </c>
      <c r="Y379" s="7567" t="s">
        <v>294</v>
      </c>
      <c r="Z379" s="7567" t="s">
        <v>294</v>
      </c>
      <c r="AA379" s="7566" t="s">
        <v>294</v>
      </c>
      <c r="AB379" s="3940"/>
      <c r="AC379" s="3956"/>
      <c r="AD379" s="3925" t="s">
        <v>294</v>
      </c>
      <c r="AE379" s="3923" t="s">
        <v>294</v>
      </c>
      <c r="AF379" s="3923" t="s">
        <v>294</v>
      </c>
      <c r="AG379" s="10908"/>
    </row>
    <row r="380" spans="1:33" ht="15.75" customHeight="1">
      <c r="A380" s="11000"/>
      <c r="B380" s="10934"/>
      <c r="C380" s="10937"/>
      <c r="D380" s="10937"/>
      <c r="E380" s="10937"/>
      <c r="F380" s="10940"/>
      <c r="G380" s="10937"/>
      <c r="H380" s="10937"/>
      <c r="I380" s="10940"/>
      <c r="J380" s="10937"/>
      <c r="K380" s="10937"/>
      <c r="L380" s="11021"/>
      <c r="M380" s="11021"/>
      <c r="N380" s="11021"/>
      <c r="O380" s="10937"/>
      <c r="P380" s="10937"/>
      <c r="Q380" s="11056"/>
      <c r="R380" s="4434" t="s">
        <v>294</v>
      </c>
      <c r="S380" s="3916" t="s">
        <v>294</v>
      </c>
      <c r="T380" s="3916" t="s">
        <v>294</v>
      </c>
      <c r="U380" s="3913" t="s">
        <v>294</v>
      </c>
      <c r="V380" s="6190" t="s">
        <v>294</v>
      </c>
      <c r="W380" s="3925" t="s">
        <v>294</v>
      </c>
      <c r="X380" s="7567" t="s">
        <v>294</v>
      </c>
      <c r="Y380" s="7567" t="s">
        <v>294</v>
      </c>
      <c r="Z380" s="7567" t="s">
        <v>294</v>
      </c>
      <c r="AA380" s="7566" t="s">
        <v>294</v>
      </c>
      <c r="AB380" s="3940"/>
      <c r="AC380" s="3956"/>
      <c r="AD380" s="3925" t="s">
        <v>294</v>
      </c>
      <c r="AE380" s="3923" t="s">
        <v>294</v>
      </c>
      <c r="AF380" s="3923" t="s">
        <v>294</v>
      </c>
      <c r="AG380" s="10908"/>
    </row>
    <row r="381" spans="1:33" ht="15.75" customHeight="1">
      <c r="A381" s="11000"/>
      <c r="B381" s="10934"/>
      <c r="C381" s="10937"/>
      <c r="D381" s="10937"/>
      <c r="E381" s="10937"/>
      <c r="F381" s="10940"/>
      <c r="G381" s="10937"/>
      <c r="H381" s="10937"/>
      <c r="I381" s="10940"/>
      <c r="J381" s="10937"/>
      <c r="K381" s="10937"/>
      <c r="L381" s="11021"/>
      <c r="M381" s="11021"/>
      <c r="N381" s="11021"/>
      <c r="O381" s="10937"/>
      <c r="P381" s="10937"/>
      <c r="Q381" s="11056"/>
      <c r="R381" s="4441" t="s">
        <v>294</v>
      </c>
      <c r="S381" s="3917" t="s">
        <v>294</v>
      </c>
      <c r="T381" s="3917" t="s">
        <v>294</v>
      </c>
      <c r="U381" s="3913" t="s">
        <v>294</v>
      </c>
      <c r="V381" s="6190" t="s">
        <v>294</v>
      </c>
      <c r="W381" s="3925" t="s">
        <v>294</v>
      </c>
      <c r="X381" s="7567" t="s">
        <v>294</v>
      </c>
      <c r="Y381" s="7567" t="s">
        <v>294</v>
      </c>
      <c r="Z381" s="7567" t="s">
        <v>294</v>
      </c>
      <c r="AA381" s="7566" t="s">
        <v>294</v>
      </c>
      <c r="AB381" s="3940"/>
      <c r="AC381" s="3956"/>
      <c r="AD381" s="3925" t="s">
        <v>294</v>
      </c>
      <c r="AE381" s="3923" t="s">
        <v>294</v>
      </c>
      <c r="AF381" s="3923" t="s">
        <v>294</v>
      </c>
      <c r="AG381" s="10908"/>
    </row>
    <row r="382" spans="1:33" ht="15.75" customHeight="1">
      <c r="A382" s="11000"/>
      <c r="B382" s="10935"/>
      <c r="C382" s="10938"/>
      <c r="D382" s="10938"/>
      <c r="E382" s="10938"/>
      <c r="F382" s="10941"/>
      <c r="G382" s="10938"/>
      <c r="H382" s="10938"/>
      <c r="I382" s="10941"/>
      <c r="J382" s="10938"/>
      <c r="K382" s="10938"/>
      <c r="L382" s="11022"/>
      <c r="M382" s="11022"/>
      <c r="N382" s="11022"/>
      <c r="O382" s="10938"/>
      <c r="P382" s="10938"/>
      <c r="Q382" s="11057"/>
      <c r="R382" s="4431" t="s">
        <v>294</v>
      </c>
      <c r="S382" s="3996" t="s">
        <v>294</v>
      </c>
      <c r="T382" s="3996" t="s">
        <v>294</v>
      </c>
      <c r="U382" s="4665" t="s">
        <v>294</v>
      </c>
      <c r="V382" s="6193" t="s">
        <v>294</v>
      </c>
      <c r="W382" s="3978" t="s">
        <v>294</v>
      </c>
      <c r="X382" s="7573" t="s">
        <v>294</v>
      </c>
      <c r="Y382" s="7573" t="s">
        <v>294</v>
      </c>
      <c r="Z382" s="7573" t="s">
        <v>294</v>
      </c>
      <c r="AA382" s="7574" t="s">
        <v>294</v>
      </c>
      <c r="AB382" s="3994"/>
      <c r="AC382" s="3995"/>
      <c r="AD382" s="3978" t="s">
        <v>294</v>
      </c>
      <c r="AE382" s="3980" t="s">
        <v>294</v>
      </c>
      <c r="AF382" s="3980" t="s">
        <v>294</v>
      </c>
      <c r="AG382" s="10909"/>
    </row>
    <row r="383" spans="1:33" ht="15.75" customHeight="1">
      <c r="A383" s="11000"/>
      <c r="B383" s="10950" t="s">
        <v>127</v>
      </c>
      <c r="C383" s="10948" t="s">
        <v>128</v>
      </c>
      <c r="D383" s="10948" t="s">
        <v>129</v>
      </c>
      <c r="E383" s="10948" t="s">
        <v>157</v>
      </c>
      <c r="F383" s="10951" t="s">
        <v>131</v>
      </c>
      <c r="G383" s="10948" t="s">
        <v>132</v>
      </c>
      <c r="H383" s="10948" t="s">
        <v>159</v>
      </c>
      <c r="I383" s="10951" t="s">
        <v>5487</v>
      </c>
      <c r="J383" s="10948" t="s">
        <v>1378</v>
      </c>
      <c r="K383" s="10948" t="s">
        <v>4488</v>
      </c>
      <c r="L383" s="11052">
        <v>0</v>
      </c>
      <c r="M383" s="11052">
        <v>1</v>
      </c>
      <c r="N383" s="11052">
        <v>0</v>
      </c>
      <c r="O383" s="10948" t="s">
        <v>4489</v>
      </c>
      <c r="P383" s="10948" t="s">
        <v>1381</v>
      </c>
      <c r="Q383" s="11055" t="s">
        <v>5488</v>
      </c>
      <c r="R383" s="4445" t="s">
        <v>294</v>
      </c>
      <c r="S383" s="4118" t="s">
        <v>294</v>
      </c>
      <c r="T383" s="4118" t="s">
        <v>294</v>
      </c>
      <c r="U383" s="4666" t="s">
        <v>294</v>
      </c>
      <c r="V383" s="6189" t="s">
        <v>294</v>
      </c>
      <c r="W383" s="3908" t="s">
        <v>294</v>
      </c>
      <c r="X383" s="7562" t="s">
        <v>294</v>
      </c>
      <c r="Y383" s="7562" t="s">
        <v>294</v>
      </c>
      <c r="Z383" s="7562" t="s">
        <v>294</v>
      </c>
      <c r="AA383" s="7563" t="s">
        <v>294</v>
      </c>
      <c r="AB383" s="3953"/>
      <c r="AC383" s="3954"/>
      <c r="AD383" s="3908" t="s">
        <v>294</v>
      </c>
      <c r="AE383" s="3912" t="s">
        <v>294</v>
      </c>
      <c r="AF383" s="3912" t="s">
        <v>294</v>
      </c>
      <c r="AG383" s="10907" t="s">
        <v>294</v>
      </c>
    </row>
    <row r="384" spans="1:33" ht="15.75" customHeight="1">
      <c r="A384" s="11000"/>
      <c r="B384" s="10934"/>
      <c r="C384" s="10937"/>
      <c r="D384" s="10937"/>
      <c r="E384" s="10937"/>
      <c r="F384" s="10940"/>
      <c r="G384" s="10937"/>
      <c r="H384" s="10937"/>
      <c r="I384" s="10940"/>
      <c r="J384" s="10937"/>
      <c r="K384" s="10937"/>
      <c r="L384" s="11053"/>
      <c r="M384" s="11053"/>
      <c r="N384" s="11053"/>
      <c r="O384" s="10937"/>
      <c r="P384" s="10937"/>
      <c r="Q384" s="11056"/>
      <c r="R384" s="4441" t="s">
        <v>294</v>
      </c>
      <c r="S384" s="3917" t="s">
        <v>294</v>
      </c>
      <c r="T384" s="3917" t="s">
        <v>294</v>
      </c>
      <c r="U384" s="3913" t="s">
        <v>294</v>
      </c>
      <c r="V384" s="6190" t="s">
        <v>294</v>
      </c>
      <c r="W384" s="3925" t="s">
        <v>294</v>
      </c>
      <c r="X384" s="7567" t="s">
        <v>294</v>
      </c>
      <c r="Y384" s="7567" t="s">
        <v>294</v>
      </c>
      <c r="Z384" s="7567" t="s">
        <v>294</v>
      </c>
      <c r="AA384" s="7566" t="s">
        <v>294</v>
      </c>
      <c r="AB384" s="3940"/>
      <c r="AC384" s="3956"/>
      <c r="AD384" s="3925" t="s">
        <v>294</v>
      </c>
      <c r="AE384" s="3923" t="s">
        <v>294</v>
      </c>
      <c r="AF384" s="3923" t="s">
        <v>294</v>
      </c>
      <c r="AG384" s="10908"/>
    </row>
    <row r="385" spans="1:33" ht="15.75" customHeight="1">
      <c r="A385" s="11000"/>
      <c r="B385" s="10934"/>
      <c r="C385" s="10937"/>
      <c r="D385" s="10937"/>
      <c r="E385" s="10937"/>
      <c r="F385" s="10940"/>
      <c r="G385" s="10937"/>
      <c r="H385" s="10937"/>
      <c r="I385" s="10940"/>
      <c r="J385" s="10937"/>
      <c r="K385" s="10937"/>
      <c r="L385" s="11053"/>
      <c r="M385" s="11053"/>
      <c r="N385" s="11053"/>
      <c r="O385" s="10937"/>
      <c r="P385" s="10937"/>
      <c r="Q385" s="11056"/>
      <c r="R385" s="4434" t="s">
        <v>294</v>
      </c>
      <c r="S385" s="3916" t="s">
        <v>294</v>
      </c>
      <c r="T385" s="3916" t="s">
        <v>294</v>
      </c>
      <c r="U385" s="3913" t="s">
        <v>294</v>
      </c>
      <c r="V385" s="6190" t="s">
        <v>294</v>
      </c>
      <c r="W385" s="3925" t="s">
        <v>294</v>
      </c>
      <c r="X385" s="7567" t="s">
        <v>294</v>
      </c>
      <c r="Y385" s="7567" t="s">
        <v>294</v>
      </c>
      <c r="Z385" s="7567" t="s">
        <v>294</v>
      </c>
      <c r="AA385" s="7566" t="s">
        <v>294</v>
      </c>
      <c r="AB385" s="3940"/>
      <c r="AC385" s="3956"/>
      <c r="AD385" s="3925" t="s">
        <v>294</v>
      </c>
      <c r="AE385" s="3923" t="s">
        <v>294</v>
      </c>
      <c r="AF385" s="3923" t="s">
        <v>294</v>
      </c>
      <c r="AG385" s="10908"/>
    </row>
    <row r="386" spans="1:33" ht="15.75" customHeight="1">
      <c r="A386" s="11000"/>
      <c r="B386" s="10934"/>
      <c r="C386" s="10937"/>
      <c r="D386" s="10937"/>
      <c r="E386" s="10937"/>
      <c r="F386" s="10940"/>
      <c r="G386" s="10937"/>
      <c r="H386" s="10937"/>
      <c r="I386" s="10940"/>
      <c r="J386" s="10937"/>
      <c r="K386" s="10937"/>
      <c r="L386" s="11053"/>
      <c r="M386" s="11053"/>
      <c r="N386" s="11053"/>
      <c r="O386" s="10937"/>
      <c r="P386" s="10937"/>
      <c r="Q386" s="11056"/>
      <c r="R386" s="4441" t="s">
        <v>294</v>
      </c>
      <c r="S386" s="3917" t="s">
        <v>294</v>
      </c>
      <c r="T386" s="3917" t="s">
        <v>294</v>
      </c>
      <c r="U386" s="3913" t="s">
        <v>294</v>
      </c>
      <c r="V386" s="6190" t="s">
        <v>294</v>
      </c>
      <c r="W386" s="3925" t="s">
        <v>294</v>
      </c>
      <c r="X386" s="7567" t="s">
        <v>294</v>
      </c>
      <c r="Y386" s="7567" t="s">
        <v>294</v>
      </c>
      <c r="Z386" s="7567" t="s">
        <v>294</v>
      </c>
      <c r="AA386" s="7566" t="s">
        <v>294</v>
      </c>
      <c r="AB386" s="3940"/>
      <c r="AC386" s="3956"/>
      <c r="AD386" s="3925" t="s">
        <v>294</v>
      </c>
      <c r="AE386" s="3923" t="s">
        <v>294</v>
      </c>
      <c r="AF386" s="3923" t="s">
        <v>294</v>
      </c>
      <c r="AG386" s="10908"/>
    </row>
    <row r="387" spans="1:33" ht="15.75" customHeight="1">
      <c r="A387" s="11000"/>
      <c r="B387" s="10935"/>
      <c r="C387" s="10938"/>
      <c r="D387" s="10938"/>
      <c r="E387" s="10938"/>
      <c r="F387" s="10941"/>
      <c r="G387" s="10938"/>
      <c r="H387" s="10938"/>
      <c r="I387" s="10941"/>
      <c r="J387" s="10938"/>
      <c r="K387" s="10938"/>
      <c r="L387" s="11054"/>
      <c r="M387" s="11054"/>
      <c r="N387" s="11054"/>
      <c r="O387" s="10938"/>
      <c r="P387" s="10938"/>
      <c r="Q387" s="11057"/>
      <c r="R387" s="4442" t="s">
        <v>294</v>
      </c>
      <c r="S387" s="3977" t="s">
        <v>294</v>
      </c>
      <c r="T387" s="3977" t="s">
        <v>294</v>
      </c>
      <c r="U387" s="3952" t="s">
        <v>294</v>
      </c>
      <c r="V387" s="6193" t="s">
        <v>294</v>
      </c>
      <c r="W387" s="3978" t="s">
        <v>294</v>
      </c>
      <c r="X387" s="7573" t="s">
        <v>294</v>
      </c>
      <c r="Y387" s="7573" t="s">
        <v>294</v>
      </c>
      <c r="Z387" s="7573" t="s">
        <v>294</v>
      </c>
      <c r="AA387" s="7574" t="s">
        <v>294</v>
      </c>
      <c r="AB387" s="3994"/>
      <c r="AC387" s="3995"/>
      <c r="AD387" s="3978" t="s">
        <v>294</v>
      </c>
      <c r="AE387" s="3980" t="s">
        <v>294</v>
      </c>
      <c r="AF387" s="3980" t="s">
        <v>294</v>
      </c>
      <c r="AG387" s="10909"/>
    </row>
    <row r="388" spans="1:33" s="6145" customFormat="1" ht="15.75" customHeight="1" thickBot="1">
      <c r="A388" s="11033"/>
      <c r="B388" s="6239" t="s">
        <v>294</v>
      </c>
      <c r="C388" s="5407" t="s">
        <v>294</v>
      </c>
      <c r="D388" s="5407" t="s">
        <v>294</v>
      </c>
      <c r="E388" s="5407" t="s">
        <v>294</v>
      </c>
      <c r="F388" s="5407" t="s">
        <v>294</v>
      </c>
      <c r="G388" s="5407" t="s">
        <v>294</v>
      </c>
      <c r="H388" s="5407" t="s">
        <v>294</v>
      </c>
      <c r="I388" s="5407" t="s">
        <v>294</v>
      </c>
      <c r="J388" s="5407" t="s">
        <v>294</v>
      </c>
      <c r="K388" s="5407" t="s">
        <v>294</v>
      </c>
      <c r="L388" s="5408" t="s">
        <v>294</v>
      </c>
      <c r="M388" s="5408" t="s">
        <v>294</v>
      </c>
      <c r="N388" s="5408" t="s">
        <v>294</v>
      </c>
      <c r="O388" s="5409" t="s">
        <v>294</v>
      </c>
      <c r="P388" s="5410" t="s">
        <v>294</v>
      </c>
      <c r="Q388" s="5409"/>
      <c r="R388" s="6141" t="s">
        <v>5489</v>
      </c>
      <c r="S388" s="5407"/>
      <c r="T388" s="5407"/>
      <c r="U388" s="5409"/>
      <c r="V388" s="5407"/>
      <c r="W388" s="5407"/>
      <c r="X388" s="5407"/>
      <c r="Y388" s="5407"/>
      <c r="Z388" s="6148" t="s">
        <v>292</v>
      </c>
      <c r="AA388" s="7589">
        <f>SUM(AA92:AA387)</f>
        <v>112318.59921428571</v>
      </c>
      <c r="AB388" s="6146"/>
      <c r="AC388" s="6147"/>
      <c r="AD388" s="10958" t="s">
        <v>294</v>
      </c>
      <c r="AE388" s="10958"/>
      <c r="AF388" s="10958"/>
      <c r="AG388" s="10959"/>
    </row>
    <row r="389" spans="1:33" ht="15.75" customHeight="1">
      <c r="A389" s="11000" t="s">
        <v>4492</v>
      </c>
      <c r="B389" s="10950" t="s">
        <v>127</v>
      </c>
      <c r="C389" s="10948" t="s">
        <v>128</v>
      </c>
      <c r="D389" s="10948" t="s">
        <v>129</v>
      </c>
      <c r="E389" s="10948" t="s">
        <v>268</v>
      </c>
      <c r="F389" s="10951" t="s">
        <v>131</v>
      </c>
      <c r="G389" s="10948" t="s">
        <v>5490</v>
      </c>
      <c r="H389" s="10948" t="s">
        <v>159</v>
      </c>
      <c r="I389" s="11001" t="s">
        <v>5491</v>
      </c>
      <c r="J389" s="10948" t="s">
        <v>4494</v>
      </c>
      <c r="K389" s="10948" t="s">
        <v>5492</v>
      </c>
      <c r="L389" s="10949">
        <v>3</v>
      </c>
      <c r="M389" s="10949">
        <v>1</v>
      </c>
      <c r="N389" s="10949">
        <v>2</v>
      </c>
      <c r="O389" s="10948" t="s">
        <v>5493</v>
      </c>
      <c r="P389" s="10948" t="s">
        <v>5494</v>
      </c>
      <c r="Q389" s="10986" t="s">
        <v>5495</v>
      </c>
      <c r="R389" s="4064" t="s">
        <v>294</v>
      </c>
      <c r="S389" s="3907" t="s">
        <v>294</v>
      </c>
      <c r="T389" s="3907" t="s">
        <v>294</v>
      </c>
      <c r="U389" s="3906" t="s">
        <v>294</v>
      </c>
      <c r="V389" s="6189" t="s">
        <v>294</v>
      </c>
      <c r="W389" s="3908" t="s">
        <v>294</v>
      </c>
      <c r="X389" s="7562" t="s">
        <v>294</v>
      </c>
      <c r="Y389" s="7562" t="s">
        <v>294</v>
      </c>
      <c r="Z389" s="7562" t="s">
        <v>294</v>
      </c>
      <c r="AA389" s="7563" t="s">
        <v>294</v>
      </c>
      <c r="AB389" s="7668"/>
      <c r="AC389" s="3909"/>
      <c r="AD389" s="3908" t="s">
        <v>294</v>
      </c>
      <c r="AE389" s="3912" t="s">
        <v>294</v>
      </c>
      <c r="AF389" s="3912" t="s">
        <v>294</v>
      </c>
      <c r="AG389" s="10910" t="s">
        <v>294</v>
      </c>
    </row>
    <row r="390" spans="1:33" ht="15.75" customHeight="1">
      <c r="A390" s="11000"/>
      <c r="B390" s="10934"/>
      <c r="C390" s="10937"/>
      <c r="D390" s="10937"/>
      <c r="E390" s="10937"/>
      <c r="F390" s="10940"/>
      <c r="G390" s="10937"/>
      <c r="H390" s="10937"/>
      <c r="I390" s="11002"/>
      <c r="J390" s="10937"/>
      <c r="K390" s="10937"/>
      <c r="L390" s="10943"/>
      <c r="M390" s="10943"/>
      <c r="N390" s="10943"/>
      <c r="O390" s="10937"/>
      <c r="P390" s="10937"/>
      <c r="Q390" s="10953"/>
      <c r="R390" s="4019" t="s">
        <v>294</v>
      </c>
      <c r="S390" s="3917" t="s">
        <v>294</v>
      </c>
      <c r="T390" s="3917" t="s">
        <v>294</v>
      </c>
      <c r="U390" s="3913" t="s">
        <v>294</v>
      </c>
      <c r="V390" s="6190" t="s">
        <v>294</v>
      </c>
      <c r="W390" s="3925" t="s">
        <v>294</v>
      </c>
      <c r="X390" s="7567" t="s">
        <v>294</v>
      </c>
      <c r="Y390" s="7567" t="s">
        <v>294</v>
      </c>
      <c r="Z390" s="7567" t="s">
        <v>294</v>
      </c>
      <c r="AA390" s="7566" t="s">
        <v>294</v>
      </c>
      <c r="AB390" s="7669"/>
      <c r="AC390" s="3920"/>
      <c r="AD390" s="3925" t="s">
        <v>294</v>
      </c>
      <c r="AE390" s="3923" t="s">
        <v>294</v>
      </c>
      <c r="AF390" s="3923" t="s">
        <v>294</v>
      </c>
      <c r="AG390" s="10908"/>
    </row>
    <row r="391" spans="1:33" ht="15.75" customHeight="1">
      <c r="A391" s="11000"/>
      <c r="B391" s="10934"/>
      <c r="C391" s="10937"/>
      <c r="D391" s="10937"/>
      <c r="E391" s="10937"/>
      <c r="F391" s="10940"/>
      <c r="G391" s="10937"/>
      <c r="H391" s="10937"/>
      <c r="I391" s="11002"/>
      <c r="J391" s="10937"/>
      <c r="K391" s="10937"/>
      <c r="L391" s="10943"/>
      <c r="M391" s="10943"/>
      <c r="N391" s="10943"/>
      <c r="O391" s="10937"/>
      <c r="P391" s="10937"/>
      <c r="Q391" s="10953"/>
      <c r="R391" s="4019" t="s">
        <v>294</v>
      </c>
      <c r="S391" s="3917" t="s">
        <v>294</v>
      </c>
      <c r="T391" s="3917" t="s">
        <v>294</v>
      </c>
      <c r="U391" s="3913" t="s">
        <v>294</v>
      </c>
      <c r="V391" s="6190" t="s">
        <v>294</v>
      </c>
      <c r="W391" s="3925" t="s">
        <v>294</v>
      </c>
      <c r="X391" s="7567" t="s">
        <v>294</v>
      </c>
      <c r="Y391" s="7567" t="s">
        <v>294</v>
      </c>
      <c r="Z391" s="7567" t="s">
        <v>294</v>
      </c>
      <c r="AA391" s="7566" t="s">
        <v>294</v>
      </c>
      <c r="AB391" s="7669"/>
      <c r="AC391" s="3920"/>
      <c r="AD391" s="3925" t="s">
        <v>294</v>
      </c>
      <c r="AE391" s="3923" t="s">
        <v>294</v>
      </c>
      <c r="AF391" s="3923" t="s">
        <v>294</v>
      </c>
      <c r="AG391" s="10908"/>
    </row>
    <row r="392" spans="1:33" ht="15.75" customHeight="1">
      <c r="A392" s="11000"/>
      <c r="B392" s="10934"/>
      <c r="C392" s="10937"/>
      <c r="D392" s="10937"/>
      <c r="E392" s="10937"/>
      <c r="F392" s="10940"/>
      <c r="G392" s="10937"/>
      <c r="H392" s="10937"/>
      <c r="I392" s="11002"/>
      <c r="J392" s="10937"/>
      <c r="K392" s="10937"/>
      <c r="L392" s="10943"/>
      <c r="M392" s="10943"/>
      <c r="N392" s="10943"/>
      <c r="O392" s="10937"/>
      <c r="P392" s="10937"/>
      <c r="Q392" s="10953"/>
      <c r="R392" s="4018" t="s">
        <v>294</v>
      </c>
      <c r="S392" s="3916" t="s">
        <v>294</v>
      </c>
      <c r="T392" s="3916" t="s">
        <v>294</v>
      </c>
      <c r="U392" s="3913" t="s">
        <v>294</v>
      </c>
      <c r="V392" s="6190" t="s">
        <v>294</v>
      </c>
      <c r="W392" s="3925" t="s">
        <v>294</v>
      </c>
      <c r="X392" s="7567" t="s">
        <v>294</v>
      </c>
      <c r="Y392" s="7567" t="s">
        <v>294</v>
      </c>
      <c r="Z392" s="7567" t="s">
        <v>294</v>
      </c>
      <c r="AA392" s="7566" t="s">
        <v>294</v>
      </c>
      <c r="AB392" s="7669"/>
      <c r="AC392" s="3920"/>
      <c r="AD392" s="3925" t="s">
        <v>294</v>
      </c>
      <c r="AE392" s="3923" t="s">
        <v>294</v>
      </c>
      <c r="AF392" s="3923" t="s">
        <v>294</v>
      </c>
      <c r="AG392" s="10908"/>
    </row>
    <row r="393" spans="1:33" ht="15.75" customHeight="1">
      <c r="A393" s="11000"/>
      <c r="B393" s="10993"/>
      <c r="C393" s="10985"/>
      <c r="D393" s="10985"/>
      <c r="E393" s="10985"/>
      <c r="F393" s="10994"/>
      <c r="G393" s="10985"/>
      <c r="H393" s="10985"/>
      <c r="I393" s="11003"/>
      <c r="J393" s="10985"/>
      <c r="K393" s="10985"/>
      <c r="L393" s="10984"/>
      <c r="M393" s="10984"/>
      <c r="N393" s="10984"/>
      <c r="O393" s="10985"/>
      <c r="P393" s="10985"/>
      <c r="Q393" s="10987"/>
      <c r="R393" s="4066" t="s">
        <v>294</v>
      </c>
      <c r="S393" s="4038" t="s">
        <v>294</v>
      </c>
      <c r="T393" s="4038" t="s">
        <v>294</v>
      </c>
      <c r="U393" s="3982" t="s">
        <v>294</v>
      </c>
      <c r="V393" s="6191" t="s">
        <v>294</v>
      </c>
      <c r="W393" s="4039" t="s">
        <v>294</v>
      </c>
      <c r="X393" s="7568" t="s">
        <v>294</v>
      </c>
      <c r="Y393" s="7568" t="s">
        <v>294</v>
      </c>
      <c r="Z393" s="7568" t="s">
        <v>294</v>
      </c>
      <c r="AA393" s="7569" t="s">
        <v>294</v>
      </c>
      <c r="AB393" s="7670"/>
      <c r="AC393" s="4040"/>
      <c r="AD393" s="4039" t="s">
        <v>294</v>
      </c>
      <c r="AE393" s="4043" t="s">
        <v>294</v>
      </c>
      <c r="AF393" s="4043" t="s">
        <v>294</v>
      </c>
      <c r="AG393" s="10909"/>
    </row>
    <row r="394" spans="1:33" ht="15.75" customHeight="1">
      <c r="A394" s="11000"/>
      <c r="B394" s="10933" t="s">
        <v>127</v>
      </c>
      <c r="C394" s="10936" t="s">
        <v>128</v>
      </c>
      <c r="D394" s="10936" t="s">
        <v>129</v>
      </c>
      <c r="E394" s="10936" t="s">
        <v>268</v>
      </c>
      <c r="F394" s="10939" t="s">
        <v>131</v>
      </c>
      <c r="G394" s="10936" t="s">
        <v>132</v>
      </c>
      <c r="H394" s="10936" t="s">
        <v>159</v>
      </c>
      <c r="I394" s="11025" t="s">
        <v>5496</v>
      </c>
      <c r="J394" s="10936" t="s">
        <v>4500</v>
      </c>
      <c r="K394" s="10936" t="s">
        <v>4891</v>
      </c>
      <c r="L394" s="10942">
        <v>0</v>
      </c>
      <c r="M394" s="10942">
        <v>3</v>
      </c>
      <c r="N394" s="10942">
        <v>3</v>
      </c>
      <c r="O394" s="11037" t="s">
        <v>5497</v>
      </c>
      <c r="P394" s="10936" t="s">
        <v>5498</v>
      </c>
      <c r="Q394" s="10952" t="s">
        <v>5495</v>
      </c>
      <c r="R394" s="4024" t="s">
        <v>294</v>
      </c>
      <c r="S394" s="4000" t="s">
        <v>294</v>
      </c>
      <c r="T394" s="4000" t="s">
        <v>294</v>
      </c>
      <c r="U394" s="3981" t="s">
        <v>294</v>
      </c>
      <c r="V394" s="6192" t="s">
        <v>294</v>
      </c>
      <c r="W394" s="4001" t="s">
        <v>294</v>
      </c>
      <c r="X394" s="7570" t="s">
        <v>294</v>
      </c>
      <c r="Y394" s="7570" t="s">
        <v>294</v>
      </c>
      <c r="Z394" s="7570" t="s">
        <v>294</v>
      </c>
      <c r="AA394" s="7571" t="s">
        <v>294</v>
      </c>
      <c r="AB394" s="7671"/>
      <c r="AC394" s="4002"/>
      <c r="AD394" s="4001" t="s">
        <v>294</v>
      </c>
      <c r="AE394" s="4005" t="s">
        <v>294</v>
      </c>
      <c r="AF394" s="4005" t="s">
        <v>294</v>
      </c>
      <c r="AG394" s="10907" t="s">
        <v>294</v>
      </c>
    </row>
    <row r="395" spans="1:33" ht="15.75" customHeight="1">
      <c r="A395" s="11000"/>
      <c r="B395" s="10934"/>
      <c r="C395" s="10937"/>
      <c r="D395" s="10937"/>
      <c r="E395" s="10937"/>
      <c r="F395" s="10940"/>
      <c r="G395" s="10937"/>
      <c r="H395" s="10937"/>
      <c r="I395" s="11026"/>
      <c r="J395" s="10937"/>
      <c r="K395" s="10937"/>
      <c r="L395" s="10943"/>
      <c r="M395" s="10943"/>
      <c r="N395" s="10943"/>
      <c r="O395" s="11008"/>
      <c r="P395" s="10937"/>
      <c r="Q395" s="10953"/>
      <c r="R395" s="4019" t="s">
        <v>294</v>
      </c>
      <c r="S395" s="3917" t="s">
        <v>294</v>
      </c>
      <c r="T395" s="3917" t="s">
        <v>294</v>
      </c>
      <c r="U395" s="3913" t="s">
        <v>294</v>
      </c>
      <c r="V395" s="6190" t="s">
        <v>294</v>
      </c>
      <c r="W395" s="3925" t="s">
        <v>294</v>
      </c>
      <c r="X395" s="7567" t="s">
        <v>294</v>
      </c>
      <c r="Y395" s="7567" t="s">
        <v>294</v>
      </c>
      <c r="Z395" s="7567" t="s">
        <v>294</v>
      </c>
      <c r="AA395" s="7566" t="s">
        <v>294</v>
      </c>
      <c r="AB395" s="7669"/>
      <c r="AC395" s="3920"/>
      <c r="AD395" s="3925" t="s">
        <v>294</v>
      </c>
      <c r="AE395" s="3923" t="s">
        <v>294</v>
      </c>
      <c r="AF395" s="3923" t="s">
        <v>294</v>
      </c>
      <c r="AG395" s="10908"/>
    </row>
    <row r="396" spans="1:33" ht="15.75" customHeight="1">
      <c r="A396" s="11000"/>
      <c r="B396" s="10934"/>
      <c r="C396" s="10937"/>
      <c r="D396" s="10937"/>
      <c r="E396" s="10937"/>
      <c r="F396" s="10940"/>
      <c r="G396" s="10937"/>
      <c r="H396" s="10937"/>
      <c r="I396" s="11026"/>
      <c r="J396" s="10937"/>
      <c r="K396" s="10937"/>
      <c r="L396" s="10943"/>
      <c r="M396" s="10943"/>
      <c r="N396" s="10943"/>
      <c r="O396" s="11008"/>
      <c r="P396" s="10937"/>
      <c r="Q396" s="10953"/>
      <c r="R396" s="4019" t="s">
        <v>294</v>
      </c>
      <c r="S396" s="3917" t="s">
        <v>294</v>
      </c>
      <c r="T396" s="3917" t="s">
        <v>294</v>
      </c>
      <c r="U396" s="3913" t="s">
        <v>294</v>
      </c>
      <c r="V396" s="6190" t="s">
        <v>294</v>
      </c>
      <c r="W396" s="3925" t="s">
        <v>294</v>
      </c>
      <c r="X396" s="7567" t="s">
        <v>294</v>
      </c>
      <c r="Y396" s="7567" t="s">
        <v>294</v>
      </c>
      <c r="Z396" s="7567" t="s">
        <v>294</v>
      </c>
      <c r="AA396" s="7566" t="s">
        <v>294</v>
      </c>
      <c r="AB396" s="7669"/>
      <c r="AC396" s="3920"/>
      <c r="AD396" s="3925" t="s">
        <v>294</v>
      </c>
      <c r="AE396" s="3923" t="s">
        <v>294</v>
      </c>
      <c r="AF396" s="3923" t="s">
        <v>294</v>
      </c>
      <c r="AG396" s="10908"/>
    </row>
    <row r="397" spans="1:33" ht="15.75" customHeight="1">
      <c r="A397" s="11000"/>
      <c r="B397" s="10934"/>
      <c r="C397" s="10937"/>
      <c r="D397" s="10937"/>
      <c r="E397" s="10937"/>
      <c r="F397" s="10940"/>
      <c r="G397" s="10937"/>
      <c r="H397" s="10937"/>
      <c r="I397" s="11026"/>
      <c r="J397" s="10937"/>
      <c r="K397" s="10937"/>
      <c r="L397" s="10943"/>
      <c r="M397" s="10943"/>
      <c r="N397" s="10943"/>
      <c r="O397" s="11008"/>
      <c r="P397" s="10937"/>
      <c r="Q397" s="10953"/>
      <c r="R397" s="4018" t="s">
        <v>294</v>
      </c>
      <c r="S397" s="3916" t="s">
        <v>294</v>
      </c>
      <c r="T397" s="3916" t="s">
        <v>294</v>
      </c>
      <c r="U397" s="3913" t="s">
        <v>294</v>
      </c>
      <c r="V397" s="6190" t="s">
        <v>294</v>
      </c>
      <c r="W397" s="3925" t="s">
        <v>294</v>
      </c>
      <c r="X397" s="7567" t="s">
        <v>294</v>
      </c>
      <c r="Y397" s="7567" t="s">
        <v>294</v>
      </c>
      <c r="Z397" s="7567" t="s">
        <v>294</v>
      </c>
      <c r="AA397" s="7566" t="s">
        <v>294</v>
      </c>
      <c r="AB397" s="7669"/>
      <c r="AC397" s="3920"/>
      <c r="AD397" s="3925" t="s">
        <v>294</v>
      </c>
      <c r="AE397" s="3923" t="s">
        <v>294</v>
      </c>
      <c r="AF397" s="3923" t="s">
        <v>294</v>
      </c>
      <c r="AG397" s="10908"/>
    </row>
    <row r="398" spans="1:33" ht="15.75" customHeight="1">
      <c r="A398" s="11000"/>
      <c r="B398" s="10935"/>
      <c r="C398" s="10938"/>
      <c r="D398" s="10938"/>
      <c r="E398" s="10938"/>
      <c r="F398" s="10941"/>
      <c r="G398" s="10938"/>
      <c r="H398" s="10938"/>
      <c r="I398" s="11027"/>
      <c r="J398" s="10938"/>
      <c r="K398" s="10938"/>
      <c r="L398" s="10944"/>
      <c r="M398" s="10944"/>
      <c r="N398" s="10944"/>
      <c r="O398" s="11038"/>
      <c r="P398" s="10938"/>
      <c r="Q398" s="10954"/>
      <c r="R398" s="4025" t="s">
        <v>294</v>
      </c>
      <c r="S398" s="3977" t="s">
        <v>294</v>
      </c>
      <c r="T398" s="3977" t="s">
        <v>294</v>
      </c>
      <c r="U398" s="3952" t="s">
        <v>294</v>
      </c>
      <c r="V398" s="6193" t="s">
        <v>294</v>
      </c>
      <c r="W398" s="3978" t="s">
        <v>294</v>
      </c>
      <c r="X398" s="7573" t="s">
        <v>294</v>
      </c>
      <c r="Y398" s="7573" t="s">
        <v>294</v>
      </c>
      <c r="Z398" s="7573" t="s">
        <v>294</v>
      </c>
      <c r="AA398" s="7574" t="s">
        <v>294</v>
      </c>
      <c r="AB398" s="7672"/>
      <c r="AC398" s="3979"/>
      <c r="AD398" s="3978" t="s">
        <v>294</v>
      </c>
      <c r="AE398" s="3980" t="s">
        <v>294</v>
      </c>
      <c r="AF398" s="3980" t="s">
        <v>294</v>
      </c>
      <c r="AG398" s="10909"/>
    </row>
    <row r="399" spans="1:33" ht="15.75" customHeight="1">
      <c r="A399" s="11000"/>
      <c r="B399" s="10950" t="s">
        <v>127</v>
      </c>
      <c r="C399" s="10948" t="s">
        <v>128</v>
      </c>
      <c r="D399" s="10948" t="s">
        <v>129</v>
      </c>
      <c r="E399" s="10948" t="s">
        <v>268</v>
      </c>
      <c r="F399" s="10951" t="s">
        <v>131</v>
      </c>
      <c r="G399" s="10948" t="s">
        <v>132</v>
      </c>
      <c r="H399" s="10948" t="s">
        <v>159</v>
      </c>
      <c r="I399" s="11028" t="s">
        <v>5499</v>
      </c>
      <c r="J399" s="10948" t="s">
        <v>4505</v>
      </c>
      <c r="K399" s="10948" t="s">
        <v>5500</v>
      </c>
      <c r="L399" s="10949">
        <v>5</v>
      </c>
      <c r="M399" s="10949">
        <v>5</v>
      </c>
      <c r="N399" s="10949">
        <v>0</v>
      </c>
      <c r="O399" s="10948" t="s">
        <v>5501</v>
      </c>
      <c r="P399" s="10948" t="s">
        <v>5502</v>
      </c>
      <c r="Q399" s="10986" t="s">
        <v>5495</v>
      </c>
      <c r="R399" s="4064" t="s">
        <v>294</v>
      </c>
      <c r="S399" s="3907" t="s">
        <v>294</v>
      </c>
      <c r="T399" s="3907" t="s">
        <v>294</v>
      </c>
      <c r="U399" s="3906" t="s">
        <v>294</v>
      </c>
      <c r="V399" s="6189" t="s">
        <v>294</v>
      </c>
      <c r="W399" s="3908" t="s">
        <v>294</v>
      </c>
      <c r="X399" s="7562" t="s">
        <v>294</v>
      </c>
      <c r="Y399" s="7562" t="s">
        <v>294</v>
      </c>
      <c r="Z399" s="7562" t="s">
        <v>294</v>
      </c>
      <c r="AA399" s="7563" t="s">
        <v>294</v>
      </c>
      <c r="AB399" s="7668"/>
      <c r="AC399" s="3909"/>
      <c r="AD399" s="3908" t="s">
        <v>294</v>
      </c>
      <c r="AE399" s="3912" t="s">
        <v>294</v>
      </c>
      <c r="AF399" s="3912" t="s">
        <v>294</v>
      </c>
      <c r="AG399" s="10907" t="s">
        <v>294</v>
      </c>
    </row>
    <row r="400" spans="1:33" ht="15.75" customHeight="1">
      <c r="A400" s="11000"/>
      <c r="B400" s="10934"/>
      <c r="C400" s="10937"/>
      <c r="D400" s="10937"/>
      <c r="E400" s="10937"/>
      <c r="F400" s="10940"/>
      <c r="G400" s="10937"/>
      <c r="H400" s="10937"/>
      <c r="I400" s="11026"/>
      <c r="J400" s="10937"/>
      <c r="K400" s="10937"/>
      <c r="L400" s="10943"/>
      <c r="M400" s="10943"/>
      <c r="N400" s="10943"/>
      <c r="O400" s="10937"/>
      <c r="P400" s="10937"/>
      <c r="Q400" s="10953"/>
      <c r="R400" s="4019" t="s">
        <v>294</v>
      </c>
      <c r="S400" s="3917" t="s">
        <v>294</v>
      </c>
      <c r="T400" s="3917" t="s">
        <v>294</v>
      </c>
      <c r="U400" s="3913" t="s">
        <v>294</v>
      </c>
      <c r="V400" s="6190" t="s">
        <v>294</v>
      </c>
      <c r="W400" s="3925" t="s">
        <v>294</v>
      </c>
      <c r="X400" s="7567" t="s">
        <v>294</v>
      </c>
      <c r="Y400" s="7567" t="s">
        <v>294</v>
      </c>
      <c r="Z400" s="7567" t="s">
        <v>294</v>
      </c>
      <c r="AA400" s="7566" t="s">
        <v>294</v>
      </c>
      <c r="AB400" s="7669"/>
      <c r="AC400" s="3920"/>
      <c r="AD400" s="3925" t="s">
        <v>294</v>
      </c>
      <c r="AE400" s="3923" t="s">
        <v>294</v>
      </c>
      <c r="AF400" s="3923" t="s">
        <v>294</v>
      </c>
      <c r="AG400" s="10908"/>
    </row>
    <row r="401" spans="1:33" ht="15.75" customHeight="1">
      <c r="A401" s="11000"/>
      <c r="B401" s="10934"/>
      <c r="C401" s="10937"/>
      <c r="D401" s="10937"/>
      <c r="E401" s="10937"/>
      <c r="F401" s="10940"/>
      <c r="G401" s="10937"/>
      <c r="H401" s="10937"/>
      <c r="I401" s="11026"/>
      <c r="J401" s="10937"/>
      <c r="K401" s="10937"/>
      <c r="L401" s="10943"/>
      <c r="M401" s="10943"/>
      <c r="N401" s="10943"/>
      <c r="O401" s="10937"/>
      <c r="P401" s="10937"/>
      <c r="Q401" s="10953"/>
      <c r="R401" s="4019" t="s">
        <v>294</v>
      </c>
      <c r="S401" s="3917" t="s">
        <v>294</v>
      </c>
      <c r="T401" s="3917" t="s">
        <v>294</v>
      </c>
      <c r="U401" s="3913" t="s">
        <v>294</v>
      </c>
      <c r="V401" s="6190" t="s">
        <v>294</v>
      </c>
      <c r="W401" s="3925" t="s">
        <v>294</v>
      </c>
      <c r="X401" s="7567" t="s">
        <v>294</v>
      </c>
      <c r="Y401" s="7567" t="s">
        <v>294</v>
      </c>
      <c r="Z401" s="7567" t="s">
        <v>294</v>
      </c>
      <c r="AA401" s="7566" t="s">
        <v>294</v>
      </c>
      <c r="AB401" s="7669"/>
      <c r="AC401" s="3920"/>
      <c r="AD401" s="3925" t="s">
        <v>294</v>
      </c>
      <c r="AE401" s="3923" t="s">
        <v>294</v>
      </c>
      <c r="AF401" s="3923" t="s">
        <v>294</v>
      </c>
      <c r="AG401" s="10908"/>
    </row>
    <row r="402" spans="1:33" ht="15.75" customHeight="1">
      <c r="A402" s="11000"/>
      <c r="B402" s="10934"/>
      <c r="C402" s="10937"/>
      <c r="D402" s="10937"/>
      <c r="E402" s="10937"/>
      <c r="F402" s="10940"/>
      <c r="G402" s="10937"/>
      <c r="H402" s="10937"/>
      <c r="I402" s="11026"/>
      <c r="J402" s="10937"/>
      <c r="K402" s="10937"/>
      <c r="L402" s="10943"/>
      <c r="M402" s="10943"/>
      <c r="N402" s="10943"/>
      <c r="O402" s="10937"/>
      <c r="P402" s="10937"/>
      <c r="Q402" s="10953"/>
      <c r="R402" s="4018" t="s">
        <v>294</v>
      </c>
      <c r="S402" s="3916" t="s">
        <v>294</v>
      </c>
      <c r="T402" s="3916" t="s">
        <v>294</v>
      </c>
      <c r="U402" s="3913" t="s">
        <v>294</v>
      </c>
      <c r="V402" s="6190" t="s">
        <v>294</v>
      </c>
      <c r="W402" s="3925" t="s">
        <v>294</v>
      </c>
      <c r="X402" s="7567" t="s">
        <v>294</v>
      </c>
      <c r="Y402" s="7567" t="s">
        <v>294</v>
      </c>
      <c r="Z402" s="7567" t="s">
        <v>294</v>
      </c>
      <c r="AA402" s="7566" t="s">
        <v>294</v>
      </c>
      <c r="AB402" s="7669"/>
      <c r="AC402" s="3920"/>
      <c r="AD402" s="3925" t="s">
        <v>294</v>
      </c>
      <c r="AE402" s="3923" t="s">
        <v>294</v>
      </c>
      <c r="AF402" s="3923" t="s">
        <v>294</v>
      </c>
      <c r="AG402" s="10908"/>
    </row>
    <row r="403" spans="1:33" ht="15.75" customHeight="1">
      <c r="A403" s="11000"/>
      <c r="B403" s="10993"/>
      <c r="C403" s="10985"/>
      <c r="D403" s="10985"/>
      <c r="E403" s="10985"/>
      <c r="F403" s="10994"/>
      <c r="G403" s="10985"/>
      <c r="H403" s="10985"/>
      <c r="I403" s="11030"/>
      <c r="J403" s="10985"/>
      <c r="K403" s="10985"/>
      <c r="L403" s="10984"/>
      <c r="M403" s="10984"/>
      <c r="N403" s="10984"/>
      <c r="O403" s="10985"/>
      <c r="P403" s="10985"/>
      <c r="Q403" s="10987"/>
      <c r="R403" s="4066" t="s">
        <v>294</v>
      </c>
      <c r="S403" s="4038" t="s">
        <v>294</v>
      </c>
      <c r="T403" s="4038" t="s">
        <v>294</v>
      </c>
      <c r="U403" s="3982" t="s">
        <v>294</v>
      </c>
      <c r="V403" s="6191" t="s">
        <v>294</v>
      </c>
      <c r="W403" s="4039" t="s">
        <v>294</v>
      </c>
      <c r="X403" s="7568" t="s">
        <v>294</v>
      </c>
      <c r="Y403" s="7568" t="s">
        <v>294</v>
      </c>
      <c r="Z403" s="7568" t="s">
        <v>294</v>
      </c>
      <c r="AA403" s="7569" t="s">
        <v>294</v>
      </c>
      <c r="AB403" s="7670"/>
      <c r="AC403" s="4040"/>
      <c r="AD403" s="4039" t="s">
        <v>294</v>
      </c>
      <c r="AE403" s="4043" t="s">
        <v>294</v>
      </c>
      <c r="AF403" s="4043" t="s">
        <v>294</v>
      </c>
      <c r="AG403" s="10909"/>
    </row>
    <row r="404" spans="1:33" ht="15.75" customHeight="1">
      <c r="A404" s="11000"/>
      <c r="B404" s="10933" t="s">
        <v>127</v>
      </c>
      <c r="C404" s="10936" t="s">
        <v>128</v>
      </c>
      <c r="D404" s="10936" t="s">
        <v>129</v>
      </c>
      <c r="E404" s="10936" t="s">
        <v>268</v>
      </c>
      <c r="F404" s="10939" t="s">
        <v>131</v>
      </c>
      <c r="G404" s="10936" t="s">
        <v>132</v>
      </c>
      <c r="H404" s="10936" t="s">
        <v>159</v>
      </c>
      <c r="I404" s="11025" t="s">
        <v>5503</v>
      </c>
      <c r="J404" s="10936" t="s">
        <v>4511</v>
      </c>
      <c r="K404" s="11051" t="s">
        <v>5504</v>
      </c>
      <c r="L404" s="10942">
        <v>0</v>
      </c>
      <c r="M404" s="10942">
        <v>0</v>
      </c>
      <c r="N404" s="10942">
        <v>0</v>
      </c>
      <c r="O404" s="11051" t="s">
        <v>5504</v>
      </c>
      <c r="P404" s="11051" t="s">
        <v>5504</v>
      </c>
      <c r="Q404" s="10952" t="s">
        <v>4902</v>
      </c>
      <c r="R404" s="4024" t="s">
        <v>294</v>
      </c>
      <c r="S404" s="4000" t="s">
        <v>294</v>
      </c>
      <c r="T404" s="4000" t="s">
        <v>294</v>
      </c>
      <c r="U404" s="3981" t="s">
        <v>294</v>
      </c>
      <c r="V404" s="6192" t="s">
        <v>294</v>
      </c>
      <c r="W404" s="4001" t="s">
        <v>294</v>
      </c>
      <c r="X404" s="7570" t="s">
        <v>294</v>
      </c>
      <c r="Y404" s="7570" t="s">
        <v>294</v>
      </c>
      <c r="Z404" s="7570" t="s">
        <v>294</v>
      </c>
      <c r="AA404" s="7571" t="s">
        <v>294</v>
      </c>
      <c r="AB404" s="7671"/>
      <c r="AC404" s="4002"/>
      <c r="AD404" s="4001" t="s">
        <v>294</v>
      </c>
      <c r="AE404" s="4005" t="s">
        <v>294</v>
      </c>
      <c r="AF404" s="4005" t="s">
        <v>294</v>
      </c>
      <c r="AG404" s="10907" t="s">
        <v>294</v>
      </c>
    </row>
    <row r="405" spans="1:33" ht="15.75" customHeight="1">
      <c r="A405" s="11000"/>
      <c r="B405" s="10934"/>
      <c r="C405" s="10937"/>
      <c r="D405" s="10937"/>
      <c r="E405" s="10937"/>
      <c r="F405" s="10940"/>
      <c r="G405" s="10937"/>
      <c r="H405" s="10937"/>
      <c r="I405" s="11026"/>
      <c r="J405" s="10937"/>
      <c r="K405" s="10937"/>
      <c r="L405" s="10943"/>
      <c r="M405" s="10943"/>
      <c r="N405" s="10943"/>
      <c r="O405" s="10937"/>
      <c r="P405" s="10937"/>
      <c r="Q405" s="10953"/>
      <c r="R405" s="4019" t="s">
        <v>294</v>
      </c>
      <c r="S405" s="3917" t="s">
        <v>294</v>
      </c>
      <c r="T405" s="3917" t="s">
        <v>294</v>
      </c>
      <c r="U405" s="3913" t="s">
        <v>294</v>
      </c>
      <c r="V405" s="6190" t="s">
        <v>294</v>
      </c>
      <c r="W405" s="3925" t="s">
        <v>294</v>
      </c>
      <c r="X405" s="7567" t="s">
        <v>294</v>
      </c>
      <c r="Y405" s="7567" t="s">
        <v>294</v>
      </c>
      <c r="Z405" s="7567" t="s">
        <v>294</v>
      </c>
      <c r="AA405" s="7566" t="s">
        <v>294</v>
      </c>
      <c r="AB405" s="7669"/>
      <c r="AC405" s="3920"/>
      <c r="AD405" s="3925" t="s">
        <v>294</v>
      </c>
      <c r="AE405" s="3923" t="s">
        <v>294</v>
      </c>
      <c r="AF405" s="3923" t="s">
        <v>294</v>
      </c>
      <c r="AG405" s="10908"/>
    </row>
    <row r="406" spans="1:33" ht="15.75" customHeight="1">
      <c r="A406" s="11000"/>
      <c r="B406" s="10934"/>
      <c r="C406" s="10937"/>
      <c r="D406" s="10937"/>
      <c r="E406" s="10937"/>
      <c r="F406" s="10940"/>
      <c r="G406" s="10937"/>
      <c r="H406" s="10937"/>
      <c r="I406" s="11026"/>
      <c r="J406" s="10937"/>
      <c r="K406" s="10937"/>
      <c r="L406" s="10943"/>
      <c r="M406" s="10943"/>
      <c r="N406" s="10943"/>
      <c r="O406" s="10937"/>
      <c r="P406" s="10937"/>
      <c r="Q406" s="10953"/>
      <c r="R406" s="4019" t="s">
        <v>294</v>
      </c>
      <c r="S406" s="3917" t="s">
        <v>294</v>
      </c>
      <c r="T406" s="3917" t="s">
        <v>294</v>
      </c>
      <c r="U406" s="3913" t="s">
        <v>294</v>
      </c>
      <c r="V406" s="6190" t="s">
        <v>294</v>
      </c>
      <c r="W406" s="3925" t="s">
        <v>294</v>
      </c>
      <c r="X406" s="7567" t="s">
        <v>294</v>
      </c>
      <c r="Y406" s="7567" t="s">
        <v>294</v>
      </c>
      <c r="Z406" s="7567" t="s">
        <v>294</v>
      </c>
      <c r="AA406" s="7566" t="s">
        <v>294</v>
      </c>
      <c r="AB406" s="7669"/>
      <c r="AC406" s="3920"/>
      <c r="AD406" s="3925" t="s">
        <v>294</v>
      </c>
      <c r="AE406" s="3923" t="s">
        <v>294</v>
      </c>
      <c r="AF406" s="3923" t="s">
        <v>294</v>
      </c>
      <c r="AG406" s="10908"/>
    </row>
    <row r="407" spans="1:33" ht="15.75" customHeight="1">
      <c r="A407" s="11000"/>
      <c r="B407" s="10934"/>
      <c r="C407" s="10937"/>
      <c r="D407" s="10937"/>
      <c r="E407" s="10937"/>
      <c r="F407" s="10940"/>
      <c r="G407" s="10937"/>
      <c r="H407" s="10937"/>
      <c r="I407" s="11026"/>
      <c r="J407" s="10937"/>
      <c r="K407" s="10937"/>
      <c r="L407" s="10943"/>
      <c r="M407" s="10943"/>
      <c r="N407" s="10943"/>
      <c r="O407" s="10937"/>
      <c r="P407" s="10937"/>
      <c r="Q407" s="10953"/>
      <c r="R407" s="4018" t="s">
        <v>294</v>
      </c>
      <c r="S407" s="3916" t="s">
        <v>294</v>
      </c>
      <c r="T407" s="3916" t="s">
        <v>294</v>
      </c>
      <c r="U407" s="3913" t="s">
        <v>294</v>
      </c>
      <c r="V407" s="6190" t="s">
        <v>294</v>
      </c>
      <c r="W407" s="3925" t="s">
        <v>294</v>
      </c>
      <c r="X407" s="7567" t="s">
        <v>294</v>
      </c>
      <c r="Y407" s="7567" t="s">
        <v>294</v>
      </c>
      <c r="Z407" s="7567" t="s">
        <v>294</v>
      </c>
      <c r="AA407" s="7566" t="s">
        <v>294</v>
      </c>
      <c r="AB407" s="7669"/>
      <c r="AC407" s="3920"/>
      <c r="AD407" s="3925" t="s">
        <v>294</v>
      </c>
      <c r="AE407" s="3923" t="s">
        <v>294</v>
      </c>
      <c r="AF407" s="3923" t="s">
        <v>294</v>
      </c>
      <c r="AG407" s="10908"/>
    </row>
    <row r="408" spans="1:33" ht="15.75" customHeight="1">
      <c r="A408" s="11000"/>
      <c r="B408" s="10935"/>
      <c r="C408" s="10938"/>
      <c r="D408" s="10938"/>
      <c r="E408" s="10938"/>
      <c r="F408" s="10941"/>
      <c r="G408" s="10938"/>
      <c r="H408" s="10938"/>
      <c r="I408" s="11027"/>
      <c r="J408" s="10938"/>
      <c r="K408" s="10938"/>
      <c r="L408" s="10944"/>
      <c r="M408" s="10944"/>
      <c r="N408" s="10944"/>
      <c r="O408" s="10938"/>
      <c r="P408" s="10938"/>
      <c r="Q408" s="10954"/>
      <c r="R408" s="4025" t="s">
        <v>294</v>
      </c>
      <c r="S408" s="3977" t="s">
        <v>294</v>
      </c>
      <c r="T408" s="3977" t="s">
        <v>294</v>
      </c>
      <c r="U408" s="3952" t="s">
        <v>294</v>
      </c>
      <c r="V408" s="6193" t="s">
        <v>294</v>
      </c>
      <c r="W408" s="3978" t="s">
        <v>294</v>
      </c>
      <c r="X408" s="7573" t="s">
        <v>294</v>
      </c>
      <c r="Y408" s="7573" t="s">
        <v>294</v>
      </c>
      <c r="Z408" s="7573" t="s">
        <v>294</v>
      </c>
      <c r="AA408" s="7574" t="s">
        <v>294</v>
      </c>
      <c r="AB408" s="7672"/>
      <c r="AC408" s="3979"/>
      <c r="AD408" s="3978" t="s">
        <v>294</v>
      </c>
      <c r="AE408" s="3980" t="s">
        <v>294</v>
      </c>
      <c r="AF408" s="3980" t="s">
        <v>294</v>
      </c>
      <c r="AG408" s="10909"/>
    </row>
    <row r="409" spans="1:33" ht="15.75" customHeight="1">
      <c r="A409" s="11000"/>
      <c r="B409" s="10950" t="s">
        <v>127</v>
      </c>
      <c r="C409" s="10948" t="s">
        <v>128</v>
      </c>
      <c r="D409" s="10948" t="s">
        <v>129</v>
      </c>
      <c r="E409" s="10948" t="s">
        <v>268</v>
      </c>
      <c r="F409" s="10951" t="s">
        <v>131</v>
      </c>
      <c r="G409" s="10948" t="s">
        <v>132</v>
      </c>
      <c r="H409" s="10948" t="s">
        <v>159</v>
      </c>
      <c r="I409" s="11028" t="s">
        <v>5505</v>
      </c>
      <c r="J409" s="10948" t="s">
        <v>4517</v>
      </c>
      <c r="K409" s="10948" t="s">
        <v>5506</v>
      </c>
      <c r="L409" s="10949">
        <v>0</v>
      </c>
      <c r="M409" s="10949">
        <v>3</v>
      </c>
      <c r="N409" s="10949">
        <v>3</v>
      </c>
      <c r="O409" s="11007" t="s">
        <v>5507</v>
      </c>
      <c r="P409" s="10948" t="s">
        <v>5508</v>
      </c>
      <c r="Q409" s="10986" t="s">
        <v>5509</v>
      </c>
      <c r="R409" s="4064" t="s">
        <v>294</v>
      </c>
      <c r="S409" s="3907" t="s">
        <v>294</v>
      </c>
      <c r="T409" s="3907" t="s">
        <v>294</v>
      </c>
      <c r="U409" s="3906" t="s">
        <v>294</v>
      </c>
      <c r="V409" s="6189" t="s">
        <v>294</v>
      </c>
      <c r="W409" s="3908" t="s">
        <v>294</v>
      </c>
      <c r="X409" s="7562" t="s">
        <v>294</v>
      </c>
      <c r="Y409" s="7562" t="s">
        <v>294</v>
      </c>
      <c r="Z409" s="7562" t="s">
        <v>294</v>
      </c>
      <c r="AA409" s="7563" t="s">
        <v>294</v>
      </c>
      <c r="AB409" s="7668"/>
      <c r="AC409" s="3909"/>
      <c r="AD409" s="3908" t="s">
        <v>294</v>
      </c>
      <c r="AE409" s="3908" t="s">
        <v>294</v>
      </c>
      <c r="AF409" s="3908" t="s">
        <v>294</v>
      </c>
      <c r="AG409" s="10907" t="s">
        <v>294</v>
      </c>
    </row>
    <row r="410" spans="1:33" ht="15.75" customHeight="1">
      <c r="A410" s="11000"/>
      <c r="B410" s="10934"/>
      <c r="C410" s="10937"/>
      <c r="D410" s="10937"/>
      <c r="E410" s="10937"/>
      <c r="F410" s="10940"/>
      <c r="G410" s="10937"/>
      <c r="H410" s="10937"/>
      <c r="I410" s="11026"/>
      <c r="J410" s="10937"/>
      <c r="K410" s="10937"/>
      <c r="L410" s="10943"/>
      <c r="M410" s="10943"/>
      <c r="N410" s="10943"/>
      <c r="O410" s="11008"/>
      <c r="P410" s="10937"/>
      <c r="Q410" s="10953"/>
      <c r="R410" s="4019" t="s">
        <v>294</v>
      </c>
      <c r="S410" s="3917" t="s">
        <v>294</v>
      </c>
      <c r="T410" s="3917" t="s">
        <v>294</v>
      </c>
      <c r="U410" s="3913" t="s">
        <v>294</v>
      </c>
      <c r="V410" s="6190" t="s">
        <v>294</v>
      </c>
      <c r="W410" s="3925" t="s">
        <v>294</v>
      </c>
      <c r="X410" s="7567" t="s">
        <v>294</v>
      </c>
      <c r="Y410" s="7567" t="s">
        <v>294</v>
      </c>
      <c r="Z410" s="7567" t="s">
        <v>294</v>
      </c>
      <c r="AA410" s="7566" t="s">
        <v>294</v>
      </c>
      <c r="AB410" s="7669"/>
      <c r="AC410" s="3920"/>
      <c r="AD410" s="3925" t="s">
        <v>294</v>
      </c>
      <c r="AE410" s="3925" t="s">
        <v>294</v>
      </c>
      <c r="AF410" s="3925" t="s">
        <v>294</v>
      </c>
      <c r="AG410" s="10908"/>
    </row>
    <row r="411" spans="1:33" ht="15.75" customHeight="1">
      <c r="A411" s="11000"/>
      <c r="B411" s="10934"/>
      <c r="C411" s="10937"/>
      <c r="D411" s="10937"/>
      <c r="E411" s="10937"/>
      <c r="F411" s="10940"/>
      <c r="G411" s="10937"/>
      <c r="H411" s="10937"/>
      <c r="I411" s="11026"/>
      <c r="J411" s="10937"/>
      <c r="K411" s="10937"/>
      <c r="L411" s="10943"/>
      <c r="M411" s="10943"/>
      <c r="N411" s="10943"/>
      <c r="O411" s="11008"/>
      <c r="P411" s="10937"/>
      <c r="Q411" s="10953"/>
      <c r="R411" s="4019" t="s">
        <v>294</v>
      </c>
      <c r="S411" s="3917" t="s">
        <v>294</v>
      </c>
      <c r="T411" s="3917" t="s">
        <v>294</v>
      </c>
      <c r="U411" s="3913" t="s">
        <v>294</v>
      </c>
      <c r="V411" s="6190" t="s">
        <v>294</v>
      </c>
      <c r="W411" s="3925" t="s">
        <v>294</v>
      </c>
      <c r="X411" s="7567" t="s">
        <v>294</v>
      </c>
      <c r="Y411" s="7567" t="s">
        <v>294</v>
      </c>
      <c r="Z411" s="7567" t="s">
        <v>294</v>
      </c>
      <c r="AA411" s="7566" t="s">
        <v>294</v>
      </c>
      <c r="AB411" s="7669"/>
      <c r="AC411" s="3920"/>
      <c r="AD411" s="3925" t="s">
        <v>294</v>
      </c>
      <c r="AE411" s="3925" t="s">
        <v>294</v>
      </c>
      <c r="AF411" s="3923" t="s">
        <v>294</v>
      </c>
      <c r="AG411" s="10908"/>
    </row>
    <row r="412" spans="1:33" ht="15.75" customHeight="1">
      <c r="A412" s="11000"/>
      <c r="B412" s="10934"/>
      <c r="C412" s="10937"/>
      <c r="D412" s="10937"/>
      <c r="E412" s="10937"/>
      <c r="F412" s="10940"/>
      <c r="G412" s="10937"/>
      <c r="H412" s="10937"/>
      <c r="I412" s="11026"/>
      <c r="J412" s="10937"/>
      <c r="K412" s="10937"/>
      <c r="L412" s="10943"/>
      <c r="M412" s="10943"/>
      <c r="N412" s="10943"/>
      <c r="O412" s="11008"/>
      <c r="P412" s="10937"/>
      <c r="Q412" s="10953"/>
      <c r="R412" s="4019" t="s">
        <v>294</v>
      </c>
      <c r="S412" s="3917" t="s">
        <v>294</v>
      </c>
      <c r="T412" s="3917" t="s">
        <v>294</v>
      </c>
      <c r="U412" s="3913" t="s">
        <v>294</v>
      </c>
      <c r="V412" s="6190" t="s">
        <v>294</v>
      </c>
      <c r="W412" s="3925" t="s">
        <v>294</v>
      </c>
      <c r="X412" s="7567" t="s">
        <v>294</v>
      </c>
      <c r="Y412" s="7567" t="s">
        <v>294</v>
      </c>
      <c r="Z412" s="7567" t="s">
        <v>294</v>
      </c>
      <c r="AA412" s="7566" t="s">
        <v>294</v>
      </c>
      <c r="AB412" s="7669"/>
      <c r="AC412" s="3920"/>
      <c r="AD412" s="3925" t="s">
        <v>294</v>
      </c>
      <c r="AE412" s="3925" t="s">
        <v>294</v>
      </c>
      <c r="AF412" s="3923" t="s">
        <v>294</v>
      </c>
      <c r="AG412" s="10908"/>
    </row>
    <row r="413" spans="1:33" ht="15.75" customHeight="1">
      <c r="A413" s="11000"/>
      <c r="B413" s="10993"/>
      <c r="C413" s="10985"/>
      <c r="D413" s="10985"/>
      <c r="E413" s="10985"/>
      <c r="F413" s="10994"/>
      <c r="G413" s="10985"/>
      <c r="H413" s="10985"/>
      <c r="I413" s="11030"/>
      <c r="J413" s="10985"/>
      <c r="K413" s="10985"/>
      <c r="L413" s="10984"/>
      <c r="M413" s="10984"/>
      <c r="N413" s="10984"/>
      <c r="O413" s="11009"/>
      <c r="P413" s="10985"/>
      <c r="Q413" s="10987"/>
      <c r="R413" s="4066" t="s">
        <v>294</v>
      </c>
      <c r="S413" s="4038" t="s">
        <v>294</v>
      </c>
      <c r="T413" s="4038" t="s">
        <v>294</v>
      </c>
      <c r="U413" s="3982" t="s">
        <v>294</v>
      </c>
      <c r="V413" s="6191" t="s">
        <v>294</v>
      </c>
      <c r="W413" s="4039" t="s">
        <v>294</v>
      </c>
      <c r="X413" s="7568" t="s">
        <v>294</v>
      </c>
      <c r="Y413" s="7568" t="s">
        <v>294</v>
      </c>
      <c r="Z413" s="7568" t="s">
        <v>294</v>
      </c>
      <c r="AA413" s="7569" t="s">
        <v>294</v>
      </c>
      <c r="AB413" s="7670"/>
      <c r="AC413" s="4040"/>
      <c r="AD413" s="4039" t="s">
        <v>294</v>
      </c>
      <c r="AE413" s="4039" t="s">
        <v>294</v>
      </c>
      <c r="AF413" s="4043" t="s">
        <v>294</v>
      </c>
      <c r="AG413" s="10909"/>
    </row>
    <row r="414" spans="1:33" ht="15.75" customHeight="1">
      <c r="A414" s="11000"/>
      <c r="B414" s="10933" t="s">
        <v>127</v>
      </c>
      <c r="C414" s="10936" t="s">
        <v>128</v>
      </c>
      <c r="D414" s="10936" t="s">
        <v>129</v>
      </c>
      <c r="E414" s="10936" t="s">
        <v>268</v>
      </c>
      <c r="F414" s="10939" t="s">
        <v>131</v>
      </c>
      <c r="G414" s="10936" t="s">
        <v>132</v>
      </c>
      <c r="H414" s="10936" t="s">
        <v>159</v>
      </c>
      <c r="I414" s="11025" t="s">
        <v>5510</v>
      </c>
      <c r="J414" s="10936" t="s">
        <v>4523</v>
      </c>
      <c r="K414" s="10936" t="s">
        <v>5511</v>
      </c>
      <c r="L414" s="10942">
        <v>2</v>
      </c>
      <c r="M414" s="10942">
        <v>1</v>
      </c>
      <c r="N414" s="10942">
        <v>1</v>
      </c>
      <c r="O414" s="11037" t="s">
        <v>5512</v>
      </c>
      <c r="P414" s="11037" t="s">
        <v>5513</v>
      </c>
      <c r="Q414" s="10904" t="s">
        <v>5495</v>
      </c>
      <c r="R414" s="4024" t="s">
        <v>294</v>
      </c>
      <c r="S414" s="4000" t="s">
        <v>294</v>
      </c>
      <c r="T414" s="4000" t="s">
        <v>294</v>
      </c>
      <c r="U414" s="3981" t="s">
        <v>294</v>
      </c>
      <c r="V414" s="6192" t="s">
        <v>294</v>
      </c>
      <c r="W414" s="4001" t="s">
        <v>294</v>
      </c>
      <c r="X414" s="7570" t="s">
        <v>294</v>
      </c>
      <c r="Y414" s="7570" t="s">
        <v>294</v>
      </c>
      <c r="Z414" s="7570" t="s">
        <v>294</v>
      </c>
      <c r="AA414" s="7571" t="s">
        <v>294</v>
      </c>
      <c r="AB414" s="7671"/>
      <c r="AC414" s="4002"/>
      <c r="AD414" s="4001" t="s">
        <v>294</v>
      </c>
      <c r="AE414" s="4005" t="s">
        <v>294</v>
      </c>
      <c r="AF414" s="4005" t="s">
        <v>294</v>
      </c>
      <c r="AG414" s="10907" t="s">
        <v>294</v>
      </c>
    </row>
    <row r="415" spans="1:33" ht="15.75" customHeight="1">
      <c r="A415" s="11000"/>
      <c r="B415" s="10934"/>
      <c r="C415" s="10937"/>
      <c r="D415" s="10937"/>
      <c r="E415" s="10937"/>
      <c r="F415" s="10940"/>
      <c r="G415" s="10937"/>
      <c r="H415" s="10937"/>
      <c r="I415" s="11026"/>
      <c r="J415" s="10937"/>
      <c r="K415" s="10937"/>
      <c r="L415" s="10943"/>
      <c r="M415" s="10943"/>
      <c r="N415" s="10943"/>
      <c r="O415" s="11008"/>
      <c r="P415" s="11008"/>
      <c r="Q415" s="10905"/>
      <c r="R415" s="4019" t="s">
        <v>294</v>
      </c>
      <c r="S415" s="3917" t="s">
        <v>294</v>
      </c>
      <c r="T415" s="3917" t="s">
        <v>294</v>
      </c>
      <c r="U415" s="3913" t="s">
        <v>294</v>
      </c>
      <c r="V415" s="6190" t="s">
        <v>294</v>
      </c>
      <c r="W415" s="3925" t="s">
        <v>294</v>
      </c>
      <c r="X415" s="7567" t="s">
        <v>294</v>
      </c>
      <c r="Y415" s="7567" t="s">
        <v>294</v>
      </c>
      <c r="Z415" s="7567" t="s">
        <v>294</v>
      </c>
      <c r="AA415" s="7566" t="s">
        <v>294</v>
      </c>
      <c r="AB415" s="7669"/>
      <c r="AC415" s="3920"/>
      <c r="AD415" s="3925" t="s">
        <v>294</v>
      </c>
      <c r="AE415" s="3923" t="s">
        <v>294</v>
      </c>
      <c r="AF415" s="3923" t="s">
        <v>294</v>
      </c>
      <c r="AG415" s="10908"/>
    </row>
    <row r="416" spans="1:33" ht="15.75" customHeight="1">
      <c r="A416" s="11000"/>
      <c r="B416" s="10934"/>
      <c r="C416" s="10937"/>
      <c r="D416" s="10937"/>
      <c r="E416" s="10937"/>
      <c r="F416" s="10940"/>
      <c r="G416" s="10937"/>
      <c r="H416" s="10937"/>
      <c r="I416" s="11026"/>
      <c r="J416" s="10937"/>
      <c r="K416" s="10937"/>
      <c r="L416" s="10943"/>
      <c r="M416" s="10943"/>
      <c r="N416" s="10943"/>
      <c r="O416" s="11008"/>
      <c r="P416" s="11008"/>
      <c r="Q416" s="10905"/>
      <c r="R416" s="4019" t="s">
        <v>294</v>
      </c>
      <c r="S416" s="3917" t="s">
        <v>294</v>
      </c>
      <c r="T416" s="3917" t="s">
        <v>294</v>
      </c>
      <c r="U416" s="3913" t="s">
        <v>294</v>
      </c>
      <c r="V416" s="6190" t="s">
        <v>294</v>
      </c>
      <c r="W416" s="3925" t="s">
        <v>294</v>
      </c>
      <c r="X416" s="7567" t="s">
        <v>294</v>
      </c>
      <c r="Y416" s="7567" t="s">
        <v>294</v>
      </c>
      <c r="Z416" s="7567" t="s">
        <v>294</v>
      </c>
      <c r="AA416" s="7566" t="s">
        <v>294</v>
      </c>
      <c r="AB416" s="7669"/>
      <c r="AC416" s="3920"/>
      <c r="AD416" s="3925" t="s">
        <v>294</v>
      </c>
      <c r="AE416" s="3923" t="s">
        <v>294</v>
      </c>
      <c r="AF416" s="3923" t="s">
        <v>294</v>
      </c>
      <c r="AG416" s="10908"/>
    </row>
    <row r="417" spans="1:33" ht="15.75" customHeight="1">
      <c r="A417" s="11000"/>
      <c r="B417" s="10934"/>
      <c r="C417" s="10937"/>
      <c r="D417" s="10937"/>
      <c r="E417" s="10937"/>
      <c r="F417" s="10940"/>
      <c r="G417" s="10937"/>
      <c r="H417" s="10937"/>
      <c r="I417" s="11026"/>
      <c r="J417" s="10937"/>
      <c r="K417" s="10937"/>
      <c r="L417" s="10943"/>
      <c r="M417" s="10943"/>
      <c r="N417" s="10943"/>
      <c r="O417" s="11008"/>
      <c r="P417" s="11008"/>
      <c r="Q417" s="10905"/>
      <c r="R417" s="4019" t="s">
        <v>294</v>
      </c>
      <c r="S417" s="3917" t="s">
        <v>294</v>
      </c>
      <c r="T417" s="3917" t="s">
        <v>294</v>
      </c>
      <c r="U417" s="3913" t="s">
        <v>294</v>
      </c>
      <c r="V417" s="6190" t="s">
        <v>294</v>
      </c>
      <c r="W417" s="3925" t="s">
        <v>294</v>
      </c>
      <c r="X417" s="7567" t="s">
        <v>294</v>
      </c>
      <c r="Y417" s="7567" t="s">
        <v>294</v>
      </c>
      <c r="Z417" s="7567" t="s">
        <v>294</v>
      </c>
      <c r="AA417" s="7566" t="s">
        <v>294</v>
      </c>
      <c r="AB417" s="7669"/>
      <c r="AC417" s="3920"/>
      <c r="AD417" s="3925" t="s">
        <v>294</v>
      </c>
      <c r="AE417" s="3923" t="s">
        <v>294</v>
      </c>
      <c r="AF417" s="3923" t="s">
        <v>294</v>
      </c>
      <c r="AG417" s="10908"/>
    </row>
    <row r="418" spans="1:33" ht="15.75" customHeight="1">
      <c r="A418" s="11000"/>
      <c r="B418" s="10935"/>
      <c r="C418" s="10938"/>
      <c r="D418" s="10938"/>
      <c r="E418" s="10938"/>
      <c r="F418" s="10941"/>
      <c r="G418" s="10938"/>
      <c r="H418" s="10938"/>
      <c r="I418" s="11027"/>
      <c r="J418" s="10938"/>
      <c r="K418" s="10938"/>
      <c r="L418" s="10944"/>
      <c r="M418" s="10944"/>
      <c r="N418" s="10944"/>
      <c r="O418" s="11038"/>
      <c r="P418" s="11038"/>
      <c r="Q418" s="10906"/>
      <c r="R418" s="4025" t="s">
        <v>294</v>
      </c>
      <c r="S418" s="3977" t="s">
        <v>294</v>
      </c>
      <c r="T418" s="3977" t="s">
        <v>294</v>
      </c>
      <c r="U418" s="3952" t="s">
        <v>294</v>
      </c>
      <c r="V418" s="6193" t="s">
        <v>294</v>
      </c>
      <c r="W418" s="3978" t="s">
        <v>294</v>
      </c>
      <c r="X418" s="7573" t="s">
        <v>294</v>
      </c>
      <c r="Y418" s="7573" t="s">
        <v>294</v>
      </c>
      <c r="Z418" s="7573" t="s">
        <v>294</v>
      </c>
      <c r="AA418" s="7574" t="s">
        <v>294</v>
      </c>
      <c r="AB418" s="7672"/>
      <c r="AC418" s="3979"/>
      <c r="AD418" s="3978" t="s">
        <v>294</v>
      </c>
      <c r="AE418" s="3980" t="s">
        <v>294</v>
      </c>
      <c r="AF418" s="3980" t="s">
        <v>294</v>
      </c>
      <c r="AG418" s="10909"/>
    </row>
    <row r="419" spans="1:33" ht="15.75" customHeight="1">
      <c r="A419" s="11000"/>
      <c r="B419" s="10950" t="s">
        <v>127</v>
      </c>
      <c r="C419" s="10948" t="s">
        <v>128</v>
      </c>
      <c r="D419" s="10948" t="s">
        <v>129</v>
      </c>
      <c r="E419" s="10948" t="s">
        <v>268</v>
      </c>
      <c r="F419" s="10951" t="s">
        <v>131</v>
      </c>
      <c r="G419" s="10948" t="s">
        <v>132</v>
      </c>
      <c r="H419" s="10948" t="s">
        <v>159</v>
      </c>
      <c r="I419" s="11028" t="s">
        <v>5514</v>
      </c>
      <c r="J419" s="10948" t="s">
        <v>4529</v>
      </c>
      <c r="K419" s="10948" t="s">
        <v>5515</v>
      </c>
      <c r="L419" s="10949">
        <v>2</v>
      </c>
      <c r="M419" s="10949">
        <v>0</v>
      </c>
      <c r="N419" s="10949">
        <v>0</v>
      </c>
      <c r="O419" s="11007" t="s">
        <v>5516</v>
      </c>
      <c r="P419" s="10948" t="s">
        <v>5517</v>
      </c>
      <c r="Q419" s="10986" t="s">
        <v>5518</v>
      </c>
      <c r="R419" s="4064" t="s">
        <v>294</v>
      </c>
      <c r="S419" s="3907" t="s">
        <v>294</v>
      </c>
      <c r="T419" s="3907" t="s">
        <v>294</v>
      </c>
      <c r="U419" s="3906" t="s">
        <v>294</v>
      </c>
      <c r="V419" s="6189" t="s">
        <v>294</v>
      </c>
      <c r="W419" s="3908" t="s">
        <v>294</v>
      </c>
      <c r="X419" s="7562" t="s">
        <v>294</v>
      </c>
      <c r="Y419" s="7562" t="s">
        <v>294</v>
      </c>
      <c r="Z419" s="7562" t="s">
        <v>294</v>
      </c>
      <c r="AA419" s="7563" t="s">
        <v>294</v>
      </c>
      <c r="AB419" s="7668"/>
      <c r="AC419" s="3909"/>
      <c r="AD419" s="3908" t="s">
        <v>294</v>
      </c>
      <c r="AE419" s="3912" t="s">
        <v>294</v>
      </c>
      <c r="AF419" s="3912" t="s">
        <v>294</v>
      </c>
      <c r="AG419" s="10907" t="s">
        <v>294</v>
      </c>
    </row>
    <row r="420" spans="1:33" ht="15.75" customHeight="1">
      <c r="A420" s="11000"/>
      <c r="B420" s="10934"/>
      <c r="C420" s="10937"/>
      <c r="D420" s="10937"/>
      <c r="E420" s="10937"/>
      <c r="F420" s="10940"/>
      <c r="G420" s="10937"/>
      <c r="H420" s="10937"/>
      <c r="I420" s="11026"/>
      <c r="J420" s="10937"/>
      <c r="K420" s="10937"/>
      <c r="L420" s="10943"/>
      <c r="M420" s="10943"/>
      <c r="N420" s="10943"/>
      <c r="O420" s="11008"/>
      <c r="P420" s="10937"/>
      <c r="Q420" s="10953"/>
      <c r="R420" s="4019" t="s">
        <v>294</v>
      </c>
      <c r="S420" s="3917" t="s">
        <v>294</v>
      </c>
      <c r="T420" s="3917" t="s">
        <v>294</v>
      </c>
      <c r="U420" s="3913" t="s">
        <v>294</v>
      </c>
      <c r="V420" s="6190" t="s">
        <v>294</v>
      </c>
      <c r="W420" s="3925" t="s">
        <v>294</v>
      </c>
      <c r="X420" s="7567" t="s">
        <v>294</v>
      </c>
      <c r="Y420" s="7567" t="s">
        <v>294</v>
      </c>
      <c r="Z420" s="7567" t="s">
        <v>294</v>
      </c>
      <c r="AA420" s="7566" t="s">
        <v>294</v>
      </c>
      <c r="AB420" s="7669"/>
      <c r="AC420" s="3920"/>
      <c r="AD420" s="3925" t="s">
        <v>294</v>
      </c>
      <c r="AE420" s="3923" t="s">
        <v>294</v>
      </c>
      <c r="AF420" s="3923" t="s">
        <v>294</v>
      </c>
      <c r="AG420" s="10908"/>
    </row>
    <row r="421" spans="1:33" ht="15.75" customHeight="1">
      <c r="A421" s="11000"/>
      <c r="B421" s="10934"/>
      <c r="C421" s="10937"/>
      <c r="D421" s="10937"/>
      <c r="E421" s="10937"/>
      <c r="F421" s="10940"/>
      <c r="G421" s="10937"/>
      <c r="H421" s="10937"/>
      <c r="I421" s="11026"/>
      <c r="J421" s="10937"/>
      <c r="K421" s="10937"/>
      <c r="L421" s="10943"/>
      <c r="M421" s="10943"/>
      <c r="N421" s="10943"/>
      <c r="O421" s="11008"/>
      <c r="P421" s="10937"/>
      <c r="Q421" s="10953"/>
      <c r="R421" s="4019" t="s">
        <v>294</v>
      </c>
      <c r="S421" s="3917" t="s">
        <v>294</v>
      </c>
      <c r="T421" s="3917" t="s">
        <v>294</v>
      </c>
      <c r="U421" s="3913" t="s">
        <v>294</v>
      </c>
      <c r="V421" s="6190" t="s">
        <v>294</v>
      </c>
      <c r="W421" s="3925" t="s">
        <v>294</v>
      </c>
      <c r="X421" s="7567" t="s">
        <v>294</v>
      </c>
      <c r="Y421" s="7567" t="s">
        <v>294</v>
      </c>
      <c r="Z421" s="7567" t="s">
        <v>294</v>
      </c>
      <c r="AA421" s="7566" t="s">
        <v>294</v>
      </c>
      <c r="AB421" s="7669"/>
      <c r="AC421" s="3920"/>
      <c r="AD421" s="3925" t="s">
        <v>294</v>
      </c>
      <c r="AE421" s="3923" t="s">
        <v>294</v>
      </c>
      <c r="AF421" s="3923" t="s">
        <v>294</v>
      </c>
      <c r="AG421" s="10908"/>
    </row>
    <row r="422" spans="1:33" ht="15.75" customHeight="1">
      <c r="A422" s="11000"/>
      <c r="B422" s="10934"/>
      <c r="C422" s="10937"/>
      <c r="D422" s="10937"/>
      <c r="E422" s="10937"/>
      <c r="F422" s="10940"/>
      <c r="G422" s="10937"/>
      <c r="H422" s="10937"/>
      <c r="I422" s="11026"/>
      <c r="J422" s="10937"/>
      <c r="K422" s="10937"/>
      <c r="L422" s="10943"/>
      <c r="M422" s="10943"/>
      <c r="N422" s="10943"/>
      <c r="O422" s="11008"/>
      <c r="P422" s="10937"/>
      <c r="Q422" s="10953"/>
      <c r="R422" s="4018" t="s">
        <v>294</v>
      </c>
      <c r="S422" s="3916" t="s">
        <v>294</v>
      </c>
      <c r="T422" s="3916" t="s">
        <v>294</v>
      </c>
      <c r="U422" s="3913" t="s">
        <v>294</v>
      </c>
      <c r="V422" s="6190" t="s">
        <v>294</v>
      </c>
      <c r="W422" s="3925" t="s">
        <v>294</v>
      </c>
      <c r="X422" s="7567" t="s">
        <v>294</v>
      </c>
      <c r="Y422" s="7567" t="s">
        <v>294</v>
      </c>
      <c r="Z422" s="7567" t="s">
        <v>294</v>
      </c>
      <c r="AA422" s="7566" t="s">
        <v>294</v>
      </c>
      <c r="AB422" s="7669"/>
      <c r="AC422" s="3920"/>
      <c r="AD422" s="3925" t="s">
        <v>294</v>
      </c>
      <c r="AE422" s="3923" t="s">
        <v>294</v>
      </c>
      <c r="AF422" s="3923" t="s">
        <v>294</v>
      </c>
      <c r="AG422" s="10908"/>
    </row>
    <row r="423" spans="1:33" ht="15.75" customHeight="1">
      <c r="A423" s="11000"/>
      <c r="B423" s="10993"/>
      <c r="C423" s="10985"/>
      <c r="D423" s="10985"/>
      <c r="E423" s="10985"/>
      <c r="F423" s="10994"/>
      <c r="G423" s="10985"/>
      <c r="H423" s="10985"/>
      <c r="I423" s="11030"/>
      <c r="J423" s="10985"/>
      <c r="K423" s="10985"/>
      <c r="L423" s="10984"/>
      <c r="M423" s="10984"/>
      <c r="N423" s="10984"/>
      <c r="O423" s="11009"/>
      <c r="P423" s="10985"/>
      <c r="Q423" s="10987"/>
      <c r="R423" s="4066" t="s">
        <v>294</v>
      </c>
      <c r="S423" s="4038" t="s">
        <v>294</v>
      </c>
      <c r="T423" s="4038" t="s">
        <v>294</v>
      </c>
      <c r="U423" s="3982" t="s">
        <v>294</v>
      </c>
      <c r="V423" s="6191" t="s">
        <v>294</v>
      </c>
      <c r="W423" s="4039" t="s">
        <v>294</v>
      </c>
      <c r="X423" s="7568" t="s">
        <v>294</v>
      </c>
      <c r="Y423" s="7568" t="s">
        <v>294</v>
      </c>
      <c r="Z423" s="7568" t="s">
        <v>294</v>
      </c>
      <c r="AA423" s="7569" t="s">
        <v>294</v>
      </c>
      <c r="AB423" s="7670"/>
      <c r="AC423" s="4040"/>
      <c r="AD423" s="4039" t="s">
        <v>294</v>
      </c>
      <c r="AE423" s="4043" t="s">
        <v>294</v>
      </c>
      <c r="AF423" s="4043" t="s">
        <v>294</v>
      </c>
      <c r="AG423" s="10909"/>
    </row>
    <row r="424" spans="1:33" ht="15.75" customHeight="1">
      <c r="A424" s="11000"/>
      <c r="B424" s="10933" t="s">
        <v>127</v>
      </c>
      <c r="C424" s="10936" t="s">
        <v>128</v>
      </c>
      <c r="D424" s="10936" t="s">
        <v>129</v>
      </c>
      <c r="E424" s="10936" t="s">
        <v>268</v>
      </c>
      <c r="F424" s="10939" t="s">
        <v>131</v>
      </c>
      <c r="G424" s="10936" t="s">
        <v>132</v>
      </c>
      <c r="H424" s="10936" t="s">
        <v>159</v>
      </c>
      <c r="I424" s="11025" t="s">
        <v>5519</v>
      </c>
      <c r="J424" s="10936" t="s">
        <v>4535</v>
      </c>
      <c r="K424" s="11048" t="s">
        <v>5520</v>
      </c>
      <c r="L424" s="10942">
        <v>40</v>
      </c>
      <c r="M424" s="10942">
        <v>30</v>
      </c>
      <c r="N424" s="10942">
        <v>30</v>
      </c>
      <c r="O424" s="10936" t="s">
        <v>5521</v>
      </c>
      <c r="P424" s="10936" t="s">
        <v>5522</v>
      </c>
      <c r="Q424" s="10952" t="s">
        <v>5495</v>
      </c>
      <c r="R424" s="4024" t="s">
        <v>294</v>
      </c>
      <c r="S424" s="4000" t="s">
        <v>294</v>
      </c>
      <c r="T424" s="4000" t="s">
        <v>294</v>
      </c>
      <c r="U424" s="3981" t="s">
        <v>294</v>
      </c>
      <c r="V424" s="6192" t="s">
        <v>294</v>
      </c>
      <c r="W424" s="4001" t="s">
        <v>294</v>
      </c>
      <c r="X424" s="7570" t="s">
        <v>294</v>
      </c>
      <c r="Y424" s="7570" t="s">
        <v>294</v>
      </c>
      <c r="Z424" s="7570" t="s">
        <v>294</v>
      </c>
      <c r="AA424" s="7571" t="s">
        <v>294</v>
      </c>
      <c r="AB424" s="7671"/>
      <c r="AC424" s="4002"/>
      <c r="AD424" s="4001" t="s">
        <v>294</v>
      </c>
      <c r="AE424" s="4001" t="s">
        <v>294</v>
      </c>
      <c r="AF424" s="4001" t="s">
        <v>294</v>
      </c>
      <c r="AG424" s="10907" t="s">
        <v>294</v>
      </c>
    </row>
    <row r="425" spans="1:33" ht="15.75" customHeight="1">
      <c r="A425" s="11000"/>
      <c r="B425" s="10934"/>
      <c r="C425" s="10937"/>
      <c r="D425" s="10937"/>
      <c r="E425" s="10937"/>
      <c r="F425" s="10940"/>
      <c r="G425" s="10937"/>
      <c r="H425" s="10937"/>
      <c r="I425" s="11026"/>
      <c r="J425" s="10937"/>
      <c r="K425" s="11049"/>
      <c r="L425" s="10943"/>
      <c r="M425" s="10943"/>
      <c r="N425" s="10943"/>
      <c r="O425" s="10937"/>
      <c r="P425" s="10937"/>
      <c r="Q425" s="10953"/>
      <c r="R425" s="4019" t="s">
        <v>294</v>
      </c>
      <c r="S425" s="3917" t="s">
        <v>294</v>
      </c>
      <c r="T425" s="3917" t="s">
        <v>294</v>
      </c>
      <c r="U425" s="3913" t="s">
        <v>294</v>
      </c>
      <c r="V425" s="6190" t="s">
        <v>294</v>
      </c>
      <c r="W425" s="3925" t="s">
        <v>294</v>
      </c>
      <c r="X425" s="7567" t="s">
        <v>294</v>
      </c>
      <c r="Y425" s="7567" t="s">
        <v>294</v>
      </c>
      <c r="Z425" s="7567" t="s">
        <v>294</v>
      </c>
      <c r="AA425" s="7566" t="s">
        <v>294</v>
      </c>
      <c r="AB425" s="7669"/>
      <c r="AC425" s="3920"/>
      <c r="AD425" s="3925" t="s">
        <v>294</v>
      </c>
      <c r="AE425" s="3925" t="s">
        <v>294</v>
      </c>
      <c r="AF425" s="3925" t="s">
        <v>294</v>
      </c>
      <c r="AG425" s="10908"/>
    </row>
    <row r="426" spans="1:33" ht="15.75" customHeight="1">
      <c r="A426" s="11000"/>
      <c r="B426" s="10934"/>
      <c r="C426" s="10937"/>
      <c r="D426" s="10937"/>
      <c r="E426" s="10937"/>
      <c r="F426" s="10940"/>
      <c r="G426" s="10937"/>
      <c r="H426" s="10937"/>
      <c r="I426" s="11026"/>
      <c r="J426" s="10937"/>
      <c r="K426" s="11049"/>
      <c r="L426" s="10943"/>
      <c r="M426" s="10943"/>
      <c r="N426" s="10943"/>
      <c r="O426" s="10937"/>
      <c r="P426" s="10937"/>
      <c r="Q426" s="10953"/>
      <c r="R426" s="4019" t="s">
        <v>294</v>
      </c>
      <c r="S426" s="3917" t="s">
        <v>294</v>
      </c>
      <c r="T426" s="3917" t="s">
        <v>294</v>
      </c>
      <c r="U426" s="3913" t="s">
        <v>294</v>
      </c>
      <c r="V426" s="6190" t="s">
        <v>294</v>
      </c>
      <c r="W426" s="3925" t="s">
        <v>294</v>
      </c>
      <c r="X426" s="7567" t="s">
        <v>294</v>
      </c>
      <c r="Y426" s="7567" t="s">
        <v>294</v>
      </c>
      <c r="Z426" s="7567" t="s">
        <v>294</v>
      </c>
      <c r="AA426" s="7566" t="s">
        <v>294</v>
      </c>
      <c r="AB426" s="7669"/>
      <c r="AC426" s="3920"/>
      <c r="AD426" s="3925" t="s">
        <v>294</v>
      </c>
      <c r="AE426" s="3925" t="s">
        <v>294</v>
      </c>
      <c r="AF426" s="3923" t="s">
        <v>294</v>
      </c>
      <c r="AG426" s="10908"/>
    </row>
    <row r="427" spans="1:33" ht="15.75" customHeight="1">
      <c r="A427" s="11000"/>
      <c r="B427" s="10934"/>
      <c r="C427" s="10937"/>
      <c r="D427" s="10937"/>
      <c r="E427" s="10937"/>
      <c r="F427" s="10940"/>
      <c r="G427" s="10937"/>
      <c r="H427" s="10937"/>
      <c r="I427" s="11026"/>
      <c r="J427" s="10937"/>
      <c r="K427" s="11049"/>
      <c r="L427" s="10943"/>
      <c r="M427" s="10943"/>
      <c r="N427" s="10943"/>
      <c r="O427" s="10937"/>
      <c r="P427" s="10937"/>
      <c r="Q427" s="10953"/>
      <c r="R427" s="4019" t="s">
        <v>294</v>
      </c>
      <c r="S427" s="3917" t="s">
        <v>294</v>
      </c>
      <c r="T427" s="3917" t="s">
        <v>294</v>
      </c>
      <c r="U427" s="3913" t="s">
        <v>294</v>
      </c>
      <c r="V427" s="6190" t="s">
        <v>294</v>
      </c>
      <c r="W427" s="3925" t="s">
        <v>294</v>
      </c>
      <c r="X427" s="7567" t="s">
        <v>294</v>
      </c>
      <c r="Y427" s="7567" t="s">
        <v>294</v>
      </c>
      <c r="Z427" s="7567" t="s">
        <v>294</v>
      </c>
      <c r="AA427" s="7566" t="s">
        <v>294</v>
      </c>
      <c r="AB427" s="7669"/>
      <c r="AC427" s="3920"/>
      <c r="AD427" s="3925" t="s">
        <v>294</v>
      </c>
      <c r="AE427" s="3925" t="s">
        <v>294</v>
      </c>
      <c r="AF427" s="3923" t="s">
        <v>294</v>
      </c>
      <c r="AG427" s="10908"/>
    </row>
    <row r="428" spans="1:33" ht="15.75" customHeight="1">
      <c r="A428" s="11000"/>
      <c r="B428" s="10935"/>
      <c r="C428" s="10938"/>
      <c r="D428" s="10938"/>
      <c r="E428" s="10938"/>
      <c r="F428" s="10941"/>
      <c r="G428" s="10938"/>
      <c r="H428" s="10938"/>
      <c r="I428" s="11027"/>
      <c r="J428" s="10938"/>
      <c r="K428" s="11050"/>
      <c r="L428" s="10944"/>
      <c r="M428" s="10944"/>
      <c r="N428" s="10944"/>
      <c r="O428" s="10938"/>
      <c r="P428" s="10938"/>
      <c r="Q428" s="10954"/>
      <c r="R428" s="4025" t="s">
        <v>294</v>
      </c>
      <c r="S428" s="3977" t="s">
        <v>294</v>
      </c>
      <c r="T428" s="3977" t="s">
        <v>294</v>
      </c>
      <c r="U428" s="3952" t="s">
        <v>294</v>
      </c>
      <c r="V428" s="6193" t="s">
        <v>294</v>
      </c>
      <c r="W428" s="3978" t="s">
        <v>294</v>
      </c>
      <c r="X428" s="7573" t="s">
        <v>294</v>
      </c>
      <c r="Y428" s="7573" t="s">
        <v>294</v>
      </c>
      <c r="Z428" s="7573" t="s">
        <v>294</v>
      </c>
      <c r="AA428" s="7574" t="s">
        <v>294</v>
      </c>
      <c r="AB428" s="7672"/>
      <c r="AC428" s="3979"/>
      <c r="AD428" s="3978" t="s">
        <v>294</v>
      </c>
      <c r="AE428" s="3978" t="s">
        <v>294</v>
      </c>
      <c r="AF428" s="3980" t="s">
        <v>294</v>
      </c>
      <c r="AG428" s="10909"/>
    </row>
    <row r="429" spans="1:33" ht="15.75" customHeight="1">
      <c r="A429" s="11000"/>
      <c r="B429" s="10950" t="s">
        <v>127</v>
      </c>
      <c r="C429" s="10948" t="s">
        <v>128</v>
      </c>
      <c r="D429" s="10948" t="s">
        <v>129</v>
      </c>
      <c r="E429" s="10948" t="s">
        <v>268</v>
      </c>
      <c r="F429" s="10951" t="s">
        <v>131</v>
      </c>
      <c r="G429" s="10948" t="s">
        <v>132</v>
      </c>
      <c r="H429" s="10948" t="s">
        <v>159</v>
      </c>
      <c r="I429" s="11028" t="s">
        <v>5523</v>
      </c>
      <c r="J429" s="10948" t="s">
        <v>4541</v>
      </c>
      <c r="K429" s="11007" t="s">
        <v>5524</v>
      </c>
      <c r="L429" s="10949">
        <v>30</v>
      </c>
      <c r="M429" s="10949">
        <v>20</v>
      </c>
      <c r="N429" s="10949">
        <v>20</v>
      </c>
      <c r="O429" s="11007" t="s">
        <v>5525</v>
      </c>
      <c r="P429" s="11007" t="s">
        <v>5526</v>
      </c>
      <c r="Q429" s="10986" t="s">
        <v>5495</v>
      </c>
      <c r="R429" s="4064" t="s">
        <v>294</v>
      </c>
      <c r="S429" s="3907" t="s">
        <v>294</v>
      </c>
      <c r="T429" s="3907" t="s">
        <v>294</v>
      </c>
      <c r="U429" s="3906" t="s">
        <v>294</v>
      </c>
      <c r="V429" s="6189" t="s">
        <v>294</v>
      </c>
      <c r="W429" s="3908" t="s">
        <v>294</v>
      </c>
      <c r="X429" s="7562" t="s">
        <v>294</v>
      </c>
      <c r="Y429" s="7562" t="s">
        <v>294</v>
      </c>
      <c r="Z429" s="7562" t="s">
        <v>294</v>
      </c>
      <c r="AA429" s="7563" t="s">
        <v>294</v>
      </c>
      <c r="AB429" s="7668"/>
      <c r="AC429" s="3909"/>
      <c r="AD429" s="3908" t="s">
        <v>294</v>
      </c>
      <c r="AE429" s="3912" t="s">
        <v>294</v>
      </c>
      <c r="AF429" s="3912" t="s">
        <v>294</v>
      </c>
      <c r="AG429" s="10907" t="s">
        <v>294</v>
      </c>
    </row>
    <row r="430" spans="1:33" ht="15.75" customHeight="1">
      <c r="A430" s="11000"/>
      <c r="B430" s="10934"/>
      <c r="C430" s="10937"/>
      <c r="D430" s="10937"/>
      <c r="E430" s="10937"/>
      <c r="F430" s="10940"/>
      <c r="G430" s="10937"/>
      <c r="H430" s="10937"/>
      <c r="I430" s="11026"/>
      <c r="J430" s="10937"/>
      <c r="K430" s="11008"/>
      <c r="L430" s="10943"/>
      <c r="M430" s="10943"/>
      <c r="N430" s="10943"/>
      <c r="O430" s="11008"/>
      <c r="P430" s="11008"/>
      <c r="Q430" s="10953"/>
      <c r="R430" s="4019" t="s">
        <v>294</v>
      </c>
      <c r="S430" s="3917" t="s">
        <v>294</v>
      </c>
      <c r="T430" s="3917" t="s">
        <v>294</v>
      </c>
      <c r="U430" s="3913" t="s">
        <v>294</v>
      </c>
      <c r="V430" s="6190" t="s">
        <v>294</v>
      </c>
      <c r="W430" s="3925" t="s">
        <v>294</v>
      </c>
      <c r="X430" s="7567" t="s">
        <v>294</v>
      </c>
      <c r="Y430" s="7567" t="s">
        <v>294</v>
      </c>
      <c r="Z430" s="7567" t="s">
        <v>294</v>
      </c>
      <c r="AA430" s="7566" t="s">
        <v>294</v>
      </c>
      <c r="AB430" s="7669"/>
      <c r="AC430" s="3920"/>
      <c r="AD430" s="3925" t="s">
        <v>294</v>
      </c>
      <c r="AE430" s="3923" t="s">
        <v>294</v>
      </c>
      <c r="AF430" s="3923" t="s">
        <v>294</v>
      </c>
      <c r="AG430" s="10908"/>
    </row>
    <row r="431" spans="1:33" ht="15.75" customHeight="1">
      <c r="A431" s="11000"/>
      <c r="B431" s="10934"/>
      <c r="C431" s="10937"/>
      <c r="D431" s="10937"/>
      <c r="E431" s="10937"/>
      <c r="F431" s="10940"/>
      <c r="G431" s="10937"/>
      <c r="H431" s="10937"/>
      <c r="I431" s="11026"/>
      <c r="J431" s="10937"/>
      <c r="K431" s="11008"/>
      <c r="L431" s="10943"/>
      <c r="M431" s="10943"/>
      <c r="N431" s="10943"/>
      <c r="O431" s="11008"/>
      <c r="P431" s="11008"/>
      <c r="Q431" s="10953"/>
      <c r="R431" s="4019" t="s">
        <v>294</v>
      </c>
      <c r="S431" s="3917" t="s">
        <v>294</v>
      </c>
      <c r="T431" s="3917" t="s">
        <v>294</v>
      </c>
      <c r="U431" s="3913" t="s">
        <v>294</v>
      </c>
      <c r="V431" s="6190" t="s">
        <v>294</v>
      </c>
      <c r="W431" s="3925" t="s">
        <v>294</v>
      </c>
      <c r="X431" s="7567" t="s">
        <v>294</v>
      </c>
      <c r="Y431" s="7567" t="s">
        <v>294</v>
      </c>
      <c r="Z431" s="7567" t="s">
        <v>294</v>
      </c>
      <c r="AA431" s="7566" t="s">
        <v>294</v>
      </c>
      <c r="AB431" s="7669"/>
      <c r="AC431" s="3920"/>
      <c r="AD431" s="3925" t="s">
        <v>294</v>
      </c>
      <c r="AE431" s="3923" t="s">
        <v>294</v>
      </c>
      <c r="AF431" s="3923" t="s">
        <v>294</v>
      </c>
      <c r="AG431" s="10908"/>
    </row>
    <row r="432" spans="1:33" ht="15.75" customHeight="1">
      <c r="A432" s="11000"/>
      <c r="B432" s="10934"/>
      <c r="C432" s="10937"/>
      <c r="D432" s="10937"/>
      <c r="E432" s="10937"/>
      <c r="F432" s="10940"/>
      <c r="G432" s="10937"/>
      <c r="H432" s="10937"/>
      <c r="I432" s="11026"/>
      <c r="J432" s="10937"/>
      <c r="K432" s="11008"/>
      <c r="L432" s="10943"/>
      <c r="M432" s="10943"/>
      <c r="N432" s="10943"/>
      <c r="O432" s="11008"/>
      <c r="P432" s="11008"/>
      <c r="Q432" s="10953"/>
      <c r="R432" s="4019" t="s">
        <v>294</v>
      </c>
      <c r="S432" s="3917" t="s">
        <v>294</v>
      </c>
      <c r="T432" s="3917" t="s">
        <v>294</v>
      </c>
      <c r="U432" s="3913" t="s">
        <v>294</v>
      </c>
      <c r="V432" s="6190" t="s">
        <v>294</v>
      </c>
      <c r="W432" s="3925" t="s">
        <v>294</v>
      </c>
      <c r="X432" s="7567" t="s">
        <v>294</v>
      </c>
      <c r="Y432" s="7567" t="s">
        <v>294</v>
      </c>
      <c r="Z432" s="7567" t="s">
        <v>294</v>
      </c>
      <c r="AA432" s="7566" t="s">
        <v>294</v>
      </c>
      <c r="AB432" s="7669"/>
      <c r="AC432" s="3920"/>
      <c r="AD432" s="3925" t="s">
        <v>294</v>
      </c>
      <c r="AE432" s="3923" t="s">
        <v>294</v>
      </c>
      <c r="AF432" s="3923" t="s">
        <v>294</v>
      </c>
      <c r="AG432" s="10908"/>
    </row>
    <row r="433" spans="1:33" ht="15.75" customHeight="1">
      <c r="A433" s="11000"/>
      <c r="B433" s="10993"/>
      <c r="C433" s="10985"/>
      <c r="D433" s="10985"/>
      <c r="E433" s="10985"/>
      <c r="F433" s="10994"/>
      <c r="G433" s="10985"/>
      <c r="H433" s="10985"/>
      <c r="I433" s="11030"/>
      <c r="J433" s="10985"/>
      <c r="K433" s="11009"/>
      <c r="L433" s="10984"/>
      <c r="M433" s="10984"/>
      <c r="N433" s="10984"/>
      <c r="O433" s="11009"/>
      <c r="P433" s="11009"/>
      <c r="Q433" s="10987"/>
      <c r="R433" s="4066" t="s">
        <v>294</v>
      </c>
      <c r="S433" s="4038" t="s">
        <v>294</v>
      </c>
      <c r="T433" s="4038" t="s">
        <v>294</v>
      </c>
      <c r="U433" s="3982" t="s">
        <v>294</v>
      </c>
      <c r="V433" s="6191" t="s">
        <v>294</v>
      </c>
      <c r="W433" s="4039" t="s">
        <v>294</v>
      </c>
      <c r="X433" s="7568" t="s">
        <v>294</v>
      </c>
      <c r="Y433" s="7568" t="s">
        <v>294</v>
      </c>
      <c r="Z433" s="7568" t="s">
        <v>294</v>
      </c>
      <c r="AA433" s="7569" t="s">
        <v>294</v>
      </c>
      <c r="AB433" s="7670"/>
      <c r="AC433" s="4040"/>
      <c r="AD433" s="4039" t="s">
        <v>294</v>
      </c>
      <c r="AE433" s="4043" t="s">
        <v>294</v>
      </c>
      <c r="AF433" s="4043" t="s">
        <v>294</v>
      </c>
      <c r="AG433" s="10909"/>
    </row>
    <row r="434" spans="1:33" ht="15.75" customHeight="1">
      <c r="A434" s="11000"/>
      <c r="B434" s="10933" t="s">
        <v>127</v>
      </c>
      <c r="C434" s="10936" t="s">
        <v>128</v>
      </c>
      <c r="D434" s="10936" t="s">
        <v>140</v>
      </c>
      <c r="E434" s="10936" t="s">
        <v>212</v>
      </c>
      <c r="F434" s="10939" t="s">
        <v>131</v>
      </c>
      <c r="G434" s="10936" t="s">
        <v>132</v>
      </c>
      <c r="H434" s="10936" t="s">
        <v>159</v>
      </c>
      <c r="I434" s="11025" t="s">
        <v>5527</v>
      </c>
      <c r="J434" s="10936" t="s">
        <v>4547</v>
      </c>
      <c r="K434" s="10936" t="s">
        <v>5528</v>
      </c>
      <c r="L434" s="10942">
        <v>1</v>
      </c>
      <c r="M434" s="10942">
        <v>1</v>
      </c>
      <c r="N434" s="10942">
        <v>1</v>
      </c>
      <c r="O434" s="11037" t="s">
        <v>5529</v>
      </c>
      <c r="P434" s="10936" t="s">
        <v>5530</v>
      </c>
      <c r="Q434" s="10952" t="s">
        <v>5495</v>
      </c>
      <c r="R434" s="4024" t="s">
        <v>294</v>
      </c>
      <c r="S434" s="4000" t="s">
        <v>294</v>
      </c>
      <c r="T434" s="4000" t="s">
        <v>294</v>
      </c>
      <c r="U434" s="3981" t="s">
        <v>294</v>
      </c>
      <c r="V434" s="6192" t="s">
        <v>294</v>
      </c>
      <c r="W434" s="4001" t="s">
        <v>294</v>
      </c>
      <c r="X434" s="7570" t="s">
        <v>294</v>
      </c>
      <c r="Y434" s="7570" t="s">
        <v>294</v>
      </c>
      <c r="Z434" s="7570" t="s">
        <v>294</v>
      </c>
      <c r="AA434" s="7571" t="s">
        <v>294</v>
      </c>
      <c r="AB434" s="7671"/>
      <c r="AC434" s="4002"/>
      <c r="AD434" s="4001" t="s">
        <v>294</v>
      </c>
      <c r="AE434" s="4005" t="s">
        <v>294</v>
      </c>
      <c r="AF434" s="4005" t="s">
        <v>294</v>
      </c>
      <c r="AG434" s="10907" t="s">
        <v>294</v>
      </c>
    </row>
    <row r="435" spans="1:33" ht="15.75" customHeight="1">
      <c r="A435" s="11000"/>
      <c r="B435" s="10934"/>
      <c r="C435" s="10937"/>
      <c r="D435" s="10937"/>
      <c r="E435" s="10937"/>
      <c r="F435" s="10940"/>
      <c r="G435" s="10937"/>
      <c r="H435" s="10937"/>
      <c r="I435" s="11026"/>
      <c r="J435" s="10937"/>
      <c r="K435" s="10937"/>
      <c r="L435" s="10943"/>
      <c r="M435" s="10943"/>
      <c r="N435" s="10943"/>
      <c r="O435" s="11008"/>
      <c r="P435" s="10937"/>
      <c r="Q435" s="10953"/>
      <c r="R435" s="4019" t="s">
        <v>294</v>
      </c>
      <c r="S435" s="3917" t="s">
        <v>294</v>
      </c>
      <c r="T435" s="3917" t="s">
        <v>294</v>
      </c>
      <c r="U435" s="3913" t="s">
        <v>294</v>
      </c>
      <c r="V435" s="6190" t="s">
        <v>294</v>
      </c>
      <c r="W435" s="3925" t="s">
        <v>294</v>
      </c>
      <c r="X435" s="7567" t="s">
        <v>294</v>
      </c>
      <c r="Y435" s="7567" t="s">
        <v>294</v>
      </c>
      <c r="Z435" s="7567" t="s">
        <v>294</v>
      </c>
      <c r="AA435" s="7566" t="s">
        <v>294</v>
      </c>
      <c r="AB435" s="7669"/>
      <c r="AC435" s="3920"/>
      <c r="AD435" s="3925" t="s">
        <v>294</v>
      </c>
      <c r="AE435" s="3923" t="s">
        <v>294</v>
      </c>
      <c r="AF435" s="3923" t="s">
        <v>294</v>
      </c>
      <c r="AG435" s="10908"/>
    </row>
    <row r="436" spans="1:33" ht="15.75" customHeight="1">
      <c r="A436" s="11000"/>
      <c r="B436" s="10934"/>
      <c r="C436" s="10937"/>
      <c r="D436" s="10937"/>
      <c r="E436" s="10937"/>
      <c r="F436" s="10940"/>
      <c r="G436" s="10937"/>
      <c r="H436" s="10937"/>
      <c r="I436" s="11026"/>
      <c r="J436" s="10937"/>
      <c r="K436" s="10937"/>
      <c r="L436" s="10943"/>
      <c r="M436" s="10943"/>
      <c r="N436" s="10943"/>
      <c r="O436" s="11008"/>
      <c r="P436" s="10937"/>
      <c r="Q436" s="10953"/>
      <c r="R436" s="4019" t="s">
        <v>294</v>
      </c>
      <c r="S436" s="3917" t="s">
        <v>294</v>
      </c>
      <c r="T436" s="3917" t="s">
        <v>294</v>
      </c>
      <c r="U436" s="3913" t="s">
        <v>294</v>
      </c>
      <c r="V436" s="6190" t="s">
        <v>294</v>
      </c>
      <c r="W436" s="3925" t="s">
        <v>294</v>
      </c>
      <c r="X436" s="7567" t="s">
        <v>294</v>
      </c>
      <c r="Y436" s="7567" t="s">
        <v>294</v>
      </c>
      <c r="Z436" s="7567" t="s">
        <v>294</v>
      </c>
      <c r="AA436" s="7566" t="s">
        <v>294</v>
      </c>
      <c r="AB436" s="7669"/>
      <c r="AC436" s="3920"/>
      <c r="AD436" s="3925" t="s">
        <v>294</v>
      </c>
      <c r="AE436" s="3923" t="s">
        <v>294</v>
      </c>
      <c r="AF436" s="3923" t="s">
        <v>294</v>
      </c>
      <c r="AG436" s="10908"/>
    </row>
    <row r="437" spans="1:33" ht="15.75" customHeight="1">
      <c r="A437" s="11000"/>
      <c r="B437" s="10934"/>
      <c r="C437" s="10937"/>
      <c r="D437" s="10937"/>
      <c r="E437" s="10937"/>
      <c r="F437" s="10940"/>
      <c r="G437" s="10937"/>
      <c r="H437" s="10937"/>
      <c r="I437" s="11026"/>
      <c r="J437" s="10937"/>
      <c r="K437" s="10937"/>
      <c r="L437" s="10943"/>
      <c r="M437" s="10943"/>
      <c r="N437" s="10943"/>
      <c r="O437" s="11008"/>
      <c r="P437" s="10937"/>
      <c r="Q437" s="10953"/>
      <c r="R437" s="4018" t="s">
        <v>294</v>
      </c>
      <c r="S437" s="3916" t="s">
        <v>294</v>
      </c>
      <c r="T437" s="3916" t="s">
        <v>294</v>
      </c>
      <c r="U437" s="3913" t="s">
        <v>294</v>
      </c>
      <c r="V437" s="6190" t="s">
        <v>294</v>
      </c>
      <c r="W437" s="3925" t="s">
        <v>294</v>
      </c>
      <c r="X437" s="7567" t="s">
        <v>294</v>
      </c>
      <c r="Y437" s="7567" t="s">
        <v>294</v>
      </c>
      <c r="Z437" s="7567" t="s">
        <v>294</v>
      </c>
      <c r="AA437" s="7566" t="s">
        <v>294</v>
      </c>
      <c r="AB437" s="7669"/>
      <c r="AC437" s="3920"/>
      <c r="AD437" s="3925" t="s">
        <v>294</v>
      </c>
      <c r="AE437" s="3923" t="s">
        <v>294</v>
      </c>
      <c r="AF437" s="3923" t="s">
        <v>294</v>
      </c>
      <c r="AG437" s="10908"/>
    </row>
    <row r="438" spans="1:33" ht="15.75" customHeight="1">
      <c r="A438" s="11000"/>
      <c r="B438" s="10993"/>
      <c r="C438" s="10985"/>
      <c r="D438" s="10985"/>
      <c r="E438" s="10985"/>
      <c r="F438" s="10994"/>
      <c r="G438" s="10985"/>
      <c r="H438" s="10985"/>
      <c r="I438" s="11030"/>
      <c r="J438" s="10985"/>
      <c r="K438" s="10985"/>
      <c r="L438" s="10984"/>
      <c r="M438" s="10984"/>
      <c r="N438" s="10984"/>
      <c r="O438" s="11009"/>
      <c r="P438" s="10985"/>
      <c r="Q438" s="10987"/>
      <c r="R438" s="4066" t="s">
        <v>294</v>
      </c>
      <c r="S438" s="4038" t="s">
        <v>294</v>
      </c>
      <c r="T438" s="4038" t="s">
        <v>294</v>
      </c>
      <c r="U438" s="3982" t="s">
        <v>294</v>
      </c>
      <c r="V438" s="6191" t="s">
        <v>294</v>
      </c>
      <c r="W438" s="4039" t="s">
        <v>294</v>
      </c>
      <c r="X438" s="7568" t="s">
        <v>294</v>
      </c>
      <c r="Y438" s="7568" t="s">
        <v>294</v>
      </c>
      <c r="Z438" s="7568" t="s">
        <v>294</v>
      </c>
      <c r="AA438" s="7569" t="s">
        <v>294</v>
      </c>
      <c r="AB438" s="7670"/>
      <c r="AC438" s="4040"/>
      <c r="AD438" s="4039" t="s">
        <v>294</v>
      </c>
      <c r="AE438" s="4043" t="s">
        <v>294</v>
      </c>
      <c r="AF438" s="4043" t="s">
        <v>294</v>
      </c>
      <c r="AG438" s="10909"/>
    </row>
    <row r="439" spans="1:33" ht="15.75" customHeight="1">
      <c r="A439" s="11000"/>
      <c r="B439" s="10933" t="s">
        <v>127</v>
      </c>
      <c r="C439" s="10936" t="s">
        <v>128</v>
      </c>
      <c r="D439" s="10936" t="s">
        <v>140</v>
      </c>
      <c r="E439" s="10936" t="s">
        <v>212</v>
      </c>
      <c r="F439" s="10939" t="s">
        <v>131</v>
      </c>
      <c r="G439" s="10936" t="s">
        <v>132</v>
      </c>
      <c r="H439" s="10936" t="s">
        <v>159</v>
      </c>
      <c r="I439" s="11025" t="s">
        <v>5531</v>
      </c>
      <c r="J439" s="10936" t="s">
        <v>286</v>
      </c>
      <c r="K439" s="10936" t="s">
        <v>5532</v>
      </c>
      <c r="L439" s="10942">
        <v>0</v>
      </c>
      <c r="M439" s="10942">
        <v>1</v>
      </c>
      <c r="N439" s="10942">
        <v>1</v>
      </c>
      <c r="O439" s="10936" t="s">
        <v>5533</v>
      </c>
      <c r="P439" s="11045" t="s">
        <v>5534</v>
      </c>
      <c r="Q439" s="10952" t="s">
        <v>5495</v>
      </c>
      <c r="R439" s="4024" t="s">
        <v>294</v>
      </c>
      <c r="S439" s="4000" t="s">
        <v>294</v>
      </c>
      <c r="T439" s="4000" t="s">
        <v>294</v>
      </c>
      <c r="U439" s="3981" t="s">
        <v>294</v>
      </c>
      <c r="V439" s="6192" t="s">
        <v>294</v>
      </c>
      <c r="W439" s="4001" t="s">
        <v>294</v>
      </c>
      <c r="X439" s="7570" t="s">
        <v>294</v>
      </c>
      <c r="Y439" s="7570" t="s">
        <v>294</v>
      </c>
      <c r="Z439" s="7570" t="s">
        <v>294</v>
      </c>
      <c r="AA439" s="7571" t="s">
        <v>294</v>
      </c>
      <c r="AB439" s="7671"/>
      <c r="AC439" s="4002"/>
      <c r="AD439" s="4001" t="s">
        <v>294</v>
      </c>
      <c r="AE439" s="4001" t="s">
        <v>294</v>
      </c>
      <c r="AF439" s="4001" t="s">
        <v>294</v>
      </c>
      <c r="AG439" s="10907" t="s">
        <v>294</v>
      </c>
    </row>
    <row r="440" spans="1:33" ht="15.75" customHeight="1">
      <c r="A440" s="11000"/>
      <c r="B440" s="10934"/>
      <c r="C440" s="10937"/>
      <c r="D440" s="10937"/>
      <c r="E440" s="10937"/>
      <c r="F440" s="10940"/>
      <c r="G440" s="10937"/>
      <c r="H440" s="10937"/>
      <c r="I440" s="11026"/>
      <c r="J440" s="10937"/>
      <c r="K440" s="10937"/>
      <c r="L440" s="10943"/>
      <c r="M440" s="10943"/>
      <c r="N440" s="10943"/>
      <c r="O440" s="10937"/>
      <c r="P440" s="11046"/>
      <c r="Q440" s="10953"/>
      <c r="R440" s="4019" t="s">
        <v>294</v>
      </c>
      <c r="S440" s="3917" t="s">
        <v>294</v>
      </c>
      <c r="T440" s="3917" t="s">
        <v>294</v>
      </c>
      <c r="U440" s="3913" t="s">
        <v>294</v>
      </c>
      <c r="V440" s="6190" t="s">
        <v>294</v>
      </c>
      <c r="W440" s="3925" t="s">
        <v>294</v>
      </c>
      <c r="X440" s="7567" t="s">
        <v>294</v>
      </c>
      <c r="Y440" s="7567" t="s">
        <v>294</v>
      </c>
      <c r="Z440" s="7567" t="s">
        <v>294</v>
      </c>
      <c r="AA440" s="7566" t="s">
        <v>294</v>
      </c>
      <c r="AB440" s="7669"/>
      <c r="AC440" s="3920"/>
      <c r="AD440" s="3925" t="s">
        <v>294</v>
      </c>
      <c r="AE440" s="3925" t="s">
        <v>294</v>
      </c>
      <c r="AF440" s="3925" t="s">
        <v>294</v>
      </c>
      <c r="AG440" s="10908"/>
    </row>
    <row r="441" spans="1:33" ht="15.75" customHeight="1">
      <c r="A441" s="11000"/>
      <c r="B441" s="10934"/>
      <c r="C441" s="10937"/>
      <c r="D441" s="10937"/>
      <c r="E441" s="10937"/>
      <c r="F441" s="10940"/>
      <c r="G441" s="10937"/>
      <c r="H441" s="10937"/>
      <c r="I441" s="11026"/>
      <c r="J441" s="10937"/>
      <c r="K441" s="10937"/>
      <c r="L441" s="10943"/>
      <c r="M441" s="10943"/>
      <c r="N441" s="10943"/>
      <c r="O441" s="10937"/>
      <c r="P441" s="11046"/>
      <c r="Q441" s="10953"/>
      <c r="R441" s="4019" t="s">
        <v>294</v>
      </c>
      <c r="S441" s="3917" t="s">
        <v>294</v>
      </c>
      <c r="T441" s="3917" t="s">
        <v>294</v>
      </c>
      <c r="U441" s="3913" t="s">
        <v>294</v>
      </c>
      <c r="V441" s="6190" t="s">
        <v>294</v>
      </c>
      <c r="W441" s="3925" t="s">
        <v>294</v>
      </c>
      <c r="X441" s="7567" t="s">
        <v>294</v>
      </c>
      <c r="Y441" s="7567" t="s">
        <v>294</v>
      </c>
      <c r="Z441" s="7567" t="s">
        <v>294</v>
      </c>
      <c r="AA441" s="7566" t="s">
        <v>294</v>
      </c>
      <c r="AB441" s="7669"/>
      <c r="AC441" s="3920"/>
      <c r="AD441" s="3925" t="s">
        <v>294</v>
      </c>
      <c r="AE441" s="3925" t="s">
        <v>294</v>
      </c>
      <c r="AF441" s="3923" t="s">
        <v>294</v>
      </c>
      <c r="AG441" s="10908"/>
    </row>
    <row r="442" spans="1:33" ht="15.75" customHeight="1">
      <c r="A442" s="11000"/>
      <c r="B442" s="10934"/>
      <c r="C442" s="10937"/>
      <c r="D442" s="10937"/>
      <c r="E442" s="10937"/>
      <c r="F442" s="10940"/>
      <c r="G442" s="10937"/>
      <c r="H442" s="10937"/>
      <c r="I442" s="11026"/>
      <c r="J442" s="10937"/>
      <c r="K442" s="10937"/>
      <c r="L442" s="10943"/>
      <c r="M442" s="10943"/>
      <c r="N442" s="10943"/>
      <c r="O442" s="10937"/>
      <c r="P442" s="11046"/>
      <c r="Q442" s="10953"/>
      <c r="R442" s="4019" t="s">
        <v>294</v>
      </c>
      <c r="S442" s="3917" t="s">
        <v>294</v>
      </c>
      <c r="T442" s="3917" t="s">
        <v>294</v>
      </c>
      <c r="U442" s="3913" t="s">
        <v>294</v>
      </c>
      <c r="V442" s="6190" t="s">
        <v>294</v>
      </c>
      <c r="W442" s="3925" t="s">
        <v>294</v>
      </c>
      <c r="X442" s="7567" t="s">
        <v>294</v>
      </c>
      <c r="Y442" s="7567" t="s">
        <v>294</v>
      </c>
      <c r="Z442" s="7567" t="s">
        <v>294</v>
      </c>
      <c r="AA442" s="7566" t="s">
        <v>294</v>
      </c>
      <c r="AB442" s="7669"/>
      <c r="AC442" s="3920"/>
      <c r="AD442" s="3925" t="s">
        <v>294</v>
      </c>
      <c r="AE442" s="3925" t="s">
        <v>294</v>
      </c>
      <c r="AF442" s="3923" t="s">
        <v>294</v>
      </c>
      <c r="AG442" s="10908"/>
    </row>
    <row r="443" spans="1:33" ht="15.75" customHeight="1">
      <c r="A443" s="11000"/>
      <c r="B443" s="10935"/>
      <c r="C443" s="10938"/>
      <c r="D443" s="10938"/>
      <c r="E443" s="10938"/>
      <c r="F443" s="10941"/>
      <c r="G443" s="10938"/>
      <c r="H443" s="10938"/>
      <c r="I443" s="11027"/>
      <c r="J443" s="10938"/>
      <c r="K443" s="10938"/>
      <c r="L443" s="10944"/>
      <c r="M443" s="10944"/>
      <c r="N443" s="10944"/>
      <c r="O443" s="10938"/>
      <c r="P443" s="11047"/>
      <c r="Q443" s="10954"/>
      <c r="R443" s="4025" t="s">
        <v>294</v>
      </c>
      <c r="S443" s="3977" t="s">
        <v>294</v>
      </c>
      <c r="T443" s="3977" t="s">
        <v>294</v>
      </c>
      <c r="U443" s="3952" t="s">
        <v>294</v>
      </c>
      <c r="V443" s="6193" t="s">
        <v>294</v>
      </c>
      <c r="W443" s="3978" t="s">
        <v>294</v>
      </c>
      <c r="X443" s="7573" t="s">
        <v>294</v>
      </c>
      <c r="Y443" s="7573" t="s">
        <v>294</v>
      </c>
      <c r="Z443" s="7573" t="s">
        <v>294</v>
      </c>
      <c r="AA443" s="7574" t="s">
        <v>294</v>
      </c>
      <c r="AB443" s="7672"/>
      <c r="AC443" s="3979"/>
      <c r="AD443" s="3978" t="s">
        <v>294</v>
      </c>
      <c r="AE443" s="3978" t="s">
        <v>294</v>
      </c>
      <c r="AF443" s="3980" t="s">
        <v>294</v>
      </c>
      <c r="AG443" s="10909"/>
    </row>
    <row r="444" spans="1:33" ht="15.75" customHeight="1">
      <c r="A444" s="11000"/>
      <c r="B444" s="10950" t="s">
        <v>127</v>
      </c>
      <c r="C444" s="10948" t="s">
        <v>128</v>
      </c>
      <c r="D444" s="10948" t="s">
        <v>129</v>
      </c>
      <c r="E444" s="10948" t="s">
        <v>268</v>
      </c>
      <c r="F444" s="10951" t="s">
        <v>131</v>
      </c>
      <c r="G444" s="10948" t="s">
        <v>132</v>
      </c>
      <c r="H444" s="10948" t="s">
        <v>159</v>
      </c>
      <c r="I444" s="11028" t="s">
        <v>5535</v>
      </c>
      <c r="J444" s="10948" t="s">
        <v>1378</v>
      </c>
      <c r="K444" s="10948" t="s">
        <v>5536</v>
      </c>
      <c r="L444" s="10949">
        <v>2</v>
      </c>
      <c r="M444" s="10949">
        <v>2</v>
      </c>
      <c r="N444" s="10949">
        <v>2</v>
      </c>
      <c r="O444" s="10948" t="s">
        <v>5537</v>
      </c>
      <c r="P444" s="10948" t="s">
        <v>5538</v>
      </c>
      <c r="Q444" s="10986" t="s">
        <v>5495</v>
      </c>
      <c r="R444" s="4064" t="s">
        <v>294</v>
      </c>
      <c r="S444" s="3907" t="s">
        <v>294</v>
      </c>
      <c r="T444" s="3907" t="s">
        <v>294</v>
      </c>
      <c r="U444" s="3906" t="s">
        <v>294</v>
      </c>
      <c r="V444" s="6189" t="s">
        <v>294</v>
      </c>
      <c r="W444" s="3908" t="s">
        <v>294</v>
      </c>
      <c r="X444" s="7562" t="s">
        <v>294</v>
      </c>
      <c r="Y444" s="7562" t="s">
        <v>294</v>
      </c>
      <c r="Z444" s="7562" t="s">
        <v>294</v>
      </c>
      <c r="AA444" s="7563" t="s">
        <v>294</v>
      </c>
      <c r="AB444" s="7668"/>
      <c r="AC444" s="3909"/>
      <c r="AD444" s="3908" t="s">
        <v>294</v>
      </c>
      <c r="AE444" s="3912" t="s">
        <v>294</v>
      </c>
      <c r="AF444" s="3912" t="s">
        <v>294</v>
      </c>
      <c r="AG444" s="10907" t="s">
        <v>294</v>
      </c>
    </row>
    <row r="445" spans="1:33" ht="15.75" customHeight="1">
      <c r="A445" s="11000"/>
      <c r="B445" s="10934"/>
      <c r="C445" s="10937"/>
      <c r="D445" s="10937"/>
      <c r="E445" s="10937"/>
      <c r="F445" s="10940"/>
      <c r="G445" s="10937"/>
      <c r="H445" s="10937"/>
      <c r="I445" s="11026"/>
      <c r="J445" s="10937"/>
      <c r="K445" s="10937"/>
      <c r="L445" s="10943"/>
      <c r="M445" s="10943"/>
      <c r="N445" s="10943"/>
      <c r="O445" s="10937"/>
      <c r="P445" s="10937"/>
      <c r="Q445" s="10953"/>
      <c r="R445" s="4019" t="s">
        <v>294</v>
      </c>
      <c r="S445" s="3917" t="s">
        <v>294</v>
      </c>
      <c r="T445" s="3917" t="s">
        <v>294</v>
      </c>
      <c r="U445" s="3913" t="s">
        <v>294</v>
      </c>
      <c r="V445" s="6190" t="s">
        <v>294</v>
      </c>
      <c r="W445" s="3925" t="s">
        <v>294</v>
      </c>
      <c r="X445" s="7567" t="s">
        <v>294</v>
      </c>
      <c r="Y445" s="7567" t="s">
        <v>294</v>
      </c>
      <c r="Z445" s="7567" t="s">
        <v>294</v>
      </c>
      <c r="AA445" s="7566" t="s">
        <v>294</v>
      </c>
      <c r="AB445" s="7669"/>
      <c r="AC445" s="3920"/>
      <c r="AD445" s="3925" t="s">
        <v>294</v>
      </c>
      <c r="AE445" s="3923" t="s">
        <v>294</v>
      </c>
      <c r="AF445" s="3923" t="s">
        <v>294</v>
      </c>
      <c r="AG445" s="10908"/>
    </row>
    <row r="446" spans="1:33" ht="15.75" customHeight="1">
      <c r="A446" s="11000"/>
      <c r="B446" s="10934"/>
      <c r="C446" s="10937"/>
      <c r="D446" s="10937"/>
      <c r="E446" s="10937"/>
      <c r="F446" s="10940"/>
      <c r="G446" s="10937"/>
      <c r="H446" s="10937"/>
      <c r="I446" s="11026"/>
      <c r="J446" s="10937"/>
      <c r="K446" s="10937"/>
      <c r="L446" s="10943"/>
      <c r="M446" s="10943"/>
      <c r="N446" s="10943"/>
      <c r="O446" s="10937"/>
      <c r="P446" s="10937"/>
      <c r="Q446" s="10953"/>
      <c r="R446" s="4019" t="s">
        <v>294</v>
      </c>
      <c r="S446" s="3917" t="s">
        <v>294</v>
      </c>
      <c r="T446" s="3917" t="s">
        <v>294</v>
      </c>
      <c r="U446" s="3913" t="s">
        <v>294</v>
      </c>
      <c r="V446" s="6190" t="s">
        <v>294</v>
      </c>
      <c r="W446" s="3925" t="s">
        <v>294</v>
      </c>
      <c r="X446" s="7567" t="s">
        <v>294</v>
      </c>
      <c r="Y446" s="7567" t="s">
        <v>294</v>
      </c>
      <c r="Z446" s="7567" t="s">
        <v>294</v>
      </c>
      <c r="AA446" s="7566" t="s">
        <v>294</v>
      </c>
      <c r="AB446" s="7669"/>
      <c r="AC446" s="3920"/>
      <c r="AD446" s="3925" t="s">
        <v>294</v>
      </c>
      <c r="AE446" s="3923" t="s">
        <v>294</v>
      </c>
      <c r="AF446" s="3923" t="s">
        <v>294</v>
      </c>
      <c r="AG446" s="10908"/>
    </row>
    <row r="447" spans="1:33" ht="15.75" customHeight="1">
      <c r="A447" s="11000"/>
      <c r="B447" s="10934"/>
      <c r="C447" s="10937"/>
      <c r="D447" s="10937"/>
      <c r="E447" s="10937"/>
      <c r="F447" s="10940"/>
      <c r="G447" s="10937"/>
      <c r="H447" s="10937"/>
      <c r="I447" s="11026"/>
      <c r="J447" s="10937"/>
      <c r="K447" s="10937"/>
      <c r="L447" s="10943"/>
      <c r="M447" s="10943"/>
      <c r="N447" s="10943"/>
      <c r="O447" s="10937"/>
      <c r="P447" s="10937"/>
      <c r="Q447" s="10953"/>
      <c r="R447" s="4019" t="s">
        <v>294</v>
      </c>
      <c r="S447" s="3917" t="s">
        <v>294</v>
      </c>
      <c r="T447" s="3917" t="s">
        <v>294</v>
      </c>
      <c r="U447" s="3913" t="s">
        <v>294</v>
      </c>
      <c r="V447" s="6190" t="s">
        <v>294</v>
      </c>
      <c r="W447" s="3925" t="s">
        <v>294</v>
      </c>
      <c r="X447" s="7567" t="s">
        <v>294</v>
      </c>
      <c r="Y447" s="7567" t="s">
        <v>294</v>
      </c>
      <c r="Z447" s="7567" t="s">
        <v>294</v>
      </c>
      <c r="AA447" s="7566" t="s">
        <v>294</v>
      </c>
      <c r="AB447" s="7669"/>
      <c r="AC447" s="3920"/>
      <c r="AD447" s="3925" t="s">
        <v>294</v>
      </c>
      <c r="AE447" s="3923" t="s">
        <v>294</v>
      </c>
      <c r="AF447" s="3923" t="s">
        <v>294</v>
      </c>
      <c r="AG447" s="10908"/>
    </row>
    <row r="448" spans="1:33" ht="15.75" customHeight="1">
      <c r="A448" s="11000"/>
      <c r="B448" s="10935"/>
      <c r="C448" s="10938"/>
      <c r="D448" s="10938"/>
      <c r="E448" s="10938"/>
      <c r="F448" s="10941"/>
      <c r="G448" s="10938"/>
      <c r="H448" s="10938"/>
      <c r="I448" s="11027"/>
      <c r="J448" s="10938"/>
      <c r="K448" s="10938"/>
      <c r="L448" s="10944"/>
      <c r="M448" s="10944"/>
      <c r="N448" s="10944"/>
      <c r="O448" s="10938"/>
      <c r="P448" s="10938"/>
      <c r="Q448" s="10954"/>
      <c r="R448" s="4025" t="s">
        <v>294</v>
      </c>
      <c r="S448" s="3977" t="s">
        <v>294</v>
      </c>
      <c r="T448" s="3977" t="s">
        <v>294</v>
      </c>
      <c r="U448" s="3952" t="s">
        <v>294</v>
      </c>
      <c r="V448" s="6193" t="s">
        <v>294</v>
      </c>
      <c r="W448" s="3978" t="s">
        <v>294</v>
      </c>
      <c r="X448" s="7573" t="s">
        <v>294</v>
      </c>
      <c r="Y448" s="7573" t="s">
        <v>294</v>
      </c>
      <c r="Z448" s="7573" t="s">
        <v>294</v>
      </c>
      <c r="AA448" s="7574" t="s">
        <v>294</v>
      </c>
      <c r="AB448" s="7672"/>
      <c r="AC448" s="3979"/>
      <c r="AD448" s="3978" t="s">
        <v>294</v>
      </c>
      <c r="AE448" s="3980" t="s">
        <v>294</v>
      </c>
      <c r="AF448" s="3980" t="s">
        <v>294</v>
      </c>
      <c r="AG448" s="10909"/>
    </row>
    <row r="449" spans="1:33" s="6145" customFormat="1" ht="38.25" customHeight="1" thickBot="1">
      <c r="A449" s="6140"/>
      <c r="B449" s="5407" t="s">
        <v>294</v>
      </c>
      <c r="C449" s="5407" t="s">
        <v>294</v>
      </c>
      <c r="D449" s="5407" t="s">
        <v>294</v>
      </c>
      <c r="E449" s="5407" t="s">
        <v>294</v>
      </c>
      <c r="F449" s="5407" t="s">
        <v>294</v>
      </c>
      <c r="G449" s="5407" t="s">
        <v>294</v>
      </c>
      <c r="H449" s="5407" t="s">
        <v>294</v>
      </c>
      <c r="I449" s="5407" t="s">
        <v>294</v>
      </c>
      <c r="J449" s="5407" t="s">
        <v>294</v>
      </c>
      <c r="K449" s="5407" t="s">
        <v>294</v>
      </c>
      <c r="L449" s="5408" t="s">
        <v>294</v>
      </c>
      <c r="M449" s="5408" t="s">
        <v>294</v>
      </c>
      <c r="N449" s="5408" t="s">
        <v>294</v>
      </c>
      <c r="O449" s="5409" t="s">
        <v>294</v>
      </c>
      <c r="P449" s="5409" t="s">
        <v>294</v>
      </c>
      <c r="Q449" s="5410" t="s">
        <v>294</v>
      </c>
      <c r="R449" s="10982" t="s">
        <v>4561</v>
      </c>
      <c r="S449" s="10983"/>
      <c r="T449" s="10983"/>
      <c r="U449" s="10983"/>
      <c r="V449" s="10983"/>
      <c r="W449" s="10983"/>
      <c r="X449" s="10983"/>
      <c r="Y449" s="10983"/>
      <c r="Z449" s="6143" t="s">
        <v>292</v>
      </c>
      <c r="AA449" s="7618">
        <v>0</v>
      </c>
      <c r="AB449" s="6144"/>
      <c r="AC449" s="5411"/>
      <c r="AD449" s="10958" t="s">
        <v>294</v>
      </c>
      <c r="AE449" s="10958"/>
      <c r="AF449" s="10958"/>
      <c r="AG449" s="10959"/>
    </row>
    <row r="450" spans="1:33" ht="34.5" customHeight="1">
      <c r="A450" s="11029" t="s">
        <v>4562</v>
      </c>
      <c r="B450" s="11017" t="s">
        <v>127</v>
      </c>
      <c r="C450" s="11015" t="s">
        <v>128</v>
      </c>
      <c r="D450" s="11015" t="s">
        <v>129</v>
      </c>
      <c r="E450" s="11015" t="s">
        <v>268</v>
      </c>
      <c r="F450" s="11018" t="s">
        <v>131</v>
      </c>
      <c r="G450" s="11015" t="s">
        <v>132</v>
      </c>
      <c r="H450" s="11015" t="s">
        <v>159</v>
      </c>
      <c r="I450" s="11019" t="s">
        <v>5539</v>
      </c>
      <c r="J450" s="11015" t="s">
        <v>4564</v>
      </c>
      <c r="K450" s="11015" t="s">
        <v>5540</v>
      </c>
      <c r="L450" s="11034">
        <v>230</v>
      </c>
      <c r="M450" s="11034">
        <v>230</v>
      </c>
      <c r="N450" s="11034">
        <v>230</v>
      </c>
      <c r="O450" s="11044" t="s">
        <v>5541</v>
      </c>
      <c r="P450" s="11044" t="s">
        <v>5542</v>
      </c>
      <c r="Q450" s="11016" t="s">
        <v>5543</v>
      </c>
      <c r="R450" s="5418" t="s">
        <v>5011</v>
      </c>
      <c r="S450" s="5419" t="s">
        <v>5544</v>
      </c>
      <c r="T450" s="5420" t="s">
        <v>294</v>
      </c>
      <c r="U450" s="5413" t="s">
        <v>40</v>
      </c>
      <c r="V450" s="6194" t="s">
        <v>294</v>
      </c>
      <c r="W450" s="5421" t="s">
        <v>294</v>
      </c>
      <c r="X450" s="7590" t="s">
        <v>294</v>
      </c>
      <c r="Y450" s="7590" t="s">
        <v>294</v>
      </c>
      <c r="Z450" s="7590" t="s">
        <v>294</v>
      </c>
      <c r="AA450" s="7853">
        <f>+Z451</f>
        <v>0</v>
      </c>
      <c r="AB450" s="7687" t="s">
        <v>25</v>
      </c>
      <c r="AC450" s="5422"/>
      <c r="AD450" s="5414" t="s">
        <v>294</v>
      </c>
      <c r="AE450" s="5417" t="s">
        <v>294</v>
      </c>
      <c r="AF450" s="5417" t="s">
        <v>294</v>
      </c>
      <c r="AG450" s="10926" t="s">
        <v>294</v>
      </c>
    </row>
    <row r="451" spans="1:33" ht="15.75" customHeight="1">
      <c r="A451" s="11000"/>
      <c r="B451" s="10934"/>
      <c r="C451" s="10937"/>
      <c r="D451" s="10937"/>
      <c r="E451" s="10937"/>
      <c r="F451" s="10940"/>
      <c r="G451" s="10937"/>
      <c r="H451" s="10937"/>
      <c r="I451" s="11002"/>
      <c r="J451" s="10937"/>
      <c r="K451" s="10937"/>
      <c r="L451" s="10943"/>
      <c r="M451" s="10943"/>
      <c r="N451" s="10943"/>
      <c r="O451" s="11008"/>
      <c r="P451" s="11008"/>
      <c r="Q451" s="10953"/>
      <c r="R451" s="4019" t="s">
        <v>294</v>
      </c>
      <c r="S451" s="3916" t="s">
        <v>294</v>
      </c>
      <c r="T451" s="3917">
        <v>451600115</v>
      </c>
      <c r="U451" s="3913" t="s">
        <v>5545</v>
      </c>
      <c r="V451" s="6190">
        <v>1</v>
      </c>
      <c r="W451" s="3925" t="s">
        <v>180</v>
      </c>
      <c r="X451" s="7852">
        <v>0</v>
      </c>
      <c r="Y451" s="7852">
        <f>+V451*X451</f>
        <v>0</v>
      </c>
      <c r="Z451" s="7852">
        <f>+Y451*1.12</f>
        <v>0</v>
      </c>
      <c r="AA451" s="7566" t="s">
        <v>294</v>
      </c>
      <c r="AB451" s="7669"/>
      <c r="AC451" s="3920"/>
      <c r="AD451" s="3923" t="s">
        <v>153</v>
      </c>
      <c r="AE451" s="3923" t="s">
        <v>294</v>
      </c>
      <c r="AF451" s="3923" t="s">
        <v>294</v>
      </c>
      <c r="AG451" s="10908"/>
    </row>
    <row r="452" spans="1:33" ht="15.75" customHeight="1">
      <c r="A452" s="11000"/>
      <c r="B452" s="10934"/>
      <c r="C452" s="10937"/>
      <c r="D452" s="10937"/>
      <c r="E452" s="10937"/>
      <c r="F452" s="10940"/>
      <c r="G452" s="10937"/>
      <c r="H452" s="10937"/>
      <c r="I452" s="11002"/>
      <c r="J452" s="10937"/>
      <c r="K452" s="10937"/>
      <c r="L452" s="10943"/>
      <c r="M452" s="10943"/>
      <c r="N452" s="10943"/>
      <c r="O452" s="11008"/>
      <c r="P452" s="11008"/>
      <c r="Q452" s="10953"/>
      <c r="R452" s="4019" t="s">
        <v>294</v>
      </c>
      <c r="S452" s="3916" t="s">
        <v>294</v>
      </c>
      <c r="T452" s="3917" t="s">
        <v>294</v>
      </c>
      <c r="U452" s="3913" t="s">
        <v>294</v>
      </c>
      <c r="V452" s="6190" t="s">
        <v>294</v>
      </c>
      <c r="W452" s="3925" t="s">
        <v>294</v>
      </c>
      <c r="X452" s="7567" t="s">
        <v>294</v>
      </c>
      <c r="Y452" s="7567" t="s">
        <v>294</v>
      </c>
      <c r="Z452" s="7567" t="s">
        <v>294</v>
      </c>
      <c r="AA452" s="7566" t="s">
        <v>294</v>
      </c>
      <c r="AB452" s="7669"/>
      <c r="AC452" s="3920"/>
      <c r="AD452" s="3925" t="s">
        <v>294</v>
      </c>
      <c r="AE452" s="3923" t="s">
        <v>294</v>
      </c>
      <c r="AF452" s="3923" t="s">
        <v>294</v>
      </c>
      <c r="AG452" s="10908"/>
    </row>
    <row r="453" spans="1:33" ht="15.75" customHeight="1">
      <c r="A453" s="11000"/>
      <c r="B453" s="10934"/>
      <c r="C453" s="10937"/>
      <c r="D453" s="10937"/>
      <c r="E453" s="10937"/>
      <c r="F453" s="10940"/>
      <c r="G453" s="10937"/>
      <c r="H453" s="10937"/>
      <c r="I453" s="11002"/>
      <c r="J453" s="10937"/>
      <c r="K453" s="10937"/>
      <c r="L453" s="10943"/>
      <c r="M453" s="10943"/>
      <c r="N453" s="10943"/>
      <c r="O453" s="11008"/>
      <c r="P453" s="11008"/>
      <c r="Q453" s="10953"/>
      <c r="R453" s="4018" t="s">
        <v>294</v>
      </c>
      <c r="S453" s="3916" t="s">
        <v>294</v>
      </c>
      <c r="T453" s="3916" t="s">
        <v>294</v>
      </c>
      <c r="U453" s="3913" t="s">
        <v>294</v>
      </c>
      <c r="V453" s="6190" t="s">
        <v>294</v>
      </c>
      <c r="W453" s="3925" t="s">
        <v>294</v>
      </c>
      <c r="X453" s="7567" t="s">
        <v>294</v>
      </c>
      <c r="Y453" s="7567" t="s">
        <v>294</v>
      </c>
      <c r="Z453" s="7567" t="s">
        <v>294</v>
      </c>
      <c r="AA453" s="7566" t="s">
        <v>294</v>
      </c>
      <c r="AB453" s="7669"/>
      <c r="AC453" s="3920"/>
      <c r="AD453" s="3925" t="s">
        <v>294</v>
      </c>
      <c r="AE453" s="3923" t="s">
        <v>294</v>
      </c>
      <c r="AF453" s="3923" t="s">
        <v>294</v>
      </c>
      <c r="AG453" s="10908"/>
    </row>
    <row r="454" spans="1:33" ht="15.75" customHeight="1">
      <c r="A454" s="11000"/>
      <c r="B454" s="10993"/>
      <c r="C454" s="10985"/>
      <c r="D454" s="10985"/>
      <c r="E454" s="10985"/>
      <c r="F454" s="10994"/>
      <c r="G454" s="10985"/>
      <c r="H454" s="10985"/>
      <c r="I454" s="11003"/>
      <c r="J454" s="10985"/>
      <c r="K454" s="10985"/>
      <c r="L454" s="10984"/>
      <c r="M454" s="10984"/>
      <c r="N454" s="10984"/>
      <c r="O454" s="11009"/>
      <c r="P454" s="11009"/>
      <c r="Q454" s="10987"/>
      <c r="R454" s="4066" t="s">
        <v>294</v>
      </c>
      <c r="S454" s="4038" t="s">
        <v>294</v>
      </c>
      <c r="T454" s="4038" t="s">
        <v>294</v>
      </c>
      <c r="U454" s="3982" t="s">
        <v>294</v>
      </c>
      <c r="V454" s="6191" t="s">
        <v>294</v>
      </c>
      <c r="W454" s="4039" t="s">
        <v>294</v>
      </c>
      <c r="X454" s="7568" t="s">
        <v>294</v>
      </c>
      <c r="Y454" s="7568" t="s">
        <v>294</v>
      </c>
      <c r="Z454" s="7568" t="s">
        <v>294</v>
      </c>
      <c r="AA454" s="7569" t="s">
        <v>294</v>
      </c>
      <c r="AB454" s="7670"/>
      <c r="AC454" s="4040"/>
      <c r="AD454" s="4039" t="s">
        <v>294</v>
      </c>
      <c r="AE454" s="4043" t="s">
        <v>294</v>
      </c>
      <c r="AF454" s="4043" t="s">
        <v>294</v>
      </c>
      <c r="AG454" s="10909"/>
    </row>
    <row r="455" spans="1:33" ht="15.75" customHeight="1">
      <c r="A455" s="11000"/>
      <c r="B455" s="10933" t="s">
        <v>127</v>
      </c>
      <c r="C455" s="10936" t="s">
        <v>128</v>
      </c>
      <c r="D455" s="10936" t="s">
        <v>129</v>
      </c>
      <c r="E455" s="10936" t="s">
        <v>268</v>
      </c>
      <c r="F455" s="10939" t="s">
        <v>131</v>
      </c>
      <c r="G455" s="10936" t="s">
        <v>132</v>
      </c>
      <c r="H455" s="10936" t="s">
        <v>159</v>
      </c>
      <c r="I455" s="11025" t="s">
        <v>5546</v>
      </c>
      <c r="J455" s="10936" t="s">
        <v>4570</v>
      </c>
      <c r="K455" s="10936" t="s">
        <v>5547</v>
      </c>
      <c r="L455" s="10942">
        <v>500</v>
      </c>
      <c r="M455" s="10942">
        <v>500</v>
      </c>
      <c r="N455" s="10942">
        <v>500</v>
      </c>
      <c r="O455" s="11037" t="s">
        <v>5548</v>
      </c>
      <c r="P455" s="11037" t="s">
        <v>5549</v>
      </c>
      <c r="Q455" s="10952" t="s">
        <v>5550</v>
      </c>
      <c r="R455" s="4024" t="s">
        <v>294</v>
      </c>
      <c r="S455" s="4000" t="s">
        <v>294</v>
      </c>
      <c r="T455" s="4000" t="s">
        <v>294</v>
      </c>
      <c r="U455" s="3981" t="s">
        <v>294</v>
      </c>
      <c r="V455" s="6192" t="s">
        <v>294</v>
      </c>
      <c r="W455" s="4001" t="s">
        <v>294</v>
      </c>
      <c r="X455" s="7570" t="s">
        <v>294</v>
      </c>
      <c r="Y455" s="7570" t="s">
        <v>294</v>
      </c>
      <c r="Z455" s="7570" t="s">
        <v>294</v>
      </c>
      <c r="AA455" s="7571" t="s">
        <v>294</v>
      </c>
      <c r="AB455" s="7671"/>
      <c r="AC455" s="4002"/>
      <c r="AD455" s="4001" t="s">
        <v>294</v>
      </c>
      <c r="AE455" s="4005" t="s">
        <v>294</v>
      </c>
      <c r="AF455" s="4005" t="s">
        <v>294</v>
      </c>
      <c r="AG455" s="10907" t="s">
        <v>294</v>
      </c>
    </row>
    <row r="456" spans="1:33" ht="15.75" customHeight="1">
      <c r="A456" s="11000"/>
      <c r="B456" s="10934"/>
      <c r="C456" s="10937"/>
      <c r="D456" s="10937"/>
      <c r="E456" s="10937"/>
      <c r="F456" s="10940"/>
      <c r="G456" s="10937"/>
      <c r="H456" s="10937"/>
      <c r="I456" s="11026"/>
      <c r="J456" s="10937"/>
      <c r="K456" s="10937"/>
      <c r="L456" s="10943"/>
      <c r="M456" s="10943"/>
      <c r="N456" s="10943"/>
      <c r="O456" s="11008"/>
      <c r="P456" s="11008"/>
      <c r="Q456" s="10953"/>
      <c r="R456" s="4019" t="s">
        <v>294</v>
      </c>
      <c r="S456" s="3917" t="s">
        <v>294</v>
      </c>
      <c r="T456" s="3917" t="s">
        <v>294</v>
      </c>
      <c r="U456" s="3913" t="s">
        <v>294</v>
      </c>
      <c r="V456" s="6190" t="s">
        <v>294</v>
      </c>
      <c r="W456" s="3925" t="s">
        <v>294</v>
      </c>
      <c r="X456" s="7567" t="s">
        <v>294</v>
      </c>
      <c r="Y456" s="7567" t="s">
        <v>294</v>
      </c>
      <c r="Z456" s="7567" t="s">
        <v>294</v>
      </c>
      <c r="AA456" s="7566" t="s">
        <v>294</v>
      </c>
      <c r="AB456" s="7669"/>
      <c r="AC456" s="3920"/>
      <c r="AD456" s="3925" t="s">
        <v>294</v>
      </c>
      <c r="AE456" s="3923" t="s">
        <v>294</v>
      </c>
      <c r="AF456" s="3923" t="s">
        <v>294</v>
      </c>
      <c r="AG456" s="10908"/>
    </row>
    <row r="457" spans="1:33" ht="15.75" customHeight="1">
      <c r="A457" s="11000"/>
      <c r="B457" s="10934"/>
      <c r="C457" s="10937"/>
      <c r="D457" s="10937"/>
      <c r="E457" s="10937"/>
      <c r="F457" s="10940"/>
      <c r="G457" s="10937"/>
      <c r="H457" s="10937"/>
      <c r="I457" s="11026"/>
      <c r="J457" s="10937"/>
      <c r="K457" s="10937"/>
      <c r="L457" s="10943"/>
      <c r="M457" s="10943"/>
      <c r="N457" s="10943"/>
      <c r="O457" s="11008"/>
      <c r="P457" s="11008"/>
      <c r="Q457" s="10953"/>
      <c r="R457" s="4019" t="s">
        <v>294</v>
      </c>
      <c r="S457" s="3917" t="s">
        <v>294</v>
      </c>
      <c r="T457" s="3917" t="s">
        <v>294</v>
      </c>
      <c r="U457" s="3913" t="s">
        <v>294</v>
      </c>
      <c r="V457" s="6190" t="s">
        <v>294</v>
      </c>
      <c r="W457" s="3925" t="s">
        <v>294</v>
      </c>
      <c r="X457" s="7567" t="s">
        <v>294</v>
      </c>
      <c r="Y457" s="7567" t="s">
        <v>294</v>
      </c>
      <c r="Z457" s="7567" t="s">
        <v>294</v>
      </c>
      <c r="AA457" s="7566" t="s">
        <v>294</v>
      </c>
      <c r="AB457" s="7669"/>
      <c r="AC457" s="3920"/>
      <c r="AD457" s="3925" t="s">
        <v>294</v>
      </c>
      <c r="AE457" s="3923" t="s">
        <v>294</v>
      </c>
      <c r="AF457" s="3923" t="s">
        <v>294</v>
      </c>
      <c r="AG457" s="10908"/>
    </row>
    <row r="458" spans="1:33" ht="15.75" customHeight="1">
      <c r="A458" s="11000"/>
      <c r="B458" s="10934"/>
      <c r="C458" s="10937"/>
      <c r="D458" s="10937"/>
      <c r="E458" s="10937"/>
      <c r="F458" s="10940"/>
      <c r="G458" s="10937"/>
      <c r="H458" s="10937"/>
      <c r="I458" s="11026"/>
      <c r="J458" s="10937"/>
      <c r="K458" s="10937"/>
      <c r="L458" s="10943"/>
      <c r="M458" s="10943"/>
      <c r="N458" s="10943"/>
      <c r="O458" s="11008"/>
      <c r="P458" s="11008"/>
      <c r="Q458" s="10953"/>
      <c r="R458" s="4018" t="s">
        <v>294</v>
      </c>
      <c r="S458" s="3916" t="s">
        <v>294</v>
      </c>
      <c r="T458" s="3916" t="s">
        <v>294</v>
      </c>
      <c r="U458" s="3913" t="s">
        <v>294</v>
      </c>
      <c r="V458" s="6190" t="s">
        <v>294</v>
      </c>
      <c r="W458" s="3925" t="s">
        <v>294</v>
      </c>
      <c r="X458" s="7567" t="s">
        <v>294</v>
      </c>
      <c r="Y458" s="7567" t="s">
        <v>294</v>
      </c>
      <c r="Z458" s="7567" t="s">
        <v>294</v>
      </c>
      <c r="AA458" s="7566" t="s">
        <v>294</v>
      </c>
      <c r="AB458" s="7669"/>
      <c r="AC458" s="3920"/>
      <c r="AD458" s="3925" t="s">
        <v>294</v>
      </c>
      <c r="AE458" s="3923" t="s">
        <v>294</v>
      </c>
      <c r="AF458" s="3923" t="s">
        <v>294</v>
      </c>
      <c r="AG458" s="10908"/>
    </row>
    <row r="459" spans="1:33" ht="15.75" customHeight="1">
      <c r="A459" s="11000"/>
      <c r="B459" s="10935"/>
      <c r="C459" s="10938"/>
      <c r="D459" s="10938"/>
      <c r="E459" s="10938"/>
      <c r="F459" s="10941"/>
      <c r="G459" s="10938"/>
      <c r="H459" s="10938"/>
      <c r="I459" s="11027"/>
      <c r="J459" s="10938"/>
      <c r="K459" s="10938"/>
      <c r="L459" s="10944"/>
      <c r="M459" s="10944"/>
      <c r="N459" s="10944"/>
      <c r="O459" s="11038"/>
      <c r="P459" s="11038"/>
      <c r="Q459" s="10954"/>
      <c r="R459" s="4025" t="s">
        <v>294</v>
      </c>
      <c r="S459" s="3977" t="s">
        <v>294</v>
      </c>
      <c r="T459" s="3977" t="s">
        <v>294</v>
      </c>
      <c r="U459" s="3952" t="s">
        <v>294</v>
      </c>
      <c r="V459" s="6193" t="s">
        <v>294</v>
      </c>
      <c r="W459" s="3978" t="s">
        <v>294</v>
      </c>
      <c r="X459" s="7573" t="s">
        <v>294</v>
      </c>
      <c r="Y459" s="7573" t="s">
        <v>294</v>
      </c>
      <c r="Z459" s="7573" t="s">
        <v>294</v>
      </c>
      <c r="AA459" s="7574" t="s">
        <v>294</v>
      </c>
      <c r="AB459" s="7672"/>
      <c r="AC459" s="3979"/>
      <c r="AD459" s="3978" t="s">
        <v>294</v>
      </c>
      <c r="AE459" s="3980" t="s">
        <v>294</v>
      </c>
      <c r="AF459" s="3980" t="s">
        <v>294</v>
      </c>
      <c r="AG459" s="10909"/>
    </row>
    <row r="460" spans="1:33" ht="15.75" customHeight="1">
      <c r="A460" s="11000"/>
      <c r="B460" s="10950" t="s">
        <v>127</v>
      </c>
      <c r="C460" s="10948" t="s">
        <v>128</v>
      </c>
      <c r="D460" s="10948" t="s">
        <v>129</v>
      </c>
      <c r="E460" s="10948" t="s">
        <v>268</v>
      </c>
      <c r="F460" s="10951" t="s">
        <v>131</v>
      </c>
      <c r="G460" s="10948" t="s">
        <v>132</v>
      </c>
      <c r="H460" s="10948" t="s">
        <v>159</v>
      </c>
      <c r="I460" s="11028" t="s">
        <v>5551</v>
      </c>
      <c r="J460" s="10948" t="s">
        <v>4575</v>
      </c>
      <c r="K460" s="10948" t="s">
        <v>5552</v>
      </c>
      <c r="L460" s="10949">
        <v>115</v>
      </c>
      <c r="M460" s="10949">
        <v>161</v>
      </c>
      <c r="N460" s="10949">
        <v>135</v>
      </c>
      <c r="O460" s="11007" t="s">
        <v>5553</v>
      </c>
      <c r="P460" s="11007" t="s">
        <v>5554</v>
      </c>
      <c r="Q460" s="10986" t="s">
        <v>5555</v>
      </c>
      <c r="R460" s="4064" t="s">
        <v>294</v>
      </c>
      <c r="S460" s="3907" t="s">
        <v>294</v>
      </c>
      <c r="T460" s="3907" t="s">
        <v>294</v>
      </c>
      <c r="U460" s="3906" t="s">
        <v>294</v>
      </c>
      <c r="V460" s="6189" t="s">
        <v>294</v>
      </c>
      <c r="W460" s="3908" t="s">
        <v>294</v>
      </c>
      <c r="X460" s="7562" t="s">
        <v>294</v>
      </c>
      <c r="Y460" s="7562" t="s">
        <v>294</v>
      </c>
      <c r="Z460" s="7562" t="s">
        <v>294</v>
      </c>
      <c r="AA460" s="7563" t="s">
        <v>294</v>
      </c>
      <c r="AB460" s="7668"/>
      <c r="AC460" s="3909"/>
      <c r="AD460" s="3908" t="s">
        <v>294</v>
      </c>
      <c r="AE460" s="3912" t="s">
        <v>294</v>
      </c>
      <c r="AF460" s="3912" t="s">
        <v>294</v>
      </c>
      <c r="AG460" s="10907" t="s">
        <v>294</v>
      </c>
    </row>
    <row r="461" spans="1:33" ht="15.75" customHeight="1">
      <c r="A461" s="11000"/>
      <c r="B461" s="10934"/>
      <c r="C461" s="10937"/>
      <c r="D461" s="10937"/>
      <c r="E461" s="10937"/>
      <c r="F461" s="10940"/>
      <c r="G461" s="10937"/>
      <c r="H461" s="10937"/>
      <c r="I461" s="11026"/>
      <c r="J461" s="10937"/>
      <c r="K461" s="10937"/>
      <c r="L461" s="10943"/>
      <c r="M461" s="10943"/>
      <c r="N461" s="10943"/>
      <c r="O461" s="11008"/>
      <c r="P461" s="11008"/>
      <c r="Q461" s="10953"/>
      <c r="R461" s="4019" t="s">
        <v>294</v>
      </c>
      <c r="S461" s="3917" t="s">
        <v>294</v>
      </c>
      <c r="T461" s="3917" t="s">
        <v>294</v>
      </c>
      <c r="U461" s="3913" t="s">
        <v>294</v>
      </c>
      <c r="V461" s="6190" t="s">
        <v>294</v>
      </c>
      <c r="W461" s="3925" t="s">
        <v>294</v>
      </c>
      <c r="X461" s="7567" t="s">
        <v>294</v>
      </c>
      <c r="Y461" s="7567" t="s">
        <v>294</v>
      </c>
      <c r="Z461" s="7567" t="s">
        <v>294</v>
      </c>
      <c r="AA461" s="7566" t="s">
        <v>294</v>
      </c>
      <c r="AB461" s="7669"/>
      <c r="AC461" s="3920"/>
      <c r="AD461" s="3925" t="s">
        <v>294</v>
      </c>
      <c r="AE461" s="3923" t="s">
        <v>294</v>
      </c>
      <c r="AF461" s="3923" t="s">
        <v>294</v>
      </c>
      <c r="AG461" s="10908"/>
    </row>
    <row r="462" spans="1:33" ht="15.75" customHeight="1">
      <c r="A462" s="11000"/>
      <c r="B462" s="10934"/>
      <c r="C462" s="10937"/>
      <c r="D462" s="10937"/>
      <c r="E462" s="10937"/>
      <c r="F462" s="10940"/>
      <c r="G462" s="10937"/>
      <c r="H462" s="10937"/>
      <c r="I462" s="11026"/>
      <c r="J462" s="10937"/>
      <c r="K462" s="10937"/>
      <c r="L462" s="10943"/>
      <c r="M462" s="10943"/>
      <c r="N462" s="10943"/>
      <c r="O462" s="11008"/>
      <c r="P462" s="11008"/>
      <c r="Q462" s="10953"/>
      <c r="R462" s="4019" t="s">
        <v>294</v>
      </c>
      <c r="S462" s="3917" t="s">
        <v>294</v>
      </c>
      <c r="T462" s="3917" t="s">
        <v>294</v>
      </c>
      <c r="U462" s="3913" t="s">
        <v>294</v>
      </c>
      <c r="V462" s="6190" t="s">
        <v>294</v>
      </c>
      <c r="W462" s="3925" t="s">
        <v>294</v>
      </c>
      <c r="X462" s="7567" t="s">
        <v>294</v>
      </c>
      <c r="Y462" s="7567" t="s">
        <v>294</v>
      </c>
      <c r="Z462" s="7567" t="s">
        <v>294</v>
      </c>
      <c r="AA462" s="7566" t="s">
        <v>294</v>
      </c>
      <c r="AB462" s="7669"/>
      <c r="AC462" s="3920"/>
      <c r="AD462" s="3925" t="s">
        <v>294</v>
      </c>
      <c r="AE462" s="3923" t="s">
        <v>294</v>
      </c>
      <c r="AF462" s="3923" t="s">
        <v>294</v>
      </c>
      <c r="AG462" s="10908"/>
    </row>
    <row r="463" spans="1:33" ht="15.75" customHeight="1">
      <c r="A463" s="11000"/>
      <c r="B463" s="10934"/>
      <c r="C463" s="10937"/>
      <c r="D463" s="10937"/>
      <c r="E463" s="10937"/>
      <c r="F463" s="10940"/>
      <c r="G463" s="10937"/>
      <c r="H463" s="10937"/>
      <c r="I463" s="11026"/>
      <c r="J463" s="10937"/>
      <c r="K463" s="10937"/>
      <c r="L463" s="10943"/>
      <c r="M463" s="10943"/>
      <c r="N463" s="10943"/>
      <c r="O463" s="11008"/>
      <c r="P463" s="11008"/>
      <c r="Q463" s="10953"/>
      <c r="R463" s="4018" t="s">
        <v>294</v>
      </c>
      <c r="S463" s="3916" t="s">
        <v>294</v>
      </c>
      <c r="T463" s="3916" t="s">
        <v>294</v>
      </c>
      <c r="U463" s="3913" t="s">
        <v>294</v>
      </c>
      <c r="V463" s="6190" t="s">
        <v>294</v>
      </c>
      <c r="W463" s="3925" t="s">
        <v>294</v>
      </c>
      <c r="X463" s="7567" t="s">
        <v>294</v>
      </c>
      <c r="Y463" s="7567" t="s">
        <v>294</v>
      </c>
      <c r="Z463" s="7567" t="s">
        <v>294</v>
      </c>
      <c r="AA463" s="7566" t="s">
        <v>294</v>
      </c>
      <c r="AB463" s="7669"/>
      <c r="AC463" s="3920"/>
      <c r="AD463" s="3925" t="s">
        <v>294</v>
      </c>
      <c r="AE463" s="3923" t="s">
        <v>294</v>
      </c>
      <c r="AF463" s="3923" t="s">
        <v>294</v>
      </c>
      <c r="AG463" s="10908"/>
    </row>
    <row r="464" spans="1:33" ht="15.75" customHeight="1">
      <c r="A464" s="11000"/>
      <c r="B464" s="10993"/>
      <c r="C464" s="10985"/>
      <c r="D464" s="10985"/>
      <c r="E464" s="10985"/>
      <c r="F464" s="10994"/>
      <c r="G464" s="10985"/>
      <c r="H464" s="10985"/>
      <c r="I464" s="11030"/>
      <c r="J464" s="10985"/>
      <c r="K464" s="10985"/>
      <c r="L464" s="10984"/>
      <c r="M464" s="10984"/>
      <c r="N464" s="10984"/>
      <c r="O464" s="11009"/>
      <c r="P464" s="11009"/>
      <c r="Q464" s="10987"/>
      <c r="R464" s="4066" t="s">
        <v>294</v>
      </c>
      <c r="S464" s="4038" t="s">
        <v>294</v>
      </c>
      <c r="T464" s="4038" t="s">
        <v>294</v>
      </c>
      <c r="U464" s="3982" t="s">
        <v>294</v>
      </c>
      <c r="V464" s="6191" t="s">
        <v>294</v>
      </c>
      <c r="W464" s="4039" t="s">
        <v>294</v>
      </c>
      <c r="X464" s="7568" t="s">
        <v>294</v>
      </c>
      <c r="Y464" s="7568" t="s">
        <v>294</v>
      </c>
      <c r="Z464" s="7568" t="s">
        <v>294</v>
      </c>
      <c r="AA464" s="7569" t="s">
        <v>294</v>
      </c>
      <c r="AB464" s="7670"/>
      <c r="AC464" s="4040"/>
      <c r="AD464" s="4039" t="s">
        <v>294</v>
      </c>
      <c r="AE464" s="4043" t="s">
        <v>294</v>
      </c>
      <c r="AF464" s="4043" t="s">
        <v>294</v>
      </c>
      <c r="AG464" s="10909"/>
    </row>
    <row r="465" spans="1:33" ht="15.75" customHeight="1">
      <c r="A465" s="11000"/>
      <c r="B465" s="10933" t="s">
        <v>127</v>
      </c>
      <c r="C465" s="10936" t="s">
        <v>128</v>
      </c>
      <c r="D465" s="10936" t="s">
        <v>129</v>
      </c>
      <c r="E465" s="10936" t="s">
        <v>268</v>
      </c>
      <c r="F465" s="10939" t="s">
        <v>131</v>
      </c>
      <c r="G465" s="10936" t="s">
        <v>132</v>
      </c>
      <c r="H465" s="10936" t="s">
        <v>159</v>
      </c>
      <c r="I465" s="11025" t="s">
        <v>5556</v>
      </c>
      <c r="J465" s="10936" t="s">
        <v>4580</v>
      </c>
      <c r="K465" s="10936" t="s">
        <v>5557</v>
      </c>
      <c r="L465" s="10942">
        <v>12</v>
      </c>
      <c r="M465" s="10942">
        <v>12</v>
      </c>
      <c r="N465" s="10942">
        <v>12</v>
      </c>
      <c r="O465" s="10936" t="s">
        <v>5558</v>
      </c>
      <c r="P465" s="11037" t="s">
        <v>5559</v>
      </c>
      <c r="Q465" s="10952" t="s">
        <v>5560</v>
      </c>
      <c r="R465" s="4024" t="s">
        <v>294</v>
      </c>
      <c r="S465" s="4000" t="s">
        <v>294</v>
      </c>
      <c r="T465" s="4000" t="s">
        <v>294</v>
      </c>
      <c r="U465" s="3981" t="s">
        <v>294</v>
      </c>
      <c r="V465" s="6192" t="s">
        <v>294</v>
      </c>
      <c r="W465" s="4001" t="s">
        <v>294</v>
      </c>
      <c r="X465" s="7570" t="s">
        <v>294</v>
      </c>
      <c r="Y465" s="7570" t="s">
        <v>294</v>
      </c>
      <c r="Z465" s="7570" t="s">
        <v>294</v>
      </c>
      <c r="AA465" s="7571" t="s">
        <v>294</v>
      </c>
      <c r="AB465" s="7671"/>
      <c r="AC465" s="4002"/>
      <c r="AD465" s="4001" t="s">
        <v>294</v>
      </c>
      <c r="AE465" s="4005" t="s">
        <v>294</v>
      </c>
      <c r="AF465" s="4005" t="s">
        <v>294</v>
      </c>
      <c r="AG465" s="10907" t="s">
        <v>294</v>
      </c>
    </row>
    <row r="466" spans="1:33" ht="15.75" customHeight="1">
      <c r="A466" s="11000"/>
      <c r="B466" s="10934"/>
      <c r="C466" s="10937"/>
      <c r="D466" s="10937"/>
      <c r="E466" s="10937"/>
      <c r="F466" s="10940"/>
      <c r="G466" s="10937"/>
      <c r="H466" s="10937"/>
      <c r="I466" s="11026"/>
      <c r="J466" s="10937"/>
      <c r="K466" s="10937"/>
      <c r="L466" s="10943"/>
      <c r="M466" s="10943"/>
      <c r="N466" s="10943"/>
      <c r="O466" s="10937"/>
      <c r="P466" s="11008"/>
      <c r="Q466" s="10953"/>
      <c r="R466" s="4019" t="s">
        <v>294</v>
      </c>
      <c r="S466" s="3917" t="s">
        <v>294</v>
      </c>
      <c r="T466" s="3917" t="s">
        <v>294</v>
      </c>
      <c r="U466" s="3913" t="s">
        <v>294</v>
      </c>
      <c r="V466" s="6190" t="s">
        <v>294</v>
      </c>
      <c r="W466" s="3925" t="s">
        <v>294</v>
      </c>
      <c r="X466" s="7567" t="s">
        <v>294</v>
      </c>
      <c r="Y466" s="7567" t="s">
        <v>294</v>
      </c>
      <c r="Z466" s="7567" t="s">
        <v>294</v>
      </c>
      <c r="AA466" s="7566" t="s">
        <v>294</v>
      </c>
      <c r="AB466" s="7669"/>
      <c r="AC466" s="3920"/>
      <c r="AD466" s="3925" t="s">
        <v>294</v>
      </c>
      <c r="AE466" s="3923" t="s">
        <v>294</v>
      </c>
      <c r="AF466" s="3923" t="s">
        <v>294</v>
      </c>
      <c r="AG466" s="10908"/>
    </row>
    <row r="467" spans="1:33" ht="15.75" customHeight="1">
      <c r="A467" s="11000"/>
      <c r="B467" s="10934"/>
      <c r="C467" s="10937"/>
      <c r="D467" s="10937"/>
      <c r="E467" s="10937"/>
      <c r="F467" s="10940"/>
      <c r="G467" s="10937"/>
      <c r="H467" s="10937"/>
      <c r="I467" s="11026"/>
      <c r="J467" s="10937"/>
      <c r="K467" s="10937"/>
      <c r="L467" s="10943"/>
      <c r="M467" s="10943"/>
      <c r="N467" s="10943"/>
      <c r="O467" s="10937"/>
      <c r="P467" s="11008"/>
      <c r="Q467" s="10953"/>
      <c r="R467" s="4019" t="s">
        <v>294</v>
      </c>
      <c r="S467" s="3917" t="s">
        <v>294</v>
      </c>
      <c r="T467" s="3917" t="s">
        <v>294</v>
      </c>
      <c r="U467" s="3913" t="s">
        <v>294</v>
      </c>
      <c r="V467" s="6190" t="s">
        <v>294</v>
      </c>
      <c r="W467" s="3925" t="s">
        <v>294</v>
      </c>
      <c r="X467" s="7567" t="s">
        <v>294</v>
      </c>
      <c r="Y467" s="7567" t="s">
        <v>294</v>
      </c>
      <c r="Z467" s="7567" t="s">
        <v>294</v>
      </c>
      <c r="AA467" s="7566" t="s">
        <v>294</v>
      </c>
      <c r="AB467" s="7669"/>
      <c r="AC467" s="3920"/>
      <c r="AD467" s="3925" t="s">
        <v>294</v>
      </c>
      <c r="AE467" s="3923" t="s">
        <v>294</v>
      </c>
      <c r="AF467" s="3923" t="s">
        <v>294</v>
      </c>
      <c r="AG467" s="10908"/>
    </row>
    <row r="468" spans="1:33" ht="15.75" customHeight="1">
      <c r="A468" s="11000"/>
      <c r="B468" s="10934"/>
      <c r="C468" s="10937"/>
      <c r="D468" s="10937"/>
      <c r="E468" s="10937"/>
      <c r="F468" s="10940"/>
      <c r="G468" s="10937"/>
      <c r="H468" s="10937"/>
      <c r="I468" s="11026"/>
      <c r="J468" s="10937"/>
      <c r="K468" s="10937"/>
      <c r="L468" s="10943"/>
      <c r="M468" s="10943"/>
      <c r="N468" s="10943"/>
      <c r="O468" s="10937"/>
      <c r="P468" s="11008"/>
      <c r="Q468" s="10953"/>
      <c r="R468" s="4018" t="s">
        <v>294</v>
      </c>
      <c r="S468" s="3916" t="s">
        <v>294</v>
      </c>
      <c r="T468" s="3916" t="s">
        <v>294</v>
      </c>
      <c r="U468" s="3913" t="s">
        <v>294</v>
      </c>
      <c r="V468" s="6190" t="s">
        <v>294</v>
      </c>
      <c r="W468" s="3925" t="s">
        <v>294</v>
      </c>
      <c r="X468" s="7567" t="s">
        <v>294</v>
      </c>
      <c r="Y468" s="7567" t="s">
        <v>294</v>
      </c>
      <c r="Z468" s="7567" t="s">
        <v>294</v>
      </c>
      <c r="AA468" s="7566" t="s">
        <v>294</v>
      </c>
      <c r="AB468" s="7669"/>
      <c r="AC468" s="3920"/>
      <c r="AD468" s="3925" t="s">
        <v>294</v>
      </c>
      <c r="AE468" s="3923" t="s">
        <v>294</v>
      </c>
      <c r="AF468" s="3923" t="s">
        <v>294</v>
      </c>
      <c r="AG468" s="10908"/>
    </row>
    <row r="469" spans="1:33" ht="15.75" customHeight="1">
      <c r="A469" s="11000"/>
      <c r="B469" s="10935"/>
      <c r="C469" s="10938"/>
      <c r="D469" s="10938"/>
      <c r="E469" s="10938"/>
      <c r="F469" s="10941"/>
      <c r="G469" s="10938"/>
      <c r="H469" s="10938"/>
      <c r="I469" s="11027"/>
      <c r="J469" s="10938"/>
      <c r="K469" s="10938"/>
      <c r="L469" s="10944"/>
      <c r="M469" s="10944"/>
      <c r="N469" s="10944"/>
      <c r="O469" s="10938"/>
      <c r="P469" s="11038"/>
      <c r="Q469" s="10954"/>
      <c r="R469" s="4025" t="s">
        <v>294</v>
      </c>
      <c r="S469" s="3977" t="s">
        <v>294</v>
      </c>
      <c r="T469" s="3977" t="s">
        <v>294</v>
      </c>
      <c r="U469" s="3952" t="s">
        <v>294</v>
      </c>
      <c r="V469" s="6193" t="s">
        <v>294</v>
      </c>
      <c r="W469" s="3978" t="s">
        <v>294</v>
      </c>
      <c r="X469" s="7573" t="s">
        <v>294</v>
      </c>
      <c r="Y469" s="7573" t="s">
        <v>294</v>
      </c>
      <c r="Z469" s="7573" t="s">
        <v>294</v>
      </c>
      <c r="AA469" s="7574" t="s">
        <v>294</v>
      </c>
      <c r="AB469" s="7672"/>
      <c r="AC469" s="3979"/>
      <c r="AD469" s="3978" t="s">
        <v>294</v>
      </c>
      <c r="AE469" s="3980" t="s">
        <v>294</v>
      </c>
      <c r="AF469" s="3980" t="s">
        <v>294</v>
      </c>
      <c r="AG469" s="10909"/>
    </row>
    <row r="470" spans="1:33" ht="15.75" customHeight="1">
      <c r="A470" s="11000"/>
      <c r="B470" s="10950" t="s">
        <v>127</v>
      </c>
      <c r="C470" s="10948" t="s">
        <v>128</v>
      </c>
      <c r="D470" s="10948" t="s">
        <v>129</v>
      </c>
      <c r="E470" s="10948" t="s">
        <v>268</v>
      </c>
      <c r="F470" s="10951" t="s">
        <v>131</v>
      </c>
      <c r="G470" s="10948" t="s">
        <v>132</v>
      </c>
      <c r="H470" s="10948" t="s">
        <v>159</v>
      </c>
      <c r="I470" s="11028" t="s">
        <v>5561</v>
      </c>
      <c r="J470" s="10948" t="s">
        <v>4586</v>
      </c>
      <c r="K470" s="10948" t="s">
        <v>5562</v>
      </c>
      <c r="L470" s="11004">
        <v>0</v>
      </c>
      <c r="M470" s="11004">
        <v>0</v>
      </c>
      <c r="N470" s="10949">
        <v>0</v>
      </c>
      <c r="O470" s="11007" t="s">
        <v>5563</v>
      </c>
      <c r="P470" s="11007" t="s">
        <v>5564</v>
      </c>
      <c r="Q470" s="10986" t="s">
        <v>5560</v>
      </c>
      <c r="R470" s="4064" t="s">
        <v>294</v>
      </c>
      <c r="S470" s="3907" t="s">
        <v>294</v>
      </c>
      <c r="T470" s="3907" t="s">
        <v>294</v>
      </c>
      <c r="U470" s="3906" t="s">
        <v>294</v>
      </c>
      <c r="V470" s="6189" t="s">
        <v>294</v>
      </c>
      <c r="W470" s="3908" t="s">
        <v>294</v>
      </c>
      <c r="X470" s="7562" t="s">
        <v>294</v>
      </c>
      <c r="Y470" s="7562" t="s">
        <v>294</v>
      </c>
      <c r="Z470" s="7562" t="s">
        <v>294</v>
      </c>
      <c r="AA470" s="7563" t="s">
        <v>294</v>
      </c>
      <c r="AB470" s="7668"/>
      <c r="AC470" s="3909"/>
      <c r="AD470" s="3908" t="s">
        <v>294</v>
      </c>
      <c r="AE470" s="3908" t="s">
        <v>294</v>
      </c>
      <c r="AF470" s="3908" t="s">
        <v>294</v>
      </c>
      <c r="AG470" s="10907" t="s">
        <v>294</v>
      </c>
    </row>
    <row r="471" spans="1:33" ht="15.75" customHeight="1">
      <c r="A471" s="11000"/>
      <c r="B471" s="10934"/>
      <c r="C471" s="10937"/>
      <c r="D471" s="10937"/>
      <c r="E471" s="10937"/>
      <c r="F471" s="10940"/>
      <c r="G471" s="10937"/>
      <c r="H471" s="10937"/>
      <c r="I471" s="11026"/>
      <c r="J471" s="10937"/>
      <c r="K471" s="10937"/>
      <c r="L471" s="11005"/>
      <c r="M471" s="11005"/>
      <c r="N471" s="10943"/>
      <c r="O471" s="11008"/>
      <c r="P471" s="11008"/>
      <c r="Q471" s="10953"/>
      <c r="R471" s="4019" t="s">
        <v>294</v>
      </c>
      <c r="S471" s="3917" t="s">
        <v>294</v>
      </c>
      <c r="T471" s="3917" t="s">
        <v>294</v>
      </c>
      <c r="U471" s="3913" t="s">
        <v>294</v>
      </c>
      <c r="V471" s="6190" t="s">
        <v>294</v>
      </c>
      <c r="W471" s="3925" t="s">
        <v>294</v>
      </c>
      <c r="X471" s="7567" t="s">
        <v>294</v>
      </c>
      <c r="Y471" s="7567" t="s">
        <v>294</v>
      </c>
      <c r="Z471" s="7567" t="s">
        <v>294</v>
      </c>
      <c r="AA471" s="7566" t="s">
        <v>294</v>
      </c>
      <c r="AB471" s="7669"/>
      <c r="AC471" s="3920"/>
      <c r="AD471" s="3925" t="s">
        <v>294</v>
      </c>
      <c r="AE471" s="3925" t="s">
        <v>294</v>
      </c>
      <c r="AF471" s="3925" t="s">
        <v>294</v>
      </c>
      <c r="AG471" s="10908"/>
    </row>
    <row r="472" spans="1:33" ht="15.75" customHeight="1">
      <c r="A472" s="11000"/>
      <c r="B472" s="10934"/>
      <c r="C472" s="10937"/>
      <c r="D472" s="10937"/>
      <c r="E472" s="10937"/>
      <c r="F472" s="10940"/>
      <c r="G472" s="10937"/>
      <c r="H472" s="10937"/>
      <c r="I472" s="11026"/>
      <c r="J472" s="10937"/>
      <c r="K472" s="10937"/>
      <c r="L472" s="11005"/>
      <c r="M472" s="11005"/>
      <c r="N472" s="10943"/>
      <c r="O472" s="11008"/>
      <c r="P472" s="11008"/>
      <c r="Q472" s="10953"/>
      <c r="R472" s="4019" t="s">
        <v>294</v>
      </c>
      <c r="S472" s="3917" t="s">
        <v>294</v>
      </c>
      <c r="T472" s="3917" t="s">
        <v>294</v>
      </c>
      <c r="U472" s="3913" t="s">
        <v>294</v>
      </c>
      <c r="V472" s="6190" t="s">
        <v>294</v>
      </c>
      <c r="W472" s="3925" t="s">
        <v>294</v>
      </c>
      <c r="X472" s="7567" t="s">
        <v>294</v>
      </c>
      <c r="Y472" s="7567" t="s">
        <v>294</v>
      </c>
      <c r="Z472" s="7567" t="s">
        <v>294</v>
      </c>
      <c r="AA472" s="7566" t="s">
        <v>294</v>
      </c>
      <c r="AB472" s="7669"/>
      <c r="AC472" s="3920"/>
      <c r="AD472" s="3925" t="s">
        <v>294</v>
      </c>
      <c r="AE472" s="3925" t="s">
        <v>294</v>
      </c>
      <c r="AF472" s="3923" t="s">
        <v>294</v>
      </c>
      <c r="AG472" s="10908"/>
    </row>
    <row r="473" spans="1:33" ht="15.75" customHeight="1">
      <c r="A473" s="11000"/>
      <c r="B473" s="10934"/>
      <c r="C473" s="10937"/>
      <c r="D473" s="10937"/>
      <c r="E473" s="10937"/>
      <c r="F473" s="10940"/>
      <c r="G473" s="10937"/>
      <c r="H473" s="10937"/>
      <c r="I473" s="11026"/>
      <c r="J473" s="10937"/>
      <c r="K473" s="10937"/>
      <c r="L473" s="11005"/>
      <c r="M473" s="11005"/>
      <c r="N473" s="10943"/>
      <c r="O473" s="11008"/>
      <c r="P473" s="11008"/>
      <c r="Q473" s="10953"/>
      <c r="R473" s="4019" t="s">
        <v>294</v>
      </c>
      <c r="S473" s="3917" t="s">
        <v>294</v>
      </c>
      <c r="T473" s="3917" t="s">
        <v>294</v>
      </c>
      <c r="U473" s="3913" t="s">
        <v>294</v>
      </c>
      <c r="V473" s="6190" t="s">
        <v>294</v>
      </c>
      <c r="W473" s="3925" t="s">
        <v>294</v>
      </c>
      <c r="X473" s="7567" t="s">
        <v>294</v>
      </c>
      <c r="Y473" s="7567" t="s">
        <v>294</v>
      </c>
      <c r="Z473" s="7567" t="s">
        <v>294</v>
      </c>
      <c r="AA473" s="7566" t="s">
        <v>294</v>
      </c>
      <c r="AB473" s="7669"/>
      <c r="AC473" s="3920"/>
      <c r="AD473" s="3925" t="s">
        <v>294</v>
      </c>
      <c r="AE473" s="3925" t="s">
        <v>294</v>
      </c>
      <c r="AF473" s="3923" t="s">
        <v>294</v>
      </c>
      <c r="AG473" s="10908"/>
    </row>
    <row r="474" spans="1:33" ht="15.75" customHeight="1">
      <c r="A474" s="11000"/>
      <c r="B474" s="10993"/>
      <c r="C474" s="10985"/>
      <c r="D474" s="10985"/>
      <c r="E474" s="10985"/>
      <c r="F474" s="10994"/>
      <c r="G474" s="10985"/>
      <c r="H474" s="10985"/>
      <c r="I474" s="11030"/>
      <c r="J474" s="10985"/>
      <c r="K474" s="10985"/>
      <c r="L474" s="11006"/>
      <c r="M474" s="11006"/>
      <c r="N474" s="10984"/>
      <c r="O474" s="11009"/>
      <c r="P474" s="11009"/>
      <c r="Q474" s="10987"/>
      <c r="R474" s="4066" t="s">
        <v>294</v>
      </c>
      <c r="S474" s="4038" t="s">
        <v>294</v>
      </c>
      <c r="T474" s="4038" t="s">
        <v>294</v>
      </c>
      <c r="U474" s="3982" t="s">
        <v>294</v>
      </c>
      <c r="V474" s="6191" t="s">
        <v>294</v>
      </c>
      <c r="W474" s="4039" t="s">
        <v>294</v>
      </c>
      <c r="X474" s="7568" t="s">
        <v>294</v>
      </c>
      <c r="Y474" s="7568" t="s">
        <v>294</v>
      </c>
      <c r="Z474" s="7568" t="s">
        <v>294</v>
      </c>
      <c r="AA474" s="7569" t="s">
        <v>294</v>
      </c>
      <c r="AB474" s="7670"/>
      <c r="AC474" s="4040"/>
      <c r="AD474" s="4039" t="s">
        <v>294</v>
      </c>
      <c r="AE474" s="4039" t="s">
        <v>294</v>
      </c>
      <c r="AF474" s="4043" t="s">
        <v>294</v>
      </c>
      <c r="AG474" s="10911"/>
    </row>
    <row r="475" spans="1:33" ht="15.75" customHeight="1">
      <c r="A475" s="11000"/>
      <c r="B475" s="10933" t="s">
        <v>127</v>
      </c>
      <c r="C475" s="10936" t="s">
        <v>128</v>
      </c>
      <c r="D475" s="10936" t="s">
        <v>129</v>
      </c>
      <c r="E475" s="10936" t="s">
        <v>268</v>
      </c>
      <c r="F475" s="10939" t="s">
        <v>131</v>
      </c>
      <c r="G475" s="10936" t="s">
        <v>132</v>
      </c>
      <c r="H475" s="10936" t="s">
        <v>159</v>
      </c>
      <c r="I475" s="11040" t="s">
        <v>5565</v>
      </c>
      <c r="J475" s="10936" t="s">
        <v>5566</v>
      </c>
      <c r="K475" s="11037" t="s">
        <v>5567</v>
      </c>
      <c r="L475" s="10942">
        <v>200</v>
      </c>
      <c r="M475" s="11036">
        <v>200</v>
      </c>
      <c r="N475" s="10942">
        <v>200</v>
      </c>
      <c r="O475" s="10936" t="s">
        <v>5568</v>
      </c>
      <c r="P475" s="11037" t="s">
        <v>5569</v>
      </c>
      <c r="Q475" s="10952" t="s">
        <v>5570</v>
      </c>
      <c r="R475" s="4138" t="s">
        <v>294</v>
      </c>
      <c r="S475" s="4008" t="s">
        <v>294</v>
      </c>
      <c r="T475" s="4008" t="s">
        <v>294</v>
      </c>
      <c r="U475" s="4664" t="s">
        <v>294</v>
      </c>
      <c r="V475" s="6192" t="s">
        <v>294</v>
      </c>
      <c r="W475" s="4001" t="s">
        <v>294</v>
      </c>
      <c r="X475" s="7570" t="s">
        <v>294</v>
      </c>
      <c r="Y475" s="7570" t="s">
        <v>294</v>
      </c>
      <c r="Z475" s="7570" t="s">
        <v>294</v>
      </c>
      <c r="AA475" s="7571" t="s">
        <v>294</v>
      </c>
      <c r="AB475" s="7671"/>
      <c r="AC475" s="4002"/>
      <c r="AD475" s="4001" t="s">
        <v>294</v>
      </c>
      <c r="AE475" s="4001" t="s">
        <v>294</v>
      </c>
      <c r="AF475" s="4005" t="s">
        <v>294</v>
      </c>
      <c r="AG475" s="10907" t="s">
        <v>294</v>
      </c>
    </row>
    <row r="476" spans="1:33" ht="15.75" customHeight="1">
      <c r="A476" s="11000"/>
      <c r="B476" s="10934"/>
      <c r="C476" s="10937"/>
      <c r="D476" s="10937"/>
      <c r="E476" s="10937"/>
      <c r="F476" s="10940"/>
      <c r="G476" s="10937"/>
      <c r="H476" s="10937"/>
      <c r="I476" s="11041"/>
      <c r="J476" s="10937"/>
      <c r="K476" s="11008"/>
      <c r="L476" s="10943"/>
      <c r="M476" s="11005"/>
      <c r="N476" s="10943"/>
      <c r="O476" s="10937"/>
      <c r="P476" s="11008"/>
      <c r="Q476" s="10953"/>
      <c r="R476" s="4019" t="s">
        <v>294</v>
      </c>
      <c r="S476" s="3917" t="s">
        <v>294</v>
      </c>
      <c r="T476" s="3917" t="s">
        <v>294</v>
      </c>
      <c r="U476" s="3913" t="s">
        <v>294</v>
      </c>
      <c r="V476" s="6190" t="s">
        <v>294</v>
      </c>
      <c r="W476" s="3925" t="s">
        <v>294</v>
      </c>
      <c r="X476" s="7567" t="s">
        <v>294</v>
      </c>
      <c r="Y476" s="7567" t="s">
        <v>294</v>
      </c>
      <c r="Z476" s="7567" t="s">
        <v>294</v>
      </c>
      <c r="AA476" s="7566" t="s">
        <v>294</v>
      </c>
      <c r="AB476" s="7669"/>
      <c r="AC476" s="3920"/>
      <c r="AD476" s="3925" t="s">
        <v>294</v>
      </c>
      <c r="AE476" s="3925" t="s">
        <v>294</v>
      </c>
      <c r="AF476" s="3923" t="s">
        <v>294</v>
      </c>
      <c r="AG476" s="10908"/>
    </row>
    <row r="477" spans="1:33" ht="15.75" customHeight="1">
      <c r="A477" s="11000"/>
      <c r="B477" s="10934"/>
      <c r="C477" s="10937"/>
      <c r="D477" s="10937"/>
      <c r="E477" s="10937"/>
      <c r="F477" s="10940"/>
      <c r="G477" s="10937"/>
      <c r="H477" s="10937"/>
      <c r="I477" s="11041"/>
      <c r="J477" s="10937"/>
      <c r="K477" s="11008"/>
      <c r="L477" s="10943"/>
      <c r="M477" s="11005"/>
      <c r="N477" s="10943"/>
      <c r="O477" s="10937"/>
      <c r="P477" s="11008"/>
      <c r="Q477" s="10953"/>
      <c r="R477" s="4019" t="s">
        <v>294</v>
      </c>
      <c r="S477" s="3917" t="s">
        <v>294</v>
      </c>
      <c r="T477" s="3917" t="s">
        <v>294</v>
      </c>
      <c r="U477" s="3913" t="s">
        <v>294</v>
      </c>
      <c r="V477" s="6190" t="s">
        <v>294</v>
      </c>
      <c r="W477" s="3925" t="s">
        <v>294</v>
      </c>
      <c r="X477" s="7567" t="s">
        <v>294</v>
      </c>
      <c r="Y477" s="7567" t="s">
        <v>294</v>
      </c>
      <c r="Z477" s="7567" t="s">
        <v>294</v>
      </c>
      <c r="AA477" s="7566" t="s">
        <v>294</v>
      </c>
      <c r="AB477" s="7669"/>
      <c r="AC477" s="3920"/>
      <c r="AD477" s="3925" t="s">
        <v>294</v>
      </c>
      <c r="AE477" s="3925" t="s">
        <v>294</v>
      </c>
      <c r="AF477" s="3923" t="s">
        <v>294</v>
      </c>
      <c r="AG477" s="10908"/>
    </row>
    <row r="478" spans="1:33" ht="15.75" customHeight="1">
      <c r="A478" s="11000"/>
      <c r="B478" s="10934"/>
      <c r="C478" s="10937"/>
      <c r="D478" s="10937"/>
      <c r="E478" s="10937"/>
      <c r="F478" s="10940"/>
      <c r="G478" s="10937"/>
      <c r="H478" s="10937"/>
      <c r="I478" s="11041"/>
      <c r="J478" s="10937"/>
      <c r="K478" s="11008"/>
      <c r="L478" s="10943"/>
      <c r="M478" s="11005"/>
      <c r="N478" s="10943"/>
      <c r="O478" s="10937"/>
      <c r="P478" s="11008"/>
      <c r="Q478" s="10953"/>
      <c r="R478" s="4019" t="s">
        <v>294</v>
      </c>
      <c r="S478" s="3917" t="s">
        <v>294</v>
      </c>
      <c r="T478" s="3917" t="s">
        <v>294</v>
      </c>
      <c r="U478" s="3913" t="s">
        <v>294</v>
      </c>
      <c r="V478" s="6190" t="s">
        <v>294</v>
      </c>
      <c r="W478" s="3925" t="s">
        <v>294</v>
      </c>
      <c r="X478" s="7567" t="s">
        <v>294</v>
      </c>
      <c r="Y478" s="7567" t="s">
        <v>294</v>
      </c>
      <c r="Z478" s="7567" t="s">
        <v>294</v>
      </c>
      <c r="AA478" s="7566" t="s">
        <v>294</v>
      </c>
      <c r="AB478" s="7669"/>
      <c r="AC478" s="3920"/>
      <c r="AD478" s="3925" t="s">
        <v>294</v>
      </c>
      <c r="AE478" s="3925" t="s">
        <v>294</v>
      </c>
      <c r="AF478" s="3923" t="s">
        <v>294</v>
      </c>
      <c r="AG478" s="10908"/>
    </row>
    <row r="479" spans="1:33" ht="15.75" customHeight="1">
      <c r="A479" s="11000"/>
      <c r="B479" s="10993"/>
      <c r="C479" s="10985"/>
      <c r="D479" s="10985"/>
      <c r="E479" s="10985"/>
      <c r="F479" s="10994"/>
      <c r="G479" s="10985"/>
      <c r="H479" s="10985"/>
      <c r="I479" s="11043"/>
      <c r="J479" s="10985"/>
      <c r="K479" s="11009"/>
      <c r="L479" s="10984"/>
      <c r="M479" s="11006"/>
      <c r="N479" s="10984"/>
      <c r="O479" s="10985"/>
      <c r="P479" s="11009"/>
      <c r="Q479" s="10987"/>
      <c r="R479" s="4066" t="s">
        <v>294</v>
      </c>
      <c r="S479" s="4038" t="s">
        <v>294</v>
      </c>
      <c r="T479" s="4038" t="s">
        <v>294</v>
      </c>
      <c r="U479" s="3982" t="s">
        <v>294</v>
      </c>
      <c r="V479" s="6191" t="s">
        <v>294</v>
      </c>
      <c r="W479" s="4039" t="s">
        <v>294</v>
      </c>
      <c r="X479" s="7568" t="s">
        <v>294</v>
      </c>
      <c r="Y479" s="7568" t="s">
        <v>294</v>
      </c>
      <c r="Z479" s="7568" t="s">
        <v>294</v>
      </c>
      <c r="AA479" s="7569" t="s">
        <v>294</v>
      </c>
      <c r="AB479" s="7670"/>
      <c r="AC479" s="4040"/>
      <c r="AD479" s="4039" t="s">
        <v>294</v>
      </c>
      <c r="AE479" s="4039" t="s">
        <v>294</v>
      </c>
      <c r="AF479" s="4043" t="s">
        <v>294</v>
      </c>
      <c r="AG479" s="10909"/>
    </row>
    <row r="480" spans="1:33" ht="15.75" customHeight="1">
      <c r="A480" s="11000"/>
      <c r="B480" s="10933" t="s">
        <v>127</v>
      </c>
      <c r="C480" s="10936" t="s">
        <v>128</v>
      </c>
      <c r="D480" s="10936" t="s">
        <v>129</v>
      </c>
      <c r="E480" s="10936" t="s">
        <v>268</v>
      </c>
      <c r="F480" s="10939" t="s">
        <v>131</v>
      </c>
      <c r="G480" s="10936" t="s">
        <v>132</v>
      </c>
      <c r="H480" s="10936" t="s">
        <v>159</v>
      </c>
      <c r="I480" s="11040" t="s">
        <v>5571</v>
      </c>
      <c r="J480" s="10936" t="s">
        <v>286</v>
      </c>
      <c r="K480" s="11037" t="s">
        <v>5572</v>
      </c>
      <c r="L480" s="10942">
        <v>0</v>
      </c>
      <c r="M480" s="11036">
        <v>1</v>
      </c>
      <c r="N480" s="10942">
        <v>1</v>
      </c>
      <c r="O480" s="10936" t="s">
        <v>5573</v>
      </c>
      <c r="P480" s="11037" t="s">
        <v>5574</v>
      </c>
      <c r="Q480" s="10952" t="s">
        <v>5570</v>
      </c>
      <c r="R480" s="4138" t="s">
        <v>294</v>
      </c>
      <c r="S480" s="4008" t="s">
        <v>294</v>
      </c>
      <c r="T480" s="4008" t="s">
        <v>294</v>
      </c>
      <c r="U480" s="4664" t="s">
        <v>294</v>
      </c>
      <c r="V480" s="6192" t="s">
        <v>294</v>
      </c>
      <c r="W480" s="4001" t="s">
        <v>294</v>
      </c>
      <c r="X480" s="7570" t="s">
        <v>294</v>
      </c>
      <c r="Y480" s="7570" t="s">
        <v>294</v>
      </c>
      <c r="Z480" s="7570" t="s">
        <v>294</v>
      </c>
      <c r="AA480" s="7571" t="s">
        <v>294</v>
      </c>
      <c r="AB480" s="7671"/>
      <c r="AC480" s="4002"/>
      <c r="AD480" s="4001" t="s">
        <v>294</v>
      </c>
      <c r="AE480" s="4001" t="s">
        <v>294</v>
      </c>
      <c r="AF480" s="4005" t="s">
        <v>294</v>
      </c>
      <c r="AG480" s="10910" t="s">
        <v>294</v>
      </c>
    </row>
    <row r="481" spans="1:33" ht="15.75" customHeight="1">
      <c r="A481" s="11000"/>
      <c r="B481" s="10934"/>
      <c r="C481" s="10937"/>
      <c r="D481" s="10937"/>
      <c r="E481" s="10937"/>
      <c r="F481" s="10940"/>
      <c r="G481" s="10937"/>
      <c r="H481" s="10937"/>
      <c r="I481" s="11041"/>
      <c r="J481" s="10937"/>
      <c r="K481" s="11008"/>
      <c r="L481" s="10943"/>
      <c r="M481" s="11005"/>
      <c r="N481" s="10943"/>
      <c r="O481" s="10937"/>
      <c r="P481" s="11008"/>
      <c r="Q481" s="10953"/>
      <c r="R481" s="4019" t="s">
        <v>294</v>
      </c>
      <c r="S481" s="3917" t="s">
        <v>294</v>
      </c>
      <c r="T481" s="3917" t="s">
        <v>294</v>
      </c>
      <c r="U481" s="3913" t="s">
        <v>294</v>
      </c>
      <c r="V481" s="6190" t="s">
        <v>294</v>
      </c>
      <c r="W481" s="3925" t="s">
        <v>294</v>
      </c>
      <c r="X481" s="7567" t="s">
        <v>294</v>
      </c>
      <c r="Y481" s="7567" t="s">
        <v>294</v>
      </c>
      <c r="Z481" s="7567" t="s">
        <v>294</v>
      </c>
      <c r="AA481" s="7566" t="s">
        <v>294</v>
      </c>
      <c r="AB481" s="7669"/>
      <c r="AC481" s="3920"/>
      <c r="AD481" s="3925" t="s">
        <v>294</v>
      </c>
      <c r="AE481" s="3925" t="s">
        <v>294</v>
      </c>
      <c r="AF481" s="3923" t="s">
        <v>294</v>
      </c>
      <c r="AG481" s="10908"/>
    </row>
    <row r="482" spans="1:33" ht="15.75" customHeight="1">
      <c r="A482" s="11000"/>
      <c r="B482" s="10934"/>
      <c r="C482" s="10937"/>
      <c r="D482" s="10937"/>
      <c r="E482" s="10937"/>
      <c r="F482" s="10940"/>
      <c r="G482" s="10937"/>
      <c r="H482" s="10937"/>
      <c r="I482" s="11041"/>
      <c r="J482" s="10937"/>
      <c r="K482" s="11008"/>
      <c r="L482" s="10943"/>
      <c r="M482" s="11005"/>
      <c r="N482" s="10943"/>
      <c r="O482" s="10937"/>
      <c r="P482" s="11008"/>
      <c r="Q482" s="10953"/>
      <c r="R482" s="4019" t="s">
        <v>294</v>
      </c>
      <c r="S482" s="3917" t="s">
        <v>294</v>
      </c>
      <c r="T482" s="3917" t="s">
        <v>294</v>
      </c>
      <c r="U482" s="3913" t="s">
        <v>294</v>
      </c>
      <c r="V482" s="6190" t="s">
        <v>294</v>
      </c>
      <c r="W482" s="3925" t="s">
        <v>294</v>
      </c>
      <c r="X482" s="7567" t="s">
        <v>294</v>
      </c>
      <c r="Y482" s="7567" t="s">
        <v>294</v>
      </c>
      <c r="Z482" s="7567" t="s">
        <v>294</v>
      </c>
      <c r="AA482" s="7566" t="s">
        <v>294</v>
      </c>
      <c r="AB482" s="7669"/>
      <c r="AC482" s="3920"/>
      <c r="AD482" s="3925" t="s">
        <v>294</v>
      </c>
      <c r="AE482" s="3925" t="s">
        <v>294</v>
      </c>
      <c r="AF482" s="3923" t="s">
        <v>294</v>
      </c>
      <c r="AG482" s="10908"/>
    </row>
    <row r="483" spans="1:33" ht="15.75" customHeight="1">
      <c r="A483" s="11000"/>
      <c r="B483" s="10934"/>
      <c r="C483" s="10937"/>
      <c r="D483" s="10937"/>
      <c r="E483" s="10937"/>
      <c r="F483" s="10940"/>
      <c r="G483" s="10937"/>
      <c r="H483" s="10937"/>
      <c r="I483" s="11041"/>
      <c r="J483" s="10937"/>
      <c r="K483" s="11008"/>
      <c r="L483" s="10943"/>
      <c r="M483" s="11005"/>
      <c r="N483" s="10943"/>
      <c r="O483" s="10937"/>
      <c r="P483" s="11008"/>
      <c r="Q483" s="10953"/>
      <c r="R483" s="4019" t="s">
        <v>294</v>
      </c>
      <c r="S483" s="3917" t="s">
        <v>294</v>
      </c>
      <c r="T483" s="3917" t="s">
        <v>294</v>
      </c>
      <c r="U483" s="3913" t="s">
        <v>294</v>
      </c>
      <c r="V483" s="6190" t="s">
        <v>294</v>
      </c>
      <c r="W483" s="3925" t="s">
        <v>294</v>
      </c>
      <c r="X483" s="7567" t="s">
        <v>294</v>
      </c>
      <c r="Y483" s="7566" t="s">
        <v>294</v>
      </c>
      <c r="Z483" s="7566" t="s">
        <v>294</v>
      </c>
      <c r="AA483" s="7566" t="s">
        <v>294</v>
      </c>
      <c r="AB483" s="3940"/>
      <c r="AC483" s="3930"/>
      <c r="AD483" s="3916" t="s">
        <v>294</v>
      </c>
      <c r="AE483" s="3916" t="s">
        <v>294</v>
      </c>
      <c r="AF483" s="3916" t="s">
        <v>294</v>
      </c>
      <c r="AG483" s="10908"/>
    </row>
    <row r="484" spans="1:33" ht="15.75" customHeight="1">
      <c r="A484" s="11000"/>
      <c r="B484" s="10935"/>
      <c r="C484" s="10938"/>
      <c r="D484" s="10938"/>
      <c r="E484" s="10938"/>
      <c r="F484" s="10941"/>
      <c r="G484" s="10938"/>
      <c r="H484" s="10938"/>
      <c r="I484" s="11042"/>
      <c r="J484" s="10938"/>
      <c r="K484" s="11038"/>
      <c r="L484" s="10944"/>
      <c r="M484" s="11039"/>
      <c r="N484" s="10944"/>
      <c r="O484" s="10938"/>
      <c r="P484" s="11038"/>
      <c r="Q484" s="10954"/>
      <c r="R484" s="4025" t="s">
        <v>294</v>
      </c>
      <c r="S484" s="3977" t="s">
        <v>294</v>
      </c>
      <c r="T484" s="3977" t="s">
        <v>294</v>
      </c>
      <c r="U484" s="3952" t="s">
        <v>294</v>
      </c>
      <c r="V484" s="6193" t="s">
        <v>294</v>
      </c>
      <c r="W484" s="3978" t="s">
        <v>294</v>
      </c>
      <c r="X484" s="7573" t="s">
        <v>294</v>
      </c>
      <c r="Y484" s="7574" t="s">
        <v>294</v>
      </c>
      <c r="Z484" s="7574" t="s">
        <v>294</v>
      </c>
      <c r="AA484" s="7574" t="s">
        <v>294</v>
      </c>
      <c r="AB484" s="7672"/>
      <c r="AC484" s="3979"/>
      <c r="AD484" s="4139" t="s">
        <v>294</v>
      </c>
      <c r="AE484" s="4139" t="s">
        <v>294</v>
      </c>
      <c r="AF484" s="4139" t="s">
        <v>294</v>
      </c>
      <c r="AG484" s="10909"/>
    </row>
    <row r="485" spans="1:33" ht="15.75" customHeight="1">
      <c r="A485" s="11000"/>
      <c r="B485" s="10950" t="s">
        <v>127</v>
      </c>
      <c r="C485" s="10948" t="s">
        <v>128</v>
      </c>
      <c r="D485" s="10948" t="s">
        <v>129</v>
      </c>
      <c r="E485" s="10948" t="s">
        <v>268</v>
      </c>
      <c r="F485" s="10951" t="s">
        <v>131</v>
      </c>
      <c r="G485" s="10948" t="s">
        <v>132</v>
      </c>
      <c r="H485" s="10948" t="s">
        <v>159</v>
      </c>
      <c r="I485" s="11028" t="s">
        <v>5575</v>
      </c>
      <c r="J485" s="10948" t="s">
        <v>4599</v>
      </c>
      <c r="K485" s="10948" t="s">
        <v>5576</v>
      </c>
      <c r="L485" s="10949">
        <v>15</v>
      </c>
      <c r="M485" s="10949">
        <v>15</v>
      </c>
      <c r="N485" s="10949">
        <v>15</v>
      </c>
      <c r="O485" s="10948" t="s">
        <v>5577</v>
      </c>
      <c r="P485" s="11007" t="s">
        <v>5578</v>
      </c>
      <c r="Q485" s="10986" t="s">
        <v>5579</v>
      </c>
      <c r="R485" s="4064" t="s">
        <v>294</v>
      </c>
      <c r="S485" s="3907" t="s">
        <v>294</v>
      </c>
      <c r="T485" s="3907" t="s">
        <v>294</v>
      </c>
      <c r="U485" s="4666" t="s">
        <v>294</v>
      </c>
      <c r="V485" s="6189" t="s">
        <v>294</v>
      </c>
      <c r="W485" s="3908" t="s">
        <v>294</v>
      </c>
      <c r="X485" s="7562" t="s">
        <v>294</v>
      </c>
      <c r="Y485" s="7562" t="s">
        <v>294</v>
      </c>
      <c r="Z485" s="7562" t="s">
        <v>294</v>
      </c>
      <c r="AA485" s="7563" t="s">
        <v>294</v>
      </c>
      <c r="AB485" s="7668"/>
      <c r="AC485" s="3909"/>
      <c r="AD485" s="4140" t="s">
        <v>294</v>
      </c>
      <c r="AE485" s="4140" t="s">
        <v>294</v>
      </c>
      <c r="AF485" s="4140" t="s">
        <v>294</v>
      </c>
      <c r="AG485" s="10930" t="s">
        <v>294</v>
      </c>
    </row>
    <row r="486" spans="1:33" ht="15.75" customHeight="1">
      <c r="A486" s="11000"/>
      <c r="B486" s="10934"/>
      <c r="C486" s="10937"/>
      <c r="D486" s="10937"/>
      <c r="E486" s="10937"/>
      <c r="F486" s="10940"/>
      <c r="G486" s="10937"/>
      <c r="H486" s="10937"/>
      <c r="I486" s="11026"/>
      <c r="J486" s="10937"/>
      <c r="K486" s="10937"/>
      <c r="L486" s="10943"/>
      <c r="M486" s="10943"/>
      <c r="N486" s="10943"/>
      <c r="O486" s="10937"/>
      <c r="P486" s="11008"/>
      <c r="Q486" s="10953"/>
      <c r="R486" s="4019" t="s">
        <v>294</v>
      </c>
      <c r="S486" s="3917" t="s">
        <v>294</v>
      </c>
      <c r="T486" s="3917" t="s">
        <v>294</v>
      </c>
      <c r="U486" s="3913" t="s">
        <v>294</v>
      </c>
      <c r="V486" s="6190" t="s">
        <v>294</v>
      </c>
      <c r="W486" s="3925" t="s">
        <v>294</v>
      </c>
      <c r="X486" s="7567" t="s">
        <v>294</v>
      </c>
      <c r="Y486" s="7567" t="s">
        <v>294</v>
      </c>
      <c r="Z486" s="7567" t="s">
        <v>294</v>
      </c>
      <c r="AA486" s="7566" t="s">
        <v>294</v>
      </c>
      <c r="AB486" s="7669"/>
      <c r="AC486" s="3920"/>
      <c r="AD486" s="3925" t="s">
        <v>294</v>
      </c>
      <c r="AE486" s="3923" t="s">
        <v>294</v>
      </c>
      <c r="AF486" s="3923" t="s">
        <v>294</v>
      </c>
      <c r="AG486" s="10931"/>
    </row>
    <row r="487" spans="1:33" ht="15.75" customHeight="1">
      <c r="A487" s="11000"/>
      <c r="B487" s="10934"/>
      <c r="C487" s="10937"/>
      <c r="D487" s="10937"/>
      <c r="E487" s="10937"/>
      <c r="F487" s="10940"/>
      <c r="G487" s="10937"/>
      <c r="H487" s="10937"/>
      <c r="I487" s="11026"/>
      <c r="J487" s="10937"/>
      <c r="K487" s="10937"/>
      <c r="L487" s="10943"/>
      <c r="M487" s="10943"/>
      <c r="N487" s="10943"/>
      <c r="O487" s="10937"/>
      <c r="P487" s="11008"/>
      <c r="Q487" s="10953"/>
      <c r="R487" s="4019" t="s">
        <v>294</v>
      </c>
      <c r="S487" s="3917" t="s">
        <v>294</v>
      </c>
      <c r="T487" s="3917" t="s">
        <v>294</v>
      </c>
      <c r="U487" s="3913" t="s">
        <v>294</v>
      </c>
      <c r="V487" s="6190" t="s">
        <v>294</v>
      </c>
      <c r="W487" s="3925" t="s">
        <v>294</v>
      </c>
      <c r="X487" s="7567" t="s">
        <v>294</v>
      </c>
      <c r="Y487" s="7567" t="s">
        <v>294</v>
      </c>
      <c r="Z487" s="7567" t="s">
        <v>294</v>
      </c>
      <c r="AA487" s="7566" t="s">
        <v>294</v>
      </c>
      <c r="AB487" s="7669"/>
      <c r="AC487" s="3920"/>
      <c r="AD487" s="3925" t="s">
        <v>294</v>
      </c>
      <c r="AE487" s="3923" t="s">
        <v>294</v>
      </c>
      <c r="AF487" s="3923" t="s">
        <v>294</v>
      </c>
      <c r="AG487" s="10931"/>
    </row>
    <row r="488" spans="1:33" ht="15.75" customHeight="1">
      <c r="A488" s="11000"/>
      <c r="B488" s="10934"/>
      <c r="C488" s="10937"/>
      <c r="D488" s="10937"/>
      <c r="E488" s="10937"/>
      <c r="F488" s="10940"/>
      <c r="G488" s="10937"/>
      <c r="H488" s="10937"/>
      <c r="I488" s="11026"/>
      <c r="J488" s="10937"/>
      <c r="K488" s="10937"/>
      <c r="L488" s="10943"/>
      <c r="M488" s="10943"/>
      <c r="N488" s="10943"/>
      <c r="O488" s="10937"/>
      <c r="P488" s="11008"/>
      <c r="Q488" s="10953"/>
      <c r="R488" s="4019" t="s">
        <v>294</v>
      </c>
      <c r="S488" s="3917" t="s">
        <v>294</v>
      </c>
      <c r="T488" s="3917" t="s">
        <v>294</v>
      </c>
      <c r="U488" s="3913" t="s">
        <v>294</v>
      </c>
      <c r="V488" s="6190" t="s">
        <v>294</v>
      </c>
      <c r="W488" s="3925" t="s">
        <v>294</v>
      </c>
      <c r="X488" s="7567" t="s">
        <v>294</v>
      </c>
      <c r="Y488" s="7567" t="s">
        <v>294</v>
      </c>
      <c r="Z488" s="7567" t="s">
        <v>294</v>
      </c>
      <c r="AA488" s="7566" t="s">
        <v>294</v>
      </c>
      <c r="AB488" s="7669"/>
      <c r="AC488" s="3920"/>
      <c r="AD488" s="3925" t="s">
        <v>294</v>
      </c>
      <c r="AE488" s="3923" t="s">
        <v>294</v>
      </c>
      <c r="AF488" s="3923" t="s">
        <v>294</v>
      </c>
      <c r="AG488" s="10931"/>
    </row>
    <row r="489" spans="1:33" ht="15.75" customHeight="1">
      <c r="A489" s="11000"/>
      <c r="B489" s="10935"/>
      <c r="C489" s="10938"/>
      <c r="D489" s="10938"/>
      <c r="E489" s="10938"/>
      <c r="F489" s="10941"/>
      <c r="G489" s="10938"/>
      <c r="H489" s="10938"/>
      <c r="I489" s="11027"/>
      <c r="J489" s="10938"/>
      <c r="K489" s="10938"/>
      <c r="L489" s="10944"/>
      <c r="M489" s="10944"/>
      <c r="N489" s="10944"/>
      <c r="O489" s="10938"/>
      <c r="P489" s="11038"/>
      <c r="Q489" s="10954"/>
      <c r="R489" s="4025" t="s">
        <v>294</v>
      </c>
      <c r="S489" s="3977" t="s">
        <v>294</v>
      </c>
      <c r="T489" s="3977" t="s">
        <v>294</v>
      </c>
      <c r="U489" s="3952" t="s">
        <v>294</v>
      </c>
      <c r="V489" s="6193" t="s">
        <v>294</v>
      </c>
      <c r="W489" s="3978" t="s">
        <v>294</v>
      </c>
      <c r="X489" s="7573" t="s">
        <v>294</v>
      </c>
      <c r="Y489" s="7573" t="s">
        <v>294</v>
      </c>
      <c r="Z489" s="7573" t="s">
        <v>294</v>
      </c>
      <c r="AA489" s="7574" t="s">
        <v>294</v>
      </c>
      <c r="AB489" s="7672"/>
      <c r="AC489" s="3979"/>
      <c r="AD489" s="3978" t="s">
        <v>294</v>
      </c>
      <c r="AE489" s="3980" t="s">
        <v>294</v>
      </c>
      <c r="AF489" s="3980" t="s">
        <v>294</v>
      </c>
      <c r="AG489" s="10932"/>
    </row>
    <row r="490" spans="1:33" s="6145" customFormat="1" ht="15.75" customHeight="1" thickBot="1">
      <c r="A490" s="11033"/>
      <c r="B490" s="5407" t="s">
        <v>294</v>
      </c>
      <c r="C490" s="5407" t="s">
        <v>294</v>
      </c>
      <c r="D490" s="5407" t="s">
        <v>294</v>
      </c>
      <c r="E490" s="5407" t="s">
        <v>294</v>
      </c>
      <c r="F490" s="5407" t="s">
        <v>294</v>
      </c>
      <c r="G490" s="5407" t="s">
        <v>294</v>
      </c>
      <c r="H490" s="5407" t="s">
        <v>294</v>
      </c>
      <c r="I490" s="5407" t="s">
        <v>294</v>
      </c>
      <c r="J490" s="5407" t="s">
        <v>294</v>
      </c>
      <c r="K490" s="5407" t="s">
        <v>294</v>
      </c>
      <c r="L490" s="5408" t="s">
        <v>294</v>
      </c>
      <c r="M490" s="5408" t="s">
        <v>294</v>
      </c>
      <c r="N490" s="5408" t="s">
        <v>294</v>
      </c>
      <c r="O490" s="5409" t="s">
        <v>294</v>
      </c>
      <c r="P490" s="5409" t="s">
        <v>294</v>
      </c>
      <c r="Q490" s="5410" t="s">
        <v>294</v>
      </c>
      <c r="R490" s="10982" t="s">
        <v>4606</v>
      </c>
      <c r="S490" s="10983"/>
      <c r="T490" s="10983"/>
      <c r="U490" s="10983"/>
      <c r="V490" s="10983"/>
      <c r="W490" s="10983"/>
      <c r="X490" s="10983"/>
      <c r="Y490" s="10983"/>
      <c r="Z490" s="6143" t="s">
        <v>292</v>
      </c>
      <c r="AA490" s="7618">
        <f>SUM(AA450:AA489)</f>
        <v>0</v>
      </c>
      <c r="AB490" s="6144"/>
      <c r="AC490" s="5411"/>
      <c r="AD490" s="10958" t="s">
        <v>294</v>
      </c>
      <c r="AE490" s="10958"/>
      <c r="AF490" s="10958"/>
      <c r="AG490" s="10959"/>
    </row>
    <row r="491" spans="1:33" ht="15.75" customHeight="1">
      <c r="A491" s="11029" t="s">
        <v>5580</v>
      </c>
      <c r="B491" s="11017" t="s">
        <v>183</v>
      </c>
      <c r="C491" s="11015" t="s">
        <v>227</v>
      </c>
      <c r="D491" s="11015" t="s">
        <v>228</v>
      </c>
      <c r="E491" s="11015" t="s">
        <v>5581</v>
      </c>
      <c r="F491" s="11018" t="s">
        <v>230</v>
      </c>
      <c r="G491" s="11015" t="s">
        <v>231</v>
      </c>
      <c r="H491" s="11015" t="s">
        <v>133</v>
      </c>
      <c r="I491" s="11019" t="s">
        <v>5582</v>
      </c>
      <c r="J491" s="11023" t="s">
        <v>5583</v>
      </c>
      <c r="K491" s="11015" t="s">
        <v>5584</v>
      </c>
      <c r="L491" s="11034">
        <v>3</v>
      </c>
      <c r="M491" s="11034">
        <v>2</v>
      </c>
      <c r="N491" s="11035">
        <v>2</v>
      </c>
      <c r="O491" s="11015" t="s">
        <v>5585</v>
      </c>
      <c r="P491" s="11015" t="s">
        <v>5586</v>
      </c>
      <c r="Q491" s="11016" t="s">
        <v>5587</v>
      </c>
      <c r="R491" s="5423" t="s">
        <v>294</v>
      </c>
      <c r="S491" s="5419" t="s">
        <v>294</v>
      </c>
      <c r="T491" s="5419" t="s">
        <v>294</v>
      </c>
      <c r="U491" s="5413" t="s">
        <v>294</v>
      </c>
      <c r="V491" s="6194" t="s">
        <v>294</v>
      </c>
      <c r="W491" s="5414" t="s">
        <v>294</v>
      </c>
      <c r="X491" s="7590" t="s">
        <v>294</v>
      </c>
      <c r="Y491" s="7590" t="s">
        <v>294</v>
      </c>
      <c r="Z491" s="7590" t="s">
        <v>294</v>
      </c>
      <c r="AA491" s="7591" t="s">
        <v>294</v>
      </c>
      <c r="AB491" s="7687"/>
      <c r="AC491" s="5422"/>
      <c r="AD491" s="5414" t="s">
        <v>294</v>
      </c>
      <c r="AE491" s="5417" t="s">
        <v>294</v>
      </c>
      <c r="AF491" s="5417" t="s">
        <v>294</v>
      </c>
      <c r="AG491" s="10926" t="s">
        <v>294</v>
      </c>
    </row>
    <row r="492" spans="1:33" ht="15.75" customHeight="1">
      <c r="A492" s="11000"/>
      <c r="B492" s="10934"/>
      <c r="C492" s="10937"/>
      <c r="D492" s="10937"/>
      <c r="E492" s="10937"/>
      <c r="F492" s="10940"/>
      <c r="G492" s="10937"/>
      <c r="H492" s="10937"/>
      <c r="I492" s="11002"/>
      <c r="J492" s="11011"/>
      <c r="K492" s="10937"/>
      <c r="L492" s="10943"/>
      <c r="M492" s="10943"/>
      <c r="N492" s="11021"/>
      <c r="O492" s="10937"/>
      <c r="P492" s="10937"/>
      <c r="Q492" s="10953"/>
      <c r="R492" s="4019" t="s">
        <v>294</v>
      </c>
      <c r="S492" s="3917" t="s">
        <v>294</v>
      </c>
      <c r="T492" s="3917" t="s">
        <v>294</v>
      </c>
      <c r="U492" s="3913" t="s">
        <v>294</v>
      </c>
      <c r="V492" s="6190" t="s">
        <v>294</v>
      </c>
      <c r="W492" s="3925" t="s">
        <v>294</v>
      </c>
      <c r="X492" s="7567" t="s">
        <v>294</v>
      </c>
      <c r="Y492" s="7567" t="s">
        <v>294</v>
      </c>
      <c r="Z492" s="7567" t="s">
        <v>294</v>
      </c>
      <c r="AA492" s="7566" t="s">
        <v>294</v>
      </c>
      <c r="AB492" s="7669"/>
      <c r="AC492" s="3920"/>
      <c r="AD492" s="3925" t="s">
        <v>294</v>
      </c>
      <c r="AE492" s="3923" t="s">
        <v>294</v>
      </c>
      <c r="AF492" s="3923" t="s">
        <v>294</v>
      </c>
      <c r="AG492" s="10908"/>
    </row>
    <row r="493" spans="1:33" ht="15.75" customHeight="1">
      <c r="A493" s="11000"/>
      <c r="B493" s="10934"/>
      <c r="C493" s="10937"/>
      <c r="D493" s="10937"/>
      <c r="E493" s="10937"/>
      <c r="F493" s="10940"/>
      <c r="G493" s="10937"/>
      <c r="H493" s="10937"/>
      <c r="I493" s="11002"/>
      <c r="J493" s="11011"/>
      <c r="K493" s="10937"/>
      <c r="L493" s="10943"/>
      <c r="M493" s="10943"/>
      <c r="N493" s="11021"/>
      <c r="O493" s="10937"/>
      <c r="P493" s="10937"/>
      <c r="Q493" s="10953"/>
      <c r="R493" s="4019" t="s">
        <v>294</v>
      </c>
      <c r="S493" s="3917" t="s">
        <v>294</v>
      </c>
      <c r="T493" s="3917" t="s">
        <v>294</v>
      </c>
      <c r="U493" s="3913" t="s">
        <v>294</v>
      </c>
      <c r="V493" s="6190" t="s">
        <v>294</v>
      </c>
      <c r="W493" s="3925" t="s">
        <v>294</v>
      </c>
      <c r="X493" s="7567" t="s">
        <v>294</v>
      </c>
      <c r="Y493" s="7567" t="s">
        <v>294</v>
      </c>
      <c r="Z493" s="7567" t="s">
        <v>294</v>
      </c>
      <c r="AA493" s="7566" t="s">
        <v>294</v>
      </c>
      <c r="AB493" s="7669"/>
      <c r="AC493" s="3920"/>
      <c r="AD493" s="3925" t="s">
        <v>294</v>
      </c>
      <c r="AE493" s="3923" t="s">
        <v>294</v>
      </c>
      <c r="AF493" s="3923" t="s">
        <v>294</v>
      </c>
      <c r="AG493" s="10908"/>
    </row>
    <row r="494" spans="1:33" ht="15.75" customHeight="1">
      <c r="A494" s="11000"/>
      <c r="B494" s="10934"/>
      <c r="C494" s="10937"/>
      <c r="D494" s="10937"/>
      <c r="E494" s="10937"/>
      <c r="F494" s="10940"/>
      <c r="G494" s="10937"/>
      <c r="H494" s="10937"/>
      <c r="I494" s="11002"/>
      <c r="J494" s="11011"/>
      <c r="K494" s="10937"/>
      <c r="L494" s="10943"/>
      <c r="M494" s="10943"/>
      <c r="N494" s="11021"/>
      <c r="O494" s="10937"/>
      <c r="P494" s="10937"/>
      <c r="Q494" s="10953"/>
      <c r="R494" s="4018" t="s">
        <v>294</v>
      </c>
      <c r="S494" s="3916" t="s">
        <v>294</v>
      </c>
      <c r="T494" s="3916" t="s">
        <v>294</v>
      </c>
      <c r="U494" s="3913" t="s">
        <v>294</v>
      </c>
      <c r="V494" s="6190" t="s">
        <v>294</v>
      </c>
      <c r="W494" s="3925" t="s">
        <v>294</v>
      </c>
      <c r="X494" s="7567" t="s">
        <v>294</v>
      </c>
      <c r="Y494" s="7567" t="s">
        <v>294</v>
      </c>
      <c r="Z494" s="7567" t="s">
        <v>294</v>
      </c>
      <c r="AA494" s="7566" t="s">
        <v>294</v>
      </c>
      <c r="AB494" s="7669"/>
      <c r="AC494" s="3920"/>
      <c r="AD494" s="3925" t="s">
        <v>294</v>
      </c>
      <c r="AE494" s="3923" t="s">
        <v>294</v>
      </c>
      <c r="AF494" s="3923" t="s">
        <v>294</v>
      </c>
      <c r="AG494" s="10908"/>
    </row>
    <row r="495" spans="1:33" ht="15.75" customHeight="1">
      <c r="A495" s="11000"/>
      <c r="B495" s="10993"/>
      <c r="C495" s="10985"/>
      <c r="D495" s="10985"/>
      <c r="E495" s="10985"/>
      <c r="F495" s="10994"/>
      <c r="G495" s="10985"/>
      <c r="H495" s="10985"/>
      <c r="I495" s="11003"/>
      <c r="J495" s="11014"/>
      <c r="K495" s="10985"/>
      <c r="L495" s="10984"/>
      <c r="M495" s="10984"/>
      <c r="N495" s="11032"/>
      <c r="O495" s="10985"/>
      <c r="P495" s="10985"/>
      <c r="Q495" s="10987"/>
      <c r="R495" s="4066" t="s">
        <v>294</v>
      </c>
      <c r="S495" s="4038" t="s">
        <v>294</v>
      </c>
      <c r="T495" s="4038" t="s">
        <v>294</v>
      </c>
      <c r="U495" s="3982" t="s">
        <v>294</v>
      </c>
      <c r="V495" s="6191" t="s">
        <v>294</v>
      </c>
      <c r="W495" s="4039" t="s">
        <v>294</v>
      </c>
      <c r="X495" s="7568" t="s">
        <v>294</v>
      </c>
      <c r="Y495" s="7568" t="s">
        <v>294</v>
      </c>
      <c r="Z495" s="7568" t="s">
        <v>294</v>
      </c>
      <c r="AA495" s="7569" t="s">
        <v>294</v>
      </c>
      <c r="AB495" s="7670"/>
      <c r="AC495" s="4040"/>
      <c r="AD495" s="4039" t="s">
        <v>294</v>
      </c>
      <c r="AE495" s="4043" t="s">
        <v>294</v>
      </c>
      <c r="AF495" s="4043" t="s">
        <v>294</v>
      </c>
      <c r="AG495" s="10911"/>
    </row>
    <row r="496" spans="1:33" ht="15.75" customHeight="1">
      <c r="A496" s="11000"/>
      <c r="B496" s="10933" t="s">
        <v>183</v>
      </c>
      <c r="C496" s="10936" t="s">
        <v>227</v>
      </c>
      <c r="D496" s="10936" t="s">
        <v>228</v>
      </c>
      <c r="E496" s="10936" t="s">
        <v>255</v>
      </c>
      <c r="F496" s="10939" t="s">
        <v>230</v>
      </c>
      <c r="G496" s="10936" t="s">
        <v>171</v>
      </c>
      <c r="H496" s="10936" t="s">
        <v>133</v>
      </c>
      <c r="I496" s="11025" t="s">
        <v>5588</v>
      </c>
      <c r="J496" s="11010" t="s">
        <v>5589</v>
      </c>
      <c r="K496" s="10936" t="s">
        <v>5590</v>
      </c>
      <c r="L496" s="10942">
        <v>1</v>
      </c>
      <c r="M496" s="10942">
        <v>0</v>
      </c>
      <c r="N496" s="11020">
        <v>1</v>
      </c>
      <c r="O496" s="10936" t="s">
        <v>5591</v>
      </c>
      <c r="P496" s="10936" t="s">
        <v>5592</v>
      </c>
      <c r="Q496" s="10952" t="s">
        <v>5593</v>
      </c>
      <c r="R496" s="4024" t="s">
        <v>294</v>
      </c>
      <c r="S496" s="4000" t="s">
        <v>294</v>
      </c>
      <c r="T496" s="4000" t="s">
        <v>294</v>
      </c>
      <c r="U496" s="3981" t="s">
        <v>294</v>
      </c>
      <c r="V496" s="6192" t="s">
        <v>294</v>
      </c>
      <c r="W496" s="4001" t="s">
        <v>294</v>
      </c>
      <c r="X496" s="7570" t="s">
        <v>294</v>
      </c>
      <c r="Y496" s="7570" t="s">
        <v>294</v>
      </c>
      <c r="Z496" s="7570" t="s">
        <v>294</v>
      </c>
      <c r="AA496" s="7571" t="s">
        <v>294</v>
      </c>
      <c r="AB496" s="7671"/>
      <c r="AC496" s="4002"/>
      <c r="AD496" s="4001" t="s">
        <v>294</v>
      </c>
      <c r="AE496" s="4005" t="s">
        <v>294</v>
      </c>
      <c r="AF496" s="4005" t="s">
        <v>294</v>
      </c>
      <c r="AG496" s="10907" t="s">
        <v>294</v>
      </c>
    </row>
    <row r="497" spans="1:33" ht="15.75" customHeight="1">
      <c r="A497" s="11000"/>
      <c r="B497" s="10934"/>
      <c r="C497" s="10937"/>
      <c r="D497" s="10937"/>
      <c r="E497" s="10937"/>
      <c r="F497" s="10940"/>
      <c r="G497" s="10937"/>
      <c r="H497" s="10937"/>
      <c r="I497" s="11026"/>
      <c r="J497" s="11011"/>
      <c r="K497" s="10937"/>
      <c r="L497" s="10943"/>
      <c r="M497" s="10943"/>
      <c r="N497" s="11021"/>
      <c r="O497" s="10937"/>
      <c r="P497" s="10937"/>
      <c r="Q497" s="10953"/>
      <c r="R497" s="4019" t="s">
        <v>294</v>
      </c>
      <c r="S497" s="3917" t="s">
        <v>294</v>
      </c>
      <c r="T497" s="3917" t="s">
        <v>294</v>
      </c>
      <c r="U497" s="3913" t="s">
        <v>294</v>
      </c>
      <c r="V497" s="6190" t="s">
        <v>294</v>
      </c>
      <c r="W497" s="3925" t="s">
        <v>294</v>
      </c>
      <c r="X497" s="7567" t="s">
        <v>294</v>
      </c>
      <c r="Y497" s="7567" t="s">
        <v>294</v>
      </c>
      <c r="Z497" s="7567" t="s">
        <v>294</v>
      </c>
      <c r="AA497" s="7566" t="s">
        <v>294</v>
      </c>
      <c r="AB497" s="7669"/>
      <c r="AC497" s="3920"/>
      <c r="AD497" s="3925" t="s">
        <v>294</v>
      </c>
      <c r="AE497" s="3923" t="s">
        <v>294</v>
      </c>
      <c r="AF497" s="3923" t="s">
        <v>294</v>
      </c>
      <c r="AG497" s="10908"/>
    </row>
    <row r="498" spans="1:33" ht="15.75" customHeight="1">
      <c r="A498" s="11000"/>
      <c r="B498" s="10934"/>
      <c r="C498" s="10937"/>
      <c r="D498" s="10937"/>
      <c r="E498" s="10937"/>
      <c r="F498" s="10940"/>
      <c r="G498" s="10937"/>
      <c r="H498" s="10937"/>
      <c r="I498" s="11026"/>
      <c r="J498" s="11011"/>
      <c r="K498" s="10937"/>
      <c r="L498" s="10943"/>
      <c r="M498" s="10943"/>
      <c r="N498" s="11021"/>
      <c r="O498" s="10937"/>
      <c r="P498" s="10937"/>
      <c r="Q498" s="10953"/>
      <c r="R498" s="4019" t="s">
        <v>294</v>
      </c>
      <c r="S498" s="3917" t="s">
        <v>294</v>
      </c>
      <c r="T498" s="3917" t="s">
        <v>294</v>
      </c>
      <c r="U498" s="3913" t="s">
        <v>294</v>
      </c>
      <c r="V498" s="6190" t="s">
        <v>294</v>
      </c>
      <c r="W498" s="3925" t="s">
        <v>294</v>
      </c>
      <c r="X498" s="7567" t="s">
        <v>294</v>
      </c>
      <c r="Y498" s="7567" t="s">
        <v>294</v>
      </c>
      <c r="Z498" s="7567" t="s">
        <v>294</v>
      </c>
      <c r="AA498" s="7566" t="s">
        <v>294</v>
      </c>
      <c r="AB498" s="7669"/>
      <c r="AC498" s="3920"/>
      <c r="AD498" s="3925" t="s">
        <v>294</v>
      </c>
      <c r="AE498" s="3923" t="s">
        <v>294</v>
      </c>
      <c r="AF498" s="3923" t="s">
        <v>294</v>
      </c>
      <c r="AG498" s="10908"/>
    </row>
    <row r="499" spans="1:33" ht="15.75" customHeight="1">
      <c r="A499" s="11000"/>
      <c r="B499" s="10934"/>
      <c r="C499" s="10937"/>
      <c r="D499" s="10937"/>
      <c r="E499" s="10937"/>
      <c r="F499" s="10940"/>
      <c r="G499" s="10937"/>
      <c r="H499" s="10937"/>
      <c r="I499" s="11026"/>
      <c r="J499" s="11011"/>
      <c r="K499" s="10937"/>
      <c r="L499" s="10943"/>
      <c r="M499" s="10943"/>
      <c r="N499" s="11021"/>
      <c r="O499" s="10937"/>
      <c r="P499" s="10937"/>
      <c r="Q499" s="10953"/>
      <c r="R499" s="4018" t="s">
        <v>294</v>
      </c>
      <c r="S499" s="3916" t="s">
        <v>294</v>
      </c>
      <c r="T499" s="3916" t="s">
        <v>294</v>
      </c>
      <c r="U499" s="3913" t="s">
        <v>294</v>
      </c>
      <c r="V499" s="6190" t="s">
        <v>294</v>
      </c>
      <c r="W499" s="3925" t="s">
        <v>294</v>
      </c>
      <c r="X499" s="7567" t="s">
        <v>294</v>
      </c>
      <c r="Y499" s="7567" t="s">
        <v>294</v>
      </c>
      <c r="Z499" s="7567" t="s">
        <v>294</v>
      </c>
      <c r="AA499" s="7566" t="s">
        <v>294</v>
      </c>
      <c r="AB499" s="7669"/>
      <c r="AC499" s="3920"/>
      <c r="AD499" s="3925" t="s">
        <v>294</v>
      </c>
      <c r="AE499" s="3923" t="s">
        <v>294</v>
      </c>
      <c r="AF499" s="3923" t="s">
        <v>294</v>
      </c>
      <c r="AG499" s="10908"/>
    </row>
    <row r="500" spans="1:33" ht="15.75" customHeight="1">
      <c r="A500" s="11000"/>
      <c r="B500" s="10935"/>
      <c r="C500" s="10938"/>
      <c r="D500" s="10938"/>
      <c r="E500" s="10938"/>
      <c r="F500" s="10941"/>
      <c r="G500" s="10938"/>
      <c r="H500" s="10938"/>
      <c r="I500" s="11027"/>
      <c r="J500" s="11012"/>
      <c r="K500" s="10938"/>
      <c r="L500" s="10944"/>
      <c r="M500" s="10944"/>
      <c r="N500" s="11022"/>
      <c r="O500" s="10938"/>
      <c r="P500" s="10938"/>
      <c r="Q500" s="10954"/>
      <c r="R500" s="4025" t="s">
        <v>294</v>
      </c>
      <c r="S500" s="3977" t="s">
        <v>294</v>
      </c>
      <c r="T500" s="3977" t="s">
        <v>294</v>
      </c>
      <c r="U500" s="3952" t="s">
        <v>294</v>
      </c>
      <c r="V500" s="6193" t="s">
        <v>294</v>
      </c>
      <c r="W500" s="3978" t="s">
        <v>294</v>
      </c>
      <c r="X500" s="7573" t="s">
        <v>294</v>
      </c>
      <c r="Y500" s="7573" t="s">
        <v>294</v>
      </c>
      <c r="Z500" s="7573" t="s">
        <v>294</v>
      </c>
      <c r="AA500" s="7574" t="s">
        <v>294</v>
      </c>
      <c r="AB500" s="7672"/>
      <c r="AC500" s="3979"/>
      <c r="AD500" s="3978" t="s">
        <v>294</v>
      </c>
      <c r="AE500" s="3980" t="s">
        <v>294</v>
      </c>
      <c r="AF500" s="3980" t="s">
        <v>294</v>
      </c>
      <c r="AG500" s="10909"/>
    </row>
    <row r="501" spans="1:33" ht="15.75" customHeight="1">
      <c r="A501" s="11000"/>
      <c r="B501" s="10950" t="s">
        <v>127</v>
      </c>
      <c r="C501" s="10948" t="s">
        <v>128</v>
      </c>
      <c r="D501" s="10948" t="s">
        <v>129</v>
      </c>
      <c r="E501" s="10948" t="s">
        <v>130</v>
      </c>
      <c r="F501" s="10951" t="s">
        <v>131</v>
      </c>
      <c r="G501" s="10948" t="s">
        <v>132</v>
      </c>
      <c r="H501" s="10948" t="s">
        <v>214</v>
      </c>
      <c r="I501" s="11028" t="s">
        <v>5594</v>
      </c>
      <c r="J501" s="11013" t="s">
        <v>286</v>
      </c>
      <c r="K501" s="10948" t="s">
        <v>5595</v>
      </c>
      <c r="L501" s="10949">
        <v>1</v>
      </c>
      <c r="M501" s="10949">
        <v>2</v>
      </c>
      <c r="N501" s="11031">
        <v>1</v>
      </c>
      <c r="O501" s="10948" t="s">
        <v>5596</v>
      </c>
      <c r="P501" s="10948" t="s">
        <v>5597</v>
      </c>
      <c r="Q501" s="10986" t="s">
        <v>5598</v>
      </c>
      <c r="R501" s="4064" t="s">
        <v>294</v>
      </c>
      <c r="S501" s="3907" t="s">
        <v>294</v>
      </c>
      <c r="T501" s="3907" t="s">
        <v>294</v>
      </c>
      <c r="U501" s="3906" t="s">
        <v>294</v>
      </c>
      <c r="V501" s="6189" t="s">
        <v>294</v>
      </c>
      <c r="W501" s="3908" t="s">
        <v>294</v>
      </c>
      <c r="X501" s="7562" t="s">
        <v>294</v>
      </c>
      <c r="Y501" s="7562" t="s">
        <v>294</v>
      </c>
      <c r="Z501" s="7562" t="s">
        <v>294</v>
      </c>
      <c r="AA501" s="7563" t="s">
        <v>294</v>
      </c>
      <c r="AB501" s="7668"/>
      <c r="AC501" s="3909"/>
      <c r="AD501" s="3908" t="s">
        <v>294</v>
      </c>
      <c r="AE501" s="3912" t="s">
        <v>294</v>
      </c>
      <c r="AF501" s="3912" t="s">
        <v>294</v>
      </c>
      <c r="AG501" s="10910" t="s">
        <v>294</v>
      </c>
    </row>
    <row r="502" spans="1:33" ht="15.75" customHeight="1">
      <c r="A502" s="11000"/>
      <c r="B502" s="10934"/>
      <c r="C502" s="10937"/>
      <c r="D502" s="10937"/>
      <c r="E502" s="10937"/>
      <c r="F502" s="10940"/>
      <c r="G502" s="10937"/>
      <c r="H502" s="10937"/>
      <c r="I502" s="11026"/>
      <c r="J502" s="11011"/>
      <c r="K502" s="10937"/>
      <c r="L502" s="10943"/>
      <c r="M502" s="10943"/>
      <c r="N502" s="11021"/>
      <c r="O502" s="10937"/>
      <c r="P502" s="10937"/>
      <c r="Q502" s="10953"/>
      <c r="R502" s="4019" t="s">
        <v>294</v>
      </c>
      <c r="S502" s="3917" t="s">
        <v>294</v>
      </c>
      <c r="T502" s="3917" t="s">
        <v>294</v>
      </c>
      <c r="U502" s="3913" t="s">
        <v>294</v>
      </c>
      <c r="V502" s="6190" t="s">
        <v>294</v>
      </c>
      <c r="W502" s="3925" t="s">
        <v>294</v>
      </c>
      <c r="X502" s="7567" t="s">
        <v>294</v>
      </c>
      <c r="Y502" s="7567" t="s">
        <v>294</v>
      </c>
      <c r="Z502" s="7567" t="s">
        <v>294</v>
      </c>
      <c r="AA502" s="7566" t="s">
        <v>294</v>
      </c>
      <c r="AB502" s="7669"/>
      <c r="AC502" s="3920"/>
      <c r="AD502" s="3925" t="s">
        <v>294</v>
      </c>
      <c r="AE502" s="3923" t="s">
        <v>294</v>
      </c>
      <c r="AF502" s="3923" t="s">
        <v>294</v>
      </c>
      <c r="AG502" s="10908"/>
    </row>
    <row r="503" spans="1:33" ht="15.75" customHeight="1">
      <c r="A503" s="11000"/>
      <c r="B503" s="10934"/>
      <c r="C503" s="10937"/>
      <c r="D503" s="10937"/>
      <c r="E503" s="10937"/>
      <c r="F503" s="10940"/>
      <c r="G503" s="10937"/>
      <c r="H503" s="10937"/>
      <c r="I503" s="11026"/>
      <c r="J503" s="11011"/>
      <c r="K503" s="10937"/>
      <c r="L503" s="10943"/>
      <c r="M503" s="10943"/>
      <c r="N503" s="11021"/>
      <c r="O503" s="10937"/>
      <c r="P503" s="10937"/>
      <c r="Q503" s="10953"/>
      <c r="R503" s="4019" t="s">
        <v>294</v>
      </c>
      <c r="S503" s="3917" t="s">
        <v>294</v>
      </c>
      <c r="T503" s="3917" t="s">
        <v>294</v>
      </c>
      <c r="U503" s="3913" t="s">
        <v>294</v>
      </c>
      <c r="V503" s="6190" t="s">
        <v>294</v>
      </c>
      <c r="W503" s="3925" t="s">
        <v>294</v>
      </c>
      <c r="X503" s="7567" t="s">
        <v>294</v>
      </c>
      <c r="Y503" s="7567" t="s">
        <v>294</v>
      </c>
      <c r="Z503" s="7567" t="s">
        <v>294</v>
      </c>
      <c r="AA503" s="7566" t="s">
        <v>294</v>
      </c>
      <c r="AB503" s="7669"/>
      <c r="AC503" s="3920"/>
      <c r="AD503" s="3925" t="s">
        <v>294</v>
      </c>
      <c r="AE503" s="3923" t="s">
        <v>294</v>
      </c>
      <c r="AF503" s="3923" t="s">
        <v>294</v>
      </c>
      <c r="AG503" s="10908"/>
    </row>
    <row r="504" spans="1:33" ht="15.75" customHeight="1">
      <c r="A504" s="11000"/>
      <c r="B504" s="10934"/>
      <c r="C504" s="10937"/>
      <c r="D504" s="10937"/>
      <c r="E504" s="10937"/>
      <c r="F504" s="10940"/>
      <c r="G504" s="10937"/>
      <c r="H504" s="10937"/>
      <c r="I504" s="11026"/>
      <c r="J504" s="11011"/>
      <c r="K504" s="10937"/>
      <c r="L504" s="10943"/>
      <c r="M504" s="10943"/>
      <c r="N504" s="11021"/>
      <c r="O504" s="10937"/>
      <c r="P504" s="10937"/>
      <c r="Q504" s="10953"/>
      <c r="R504" s="4018" t="s">
        <v>294</v>
      </c>
      <c r="S504" s="3916" t="s">
        <v>294</v>
      </c>
      <c r="T504" s="3916" t="s">
        <v>294</v>
      </c>
      <c r="U504" s="3913" t="s">
        <v>294</v>
      </c>
      <c r="V504" s="6190" t="s">
        <v>294</v>
      </c>
      <c r="W504" s="3925" t="s">
        <v>294</v>
      </c>
      <c r="X504" s="7567" t="s">
        <v>294</v>
      </c>
      <c r="Y504" s="7567" t="s">
        <v>294</v>
      </c>
      <c r="Z504" s="7567" t="s">
        <v>294</v>
      </c>
      <c r="AA504" s="7566" t="s">
        <v>294</v>
      </c>
      <c r="AB504" s="7669"/>
      <c r="AC504" s="3920"/>
      <c r="AD504" s="3925" t="s">
        <v>294</v>
      </c>
      <c r="AE504" s="3923" t="s">
        <v>294</v>
      </c>
      <c r="AF504" s="3923" t="s">
        <v>294</v>
      </c>
      <c r="AG504" s="10908"/>
    </row>
    <row r="505" spans="1:33" ht="15.75" customHeight="1">
      <c r="A505" s="11000"/>
      <c r="B505" s="10993"/>
      <c r="C505" s="10985"/>
      <c r="D505" s="10985"/>
      <c r="E505" s="10985"/>
      <c r="F505" s="10994"/>
      <c r="G505" s="10985"/>
      <c r="H505" s="10985"/>
      <c r="I505" s="11030"/>
      <c r="J505" s="11014"/>
      <c r="K505" s="10985"/>
      <c r="L505" s="10984"/>
      <c r="M505" s="10984"/>
      <c r="N505" s="11032"/>
      <c r="O505" s="10985"/>
      <c r="P505" s="10985"/>
      <c r="Q505" s="10987"/>
      <c r="R505" s="4066" t="s">
        <v>294</v>
      </c>
      <c r="S505" s="4038" t="s">
        <v>294</v>
      </c>
      <c r="T505" s="4038" t="s">
        <v>294</v>
      </c>
      <c r="U505" s="3982" t="s">
        <v>294</v>
      </c>
      <c r="V505" s="6191" t="s">
        <v>294</v>
      </c>
      <c r="W505" s="4039" t="s">
        <v>294</v>
      </c>
      <c r="X505" s="7568" t="s">
        <v>294</v>
      </c>
      <c r="Y505" s="7568" t="s">
        <v>294</v>
      </c>
      <c r="Z505" s="7568" t="s">
        <v>294</v>
      </c>
      <c r="AA505" s="7569" t="s">
        <v>294</v>
      </c>
      <c r="AB505" s="7670"/>
      <c r="AC505" s="4040"/>
      <c r="AD505" s="4039" t="s">
        <v>294</v>
      </c>
      <c r="AE505" s="4043" t="s">
        <v>294</v>
      </c>
      <c r="AF505" s="4043" t="s">
        <v>294</v>
      </c>
      <c r="AG505" s="10911"/>
    </row>
    <row r="506" spans="1:33" ht="15.75" customHeight="1">
      <c r="A506" s="11000"/>
      <c r="B506" s="10933" t="s">
        <v>183</v>
      </c>
      <c r="C506" s="10936" t="s">
        <v>184</v>
      </c>
      <c r="D506" s="10936" t="s">
        <v>185</v>
      </c>
      <c r="E506" s="10936" t="s">
        <v>1938</v>
      </c>
      <c r="F506" s="10939" t="s">
        <v>187</v>
      </c>
      <c r="G506" s="10936" t="s">
        <v>247</v>
      </c>
      <c r="H506" s="10936" t="s">
        <v>133</v>
      </c>
      <c r="I506" s="11025" t="s">
        <v>5599</v>
      </c>
      <c r="J506" s="11010" t="s">
        <v>5600</v>
      </c>
      <c r="K506" s="10936" t="s">
        <v>5601</v>
      </c>
      <c r="L506" s="10942">
        <v>1</v>
      </c>
      <c r="M506" s="10942">
        <v>0</v>
      </c>
      <c r="N506" s="11020">
        <v>1</v>
      </c>
      <c r="O506" s="10936" t="s">
        <v>5602</v>
      </c>
      <c r="P506" s="10936" t="s">
        <v>5603</v>
      </c>
      <c r="Q506" s="10952" t="s">
        <v>5604</v>
      </c>
      <c r="R506" s="4024" t="s">
        <v>294</v>
      </c>
      <c r="S506" s="4000" t="s">
        <v>294</v>
      </c>
      <c r="T506" s="4000" t="s">
        <v>294</v>
      </c>
      <c r="U506" s="3981" t="s">
        <v>294</v>
      </c>
      <c r="V506" s="6192" t="s">
        <v>294</v>
      </c>
      <c r="W506" s="4001" t="s">
        <v>294</v>
      </c>
      <c r="X506" s="7570" t="s">
        <v>294</v>
      </c>
      <c r="Y506" s="7570" t="s">
        <v>294</v>
      </c>
      <c r="Z506" s="7570" t="s">
        <v>294</v>
      </c>
      <c r="AA506" s="7571" t="s">
        <v>294</v>
      </c>
      <c r="AB506" s="7671"/>
      <c r="AC506" s="4002"/>
      <c r="AD506" s="4001" t="s">
        <v>294</v>
      </c>
      <c r="AE506" s="4005" t="s">
        <v>294</v>
      </c>
      <c r="AF506" s="4005" t="s">
        <v>294</v>
      </c>
      <c r="AG506" s="10907" t="s">
        <v>294</v>
      </c>
    </row>
    <row r="507" spans="1:33" ht="15.75" customHeight="1">
      <c r="A507" s="11000"/>
      <c r="B507" s="10934"/>
      <c r="C507" s="10937"/>
      <c r="D507" s="10937"/>
      <c r="E507" s="10937"/>
      <c r="F507" s="10940"/>
      <c r="G507" s="10937"/>
      <c r="H507" s="10937"/>
      <c r="I507" s="11026"/>
      <c r="J507" s="11011"/>
      <c r="K507" s="10937"/>
      <c r="L507" s="10943"/>
      <c r="M507" s="10943"/>
      <c r="N507" s="11021"/>
      <c r="O507" s="10937"/>
      <c r="P507" s="10937"/>
      <c r="Q507" s="10953"/>
      <c r="R507" s="4019" t="s">
        <v>294</v>
      </c>
      <c r="S507" s="3917" t="s">
        <v>294</v>
      </c>
      <c r="T507" s="3917" t="s">
        <v>294</v>
      </c>
      <c r="U507" s="3913" t="s">
        <v>294</v>
      </c>
      <c r="V507" s="6190" t="s">
        <v>294</v>
      </c>
      <c r="W507" s="3925" t="s">
        <v>294</v>
      </c>
      <c r="X507" s="7567" t="s">
        <v>294</v>
      </c>
      <c r="Y507" s="7567" t="s">
        <v>294</v>
      </c>
      <c r="Z507" s="7567" t="s">
        <v>294</v>
      </c>
      <c r="AA507" s="7566" t="s">
        <v>294</v>
      </c>
      <c r="AB507" s="7669"/>
      <c r="AC507" s="3920"/>
      <c r="AD507" s="3925" t="s">
        <v>294</v>
      </c>
      <c r="AE507" s="3923" t="s">
        <v>294</v>
      </c>
      <c r="AF507" s="3923" t="s">
        <v>294</v>
      </c>
      <c r="AG507" s="10908"/>
    </row>
    <row r="508" spans="1:33" ht="15.75" customHeight="1">
      <c r="A508" s="11000"/>
      <c r="B508" s="10934"/>
      <c r="C508" s="10937"/>
      <c r="D508" s="10937"/>
      <c r="E508" s="10937"/>
      <c r="F508" s="10940"/>
      <c r="G508" s="10937"/>
      <c r="H508" s="10937"/>
      <c r="I508" s="11026"/>
      <c r="J508" s="11011"/>
      <c r="K508" s="10937"/>
      <c r="L508" s="10943"/>
      <c r="M508" s="10943"/>
      <c r="N508" s="11021"/>
      <c r="O508" s="10937"/>
      <c r="P508" s="10937"/>
      <c r="Q508" s="10953"/>
      <c r="R508" s="4019" t="s">
        <v>294</v>
      </c>
      <c r="S508" s="3917" t="s">
        <v>294</v>
      </c>
      <c r="T508" s="3917" t="s">
        <v>294</v>
      </c>
      <c r="U508" s="3913" t="s">
        <v>294</v>
      </c>
      <c r="V508" s="6190" t="s">
        <v>294</v>
      </c>
      <c r="W508" s="3925" t="s">
        <v>294</v>
      </c>
      <c r="X508" s="7567" t="s">
        <v>294</v>
      </c>
      <c r="Y508" s="7567" t="s">
        <v>294</v>
      </c>
      <c r="Z508" s="7567" t="s">
        <v>294</v>
      </c>
      <c r="AA508" s="7566" t="s">
        <v>294</v>
      </c>
      <c r="AB508" s="7669"/>
      <c r="AC508" s="3920"/>
      <c r="AD508" s="3925" t="s">
        <v>294</v>
      </c>
      <c r="AE508" s="3923" t="s">
        <v>294</v>
      </c>
      <c r="AF508" s="3923" t="s">
        <v>294</v>
      </c>
      <c r="AG508" s="10908"/>
    </row>
    <row r="509" spans="1:33" ht="15.75" customHeight="1">
      <c r="A509" s="11000"/>
      <c r="B509" s="10934"/>
      <c r="C509" s="10937"/>
      <c r="D509" s="10937"/>
      <c r="E509" s="10937"/>
      <c r="F509" s="10940"/>
      <c r="G509" s="10937"/>
      <c r="H509" s="10937"/>
      <c r="I509" s="11026"/>
      <c r="J509" s="11011"/>
      <c r="K509" s="10937"/>
      <c r="L509" s="10943"/>
      <c r="M509" s="10943"/>
      <c r="N509" s="11021"/>
      <c r="O509" s="10937"/>
      <c r="P509" s="10937"/>
      <c r="Q509" s="10953"/>
      <c r="R509" s="4018" t="s">
        <v>294</v>
      </c>
      <c r="S509" s="3916" t="s">
        <v>294</v>
      </c>
      <c r="T509" s="3916" t="s">
        <v>294</v>
      </c>
      <c r="U509" s="3913" t="s">
        <v>294</v>
      </c>
      <c r="V509" s="6190" t="s">
        <v>294</v>
      </c>
      <c r="W509" s="3925" t="s">
        <v>294</v>
      </c>
      <c r="X509" s="7567" t="s">
        <v>294</v>
      </c>
      <c r="Y509" s="7567" t="s">
        <v>294</v>
      </c>
      <c r="Z509" s="7567" t="s">
        <v>294</v>
      </c>
      <c r="AA509" s="7566" t="s">
        <v>294</v>
      </c>
      <c r="AB509" s="7669"/>
      <c r="AC509" s="3920"/>
      <c r="AD509" s="3925" t="s">
        <v>294</v>
      </c>
      <c r="AE509" s="3923" t="s">
        <v>294</v>
      </c>
      <c r="AF509" s="3923" t="s">
        <v>294</v>
      </c>
      <c r="AG509" s="10908"/>
    </row>
    <row r="510" spans="1:33" ht="15.75" customHeight="1">
      <c r="A510" s="11000"/>
      <c r="B510" s="10935"/>
      <c r="C510" s="10938"/>
      <c r="D510" s="10938"/>
      <c r="E510" s="10938"/>
      <c r="F510" s="10941"/>
      <c r="G510" s="10938"/>
      <c r="H510" s="10938"/>
      <c r="I510" s="11027"/>
      <c r="J510" s="11012"/>
      <c r="K510" s="10938"/>
      <c r="L510" s="10944"/>
      <c r="M510" s="10944"/>
      <c r="N510" s="11022"/>
      <c r="O510" s="10938"/>
      <c r="P510" s="10938"/>
      <c r="Q510" s="10954"/>
      <c r="R510" s="4025" t="s">
        <v>294</v>
      </c>
      <c r="S510" s="3977" t="s">
        <v>294</v>
      </c>
      <c r="T510" s="3977" t="s">
        <v>294</v>
      </c>
      <c r="U510" s="3952" t="s">
        <v>294</v>
      </c>
      <c r="V510" s="6193" t="s">
        <v>294</v>
      </c>
      <c r="W510" s="3978" t="s">
        <v>294</v>
      </c>
      <c r="X510" s="7573" t="s">
        <v>294</v>
      </c>
      <c r="Y510" s="7573" t="s">
        <v>294</v>
      </c>
      <c r="Z510" s="7573" t="s">
        <v>294</v>
      </c>
      <c r="AA510" s="7574" t="s">
        <v>294</v>
      </c>
      <c r="AB510" s="7672"/>
      <c r="AC510" s="3979"/>
      <c r="AD510" s="3978" t="s">
        <v>294</v>
      </c>
      <c r="AE510" s="3980" t="s">
        <v>294</v>
      </c>
      <c r="AF510" s="3980" t="s">
        <v>294</v>
      </c>
      <c r="AG510" s="10909"/>
    </row>
    <row r="511" spans="1:33" ht="15.75" customHeight="1">
      <c r="A511" s="11000"/>
      <c r="B511" s="10950" t="s">
        <v>127</v>
      </c>
      <c r="C511" s="10948" t="s">
        <v>128</v>
      </c>
      <c r="D511" s="10948" t="s">
        <v>129</v>
      </c>
      <c r="E511" s="10948" t="s">
        <v>157</v>
      </c>
      <c r="F511" s="10951" t="s">
        <v>131</v>
      </c>
      <c r="G511" s="10948" t="s">
        <v>132</v>
      </c>
      <c r="H511" s="10948" t="s">
        <v>159</v>
      </c>
      <c r="I511" s="11028" t="s">
        <v>5605</v>
      </c>
      <c r="J511" s="11013" t="s">
        <v>1378</v>
      </c>
      <c r="K511" s="10948" t="s">
        <v>5606</v>
      </c>
      <c r="L511" s="10949">
        <v>1</v>
      </c>
      <c r="M511" s="10949">
        <v>1</v>
      </c>
      <c r="N511" s="10949">
        <v>1</v>
      </c>
      <c r="O511" s="10948" t="s">
        <v>5607</v>
      </c>
      <c r="P511" s="10948" t="s">
        <v>5578</v>
      </c>
      <c r="Q511" s="10986" t="s">
        <v>5608</v>
      </c>
      <c r="R511" s="4064" t="s">
        <v>294</v>
      </c>
      <c r="S511" s="3907" t="s">
        <v>294</v>
      </c>
      <c r="T511" s="3907" t="s">
        <v>294</v>
      </c>
      <c r="U511" s="3906" t="s">
        <v>294</v>
      </c>
      <c r="V511" s="6189" t="s">
        <v>294</v>
      </c>
      <c r="W511" s="3908" t="s">
        <v>294</v>
      </c>
      <c r="X511" s="7562" t="s">
        <v>294</v>
      </c>
      <c r="Y511" s="7562" t="s">
        <v>294</v>
      </c>
      <c r="Z511" s="7562" t="s">
        <v>294</v>
      </c>
      <c r="AA511" s="7563" t="s">
        <v>294</v>
      </c>
      <c r="AB511" s="7668"/>
      <c r="AC511" s="3909"/>
      <c r="AD511" s="3908" t="s">
        <v>294</v>
      </c>
      <c r="AE511" s="3912" t="s">
        <v>294</v>
      </c>
      <c r="AF511" s="3912" t="s">
        <v>294</v>
      </c>
      <c r="AG511" s="10910" t="s">
        <v>294</v>
      </c>
    </row>
    <row r="512" spans="1:33" ht="15.75" customHeight="1">
      <c r="A512" s="11000"/>
      <c r="B512" s="10934"/>
      <c r="C512" s="10937"/>
      <c r="D512" s="10937"/>
      <c r="E512" s="10937"/>
      <c r="F512" s="10940"/>
      <c r="G512" s="10937"/>
      <c r="H512" s="10937"/>
      <c r="I512" s="11026"/>
      <c r="J512" s="11011"/>
      <c r="K512" s="10937"/>
      <c r="L512" s="10943"/>
      <c r="M512" s="10943"/>
      <c r="N512" s="10943"/>
      <c r="O512" s="10937"/>
      <c r="P512" s="10937"/>
      <c r="Q512" s="10953"/>
      <c r="R512" s="4019" t="s">
        <v>294</v>
      </c>
      <c r="S512" s="3917" t="s">
        <v>294</v>
      </c>
      <c r="T512" s="3917" t="s">
        <v>294</v>
      </c>
      <c r="U512" s="3913" t="s">
        <v>294</v>
      </c>
      <c r="V512" s="6190" t="s">
        <v>294</v>
      </c>
      <c r="W512" s="3925" t="s">
        <v>294</v>
      </c>
      <c r="X512" s="7567" t="s">
        <v>294</v>
      </c>
      <c r="Y512" s="7567" t="s">
        <v>294</v>
      </c>
      <c r="Z512" s="7567" t="s">
        <v>294</v>
      </c>
      <c r="AA512" s="7566" t="s">
        <v>294</v>
      </c>
      <c r="AB512" s="7669"/>
      <c r="AC512" s="3920"/>
      <c r="AD512" s="3925" t="s">
        <v>294</v>
      </c>
      <c r="AE512" s="3923" t="s">
        <v>294</v>
      </c>
      <c r="AF512" s="3923" t="s">
        <v>294</v>
      </c>
      <c r="AG512" s="10908"/>
    </row>
    <row r="513" spans="1:33" ht="15.75" customHeight="1">
      <c r="A513" s="11000"/>
      <c r="B513" s="10934"/>
      <c r="C513" s="10937"/>
      <c r="D513" s="10937"/>
      <c r="E513" s="10937"/>
      <c r="F513" s="10940"/>
      <c r="G513" s="10937"/>
      <c r="H513" s="10937"/>
      <c r="I513" s="11026"/>
      <c r="J513" s="11011"/>
      <c r="K513" s="10937"/>
      <c r="L513" s="10943"/>
      <c r="M513" s="10943"/>
      <c r="N513" s="10943"/>
      <c r="O513" s="10937"/>
      <c r="P513" s="10937"/>
      <c r="Q513" s="10953"/>
      <c r="R513" s="4019" t="s">
        <v>294</v>
      </c>
      <c r="S513" s="3917" t="s">
        <v>294</v>
      </c>
      <c r="T513" s="3917" t="s">
        <v>294</v>
      </c>
      <c r="U513" s="3913" t="s">
        <v>294</v>
      </c>
      <c r="V513" s="6190" t="s">
        <v>294</v>
      </c>
      <c r="W513" s="3925" t="s">
        <v>294</v>
      </c>
      <c r="X513" s="7567" t="s">
        <v>294</v>
      </c>
      <c r="Y513" s="7567" t="s">
        <v>294</v>
      </c>
      <c r="Z513" s="7567" t="s">
        <v>294</v>
      </c>
      <c r="AA513" s="7566" t="s">
        <v>294</v>
      </c>
      <c r="AB513" s="7669"/>
      <c r="AC513" s="3920"/>
      <c r="AD513" s="3925" t="s">
        <v>294</v>
      </c>
      <c r="AE513" s="3923" t="s">
        <v>294</v>
      </c>
      <c r="AF513" s="3923" t="s">
        <v>294</v>
      </c>
      <c r="AG513" s="10908"/>
    </row>
    <row r="514" spans="1:33" ht="15.75" customHeight="1">
      <c r="A514" s="11000"/>
      <c r="B514" s="10934"/>
      <c r="C514" s="10937"/>
      <c r="D514" s="10937"/>
      <c r="E514" s="10937"/>
      <c r="F514" s="10940"/>
      <c r="G514" s="10937"/>
      <c r="H514" s="10937"/>
      <c r="I514" s="11026"/>
      <c r="J514" s="11011"/>
      <c r="K514" s="10937"/>
      <c r="L514" s="10943"/>
      <c r="M514" s="10943"/>
      <c r="N514" s="10943"/>
      <c r="O514" s="10937"/>
      <c r="P514" s="10937"/>
      <c r="Q514" s="10953"/>
      <c r="R514" s="4018" t="s">
        <v>294</v>
      </c>
      <c r="S514" s="3916" t="s">
        <v>294</v>
      </c>
      <c r="T514" s="3916" t="s">
        <v>294</v>
      </c>
      <c r="U514" s="3913" t="s">
        <v>294</v>
      </c>
      <c r="V514" s="6190" t="s">
        <v>294</v>
      </c>
      <c r="W514" s="3925" t="s">
        <v>294</v>
      </c>
      <c r="X514" s="7567" t="s">
        <v>294</v>
      </c>
      <c r="Y514" s="7567" t="s">
        <v>294</v>
      </c>
      <c r="Z514" s="7567" t="s">
        <v>294</v>
      </c>
      <c r="AA514" s="7566" t="s">
        <v>294</v>
      </c>
      <c r="AB514" s="7669"/>
      <c r="AC514" s="3920"/>
      <c r="AD514" s="3925" t="s">
        <v>294</v>
      </c>
      <c r="AE514" s="3923" t="s">
        <v>294</v>
      </c>
      <c r="AF514" s="3923" t="s">
        <v>294</v>
      </c>
      <c r="AG514" s="10908"/>
    </row>
    <row r="515" spans="1:33" ht="15.75" customHeight="1">
      <c r="A515" s="11000"/>
      <c r="B515" s="10935"/>
      <c r="C515" s="10938"/>
      <c r="D515" s="10938"/>
      <c r="E515" s="10938"/>
      <c r="F515" s="10941"/>
      <c r="G515" s="10938"/>
      <c r="H515" s="10938"/>
      <c r="I515" s="11027"/>
      <c r="J515" s="11012"/>
      <c r="K515" s="10938"/>
      <c r="L515" s="10944"/>
      <c r="M515" s="10944"/>
      <c r="N515" s="10944"/>
      <c r="O515" s="10938"/>
      <c r="P515" s="10938"/>
      <c r="Q515" s="10954"/>
      <c r="R515" s="4025" t="s">
        <v>294</v>
      </c>
      <c r="S515" s="3977" t="s">
        <v>294</v>
      </c>
      <c r="T515" s="3977" t="s">
        <v>294</v>
      </c>
      <c r="U515" s="3952" t="s">
        <v>294</v>
      </c>
      <c r="V515" s="6193" t="s">
        <v>294</v>
      </c>
      <c r="W515" s="3978" t="s">
        <v>294</v>
      </c>
      <c r="X515" s="7573" t="s">
        <v>294</v>
      </c>
      <c r="Y515" s="7573" t="s">
        <v>294</v>
      </c>
      <c r="Z515" s="7573" t="s">
        <v>294</v>
      </c>
      <c r="AA515" s="7574" t="s">
        <v>294</v>
      </c>
      <c r="AB515" s="7672"/>
      <c r="AC515" s="3979"/>
      <c r="AD515" s="3978" t="s">
        <v>294</v>
      </c>
      <c r="AE515" s="3980" t="s">
        <v>294</v>
      </c>
      <c r="AF515" s="3980" t="s">
        <v>294</v>
      </c>
      <c r="AG515" s="10909"/>
    </row>
    <row r="516" spans="1:33" s="6145" customFormat="1" ht="15.75" customHeight="1" thickBot="1">
      <c r="A516" s="11033"/>
      <c r="B516" s="5407" t="s">
        <v>294</v>
      </c>
      <c r="C516" s="5407" t="s">
        <v>294</v>
      </c>
      <c r="D516" s="5407" t="s">
        <v>294</v>
      </c>
      <c r="E516" s="5407" t="s">
        <v>294</v>
      </c>
      <c r="F516" s="5407" t="s">
        <v>294</v>
      </c>
      <c r="G516" s="5407" t="s">
        <v>294</v>
      </c>
      <c r="H516" s="5407" t="s">
        <v>294</v>
      </c>
      <c r="I516" s="5407" t="s">
        <v>294</v>
      </c>
      <c r="J516" s="5407" t="s">
        <v>294</v>
      </c>
      <c r="K516" s="5407" t="s">
        <v>294</v>
      </c>
      <c r="L516" s="5408" t="s">
        <v>294</v>
      </c>
      <c r="M516" s="5408" t="s">
        <v>294</v>
      </c>
      <c r="N516" s="5408" t="s">
        <v>294</v>
      </c>
      <c r="O516" s="5409" t="s">
        <v>294</v>
      </c>
      <c r="P516" s="5409" t="s">
        <v>294</v>
      </c>
      <c r="Q516" s="5410" t="s">
        <v>294</v>
      </c>
      <c r="R516" s="10982" t="s">
        <v>5609</v>
      </c>
      <c r="S516" s="10983"/>
      <c r="T516" s="10983"/>
      <c r="U516" s="10983"/>
      <c r="V516" s="10983"/>
      <c r="W516" s="10983"/>
      <c r="X516" s="10983"/>
      <c r="Y516" s="10983"/>
      <c r="Z516" s="6143" t="s">
        <v>292</v>
      </c>
      <c r="AA516" s="7618">
        <v>0</v>
      </c>
      <c r="AB516" s="6144"/>
      <c r="AC516" s="5411"/>
      <c r="AD516" s="10958" t="s">
        <v>294</v>
      </c>
      <c r="AE516" s="10958"/>
      <c r="AF516" s="10958"/>
      <c r="AG516" s="10959"/>
    </row>
    <row r="517" spans="1:33" ht="93" customHeight="1">
      <c r="A517" s="11029" t="s">
        <v>5610</v>
      </c>
      <c r="B517" s="5424" t="s">
        <v>183</v>
      </c>
      <c r="C517" s="5425" t="s">
        <v>227</v>
      </c>
      <c r="D517" s="5425" t="s">
        <v>228</v>
      </c>
      <c r="E517" s="5425" t="s">
        <v>407</v>
      </c>
      <c r="F517" s="5426" t="s">
        <v>230</v>
      </c>
      <c r="G517" s="5425" t="s">
        <v>132</v>
      </c>
      <c r="H517" s="5425" t="s">
        <v>159</v>
      </c>
      <c r="I517" s="5427" t="s">
        <v>5611</v>
      </c>
      <c r="J517" s="5425" t="s">
        <v>5612</v>
      </c>
      <c r="K517" s="5425" t="s">
        <v>5613</v>
      </c>
      <c r="L517" s="5428">
        <v>1</v>
      </c>
      <c r="M517" s="5428">
        <v>1</v>
      </c>
      <c r="N517" s="5428">
        <v>1</v>
      </c>
      <c r="O517" s="5429" t="s">
        <v>5614</v>
      </c>
      <c r="P517" s="5425" t="s">
        <v>5615</v>
      </c>
      <c r="Q517" s="5430" t="s">
        <v>5616</v>
      </c>
      <c r="R517" s="5431" t="s">
        <v>294</v>
      </c>
      <c r="S517" s="5432" t="s">
        <v>294</v>
      </c>
      <c r="T517" s="5432" t="s">
        <v>294</v>
      </c>
      <c r="U517" s="5426" t="s">
        <v>294</v>
      </c>
      <c r="V517" s="7547" t="s">
        <v>294</v>
      </c>
      <c r="W517" s="5433" t="s">
        <v>294</v>
      </c>
      <c r="X517" s="7619" t="s">
        <v>294</v>
      </c>
      <c r="Y517" s="7619" t="s">
        <v>294</v>
      </c>
      <c r="Z517" s="7619" t="s">
        <v>294</v>
      </c>
      <c r="AA517" s="7620" t="s">
        <v>294</v>
      </c>
      <c r="AB517" s="7688"/>
      <c r="AC517" s="5434"/>
      <c r="AD517" s="5433" t="s">
        <v>294</v>
      </c>
      <c r="AE517" s="5435" t="s">
        <v>294</v>
      </c>
      <c r="AF517" s="5435" t="s">
        <v>294</v>
      </c>
      <c r="AG517" s="5436" t="s">
        <v>294</v>
      </c>
    </row>
    <row r="518" spans="1:33" ht="93" customHeight="1">
      <c r="A518" s="11000"/>
      <c r="B518" s="4068" t="s">
        <v>183</v>
      </c>
      <c r="C518" s="4069" t="s">
        <v>227</v>
      </c>
      <c r="D518" s="4069" t="s">
        <v>490</v>
      </c>
      <c r="E518" s="4069" t="s">
        <v>2210</v>
      </c>
      <c r="F518" s="4070" t="s">
        <v>230</v>
      </c>
      <c r="G518" s="4069" t="s">
        <v>132</v>
      </c>
      <c r="H518" s="4069" t="s">
        <v>159</v>
      </c>
      <c r="I518" s="4069" t="s">
        <v>5617</v>
      </c>
      <c r="J518" s="4069" t="s">
        <v>5618</v>
      </c>
      <c r="K518" s="4069" t="s">
        <v>5619</v>
      </c>
      <c r="L518" s="4141">
        <v>1</v>
      </c>
      <c r="M518" s="4141">
        <v>1</v>
      </c>
      <c r="N518" s="4141">
        <v>1</v>
      </c>
      <c r="O518" s="4069" t="s">
        <v>5620</v>
      </c>
      <c r="P518" s="4069" t="s">
        <v>5621</v>
      </c>
      <c r="Q518" s="4073" t="s">
        <v>5616</v>
      </c>
      <c r="R518" s="4142" t="s">
        <v>294</v>
      </c>
      <c r="S518" s="4143" t="s">
        <v>294</v>
      </c>
      <c r="T518" s="4143" t="s">
        <v>294</v>
      </c>
      <c r="U518" s="4069" t="s">
        <v>294</v>
      </c>
      <c r="V518" s="4072" t="s">
        <v>294</v>
      </c>
      <c r="W518" s="4078" t="s">
        <v>294</v>
      </c>
      <c r="X518" s="7585" t="s">
        <v>294</v>
      </c>
      <c r="Y518" s="7585" t="s">
        <v>294</v>
      </c>
      <c r="Z518" s="7585" t="s">
        <v>294</v>
      </c>
      <c r="AA518" s="7586" t="s">
        <v>294</v>
      </c>
      <c r="AB518" s="7679"/>
      <c r="AC518" s="4077"/>
      <c r="AD518" s="4078" t="s">
        <v>294</v>
      </c>
      <c r="AE518" s="4079" t="s">
        <v>294</v>
      </c>
      <c r="AF518" s="4079" t="s">
        <v>294</v>
      </c>
      <c r="AG518" s="4080" t="s">
        <v>294</v>
      </c>
    </row>
    <row r="519" spans="1:33" ht="93" customHeight="1">
      <c r="A519" s="11000"/>
      <c r="B519" s="4146" t="s">
        <v>183</v>
      </c>
      <c r="C519" s="4147" t="s">
        <v>227</v>
      </c>
      <c r="D519" s="4147" t="s">
        <v>228</v>
      </c>
      <c r="E519" s="4147" t="s">
        <v>407</v>
      </c>
      <c r="F519" s="4148" t="s">
        <v>230</v>
      </c>
      <c r="G519" s="4147" t="s">
        <v>231</v>
      </c>
      <c r="H519" s="4147" t="s">
        <v>133</v>
      </c>
      <c r="I519" s="4147" t="s">
        <v>5622</v>
      </c>
      <c r="J519" s="4147" t="s">
        <v>5623</v>
      </c>
      <c r="K519" s="4147" t="s">
        <v>5624</v>
      </c>
      <c r="L519" s="4149">
        <v>1</v>
      </c>
      <c r="M519" s="4149">
        <v>1</v>
      </c>
      <c r="N519" s="4149">
        <v>1</v>
      </c>
      <c r="O519" s="4147" t="s">
        <v>5625</v>
      </c>
      <c r="P519" s="4147" t="s">
        <v>5626</v>
      </c>
      <c r="Q519" s="4150" t="s">
        <v>5616</v>
      </c>
      <c r="R519" s="4151" t="s">
        <v>294</v>
      </c>
      <c r="S519" s="4152" t="s">
        <v>294</v>
      </c>
      <c r="T519" s="4152" t="s">
        <v>294</v>
      </c>
      <c r="U519" s="4147" t="s">
        <v>294</v>
      </c>
      <c r="V519" s="4159" t="s">
        <v>294</v>
      </c>
      <c r="W519" s="4153" t="s">
        <v>294</v>
      </c>
      <c r="X519" s="7621" t="s">
        <v>294</v>
      </c>
      <c r="Y519" s="7621" t="s">
        <v>294</v>
      </c>
      <c r="Z519" s="7621" t="s">
        <v>294</v>
      </c>
      <c r="AA519" s="7622" t="s">
        <v>294</v>
      </c>
      <c r="AB519" s="7689"/>
      <c r="AC519" s="4154"/>
      <c r="AD519" s="4153" t="s">
        <v>294</v>
      </c>
      <c r="AE519" s="4155" t="s">
        <v>294</v>
      </c>
      <c r="AF519" s="4155" t="s">
        <v>294</v>
      </c>
      <c r="AG519" s="4156" t="s">
        <v>294</v>
      </c>
    </row>
    <row r="520" spans="1:33" ht="93" customHeight="1">
      <c r="A520" s="11000"/>
      <c r="B520" s="4068" t="s">
        <v>183</v>
      </c>
      <c r="C520" s="4069" t="s">
        <v>128</v>
      </c>
      <c r="D520" s="4069" t="s">
        <v>228</v>
      </c>
      <c r="E520" s="4069" t="s">
        <v>407</v>
      </c>
      <c r="F520" s="4070" t="s">
        <v>230</v>
      </c>
      <c r="G520" s="4069" t="s">
        <v>132</v>
      </c>
      <c r="H520" s="4069" t="s">
        <v>189</v>
      </c>
      <c r="I520" s="4069" t="s">
        <v>5627</v>
      </c>
      <c r="J520" s="4069" t="s">
        <v>5628</v>
      </c>
      <c r="K520" s="4069" t="s">
        <v>5629</v>
      </c>
      <c r="L520" s="4144">
        <v>1</v>
      </c>
      <c r="M520" s="4144">
        <v>1</v>
      </c>
      <c r="N520" s="4144">
        <v>1</v>
      </c>
      <c r="O520" s="4069" t="s">
        <v>5630</v>
      </c>
      <c r="P520" s="4069" t="s">
        <v>5631</v>
      </c>
      <c r="Q520" s="4073" t="s">
        <v>5616</v>
      </c>
      <c r="R520" s="4074" t="s">
        <v>294</v>
      </c>
      <c r="S520" s="4145" t="s">
        <v>294</v>
      </c>
      <c r="T520" s="4145" t="s">
        <v>294</v>
      </c>
      <c r="U520" s="4069" t="s">
        <v>294</v>
      </c>
      <c r="V520" s="4072" t="s">
        <v>294</v>
      </c>
      <c r="W520" s="4078" t="s">
        <v>294</v>
      </c>
      <c r="X520" s="7585" t="s">
        <v>294</v>
      </c>
      <c r="Y520" s="7585" t="s">
        <v>294</v>
      </c>
      <c r="Z520" s="7585" t="s">
        <v>294</v>
      </c>
      <c r="AA520" s="7586" t="s">
        <v>294</v>
      </c>
      <c r="AB520" s="7679"/>
      <c r="AC520" s="4077"/>
      <c r="AD520" s="4078" t="s">
        <v>294</v>
      </c>
      <c r="AE520" s="4079" t="s">
        <v>294</v>
      </c>
      <c r="AF520" s="4079" t="s">
        <v>294</v>
      </c>
      <c r="AG520" s="4080" t="s">
        <v>294</v>
      </c>
    </row>
    <row r="521" spans="1:33" ht="39" customHeight="1">
      <c r="A521" s="11000"/>
      <c r="B521" s="10950" t="s">
        <v>183</v>
      </c>
      <c r="C521" s="10948" t="s">
        <v>1291</v>
      </c>
      <c r="D521" s="10948" t="s">
        <v>1278</v>
      </c>
      <c r="E521" s="10948" t="s">
        <v>2210</v>
      </c>
      <c r="F521" s="10951" t="s">
        <v>187</v>
      </c>
      <c r="G521" s="10948" t="s">
        <v>1304</v>
      </c>
      <c r="H521" s="10948" t="s">
        <v>133</v>
      </c>
      <c r="I521" s="10948" t="s">
        <v>5632</v>
      </c>
      <c r="J521" s="10948" t="s">
        <v>5633</v>
      </c>
      <c r="K521" s="10948" t="s">
        <v>5634</v>
      </c>
      <c r="L521" s="10949">
        <v>1</v>
      </c>
      <c r="M521" s="10949">
        <v>1</v>
      </c>
      <c r="N521" s="10949">
        <v>1</v>
      </c>
      <c r="O521" s="10948" t="s">
        <v>5635</v>
      </c>
      <c r="P521" s="10948" t="s">
        <v>5636</v>
      </c>
      <c r="Q521" s="10986" t="s">
        <v>5616</v>
      </c>
      <c r="R521" s="3983" t="s">
        <v>5259</v>
      </c>
      <c r="S521" s="3907">
        <v>840104</v>
      </c>
      <c r="T521" s="4118"/>
      <c r="U521" s="3906" t="s">
        <v>39</v>
      </c>
      <c r="V521" s="6189" t="s">
        <v>294</v>
      </c>
      <c r="W521" s="3908" t="s">
        <v>294</v>
      </c>
      <c r="X521" s="7562" t="s">
        <v>294</v>
      </c>
      <c r="Y521" s="7562" t="s">
        <v>294</v>
      </c>
      <c r="Z521" s="7562" t="s">
        <v>294</v>
      </c>
      <c r="AA521" s="7564">
        <f>+SUM(Z522:Z525)</f>
        <v>613.66999999999996</v>
      </c>
      <c r="AB521" s="7668" t="s">
        <v>18</v>
      </c>
      <c r="AC521" s="3909"/>
      <c r="AD521" s="4676" t="s">
        <v>294</v>
      </c>
      <c r="AE521" s="3987" t="s">
        <v>294</v>
      </c>
      <c r="AF521" s="3987" t="s">
        <v>294</v>
      </c>
      <c r="AG521" s="10910" t="s">
        <v>294</v>
      </c>
    </row>
    <row r="522" spans="1:33" ht="15.75" customHeight="1">
      <c r="A522" s="11000"/>
      <c r="B522" s="10934"/>
      <c r="C522" s="10937"/>
      <c r="D522" s="10937"/>
      <c r="E522" s="10937"/>
      <c r="F522" s="10940"/>
      <c r="G522" s="10937"/>
      <c r="H522" s="10937"/>
      <c r="I522" s="10937"/>
      <c r="J522" s="10937"/>
      <c r="K522" s="10937"/>
      <c r="L522" s="10943"/>
      <c r="M522" s="10943"/>
      <c r="N522" s="10943"/>
      <c r="O522" s="10937"/>
      <c r="P522" s="10937"/>
      <c r="Q522" s="10953"/>
      <c r="R522" s="4027" t="s">
        <v>294</v>
      </c>
      <c r="S522" s="3916" t="s">
        <v>294</v>
      </c>
      <c r="T522" s="3917">
        <v>48265.02</v>
      </c>
      <c r="U522" s="3913" t="s">
        <v>5637</v>
      </c>
      <c r="V522" s="6190">
        <v>3</v>
      </c>
      <c r="W522" s="3925" t="s">
        <v>180</v>
      </c>
      <c r="X522" s="7565">
        <f>(413.41/3)/1.12</f>
        <v>123.03869047619047</v>
      </c>
      <c r="Y522" s="7565">
        <f>+V522*X522</f>
        <v>369.11607142857139</v>
      </c>
      <c r="Z522" s="7565">
        <f>+Y522*1.12</f>
        <v>413.40999999999997</v>
      </c>
      <c r="AA522" s="7566" t="s">
        <v>294</v>
      </c>
      <c r="AB522" s="7669"/>
      <c r="AC522" s="3920"/>
      <c r="AD522" s="4672" t="s">
        <v>294</v>
      </c>
      <c r="AE522" s="3959"/>
      <c r="AF522" s="4242" t="s">
        <v>153</v>
      </c>
      <c r="AG522" s="10908"/>
    </row>
    <row r="523" spans="1:33" ht="15.75" customHeight="1">
      <c r="A523" s="11000"/>
      <c r="B523" s="10934"/>
      <c r="C523" s="10937"/>
      <c r="D523" s="10937"/>
      <c r="E523" s="10937"/>
      <c r="F523" s="10940"/>
      <c r="G523" s="10937"/>
      <c r="H523" s="10937"/>
      <c r="I523" s="10937"/>
      <c r="J523" s="10937"/>
      <c r="K523" s="10937"/>
      <c r="L523" s="10943"/>
      <c r="M523" s="10943"/>
      <c r="N523" s="10943"/>
      <c r="O523" s="10937"/>
      <c r="P523" s="10937"/>
      <c r="Q523" s="10953"/>
      <c r="R523" s="4027" t="s">
        <v>294</v>
      </c>
      <c r="S523" s="3916" t="s">
        <v>294</v>
      </c>
      <c r="T523" s="3917">
        <v>48265.02</v>
      </c>
      <c r="U523" s="3913" t="s">
        <v>5638</v>
      </c>
      <c r="V523" s="6190">
        <v>2</v>
      </c>
      <c r="W523" s="3925" t="s">
        <v>180</v>
      </c>
      <c r="X523" s="7565">
        <f>(97.98/2)/1.12</f>
        <v>43.741071428571423</v>
      </c>
      <c r="Y523" s="7565">
        <f>+V523*X523</f>
        <v>87.482142857142847</v>
      </c>
      <c r="Z523" s="7565">
        <f>+Y523*1.12</f>
        <v>97.98</v>
      </c>
      <c r="AA523" s="7566" t="s">
        <v>294</v>
      </c>
      <c r="AB523" s="7669"/>
      <c r="AC523" s="3920"/>
      <c r="AD523" s="4672" t="s">
        <v>294</v>
      </c>
      <c r="AE523" s="3959" t="s">
        <v>153</v>
      </c>
      <c r="AF523" s="3959" t="s">
        <v>294</v>
      </c>
      <c r="AG523" s="10908"/>
    </row>
    <row r="524" spans="1:33" ht="15.75" customHeight="1">
      <c r="A524" s="11000"/>
      <c r="B524" s="10934"/>
      <c r="C524" s="10937"/>
      <c r="D524" s="10937"/>
      <c r="E524" s="10937"/>
      <c r="F524" s="10940"/>
      <c r="G524" s="10937"/>
      <c r="H524" s="10937"/>
      <c r="I524" s="10937"/>
      <c r="J524" s="10937"/>
      <c r="K524" s="10937"/>
      <c r="L524" s="10943"/>
      <c r="M524" s="10943"/>
      <c r="N524" s="10943"/>
      <c r="O524" s="10937"/>
      <c r="P524" s="10937"/>
      <c r="Q524" s="10953"/>
      <c r="R524" s="4027" t="s">
        <v>294</v>
      </c>
      <c r="S524" s="3916" t="s">
        <v>294</v>
      </c>
      <c r="T524" s="3917">
        <v>48265.02</v>
      </c>
      <c r="U524" s="3918" t="s">
        <v>5639</v>
      </c>
      <c r="V524" s="6190">
        <v>3</v>
      </c>
      <c r="W524" s="3925" t="s">
        <v>180</v>
      </c>
      <c r="X524" s="7565">
        <f>(42.52/3)/1.12</f>
        <v>12.654761904761903</v>
      </c>
      <c r="Y524" s="7565">
        <f>+V524*X524</f>
        <v>37.964285714285708</v>
      </c>
      <c r="Z524" s="7565">
        <f>+Y524*1.12</f>
        <v>42.519999999999996</v>
      </c>
      <c r="AA524" s="7566" t="s">
        <v>294</v>
      </c>
      <c r="AB524" s="7669"/>
      <c r="AC524" s="3920"/>
      <c r="AD524" s="4672" t="s">
        <v>294</v>
      </c>
      <c r="AE524" s="3959" t="s">
        <v>153</v>
      </c>
      <c r="AF524" s="3959" t="s">
        <v>294</v>
      </c>
      <c r="AG524" s="10908"/>
    </row>
    <row r="525" spans="1:33" ht="15.75" customHeight="1">
      <c r="A525" s="11000"/>
      <c r="B525" s="10993"/>
      <c r="C525" s="10985"/>
      <c r="D525" s="10985"/>
      <c r="E525" s="10985"/>
      <c r="F525" s="10994"/>
      <c r="G525" s="10985"/>
      <c r="H525" s="10985"/>
      <c r="I525" s="10985"/>
      <c r="J525" s="10985"/>
      <c r="K525" s="10985"/>
      <c r="L525" s="10984"/>
      <c r="M525" s="10984"/>
      <c r="N525" s="10984"/>
      <c r="O525" s="10985"/>
      <c r="P525" s="10985"/>
      <c r="Q525" s="10987"/>
      <c r="R525" s="4157" t="s">
        <v>294</v>
      </c>
      <c r="S525" s="4116" t="s">
        <v>294</v>
      </c>
      <c r="T525" s="4038">
        <v>48265.02</v>
      </c>
      <c r="U525" s="3982" t="s">
        <v>5640</v>
      </c>
      <c r="V525" s="6191">
        <v>2</v>
      </c>
      <c r="W525" s="4039" t="s">
        <v>180</v>
      </c>
      <c r="X525" s="7598">
        <f>(59.76/2)/1.12</f>
        <v>26.678571428571423</v>
      </c>
      <c r="Y525" s="7598">
        <f>+V525*X525</f>
        <v>53.357142857142847</v>
      </c>
      <c r="Z525" s="7598">
        <f>+Y525*1.12</f>
        <v>59.759999999999991</v>
      </c>
      <c r="AA525" s="7569" t="s">
        <v>294</v>
      </c>
      <c r="AB525" s="7670"/>
      <c r="AC525" s="4040"/>
      <c r="AD525" s="4674" t="s">
        <v>294</v>
      </c>
      <c r="AE525" s="4117" t="s">
        <v>153</v>
      </c>
      <c r="AF525" s="4117" t="s">
        <v>294</v>
      </c>
      <c r="AG525" s="10911"/>
    </row>
    <row r="526" spans="1:33" ht="84.75" customHeight="1">
      <c r="A526" s="11000"/>
      <c r="B526" s="4068" t="s">
        <v>183</v>
      </c>
      <c r="C526" s="4069" t="s">
        <v>227</v>
      </c>
      <c r="D526" s="4069" t="s">
        <v>228</v>
      </c>
      <c r="E526" s="4069" t="s">
        <v>407</v>
      </c>
      <c r="F526" s="4070" t="s">
        <v>230</v>
      </c>
      <c r="G526" s="4069" t="s">
        <v>132</v>
      </c>
      <c r="H526" s="4069" t="s">
        <v>159</v>
      </c>
      <c r="I526" s="4069" t="s">
        <v>5641</v>
      </c>
      <c r="J526" s="4069" t="s">
        <v>5642</v>
      </c>
      <c r="K526" s="4069" t="s">
        <v>5643</v>
      </c>
      <c r="L526" s="4072">
        <v>1</v>
      </c>
      <c r="M526" s="4072">
        <v>2</v>
      </c>
      <c r="N526" s="4072">
        <v>1</v>
      </c>
      <c r="O526" s="4069" t="s">
        <v>5644</v>
      </c>
      <c r="P526" s="4069" t="s">
        <v>5645</v>
      </c>
      <c r="Q526" s="4073" t="s">
        <v>5616</v>
      </c>
      <c r="R526" s="4142" t="s">
        <v>294</v>
      </c>
      <c r="S526" s="4143" t="s">
        <v>294</v>
      </c>
      <c r="T526" s="4143" t="s">
        <v>294</v>
      </c>
      <c r="U526" s="4069" t="s">
        <v>294</v>
      </c>
      <c r="V526" s="4072" t="s">
        <v>294</v>
      </c>
      <c r="W526" s="4078" t="s">
        <v>294</v>
      </c>
      <c r="X526" s="7585" t="s">
        <v>294</v>
      </c>
      <c r="Y526" s="7585" t="s">
        <v>294</v>
      </c>
      <c r="Z526" s="7585" t="s">
        <v>294</v>
      </c>
      <c r="AA526" s="7586" t="s">
        <v>294</v>
      </c>
      <c r="AB526" s="7679"/>
      <c r="AC526" s="4077"/>
      <c r="AD526" s="4119" t="s">
        <v>294</v>
      </c>
      <c r="AE526" s="4123" t="s">
        <v>294</v>
      </c>
      <c r="AF526" s="4123" t="s">
        <v>294</v>
      </c>
      <c r="AG526" s="4080" t="s">
        <v>294</v>
      </c>
    </row>
    <row r="527" spans="1:33" ht="84.75" customHeight="1">
      <c r="A527" s="11000"/>
      <c r="B527" s="4146" t="s">
        <v>183</v>
      </c>
      <c r="C527" s="4147" t="s">
        <v>227</v>
      </c>
      <c r="D527" s="4147" t="s">
        <v>228</v>
      </c>
      <c r="E527" s="4147" t="s">
        <v>407</v>
      </c>
      <c r="F527" s="4148" t="s">
        <v>230</v>
      </c>
      <c r="G527" s="4147" t="s">
        <v>158</v>
      </c>
      <c r="H527" s="4147" t="s">
        <v>133</v>
      </c>
      <c r="I527" s="4147" t="s">
        <v>5646</v>
      </c>
      <c r="J527" s="4147" t="s">
        <v>5647</v>
      </c>
      <c r="K527" s="4147" t="s">
        <v>5648</v>
      </c>
      <c r="L527" s="4159">
        <v>1</v>
      </c>
      <c r="M527" s="4159">
        <v>1</v>
      </c>
      <c r="N527" s="4159">
        <v>1</v>
      </c>
      <c r="O527" s="4147" t="s">
        <v>5649</v>
      </c>
      <c r="P527" s="4147" t="s">
        <v>5650</v>
      </c>
      <c r="Q527" s="4150" t="s">
        <v>5616</v>
      </c>
      <c r="R527" s="4151" t="s">
        <v>294</v>
      </c>
      <c r="S527" s="4160" t="s">
        <v>294</v>
      </c>
      <c r="T527" s="4152" t="s">
        <v>294</v>
      </c>
      <c r="U527" s="4161" t="s">
        <v>294</v>
      </c>
      <c r="V527" s="4149" t="s">
        <v>294</v>
      </c>
      <c r="W527" s="4162" t="s">
        <v>294</v>
      </c>
      <c r="X527" s="7623" t="s">
        <v>294</v>
      </c>
      <c r="Y527" s="7623" t="s">
        <v>294</v>
      </c>
      <c r="Z527" s="7623" t="s">
        <v>294</v>
      </c>
      <c r="AA527" s="7624" t="s">
        <v>294</v>
      </c>
      <c r="AB527" s="7690"/>
      <c r="AC527" s="4163"/>
      <c r="AD527" s="4162" t="s">
        <v>294</v>
      </c>
      <c r="AE527" s="4164" t="s">
        <v>294</v>
      </c>
      <c r="AF527" s="4164" t="s">
        <v>294</v>
      </c>
      <c r="AG527" s="4156" t="s">
        <v>294</v>
      </c>
    </row>
    <row r="528" spans="1:33" ht="84.75" customHeight="1">
      <c r="A528" s="11000"/>
      <c r="B528" s="4068" t="s">
        <v>183</v>
      </c>
      <c r="C528" s="4069" t="s">
        <v>227</v>
      </c>
      <c r="D528" s="4069" t="s">
        <v>490</v>
      </c>
      <c r="E528" s="4069" t="s">
        <v>2210</v>
      </c>
      <c r="F528" s="4070" t="s">
        <v>230</v>
      </c>
      <c r="G528" s="4069" t="s">
        <v>231</v>
      </c>
      <c r="H528" s="4069" t="s">
        <v>189</v>
      </c>
      <c r="I528" s="4069" t="s">
        <v>5651</v>
      </c>
      <c r="J528" s="4069" t="s">
        <v>5652</v>
      </c>
      <c r="K528" s="4069" t="s">
        <v>5653</v>
      </c>
      <c r="L528" s="4072">
        <v>1</v>
      </c>
      <c r="M528" s="4072">
        <v>1</v>
      </c>
      <c r="N528" s="4072">
        <v>1</v>
      </c>
      <c r="O528" s="4069" t="s">
        <v>5591</v>
      </c>
      <c r="P528" s="4069" t="s">
        <v>5592</v>
      </c>
      <c r="Q528" s="4073" t="s">
        <v>5616</v>
      </c>
      <c r="R528" s="4142" t="s">
        <v>294</v>
      </c>
      <c r="S528" s="4143" t="s">
        <v>294</v>
      </c>
      <c r="T528" s="4143" t="s">
        <v>294</v>
      </c>
      <c r="U528" s="4120" t="s">
        <v>294</v>
      </c>
      <c r="V528" s="4141" t="s">
        <v>294</v>
      </c>
      <c r="W528" s="4119" t="s">
        <v>294</v>
      </c>
      <c r="X528" s="7625" t="s">
        <v>294</v>
      </c>
      <c r="Y528" s="7625" t="s">
        <v>294</v>
      </c>
      <c r="Z528" s="7625" t="s">
        <v>294</v>
      </c>
      <c r="AA528" s="7626" t="s">
        <v>294</v>
      </c>
      <c r="AB528" s="7691"/>
      <c r="AC528" s="4158"/>
      <c r="AD528" s="4119" t="s">
        <v>294</v>
      </c>
      <c r="AE528" s="4123" t="s">
        <v>294</v>
      </c>
      <c r="AF528" s="4123" t="s">
        <v>294</v>
      </c>
      <c r="AG528" s="4080" t="s">
        <v>294</v>
      </c>
    </row>
    <row r="529" spans="1:33" ht="84.75" customHeight="1">
      <c r="A529" s="11000"/>
      <c r="B529" s="4146" t="s">
        <v>183</v>
      </c>
      <c r="C529" s="4147" t="s">
        <v>227</v>
      </c>
      <c r="D529" s="4147" t="s">
        <v>228</v>
      </c>
      <c r="E529" s="4147" t="s">
        <v>407</v>
      </c>
      <c r="F529" s="4148" t="s">
        <v>230</v>
      </c>
      <c r="G529" s="4147" t="s">
        <v>231</v>
      </c>
      <c r="H529" s="4147" t="s">
        <v>189</v>
      </c>
      <c r="I529" s="4147" t="s">
        <v>5654</v>
      </c>
      <c r="J529" s="4147" t="s">
        <v>5655</v>
      </c>
      <c r="K529" s="4147" t="s">
        <v>5656</v>
      </c>
      <c r="L529" s="4159">
        <v>1</v>
      </c>
      <c r="M529" s="4159">
        <v>1</v>
      </c>
      <c r="N529" s="4159">
        <v>1</v>
      </c>
      <c r="O529" s="4147" t="s">
        <v>5657</v>
      </c>
      <c r="P529" s="4147" t="s">
        <v>5658</v>
      </c>
      <c r="Q529" s="4150" t="s">
        <v>5616</v>
      </c>
      <c r="R529" s="4151" t="s">
        <v>294</v>
      </c>
      <c r="S529" s="4152" t="s">
        <v>294</v>
      </c>
      <c r="T529" s="4152" t="s">
        <v>294</v>
      </c>
      <c r="U529" s="4165" t="s">
        <v>294</v>
      </c>
      <c r="V529" s="7561" t="s">
        <v>294</v>
      </c>
      <c r="W529" s="4166" t="s">
        <v>294</v>
      </c>
      <c r="X529" s="7623" t="s">
        <v>294</v>
      </c>
      <c r="Y529" s="7623" t="s">
        <v>294</v>
      </c>
      <c r="Z529" s="7623" t="s">
        <v>294</v>
      </c>
      <c r="AA529" s="7624" t="s">
        <v>294</v>
      </c>
      <c r="AB529" s="4167"/>
      <c r="AC529" s="4168"/>
      <c r="AD529" s="4169" t="s">
        <v>294</v>
      </c>
      <c r="AE529" s="4169" t="s">
        <v>294</v>
      </c>
      <c r="AF529" s="4169" t="s">
        <v>294</v>
      </c>
      <c r="AG529" s="4156" t="s">
        <v>294</v>
      </c>
    </row>
    <row r="530" spans="1:33" ht="84.75" customHeight="1">
      <c r="A530" s="11000"/>
      <c r="B530" s="4068" t="s">
        <v>183</v>
      </c>
      <c r="C530" s="4069" t="s">
        <v>227</v>
      </c>
      <c r="D530" s="4069" t="s">
        <v>490</v>
      </c>
      <c r="E530" s="4069" t="s">
        <v>2210</v>
      </c>
      <c r="F530" s="4070" t="s">
        <v>230</v>
      </c>
      <c r="G530" s="4069" t="s">
        <v>231</v>
      </c>
      <c r="H530" s="4069" t="s">
        <v>133</v>
      </c>
      <c r="I530" s="4069" t="s">
        <v>5659</v>
      </c>
      <c r="J530" s="4069" t="s">
        <v>5660</v>
      </c>
      <c r="K530" s="4069" t="s">
        <v>5661</v>
      </c>
      <c r="L530" s="4072">
        <v>1</v>
      </c>
      <c r="M530" s="4072">
        <v>1</v>
      </c>
      <c r="N530" s="4072">
        <v>1</v>
      </c>
      <c r="O530" s="4069" t="s">
        <v>5662</v>
      </c>
      <c r="P530" s="4069" t="s">
        <v>5663</v>
      </c>
      <c r="Q530" s="4073" t="s">
        <v>5616</v>
      </c>
      <c r="R530" s="4074" t="s">
        <v>294</v>
      </c>
      <c r="S530" s="4145" t="s">
        <v>294</v>
      </c>
      <c r="T530" s="4145" t="s">
        <v>294</v>
      </c>
      <c r="U530" s="4069" t="s">
        <v>294</v>
      </c>
      <c r="V530" s="4072" t="s">
        <v>294</v>
      </c>
      <c r="W530" s="4078" t="s">
        <v>294</v>
      </c>
      <c r="X530" s="7585" t="s">
        <v>294</v>
      </c>
      <c r="Y530" s="7585" t="s">
        <v>294</v>
      </c>
      <c r="Z530" s="7585" t="s">
        <v>294</v>
      </c>
      <c r="AA530" s="7586" t="s">
        <v>294</v>
      </c>
      <c r="AB530" s="7679"/>
      <c r="AC530" s="4077"/>
      <c r="AD530" s="4078" t="s">
        <v>294</v>
      </c>
      <c r="AE530" s="4079" t="s">
        <v>294</v>
      </c>
      <c r="AF530" s="4079" t="s">
        <v>294</v>
      </c>
      <c r="AG530" s="4080" t="s">
        <v>294</v>
      </c>
    </row>
    <row r="531" spans="1:33" ht="84.75" customHeight="1">
      <c r="A531" s="11000"/>
      <c r="B531" s="4146" t="s">
        <v>183</v>
      </c>
      <c r="C531" s="4147" t="s">
        <v>128</v>
      </c>
      <c r="D531" s="4147" t="s">
        <v>228</v>
      </c>
      <c r="E531" s="4147" t="s">
        <v>407</v>
      </c>
      <c r="F531" s="4148" t="s">
        <v>230</v>
      </c>
      <c r="G531" s="4147" t="s">
        <v>171</v>
      </c>
      <c r="H531" s="4147" t="s">
        <v>133</v>
      </c>
      <c r="I531" s="4147" t="s">
        <v>5664</v>
      </c>
      <c r="J531" s="4147" t="s">
        <v>5665</v>
      </c>
      <c r="K531" s="4147" t="s">
        <v>5666</v>
      </c>
      <c r="L531" s="4159">
        <v>1</v>
      </c>
      <c r="M531" s="4159">
        <v>1</v>
      </c>
      <c r="N531" s="4159">
        <v>1</v>
      </c>
      <c r="O531" s="4147" t="s">
        <v>5667</v>
      </c>
      <c r="P531" s="4147" t="s">
        <v>5668</v>
      </c>
      <c r="Q531" s="4150" t="s">
        <v>5616</v>
      </c>
      <c r="R531" s="4151" t="s">
        <v>294</v>
      </c>
      <c r="S531" s="4152" t="s">
        <v>294</v>
      </c>
      <c r="T531" s="4152" t="s">
        <v>294</v>
      </c>
      <c r="U531" s="4147" t="s">
        <v>294</v>
      </c>
      <c r="V531" s="4159" t="s">
        <v>294</v>
      </c>
      <c r="W531" s="4153" t="s">
        <v>294</v>
      </c>
      <c r="X531" s="7621" t="s">
        <v>294</v>
      </c>
      <c r="Y531" s="7621" t="s">
        <v>294</v>
      </c>
      <c r="Z531" s="7621" t="s">
        <v>294</v>
      </c>
      <c r="AA531" s="7622" t="s">
        <v>294</v>
      </c>
      <c r="AB531" s="7689"/>
      <c r="AC531" s="4154"/>
      <c r="AD531" s="4153" t="s">
        <v>294</v>
      </c>
      <c r="AE531" s="4155" t="s">
        <v>294</v>
      </c>
      <c r="AF531" s="4155" t="s">
        <v>294</v>
      </c>
      <c r="AG531" s="4156" t="s">
        <v>294</v>
      </c>
    </row>
    <row r="532" spans="1:33" ht="84.75" customHeight="1">
      <c r="A532" s="11000"/>
      <c r="B532" s="4068" t="s">
        <v>183</v>
      </c>
      <c r="C532" s="4069" t="s">
        <v>227</v>
      </c>
      <c r="D532" s="4069" t="s">
        <v>490</v>
      </c>
      <c r="E532" s="4069" t="s">
        <v>2210</v>
      </c>
      <c r="F532" s="4070" t="s">
        <v>230</v>
      </c>
      <c r="G532" s="4069" t="s">
        <v>231</v>
      </c>
      <c r="H532" s="4069" t="s">
        <v>159</v>
      </c>
      <c r="I532" s="4069" t="s">
        <v>5669</v>
      </c>
      <c r="J532" s="4069" t="s">
        <v>5670</v>
      </c>
      <c r="K532" s="4069" t="s">
        <v>5671</v>
      </c>
      <c r="L532" s="4072">
        <v>1</v>
      </c>
      <c r="M532" s="4072">
        <v>1</v>
      </c>
      <c r="N532" s="4072">
        <v>1</v>
      </c>
      <c r="O532" s="4069" t="s">
        <v>5672</v>
      </c>
      <c r="P532" s="4069" t="s">
        <v>5673</v>
      </c>
      <c r="Q532" s="4073" t="s">
        <v>5616</v>
      </c>
      <c r="R532" s="4170" t="s">
        <v>294</v>
      </c>
      <c r="S532" s="4145" t="s">
        <v>294</v>
      </c>
      <c r="T532" s="4143"/>
      <c r="U532" s="4070" t="s">
        <v>294</v>
      </c>
      <c r="V532" s="4072" t="s">
        <v>294</v>
      </c>
      <c r="W532" s="4078" t="s">
        <v>294</v>
      </c>
      <c r="X532" s="7585" t="s">
        <v>294</v>
      </c>
      <c r="Y532" s="7585" t="s">
        <v>294</v>
      </c>
      <c r="Z532" s="7585" t="s">
        <v>294</v>
      </c>
      <c r="AA532" s="7586" t="s">
        <v>294</v>
      </c>
      <c r="AB532" s="7679"/>
      <c r="AC532" s="4077"/>
      <c r="AD532" s="4078" t="s">
        <v>294</v>
      </c>
      <c r="AE532" s="4079" t="s">
        <v>294</v>
      </c>
      <c r="AF532" s="4079" t="s">
        <v>294</v>
      </c>
      <c r="AG532" s="4080" t="s">
        <v>294</v>
      </c>
    </row>
    <row r="533" spans="1:33" ht="84.75" customHeight="1">
      <c r="A533" s="11000"/>
      <c r="B533" s="4146" t="s">
        <v>183</v>
      </c>
      <c r="C533" s="4147" t="s">
        <v>227</v>
      </c>
      <c r="D533" s="4147" t="s">
        <v>228</v>
      </c>
      <c r="E533" s="4147" t="s">
        <v>255</v>
      </c>
      <c r="F533" s="4148" t="s">
        <v>230</v>
      </c>
      <c r="G533" s="4147" t="s">
        <v>231</v>
      </c>
      <c r="H533" s="4147" t="s">
        <v>189</v>
      </c>
      <c r="I533" s="4147" t="s">
        <v>5674</v>
      </c>
      <c r="J533" s="4147" t="s">
        <v>5675</v>
      </c>
      <c r="K533" s="4147" t="s">
        <v>5676</v>
      </c>
      <c r="L533" s="4159">
        <v>1</v>
      </c>
      <c r="M533" s="4159">
        <v>1</v>
      </c>
      <c r="N533" s="4159">
        <v>1</v>
      </c>
      <c r="O533" s="4147" t="s">
        <v>5677</v>
      </c>
      <c r="P533" s="4147" t="s">
        <v>5678</v>
      </c>
      <c r="Q533" s="4150" t="s">
        <v>5616</v>
      </c>
      <c r="R533" s="4151" t="s">
        <v>294</v>
      </c>
      <c r="S533" s="4152" t="s">
        <v>294</v>
      </c>
      <c r="T533" s="4152" t="s">
        <v>294</v>
      </c>
      <c r="U533" s="4147" t="s">
        <v>294</v>
      </c>
      <c r="V533" s="4159" t="s">
        <v>294</v>
      </c>
      <c r="W533" s="4153" t="s">
        <v>294</v>
      </c>
      <c r="X533" s="7621" t="s">
        <v>294</v>
      </c>
      <c r="Y533" s="7621" t="s">
        <v>294</v>
      </c>
      <c r="Z533" s="7621" t="s">
        <v>294</v>
      </c>
      <c r="AA533" s="7622" t="s">
        <v>294</v>
      </c>
      <c r="AB533" s="7689"/>
      <c r="AC533" s="4154"/>
      <c r="AD533" s="4153" t="s">
        <v>294</v>
      </c>
      <c r="AE533" s="4164" t="s">
        <v>294</v>
      </c>
      <c r="AF533" s="4155" t="s">
        <v>294</v>
      </c>
      <c r="AG533" s="4156" t="s">
        <v>294</v>
      </c>
    </row>
    <row r="534" spans="1:33" ht="84.75" customHeight="1">
      <c r="A534" s="11000"/>
      <c r="B534" s="4068" t="s">
        <v>183</v>
      </c>
      <c r="C534" s="4069" t="s">
        <v>227</v>
      </c>
      <c r="D534" s="4069" t="s">
        <v>228</v>
      </c>
      <c r="E534" s="4069" t="s">
        <v>407</v>
      </c>
      <c r="F534" s="4070" t="s">
        <v>230</v>
      </c>
      <c r="G534" s="4069" t="s">
        <v>231</v>
      </c>
      <c r="H534" s="4069" t="s">
        <v>133</v>
      </c>
      <c r="I534" s="4069" t="s">
        <v>5679</v>
      </c>
      <c r="J534" s="4069" t="s">
        <v>5680</v>
      </c>
      <c r="K534" s="4069" t="s">
        <v>5681</v>
      </c>
      <c r="L534" s="4072">
        <v>1</v>
      </c>
      <c r="M534" s="4072">
        <v>1</v>
      </c>
      <c r="N534" s="4072">
        <v>1</v>
      </c>
      <c r="O534" s="4069" t="s">
        <v>5682</v>
      </c>
      <c r="P534" s="4069" t="s">
        <v>5683</v>
      </c>
      <c r="Q534" s="4073" t="s">
        <v>5616</v>
      </c>
      <c r="R534" s="4142" t="s">
        <v>294</v>
      </c>
      <c r="S534" s="4143" t="s">
        <v>294</v>
      </c>
      <c r="T534" s="4143" t="s">
        <v>294</v>
      </c>
      <c r="U534" s="4069" t="s">
        <v>294</v>
      </c>
      <c r="V534" s="4072" t="s">
        <v>294</v>
      </c>
      <c r="W534" s="4078" t="s">
        <v>294</v>
      </c>
      <c r="X534" s="7585" t="s">
        <v>294</v>
      </c>
      <c r="Y534" s="7585" t="s">
        <v>294</v>
      </c>
      <c r="Z534" s="7585" t="s">
        <v>294</v>
      </c>
      <c r="AA534" s="7586" t="s">
        <v>294</v>
      </c>
      <c r="AB534" s="7679"/>
      <c r="AC534" s="4077"/>
      <c r="AD534" s="4078" t="s">
        <v>294</v>
      </c>
      <c r="AE534" s="4123" t="s">
        <v>294</v>
      </c>
      <c r="AF534" s="4079" t="s">
        <v>294</v>
      </c>
      <c r="AG534" s="4080" t="s">
        <v>294</v>
      </c>
    </row>
    <row r="535" spans="1:33" ht="84.75" customHeight="1">
      <c r="A535" s="11000"/>
      <c r="B535" s="4081" t="s">
        <v>183</v>
      </c>
      <c r="C535" s="4082" t="s">
        <v>128</v>
      </c>
      <c r="D535" s="4082" t="s">
        <v>129</v>
      </c>
      <c r="E535" s="4082" t="s">
        <v>157</v>
      </c>
      <c r="F535" s="4083" t="s">
        <v>131</v>
      </c>
      <c r="G535" s="4082" t="s">
        <v>213</v>
      </c>
      <c r="H535" s="4082" t="s">
        <v>159</v>
      </c>
      <c r="I535" s="4082" t="s">
        <v>5684</v>
      </c>
      <c r="J535" s="4082" t="s">
        <v>5685</v>
      </c>
      <c r="K535" s="4082" t="s">
        <v>5686</v>
      </c>
      <c r="L535" s="4085">
        <v>1</v>
      </c>
      <c r="M535" s="4085">
        <v>1</v>
      </c>
      <c r="N535" s="4085">
        <v>1</v>
      </c>
      <c r="O535" s="4082" t="s">
        <v>5687</v>
      </c>
      <c r="P535" s="4082" t="s">
        <v>5688</v>
      </c>
      <c r="Q535" s="4086" t="s">
        <v>5616</v>
      </c>
      <c r="R535" s="4087" t="s">
        <v>294</v>
      </c>
      <c r="S535" s="4171" t="s">
        <v>294</v>
      </c>
      <c r="T535" s="4172" t="s">
        <v>294</v>
      </c>
      <c r="U535" s="4082" t="s">
        <v>294</v>
      </c>
      <c r="V535" s="4085" t="s">
        <v>294</v>
      </c>
      <c r="W535" s="4091" t="s">
        <v>294</v>
      </c>
      <c r="X535" s="7587" t="s">
        <v>294</v>
      </c>
      <c r="Y535" s="7587" t="s">
        <v>294</v>
      </c>
      <c r="Z535" s="7587" t="s">
        <v>294</v>
      </c>
      <c r="AA535" s="7588" t="s">
        <v>294</v>
      </c>
      <c r="AB535" s="7680"/>
      <c r="AC535" s="4090"/>
      <c r="AD535" s="4091" t="s">
        <v>294</v>
      </c>
      <c r="AE535" s="4173" t="s">
        <v>294</v>
      </c>
      <c r="AF535" s="4092" t="s">
        <v>294</v>
      </c>
      <c r="AG535" s="4093" t="s">
        <v>294</v>
      </c>
    </row>
    <row r="536" spans="1:33" s="6145" customFormat="1" ht="15.75" customHeight="1" thickBot="1">
      <c r="A536" s="6140"/>
      <c r="B536" s="5407" t="s">
        <v>294</v>
      </c>
      <c r="C536" s="5407" t="s">
        <v>294</v>
      </c>
      <c r="D536" s="5407" t="s">
        <v>294</v>
      </c>
      <c r="E536" s="5407" t="s">
        <v>294</v>
      </c>
      <c r="F536" s="5407" t="s">
        <v>294</v>
      </c>
      <c r="G536" s="5407" t="s">
        <v>294</v>
      </c>
      <c r="H536" s="5407" t="s">
        <v>294</v>
      </c>
      <c r="I536" s="5407" t="s">
        <v>294</v>
      </c>
      <c r="J536" s="5407" t="s">
        <v>294</v>
      </c>
      <c r="K536" s="5407" t="s">
        <v>294</v>
      </c>
      <c r="L536" s="5408" t="s">
        <v>294</v>
      </c>
      <c r="M536" s="5408" t="s">
        <v>294</v>
      </c>
      <c r="N536" s="5408" t="s">
        <v>294</v>
      </c>
      <c r="O536" s="5409" t="s">
        <v>294</v>
      </c>
      <c r="P536" s="5409" t="s">
        <v>294</v>
      </c>
      <c r="Q536" s="5410" t="s">
        <v>294</v>
      </c>
      <c r="R536" s="10982" t="s">
        <v>5689</v>
      </c>
      <c r="S536" s="10983"/>
      <c r="T536" s="10983"/>
      <c r="U536" s="10983"/>
      <c r="V536" s="10983"/>
      <c r="W536" s="10983"/>
      <c r="X536" s="10983"/>
      <c r="Y536" s="10983"/>
      <c r="Z536" s="6143" t="s">
        <v>292</v>
      </c>
      <c r="AA536" s="7618">
        <f>SUM(AA521:AA535)</f>
        <v>613.66999999999996</v>
      </c>
      <c r="AB536" s="6144"/>
      <c r="AC536" s="5411"/>
      <c r="AD536" s="10958" t="s">
        <v>294</v>
      </c>
      <c r="AE536" s="10958"/>
      <c r="AF536" s="10958"/>
      <c r="AG536" s="10959"/>
    </row>
    <row r="537" spans="1:33" ht="15.75" customHeight="1">
      <c r="A537" s="11029" t="s">
        <v>5690</v>
      </c>
      <c r="B537" s="11017" t="s">
        <v>183</v>
      </c>
      <c r="C537" s="11015" t="s">
        <v>227</v>
      </c>
      <c r="D537" s="11015" t="s">
        <v>228</v>
      </c>
      <c r="E537" s="11015" t="s">
        <v>407</v>
      </c>
      <c r="F537" s="11018" t="s">
        <v>230</v>
      </c>
      <c r="G537" s="11015" t="s">
        <v>132</v>
      </c>
      <c r="H537" s="11015" t="s">
        <v>159</v>
      </c>
      <c r="I537" s="11019" t="s">
        <v>5611</v>
      </c>
      <c r="J537" s="11023" t="s">
        <v>5691</v>
      </c>
      <c r="K537" s="11015" t="s">
        <v>5613</v>
      </c>
      <c r="L537" s="11024">
        <v>1</v>
      </c>
      <c r="M537" s="11024">
        <v>1</v>
      </c>
      <c r="N537" s="11024">
        <v>1</v>
      </c>
      <c r="O537" s="11015" t="s">
        <v>5614</v>
      </c>
      <c r="P537" s="11015" t="s">
        <v>5615</v>
      </c>
      <c r="Q537" s="11016" t="s">
        <v>5692</v>
      </c>
      <c r="R537" s="5438" t="s">
        <v>294</v>
      </c>
      <c r="S537" s="5439" t="s">
        <v>294</v>
      </c>
      <c r="T537" s="5439" t="s">
        <v>294</v>
      </c>
      <c r="U537" s="5440" t="s">
        <v>294</v>
      </c>
      <c r="V537" s="7548" t="s">
        <v>294</v>
      </c>
      <c r="W537" s="5441" t="s">
        <v>294</v>
      </c>
      <c r="X537" s="7627" t="s">
        <v>294</v>
      </c>
      <c r="Y537" s="7627" t="s">
        <v>294</v>
      </c>
      <c r="Z537" s="7627" t="s">
        <v>294</v>
      </c>
      <c r="AA537" s="7628" t="s">
        <v>294</v>
      </c>
      <c r="AB537" s="7692"/>
      <c r="AC537" s="5442"/>
      <c r="AD537" s="5441" t="s">
        <v>294</v>
      </c>
      <c r="AE537" s="5443" t="s">
        <v>294</v>
      </c>
      <c r="AF537" s="5443" t="s">
        <v>294</v>
      </c>
      <c r="AG537" s="10926" t="s">
        <v>294</v>
      </c>
    </row>
    <row r="538" spans="1:33" ht="15.75" customHeight="1">
      <c r="A538" s="11000"/>
      <c r="B538" s="10934"/>
      <c r="C538" s="10937"/>
      <c r="D538" s="10937"/>
      <c r="E538" s="10937"/>
      <c r="F538" s="10940"/>
      <c r="G538" s="10937"/>
      <c r="H538" s="10937"/>
      <c r="I538" s="11002"/>
      <c r="J538" s="11011"/>
      <c r="K538" s="10937"/>
      <c r="L538" s="10996"/>
      <c r="M538" s="10996"/>
      <c r="N538" s="10996"/>
      <c r="O538" s="10937"/>
      <c r="P538" s="10937"/>
      <c r="Q538" s="10953"/>
      <c r="R538" s="4028" t="s">
        <v>294</v>
      </c>
      <c r="S538" s="3986" t="s">
        <v>294</v>
      </c>
      <c r="T538" s="3986" t="s">
        <v>294</v>
      </c>
      <c r="U538" s="3988" t="s">
        <v>294</v>
      </c>
      <c r="V538" s="3915" t="s">
        <v>294</v>
      </c>
      <c r="W538" s="4672" t="s">
        <v>294</v>
      </c>
      <c r="X538" s="7612" t="s">
        <v>294</v>
      </c>
      <c r="Y538" s="7612" t="s">
        <v>294</v>
      </c>
      <c r="Z538" s="7612" t="s">
        <v>294</v>
      </c>
      <c r="AA538" s="7613" t="s">
        <v>294</v>
      </c>
      <c r="AB538" s="7693"/>
      <c r="AC538" s="3985"/>
      <c r="AD538" s="4672" t="s">
        <v>294</v>
      </c>
      <c r="AE538" s="3959" t="s">
        <v>294</v>
      </c>
      <c r="AF538" s="3959" t="s">
        <v>294</v>
      </c>
      <c r="AG538" s="10908"/>
    </row>
    <row r="539" spans="1:33" ht="15.75" customHeight="1">
      <c r="A539" s="11000"/>
      <c r="B539" s="10934"/>
      <c r="C539" s="10937"/>
      <c r="D539" s="10937"/>
      <c r="E539" s="10937"/>
      <c r="F539" s="10940"/>
      <c r="G539" s="10937"/>
      <c r="H539" s="10937"/>
      <c r="I539" s="11002"/>
      <c r="J539" s="11011"/>
      <c r="K539" s="10937"/>
      <c r="L539" s="10996"/>
      <c r="M539" s="10996"/>
      <c r="N539" s="10996"/>
      <c r="O539" s="10937"/>
      <c r="P539" s="10937"/>
      <c r="Q539" s="10953"/>
      <c r="R539" s="4028" t="s">
        <v>294</v>
      </c>
      <c r="S539" s="3986" t="s">
        <v>294</v>
      </c>
      <c r="T539" s="3986" t="s">
        <v>294</v>
      </c>
      <c r="U539" s="3988" t="s">
        <v>294</v>
      </c>
      <c r="V539" s="3915" t="s">
        <v>294</v>
      </c>
      <c r="W539" s="4672" t="s">
        <v>294</v>
      </c>
      <c r="X539" s="7612" t="s">
        <v>294</v>
      </c>
      <c r="Y539" s="7612" t="s">
        <v>294</v>
      </c>
      <c r="Z539" s="7612" t="s">
        <v>294</v>
      </c>
      <c r="AA539" s="7613" t="s">
        <v>294</v>
      </c>
      <c r="AB539" s="7693"/>
      <c r="AC539" s="3985"/>
      <c r="AD539" s="4672" t="s">
        <v>294</v>
      </c>
      <c r="AE539" s="3959" t="s">
        <v>294</v>
      </c>
      <c r="AF539" s="3959" t="s">
        <v>294</v>
      </c>
      <c r="AG539" s="10908"/>
    </row>
    <row r="540" spans="1:33" ht="15.75" customHeight="1">
      <c r="A540" s="11000"/>
      <c r="B540" s="10934"/>
      <c r="C540" s="10937"/>
      <c r="D540" s="10937"/>
      <c r="E540" s="10937"/>
      <c r="F540" s="10940"/>
      <c r="G540" s="10937"/>
      <c r="H540" s="10937"/>
      <c r="I540" s="11002"/>
      <c r="J540" s="11011"/>
      <c r="K540" s="10937"/>
      <c r="L540" s="10996"/>
      <c r="M540" s="10996"/>
      <c r="N540" s="10996"/>
      <c r="O540" s="10937"/>
      <c r="P540" s="10937"/>
      <c r="Q540" s="10953"/>
      <c r="R540" s="4018" t="s">
        <v>294</v>
      </c>
      <c r="S540" s="3916" t="s">
        <v>294</v>
      </c>
      <c r="T540" s="3916" t="s">
        <v>294</v>
      </c>
      <c r="U540" s="3973" t="s">
        <v>294</v>
      </c>
      <c r="V540" s="6190" t="s">
        <v>294</v>
      </c>
      <c r="W540" s="3925" t="s">
        <v>294</v>
      </c>
      <c r="X540" s="7567" t="s">
        <v>294</v>
      </c>
      <c r="Y540" s="7567" t="s">
        <v>294</v>
      </c>
      <c r="Z540" s="7567" t="s">
        <v>294</v>
      </c>
      <c r="AA540" s="7566" t="s">
        <v>294</v>
      </c>
      <c r="AB540" s="7669"/>
      <c r="AC540" s="3934"/>
      <c r="AD540" s="4672" t="s">
        <v>294</v>
      </c>
      <c r="AE540" s="3959" t="s">
        <v>294</v>
      </c>
      <c r="AF540" s="3959" t="s">
        <v>294</v>
      </c>
      <c r="AG540" s="10908"/>
    </row>
    <row r="541" spans="1:33" ht="15.75" customHeight="1">
      <c r="A541" s="11000"/>
      <c r="B541" s="10993"/>
      <c r="C541" s="10985"/>
      <c r="D541" s="10985"/>
      <c r="E541" s="10985"/>
      <c r="F541" s="10994"/>
      <c r="G541" s="10985"/>
      <c r="H541" s="10985"/>
      <c r="I541" s="11003"/>
      <c r="J541" s="11014"/>
      <c r="K541" s="10985"/>
      <c r="L541" s="10999"/>
      <c r="M541" s="10999"/>
      <c r="N541" s="10999"/>
      <c r="O541" s="10985"/>
      <c r="P541" s="10985"/>
      <c r="Q541" s="10987"/>
      <c r="R541" s="4066" t="s">
        <v>294</v>
      </c>
      <c r="S541" s="4038" t="s">
        <v>294</v>
      </c>
      <c r="T541" s="4038" t="s">
        <v>294</v>
      </c>
      <c r="U541" s="3982" t="s">
        <v>294</v>
      </c>
      <c r="V541" s="6191" t="s">
        <v>294</v>
      </c>
      <c r="W541" s="4039" t="s">
        <v>294</v>
      </c>
      <c r="X541" s="7568" t="s">
        <v>294</v>
      </c>
      <c r="Y541" s="7568" t="s">
        <v>294</v>
      </c>
      <c r="Z541" s="7568" t="s">
        <v>294</v>
      </c>
      <c r="AA541" s="7569" t="s">
        <v>294</v>
      </c>
      <c r="AB541" s="7670"/>
      <c r="AC541" s="4057"/>
      <c r="AD541" s="4674" t="s">
        <v>294</v>
      </c>
      <c r="AE541" s="4117" t="s">
        <v>294</v>
      </c>
      <c r="AF541" s="4117" t="s">
        <v>294</v>
      </c>
      <c r="AG541" s="10911"/>
    </row>
    <row r="542" spans="1:33" ht="15.75" customHeight="1">
      <c r="A542" s="11000"/>
      <c r="B542" s="10933" t="s">
        <v>183</v>
      </c>
      <c r="C542" s="10936" t="s">
        <v>227</v>
      </c>
      <c r="D542" s="10936" t="s">
        <v>490</v>
      </c>
      <c r="E542" s="10936" t="s">
        <v>2210</v>
      </c>
      <c r="F542" s="10939" t="s">
        <v>230</v>
      </c>
      <c r="G542" s="10936" t="s">
        <v>132</v>
      </c>
      <c r="H542" s="10936" t="s">
        <v>159</v>
      </c>
      <c r="I542" s="10936" t="s">
        <v>5617</v>
      </c>
      <c r="J542" s="11010" t="s">
        <v>5693</v>
      </c>
      <c r="K542" s="10936" t="s">
        <v>5619</v>
      </c>
      <c r="L542" s="10995">
        <v>1</v>
      </c>
      <c r="M542" s="10995">
        <v>1</v>
      </c>
      <c r="N542" s="10995">
        <v>1</v>
      </c>
      <c r="O542" s="10936" t="s">
        <v>5620</v>
      </c>
      <c r="P542" s="10936" t="s">
        <v>5621</v>
      </c>
      <c r="Q542" s="10952" t="s">
        <v>5692</v>
      </c>
      <c r="R542" s="4026" t="s">
        <v>5259</v>
      </c>
      <c r="S542" s="4000" t="s">
        <v>5694</v>
      </c>
      <c r="T542" s="4000" t="s">
        <v>294</v>
      </c>
      <c r="U542" s="3981" t="s">
        <v>671</v>
      </c>
      <c r="V542" s="6192" t="s">
        <v>294</v>
      </c>
      <c r="W542" s="4001" t="s">
        <v>294</v>
      </c>
      <c r="X542" s="8057" t="s">
        <v>294</v>
      </c>
      <c r="Y542" s="8057" t="s">
        <v>294</v>
      </c>
      <c r="Z542" s="8057" t="s">
        <v>294</v>
      </c>
      <c r="AA542" s="8058">
        <f>+SUM(Z543:Z545)</f>
        <v>4555.5200000000004</v>
      </c>
      <c r="AB542" s="7671" t="s">
        <v>18</v>
      </c>
      <c r="AC542" s="4011"/>
      <c r="AD542" s="4671" t="s">
        <v>294</v>
      </c>
      <c r="AE542" s="4009" t="s">
        <v>294</v>
      </c>
      <c r="AF542" s="4009" t="s">
        <v>294</v>
      </c>
      <c r="AG542" s="10907" t="s">
        <v>294</v>
      </c>
    </row>
    <row r="543" spans="1:33" ht="32.25" customHeight="1">
      <c r="A543" s="11000"/>
      <c r="B543" s="10934"/>
      <c r="C543" s="10937"/>
      <c r="D543" s="10937"/>
      <c r="E543" s="10937"/>
      <c r="F543" s="10940"/>
      <c r="G543" s="10937"/>
      <c r="H543" s="10937"/>
      <c r="I543" s="10937"/>
      <c r="J543" s="11011"/>
      <c r="K543" s="10937"/>
      <c r="L543" s="10996"/>
      <c r="M543" s="10996"/>
      <c r="N543" s="10996"/>
      <c r="O543" s="10937"/>
      <c r="P543" s="10937"/>
      <c r="Q543" s="10953"/>
      <c r="R543" s="4019" t="s">
        <v>294</v>
      </c>
      <c r="S543" s="3917" t="s">
        <v>294</v>
      </c>
      <c r="T543" s="3917"/>
      <c r="U543" s="3913" t="s">
        <v>5695</v>
      </c>
      <c r="V543" s="6190">
        <v>1</v>
      </c>
      <c r="W543" s="3925" t="s">
        <v>479</v>
      </c>
      <c r="X543" s="8059">
        <v>4555.5200000000004</v>
      </c>
      <c r="Y543" s="8059">
        <f>+V543*X543</f>
        <v>4555.5200000000004</v>
      </c>
      <c r="Z543" s="8059">
        <f>Y543</f>
        <v>4555.5200000000004</v>
      </c>
      <c r="AA543" s="7785" t="s">
        <v>294</v>
      </c>
      <c r="AB543" s="7669"/>
      <c r="AC543" s="3934"/>
      <c r="AD543" s="4672" t="s">
        <v>294</v>
      </c>
      <c r="AE543" s="3959" t="s">
        <v>153</v>
      </c>
      <c r="AF543" s="3959" t="s">
        <v>294</v>
      </c>
      <c r="AG543" s="10908"/>
    </row>
    <row r="544" spans="1:33" ht="15.75" customHeight="1">
      <c r="A544" s="11000"/>
      <c r="B544" s="10934"/>
      <c r="C544" s="10937"/>
      <c r="D544" s="10937"/>
      <c r="E544" s="10937"/>
      <c r="F544" s="10940"/>
      <c r="G544" s="10937"/>
      <c r="H544" s="10937"/>
      <c r="I544" s="10937"/>
      <c r="J544" s="11011"/>
      <c r="K544" s="10937"/>
      <c r="L544" s="10996"/>
      <c r="M544" s="10996"/>
      <c r="N544" s="10996"/>
      <c r="O544" s="10937"/>
      <c r="P544" s="10937"/>
      <c r="Q544" s="10953"/>
      <c r="R544" s="4019" t="s">
        <v>294</v>
      </c>
      <c r="S544" s="3917" t="s">
        <v>294</v>
      </c>
      <c r="T544" s="3917"/>
      <c r="U544" s="3913"/>
      <c r="V544" s="6190"/>
      <c r="W544" s="3925"/>
      <c r="X544" s="7567"/>
      <c r="Y544" s="7567"/>
      <c r="Z544" s="7567"/>
      <c r="AA544" s="7566"/>
      <c r="AB544" s="7669"/>
      <c r="AC544" s="3934"/>
      <c r="AD544" s="4672" t="s">
        <v>294</v>
      </c>
      <c r="AE544" s="3959"/>
      <c r="AF544" s="3959" t="s">
        <v>294</v>
      </c>
      <c r="AG544" s="10908"/>
    </row>
    <row r="545" spans="1:33" ht="15.75" customHeight="1">
      <c r="A545" s="11000"/>
      <c r="B545" s="10934"/>
      <c r="C545" s="10937"/>
      <c r="D545" s="10937"/>
      <c r="E545" s="10937"/>
      <c r="F545" s="10940"/>
      <c r="G545" s="10937"/>
      <c r="H545" s="10937"/>
      <c r="I545" s="10937"/>
      <c r="J545" s="11011"/>
      <c r="K545" s="10937"/>
      <c r="L545" s="10996"/>
      <c r="M545" s="10996"/>
      <c r="N545" s="10996"/>
      <c r="O545" s="10937"/>
      <c r="P545" s="10937"/>
      <c r="Q545" s="10953"/>
      <c r="R545" s="4018" t="s">
        <v>294</v>
      </c>
      <c r="S545" s="3916" t="s">
        <v>294</v>
      </c>
      <c r="T545" s="3917"/>
      <c r="U545" s="3913"/>
      <c r="V545" s="6190"/>
      <c r="W545" s="3925"/>
      <c r="X545" s="7567"/>
      <c r="Y545" s="7567"/>
      <c r="Z545" s="7567"/>
      <c r="AA545" s="7566"/>
      <c r="AB545" s="7669"/>
      <c r="AC545" s="3934"/>
      <c r="AD545" s="4672" t="s">
        <v>294</v>
      </c>
      <c r="AE545" s="3959"/>
      <c r="AF545" s="3959" t="s">
        <v>294</v>
      </c>
      <c r="AG545" s="10908"/>
    </row>
    <row r="546" spans="1:33" ht="15.75" customHeight="1">
      <c r="A546" s="11000"/>
      <c r="B546" s="10935"/>
      <c r="C546" s="10938"/>
      <c r="D546" s="10938"/>
      <c r="E546" s="10938"/>
      <c r="F546" s="10941"/>
      <c r="G546" s="10938"/>
      <c r="H546" s="10938"/>
      <c r="I546" s="10938"/>
      <c r="J546" s="11012"/>
      <c r="K546" s="10938"/>
      <c r="L546" s="10997"/>
      <c r="M546" s="10997"/>
      <c r="N546" s="10997"/>
      <c r="O546" s="10938"/>
      <c r="P546" s="10938"/>
      <c r="Q546" s="10954"/>
      <c r="R546" s="4025" t="s">
        <v>294</v>
      </c>
      <c r="S546" s="3977" t="s">
        <v>294</v>
      </c>
      <c r="T546" s="3977" t="s">
        <v>294</v>
      </c>
      <c r="U546" s="3952" t="s">
        <v>294</v>
      </c>
      <c r="V546" s="6193" t="s">
        <v>294</v>
      </c>
      <c r="W546" s="3978" t="s">
        <v>294</v>
      </c>
      <c r="X546" s="7573" t="s">
        <v>294</v>
      </c>
      <c r="Y546" s="7573" t="s">
        <v>294</v>
      </c>
      <c r="Z546" s="7573" t="s">
        <v>294</v>
      </c>
      <c r="AA546" s="7574" t="s">
        <v>294</v>
      </c>
      <c r="AB546" s="7672"/>
      <c r="AC546" s="4053"/>
      <c r="AD546" s="4673" t="s">
        <v>294</v>
      </c>
      <c r="AE546" s="3997" t="s">
        <v>294</v>
      </c>
      <c r="AF546" s="3997" t="s">
        <v>294</v>
      </c>
      <c r="AG546" s="10909"/>
    </row>
    <row r="547" spans="1:33" ht="15.75" customHeight="1">
      <c r="A547" s="11000"/>
      <c r="B547" s="10950" t="s">
        <v>183</v>
      </c>
      <c r="C547" s="10948" t="s">
        <v>227</v>
      </c>
      <c r="D547" s="10948" t="s">
        <v>228</v>
      </c>
      <c r="E547" s="10948" t="s">
        <v>407</v>
      </c>
      <c r="F547" s="10951" t="s">
        <v>230</v>
      </c>
      <c r="G547" s="10948" t="s">
        <v>231</v>
      </c>
      <c r="H547" s="10948" t="s">
        <v>133</v>
      </c>
      <c r="I547" s="10948" t="s">
        <v>5622</v>
      </c>
      <c r="J547" s="11013" t="s">
        <v>5696</v>
      </c>
      <c r="K547" s="10948" t="s">
        <v>5624</v>
      </c>
      <c r="L547" s="10998">
        <v>1</v>
      </c>
      <c r="M547" s="10998">
        <v>1</v>
      </c>
      <c r="N547" s="10998">
        <v>1</v>
      </c>
      <c r="O547" s="10948" t="s">
        <v>5625</v>
      </c>
      <c r="P547" s="10948" t="s">
        <v>5626</v>
      </c>
      <c r="Q547" s="10986" t="s">
        <v>5692</v>
      </c>
      <c r="R547" s="3983"/>
      <c r="S547" s="3907"/>
      <c r="T547" s="3907"/>
      <c r="U547" s="3906"/>
      <c r="V547" s="6189"/>
      <c r="W547" s="3908"/>
      <c r="X547" s="7562"/>
      <c r="Y547" s="7562"/>
      <c r="Z547" s="7562"/>
      <c r="AA547" s="7563"/>
      <c r="AB547" s="7668"/>
      <c r="AC547" s="3991"/>
      <c r="AD547" s="4676"/>
      <c r="AE547" s="3987"/>
      <c r="AF547" s="3987"/>
      <c r="AG547" s="10910" t="s">
        <v>294</v>
      </c>
    </row>
    <row r="548" spans="1:33" ht="15.75" customHeight="1">
      <c r="A548" s="11000"/>
      <c r="B548" s="10934"/>
      <c r="C548" s="10937"/>
      <c r="D548" s="10937"/>
      <c r="E548" s="10937"/>
      <c r="F548" s="10940"/>
      <c r="G548" s="10937"/>
      <c r="H548" s="10937"/>
      <c r="I548" s="10937"/>
      <c r="J548" s="11011"/>
      <c r="K548" s="10937"/>
      <c r="L548" s="10996"/>
      <c r="M548" s="10996"/>
      <c r="N548" s="10996"/>
      <c r="O548" s="10937"/>
      <c r="P548" s="10937"/>
      <c r="Q548" s="10953"/>
      <c r="R548" s="4019"/>
      <c r="S548" s="3917"/>
      <c r="T548" s="3917"/>
      <c r="U548" s="3913"/>
      <c r="V548" s="6190"/>
      <c r="W548" s="3925"/>
      <c r="X548" s="7567"/>
      <c r="Y548" s="7567"/>
      <c r="Z548" s="7567"/>
      <c r="AA548" s="7566"/>
      <c r="AB548" s="7669"/>
      <c r="AC548" s="3934"/>
      <c r="AD548" s="4672"/>
      <c r="AE548" s="3959"/>
      <c r="AF548" s="3959"/>
      <c r="AG548" s="10908"/>
    </row>
    <row r="549" spans="1:33" ht="15.75" customHeight="1">
      <c r="A549" s="11000"/>
      <c r="B549" s="10934"/>
      <c r="C549" s="10937"/>
      <c r="D549" s="10937"/>
      <c r="E549" s="10937"/>
      <c r="F549" s="10940"/>
      <c r="G549" s="10937"/>
      <c r="H549" s="10937"/>
      <c r="I549" s="10937"/>
      <c r="J549" s="11011"/>
      <c r="K549" s="10937"/>
      <c r="L549" s="10996"/>
      <c r="M549" s="10996"/>
      <c r="N549" s="10996"/>
      <c r="O549" s="10937"/>
      <c r="P549" s="10937"/>
      <c r="Q549" s="10953"/>
      <c r="R549" s="4019"/>
      <c r="S549" s="3917"/>
      <c r="T549" s="3917"/>
      <c r="U549" s="3913"/>
      <c r="V549" s="6190"/>
      <c r="W549" s="3925"/>
      <c r="X549" s="7567"/>
      <c r="Y549" s="7567"/>
      <c r="Z549" s="7567"/>
      <c r="AA549" s="8138"/>
      <c r="AB549" s="7669"/>
      <c r="AC549" s="3934"/>
      <c r="AD549" s="4672"/>
      <c r="AE549" s="3959"/>
      <c r="AF549" s="3959"/>
      <c r="AG549" s="10908"/>
    </row>
    <row r="550" spans="1:33" ht="15.75" customHeight="1">
      <c r="A550" s="11000"/>
      <c r="B550" s="10934"/>
      <c r="C550" s="10937"/>
      <c r="D550" s="10937"/>
      <c r="E550" s="10937"/>
      <c r="F550" s="10940"/>
      <c r="G550" s="10937"/>
      <c r="H550" s="10937"/>
      <c r="I550" s="10937"/>
      <c r="J550" s="11011"/>
      <c r="K550" s="10937"/>
      <c r="L550" s="10996"/>
      <c r="M550" s="10996"/>
      <c r="N550" s="10996"/>
      <c r="O550" s="10937"/>
      <c r="P550" s="10937"/>
      <c r="Q550" s="10953"/>
      <c r="R550" s="4018" t="s">
        <v>294</v>
      </c>
      <c r="S550" s="3916" t="s">
        <v>294</v>
      </c>
      <c r="T550" s="3916" t="s">
        <v>294</v>
      </c>
      <c r="U550" s="3913" t="s">
        <v>294</v>
      </c>
      <c r="V550" s="6190" t="s">
        <v>294</v>
      </c>
      <c r="W550" s="3925" t="s">
        <v>294</v>
      </c>
      <c r="X550" s="7567" t="s">
        <v>294</v>
      </c>
      <c r="Y550" s="7567" t="s">
        <v>294</v>
      </c>
      <c r="Z550" s="7567" t="s">
        <v>294</v>
      </c>
      <c r="AA550" s="7566" t="s">
        <v>294</v>
      </c>
      <c r="AB550" s="7669"/>
      <c r="AC550" s="3934"/>
      <c r="AD550" s="3925" t="s">
        <v>294</v>
      </c>
      <c r="AE550" s="3923" t="s">
        <v>294</v>
      </c>
      <c r="AF550" s="3923" t="s">
        <v>294</v>
      </c>
      <c r="AG550" s="10908"/>
    </row>
    <row r="551" spans="1:33" ht="15.75" customHeight="1">
      <c r="A551" s="11000"/>
      <c r="B551" s="10993"/>
      <c r="C551" s="10985"/>
      <c r="D551" s="10985"/>
      <c r="E551" s="10985"/>
      <c r="F551" s="10994"/>
      <c r="G551" s="10985"/>
      <c r="H551" s="10985"/>
      <c r="I551" s="10985"/>
      <c r="J551" s="11014"/>
      <c r="K551" s="10985"/>
      <c r="L551" s="10999"/>
      <c r="M551" s="10999"/>
      <c r="N551" s="10999"/>
      <c r="O551" s="10985"/>
      <c r="P551" s="10985"/>
      <c r="Q551" s="10987"/>
      <c r="R551" s="4066" t="s">
        <v>294</v>
      </c>
      <c r="S551" s="4176" t="s">
        <v>294</v>
      </c>
      <c r="T551" s="4176" t="s">
        <v>294</v>
      </c>
      <c r="U551" s="4055" t="s">
        <v>294</v>
      </c>
      <c r="V551" s="7549" t="s">
        <v>294</v>
      </c>
      <c r="W551" s="4041" t="s">
        <v>294</v>
      </c>
      <c r="X551" s="7577" t="s">
        <v>294</v>
      </c>
      <c r="Y551" s="7577" t="s">
        <v>294</v>
      </c>
      <c r="Z551" s="7577" t="s">
        <v>294</v>
      </c>
      <c r="AA551" s="7578" t="s">
        <v>294</v>
      </c>
      <c r="AB551" s="7674"/>
      <c r="AC551" s="4057"/>
      <c r="AD551" s="4039" t="s">
        <v>294</v>
      </c>
      <c r="AE551" s="4043" t="s">
        <v>294</v>
      </c>
      <c r="AF551" s="4043" t="s">
        <v>294</v>
      </c>
      <c r="AG551" s="10911"/>
    </row>
    <row r="552" spans="1:33" ht="15.75" customHeight="1">
      <c r="A552" s="11000"/>
      <c r="B552" s="10933" t="s">
        <v>183</v>
      </c>
      <c r="C552" s="10936" t="s">
        <v>128</v>
      </c>
      <c r="D552" s="10936" t="s">
        <v>228</v>
      </c>
      <c r="E552" s="10936" t="s">
        <v>407</v>
      </c>
      <c r="F552" s="10939" t="s">
        <v>230</v>
      </c>
      <c r="G552" s="10936" t="s">
        <v>132</v>
      </c>
      <c r="H552" s="10936" t="s">
        <v>189</v>
      </c>
      <c r="I552" s="10936" t="s">
        <v>5627</v>
      </c>
      <c r="J552" s="11010" t="s">
        <v>5697</v>
      </c>
      <c r="K552" s="10936" t="s">
        <v>5629</v>
      </c>
      <c r="L552" s="10995">
        <v>1</v>
      </c>
      <c r="M552" s="10995">
        <v>1</v>
      </c>
      <c r="N552" s="10995">
        <v>1</v>
      </c>
      <c r="O552" s="10936" t="s">
        <v>5698</v>
      </c>
      <c r="P552" s="10936" t="s">
        <v>5631</v>
      </c>
      <c r="Q552" s="10952" t="s">
        <v>5692</v>
      </c>
      <c r="R552" s="4029" t="s">
        <v>294</v>
      </c>
      <c r="S552" s="4174" t="s">
        <v>294</v>
      </c>
      <c r="T552" s="4174" t="s">
        <v>294</v>
      </c>
      <c r="U552" s="3999" t="s">
        <v>294</v>
      </c>
      <c r="V552" s="7550" t="s">
        <v>294</v>
      </c>
      <c r="W552" s="4003" t="s">
        <v>294</v>
      </c>
      <c r="X552" s="7579" t="s">
        <v>294</v>
      </c>
      <c r="Y552" s="7579" t="s">
        <v>294</v>
      </c>
      <c r="Z552" s="7579" t="s">
        <v>294</v>
      </c>
      <c r="AA552" s="7580" t="s">
        <v>294</v>
      </c>
      <c r="AB552" s="7675"/>
      <c r="AC552" s="4011"/>
      <c r="AD552" s="4001" t="s">
        <v>294</v>
      </c>
      <c r="AE552" s="4009" t="s">
        <v>294</v>
      </c>
      <c r="AF552" s="4005" t="s">
        <v>294</v>
      </c>
      <c r="AG552" s="10907" t="s">
        <v>294</v>
      </c>
    </row>
    <row r="553" spans="1:33" ht="15.75" customHeight="1">
      <c r="A553" s="11000"/>
      <c r="B553" s="10934"/>
      <c r="C553" s="10937"/>
      <c r="D553" s="10937"/>
      <c r="E553" s="10937"/>
      <c r="F553" s="10940"/>
      <c r="G553" s="10937"/>
      <c r="H553" s="10937"/>
      <c r="I553" s="10937"/>
      <c r="J553" s="11011"/>
      <c r="K553" s="10937"/>
      <c r="L553" s="10996"/>
      <c r="M553" s="10996"/>
      <c r="N553" s="10996"/>
      <c r="O553" s="10937"/>
      <c r="P553" s="10937"/>
      <c r="Q553" s="10953"/>
      <c r="R553" s="4019" t="s">
        <v>294</v>
      </c>
      <c r="S553" s="3989" t="s">
        <v>294</v>
      </c>
      <c r="T553" s="3989" t="s">
        <v>294</v>
      </c>
      <c r="U553" s="3932" t="s">
        <v>294</v>
      </c>
      <c r="V553" s="7551" t="s">
        <v>294</v>
      </c>
      <c r="W553" s="3921" t="s">
        <v>294</v>
      </c>
      <c r="X553" s="7575" t="s">
        <v>294</v>
      </c>
      <c r="Y553" s="7575" t="s">
        <v>294</v>
      </c>
      <c r="Z553" s="7575" t="s">
        <v>294</v>
      </c>
      <c r="AA553" s="7576" t="s">
        <v>294</v>
      </c>
      <c r="AB553" s="7673"/>
      <c r="AC553" s="3934"/>
      <c r="AD553" s="3925" t="s">
        <v>294</v>
      </c>
      <c r="AE553" s="3959" t="s">
        <v>294</v>
      </c>
      <c r="AF553" s="3923" t="s">
        <v>294</v>
      </c>
      <c r="AG553" s="10908"/>
    </row>
    <row r="554" spans="1:33" ht="15.75" customHeight="1">
      <c r="A554" s="11000"/>
      <c r="B554" s="10934"/>
      <c r="C554" s="10937"/>
      <c r="D554" s="10937"/>
      <c r="E554" s="10937"/>
      <c r="F554" s="10940"/>
      <c r="G554" s="10937"/>
      <c r="H554" s="10937"/>
      <c r="I554" s="10937"/>
      <c r="J554" s="11011"/>
      <c r="K554" s="10937"/>
      <c r="L554" s="10996"/>
      <c r="M554" s="10996"/>
      <c r="N554" s="10996"/>
      <c r="O554" s="10937"/>
      <c r="P554" s="10937"/>
      <c r="Q554" s="10953"/>
      <c r="R554" s="4019" t="s">
        <v>294</v>
      </c>
      <c r="S554" s="3989" t="s">
        <v>294</v>
      </c>
      <c r="T554" s="3989" t="s">
        <v>294</v>
      </c>
      <c r="U554" s="3932" t="s">
        <v>294</v>
      </c>
      <c r="V554" s="7551" t="s">
        <v>294</v>
      </c>
      <c r="W554" s="3921" t="s">
        <v>294</v>
      </c>
      <c r="X554" s="7575" t="s">
        <v>294</v>
      </c>
      <c r="Y554" s="7575" t="s">
        <v>294</v>
      </c>
      <c r="Z554" s="7575" t="s">
        <v>294</v>
      </c>
      <c r="AA554" s="7576" t="s">
        <v>294</v>
      </c>
      <c r="AB554" s="7673"/>
      <c r="AC554" s="3934"/>
      <c r="AD554" s="3925" t="s">
        <v>294</v>
      </c>
      <c r="AE554" s="3959" t="s">
        <v>294</v>
      </c>
      <c r="AF554" s="3923" t="s">
        <v>294</v>
      </c>
      <c r="AG554" s="10908"/>
    </row>
    <row r="555" spans="1:33" ht="15.75" customHeight="1">
      <c r="A555" s="11000"/>
      <c r="B555" s="10934"/>
      <c r="C555" s="10937"/>
      <c r="D555" s="10937"/>
      <c r="E555" s="10937"/>
      <c r="F555" s="10940"/>
      <c r="G555" s="10937"/>
      <c r="H555" s="10937"/>
      <c r="I555" s="10937"/>
      <c r="J555" s="11011"/>
      <c r="K555" s="10937"/>
      <c r="L555" s="10996"/>
      <c r="M555" s="10996"/>
      <c r="N555" s="10996"/>
      <c r="O555" s="10937"/>
      <c r="P555" s="10937"/>
      <c r="Q555" s="10953"/>
      <c r="R555" s="4018" t="s">
        <v>294</v>
      </c>
      <c r="S555" s="3990" t="s">
        <v>294</v>
      </c>
      <c r="T555" s="3990" t="s">
        <v>294</v>
      </c>
      <c r="U555" s="3932" t="s">
        <v>294</v>
      </c>
      <c r="V555" s="7551" t="s">
        <v>294</v>
      </c>
      <c r="W555" s="3921" t="s">
        <v>294</v>
      </c>
      <c r="X555" s="7575" t="s">
        <v>294</v>
      </c>
      <c r="Y555" s="7575" t="s">
        <v>294</v>
      </c>
      <c r="Z555" s="7575" t="s">
        <v>294</v>
      </c>
      <c r="AA555" s="7576" t="s">
        <v>294</v>
      </c>
      <c r="AB555" s="7673"/>
      <c r="AC555" s="3934"/>
      <c r="AD555" s="3925" t="s">
        <v>294</v>
      </c>
      <c r="AE555" s="3959" t="s">
        <v>294</v>
      </c>
      <c r="AF555" s="3923" t="s">
        <v>294</v>
      </c>
      <c r="AG555" s="10908"/>
    </row>
    <row r="556" spans="1:33" ht="15.75" customHeight="1">
      <c r="A556" s="11000"/>
      <c r="B556" s="10935"/>
      <c r="C556" s="10938"/>
      <c r="D556" s="10938"/>
      <c r="E556" s="10938"/>
      <c r="F556" s="10941"/>
      <c r="G556" s="10938"/>
      <c r="H556" s="10938"/>
      <c r="I556" s="10938"/>
      <c r="J556" s="11012"/>
      <c r="K556" s="10938"/>
      <c r="L556" s="10997"/>
      <c r="M556" s="10997"/>
      <c r="N556" s="10997"/>
      <c r="O556" s="10938"/>
      <c r="P556" s="10938"/>
      <c r="Q556" s="10954"/>
      <c r="R556" s="4025" t="s">
        <v>294</v>
      </c>
      <c r="S556" s="4175" t="s">
        <v>294</v>
      </c>
      <c r="T556" s="4175" t="s">
        <v>294</v>
      </c>
      <c r="U556" s="4051" t="s">
        <v>294</v>
      </c>
      <c r="V556" s="7552" t="s">
        <v>294</v>
      </c>
      <c r="W556" s="4035" t="s">
        <v>294</v>
      </c>
      <c r="X556" s="7581" t="s">
        <v>294</v>
      </c>
      <c r="Y556" s="7581" t="s">
        <v>294</v>
      </c>
      <c r="Z556" s="7581" t="s">
        <v>294</v>
      </c>
      <c r="AA556" s="7582" t="s">
        <v>294</v>
      </c>
      <c r="AB556" s="7676"/>
      <c r="AC556" s="4053"/>
      <c r="AD556" s="3978" t="s">
        <v>294</v>
      </c>
      <c r="AE556" s="3997" t="s">
        <v>294</v>
      </c>
      <c r="AF556" s="3980" t="s">
        <v>294</v>
      </c>
      <c r="AG556" s="10909"/>
    </row>
    <row r="557" spans="1:33" ht="15.75" customHeight="1">
      <c r="A557" s="11000"/>
      <c r="B557" s="10950" t="s">
        <v>183</v>
      </c>
      <c r="C557" s="10948" t="s">
        <v>1291</v>
      </c>
      <c r="D557" s="10948" t="s">
        <v>1278</v>
      </c>
      <c r="E557" s="10948" t="s">
        <v>2210</v>
      </c>
      <c r="F557" s="10951" t="s">
        <v>187</v>
      </c>
      <c r="G557" s="10948" t="s">
        <v>1304</v>
      </c>
      <c r="H557" s="10948" t="s">
        <v>133</v>
      </c>
      <c r="I557" s="10948" t="s">
        <v>5632</v>
      </c>
      <c r="J557" s="11013" t="s">
        <v>5699</v>
      </c>
      <c r="K557" s="10948" t="s">
        <v>5634</v>
      </c>
      <c r="L557" s="10949">
        <v>1</v>
      </c>
      <c r="M557" s="10949">
        <v>1</v>
      </c>
      <c r="N557" s="10949">
        <v>1</v>
      </c>
      <c r="O557" s="10948" t="s">
        <v>5635</v>
      </c>
      <c r="P557" s="10948" t="s">
        <v>5636</v>
      </c>
      <c r="Q557" s="10986" t="s">
        <v>5692</v>
      </c>
      <c r="R557" s="4031" t="s">
        <v>294</v>
      </c>
      <c r="S557" s="3907" t="s">
        <v>294</v>
      </c>
      <c r="T557" s="3907" t="s">
        <v>294</v>
      </c>
      <c r="U557" s="3906" t="s">
        <v>294</v>
      </c>
      <c r="V557" s="6189" t="s">
        <v>294</v>
      </c>
      <c r="W557" s="3908" t="s">
        <v>294</v>
      </c>
      <c r="X557" s="7562" t="s">
        <v>294</v>
      </c>
      <c r="Y557" s="7562" t="s">
        <v>294</v>
      </c>
      <c r="Z557" s="7562" t="s">
        <v>294</v>
      </c>
      <c r="AA557" s="7563" t="s">
        <v>294</v>
      </c>
      <c r="AB557" s="7668"/>
      <c r="AC557" s="3909"/>
      <c r="AD557" s="3908" t="s">
        <v>294</v>
      </c>
      <c r="AE557" s="3987" t="s">
        <v>294</v>
      </c>
      <c r="AF557" s="3912" t="s">
        <v>294</v>
      </c>
      <c r="AG557" s="10910" t="s">
        <v>294</v>
      </c>
    </row>
    <row r="558" spans="1:33" ht="15.75" customHeight="1">
      <c r="A558" s="11000"/>
      <c r="B558" s="10934"/>
      <c r="C558" s="10937"/>
      <c r="D558" s="10937"/>
      <c r="E558" s="10937"/>
      <c r="F558" s="10940"/>
      <c r="G558" s="10937"/>
      <c r="H558" s="10937"/>
      <c r="I558" s="10937"/>
      <c r="J558" s="11011"/>
      <c r="K558" s="10937"/>
      <c r="L558" s="10943"/>
      <c r="M558" s="10943"/>
      <c r="N558" s="10943"/>
      <c r="O558" s="10937"/>
      <c r="P558" s="10937"/>
      <c r="Q558" s="10953"/>
      <c r="R558" s="4019" t="s">
        <v>294</v>
      </c>
      <c r="S558" s="3917" t="s">
        <v>294</v>
      </c>
      <c r="T558" s="3917" t="s">
        <v>294</v>
      </c>
      <c r="U558" s="3913" t="s">
        <v>294</v>
      </c>
      <c r="V558" s="6190" t="s">
        <v>294</v>
      </c>
      <c r="W558" s="3925" t="s">
        <v>294</v>
      </c>
      <c r="X558" s="7567" t="s">
        <v>294</v>
      </c>
      <c r="Y558" s="7567" t="s">
        <v>294</v>
      </c>
      <c r="Z558" s="7567" t="s">
        <v>294</v>
      </c>
      <c r="AA558" s="7566" t="s">
        <v>294</v>
      </c>
      <c r="AB558" s="7669"/>
      <c r="AC558" s="3920"/>
      <c r="AD558" s="3925" t="s">
        <v>294</v>
      </c>
      <c r="AE558" s="3959" t="s">
        <v>294</v>
      </c>
      <c r="AF558" s="3923" t="s">
        <v>294</v>
      </c>
      <c r="AG558" s="10908"/>
    </row>
    <row r="559" spans="1:33" ht="15.75" customHeight="1">
      <c r="A559" s="11000"/>
      <c r="B559" s="10934"/>
      <c r="C559" s="10937"/>
      <c r="D559" s="10937"/>
      <c r="E559" s="10937"/>
      <c r="F559" s="10940"/>
      <c r="G559" s="10937"/>
      <c r="H559" s="10937"/>
      <c r="I559" s="10937"/>
      <c r="J559" s="11011"/>
      <c r="K559" s="10937"/>
      <c r="L559" s="10943"/>
      <c r="M559" s="10943"/>
      <c r="N559" s="10943"/>
      <c r="O559" s="10937"/>
      <c r="P559" s="10937"/>
      <c r="Q559" s="10953"/>
      <c r="R559" s="4019" t="s">
        <v>294</v>
      </c>
      <c r="S559" s="3917" t="s">
        <v>294</v>
      </c>
      <c r="T559" s="3917" t="s">
        <v>294</v>
      </c>
      <c r="U559" s="3913" t="s">
        <v>294</v>
      </c>
      <c r="V559" s="6190" t="s">
        <v>294</v>
      </c>
      <c r="W559" s="3925" t="s">
        <v>294</v>
      </c>
      <c r="X559" s="7567" t="s">
        <v>294</v>
      </c>
      <c r="Y559" s="7567" t="s">
        <v>294</v>
      </c>
      <c r="Z559" s="7567" t="s">
        <v>294</v>
      </c>
      <c r="AA559" s="7566" t="s">
        <v>294</v>
      </c>
      <c r="AB559" s="7669"/>
      <c r="AC559" s="3920"/>
      <c r="AD559" s="3925" t="s">
        <v>294</v>
      </c>
      <c r="AE559" s="3959" t="s">
        <v>294</v>
      </c>
      <c r="AF559" s="3923" t="s">
        <v>294</v>
      </c>
      <c r="AG559" s="10908"/>
    </row>
    <row r="560" spans="1:33" ht="15.75" customHeight="1">
      <c r="A560" s="11000"/>
      <c r="B560" s="10934"/>
      <c r="C560" s="10937"/>
      <c r="D560" s="10937"/>
      <c r="E560" s="10937"/>
      <c r="F560" s="10940"/>
      <c r="G560" s="10937"/>
      <c r="H560" s="10937"/>
      <c r="I560" s="10937"/>
      <c r="J560" s="11011"/>
      <c r="K560" s="10937"/>
      <c r="L560" s="10943"/>
      <c r="M560" s="10943"/>
      <c r="N560" s="10943"/>
      <c r="O560" s="10937"/>
      <c r="P560" s="10937"/>
      <c r="Q560" s="10953"/>
      <c r="R560" s="4018" t="s">
        <v>294</v>
      </c>
      <c r="S560" s="3916" t="s">
        <v>294</v>
      </c>
      <c r="T560" s="3916" t="s">
        <v>294</v>
      </c>
      <c r="U560" s="3913" t="s">
        <v>294</v>
      </c>
      <c r="V560" s="6190" t="s">
        <v>294</v>
      </c>
      <c r="W560" s="3925" t="s">
        <v>294</v>
      </c>
      <c r="X560" s="7567" t="s">
        <v>294</v>
      </c>
      <c r="Y560" s="7567" t="s">
        <v>294</v>
      </c>
      <c r="Z560" s="7567" t="s">
        <v>294</v>
      </c>
      <c r="AA560" s="7566" t="s">
        <v>294</v>
      </c>
      <c r="AB560" s="7669"/>
      <c r="AC560" s="3920"/>
      <c r="AD560" s="3925" t="s">
        <v>294</v>
      </c>
      <c r="AE560" s="3959" t="s">
        <v>294</v>
      </c>
      <c r="AF560" s="3923" t="s">
        <v>294</v>
      </c>
      <c r="AG560" s="10908"/>
    </row>
    <row r="561" spans="1:33" ht="15.75" customHeight="1">
      <c r="A561" s="11000"/>
      <c r="B561" s="10993"/>
      <c r="C561" s="10985"/>
      <c r="D561" s="10985"/>
      <c r="E561" s="10985"/>
      <c r="F561" s="10994"/>
      <c r="G561" s="10985"/>
      <c r="H561" s="10985"/>
      <c r="I561" s="10985"/>
      <c r="J561" s="11014"/>
      <c r="K561" s="10985"/>
      <c r="L561" s="10984"/>
      <c r="M561" s="10984"/>
      <c r="N561" s="10984"/>
      <c r="O561" s="10985"/>
      <c r="P561" s="10985"/>
      <c r="Q561" s="10987"/>
      <c r="R561" s="4066" t="s">
        <v>294</v>
      </c>
      <c r="S561" s="4038" t="s">
        <v>294</v>
      </c>
      <c r="T561" s="4038" t="s">
        <v>294</v>
      </c>
      <c r="U561" s="3982" t="s">
        <v>294</v>
      </c>
      <c r="V561" s="6191" t="s">
        <v>294</v>
      </c>
      <c r="W561" s="4039" t="s">
        <v>294</v>
      </c>
      <c r="X561" s="7568" t="s">
        <v>294</v>
      </c>
      <c r="Y561" s="7568" t="s">
        <v>294</v>
      </c>
      <c r="Z561" s="7568" t="s">
        <v>294</v>
      </c>
      <c r="AA561" s="7569" t="s">
        <v>294</v>
      </c>
      <c r="AB561" s="7670"/>
      <c r="AC561" s="4040"/>
      <c r="AD561" s="4039" t="s">
        <v>294</v>
      </c>
      <c r="AE561" s="4117" t="s">
        <v>294</v>
      </c>
      <c r="AF561" s="4043" t="s">
        <v>294</v>
      </c>
      <c r="AG561" s="10911"/>
    </row>
    <row r="562" spans="1:33" ht="15.75" customHeight="1">
      <c r="A562" s="11000"/>
      <c r="B562" s="10933" t="s">
        <v>183</v>
      </c>
      <c r="C562" s="10936" t="s">
        <v>227</v>
      </c>
      <c r="D562" s="10936" t="s">
        <v>228</v>
      </c>
      <c r="E562" s="10936" t="s">
        <v>407</v>
      </c>
      <c r="F562" s="10939" t="s">
        <v>230</v>
      </c>
      <c r="G562" s="10936" t="s">
        <v>132</v>
      </c>
      <c r="H562" s="10936" t="s">
        <v>159</v>
      </c>
      <c r="I562" s="10936" t="s">
        <v>5641</v>
      </c>
      <c r="J562" s="11010" t="s">
        <v>5642</v>
      </c>
      <c r="K562" s="10936" t="s">
        <v>5643</v>
      </c>
      <c r="L562" s="10942">
        <v>1</v>
      </c>
      <c r="M562" s="10942">
        <v>2</v>
      </c>
      <c r="N562" s="10942">
        <v>1</v>
      </c>
      <c r="O562" s="10936" t="s">
        <v>5644</v>
      </c>
      <c r="P562" s="10936" t="s">
        <v>5645</v>
      </c>
      <c r="Q562" s="10952" t="s">
        <v>5692</v>
      </c>
      <c r="R562" s="4024" t="s">
        <v>294</v>
      </c>
      <c r="S562" s="4000" t="s">
        <v>294</v>
      </c>
      <c r="T562" s="4000" t="s">
        <v>294</v>
      </c>
      <c r="U562" s="3981" t="s">
        <v>294</v>
      </c>
      <c r="V562" s="6192" t="s">
        <v>294</v>
      </c>
      <c r="W562" s="4001" t="s">
        <v>294</v>
      </c>
      <c r="X562" s="7570" t="s">
        <v>294</v>
      </c>
      <c r="Y562" s="7570" t="s">
        <v>294</v>
      </c>
      <c r="Z562" s="7570" t="s">
        <v>294</v>
      </c>
      <c r="AA562" s="7571" t="s">
        <v>294</v>
      </c>
      <c r="AB562" s="7671"/>
      <c r="AC562" s="4002"/>
      <c r="AD562" s="4001" t="s">
        <v>294</v>
      </c>
      <c r="AE562" s="4005" t="s">
        <v>294</v>
      </c>
      <c r="AF562" s="4005" t="s">
        <v>294</v>
      </c>
      <c r="AG562" s="10907" t="s">
        <v>294</v>
      </c>
    </row>
    <row r="563" spans="1:33" ht="15.75" customHeight="1">
      <c r="A563" s="11000"/>
      <c r="B563" s="10934"/>
      <c r="C563" s="10937"/>
      <c r="D563" s="10937"/>
      <c r="E563" s="10937"/>
      <c r="F563" s="10940"/>
      <c r="G563" s="10937"/>
      <c r="H563" s="10937"/>
      <c r="I563" s="10937"/>
      <c r="J563" s="11011"/>
      <c r="K563" s="10937"/>
      <c r="L563" s="10943"/>
      <c r="M563" s="10943"/>
      <c r="N563" s="10943"/>
      <c r="O563" s="10937"/>
      <c r="P563" s="10937"/>
      <c r="Q563" s="10953"/>
      <c r="R563" s="4019" t="s">
        <v>294</v>
      </c>
      <c r="S563" s="3917" t="s">
        <v>294</v>
      </c>
      <c r="T563" s="3917" t="s">
        <v>294</v>
      </c>
      <c r="U563" s="3913" t="s">
        <v>294</v>
      </c>
      <c r="V563" s="6190" t="s">
        <v>294</v>
      </c>
      <c r="W563" s="3925" t="s">
        <v>294</v>
      </c>
      <c r="X563" s="7567" t="s">
        <v>294</v>
      </c>
      <c r="Y563" s="7567" t="s">
        <v>294</v>
      </c>
      <c r="Z563" s="7567" t="s">
        <v>294</v>
      </c>
      <c r="AA563" s="7566" t="s">
        <v>294</v>
      </c>
      <c r="AB563" s="7669"/>
      <c r="AC563" s="3920"/>
      <c r="AD563" s="3925" t="s">
        <v>294</v>
      </c>
      <c r="AE563" s="3923" t="s">
        <v>294</v>
      </c>
      <c r="AF563" s="3923" t="s">
        <v>294</v>
      </c>
      <c r="AG563" s="10908"/>
    </row>
    <row r="564" spans="1:33" ht="15.75" customHeight="1">
      <c r="A564" s="11000"/>
      <c r="B564" s="10934"/>
      <c r="C564" s="10937"/>
      <c r="D564" s="10937"/>
      <c r="E564" s="10937"/>
      <c r="F564" s="10940"/>
      <c r="G564" s="10937"/>
      <c r="H564" s="10937"/>
      <c r="I564" s="10937"/>
      <c r="J564" s="11011"/>
      <c r="K564" s="10937"/>
      <c r="L564" s="10943"/>
      <c r="M564" s="10943"/>
      <c r="N564" s="10943"/>
      <c r="O564" s="10937"/>
      <c r="P564" s="10937"/>
      <c r="Q564" s="10953"/>
      <c r="R564" s="4019" t="s">
        <v>294</v>
      </c>
      <c r="S564" s="3917" t="s">
        <v>294</v>
      </c>
      <c r="T564" s="3917" t="s">
        <v>294</v>
      </c>
      <c r="U564" s="3913" t="s">
        <v>294</v>
      </c>
      <c r="V564" s="6190" t="s">
        <v>294</v>
      </c>
      <c r="W564" s="3925" t="s">
        <v>294</v>
      </c>
      <c r="X564" s="7567" t="s">
        <v>294</v>
      </c>
      <c r="Y564" s="7567" t="s">
        <v>294</v>
      </c>
      <c r="Z564" s="7567" t="s">
        <v>294</v>
      </c>
      <c r="AA564" s="7566" t="s">
        <v>294</v>
      </c>
      <c r="AB564" s="7669"/>
      <c r="AC564" s="3920"/>
      <c r="AD564" s="3925" t="s">
        <v>294</v>
      </c>
      <c r="AE564" s="3923" t="s">
        <v>294</v>
      </c>
      <c r="AF564" s="3923" t="s">
        <v>294</v>
      </c>
      <c r="AG564" s="10908"/>
    </row>
    <row r="565" spans="1:33" ht="15.75" customHeight="1">
      <c r="A565" s="11000"/>
      <c r="B565" s="10934"/>
      <c r="C565" s="10937"/>
      <c r="D565" s="10937"/>
      <c r="E565" s="10937"/>
      <c r="F565" s="10940"/>
      <c r="G565" s="10937"/>
      <c r="H565" s="10937"/>
      <c r="I565" s="10937"/>
      <c r="J565" s="11011"/>
      <c r="K565" s="10937"/>
      <c r="L565" s="10943"/>
      <c r="M565" s="10943"/>
      <c r="N565" s="10943"/>
      <c r="O565" s="10937"/>
      <c r="P565" s="10937"/>
      <c r="Q565" s="10953"/>
      <c r="R565" s="4018" t="s">
        <v>294</v>
      </c>
      <c r="S565" s="3916" t="s">
        <v>294</v>
      </c>
      <c r="T565" s="3916" t="s">
        <v>294</v>
      </c>
      <c r="U565" s="3913" t="s">
        <v>294</v>
      </c>
      <c r="V565" s="6190" t="s">
        <v>294</v>
      </c>
      <c r="W565" s="3925" t="s">
        <v>294</v>
      </c>
      <c r="X565" s="7567" t="s">
        <v>294</v>
      </c>
      <c r="Y565" s="7567" t="s">
        <v>294</v>
      </c>
      <c r="Z565" s="7567" t="s">
        <v>294</v>
      </c>
      <c r="AA565" s="7566" t="s">
        <v>294</v>
      </c>
      <c r="AB565" s="7669"/>
      <c r="AC565" s="3920"/>
      <c r="AD565" s="3925" t="s">
        <v>294</v>
      </c>
      <c r="AE565" s="3923" t="s">
        <v>294</v>
      </c>
      <c r="AF565" s="3923" t="s">
        <v>294</v>
      </c>
      <c r="AG565" s="10908"/>
    </row>
    <row r="566" spans="1:33" ht="15.75" customHeight="1">
      <c r="A566" s="11000"/>
      <c r="B566" s="10935"/>
      <c r="C566" s="10938"/>
      <c r="D566" s="10938"/>
      <c r="E566" s="10938"/>
      <c r="F566" s="10941"/>
      <c r="G566" s="10938"/>
      <c r="H566" s="10938"/>
      <c r="I566" s="10938"/>
      <c r="J566" s="11012"/>
      <c r="K566" s="10938"/>
      <c r="L566" s="10944"/>
      <c r="M566" s="10944"/>
      <c r="N566" s="10944"/>
      <c r="O566" s="10938"/>
      <c r="P566" s="10938"/>
      <c r="Q566" s="10954"/>
      <c r="R566" s="4025" t="s">
        <v>294</v>
      </c>
      <c r="S566" s="3977" t="s">
        <v>294</v>
      </c>
      <c r="T566" s="3977" t="s">
        <v>294</v>
      </c>
      <c r="U566" s="3952" t="s">
        <v>294</v>
      </c>
      <c r="V566" s="6193" t="s">
        <v>294</v>
      </c>
      <c r="W566" s="3978" t="s">
        <v>294</v>
      </c>
      <c r="X566" s="7573" t="s">
        <v>294</v>
      </c>
      <c r="Y566" s="7573" t="s">
        <v>294</v>
      </c>
      <c r="Z566" s="7573" t="s">
        <v>294</v>
      </c>
      <c r="AA566" s="7574" t="s">
        <v>294</v>
      </c>
      <c r="AB566" s="7672"/>
      <c r="AC566" s="3979"/>
      <c r="AD566" s="3978" t="s">
        <v>294</v>
      </c>
      <c r="AE566" s="3980" t="s">
        <v>294</v>
      </c>
      <c r="AF566" s="3980" t="s">
        <v>294</v>
      </c>
      <c r="AG566" s="10909"/>
    </row>
    <row r="567" spans="1:33" ht="15.75" customHeight="1">
      <c r="A567" s="11000"/>
      <c r="B567" s="10950" t="s">
        <v>183</v>
      </c>
      <c r="C567" s="10948" t="s">
        <v>227</v>
      </c>
      <c r="D567" s="10948" t="s">
        <v>228</v>
      </c>
      <c r="E567" s="10948" t="s">
        <v>407</v>
      </c>
      <c r="F567" s="10951" t="s">
        <v>230</v>
      </c>
      <c r="G567" s="10948" t="s">
        <v>158</v>
      </c>
      <c r="H567" s="10948" t="s">
        <v>133</v>
      </c>
      <c r="I567" s="10948" t="s">
        <v>5646</v>
      </c>
      <c r="J567" s="11013" t="s">
        <v>5700</v>
      </c>
      <c r="K567" s="10948" t="s">
        <v>5648</v>
      </c>
      <c r="L567" s="10949">
        <v>1</v>
      </c>
      <c r="M567" s="10949">
        <v>1</v>
      </c>
      <c r="N567" s="10949">
        <v>1</v>
      </c>
      <c r="O567" s="10948" t="s">
        <v>5649</v>
      </c>
      <c r="P567" s="10948" t="s">
        <v>5650</v>
      </c>
      <c r="Q567" s="10986" t="s">
        <v>5692</v>
      </c>
      <c r="R567" s="4064" t="s">
        <v>294</v>
      </c>
      <c r="S567" s="3907" t="s">
        <v>294</v>
      </c>
      <c r="T567" s="3907" t="s">
        <v>294</v>
      </c>
      <c r="U567" s="3906" t="s">
        <v>294</v>
      </c>
      <c r="V567" s="6189" t="s">
        <v>294</v>
      </c>
      <c r="W567" s="3908" t="s">
        <v>294</v>
      </c>
      <c r="X567" s="7562" t="s">
        <v>294</v>
      </c>
      <c r="Y567" s="7562" t="s">
        <v>294</v>
      </c>
      <c r="Z567" s="7562" t="s">
        <v>294</v>
      </c>
      <c r="AA567" s="7563" t="s">
        <v>294</v>
      </c>
      <c r="AB567" s="7668"/>
      <c r="AC567" s="3909"/>
      <c r="AD567" s="3908" t="s">
        <v>294</v>
      </c>
      <c r="AE567" s="3912" t="s">
        <v>294</v>
      </c>
      <c r="AF567" s="3912" t="s">
        <v>294</v>
      </c>
      <c r="AG567" s="10910" t="s">
        <v>294</v>
      </c>
    </row>
    <row r="568" spans="1:33" ht="15.75" customHeight="1">
      <c r="A568" s="11000"/>
      <c r="B568" s="10934"/>
      <c r="C568" s="10937"/>
      <c r="D568" s="10937"/>
      <c r="E568" s="10937"/>
      <c r="F568" s="10940"/>
      <c r="G568" s="10937"/>
      <c r="H568" s="10937"/>
      <c r="I568" s="10937"/>
      <c r="J568" s="11011"/>
      <c r="K568" s="10937"/>
      <c r="L568" s="10943"/>
      <c r="M568" s="10943"/>
      <c r="N568" s="10943"/>
      <c r="O568" s="10937"/>
      <c r="P568" s="10937"/>
      <c r="Q568" s="10953"/>
      <c r="R568" s="4019" t="s">
        <v>294</v>
      </c>
      <c r="S568" s="3917" t="s">
        <v>294</v>
      </c>
      <c r="T568" s="3917" t="s">
        <v>294</v>
      </c>
      <c r="U568" s="3913" t="s">
        <v>294</v>
      </c>
      <c r="V568" s="6190" t="s">
        <v>294</v>
      </c>
      <c r="W568" s="3925" t="s">
        <v>294</v>
      </c>
      <c r="X568" s="7567" t="s">
        <v>294</v>
      </c>
      <c r="Y568" s="7567" t="s">
        <v>294</v>
      </c>
      <c r="Z568" s="7567" t="s">
        <v>294</v>
      </c>
      <c r="AA568" s="7566" t="s">
        <v>294</v>
      </c>
      <c r="AB568" s="7669"/>
      <c r="AC568" s="3920"/>
      <c r="AD568" s="3925" t="s">
        <v>294</v>
      </c>
      <c r="AE568" s="3923" t="s">
        <v>294</v>
      </c>
      <c r="AF568" s="3923" t="s">
        <v>294</v>
      </c>
      <c r="AG568" s="10908"/>
    </row>
    <row r="569" spans="1:33" ht="15.75" customHeight="1">
      <c r="A569" s="11000"/>
      <c r="B569" s="10934"/>
      <c r="C569" s="10937"/>
      <c r="D569" s="10937"/>
      <c r="E569" s="10937"/>
      <c r="F569" s="10940"/>
      <c r="G569" s="10937"/>
      <c r="H569" s="10937"/>
      <c r="I569" s="10937"/>
      <c r="J569" s="11011"/>
      <c r="K569" s="10937"/>
      <c r="L569" s="10943"/>
      <c r="M569" s="10943"/>
      <c r="N569" s="10943"/>
      <c r="O569" s="10937"/>
      <c r="P569" s="10937"/>
      <c r="Q569" s="10953"/>
      <c r="R569" s="4019" t="s">
        <v>294</v>
      </c>
      <c r="S569" s="3917" t="s">
        <v>294</v>
      </c>
      <c r="T569" s="3917" t="s">
        <v>294</v>
      </c>
      <c r="U569" s="3913" t="s">
        <v>294</v>
      </c>
      <c r="V569" s="6190" t="s">
        <v>294</v>
      </c>
      <c r="W569" s="3925" t="s">
        <v>294</v>
      </c>
      <c r="X569" s="7567" t="s">
        <v>294</v>
      </c>
      <c r="Y569" s="7567" t="s">
        <v>294</v>
      </c>
      <c r="Z569" s="7567" t="s">
        <v>294</v>
      </c>
      <c r="AA569" s="7566" t="s">
        <v>294</v>
      </c>
      <c r="AB569" s="7669"/>
      <c r="AC569" s="3920"/>
      <c r="AD569" s="3925" t="s">
        <v>294</v>
      </c>
      <c r="AE569" s="3923" t="s">
        <v>294</v>
      </c>
      <c r="AF569" s="3923" t="s">
        <v>294</v>
      </c>
      <c r="AG569" s="10908"/>
    </row>
    <row r="570" spans="1:33" ht="15.75" customHeight="1">
      <c r="A570" s="11000"/>
      <c r="B570" s="10934"/>
      <c r="C570" s="10937"/>
      <c r="D570" s="10937"/>
      <c r="E570" s="10937"/>
      <c r="F570" s="10940"/>
      <c r="G570" s="10937"/>
      <c r="H570" s="10937"/>
      <c r="I570" s="10937"/>
      <c r="J570" s="11011"/>
      <c r="K570" s="10937"/>
      <c r="L570" s="10943"/>
      <c r="M570" s="10943"/>
      <c r="N570" s="10943"/>
      <c r="O570" s="10937"/>
      <c r="P570" s="10937"/>
      <c r="Q570" s="10953"/>
      <c r="R570" s="4018" t="s">
        <v>294</v>
      </c>
      <c r="S570" s="3916" t="s">
        <v>294</v>
      </c>
      <c r="T570" s="3916" t="s">
        <v>294</v>
      </c>
      <c r="U570" s="3913" t="s">
        <v>294</v>
      </c>
      <c r="V570" s="6190" t="s">
        <v>294</v>
      </c>
      <c r="W570" s="3925" t="s">
        <v>294</v>
      </c>
      <c r="X570" s="7567" t="s">
        <v>294</v>
      </c>
      <c r="Y570" s="7567" t="s">
        <v>294</v>
      </c>
      <c r="Z570" s="7567" t="s">
        <v>294</v>
      </c>
      <c r="AA570" s="7566" t="s">
        <v>294</v>
      </c>
      <c r="AB570" s="7669"/>
      <c r="AC570" s="3920"/>
      <c r="AD570" s="3925" t="s">
        <v>294</v>
      </c>
      <c r="AE570" s="3923" t="s">
        <v>294</v>
      </c>
      <c r="AF570" s="3923" t="s">
        <v>294</v>
      </c>
      <c r="AG570" s="10908"/>
    </row>
    <row r="571" spans="1:33" ht="15.75" customHeight="1">
      <c r="A571" s="11000"/>
      <c r="B571" s="10993"/>
      <c r="C571" s="10985"/>
      <c r="D571" s="10985"/>
      <c r="E571" s="10985"/>
      <c r="F571" s="10994"/>
      <c r="G571" s="10985"/>
      <c r="H571" s="10985"/>
      <c r="I571" s="10985"/>
      <c r="J571" s="11014"/>
      <c r="K571" s="10985"/>
      <c r="L571" s="10984"/>
      <c r="M571" s="10984"/>
      <c r="N571" s="10984"/>
      <c r="O571" s="10985"/>
      <c r="P571" s="10985"/>
      <c r="Q571" s="10987"/>
      <c r="R571" s="4066" t="s">
        <v>294</v>
      </c>
      <c r="S571" s="4038" t="s">
        <v>294</v>
      </c>
      <c r="T571" s="4038" t="s">
        <v>294</v>
      </c>
      <c r="U571" s="3982" t="s">
        <v>294</v>
      </c>
      <c r="V571" s="6191" t="s">
        <v>294</v>
      </c>
      <c r="W571" s="4039" t="s">
        <v>294</v>
      </c>
      <c r="X571" s="7568" t="s">
        <v>294</v>
      </c>
      <c r="Y571" s="7568" t="s">
        <v>294</v>
      </c>
      <c r="Z571" s="7568" t="s">
        <v>294</v>
      </c>
      <c r="AA571" s="7569" t="s">
        <v>294</v>
      </c>
      <c r="AB571" s="7670"/>
      <c r="AC571" s="4040"/>
      <c r="AD571" s="4039" t="s">
        <v>294</v>
      </c>
      <c r="AE571" s="4043" t="s">
        <v>294</v>
      </c>
      <c r="AF571" s="4043" t="s">
        <v>294</v>
      </c>
      <c r="AG571" s="10911"/>
    </row>
    <row r="572" spans="1:33" ht="15.75" customHeight="1">
      <c r="A572" s="11000"/>
      <c r="B572" s="10933" t="s">
        <v>183</v>
      </c>
      <c r="C572" s="10936" t="s">
        <v>227</v>
      </c>
      <c r="D572" s="10936" t="s">
        <v>490</v>
      </c>
      <c r="E572" s="10936" t="s">
        <v>2210</v>
      </c>
      <c r="F572" s="10939" t="s">
        <v>230</v>
      </c>
      <c r="G572" s="10936" t="s">
        <v>231</v>
      </c>
      <c r="H572" s="10936" t="s">
        <v>189</v>
      </c>
      <c r="I572" s="10936" t="s">
        <v>5651</v>
      </c>
      <c r="J572" s="11010" t="s">
        <v>5701</v>
      </c>
      <c r="K572" s="10936" t="s">
        <v>5653</v>
      </c>
      <c r="L572" s="10942">
        <v>1</v>
      </c>
      <c r="M572" s="10942">
        <v>1</v>
      </c>
      <c r="N572" s="10942">
        <v>1</v>
      </c>
      <c r="O572" s="10936" t="s">
        <v>5591</v>
      </c>
      <c r="P572" s="10936" t="s">
        <v>5592</v>
      </c>
      <c r="Q572" s="10952" t="s">
        <v>5692</v>
      </c>
      <c r="R572" s="4024" t="s">
        <v>294</v>
      </c>
      <c r="S572" s="4000" t="s">
        <v>294</v>
      </c>
      <c r="T572" s="4000" t="s">
        <v>294</v>
      </c>
      <c r="U572" s="3981" t="s">
        <v>294</v>
      </c>
      <c r="V572" s="6192" t="s">
        <v>294</v>
      </c>
      <c r="W572" s="4001" t="s">
        <v>294</v>
      </c>
      <c r="X572" s="7570" t="s">
        <v>294</v>
      </c>
      <c r="Y572" s="7570" t="s">
        <v>294</v>
      </c>
      <c r="Z572" s="7570" t="s">
        <v>294</v>
      </c>
      <c r="AA572" s="7571" t="s">
        <v>294</v>
      </c>
      <c r="AB572" s="7671"/>
      <c r="AC572" s="4002"/>
      <c r="AD572" s="4001" t="s">
        <v>294</v>
      </c>
      <c r="AE572" s="4005" t="s">
        <v>294</v>
      </c>
      <c r="AF572" s="4005" t="s">
        <v>294</v>
      </c>
      <c r="AG572" s="10907" t="s">
        <v>294</v>
      </c>
    </row>
    <row r="573" spans="1:33" ht="15.75" customHeight="1">
      <c r="A573" s="11000"/>
      <c r="B573" s="10934"/>
      <c r="C573" s="10937"/>
      <c r="D573" s="10937"/>
      <c r="E573" s="10937"/>
      <c r="F573" s="10940"/>
      <c r="G573" s="10937"/>
      <c r="H573" s="10937"/>
      <c r="I573" s="10937"/>
      <c r="J573" s="11011"/>
      <c r="K573" s="10937"/>
      <c r="L573" s="10943"/>
      <c r="M573" s="10943"/>
      <c r="N573" s="10943"/>
      <c r="O573" s="10937"/>
      <c r="P573" s="10937"/>
      <c r="Q573" s="10953"/>
      <c r="R573" s="4019" t="s">
        <v>294</v>
      </c>
      <c r="S573" s="3917" t="s">
        <v>294</v>
      </c>
      <c r="T573" s="3917" t="s">
        <v>294</v>
      </c>
      <c r="U573" s="3913" t="s">
        <v>294</v>
      </c>
      <c r="V573" s="6190" t="s">
        <v>294</v>
      </c>
      <c r="W573" s="3925" t="s">
        <v>294</v>
      </c>
      <c r="X573" s="7567" t="s">
        <v>294</v>
      </c>
      <c r="Y573" s="7567" t="s">
        <v>294</v>
      </c>
      <c r="Z573" s="7567" t="s">
        <v>294</v>
      </c>
      <c r="AA573" s="7566" t="s">
        <v>294</v>
      </c>
      <c r="AB573" s="7669"/>
      <c r="AC573" s="3920"/>
      <c r="AD573" s="3925" t="s">
        <v>294</v>
      </c>
      <c r="AE573" s="3923" t="s">
        <v>294</v>
      </c>
      <c r="AF573" s="3923" t="s">
        <v>294</v>
      </c>
      <c r="AG573" s="10908"/>
    </row>
    <row r="574" spans="1:33" ht="15.75" customHeight="1">
      <c r="A574" s="11000"/>
      <c r="B574" s="10934"/>
      <c r="C574" s="10937"/>
      <c r="D574" s="10937"/>
      <c r="E574" s="10937"/>
      <c r="F574" s="10940"/>
      <c r="G574" s="10937"/>
      <c r="H574" s="10937"/>
      <c r="I574" s="10937"/>
      <c r="J574" s="11011"/>
      <c r="K574" s="10937"/>
      <c r="L574" s="10943"/>
      <c r="M574" s="10943"/>
      <c r="N574" s="10943"/>
      <c r="O574" s="10937"/>
      <c r="P574" s="10937"/>
      <c r="Q574" s="10953"/>
      <c r="R574" s="4019" t="s">
        <v>294</v>
      </c>
      <c r="S574" s="3917" t="s">
        <v>294</v>
      </c>
      <c r="T574" s="3917" t="s">
        <v>294</v>
      </c>
      <c r="U574" s="3913" t="s">
        <v>294</v>
      </c>
      <c r="V574" s="6190" t="s">
        <v>294</v>
      </c>
      <c r="W574" s="3925" t="s">
        <v>294</v>
      </c>
      <c r="X574" s="7567" t="s">
        <v>294</v>
      </c>
      <c r="Y574" s="7567" t="s">
        <v>294</v>
      </c>
      <c r="Z574" s="7567" t="s">
        <v>294</v>
      </c>
      <c r="AA574" s="7566" t="s">
        <v>294</v>
      </c>
      <c r="AB574" s="7669"/>
      <c r="AC574" s="3920"/>
      <c r="AD574" s="3925" t="s">
        <v>294</v>
      </c>
      <c r="AE574" s="3923" t="s">
        <v>294</v>
      </c>
      <c r="AF574" s="3923" t="s">
        <v>294</v>
      </c>
      <c r="AG574" s="10908"/>
    </row>
    <row r="575" spans="1:33" ht="15.75" customHeight="1">
      <c r="A575" s="11000"/>
      <c r="B575" s="10934"/>
      <c r="C575" s="10937"/>
      <c r="D575" s="10937"/>
      <c r="E575" s="10937"/>
      <c r="F575" s="10940"/>
      <c r="G575" s="10937"/>
      <c r="H575" s="10937"/>
      <c r="I575" s="10937"/>
      <c r="J575" s="11011"/>
      <c r="K575" s="10937"/>
      <c r="L575" s="10943"/>
      <c r="M575" s="10943"/>
      <c r="N575" s="10943"/>
      <c r="O575" s="10937"/>
      <c r="P575" s="10937"/>
      <c r="Q575" s="10953"/>
      <c r="R575" s="4018" t="s">
        <v>294</v>
      </c>
      <c r="S575" s="3916" t="s">
        <v>294</v>
      </c>
      <c r="T575" s="3916" t="s">
        <v>294</v>
      </c>
      <c r="U575" s="3913" t="s">
        <v>294</v>
      </c>
      <c r="V575" s="6190" t="s">
        <v>294</v>
      </c>
      <c r="W575" s="3925" t="s">
        <v>294</v>
      </c>
      <c r="X575" s="7567" t="s">
        <v>294</v>
      </c>
      <c r="Y575" s="7567" t="s">
        <v>294</v>
      </c>
      <c r="Z575" s="7567" t="s">
        <v>294</v>
      </c>
      <c r="AA575" s="7566" t="s">
        <v>294</v>
      </c>
      <c r="AB575" s="7669"/>
      <c r="AC575" s="3920"/>
      <c r="AD575" s="3925" t="s">
        <v>294</v>
      </c>
      <c r="AE575" s="3923" t="s">
        <v>294</v>
      </c>
      <c r="AF575" s="3923" t="s">
        <v>294</v>
      </c>
      <c r="AG575" s="10908"/>
    </row>
    <row r="576" spans="1:33" ht="15.75" customHeight="1">
      <c r="A576" s="11000"/>
      <c r="B576" s="10935"/>
      <c r="C576" s="10938"/>
      <c r="D576" s="10938"/>
      <c r="E576" s="10938"/>
      <c r="F576" s="10941"/>
      <c r="G576" s="10938"/>
      <c r="H576" s="10938"/>
      <c r="I576" s="10938"/>
      <c r="J576" s="11012"/>
      <c r="K576" s="10938"/>
      <c r="L576" s="10944"/>
      <c r="M576" s="10944"/>
      <c r="N576" s="10944"/>
      <c r="O576" s="10938"/>
      <c r="P576" s="10938"/>
      <c r="Q576" s="10954"/>
      <c r="R576" s="4025" t="s">
        <v>294</v>
      </c>
      <c r="S576" s="3977" t="s">
        <v>294</v>
      </c>
      <c r="T576" s="3977" t="s">
        <v>294</v>
      </c>
      <c r="U576" s="3952" t="s">
        <v>294</v>
      </c>
      <c r="V576" s="6193" t="s">
        <v>294</v>
      </c>
      <c r="W576" s="3978" t="s">
        <v>294</v>
      </c>
      <c r="X576" s="7573" t="s">
        <v>294</v>
      </c>
      <c r="Y576" s="7573" t="s">
        <v>294</v>
      </c>
      <c r="Z576" s="7573" t="s">
        <v>294</v>
      </c>
      <c r="AA576" s="7574" t="s">
        <v>294</v>
      </c>
      <c r="AB576" s="7672"/>
      <c r="AC576" s="3979"/>
      <c r="AD576" s="3978" t="s">
        <v>294</v>
      </c>
      <c r="AE576" s="3980" t="s">
        <v>294</v>
      </c>
      <c r="AF576" s="3980" t="s">
        <v>294</v>
      </c>
      <c r="AG576" s="10909"/>
    </row>
    <row r="577" spans="1:33" ht="15.75" customHeight="1">
      <c r="A577" s="11000"/>
      <c r="B577" s="10950" t="s">
        <v>183</v>
      </c>
      <c r="C577" s="10948" t="s">
        <v>227</v>
      </c>
      <c r="D577" s="10948" t="s">
        <v>228</v>
      </c>
      <c r="E577" s="10948" t="s">
        <v>407</v>
      </c>
      <c r="F577" s="10951" t="s">
        <v>230</v>
      </c>
      <c r="G577" s="10948" t="s">
        <v>231</v>
      </c>
      <c r="H577" s="10948" t="s">
        <v>189</v>
      </c>
      <c r="I577" s="10948" t="s">
        <v>5654</v>
      </c>
      <c r="J577" s="11013" t="s">
        <v>5702</v>
      </c>
      <c r="K577" s="10948" t="s">
        <v>5656</v>
      </c>
      <c r="L577" s="10949">
        <v>1</v>
      </c>
      <c r="M577" s="10949">
        <v>1</v>
      </c>
      <c r="N577" s="10949">
        <v>1</v>
      </c>
      <c r="O577" s="10948" t="s">
        <v>5657</v>
      </c>
      <c r="P577" s="10948" t="s">
        <v>5658</v>
      </c>
      <c r="Q577" s="10986" t="s">
        <v>5692</v>
      </c>
      <c r="R577" s="4064" t="s">
        <v>294</v>
      </c>
      <c r="S577" s="3907" t="s">
        <v>294</v>
      </c>
      <c r="T577" s="3907" t="s">
        <v>294</v>
      </c>
      <c r="U577" s="3906" t="s">
        <v>294</v>
      </c>
      <c r="V577" s="6189" t="s">
        <v>294</v>
      </c>
      <c r="W577" s="3908" t="s">
        <v>294</v>
      </c>
      <c r="X577" s="7562" t="s">
        <v>294</v>
      </c>
      <c r="Y577" s="7562" t="s">
        <v>294</v>
      </c>
      <c r="Z577" s="7562" t="s">
        <v>294</v>
      </c>
      <c r="AA577" s="7563" t="s">
        <v>294</v>
      </c>
      <c r="AB577" s="7668"/>
      <c r="AC577" s="3909"/>
      <c r="AD577" s="3908" t="s">
        <v>294</v>
      </c>
      <c r="AE577" s="3912" t="s">
        <v>294</v>
      </c>
      <c r="AF577" s="3912" t="s">
        <v>294</v>
      </c>
      <c r="AG577" s="10910" t="s">
        <v>294</v>
      </c>
    </row>
    <row r="578" spans="1:33" ht="15.75" customHeight="1">
      <c r="A578" s="11000"/>
      <c r="B578" s="10934"/>
      <c r="C578" s="10937"/>
      <c r="D578" s="10937"/>
      <c r="E578" s="10937"/>
      <c r="F578" s="10940"/>
      <c r="G578" s="10937"/>
      <c r="H578" s="10937"/>
      <c r="I578" s="10937"/>
      <c r="J578" s="11011"/>
      <c r="K578" s="10937"/>
      <c r="L578" s="10943"/>
      <c r="M578" s="10943"/>
      <c r="N578" s="10943"/>
      <c r="O578" s="10937"/>
      <c r="P578" s="10937"/>
      <c r="Q578" s="10953"/>
      <c r="R578" s="4019" t="s">
        <v>294</v>
      </c>
      <c r="S578" s="3917" t="s">
        <v>294</v>
      </c>
      <c r="T578" s="3917" t="s">
        <v>294</v>
      </c>
      <c r="U578" s="3913" t="s">
        <v>294</v>
      </c>
      <c r="V578" s="6190" t="s">
        <v>294</v>
      </c>
      <c r="W578" s="3925" t="s">
        <v>294</v>
      </c>
      <c r="X578" s="7567" t="s">
        <v>294</v>
      </c>
      <c r="Y578" s="7567" t="s">
        <v>294</v>
      </c>
      <c r="Z578" s="7567" t="s">
        <v>294</v>
      </c>
      <c r="AA578" s="7566" t="s">
        <v>294</v>
      </c>
      <c r="AB578" s="7669"/>
      <c r="AC578" s="3920"/>
      <c r="AD578" s="3925" t="s">
        <v>294</v>
      </c>
      <c r="AE578" s="3923" t="s">
        <v>294</v>
      </c>
      <c r="AF578" s="3923" t="s">
        <v>294</v>
      </c>
      <c r="AG578" s="10908"/>
    </row>
    <row r="579" spans="1:33" ht="15.75" customHeight="1">
      <c r="A579" s="11000"/>
      <c r="B579" s="10934"/>
      <c r="C579" s="10937"/>
      <c r="D579" s="10937"/>
      <c r="E579" s="10937"/>
      <c r="F579" s="10940"/>
      <c r="G579" s="10937"/>
      <c r="H579" s="10937"/>
      <c r="I579" s="10937"/>
      <c r="J579" s="11011"/>
      <c r="K579" s="10937"/>
      <c r="L579" s="10943"/>
      <c r="M579" s="10943"/>
      <c r="N579" s="10943"/>
      <c r="O579" s="10937"/>
      <c r="P579" s="10937"/>
      <c r="Q579" s="10953"/>
      <c r="R579" s="4019" t="s">
        <v>294</v>
      </c>
      <c r="S579" s="3917" t="s">
        <v>294</v>
      </c>
      <c r="T579" s="3917" t="s">
        <v>294</v>
      </c>
      <c r="U579" s="3913" t="s">
        <v>294</v>
      </c>
      <c r="V579" s="6190" t="s">
        <v>294</v>
      </c>
      <c r="W579" s="3925" t="s">
        <v>294</v>
      </c>
      <c r="X579" s="7567" t="s">
        <v>294</v>
      </c>
      <c r="Y579" s="7567" t="s">
        <v>294</v>
      </c>
      <c r="Z579" s="7567" t="s">
        <v>294</v>
      </c>
      <c r="AA579" s="7566" t="s">
        <v>294</v>
      </c>
      <c r="AB579" s="7669"/>
      <c r="AC579" s="3920"/>
      <c r="AD579" s="3925" t="s">
        <v>294</v>
      </c>
      <c r="AE579" s="3923" t="s">
        <v>294</v>
      </c>
      <c r="AF579" s="3923" t="s">
        <v>294</v>
      </c>
      <c r="AG579" s="10908"/>
    </row>
    <row r="580" spans="1:33" ht="15.75" customHeight="1">
      <c r="A580" s="11000"/>
      <c r="B580" s="10934"/>
      <c r="C580" s="10937"/>
      <c r="D580" s="10937"/>
      <c r="E580" s="10937"/>
      <c r="F580" s="10940"/>
      <c r="G580" s="10937"/>
      <c r="H580" s="10937"/>
      <c r="I580" s="10937"/>
      <c r="J580" s="11011"/>
      <c r="K580" s="10937"/>
      <c r="L580" s="10943"/>
      <c r="M580" s="10943"/>
      <c r="N580" s="10943"/>
      <c r="O580" s="10937"/>
      <c r="P580" s="10937"/>
      <c r="Q580" s="10953"/>
      <c r="R580" s="4018" t="s">
        <v>294</v>
      </c>
      <c r="S580" s="3916" t="s">
        <v>294</v>
      </c>
      <c r="T580" s="3916" t="s">
        <v>294</v>
      </c>
      <c r="U580" s="3913" t="s">
        <v>294</v>
      </c>
      <c r="V580" s="6190" t="s">
        <v>294</v>
      </c>
      <c r="W580" s="3925" t="s">
        <v>294</v>
      </c>
      <c r="X580" s="7567" t="s">
        <v>294</v>
      </c>
      <c r="Y580" s="7567" t="s">
        <v>294</v>
      </c>
      <c r="Z580" s="7567" t="s">
        <v>294</v>
      </c>
      <c r="AA580" s="7566" t="s">
        <v>294</v>
      </c>
      <c r="AB580" s="7669"/>
      <c r="AC580" s="3920"/>
      <c r="AD580" s="3925" t="s">
        <v>294</v>
      </c>
      <c r="AE580" s="3923" t="s">
        <v>294</v>
      </c>
      <c r="AF580" s="3923" t="s">
        <v>294</v>
      </c>
      <c r="AG580" s="10908"/>
    </row>
    <row r="581" spans="1:33" ht="15.75" customHeight="1">
      <c r="A581" s="11000"/>
      <c r="B581" s="10993"/>
      <c r="C581" s="10985"/>
      <c r="D581" s="10985"/>
      <c r="E581" s="10985"/>
      <c r="F581" s="10994"/>
      <c r="G581" s="10985"/>
      <c r="H581" s="10985"/>
      <c r="I581" s="10985"/>
      <c r="J581" s="11014"/>
      <c r="K581" s="10985"/>
      <c r="L581" s="10984"/>
      <c r="M581" s="10984"/>
      <c r="N581" s="10984"/>
      <c r="O581" s="10985"/>
      <c r="P581" s="10985"/>
      <c r="Q581" s="10987"/>
      <c r="R581" s="4066" t="s">
        <v>294</v>
      </c>
      <c r="S581" s="4038" t="s">
        <v>294</v>
      </c>
      <c r="T581" s="4038" t="s">
        <v>294</v>
      </c>
      <c r="U581" s="3982" t="s">
        <v>294</v>
      </c>
      <c r="V581" s="6191" t="s">
        <v>294</v>
      </c>
      <c r="W581" s="4039" t="s">
        <v>294</v>
      </c>
      <c r="X581" s="7568" t="s">
        <v>294</v>
      </c>
      <c r="Y581" s="7568" t="s">
        <v>294</v>
      </c>
      <c r="Z581" s="7568" t="s">
        <v>294</v>
      </c>
      <c r="AA581" s="7569" t="s">
        <v>294</v>
      </c>
      <c r="AB581" s="7670"/>
      <c r="AC581" s="4040"/>
      <c r="AD581" s="4039" t="s">
        <v>294</v>
      </c>
      <c r="AE581" s="4043" t="s">
        <v>294</v>
      </c>
      <c r="AF581" s="4043" t="s">
        <v>294</v>
      </c>
      <c r="AG581" s="10911"/>
    </row>
    <row r="582" spans="1:33" ht="15.75" customHeight="1">
      <c r="A582" s="11000"/>
      <c r="B582" s="10933" t="s">
        <v>183</v>
      </c>
      <c r="C582" s="10936" t="s">
        <v>227</v>
      </c>
      <c r="D582" s="10936" t="s">
        <v>490</v>
      </c>
      <c r="E582" s="10936" t="s">
        <v>2210</v>
      </c>
      <c r="F582" s="10939" t="s">
        <v>230</v>
      </c>
      <c r="G582" s="10936" t="s">
        <v>231</v>
      </c>
      <c r="H582" s="10936" t="s">
        <v>133</v>
      </c>
      <c r="I582" s="10936" t="s">
        <v>5659</v>
      </c>
      <c r="J582" s="11010" t="s">
        <v>5703</v>
      </c>
      <c r="K582" s="10936" t="s">
        <v>5661</v>
      </c>
      <c r="L582" s="10942">
        <v>1</v>
      </c>
      <c r="M582" s="10942">
        <v>1</v>
      </c>
      <c r="N582" s="10942">
        <v>1</v>
      </c>
      <c r="O582" s="10936" t="s">
        <v>5662</v>
      </c>
      <c r="P582" s="10936" t="s">
        <v>5663</v>
      </c>
      <c r="Q582" s="10952" t="s">
        <v>5692</v>
      </c>
      <c r="R582" s="4024" t="s">
        <v>294</v>
      </c>
      <c r="S582" s="4000" t="s">
        <v>294</v>
      </c>
      <c r="T582" s="4000" t="s">
        <v>294</v>
      </c>
      <c r="U582" s="3981" t="s">
        <v>294</v>
      </c>
      <c r="V582" s="6192" t="s">
        <v>294</v>
      </c>
      <c r="W582" s="4001" t="s">
        <v>294</v>
      </c>
      <c r="X582" s="7570" t="s">
        <v>294</v>
      </c>
      <c r="Y582" s="7570" t="s">
        <v>294</v>
      </c>
      <c r="Z582" s="7570" t="s">
        <v>294</v>
      </c>
      <c r="AA582" s="7571" t="s">
        <v>294</v>
      </c>
      <c r="AB582" s="7671"/>
      <c r="AC582" s="4002"/>
      <c r="AD582" s="4001" t="s">
        <v>294</v>
      </c>
      <c r="AE582" s="4005" t="s">
        <v>294</v>
      </c>
      <c r="AF582" s="4005" t="s">
        <v>294</v>
      </c>
      <c r="AG582" s="10907" t="s">
        <v>294</v>
      </c>
    </row>
    <row r="583" spans="1:33" ht="15.75" customHeight="1">
      <c r="A583" s="11000"/>
      <c r="B583" s="10934"/>
      <c r="C583" s="10937"/>
      <c r="D583" s="10937"/>
      <c r="E583" s="10937"/>
      <c r="F583" s="10940"/>
      <c r="G583" s="10937"/>
      <c r="H583" s="10937"/>
      <c r="I583" s="10937"/>
      <c r="J583" s="11011"/>
      <c r="K583" s="10937"/>
      <c r="L583" s="10943"/>
      <c r="M583" s="10943"/>
      <c r="N583" s="10943"/>
      <c r="O583" s="10937"/>
      <c r="P583" s="10937"/>
      <c r="Q583" s="10953"/>
      <c r="R583" s="4019" t="s">
        <v>294</v>
      </c>
      <c r="S583" s="3917" t="s">
        <v>294</v>
      </c>
      <c r="T583" s="3917" t="s">
        <v>294</v>
      </c>
      <c r="U583" s="3913" t="s">
        <v>294</v>
      </c>
      <c r="V583" s="6190" t="s">
        <v>294</v>
      </c>
      <c r="W583" s="3925" t="s">
        <v>294</v>
      </c>
      <c r="X583" s="7567" t="s">
        <v>294</v>
      </c>
      <c r="Y583" s="7567" t="s">
        <v>294</v>
      </c>
      <c r="Z583" s="7567" t="s">
        <v>294</v>
      </c>
      <c r="AA583" s="7566" t="s">
        <v>294</v>
      </c>
      <c r="AB583" s="7669"/>
      <c r="AC583" s="3920"/>
      <c r="AD583" s="3925" t="s">
        <v>294</v>
      </c>
      <c r="AE583" s="3923" t="s">
        <v>294</v>
      </c>
      <c r="AF583" s="3923" t="s">
        <v>294</v>
      </c>
      <c r="AG583" s="10908"/>
    </row>
    <row r="584" spans="1:33" ht="15.75" customHeight="1">
      <c r="A584" s="11000"/>
      <c r="B584" s="10934"/>
      <c r="C584" s="10937"/>
      <c r="D584" s="10937"/>
      <c r="E584" s="10937"/>
      <c r="F584" s="10940"/>
      <c r="G584" s="10937"/>
      <c r="H584" s="10937"/>
      <c r="I584" s="10937"/>
      <c r="J584" s="11011"/>
      <c r="K584" s="10937"/>
      <c r="L584" s="10943"/>
      <c r="M584" s="10943"/>
      <c r="N584" s="10943"/>
      <c r="O584" s="10937"/>
      <c r="P584" s="10937"/>
      <c r="Q584" s="10953"/>
      <c r="R584" s="4019" t="s">
        <v>294</v>
      </c>
      <c r="S584" s="3917" t="s">
        <v>294</v>
      </c>
      <c r="T584" s="3917" t="s">
        <v>294</v>
      </c>
      <c r="U584" s="3913" t="s">
        <v>294</v>
      </c>
      <c r="V584" s="6190" t="s">
        <v>294</v>
      </c>
      <c r="W584" s="3925" t="s">
        <v>294</v>
      </c>
      <c r="X584" s="7567" t="s">
        <v>294</v>
      </c>
      <c r="Y584" s="7567" t="s">
        <v>294</v>
      </c>
      <c r="Z584" s="7567" t="s">
        <v>294</v>
      </c>
      <c r="AA584" s="7566" t="s">
        <v>294</v>
      </c>
      <c r="AB584" s="7669"/>
      <c r="AC584" s="3920"/>
      <c r="AD584" s="3925" t="s">
        <v>294</v>
      </c>
      <c r="AE584" s="3923" t="s">
        <v>294</v>
      </c>
      <c r="AF584" s="3923" t="s">
        <v>294</v>
      </c>
      <c r="AG584" s="10908"/>
    </row>
    <row r="585" spans="1:33" ht="15.75" customHeight="1">
      <c r="A585" s="11000"/>
      <c r="B585" s="10934"/>
      <c r="C585" s="10937"/>
      <c r="D585" s="10937"/>
      <c r="E585" s="10937"/>
      <c r="F585" s="10940"/>
      <c r="G585" s="10937"/>
      <c r="H585" s="10937"/>
      <c r="I585" s="10937"/>
      <c r="J585" s="11011"/>
      <c r="K585" s="10937"/>
      <c r="L585" s="10943"/>
      <c r="M585" s="10943"/>
      <c r="N585" s="10943"/>
      <c r="O585" s="10937"/>
      <c r="P585" s="10937"/>
      <c r="Q585" s="10953"/>
      <c r="R585" s="4018" t="s">
        <v>294</v>
      </c>
      <c r="S585" s="3916" t="s">
        <v>294</v>
      </c>
      <c r="T585" s="3916" t="s">
        <v>294</v>
      </c>
      <c r="U585" s="3913" t="s">
        <v>294</v>
      </c>
      <c r="V585" s="6190" t="s">
        <v>294</v>
      </c>
      <c r="W585" s="3925" t="s">
        <v>294</v>
      </c>
      <c r="X585" s="7567" t="s">
        <v>294</v>
      </c>
      <c r="Y585" s="7567" t="s">
        <v>294</v>
      </c>
      <c r="Z585" s="7567" t="s">
        <v>294</v>
      </c>
      <c r="AA585" s="7566" t="s">
        <v>294</v>
      </c>
      <c r="AB585" s="7669"/>
      <c r="AC585" s="3920"/>
      <c r="AD585" s="3925" t="s">
        <v>294</v>
      </c>
      <c r="AE585" s="3923" t="s">
        <v>294</v>
      </c>
      <c r="AF585" s="3923" t="s">
        <v>294</v>
      </c>
      <c r="AG585" s="10908"/>
    </row>
    <row r="586" spans="1:33" ht="15.75" customHeight="1">
      <c r="A586" s="11000"/>
      <c r="B586" s="10935"/>
      <c r="C586" s="10938"/>
      <c r="D586" s="10938"/>
      <c r="E586" s="10938"/>
      <c r="F586" s="10941"/>
      <c r="G586" s="10938"/>
      <c r="H586" s="10938"/>
      <c r="I586" s="10938"/>
      <c r="J586" s="11012"/>
      <c r="K586" s="10938"/>
      <c r="L586" s="10944"/>
      <c r="M586" s="10944"/>
      <c r="N586" s="10944"/>
      <c r="O586" s="10938"/>
      <c r="P586" s="10938"/>
      <c r="Q586" s="10954"/>
      <c r="R586" s="4025" t="s">
        <v>294</v>
      </c>
      <c r="S586" s="3977" t="s">
        <v>294</v>
      </c>
      <c r="T586" s="3977" t="s">
        <v>294</v>
      </c>
      <c r="U586" s="3952" t="s">
        <v>294</v>
      </c>
      <c r="V586" s="6193" t="s">
        <v>294</v>
      </c>
      <c r="W586" s="3978" t="s">
        <v>294</v>
      </c>
      <c r="X586" s="7573" t="s">
        <v>294</v>
      </c>
      <c r="Y586" s="7573" t="s">
        <v>294</v>
      </c>
      <c r="Z586" s="7573" t="s">
        <v>294</v>
      </c>
      <c r="AA586" s="7574" t="s">
        <v>294</v>
      </c>
      <c r="AB586" s="7672"/>
      <c r="AC586" s="3979"/>
      <c r="AD586" s="3978" t="s">
        <v>294</v>
      </c>
      <c r="AE586" s="3980" t="s">
        <v>294</v>
      </c>
      <c r="AF586" s="3980" t="s">
        <v>294</v>
      </c>
      <c r="AG586" s="10909"/>
    </row>
    <row r="587" spans="1:33" ht="15.75" customHeight="1">
      <c r="A587" s="11000"/>
      <c r="B587" s="10950" t="s">
        <v>183</v>
      </c>
      <c r="C587" s="10948" t="s">
        <v>128</v>
      </c>
      <c r="D587" s="10948" t="s">
        <v>228</v>
      </c>
      <c r="E587" s="10948" t="s">
        <v>407</v>
      </c>
      <c r="F587" s="10951" t="s">
        <v>230</v>
      </c>
      <c r="G587" s="10948" t="s">
        <v>171</v>
      </c>
      <c r="H587" s="10948" t="s">
        <v>133</v>
      </c>
      <c r="I587" s="10948" t="s">
        <v>5664</v>
      </c>
      <c r="J587" s="11013" t="s">
        <v>5704</v>
      </c>
      <c r="K587" s="10948" t="s">
        <v>5666</v>
      </c>
      <c r="L587" s="10949">
        <v>1</v>
      </c>
      <c r="M587" s="10949">
        <v>1</v>
      </c>
      <c r="N587" s="10949">
        <v>1</v>
      </c>
      <c r="O587" s="10948" t="s">
        <v>5667</v>
      </c>
      <c r="P587" s="10948" t="s">
        <v>5668</v>
      </c>
      <c r="Q587" s="10986" t="s">
        <v>5692</v>
      </c>
      <c r="R587" s="4064" t="s">
        <v>294</v>
      </c>
      <c r="S587" s="3907" t="s">
        <v>294</v>
      </c>
      <c r="T587" s="3907" t="s">
        <v>294</v>
      </c>
      <c r="U587" s="3906" t="s">
        <v>294</v>
      </c>
      <c r="V587" s="6189" t="s">
        <v>294</v>
      </c>
      <c r="W587" s="3908" t="s">
        <v>294</v>
      </c>
      <c r="X587" s="7562" t="s">
        <v>294</v>
      </c>
      <c r="Y587" s="7562" t="s">
        <v>294</v>
      </c>
      <c r="Z587" s="7562" t="s">
        <v>294</v>
      </c>
      <c r="AA587" s="7563" t="s">
        <v>294</v>
      </c>
      <c r="AB587" s="7668"/>
      <c r="AC587" s="3909"/>
      <c r="AD587" s="3908" t="s">
        <v>294</v>
      </c>
      <c r="AE587" s="3912" t="s">
        <v>294</v>
      </c>
      <c r="AF587" s="3912" t="s">
        <v>294</v>
      </c>
      <c r="AG587" s="10910" t="s">
        <v>294</v>
      </c>
    </row>
    <row r="588" spans="1:33" ht="15.75" customHeight="1">
      <c r="A588" s="11000"/>
      <c r="B588" s="10934"/>
      <c r="C588" s="10937"/>
      <c r="D588" s="10937"/>
      <c r="E588" s="10937"/>
      <c r="F588" s="10940"/>
      <c r="G588" s="10937"/>
      <c r="H588" s="10937"/>
      <c r="I588" s="10937"/>
      <c r="J588" s="11011"/>
      <c r="K588" s="10937"/>
      <c r="L588" s="10943"/>
      <c r="M588" s="10943"/>
      <c r="N588" s="10943"/>
      <c r="O588" s="10937"/>
      <c r="P588" s="10937"/>
      <c r="Q588" s="10953"/>
      <c r="R588" s="4019" t="s">
        <v>294</v>
      </c>
      <c r="S588" s="3917" t="s">
        <v>294</v>
      </c>
      <c r="T588" s="3917" t="s">
        <v>294</v>
      </c>
      <c r="U588" s="3913" t="s">
        <v>294</v>
      </c>
      <c r="V588" s="6190" t="s">
        <v>294</v>
      </c>
      <c r="W588" s="3925" t="s">
        <v>294</v>
      </c>
      <c r="X588" s="7567" t="s">
        <v>294</v>
      </c>
      <c r="Y588" s="7567" t="s">
        <v>294</v>
      </c>
      <c r="Z588" s="7567" t="s">
        <v>294</v>
      </c>
      <c r="AA588" s="7566" t="s">
        <v>294</v>
      </c>
      <c r="AB588" s="7669"/>
      <c r="AC588" s="3920"/>
      <c r="AD588" s="3925" t="s">
        <v>294</v>
      </c>
      <c r="AE588" s="3923" t="s">
        <v>294</v>
      </c>
      <c r="AF588" s="3923" t="s">
        <v>294</v>
      </c>
      <c r="AG588" s="10908"/>
    </row>
    <row r="589" spans="1:33" ht="15.75" customHeight="1">
      <c r="A589" s="11000"/>
      <c r="B589" s="10934"/>
      <c r="C589" s="10937"/>
      <c r="D589" s="10937"/>
      <c r="E589" s="10937"/>
      <c r="F589" s="10940"/>
      <c r="G589" s="10937"/>
      <c r="H589" s="10937"/>
      <c r="I589" s="10937"/>
      <c r="J589" s="11011"/>
      <c r="K589" s="10937"/>
      <c r="L589" s="10943"/>
      <c r="M589" s="10943"/>
      <c r="N589" s="10943"/>
      <c r="O589" s="10937"/>
      <c r="P589" s="10937"/>
      <c r="Q589" s="10953"/>
      <c r="R589" s="4019" t="s">
        <v>294</v>
      </c>
      <c r="S589" s="3917" t="s">
        <v>294</v>
      </c>
      <c r="T589" s="3917" t="s">
        <v>294</v>
      </c>
      <c r="U589" s="3913" t="s">
        <v>294</v>
      </c>
      <c r="V589" s="6190" t="s">
        <v>294</v>
      </c>
      <c r="W589" s="3925" t="s">
        <v>294</v>
      </c>
      <c r="X589" s="7567" t="s">
        <v>294</v>
      </c>
      <c r="Y589" s="7567" t="s">
        <v>294</v>
      </c>
      <c r="Z589" s="7567" t="s">
        <v>294</v>
      </c>
      <c r="AA589" s="7566" t="s">
        <v>294</v>
      </c>
      <c r="AB589" s="7669"/>
      <c r="AC589" s="3920"/>
      <c r="AD589" s="3925" t="s">
        <v>294</v>
      </c>
      <c r="AE589" s="3923" t="s">
        <v>294</v>
      </c>
      <c r="AF589" s="3923" t="s">
        <v>294</v>
      </c>
      <c r="AG589" s="10908"/>
    </row>
    <row r="590" spans="1:33" ht="15.75" customHeight="1">
      <c r="A590" s="11000"/>
      <c r="B590" s="10934"/>
      <c r="C590" s="10937"/>
      <c r="D590" s="10937"/>
      <c r="E590" s="10937"/>
      <c r="F590" s="10940"/>
      <c r="G590" s="10937"/>
      <c r="H590" s="10937"/>
      <c r="I590" s="10937"/>
      <c r="J590" s="11011"/>
      <c r="K590" s="10937"/>
      <c r="L590" s="10943"/>
      <c r="M590" s="10943"/>
      <c r="N590" s="10943"/>
      <c r="O590" s="10937"/>
      <c r="P590" s="10937"/>
      <c r="Q590" s="10953"/>
      <c r="R590" s="4018" t="s">
        <v>294</v>
      </c>
      <c r="S590" s="3916" t="s">
        <v>294</v>
      </c>
      <c r="T590" s="3916" t="s">
        <v>294</v>
      </c>
      <c r="U590" s="3913" t="s">
        <v>294</v>
      </c>
      <c r="V590" s="6190" t="s">
        <v>294</v>
      </c>
      <c r="W590" s="3925" t="s">
        <v>294</v>
      </c>
      <c r="X590" s="7567" t="s">
        <v>294</v>
      </c>
      <c r="Y590" s="7567" t="s">
        <v>294</v>
      </c>
      <c r="Z590" s="7567" t="s">
        <v>294</v>
      </c>
      <c r="AA590" s="7566" t="s">
        <v>294</v>
      </c>
      <c r="AB590" s="7669"/>
      <c r="AC590" s="3920"/>
      <c r="AD590" s="3925" t="s">
        <v>294</v>
      </c>
      <c r="AE590" s="3923" t="s">
        <v>294</v>
      </c>
      <c r="AF590" s="3923" t="s">
        <v>294</v>
      </c>
      <c r="AG590" s="10908"/>
    </row>
    <row r="591" spans="1:33" ht="15.75" customHeight="1">
      <c r="A591" s="11000"/>
      <c r="B591" s="10993"/>
      <c r="C591" s="10985"/>
      <c r="D591" s="10985"/>
      <c r="E591" s="10985"/>
      <c r="F591" s="10994"/>
      <c r="G591" s="10985"/>
      <c r="H591" s="10985"/>
      <c r="I591" s="10985"/>
      <c r="J591" s="11014"/>
      <c r="K591" s="10985"/>
      <c r="L591" s="10984"/>
      <c r="M591" s="10984"/>
      <c r="N591" s="10984"/>
      <c r="O591" s="10985"/>
      <c r="P591" s="10985"/>
      <c r="Q591" s="10987"/>
      <c r="R591" s="4066" t="s">
        <v>294</v>
      </c>
      <c r="S591" s="4038" t="s">
        <v>294</v>
      </c>
      <c r="T591" s="4038" t="s">
        <v>294</v>
      </c>
      <c r="U591" s="3982" t="s">
        <v>294</v>
      </c>
      <c r="V591" s="6191" t="s">
        <v>294</v>
      </c>
      <c r="W591" s="4039" t="s">
        <v>294</v>
      </c>
      <c r="X591" s="7568" t="s">
        <v>294</v>
      </c>
      <c r="Y591" s="7568" t="s">
        <v>294</v>
      </c>
      <c r="Z591" s="7568" t="s">
        <v>294</v>
      </c>
      <c r="AA591" s="7569" t="s">
        <v>294</v>
      </c>
      <c r="AB591" s="7670"/>
      <c r="AC591" s="4040"/>
      <c r="AD591" s="4039" t="s">
        <v>294</v>
      </c>
      <c r="AE591" s="4043" t="s">
        <v>294</v>
      </c>
      <c r="AF591" s="4043" t="s">
        <v>294</v>
      </c>
      <c r="AG591" s="10911"/>
    </row>
    <row r="592" spans="1:33" ht="15.75" customHeight="1">
      <c r="A592" s="11000"/>
      <c r="B592" s="10933" t="s">
        <v>183</v>
      </c>
      <c r="C592" s="10936" t="s">
        <v>227</v>
      </c>
      <c r="D592" s="10936" t="s">
        <v>490</v>
      </c>
      <c r="E592" s="10936" t="s">
        <v>2210</v>
      </c>
      <c r="F592" s="10939" t="s">
        <v>230</v>
      </c>
      <c r="G592" s="10936" t="s">
        <v>231</v>
      </c>
      <c r="H592" s="10936" t="s">
        <v>159</v>
      </c>
      <c r="I592" s="10936" t="s">
        <v>5669</v>
      </c>
      <c r="J592" s="11010" t="s">
        <v>5705</v>
      </c>
      <c r="K592" s="10936" t="s">
        <v>5671</v>
      </c>
      <c r="L592" s="10942">
        <v>1</v>
      </c>
      <c r="M592" s="10942">
        <v>1</v>
      </c>
      <c r="N592" s="10942">
        <v>1</v>
      </c>
      <c r="O592" s="10936" t="s">
        <v>5672</v>
      </c>
      <c r="P592" s="10936" t="s">
        <v>5673</v>
      </c>
      <c r="Q592" s="10952" t="s">
        <v>5692</v>
      </c>
      <c r="R592" s="4024" t="s">
        <v>294</v>
      </c>
      <c r="S592" s="4000" t="s">
        <v>294</v>
      </c>
      <c r="T592" s="4000" t="s">
        <v>294</v>
      </c>
      <c r="U592" s="3981" t="s">
        <v>294</v>
      </c>
      <c r="V592" s="6192" t="s">
        <v>294</v>
      </c>
      <c r="W592" s="4001" t="s">
        <v>294</v>
      </c>
      <c r="X592" s="7570" t="s">
        <v>294</v>
      </c>
      <c r="Y592" s="7570" t="s">
        <v>294</v>
      </c>
      <c r="Z592" s="7570" t="s">
        <v>294</v>
      </c>
      <c r="AA592" s="7571" t="s">
        <v>294</v>
      </c>
      <c r="AB592" s="7671"/>
      <c r="AC592" s="4002"/>
      <c r="AD592" s="4001" t="s">
        <v>294</v>
      </c>
      <c r="AE592" s="4005" t="s">
        <v>294</v>
      </c>
      <c r="AF592" s="4005" t="s">
        <v>294</v>
      </c>
      <c r="AG592" s="10907" t="s">
        <v>294</v>
      </c>
    </row>
    <row r="593" spans="1:33" ht="15.75" customHeight="1">
      <c r="A593" s="11000"/>
      <c r="B593" s="10934"/>
      <c r="C593" s="10937"/>
      <c r="D593" s="10937"/>
      <c r="E593" s="10937"/>
      <c r="F593" s="10940"/>
      <c r="G593" s="10937"/>
      <c r="H593" s="10937"/>
      <c r="I593" s="10937"/>
      <c r="J593" s="11011"/>
      <c r="K593" s="10937"/>
      <c r="L593" s="10943"/>
      <c r="M593" s="10943"/>
      <c r="N593" s="10943"/>
      <c r="O593" s="10937"/>
      <c r="P593" s="10937"/>
      <c r="Q593" s="10953"/>
      <c r="R593" s="4019" t="s">
        <v>294</v>
      </c>
      <c r="S593" s="3917" t="s">
        <v>294</v>
      </c>
      <c r="T593" s="3917" t="s">
        <v>294</v>
      </c>
      <c r="U593" s="3913" t="s">
        <v>294</v>
      </c>
      <c r="V593" s="6190" t="s">
        <v>294</v>
      </c>
      <c r="W593" s="3925" t="s">
        <v>294</v>
      </c>
      <c r="X593" s="7567" t="s">
        <v>294</v>
      </c>
      <c r="Y593" s="7567" t="s">
        <v>294</v>
      </c>
      <c r="Z593" s="7567" t="s">
        <v>294</v>
      </c>
      <c r="AA593" s="7566" t="s">
        <v>294</v>
      </c>
      <c r="AB593" s="7669"/>
      <c r="AC593" s="3920"/>
      <c r="AD593" s="3925" t="s">
        <v>294</v>
      </c>
      <c r="AE593" s="3923" t="s">
        <v>294</v>
      </c>
      <c r="AF593" s="3923" t="s">
        <v>294</v>
      </c>
      <c r="AG593" s="10908"/>
    </row>
    <row r="594" spans="1:33" ht="15.75" customHeight="1">
      <c r="A594" s="11000"/>
      <c r="B594" s="10934"/>
      <c r="C594" s="10937"/>
      <c r="D594" s="10937"/>
      <c r="E594" s="10937"/>
      <c r="F594" s="10940"/>
      <c r="G594" s="10937"/>
      <c r="H594" s="10937"/>
      <c r="I594" s="10937"/>
      <c r="J594" s="11011"/>
      <c r="K594" s="10937"/>
      <c r="L594" s="10943"/>
      <c r="M594" s="10943"/>
      <c r="N594" s="10943"/>
      <c r="O594" s="10937"/>
      <c r="P594" s="10937"/>
      <c r="Q594" s="10953"/>
      <c r="R594" s="4019" t="s">
        <v>294</v>
      </c>
      <c r="S594" s="3917" t="s">
        <v>294</v>
      </c>
      <c r="T594" s="3917" t="s">
        <v>294</v>
      </c>
      <c r="U594" s="3913" t="s">
        <v>294</v>
      </c>
      <c r="V594" s="6190" t="s">
        <v>294</v>
      </c>
      <c r="W594" s="3925" t="s">
        <v>294</v>
      </c>
      <c r="X594" s="7567" t="s">
        <v>294</v>
      </c>
      <c r="Y594" s="7567" t="s">
        <v>294</v>
      </c>
      <c r="Z594" s="7567" t="s">
        <v>294</v>
      </c>
      <c r="AA594" s="7566" t="s">
        <v>294</v>
      </c>
      <c r="AB594" s="7669"/>
      <c r="AC594" s="3920"/>
      <c r="AD594" s="3925" t="s">
        <v>294</v>
      </c>
      <c r="AE594" s="3923" t="s">
        <v>294</v>
      </c>
      <c r="AF594" s="3923" t="s">
        <v>294</v>
      </c>
      <c r="AG594" s="10908"/>
    </row>
    <row r="595" spans="1:33" ht="15.75" customHeight="1">
      <c r="A595" s="11000"/>
      <c r="B595" s="10934"/>
      <c r="C595" s="10937"/>
      <c r="D595" s="10937"/>
      <c r="E595" s="10937"/>
      <c r="F595" s="10940"/>
      <c r="G595" s="10937"/>
      <c r="H595" s="10937"/>
      <c r="I595" s="10937"/>
      <c r="J595" s="11011"/>
      <c r="K595" s="10937"/>
      <c r="L595" s="10943"/>
      <c r="M595" s="10943"/>
      <c r="N595" s="10943"/>
      <c r="O595" s="10937"/>
      <c r="P595" s="10937"/>
      <c r="Q595" s="10953"/>
      <c r="R595" s="4018" t="s">
        <v>294</v>
      </c>
      <c r="S595" s="3916" t="s">
        <v>294</v>
      </c>
      <c r="T595" s="3916" t="s">
        <v>294</v>
      </c>
      <c r="U595" s="3913" t="s">
        <v>294</v>
      </c>
      <c r="V595" s="6190" t="s">
        <v>294</v>
      </c>
      <c r="W595" s="3925" t="s">
        <v>294</v>
      </c>
      <c r="X595" s="7567" t="s">
        <v>294</v>
      </c>
      <c r="Y595" s="7567" t="s">
        <v>294</v>
      </c>
      <c r="Z595" s="7567" t="s">
        <v>294</v>
      </c>
      <c r="AA595" s="7566" t="s">
        <v>294</v>
      </c>
      <c r="AB595" s="7669"/>
      <c r="AC595" s="3920"/>
      <c r="AD595" s="3925" t="s">
        <v>294</v>
      </c>
      <c r="AE595" s="3923" t="s">
        <v>294</v>
      </c>
      <c r="AF595" s="3923" t="s">
        <v>294</v>
      </c>
      <c r="AG595" s="10908"/>
    </row>
    <row r="596" spans="1:33" ht="15.75" customHeight="1">
      <c r="A596" s="11000"/>
      <c r="B596" s="10935"/>
      <c r="C596" s="10938"/>
      <c r="D596" s="10938"/>
      <c r="E596" s="10938"/>
      <c r="F596" s="10941"/>
      <c r="G596" s="10938"/>
      <c r="H596" s="10938"/>
      <c r="I596" s="10938"/>
      <c r="J596" s="11012"/>
      <c r="K596" s="10938"/>
      <c r="L596" s="10944"/>
      <c r="M596" s="10944"/>
      <c r="N596" s="10944"/>
      <c r="O596" s="10938"/>
      <c r="P596" s="10938"/>
      <c r="Q596" s="10954"/>
      <c r="R596" s="4025" t="s">
        <v>294</v>
      </c>
      <c r="S596" s="3977" t="s">
        <v>294</v>
      </c>
      <c r="T596" s="3977" t="s">
        <v>294</v>
      </c>
      <c r="U596" s="3952" t="s">
        <v>294</v>
      </c>
      <c r="V596" s="6193" t="s">
        <v>294</v>
      </c>
      <c r="W596" s="3978" t="s">
        <v>294</v>
      </c>
      <c r="X596" s="7573" t="s">
        <v>294</v>
      </c>
      <c r="Y596" s="7573" t="s">
        <v>294</v>
      </c>
      <c r="Z596" s="7573" t="s">
        <v>294</v>
      </c>
      <c r="AA596" s="7574" t="s">
        <v>294</v>
      </c>
      <c r="AB596" s="7672"/>
      <c r="AC596" s="3979"/>
      <c r="AD596" s="3978" t="s">
        <v>294</v>
      </c>
      <c r="AE596" s="3980" t="s">
        <v>294</v>
      </c>
      <c r="AF596" s="3980" t="s">
        <v>294</v>
      </c>
      <c r="AG596" s="10909"/>
    </row>
    <row r="597" spans="1:33" ht="15.75" customHeight="1">
      <c r="A597" s="11000"/>
      <c r="B597" s="10950" t="s">
        <v>183</v>
      </c>
      <c r="C597" s="10948" t="s">
        <v>227</v>
      </c>
      <c r="D597" s="10948" t="s">
        <v>228</v>
      </c>
      <c r="E597" s="10948" t="s">
        <v>255</v>
      </c>
      <c r="F597" s="10951" t="s">
        <v>230</v>
      </c>
      <c r="G597" s="10948" t="s">
        <v>231</v>
      </c>
      <c r="H597" s="10948" t="s">
        <v>189</v>
      </c>
      <c r="I597" s="10948" t="s">
        <v>5674</v>
      </c>
      <c r="J597" s="11013" t="s">
        <v>5706</v>
      </c>
      <c r="K597" s="10948" t="s">
        <v>5676</v>
      </c>
      <c r="L597" s="10949">
        <v>1</v>
      </c>
      <c r="M597" s="10949">
        <v>1</v>
      </c>
      <c r="N597" s="10949">
        <v>1</v>
      </c>
      <c r="O597" s="10948" t="s">
        <v>5677</v>
      </c>
      <c r="P597" s="10948" t="s">
        <v>5678</v>
      </c>
      <c r="Q597" s="10986" t="s">
        <v>5692</v>
      </c>
      <c r="R597" s="4064" t="s">
        <v>294</v>
      </c>
      <c r="S597" s="3907" t="s">
        <v>294</v>
      </c>
      <c r="T597" s="3907" t="s">
        <v>294</v>
      </c>
      <c r="U597" s="3906" t="s">
        <v>294</v>
      </c>
      <c r="V597" s="6189" t="s">
        <v>294</v>
      </c>
      <c r="W597" s="3908" t="s">
        <v>294</v>
      </c>
      <c r="X597" s="7562" t="s">
        <v>294</v>
      </c>
      <c r="Y597" s="7562" t="s">
        <v>294</v>
      </c>
      <c r="Z597" s="7562" t="s">
        <v>294</v>
      </c>
      <c r="AA597" s="7563" t="s">
        <v>294</v>
      </c>
      <c r="AB597" s="7668"/>
      <c r="AC597" s="3909"/>
      <c r="AD597" s="3908" t="s">
        <v>294</v>
      </c>
      <c r="AE597" s="3912" t="s">
        <v>294</v>
      </c>
      <c r="AF597" s="3912" t="s">
        <v>294</v>
      </c>
      <c r="AG597" s="10910" t="s">
        <v>294</v>
      </c>
    </row>
    <row r="598" spans="1:33" ht="15.75" customHeight="1">
      <c r="A598" s="11000"/>
      <c r="B598" s="10934"/>
      <c r="C598" s="10937"/>
      <c r="D598" s="10937"/>
      <c r="E598" s="10937"/>
      <c r="F598" s="10940"/>
      <c r="G598" s="10937"/>
      <c r="H598" s="10937"/>
      <c r="I598" s="10937"/>
      <c r="J598" s="11011"/>
      <c r="K598" s="10937"/>
      <c r="L598" s="10943"/>
      <c r="M598" s="10943"/>
      <c r="N598" s="10943"/>
      <c r="O598" s="10937"/>
      <c r="P598" s="10937"/>
      <c r="Q598" s="10953"/>
      <c r="R598" s="4019" t="s">
        <v>294</v>
      </c>
      <c r="S598" s="3917" t="s">
        <v>294</v>
      </c>
      <c r="T598" s="3917" t="s">
        <v>294</v>
      </c>
      <c r="U598" s="3913" t="s">
        <v>294</v>
      </c>
      <c r="V598" s="6190" t="s">
        <v>294</v>
      </c>
      <c r="W598" s="3925" t="s">
        <v>294</v>
      </c>
      <c r="X598" s="7567" t="s">
        <v>294</v>
      </c>
      <c r="Y598" s="7567" t="s">
        <v>294</v>
      </c>
      <c r="Z598" s="7567" t="s">
        <v>294</v>
      </c>
      <c r="AA598" s="7566" t="s">
        <v>294</v>
      </c>
      <c r="AB598" s="7669"/>
      <c r="AC598" s="3920"/>
      <c r="AD598" s="3925" t="s">
        <v>294</v>
      </c>
      <c r="AE598" s="3923" t="s">
        <v>294</v>
      </c>
      <c r="AF598" s="3923" t="s">
        <v>294</v>
      </c>
      <c r="AG598" s="10908"/>
    </row>
    <row r="599" spans="1:33" ht="15.75" customHeight="1">
      <c r="A599" s="11000"/>
      <c r="B599" s="10934"/>
      <c r="C599" s="10937"/>
      <c r="D599" s="10937"/>
      <c r="E599" s="10937"/>
      <c r="F599" s="10940"/>
      <c r="G599" s="10937"/>
      <c r="H599" s="10937"/>
      <c r="I599" s="10937"/>
      <c r="J599" s="11011"/>
      <c r="K599" s="10937"/>
      <c r="L599" s="10943"/>
      <c r="M599" s="10943"/>
      <c r="N599" s="10943"/>
      <c r="O599" s="10937"/>
      <c r="P599" s="10937"/>
      <c r="Q599" s="10953"/>
      <c r="R599" s="4019" t="s">
        <v>294</v>
      </c>
      <c r="S599" s="3917" t="s">
        <v>294</v>
      </c>
      <c r="T599" s="3917" t="s">
        <v>294</v>
      </c>
      <c r="U599" s="3913" t="s">
        <v>294</v>
      </c>
      <c r="V599" s="6190" t="s">
        <v>294</v>
      </c>
      <c r="W599" s="3925" t="s">
        <v>294</v>
      </c>
      <c r="X599" s="7567" t="s">
        <v>294</v>
      </c>
      <c r="Y599" s="7567" t="s">
        <v>294</v>
      </c>
      <c r="Z599" s="7567" t="s">
        <v>294</v>
      </c>
      <c r="AA599" s="7566" t="s">
        <v>294</v>
      </c>
      <c r="AB599" s="7669"/>
      <c r="AC599" s="3920"/>
      <c r="AD599" s="3925" t="s">
        <v>294</v>
      </c>
      <c r="AE599" s="3923" t="s">
        <v>294</v>
      </c>
      <c r="AF599" s="3923" t="s">
        <v>294</v>
      </c>
      <c r="AG599" s="10908"/>
    </row>
    <row r="600" spans="1:33" ht="15.75" customHeight="1">
      <c r="A600" s="11000"/>
      <c r="B600" s="10934"/>
      <c r="C600" s="10937"/>
      <c r="D600" s="10937"/>
      <c r="E600" s="10937"/>
      <c r="F600" s="10940"/>
      <c r="G600" s="10937"/>
      <c r="H600" s="10937"/>
      <c r="I600" s="10937"/>
      <c r="J600" s="11011"/>
      <c r="K600" s="10937"/>
      <c r="L600" s="10943"/>
      <c r="M600" s="10943"/>
      <c r="N600" s="10943"/>
      <c r="O600" s="10937"/>
      <c r="P600" s="10937"/>
      <c r="Q600" s="10953"/>
      <c r="R600" s="4018" t="s">
        <v>294</v>
      </c>
      <c r="S600" s="3916" t="s">
        <v>294</v>
      </c>
      <c r="T600" s="3916" t="s">
        <v>294</v>
      </c>
      <c r="U600" s="3913" t="s">
        <v>294</v>
      </c>
      <c r="V600" s="6190" t="s">
        <v>294</v>
      </c>
      <c r="W600" s="3925" t="s">
        <v>294</v>
      </c>
      <c r="X600" s="7567" t="s">
        <v>294</v>
      </c>
      <c r="Y600" s="7567" t="s">
        <v>294</v>
      </c>
      <c r="Z600" s="7567" t="s">
        <v>294</v>
      </c>
      <c r="AA600" s="7566" t="s">
        <v>294</v>
      </c>
      <c r="AB600" s="7669"/>
      <c r="AC600" s="3920"/>
      <c r="AD600" s="3925" t="s">
        <v>294</v>
      </c>
      <c r="AE600" s="3923" t="s">
        <v>294</v>
      </c>
      <c r="AF600" s="3923" t="s">
        <v>294</v>
      </c>
      <c r="AG600" s="10908"/>
    </row>
    <row r="601" spans="1:33" ht="15.75" customHeight="1">
      <c r="A601" s="11000"/>
      <c r="B601" s="10993"/>
      <c r="C601" s="10985"/>
      <c r="D601" s="10985"/>
      <c r="E601" s="10985"/>
      <c r="F601" s="10994"/>
      <c r="G601" s="10985"/>
      <c r="H601" s="10985"/>
      <c r="I601" s="10985"/>
      <c r="J601" s="11014"/>
      <c r="K601" s="10985"/>
      <c r="L601" s="10984"/>
      <c r="M601" s="10984"/>
      <c r="N601" s="10984"/>
      <c r="O601" s="10985"/>
      <c r="P601" s="10985"/>
      <c r="Q601" s="10987"/>
      <c r="R601" s="4066" t="s">
        <v>294</v>
      </c>
      <c r="S601" s="4038" t="s">
        <v>294</v>
      </c>
      <c r="T601" s="4038" t="s">
        <v>294</v>
      </c>
      <c r="U601" s="3982" t="s">
        <v>294</v>
      </c>
      <c r="V601" s="6191" t="s">
        <v>294</v>
      </c>
      <c r="W601" s="4039" t="s">
        <v>294</v>
      </c>
      <c r="X601" s="7568" t="s">
        <v>294</v>
      </c>
      <c r="Y601" s="7568" t="s">
        <v>294</v>
      </c>
      <c r="Z601" s="7568" t="s">
        <v>294</v>
      </c>
      <c r="AA601" s="7569" t="s">
        <v>294</v>
      </c>
      <c r="AB601" s="7670"/>
      <c r="AC601" s="4040"/>
      <c r="AD601" s="4039" t="s">
        <v>294</v>
      </c>
      <c r="AE601" s="4043" t="s">
        <v>294</v>
      </c>
      <c r="AF601" s="4043" t="s">
        <v>294</v>
      </c>
      <c r="AG601" s="10911"/>
    </row>
    <row r="602" spans="1:33" ht="15.75" customHeight="1">
      <c r="A602" s="11000"/>
      <c r="B602" s="10933" t="s">
        <v>183</v>
      </c>
      <c r="C602" s="10936" t="s">
        <v>227</v>
      </c>
      <c r="D602" s="10936" t="s">
        <v>228</v>
      </c>
      <c r="E602" s="10936" t="s">
        <v>407</v>
      </c>
      <c r="F602" s="10939" t="s">
        <v>230</v>
      </c>
      <c r="G602" s="10936" t="s">
        <v>231</v>
      </c>
      <c r="H602" s="10936" t="s">
        <v>133</v>
      </c>
      <c r="I602" s="10936" t="s">
        <v>5679</v>
      </c>
      <c r="J602" s="11010" t="s">
        <v>5707</v>
      </c>
      <c r="K602" s="10936" t="s">
        <v>5681</v>
      </c>
      <c r="L602" s="10942">
        <v>1</v>
      </c>
      <c r="M602" s="10942">
        <v>1</v>
      </c>
      <c r="N602" s="10942">
        <v>1</v>
      </c>
      <c r="O602" s="10936" t="s">
        <v>5682</v>
      </c>
      <c r="P602" s="10936" t="s">
        <v>5683</v>
      </c>
      <c r="Q602" s="10952" t="s">
        <v>5692</v>
      </c>
      <c r="R602" s="4024" t="s">
        <v>294</v>
      </c>
      <c r="S602" s="4000" t="s">
        <v>294</v>
      </c>
      <c r="T602" s="4000" t="s">
        <v>294</v>
      </c>
      <c r="U602" s="3981" t="s">
        <v>294</v>
      </c>
      <c r="V602" s="6192" t="s">
        <v>294</v>
      </c>
      <c r="W602" s="4001" t="s">
        <v>294</v>
      </c>
      <c r="X602" s="7570" t="s">
        <v>294</v>
      </c>
      <c r="Y602" s="7570" t="s">
        <v>294</v>
      </c>
      <c r="Z602" s="7570" t="s">
        <v>294</v>
      </c>
      <c r="AA602" s="7571" t="s">
        <v>294</v>
      </c>
      <c r="AB602" s="7671"/>
      <c r="AC602" s="4002"/>
      <c r="AD602" s="4001" t="s">
        <v>294</v>
      </c>
      <c r="AE602" s="4005" t="s">
        <v>294</v>
      </c>
      <c r="AF602" s="4005" t="s">
        <v>294</v>
      </c>
      <c r="AG602" s="10907" t="s">
        <v>294</v>
      </c>
    </row>
    <row r="603" spans="1:33" ht="15.75" customHeight="1">
      <c r="A603" s="11000"/>
      <c r="B603" s="10934"/>
      <c r="C603" s="10937"/>
      <c r="D603" s="10937"/>
      <c r="E603" s="10937"/>
      <c r="F603" s="10940"/>
      <c r="G603" s="10937"/>
      <c r="H603" s="10937"/>
      <c r="I603" s="10937"/>
      <c r="J603" s="11011"/>
      <c r="K603" s="10937"/>
      <c r="L603" s="10943"/>
      <c r="M603" s="10943"/>
      <c r="N603" s="10943"/>
      <c r="O603" s="10937"/>
      <c r="P603" s="10937"/>
      <c r="Q603" s="10953"/>
      <c r="R603" s="4019" t="s">
        <v>294</v>
      </c>
      <c r="S603" s="3917" t="s">
        <v>294</v>
      </c>
      <c r="T603" s="3917" t="s">
        <v>294</v>
      </c>
      <c r="U603" s="3913" t="s">
        <v>294</v>
      </c>
      <c r="V603" s="6190" t="s">
        <v>294</v>
      </c>
      <c r="W603" s="3925" t="s">
        <v>294</v>
      </c>
      <c r="X603" s="7567" t="s">
        <v>294</v>
      </c>
      <c r="Y603" s="7567" t="s">
        <v>294</v>
      </c>
      <c r="Z603" s="7567" t="s">
        <v>294</v>
      </c>
      <c r="AA603" s="7566" t="s">
        <v>294</v>
      </c>
      <c r="AB603" s="7669"/>
      <c r="AC603" s="3920"/>
      <c r="AD603" s="3925" t="s">
        <v>294</v>
      </c>
      <c r="AE603" s="3923" t="s">
        <v>294</v>
      </c>
      <c r="AF603" s="3923" t="s">
        <v>294</v>
      </c>
      <c r="AG603" s="10908"/>
    </row>
    <row r="604" spans="1:33" ht="15.75" customHeight="1">
      <c r="A604" s="11000"/>
      <c r="B604" s="10934"/>
      <c r="C604" s="10937"/>
      <c r="D604" s="10937"/>
      <c r="E604" s="10937"/>
      <c r="F604" s="10940"/>
      <c r="G604" s="10937"/>
      <c r="H604" s="10937"/>
      <c r="I604" s="10937"/>
      <c r="J604" s="11011"/>
      <c r="K604" s="10937"/>
      <c r="L604" s="10943"/>
      <c r="M604" s="10943"/>
      <c r="N604" s="10943"/>
      <c r="O604" s="10937"/>
      <c r="P604" s="10937"/>
      <c r="Q604" s="10953"/>
      <c r="R604" s="4019" t="s">
        <v>294</v>
      </c>
      <c r="S604" s="3917" t="s">
        <v>294</v>
      </c>
      <c r="T604" s="3917" t="s">
        <v>294</v>
      </c>
      <c r="U604" s="3913" t="s">
        <v>294</v>
      </c>
      <c r="V604" s="6190" t="s">
        <v>294</v>
      </c>
      <c r="W604" s="3925" t="s">
        <v>294</v>
      </c>
      <c r="X604" s="7567" t="s">
        <v>294</v>
      </c>
      <c r="Y604" s="7567" t="s">
        <v>294</v>
      </c>
      <c r="Z604" s="7567" t="s">
        <v>294</v>
      </c>
      <c r="AA604" s="7566" t="s">
        <v>294</v>
      </c>
      <c r="AB604" s="7669"/>
      <c r="AC604" s="3920"/>
      <c r="AD604" s="3925" t="s">
        <v>294</v>
      </c>
      <c r="AE604" s="3923" t="s">
        <v>294</v>
      </c>
      <c r="AF604" s="3923" t="s">
        <v>294</v>
      </c>
      <c r="AG604" s="10908"/>
    </row>
    <row r="605" spans="1:33" ht="15.75" customHeight="1">
      <c r="A605" s="11000"/>
      <c r="B605" s="10934"/>
      <c r="C605" s="10937"/>
      <c r="D605" s="10937"/>
      <c r="E605" s="10937"/>
      <c r="F605" s="10940"/>
      <c r="G605" s="10937"/>
      <c r="H605" s="10937"/>
      <c r="I605" s="10937"/>
      <c r="J605" s="11011"/>
      <c r="K605" s="10937"/>
      <c r="L605" s="10943"/>
      <c r="M605" s="10943"/>
      <c r="N605" s="10943"/>
      <c r="O605" s="10937"/>
      <c r="P605" s="10937"/>
      <c r="Q605" s="10953"/>
      <c r="R605" s="4018" t="s">
        <v>294</v>
      </c>
      <c r="S605" s="3916" t="s">
        <v>294</v>
      </c>
      <c r="T605" s="3916" t="s">
        <v>294</v>
      </c>
      <c r="U605" s="3913" t="s">
        <v>294</v>
      </c>
      <c r="V605" s="6190" t="s">
        <v>294</v>
      </c>
      <c r="W605" s="3925" t="s">
        <v>294</v>
      </c>
      <c r="X605" s="7567" t="s">
        <v>294</v>
      </c>
      <c r="Y605" s="7567" t="s">
        <v>294</v>
      </c>
      <c r="Z605" s="7567" t="s">
        <v>294</v>
      </c>
      <c r="AA605" s="7566" t="s">
        <v>294</v>
      </c>
      <c r="AB605" s="7669"/>
      <c r="AC605" s="3920"/>
      <c r="AD605" s="3925" t="s">
        <v>294</v>
      </c>
      <c r="AE605" s="3923" t="s">
        <v>294</v>
      </c>
      <c r="AF605" s="3923" t="s">
        <v>294</v>
      </c>
      <c r="AG605" s="10908"/>
    </row>
    <row r="606" spans="1:33" ht="15.75" customHeight="1">
      <c r="A606" s="11000"/>
      <c r="B606" s="10935"/>
      <c r="C606" s="10938"/>
      <c r="D606" s="10938"/>
      <c r="E606" s="10938"/>
      <c r="F606" s="10941"/>
      <c r="G606" s="10938"/>
      <c r="H606" s="10938"/>
      <c r="I606" s="10938"/>
      <c r="J606" s="11012"/>
      <c r="K606" s="10938"/>
      <c r="L606" s="10944"/>
      <c r="M606" s="10944"/>
      <c r="N606" s="10944"/>
      <c r="O606" s="10938"/>
      <c r="P606" s="10938"/>
      <c r="Q606" s="10954"/>
      <c r="R606" s="4025" t="s">
        <v>294</v>
      </c>
      <c r="S606" s="3977" t="s">
        <v>294</v>
      </c>
      <c r="T606" s="3977" t="s">
        <v>294</v>
      </c>
      <c r="U606" s="3952" t="s">
        <v>294</v>
      </c>
      <c r="V606" s="6193" t="s">
        <v>294</v>
      </c>
      <c r="W606" s="3978" t="s">
        <v>294</v>
      </c>
      <c r="X606" s="7573" t="s">
        <v>294</v>
      </c>
      <c r="Y606" s="7573" t="s">
        <v>294</v>
      </c>
      <c r="Z606" s="7573" t="s">
        <v>294</v>
      </c>
      <c r="AA606" s="7574" t="s">
        <v>294</v>
      </c>
      <c r="AB606" s="7672"/>
      <c r="AC606" s="3979"/>
      <c r="AD606" s="3978" t="s">
        <v>294</v>
      </c>
      <c r="AE606" s="3980" t="s">
        <v>294</v>
      </c>
      <c r="AF606" s="3980" t="s">
        <v>294</v>
      </c>
      <c r="AG606" s="10909"/>
    </row>
    <row r="607" spans="1:33" ht="15.75" customHeight="1">
      <c r="A607" s="11000"/>
      <c r="B607" s="10950" t="s">
        <v>183</v>
      </c>
      <c r="C607" s="10948" t="s">
        <v>128</v>
      </c>
      <c r="D607" s="10948" t="s">
        <v>129</v>
      </c>
      <c r="E607" s="10948" t="s">
        <v>157</v>
      </c>
      <c r="F607" s="10951" t="s">
        <v>131</v>
      </c>
      <c r="G607" s="10948" t="s">
        <v>213</v>
      </c>
      <c r="H607" s="10948" t="s">
        <v>159</v>
      </c>
      <c r="I607" s="10948" t="s">
        <v>5684</v>
      </c>
      <c r="J607" s="11013" t="s">
        <v>5708</v>
      </c>
      <c r="K607" s="10948" t="s">
        <v>5686</v>
      </c>
      <c r="L607" s="10949">
        <v>1</v>
      </c>
      <c r="M607" s="10949">
        <v>1</v>
      </c>
      <c r="N607" s="10949">
        <v>1</v>
      </c>
      <c r="O607" s="10948" t="s">
        <v>5687</v>
      </c>
      <c r="P607" s="10948" t="s">
        <v>5688</v>
      </c>
      <c r="Q607" s="10986" t="s">
        <v>5692</v>
      </c>
      <c r="R607" s="4064" t="s">
        <v>294</v>
      </c>
      <c r="S607" s="3907" t="s">
        <v>294</v>
      </c>
      <c r="T607" s="3907" t="s">
        <v>294</v>
      </c>
      <c r="U607" s="3906" t="s">
        <v>294</v>
      </c>
      <c r="V607" s="6189" t="s">
        <v>294</v>
      </c>
      <c r="W607" s="3908" t="s">
        <v>294</v>
      </c>
      <c r="X607" s="7562" t="s">
        <v>294</v>
      </c>
      <c r="Y607" s="7562" t="s">
        <v>294</v>
      </c>
      <c r="Z607" s="7562" t="s">
        <v>294</v>
      </c>
      <c r="AA607" s="7563" t="s">
        <v>294</v>
      </c>
      <c r="AB607" s="7668"/>
      <c r="AC607" s="3909"/>
      <c r="AD607" s="3908" t="s">
        <v>294</v>
      </c>
      <c r="AE607" s="3912" t="s">
        <v>294</v>
      </c>
      <c r="AF607" s="3912" t="s">
        <v>294</v>
      </c>
      <c r="AG607" s="10910" t="s">
        <v>294</v>
      </c>
    </row>
    <row r="608" spans="1:33" ht="15.75" customHeight="1">
      <c r="A608" s="11000"/>
      <c r="B608" s="10934"/>
      <c r="C608" s="10937"/>
      <c r="D608" s="10937"/>
      <c r="E608" s="10937"/>
      <c r="F608" s="10940"/>
      <c r="G608" s="10937"/>
      <c r="H608" s="10937"/>
      <c r="I608" s="10937"/>
      <c r="J608" s="11011"/>
      <c r="K608" s="10937"/>
      <c r="L608" s="10943"/>
      <c r="M608" s="10943"/>
      <c r="N608" s="10943"/>
      <c r="O608" s="10937"/>
      <c r="P608" s="10937"/>
      <c r="Q608" s="10953"/>
      <c r="R608" s="4019" t="s">
        <v>294</v>
      </c>
      <c r="S608" s="3917" t="s">
        <v>294</v>
      </c>
      <c r="T608" s="3917" t="s">
        <v>294</v>
      </c>
      <c r="U608" s="3913" t="s">
        <v>294</v>
      </c>
      <c r="V608" s="6190" t="s">
        <v>294</v>
      </c>
      <c r="W608" s="3925" t="s">
        <v>294</v>
      </c>
      <c r="X608" s="7567" t="s">
        <v>294</v>
      </c>
      <c r="Y608" s="7567" t="s">
        <v>294</v>
      </c>
      <c r="Z608" s="7567" t="s">
        <v>294</v>
      </c>
      <c r="AA608" s="7566" t="s">
        <v>294</v>
      </c>
      <c r="AB608" s="7669"/>
      <c r="AC608" s="3920"/>
      <c r="AD608" s="3925" t="s">
        <v>294</v>
      </c>
      <c r="AE608" s="3923" t="s">
        <v>294</v>
      </c>
      <c r="AF608" s="3923" t="s">
        <v>294</v>
      </c>
      <c r="AG608" s="10908"/>
    </row>
    <row r="609" spans="1:33" ht="15.75" customHeight="1">
      <c r="A609" s="11000"/>
      <c r="B609" s="10934"/>
      <c r="C609" s="10937"/>
      <c r="D609" s="10937"/>
      <c r="E609" s="10937"/>
      <c r="F609" s="10940"/>
      <c r="G609" s="10937"/>
      <c r="H609" s="10937"/>
      <c r="I609" s="10937"/>
      <c r="J609" s="11011"/>
      <c r="K609" s="10937"/>
      <c r="L609" s="10943"/>
      <c r="M609" s="10943"/>
      <c r="N609" s="10943"/>
      <c r="O609" s="10937"/>
      <c r="P609" s="10937"/>
      <c r="Q609" s="10953"/>
      <c r="R609" s="4019" t="s">
        <v>294</v>
      </c>
      <c r="S609" s="3917" t="s">
        <v>294</v>
      </c>
      <c r="T609" s="3917" t="s">
        <v>294</v>
      </c>
      <c r="U609" s="3913" t="s">
        <v>294</v>
      </c>
      <c r="V609" s="6190" t="s">
        <v>294</v>
      </c>
      <c r="W609" s="3925" t="s">
        <v>294</v>
      </c>
      <c r="X609" s="7567" t="s">
        <v>294</v>
      </c>
      <c r="Y609" s="7567" t="s">
        <v>294</v>
      </c>
      <c r="Z609" s="7567" t="s">
        <v>294</v>
      </c>
      <c r="AA609" s="7566" t="s">
        <v>294</v>
      </c>
      <c r="AB609" s="7669"/>
      <c r="AC609" s="3920"/>
      <c r="AD609" s="3925" t="s">
        <v>294</v>
      </c>
      <c r="AE609" s="3923" t="s">
        <v>294</v>
      </c>
      <c r="AF609" s="3923" t="s">
        <v>294</v>
      </c>
      <c r="AG609" s="10908"/>
    </row>
    <row r="610" spans="1:33" ht="15.75" customHeight="1">
      <c r="A610" s="11000"/>
      <c r="B610" s="10934"/>
      <c r="C610" s="10937"/>
      <c r="D610" s="10937"/>
      <c r="E610" s="10937"/>
      <c r="F610" s="10940"/>
      <c r="G610" s="10937"/>
      <c r="H610" s="10937"/>
      <c r="I610" s="10937"/>
      <c r="J610" s="11011"/>
      <c r="K610" s="10937"/>
      <c r="L610" s="10943"/>
      <c r="M610" s="10943"/>
      <c r="N610" s="10943"/>
      <c r="O610" s="10937"/>
      <c r="P610" s="10937"/>
      <c r="Q610" s="10953"/>
      <c r="R610" s="4018" t="s">
        <v>294</v>
      </c>
      <c r="S610" s="3916" t="s">
        <v>294</v>
      </c>
      <c r="T610" s="3916" t="s">
        <v>294</v>
      </c>
      <c r="U610" s="3913" t="s">
        <v>294</v>
      </c>
      <c r="V610" s="6190" t="s">
        <v>294</v>
      </c>
      <c r="W610" s="3925" t="s">
        <v>294</v>
      </c>
      <c r="X610" s="7567" t="s">
        <v>294</v>
      </c>
      <c r="Y610" s="7567" t="s">
        <v>294</v>
      </c>
      <c r="Z610" s="7567" t="s">
        <v>294</v>
      </c>
      <c r="AA610" s="7566" t="s">
        <v>294</v>
      </c>
      <c r="AB610" s="7669"/>
      <c r="AC610" s="3920"/>
      <c r="AD610" s="3925" t="s">
        <v>294</v>
      </c>
      <c r="AE610" s="3923" t="s">
        <v>294</v>
      </c>
      <c r="AF610" s="3923" t="s">
        <v>294</v>
      </c>
      <c r="AG610" s="10908"/>
    </row>
    <row r="611" spans="1:33" ht="15.75" customHeight="1">
      <c r="A611" s="11000"/>
      <c r="B611" s="10935"/>
      <c r="C611" s="10938"/>
      <c r="D611" s="10938"/>
      <c r="E611" s="10938"/>
      <c r="F611" s="10941"/>
      <c r="G611" s="10938"/>
      <c r="H611" s="10938"/>
      <c r="I611" s="10938"/>
      <c r="J611" s="11012"/>
      <c r="K611" s="10938"/>
      <c r="L611" s="10944"/>
      <c r="M611" s="10944"/>
      <c r="N611" s="10944"/>
      <c r="O611" s="10938"/>
      <c r="P611" s="10938"/>
      <c r="Q611" s="10954"/>
      <c r="R611" s="4025" t="s">
        <v>294</v>
      </c>
      <c r="S611" s="3977" t="s">
        <v>294</v>
      </c>
      <c r="T611" s="3977" t="s">
        <v>294</v>
      </c>
      <c r="U611" s="3952" t="s">
        <v>294</v>
      </c>
      <c r="V611" s="6193" t="s">
        <v>294</v>
      </c>
      <c r="W611" s="3978" t="s">
        <v>294</v>
      </c>
      <c r="X611" s="7573" t="s">
        <v>294</v>
      </c>
      <c r="Y611" s="7573" t="s">
        <v>294</v>
      </c>
      <c r="Z611" s="7573" t="s">
        <v>294</v>
      </c>
      <c r="AA611" s="7574" t="s">
        <v>294</v>
      </c>
      <c r="AB611" s="7672"/>
      <c r="AC611" s="3979"/>
      <c r="AD611" s="3978" t="s">
        <v>294</v>
      </c>
      <c r="AE611" s="3980" t="s">
        <v>294</v>
      </c>
      <c r="AF611" s="3980" t="s">
        <v>294</v>
      </c>
      <c r="AG611" s="10909"/>
    </row>
    <row r="612" spans="1:33" s="6145" customFormat="1" ht="15.75" customHeight="1" thickBot="1">
      <c r="A612" s="6140"/>
      <c r="B612" s="5407" t="s">
        <v>294</v>
      </c>
      <c r="C612" s="5407" t="s">
        <v>294</v>
      </c>
      <c r="D612" s="5407" t="s">
        <v>294</v>
      </c>
      <c r="E612" s="5407" t="s">
        <v>294</v>
      </c>
      <c r="F612" s="5407" t="s">
        <v>294</v>
      </c>
      <c r="G612" s="5407" t="s">
        <v>294</v>
      </c>
      <c r="H612" s="5407" t="s">
        <v>294</v>
      </c>
      <c r="I612" s="5407" t="s">
        <v>294</v>
      </c>
      <c r="J612" s="5407" t="s">
        <v>294</v>
      </c>
      <c r="K612" s="5407" t="s">
        <v>294</v>
      </c>
      <c r="L612" s="5408" t="s">
        <v>294</v>
      </c>
      <c r="M612" s="5408" t="s">
        <v>294</v>
      </c>
      <c r="N612" s="5408" t="s">
        <v>294</v>
      </c>
      <c r="O612" s="5409" t="s">
        <v>294</v>
      </c>
      <c r="P612" s="5409" t="s">
        <v>294</v>
      </c>
      <c r="Q612" s="5409" t="s">
        <v>294</v>
      </c>
      <c r="R612" s="10980" t="s">
        <v>5709</v>
      </c>
      <c r="S612" s="10981"/>
      <c r="T612" s="10981"/>
      <c r="U612" s="10981"/>
      <c r="V612" s="10981"/>
      <c r="W612" s="10981"/>
      <c r="X612" s="10981"/>
      <c r="Y612" s="10981"/>
      <c r="Z612" s="6143" t="s">
        <v>292</v>
      </c>
      <c r="AA612" s="7618">
        <f>SUM(AA542:AA611)</f>
        <v>4555.5200000000004</v>
      </c>
      <c r="AB612" s="6144"/>
      <c r="AC612" s="5411"/>
      <c r="AD612" s="10958" t="s">
        <v>294</v>
      </c>
      <c r="AE612" s="10958"/>
      <c r="AF612" s="10958"/>
      <c r="AG612" s="10959"/>
    </row>
    <row r="613" spans="1:33" ht="31.5" customHeight="1">
      <c r="A613" s="11000" t="s">
        <v>5710</v>
      </c>
      <c r="B613" s="10950" t="s">
        <v>183</v>
      </c>
      <c r="C613" s="10948" t="s">
        <v>227</v>
      </c>
      <c r="D613" s="10948" t="s">
        <v>228</v>
      </c>
      <c r="E613" s="10948" t="s">
        <v>407</v>
      </c>
      <c r="F613" s="10951" t="s">
        <v>230</v>
      </c>
      <c r="G613" s="10948" t="s">
        <v>132</v>
      </c>
      <c r="H613" s="10948" t="s">
        <v>159</v>
      </c>
      <c r="I613" s="11001" t="s">
        <v>5611</v>
      </c>
      <c r="J613" s="10948" t="s">
        <v>5711</v>
      </c>
      <c r="K613" s="10948" t="s">
        <v>5613</v>
      </c>
      <c r="L613" s="11004">
        <v>2</v>
      </c>
      <c r="M613" s="11004">
        <v>2</v>
      </c>
      <c r="N613" s="11004">
        <v>2</v>
      </c>
      <c r="O613" s="11007" t="s">
        <v>5712</v>
      </c>
      <c r="P613" s="10948" t="s">
        <v>5713</v>
      </c>
      <c r="Q613" s="10986" t="s">
        <v>5714</v>
      </c>
      <c r="R613" s="3983" t="s">
        <v>5167</v>
      </c>
      <c r="S613" s="3907" t="s">
        <v>5544</v>
      </c>
      <c r="T613" s="5437" t="s">
        <v>294</v>
      </c>
      <c r="U613" s="3906" t="s">
        <v>40</v>
      </c>
      <c r="V613" s="6189" t="s">
        <v>294</v>
      </c>
      <c r="W613" s="3908" t="s">
        <v>294</v>
      </c>
      <c r="X613" s="7562" t="s">
        <v>294</v>
      </c>
      <c r="Y613" s="7562" t="s">
        <v>294</v>
      </c>
      <c r="Z613" s="7562" t="s">
        <v>294</v>
      </c>
      <c r="AA613" s="7563">
        <f>+Z614</f>
        <v>1310.6016000000002</v>
      </c>
      <c r="AB613" s="7668" t="s">
        <v>18</v>
      </c>
      <c r="AC613" s="3991"/>
      <c r="AD613" s="3910" t="s">
        <v>294</v>
      </c>
      <c r="AE613" s="3911" t="s">
        <v>294</v>
      </c>
      <c r="AF613" s="3912" t="s">
        <v>294</v>
      </c>
      <c r="AG613" s="10924" t="s">
        <v>294</v>
      </c>
    </row>
    <row r="614" spans="1:33" ht="26.25" customHeight="1">
      <c r="A614" s="11000"/>
      <c r="B614" s="10934"/>
      <c r="C614" s="10937"/>
      <c r="D614" s="10937"/>
      <c r="E614" s="10937"/>
      <c r="F614" s="10940"/>
      <c r="G614" s="10937"/>
      <c r="H614" s="10937"/>
      <c r="I614" s="11002"/>
      <c r="J614" s="10937"/>
      <c r="K614" s="10937"/>
      <c r="L614" s="11005"/>
      <c r="M614" s="11005"/>
      <c r="N614" s="11005"/>
      <c r="O614" s="11008"/>
      <c r="P614" s="10937"/>
      <c r="Q614" s="10953"/>
      <c r="R614" s="3984" t="s">
        <v>294</v>
      </c>
      <c r="S614" s="3917" t="s">
        <v>294</v>
      </c>
      <c r="T614" s="3964" t="s">
        <v>5715</v>
      </c>
      <c r="U614" s="3913" t="s">
        <v>5716</v>
      </c>
      <c r="V614" s="6190">
        <v>1</v>
      </c>
      <c r="W614" s="3925" t="s">
        <v>180</v>
      </c>
      <c r="X614" s="7567">
        <v>1170.18</v>
      </c>
      <c r="Y614" s="7567">
        <f>+V614*X614</f>
        <v>1170.18</v>
      </c>
      <c r="Z614" s="7567">
        <f>+Y614*1.12</f>
        <v>1310.6016000000002</v>
      </c>
      <c r="AA614" s="7566" t="s">
        <v>294</v>
      </c>
      <c r="AB614" s="7669"/>
      <c r="AC614" s="3934"/>
      <c r="AD614" s="3921" t="s">
        <v>294</v>
      </c>
      <c r="AE614" s="3922" t="s">
        <v>153</v>
      </c>
      <c r="AF614" s="3923" t="s">
        <v>294</v>
      </c>
      <c r="AG614" s="10924"/>
    </row>
    <row r="615" spans="1:33" ht="34.5" customHeight="1">
      <c r="A615" s="11000"/>
      <c r="B615" s="10934"/>
      <c r="C615" s="10937"/>
      <c r="D615" s="10937"/>
      <c r="E615" s="10937"/>
      <c r="F615" s="10940"/>
      <c r="G615" s="10937"/>
      <c r="H615" s="10937"/>
      <c r="I615" s="11002"/>
      <c r="J615" s="10937"/>
      <c r="K615" s="10937"/>
      <c r="L615" s="11005"/>
      <c r="M615" s="11005"/>
      <c r="N615" s="11005"/>
      <c r="O615" s="11008"/>
      <c r="P615" s="10937"/>
      <c r="Q615" s="10953"/>
      <c r="R615" s="3984" t="s">
        <v>5011</v>
      </c>
      <c r="S615" s="3916" t="s">
        <v>5717</v>
      </c>
      <c r="T615" s="3964" t="s">
        <v>294</v>
      </c>
      <c r="U615" s="3914" t="s">
        <v>39</v>
      </c>
      <c r="V615" s="6190" t="s">
        <v>294</v>
      </c>
      <c r="W615" s="3925" t="s">
        <v>294</v>
      </c>
      <c r="X615" s="7567" t="s">
        <v>294</v>
      </c>
      <c r="Y615" s="7567" t="s">
        <v>294</v>
      </c>
      <c r="Z615" s="7567" t="s">
        <v>294</v>
      </c>
      <c r="AA615" s="7583">
        <f>+Z616</f>
        <v>436.80000000000007</v>
      </c>
      <c r="AB615" s="7669" t="s">
        <v>25</v>
      </c>
      <c r="AC615" s="3934"/>
      <c r="AD615" s="3921" t="s">
        <v>294</v>
      </c>
      <c r="AE615" s="3922" t="s">
        <v>294</v>
      </c>
      <c r="AF615" s="3923" t="s">
        <v>294</v>
      </c>
      <c r="AG615" s="10924"/>
    </row>
    <row r="616" spans="1:33" ht="15.75" customHeight="1">
      <c r="A616" s="11000"/>
      <c r="B616" s="10993"/>
      <c r="C616" s="10985"/>
      <c r="D616" s="10985"/>
      <c r="E616" s="10985"/>
      <c r="F616" s="10994"/>
      <c r="G616" s="10985"/>
      <c r="H616" s="10985"/>
      <c r="I616" s="11003"/>
      <c r="J616" s="10985"/>
      <c r="K616" s="10985"/>
      <c r="L616" s="11006"/>
      <c r="M616" s="11006"/>
      <c r="N616" s="11006"/>
      <c r="O616" s="11009"/>
      <c r="P616" s="10985"/>
      <c r="Q616" s="10987"/>
      <c r="R616" s="4157" t="s">
        <v>294</v>
      </c>
      <c r="S616" s="4038" t="s">
        <v>294</v>
      </c>
      <c r="T616" s="4180">
        <v>48253.05</v>
      </c>
      <c r="U616" s="3982" t="s">
        <v>5718</v>
      </c>
      <c r="V616" s="6191">
        <v>1</v>
      </c>
      <c r="W616" s="4039" t="s">
        <v>180</v>
      </c>
      <c r="X616" s="7598">
        <f>436.8/1.12</f>
        <v>390</v>
      </c>
      <c r="Y616" s="7598">
        <f>+V616*X616</f>
        <v>390</v>
      </c>
      <c r="Z616" s="7598">
        <f>+Y616*1.12</f>
        <v>436.80000000000007</v>
      </c>
      <c r="AA616" s="7569" t="s">
        <v>294</v>
      </c>
      <c r="AB616" s="7670"/>
      <c r="AC616" s="4057"/>
      <c r="AD616" s="4041" t="s">
        <v>294</v>
      </c>
      <c r="AE616" s="4042"/>
      <c r="AF616" s="4266" t="s">
        <v>153</v>
      </c>
      <c r="AG616" s="10925"/>
    </row>
    <row r="617" spans="1:33" ht="69.75" customHeight="1">
      <c r="A617" s="11000"/>
      <c r="B617" s="4068" t="s">
        <v>183</v>
      </c>
      <c r="C617" s="4069" t="s">
        <v>227</v>
      </c>
      <c r="D617" s="4069" t="s">
        <v>490</v>
      </c>
      <c r="E617" s="4069" t="s">
        <v>2210</v>
      </c>
      <c r="F617" s="4070" t="s">
        <v>230</v>
      </c>
      <c r="G617" s="4069" t="s">
        <v>132</v>
      </c>
      <c r="H617" s="4069" t="s">
        <v>159</v>
      </c>
      <c r="I617" s="4069" t="s">
        <v>5617</v>
      </c>
      <c r="J617" s="4069" t="s">
        <v>5618</v>
      </c>
      <c r="K617" s="4069" t="s">
        <v>5619</v>
      </c>
      <c r="L617" s="4141">
        <v>2</v>
      </c>
      <c r="M617" s="4141">
        <v>2</v>
      </c>
      <c r="N617" s="4141">
        <v>2</v>
      </c>
      <c r="O617" s="4069" t="s">
        <v>5719</v>
      </c>
      <c r="P617" s="4069" t="s">
        <v>5720</v>
      </c>
      <c r="Q617" s="4073" t="s">
        <v>5714</v>
      </c>
      <c r="R617" s="4170" t="s">
        <v>294</v>
      </c>
      <c r="S617" s="4143" t="s">
        <v>294</v>
      </c>
      <c r="T617" s="4143" t="s">
        <v>294</v>
      </c>
      <c r="U617" s="4177" t="s">
        <v>294</v>
      </c>
      <c r="V617" s="4072" t="s">
        <v>294</v>
      </c>
      <c r="W617" s="4078" t="s">
        <v>294</v>
      </c>
      <c r="X617" s="7585" t="s">
        <v>294</v>
      </c>
      <c r="Y617" s="7585" t="s">
        <v>294</v>
      </c>
      <c r="Z617" s="7585" t="s">
        <v>294</v>
      </c>
      <c r="AA617" s="7586" t="s">
        <v>294</v>
      </c>
      <c r="AB617" s="7679"/>
      <c r="AC617" s="4178"/>
      <c r="AD617" s="4121" t="s">
        <v>294</v>
      </c>
      <c r="AE617" s="4122" t="s">
        <v>294</v>
      </c>
      <c r="AF617" s="4079" t="s">
        <v>294</v>
      </c>
      <c r="AG617" s="4179" t="s">
        <v>294</v>
      </c>
    </row>
    <row r="618" spans="1:33" ht="69.75" customHeight="1">
      <c r="A618" s="11000"/>
      <c r="B618" s="4146" t="s">
        <v>183</v>
      </c>
      <c r="C618" s="4147" t="s">
        <v>227</v>
      </c>
      <c r="D618" s="4147" t="s">
        <v>228</v>
      </c>
      <c r="E618" s="4147" t="s">
        <v>407</v>
      </c>
      <c r="F618" s="4148" t="s">
        <v>230</v>
      </c>
      <c r="G618" s="4147" t="s">
        <v>231</v>
      </c>
      <c r="H618" s="4147" t="s">
        <v>133</v>
      </c>
      <c r="I618" s="4147" t="s">
        <v>5622</v>
      </c>
      <c r="J618" s="4147" t="s">
        <v>5623</v>
      </c>
      <c r="K618" s="4147" t="s">
        <v>5624</v>
      </c>
      <c r="L618" s="4149">
        <v>1</v>
      </c>
      <c r="M618" s="4149">
        <v>1</v>
      </c>
      <c r="N618" s="4149">
        <v>1</v>
      </c>
      <c r="O618" s="4147" t="s">
        <v>5721</v>
      </c>
      <c r="P618" s="4147" t="s">
        <v>5722</v>
      </c>
      <c r="Q618" s="4150" t="s">
        <v>5714</v>
      </c>
      <c r="R618" s="4184" t="s">
        <v>294</v>
      </c>
      <c r="S618" s="4152" t="s">
        <v>294</v>
      </c>
      <c r="T618" s="4152" t="s">
        <v>294</v>
      </c>
      <c r="U618" s="4147" t="s">
        <v>294</v>
      </c>
      <c r="V618" s="4159" t="s">
        <v>294</v>
      </c>
      <c r="W618" s="4153" t="s">
        <v>294</v>
      </c>
      <c r="X618" s="7621" t="s">
        <v>294</v>
      </c>
      <c r="Y618" s="7621" t="s">
        <v>294</v>
      </c>
      <c r="Z618" s="7621" t="s">
        <v>294</v>
      </c>
      <c r="AA618" s="7622" t="s">
        <v>294</v>
      </c>
      <c r="AB618" s="7689"/>
      <c r="AC618" s="4185"/>
      <c r="AD618" s="4186" t="s">
        <v>294</v>
      </c>
      <c r="AE618" s="4187" t="s">
        <v>294</v>
      </c>
      <c r="AF618" s="4155" t="s">
        <v>294</v>
      </c>
      <c r="AG618" s="4188" t="s">
        <v>294</v>
      </c>
    </row>
    <row r="619" spans="1:33" ht="69.75" customHeight="1">
      <c r="A619" s="11000"/>
      <c r="B619" s="4068" t="s">
        <v>183</v>
      </c>
      <c r="C619" s="4069" t="s">
        <v>128</v>
      </c>
      <c r="D619" s="4069" t="s">
        <v>228</v>
      </c>
      <c r="E619" s="4069" t="s">
        <v>407</v>
      </c>
      <c r="F619" s="4070" t="s">
        <v>230</v>
      </c>
      <c r="G619" s="4069" t="s">
        <v>132</v>
      </c>
      <c r="H619" s="4069" t="s">
        <v>189</v>
      </c>
      <c r="I619" s="4069" t="s">
        <v>5627</v>
      </c>
      <c r="J619" s="4069" t="s">
        <v>5723</v>
      </c>
      <c r="K619" s="4069" t="s">
        <v>5629</v>
      </c>
      <c r="L619" s="4144">
        <v>1</v>
      </c>
      <c r="M619" s="4144">
        <v>1</v>
      </c>
      <c r="N619" s="4144">
        <v>1</v>
      </c>
      <c r="O619" s="4069" t="s">
        <v>5724</v>
      </c>
      <c r="P619" s="4069" t="s">
        <v>5631</v>
      </c>
      <c r="Q619" s="4073" t="s">
        <v>5714</v>
      </c>
      <c r="R619" s="4181" t="s">
        <v>294</v>
      </c>
      <c r="S619" s="4182" t="s">
        <v>294</v>
      </c>
      <c r="T619" s="4182" t="s">
        <v>294</v>
      </c>
      <c r="U619" s="4183" t="s">
        <v>294</v>
      </c>
      <c r="V619" s="7553" t="s">
        <v>294</v>
      </c>
      <c r="W619" s="4121" t="s">
        <v>294</v>
      </c>
      <c r="X619" s="7629" t="s">
        <v>294</v>
      </c>
      <c r="Y619" s="7629" t="s">
        <v>294</v>
      </c>
      <c r="Z619" s="7629" t="s">
        <v>294</v>
      </c>
      <c r="AA619" s="7630" t="s">
        <v>294</v>
      </c>
      <c r="AB619" s="7694"/>
      <c r="AC619" s="4178"/>
      <c r="AD619" s="4121" t="s">
        <v>294</v>
      </c>
      <c r="AE619" s="4122" t="s">
        <v>294</v>
      </c>
      <c r="AF619" s="4079" t="s">
        <v>294</v>
      </c>
      <c r="AG619" s="4179" t="s">
        <v>294</v>
      </c>
    </row>
    <row r="620" spans="1:33" ht="69.75" customHeight="1">
      <c r="A620" s="11000"/>
      <c r="B620" s="4146" t="s">
        <v>183</v>
      </c>
      <c r="C620" s="4147" t="s">
        <v>184</v>
      </c>
      <c r="D620" s="4147" t="s">
        <v>185</v>
      </c>
      <c r="E620" s="4147" t="s">
        <v>1938</v>
      </c>
      <c r="F620" s="4148" t="s">
        <v>187</v>
      </c>
      <c r="G620" s="4147" t="s">
        <v>247</v>
      </c>
      <c r="H620" s="4147" t="s">
        <v>133</v>
      </c>
      <c r="I620" s="4193" t="s">
        <v>5725</v>
      </c>
      <c r="J620" s="4147" t="s">
        <v>5726</v>
      </c>
      <c r="K620" s="4147" t="s">
        <v>5601</v>
      </c>
      <c r="L620" s="4159">
        <v>1</v>
      </c>
      <c r="M620" s="4159">
        <v>0</v>
      </c>
      <c r="N620" s="4153">
        <v>1</v>
      </c>
      <c r="O620" s="4147" t="s">
        <v>5602</v>
      </c>
      <c r="P620" s="4147" t="s">
        <v>5603</v>
      </c>
      <c r="Q620" s="4150" t="s">
        <v>5727</v>
      </c>
      <c r="R620" s="4194" t="s">
        <v>294</v>
      </c>
      <c r="S620" s="4195" t="s">
        <v>294</v>
      </c>
      <c r="T620" s="4195" t="s">
        <v>294</v>
      </c>
      <c r="U620" s="4196" t="s">
        <v>294</v>
      </c>
      <c r="V620" s="7554" t="s">
        <v>294</v>
      </c>
      <c r="W620" s="4186" t="s">
        <v>294</v>
      </c>
      <c r="X620" s="7631" t="s">
        <v>294</v>
      </c>
      <c r="Y620" s="7631" t="s">
        <v>294</v>
      </c>
      <c r="Z620" s="7631" t="s">
        <v>294</v>
      </c>
      <c r="AA620" s="7632" t="s">
        <v>294</v>
      </c>
      <c r="AB620" s="7695"/>
      <c r="AC620" s="4185"/>
      <c r="AD620" s="4186" t="s">
        <v>294</v>
      </c>
      <c r="AE620" s="4187" t="s">
        <v>294</v>
      </c>
      <c r="AF620" s="4155" t="s">
        <v>294</v>
      </c>
      <c r="AG620" s="4188" t="s">
        <v>294</v>
      </c>
    </row>
    <row r="621" spans="1:33" ht="69.75" customHeight="1">
      <c r="A621" s="11000"/>
      <c r="B621" s="4068" t="s">
        <v>183</v>
      </c>
      <c r="C621" s="4069" t="s">
        <v>227</v>
      </c>
      <c r="D621" s="4069" t="s">
        <v>228</v>
      </c>
      <c r="E621" s="4069" t="s">
        <v>407</v>
      </c>
      <c r="F621" s="4070" t="s">
        <v>230</v>
      </c>
      <c r="G621" s="4069" t="s">
        <v>132</v>
      </c>
      <c r="H621" s="4069" t="s">
        <v>159</v>
      </c>
      <c r="I621" s="4069" t="s">
        <v>5641</v>
      </c>
      <c r="J621" s="4069" t="s">
        <v>5642</v>
      </c>
      <c r="K621" s="4069" t="s">
        <v>5643</v>
      </c>
      <c r="L621" s="4072">
        <v>1</v>
      </c>
      <c r="M621" s="4072">
        <v>1</v>
      </c>
      <c r="N621" s="4072">
        <v>1</v>
      </c>
      <c r="O621" s="4069" t="s">
        <v>5644</v>
      </c>
      <c r="P621" s="4069" t="s">
        <v>5645</v>
      </c>
      <c r="Q621" s="4073" t="s">
        <v>5714</v>
      </c>
      <c r="R621" s="4181" t="s">
        <v>294</v>
      </c>
      <c r="S621" s="4182" t="s">
        <v>294</v>
      </c>
      <c r="T621" s="4182" t="s">
        <v>294</v>
      </c>
      <c r="U621" s="4189" t="s">
        <v>294</v>
      </c>
      <c r="V621" s="4190" t="s">
        <v>294</v>
      </c>
      <c r="W621" s="4190" t="s">
        <v>294</v>
      </c>
      <c r="X621" s="7630" t="s">
        <v>294</v>
      </c>
      <c r="Y621" s="7630" t="s">
        <v>294</v>
      </c>
      <c r="Z621" s="7630" t="s">
        <v>294</v>
      </c>
      <c r="AA621" s="7629" t="s">
        <v>294</v>
      </c>
      <c r="AB621" s="4191"/>
      <c r="AC621" s="4192"/>
      <c r="AD621" s="4121" t="s">
        <v>294</v>
      </c>
      <c r="AE621" s="4122" t="s">
        <v>294</v>
      </c>
      <c r="AF621" s="4123" t="s">
        <v>294</v>
      </c>
      <c r="AG621" s="4080" t="s">
        <v>294</v>
      </c>
    </row>
    <row r="622" spans="1:33" ht="69.75" customHeight="1">
      <c r="A622" s="11000"/>
      <c r="B622" s="4146" t="s">
        <v>183</v>
      </c>
      <c r="C622" s="4147" t="s">
        <v>227</v>
      </c>
      <c r="D622" s="4147" t="s">
        <v>228</v>
      </c>
      <c r="E622" s="4147" t="s">
        <v>407</v>
      </c>
      <c r="F622" s="4148" t="s">
        <v>230</v>
      </c>
      <c r="G622" s="4147" t="s">
        <v>158</v>
      </c>
      <c r="H622" s="4147" t="s">
        <v>133</v>
      </c>
      <c r="I622" s="4147" t="s">
        <v>5646</v>
      </c>
      <c r="J622" s="4147" t="s">
        <v>5647</v>
      </c>
      <c r="K622" s="4147" t="s">
        <v>5648</v>
      </c>
      <c r="L622" s="4159">
        <v>1</v>
      </c>
      <c r="M622" s="4159" t="s">
        <v>294</v>
      </c>
      <c r="N622" s="4159">
        <v>1</v>
      </c>
      <c r="O622" s="4147" t="s">
        <v>5728</v>
      </c>
      <c r="P622" s="4147" t="s">
        <v>5650</v>
      </c>
      <c r="Q622" s="4150" t="s">
        <v>5714</v>
      </c>
      <c r="R622" s="4194" t="s">
        <v>294</v>
      </c>
      <c r="S622" s="4195" t="s">
        <v>294</v>
      </c>
      <c r="T622" s="4195" t="s">
        <v>294</v>
      </c>
      <c r="U622" s="4196" t="s">
        <v>294</v>
      </c>
      <c r="V622" s="7554" t="s">
        <v>294</v>
      </c>
      <c r="W622" s="4197" t="s">
        <v>294</v>
      </c>
      <c r="X622" s="7633" t="s">
        <v>294</v>
      </c>
      <c r="Y622" s="7631" t="s">
        <v>294</v>
      </c>
      <c r="Z622" s="7631" t="s">
        <v>294</v>
      </c>
      <c r="AA622" s="7632" t="s">
        <v>294</v>
      </c>
      <c r="AB622" s="7695"/>
      <c r="AC622" s="4185"/>
      <c r="AD622" s="4186" t="s">
        <v>294</v>
      </c>
      <c r="AE622" s="4187" t="s">
        <v>294</v>
      </c>
      <c r="AF622" s="4164" t="s">
        <v>294</v>
      </c>
      <c r="AG622" s="4188" t="s">
        <v>294</v>
      </c>
    </row>
    <row r="623" spans="1:33" ht="69.75" customHeight="1">
      <c r="A623" s="11000"/>
      <c r="B623" s="4068" t="s">
        <v>183</v>
      </c>
      <c r="C623" s="4069" t="s">
        <v>227</v>
      </c>
      <c r="D623" s="4069" t="s">
        <v>228</v>
      </c>
      <c r="E623" s="4069" t="s">
        <v>255</v>
      </c>
      <c r="F623" s="4070" t="s">
        <v>230</v>
      </c>
      <c r="G623" s="4069" t="s">
        <v>171</v>
      </c>
      <c r="H623" s="4069" t="s">
        <v>133</v>
      </c>
      <c r="I623" s="4069" t="s">
        <v>5651</v>
      </c>
      <c r="J623" s="4069" t="s">
        <v>5729</v>
      </c>
      <c r="K623" s="4069" t="s">
        <v>5653</v>
      </c>
      <c r="L623" s="4072">
        <v>1</v>
      </c>
      <c r="M623" s="4072">
        <v>0</v>
      </c>
      <c r="N623" s="4072">
        <v>1</v>
      </c>
      <c r="O623" s="4069" t="s">
        <v>5591</v>
      </c>
      <c r="P623" s="4069" t="s">
        <v>5730</v>
      </c>
      <c r="Q623" s="4073" t="s">
        <v>5714</v>
      </c>
      <c r="R623" s="4181" t="s">
        <v>294</v>
      </c>
      <c r="S623" s="4182" t="s">
        <v>294</v>
      </c>
      <c r="T623" s="4182" t="s">
        <v>294</v>
      </c>
      <c r="U623" s="4183" t="s">
        <v>294</v>
      </c>
      <c r="V623" s="7553" t="s">
        <v>294</v>
      </c>
      <c r="W623" s="4121" t="s">
        <v>294</v>
      </c>
      <c r="X623" s="7629" t="s">
        <v>294</v>
      </c>
      <c r="Y623" s="7629" t="s">
        <v>294</v>
      </c>
      <c r="Z623" s="7629" t="s">
        <v>294</v>
      </c>
      <c r="AA623" s="7630" t="s">
        <v>294</v>
      </c>
      <c r="AB623" s="7694"/>
      <c r="AC623" s="4178"/>
      <c r="AD623" s="4121" t="s">
        <v>294</v>
      </c>
      <c r="AE623" s="4122" t="s">
        <v>294</v>
      </c>
      <c r="AF623" s="4123" t="s">
        <v>294</v>
      </c>
      <c r="AG623" s="4179" t="s">
        <v>294</v>
      </c>
    </row>
    <row r="624" spans="1:33" ht="69.75" customHeight="1">
      <c r="A624" s="11000"/>
      <c r="B624" s="4146" t="s">
        <v>183</v>
      </c>
      <c r="C624" s="4147" t="s">
        <v>227</v>
      </c>
      <c r="D624" s="4147" t="s">
        <v>228</v>
      </c>
      <c r="E624" s="4147" t="s">
        <v>407</v>
      </c>
      <c r="F624" s="4148" t="s">
        <v>230</v>
      </c>
      <c r="G624" s="4147" t="s">
        <v>231</v>
      </c>
      <c r="H624" s="4147" t="s">
        <v>189</v>
      </c>
      <c r="I624" s="4147" t="s">
        <v>5654</v>
      </c>
      <c r="J624" s="4147" t="s">
        <v>5655</v>
      </c>
      <c r="K624" s="4147" t="s">
        <v>5656</v>
      </c>
      <c r="L624" s="4159">
        <v>2</v>
      </c>
      <c r="M624" s="4159">
        <v>2</v>
      </c>
      <c r="N624" s="4159">
        <v>2</v>
      </c>
      <c r="O624" s="4147" t="s">
        <v>5657</v>
      </c>
      <c r="P624" s="4147" t="s">
        <v>5658</v>
      </c>
      <c r="Q624" s="4150" t="s">
        <v>5714</v>
      </c>
      <c r="R624" s="4194" t="s">
        <v>294</v>
      </c>
      <c r="S624" s="4195" t="s">
        <v>294</v>
      </c>
      <c r="T624" s="4195" t="s">
        <v>294</v>
      </c>
      <c r="U624" s="4196" t="s">
        <v>294</v>
      </c>
      <c r="V624" s="7554" t="s">
        <v>294</v>
      </c>
      <c r="W624" s="4186" t="s">
        <v>294</v>
      </c>
      <c r="X624" s="7631" t="s">
        <v>294</v>
      </c>
      <c r="Y624" s="7631" t="s">
        <v>294</v>
      </c>
      <c r="Z624" s="7631" t="s">
        <v>294</v>
      </c>
      <c r="AA624" s="7632" t="s">
        <v>294</v>
      </c>
      <c r="AB624" s="7695"/>
      <c r="AC624" s="4185"/>
      <c r="AD624" s="4186" t="s">
        <v>294</v>
      </c>
      <c r="AE624" s="4187" t="s">
        <v>294</v>
      </c>
      <c r="AF624" s="4164" t="s">
        <v>294</v>
      </c>
      <c r="AG624" s="4188" t="s">
        <v>294</v>
      </c>
    </row>
    <row r="625" spans="1:33" ht="69.75" customHeight="1">
      <c r="A625" s="11000"/>
      <c r="B625" s="4068" t="s">
        <v>183</v>
      </c>
      <c r="C625" s="4069" t="s">
        <v>227</v>
      </c>
      <c r="D625" s="4069" t="s">
        <v>490</v>
      </c>
      <c r="E625" s="4069" t="s">
        <v>2210</v>
      </c>
      <c r="F625" s="4070" t="s">
        <v>230</v>
      </c>
      <c r="G625" s="4069" t="s">
        <v>231</v>
      </c>
      <c r="H625" s="4069" t="s">
        <v>133</v>
      </c>
      <c r="I625" s="4069" t="s">
        <v>5659</v>
      </c>
      <c r="J625" s="4069" t="s">
        <v>5660</v>
      </c>
      <c r="K625" s="4069" t="s">
        <v>5661</v>
      </c>
      <c r="L625" s="4072">
        <v>1</v>
      </c>
      <c r="M625" s="4072">
        <v>1</v>
      </c>
      <c r="N625" s="4072">
        <v>1</v>
      </c>
      <c r="O625" s="4069" t="s">
        <v>5662</v>
      </c>
      <c r="P625" s="4069" t="s">
        <v>5663</v>
      </c>
      <c r="Q625" s="4073" t="s">
        <v>5714</v>
      </c>
      <c r="R625" s="4198" t="s">
        <v>294</v>
      </c>
      <c r="S625" s="4199" t="s">
        <v>294</v>
      </c>
      <c r="T625" s="7522" t="s">
        <v>294</v>
      </c>
      <c r="U625" s="4120" t="s">
        <v>294</v>
      </c>
      <c r="V625" s="4141" t="s">
        <v>294</v>
      </c>
      <c r="W625" s="4119" t="s">
        <v>294</v>
      </c>
      <c r="X625" s="7625" t="s">
        <v>294</v>
      </c>
      <c r="Y625" s="7625" t="s">
        <v>294</v>
      </c>
      <c r="Z625" s="7625" t="s">
        <v>294</v>
      </c>
      <c r="AA625" s="7626" t="s">
        <v>294</v>
      </c>
      <c r="AB625" s="7691"/>
      <c r="AC625" s="4158"/>
      <c r="AD625" s="4119" t="s">
        <v>294</v>
      </c>
      <c r="AE625" s="4123" t="s">
        <v>294</v>
      </c>
      <c r="AF625" s="4123" t="s">
        <v>294</v>
      </c>
      <c r="AG625" s="4080" t="s">
        <v>294</v>
      </c>
    </row>
    <row r="626" spans="1:33" ht="69.75" customHeight="1">
      <c r="A626" s="11000"/>
      <c r="B626" s="4146" t="s">
        <v>183</v>
      </c>
      <c r="C626" s="4147" t="s">
        <v>128</v>
      </c>
      <c r="D626" s="4147" t="s">
        <v>228</v>
      </c>
      <c r="E626" s="4147" t="s">
        <v>407</v>
      </c>
      <c r="F626" s="4148" t="s">
        <v>230</v>
      </c>
      <c r="G626" s="4147" t="s">
        <v>231</v>
      </c>
      <c r="H626" s="4147" t="s">
        <v>133</v>
      </c>
      <c r="I626" s="4147" t="s">
        <v>5664</v>
      </c>
      <c r="J626" s="4147" t="s">
        <v>5665</v>
      </c>
      <c r="K626" s="4147" t="s">
        <v>5666</v>
      </c>
      <c r="L626" s="4159">
        <v>1</v>
      </c>
      <c r="M626" s="4159">
        <v>1</v>
      </c>
      <c r="N626" s="4159">
        <v>1</v>
      </c>
      <c r="O626" s="4147" t="s">
        <v>5667</v>
      </c>
      <c r="P626" s="4147" t="s">
        <v>5668</v>
      </c>
      <c r="Q626" s="4150" t="s">
        <v>5714</v>
      </c>
      <c r="R626" s="4203" t="s">
        <v>294</v>
      </c>
      <c r="S626" s="4166" t="s">
        <v>294</v>
      </c>
      <c r="T626" s="7523" t="s">
        <v>294</v>
      </c>
      <c r="U626" s="4161" t="s">
        <v>294</v>
      </c>
      <c r="V626" s="4149" t="s">
        <v>294</v>
      </c>
      <c r="W626" s="4162" t="s">
        <v>294</v>
      </c>
      <c r="X626" s="7623" t="s">
        <v>294</v>
      </c>
      <c r="Y626" s="7623" t="s">
        <v>294</v>
      </c>
      <c r="Z626" s="7623" t="s">
        <v>294</v>
      </c>
      <c r="AA626" s="7623" t="s">
        <v>294</v>
      </c>
      <c r="AB626" s="4204"/>
      <c r="AC626" s="4205"/>
      <c r="AD626" s="4162" t="s">
        <v>294</v>
      </c>
      <c r="AE626" s="4162" t="s">
        <v>294</v>
      </c>
      <c r="AF626" s="4162" t="s">
        <v>294</v>
      </c>
      <c r="AG626" s="4188" t="s">
        <v>294</v>
      </c>
    </row>
    <row r="627" spans="1:33" ht="69.75" customHeight="1">
      <c r="A627" s="11000"/>
      <c r="B627" s="4068" t="s">
        <v>183</v>
      </c>
      <c r="C627" s="4069" t="s">
        <v>227</v>
      </c>
      <c r="D627" s="4069" t="s">
        <v>490</v>
      </c>
      <c r="E627" s="4069" t="s">
        <v>2210</v>
      </c>
      <c r="F627" s="4070" t="s">
        <v>230</v>
      </c>
      <c r="G627" s="4069" t="s">
        <v>231</v>
      </c>
      <c r="H627" s="4069" t="s">
        <v>159</v>
      </c>
      <c r="I627" s="4069" t="s">
        <v>5669</v>
      </c>
      <c r="J627" s="4069" t="s">
        <v>5670</v>
      </c>
      <c r="K627" s="4069" t="s">
        <v>5671</v>
      </c>
      <c r="L627" s="4072">
        <v>1</v>
      </c>
      <c r="M627" s="4072">
        <v>1</v>
      </c>
      <c r="N627" s="4072">
        <v>1</v>
      </c>
      <c r="O627" s="4069" t="s">
        <v>5672</v>
      </c>
      <c r="P627" s="4069" t="s">
        <v>5673</v>
      </c>
      <c r="Q627" s="4073" t="s">
        <v>5714</v>
      </c>
      <c r="R627" s="4198" t="s">
        <v>294</v>
      </c>
      <c r="S627" s="4199" t="s">
        <v>294</v>
      </c>
      <c r="T627" s="7522" t="s">
        <v>294</v>
      </c>
      <c r="U627" s="4120" t="s">
        <v>294</v>
      </c>
      <c r="V627" s="4141" t="s">
        <v>294</v>
      </c>
      <c r="W627" s="4119" t="s">
        <v>294</v>
      </c>
      <c r="X627" s="7625" t="s">
        <v>294</v>
      </c>
      <c r="Y627" s="7625" t="s">
        <v>294</v>
      </c>
      <c r="Z627" s="7625" t="s">
        <v>294</v>
      </c>
      <c r="AA627" s="7625" t="s">
        <v>294</v>
      </c>
      <c r="AB627" s="4201"/>
      <c r="AC627" s="4202"/>
      <c r="AD627" s="4119" t="s">
        <v>294</v>
      </c>
      <c r="AE627" s="4119" t="s">
        <v>294</v>
      </c>
      <c r="AF627" s="4119" t="s">
        <v>294</v>
      </c>
      <c r="AG627" s="4179" t="s">
        <v>294</v>
      </c>
    </row>
    <row r="628" spans="1:33" ht="69.75" customHeight="1">
      <c r="A628" s="11000"/>
      <c r="B628" s="4146" t="s">
        <v>183</v>
      </c>
      <c r="C628" s="4147" t="s">
        <v>227</v>
      </c>
      <c r="D628" s="4147" t="s">
        <v>228</v>
      </c>
      <c r="E628" s="4147" t="s">
        <v>255</v>
      </c>
      <c r="F628" s="4148" t="s">
        <v>230</v>
      </c>
      <c r="G628" s="4147" t="s">
        <v>231</v>
      </c>
      <c r="H628" s="4147" t="s">
        <v>189</v>
      </c>
      <c r="I628" s="4147" t="s">
        <v>5674</v>
      </c>
      <c r="J628" s="4147" t="s">
        <v>5675</v>
      </c>
      <c r="K628" s="4147" t="s">
        <v>5676</v>
      </c>
      <c r="L628" s="4159">
        <v>1</v>
      </c>
      <c r="M628" s="4159">
        <v>0</v>
      </c>
      <c r="N628" s="4159">
        <v>1</v>
      </c>
      <c r="O628" s="4147" t="s">
        <v>5677</v>
      </c>
      <c r="P628" s="4147" t="s">
        <v>5678</v>
      </c>
      <c r="Q628" s="4150" t="s">
        <v>5714</v>
      </c>
      <c r="R628" s="4203" t="s">
        <v>294</v>
      </c>
      <c r="S628" s="7524" t="s">
        <v>294</v>
      </c>
      <c r="T628" s="7524" t="s">
        <v>294</v>
      </c>
      <c r="U628" s="4208" t="s">
        <v>294</v>
      </c>
      <c r="V628" s="4159" t="s">
        <v>294</v>
      </c>
      <c r="W628" s="4153" t="s">
        <v>294</v>
      </c>
      <c r="X628" s="7621" t="s">
        <v>294</v>
      </c>
      <c r="Y628" s="7621" t="s">
        <v>294</v>
      </c>
      <c r="Z628" s="7621" t="s">
        <v>294</v>
      </c>
      <c r="AA628" s="7621" t="s">
        <v>294</v>
      </c>
      <c r="AB628" s="4209"/>
      <c r="AC628" s="4210"/>
      <c r="AD628" s="4153" t="s">
        <v>294</v>
      </c>
      <c r="AE628" s="4153" t="s">
        <v>294</v>
      </c>
      <c r="AF628" s="4153" t="s">
        <v>294</v>
      </c>
      <c r="AG628" s="4188" t="s">
        <v>294</v>
      </c>
    </row>
    <row r="629" spans="1:33" ht="69.75" customHeight="1">
      <c r="A629" s="11000"/>
      <c r="B629" s="4068" t="s">
        <v>183</v>
      </c>
      <c r="C629" s="4069" t="s">
        <v>227</v>
      </c>
      <c r="D629" s="4069" t="s">
        <v>228</v>
      </c>
      <c r="E629" s="4069" t="s">
        <v>407</v>
      </c>
      <c r="F629" s="4070" t="s">
        <v>230</v>
      </c>
      <c r="G629" s="4069" t="s">
        <v>231</v>
      </c>
      <c r="H629" s="4069" t="s">
        <v>133</v>
      </c>
      <c r="I629" s="4069" t="s">
        <v>5679</v>
      </c>
      <c r="J629" s="4069" t="s">
        <v>5680</v>
      </c>
      <c r="K629" s="4069" t="s">
        <v>5681</v>
      </c>
      <c r="L629" s="4072">
        <v>1</v>
      </c>
      <c r="M629" s="4072">
        <v>1</v>
      </c>
      <c r="N629" s="4072">
        <v>1</v>
      </c>
      <c r="O629" s="4069" t="s">
        <v>5731</v>
      </c>
      <c r="P629" s="4069" t="s">
        <v>5683</v>
      </c>
      <c r="Q629" s="4073" t="s">
        <v>5714</v>
      </c>
      <c r="R629" s="4198" t="s">
        <v>294</v>
      </c>
      <c r="S629" s="7525" t="s">
        <v>294</v>
      </c>
      <c r="T629" s="7525" t="s">
        <v>294</v>
      </c>
      <c r="U629" s="4069" t="s">
        <v>294</v>
      </c>
      <c r="V629" s="4072" t="s">
        <v>294</v>
      </c>
      <c r="W629" s="4078" t="s">
        <v>294</v>
      </c>
      <c r="X629" s="7585" t="s">
        <v>294</v>
      </c>
      <c r="Y629" s="7585" t="s">
        <v>294</v>
      </c>
      <c r="Z629" s="7585" t="s">
        <v>294</v>
      </c>
      <c r="AA629" s="7585" t="s">
        <v>294</v>
      </c>
      <c r="AB629" s="4206"/>
      <c r="AC629" s="4076"/>
      <c r="AD629" s="4078" t="s">
        <v>294</v>
      </c>
      <c r="AE629" s="4207" t="s">
        <v>294</v>
      </c>
      <c r="AF629" s="4078" t="s">
        <v>294</v>
      </c>
      <c r="AG629" s="4179" t="s">
        <v>294</v>
      </c>
    </row>
    <row r="630" spans="1:33" ht="69.75" customHeight="1">
      <c r="A630" s="11000"/>
      <c r="B630" s="4081" t="s">
        <v>183</v>
      </c>
      <c r="C630" s="4082" t="s">
        <v>128</v>
      </c>
      <c r="D630" s="4082" t="s">
        <v>129</v>
      </c>
      <c r="E630" s="4082" t="s">
        <v>157</v>
      </c>
      <c r="F630" s="4083" t="s">
        <v>131</v>
      </c>
      <c r="G630" s="4082" t="s">
        <v>213</v>
      </c>
      <c r="H630" s="4082" t="s">
        <v>159</v>
      </c>
      <c r="I630" s="4082" t="s">
        <v>5684</v>
      </c>
      <c r="J630" s="4082" t="s">
        <v>5685</v>
      </c>
      <c r="K630" s="4082" t="s">
        <v>5686</v>
      </c>
      <c r="L630" s="4085">
        <v>1</v>
      </c>
      <c r="M630" s="4085">
        <v>1</v>
      </c>
      <c r="N630" s="4085">
        <v>1</v>
      </c>
      <c r="O630" s="4082" t="s">
        <v>5687</v>
      </c>
      <c r="P630" s="4082" t="s">
        <v>5688</v>
      </c>
      <c r="Q630" s="4086" t="s">
        <v>5714</v>
      </c>
      <c r="R630" s="4211" t="s">
        <v>294</v>
      </c>
      <c r="S630" s="7526" t="s">
        <v>294</v>
      </c>
      <c r="T630" s="7526" t="s">
        <v>294</v>
      </c>
      <c r="U630" s="4082" t="s">
        <v>294</v>
      </c>
      <c r="V630" s="4085" t="s">
        <v>294</v>
      </c>
      <c r="W630" s="4091" t="s">
        <v>294</v>
      </c>
      <c r="X630" s="7587" t="s">
        <v>294</v>
      </c>
      <c r="Y630" s="7587" t="s">
        <v>294</v>
      </c>
      <c r="Z630" s="7587" t="s">
        <v>294</v>
      </c>
      <c r="AA630" s="7587" t="s">
        <v>294</v>
      </c>
      <c r="AB630" s="4212"/>
      <c r="AC630" s="4089"/>
      <c r="AD630" s="4091" t="s">
        <v>294</v>
      </c>
      <c r="AE630" s="4213" t="s">
        <v>294</v>
      </c>
      <c r="AF630" s="4091" t="s">
        <v>294</v>
      </c>
      <c r="AG630" s="4214" t="s">
        <v>294</v>
      </c>
    </row>
    <row r="631" spans="1:33" s="6145" customFormat="1" ht="15.75" customHeight="1" thickBot="1">
      <c r="A631" s="6140"/>
      <c r="B631" s="5407" t="s">
        <v>294</v>
      </c>
      <c r="C631" s="5407" t="s">
        <v>294</v>
      </c>
      <c r="D631" s="5407" t="s">
        <v>294</v>
      </c>
      <c r="E631" s="5407" t="s">
        <v>294</v>
      </c>
      <c r="F631" s="5407" t="s">
        <v>294</v>
      </c>
      <c r="G631" s="5407" t="s">
        <v>294</v>
      </c>
      <c r="H631" s="5407" t="s">
        <v>294</v>
      </c>
      <c r="I631" s="5407" t="s">
        <v>294</v>
      </c>
      <c r="J631" s="5407" t="s">
        <v>294</v>
      </c>
      <c r="K631" s="5407" t="s">
        <v>294</v>
      </c>
      <c r="L631" s="5408" t="s">
        <v>294</v>
      </c>
      <c r="M631" s="5408" t="s">
        <v>294</v>
      </c>
      <c r="N631" s="5408" t="s">
        <v>294</v>
      </c>
      <c r="O631" s="5409" t="s">
        <v>294</v>
      </c>
      <c r="P631" s="5409" t="s">
        <v>294</v>
      </c>
      <c r="Q631" s="5410" t="s">
        <v>294</v>
      </c>
      <c r="R631" s="6141" t="s">
        <v>5732</v>
      </c>
      <c r="S631" s="6142"/>
      <c r="T631" s="6142"/>
      <c r="U631" s="6142"/>
      <c r="V631" s="6142"/>
      <c r="W631" s="6142"/>
      <c r="X631" s="6142"/>
      <c r="Y631" s="6142"/>
      <c r="Z631" s="6143" t="s">
        <v>292</v>
      </c>
      <c r="AA631" s="7618">
        <f>SUM(AA613:AA630)</f>
        <v>1747.4016000000001</v>
      </c>
      <c r="AB631" s="6144"/>
      <c r="AC631" s="5411"/>
      <c r="AD631" s="10958" t="s">
        <v>294</v>
      </c>
      <c r="AE631" s="10958"/>
      <c r="AF631" s="10958"/>
      <c r="AG631" s="10959"/>
    </row>
    <row r="632" spans="1:33" ht="15.75" customHeight="1">
      <c r="A632" s="11000" t="s">
        <v>5733</v>
      </c>
      <c r="B632" s="10950" t="s">
        <v>183</v>
      </c>
      <c r="C632" s="10948" t="s">
        <v>227</v>
      </c>
      <c r="D632" s="10948" t="s">
        <v>228</v>
      </c>
      <c r="E632" s="10948" t="s">
        <v>407</v>
      </c>
      <c r="F632" s="10951" t="s">
        <v>230</v>
      </c>
      <c r="G632" s="10948" t="s">
        <v>132</v>
      </c>
      <c r="H632" s="10948" t="s">
        <v>159</v>
      </c>
      <c r="I632" s="11001" t="s">
        <v>5611</v>
      </c>
      <c r="J632" s="10948" t="s">
        <v>5612</v>
      </c>
      <c r="K632" s="10948" t="s">
        <v>5613</v>
      </c>
      <c r="L632" s="10998">
        <v>1</v>
      </c>
      <c r="M632" s="10998">
        <v>1</v>
      </c>
      <c r="N632" s="10998">
        <v>1</v>
      </c>
      <c r="O632" s="10948" t="s">
        <v>5614</v>
      </c>
      <c r="P632" s="10948" t="s">
        <v>5615</v>
      </c>
      <c r="Q632" s="10986" t="s">
        <v>5734</v>
      </c>
      <c r="R632" s="4031" t="s">
        <v>294</v>
      </c>
      <c r="S632" s="3907" t="s">
        <v>294</v>
      </c>
      <c r="T632" s="3907" t="s">
        <v>294</v>
      </c>
      <c r="U632" s="3906" t="s">
        <v>294</v>
      </c>
      <c r="V632" s="6189" t="s">
        <v>294</v>
      </c>
      <c r="W632" s="3908" t="s">
        <v>294</v>
      </c>
      <c r="X632" s="7562" t="s">
        <v>294</v>
      </c>
      <c r="Y632" s="7562" t="s">
        <v>294</v>
      </c>
      <c r="Z632" s="7562" t="s">
        <v>294</v>
      </c>
      <c r="AA632" s="7563" t="s">
        <v>294</v>
      </c>
      <c r="AB632" s="7668"/>
      <c r="AC632" s="3909"/>
      <c r="AD632" s="3908" t="s">
        <v>294</v>
      </c>
      <c r="AE632" s="3912" t="s">
        <v>294</v>
      </c>
      <c r="AF632" s="3912" t="s">
        <v>294</v>
      </c>
      <c r="AG632" s="10978" t="s">
        <v>294</v>
      </c>
    </row>
    <row r="633" spans="1:33" ht="15.75" customHeight="1">
      <c r="A633" s="11000"/>
      <c r="B633" s="10934"/>
      <c r="C633" s="10937"/>
      <c r="D633" s="10937"/>
      <c r="E633" s="10937"/>
      <c r="F633" s="10940"/>
      <c r="G633" s="10937"/>
      <c r="H633" s="10937"/>
      <c r="I633" s="11002"/>
      <c r="J633" s="10937"/>
      <c r="K633" s="10937"/>
      <c r="L633" s="10996"/>
      <c r="M633" s="10996"/>
      <c r="N633" s="10996"/>
      <c r="O633" s="10937"/>
      <c r="P633" s="10937"/>
      <c r="Q633" s="10953"/>
      <c r="R633" s="4019" t="s">
        <v>294</v>
      </c>
      <c r="S633" s="3917" t="s">
        <v>294</v>
      </c>
      <c r="T633" s="3917" t="s">
        <v>294</v>
      </c>
      <c r="U633" s="3973" t="s">
        <v>294</v>
      </c>
      <c r="V633" s="6190" t="s">
        <v>294</v>
      </c>
      <c r="W633" s="3925" t="s">
        <v>294</v>
      </c>
      <c r="X633" s="7567" t="s">
        <v>294</v>
      </c>
      <c r="Y633" s="7567" t="s">
        <v>294</v>
      </c>
      <c r="Z633" s="7567" t="s">
        <v>294</v>
      </c>
      <c r="AA633" s="7566" t="s">
        <v>294</v>
      </c>
      <c r="AB633" s="7669"/>
      <c r="AC633" s="3920"/>
      <c r="AD633" s="3925" t="s">
        <v>294</v>
      </c>
      <c r="AE633" s="3923" t="s">
        <v>294</v>
      </c>
      <c r="AF633" s="3923" t="s">
        <v>294</v>
      </c>
      <c r="AG633" s="10976"/>
    </row>
    <row r="634" spans="1:33" ht="15.75" customHeight="1">
      <c r="A634" s="11000"/>
      <c r="B634" s="10934"/>
      <c r="C634" s="10937"/>
      <c r="D634" s="10937"/>
      <c r="E634" s="10937"/>
      <c r="F634" s="10940"/>
      <c r="G634" s="10937"/>
      <c r="H634" s="10937"/>
      <c r="I634" s="11002"/>
      <c r="J634" s="10937"/>
      <c r="K634" s="10937"/>
      <c r="L634" s="10996"/>
      <c r="M634" s="10996"/>
      <c r="N634" s="10996"/>
      <c r="O634" s="10937"/>
      <c r="P634" s="10937"/>
      <c r="Q634" s="10953"/>
      <c r="R634" s="4019" t="s">
        <v>294</v>
      </c>
      <c r="S634" s="3917" t="s">
        <v>294</v>
      </c>
      <c r="T634" s="3917" t="s">
        <v>294</v>
      </c>
      <c r="U634" s="3973" t="s">
        <v>294</v>
      </c>
      <c r="V634" s="6190" t="s">
        <v>294</v>
      </c>
      <c r="W634" s="3925" t="s">
        <v>294</v>
      </c>
      <c r="X634" s="7567" t="s">
        <v>294</v>
      </c>
      <c r="Y634" s="7567" t="s">
        <v>294</v>
      </c>
      <c r="Z634" s="7567" t="s">
        <v>294</v>
      </c>
      <c r="AA634" s="7566" t="s">
        <v>294</v>
      </c>
      <c r="AB634" s="7669"/>
      <c r="AC634" s="3920"/>
      <c r="AD634" s="3925" t="s">
        <v>294</v>
      </c>
      <c r="AE634" s="3923" t="s">
        <v>294</v>
      </c>
      <c r="AF634" s="3923" t="s">
        <v>294</v>
      </c>
      <c r="AG634" s="10976"/>
    </row>
    <row r="635" spans="1:33" ht="15.75" customHeight="1">
      <c r="A635" s="11000"/>
      <c r="B635" s="10934"/>
      <c r="C635" s="10937"/>
      <c r="D635" s="10937"/>
      <c r="E635" s="10937"/>
      <c r="F635" s="10940"/>
      <c r="G635" s="10937"/>
      <c r="H635" s="10937"/>
      <c r="I635" s="11002"/>
      <c r="J635" s="10937"/>
      <c r="K635" s="10937"/>
      <c r="L635" s="10996"/>
      <c r="M635" s="10996"/>
      <c r="N635" s="10996"/>
      <c r="O635" s="10937"/>
      <c r="P635" s="10937"/>
      <c r="Q635" s="10953"/>
      <c r="R635" s="4018" t="s">
        <v>294</v>
      </c>
      <c r="S635" s="3916" t="s">
        <v>294</v>
      </c>
      <c r="T635" s="3916" t="s">
        <v>294</v>
      </c>
      <c r="U635" s="3973" t="s">
        <v>294</v>
      </c>
      <c r="V635" s="6190" t="s">
        <v>294</v>
      </c>
      <c r="W635" s="3925" t="s">
        <v>294</v>
      </c>
      <c r="X635" s="7567" t="s">
        <v>294</v>
      </c>
      <c r="Y635" s="7567" t="s">
        <v>294</v>
      </c>
      <c r="Z635" s="7567" t="s">
        <v>294</v>
      </c>
      <c r="AA635" s="7566" t="s">
        <v>294</v>
      </c>
      <c r="AB635" s="7669"/>
      <c r="AC635" s="3920"/>
      <c r="AD635" s="3925" t="s">
        <v>294</v>
      </c>
      <c r="AE635" s="3923" t="s">
        <v>294</v>
      </c>
      <c r="AF635" s="3923" t="s">
        <v>294</v>
      </c>
      <c r="AG635" s="10976"/>
    </row>
    <row r="636" spans="1:33" ht="15.75" customHeight="1">
      <c r="A636" s="11000"/>
      <c r="B636" s="10993"/>
      <c r="C636" s="10985"/>
      <c r="D636" s="10985"/>
      <c r="E636" s="10985"/>
      <c r="F636" s="10994"/>
      <c r="G636" s="10985"/>
      <c r="H636" s="10985"/>
      <c r="I636" s="11003"/>
      <c r="J636" s="10985"/>
      <c r="K636" s="10985"/>
      <c r="L636" s="10999"/>
      <c r="M636" s="10999"/>
      <c r="N636" s="10999"/>
      <c r="O636" s="10985"/>
      <c r="P636" s="10985"/>
      <c r="Q636" s="10987"/>
      <c r="R636" s="4066" t="s">
        <v>294</v>
      </c>
      <c r="S636" s="4038" t="s">
        <v>294</v>
      </c>
      <c r="T636" s="4038" t="s">
        <v>294</v>
      </c>
      <c r="U636" s="3982" t="s">
        <v>294</v>
      </c>
      <c r="V636" s="6191" t="s">
        <v>294</v>
      </c>
      <c r="W636" s="4039" t="s">
        <v>294</v>
      </c>
      <c r="X636" s="7568" t="s">
        <v>294</v>
      </c>
      <c r="Y636" s="7568" t="s">
        <v>294</v>
      </c>
      <c r="Z636" s="7568" t="s">
        <v>294</v>
      </c>
      <c r="AA636" s="7569" t="s">
        <v>294</v>
      </c>
      <c r="AB636" s="7670"/>
      <c r="AC636" s="4040"/>
      <c r="AD636" s="4039" t="s">
        <v>294</v>
      </c>
      <c r="AE636" s="4043" t="s">
        <v>294</v>
      </c>
      <c r="AF636" s="4043" t="s">
        <v>294</v>
      </c>
      <c r="AG636" s="10979"/>
    </row>
    <row r="637" spans="1:33" ht="15.75" customHeight="1">
      <c r="A637" s="11000"/>
      <c r="B637" s="10933" t="s">
        <v>183</v>
      </c>
      <c r="C637" s="10936" t="s">
        <v>227</v>
      </c>
      <c r="D637" s="10936" t="s">
        <v>490</v>
      </c>
      <c r="E637" s="10936" t="s">
        <v>2210</v>
      </c>
      <c r="F637" s="10939" t="s">
        <v>230</v>
      </c>
      <c r="G637" s="10936" t="s">
        <v>132</v>
      </c>
      <c r="H637" s="10936" t="s">
        <v>159</v>
      </c>
      <c r="I637" s="10936" t="s">
        <v>5617</v>
      </c>
      <c r="J637" s="10936" t="s">
        <v>5618</v>
      </c>
      <c r="K637" s="10936" t="s">
        <v>5619</v>
      </c>
      <c r="L637" s="10995">
        <v>1</v>
      </c>
      <c r="M637" s="10995">
        <v>1</v>
      </c>
      <c r="N637" s="10995">
        <v>1</v>
      </c>
      <c r="O637" s="10936" t="s">
        <v>5620</v>
      </c>
      <c r="P637" s="10936" t="s">
        <v>5621</v>
      </c>
      <c r="Q637" s="10952" t="s">
        <v>5734</v>
      </c>
      <c r="R637" s="4029" t="s">
        <v>294</v>
      </c>
      <c r="S637" s="4000" t="s">
        <v>294</v>
      </c>
      <c r="T637" s="4000" t="s">
        <v>294</v>
      </c>
      <c r="U637" s="3981" t="s">
        <v>294</v>
      </c>
      <c r="V637" s="6192" t="s">
        <v>294</v>
      </c>
      <c r="W637" s="4001" t="s">
        <v>294</v>
      </c>
      <c r="X637" s="7570" t="s">
        <v>294</v>
      </c>
      <c r="Y637" s="7570" t="s">
        <v>294</v>
      </c>
      <c r="Z637" s="7570" t="s">
        <v>294</v>
      </c>
      <c r="AA637" s="7571" t="s">
        <v>294</v>
      </c>
      <c r="AB637" s="7671"/>
      <c r="AC637" s="4002"/>
      <c r="AD637" s="4001" t="s">
        <v>294</v>
      </c>
      <c r="AE637" s="4005" t="s">
        <v>294</v>
      </c>
      <c r="AF637" s="4005" t="s">
        <v>294</v>
      </c>
      <c r="AG637" s="10975" t="s">
        <v>294</v>
      </c>
    </row>
    <row r="638" spans="1:33" ht="15.75" customHeight="1">
      <c r="A638" s="11000"/>
      <c r="B638" s="10934"/>
      <c r="C638" s="10937"/>
      <c r="D638" s="10937"/>
      <c r="E638" s="10937"/>
      <c r="F638" s="10940"/>
      <c r="G638" s="10937"/>
      <c r="H638" s="10937"/>
      <c r="I638" s="10937"/>
      <c r="J638" s="10937"/>
      <c r="K638" s="10937"/>
      <c r="L638" s="10996"/>
      <c r="M638" s="10996"/>
      <c r="N638" s="10996"/>
      <c r="O638" s="10937"/>
      <c r="P638" s="10937"/>
      <c r="Q638" s="10953"/>
      <c r="R638" s="4019" t="s">
        <v>294</v>
      </c>
      <c r="S638" s="3917" t="s">
        <v>294</v>
      </c>
      <c r="T638" s="3917" t="s">
        <v>294</v>
      </c>
      <c r="U638" s="3973" t="s">
        <v>294</v>
      </c>
      <c r="V638" s="6190" t="s">
        <v>294</v>
      </c>
      <c r="W638" s="3925" t="s">
        <v>294</v>
      </c>
      <c r="X638" s="7567" t="s">
        <v>294</v>
      </c>
      <c r="Y638" s="7567" t="s">
        <v>294</v>
      </c>
      <c r="Z638" s="7567" t="s">
        <v>294</v>
      </c>
      <c r="AA638" s="7566" t="s">
        <v>294</v>
      </c>
      <c r="AB638" s="7669"/>
      <c r="AC638" s="3920"/>
      <c r="AD638" s="3925" t="s">
        <v>294</v>
      </c>
      <c r="AE638" s="3923" t="s">
        <v>294</v>
      </c>
      <c r="AF638" s="3923" t="s">
        <v>294</v>
      </c>
      <c r="AG638" s="10976"/>
    </row>
    <row r="639" spans="1:33" ht="15.75" customHeight="1">
      <c r="A639" s="11000"/>
      <c r="B639" s="10934"/>
      <c r="C639" s="10937"/>
      <c r="D639" s="10937"/>
      <c r="E639" s="10937"/>
      <c r="F639" s="10940"/>
      <c r="G639" s="10937"/>
      <c r="H639" s="10937"/>
      <c r="I639" s="10937"/>
      <c r="J639" s="10937"/>
      <c r="K639" s="10937"/>
      <c r="L639" s="10996"/>
      <c r="M639" s="10996"/>
      <c r="N639" s="10996"/>
      <c r="O639" s="10937"/>
      <c r="P639" s="10937"/>
      <c r="Q639" s="10953"/>
      <c r="R639" s="4019" t="s">
        <v>294</v>
      </c>
      <c r="S639" s="3917" t="s">
        <v>294</v>
      </c>
      <c r="T639" s="3917" t="s">
        <v>294</v>
      </c>
      <c r="U639" s="3973" t="s">
        <v>294</v>
      </c>
      <c r="V639" s="6190" t="s">
        <v>294</v>
      </c>
      <c r="W639" s="3925" t="s">
        <v>294</v>
      </c>
      <c r="X639" s="7567" t="s">
        <v>294</v>
      </c>
      <c r="Y639" s="7567" t="s">
        <v>294</v>
      </c>
      <c r="Z639" s="7567" t="s">
        <v>294</v>
      </c>
      <c r="AA639" s="7566" t="s">
        <v>294</v>
      </c>
      <c r="AB639" s="7669"/>
      <c r="AC639" s="3920"/>
      <c r="AD639" s="3925" t="s">
        <v>294</v>
      </c>
      <c r="AE639" s="3923" t="s">
        <v>294</v>
      </c>
      <c r="AF639" s="3923" t="s">
        <v>294</v>
      </c>
      <c r="AG639" s="10976"/>
    </row>
    <row r="640" spans="1:33" ht="15.75" customHeight="1">
      <c r="A640" s="11000"/>
      <c r="B640" s="10934"/>
      <c r="C640" s="10937"/>
      <c r="D640" s="10937"/>
      <c r="E640" s="10937"/>
      <c r="F640" s="10940"/>
      <c r="G640" s="10937"/>
      <c r="H640" s="10937"/>
      <c r="I640" s="10937"/>
      <c r="J640" s="10937"/>
      <c r="K640" s="10937"/>
      <c r="L640" s="10996"/>
      <c r="M640" s="10996"/>
      <c r="N640" s="10996"/>
      <c r="O640" s="10937"/>
      <c r="P640" s="10937"/>
      <c r="Q640" s="10953"/>
      <c r="R640" s="4018" t="s">
        <v>294</v>
      </c>
      <c r="S640" s="3916" t="s">
        <v>294</v>
      </c>
      <c r="T640" s="3916" t="s">
        <v>294</v>
      </c>
      <c r="U640" s="3973" t="s">
        <v>294</v>
      </c>
      <c r="V640" s="6190" t="s">
        <v>294</v>
      </c>
      <c r="W640" s="3925" t="s">
        <v>294</v>
      </c>
      <c r="X640" s="7567" t="s">
        <v>294</v>
      </c>
      <c r="Y640" s="7567" t="s">
        <v>294</v>
      </c>
      <c r="Z640" s="7567" t="s">
        <v>294</v>
      </c>
      <c r="AA640" s="7566" t="s">
        <v>294</v>
      </c>
      <c r="AB640" s="7669"/>
      <c r="AC640" s="3920"/>
      <c r="AD640" s="3925" t="s">
        <v>294</v>
      </c>
      <c r="AE640" s="3923" t="s">
        <v>294</v>
      </c>
      <c r="AF640" s="3923" t="s">
        <v>294</v>
      </c>
      <c r="AG640" s="10976"/>
    </row>
    <row r="641" spans="1:33" ht="15.75" customHeight="1">
      <c r="A641" s="11000"/>
      <c r="B641" s="10935"/>
      <c r="C641" s="10938"/>
      <c r="D641" s="10938"/>
      <c r="E641" s="10938"/>
      <c r="F641" s="10941"/>
      <c r="G641" s="10938"/>
      <c r="H641" s="10938"/>
      <c r="I641" s="10938"/>
      <c r="J641" s="10938"/>
      <c r="K641" s="10938"/>
      <c r="L641" s="10997"/>
      <c r="M641" s="10997"/>
      <c r="N641" s="10997"/>
      <c r="O641" s="10938"/>
      <c r="P641" s="10938"/>
      <c r="Q641" s="10954"/>
      <c r="R641" s="4025" t="s">
        <v>294</v>
      </c>
      <c r="S641" s="3977" t="s">
        <v>294</v>
      </c>
      <c r="T641" s="3977" t="s">
        <v>294</v>
      </c>
      <c r="U641" s="3952" t="s">
        <v>294</v>
      </c>
      <c r="V641" s="6193" t="s">
        <v>294</v>
      </c>
      <c r="W641" s="3978" t="s">
        <v>294</v>
      </c>
      <c r="X641" s="7573" t="s">
        <v>294</v>
      </c>
      <c r="Y641" s="7573" t="s">
        <v>294</v>
      </c>
      <c r="Z641" s="7573" t="s">
        <v>294</v>
      </c>
      <c r="AA641" s="7574" t="s">
        <v>294</v>
      </c>
      <c r="AB641" s="7672"/>
      <c r="AC641" s="3979"/>
      <c r="AD641" s="3978" t="s">
        <v>294</v>
      </c>
      <c r="AE641" s="3980" t="s">
        <v>294</v>
      </c>
      <c r="AF641" s="3980" t="s">
        <v>294</v>
      </c>
      <c r="AG641" s="10977"/>
    </row>
    <row r="642" spans="1:33" ht="15.75" customHeight="1">
      <c r="A642" s="11000"/>
      <c r="B642" s="10950" t="s">
        <v>183</v>
      </c>
      <c r="C642" s="10948" t="s">
        <v>227</v>
      </c>
      <c r="D642" s="10948" t="s">
        <v>228</v>
      </c>
      <c r="E642" s="10948" t="s">
        <v>407</v>
      </c>
      <c r="F642" s="10951" t="s">
        <v>230</v>
      </c>
      <c r="G642" s="10948" t="s">
        <v>231</v>
      </c>
      <c r="H642" s="10948" t="s">
        <v>133</v>
      </c>
      <c r="I642" s="10948" t="s">
        <v>5622</v>
      </c>
      <c r="J642" s="10948" t="s">
        <v>5623</v>
      </c>
      <c r="K642" s="10948" t="s">
        <v>5624</v>
      </c>
      <c r="L642" s="10998">
        <v>1</v>
      </c>
      <c r="M642" s="10998">
        <v>1</v>
      </c>
      <c r="N642" s="10998">
        <v>1</v>
      </c>
      <c r="O642" s="10948" t="s">
        <v>5625</v>
      </c>
      <c r="P642" s="10948" t="s">
        <v>5626</v>
      </c>
      <c r="Q642" s="10986" t="s">
        <v>5734</v>
      </c>
      <c r="R642" s="4031" t="s">
        <v>294</v>
      </c>
      <c r="S642" s="3907" t="s">
        <v>294</v>
      </c>
      <c r="T642" s="3907" t="s">
        <v>294</v>
      </c>
      <c r="U642" s="3906" t="s">
        <v>294</v>
      </c>
      <c r="V642" s="6189" t="s">
        <v>294</v>
      </c>
      <c r="W642" s="3908" t="s">
        <v>294</v>
      </c>
      <c r="X642" s="7562" t="s">
        <v>294</v>
      </c>
      <c r="Y642" s="7562" t="s">
        <v>294</v>
      </c>
      <c r="Z642" s="7562" t="s">
        <v>294</v>
      </c>
      <c r="AA642" s="7563" t="s">
        <v>294</v>
      </c>
      <c r="AB642" s="7668"/>
      <c r="AC642" s="3909"/>
      <c r="AD642" s="3908" t="s">
        <v>294</v>
      </c>
      <c r="AE642" s="3912" t="s">
        <v>294</v>
      </c>
      <c r="AF642" s="3912" t="s">
        <v>294</v>
      </c>
      <c r="AG642" s="10978" t="s">
        <v>294</v>
      </c>
    </row>
    <row r="643" spans="1:33" ht="15.75" customHeight="1">
      <c r="A643" s="11000"/>
      <c r="B643" s="10934"/>
      <c r="C643" s="10937"/>
      <c r="D643" s="10937"/>
      <c r="E643" s="10937"/>
      <c r="F643" s="10940"/>
      <c r="G643" s="10937"/>
      <c r="H643" s="10937"/>
      <c r="I643" s="10937"/>
      <c r="J643" s="10937"/>
      <c r="K643" s="10937"/>
      <c r="L643" s="10996"/>
      <c r="M643" s="10996"/>
      <c r="N643" s="10996"/>
      <c r="O643" s="10937"/>
      <c r="P643" s="10937"/>
      <c r="Q643" s="10953"/>
      <c r="R643" s="4019" t="s">
        <v>294</v>
      </c>
      <c r="S643" s="3917" t="s">
        <v>294</v>
      </c>
      <c r="T643" s="3917" t="s">
        <v>294</v>
      </c>
      <c r="U643" s="3973" t="s">
        <v>294</v>
      </c>
      <c r="V643" s="6190" t="s">
        <v>294</v>
      </c>
      <c r="W643" s="3925" t="s">
        <v>294</v>
      </c>
      <c r="X643" s="7567" t="s">
        <v>294</v>
      </c>
      <c r="Y643" s="7567" t="s">
        <v>294</v>
      </c>
      <c r="Z643" s="7567" t="s">
        <v>294</v>
      </c>
      <c r="AA643" s="7566" t="s">
        <v>294</v>
      </c>
      <c r="AB643" s="7669"/>
      <c r="AC643" s="3920"/>
      <c r="AD643" s="3925" t="s">
        <v>294</v>
      </c>
      <c r="AE643" s="3923" t="s">
        <v>294</v>
      </c>
      <c r="AF643" s="3923" t="s">
        <v>294</v>
      </c>
      <c r="AG643" s="10976"/>
    </row>
    <row r="644" spans="1:33" ht="15.75" customHeight="1">
      <c r="A644" s="11000"/>
      <c r="B644" s="10934"/>
      <c r="C644" s="10937"/>
      <c r="D644" s="10937"/>
      <c r="E644" s="10937"/>
      <c r="F644" s="10940"/>
      <c r="G644" s="10937"/>
      <c r="H644" s="10937"/>
      <c r="I644" s="10937"/>
      <c r="J644" s="10937"/>
      <c r="K644" s="10937"/>
      <c r="L644" s="10996"/>
      <c r="M644" s="10996"/>
      <c r="N644" s="10996"/>
      <c r="O644" s="10937"/>
      <c r="P644" s="10937"/>
      <c r="Q644" s="10953"/>
      <c r="R644" s="4019" t="s">
        <v>294</v>
      </c>
      <c r="S644" s="3917" t="s">
        <v>294</v>
      </c>
      <c r="T644" s="3917" t="s">
        <v>294</v>
      </c>
      <c r="U644" s="3973" t="s">
        <v>294</v>
      </c>
      <c r="V644" s="6190" t="s">
        <v>294</v>
      </c>
      <c r="W644" s="3925" t="s">
        <v>294</v>
      </c>
      <c r="X644" s="7567" t="s">
        <v>294</v>
      </c>
      <c r="Y644" s="7567" t="s">
        <v>294</v>
      </c>
      <c r="Z644" s="7567" t="s">
        <v>294</v>
      </c>
      <c r="AA644" s="7566" t="s">
        <v>294</v>
      </c>
      <c r="AB644" s="7669"/>
      <c r="AC644" s="3920"/>
      <c r="AD644" s="3925" t="s">
        <v>294</v>
      </c>
      <c r="AE644" s="3923" t="s">
        <v>294</v>
      </c>
      <c r="AF644" s="3923" t="s">
        <v>294</v>
      </c>
      <c r="AG644" s="10976"/>
    </row>
    <row r="645" spans="1:33" ht="15.75" customHeight="1">
      <c r="A645" s="11000"/>
      <c r="B645" s="10934"/>
      <c r="C645" s="10937"/>
      <c r="D645" s="10937"/>
      <c r="E645" s="10937"/>
      <c r="F645" s="10940"/>
      <c r="G645" s="10937"/>
      <c r="H645" s="10937"/>
      <c r="I645" s="10937"/>
      <c r="J645" s="10937"/>
      <c r="K645" s="10937"/>
      <c r="L645" s="10996"/>
      <c r="M645" s="10996"/>
      <c r="N645" s="10996"/>
      <c r="O645" s="10937"/>
      <c r="P645" s="10937"/>
      <c r="Q645" s="10953"/>
      <c r="R645" s="4018" t="s">
        <v>294</v>
      </c>
      <c r="S645" s="3916" t="s">
        <v>294</v>
      </c>
      <c r="T645" s="3916" t="s">
        <v>294</v>
      </c>
      <c r="U645" s="3973" t="s">
        <v>294</v>
      </c>
      <c r="V645" s="6190" t="s">
        <v>294</v>
      </c>
      <c r="W645" s="3925" t="s">
        <v>294</v>
      </c>
      <c r="X645" s="7567" t="s">
        <v>294</v>
      </c>
      <c r="Y645" s="7567" t="s">
        <v>294</v>
      </c>
      <c r="Z645" s="7567" t="s">
        <v>294</v>
      </c>
      <c r="AA645" s="7566" t="s">
        <v>294</v>
      </c>
      <c r="AB645" s="7669"/>
      <c r="AC645" s="3920"/>
      <c r="AD645" s="3925" t="s">
        <v>294</v>
      </c>
      <c r="AE645" s="3923" t="s">
        <v>294</v>
      </c>
      <c r="AF645" s="3923" t="s">
        <v>294</v>
      </c>
      <c r="AG645" s="10976"/>
    </row>
    <row r="646" spans="1:33" ht="15.75" customHeight="1">
      <c r="A646" s="11000"/>
      <c r="B646" s="10993"/>
      <c r="C646" s="10985"/>
      <c r="D646" s="10985"/>
      <c r="E646" s="10985"/>
      <c r="F646" s="10994"/>
      <c r="G646" s="10985"/>
      <c r="H646" s="10985"/>
      <c r="I646" s="10985"/>
      <c r="J646" s="10985"/>
      <c r="K646" s="10985"/>
      <c r="L646" s="10999"/>
      <c r="M646" s="10999"/>
      <c r="N646" s="10999"/>
      <c r="O646" s="10985"/>
      <c r="P646" s="10985"/>
      <c r="Q646" s="10987"/>
      <c r="R646" s="4066" t="s">
        <v>294</v>
      </c>
      <c r="S646" s="4038" t="s">
        <v>294</v>
      </c>
      <c r="T646" s="4038" t="s">
        <v>294</v>
      </c>
      <c r="U646" s="3982" t="s">
        <v>294</v>
      </c>
      <c r="V646" s="6191" t="s">
        <v>294</v>
      </c>
      <c r="W646" s="4039" t="s">
        <v>294</v>
      </c>
      <c r="X646" s="7568" t="s">
        <v>294</v>
      </c>
      <c r="Y646" s="7568" t="s">
        <v>294</v>
      </c>
      <c r="Z646" s="7568" t="s">
        <v>294</v>
      </c>
      <c r="AA646" s="7569" t="s">
        <v>294</v>
      </c>
      <c r="AB646" s="7670"/>
      <c r="AC646" s="4040"/>
      <c r="AD646" s="4039" t="s">
        <v>294</v>
      </c>
      <c r="AE646" s="4043" t="s">
        <v>294</v>
      </c>
      <c r="AF646" s="4043" t="s">
        <v>294</v>
      </c>
      <c r="AG646" s="10979"/>
    </row>
    <row r="647" spans="1:33" ht="15.75" customHeight="1">
      <c r="A647" s="11000"/>
      <c r="B647" s="10933" t="s">
        <v>183</v>
      </c>
      <c r="C647" s="10936" t="s">
        <v>128</v>
      </c>
      <c r="D647" s="10936" t="s">
        <v>228</v>
      </c>
      <c r="E647" s="10936" t="s">
        <v>407</v>
      </c>
      <c r="F647" s="10939" t="s">
        <v>230</v>
      </c>
      <c r="G647" s="10936" t="s">
        <v>132</v>
      </c>
      <c r="H647" s="10936" t="s">
        <v>189</v>
      </c>
      <c r="I647" s="10936" t="s">
        <v>5627</v>
      </c>
      <c r="J647" s="10936" t="s">
        <v>5628</v>
      </c>
      <c r="K647" s="10936" t="s">
        <v>5629</v>
      </c>
      <c r="L647" s="10995">
        <v>1</v>
      </c>
      <c r="M647" s="10995">
        <v>1</v>
      </c>
      <c r="N647" s="10995">
        <v>1</v>
      </c>
      <c r="O647" s="10936" t="s">
        <v>5630</v>
      </c>
      <c r="P647" s="10936" t="s">
        <v>5631</v>
      </c>
      <c r="Q647" s="10952" t="s">
        <v>5734</v>
      </c>
      <c r="R647" s="4029" t="s">
        <v>294</v>
      </c>
      <c r="S647" s="4000" t="s">
        <v>294</v>
      </c>
      <c r="T647" s="4000" t="s">
        <v>294</v>
      </c>
      <c r="U647" s="3981" t="s">
        <v>294</v>
      </c>
      <c r="V647" s="6192" t="s">
        <v>294</v>
      </c>
      <c r="W647" s="4001" t="s">
        <v>294</v>
      </c>
      <c r="X647" s="7570" t="s">
        <v>294</v>
      </c>
      <c r="Y647" s="7570" t="s">
        <v>294</v>
      </c>
      <c r="Z647" s="7570" t="s">
        <v>294</v>
      </c>
      <c r="AA647" s="7571" t="s">
        <v>294</v>
      </c>
      <c r="AB647" s="7671"/>
      <c r="AC647" s="4002"/>
      <c r="AD647" s="4001" t="s">
        <v>294</v>
      </c>
      <c r="AE647" s="4005" t="s">
        <v>294</v>
      </c>
      <c r="AF647" s="4005" t="s">
        <v>294</v>
      </c>
      <c r="AG647" s="10975" t="s">
        <v>294</v>
      </c>
    </row>
    <row r="648" spans="1:33" ht="15.75" customHeight="1">
      <c r="A648" s="11000"/>
      <c r="B648" s="10934"/>
      <c r="C648" s="10937"/>
      <c r="D648" s="10937"/>
      <c r="E648" s="10937"/>
      <c r="F648" s="10940"/>
      <c r="G648" s="10937"/>
      <c r="H648" s="10937"/>
      <c r="I648" s="10937"/>
      <c r="J648" s="10937"/>
      <c r="K648" s="10937"/>
      <c r="L648" s="10996"/>
      <c r="M648" s="10996"/>
      <c r="N648" s="10996"/>
      <c r="O648" s="10937"/>
      <c r="P648" s="10937"/>
      <c r="Q648" s="10953"/>
      <c r="R648" s="4019" t="s">
        <v>294</v>
      </c>
      <c r="S648" s="3917" t="s">
        <v>294</v>
      </c>
      <c r="T648" s="3917" t="s">
        <v>294</v>
      </c>
      <c r="U648" s="3973" t="s">
        <v>294</v>
      </c>
      <c r="V648" s="6190" t="s">
        <v>294</v>
      </c>
      <c r="W648" s="3925" t="s">
        <v>294</v>
      </c>
      <c r="X648" s="7567" t="s">
        <v>294</v>
      </c>
      <c r="Y648" s="7567" t="s">
        <v>294</v>
      </c>
      <c r="Z648" s="7567" t="s">
        <v>294</v>
      </c>
      <c r="AA648" s="7566" t="s">
        <v>294</v>
      </c>
      <c r="AB648" s="7669"/>
      <c r="AC648" s="3920"/>
      <c r="AD648" s="3925" t="s">
        <v>294</v>
      </c>
      <c r="AE648" s="3923" t="s">
        <v>294</v>
      </c>
      <c r="AF648" s="3923" t="s">
        <v>294</v>
      </c>
      <c r="AG648" s="10976"/>
    </row>
    <row r="649" spans="1:33" ht="15.75" customHeight="1">
      <c r="A649" s="11000"/>
      <c r="B649" s="10934"/>
      <c r="C649" s="10937"/>
      <c r="D649" s="10937"/>
      <c r="E649" s="10937"/>
      <c r="F649" s="10940"/>
      <c r="G649" s="10937"/>
      <c r="H649" s="10937"/>
      <c r="I649" s="10937"/>
      <c r="J649" s="10937"/>
      <c r="K649" s="10937"/>
      <c r="L649" s="10996"/>
      <c r="M649" s="10996"/>
      <c r="N649" s="10996"/>
      <c r="O649" s="10937"/>
      <c r="P649" s="10937"/>
      <c r="Q649" s="10953"/>
      <c r="R649" s="4019" t="s">
        <v>294</v>
      </c>
      <c r="S649" s="3917" t="s">
        <v>294</v>
      </c>
      <c r="T649" s="3917" t="s">
        <v>294</v>
      </c>
      <c r="U649" s="3973" t="s">
        <v>294</v>
      </c>
      <c r="V649" s="6190" t="s">
        <v>294</v>
      </c>
      <c r="W649" s="3925" t="s">
        <v>294</v>
      </c>
      <c r="X649" s="7567" t="s">
        <v>294</v>
      </c>
      <c r="Y649" s="7567" t="s">
        <v>294</v>
      </c>
      <c r="Z649" s="7567" t="s">
        <v>294</v>
      </c>
      <c r="AA649" s="7566" t="s">
        <v>294</v>
      </c>
      <c r="AB649" s="7669"/>
      <c r="AC649" s="3920"/>
      <c r="AD649" s="3925" t="s">
        <v>294</v>
      </c>
      <c r="AE649" s="3923" t="s">
        <v>294</v>
      </c>
      <c r="AF649" s="3923" t="s">
        <v>294</v>
      </c>
      <c r="AG649" s="10976"/>
    </row>
    <row r="650" spans="1:33" ht="15.75" customHeight="1">
      <c r="A650" s="11000"/>
      <c r="B650" s="10934"/>
      <c r="C650" s="10937"/>
      <c r="D650" s="10937"/>
      <c r="E650" s="10937"/>
      <c r="F650" s="10940"/>
      <c r="G650" s="10937"/>
      <c r="H650" s="10937"/>
      <c r="I650" s="10937"/>
      <c r="J650" s="10937"/>
      <c r="K650" s="10937"/>
      <c r="L650" s="10996"/>
      <c r="M650" s="10996"/>
      <c r="N650" s="10996"/>
      <c r="O650" s="10937"/>
      <c r="P650" s="10937"/>
      <c r="Q650" s="10953"/>
      <c r="R650" s="4018" t="s">
        <v>294</v>
      </c>
      <c r="S650" s="3916" t="s">
        <v>294</v>
      </c>
      <c r="T650" s="3916" t="s">
        <v>294</v>
      </c>
      <c r="U650" s="3973" t="s">
        <v>294</v>
      </c>
      <c r="V650" s="6190" t="s">
        <v>294</v>
      </c>
      <c r="W650" s="3925" t="s">
        <v>294</v>
      </c>
      <c r="X650" s="7567" t="s">
        <v>294</v>
      </c>
      <c r="Y650" s="7567" t="s">
        <v>294</v>
      </c>
      <c r="Z650" s="7567" t="s">
        <v>294</v>
      </c>
      <c r="AA650" s="7566" t="s">
        <v>294</v>
      </c>
      <c r="AB650" s="7669"/>
      <c r="AC650" s="3920"/>
      <c r="AD650" s="3925" t="s">
        <v>294</v>
      </c>
      <c r="AE650" s="3923" t="s">
        <v>294</v>
      </c>
      <c r="AF650" s="3923" t="s">
        <v>294</v>
      </c>
      <c r="AG650" s="10976"/>
    </row>
    <row r="651" spans="1:33" ht="15.75" customHeight="1">
      <c r="A651" s="11000"/>
      <c r="B651" s="10935"/>
      <c r="C651" s="10938"/>
      <c r="D651" s="10938"/>
      <c r="E651" s="10938"/>
      <c r="F651" s="10941"/>
      <c r="G651" s="10938"/>
      <c r="H651" s="10938"/>
      <c r="I651" s="10938"/>
      <c r="J651" s="10938"/>
      <c r="K651" s="10938"/>
      <c r="L651" s="10997"/>
      <c r="M651" s="10997"/>
      <c r="N651" s="10997"/>
      <c r="O651" s="10938"/>
      <c r="P651" s="10938"/>
      <c r="Q651" s="10954"/>
      <c r="R651" s="4025" t="s">
        <v>294</v>
      </c>
      <c r="S651" s="3977" t="s">
        <v>294</v>
      </c>
      <c r="T651" s="3977" t="s">
        <v>294</v>
      </c>
      <c r="U651" s="3952" t="s">
        <v>294</v>
      </c>
      <c r="V651" s="6193" t="s">
        <v>294</v>
      </c>
      <c r="W651" s="3978" t="s">
        <v>294</v>
      </c>
      <c r="X651" s="7573" t="s">
        <v>294</v>
      </c>
      <c r="Y651" s="7573" t="s">
        <v>294</v>
      </c>
      <c r="Z651" s="7573" t="s">
        <v>294</v>
      </c>
      <c r="AA651" s="7574" t="s">
        <v>294</v>
      </c>
      <c r="AB651" s="7672"/>
      <c r="AC651" s="3979"/>
      <c r="AD651" s="3978" t="s">
        <v>294</v>
      </c>
      <c r="AE651" s="3980" t="s">
        <v>294</v>
      </c>
      <c r="AF651" s="3980" t="s">
        <v>294</v>
      </c>
      <c r="AG651" s="10977"/>
    </row>
    <row r="652" spans="1:33" ht="15.75" customHeight="1">
      <c r="A652" s="11000"/>
      <c r="B652" s="10950" t="s">
        <v>183</v>
      </c>
      <c r="C652" s="10948" t="s">
        <v>1291</v>
      </c>
      <c r="D652" s="10948" t="s">
        <v>1278</v>
      </c>
      <c r="E652" s="10948" t="s">
        <v>2210</v>
      </c>
      <c r="F652" s="10951" t="s">
        <v>187</v>
      </c>
      <c r="G652" s="10948" t="s">
        <v>1304</v>
      </c>
      <c r="H652" s="10948" t="s">
        <v>133</v>
      </c>
      <c r="I652" s="10948" t="s">
        <v>5632</v>
      </c>
      <c r="J652" s="10948" t="s">
        <v>5633</v>
      </c>
      <c r="K652" s="10948" t="s">
        <v>5634</v>
      </c>
      <c r="L652" s="10949">
        <v>1</v>
      </c>
      <c r="M652" s="10949">
        <v>1</v>
      </c>
      <c r="N652" s="10949">
        <v>1</v>
      </c>
      <c r="O652" s="10948" t="s">
        <v>5635</v>
      </c>
      <c r="P652" s="10948" t="s">
        <v>5636</v>
      </c>
      <c r="Q652" s="10986" t="s">
        <v>5734</v>
      </c>
      <c r="R652" s="4200" t="s">
        <v>294</v>
      </c>
      <c r="S652" s="3907" t="s">
        <v>294</v>
      </c>
      <c r="T652" s="3907" t="s">
        <v>294</v>
      </c>
      <c r="U652" s="3906" t="s">
        <v>294</v>
      </c>
      <c r="V652" s="6189" t="s">
        <v>294</v>
      </c>
      <c r="W652" s="3908" t="s">
        <v>294</v>
      </c>
      <c r="X652" s="7562" t="s">
        <v>294</v>
      </c>
      <c r="Y652" s="7562" t="s">
        <v>294</v>
      </c>
      <c r="Z652" s="7562" t="s">
        <v>294</v>
      </c>
      <c r="AA652" s="7563" t="s">
        <v>294</v>
      </c>
      <c r="AB652" s="7668"/>
      <c r="AC652" s="3909"/>
      <c r="AD652" s="3908" t="s">
        <v>294</v>
      </c>
      <c r="AE652" s="3912" t="s">
        <v>294</v>
      </c>
      <c r="AF652" s="3912" t="s">
        <v>294</v>
      </c>
      <c r="AG652" s="10978" t="s">
        <v>294</v>
      </c>
    </row>
    <row r="653" spans="1:33" ht="15.75" customHeight="1">
      <c r="A653" s="11000"/>
      <c r="B653" s="10934"/>
      <c r="C653" s="10937"/>
      <c r="D653" s="10937"/>
      <c r="E653" s="10937"/>
      <c r="F653" s="10940"/>
      <c r="G653" s="10937"/>
      <c r="H653" s="10937"/>
      <c r="I653" s="10937"/>
      <c r="J653" s="10937"/>
      <c r="K653" s="10937"/>
      <c r="L653" s="10943"/>
      <c r="M653" s="10943"/>
      <c r="N653" s="10943"/>
      <c r="O653" s="10937"/>
      <c r="P653" s="10937"/>
      <c r="Q653" s="10953"/>
      <c r="R653" s="4019" t="s">
        <v>294</v>
      </c>
      <c r="S653" s="3917" t="s">
        <v>294</v>
      </c>
      <c r="T653" s="3917" t="s">
        <v>294</v>
      </c>
      <c r="U653" s="3913" t="s">
        <v>294</v>
      </c>
      <c r="V653" s="6190" t="s">
        <v>294</v>
      </c>
      <c r="W653" s="3925" t="s">
        <v>294</v>
      </c>
      <c r="X653" s="7567" t="s">
        <v>294</v>
      </c>
      <c r="Y653" s="7567" t="s">
        <v>294</v>
      </c>
      <c r="Z653" s="7567" t="s">
        <v>294</v>
      </c>
      <c r="AA653" s="7566" t="s">
        <v>294</v>
      </c>
      <c r="AB653" s="7669"/>
      <c r="AC653" s="3920"/>
      <c r="AD653" s="3925" t="s">
        <v>294</v>
      </c>
      <c r="AE653" s="3923" t="s">
        <v>294</v>
      </c>
      <c r="AF653" s="3923" t="s">
        <v>294</v>
      </c>
      <c r="AG653" s="10976"/>
    </row>
    <row r="654" spans="1:33" ht="15.75" customHeight="1">
      <c r="A654" s="11000"/>
      <c r="B654" s="10934"/>
      <c r="C654" s="10937"/>
      <c r="D654" s="10937"/>
      <c r="E654" s="10937"/>
      <c r="F654" s="10940"/>
      <c r="G654" s="10937"/>
      <c r="H654" s="10937"/>
      <c r="I654" s="10937"/>
      <c r="J654" s="10937"/>
      <c r="K654" s="10937"/>
      <c r="L654" s="10943"/>
      <c r="M654" s="10943"/>
      <c r="N654" s="10943"/>
      <c r="O654" s="10937"/>
      <c r="P654" s="10937"/>
      <c r="Q654" s="10953"/>
      <c r="R654" s="4019" t="s">
        <v>294</v>
      </c>
      <c r="S654" s="3917" t="s">
        <v>294</v>
      </c>
      <c r="T654" s="3917" t="s">
        <v>294</v>
      </c>
      <c r="U654" s="3913" t="s">
        <v>294</v>
      </c>
      <c r="V654" s="6190" t="s">
        <v>294</v>
      </c>
      <c r="W654" s="3925" t="s">
        <v>294</v>
      </c>
      <c r="X654" s="7567" t="s">
        <v>294</v>
      </c>
      <c r="Y654" s="7567" t="s">
        <v>294</v>
      </c>
      <c r="Z654" s="7567" t="s">
        <v>294</v>
      </c>
      <c r="AA654" s="7566" t="s">
        <v>294</v>
      </c>
      <c r="AB654" s="7669"/>
      <c r="AC654" s="3920"/>
      <c r="AD654" s="3925" t="s">
        <v>294</v>
      </c>
      <c r="AE654" s="3923" t="s">
        <v>294</v>
      </c>
      <c r="AF654" s="3923" t="s">
        <v>294</v>
      </c>
      <c r="AG654" s="10976"/>
    </row>
    <row r="655" spans="1:33" ht="15.75" customHeight="1">
      <c r="A655" s="11000"/>
      <c r="B655" s="10934"/>
      <c r="C655" s="10937"/>
      <c r="D655" s="10937"/>
      <c r="E655" s="10937"/>
      <c r="F655" s="10940"/>
      <c r="G655" s="10937"/>
      <c r="H655" s="10937"/>
      <c r="I655" s="10937"/>
      <c r="J655" s="10937"/>
      <c r="K655" s="10937"/>
      <c r="L655" s="10943"/>
      <c r="M655" s="10943"/>
      <c r="N655" s="10943"/>
      <c r="O655" s="10937"/>
      <c r="P655" s="10937"/>
      <c r="Q655" s="10953"/>
      <c r="R655" s="4018" t="s">
        <v>294</v>
      </c>
      <c r="S655" s="3916" t="s">
        <v>294</v>
      </c>
      <c r="T655" s="3916" t="s">
        <v>294</v>
      </c>
      <c r="U655" s="3913" t="s">
        <v>294</v>
      </c>
      <c r="V655" s="6190" t="s">
        <v>294</v>
      </c>
      <c r="W655" s="3925" t="s">
        <v>294</v>
      </c>
      <c r="X655" s="7567" t="s">
        <v>294</v>
      </c>
      <c r="Y655" s="7567" t="s">
        <v>294</v>
      </c>
      <c r="Z655" s="7567" t="s">
        <v>294</v>
      </c>
      <c r="AA655" s="7566" t="s">
        <v>294</v>
      </c>
      <c r="AB655" s="7669"/>
      <c r="AC655" s="3920"/>
      <c r="AD655" s="3925" t="s">
        <v>294</v>
      </c>
      <c r="AE655" s="3923" t="s">
        <v>294</v>
      </c>
      <c r="AF655" s="3923" t="s">
        <v>294</v>
      </c>
      <c r="AG655" s="10976"/>
    </row>
    <row r="656" spans="1:33" ht="15.75" customHeight="1">
      <c r="A656" s="11000"/>
      <c r="B656" s="10993"/>
      <c r="C656" s="10985"/>
      <c r="D656" s="10985"/>
      <c r="E656" s="10985"/>
      <c r="F656" s="10994"/>
      <c r="G656" s="10985"/>
      <c r="H656" s="10985"/>
      <c r="I656" s="10985"/>
      <c r="J656" s="10985"/>
      <c r="K656" s="10985"/>
      <c r="L656" s="10984"/>
      <c r="M656" s="10984"/>
      <c r="N656" s="10984"/>
      <c r="O656" s="10985"/>
      <c r="P656" s="10985"/>
      <c r="Q656" s="10987"/>
      <c r="R656" s="4066" t="s">
        <v>294</v>
      </c>
      <c r="S656" s="4038" t="s">
        <v>294</v>
      </c>
      <c r="T656" s="4038" t="s">
        <v>294</v>
      </c>
      <c r="U656" s="3982" t="s">
        <v>294</v>
      </c>
      <c r="V656" s="6191" t="s">
        <v>294</v>
      </c>
      <c r="W656" s="4039" t="s">
        <v>294</v>
      </c>
      <c r="X656" s="7568" t="s">
        <v>294</v>
      </c>
      <c r="Y656" s="7568" t="s">
        <v>294</v>
      </c>
      <c r="Z656" s="7568" t="s">
        <v>294</v>
      </c>
      <c r="AA656" s="7569" t="s">
        <v>294</v>
      </c>
      <c r="AB656" s="7670"/>
      <c r="AC656" s="4040"/>
      <c r="AD656" s="4039" t="s">
        <v>294</v>
      </c>
      <c r="AE656" s="4043" t="s">
        <v>294</v>
      </c>
      <c r="AF656" s="4043" t="s">
        <v>294</v>
      </c>
      <c r="AG656" s="10979"/>
    </row>
    <row r="657" spans="1:33" ht="15.75" customHeight="1">
      <c r="A657" s="11000"/>
      <c r="B657" s="10933" t="s">
        <v>183</v>
      </c>
      <c r="C657" s="10936" t="s">
        <v>227</v>
      </c>
      <c r="D657" s="10936" t="s">
        <v>228</v>
      </c>
      <c r="E657" s="10936" t="s">
        <v>407</v>
      </c>
      <c r="F657" s="10939" t="s">
        <v>230</v>
      </c>
      <c r="G657" s="10936" t="s">
        <v>132</v>
      </c>
      <c r="H657" s="10936" t="s">
        <v>159</v>
      </c>
      <c r="I657" s="10936" t="s">
        <v>5641</v>
      </c>
      <c r="J657" s="10936" t="s">
        <v>5642</v>
      </c>
      <c r="K657" s="10936" t="s">
        <v>5643</v>
      </c>
      <c r="L657" s="10942">
        <v>1</v>
      </c>
      <c r="M657" s="10942">
        <v>2</v>
      </c>
      <c r="N657" s="10942">
        <v>1</v>
      </c>
      <c r="O657" s="10936" t="s">
        <v>5644</v>
      </c>
      <c r="P657" s="10936" t="s">
        <v>5645</v>
      </c>
      <c r="Q657" s="10952" t="s">
        <v>5734</v>
      </c>
      <c r="R657" s="4029" t="s">
        <v>294</v>
      </c>
      <c r="S657" s="4000" t="s">
        <v>294</v>
      </c>
      <c r="T657" s="4000" t="s">
        <v>294</v>
      </c>
      <c r="U657" s="3981" t="s">
        <v>294</v>
      </c>
      <c r="V657" s="6192" t="s">
        <v>294</v>
      </c>
      <c r="W657" s="4001" t="s">
        <v>294</v>
      </c>
      <c r="X657" s="7570" t="s">
        <v>294</v>
      </c>
      <c r="Y657" s="7570" t="s">
        <v>294</v>
      </c>
      <c r="Z657" s="7570" t="s">
        <v>294</v>
      </c>
      <c r="AA657" s="7571" t="s">
        <v>294</v>
      </c>
      <c r="AB657" s="7671"/>
      <c r="AC657" s="4002"/>
      <c r="AD657" s="4001" t="s">
        <v>294</v>
      </c>
      <c r="AE657" s="4005" t="s">
        <v>294</v>
      </c>
      <c r="AF657" s="4005" t="s">
        <v>294</v>
      </c>
      <c r="AG657" s="10975" t="s">
        <v>294</v>
      </c>
    </row>
    <row r="658" spans="1:33" ht="15.75" customHeight="1">
      <c r="A658" s="11000"/>
      <c r="B658" s="10934"/>
      <c r="C658" s="10937"/>
      <c r="D658" s="10937"/>
      <c r="E658" s="10937"/>
      <c r="F658" s="10940"/>
      <c r="G658" s="10937"/>
      <c r="H658" s="10937"/>
      <c r="I658" s="10937"/>
      <c r="J658" s="10937"/>
      <c r="K658" s="10937"/>
      <c r="L658" s="10943"/>
      <c r="M658" s="10943"/>
      <c r="N658" s="10943"/>
      <c r="O658" s="10937"/>
      <c r="P658" s="10937"/>
      <c r="Q658" s="10953"/>
      <c r="R658" s="4019" t="s">
        <v>294</v>
      </c>
      <c r="S658" s="3917" t="s">
        <v>294</v>
      </c>
      <c r="T658" s="3917" t="s">
        <v>294</v>
      </c>
      <c r="U658" s="3973" t="s">
        <v>294</v>
      </c>
      <c r="V658" s="6190" t="s">
        <v>294</v>
      </c>
      <c r="W658" s="3925" t="s">
        <v>294</v>
      </c>
      <c r="X658" s="7567" t="s">
        <v>294</v>
      </c>
      <c r="Y658" s="7567" t="s">
        <v>294</v>
      </c>
      <c r="Z658" s="7567" t="s">
        <v>294</v>
      </c>
      <c r="AA658" s="7566" t="s">
        <v>294</v>
      </c>
      <c r="AB658" s="7669"/>
      <c r="AC658" s="3920"/>
      <c r="AD658" s="3925" t="s">
        <v>294</v>
      </c>
      <c r="AE658" s="3923" t="s">
        <v>294</v>
      </c>
      <c r="AF658" s="3923" t="s">
        <v>294</v>
      </c>
      <c r="AG658" s="10976"/>
    </row>
    <row r="659" spans="1:33" ht="15.75" customHeight="1">
      <c r="A659" s="11000"/>
      <c r="B659" s="10934"/>
      <c r="C659" s="10937"/>
      <c r="D659" s="10937"/>
      <c r="E659" s="10937"/>
      <c r="F659" s="10940"/>
      <c r="G659" s="10937"/>
      <c r="H659" s="10937"/>
      <c r="I659" s="10937"/>
      <c r="J659" s="10937"/>
      <c r="K659" s="10937"/>
      <c r="L659" s="10943"/>
      <c r="M659" s="10943"/>
      <c r="N659" s="10943"/>
      <c r="O659" s="10937"/>
      <c r="P659" s="10937"/>
      <c r="Q659" s="10953"/>
      <c r="R659" s="4019" t="s">
        <v>294</v>
      </c>
      <c r="S659" s="3917" t="s">
        <v>294</v>
      </c>
      <c r="T659" s="3917" t="s">
        <v>294</v>
      </c>
      <c r="U659" s="3913" t="s">
        <v>294</v>
      </c>
      <c r="V659" s="6190" t="s">
        <v>294</v>
      </c>
      <c r="W659" s="3925" t="s">
        <v>294</v>
      </c>
      <c r="X659" s="7567" t="s">
        <v>294</v>
      </c>
      <c r="Y659" s="7567" t="s">
        <v>294</v>
      </c>
      <c r="Z659" s="7567" t="s">
        <v>294</v>
      </c>
      <c r="AA659" s="7566" t="s">
        <v>294</v>
      </c>
      <c r="AB659" s="7669"/>
      <c r="AC659" s="3920"/>
      <c r="AD659" s="3925" t="s">
        <v>294</v>
      </c>
      <c r="AE659" s="3923" t="s">
        <v>294</v>
      </c>
      <c r="AF659" s="3923" t="s">
        <v>294</v>
      </c>
      <c r="AG659" s="10976"/>
    </row>
    <row r="660" spans="1:33" ht="15.75" customHeight="1">
      <c r="A660" s="11000"/>
      <c r="B660" s="10934"/>
      <c r="C660" s="10937"/>
      <c r="D660" s="10937"/>
      <c r="E660" s="10937"/>
      <c r="F660" s="10940"/>
      <c r="G660" s="10937"/>
      <c r="H660" s="10937"/>
      <c r="I660" s="10937"/>
      <c r="J660" s="10937"/>
      <c r="K660" s="10937"/>
      <c r="L660" s="10943"/>
      <c r="M660" s="10943"/>
      <c r="N660" s="10943"/>
      <c r="O660" s="10937"/>
      <c r="P660" s="10937"/>
      <c r="Q660" s="10953"/>
      <c r="R660" s="4018" t="s">
        <v>294</v>
      </c>
      <c r="S660" s="3916" t="s">
        <v>294</v>
      </c>
      <c r="T660" s="3916" t="s">
        <v>294</v>
      </c>
      <c r="U660" s="3913" t="s">
        <v>294</v>
      </c>
      <c r="V660" s="6190" t="s">
        <v>294</v>
      </c>
      <c r="W660" s="3925" t="s">
        <v>294</v>
      </c>
      <c r="X660" s="7567" t="s">
        <v>294</v>
      </c>
      <c r="Y660" s="7567" t="s">
        <v>294</v>
      </c>
      <c r="Z660" s="7567" t="s">
        <v>294</v>
      </c>
      <c r="AA660" s="7566" t="s">
        <v>294</v>
      </c>
      <c r="AB660" s="7669"/>
      <c r="AC660" s="3920"/>
      <c r="AD660" s="3925" t="s">
        <v>294</v>
      </c>
      <c r="AE660" s="3923" t="s">
        <v>294</v>
      </c>
      <c r="AF660" s="3923" t="s">
        <v>294</v>
      </c>
      <c r="AG660" s="10976"/>
    </row>
    <row r="661" spans="1:33" ht="15.75" customHeight="1">
      <c r="A661" s="11000"/>
      <c r="B661" s="10935"/>
      <c r="C661" s="10938"/>
      <c r="D661" s="10938"/>
      <c r="E661" s="10938"/>
      <c r="F661" s="10941"/>
      <c r="G661" s="10938"/>
      <c r="H661" s="10938"/>
      <c r="I661" s="10938"/>
      <c r="J661" s="10938"/>
      <c r="K661" s="10938"/>
      <c r="L661" s="10944"/>
      <c r="M661" s="10944"/>
      <c r="N661" s="10944"/>
      <c r="O661" s="10938"/>
      <c r="P661" s="10938"/>
      <c r="Q661" s="10954"/>
      <c r="R661" s="4025" t="s">
        <v>294</v>
      </c>
      <c r="S661" s="3977" t="s">
        <v>294</v>
      </c>
      <c r="T661" s="3977" t="s">
        <v>294</v>
      </c>
      <c r="U661" s="3952" t="s">
        <v>294</v>
      </c>
      <c r="V661" s="6193" t="s">
        <v>294</v>
      </c>
      <c r="W661" s="3978" t="s">
        <v>294</v>
      </c>
      <c r="X661" s="7573" t="s">
        <v>294</v>
      </c>
      <c r="Y661" s="7573" t="s">
        <v>294</v>
      </c>
      <c r="Z661" s="7573" t="s">
        <v>294</v>
      </c>
      <c r="AA661" s="7574" t="s">
        <v>294</v>
      </c>
      <c r="AB661" s="7672"/>
      <c r="AC661" s="3979"/>
      <c r="AD661" s="3978" t="s">
        <v>294</v>
      </c>
      <c r="AE661" s="3980" t="s">
        <v>294</v>
      </c>
      <c r="AF661" s="3980" t="s">
        <v>294</v>
      </c>
      <c r="AG661" s="10977"/>
    </row>
    <row r="662" spans="1:33" ht="15.75" customHeight="1">
      <c r="A662" s="11000"/>
      <c r="B662" s="10950" t="s">
        <v>183</v>
      </c>
      <c r="C662" s="10948" t="s">
        <v>227</v>
      </c>
      <c r="D662" s="10948" t="s">
        <v>228</v>
      </c>
      <c r="E662" s="10948" t="s">
        <v>407</v>
      </c>
      <c r="F662" s="10951" t="s">
        <v>230</v>
      </c>
      <c r="G662" s="10948" t="s">
        <v>158</v>
      </c>
      <c r="H662" s="10948" t="s">
        <v>133</v>
      </c>
      <c r="I662" s="10948" t="s">
        <v>5646</v>
      </c>
      <c r="J662" s="10948" t="s">
        <v>5647</v>
      </c>
      <c r="K662" s="10948" t="s">
        <v>5648</v>
      </c>
      <c r="L662" s="10949">
        <v>1</v>
      </c>
      <c r="M662" s="10949">
        <v>1</v>
      </c>
      <c r="N662" s="10949">
        <v>1</v>
      </c>
      <c r="O662" s="10948" t="s">
        <v>5649</v>
      </c>
      <c r="P662" s="10948" t="s">
        <v>5650</v>
      </c>
      <c r="Q662" s="10986" t="s">
        <v>5734</v>
      </c>
      <c r="R662" s="4031" t="s">
        <v>294</v>
      </c>
      <c r="S662" s="3907" t="s">
        <v>294</v>
      </c>
      <c r="T662" s="3907" t="s">
        <v>294</v>
      </c>
      <c r="U662" s="3906" t="s">
        <v>294</v>
      </c>
      <c r="V662" s="6189" t="s">
        <v>294</v>
      </c>
      <c r="W662" s="3908" t="s">
        <v>294</v>
      </c>
      <c r="X662" s="7562" t="s">
        <v>294</v>
      </c>
      <c r="Y662" s="7562" t="s">
        <v>294</v>
      </c>
      <c r="Z662" s="7562" t="s">
        <v>294</v>
      </c>
      <c r="AA662" s="7563" t="s">
        <v>294</v>
      </c>
      <c r="AB662" s="7668"/>
      <c r="AC662" s="3909"/>
      <c r="AD662" s="3908" t="s">
        <v>294</v>
      </c>
      <c r="AE662" s="3912" t="s">
        <v>294</v>
      </c>
      <c r="AF662" s="3912" t="s">
        <v>294</v>
      </c>
      <c r="AG662" s="10978" t="s">
        <v>294</v>
      </c>
    </row>
    <row r="663" spans="1:33" ht="15.75" customHeight="1">
      <c r="A663" s="11000"/>
      <c r="B663" s="10934"/>
      <c r="C663" s="10937"/>
      <c r="D663" s="10937"/>
      <c r="E663" s="10937"/>
      <c r="F663" s="10940"/>
      <c r="G663" s="10937"/>
      <c r="H663" s="10937"/>
      <c r="I663" s="10937"/>
      <c r="J663" s="10937"/>
      <c r="K663" s="10937"/>
      <c r="L663" s="10943"/>
      <c r="M663" s="10943"/>
      <c r="N663" s="10943"/>
      <c r="O663" s="10937"/>
      <c r="P663" s="10937"/>
      <c r="Q663" s="10953"/>
      <c r="R663" s="4019" t="s">
        <v>294</v>
      </c>
      <c r="S663" s="3917" t="s">
        <v>294</v>
      </c>
      <c r="T663" s="3917" t="s">
        <v>294</v>
      </c>
      <c r="U663" s="3913" t="s">
        <v>294</v>
      </c>
      <c r="V663" s="6190" t="s">
        <v>294</v>
      </c>
      <c r="W663" s="3925" t="s">
        <v>294</v>
      </c>
      <c r="X663" s="7567" t="s">
        <v>294</v>
      </c>
      <c r="Y663" s="7567" t="s">
        <v>294</v>
      </c>
      <c r="Z663" s="7567" t="s">
        <v>294</v>
      </c>
      <c r="AA663" s="7566" t="s">
        <v>294</v>
      </c>
      <c r="AB663" s="7669"/>
      <c r="AC663" s="3920"/>
      <c r="AD663" s="3925" t="s">
        <v>294</v>
      </c>
      <c r="AE663" s="3923" t="s">
        <v>294</v>
      </c>
      <c r="AF663" s="3923" t="s">
        <v>294</v>
      </c>
      <c r="AG663" s="10976"/>
    </row>
    <row r="664" spans="1:33" ht="15.75" customHeight="1">
      <c r="A664" s="11000"/>
      <c r="B664" s="10934"/>
      <c r="C664" s="10937"/>
      <c r="D664" s="10937"/>
      <c r="E664" s="10937"/>
      <c r="F664" s="10940"/>
      <c r="G664" s="10937"/>
      <c r="H664" s="10937"/>
      <c r="I664" s="10937"/>
      <c r="J664" s="10937"/>
      <c r="K664" s="10937"/>
      <c r="L664" s="10943"/>
      <c r="M664" s="10943"/>
      <c r="N664" s="10943"/>
      <c r="O664" s="10937"/>
      <c r="P664" s="10937"/>
      <c r="Q664" s="10953"/>
      <c r="R664" s="4019" t="s">
        <v>294</v>
      </c>
      <c r="S664" s="3917" t="s">
        <v>294</v>
      </c>
      <c r="T664" s="3917" t="s">
        <v>294</v>
      </c>
      <c r="U664" s="3913" t="s">
        <v>294</v>
      </c>
      <c r="V664" s="6190" t="s">
        <v>294</v>
      </c>
      <c r="W664" s="3925" t="s">
        <v>294</v>
      </c>
      <c r="X664" s="7567" t="s">
        <v>294</v>
      </c>
      <c r="Y664" s="7567" t="s">
        <v>294</v>
      </c>
      <c r="Z664" s="7567" t="s">
        <v>294</v>
      </c>
      <c r="AA664" s="7566" t="s">
        <v>294</v>
      </c>
      <c r="AB664" s="7669"/>
      <c r="AC664" s="3920"/>
      <c r="AD664" s="3925" t="s">
        <v>294</v>
      </c>
      <c r="AE664" s="3923" t="s">
        <v>294</v>
      </c>
      <c r="AF664" s="3923" t="s">
        <v>294</v>
      </c>
      <c r="AG664" s="10976"/>
    </row>
    <row r="665" spans="1:33" ht="15.75" customHeight="1">
      <c r="A665" s="11000"/>
      <c r="B665" s="10934"/>
      <c r="C665" s="10937"/>
      <c r="D665" s="10937"/>
      <c r="E665" s="10937"/>
      <c r="F665" s="10940"/>
      <c r="G665" s="10937"/>
      <c r="H665" s="10937"/>
      <c r="I665" s="10937"/>
      <c r="J665" s="10937"/>
      <c r="K665" s="10937"/>
      <c r="L665" s="10943"/>
      <c r="M665" s="10943"/>
      <c r="N665" s="10943"/>
      <c r="O665" s="10937"/>
      <c r="P665" s="10937"/>
      <c r="Q665" s="10953"/>
      <c r="R665" s="4018" t="s">
        <v>294</v>
      </c>
      <c r="S665" s="3916" t="s">
        <v>294</v>
      </c>
      <c r="T665" s="3916" t="s">
        <v>294</v>
      </c>
      <c r="U665" s="3913" t="s">
        <v>294</v>
      </c>
      <c r="V665" s="6190" t="s">
        <v>294</v>
      </c>
      <c r="W665" s="3925" t="s">
        <v>294</v>
      </c>
      <c r="X665" s="7567" t="s">
        <v>294</v>
      </c>
      <c r="Y665" s="7567" t="s">
        <v>294</v>
      </c>
      <c r="Z665" s="7567" t="s">
        <v>294</v>
      </c>
      <c r="AA665" s="7566" t="s">
        <v>294</v>
      </c>
      <c r="AB665" s="7669"/>
      <c r="AC665" s="3920"/>
      <c r="AD665" s="3925" t="s">
        <v>294</v>
      </c>
      <c r="AE665" s="3923" t="s">
        <v>294</v>
      </c>
      <c r="AF665" s="3923" t="s">
        <v>294</v>
      </c>
      <c r="AG665" s="10976"/>
    </row>
    <row r="666" spans="1:33" ht="15.75" customHeight="1">
      <c r="A666" s="11000"/>
      <c r="B666" s="10993"/>
      <c r="C666" s="10985"/>
      <c r="D666" s="10985"/>
      <c r="E666" s="10985"/>
      <c r="F666" s="10994"/>
      <c r="G666" s="10985"/>
      <c r="H666" s="10985"/>
      <c r="I666" s="10985"/>
      <c r="J666" s="10985"/>
      <c r="K666" s="10985"/>
      <c r="L666" s="10984"/>
      <c r="M666" s="10984"/>
      <c r="N666" s="10984"/>
      <c r="O666" s="10985"/>
      <c r="P666" s="10985"/>
      <c r="Q666" s="10987"/>
      <c r="R666" s="4066" t="s">
        <v>294</v>
      </c>
      <c r="S666" s="4038" t="s">
        <v>294</v>
      </c>
      <c r="T666" s="4038" t="s">
        <v>294</v>
      </c>
      <c r="U666" s="3982" t="s">
        <v>294</v>
      </c>
      <c r="V666" s="6191" t="s">
        <v>294</v>
      </c>
      <c r="W666" s="4039" t="s">
        <v>294</v>
      </c>
      <c r="X666" s="7568" t="s">
        <v>294</v>
      </c>
      <c r="Y666" s="7568" t="s">
        <v>294</v>
      </c>
      <c r="Z666" s="7568" t="s">
        <v>294</v>
      </c>
      <c r="AA666" s="7569" t="s">
        <v>294</v>
      </c>
      <c r="AB666" s="7670"/>
      <c r="AC666" s="4040"/>
      <c r="AD666" s="4039" t="s">
        <v>294</v>
      </c>
      <c r="AE666" s="4043" t="s">
        <v>294</v>
      </c>
      <c r="AF666" s="4043" t="s">
        <v>294</v>
      </c>
      <c r="AG666" s="10979"/>
    </row>
    <row r="667" spans="1:33" ht="15.75" customHeight="1">
      <c r="A667" s="11000"/>
      <c r="B667" s="10933" t="s">
        <v>183</v>
      </c>
      <c r="C667" s="10936" t="s">
        <v>227</v>
      </c>
      <c r="D667" s="10936" t="s">
        <v>490</v>
      </c>
      <c r="E667" s="10936" t="s">
        <v>2210</v>
      </c>
      <c r="F667" s="10939" t="s">
        <v>230</v>
      </c>
      <c r="G667" s="10936" t="s">
        <v>231</v>
      </c>
      <c r="H667" s="10936" t="s">
        <v>189</v>
      </c>
      <c r="I667" s="10936" t="s">
        <v>5651</v>
      </c>
      <c r="J667" s="10936" t="s">
        <v>5652</v>
      </c>
      <c r="K667" s="10936" t="s">
        <v>5653</v>
      </c>
      <c r="L667" s="10942">
        <v>1</v>
      </c>
      <c r="M667" s="10942">
        <v>1</v>
      </c>
      <c r="N667" s="10942">
        <v>1</v>
      </c>
      <c r="O667" s="10936" t="s">
        <v>5591</v>
      </c>
      <c r="P667" s="10936" t="s">
        <v>5592</v>
      </c>
      <c r="Q667" s="10952" t="s">
        <v>5734</v>
      </c>
      <c r="R667" s="4029" t="s">
        <v>294</v>
      </c>
      <c r="S667" s="4000" t="s">
        <v>294</v>
      </c>
      <c r="T667" s="4000" t="s">
        <v>294</v>
      </c>
      <c r="U667" s="3981" t="s">
        <v>294</v>
      </c>
      <c r="V667" s="6192" t="s">
        <v>294</v>
      </c>
      <c r="W667" s="4001" t="s">
        <v>294</v>
      </c>
      <c r="X667" s="7570" t="s">
        <v>294</v>
      </c>
      <c r="Y667" s="7570" t="s">
        <v>294</v>
      </c>
      <c r="Z667" s="7570" t="s">
        <v>294</v>
      </c>
      <c r="AA667" s="7571" t="s">
        <v>294</v>
      </c>
      <c r="AB667" s="7671"/>
      <c r="AC667" s="4002"/>
      <c r="AD667" s="4001" t="s">
        <v>294</v>
      </c>
      <c r="AE667" s="4005" t="s">
        <v>294</v>
      </c>
      <c r="AF667" s="4005" t="s">
        <v>294</v>
      </c>
      <c r="AG667" s="10975" t="s">
        <v>294</v>
      </c>
    </row>
    <row r="668" spans="1:33" ht="15.75" customHeight="1">
      <c r="A668" s="11000"/>
      <c r="B668" s="10934"/>
      <c r="C668" s="10937"/>
      <c r="D668" s="10937"/>
      <c r="E668" s="10937"/>
      <c r="F668" s="10940"/>
      <c r="G668" s="10937"/>
      <c r="H668" s="10937"/>
      <c r="I668" s="10937"/>
      <c r="J668" s="10937"/>
      <c r="K668" s="10937"/>
      <c r="L668" s="10943"/>
      <c r="M668" s="10943"/>
      <c r="N668" s="10943"/>
      <c r="O668" s="10937"/>
      <c r="P668" s="10937"/>
      <c r="Q668" s="10953"/>
      <c r="R668" s="4019" t="s">
        <v>294</v>
      </c>
      <c r="S668" s="3917" t="s">
        <v>294</v>
      </c>
      <c r="T668" s="3917" t="s">
        <v>294</v>
      </c>
      <c r="U668" s="3913" t="s">
        <v>294</v>
      </c>
      <c r="V668" s="6190" t="s">
        <v>294</v>
      </c>
      <c r="W668" s="3925" t="s">
        <v>294</v>
      </c>
      <c r="X668" s="7567" t="s">
        <v>294</v>
      </c>
      <c r="Y668" s="7567" t="s">
        <v>294</v>
      </c>
      <c r="Z668" s="7567" t="s">
        <v>294</v>
      </c>
      <c r="AA668" s="7566" t="s">
        <v>294</v>
      </c>
      <c r="AB668" s="7669"/>
      <c r="AC668" s="3920"/>
      <c r="AD668" s="3925" t="s">
        <v>294</v>
      </c>
      <c r="AE668" s="3923" t="s">
        <v>294</v>
      </c>
      <c r="AF668" s="3923" t="s">
        <v>294</v>
      </c>
      <c r="AG668" s="10976"/>
    </row>
    <row r="669" spans="1:33" ht="15.75" customHeight="1">
      <c r="A669" s="11000"/>
      <c r="B669" s="10934"/>
      <c r="C669" s="10937"/>
      <c r="D669" s="10937"/>
      <c r="E669" s="10937"/>
      <c r="F669" s="10940"/>
      <c r="G669" s="10937"/>
      <c r="H669" s="10937"/>
      <c r="I669" s="10937"/>
      <c r="J669" s="10937"/>
      <c r="K669" s="10937"/>
      <c r="L669" s="10943"/>
      <c r="M669" s="10943"/>
      <c r="N669" s="10943"/>
      <c r="O669" s="10937"/>
      <c r="P669" s="10937"/>
      <c r="Q669" s="10953"/>
      <c r="R669" s="4019" t="s">
        <v>294</v>
      </c>
      <c r="S669" s="3917" t="s">
        <v>294</v>
      </c>
      <c r="T669" s="3917" t="s">
        <v>294</v>
      </c>
      <c r="U669" s="3913" t="s">
        <v>294</v>
      </c>
      <c r="V669" s="6190" t="s">
        <v>294</v>
      </c>
      <c r="W669" s="3925" t="s">
        <v>294</v>
      </c>
      <c r="X669" s="7567" t="s">
        <v>294</v>
      </c>
      <c r="Y669" s="7567" t="s">
        <v>294</v>
      </c>
      <c r="Z669" s="7567" t="s">
        <v>294</v>
      </c>
      <c r="AA669" s="7566" t="s">
        <v>294</v>
      </c>
      <c r="AB669" s="7669"/>
      <c r="AC669" s="3920"/>
      <c r="AD669" s="3925" t="s">
        <v>294</v>
      </c>
      <c r="AE669" s="3923" t="s">
        <v>294</v>
      </c>
      <c r="AF669" s="3923" t="s">
        <v>294</v>
      </c>
      <c r="AG669" s="10976"/>
    </row>
    <row r="670" spans="1:33" ht="15.75" customHeight="1">
      <c r="A670" s="11000"/>
      <c r="B670" s="10934"/>
      <c r="C670" s="10937"/>
      <c r="D670" s="10937"/>
      <c r="E670" s="10937"/>
      <c r="F670" s="10940"/>
      <c r="G670" s="10937"/>
      <c r="H670" s="10937"/>
      <c r="I670" s="10937"/>
      <c r="J670" s="10937"/>
      <c r="K670" s="10937"/>
      <c r="L670" s="10943"/>
      <c r="M670" s="10943"/>
      <c r="N670" s="10943"/>
      <c r="O670" s="10937"/>
      <c r="P670" s="10937"/>
      <c r="Q670" s="10953"/>
      <c r="R670" s="4018" t="s">
        <v>294</v>
      </c>
      <c r="S670" s="3916" t="s">
        <v>294</v>
      </c>
      <c r="T670" s="3916" t="s">
        <v>294</v>
      </c>
      <c r="U670" s="3913" t="s">
        <v>294</v>
      </c>
      <c r="V670" s="6190" t="s">
        <v>294</v>
      </c>
      <c r="W670" s="3925" t="s">
        <v>294</v>
      </c>
      <c r="X670" s="7567" t="s">
        <v>294</v>
      </c>
      <c r="Y670" s="7567" t="s">
        <v>294</v>
      </c>
      <c r="Z670" s="7567" t="s">
        <v>294</v>
      </c>
      <c r="AA670" s="7566" t="s">
        <v>294</v>
      </c>
      <c r="AB670" s="7669"/>
      <c r="AC670" s="3920"/>
      <c r="AD670" s="3925" t="s">
        <v>294</v>
      </c>
      <c r="AE670" s="3923" t="s">
        <v>294</v>
      </c>
      <c r="AF670" s="3923" t="s">
        <v>294</v>
      </c>
      <c r="AG670" s="10976"/>
    </row>
    <row r="671" spans="1:33" ht="15.75" customHeight="1">
      <c r="A671" s="11000"/>
      <c r="B671" s="10993"/>
      <c r="C671" s="10985"/>
      <c r="D671" s="10985"/>
      <c r="E671" s="10985"/>
      <c r="F671" s="10994"/>
      <c r="G671" s="10985"/>
      <c r="H671" s="10985"/>
      <c r="I671" s="10985"/>
      <c r="J671" s="10985"/>
      <c r="K671" s="10985"/>
      <c r="L671" s="10984"/>
      <c r="M671" s="10984"/>
      <c r="N671" s="10984"/>
      <c r="O671" s="10985"/>
      <c r="P671" s="10985"/>
      <c r="Q671" s="10987"/>
      <c r="R671" s="4025" t="s">
        <v>294</v>
      </c>
      <c r="S671" s="3977" t="s">
        <v>294</v>
      </c>
      <c r="T671" s="3977" t="s">
        <v>294</v>
      </c>
      <c r="U671" s="3952" t="s">
        <v>294</v>
      </c>
      <c r="V671" s="6193" t="s">
        <v>294</v>
      </c>
      <c r="W671" s="3978" t="s">
        <v>294</v>
      </c>
      <c r="X671" s="7573" t="s">
        <v>294</v>
      </c>
      <c r="Y671" s="7573" t="s">
        <v>294</v>
      </c>
      <c r="Z671" s="7573" t="s">
        <v>294</v>
      </c>
      <c r="AA671" s="7574" t="s">
        <v>294</v>
      </c>
      <c r="AB671" s="7672"/>
      <c r="AC671" s="3979"/>
      <c r="AD671" s="3978" t="s">
        <v>294</v>
      </c>
      <c r="AE671" s="3980" t="s">
        <v>294</v>
      </c>
      <c r="AF671" s="3980" t="s">
        <v>294</v>
      </c>
      <c r="AG671" s="10977"/>
    </row>
    <row r="672" spans="1:33" ht="15.75" customHeight="1">
      <c r="A672" s="11000"/>
      <c r="B672" s="10933" t="s">
        <v>183</v>
      </c>
      <c r="C672" s="10936" t="s">
        <v>227</v>
      </c>
      <c r="D672" s="10936" t="s">
        <v>228</v>
      </c>
      <c r="E672" s="10936" t="s">
        <v>407</v>
      </c>
      <c r="F672" s="10939" t="s">
        <v>230</v>
      </c>
      <c r="G672" s="10936" t="s">
        <v>231</v>
      </c>
      <c r="H672" s="10936" t="s">
        <v>189</v>
      </c>
      <c r="I672" s="10936" t="s">
        <v>5654</v>
      </c>
      <c r="J672" s="10936" t="s">
        <v>5655</v>
      </c>
      <c r="K672" s="10936" t="s">
        <v>5656</v>
      </c>
      <c r="L672" s="10942">
        <v>1</v>
      </c>
      <c r="M672" s="10942">
        <v>1</v>
      </c>
      <c r="N672" s="10942">
        <v>1</v>
      </c>
      <c r="O672" s="10936" t="s">
        <v>5657</v>
      </c>
      <c r="P672" s="10936" t="s">
        <v>5658</v>
      </c>
      <c r="Q672" s="10952" t="s">
        <v>5734</v>
      </c>
      <c r="R672" s="4031" t="s">
        <v>294</v>
      </c>
      <c r="S672" s="3907" t="s">
        <v>294</v>
      </c>
      <c r="T672" s="3907" t="s">
        <v>294</v>
      </c>
      <c r="U672" s="3906" t="s">
        <v>294</v>
      </c>
      <c r="V672" s="6189" t="s">
        <v>294</v>
      </c>
      <c r="W672" s="3908" t="s">
        <v>294</v>
      </c>
      <c r="X672" s="7562" t="s">
        <v>294</v>
      </c>
      <c r="Y672" s="7562" t="s">
        <v>294</v>
      </c>
      <c r="Z672" s="7562" t="s">
        <v>294</v>
      </c>
      <c r="AA672" s="7563" t="s">
        <v>294</v>
      </c>
      <c r="AB672" s="7668"/>
      <c r="AC672" s="3909"/>
      <c r="AD672" s="3908" t="s">
        <v>294</v>
      </c>
      <c r="AE672" s="3912" t="s">
        <v>294</v>
      </c>
      <c r="AF672" s="3912" t="s">
        <v>294</v>
      </c>
      <c r="AG672" s="10978" t="s">
        <v>294</v>
      </c>
    </row>
    <row r="673" spans="1:33" ht="15.75" customHeight="1">
      <c r="A673" s="11000"/>
      <c r="B673" s="10934"/>
      <c r="C673" s="10937"/>
      <c r="D673" s="10937"/>
      <c r="E673" s="10937"/>
      <c r="F673" s="10940"/>
      <c r="G673" s="10937"/>
      <c r="H673" s="10937"/>
      <c r="I673" s="10937"/>
      <c r="J673" s="10937"/>
      <c r="K673" s="10937"/>
      <c r="L673" s="10943"/>
      <c r="M673" s="10943"/>
      <c r="N673" s="10943"/>
      <c r="O673" s="10937"/>
      <c r="P673" s="10937"/>
      <c r="Q673" s="10953"/>
      <c r="R673" s="4019" t="s">
        <v>294</v>
      </c>
      <c r="S673" s="3917" t="s">
        <v>294</v>
      </c>
      <c r="T673" s="3917" t="s">
        <v>294</v>
      </c>
      <c r="U673" s="3913" t="s">
        <v>294</v>
      </c>
      <c r="V673" s="6190" t="s">
        <v>294</v>
      </c>
      <c r="W673" s="3925" t="s">
        <v>294</v>
      </c>
      <c r="X673" s="7567" t="s">
        <v>294</v>
      </c>
      <c r="Y673" s="7567" t="s">
        <v>294</v>
      </c>
      <c r="Z673" s="7567" t="s">
        <v>294</v>
      </c>
      <c r="AA673" s="7566" t="s">
        <v>294</v>
      </c>
      <c r="AB673" s="7669"/>
      <c r="AC673" s="3920"/>
      <c r="AD673" s="3925" t="s">
        <v>294</v>
      </c>
      <c r="AE673" s="3923" t="s">
        <v>294</v>
      </c>
      <c r="AF673" s="3923" t="s">
        <v>294</v>
      </c>
      <c r="AG673" s="10976"/>
    </row>
    <row r="674" spans="1:33" ht="15.75" customHeight="1">
      <c r="A674" s="11000"/>
      <c r="B674" s="10934"/>
      <c r="C674" s="10937"/>
      <c r="D674" s="10937"/>
      <c r="E674" s="10937"/>
      <c r="F674" s="10940"/>
      <c r="G674" s="10937"/>
      <c r="H674" s="10937"/>
      <c r="I674" s="10937"/>
      <c r="J674" s="10937"/>
      <c r="K674" s="10937"/>
      <c r="L674" s="10943"/>
      <c r="M674" s="10943"/>
      <c r="N674" s="10943"/>
      <c r="O674" s="10937"/>
      <c r="P674" s="10937"/>
      <c r="Q674" s="10953"/>
      <c r="R674" s="4019" t="s">
        <v>294</v>
      </c>
      <c r="S674" s="3917" t="s">
        <v>294</v>
      </c>
      <c r="T674" s="3917" t="s">
        <v>294</v>
      </c>
      <c r="U674" s="3913" t="s">
        <v>294</v>
      </c>
      <c r="V674" s="6190" t="s">
        <v>294</v>
      </c>
      <c r="W674" s="3925" t="s">
        <v>294</v>
      </c>
      <c r="X674" s="7567" t="s">
        <v>294</v>
      </c>
      <c r="Y674" s="7567" t="s">
        <v>294</v>
      </c>
      <c r="Z674" s="7567" t="s">
        <v>294</v>
      </c>
      <c r="AA674" s="7566" t="s">
        <v>294</v>
      </c>
      <c r="AB674" s="7669"/>
      <c r="AC674" s="3920"/>
      <c r="AD674" s="3925" t="s">
        <v>294</v>
      </c>
      <c r="AE674" s="3923" t="s">
        <v>294</v>
      </c>
      <c r="AF674" s="3923" t="s">
        <v>294</v>
      </c>
      <c r="AG674" s="10976"/>
    </row>
    <row r="675" spans="1:33" ht="15.75" customHeight="1">
      <c r="A675" s="11000"/>
      <c r="B675" s="10934"/>
      <c r="C675" s="10937"/>
      <c r="D675" s="10937"/>
      <c r="E675" s="10937"/>
      <c r="F675" s="10940"/>
      <c r="G675" s="10937"/>
      <c r="H675" s="10937"/>
      <c r="I675" s="10937"/>
      <c r="J675" s="10937"/>
      <c r="K675" s="10937"/>
      <c r="L675" s="10943"/>
      <c r="M675" s="10943"/>
      <c r="N675" s="10943"/>
      <c r="O675" s="10937"/>
      <c r="P675" s="10937"/>
      <c r="Q675" s="10953"/>
      <c r="R675" s="4018" t="s">
        <v>294</v>
      </c>
      <c r="S675" s="3916" t="s">
        <v>294</v>
      </c>
      <c r="T675" s="3916" t="s">
        <v>294</v>
      </c>
      <c r="U675" s="3913" t="s">
        <v>294</v>
      </c>
      <c r="V675" s="6190" t="s">
        <v>294</v>
      </c>
      <c r="W675" s="3925" t="s">
        <v>294</v>
      </c>
      <c r="X675" s="7567" t="s">
        <v>294</v>
      </c>
      <c r="Y675" s="7567" t="s">
        <v>294</v>
      </c>
      <c r="Z675" s="7567" t="s">
        <v>294</v>
      </c>
      <c r="AA675" s="7566" t="s">
        <v>294</v>
      </c>
      <c r="AB675" s="7669"/>
      <c r="AC675" s="3920"/>
      <c r="AD675" s="3925" t="s">
        <v>294</v>
      </c>
      <c r="AE675" s="3923" t="s">
        <v>294</v>
      </c>
      <c r="AF675" s="3923" t="s">
        <v>294</v>
      </c>
      <c r="AG675" s="10976"/>
    </row>
    <row r="676" spans="1:33" ht="15.75" customHeight="1">
      <c r="A676" s="11000"/>
      <c r="B676" s="10935"/>
      <c r="C676" s="10938"/>
      <c r="D676" s="10938"/>
      <c r="E676" s="10938"/>
      <c r="F676" s="10941"/>
      <c r="G676" s="10938"/>
      <c r="H676" s="10938"/>
      <c r="I676" s="10938"/>
      <c r="J676" s="10938"/>
      <c r="K676" s="10938"/>
      <c r="L676" s="10944"/>
      <c r="M676" s="10944"/>
      <c r="N676" s="10944"/>
      <c r="O676" s="10938"/>
      <c r="P676" s="10938"/>
      <c r="Q676" s="10954"/>
      <c r="R676" s="4066" t="s">
        <v>294</v>
      </c>
      <c r="S676" s="4038" t="s">
        <v>294</v>
      </c>
      <c r="T676" s="4038" t="s">
        <v>294</v>
      </c>
      <c r="U676" s="3982" t="s">
        <v>294</v>
      </c>
      <c r="V676" s="6191" t="s">
        <v>294</v>
      </c>
      <c r="W676" s="4039" t="s">
        <v>294</v>
      </c>
      <c r="X676" s="7568" t="s">
        <v>294</v>
      </c>
      <c r="Y676" s="7568" t="s">
        <v>294</v>
      </c>
      <c r="Z676" s="7568" t="s">
        <v>294</v>
      </c>
      <c r="AA676" s="7569" t="s">
        <v>294</v>
      </c>
      <c r="AB676" s="7670"/>
      <c r="AC676" s="4040"/>
      <c r="AD676" s="4039" t="s">
        <v>294</v>
      </c>
      <c r="AE676" s="4043" t="s">
        <v>294</v>
      </c>
      <c r="AF676" s="4043" t="s">
        <v>294</v>
      </c>
      <c r="AG676" s="10979"/>
    </row>
    <row r="677" spans="1:33" ht="15.75" customHeight="1">
      <c r="A677" s="11000"/>
      <c r="B677" s="10950" t="s">
        <v>183</v>
      </c>
      <c r="C677" s="10948" t="s">
        <v>227</v>
      </c>
      <c r="D677" s="10948" t="s">
        <v>490</v>
      </c>
      <c r="E677" s="10948" t="s">
        <v>2210</v>
      </c>
      <c r="F677" s="10951" t="s">
        <v>230</v>
      </c>
      <c r="G677" s="10948" t="s">
        <v>231</v>
      </c>
      <c r="H677" s="10948" t="s">
        <v>133</v>
      </c>
      <c r="I677" s="10948" t="s">
        <v>5659</v>
      </c>
      <c r="J677" s="10948" t="s">
        <v>5660</v>
      </c>
      <c r="K677" s="10948" t="s">
        <v>5661</v>
      </c>
      <c r="L677" s="10949">
        <v>1</v>
      </c>
      <c r="M677" s="10949">
        <v>1</v>
      </c>
      <c r="N677" s="10949">
        <v>1</v>
      </c>
      <c r="O677" s="10948" t="s">
        <v>5662</v>
      </c>
      <c r="P677" s="10948" t="s">
        <v>5663</v>
      </c>
      <c r="Q677" s="10986" t="s">
        <v>5734</v>
      </c>
      <c r="R677" s="4029" t="s">
        <v>294</v>
      </c>
      <c r="S677" s="4000" t="s">
        <v>294</v>
      </c>
      <c r="T677" s="4000" t="s">
        <v>294</v>
      </c>
      <c r="U677" s="3981" t="s">
        <v>294</v>
      </c>
      <c r="V677" s="6192" t="s">
        <v>294</v>
      </c>
      <c r="W677" s="4001" t="s">
        <v>294</v>
      </c>
      <c r="X677" s="7570" t="s">
        <v>294</v>
      </c>
      <c r="Y677" s="7570" t="s">
        <v>294</v>
      </c>
      <c r="Z677" s="7570" t="s">
        <v>294</v>
      </c>
      <c r="AA677" s="7571" t="s">
        <v>294</v>
      </c>
      <c r="AB677" s="7671"/>
      <c r="AC677" s="4002"/>
      <c r="AD677" s="4001" t="s">
        <v>294</v>
      </c>
      <c r="AE677" s="4005" t="s">
        <v>294</v>
      </c>
      <c r="AF677" s="4005" t="s">
        <v>294</v>
      </c>
      <c r="AG677" s="10975" t="s">
        <v>294</v>
      </c>
    </row>
    <row r="678" spans="1:33" ht="15.75" customHeight="1">
      <c r="A678" s="11000"/>
      <c r="B678" s="10934"/>
      <c r="C678" s="10937"/>
      <c r="D678" s="10937"/>
      <c r="E678" s="10937"/>
      <c r="F678" s="10940"/>
      <c r="G678" s="10937"/>
      <c r="H678" s="10937"/>
      <c r="I678" s="10937"/>
      <c r="J678" s="10937"/>
      <c r="K678" s="10937"/>
      <c r="L678" s="10943"/>
      <c r="M678" s="10943"/>
      <c r="N678" s="10943"/>
      <c r="O678" s="10937"/>
      <c r="P678" s="10937"/>
      <c r="Q678" s="10953"/>
      <c r="R678" s="4019" t="s">
        <v>294</v>
      </c>
      <c r="S678" s="3917" t="s">
        <v>294</v>
      </c>
      <c r="T678" s="3917" t="s">
        <v>294</v>
      </c>
      <c r="U678" s="3913" t="s">
        <v>294</v>
      </c>
      <c r="V678" s="6190" t="s">
        <v>294</v>
      </c>
      <c r="W678" s="3925" t="s">
        <v>294</v>
      </c>
      <c r="X678" s="7567" t="s">
        <v>294</v>
      </c>
      <c r="Y678" s="7567" t="s">
        <v>294</v>
      </c>
      <c r="Z678" s="7567" t="s">
        <v>294</v>
      </c>
      <c r="AA678" s="7566" t="s">
        <v>294</v>
      </c>
      <c r="AB678" s="7669"/>
      <c r="AC678" s="3920"/>
      <c r="AD678" s="3925" t="s">
        <v>294</v>
      </c>
      <c r="AE678" s="3923" t="s">
        <v>294</v>
      </c>
      <c r="AF678" s="3923" t="s">
        <v>294</v>
      </c>
      <c r="AG678" s="10976"/>
    </row>
    <row r="679" spans="1:33" ht="15.75" customHeight="1">
      <c r="A679" s="11000"/>
      <c r="B679" s="10934"/>
      <c r="C679" s="10937"/>
      <c r="D679" s="10937"/>
      <c r="E679" s="10937"/>
      <c r="F679" s="10940"/>
      <c r="G679" s="10937"/>
      <c r="H679" s="10937"/>
      <c r="I679" s="10937"/>
      <c r="J679" s="10937"/>
      <c r="K679" s="10937"/>
      <c r="L679" s="10943"/>
      <c r="M679" s="10943"/>
      <c r="N679" s="10943"/>
      <c r="O679" s="10937"/>
      <c r="P679" s="10937"/>
      <c r="Q679" s="10953"/>
      <c r="R679" s="4019" t="s">
        <v>294</v>
      </c>
      <c r="S679" s="3917" t="s">
        <v>294</v>
      </c>
      <c r="T679" s="3917" t="s">
        <v>294</v>
      </c>
      <c r="U679" s="3913" t="s">
        <v>294</v>
      </c>
      <c r="V679" s="6190" t="s">
        <v>294</v>
      </c>
      <c r="W679" s="3925" t="s">
        <v>294</v>
      </c>
      <c r="X679" s="7567" t="s">
        <v>294</v>
      </c>
      <c r="Y679" s="7567" t="s">
        <v>294</v>
      </c>
      <c r="Z679" s="7567" t="s">
        <v>294</v>
      </c>
      <c r="AA679" s="7566" t="s">
        <v>294</v>
      </c>
      <c r="AB679" s="7669"/>
      <c r="AC679" s="3920"/>
      <c r="AD679" s="3925" t="s">
        <v>294</v>
      </c>
      <c r="AE679" s="3923" t="s">
        <v>294</v>
      </c>
      <c r="AF679" s="3923" t="s">
        <v>294</v>
      </c>
      <c r="AG679" s="10976"/>
    </row>
    <row r="680" spans="1:33" ht="15.75" customHeight="1">
      <c r="A680" s="11000"/>
      <c r="B680" s="10934"/>
      <c r="C680" s="10937"/>
      <c r="D680" s="10937"/>
      <c r="E680" s="10937"/>
      <c r="F680" s="10940"/>
      <c r="G680" s="10937"/>
      <c r="H680" s="10937"/>
      <c r="I680" s="10937"/>
      <c r="J680" s="10937"/>
      <c r="K680" s="10937"/>
      <c r="L680" s="10943"/>
      <c r="M680" s="10943"/>
      <c r="N680" s="10943"/>
      <c r="O680" s="10937"/>
      <c r="P680" s="10937"/>
      <c r="Q680" s="10953"/>
      <c r="R680" s="4018" t="s">
        <v>294</v>
      </c>
      <c r="S680" s="3916" t="s">
        <v>294</v>
      </c>
      <c r="T680" s="3916" t="s">
        <v>294</v>
      </c>
      <c r="U680" s="3913" t="s">
        <v>294</v>
      </c>
      <c r="V680" s="6190" t="s">
        <v>294</v>
      </c>
      <c r="W680" s="3925" t="s">
        <v>294</v>
      </c>
      <c r="X680" s="7567" t="s">
        <v>294</v>
      </c>
      <c r="Y680" s="7567" t="s">
        <v>294</v>
      </c>
      <c r="Z680" s="7567" t="s">
        <v>294</v>
      </c>
      <c r="AA680" s="7566" t="s">
        <v>294</v>
      </c>
      <c r="AB680" s="7669"/>
      <c r="AC680" s="3920"/>
      <c r="AD680" s="3925" t="s">
        <v>294</v>
      </c>
      <c r="AE680" s="3923" t="s">
        <v>294</v>
      </c>
      <c r="AF680" s="3923" t="s">
        <v>294</v>
      </c>
      <c r="AG680" s="10976"/>
    </row>
    <row r="681" spans="1:33" ht="15.75" customHeight="1">
      <c r="A681" s="11000"/>
      <c r="B681" s="10935"/>
      <c r="C681" s="10938"/>
      <c r="D681" s="10938"/>
      <c r="E681" s="10938"/>
      <c r="F681" s="10941"/>
      <c r="G681" s="10938"/>
      <c r="H681" s="10938"/>
      <c r="I681" s="10938"/>
      <c r="J681" s="10938"/>
      <c r="K681" s="10938"/>
      <c r="L681" s="10944"/>
      <c r="M681" s="10944"/>
      <c r="N681" s="10944"/>
      <c r="O681" s="10938"/>
      <c r="P681" s="10938"/>
      <c r="Q681" s="10954"/>
      <c r="R681" s="4025" t="s">
        <v>294</v>
      </c>
      <c r="S681" s="3977" t="s">
        <v>294</v>
      </c>
      <c r="T681" s="3977" t="s">
        <v>294</v>
      </c>
      <c r="U681" s="3952" t="s">
        <v>294</v>
      </c>
      <c r="V681" s="6193" t="s">
        <v>294</v>
      </c>
      <c r="W681" s="3978" t="s">
        <v>294</v>
      </c>
      <c r="X681" s="7573" t="s">
        <v>294</v>
      </c>
      <c r="Y681" s="7573" t="s">
        <v>294</v>
      </c>
      <c r="Z681" s="7573" t="s">
        <v>294</v>
      </c>
      <c r="AA681" s="7574" t="s">
        <v>294</v>
      </c>
      <c r="AB681" s="7672"/>
      <c r="AC681" s="3979"/>
      <c r="AD681" s="3978" t="s">
        <v>294</v>
      </c>
      <c r="AE681" s="3980" t="s">
        <v>294</v>
      </c>
      <c r="AF681" s="3980" t="s">
        <v>294</v>
      </c>
      <c r="AG681" s="10977"/>
    </row>
    <row r="682" spans="1:33" ht="15.75" customHeight="1">
      <c r="A682" s="11000"/>
      <c r="B682" s="10950" t="s">
        <v>183</v>
      </c>
      <c r="C682" s="10948" t="s">
        <v>128</v>
      </c>
      <c r="D682" s="10948" t="s">
        <v>228</v>
      </c>
      <c r="E682" s="10948" t="s">
        <v>407</v>
      </c>
      <c r="F682" s="10951" t="s">
        <v>230</v>
      </c>
      <c r="G682" s="10948" t="s">
        <v>171</v>
      </c>
      <c r="H682" s="10948" t="s">
        <v>133</v>
      </c>
      <c r="I682" s="10948" t="s">
        <v>5664</v>
      </c>
      <c r="J682" s="10948" t="s">
        <v>5665</v>
      </c>
      <c r="K682" s="10948" t="s">
        <v>5666</v>
      </c>
      <c r="L682" s="10949">
        <v>1</v>
      </c>
      <c r="M682" s="10949">
        <v>1</v>
      </c>
      <c r="N682" s="10949">
        <v>1</v>
      </c>
      <c r="O682" s="10948" t="s">
        <v>5667</v>
      </c>
      <c r="P682" s="10948" t="s">
        <v>5668</v>
      </c>
      <c r="Q682" s="10986" t="s">
        <v>5734</v>
      </c>
      <c r="R682" s="4031" t="s">
        <v>294</v>
      </c>
      <c r="S682" s="3907" t="s">
        <v>294</v>
      </c>
      <c r="T682" s="3907" t="s">
        <v>294</v>
      </c>
      <c r="U682" s="3906" t="s">
        <v>294</v>
      </c>
      <c r="V682" s="6189" t="s">
        <v>294</v>
      </c>
      <c r="W682" s="3908" t="s">
        <v>294</v>
      </c>
      <c r="X682" s="7562" t="s">
        <v>294</v>
      </c>
      <c r="Y682" s="7562" t="s">
        <v>294</v>
      </c>
      <c r="Z682" s="7562" t="s">
        <v>294</v>
      </c>
      <c r="AA682" s="7563" t="s">
        <v>294</v>
      </c>
      <c r="AB682" s="7668"/>
      <c r="AC682" s="3909"/>
      <c r="AD682" s="3908" t="s">
        <v>294</v>
      </c>
      <c r="AE682" s="3912" t="s">
        <v>294</v>
      </c>
      <c r="AF682" s="3912" t="s">
        <v>294</v>
      </c>
      <c r="AG682" s="10978" t="s">
        <v>294</v>
      </c>
    </row>
    <row r="683" spans="1:33" ht="15.75" customHeight="1">
      <c r="A683" s="11000"/>
      <c r="B683" s="10934"/>
      <c r="C683" s="10937"/>
      <c r="D683" s="10937"/>
      <c r="E683" s="10937"/>
      <c r="F683" s="10940"/>
      <c r="G683" s="10937"/>
      <c r="H683" s="10937"/>
      <c r="I683" s="10937"/>
      <c r="J683" s="10937"/>
      <c r="K683" s="10937"/>
      <c r="L683" s="10943"/>
      <c r="M683" s="10943"/>
      <c r="N683" s="10943"/>
      <c r="O683" s="10937"/>
      <c r="P683" s="10937"/>
      <c r="Q683" s="10953"/>
      <c r="R683" s="4019" t="s">
        <v>294</v>
      </c>
      <c r="S683" s="3917" t="s">
        <v>294</v>
      </c>
      <c r="T683" s="3917" t="s">
        <v>294</v>
      </c>
      <c r="U683" s="3913" t="s">
        <v>294</v>
      </c>
      <c r="V683" s="6190" t="s">
        <v>294</v>
      </c>
      <c r="W683" s="3925" t="s">
        <v>294</v>
      </c>
      <c r="X683" s="7567" t="s">
        <v>294</v>
      </c>
      <c r="Y683" s="7567" t="s">
        <v>294</v>
      </c>
      <c r="Z683" s="7567" t="s">
        <v>294</v>
      </c>
      <c r="AA683" s="7566" t="s">
        <v>294</v>
      </c>
      <c r="AB683" s="7669"/>
      <c r="AC683" s="3920"/>
      <c r="AD683" s="3925" t="s">
        <v>294</v>
      </c>
      <c r="AE683" s="3923" t="s">
        <v>294</v>
      </c>
      <c r="AF683" s="3923" t="s">
        <v>294</v>
      </c>
      <c r="AG683" s="10976"/>
    </row>
    <row r="684" spans="1:33" ht="15.75" customHeight="1">
      <c r="A684" s="11000"/>
      <c r="B684" s="10934"/>
      <c r="C684" s="10937"/>
      <c r="D684" s="10937"/>
      <c r="E684" s="10937"/>
      <c r="F684" s="10940"/>
      <c r="G684" s="10937"/>
      <c r="H684" s="10937"/>
      <c r="I684" s="10937"/>
      <c r="J684" s="10937"/>
      <c r="K684" s="10937"/>
      <c r="L684" s="10943"/>
      <c r="M684" s="10943"/>
      <c r="N684" s="10943"/>
      <c r="O684" s="10937"/>
      <c r="P684" s="10937"/>
      <c r="Q684" s="10953"/>
      <c r="R684" s="4019" t="s">
        <v>294</v>
      </c>
      <c r="S684" s="3917" t="s">
        <v>294</v>
      </c>
      <c r="T684" s="3917" t="s">
        <v>294</v>
      </c>
      <c r="U684" s="3913" t="s">
        <v>294</v>
      </c>
      <c r="V684" s="6190" t="s">
        <v>294</v>
      </c>
      <c r="W684" s="3925" t="s">
        <v>294</v>
      </c>
      <c r="X684" s="7567" t="s">
        <v>294</v>
      </c>
      <c r="Y684" s="7567" t="s">
        <v>294</v>
      </c>
      <c r="Z684" s="7567" t="s">
        <v>294</v>
      </c>
      <c r="AA684" s="7566" t="s">
        <v>294</v>
      </c>
      <c r="AB684" s="7669"/>
      <c r="AC684" s="3920"/>
      <c r="AD684" s="3925" t="s">
        <v>294</v>
      </c>
      <c r="AE684" s="3923" t="s">
        <v>294</v>
      </c>
      <c r="AF684" s="3923" t="s">
        <v>294</v>
      </c>
      <c r="AG684" s="10976"/>
    </row>
    <row r="685" spans="1:33" ht="15.75" customHeight="1">
      <c r="A685" s="11000"/>
      <c r="B685" s="10934"/>
      <c r="C685" s="10937"/>
      <c r="D685" s="10937"/>
      <c r="E685" s="10937"/>
      <c r="F685" s="10940"/>
      <c r="G685" s="10937"/>
      <c r="H685" s="10937"/>
      <c r="I685" s="10937"/>
      <c r="J685" s="10937"/>
      <c r="K685" s="10937"/>
      <c r="L685" s="10943"/>
      <c r="M685" s="10943"/>
      <c r="N685" s="10943"/>
      <c r="O685" s="10937"/>
      <c r="P685" s="10937"/>
      <c r="Q685" s="10953"/>
      <c r="R685" s="4018" t="s">
        <v>294</v>
      </c>
      <c r="S685" s="3916" t="s">
        <v>294</v>
      </c>
      <c r="T685" s="3916" t="s">
        <v>294</v>
      </c>
      <c r="U685" s="3913" t="s">
        <v>294</v>
      </c>
      <c r="V685" s="6190" t="s">
        <v>294</v>
      </c>
      <c r="W685" s="3925" t="s">
        <v>294</v>
      </c>
      <c r="X685" s="7567" t="s">
        <v>294</v>
      </c>
      <c r="Y685" s="7567" t="s">
        <v>294</v>
      </c>
      <c r="Z685" s="7567" t="s">
        <v>294</v>
      </c>
      <c r="AA685" s="7566" t="s">
        <v>294</v>
      </c>
      <c r="AB685" s="7669"/>
      <c r="AC685" s="3920"/>
      <c r="AD685" s="3925" t="s">
        <v>294</v>
      </c>
      <c r="AE685" s="3923" t="s">
        <v>294</v>
      </c>
      <c r="AF685" s="3923" t="s">
        <v>294</v>
      </c>
      <c r="AG685" s="10976"/>
    </row>
    <row r="686" spans="1:33" ht="15.75" customHeight="1">
      <c r="A686" s="11000"/>
      <c r="B686" s="10993"/>
      <c r="C686" s="10985"/>
      <c r="D686" s="10985"/>
      <c r="E686" s="10985"/>
      <c r="F686" s="10994"/>
      <c r="G686" s="10985"/>
      <c r="H686" s="10985"/>
      <c r="I686" s="10985"/>
      <c r="J686" s="10985"/>
      <c r="K686" s="10985"/>
      <c r="L686" s="10984"/>
      <c r="M686" s="10984"/>
      <c r="N686" s="10984"/>
      <c r="O686" s="10985"/>
      <c r="P686" s="10985"/>
      <c r="Q686" s="10987"/>
      <c r="R686" s="4066" t="s">
        <v>294</v>
      </c>
      <c r="S686" s="4038" t="s">
        <v>294</v>
      </c>
      <c r="T686" s="4038" t="s">
        <v>294</v>
      </c>
      <c r="U686" s="3982" t="s">
        <v>294</v>
      </c>
      <c r="V686" s="6191" t="s">
        <v>294</v>
      </c>
      <c r="W686" s="4039" t="s">
        <v>294</v>
      </c>
      <c r="X686" s="7568" t="s">
        <v>294</v>
      </c>
      <c r="Y686" s="7568" t="s">
        <v>294</v>
      </c>
      <c r="Z686" s="7568" t="s">
        <v>294</v>
      </c>
      <c r="AA686" s="7569" t="s">
        <v>294</v>
      </c>
      <c r="AB686" s="7670"/>
      <c r="AC686" s="4040"/>
      <c r="AD686" s="4039" t="s">
        <v>294</v>
      </c>
      <c r="AE686" s="4043" t="s">
        <v>294</v>
      </c>
      <c r="AF686" s="4043" t="s">
        <v>294</v>
      </c>
      <c r="AG686" s="10979"/>
    </row>
    <row r="687" spans="1:33" ht="15.75" customHeight="1">
      <c r="A687" s="11000"/>
      <c r="B687" s="10933" t="s">
        <v>183</v>
      </c>
      <c r="C687" s="10936" t="s">
        <v>227</v>
      </c>
      <c r="D687" s="10936" t="s">
        <v>490</v>
      </c>
      <c r="E687" s="10936" t="s">
        <v>2210</v>
      </c>
      <c r="F687" s="10939" t="s">
        <v>230</v>
      </c>
      <c r="G687" s="10936" t="s">
        <v>231</v>
      </c>
      <c r="H687" s="10936" t="s">
        <v>159</v>
      </c>
      <c r="I687" s="10936" t="s">
        <v>5669</v>
      </c>
      <c r="J687" s="10936" t="s">
        <v>5670</v>
      </c>
      <c r="K687" s="10936" t="s">
        <v>5671</v>
      </c>
      <c r="L687" s="10942">
        <v>1</v>
      </c>
      <c r="M687" s="10942">
        <v>1</v>
      </c>
      <c r="N687" s="10942">
        <v>1</v>
      </c>
      <c r="O687" s="10936" t="s">
        <v>5672</v>
      </c>
      <c r="P687" s="10936" t="s">
        <v>5673</v>
      </c>
      <c r="Q687" s="10952" t="s">
        <v>5734</v>
      </c>
      <c r="R687" s="4029" t="s">
        <v>294</v>
      </c>
      <c r="S687" s="4000" t="s">
        <v>294</v>
      </c>
      <c r="T687" s="4000" t="s">
        <v>294</v>
      </c>
      <c r="U687" s="3981" t="s">
        <v>294</v>
      </c>
      <c r="V687" s="6192" t="s">
        <v>294</v>
      </c>
      <c r="W687" s="4001" t="s">
        <v>294</v>
      </c>
      <c r="X687" s="7570" t="s">
        <v>294</v>
      </c>
      <c r="Y687" s="7570" t="s">
        <v>294</v>
      </c>
      <c r="Z687" s="7570" t="s">
        <v>294</v>
      </c>
      <c r="AA687" s="7571" t="s">
        <v>294</v>
      </c>
      <c r="AB687" s="7671"/>
      <c r="AC687" s="4002"/>
      <c r="AD687" s="4001" t="s">
        <v>294</v>
      </c>
      <c r="AE687" s="4005" t="s">
        <v>294</v>
      </c>
      <c r="AF687" s="4005" t="s">
        <v>294</v>
      </c>
      <c r="AG687" s="10975" t="s">
        <v>294</v>
      </c>
    </row>
    <row r="688" spans="1:33" ht="15.75" customHeight="1">
      <c r="A688" s="11000"/>
      <c r="B688" s="10934"/>
      <c r="C688" s="10937"/>
      <c r="D688" s="10937"/>
      <c r="E688" s="10937"/>
      <c r="F688" s="10940"/>
      <c r="G688" s="10937"/>
      <c r="H688" s="10937"/>
      <c r="I688" s="10937"/>
      <c r="J688" s="10937"/>
      <c r="K688" s="10937"/>
      <c r="L688" s="10943"/>
      <c r="M688" s="10943"/>
      <c r="N688" s="10943"/>
      <c r="O688" s="10937"/>
      <c r="P688" s="10937"/>
      <c r="Q688" s="10953"/>
      <c r="R688" s="4019" t="s">
        <v>294</v>
      </c>
      <c r="S688" s="3917" t="s">
        <v>294</v>
      </c>
      <c r="T688" s="3917" t="s">
        <v>294</v>
      </c>
      <c r="U688" s="3913" t="s">
        <v>294</v>
      </c>
      <c r="V688" s="6190" t="s">
        <v>294</v>
      </c>
      <c r="W688" s="3925" t="s">
        <v>294</v>
      </c>
      <c r="X688" s="7567" t="s">
        <v>294</v>
      </c>
      <c r="Y688" s="7567" t="s">
        <v>294</v>
      </c>
      <c r="Z688" s="7567" t="s">
        <v>294</v>
      </c>
      <c r="AA688" s="7566" t="s">
        <v>294</v>
      </c>
      <c r="AB688" s="7669"/>
      <c r="AC688" s="3920"/>
      <c r="AD688" s="3925" t="s">
        <v>294</v>
      </c>
      <c r="AE688" s="3923" t="s">
        <v>294</v>
      </c>
      <c r="AF688" s="3923" t="s">
        <v>294</v>
      </c>
      <c r="AG688" s="10976"/>
    </row>
    <row r="689" spans="1:33" ht="15.75" customHeight="1">
      <c r="A689" s="11000"/>
      <c r="B689" s="10934"/>
      <c r="C689" s="10937"/>
      <c r="D689" s="10937"/>
      <c r="E689" s="10937"/>
      <c r="F689" s="10940"/>
      <c r="G689" s="10937"/>
      <c r="H689" s="10937"/>
      <c r="I689" s="10937"/>
      <c r="J689" s="10937"/>
      <c r="K689" s="10937"/>
      <c r="L689" s="10943"/>
      <c r="M689" s="10943"/>
      <c r="N689" s="10943"/>
      <c r="O689" s="10937"/>
      <c r="P689" s="10937"/>
      <c r="Q689" s="10953"/>
      <c r="R689" s="4019" t="s">
        <v>294</v>
      </c>
      <c r="S689" s="3917" t="s">
        <v>294</v>
      </c>
      <c r="T689" s="3917" t="s">
        <v>294</v>
      </c>
      <c r="U689" s="3913" t="s">
        <v>294</v>
      </c>
      <c r="V689" s="6190" t="s">
        <v>294</v>
      </c>
      <c r="W689" s="3925" t="s">
        <v>294</v>
      </c>
      <c r="X689" s="7567" t="s">
        <v>294</v>
      </c>
      <c r="Y689" s="7567" t="s">
        <v>294</v>
      </c>
      <c r="Z689" s="7567" t="s">
        <v>294</v>
      </c>
      <c r="AA689" s="7566" t="s">
        <v>294</v>
      </c>
      <c r="AB689" s="7669"/>
      <c r="AC689" s="3920"/>
      <c r="AD689" s="3925" t="s">
        <v>294</v>
      </c>
      <c r="AE689" s="3923" t="s">
        <v>294</v>
      </c>
      <c r="AF689" s="3923" t="s">
        <v>294</v>
      </c>
      <c r="AG689" s="10976"/>
    </row>
    <row r="690" spans="1:33" ht="15.75" customHeight="1">
      <c r="A690" s="11000"/>
      <c r="B690" s="10934"/>
      <c r="C690" s="10937"/>
      <c r="D690" s="10937"/>
      <c r="E690" s="10937"/>
      <c r="F690" s="10940"/>
      <c r="G690" s="10937"/>
      <c r="H690" s="10937"/>
      <c r="I690" s="10937"/>
      <c r="J690" s="10937"/>
      <c r="K690" s="10937"/>
      <c r="L690" s="10943"/>
      <c r="M690" s="10943"/>
      <c r="N690" s="10943"/>
      <c r="O690" s="10937"/>
      <c r="P690" s="10937"/>
      <c r="Q690" s="10953"/>
      <c r="R690" s="4018" t="s">
        <v>294</v>
      </c>
      <c r="S690" s="3916" t="s">
        <v>294</v>
      </c>
      <c r="T690" s="3916" t="s">
        <v>294</v>
      </c>
      <c r="U690" s="3913" t="s">
        <v>294</v>
      </c>
      <c r="V690" s="6190" t="s">
        <v>294</v>
      </c>
      <c r="W690" s="3925" t="s">
        <v>294</v>
      </c>
      <c r="X690" s="7567" t="s">
        <v>294</v>
      </c>
      <c r="Y690" s="7567" t="s">
        <v>294</v>
      </c>
      <c r="Z690" s="7567" t="s">
        <v>294</v>
      </c>
      <c r="AA690" s="7566" t="s">
        <v>294</v>
      </c>
      <c r="AB690" s="7669"/>
      <c r="AC690" s="3920"/>
      <c r="AD690" s="3925" t="s">
        <v>294</v>
      </c>
      <c r="AE690" s="3923" t="s">
        <v>294</v>
      </c>
      <c r="AF690" s="3923" t="s">
        <v>294</v>
      </c>
      <c r="AG690" s="10976"/>
    </row>
    <row r="691" spans="1:33" ht="15.75" customHeight="1">
      <c r="A691" s="11000"/>
      <c r="B691" s="10935"/>
      <c r="C691" s="10938"/>
      <c r="D691" s="10938"/>
      <c r="E691" s="10938"/>
      <c r="F691" s="10941"/>
      <c r="G691" s="10938"/>
      <c r="H691" s="10938"/>
      <c r="I691" s="10938"/>
      <c r="J691" s="10938"/>
      <c r="K691" s="10938"/>
      <c r="L691" s="10944"/>
      <c r="M691" s="10944"/>
      <c r="N691" s="10944"/>
      <c r="O691" s="10938"/>
      <c r="P691" s="10938"/>
      <c r="Q691" s="10954"/>
      <c r="R691" s="4025" t="s">
        <v>294</v>
      </c>
      <c r="S691" s="3977" t="s">
        <v>294</v>
      </c>
      <c r="T691" s="3977" t="s">
        <v>294</v>
      </c>
      <c r="U691" s="3952" t="s">
        <v>294</v>
      </c>
      <c r="V691" s="6193" t="s">
        <v>294</v>
      </c>
      <c r="W691" s="3978" t="s">
        <v>294</v>
      </c>
      <c r="X691" s="7573" t="s">
        <v>294</v>
      </c>
      <c r="Y691" s="7573" t="s">
        <v>294</v>
      </c>
      <c r="Z691" s="7573" t="s">
        <v>294</v>
      </c>
      <c r="AA691" s="7574" t="s">
        <v>294</v>
      </c>
      <c r="AB691" s="7672"/>
      <c r="AC691" s="3979"/>
      <c r="AD691" s="3978" t="s">
        <v>294</v>
      </c>
      <c r="AE691" s="3980" t="s">
        <v>294</v>
      </c>
      <c r="AF691" s="3980" t="s">
        <v>294</v>
      </c>
      <c r="AG691" s="10977"/>
    </row>
    <row r="692" spans="1:33" ht="15.75" customHeight="1">
      <c r="A692" s="11000"/>
      <c r="B692" s="10950" t="s">
        <v>183</v>
      </c>
      <c r="C692" s="10948" t="s">
        <v>227</v>
      </c>
      <c r="D692" s="10948" t="s">
        <v>228</v>
      </c>
      <c r="E692" s="10948" t="s">
        <v>255</v>
      </c>
      <c r="F692" s="10951" t="s">
        <v>230</v>
      </c>
      <c r="G692" s="10948" t="s">
        <v>231</v>
      </c>
      <c r="H692" s="10948" t="s">
        <v>189</v>
      </c>
      <c r="I692" s="10948" t="s">
        <v>5674</v>
      </c>
      <c r="J692" s="10948" t="s">
        <v>5675</v>
      </c>
      <c r="K692" s="10948" t="s">
        <v>5676</v>
      </c>
      <c r="L692" s="10949">
        <v>1</v>
      </c>
      <c r="M692" s="10949">
        <v>1</v>
      </c>
      <c r="N692" s="10949">
        <v>1</v>
      </c>
      <c r="O692" s="10948" t="s">
        <v>5677</v>
      </c>
      <c r="P692" s="10948" t="s">
        <v>5678</v>
      </c>
      <c r="Q692" s="10986" t="s">
        <v>5734</v>
      </c>
      <c r="R692" s="4031" t="s">
        <v>294</v>
      </c>
      <c r="S692" s="3907" t="s">
        <v>294</v>
      </c>
      <c r="T692" s="3907" t="s">
        <v>294</v>
      </c>
      <c r="U692" s="3906" t="s">
        <v>294</v>
      </c>
      <c r="V692" s="6189" t="s">
        <v>294</v>
      </c>
      <c r="W692" s="3908" t="s">
        <v>294</v>
      </c>
      <c r="X692" s="7562" t="s">
        <v>294</v>
      </c>
      <c r="Y692" s="7562" t="s">
        <v>294</v>
      </c>
      <c r="Z692" s="7562" t="s">
        <v>294</v>
      </c>
      <c r="AA692" s="7563" t="s">
        <v>294</v>
      </c>
      <c r="AB692" s="7668"/>
      <c r="AC692" s="3909"/>
      <c r="AD692" s="3908" t="s">
        <v>294</v>
      </c>
      <c r="AE692" s="3912" t="s">
        <v>294</v>
      </c>
      <c r="AF692" s="3912" t="s">
        <v>294</v>
      </c>
      <c r="AG692" s="10978" t="s">
        <v>294</v>
      </c>
    </row>
    <row r="693" spans="1:33" ht="15.75" customHeight="1">
      <c r="A693" s="11000"/>
      <c r="B693" s="10934"/>
      <c r="C693" s="10937"/>
      <c r="D693" s="10937"/>
      <c r="E693" s="10937"/>
      <c r="F693" s="10940"/>
      <c r="G693" s="10937"/>
      <c r="H693" s="10937"/>
      <c r="I693" s="10937"/>
      <c r="J693" s="10937"/>
      <c r="K693" s="10937"/>
      <c r="L693" s="10943"/>
      <c r="M693" s="10943"/>
      <c r="N693" s="10943"/>
      <c r="O693" s="10937"/>
      <c r="P693" s="10937"/>
      <c r="Q693" s="10953"/>
      <c r="R693" s="4019" t="s">
        <v>294</v>
      </c>
      <c r="S693" s="3917" t="s">
        <v>294</v>
      </c>
      <c r="T693" s="3917" t="s">
        <v>294</v>
      </c>
      <c r="U693" s="3913" t="s">
        <v>294</v>
      </c>
      <c r="V693" s="6190" t="s">
        <v>294</v>
      </c>
      <c r="W693" s="3925" t="s">
        <v>294</v>
      </c>
      <c r="X693" s="7567" t="s">
        <v>294</v>
      </c>
      <c r="Y693" s="7567" t="s">
        <v>294</v>
      </c>
      <c r="Z693" s="7567" t="s">
        <v>294</v>
      </c>
      <c r="AA693" s="7566" t="s">
        <v>294</v>
      </c>
      <c r="AB693" s="7669"/>
      <c r="AC693" s="3920"/>
      <c r="AD693" s="3925" t="s">
        <v>294</v>
      </c>
      <c r="AE693" s="3923" t="s">
        <v>294</v>
      </c>
      <c r="AF693" s="3923" t="s">
        <v>294</v>
      </c>
      <c r="AG693" s="10976"/>
    </row>
    <row r="694" spans="1:33" ht="15.75" customHeight="1">
      <c r="A694" s="11000"/>
      <c r="B694" s="10934"/>
      <c r="C694" s="10937"/>
      <c r="D694" s="10937"/>
      <c r="E694" s="10937"/>
      <c r="F694" s="10940"/>
      <c r="G694" s="10937"/>
      <c r="H694" s="10937"/>
      <c r="I694" s="10937"/>
      <c r="J694" s="10937"/>
      <c r="K694" s="10937"/>
      <c r="L694" s="10943"/>
      <c r="M694" s="10943"/>
      <c r="N694" s="10943"/>
      <c r="O694" s="10937"/>
      <c r="P694" s="10937"/>
      <c r="Q694" s="10953"/>
      <c r="R694" s="4019" t="s">
        <v>294</v>
      </c>
      <c r="S694" s="3917" t="s">
        <v>294</v>
      </c>
      <c r="T694" s="3917" t="s">
        <v>294</v>
      </c>
      <c r="U694" s="3913" t="s">
        <v>294</v>
      </c>
      <c r="V694" s="6190" t="s">
        <v>294</v>
      </c>
      <c r="W694" s="3925" t="s">
        <v>294</v>
      </c>
      <c r="X694" s="7567" t="s">
        <v>294</v>
      </c>
      <c r="Y694" s="7567" t="s">
        <v>294</v>
      </c>
      <c r="Z694" s="7567" t="s">
        <v>294</v>
      </c>
      <c r="AA694" s="7566" t="s">
        <v>294</v>
      </c>
      <c r="AB694" s="7669"/>
      <c r="AC694" s="3920"/>
      <c r="AD694" s="3925" t="s">
        <v>294</v>
      </c>
      <c r="AE694" s="3923" t="s">
        <v>294</v>
      </c>
      <c r="AF694" s="3923" t="s">
        <v>294</v>
      </c>
      <c r="AG694" s="10976"/>
    </row>
    <row r="695" spans="1:33" ht="15.75" customHeight="1">
      <c r="A695" s="11000"/>
      <c r="B695" s="10934"/>
      <c r="C695" s="10937"/>
      <c r="D695" s="10937"/>
      <c r="E695" s="10937"/>
      <c r="F695" s="10940"/>
      <c r="G695" s="10937"/>
      <c r="H695" s="10937"/>
      <c r="I695" s="10937"/>
      <c r="J695" s="10937"/>
      <c r="K695" s="10937"/>
      <c r="L695" s="10943"/>
      <c r="M695" s="10943"/>
      <c r="N695" s="10943"/>
      <c r="O695" s="10937"/>
      <c r="P695" s="10937"/>
      <c r="Q695" s="10953"/>
      <c r="R695" s="4018" t="s">
        <v>294</v>
      </c>
      <c r="S695" s="3916" t="s">
        <v>294</v>
      </c>
      <c r="T695" s="3916" t="s">
        <v>294</v>
      </c>
      <c r="U695" s="3913" t="s">
        <v>294</v>
      </c>
      <c r="V695" s="6190" t="s">
        <v>294</v>
      </c>
      <c r="W695" s="3925" t="s">
        <v>294</v>
      </c>
      <c r="X695" s="7567" t="s">
        <v>294</v>
      </c>
      <c r="Y695" s="7567" t="s">
        <v>294</v>
      </c>
      <c r="Z695" s="7567" t="s">
        <v>294</v>
      </c>
      <c r="AA695" s="7566" t="s">
        <v>294</v>
      </c>
      <c r="AB695" s="7669"/>
      <c r="AC695" s="3920"/>
      <c r="AD695" s="3925" t="s">
        <v>294</v>
      </c>
      <c r="AE695" s="3923" t="s">
        <v>294</v>
      </c>
      <c r="AF695" s="3923" t="s">
        <v>294</v>
      </c>
      <c r="AG695" s="10976"/>
    </row>
    <row r="696" spans="1:33" ht="15.75" customHeight="1">
      <c r="A696" s="11000"/>
      <c r="B696" s="10993"/>
      <c r="C696" s="10985"/>
      <c r="D696" s="10985"/>
      <c r="E696" s="10985"/>
      <c r="F696" s="10994"/>
      <c r="G696" s="10985"/>
      <c r="H696" s="10985"/>
      <c r="I696" s="10985"/>
      <c r="J696" s="10985"/>
      <c r="K696" s="10985"/>
      <c r="L696" s="10984"/>
      <c r="M696" s="10984"/>
      <c r="N696" s="10984"/>
      <c r="O696" s="10985"/>
      <c r="P696" s="10985"/>
      <c r="Q696" s="10987"/>
      <c r="R696" s="4066" t="s">
        <v>294</v>
      </c>
      <c r="S696" s="4038" t="s">
        <v>294</v>
      </c>
      <c r="T696" s="4038" t="s">
        <v>294</v>
      </c>
      <c r="U696" s="3982" t="s">
        <v>294</v>
      </c>
      <c r="V696" s="6191" t="s">
        <v>294</v>
      </c>
      <c r="W696" s="4039" t="s">
        <v>294</v>
      </c>
      <c r="X696" s="7568" t="s">
        <v>294</v>
      </c>
      <c r="Y696" s="7568" t="s">
        <v>294</v>
      </c>
      <c r="Z696" s="7568" t="s">
        <v>294</v>
      </c>
      <c r="AA696" s="7569" t="s">
        <v>294</v>
      </c>
      <c r="AB696" s="7670"/>
      <c r="AC696" s="4040"/>
      <c r="AD696" s="4039" t="s">
        <v>294</v>
      </c>
      <c r="AE696" s="4043" t="s">
        <v>294</v>
      </c>
      <c r="AF696" s="4043" t="s">
        <v>294</v>
      </c>
      <c r="AG696" s="10979"/>
    </row>
    <row r="697" spans="1:33" ht="15.75" customHeight="1">
      <c r="A697" s="11000"/>
      <c r="B697" s="10933" t="s">
        <v>183</v>
      </c>
      <c r="C697" s="10936" t="s">
        <v>227</v>
      </c>
      <c r="D697" s="10936" t="s">
        <v>228</v>
      </c>
      <c r="E697" s="10936" t="s">
        <v>407</v>
      </c>
      <c r="F697" s="10939" t="s">
        <v>230</v>
      </c>
      <c r="G697" s="10936" t="s">
        <v>231</v>
      </c>
      <c r="H697" s="10936" t="s">
        <v>133</v>
      </c>
      <c r="I697" s="10936" t="s">
        <v>5679</v>
      </c>
      <c r="J697" s="10936" t="s">
        <v>5680</v>
      </c>
      <c r="K697" s="10936" t="s">
        <v>5681</v>
      </c>
      <c r="L697" s="10942">
        <v>1</v>
      </c>
      <c r="M697" s="10942">
        <v>1</v>
      </c>
      <c r="N697" s="10942">
        <v>1</v>
      </c>
      <c r="O697" s="10936" t="s">
        <v>5682</v>
      </c>
      <c r="P697" s="10936" t="s">
        <v>5683</v>
      </c>
      <c r="Q697" s="10952" t="s">
        <v>5734</v>
      </c>
      <c r="R697" s="4029" t="s">
        <v>294</v>
      </c>
      <c r="S697" s="4000" t="s">
        <v>294</v>
      </c>
      <c r="T697" s="4000" t="s">
        <v>294</v>
      </c>
      <c r="U697" s="3981" t="s">
        <v>294</v>
      </c>
      <c r="V697" s="6192" t="s">
        <v>294</v>
      </c>
      <c r="W697" s="4001" t="s">
        <v>294</v>
      </c>
      <c r="X697" s="7570" t="s">
        <v>294</v>
      </c>
      <c r="Y697" s="7570" t="s">
        <v>294</v>
      </c>
      <c r="Z697" s="7570" t="s">
        <v>294</v>
      </c>
      <c r="AA697" s="7571" t="s">
        <v>294</v>
      </c>
      <c r="AB697" s="7671"/>
      <c r="AC697" s="4002"/>
      <c r="AD697" s="4001" t="s">
        <v>294</v>
      </c>
      <c r="AE697" s="4005" t="s">
        <v>294</v>
      </c>
      <c r="AF697" s="4005" t="s">
        <v>294</v>
      </c>
      <c r="AG697" s="10975" t="s">
        <v>294</v>
      </c>
    </row>
    <row r="698" spans="1:33" ht="15.75" customHeight="1">
      <c r="A698" s="11000"/>
      <c r="B698" s="10934"/>
      <c r="C698" s="10937"/>
      <c r="D698" s="10937"/>
      <c r="E698" s="10937"/>
      <c r="F698" s="10940"/>
      <c r="G698" s="10937"/>
      <c r="H698" s="10937"/>
      <c r="I698" s="10937"/>
      <c r="J698" s="10937"/>
      <c r="K698" s="10937"/>
      <c r="L698" s="10943"/>
      <c r="M698" s="10943"/>
      <c r="N698" s="10943"/>
      <c r="O698" s="10937"/>
      <c r="P698" s="10937"/>
      <c r="Q698" s="10953"/>
      <c r="R698" s="4019" t="s">
        <v>294</v>
      </c>
      <c r="S698" s="3917" t="s">
        <v>294</v>
      </c>
      <c r="T698" s="3917" t="s">
        <v>294</v>
      </c>
      <c r="U698" s="3913" t="s">
        <v>294</v>
      </c>
      <c r="V698" s="6190" t="s">
        <v>294</v>
      </c>
      <c r="W698" s="3925" t="s">
        <v>294</v>
      </c>
      <c r="X698" s="7567" t="s">
        <v>294</v>
      </c>
      <c r="Y698" s="7567" t="s">
        <v>294</v>
      </c>
      <c r="Z698" s="7567" t="s">
        <v>294</v>
      </c>
      <c r="AA698" s="7566" t="s">
        <v>294</v>
      </c>
      <c r="AB698" s="7669"/>
      <c r="AC698" s="3920"/>
      <c r="AD698" s="3925" t="s">
        <v>294</v>
      </c>
      <c r="AE698" s="3923" t="s">
        <v>294</v>
      </c>
      <c r="AF698" s="3923" t="s">
        <v>294</v>
      </c>
      <c r="AG698" s="10976"/>
    </row>
    <row r="699" spans="1:33" ht="15.75" customHeight="1">
      <c r="A699" s="11000"/>
      <c r="B699" s="10934"/>
      <c r="C699" s="10937"/>
      <c r="D699" s="10937"/>
      <c r="E699" s="10937"/>
      <c r="F699" s="10940"/>
      <c r="G699" s="10937"/>
      <c r="H699" s="10937"/>
      <c r="I699" s="10937"/>
      <c r="J699" s="10937"/>
      <c r="K699" s="10937"/>
      <c r="L699" s="10943"/>
      <c r="M699" s="10943"/>
      <c r="N699" s="10943"/>
      <c r="O699" s="10937"/>
      <c r="P699" s="10937"/>
      <c r="Q699" s="10953"/>
      <c r="R699" s="4019" t="s">
        <v>294</v>
      </c>
      <c r="S699" s="3917" t="s">
        <v>294</v>
      </c>
      <c r="T699" s="3917" t="s">
        <v>294</v>
      </c>
      <c r="U699" s="3913" t="s">
        <v>294</v>
      </c>
      <c r="V699" s="6190" t="s">
        <v>294</v>
      </c>
      <c r="W699" s="3925" t="s">
        <v>294</v>
      </c>
      <c r="X699" s="7567" t="s">
        <v>294</v>
      </c>
      <c r="Y699" s="7567" t="s">
        <v>294</v>
      </c>
      <c r="Z699" s="7567" t="s">
        <v>294</v>
      </c>
      <c r="AA699" s="7566" t="s">
        <v>294</v>
      </c>
      <c r="AB699" s="7669"/>
      <c r="AC699" s="3920"/>
      <c r="AD699" s="3925" t="s">
        <v>294</v>
      </c>
      <c r="AE699" s="3923" t="s">
        <v>294</v>
      </c>
      <c r="AF699" s="3923" t="s">
        <v>294</v>
      </c>
      <c r="AG699" s="10976"/>
    </row>
    <row r="700" spans="1:33" ht="15.75" customHeight="1">
      <c r="A700" s="11000"/>
      <c r="B700" s="10934"/>
      <c r="C700" s="10937"/>
      <c r="D700" s="10937"/>
      <c r="E700" s="10937"/>
      <c r="F700" s="10940"/>
      <c r="G700" s="10937"/>
      <c r="H700" s="10937"/>
      <c r="I700" s="10937"/>
      <c r="J700" s="10937"/>
      <c r="K700" s="10937"/>
      <c r="L700" s="10943"/>
      <c r="M700" s="10943"/>
      <c r="N700" s="10943"/>
      <c r="O700" s="10937"/>
      <c r="P700" s="10937"/>
      <c r="Q700" s="10953"/>
      <c r="R700" s="4018" t="s">
        <v>294</v>
      </c>
      <c r="S700" s="3916" t="s">
        <v>294</v>
      </c>
      <c r="T700" s="3916" t="s">
        <v>294</v>
      </c>
      <c r="U700" s="3913" t="s">
        <v>294</v>
      </c>
      <c r="V700" s="6190" t="s">
        <v>294</v>
      </c>
      <c r="W700" s="3925" t="s">
        <v>294</v>
      </c>
      <c r="X700" s="7567" t="s">
        <v>294</v>
      </c>
      <c r="Y700" s="7567" t="s">
        <v>294</v>
      </c>
      <c r="Z700" s="7567" t="s">
        <v>294</v>
      </c>
      <c r="AA700" s="7566" t="s">
        <v>294</v>
      </c>
      <c r="AB700" s="7669"/>
      <c r="AC700" s="3920"/>
      <c r="AD700" s="3925" t="s">
        <v>294</v>
      </c>
      <c r="AE700" s="3923" t="s">
        <v>294</v>
      </c>
      <c r="AF700" s="3923" t="s">
        <v>294</v>
      </c>
      <c r="AG700" s="10976"/>
    </row>
    <row r="701" spans="1:33" ht="15.75" customHeight="1">
      <c r="A701" s="11000"/>
      <c r="B701" s="10935"/>
      <c r="C701" s="10938"/>
      <c r="D701" s="10938"/>
      <c r="E701" s="10938"/>
      <c r="F701" s="10941"/>
      <c r="G701" s="10938"/>
      <c r="H701" s="10938"/>
      <c r="I701" s="10938"/>
      <c r="J701" s="10938"/>
      <c r="K701" s="10938"/>
      <c r="L701" s="10944"/>
      <c r="M701" s="10944"/>
      <c r="N701" s="10944"/>
      <c r="O701" s="10938"/>
      <c r="P701" s="10938"/>
      <c r="Q701" s="10954"/>
      <c r="R701" s="4025" t="s">
        <v>294</v>
      </c>
      <c r="S701" s="3977" t="s">
        <v>294</v>
      </c>
      <c r="T701" s="3977" t="s">
        <v>294</v>
      </c>
      <c r="U701" s="3952" t="s">
        <v>294</v>
      </c>
      <c r="V701" s="6193" t="s">
        <v>294</v>
      </c>
      <c r="W701" s="3978" t="s">
        <v>294</v>
      </c>
      <c r="X701" s="7573" t="s">
        <v>294</v>
      </c>
      <c r="Y701" s="7573" t="s">
        <v>294</v>
      </c>
      <c r="Z701" s="7573" t="s">
        <v>294</v>
      </c>
      <c r="AA701" s="7574" t="s">
        <v>294</v>
      </c>
      <c r="AB701" s="7672"/>
      <c r="AC701" s="3979"/>
      <c r="AD701" s="3978" t="s">
        <v>294</v>
      </c>
      <c r="AE701" s="3980" t="s">
        <v>294</v>
      </c>
      <c r="AF701" s="3980" t="s">
        <v>294</v>
      </c>
      <c r="AG701" s="10977"/>
    </row>
    <row r="702" spans="1:33" ht="15.75" customHeight="1">
      <c r="A702" s="11000"/>
      <c r="B702" s="10950" t="s">
        <v>183</v>
      </c>
      <c r="C702" s="10948" t="s">
        <v>128</v>
      </c>
      <c r="D702" s="10948" t="s">
        <v>129</v>
      </c>
      <c r="E702" s="10948" t="s">
        <v>157</v>
      </c>
      <c r="F702" s="10951" t="s">
        <v>131</v>
      </c>
      <c r="G702" s="10948" t="s">
        <v>213</v>
      </c>
      <c r="H702" s="10948" t="s">
        <v>159</v>
      </c>
      <c r="I702" s="10948" t="s">
        <v>5684</v>
      </c>
      <c r="J702" s="10948" t="s">
        <v>5685</v>
      </c>
      <c r="K702" s="10948" t="s">
        <v>5686</v>
      </c>
      <c r="L702" s="10949">
        <v>1</v>
      </c>
      <c r="M702" s="10949">
        <v>1</v>
      </c>
      <c r="N702" s="10949">
        <v>1</v>
      </c>
      <c r="O702" s="10948" t="s">
        <v>5687</v>
      </c>
      <c r="P702" s="10948" t="s">
        <v>5688</v>
      </c>
      <c r="Q702" s="10986" t="s">
        <v>5734</v>
      </c>
      <c r="R702" s="4031" t="s">
        <v>294</v>
      </c>
      <c r="S702" s="3907" t="s">
        <v>294</v>
      </c>
      <c r="T702" s="3907" t="s">
        <v>294</v>
      </c>
      <c r="U702" s="3906" t="s">
        <v>294</v>
      </c>
      <c r="V702" s="6189" t="s">
        <v>294</v>
      </c>
      <c r="W702" s="3908" t="s">
        <v>294</v>
      </c>
      <c r="X702" s="7562" t="s">
        <v>294</v>
      </c>
      <c r="Y702" s="7562" t="s">
        <v>294</v>
      </c>
      <c r="Z702" s="7562" t="s">
        <v>294</v>
      </c>
      <c r="AA702" s="7563" t="s">
        <v>294</v>
      </c>
      <c r="AB702" s="7668"/>
      <c r="AC702" s="3909"/>
      <c r="AD702" s="3908" t="s">
        <v>294</v>
      </c>
      <c r="AE702" s="3912" t="s">
        <v>294</v>
      </c>
      <c r="AF702" s="3912" t="s">
        <v>294</v>
      </c>
      <c r="AG702" s="10978" t="s">
        <v>294</v>
      </c>
    </row>
    <row r="703" spans="1:33" ht="15.75" customHeight="1">
      <c r="A703" s="11000"/>
      <c r="B703" s="10934"/>
      <c r="C703" s="10937"/>
      <c r="D703" s="10937"/>
      <c r="E703" s="10937"/>
      <c r="F703" s="10940"/>
      <c r="G703" s="10937"/>
      <c r="H703" s="10937"/>
      <c r="I703" s="10937"/>
      <c r="J703" s="10937"/>
      <c r="K703" s="10937"/>
      <c r="L703" s="10943"/>
      <c r="M703" s="10943"/>
      <c r="N703" s="10943"/>
      <c r="O703" s="10937"/>
      <c r="P703" s="10937"/>
      <c r="Q703" s="10953"/>
      <c r="R703" s="4019" t="s">
        <v>294</v>
      </c>
      <c r="S703" s="3917" t="s">
        <v>294</v>
      </c>
      <c r="T703" s="3917" t="s">
        <v>294</v>
      </c>
      <c r="U703" s="3973" t="s">
        <v>294</v>
      </c>
      <c r="V703" s="6190" t="s">
        <v>294</v>
      </c>
      <c r="W703" s="3925" t="s">
        <v>294</v>
      </c>
      <c r="X703" s="7567" t="s">
        <v>294</v>
      </c>
      <c r="Y703" s="7567" t="s">
        <v>294</v>
      </c>
      <c r="Z703" s="7567" t="s">
        <v>294</v>
      </c>
      <c r="AA703" s="7566" t="s">
        <v>294</v>
      </c>
      <c r="AB703" s="7669"/>
      <c r="AC703" s="3920"/>
      <c r="AD703" s="3925" t="s">
        <v>294</v>
      </c>
      <c r="AE703" s="3923" t="s">
        <v>294</v>
      </c>
      <c r="AF703" s="3923" t="s">
        <v>294</v>
      </c>
      <c r="AG703" s="10976"/>
    </row>
    <row r="704" spans="1:33" ht="15.75" customHeight="1">
      <c r="A704" s="11000"/>
      <c r="B704" s="10934"/>
      <c r="C704" s="10937"/>
      <c r="D704" s="10937"/>
      <c r="E704" s="10937"/>
      <c r="F704" s="10940"/>
      <c r="G704" s="10937"/>
      <c r="H704" s="10937"/>
      <c r="I704" s="10937"/>
      <c r="J704" s="10937"/>
      <c r="K704" s="10937"/>
      <c r="L704" s="10943"/>
      <c r="M704" s="10943"/>
      <c r="N704" s="10943"/>
      <c r="O704" s="10937"/>
      <c r="P704" s="10937"/>
      <c r="Q704" s="10953"/>
      <c r="R704" s="4019" t="s">
        <v>294</v>
      </c>
      <c r="S704" s="3917" t="s">
        <v>294</v>
      </c>
      <c r="T704" s="3917" t="s">
        <v>294</v>
      </c>
      <c r="U704" s="3913" t="s">
        <v>294</v>
      </c>
      <c r="V704" s="6190" t="s">
        <v>294</v>
      </c>
      <c r="W704" s="3925" t="s">
        <v>294</v>
      </c>
      <c r="X704" s="7567" t="s">
        <v>294</v>
      </c>
      <c r="Y704" s="7567" t="s">
        <v>294</v>
      </c>
      <c r="Z704" s="7567" t="s">
        <v>294</v>
      </c>
      <c r="AA704" s="7566" t="s">
        <v>294</v>
      </c>
      <c r="AB704" s="7669"/>
      <c r="AC704" s="3920"/>
      <c r="AD704" s="3925" t="s">
        <v>294</v>
      </c>
      <c r="AE704" s="3923" t="s">
        <v>294</v>
      </c>
      <c r="AF704" s="3923" t="s">
        <v>294</v>
      </c>
      <c r="AG704" s="10976"/>
    </row>
    <row r="705" spans="1:33" ht="15.75" customHeight="1">
      <c r="A705" s="11000"/>
      <c r="B705" s="10934"/>
      <c r="C705" s="10937"/>
      <c r="D705" s="10937"/>
      <c r="E705" s="10937"/>
      <c r="F705" s="10940"/>
      <c r="G705" s="10937"/>
      <c r="H705" s="10937"/>
      <c r="I705" s="10937"/>
      <c r="J705" s="10937"/>
      <c r="K705" s="10937"/>
      <c r="L705" s="10943"/>
      <c r="M705" s="10943"/>
      <c r="N705" s="10943"/>
      <c r="O705" s="10937"/>
      <c r="P705" s="10937"/>
      <c r="Q705" s="10953"/>
      <c r="R705" s="4018" t="s">
        <v>294</v>
      </c>
      <c r="S705" s="3916" t="s">
        <v>294</v>
      </c>
      <c r="T705" s="3916" t="s">
        <v>294</v>
      </c>
      <c r="U705" s="3913" t="s">
        <v>294</v>
      </c>
      <c r="V705" s="6190" t="s">
        <v>294</v>
      </c>
      <c r="W705" s="3925" t="s">
        <v>294</v>
      </c>
      <c r="X705" s="7567" t="s">
        <v>294</v>
      </c>
      <c r="Y705" s="7567" t="s">
        <v>294</v>
      </c>
      <c r="Z705" s="7567" t="s">
        <v>294</v>
      </c>
      <c r="AA705" s="7566" t="s">
        <v>294</v>
      </c>
      <c r="AB705" s="7669"/>
      <c r="AC705" s="3920"/>
      <c r="AD705" s="3925" t="s">
        <v>294</v>
      </c>
      <c r="AE705" s="3923" t="s">
        <v>294</v>
      </c>
      <c r="AF705" s="3923" t="s">
        <v>294</v>
      </c>
      <c r="AG705" s="10976"/>
    </row>
    <row r="706" spans="1:33" ht="15.75" customHeight="1">
      <c r="A706" s="11000"/>
      <c r="B706" s="10935"/>
      <c r="C706" s="10938"/>
      <c r="D706" s="10938"/>
      <c r="E706" s="10938"/>
      <c r="F706" s="10941"/>
      <c r="G706" s="10938"/>
      <c r="H706" s="10938"/>
      <c r="I706" s="10938"/>
      <c r="J706" s="10938"/>
      <c r="K706" s="10938"/>
      <c r="L706" s="10944"/>
      <c r="M706" s="10944"/>
      <c r="N706" s="10944"/>
      <c r="O706" s="10938"/>
      <c r="P706" s="10938"/>
      <c r="Q706" s="10954"/>
      <c r="R706" s="4025" t="s">
        <v>294</v>
      </c>
      <c r="S706" s="3977" t="s">
        <v>294</v>
      </c>
      <c r="T706" s="3977" t="s">
        <v>294</v>
      </c>
      <c r="U706" s="3952" t="s">
        <v>294</v>
      </c>
      <c r="V706" s="6193" t="s">
        <v>294</v>
      </c>
      <c r="W706" s="3978" t="s">
        <v>294</v>
      </c>
      <c r="X706" s="7573" t="s">
        <v>294</v>
      </c>
      <c r="Y706" s="7573" t="s">
        <v>294</v>
      </c>
      <c r="Z706" s="7573" t="s">
        <v>294</v>
      </c>
      <c r="AA706" s="7574" t="s">
        <v>294</v>
      </c>
      <c r="AB706" s="7672"/>
      <c r="AC706" s="3979"/>
      <c r="AD706" s="3978" t="s">
        <v>294</v>
      </c>
      <c r="AE706" s="3980" t="s">
        <v>294</v>
      </c>
      <c r="AF706" s="3980" t="s">
        <v>294</v>
      </c>
      <c r="AG706" s="10977"/>
    </row>
    <row r="707" spans="1:33" ht="24" customHeight="1" thickBot="1">
      <c r="A707" s="3904"/>
      <c r="B707" s="2772" t="s">
        <v>294</v>
      </c>
      <c r="C707" s="2772" t="s">
        <v>294</v>
      </c>
      <c r="D707" s="2772" t="s">
        <v>294</v>
      </c>
      <c r="E707" s="2772" t="s">
        <v>294</v>
      </c>
      <c r="F707" s="2772" t="s">
        <v>294</v>
      </c>
      <c r="G707" s="2772" t="s">
        <v>294</v>
      </c>
      <c r="H707" s="2772" t="s">
        <v>294</v>
      </c>
      <c r="I707" s="2772" t="s">
        <v>294</v>
      </c>
      <c r="J707" s="2772" t="s">
        <v>294</v>
      </c>
      <c r="K707" s="2772" t="s">
        <v>294</v>
      </c>
      <c r="L707" s="2772" t="s">
        <v>294</v>
      </c>
      <c r="M707" s="2772" t="s">
        <v>294</v>
      </c>
      <c r="N707" s="2772" t="s">
        <v>294</v>
      </c>
      <c r="O707" s="2772" t="s">
        <v>294</v>
      </c>
      <c r="P707" s="2772" t="s">
        <v>294</v>
      </c>
      <c r="Q707" s="2771" t="s">
        <v>294</v>
      </c>
      <c r="R707" s="10945" t="s">
        <v>5735</v>
      </c>
      <c r="S707" s="10945"/>
      <c r="T707" s="10945"/>
      <c r="U707" s="10945"/>
      <c r="V707" s="10945"/>
      <c r="W707" s="10945"/>
      <c r="X707" s="10945"/>
      <c r="Y707" s="10945"/>
      <c r="Z707" s="4217" t="s">
        <v>292</v>
      </c>
      <c r="AA707" s="7634">
        <v>0</v>
      </c>
      <c r="AB707" s="2770"/>
      <c r="AC707" s="2770"/>
      <c r="AD707" s="10946" t="s">
        <v>294</v>
      </c>
      <c r="AE707" s="10946"/>
      <c r="AF707" s="10946"/>
      <c r="AG707" s="10947"/>
    </row>
    <row r="708" spans="1:33" ht="24" customHeight="1" thickBot="1">
      <c r="A708" s="3905"/>
      <c r="B708" s="2769" t="s">
        <v>294</v>
      </c>
      <c r="C708" s="2769" t="s">
        <v>294</v>
      </c>
      <c r="D708" s="2769" t="s">
        <v>294</v>
      </c>
      <c r="E708" s="2769" t="s">
        <v>294</v>
      </c>
      <c r="F708" s="2769" t="s">
        <v>294</v>
      </c>
      <c r="G708" s="2769" t="s">
        <v>294</v>
      </c>
      <c r="H708" s="2769" t="s">
        <v>294</v>
      </c>
      <c r="I708" s="2769" t="s">
        <v>294</v>
      </c>
      <c r="J708" s="2769" t="s">
        <v>294</v>
      </c>
      <c r="K708" s="2769" t="s">
        <v>294</v>
      </c>
      <c r="L708" s="2769" t="s">
        <v>294</v>
      </c>
      <c r="M708" s="2769" t="s">
        <v>294</v>
      </c>
      <c r="N708" s="2769" t="s">
        <v>294</v>
      </c>
      <c r="O708" s="2769" t="s">
        <v>294</v>
      </c>
      <c r="P708" s="2769" t="s">
        <v>294</v>
      </c>
      <c r="Q708" s="2768" t="s">
        <v>294</v>
      </c>
      <c r="R708" s="10955" t="s">
        <v>5736</v>
      </c>
      <c r="S708" s="10955"/>
      <c r="T708" s="10955"/>
      <c r="U708" s="10955"/>
      <c r="V708" s="10955"/>
      <c r="W708" s="10955"/>
      <c r="X708" s="10955"/>
      <c r="Y708" s="10955"/>
      <c r="Z708" s="4218" t="s">
        <v>292</v>
      </c>
      <c r="AA708" s="7635">
        <f>+AA67+AA388+AA449+AA490+AA516+AA536+AA612+AA631+AA707</f>
        <v>150772.89081428573</v>
      </c>
      <c r="AB708" s="2767"/>
      <c r="AC708" s="2767"/>
      <c r="AD708" s="10964" t="s">
        <v>294</v>
      </c>
      <c r="AE708" s="10964"/>
      <c r="AF708" s="10964"/>
      <c r="AG708" s="10965"/>
    </row>
    <row r="709" spans="1:33" ht="17.25" thickTop="1">
      <c r="B709" s="2766" t="s">
        <v>656</v>
      </c>
      <c r="C709" s="2729" t="s">
        <v>294</v>
      </c>
      <c r="D709" s="2729" t="s">
        <v>294</v>
      </c>
      <c r="E709" s="2729"/>
      <c r="F709" s="2729"/>
      <c r="G709" s="2729"/>
      <c r="H709" s="2729"/>
      <c r="I709" s="2729"/>
      <c r="J709" s="2729"/>
      <c r="K709" s="2729"/>
      <c r="L709" s="2729"/>
      <c r="M709" s="2729"/>
      <c r="N709" s="2729"/>
      <c r="O709" s="2729"/>
      <c r="P709" s="2729"/>
      <c r="Q709" s="2729"/>
      <c r="R709" s="10988" t="s">
        <v>5737</v>
      </c>
      <c r="S709" s="10988"/>
      <c r="T709" s="10988"/>
      <c r="U709" s="10988"/>
      <c r="V709" s="10988"/>
      <c r="W709" s="10988"/>
      <c r="X709" s="10988"/>
      <c r="Y709" s="10988"/>
      <c r="Z709" s="10988"/>
      <c r="AA709" s="10988"/>
      <c r="AB709" s="10988"/>
      <c r="AC709" s="10988"/>
      <c r="AD709" s="10988"/>
      <c r="AE709" s="10988"/>
      <c r="AF709" s="10988"/>
      <c r="AG709" s="10988"/>
    </row>
    <row r="710" spans="1:33" ht="15.75" customHeight="1">
      <c r="B710" s="2766" t="s">
        <v>658</v>
      </c>
      <c r="C710" s="2729" t="s">
        <v>294</v>
      </c>
      <c r="D710" s="2729" t="s">
        <v>294</v>
      </c>
      <c r="E710" s="2729"/>
      <c r="F710" s="2729"/>
      <c r="G710" s="2729"/>
      <c r="H710" s="2729"/>
      <c r="I710" s="2729"/>
      <c r="J710" s="2729"/>
      <c r="K710" s="2729"/>
      <c r="L710" s="2729"/>
      <c r="M710" s="2729"/>
      <c r="N710" s="2729"/>
      <c r="O710" s="2729"/>
      <c r="P710" s="2729"/>
      <c r="Q710" s="2729"/>
      <c r="R710" s="2724"/>
      <c r="S710" s="2724"/>
      <c r="T710" s="2724"/>
      <c r="U710" s="2724"/>
      <c r="V710" s="2724"/>
      <c r="W710" s="2724"/>
      <c r="X710" s="2724"/>
      <c r="Y710" s="2724"/>
      <c r="Z710" s="2727" t="s">
        <v>294</v>
      </c>
      <c r="AA710" s="2765"/>
      <c r="AB710" s="2765"/>
      <c r="AC710" s="2765"/>
      <c r="AD710" s="2765"/>
      <c r="AE710" s="2764"/>
      <c r="AF710" s="2764"/>
      <c r="AG710" s="2724"/>
    </row>
    <row r="711" spans="1:33" ht="15.75" customHeight="1">
      <c r="B711" s="2729"/>
      <c r="C711" s="2729"/>
      <c r="D711" s="2729"/>
      <c r="E711" s="2729"/>
      <c r="F711" s="2729"/>
      <c r="G711" s="2729"/>
      <c r="H711" s="2729"/>
      <c r="I711" s="2729"/>
      <c r="J711" s="2729"/>
      <c r="K711" s="2729"/>
      <c r="L711" s="2729"/>
      <c r="M711" s="2729"/>
      <c r="N711" s="2729"/>
      <c r="O711" s="2729"/>
      <c r="P711" s="2729"/>
      <c r="Q711" s="2729" t="s">
        <v>294</v>
      </c>
      <c r="R711" s="2724" t="s">
        <v>294</v>
      </c>
      <c r="S711" s="2725" t="s">
        <v>294</v>
      </c>
      <c r="T711" s="10989" t="s">
        <v>3415</v>
      </c>
      <c r="U711" s="10989"/>
      <c r="V711" s="10989"/>
      <c r="W711" s="10989"/>
      <c r="X711" s="10989"/>
      <c r="Y711" s="10989"/>
      <c r="Z711" s="2727" t="s">
        <v>294</v>
      </c>
      <c r="AA711" s="2730" t="s">
        <v>294</v>
      </c>
      <c r="AB711" s="2730"/>
      <c r="AC711" s="2730"/>
      <c r="AD711" s="2730" t="s">
        <v>294</v>
      </c>
      <c r="AE711" s="2725"/>
      <c r="AF711" s="2725"/>
      <c r="AG711" s="2724"/>
    </row>
    <row r="712" spans="1:33" ht="15.75" customHeight="1">
      <c r="B712" s="2729"/>
      <c r="C712" s="2729"/>
      <c r="D712" s="2729"/>
      <c r="E712" s="2729"/>
      <c r="F712" s="2729"/>
      <c r="G712" s="2729"/>
      <c r="H712" s="2729"/>
      <c r="I712" s="2729"/>
      <c r="J712" s="2729"/>
      <c r="K712" s="2729"/>
      <c r="L712" s="2729"/>
      <c r="M712" s="2729"/>
      <c r="N712" s="2729"/>
      <c r="O712" s="2729"/>
      <c r="P712" s="2729"/>
      <c r="Q712" s="2729" t="s">
        <v>294</v>
      </c>
      <c r="R712" s="2752" t="s">
        <v>294</v>
      </c>
      <c r="S712" s="2752" t="s">
        <v>294</v>
      </c>
      <c r="T712" s="2728" t="s">
        <v>294</v>
      </c>
      <c r="U712" s="2728" t="s">
        <v>294</v>
      </c>
      <c r="V712" s="2728" t="s">
        <v>294</v>
      </c>
      <c r="W712" s="2728" t="s">
        <v>294</v>
      </c>
      <c r="X712" s="2728" t="s">
        <v>294</v>
      </c>
      <c r="Y712" s="2728" t="s">
        <v>294</v>
      </c>
      <c r="Z712" s="2727" t="s">
        <v>294</v>
      </c>
      <c r="AA712" s="2763" t="s">
        <v>294</v>
      </c>
      <c r="AB712" s="2763"/>
      <c r="AC712" s="2763"/>
      <c r="AD712" s="2763" t="s">
        <v>294</v>
      </c>
      <c r="AE712" s="2725"/>
      <c r="AF712" s="2725"/>
      <c r="AG712" s="2724"/>
    </row>
    <row r="713" spans="1:33" ht="18" customHeight="1">
      <c r="B713" s="2729"/>
      <c r="C713" s="2729"/>
      <c r="D713" s="2729"/>
      <c r="E713" s="2729"/>
      <c r="F713" s="2729"/>
      <c r="G713" s="2729"/>
      <c r="H713" s="2729"/>
      <c r="I713" s="2729"/>
      <c r="J713" s="2729"/>
      <c r="K713" s="2729"/>
      <c r="L713" s="2729"/>
      <c r="M713" s="2729"/>
      <c r="N713" s="2729"/>
      <c r="O713" s="2729"/>
      <c r="P713" s="2729" t="s">
        <v>294</v>
      </c>
      <c r="Q713" s="2729" t="s">
        <v>294</v>
      </c>
      <c r="R713" s="2752" t="s">
        <v>294</v>
      </c>
      <c r="S713" s="2752" t="s">
        <v>294</v>
      </c>
      <c r="T713" s="5915" t="s">
        <v>5</v>
      </c>
      <c r="U713" s="5916" t="s">
        <v>6</v>
      </c>
      <c r="V713" s="5917" t="s">
        <v>7</v>
      </c>
      <c r="W713" s="5917" t="s">
        <v>352</v>
      </c>
      <c r="X713" s="5917" t="s">
        <v>9</v>
      </c>
      <c r="Y713" s="5918" t="s">
        <v>353</v>
      </c>
      <c r="Z713" s="2727" t="s">
        <v>294</v>
      </c>
      <c r="AA713" s="2730" t="s">
        <v>294</v>
      </c>
      <c r="AB713" s="2730"/>
      <c r="AC713" s="2730"/>
      <c r="AD713" s="2730" t="s">
        <v>294</v>
      </c>
      <c r="AE713" s="2725" t="s">
        <v>294</v>
      </c>
      <c r="AF713" s="2725" t="s">
        <v>294</v>
      </c>
      <c r="AG713" s="2724"/>
    </row>
    <row r="714" spans="1:33" ht="33">
      <c r="B714" s="2729"/>
      <c r="C714" s="2729"/>
      <c r="D714" s="2729"/>
      <c r="E714" s="2729"/>
      <c r="F714" s="2729"/>
      <c r="G714" s="2729"/>
      <c r="H714" s="2729"/>
      <c r="I714" s="2729"/>
      <c r="J714" s="2729"/>
      <c r="K714" s="2729"/>
      <c r="L714" s="2729"/>
      <c r="M714" s="2729"/>
      <c r="N714" s="2729"/>
      <c r="O714" s="2724"/>
      <c r="P714" s="2724"/>
      <c r="Q714" s="2724"/>
      <c r="R714" s="2724"/>
      <c r="S714" s="2752" t="s">
        <v>294</v>
      </c>
      <c r="T714" s="2760" t="s">
        <v>79</v>
      </c>
      <c r="U714" s="2759" t="s">
        <v>1323</v>
      </c>
      <c r="V714" s="2758">
        <v>530239</v>
      </c>
      <c r="W714" s="2758">
        <v>701</v>
      </c>
      <c r="X714" s="2757" t="s">
        <v>26</v>
      </c>
      <c r="Y714" s="2756">
        <f>+AA9</f>
        <v>4500</v>
      </c>
      <c r="Z714" s="2727"/>
      <c r="AA714" s="2730"/>
      <c r="AB714" s="2730"/>
      <c r="AC714" s="2730"/>
      <c r="AD714" s="2730" t="s">
        <v>294</v>
      </c>
      <c r="AE714" s="2725" t="s">
        <v>294</v>
      </c>
      <c r="AF714" s="2725" t="s">
        <v>294</v>
      </c>
      <c r="AG714" s="2724"/>
    </row>
    <row r="715" spans="1:33" ht="49.5">
      <c r="B715" s="2729"/>
      <c r="C715" s="2729"/>
      <c r="D715" s="2729"/>
      <c r="E715" s="2729"/>
      <c r="F715" s="2729"/>
      <c r="G715" s="2729"/>
      <c r="H715" s="2729"/>
      <c r="I715" s="2729"/>
      <c r="J715" s="2729"/>
      <c r="K715" s="2729"/>
      <c r="L715" s="2729"/>
      <c r="M715" s="2729"/>
      <c r="N715" s="2729"/>
      <c r="O715" s="2724"/>
      <c r="P715" s="2724"/>
      <c r="Q715" s="2724"/>
      <c r="R715" s="2724"/>
      <c r="S715" s="2752"/>
      <c r="T715" s="2762" t="s">
        <v>79</v>
      </c>
      <c r="U715" s="2759" t="s">
        <v>281</v>
      </c>
      <c r="V715" s="2758">
        <v>530402</v>
      </c>
      <c r="W715" s="2758">
        <v>701</v>
      </c>
      <c r="X715" s="2757" t="s">
        <v>18</v>
      </c>
      <c r="Y715" s="2756">
        <f>Z15</f>
        <v>5059.7</v>
      </c>
      <c r="Z715" s="2727"/>
      <c r="AA715" s="2730"/>
      <c r="AB715" s="2730"/>
      <c r="AC715" s="2730"/>
      <c r="AD715" s="2730"/>
      <c r="AE715" s="2725"/>
      <c r="AF715" s="2725"/>
      <c r="AG715" s="2724"/>
    </row>
    <row r="716" spans="1:33" ht="33">
      <c r="B716" s="2729"/>
      <c r="C716" s="2729"/>
      <c r="D716" s="2729"/>
      <c r="E716" s="2729"/>
      <c r="F716" s="2729"/>
      <c r="G716" s="2729"/>
      <c r="H716" s="2729"/>
      <c r="I716" s="2729"/>
      <c r="J716" s="2729"/>
      <c r="K716" s="2729"/>
      <c r="L716" s="2729"/>
      <c r="M716" s="2729"/>
      <c r="N716" s="2729"/>
      <c r="O716" s="2724"/>
      <c r="P716" s="2724"/>
      <c r="Q716" s="2724"/>
      <c r="R716" s="2724"/>
      <c r="S716" s="2752" t="s">
        <v>294</v>
      </c>
      <c r="T716" s="2760" t="s">
        <v>79</v>
      </c>
      <c r="U716" s="2759" t="s">
        <v>40</v>
      </c>
      <c r="V716" s="2758">
        <v>840107</v>
      </c>
      <c r="W716" s="2758">
        <v>701</v>
      </c>
      <c r="X716" s="2757" t="s">
        <v>18</v>
      </c>
      <c r="Y716" s="2756">
        <f>+AA613</f>
        <v>1310.6016000000002</v>
      </c>
      <c r="Z716" s="2727"/>
      <c r="AA716" s="2730" t="s">
        <v>294</v>
      </c>
      <c r="AB716" s="2730"/>
      <c r="AC716" s="2730"/>
      <c r="AD716" s="2730" t="s">
        <v>294</v>
      </c>
      <c r="AE716" s="2725" t="s">
        <v>294</v>
      </c>
      <c r="AF716" s="2725" t="s">
        <v>294</v>
      </c>
      <c r="AG716" s="2724"/>
    </row>
    <row r="717" spans="1:33" ht="33">
      <c r="B717" s="2729"/>
      <c r="C717" s="2729"/>
      <c r="D717" s="2729"/>
      <c r="E717" s="2729"/>
      <c r="F717" s="2729"/>
      <c r="G717" s="2729"/>
      <c r="H717" s="2729"/>
      <c r="I717" s="2729"/>
      <c r="J717" s="2729"/>
      <c r="K717" s="2729"/>
      <c r="L717" s="2729"/>
      <c r="M717" s="2729"/>
      <c r="N717" s="2729"/>
      <c r="O717" s="2724"/>
      <c r="P717" s="2724"/>
      <c r="Q717" s="2724"/>
      <c r="R717" s="2724"/>
      <c r="S717" s="2752" t="s">
        <v>294</v>
      </c>
      <c r="T717" s="2760" t="s">
        <v>80</v>
      </c>
      <c r="U717" s="2759" t="s">
        <v>505</v>
      </c>
      <c r="V717" s="2758">
        <v>530404</v>
      </c>
      <c r="W717" s="2758">
        <v>701</v>
      </c>
      <c r="X717" s="2757" t="s">
        <v>18</v>
      </c>
      <c r="Y717" s="2756">
        <f>+AA186+AA207</f>
        <v>0</v>
      </c>
      <c r="Z717" s="2727"/>
      <c r="AA717" s="2730" t="s">
        <v>294</v>
      </c>
      <c r="AB717" s="2730"/>
      <c r="AC717" s="2730"/>
      <c r="AD717" s="2730" t="s">
        <v>294</v>
      </c>
      <c r="AE717" s="2725" t="s">
        <v>294</v>
      </c>
      <c r="AF717" s="2725" t="s">
        <v>294</v>
      </c>
      <c r="AG717" s="2724"/>
    </row>
    <row r="718" spans="1:33" ht="33">
      <c r="B718" s="2729"/>
      <c r="C718" s="2729"/>
      <c r="D718" s="2729"/>
      <c r="E718" s="2729"/>
      <c r="F718" s="2729"/>
      <c r="G718" s="2729"/>
      <c r="H718" s="2729"/>
      <c r="I718" s="2729"/>
      <c r="J718" s="2729"/>
      <c r="K718" s="2729"/>
      <c r="L718" s="2729"/>
      <c r="M718" s="2729"/>
      <c r="N718" s="2729"/>
      <c r="O718" s="2724"/>
      <c r="P718" s="2724"/>
      <c r="Q718" s="2724"/>
      <c r="R718" s="2724"/>
      <c r="S718" s="2752"/>
      <c r="T718" s="2760" t="s">
        <v>80</v>
      </c>
      <c r="U718" s="2759" t="s">
        <v>5738</v>
      </c>
      <c r="V718" s="2758">
        <v>530812</v>
      </c>
      <c r="W718" s="2758">
        <v>701</v>
      </c>
      <c r="X718" s="2757" t="s">
        <v>25</v>
      </c>
      <c r="Y718" s="2756">
        <f>AA252</f>
        <v>56.000000000000007</v>
      </c>
      <c r="Z718" s="2727"/>
      <c r="AA718" s="2730"/>
      <c r="AB718" s="2730"/>
      <c r="AC718" s="2730"/>
      <c r="AD718" s="2730"/>
      <c r="AE718" s="2725"/>
      <c r="AF718" s="2725"/>
      <c r="AG718" s="2724"/>
    </row>
    <row r="719" spans="1:33" ht="33">
      <c r="B719" s="2729"/>
      <c r="C719" s="2729"/>
      <c r="D719" s="2729"/>
      <c r="E719" s="2729"/>
      <c r="F719" s="2729"/>
      <c r="G719" s="2729"/>
      <c r="H719" s="2729"/>
      <c r="I719" s="2729"/>
      <c r="J719" s="2729"/>
      <c r="K719" s="2729"/>
      <c r="L719" s="2729"/>
      <c r="M719" s="2729"/>
      <c r="N719" s="2729"/>
      <c r="O719" s="2724"/>
      <c r="P719" s="2724"/>
      <c r="Q719" s="2724"/>
      <c r="R719" s="2724"/>
      <c r="S719" s="2752"/>
      <c r="T719" s="2760" t="s">
        <v>80</v>
      </c>
      <c r="U719" s="2759" t="s">
        <v>5738</v>
      </c>
      <c r="V719" s="2758">
        <v>530812</v>
      </c>
      <c r="W719" s="2758">
        <v>701</v>
      </c>
      <c r="X719" s="2757" t="s">
        <v>18</v>
      </c>
      <c r="Y719" s="2756">
        <f>AA235</f>
        <v>318.18079999999998</v>
      </c>
      <c r="Z719" s="2727"/>
      <c r="AA719" s="2730"/>
      <c r="AB719" s="2730"/>
      <c r="AC719" s="2730"/>
      <c r="AD719" s="2730"/>
      <c r="AE719" s="2725"/>
      <c r="AF719" s="2725"/>
      <c r="AG719" s="2724"/>
    </row>
    <row r="720" spans="1:33" ht="33">
      <c r="B720" s="2729"/>
      <c r="C720" s="2729"/>
      <c r="D720" s="2729"/>
      <c r="E720" s="2729"/>
      <c r="F720" s="2729"/>
      <c r="G720" s="2729"/>
      <c r="H720" s="2729"/>
      <c r="I720" s="2729"/>
      <c r="J720" s="2729"/>
      <c r="K720" s="2729"/>
      <c r="L720" s="2729"/>
      <c r="M720" s="2729"/>
      <c r="N720" s="2729"/>
      <c r="O720" s="2724"/>
      <c r="P720" s="2724"/>
      <c r="Q720" s="2724"/>
      <c r="R720" s="2724"/>
      <c r="S720" s="2752" t="s">
        <v>294</v>
      </c>
      <c r="T720" s="2760" t="s">
        <v>80</v>
      </c>
      <c r="U720" s="2759" t="s">
        <v>4141</v>
      </c>
      <c r="V720" s="2758">
        <v>530819</v>
      </c>
      <c r="W720" s="2758">
        <v>701</v>
      </c>
      <c r="X720" s="2757" t="s">
        <v>18</v>
      </c>
      <c r="Y720" s="2756">
        <f>+AA218</f>
        <v>302.40000000000003</v>
      </c>
      <c r="Z720" s="2727"/>
      <c r="AA720" s="2730" t="s">
        <v>294</v>
      </c>
      <c r="AB720" s="2730"/>
      <c r="AC720" s="2730"/>
      <c r="AD720" s="2730" t="s">
        <v>294</v>
      </c>
      <c r="AE720" s="2725" t="s">
        <v>294</v>
      </c>
      <c r="AF720" s="2725" t="s">
        <v>294</v>
      </c>
      <c r="AG720" s="2724"/>
    </row>
    <row r="721" spans="2:33" ht="33">
      <c r="B721" s="2729"/>
      <c r="C721" s="2729"/>
      <c r="D721" s="2729"/>
      <c r="E721" s="2729"/>
      <c r="F721" s="2729"/>
      <c r="G721" s="2729"/>
      <c r="H721" s="2729"/>
      <c r="I721" s="2729"/>
      <c r="J721" s="2729"/>
      <c r="K721" s="2729"/>
      <c r="L721" s="2729"/>
      <c r="M721" s="2729"/>
      <c r="N721" s="2729"/>
      <c r="O721" s="2724"/>
      <c r="P721" s="2724"/>
      <c r="Q721" s="2724"/>
      <c r="R721" s="2724"/>
      <c r="S721" s="2752" t="s">
        <v>294</v>
      </c>
      <c r="T721" s="2760" t="s">
        <v>80</v>
      </c>
      <c r="U721" s="2759" t="s">
        <v>4443</v>
      </c>
      <c r="V721" s="2758">
        <v>530823</v>
      </c>
      <c r="W721" s="2758">
        <v>701</v>
      </c>
      <c r="X721" s="2757" t="s">
        <v>26</v>
      </c>
      <c r="Y721" s="2756">
        <f>+AA184</f>
        <v>672.00000000000011</v>
      </c>
      <c r="Z721" s="2727"/>
      <c r="AA721" s="2730" t="s">
        <v>294</v>
      </c>
      <c r="AB721" s="2730"/>
      <c r="AC721" s="2730"/>
      <c r="AD721" s="2730" t="s">
        <v>294</v>
      </c>
      <c r="AE721" s="2725" t="s">
        <v>294</v>
      </c>
      <c r="AF721" s="2725" t="s">
        <v>294</v>
      </c>
      <c r="AG721" s="2724"/>
    </row>
    <row r="722" spans="2:33" ht="33">
      <c r="B722" s="2729"/>
      <c r="C722" s="2729"/>
      <c r="D722" s="2729"/>
      <c r="E722" s="2729"/>
      <c r="F722" s="2729"/>
      <c r="G722" s="2729"/>
      <c r="H722" s="2729"/>
      <c r="I722" s="2729"/>
      <c r="J722" s="2729"/>
      <c r="K722" s="2729"/>
      <c r="L722" s="2729"/>
      <c r="M722" s="2729"/>
      <c r="N722" s="2729"/>
      <c r="O722" s="2724"/>
      <c r="P722" s="2724"/>
      <c r="Q722" s="2724"/>
      <c r="R722" s="2724"/>
      <c r="S722" s="2752" t="s">
        <v>294</v>
      </c>
      <c r="T722" s="2760" t="s">
        <v>80</v>
      </c>
      <c r="U722" s="2759" t="s">
        <v>4323</v>
      </c>
      <c r="V722" s="2758">
        <v>530829</v>
      </c>
      <c r="W722" s="2758">
        <v>701</v>
      </c>
      <c r="X722" s="2757" t="s">
        <v>26</v>
      </c>
      <c r="Y722" s="2756">
        <f>+AA97+AA128+AA305</f>
        <v>2932.24</v>
      </c>
      <c r="Z722" s="2727"/>
      <c r="AA722" s="2730" t="s">
        <v>294</v>
      </c>
      <c r="AB722" s="2730"/>
      <c r="AC722" s="2730"/>
      <c r="AD722" s="2730" t="s">
        <v>294</v>
      </c>
      <c r="AE722" s="2725" t="s">
        <v>294</v>
      </c>
      <c r="AF722" s="2725" t="s">
        <v>294</v>
      </c>
      <c r="AG722" s="2724"/>
    </row>
    <row r="723" spans="2:33" ht="33">
      <c r="B723" s="2729"/>
      <c r="C723" s="2729"/>
      <c r="D723" s="2729"/>
      <c r="E723" s="2729"/>
      <c r="F723" s="2729"/>
      <c r="G723" s="2729"/>
      <c r="H723" s="2729"/>
      <c r="I723" s="2729"/>
      <c r="J723" s="2729"/>
      <c r="K723" s="2729"/>
      <c r="L723" s="2729"/>
      <c r="M723" s="2729"/>
      <c r="N723" s="2729"/>
      <c r="O723" s="2724"/>
      <c r="P723" s="2724"/>
      <c r="Q723" s="2724"/>
      <c r="R723" s="2724"/>
      <c r="S723" s="2752" t="s">
        <v>294</v>
      </c>
      <c r="T723" s="2760" t="s">
        <v>80</v>
      </c>
      <c r="U723" s="2759" t="s">
        <v>4163</v>
      </c>
      <c r="V723" s="2758">
        <v>531406</v>
      </c>
      <c r="W723" s="2758">
        <v>701</v>
      </c>
      <c r="X723" s="2757" t="s">
        <v>26</v>
      </c>
      <c r="Y723" s="2756">
        <f>+AA254</f>
        <v>0</v>
      </c>
      <c r="Z723" s="2727"/>
      <c r="AA723" s="2730" t="s">
        <v>294</v>
      </c>
      <c r="AB723" s="2730"/>
      <c r="AC723" s="2730"/>
      <c r="AD723" s="2730" t="s">
        <v>294</v>
      </c>
      <c r="AE723" s="2725" t="s">
        <v>294</v>
      </c>
      <c r="AF723" s="2725" t="s">
        <v>294</v>
      </c>
      <c r="AG723" s="2724"/>
    </row>
    <row r="724" spans="2:33" ht="33">
      <c r="B724" s="2729"/>
      <c r="C724" s="2729"/>
      <c r="D724" s="2729"/>
      <c r="E724" s="2729"/>
      <c r="F724" s="2729"/>
      <c r="G724" s="2729"/>
      <c r="H724" s="2729"/>
      <c r="I724" s="2729"/>
      <c r="J724" s="2729"/>
      <c r="K724" s="2729"/>
      <c r="L724" s="2729"/>
      <c r="M724" s="2729"/>
      <c r="N724" s="2729"/>
      <c r="O724" s="2724"/>
      <c r="P724" s="2724"/>
      <c r="Q724" s="2724"/>
      <c r="R724" s="2724"/>
      <c r="S724" s="2752" t="s">
        <v>294</v>
      </c>
      <c r="T724" s="2760" t="s">
        <v>80</v>
      </c>
      <c r="U724" s="2759" t="s">
        <v>39</v>
      </c>
      <c r="V724" s="2758">
        <v>840104</v>
      </c>
      <c r="W724" s="2758">
        <v>701</v>
      </c>
      <c r="X724" s="2757" t="s">
        <v>25</v>
      </c>
      <c r="Y724" s="7908">
        <f>+AA18+AA30+AA172+AA175+AA182+AA191+AA279+AA615</f>
        <v>42093.220714285722</v>
      </c>
      <c r="Z724" s="2727"/>
      <c r="AA724" s="2730" t="s">
        <v>294</v>
      </c>
      <c r="AB724" s="2730"/>
      <c r="AC724" s="2730"/>
      <c r="AD724" s="2730" t="s">
        <v>294</v>
      </c>
      <c r="AE724" s="2725" t="s">
        <v>294</v>
      </c>
      <c r="AF724" s="2725" t="s">
        <v>294</v>
      </c>
      <c r="AG724" s="2724"/>
    </row>
    <row r="725" spans="2:33" ht="33">
      <c r="B725" s="2729"/>
      <c r="C725" s="2729"/>
      <c r="D725" s="2729"/>
      <c r="E725" s="2729"/>
      <c r="F725" s="2729"/>
      <c r="G725" s="2729"/>
      <c r="H725" s="2729"/>
      <c r="I725" s="2729"/>
      <c r="J725" s="2729"/>
      <c r="K725" s="2729"/>
      <c r="L725" s="2729"/>
      <c r="M725" s="2729"/>
      <c r="N725" s="2729"/>
      <c r="O725" s="2724"/>
      <c r="P725" s="2724"/>
      <c r="Q725" s="2724"/>
      <c r="R725" s="2724"/>
      <c r="S725" s="2752" t="s">
        <v>294</v>
      </c>
      <c r="T725" s="2760" t="s">
        <v>80</v>
      </c>
      <c r="U725" s="2759" t="s">
        <v>39</v>
      </c>
      <c r="V725" s="2758">
        <v>840104</v>
      </c>
      <c r="W725" s="2758">
        <v>701</v>
      </c>
      <c r="X725" s="2757" t="s">
        <v>26</v>
      </c>
      <c r="Y725" s="7908">
        <f>+AA92</f>
        <v>18003.1152</v>
      </c>
      <c r="Z725" s="2727"/>
      <c r="AA725" s="2730" t="s">
        <v>294</v>
      </c>
      <c r="AB725" s="2730"/>
      <c r="AC725" s="2730"/>
      <c r="AD725" s="2730" t="s">
        <v>294</v>
      </c>
      <c r="AE725" s="2725" t="s">
        <v>294</v>
      </c>
      <c r="AF725" s="2725" t="s">
        <v>294</v>
      </c>
      <c r="AG725" s="2724"/>
    </row>
    <row r="726" spans="2:33" ht="33">
      <c r="B726" s="2729"/>
      <c r="C726" s="2729"/>
      <c r="D726" s="2729"/>
      <c r="E726" s="2729"/>
      <c r="F726" s="2729"/>
      <c r="G726" s="2729"/>
      <c r="H726" s="2729"/>
      <c r="I726" s="2729"/>
      <c r="J726" s="2729"/>
      <c r="K726" s="2729"/>
      <c r="L726" s="2729"/>
      <c r="M726" s="2729"/>
      <c r="N726" s="2729"/>
      <c r="O726" s="2724"/>
      <c r="P726" s="2724"/>
      <c r="Q726" s="2724"/>
      <c r="R726" s="2724"/>
      <c r="S726" s="2752" t="s">
        <v>294</v>
      </c>
      <c r="T726" s="2760" t="s">
        <v>80</v>
      </c>
      <c r="U726" s="2759" t="s">
        <v>39</v>
      </c>
      <c r="V726" s="2758">
        <v>840104</v>
      </c>
      <c r="W726" s="2758">
        <v>701</v>
      </c>
      <c r="X726" s="2757" t="s">
        <v>18</v>
      </c>
      <c r="Y726" s="7908">
        <f>+AA121+AA177+AA196+AA198+AA216+AA228</f>
        <v>53003.322500000009</v>
      </c>
      <c r="Z726" s="2727"/>
      <c r="AA726" s="2730" t="s">
        <v>294</v>
      </c>
      <c r="AB726" s="2730"/>
      <c r="AC726" s="2730"/>
      <c r="AD726" s="2730" t="s">
        <v>294</v>
      </c>
      <c r="AE726" s="2725" t="s">
        <v>294</v>
      </c>
      <c r="AF726" s="2725" t="s">
        <v>294</v>
      </c>
      <c r="AG726" s="2724"/>
    </row>
    <row r="727" spans="2:33" ht="33">
      <c r="B727" s="2729"/>
      <c r="C727" s="2729"/>
      <c r="D727" s="2729"/>
      <c r="E727" s="2729"/>
      <c r="F727" s="2729"/>
      <c r="G727" s="2729"/>
      <c r="H727" s="2729"/>
      <c r="I727" s="2729"/>
      <c r="J727" s="2729"/>
      <c r="K727" s="2729"/>
      <c r="L727" s="2729"/>
      <c r="M727" s="2729"/>
      <c r="N727" s="2729"/>
      <c r="O727" s="2724"/>
      <c r="P727" s="2724"/>
      <c r="Q727" s="2724"/>
      <c r="R727" s="2724"/>
      <c r="S727" s="2752" t="s">
        <v>294</v>
      </c>
      <c r="T727" s="2760" t="s">
        <v>80</v>
      </c>
      <c r="U727" s="2759" t="s">
        <v>40</v>
      </c>
      <c r="V727" s="2758">
        <v>840107</v>
      </c>
      <c r="W727" s="2758">
        <v>701</v>
      </c>
      <c r="X727" s="2757" t="s">
        <v>25</v>
      </c>
      <c r="Y727" s="2756">
        <f>+AA214+AA450</f>
        <v>1252.98</v>
      </c>
      <c r="Z727" s="2727"/>
      <c r="AA727" s="2730"/>
      <c r="AB727" s="2730"/>
      <c r="AC727" s="2730"/>
      <c r="AD727" s="2730" t="s">
        <v>294</v>
      </c>
      <c r="AE727" s="2725" t="s">
        <v>294</v>
      </c>
      <c r="AF727" s="2725" t="s">
        <v>294</v>
      </c>
      <c r="AG727" s="2724"/>
    </row>
    <row r="728" spans="2:33" ht="49.5">
      <c r="B728" s="2729"/>
      <c r="C728" s="2729"/>
      <c r="D728" s="2729"/>
      <c r="E728" s="2729"/>
      <c r="F728" s="2729"/>
      <c r="G728" s="2729"/>
      <c r="H728" s="2729"/>
      <c r="I728" s="2729"/>
      <c r="J728" s="2729"/>
      <c r="K728" s="2729"/>
      <c r="L728" s="2729"/>
      <c r="M728" s="2729"/>
      <c r="N728" s="2729"/>
      <c r="O728" s="2724"/>
      <c r="P728" s="2724"/>
      <c r="Q728" s="2724"/>
      <c r="R728" s="2724"/>
      <c r="S728" s="2752" t="s">
        <v>294</v>
      </c>
      <c r="T728" s="2760" t="s">
        <v>81</v>
      </c>
      <c r="U728" s="2759" t="s">
        <v>505</v>
      </c>
      <c r="V728" s="2758">
        <v>530404</v>
      </c>
      <c r="W728" s="2758">
        <v>701</v>
      </c>
      <c r="X728" s="2757" t="s">
        <v>26</v>
      </c>
      <c r="Y728" s="2756">
        <f>+AA277</f>
        <v>2000</v>
      </c>
      <c r="Z728" s="2727"/>
      <c r="AA728" s="2761"/>
      <c r="AB728" s="2730"/>
      <c r="AC728" s="2730"/>
      <c r="AD728" s="2730" t="s">
        <v>294</v>
      </c>
      <c r="AE728" s="2725" t="s">
        <v>294</v>
      </c>
      <c r="AF728" s="2725" t="s">
        <v>294</v>
      </c>
      <c r="AG728" s="2724"/>
    </row>
    <row r="729" spans="2:33" ht="49.5">
      <c r="B729" s="2729"/>
      <c r="C729" s="2729"/>
      <c r="D729" s="2729"/>
      <c r="E729" s="2729"/>
      <c r="F729" s="2729"/>
      <c r="G729" s="2729"/>
      <c r="H729" s="2729"/>
      <c r="I729" s="2729"/>
      <c r="J729" s="2729"/>
      <c r="K729" s="2729"/>
      <c r="L729" s="2729"/>
      <c r="M729" s="2729"/>
      <c r="N729" s="2729"/>
      <c r="O729" s="2724"/>
      <c r="P729" s="2724"/>
      <c r="Q729" s="2724"/>
      <c r="R729" s="2724"/>
      <c r="S729" s="2752" t="s">
        <v>294</v>
      </c>
      <c r="T729" s="2760" t="s">
        <v>81</v>
      </c>
      <c r="U729" s="2759" t="s">
        <v>1089</v>
      </c>
      <c r="V729" s="2758">
        <v>530812</v>
      </c>
      <c r="W729" s="2758">
        <v>701</v>
      </c>
      <c r="X729" s="2757" t="s">
        <v>26</v>
      </c>
      <c r="Y729" s="2756">
        <f>+AA271+AA260</f>
        <v>781.76</v>
      </c>
      <c r="Z729" s="2727"/>
      <c r="AA729" s="2730"/>
      <c r="AB729" s="2730"/>
      <c r="AC729" s="2730"/>
      <c r="AD729" s="2730" t="s">
        <v>294</v>
      </c>
      <c r="AE729" s="2725" t="s">
        <v>294</v>
      </c>
      <c r="AF729" s="2725" t="s">
        <v>294</v>
      </c>
      <c r="AG729" s="2724"/>
    </row>
    <row r="730" spans="2:33" ht="49.5">
      <c r="B730" s="2729"/>
      <c r="C730" s="2729"/>
      <c r="D730" s="2729"/>
      <c r="E730" s="2729"/>
      <c r="F730" s="2729"/>
      <c r="G730" s="2729"/>
      <c r="H730" s="2729"/>
      <c r="I730" s="2729"/>
      <c r="J730" s="2729"/>
      <c r="K730" s="2729"/>
      <c r="L730" s="2729"/>
      <c r="M730" s="2729"/>
      <c r="N730" s="2729"/>
      <c r="O730" s="2724"/>
      <c r="P730" s="2724"/>
      <c r="Q730" s="2724"/>
      <c r="R730" s="2724"/>
      <c r="S730" s="2752" t="s">
        <v>294</v>
      </c>
      <c r="T730" s="2760" t="s">
        <v>81</v>
      </c>
      <c r="U730" s="2759" t="s">
        <v>3341</v>
      </c>
      <c r="V730" s="2758">
        <v>530826</v>
      </c>
      <c r="W730" s="2758">
        <v>701</v>
      </c>
      <c r="X730" s="2757" t="s">
        <v>26</v>
      </c>
      <c r="Y730" s="2756">
        <f>AA107+AA152+AA209+AA222+AA230+AA283+AA293+AA300</f>
        <v>5600.0000000000018</v>
      </c>
      <c r="Z730" s="2727"/>
      <c r="AA730" s="2730"/>
      <c r="AB730" s="2730"/>
      <c r="AC730" s="2730"/>
      <c r="AD730" s="2730" t="s">
        <v>294</v>
      </c>
      <c r="AE730" s="2725" t="s">
        <v>294</v>
      </c>
      <c r="AF730" s="2725" t="s">
        <v>294</v>
      </c>
      <c r="AG730" s="2724"/>
    </row>
    <row r="731" spans="2:33" ht="49.5">
      <c r="B731" s="2729"/>
      <c r="C731" s="2729"/>
      <c r="D731" s="2729"/>
      <c r="E731" s="2729"/>
      <c r="F731" s="2729"/>
      <c r="G731" s="2729"/>
      <c r="H731" s="2729"/>
      <c r="I731" s="2729"/>
      <c r="J731" s="2729"/>
      <c r="K731" s="2729"/>
      <c r="L731" s="2729"/>
      <c r="M731" s="2729"/>
      <c r="N731" s="2729"/>
      <c r="O731" s="2724"/>
      <c r="P731" s="2724"/>
      <c r="Q731" s="2724"/>
      <c r="R731" s="2724"/>
      <c r="S731" s="2752" t="s">
        <v>294</v>
      </c>
      <c r="T731" s="2760" t="s">
        <v>81</v>
      </c>
      <c r="U731" s="2759" t="s">
        <v>591</v>
      </c>
      <c r="V731" s="2758">
        <v>840103</v>
      </c>
      <c r="W731" s="2758">
        <v>701</v>
      </c>
      <c r="X731" s="2757" t="s">
        <v>18</v>
      </c>
      <c r="Y731" s="2756">
        <f>+AA542+AA547</f>
        <v>4555.5200000000004</v>
      </c>
      <c r="Z731" s="2727"/>
      <c r="AA731" s="2730"/>
      <c r="AB731" s="2730"/>
      <c r="AC731" s="2730"/>
      <c r="AD731" s="2730" t="s">
        <v>294</v>
      </c>
      <c r="AE731" s="2725" t="s">
        <v>294</v>
      </c>
      <c r="AF731" s="2725" t="s">
        <v>294</v>
      </c>
      <c r="AG731" s="2724"/>
    </row>
    <row r="732" spans="2:33" ht="49.5">
      <c r="B732" s="2729"/>
      <c r="C732" s="2729"/>
      <c r="D732" s="2729"/>
      <c r="E732" s="2729"/>
      <c r="F732" s="2729"/>
      <c r="G732" s="2729"/>
      <c r="H732" s="2729"/>
      <c r="I732" s="2729"/>
      <c r="J732" s="2729"/>
      <c r="K732" s="2729"/>
      <c r="L732" s="2729"/>
      <c r="M732" s="2729"/>
      <c r="N732" s="2729"/>
      <c r="O732" s="2724"/>
      <c r="P732" s="2724"/>
      <c r="Q732" s="2724"/>
      <c r="R732" s="2724"/>
      <c r="S732" s="2752"/>
      <c r="T732" s="2760" t="s">
        <v>81</v>
      </c>
      <c r="U732" s="2759" t="s">
        <v>39</v>
      </c>
      <c r="V732" s="2758">
        <v>840104</v>
      </c>
      <c r="W732" s="2758">
        <v>701</v>
      </c>
      <c r="X732" s="2757" t="s">
        <v>25</v>
      </c>
      <c r="Y732" s="2756">
        <f>+AA290</f>
        <v>5643.93</v>
      </c>
      <c r="Z732" s="2727"/>
      <c r="AA732" s="2730"/>
      <c r="AB732" s="2730"/>
      <c r="AC732" s="2730"/>
      <c r="AD732" s="2730"/>
      <c r="AE732" s="2725"/>
      <c r="AF732" s="2725"/>
      <c r="AG732" s="2724"/>
    </row>
    <row r="733" spans="2:33" ht="49.5">
      <c r="B733" s="2729"/>
      <c r="C733" s="2729"/>
      <c r="D733" s="2729"/>
      <c r="E733" s="2729"/>
      <c r="F733" s="2729"/>
      <c r="G733" s="2729"/>
      <c r="H733" s="2729"/>
      <c r="I733" s="2729"/>
      <c r="J733" s="2729"/>
      <c r="K733" s="2729"/>
      <c r="L733" s="2729"/>
      <c r="M733" s="2729"/>
      <c r="N733" s="2729"/>
      <c r="O733" s="2724"/>
      <c r="P733" s="2724"/>
      <c r="Q733" s="2724"/>
      <c r="R733" s="2724"/>
      <c r="S733" s="2752" t="s">
        <v>294</v>
      </c>
      <c r="T733" s="2760" t="s">
        <v>81</v>
      </c>
      <c r="U733" s="2759" t="s">
        <v>39</v>
      </c>
      <c r="V733" s="2758">
        <v>840104</v>
      </c>
      <c r="W733" s="2758">
        <v>701</v>
      </c>
      <c r="X733" s="2757" t="s">
        <v>18</v>
      </c>
      <c r="Y733" s="2756">
        <f>+AA179+AA298+AA521</f>
        <v>839.91</v>
      </c>
      <c r="Z733" s="2727"/>
      <c r="AA733" s="2730"/>
      <c r="AB733" s="2730"/>
      <c r="AC733" s="2730"/>
      <c r="AD733" s="2730" t="s">
        <v>294</v>
      </c>
      <c r="AE733" s="2725" t="s">
        <v>294</v>
      </c>
      <c r="AF733" s="2725" t="s">
        <v>294</v>
      </c>
      <c r="AG733" s="2724"/>
    </row>
    <row r="734" spans="2:33" ht="49.5">
      <c r="B734" s="2729"/>
      <c r="C734" s="2729"/>
      <c r="D734" s="2729"/>
      <c r="E734" s="2729"/>
      <c r="F734" s="2729"/>
      <c r="G734" s="2729"/>
      <c r="H734" s="2729"/>
      <c r="I734" s="2729"/>
      <c r="J734" s="2729"/>
      <c r="K734" s="2729"/>
      <c r="L734" s="2729"/>
      <c r="M734" s="2729"/>
      <c r="N734" s="2729"/>
      <c r="O734" s="2724"/>
      <c r="P734" s="2724"/>
      <c r="Q734" s="2724"/>
      <c r="R734" s="2724"/>
      <c r="S734" s="2752" t="s">
        <v>294</v>
      </c>
      <c r="T734" s="2760" t="s">
        <v>81</v>
      </c>
      <c r="U734" s="2759" t="s">
        <v>5430</v>
      </c>
      <c r="V734" s="2758">
        <v>840113</v>
      </c>
      <c r="W734" s="2758">
        <v>701</v>
      </c>
      <c r="X734" s="2757" t="s">
        <v>18</v>
      </c>
      <c r="Y734" s="2756">
        <f>+AA288</f>
        <v>1512.0000000000002</v>
      </c>
      <c r="Z734" s="2727"/>
      <c r="AA734" s="2761"/>
      <c r="AB734" s="2730"/>
      <c r="AC734" s="2730"/>
      <c r="AD734" s="2730" t="s">
        <v>294</v>
      </c>
      <c r="AE734" s="2725" t="s">
        <v>294</v>
      </c>
      <c r="AF734" s="2725" t="s">
        <v>294</v>
      </c>
      <c r="AG734" s="2724"/>
    </row>
    <row r="735" spans="2:33" ht="49.5">
      <c r="B735" s="2729"/>
      <c r="C735" s="2729"/>
      <c r="D735" s="2729"/>
      <c r="E735" s="2729"/>
      <c r="F735" s="2729"/>
      <c r="G735" s="2729"/>
      <c r="H735" s="2729"/>
      <c r="I735" s="2729"/>
      <c r="J735" s="2729"/>
      <c r="K735" s="2729"/>
      <c r="L735" s="2729"/>
      <c r="M735" s="2729"/>
      <c r="N735" s="2729"/>
      <c r="O735" s="2724"/>
      <c r="P735" s="2724"/>
      <c r="Q735" s="2724"/>
      <c r="R735" s="2724"/>
      <c r="S735" s="2752" t="s">
        <v>294</v>
      </c>
      <c r="T735" s="2760" t="s">
        <v>81</v>
      </c>
      <c r="U735" s="2759" t="s">
        <v>40</v>
      </c>
      <c r="V735" s="2758">
        <v>840107</v>
      </c>
      <c r="W735" s="2758">
        <v>701</v>
      </c>
      <c r="X735" s="2757" t="s">
        <v>18</v>
      </c>
      <c r="Y735" s="2756">
        <f>+AA200</f>
        <v>336.01000000000005</v>
      </c>
      <c r="Z735" s="2755"/>
      <c r="AA735" s="2730"/>
      <c r="AB735" s="2730"/>
      <c r="AC735" s="2730"/>
      <c r="AD735" s="2730" t="s">
        <v>294</v>
      </c>
      <c r="AE735" s="2725" t="s">
        <v>294</v>
      </c>
      <c r="AF735" s="2725" t="s">
        <v>294</v>
      </c>
      <c r="AG735" s="2724"/>
    </row>
    <row r="736" spans="2:33" ht="18" customHeight="1" thickBot="1">
      <c r="B736" s="2729"/>
      <c r="C736" s="2729"/>
      <c r="D736" s="2729"/>
      <c r="E736" s="2729"/>
      <c r="F736" s="2729"/>
      <c r="G736" s="2729"/>
      <c r="H736" s="2729"/>
      <c r="I736" s="2729"/>
      <c r="J736" s="2729"/>
      <c r="K736" s="2729"/>
      <c r="L736" s="2729"/>
      <c r="M736" s="2729"/>
      <c r="N736" s="2729"/>
      <c r="O736" s="2729"/>
      <c r="P736" s="2729" t="s">
        <v>294</v>
      </c>
      <c r="Q736" s="2729" t="s">
        <v>294</v>
      </c>
      <c r="R736" s="2752" t="s">
        <v>294</v>
      </c>
      <c r="S736" s="2752" t="s">
        <v>294</v>
      </c>
      <c r="T736" s="5930"/>
      <c r="U736" s="5931" t="s">
        <v>67</v>
      </c>
      <c r="V736" s="5932"/>
      <c r="W736" s="5932"/>
      <c r="X736" s="5926" t="s">
        <v>292</v>
      </c>
      <c r="Y736" s="5929">
        <f>SUM(Y714:Y735)</f>
        <v>150772.89081428573</v>
      </c>
      <c r="Z736" s="2728"/>
      <c r="AA736" s="2730"/>
      <c r="AB736" s="2730"/>
      <c r="AC736" s="2730"/>
      <c r="AD736" s="2730" t="s">
        <v>294</v>
      </c>
      <c r="AE736" s="2725" t="s">
        <v>294</v>
      </c>
      <c r="AF736" s="2725" t="s">
        <v>294</v>
      </c>
      <c r="AG736" s="2724"/>
    </row>
    <row r="737" spans="2:33" ht="15.75" customHeight="1" thickTop="1">
      <c r="B737" s="2729"/>
      <c r="C737" s="2729"/>
      <c r="D737" s="2729"/>
      <c r="E737" s="2729"/>
      <c r="F737" s="2729"/>
      <c r="G737" s="2729"/>
      <c r="H737" s="2729"/>
      <c r="I737" s="2729"/>
      <c r="J737" s="2729"/>
      <c r="K737" s="2729"/>
      <c r="L737" s="2729"/>
      <c r="M737" s="2729"/>
      <c r="N737" s="2729"/>
      <c r="O737" s="2729"/>
      <c r="P737" s="2729" t="s">
        <v>294</v>
      </c>
      <c r="Q737" s="2729" t="s">
        <v>294</v>
      </c>
      <c r="R737" s="2752" t="s">
        <v>294</v>
      </c>
      <c r="S737" s="2752" t="s">
        <v>294</v>
      </c>
      <c r="T737" s="2728" t="s">
        <v>294</v>
      </c>
      <c r="U737" s="2728" t="s">
        <v>294</v>
      </c>
      <c r="V737" s="2754"/>
      <c r="W737" s="2728" t="s">
        <v>294</v>
      </c>
      <c r="X737" s="2728" t="s">
        <v>294</v>
      </c>
      <c r="Y737" s="2728" t="s">
        <v>294</v>
      </c>
      <c r="Z737" s="2728"/>
      <c r="AA737" s="2730"/>
      <c r="AB737" s="2730"/>
      <c r="AC737" s="2730"/>
      <c r="AD737" s="2730" t="s">
        <v>294</v>
      </c>
      <c r="AE737" s="2725" t="s">
        <v>294</v>
      </c>
      <c r="AF737" s="2725" t="s">
        <v>294</v>
      </c>
      <c r="AG737" s="2724"/>
    </row>
    <row r="738" spans="2:33" ht="15.75" customHeight="1">
      <c r="B738" s="2729"/>
      <c r="C738" s="2729"/>
      <c r="D738" s="2729"/>
      <c r="E738" s="2729"/>
      <c r="F738" s="2729"/>
      <c r="G738" s="2729"/>
      <c r="H738" s="2729"/>
      <c r="I738" s="2729"/>
      <c r="J738" s="2729"/>
      <c r="K738" s="2729"/>
      <c r="L738" s="2729"/>
      <c r="M738" s="2729"/>
      <c r="N738" s="2729"/>
      <c r="O738" s="2729"/>
      <c r="P738" s="2729" t="s">
        <v>294</v>
      </c>
      <c r="Q738" s="2729" t="s">
        <v>294</v>
      </c>
      <c r="R738" s="2752" t="s">
        <v>294</v>
      </c>
      <c r="S738" s="2752" t="s">
        <v>294</v>
      </c>
      <c r="T738" s="2728" t="s">
        <v>294</v>
      </c>
      <c r="U738" s="2728" t="s">
        <v>294</v>
      </c>
      <c r="V738" s="2728" t="s">
        <v>294</v>
      </c>
      <c r="W738" s="2740" t="s">
        <v>294</v>
      </c>
      <c r="X738" s="2740" t="s">
        <v>294</v>
      </c>
      <c r="Y738" s="2740" t="s">
        <v>294</v>
      </c>
      <c r="Z738" s="2740"/>
      <c r="AA738" s="2742"/>
      <c r="AB738" s="2742"/>
      <c r="AC738" s="2731"/>
      <c r="AD738" s="2730" t="s">
        <v>294</v>
      </c>
      <c r="AE738" s="2725" t="s">
        <v>294</v>
      </c>
      <c r="AF738" s="2725" t="s">
        <v>294</v>
      </c>
      <c r="AG738" s="2724"/>
    </row>
    <row r="739" spans="2:33" ht="15.75" customHeight="1">
      <c r="B739" s="2729"/>
      <c r="C739" s="2729"/>
      <c r="D739" s="2729"/>
      <c r="E739" s="2729"/>
      <c r="F739" s="2729"/>
      <c r="G739" s="2729"/>
      <c r="H739" s="2729"/>
      <c r="I739" s="2729"/>
      <c r="J739" s="2729"/>
      <c r="K739" s="2729"/>
      <c r="L739" s="2729"/>
      <c r="M739" s="2729"/>
      <c r="N739" s="2729"/>
      <c r="O739" s="2729"/>
      <c r="P739" s="2729" t="s">
        <v>294</v>
      </c>
      <c r="Q739" s="2729" t="s">
        <v>294</v>
      </c>
      <c r="R739" s="2752" t="s">
        <v>294</v>
      </c>
      <c r="S739" s="2752" t="s">
        <v>294</v>
      </c>
      <c r="T739" s="10990" t="s">
        <v>356</v>
      </c>
      <c r="U739" s="10991"/>
      <c r="V739" s="10992"/>
      <c r="W739" s="2740" t="s">
        <v>294</v>
      </c>
      <c r="X739" s="2753" t="s">
        <v>357</v>
      </c>
      <c r="Y739" s="2747" t="str">
        <f>IF(Y736=$AA$708,"OK","NO")</f>
        <v>OK</v>
      </c>
      <c r="Z739" s="2740"/>
      <c r="AA739" s="2742"/>
      <c r="AB739" s="2742"/>
      <c r="AC739" s="2731"/>
      <c r="AD739" s="2730" t="s">
        <v>294</v>
      </c>
      <c r="AE739" s="2725" t="s">
        <v>294</v>
      </c>
      <c r="AF739" s="2725" t="s">
        <v>294</v>
      </c>
      <c r="AG739" s="2724"/>
    </row>
    <row r="740" spans="2:33" ht="15.75" customHeight="1">
      <c r="B740" s="2729"/>
      <c r="C740" s="2729"/>
      <c r="D740" s="2729"/>
      <c r="E740" s="2729"/>
      <c r="F740" s="2729"/>
      <c r="G740" s="2729"/>
      <c r="H740" s="2729"/>
      <c r="I740" s="2729"/>
      <c r="J740" s="2729"/>
      <c r="K740" s="2729"/>
      <c r="L740" s="2729"/>
      <c r="M740" s="2729"/>
      <c r="N740" s="2729"/>
      <c r="O740" s="2729"/>
      <c r="P740" s="2729" t="s">
        <v>294</v>
      </c>
      <c r="Q740" s="2729" t="s">
        <v>294</v>
      </c>
      <c r="R740" s="2752" t="s">
        <v>294</v>
      </c>
      <c r="S740" s="2752" t="s">
        <v>294</v>
      </c>
      <c r="T740" s="10973" t="s">
        <v>5739</v>
      </c>
      <c r="U740" s="10974"/>
      <c r="V740" s="2750">
        <f>+Y718+Y724+Y727+Y732</f>
        <v>49046.130714285726</v>
      </c>
      <c r="W740" s="2749"/>
      <c r="X740" s="2751"/>
      <c r="Y740" s="2747" t="str">
        <f>IF(V744=$AA$708,"OK","NO")</f>
        <v>OK</v>
      </c>
      <c r="Z740" s="2740"/>
      <c r="AA740" s="2742"/>
      <c r="AB740" s="2742"/>
      <c r="AC740" s="2731"/>
      <c r="AD740" s="2730" t="s">
        <v>294</v>
      </c>
      <c r="AE740" s="2725" t="s">
        <v>294</v>
      </c>
      <c r="AF740" s="2725" t="s">
        <v>294</v>
      </c>
      <c r="AG740" s="2724"/>
    </row>
    <row r="741" spans="2:33" ht="15.75" customHeight="1">
      <c r="B741" s="2729"/>
      <c r="C741" s="2729"/>
      <c r="D741" s="2729"/>
      <c r="E741" s="2729"/>
      <c r="F741" s="2729"/>
      <c r="G741" s="2729"/>
      <c r="H741" s="2729"/>
      <c r="I741" s="2729"/>
      <c r="J741" s="2729"/>
      <c r="K741" s="2729"/>
      <c r="L741" s="2729"/>
      <c r="M741" s="2729"/>
      <c r="N741" s="2729"/>
      <c r="O741" s="2729"/>
      <c r="P741" s="2729" t="s">
        <v>294</v>
      </c>
      <c r="Q741" s="2729" t="s">
        <v>294</v>
      </c>
      <c r="R741" s="2752" t="s">
        <v>294</v>
      </c>
      <c r="S741" s="2752" t="s">
        <v>294</v>
      </c>
      <c r="T741" s="10956" t="s">
        <v>5740</v>
      </c>
      <c r="U741" s="10957"/>
      <c r="V741" s="2750">
        <f>+Y714+Y721+Y722+Y723+Y725+Y728+Y729+Y730</f>
        <v>34489.1152</v>
      </c>
      <c r="W741" s="2749"/>
      <c r="X741" s="2751"/>
      <c r="Y741" s="2747" t="str">
        <f>IF(V754=$AA$708,"OK","NO")</f>
        <v>OK</v>
      </c>
      <c r="Z741" s="2740"/>
      <c r="AA741" s="2742"/>
      <c r="AB741" s="2742"/>
      <c r="AC741" s="2731"/>
      <c r="AD741" s="2730" t="s">
        <v>294</v>
      </c>
      <c r="AE741" s="2725" t="s">
        <v>294</v>
      </c>
      <c r="AF741" s="2725" t="s">
        <v>294</v>
      </c>
      <c r="AG741" s="2724"/>
    </row>
    <row r="742" spans="2:33" ht="15.75" customHeight="1">
      <c r="B742" s="2729"/>
      <c r="C742" s="2729"/>
      <c r="D742" s="2729"/>
      <c r="E742" s="2729"/>
      <c r="F742" s="2729"/>
      <c r="G742" s="2729"/>
      <c r="H742" s="2729"/>
      <c r="I742" s="2729"/>
      <c r="J742" s="2729"/>
      <c r="K742" s="2729"/>
      <c r="L742" s="2729"/>
      <c r="M742" s="2729"/>
      <c r="N742" s="2729"/>
      <c r="O742" s="2729"/>
      <c r="P742" s="2729" t="s">
        <v>294</v>
      </c>
      <c r="Q742" s="2729" t="s">
        <v>294</v>
      </c>
      <c r="R742" s="2724" t="s">
        <v>294</v>
      </c>
      <c r="S742" s="2724" t="s">
        <v>294</v>
      </c>
      <c r="T742" s="10956" t="s">
        <v>5741</v>
      </c>
      <c r="U742" s="10957"/>
      <c r="V742" s="2750">
        <f>+Y715+Y716+Y717+Y719+Y720+Y726+Y731+Y733+Y734+Y735</f>
        <v>67237.644900000014</v>
      </c>
      <c r="W742" s="2749"/>
      <c r="X742" s="2748"/>
      <c r="Y742" s="2120" t="str">
        <f>IF(Resumen!C423=$AA$708,"OK","NO")</f>
        <v>OK</v>
      </c>
      <c r="Z742" s="2740"/>
      <c r="AA742" s="2742"/>
      <c r="AB742" s="2742"/>
      <c r="AC742" s="2731"/>
      <c r="AD742" s="2730" t="s">
        <v>294</v>
      </c>
      <c r="AE742" s="2725" t="s">
        <v>294</v>
      </c>
      <c r="AF742" s="2725" t="s">
        <v>294</v>
      </c>
      <c r="AG742" s="2724"/>
    </row>
    <row r="743" spans="2:33" ht="15.75" customHeight="1">
      <c r="B743" s="2729"/>
      <c r="C743" s="2729"/>
      <c r="D743" s="2729"/>
      <c r="E743" s="2729"/>
      <c r="F743" s="2729"/>
      <c r="G743" s="2729"/>
      <c r="H743" s="2729"/>
      <c r="I743" s="2729"/>
      <c r="J743" s="2729"/>
      <c r="K743" s="2729"/>
      <c r="L743" s="2729"/>
      <c r="M743" s="2729"/>
      <c r="N743" s="2729"/>
      <c r="O743" s="2729"/>
      <c r="P743" s="2729" t="s">
        <v>294</v>
      </c>
      <c r="Q743" s="2729" t="s">
        <v>294</v>
      </c>
      <c r="R743" s="2724" t="s">
        <v>294</v>
      </c>
      <c r="S743" s="2724" t="s">
        <v>294</v>
      </c>
      <c r="T743" s="10956" t="s">
        <v>5742</v>
      </c>
      <c r="U743" s="10957"/>
      <c r="V743" s="2746" t="s">
        <v>5743</v>
      </c>
      <c r="W743" s="2745"/>
      <c r="X743" s="2740"/>
      <c r="Y743" s="2744"/>
      <c r="Z743" s="2740"/>
      <c r="AA743" s="2742"/>
      <c r="AB743" s="2742"/>
      <c r="AC743" s="2731"/>
      <c r="AD743" s="2730" t="s">
        <v>294</v>
      </c>
      <c r="AE743" s="2725" t="s">
        <v>294</v>
      </c>
      <c r="AF743" s="2725" t="s">
        <v>294</v>
      </c>
      <c r="AG743" s="2724"/>
    </row>
    <row r="744" spans="2:33" ht="15.75" customHeight="1">
      <c r="B744" s="2729"/>
      <c r="C744" s="2729"/>
      <c r="D744" s="2729"/>
      <c r="E744" s="2729"/>
      <c r="F744" s="2729"/>
      <c r="G744" s="2729"/>
      <c r="H744" s="2729"/>
      <c r="I744" s="2729"/>
      <c r="J744" s="2729"/>
      <c r="K744" s="2729"/>
      <c r="L744" s="2729"/>
      <c r="M744" s="2729"/>
      <c r="N744" s="2729"/>
      <c r="O744" s="2729"/>
      <c r="P744" s="2729" t="s">
        <v>294</v>
      </c>
      <c r="Q744" s="2729" t="s">
        <v>294</v>
      </c>
      <c r="R744" s="2724" t="s">
        <v>294</v>
      </c>
      <c r="S744" s="2724" t="s">
        <v>294</v>
      </c>
      <c r="T744" s="10966" t="s">
        <v>67</v>
      </c>
      <c r="U744" s="10967"/>
      <c r="V744" s="2743">
        <f>SUM(V740:V743)</f>
        <v>150772.89081428573</v>
      </c>
      <c r="W744" s="2741"/>
      <c r="X744" s="2740"/>
      <c r="Y744" s="2740"/>
      <c r="Z744" s="2740" t="s">
        <v>294</v>
      </c>
      <c r="AA744" s="2742" t="s">
        <v>294</v>
      </c>
      <c r="AB744" s="2742"/>
      <c r="AC744" s="2731"/>
      <c r="AD744" s="2730" t="s">
        <v>294</v>
      </c>
      <c r="AE744" s="2725" t="s">
        <v>294</v>
      </c>
      <c r="AF744" s="2725" t="s">
        <v>294</v>
      </c>
      <c r="AG744" s="2724"/>
    </row>
    <row r="745" spans="2:33" ht="15.75" customHeight="1">
      <c r="B745" s="2729"/>
      <c r="C745" s="2729"/>
      <c r="D745" s="2729"/>
      <c r="E745" s="2729"/>
      <c r="F745" s="2729"/>
      <c r="G745" s="2729"/>
      <c r="H745" s="2729"/>
      <c r="I745" s="2729"/>
      <c r="J745" s="2729"/>
      <c r="K745" s="2729"/>
      <c r="L745" s="2729"/>
      <c r="M745" s="2729"/>
      <c r="N745" s="2729"/>
      <c r="O745" s="2729"/>
      <c r="P745" s="2729" t="s">
        <v>294</v>
      </c>
      <c r="Q745" s="2729" t="s">
        <v>294</v>
      </c>
      <c r="R745" s="2724" t="s">
        <v>294</v>
      </c>
      <c r="S745" s="2724" t="s">
        <v>294</v>
      </c>
      <c r="T745" s="10968" t="s">
        <v>5744</v>
      </c>
      <c r="U745" s="10969"/>
      <c r="V745" s="10970"/>
      <c r="W745" s="2740" t="s">
        <v>294</v>
      </c>
      <c r="X745" s="2740" t="s">
        <v>294</v>
      </c>
      <c r="Y745" s="2740" t="s">
        <v>294</v>
      </c>
      <c r="Z745" s="2740" t="s">
        <v>294</v>
      </c>
      <c r="AA745" s="2742" t="s">
        <v>294</v>
      </c>
      <c r="AB745" s="2742"/>
      <c r="AC745" s="2731"/>
      <c r="AD745" s="2730" t="s">
        <v>294</v>
      </c>
      <c r="AE745" s="2725" t="s">
        <v>294</v>
      </c>
      <c r="AF745" s="2725" t="s">
        <v>294</v>
      </c>
      <c r="AG745" s="2724"/>
    </row>
    <row r="746" spans="2:33" ht="15.75" customHeight="1">
      <c r="B746" s="2729"/>
      <c r="C746" s="2729"/>
      <c r="D746" s="2729"/>
      <c r="E746" s="2729"/>
      <c r="F746" s="2729"/>
      <c r="G746" s="2729"/>
      <c r="H746" s="2729"/>
      <c r="I746" s="2729"/>
      <c r="J746" s="2729"/>
      <c r="K746" s="2729"/>
      <c r="L746" s="2729"/>
      <c r="M746" s="2729"/>
      <c r="N746" s="2729"/>
      <c r="O746" s="2729"/>
      <c r="P746" s="2729" t="s">
        <v>294</v>
      </c>
      <c r="Q746" s="2729" t="s">
        <v>294</v>
      </c>
      <c r="R746" s="2724" t="s">
        <v>294</v>
      </c>
      <c r="S746" s="2724" t="s">
        <v>294</v>
      </c>
      <c r="T746" s="10971" t="s">
        <v>5745</v>
      </c>
      <c r="U746" s="10972"/>
      <c r="V746" s="2739" t="s">
        <v>5743</v>
      </c>
      <c r="W746" s="2741"/>
      <c r="X746" s="2740" t="s">
        <v>294</v>
      </c>
      <c r="Y746" s="2740" t="s">
        <v>294</v>
      </c>
      <c r="Z746" s="2740" t="s">
        <v>294</v>
      </c>
      <c r="AA746" s="2742" t="s">
        <v>294</v>
      </c>
      <c r="AB746" s="2742"/>
      <c r="AC746" s="2731"/>
      <c r="AD746" s="2730" t="s">
        <v>294</v>
      </c>
      <c r="AE746" s="2725" t="s">
        <v>294</v>
      </c>
      <c r="AF746" s="2725" t="s">
        <v>294</v>
      </c>
      <c r="AG746" s="2724"/>
    </row>
    <row r="747" spans="2:33" ht="15.75" customHeight="1">
      <c r="B747" s="2729"/>
      <c r="C747" s="2729"/>
      <c r="D747" s="2729"/>
      <c r="E747" s="2729"/>
      <c r="F747" s="2729"/>
      <c r="G747" s="2729"/>
      <c r="H747" s="2729"/>
      <c r="I747" s="2729"/>
      <c r="J747" s="2729"/>
      <c r="K747" s="2729"/>
      <c r="L747" s="2729"/>
      <c r="M747" s="2729"/>
      <c r="N747" s="2729"/>
      <c r="O747" s="2729"/>
      <c r="P747" s="2729" t="s">
        <v>294</v>
      </c>
      <c r="Q747" s="2729" t="s">
        <v>294</v>
      </c>
      <c r="R747" s="2724" t="s">
        <v>294</v>
      </c>
      <c r="S747" s="2724" t="s">
        <v>294</v>
      </c>
      <c r="T747" s="10960" t="s">
        <v>5746</v>
      </c>
      <c r="U747" s="10961"/>
      <c r="V747" s="2736">
        <f>+SUM(Y714:Y715)+SUM(Y717:Y723)+SUM(Y728:Y730)</f>
        <v>22222.2808</v>
      </c>
      <c r="W747" s="2741"/>
      <c r="X747" s="2740" t="s">
        <v>294</v>
      </c>
      <c r="Y747" s="2740" t="s">
        <v>294</v>
      </c>
      <c r="Z747" s="2740" t="s">
        <v>294</v>
      </c>
      <c r="AA747" s="2742" t="s">
        <v>294</v>
      </c>
      <c r="AB747" s="2742"/>
      <c r="AC747" s="2731"/>
      <c r="AD747" s="2730" t="s">
        <v>294</v>
      </c>
      <c r="AE747" s="2725" t="s">
        <v>294</v>
      </c>
      <c r="AF747" s="2725" t="s">
        <v>294</v>
      </c>
      <c r="AG747" s="2724"/>
    </row>
    <row r="748" spans="2:33" ht="15.75" customHeight="1">
      <c r="B748" s="2729"/>
      <c r="C748" s="2729"/>
      <c r="D748" s="2729"/>
      <c r="E748" s="2729"/>
      <c r="F748" s="2729"/>
      <c r="G748" s="2729"/>
      <c r="H748" s="2729"/>
      <c r="I748" s="2729"/>
      <c r="J748" s="2729"/>
      <c r="K748" s="2729"/>
      <c r="L748" s="2729"/>
      <c r="M748" s="2729"/>
      <c r="N748" s="2729"/>
      <c r="O748" s="2729"/>
      <c r="P748" s="2729" t="s">
        <v>294</v>
      </c>
      <c r="Q748" s="2729" t="s">
        <v>294</v>
      </c>
      <c r="R748" s="2724" t="s">
        <v>294</v>
      </c>
      <c r="S748" s="2724" t="s">
        <v>294</v>
      </c>
      <c r="T748" s="10960" t="s">
        <v>5747</v>
      </c>
      <c r="U748" s="10961"/>
      <c r="V748" s="2739" t="s">
        <v>5743</v>
      </c>
      <c r="W748" s="2741"/>
      <c r="X748" s="2740" t="s">
        <v>294</v>
      </c>
      <c r="Y748" s="2740" t="s">
        <v>294</v>
      </c>
      <c r="Z748" s="2740" t="s">
        <v>294</v>
      </c>
      <c r="AA748" s="2742" t="s">
        <v>294</v>
      </c>
      <c r="AB748" s="2731"/>
      <c r="AC748" s="2731"/>
      <c r="AD748" s="2730" t="s">
        <v>294</v>
      </c>
      <c r="AE748" s="2725" t="s">
        <v>294</v>
      </c>
      <c r="AF748" s="2725" t="s">
        <v>294</v>
      </c>
      <c r="AG748" s="2724"/>
    </row>
    <row r="749" spans="2:33" ht="15.75" customHeight="1">
      <c r="B749" s="2729"/>
      <c r="C749" s="2729"/>
      <c r="D749" s="2729"/>
      <c r="E749" s="2729"/>
      <c r="F749" s="2729"/>
      <c r="G749" s="2729"/>
      <c r="H749" s="2729"/>
      <c r="I749" s="2729"/>
      <c r="J749" s="2729"/>
      <c r="K749" s="2729"/>
      <c r="L749" s="2729"/>
      <c r="M749" s="2729"/>
      <c r="N749" s="2729"/>
      <c r="O749" s="2729"/>
      <c r="P749" s="2729" t="s">
        <v>294</v>
      </c>
      <c r="Q749" s="2729" t="s">
        <v>294</v>
      </c>
      <c r="R749" s="2724" t="s">
        <v>294</v>
      </c>
      <c r="S749" s="2724" t="s">
        <v>294</v>
      </c>
      <c r="T749" s="10960" t="s">
        <v>5748</v>
      </c>
      <c r="U749" s="10961"/>
      <c r="V749" s="2739" t="s">
        <v>5743</v>
      </c>
      <c r="W749" s="2741"/>
      <c r="X749" s="2740" t="s">
        <v>294</v>
      </c>
      <c r="Y749" s="2740" t="s">
        <v>294</v>
      </c>
      <c r="Z749" s="2724"/>
      <c r="AA749" s="2724"/>
      <c r="AB749" s="2727"/>
      <c r="AC749" s="2727"/>
      <c r="AD749" s="2730" t="s">
        <v>294</v>
      </c>
      <c r="AE749" s="2725" t="s">
        <v>294</v>
      </c>
      <c r="AF749" s="2725" t="s">
        <v>294</v>
      </c>
      <c r="AG749" s="2724"/>
    </row>
    <row r="750" spans="2:33" ht="15.75" customHeight="1">
      <c r="B750" s="2729"/>
      <c r="C750" s="2729"/>
      <c r="D750" s="2729"/>
      <c r="E750" s="2729"/>
      <c r="F750" s="2729"/>
      <c r="G750" s="2729"/>
      <c r="H750" s="2729"/>
      <c r="I750" s="2729"/>
      <c r="J750" s="2729"/>
      <c r="K750" s="2729"/>
      <c r="L750" s="2729"/>
      <c r="M750" s="2729"/>
      <c r="N750" s="2729"/>
      <c r="O750" s="2729"/>
      <c r="P750" s="2729" t="s">
        <v>294</v>
      </c>
      <c r="Q750" s="2729" t="s">
        <v>294</v>
      </c>
      <c r="R750" s="2724" t="s">
        <v>294</v>
      </c>
      <c r="S750" s="2724" t="s">
        <v>294</v>
      </c>
      <c r="T750" s="10960" t="s">
        <v>5749</v>
      </c>
      <c r="U750" s="10961"/>
      <c r="V750" s="2739" t="s">
        <v>5743</v>
      </c>
      <c r="W750" s="2732"/>
      <c r="X750" s="2728" t="s">
        <v>294</v>
      </c>
      <c r="Y750" s="2738" t="s">
        <v>294</v>
      </c>
      <c r="Z750" s="2738" t="s">
        <v>294</v>
      </c>
      <c r="AA750" s="2738" t="s">
        <v>294</v>
      </c>
      <c r="AB750" s="2738"/>
      <c r="AC750" s="2738"/>
      <c r="AD750" s="2730" t="s">
        <v>294</v>
      </c>
      <c r="AE750" s="2725" t="s">
        <v>294</v>
      </c>
      <c r="AF750" s="2725" t="s">
        <v>294</v>
      </c>
      <c r="AG750" s="2724"/>
    </row>
    <row r="751" spans="2:33" ht="15.75" customHeight="1">
      <c r="B751" s="2729"/>
      <c r="C751" s="2729"/>
      <c r="D751" s="2729"/>
      <c r="E751" s="2729"/>
      <c r="F751" s="2729"/>
      <c r="G751" s="2729"/>
      <c r="H751" s="2729"/>
      <c r="I751" s="2729"/>
      <c r="J751" s="2729"/>
      <c r="K751" s="2729"/>
      <c r="L751" s="2729"/>
      <c r="M751" s="2729"/>
      <c r="N751" s="2729"/>
      <c r="O751" s="2729"/>
      <c r="P751" s="2729" t="s">
        <v>294</v>
      </c>
      <c r="Q751" s="2729" t="s">
        <v>294</v>
      </c>
      <c r="R751" s="2724" t="s">
        <v>294</v>
      </c>
      <c r="S751" s="2724" t="s">
        <v>294</v>
      </c>
      <c r="T751" s="10960" t="s">
        <v>5750</v>
      </c>
      <c r="U751" s="10961"/>
      <c r="V751" s="2739" t="s">
        <v>5743</v>
      </c>
      <c r="W751" s="2732"/>
      <c r="X751" s="2728" t="s">
        <v>294</v>
      </c>
      <c r="Y751" s="2738" t="s">
        <v>294</v>
      </c>
      <c r="Z751" s="2728" t="s">
        <v>294</v>
      </c>
      <c r="AA751" s="2737" t="s">
        <v>294</v>
      </c>
      <c r="AB751" s="2737"/>
      <c r="AC751" s="2737"/>
      <c r="AD751" s="2730" t="s">
        <v>294</v>
      </c>
      <c r="AE751" s="2725" t="s">
        <v>294</v>
      </c>
      <c r="AF751" s="2725" t="s">
        <v>294</v>
      </c>
      <c r="AG751" s="2724"/>
    </row>
    <row r="752" spans="2:33" ht="15.75" customHeight="1">
      <c r="B752" s="2729"/>
      <c r="C752" s="2729"/>
      <c r="D752" s="2729"/>
      <c r="E752" s="2729"/>
      <c r="F752" s="2729"/>
      <c r="G752" s="2729"/>
      <c r="H752" s="2729"/>
      <c r="I752" s="2729"/>
      <c r="J752" s="2729"/>
      <c r="K752" s="2729"/>
      <c r="L752" s="2729"/>
      <c r="M752" s="2729"/>
      <c r="N752" s="2729"/>
      <c r="O752" s="2729"/>
      <c r="P752" s="2729" t="s">
        <v>294</v>
      </c>
      <c r="Q752" s="2729" t="s">
        <v>294</v>
      </c>
      <c r="R752" s="2724" t="s">
        <v>294</v>
      </c>
      <c r="S752" s="2724" t="s">
        <v>294</v>
      </c>
      <c r="T752" s="10960" t="s">
        <v>5751</v>
      </c>
      <c r="U752" s="10961"/>
      <c r="V752" s="2736">
        <f>+Y716+SUM(Y724:Y727)+SUM(Y731:Y735)</f>
        <v>128550.61001428572</v>
      </c>
      <c r="W752" s="2732"/>
      <c r="X752" s="2728" t="s">
        <v>294</v>
      </c>
      <c r="Y752" s="2735" t="s">
        <v>294</v>
      </c>
      <c r="Z752" s="2727" t="s">
        <v>294</v>
      </c>
      <c r="AA752" s="2731" t="s">
        <v>294</v>
      </c>
      <c r="AB752" s="2731"/>
      <c r="AC752" s="2731"/>
      <c r="AD752" s="2730" t="s">
        <v>294</v>
      </c>
      <c r="AE752" s="2725" t="s">
        <v>294</v>
      </c>
      <c r="AF752" s="2725" t="s">
        <v>294</v>
      </c>
      <c r="AG752" s="2724"/>
    </row>
    <row r="753" spans="2:33" ht="15.75" customHeight="1">
      <c r="B753" s="2729"/>
      <c r="C753" s="2729"/>
      <c r="D753" s="2729"/>
      <c r="E753" s="2729"/>
      <c r="F753" s="2729"/>
      <c r="G753" s="2729"/>
      <c r="H753" s="2729"/>
      <c r="I753" s="2729"/>
      <c r="J753" s="2729"/>
      <c r="K753" s="2729"/>
      <c r="L753" s="2729"/>
      <c r="M753" s="2729"/>
      <c r="N753" s="2729"/>
      <c r="O753" s="2729"/>
      <c r="P753" s="2729" t="s">
        <v>294</v>
      </c>
      <c r="Q753" s="2729" t="s">
        <v>294</v>
      </c>
      <c r="R753" s="2724" t="s">
        <v>294</v>
      </c>
      <c r="S753" s="2724" t="s">
        <v>294</v>
      </c>
      <c r="T753" s="10960" t="s">
        <v>5752</v>
      </c>
      <c r="U753" s="10961"/>
      <c r="V753" s="2734" t="s">
        <v>5743</v>
      </c>
      <c r="W753" s="2732"/>
      <c r="X753" s="2728" t="s">
        <v>294</v>
      </c>
      <c r="Y753" s="2727" t="s">
        <v>294</v>
      </c>
      <c r="Z753" s="2728" t="s">
        <v>294</v>
      </c>
      <c r="AA753" s="2731" t="s">
        <v>294</v>
      </c>
      <c r="AB753" s="2731"/>
      <c r="AC753" s="2731"/>
      <c r="AD753" s="2730" t="s">
        <v>294</v>
      </c>
      <c r="AE753" s="2725" t="s">
        <v>294</v>
      </c>
      <c r="AF753" s="2725" t="s">
        <v>294</v>
      </c>
      <c r="AG753" s="2724"/>
    </row>
    <row r="754" spans="2:33" ht="15.75" customHeight="1">
      <c r="B754" s="2729"/>
      <c r="C754" s="2729"/>
      <c r="D754" s="2729"/>
      <c r="E754" s="2729"/>
      <c r="F754" s="2729"/>
      <c r="G754" s="2729"/>
      <c r="H754" s="2729"/>
      <c r="I754" s="2729"/>
      <c r="J754" s="2729"/>
      <c r="K754" s="2729"/>
      <c r="L754" s="2729"/>
      <c r="M754" s="2729"/>
      <c r="N754" s="2729"/>
      <c r="O754" s="2729"/>
      <c r="P754" s="2729" t="s">
        <v>294</v>
      </c>
      <c r="Q754" s="2729" t="s">
        <v>294</v>
      </c>
      <c r="R754" s="2724" t="s">
        <v>294</v>
      </c>
      <c r="S754" s="2724" t="s">
        <v>294</v>
      </c>
      <c r="T754" s="10962" t="s">
        <v>67</v>
      </c>
      <c r="U754" s="10963"/>
      <c r="V754" s="2733">
        <f>SUM(V747:V753)</f>
        <v>150772.89081428573</v>
      </c>
      <c r="W754" s="2732"/>
      <c r="X754" s="2728" t="s">
        <v>294</v>
      </c>
      <c r="Y754" s="2728" t="s">
        <v>294</v>
      </c>
      <c r="Z754" s="2728" t="s">
        <v>294</v>
      </c>
      <c r="AA754" s="2731" t="s">
        <v>294</v>
      </c>
      <c r="AB754" s="2731"/>
      <c r="AC754" s="2731"/>
      <c r="AD754" s="2730" t="s">
        <v>294</v>
      </c>
      <c r="AE754" s="2725" t="s">
        <v>294</v>
      </c>
      <c r="AF754" s="2725" t="s">
        <v>294</v>
      </c>
      <c r="AG754" s="2724"/>
    </row>
    <row r="755" spans="2:33" ht="15.75" customHeight="1">
      <c r="B755" s="2729"/>
      <c r="C755" s="2729"/>
      <c r="D755" s="2729"/>
      <c r="E755" s="2729"/>
      <c r="F755" s="2729"/>
      <c r="G755" s="2729"/>
      <c r="H755" s="2729"/>
      <c r="I755" s="2729"/>
      <c r="J755" s="2729"/>
      <c r="K755" s="2729"/>
      <c r="L755" s="2729"/>
      <c r="M755" s="2729"/>
      <c r="N755" s="2729"/>
      <c r="O755" s="2729"/>
      <c r="P755" s="2729" t="s">
        <v>294</v>
      </c>
      <c r="Q755" s="2729" t="s">
        <v>294</v>
      </c>
      <c r="R755" s="2724" t="s">
        <v>294</v>
      </c>
      <c r="S755" s="2724" t="s">
        <v>294</v>
      </c>
      <c r="T755" s="2728" t="s">
        <v>294</v>
      </c>
      <c r="U755" s="2728" t="s">
        <v>294</v>
      </c>
      <c r="V755" s="2728" t="s">
        <v>294</v>
      </c>
      <c r="W755" s="2728" t="s">
        <v>294</v>
      </c>
      <c r="X755" s="2728" t="s">
        <v>294</v>
      </c>
      <c r="Y755" s="2728" t="s">
        <v>294</v>
      </c>
      <c r="Z755" s="2728" t="s">
        <v>294</v>
      </c>
      <c r="AA755" s="2731" t="s">
        <v>294</v>
      </c>
      <c r="AB755" s="2731"/>
      <c r="AC755" s="2731"/>
      <c r="AD755" s="2730" t="s">
        <v>294</v>
      </c>
      <c r="AE755" s="2725" t="s">
        <v>294</v>
      </c>
      <c r="AF755" s="2725" t="s">
        <v>294</v>
      </c>
      <c r="AG755" s="2724"/>
    </row>
    <row r="756" spans="2:33" ht="15.75" customHeight="1">
      <c r="B756" s="2729"/>
      <c r="C756" s="2729"/>
      <c r="D756" s="2729"/>
      <c r="E756" s="2729"/>
      <c r="F756" s="2729"/>
      <c r="G756" s="2729"/>
      <c r="H756" s="2729"/>
      <c r="I756" s="2729"/>
      <c r="J756" s="2729"/>
      <c r="K756" s="2729"/>
      <c r="L756" s="2729"/>
      <c r="M756" s="2729"/>
      <c r="N756" s="2729"/>
      <c r="O756" s="2729"/>
      <c r="P756" s="2729" t="s">
        <v>294</v>
      </c>
      <c r="Q756" s="2729" t="s">
        <v>294</v>
      </c>
      <c r="R756" s="2724" t="s">
        <v>294</v>
      </c>
      <c r="S756" s="2724" t="s">
        <v>294</v>
      </c>
      <c r="T756" s="2728" t="s">
        <v>294</v>
      </c>
      <c r="U756" s="2728" t="s">
        <v>294</v>
      </c>
      <c r="V756" s="2728" t="s">
        <v>294</v>
      </c>
      <c r="W756" s="2728" t="s">
        <v>294</v>
      </c>
      <c r="X756" s="2728" t="s">
        <v>294</v>
      </c>
      <c r="Y756" s="2728" t="s">
        <v>294</v>
      </c>
      <c r="Z756" s="2727" t="s">
        <v>294</v>
      </c>
      <c r="AA756" s="2727" t="s">
        <v>294</v>
      </c>
      <c r="AB756" s="2727"/>
      <c r="AC756" s="2727"/>
      <c r="AD756" s="2726" t="s">
        <v>294</v>
      </c>
      <c r="AE756" s="2725" t="s">
        <v>294</v>
      </c>
      <c r="AF756" s="2725" t="s">
        <v>294</v>
      </c>
      <c r="AG756" s="2724"/>
    </row>
  </sheetData>
  <mergeCells count="1664">
    <mergeCell ref="B7:B8"/>
    <mergeCell ref="A9:A34"/>
    <mergeCell ref="B9:B13"/>
    <mergeCell ref="C9:C13"/>
    <mergeCell ref="D9:D13"/>
    <mergeCell ref="E9:E13"/>
    <mergeCell ref="I7:I8"/>
    <mergeCell ref="F14:F19"/>
    <mergeCell ref="G14:G19"/>
    <mergeCell ref="M20:M24"/>
    <mergeCell ref="N20:N24"/>
    <mergeCell ref="O14:O19"/>
    <mergeCell ref="J14:J19"/>
    <mergeCell ref="K14:K19"/>
    <mergeCell ref="L14:L19"/>
    <mergeCell ref="M14:M19"/>
    <mergeCell ref="O20:O24"/>
    <mergeCell ref="L9:L13"/>
    <mergeCell ref="M9:M13"/>
    <mergeCell ref="N9:N13"/>
    <mergeCell ref="O9:O13"/>
    <mergeCell ref="G20:G24"/>
    <mergeCell ref="H20:H24"/>
    <mergeCell ref="G25:G29"/>
    <mergeCell ref="F9:F13"/>
    <mergeCell ref="G9:G13"/>
    <mergeCell ref="B30:B34"/>
    <mergeCell ref="C30:C34"/>
    <mergeCell ref="D30:D34"/>
    <mergeCell ref="E30:E34"/>
    <mergeCell ref="F30:F34"/>
    <mergeCell ref="G30:G34"/>
    <mergeCell ref="AG7:AG8"/>
    <mergeCell ref="AG14:AG19"/>
    <mergeCell ref="P14:P19"/>
    <mergeCell ref="Q14:Q19"/>
    <mergeCell ref="Q9:Q13"/>
    <mergeCell ref="P20:P24"/>
    <mergeCell ref="Q20:Q24"/>
    <mergeCell ref="H7:H8"/>
    <mergeCell ref="P9:P13"/>
    <mergeCell ref="J7:J8"/>
    <mergeCell ref="K7:K8"/>
    <mergeCell ref="L7:N7"/>
    <mergeCell ref="O7:O8"/>
    <mergeCell ref="P7:P8"/>
    <mergeCell ref="D6:H6"/>
    <mergeCell ref="I6:Q6"/>
    <mergeCell ref="R6:AG6"/>
    <mergeCell ref="R7:X7"/>
    <mergeCell ref="Y7:AC7"/>
    <mergeCell ref="AD7:AF7"/>
    <mergeCell ref="A1:AG1"/>
    <mergeCell ref="A2:AG2"/>
    <mergeCell ref="A3:AG3"/>
    <mergeCell ref="A4:AG4"/>
    <mergeCell ref="A6:A8"/>
    <mergeCell ref="B6:C6"/>
    <mergeCell ref="B20:B24"/>
    <mergeCell ref="C20:C24"/>
    <mergeCell ref="D20:D24"/>
    <mergeCell ref="E20:E24"/>
    <mergeCell ref="F20:F24"/>
    <mergeCell ref="H14:H19"/>
    <mergeCell ref="B14:B19"/>
    <mergeCell ref="C14:C19"/>
    <mergeCell ref="D14:D19"/>
    <mergeCell ref="E14:E19"/>
    <mergeCell ref="Q7:Q8"/>
    <mergeCell ref="H9:H13"/>
    <mergeCell ref="I9:I13"/>
    <mergeCell ref="J9:J13"/>
    <mergeCell ref="K9:K13"/>
    <mergeCell ref="I14:I19"/>
    <mergeCell ref="I20:I24"/>
    <mergeCell ref="J20:J24"/>
    <mergeCell ref="K20:K24"/>
    <mergeCell ref="L20:L24"/>
    <mergeCell ref="N14:N19"/>
    <mergeCell ref="C7:C8"/>
    <mergeCell ref="D7:D8"/>
    <mergeCell ref="E7:E8"/>
    <mergeCell ref="F7:F8"/>
    <mergeCell ref="G7:G8"/>
    <mergeCell ref="H30:H34"/>
    <mergeCell ref="I30:I34"/>
    <mergeCell ref="J30:J34"/>
    <mergeCell ref="K30:K34"/>
    <mergeCell ref="L30:L34"/>
    <mergeCell ref="M30:M34"/>
    <mergeCell ref="N30:N34"/>
    <mergeCell ref="O30:O34"/>
    <mergeCell ref="P30:P34"/>
    <mergeCell ref="Q30:Q34"/>
    <mergeCell ref="B25:B29"/>
    <mergeCell ref="C25:C29"/>
    <mergeCell ref="D25:D29"/>
    <mergeCell ref="E25:E29"/>
    <mergeCell ref="F25:F29"/>
    <mergeCell ref="H25:H29"/>
    <mergeCell ref="I25:I29"/>
    <mergeCell ref="J25:J29"/>
    <mergeCell ref="K25:K29"/>
    <mergeCell ref="L25:L29"/>
    <mergeCell ref="M25:M29"/>
    <mergeCell ref="N25:N29"/>
    <mergeCell ref="O25:O29"/>
    <mergeCell ref="P25:P29"/>
    <mergeCell ref="Q25:Q29"/>
    <mergeCell ref="B35:B39"/>
    <mergeCell ref="C35:C39"/>
    <mergeCell ref="D35:D39"/>
    <mergeCell ref="E35:E39"/>
    <mergeCell ref="F35:F39"/>
    <mergeCell ref="G35:G39"/>
    <mergeCell ref="H35:H39"/>
    <mergeCell ref="I35:I39"/>
    <mergeCell ref="J35:J39"/>
    <mergeCell ref="K35:K39"/>
    <mergeCell ref="L35:L39"/>
    <mergeCell ref="M35:M39"/>
    <mergeCell ref="N35:N39"/>
    <mergeCell ref="O35:O39"/>
    <mergeCell ref="P35:P39"/>
    <mergeCell ref="Q35:Q39"/>
    <mergeCell ref="B40:B44"/>
    <mergeCell ref="C40:C44"/>
    <mergeCell ref="D40:D44"/>
    <mergeCell ref="E40:E44"/>
    <mergeCell ref="F40:F44"/>
    <mergeCell ref="G40:G44"/>
    <mergeCell ref="H40:H44"/>
    <mergeCell ref="I40:I44"/>
    <mergeCell ref="J40:J44"/>
    <mergeCell ref="K40:K44"/>
    <mergeCell ref="L40:L44"/>
    <mergeCell ref="M40:M44"/>
    <mergeCell ref="N40:N44"/>
    <mergeCell ref="O40:O44"/>
    <mergeCell ref="P40:P44"/>
    <mergeCell ref="Q40:Q44"/>
    <mergeCell ref="B45:B49"/>
    <mergeCell ref="C45:C49"/>
    <mergeCell ref="D45:D49"/>
    <mergeCell ref="E45:E49"/>
    <mergeCell ref="F45:F49"/>
    <mergeCell ref="G45:G49"/>
    <mergeCell ref="H45:H49"/>
    <mergeCell ref="I45:I49"/>
    <mergeCell ref="J45:J49"/>
    <mergeCell ref="K45:K49"/>
    <mergeCell ref="L45:L49"/>
    <mergeCell ref="M45:M49"/>
    <mergeCell ref="N45:N49"/>
    <mergeCell ref="O45:O49"/>
    <mergeCell ref="P45:P49"/>
    <mergeCell ref="Q45:Q49"/>
    <mergeCell ref="B50:B54"/>
    <mergeCell ref="C50:C54"/>
    <mergeCell ref="D50:D54"/>
    <mergeCell ref="E50:E54"/>
    <mergeCell ref="F50:F54"/>
    <mergeCell ref="G50:G54"/>
    <mergeCell ref="H50:H54"/>
    <mergeCell ref="I50:I54"/>
    <mergeCell ref="J50:J54"/>
    <mergeCell ref="K50:K54"/>
    <mergeCell ref="L50:L54"/>
    <mergeCell ref="M50:M54"/>
    <mergeCell ref="N50:N54"/>
    <mergeCell ref="O50:O54"/>
    <mergeCell ref="P50:P54"/>
    <mergeCell ref="Q50:Q54"/>
    <mergeCell ref="B55:B59"/>
    <mergeCell ref="C55:C59"/>
    <mergeCell ref="D55:D59"/>
    <mergeCell ref="E55:E59"/>
    <mergeCell ref="F55:F59"/>
    <mergeCell ref="G55:G59"/>
    <mergeCell ref="H55:H59"/>
    <mergeCell ref="I55:I59"/>
    <mergeCell ref="J55:J59"/>
    <mergeCell ref="K55:K59"/>
    <mergeCell ref="L55:L59"/>
    <mergeCell ref="M55:M59"/>
    <mergeCell ref="O55:O59"/>
    <mergeCell ref="P55:P59"/>
    <mergeCell ref="Q55:Q59"/>
    <mergeCell ref="B60:B64"/>
    <mergeCell ref="C60:C64"/>
    <mergeCell ref="D60:D64"/>
    <mergeCell ref="E60:E64"/>
    <mergeCell ref="F60:F64"/>
    <mergeCell ref="G60:G64"/>
    <mergeCell ref="H60:H64"/>
    <mergeCell ref="AG121:AG127"/>
    <mergeCell ref="K73:K76"/>
    <mergeCell ref="L73:L76"/>
    <mergeCell ref="M73:M76"/>
    <mergeCell ref="N73:N76"/>
    <mergeCell ref="O73:O76"/>
    <mergeCell ref="Q73:Q76"/>
    <mergeCell ref="B77:B81"/>
    <mergeCell ref="C77:C81"/>
    <mergeCell ref="D77:D81"/>
    <mergeCell ref="E77:E81"/>
    <mergeCell ref="F77:F81"/>
    <mergeCell ref="G77:G81"/>
    <mergeCell ref="H77:H81"/>
    <mergeCell ref="I77:I81"/>
    <mergeCell ref="J77:J81"/>
    <mergeCell ref="I60:I64"/>
    <mergeCell ref="J60:J64"/>
    <mergeCell ref="K60:K64"/>
    <mergeCell ref="L60:L64"/>
    <mergeCell ref="M60:M64"/>
    <mergeCell ref="N60:N64"/>
    <mergeCell ref="O60:O64"/>
    <mergeCell ref="P60:P64"/>
    <mergeCell ref="Q60:Q64"/>
    <mergeCell ref="R67:Y67"/>
    <mergeCell ref="AD67:AG67"/>
    <mergeCell ref="AG68:AG72"/>
    <mergeCell ref="AG87:AG91"/>
    <mergeCell ref="F82:F86"/>
    <mergeCell ref="H82:H86"/>
    <mergeCell ref="I82:I86"/>
    <mergeCell ref="A68:A388"/>
    <mergeCell ref="B68:B72"/>
    <mergeCell ref="C68:C72"/>
    <mergeCell ref="D68:D72"/>
    <mergeCell ref="E68:E72"/>
    <mergeCell ref="Q68:Q72"/>
    <mergeCell ref="F68:F72"/>
    <mergeCell ref="G68:G72"/>
    <mergeCell ref="H68:H72"/>
    <mergeCell ref="I68:I72"/>
    <mergeCell ref="J68:J72"/>
    <mergeCell ref="K68:K72"/>
    <mergeCell ref="J73:J76"/>
    <mergeCell ref="L68:L72"/>
    <mergeCell ref="M68:M72"/>
    <mergeCell ref="N68:N72"/>
    <mergeCell ref="O68:O72"/>
    <mergeCell ref="P68:P72"/>
    <mergeCell ref="P73:P76"/>
    <mergeCell ref="B73:B76"/>
    <mergeCell ref="C73:C76"/>
    <mergeCell ref="D73:D76"/>
    <mergeCell ref="E73:E76"/>
    <mergeCell ref="F73:F76"/>
    <mergeCell ref="G73:G76"/>
    <mergeCell ref="H73:H76"/>
    <mergeCell ref="I73:I76"/>
    <mergeCell ref="Q87:Q91"/>
    <mergeCell ref="B82:B86"/>
    <mergeCell ref="C82:C86"/>
    <mergeCell ref="D82:D86"/>
    <mergeCell ref="E82:E86"/>
    <mergeCell ref="J82:J86"/>
    <mergeCell ref="K82:K86"/>
    <mergeCell ref="L82:L86"/>
    <mergeCell ref="K77:K81"/>
    <mergeCell ref="L77:L81"/>
    <mergeCell ref="B87:B91"/>
    <mergeCell ref="C87:C91"/>
    <mergeCell ref="D87:D91"/>
    <mergeCell ref="E87:E91"/>
    <mergeCell ref="F87:F91"/>
    <mergeCell ref="G82:G86"/>
    <mergeCell ref="G87:G91"/>
    <mergeCell ref="H87:H91"/>
    <mergeCell ref="I87:I91"/>
    <mergeCell ref="J87:J91"/>
    <mergeCell ref="K87:K91"/>
    <mergeCell ref="M77:M81"/>
    <mergeCell ref="N77:N81"/>
    <mergeCell ref="AG77:AG81"/>
    <mergeCell ref="M191:M195"/>
    <mergeCell ref="H92:H332"/>
    <mergeCell ref="I92:I332"/>
    <mergeCell ref="J92:J332"/>
    <mergeCell ref="K92:K304"/>
    <mergeCell ref="L92:L120"/>
    <mergeCell ref="L87:L91"/>
    <mergeCell ref="M82:M86"/>
    <mergeCell ref="N82:N86"/>
    <mergeCell ref="O82:O86"/>
    <mergeCell ref="P82:P86"/>
    <mergeCell ref="Q82:Q86"/>
    <mergeCell ref="M87:M91"/>
    <mergeCell ref="N87:N91"/>
    <mergeCell ref="O87:O91"/>
    <mergeCell ref="P87:P91"/>
    <mergeCell ref="Q198:Q201"/>
    <mergeCell ref="N191:N195"/>
    <mergeCell ref="P184:P185"/>
    <mergeCell ref="Q184:Q185"/>
    <mergeCell ref="L186:L190"/>
    <mergeCell ref="M186:M190"/>
    <mergeCell ref="N186:N190"/>
    <mergeCell ref="O186:O190"/>
    <mergeCell ref="P186:P190"/>
    <mergeCell ref="Q186:Q190"/>
    <mergeCell ref="N92:N120"/>
    <mergeCell ref="O92:O120"/>
    <mergeCell ref="P92:P120"/>
    <mergeCell ref="L207:L215"/>
    <mergeCell ref="M207:M215"/>
    <mergeCell ref="O177:O181"/>
    <mergeCell ref="P177:P181"/>
    <mergeCell ref="Q177:Q181"/>
    <mergeCell ref="O182:O183"/>
    <mergeCell ref="P182:P183"/>
    <mergeCell ref="Q182:Q183"/>
    <mergeCell ref="N207:N215"/>
    <mergeCell ref="O191:O195"/>
    <mergeCell ref="N184:N185"/>
    <mergeCell ref="O184:O185"/>
    <mergeCell ref="L121:L171"/>
    <mergeCell ref="M121:M171"/>
    <mergeCell ref="N121:N171"/>
    <mergeCell ref="O121:O171"/>
    <mergeCell ref="P121:P171"/>
    <mergeCell ref="O207:O215"/>
    <mergeCell ref="P207:P215"/>
    <mergeCell ref="Q207:Q215"/>
    <mergeCell ref="L182:L183"/>
    <mergeCell ref="M182:M183"/>
    <mergeCell ref="N182:N183"/>
    <mergeCell ref="AG92:AG120"/>
    <mergeCell ref="L198:L201"/>
    <mergeCell ref="M198:M201"/>
    <mergeCell ref="N198:N201"/>
    <mergeCell ref="O198:O201"/>
    <mergeCell ref="P198:P201"/>
    <mergeCell ref="Q121:Q171"/>
    <mergeCell ref="O172:O173"/>
    <mergeCell ref="P172:P173"/>
    <mergeCell ref="Q172:Q173"/>
    <mergeCell ref="O175:O176"/>
    <mergeCell ref="P175:P176"/>
    <mergeCell ref="Q175:Q176"/>
    <mergeCell ref="L202:L206"/>
    <mergeCell ref="M202:M206"/>
    <mergeCell ref="N202:N206"/>
    <mergeCell ref="O202:O206"/>
    <mergeCell ref="P202:P206"/>
    <mergeCell ref="Q202:Q206"/>
    <mergeCell ref="P191:P195"/>
    <mergeCell ref="Q191:Q195"/>
    <mergeCell ref="L196:L197"/>
    <mergeCell ref="M196:M197"/>
    <mergeCell ref="N196:N197"/>
    <mergeCell ref="O196:O197"/>
    <mergeCell ref="P196:P197"/>
    <mergeCell ref="Q196:Q197"/>
    <mergeCell ref="M92:M120"/>
    <mergeCell ref="L184:L185"/>
    <mergeCell ref="M184:M185"/>
    <mergeCell ref="L191:L195"/>
    <mergeCell ref="Q92:Q120"/>
    <mergeCell ref="L216:L227"/>
    <mergeCell ref="M216:M227"/>
    <mergeCell ref="N216:N227"/>
    <mergeCell ref="O216:O227"/>
    <mergeCell ref="P216:P227"/>
    <mergeCell ref="Q216:Q227"/>
    <mergeCell ref="L228:L234"/>
    <mergeCell ref="M228:M234"/>
    <mergeCell ref="N228:N234"/>
    <mergeCell ref="O228:O234"/>
    <mergeCell ref="P228:P234"/>
    <mergeCell ref="Q228:Q234"/>
    <mergeCell ref="L235:L255"/>
    <mergeCell ref="M235:M255"/>
    <mergeCell ref="N235:N255"/>
    <mergeCell ref="O235:O255"/>
    <mergeCell ref="P235:P255"/>
    <mergeCell ref="Q235:Q255"/>
    <mergeCell ref="Q305:Q327"/>
    <mergeCell ref="K328:K332"/>
    <mergeCell ref="L328:L332"/>
    <mergeCell ref="M328:M332"/>
    <mergeCell ref="N328:N332"/>
    <mergeCell ref="O328:O332"/>
    <mergeCell ref="P328:P332"/>
    <mergeCell ref="Q328:Q332"/>
    <mergeCell ref="K305:K327"/>
    <mergeCell ref="L305:L327"/>
    <mergeCell ref="L260:L278"/>
    <mergeCell ref="M260:M278"/>
    <mergeCell ref="N260:N278"/>
    <mergeCell ref="O260:O278"/>
    <mergeCell ref="P260:P278"/>
    <mergeCell ref="Q260:Q278"/>
    <mergeCell ref="L279:L287"/>
    <mergeCell ref="M279:M287"/>
    <mergeCell ref="N279:N287"/>
    <mergeCell ref="O279:O287"/>
    <mergeCell ref="P279:P287"/>
    <mergeCell ref="Q279:Q287"/>
    <mergeCell ref="L288:L297"/>
    <mergeCell ref="M288:M297"/>
    <mergeCell ref="N288:N297"/>
    <mergeCell ref="O288:O297"/>
    <mergeCell ref="P288:P297"/>
    <mergeCell ref="Q288:Q297"/>
    <mergeCell ref="Q333:Q337"/>
    <mergeCell ref="B338:B342"/>
    <mergeCell ref="C338:C342"/>
    <mergeCell ref="D338:D342"/>
    <mergeCell ref="E338:E342"/>
    <mergeCell ref="F338:F342"/>
    <mergeCell ref="H338:H342"/>
    <mergeCell ref="I338:I342"/>
    <mergeCell ref="J338:J342"/>
    <mergeCell ref="K338:K342"/>
    <mergeCell ref="L338:L342"/>
    <mergeCell ref="G338:G342"/>
    <mergeCell ref="L298:L304"/>
    <mergeCell ref="M298:M304"/>
    <mergeCell ref="N298:N304"/>
    <mergeCell ref="O298:O304"/>
    <mergeCell ref="P298:P304"/>
    <mergeCell ref="Q298:Q304"/>
    <mergeCell ref="N338:N342"/>
    <mergeCell ref="O338:O342"/>
    <mergeCell ref="P338:P342"/>
    <mergeCell ref="Q338:Q342"/>
    <mergeCell ref="M305:M327"/>
    <mergeCell ref="N305:N327"/>
    <mergeCell ref="O305:O327"/>
    <mergeCell ref="P305:P327"/>
    <mergeCell ref="B92:B332"/>
    <mergeCell ref="C92:C332"/>
    <mergeCell ref="D92:D332"/>
    <mergeCell ref="E92:E332"/>
    <mergeCell ref="F92:F332"/>
    <mergeCell ref="G92:G332"/>
    <mergeCell ref="B333:B337"/>
    <mergeCell ref="C333:C337"/>
    <mergeCell ref="D333:D337"/>
    <mergeCell ref="E333:E337"/>
    <mergeCell ref="F333:F337"/>
    <mergeCell ref="G333:G337"/>
    <mergeCell ref="H333:H337"/>
    <mergeCell ref="I333:I337"/>
    <mergeCell ref="J333:J337"/>
    <mergeCell ref="K333:K337"/>
    <mergeCell ref="L333:L337"/>
    <mergeCell ref="M333:M337"/>
    <mergeCell ref="M338:M342"/>
    <mergeCell ref="N333:N337"/>
    <mergeCell ref="O333:O337"/>
    <mergeCell ref="P333:P337"/>
    <mergeCell ref="N343:N347"/>
    <mergeCell ref="I343:I347"/>
    <mergeCell ref="J343:J347"/>
    <mergeCell ref="K343:K347"/>
    <mergeCell ref="L343:L347"/>
    <mergeCell ref="G343:G347"/>
    <mergeCell ref="Q348:Q352"/>
    <mergeCell ref="B353:B357"/>
    <mergeCell ref="C353:C357"/>
    <mergeCell ref="D353:D357"/>
    <mergeCell ref="E353:E357"/>
    <mergeCell ref="F353:F357"/>
    <mergeCell ref="G353:G357"/>
    <mergeCell ref="H348:H352"/>
    <mergeCell ref="I348:I352"/>
    <mergeCell ref="J348:J352"/>
    <mergeCell ref="N348:N352"/>
    <mergeCell ref="O348:O352"/>
    <mergeCell ref="P348:P352"/>
    <mergeCell ref="H353:H357"/>
    <mergeCell ref="I353:I357"/>
    <mergeCell ref="M343:M347"/>
    <mergeCell ref="Q353:Q357"/>
    <mergeCell ref="B343:B347"/>
    <mergeCell ref="C343:C347"/>
    <mergeCell ref="D343:D347"/>
    <mergeCell ref="E343:E347"/>
    <mergeCell ref="F343:F347"/>
    <mergeCell ref="O343:O347"/>
    <mergeCell ref="P343:P347"/>
    <mergeCell ref="Q343:Q347"/>
    <mergeCell ref="E348:E352"/>
    <mergeCell ref="F348:F352"/>
    <mergeCell ref="B348:B352"/>
    <mergeCell ref="H343:H347"/>
    <mergeCell ref="C348:C352"/>
    <mergeCell ref="D348:D352"/>
    <mergeCell ref="N353:N357"/>
    <mergeCell ref="O353:O357"/>
    <mergeCell ref="P353:P357"/>
    <mergeCell ref="B363:B367"/>
    <mergeCell ref="C363:C367"/>
    <mergeCell ref="D363:D367"/>
    <mergeCell ref="E363:E367"/>
    <mergeCell ref="F363:F367"/>
    <mergeCell ref="L363:L367"/>
    <mergeCell ref="M363:M367"/>
    <mergeCell ref="N358:N362"/>
    <mergeCell ref="N363:N367"/>
    <mergeCell ref="G363:G367"/>
    <mergeCell ref="H358:H362"/>
    <mergeCell ref="I358:I362"/>
    <mergeCell ref="J358:J362"/>
    <mergeCell ref="K358:K362"/>
    <mergeCell ref="L358:L362"/>
    <mergeCell ref="H363:H367"/>
    <mergeCell ref="I363:I367"/>
    <mergeCell ref="J363:J367"/>
    <mergeCell ref="K363:K367"/>
    <mergeCell ref="G358:G362"/>
    <mergeCell ref="M358:M362"/>
    <mergeCell ref="O363:O367"/>
    <mergeCell ref="P363:P367"/>
    <mergeCell ref="G348:G352"/>
    <mergeCell ref="K348:K352"/>
    <mergeCell ref="L348:L352"/>
    <mergeCell ref="M348:M352"/>
    <mergeCell ref="H368:H372"/>
    <mergeCell ref="I368:I372"/>
    <mergeCell ref="J368:J372"/>
    <mergeCell ref="O358:O362"/>
    <mergeCell ref="P358:P362"/>
    <mergeCell ref="Q358:Q362"/>
    <mergeCell ref="J353:J357"/>
    <mergeCell ref="K353:K357"/>
    <mergeCell ref="L353:L357"/>
    <mergeCell ref="M353:M357"/>
    <mergeCell ref="B368:B372"/>
    <mergeCell ref="C368:C372"/>
    <mergeCell ref="D368:D372"/>
    <mergeCell ref="E368:E372"/>
    <mergeCell ref="F368:F372"/>
    <mergeCell ref="G368:G372"/>
    <mergeCell ref="K368:K372"/>
    <mergeCell ref="L368:L372"/>
    <mergeCell ref="M368:M372"/>
    <mergeCell ref="N368:N372"/>
    <mergeCell ref="O368:O372"/>
    <mergeCell ref="P368:P372"/>
    <mergeCell ref="Q368:Q372"/>
    <mergeCell ref="B358:B362"/>
    <mergeCell ref="C358:C362"/>
    <mergeCell ref="D358:D362"/>
    <mergeCell ref="E358:E362"/>
    <mergeCell ref="F358:F362"/>
    <mergeCell ref="B373:B377"/>
    <mergeCell ref="C373:C377"/>
    <mergeCell ref="D373:D377"/>
    <mergeCell ref="E373:E377"/>
    <mergeCell ref="F373:F377"/>
    <mergeCell ref="G373:G377"/>
    <mergeCell ref="H373:H377"/>
    <mergeCell ref="I373:I377"/>
    <mergeCell ref="J373:J377"/>
    <mergeCell ref="Q373:Q377"/>
    <mergeCell ref="K373:K377"/>
    <mergeCell ref="L373:L377"/>
    <mergeCell ref="M373:M377"/>
    <mergeCell ref="B378:B382"/>
    <mergeCell ref="C378:C382"/>
    <mergeCell ref="D378:D382"/>
    <mergeCell ref="E378:E382"/>
    <mergeCell ref="F378:F382"/>
    <mergeCell ref="G378:G382"/>
    <mergeCell ref="H378:H382"/>
    <mergeCell ref="I378:I382"/>
    <mergeCell ref="J378:J382"/>
    <mergeCell ref="K378:K382"/>
    <mergeCell ref="L378:L382"/>
    <mergeCell ref="M378:M382"/>
    <mergeCell ref="N378:N382"/>
    <mergeCell ref="O378:O382"/>
    <mergeCell ref="P378:P382"/>
    <mergeCell ref="Q378:Q382"/>
    <mergeCell ref="N373:N377"/>
    <mergeCell ref="O373:O377"/>
    <mergeCell ref="P373:P377"/>
    <mergeCell ref="H394:H398"/>
    <mergeCell ref="B383:B387"/>
    <mergeCell ref="C383:C387"/>
    <mergeCell ref="D383:D387"/>
    <mergeCell ref="E383:E387"/>
    <mergeCell ref="F383:F387"/>
    <mergeCell ref="G383:G387"/>
    <mergeCell ref="H383:H387"/>
    <mergeCell ref="I383:I387"/>
    <mergeCell ref="J383:J387"/>
    <mergeCell ref="K383:K387"/>
    <mergeCell ref="L383:L387"/>
    <mergeCell ref="M383:M387"/>
    <mergeCell ref="N383:N387"/>
    <mergeCell ref="O383:O387"/>
    <mergeCell ref="P383:P387"/>
    <mergeCell ref="Q383:Q387"/>
    <mergeCell ref="G404:G408"/>
    <mergeCell ref="AD388:AG388"/>
    <mergeCell ref="P399:P403"/>
    <mergeCell ref="Q399:Q403"/>
    <mergeCell ref="B404:B408"/>
    <mergeCell ref="C404:C408"/>
    <mergeCell ref="D404:D408"/>
    <mergeCell ref="E404:E408"/>
    <mergeCell ref="F404:F408"/>
    <mergeCell ref="A389:A448"/>
    <mergeCell ref="B389:B393"/>
    <mergeCell ref="C389:C393"/>
    <mergeCell ref="D389:D393"/>
    <mergeCell ref="E389:E393"/>
    <mergeCell ref="F389:F393"/>
    <mergeCell ref="G389:G393"/>
    <mergeCell ref="H389:H393"/>
    <mergeCell ref="I389:I393"/>
    <mergeCell ref="J389:J393"/>
    <mergeCell ref="K389:K393"/>
    <mergeCell ref="L389:L393"/>
    <mergeCell ref="M389:M393"/>
    <mergeCell ref="N389:N393"/>
    <mergeCell ref="O389:O393"/>
    <mergeCell ref="P389:P393"/>
    <mergeCell ref="Q389:Q393"/>
    <mergeCell ref="B394:B398"/>
    <mergeCell ref="C394:C398"/>
    <mergeCell ref="D394:D398"/>
    <mergeCell ref="E394:E398"/>
    <mergeCell ref="F394:F398"/>
    <mergeCell ref="G394:G398"/>
    <mergeCell ref="G414:G418"/>
    <mergeCell ref="I394:I398"/>
    <mergeCell ref="J394:J398"/>
    <mergeCell ref="K394:K398"/>
    <mergeCell ref="L394:L398"/>
    <mergeCell ref="M394:M398"/>
    <mergeCell ref="N394:N398"/>
    <mergeCell ref="O394:O398"/>
    <mergeCell ref="P394:P398"/>
    <mergeCell ref="Q394:Q398"/>
    <mergeCell ref="B399:B403"/>
    <mergeCell ref="C399:C403"/>
    <mergeCell ref="D399:D403"/>
    <mergeCell ref="E399:E403"/>
    <mergeCell ref="F399:F403"/>
    <mergeCell ref="P414:P418"/>
    <mergeCell ref="G399:G403"/>
    <mergeCell ref="H399:H403"/>
    <mergeCell ref="I399:I403"/>
    <mergeCell ref="J399:J403"/>
    <mergeCell ref="K399:K403"/>
    <mergeCell ref="L399:L403"/>
    <mergeCell ref="M399:M403"/>
    <mergeCell ref="N399:N403"/>
    <mergeCell ref="O399:O403"/>
    <mergeCell ref="P404:P408"/>
    <mergeCell ref="Q404:Q408"/>
    <mergeCell ref="B409:B413"/>
    <mergeCell ref="C409:C413"/>
    <mergeCell ref="D409:D413"/>
    <mergeCell ref="E409:E413"/>
    <mergeCell ref="F409:F413"/>
    <mergeCell ref="M419:M423"/>
    <mergeCell ref="H404:H408"/>
    <mergeCell ref="I404:I408"/>
    <mergeCell ref="J409:J413"/>
    <mergeCell ref="K409:K413"/>
    <mergeCell ref="L409:L413"/>
    <mergeCell ref="M404:M408"/>
    <mergeCell ref="N404:N408"/>
    <mergeCell ref="O404:O408"/>
    <mergeCell ref="J404:J408"/>
    <mergeCell ref="K404:K408"/>
    <mergeCell ref="L404:L408"/>
    <mergeCell ref="Q409:Q413"/>
    <mergeCell ref="Q424:Q428"/>
    <mergeCell ref="B414:B418"/>
    <mergeCell ref="C414:C418"/>
    <mergeCell ref="D414:D418"/>
    <mergeCell ref="E414:E418"/>
    <mergeCell ref="F414:F418"/>
    <mergeCell ref="G409:G413"/>
    <mergeCell ref="H409:H413"/>
    <mergeCell ref="I409:I413"/>
    <mergeCell ref="M409:M413"/>
    <mergeCell ref="N409:N413"/>
    <mergeCell ref="O409:O413"/>
    <mergeCell ref="P409:P413"/>
    <mergeCell ref="N424:N428"/>
    <mergeCell ref="O424:O428"/>
    <mergeCell ref="P424:P428"/>
    <mergeCell ref="M414:M418"/>
    <mergeCell ref="N414:N418"/>
    <mergeCell ref="O414:O418"/>
    <mergeCell ref="B429:B433"/>
    <mergeCell ref="C429:C433"/>
    <mergeCell ref="D429:D433"/>
    <mergeCell ref="E429:E433"/>
    <mergeCell ref="F429:F433"/>
    <mergeCell ref="G429:G433"/>
    <mergeCell ref="H429:H433"/>
    <mergeCell ref="I429:I433"/>
    <mergeCell ref="J429:J433"/>
    <mergeCell ref="K429:K433"/>
    <mergeCell ref="L429:L433"/>
    <mergeCell ref="M429:M433"/>
    <mergeCell ref="N429:N433"/>
    <mergeCell ref="O429:O433"/>
    <mergeCell ref="P429:P433"/>
    <mergeCell ref="Q429:Q433"/>
    <mergeCell ref="H414:H418"/>
    <mergeCell ref="I414:I418"/>
    <mergeCell ref="J414:J418"/>
    <mergeCell ref="K414:K418"/>
    <mergeCell ref="L414:L418"/>
    <mergeCell ref="B419:B423"/>
    <mergeCell ref="C419:C423"/>
    <mergeCell ref="D419:D423"/>
    <mergeCell ref="E419:E423"/>
    <mergeCell ref="F419:F423"/>
    <mergeCell ref="G419:G423"/>
    <mergeCell ref="H419:H423"/>
    <mergeCell ref="I419:I423"/>
    <mergeCell ref="J419:J423"/>
    <mergeCell ref="K419:K423"/>
    <mergeCell ref="L419:L423"/>
    <mergeCell ref="B439:B443"/>
    <mergeCell ref="C439:C443"/>
    <mergeCell ref="D439:D443"/>
    <mergeCell ref="E439:E443"/>
    <mergeCell ref="F439:F443"/>
    <mergeCell ref="G439:G443"/>
    <mergeCell ref="H439:H443"/>
    <mergeCell ref="I439:I443"/>
    <mergeCell ref="J439:J443"/>
    <mergeCell ref="K439:K443"/>
    <mergeCell ref="L439:L443"/>
    <mergeCell ref="M439:M443"/>
    <mergeCell ref="N439:N443"/>
    <mergeCell ref="O439:O443"/>
    <mergeCell ref="P439:P443"/>
    <mergeCell ref="Q439:Q443"/>
    <mergeCell ref="N419:N423"/>
    <mergeCell ref="O419:O423"/>
    <mergeCell ref="P419:P423"/>
    <mergeCell ref="Q419:Q423"/>
    <mergeCell ref="B424:B428"/>
    <mergeCell ref="C424:C428"/>
    <mergeCell ref="D424:D428"/>
    <mergeCell ref="E424:E428"/>
    <mergeCell ref="F424:F428"/>
    <mergeCell ref="G424:G428"/>
    <mergeCell ref="H424:H428"/>
    <mergeCell ref="I424:I428"/>
    <mergeCell ref="J424:J428"/>
    <mergeCell ref="K424:K428"/>
    <mergeCell ref="L424:L428"/>
    <mergeCell ref="M424:M428"/>
    <mergeCell ref="A450:A490"/>
    <mergeCell ref="B450:B454"/>
    <mergeCell ref="C450:C454"/>
    <mergeCell ref="D450:D454"/>
    <mergeCell ref="E450:E454"/>
    <mergeCell ref="F450:F454"/>
    <mergeCell ref="N450:N454"/>
    <mergeCell ref="O450:O454"/>
    <mergeCell ref="P450:P454"/>
    <mergeCell ref="Q450:Q454"/>
    <mergeCell ref="B455:B459"/>
    <mergeCell ref="C455:C459"/>
    <mergeCell ref="D455:D459"/>
    <mergeCell ref="E455:E459"/>
    <mergeCell ref="F455:F459"/>
    <mergeCell ref="G450:G454"/>
    <mergeCell ref="B434:B438"/>
    <mergeCell ref="C434:C438"/>
    <mergeCell ref="D434:D438"/>
    <mergeCell ref="E434:E438"/>
    <mergeCell ref="F434:F438"/>
    <mergeCell ref="G434:G438"/>
    <mergeCell ref="H434:H438"/>
    <mergeCell ref="I434:I438"/>
    <mergeCell ref="J434:J438"/>
    <mergeCell ref="K434:K438"/>
    <mergeCell ref="L434:L438"/>
    <mergeCell ref="M434:M438"/>
    <mergeCell ref="N434:N438"/>
    <mergeCell ref="O434:O438"/>
    <mergeCell ref="P434:P438"/>
    <mergeCell ref="Q434:Q438"/>
    <mergeCell ref="I455:I459"/>
    <mergeCell ref="J455:J459"/>
    <mergeCell ref="K455:K459"/>
    <mergeCell ref="L455:L459"/>
    <mergeCell ref="M450:M454"/>
    <mergeCell ref="H450:H454"/>
    <mergeCell ref="M455:M459"/>
    <mergeCell ref="N455:N459"/>
    <mergeCell ref="O455:O459"/>
    <mergeCell ref="P455:P459"/>
    <mergeCell ref="Q455:Q459"/>
    <mergeCell ref="M460:M464"/>
    <mergeCell ref="N460:N464"/>
    <mergeCell ref="O460:O464"/>
    <mergeCell ref="P460:P464"/>
    <mergeCell ref="R449:Y449"/>
    <mergeCell ref="B444:B448"/>
    <mergeCell ref="C444:C448"/>
    <mergeCell ref="D444:D448"/>
    <mergeCell ref="E444:E448"/>
    <mergeCell ref="F444:F448"/>
    <mergeCell ref="G444:G448"/>
    <mergeCell ref="H444:H448"/>
    <mergeCell ref="I444:I448"/>
    <mergeCell ref="J444:J448"/>
    <mergeCell ref="K444:K448"/>
    <mergeCell ref="L444:L448"/>
    <mergeCell ref="M444:M448"/>
    <mergeCell ref="N444:N448"/>
    <mergeCell ref="O444:O448"/>
    <mergeCell ref="P444:P448"/>
    <mergeCell ref="Q444:Q448"/>
    <mergeCell ref="Q460:Q464"/>
    <mergeCell ref="B465:B469"/>
    <mergeCell ref="C465:C469"/>
    <mergeCell ref="D465:D469"/>
    <mergeCell ref="E465:E469"/>
    <mergeCell ref="F465:F469"/>
    <mergeCell ref="L450:L454"/>
    <mergeCell ref="G460:G464"/>
    <mergeCell ref="H460:H464"/>
    <mergeCell ref="I460:I464"/>
    <mergeCell ref="J460:J464"/>
    <mergeCell ref="K460:K464"/>
    <mergeCell ref="B470:B474"/>
    <mergeCell ref="C470:C474"/>
    <mergeCell ref="D470:D474"/>
    <mergeCell ref="E470:E474"/>
    <mergeCell ref="F470:F474"/>
    <mergeCell ref="G465:G469"/>
    <mergeCell ref="L470:L474"/>
    <mergeCell ref="I450:I454"/>
    <mergeCell ref="J450:J454"/>
    <mergeCell ref="K450:K454"/>
    <mergeCell ref="B460:B464"/>
    <mergeCell ref="C460:C464"/>
    <mergeCell ref="D460:D464"/>
    <mergeCell ref="E460:E464"/>
    <mergeCell ref="F460:F464"/>
    <mergeCell ref="G455:G459"/>
    <mergeCell ref="L460:L464"/>
    <mergeCell ref="M465:M469"/>
    <mergeCell ref="N465:N469"/>
    <mergeCell ref="H455:H459"/>
    <mergeCell ref="O465:O469"/>
    <mergeCell ref="P465:P469"/>
    <mergeCell ref="Q465:Q469"/>
    <mergeCell ref="N470:N474"/>
    <mergeCell ref="O470:O474"/>
    <mergeCell ref="P470:P474"/>
    <mergeCell ref="Q470:Q474"/>
    <mergeCell ref="B475:B479"/>
    <mergeCell ref="C475:C479"/>
    <mergeCell ref="D475:D479"/>
    <mergeCell ref="E475:E479"/>
    <mergeCell ref="F475:F479"/>
    <mergeCell ref="G470:G474"/>
    <mergeCell ref="H475:H479"/>
    <mergeCell ref="I475:I479"/>
    <mergeCell ref="J475:J479"/>
    <mergeCell ref="K475:K479"/>
    <mergeCell ref="L475:L479"/>
    <mergeCell ref="M470:M474"/>
    <mergeCell ref="H470:H474"/>
    <mergeCell ref="I470:I474"/>
    <mergeCell ref="J470:J474"/>
    <mergeCell ref="K470:K474"/>
    <mergeCell ref="H465:H469"/>
    <mergeCell ref="I465:I469"/>
    <mergeCell ref="J465:J469"/>
    <mergeCell ref="K465:K469"/>
    <mergeCell ref="L465:L469"/>
    <mergeCell ref="B480:B484"/>
    <mergeCell ref="C480:C484"/>
    <mergeCell ref="D480:D484"/>
    <mergeCell ref="E480:E484"/>
    <mergeCell ref="F480:F484"/>
    <mergeCell ref="G475:G479"/>
    <mergeCell ref="L480:L484"/>
    <mergeCell ref="M475:M479"/>
    <mergeCell ref="N475:N479"/>
    <mergeCell ref="O475:O479"/>
    <mergeCell ref="P475:P479"/>
    <mergeCell ref="Q475:Q479"/>
    <mergeCell ref="N480:N484"/>
    <mergeCell ref="O480:O484"/>
    <mergeCell ref="P480:P484"/>
    <mergeCell ref="Q480:Q484"/>
    <mergeCell ref="B485:B489"/>
    <mergeCell ref="C485:C489"/>
    <mergeCell ref="D485:D489"/>
    <mergeCell ref="E485:E489"/>
    <mergeCell ref="F485:F489"/>
    <mergeCell ref="G480:G484"/>
    <mergeCell ref="M480:M484"/>
    <mergeCell ref="H480:H484"/>
    <mergeCell ref="I480:I484"/>
    <mergeCell ref="J480:J484"/>
    <mergeCell ref="K480:K484"/>
    <mergeCell ref="P485:P489"/>
    <mergeCell ref="Q485:Q489"/>
    <mergeCell ref="A491:A516"/>
    <mergeCell ref="B491:B495"/>
    <mergeCell ref="C491:C495"/>
    <mergeCell ref="D491:D495"/>
    <mergeCell ref="E491:E495"/>
    <mergeCell ref="F491:F495"/>
    <mergeCell ref="B496:B500"/>
    <mergeCell ref="C496:C500"/>
    <mergeCell ref="D496:D500"/>
    <mergeCell ref="E496:E500"/>
    <mergeCell ref="P496:P500"/>
    <mergeCell ref="Q496:Q500"/>
    <mergeCell ref="B501:B505"/>
    <mergeCell ref="C501:C505"/>
    <mergeCell ref="D501:D505"/>
    <mergeCell ref="E501:E505"/>
    <mergeCell ref="F501:F505"/>
    <mergeCell ref="G501:G505"/>
    <mergeCell ref="H501:H505"/>
    <mergeCell ref="O501:O505"/>
    <mergeCell ref="P501:P505"/>
    <mergeCell ref="Q501:Q505"/>
    <mergeCell ref="B506:B510"/>
    <mergeCell ref="C506:C510"/>
    <mergeCell ref="D506:D510"/>
    <mergeCell ref="E506:E510"/>
    <mergeCell ref="K491:K495"/>
    <mergeCell ref="L491:L495"/>
    <mergeCell ref="M491:M495"/>
    <mergeCell ref="N491:N495"/>
    <mergeCell ref="O491:O495"/>
    <mergeCell ref="B511:B515"/>
    <mergeCell ref="P511:P515"/>
    <mergeCell ref="Q511:Q515"/>
    <mergeCell ref="F496:F500"/>
    <mergeCell ref="G496:G500"/>
    <mergeCell ref="H496:H500"/>
    <mergeCell ref="I496:I500"/>
    <mergeCell ref="I501:I505"/>
    <mergeCell ref="J501:J505"/>
    <mergeCell ref="K501:K505"/>
    <mergeCell ref="L501:L505"/>
    <mergeCell ref="M501:M505"/>
    <mergeCell ref="N501:N505"/>
    <mergeCell ref="R490:Y490"/>
    <mergeCell ref="G485:G489"/>
    <mergeCell ref="H485:H489"/>
    <mergeCell ref="I485:I489"/>
    <mergeCell ref="J485:J489"/>
    <mergeCell ref="K485:K489"/>
    <mergeCell ref="L485:L489"/>
    <mergeCell ref="G491:G495"/>
    <mergeCell ref="H491:H495"/>
    <mergeCell ref="I491:I495"/>
    <mergeCell ref="M485:M489"/>
    <mergeCell ref="N485:N489"/>
    <mergeCell ref="O485:O489"/>
    <mergeCell ref="P491:P495"/>
    <mergeCell ref="Q491:Q495"/>
    <mergeCell ref="P506:P510"/>
    <mergeCell ref="Q506:Q510"/>
    <mergeCell ref="J491:J495"/>
    <mergeCell ref="A517:A535"/>
    <mergeCell ref="B521:B525"/>
    <mergeCell ref="C521:C525"/>
    <mergeCell ref="D521:D525"/>
    <mergeCell ref="E521:E525"/>
    <mergeCell ref="F521:F525"/>
    <mergeCell ref="P542:P546"/>
    <mergeCell ref="Q542:Q546"/>
    <mergeCell ref="B547:B551"/>
    <mergeCell ref="C547:C551"/>
    <mergeCell ref="J496:J500"/>
    <mergeCell ref="K496:K500"/>
    <mergeCell ref="L496:L500"/>
    <mergeCell ref="M496:M500"/>
    <mergeCell ref="N496:N500"/>
    <mergeCell ref="O496:O500"/>
    <mergeCell ref="G521:G525"/>
    <mergeCell ref="H521:H525"/>
    <mergeCell ref="I521:I525"/>
    <mergeCell ref="J521:J525"/>
    <mergeCell ref="K521:K525"/>
    <mergeCell ref="L521:L525"/>
    <mergeCell ref="M521:M525"/>
    <mergeCell ref="N521:N525"/>
    <mergeCell ref="O521:O525"/>
    <mergeCell ref="P521:P525"/>
    <mergeCell ref="Q521:Q525"/>
    <mergeCell ref="A537:A611"/>
    <mergeCell ref="C511:C515"/>
    <mergeCell ref="D511:D515"/>
    <mergeCell ref="E511:E515"/>
    <mergeCell ref="F511:F515"/>
    <mergeCell ref="D537:D541"/>
    <mergeCell ref="E537:E541"/>
    <mergeCell ref="F537:F541"/>
    <mergeCell ref="G537:G541"/>
    <mergeCell ref="H537:H541"/>
    <mergeCell ref="I537:I541"/>
    <mergeCell ref="J506:J510"/>
    <mergeCell ref="K506:K510"/>
    <mergeCell ref="L506:L510"/>
    <mergeCell ref="M506:M510"/>
    <mergeCell ref="N506:N510"/>
    <mergeCell ref="O506:O510"/>
    <mergeCell ref="J537:J541"/>
    <mergeCell ref="K537:K541"/>
    <mergeCell ref="L537:L541"/>
    <mergeCell ref="M537:M541"/>
    <mergeCell ref="N537:N541"/>
    <mergeCell ref="O537:O541"/>
    <mergeCell ref="F506:F510"/>
    <mergeCell ref="G506:G510"/>
    <mergeCell ref="H506:H510"/>
    <mergeCell ref="I506:I510"/>
    <mergeCell ref="G511:G515"/>
    <mergeCell ref="H511:H515"/>
    <mergeCell ref="I511:I515"/>
    <mergeCell ref="J511:J515"/>
    <mergeCell ref="K511:K515"/>
    <mergeCell ref="L511:L515"/>
    <mergeCell ref="M511:M515"/>
    <mergeCell ref="N511:N515"/>
    <mergeCell ref="O511:O515"/>
    <mergeCell ref="P537:P541"/>
    <mergeCell ref="Q537:Q541"/>
    <mergeCell ref="B542:B546"/>
    <mergeCell ref="C542:C546"/>
    <mergeCell ref="D542:D546"/>
    <mergeCell ref="E542:E546"/>
    <mergeCell ref="F542:F546"/>
    <mergeCell ref="G542:G546"/>
    <mergeCell ref="H542:H546"/>
    <mergeCell ref="I542:I546"/>
    <mergeCell ref="J542:J546"/>
    <mergeCell ref="K542:K546"/>
    <mergeCell ref="L542:L546"/>
    <mergeCell ref="M542:M546"/>
    <mergeCell ref="N542:N546"/>
    <mergeCell ref="O542:O546"/>
    <mergeCell ref="D547:D551"/>
    <mergeCell ref="E547:E551"/>
    <mergeCell ref="F547:F551"/>
    <mergeCell ref="G547:G551"/>
    <mergeCell ref="H547:H551"/>
    <mergeCell ref="I547:I551"/>
    <mergeCell ref="J547:J551"/>
    <mergeCell ref="K547:K551"/>
    <mergeCell ref="L547:L551"/>
    <mergeCell ref="M547:M551"/>
    <mergeCell ref="N547:N551"/>
    <mergeCell ref="O547:O551"/>
    <mergeCell ref="P547:P551"/>
    <mergeCell ref="Q547:Q551"/>
    <mergeCell ref="B537:B541"/>
    <mergeCell ref="C537:C541"/>
    <mergeCell ref="B552:B556"/>
    <mergeCell ref="C552:C556"/>
    <mergeCell ref="D552:D556"/>
    <mergeCell ref="E552:E556"/>
    <mergeCell ref="F552:F556"/>
    <mergeCell ref="G552:G556"/>
    <mergeCell ref="H552:H556"/>
    <mergeCell ref="I552:I556"/>
    <mergeCell ref="J552:J556"/>
    <mergeCell ref="K552:K556"/>
    <mergeCell ref="L552:L556"/>
    <mergeCell ref="M552:M556"/>
    <mergeCell ref="N552:N556"/>
    <mergeCell ref="O552:O556"/>
    <mergeCell ref="P552:P556"/>
    <mergeCell ref="Q552:Q556"/>
    <mergeCell ref="B557:B561"/>
    <mergeCell ref="C557:C561"/>
    <mergeCell ref="D557:D561"/>
    <mergeCell ref="E557:E561"/>
    <mergeCell ref="F557:F561"/>
    <mergeCell ref="G557:G561"/>
    <mergeCell ref="H557:H561"/>
    <mergeCell ref="I557:I561"/>
    <mergeCell ref="J557:J561"/>
    <mergeCell ref="K557:K561"/>
    <mergeCell ref="L557:L561"/>
    <mergeCell ref="M557:M561"/>
    <mergeCell ref="N557:N561"/>
    <mergeCell ref="O557:O561"/>
    <mergeCell ref="P557:P561"/>
    <mergeCell ref="Q557:Q561"/>
    <mergeCell ref="B562:B566"/>
    <mergeCell ref="C562:C566"/>
    <mergeCell ref="D562:D566"/>
    <mergeCell ref="E562:E566"/>
    <mergeCell ref="F562:F566"/>
    <mergeCell ref="G562:G566"/>
    <mergeCell ref="H562:H566"/>
    <mergeCell ref="I562:I566"/>
    <mergeCell ref="J562:J566"/>
    <mergeCell ref="K562:K566"/>
    <mergeCell ref="L562:L566"/>
    <mergeCell ref="M562:M566"/>
    <mergeCell ref="N562:N566"/>
    <mergeCell ref="O562:O566"/>
    <mergeCell ref="P562:P566"/>
    <mergeCell ref="Q562:Q566"/>
    <mergeCell ref="B567:B571"/>
    <mergeCell ref="C567:C571"/>
    <mergeCell ref="D567:D571"/>
    <mergeCell ref="E567:E571"/>
    <mergeCell ref="F567:F571"/>
    <mergeCell ref="G567:G571"/>
    <mergeCell ref="H567:H571"/>
    <mergeCell ref="I567:I571"/>
    <mergeCell ref="J567:J571"/>
    <mergeCell ref="K567:K571"/>
    <mergeCell ref="L567:L571"/>
    <mergeCell ref="M567:M571"/>
    <mergeCell ref="N567:N571"/>
    <mergeCell ref="O567:O571"/>
    <mergeCell ref="P567:P571"/>
    <mergeCell ref="Q567:Q571"/>
    <mergeCell ref="B572:B576"/>
    <mergeCell ref="C572:C576"/>
    <mergeCell ref="D572:D576"/>
    <mergeCell ref="E572:E576"/>
    <mergeCell ref="F572:F576"/>
    <mergeCell ref="G572:G576"/>
    <mergeCell ref="H572:H576"/>
    <mergeCell ref="I572:I576"/>
    <mergeCell ref="J572:J576"/>
    <mergeCell ref="K572:K576"/>
    <mergeCell ref="L572:L576"/>
    <mergeCell ref="M572:M576"/>
    <mergeCell ref="N572:N576"/>
    <mergeCell ref="O572:O576"/>
    <mergeCell ref="P572:P576"/>
    <mergeCell ref="Q572:Q576"/>
    <mergeCell ref="B577:B581"/>
    <mergeCell ref="C577:C581"/>
    <mergeCell ref="D577:D581"/>
    <mergeCell ref="E577:E581"/>
    <mergeCell ref="F577:F581"/>
    <mergeCell ref="G577:G581"/>
    <mergeCell ref="H577:H581"/>
    <mergeCell ref="I577:I581"/>
    <mergeCell ref="J577:J581"/>
    <mergeCell ref="K577:K581"/>
    <mergeCell ref="L577:L581"/>
    <mergeCell ref="M577:M581"/>
    <mergeCell ref="N577:N581"/>
    <mergeCell ref="O577:O581"/>
    <mergeCell ref="P577:P581"/>
    <mergeCell ref="Q577:Q581"/>
    <mergeCell ref="B582:B586"/>
    <mergeCell ref="C582:C586"/>
    <mergeCell ref="D582:D586"/>
    <mergeCell ref="E582:E586"/>
    <mergeCell ref="F582:F586"/>
    <mergeCell ref="G582:G586"/>
    <mergeCell ref="H582:H586"/>
    <mergeCell ref="I582:I586"/>
    <mergeCell ref="J582:J586"/>
    <mergeCell ref="K582:K586"/>
    <mergeCell ref="L582:L586"/>
    <mergeCell ref="M582:M586"/>
    <mergeCell ref="N582:N586"/>
    <mergeCell ref="O582:O586"/>
    <mergeCell ref="P582:P586"/>
    <mergeCell ref="Q582:Q586"/>
    <mergeCell ref="B587:B591"/>
    <mergeCell ref="C587:C591"/>
    <mergeCell ref="D587:D591"/>
    <mergeCell ref="E587:E591"/>
    <mergeCell ref="F587:F591"/>
    <mergeCell ref="G587:G591"/>
    <mergeCell ref="H587:H591"/>
    <mergeCell ref="I587:I591"/>
    <mergeCell ref="J587:J591"/>
    <mergeCell ref="K587:K591"/>
    <mergeCell ref="L587:L591"/>
    <mergeCell ref="M587:M591"/>
    <mergeCell ref="N587:N591"/>
    <mergeCell ref="O587:O591"/>
    <mergeCell ref="P587:P591"/>
    <mergeCell ref="Q587:Q591"/>
    <mergeCell ref="B592:B596"/>
    <mergeCell ref="C592:C596"/>
    <mergeCell ref="D592:D596"/>
    <mergeCell ref="E592:E596"/>
    <mergeCell ref="F592:F596"/>
    <mergeCell ref="G592:G596"/>
    <mergeCell ref="H592:H596"/>
    <mergeCell ref="I592:I596"/>
    <mergeCell ref="J592:J596"/>
    <mergeCell ref="K592:K596"/>
    <mergeCell ref="L592:L596"/>
    <mergeCell ref="M592:M596"/>
    <mergeCell ref="N592:N596"/>
    <mergeCell ref="O592:O596"/>
    <mergeCell ref="P592:P596"/>
    <mergeCell ref="Q592:Q596"/>
    <mergeCell ref="B597:B601"/>
    <mergeCell ref="C597:C601"/>
    <mergeCell ref="D597:D601"/>
    <mergeCell ref="E597:E601"/>
    <mergeCell ref="F597:F601"/>
    <mergeCell ref="G597:G601"/>
    <mergeCell ref="H597:H601"/>
    <mergeCell ref="I597:I601"/>
    <mergeCell ref="J597:J601"/>
    <mergeCell ref="K597:K601"/>
    <mergeCell ref="L597:L601"/>
    <mergeCell ref="M597:M601"/>
    <mergeCell ref="N597:N601"/>
    <mergeCell ref="O597:O601"/>
    <mergeCell ref="P597:P601"/>
    <mergeCell ref="Q597:Q601"/>
    <mergeCell ref="B602:B606"/>
    <mergeCell ref="C602:C606"/>
    <mergeCell ref="D602:D606"/>
    <mergeCell ref="E602:E606"/>
    <mergeCell ref="F602:F606"/>
    <mergeCell ref="G602:G606"/>
    <mergeCell ref="H602:H606"/>
    <mergeCell ref="I602:I606"/>
    <mergeCell ref="J602:J606"/>
    <mergeCell ref="K602:K606"/>
    <mergeCell ref="L602:L606"/>
    <mergeCell ref="M602:M606"/>
    <mergeCell ref="N602:N606"/>
    <mergeCell ref="O602:O606"/>
    <mergeCell ref="P602:P606"/>
    <mergeCell ref="Q602:Q606"/>
    <mergeCell ref="B607:B611"/>
    <mergeCell ref="C607:C611"/>
    <mergeCell ref="D607:D611"/>
    <mergeCell ref="E607:E611"/>
    <mergeCell ref="F607:F611"/>
    <mergeCell ref="G607:G611"/>
    <mergeCell ref="H607:H611"/>
    <mergeCell ref="I607:I611"/>
    <mergeCell ref="J607:J611"/>
    <mergeCell ref="K607:K611"/>
    <mergeCell ref="L607:L611"/>
    <mergeCell ref="M607:M611"/>
    <mergeCell ref="N607:N611"/>
    <mergeCell ref="O607:O611"/>
    <mergeCell ref="P607:P611"/>
    <mergeCell ref="Q607:Q611"/>
    <mergeCell ref="A613:A630"/>
    <mergeCell ref="B613:B616"/>
    <mergeCell ref="C613:C616"/>
    <mergeCell ref="D613:D616"/>
    <mergeCell ref="E613:E616"/>
    <mergeCell ref="F613:F616"/>
    <mergeCell ref="G613:G616"/>
    <mergeCell ref="H613:H616"/>
    <mergeCell ref="I613:I616"/>
    <mergeCell ref="J613:J616"/>
    <mergeCell ref="K613:K616"/>
    <mergeCell ref="L613:L616"/>
    <mergeCell ref="M613:M616"/>
    <mergeCell ref="N613:N616"/>
    <mergeCell ref="O613:O616"/>
    <mergeCell ref="P613:P616"/>
    <mergeCell ref="Q613:Q616"/>
    <mergeCell ref="A632:A706"/>
    <mergeCell ref="B632:B636"/>
    <mergeCell ref="C632:C636"/>
    <mergeCell ref="D632:D636"/>
    <mergeCell ref="E632:E636"/>
    <mergeCell ref="F632:F636"/>
    <mergeCell ref="G632:G636"/>
    <mergeCell ref="H632:H636"/>
    <mergeCell ref="I632:I636"/>
    <mergeCell ref="J632:J636"/>
    <mergeCell ref="K632:K636"/>
    <mergeCell ref="L632:L636"/>
    <mergeCell ref="M632:M636"/>
    <mergeCell ref="N632:N636"/>
    <mergeCell ref="O632:O636"/>
    <mergeCell ref="P632:P636"/>
    <mergeCell ref="Q632:Q636"/>
    <mergeCell ref="B637:B641"/>
    <mergeCell ref="C637:C641"/>
    <mergeCell ref="D637:D641"/>
    <mergeCell ref="E637:E641"/>
    <mergeCell ref="F637:F641"/>
    <mergeCell ref="G637:G641"/>
    <mergeCell ref="H637:H641"/>
    <mergeCell ref="I637:I641"/>
    <mergeCell ref="J637:J641"/>
    <mergeCell ref="K637:K641"/>
    <mergeCell ref="L637:L641"/>
    <mergeCell ref="M637:M641"/>
    <mergeCell ref="N637:N641"/>
    <mergeCell ref="O637:O641"/>
    <mergeCell ref="P637:P641"/>
    <mergeCell ref="N642:N646"/>
    <mergeCell ref="O642:O646"/>
    <mergeCell ref="Q637:Q641"/>
    <mergeCell ref="AG637:AG641"/>
    <mergeCell ref="B642:B646"/>
    <mergeCell ref="C642:C646"/>
    <mergeCell ref="D642:D646"/>
    <mergeCell ref="E642:E646"/>
    <mergeCell ref="F642:F646"/>
    <mergeCell ref="G642:G646"/>
    <mergeCell ref="G647:G651"/>
    <mergeCell ref="H647:H651"/>
    <mergeCell ref="J642:J646"/>
    <mergeCell ref="K642:K646"/>
    <mergeCell ref="L642:L646"/>
    <mergeCell ref="M642:M646"/>
    <mergeCell ref="H642:H646"/>
    <mergeCell ref="I642:I646"/>
    <mergeCell ref="P657:P661"/>
    <mergeCell ref="Q657:Q661"/>
    <mergeCell ref="P642:P646"/>
    <mergeCell ref="Q642:Q646"/>
    <mergeCell ref="AG642:AG646"/>
    <mergeCell ref="B647:B651"/>
    <mergeCell ref="C647:C651"/>
    <mergeCell ref="D647:D651"/>
    <mergeCell ref="E647:E651"/>
    <mergeCell ref="F647:F651"/>
    <mergeCell ref="I647:I651"/>
    <mergeCell ref="J647:J651"/>
    <mergeCell ref="K647:K651"/>
    <mergeCell ref="L647:L651"/>
    <mergeCell ref="M647:M651"/>
    <mergeCell ref="N647:N651"/>
    <mergeCell ref="O647:O651"/>
    <mergeCell ref="P647:P651"/>
    <mergeCell ref="Q647:Q651"/>
    <mergeCell ref="AG647:AG651"/>
    <mergeCell ref="B652:B656"/>
    <mergeCell ref="C652:C656"/>
    <mergeCell ref="D652:D656"/>
    <mergeCell ref="E652:E656"/>
    <mergeCell ref="F652:F656"/>
    <mergeCell ref="G652:G656"/>
    <mergeCell ref="H652:H656"/>
    <mergeCell ref="I652:I656"/>
    <mergeCell ref="J652:J656"/>
    <mergeCell ref="K652:K656"/>
    <mergeCell ref="L652:L656"/>
    <mergeCell ref="M652:M656"/>
    <mergeCell ref="B657:B661"/>
    <mergeCell ref="C657:C661"/>
    <mergeCell ref="D657:D661"/>
    <mergeCell ref="E657:E661"/>
    <mergeCell ref="F657:F661"/>
    <mergeCell ref="M657:M661"/>
    <mergeCell ref="N657:N661"/>
    <mergeCell ref="O657:O661"/>
    <mergeCell ref="J662:J666"/>
    <mergeCell ref="K662:K666"/>
    <mergeCell ref="L662:L666"/>
    <mergeCell ref="M662:M666"/>
    <mergeCell ref="B662:B666"/>
    <mergeCell ref="C662:C666"/>
    <mergeCell ref="D662:D666"/>
    <mergeCell ref="E662:E666"/>
    <mergeCell ref="F662:F666"/>
    <mergeCell ref="G662:G666"/>
    <mergeCell ref="N652:N656"/>
    <mergeCell ref="O652:O656"/>
    <mergeCell ref="P652:P656"/>
    <mergeCell ref="Q652:Q656"/>
    <mergeCell ref="AG652:AG656"/>
    <mergeCell ref="B667:B671"/>
    <mergeCell ref="C667:C671"/>
    <mergeCell ref="D667:D671"/>
    <mergeCell ref="E667:E671"/>
    <mergeCell ref="F667:F671"/>
    <mergeCell ref="M677:M681"/>
    <mergeCell ref="AG657:AG661"/>
    <mergeCell ref="G657:G661"/>
    <mergeCell ref="H657:H661"/>
    <mergeCell ref="I657:I661"/>
    <mergeCell ref="J657:J661"/>
    <mergeCell ref="K657:K661"/>
    <mergeCell ref="L657:L661"/>
    <mergeCell ref="H662:H666"/>
    <mergeCell ref="I662:I666"/>
    <mergeCell ref="L672:L676"/>
    <mergeCell ref="M672:M676"/>
    <mergeCell ref="B672:B676"/>
    <mergeCell ref="C672:C676"/>
    <mergeCell ref="D672:D676"/>
    <mergeCell ref="E672:E676"/>
    <mergeCell ref="F672:F676"/>
    <mergeCell ref="G672:G676"/>
    <mergeCell ref="N662:N666"/>
    <mergeCell ref="O662:O666"/>
    <mergeCell ref="P662:P666"/>
    <mergeCell ref="Q662:Q666"/>
    <mergeCell ref="B677:B681"/>
    <mergeCell ref="C677:C681"/>
    <mergeCell ref="D677:D681"/>
    <mergeCell ref="E677:E681"/>
    <mergeCell ref="F677:F681"/>
    <mergeCell ref="Q667:Q671"/>
    <mergeCell ref="AG667:AG671"/>
    <mergeCell ref="G667:G671"/>
    <mergeCell ref="H667:H671"/>
    <mergeCell ref="I667:I671"/>
    <mergeCell ref="J667:J671"/>
    <mergeCell ref="K667:K671"/>
    <mergeCell ref="L667:L671"/>
    <mergeCell ref="M667:M671"/>
    <mergeCell ref="N667:N671"/>
    <mergeCell ref="B682:B686"/>
    <mergeCell ref="C682:C686"/>
    <mergeCell ref="D682:D686"/>
    <mergeCell ref="E682:E686"/>
    <mergeCell ref="F682:F686"/>
    <mergeCell ref="P667:P671"/>
    <mergeCell ref="H672:H676"/>
    <mergeCell ref="I672:I676"/>
    <mergeCell ref="J672:J676"/>
    <mergeCell ref="K672:K676"/>
    <mergeCell ref="H682:H686"/>
    <mergeCell ref="I682:I686"/>
    <mergeCell ref="J682:J686"/>
    <mergeCell ref="K682:K686"/>
    <mergeCell ref="L682:L686"/>
    <mergeCell ref="M682:M686"/>
    <mergeCell ref="O667:O671"/>
    <mergeCell ref="N672:N676"/>
    <mergeCell ref="O672:O676"/>
    <mergeCell ref="P672:P676"/>
    <mergeCell ref="Q672:Q676"/>
    <mergeCell ref="AG672:AG676"/>
    <mergeCell ref="B687:B691"/>
    <mergeCell ref="C687:C691"/>
    <mergeCell ref="D687:D691"/>
    <mergeCell ref="E687:E691"/>
    <mergeCell ref="F687:F691"/>
    <mergeCell ref="G677:G681"/>
    <mergeCell ref="H677:H681"/>
    <mergeCell ref="I677:I681"/>
    <mergeCell ref="J677:J681"/>
    <mergeCell ref="K677:K681"/>
    <mergeCell ref="L677:L681"/>
    <mergeCell ref="AG682:AG686"/>
    <mergeCell ref="N677:N681"/>
    <mergeCell ref="O677:O681"/>
    <mergeCell ref="P677:P681"/>
    <mergeCell ref="Q677:Q681"/>
    <mergeCell ref="AG677:AG681"/>
    <mergeCell ref="AG687:AG691"/>
    <mergeCell ref="G687:G691"/>
    <mergeCell ref="H687:H691"/>
    <mergeCell ref="I687:I691"/>
    <mergeCell ref="J687:J691"/>
    <mergeCell ref="K687:K691"/>
    <mergeCell ref="L687:L691"/>
    <mergeCell ref="G682:G686"/>
    <mergeCell ref="M687:M691"/>
    <mergeCell ref="N687:N691"/>
    <mergeCell ref="O687:O691"/>
    <mergeCell ref="P687:P691"/>
    <mergeCell ref="Q687:Q691"/>
    <mergeCell ref="N682:N686"/>
    <mergeCell ref="O682:O686"/>
    <mergeCell ref="P682:P686"/>
    <mergeCell ref="Q682:Q686"/>
    <mergeCell ref="R709:AG709"/>
    <mergeCell ref="T711:Y711"/>
    <mergeCell ref="T739:V739"/>
    <mergeCell ref="AG692:AG696"/>
    <mergeCell ref="N702:N706"/>
    <mergeCell ref="O702:O706"/>
    <mergeCell ref="P702:P706"/>
    <mergeCell ref="Q702:Q706"/>
    <mergeCell ref="AG702:AG706"/>
    <mergeCell ref="B692:B696"/>
    <mergeCell ref="C692:C696"/>
    <mergeCell ref="D692:D696"/>
    <mergeCell ref="E692:E696"/>
    <mergeCell ref="F692:F696"/>
    <mergeCell ref="G692:G696"/>
    <mergeCell ref="H692:H696"/>
    <mergeCell ref="I692:I696"/>
    <mergeCell ref="J692:J696"/>
    <mergeCell ref="K692:K696"/>
    <mergeCell ref="L692:L696"/>
    <mergeCell ref="M692:M696"/>
    <mergeCell ref="N692:N696"/>
    <mergeCell ref="O692:O696"/>
    <mergeCell ref="P692:P696"/>
    <mergeCell ref="Q692:Q696"/>
    <mergeCell ref="R708:Y708"/>
    <mergeCell ref="T743:U743"/>
    <mergeCell ref="AG577:AG581"/>
    <mergeCell ref="AG582:AG586"/>
    <mergeCell ref="AD449:AG449"/>
    <mergeCell ref="T753:U753"/>
    <mergeCell ref="T754:U754"/>
    <mergeCell ref="T747:U747"/>
    <mergeCell ref="T748:U748"/>
    <mergeCell ref="T749:U749"/>
    <mergeCell ref="T750:U750"/>
    <mergeCell ref="T751:U751"/>
    <mergeCell ref="T752:U752"/>
    <mergeCell ref="AD708:AG708"/>
    <mergeCell ref="T744:U744"/>
    <mergeCell ref="T745:V745"/>
    <mergeCell ref="T746:U746"/>
    <mergeCell ref="T740:U740"/>
    <mergeCell ref="AG697:AG701"/>
    <mergeCell ref="T741:U741"/>
    <mergeCell ref="T742:U742"/>
    <mergeCell ref="AG662:AG666"/>
    <mergeCell ref="AD631:AG631"/>
    <mergeCell ref="AG632:AG636"/>
    <mergeCell ref="AD612:AG612"/>
    <mergeCell ref="R612:Y612"/>
    <mergeCell ref="R516:Y516"/>
    <mergeCell ref="AD516:AG516"/>
    <mergeCell ref="R536:Y536"/>
    <mergeCell ref="AD536:AG536"/>
    <mergeCell ref="AD490:AG490"/>
    <mergeCell ref="B697:B701"/>
    <mergeCell ref="C697:C701"/>
    <mergeCell ref="D697:D701"/>
    <mergeCell ref="E697:E701"/>
    <mergeCell ref="F697:F701"/>
    <mergeCell ref="M697:M701"/>
    <mergeCell ref="R707:Y707"/>
    <mergeCell ref="AD707:AG707"/>
    <mergeCell ref="H702:H706"/>
    <mergeCell ref="I702:I706"/>
    <mergeCell ref="J702:J706"/>
    <mergeCell ref="K702:K706"/>
    <mergeCell ref="L702:L706"/>
    <mergeCell ref="M702:M706"/>
    <mergeCell ref="B702:B706"/>
    <mergeCell ref="C702:C706"/>
    <mergeCell ref="D702:D706"/>
    <mergeCell ref="E702:E706"/>
    <mergeCell ref="F702:F706"/>
    <mergeCell ref="G702:G706"/>
    <mergeCell ref="G697:G701"/>
    <mergeCell ref="H697:H701"/>
    <mergeCell ref="I697:I701"/>
    <mergeCell ref="J697:J701"/>
    <mergeCell ref="K697:K701"/>
    <mergeCell ref="L697:L701"/>
    <mergeCell ref="N697:N701"/>
    <mergeCell ref="O697:O701"/>
    <mergeCell ref="P697:P701"/>
    <mergeCell ref="Q697:Q701"/>
    <mergeCell ref="AG279:AG287"/>
    <mergeCell ref="AG260:AG278"/>
    <mergeCell ref="AG235:AG255"/>
    <mergeCell ref="AG228:AG234"/>
    <mergeCell ref="AG587:AG591"/>
    <mergeCell ref="AG592:AG596"/>
    <mergeCell ref="AG597:AG601"/>
    <mergeCell ref="AG602:AG606"/>
    <mergeCell ref="AG607:AG611"/>
    <mergeCell ref="AG521:AG525"/>
    <mergeCell ref="AG491:AG495"/>
    <mergeCell ref="AG496:AG500"/>
    <mergeCell ref="AG501:AG505"/>
    <mergeCell ref="AG506:AG510"/>
    <mergeCell ref="AG511:AG515"/>
    <mergeCell ref="AG485:AG489"/>
    <mergeCell ref="AG480:AG484"/>
    <mergeCell ref="AG333:AG337"/>
    <mergeCell ref="AG338:AG342"/>
    <mergeCell ref="AG353:AG357"/>
    <mergeCell ref="AG358:AG362"/>
    <mergeCell ref="AG363:AG367"/>
    <mergeCell ref="AG368:AG372"/>
    <mergeCell ref="AG373:AG377"/>
    <mergeCell ref="AG537:AG541"/>
    <mergeCell ref="AG542:AG546"/>
    <mergeCell ref="AG547:AG551"/>
    <mergeCell ref="AG552:AG556"/>
    <mergeCell ref="AG557:AG561"/>
    <mergeCell ref="AG562:AG566"/>
    <mergeCell ref="AG567:AG571"/>
    <mergeCell ref="AG572:AG576"/>
    <mergeCell ref="AG82:AG86"/>
    <mergeCell ref="AG73:AG76"/>
    <mergeCell ref="AG60:AG64"/>
    <mergeCell ref="AG55:AG59"/>
    <mergeCell ref="A35:A66"/>
    <mergeCell ref="AG613:AG616"/>
    <mergeCell ref="AG475:AG479"/>
    <mergeCell ref="AG470:AG474"/>
    <mergeCell ref="AG465:AG469"/>
    <mergeCell ref="AG460:AG464"/>
    <mergeCell ref="AG455:AG459"/>
    <mergeCell ref="AG450:AG454"/>
    <mergeCell ref="AG444:AG448"/>
    <mergeCell ref="AG439:AG443"/>
    <mergeCell ref="AG434:AG438"/>
    <mergeCell ref="AG429:AG433"/>
    <mergeCell ref="AG424:AG428"/>
    <mergeCell ref="AG419:AG423"/>
    <mergeCell ref="AG414:AG418"/>
    <mergeCell ref="AG409:AG413"/>
    <mergeCell ref="AG404:AG408"/>
    <mergeCell ref="AG399:AG403"/>
    <mergeCell ref="AG394:AG398"/>
    <mergeCell ref="AG389:AG393"/>
    <mergeCell ref="AG383:AG387"/>
    <mergeCell ref="AG378:AG382"/>
    <mergeCell ref="AG343:AG347"/>
    <mergeCell ref="AG348:AG352"/>
    <mergeCell ref="AG328:AG332"/>
    <mergeCell ref="AG305:AG327"/>
    <mergeCell ref="AG298:AG304"/>
    <mergeCell ref="AG288:AG297"/>
    <mergeCell ref="Q363:Q367"/>
    <mergeCell ref="Q414:Q418"/>
    <mergeCell ref="AG50:AG54"/>
    <mergeCell ref="AG45:AG49"/>
    <mergeCell ref="AG40:AG44"/>
    <mergeCell ref="AG35:AG39"/>
    <mergeCell ref="AG25:AG29"/>
    <mergeCell ref="AG20:AG24"/>
    <mergeCell ref="AG30:AG34"/>
    <mergeCell ref="AG9:AG13"/>
    <mergeCell ref="L172:L173"/>
    <mergeCell ref="M172:M173"/>
    <mergeCell ref="N172:N173"/>
    <mergeCell ref="L175:L176"/>
    <mergeCell ref="M175:M176"/>
    <mergeCell ref="N175:N176"/>
    <mergeCell ref="L177:L181"/>
    <mergeCell ref="M177:M181"/>
    <mergeCell ref="N177:N181"/>
    <mergeCell ref="AG216:AG227"/>
    <mergeCell ref="AG207:AG215"/>
    <mergeCell ref="AG202:AG206"/>
    <mergeCell ref="AG198:AG201"/>
    <mergeCell ref="AG196:AG197"/>
    <mergeCell ref="AG191:AG195"/>
    <mergeCell ref="AG186:AG190"/>
    <mergeCell ref="AG184:AG185"/>
    <mergeCell ref="AG182:AG183"/>
    <mergeCell ref="AG177:AG181"/>
    <mergeCell ref="AG175:AG176"/>
    <mergeCell ref="AG172:AG173"/>
    <mergeCell ref="AG128:AG171"/>
  </mergeCells>
  <printOptions horizontalCentered="1"/>
  <pageMargins left="0" right="0" top="0.78740157480314965" bottom="0.35433070866141736" header="0" footer="0"/>
  <pageSetup paperSize="9" scale="70" pageOrder="overThenDown" orientation="landscape" horizontalDpi="300" verticalDpi="300" r:id="rId1"/>
  <headerFooter>
    <oddHeader>&amp;LFacultad de Ciencias Químicas y de la Salud&amp;C&amp;P</oddHead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E36C09"/>
  </sheetPr>
  <dimension ref="A1:AG1284"/>
  <sheetViews>
    <sheetView showGridLines="0" topLeftCell="R1262" zoomScaleNormal="100" workbookViewId="0">
      <selection activeCell="AA79" sqref="AA79"/>
    </sheetView>
  </sheetViews>
  <sheetFormatPr baseColWidth="10" defaultColWidth="12.7109375" defaultRowHeight="15.75" customHeight="1"/>
  <cols>
    <col min="1" max="1" width="7.7109375" style="1429" customWidth="1"/>
    <col min="2" max="5" width="25.7109375" style="1429" customWidth="1"/>
    <col min="6" max="6" width="26.7109375" style="1429" customWidth="1"/>
    <col min="7" max="11" width="25.7109375" style="1429" customWidth="1"/>
    <col min="12" max="14" width="8.7109375" style="1429" customWidth="1"/>
    <col min="15" max="17" width="25.7109375" style="1429" customWidth="1"/>
    <col min="18" max="18" width="22.7109375" style="1429" customWidth="1"/>
    <col min="19" max="20" width="18.7109375" style="1429" customWidth="1"/>
    <col min="21" max="21" width="40.7109375" style="1429" customWidth="1"/>
    <col min="22" max="22" width="17.42578125" style="1429" customWidth="1"/>
    <col min="23" max="24" width="12.7109375" style="1429" customWidth="1"/>
    <col min="25" max="25" width="13.42578125" style="1429" bestFit="1" customWidth="1"/>
    <col min="26" max="26" width="12.7109375" style="1429" customWidth="1"/>
    <col min="27" max="27" width="16" style="1429" bestFit="1" customWidth="1"/>
    <col min="28" max="28" width="12.140625" style="1473" customWidth="1"/>
    <col min="29" max="29" width="10.28515625" style="1473" customWidth="1"/>
    <col min="30" max="32" width="8.7109375" style="1429" customWidth="1"/>
    <col min="33" max="33" width="19.7109375" style="1429" customWidth="1"/>
    <col min="34" max="16384" width="12.7109375" style="1429"/>
  </cols>
  <sheetData>
    <row r="1" spans="1:33" ht="39.75" customHeight="1">
      <c r="A1" s="11197" t="s">
        <v>0</v>
      </c>
      <c r="B1" s="11198"/>
      <c r="C1" s="11198"/>
      <c r="D1" s="11198"/>
      <c r="E1" s="11198"/>
      <c r="F1" s="11198"/>
      <c r="G1" s="11198"/>
      <c r="H1" s="11198"/>
      <c r="I1" s="11198"/>
      <c r="J1" s="11198"/>
      <c r="K1" s="11198"/>
      <c r="L1" s="11198"/>
      <c r="M1" s="11198"/>
      <c r="N1" s="11198"/>
      <c r="O1" s="11198"/>
      <c r="P1" s="11198"/>
      <c r="Q1" s="11198"/>
      <c r="R1" s="11198"/>
      <c r="S1" s="11198"/>
      <c r="T1" s="11198"/>
      <c r="U1" s="11198"/>
      <c r="V1" s="11198"/>
      <c r="W1" s="11198"/>
      <c r="X1" s="11198"/>
      <c r="Y1" s="11198"/>
      <c r="Z1" s="11198"/>
      <c r="AA1" s="11198"/>
      <c r="AB1" s="11198"/>
      <c r="AC1" s="11198"/>
      <c r="AD1" s="11198"/>
      <c r="AE1" s="11198"/>
      <c r="AF1" s="11198"/>
      <c r="AG1" s="11198"/>
    </row>
    <row r="2" spans="1:33" ht="30" customHeight="1">
      <c r="A2" s="11199" t="s">
        <v>1</v>
      </c>
      <c r="B2" s="11200"/>
      <c r="C2" s="11200"/>
      <c r="D2" s="11200"/>
      <c r="E2" s="11200"/>
      <c r="F2" s="11200"/>
      <c r="G2" s="11200"/>
      <c r="H2" s="11200"/>
      <c r="I2" s="11200"/>
      <c r="J2" s="11200"/>
      <c r="K2" s="11200"/>
      <c r="L2" s="11200"/>
      <c r="M2" s="11200"/>
      <c r="N2" s="11200"/>
      <c r="O2" s="11200"/>
      <c r="P2" s="11200"/>
      <c r="Q2" s="11200"/>
      <c r="R2" s="11200"/>
      <c r="S2" s="11200"/>
      <c r="T2" s="11200"/>
      <c r="U2" s="11200"/>
      <c r="V2" s="11200"/>
      <c r="W2" s="11200"/>
      <c r="X2" s="11200"/>
      <c r="Y2" s="11200"/>
      <c r="Z2" s="11200"/>
      <c r="AA2" s="11200"/>
      <c r="AB2" s="11200"/>
      <c r="AC2" s="11200"/>
      <c r="AD2" s="11200"/>
      <c r="AE2" s="11200"/>
      <c r="AF2" s="11200"/>
      <c r="AG2" s="11200"/>
    </row>
    <row r="3" spans="1:33" ht="30.75" customHeight="1">
      <c r="A3" s="11201" t="s">
        <v>5753</v>
      </c>
      <c r="B3" s="11198"/>
      <c r="C3" s="11198"/>
      <c r="D3" s="11198"/>
      <c r="E3" s="11198"/>
      <c r="F3" s="11198"/>
      <c r="G3" s="11198"/>
      <c r="H3" s="11198"/>
      <c r="I3" s="11198"/>
      <c r="J3" s="11198"/>
      <c r="K3" s="11198"/>
      <c r="L3" s="11198"/>
      <c r="M3" s="11198"/>
      <c r="N3" s="11198"/>
      <c r="O3" s="11198"/>
      <c r="P3" s="11198"/>
      <c r="Q3" s="11198"/>
      <c r="R3" s="11198"/>
      <c r="S3" s="11198"/>
      <c r="T3" s="11198"/>
      <c r="U3" s="11198"/>
      <c r="V3" s="11198"/>
      <c r="W3" s="11198"/>
      <c r="X3" s="11198"/>
      <c r="Y3" s="11198"/>
      <c r="Z3" s="11198"/>
      <c r="AA3" s="11198"/>
      <c r="AB3" s="11198"/>
      <c r="AC3" s="11198"/>
      <c r="AD3" s="11198"/>
      <c r="AE3" s="11198"/>
      <c r="AF3" s="11198"/>
      <c r="AG3" s="11198"/>
    </row>
    <row r="4" spans="1:33" ht="27" customHeight="1">
      <c r="A4" s="11202" t="s">
        <v>88</v>
      </c>
      <c r="B4" s="11198"/>
      <c r="C4" s="11198"/>
      <c r="D4" s="11198"/>
      <c r="E4" s="11198"/>
      <c r="F4" s="11198"/>
      <c r="G4" s="11198"/>
      <c r="H4" s="11198"/>
      <c r="I4" s="11198"/>
      <c r="J4" s="11198"/>
      <c r="K4" s="11198"/>
      <c r="L4" s="11198"/>
      <c r="M4" s="11198"/>
      <c r="N4" s="11198"/>
      <c r="O4" s="11198"/>
      <c r="P4" s="11198"/>
      <c r="Q4" s="11198"/>
      <c r="R4" s="11198"/>
      <c r="S4" s="11198"/>
      <c r="T4" s="11198"/>
      <c r="U4" s="11198"/>
      <c r="V4" s="11198"/>
      <c r="W4" s="11198"/>
      <c r="X4" s="11198"/>
      <c r="Y4" s="11198"/>
      <c r="Z4" s="11198"/>
      <c r="AA4" s="11198"/>
      <c r="AB4" s="11198"/>
      <c r="AC4" s="11198"/>
      <c r="AD4" s="11198"/>
      <c r="AE4" s="11198"/>
      <c r="AF4" s="11198"/>
      <c r="AG4" s="11198"/>
    </row>
    <row r="5" spans="1:33" ht="16.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355"/>
      <c r="AC5" s="355"/>
      <c r="AD5" s="11"/>
      <c r="AE5" s="11"/>
      <c r="AF5" s="11"/>
      <c r="AG5" s="11"/>
    </row>
    <row r="6" spans="1:33" ht="24.75" customHeight="1">
      <c r="A6" s="11203" t="s">
        <v>89</v>
      </c>
      <c r="B6" s="8832" t="s">
        <v>90</v>
      </c>
      <c r="C6" s="11206"/>
      <c r="D6" s="9010" t="s">
        <v>91</v>
      </c>
      <c r="E6" s="11207"/>
      <c r="F6" s="11207"/>
      <c r="G6" s="11207"/>
      <c r="H6" s="11207"/>
      <c r="I6" s="8988" t="s">
        <v>92</v>
      </c>
      <c r="J6" s="11190"/>
      <c r="K6" s="11190"/>
      <c r="L6" s="11190"/>
      <c r="M6" s="11190"/>
      <c r="N6" s="11190"/>
      <c r="O6" s="11190"/>
      <c r="P6" s="11190"/>
      <c r="Q6" s="11191"/>
      <c r="R6" s="9150" t="s">
        <v>93</v>
      </c>
      <c r="S6" s="11192"/>
      <c r="T6" s="11192"/>
      <c r="U6" s="11192"/>
      <c r="V6" s="11192"/>
      <c r="W6" s="11192"/>
      <c r="X6" s="11192"/>
      <c r="Y6" s="11192"/>
      <c r="Z6" s="11192"/>
      <c r="AA6" s="11192"/>
      <c r="AB6" s="11192"/>
      <c r="AC6" s="11192"/>
      <c r="AD6" s="11192"/>
      <c r="AE6" s="11192"/>
      <c r="AF6" s="11192"/>
      <c r="AG6" s="11193"/>
    </row>
    <row r="7" spans="1:33" ht="39.75" customHeight="1">
      <c r="A7" s="11204"/>
      <c r="B7" s="9146" t="s">
        <v>94</v>
      </c>
      <c r="C7" s="9147" t="s">
        <v>95</v>
      </c>
      <c r="D7" s="9012" t="s">
        <v>96</v>
      </c>
      <c r="E7" s="9012" t="s">
        <v>97</v>
      </c>
      <c r="F7" s="9012" t="s">
        <v>98</v>
      </c>
      <c r="G7" s="9012" t="s">
        <v>99</v>
      </c>
      <c r="H7" s="9012" t="s">
        <v>100</v>
      </c>
      <c r="I7" s="9014" t="s">
        <v>101</v>
      </c>
      <c r="J7" s="9016" t="s">
        <v>102</v>
      </c>
      <c r="K7" s="9016" t="s">
        <v>103</v>
      </c>
      <c r="L7" s="9016" t="s">
        <v>104</v>
      </c>
      <c r="M7" s="11188"/>
      <c r="N7" s="11188"/>
      <c r="O7" s="9016" t="s">
        <v>105</v>
      </c>
      <c r="P7" s="9016" t="s">
        <v>106</v>
      </c>
      <c r="Q7" s="9815" t="s">
        <v>107</v>
      </c>
      <c r="R7" s="9153" t="s">
        <v>108</v>
      </c>
      <c r="S7" s="11194"/>
      <c r="T7" s="11194"/>
      <c r="U7" s="11194"/>
      <c r="V7" s="11194"/>
      <c r="W7" s="11194"/>
      <c r="X7" s="11195"/>
      <c r="Y7" s="9156" t="s">
        <v>109</v>
      </c>
      <c r="Z7" s="9812"/>
      <c r="AA7" s="9812"/>
      <c r="AB7" s="9812"/>
      <c r="AC7" s="9813"/>
      <c r="AD7" s="9156" t="s">
        <v>110</v>
      </c>
      <c r="AE7" s="11194"/>
      <c r="AF7" s="11195"/>
      <c r="AG7" s="9157" t="s">
        <v>111</v>
      </c>
    </row>
    <row r="8" spans="1:33" ht="51.75" customHeight="1">
      <c r="A8" s="11205"/>
      <c r="B8" s="11183"/>
      <c r="C8" s="11184"/>
      <c r="D8" s="11185"/>
      <c r="E8" s="11185"/>
      <c r="F8" s="11185"/>
      <c r="G8" s="11185"/>
      <c r="H8" s="11185"/>
      <c r="I8" s="11186"/>
      <c r="J8" s="11187"/>
      <c r="K8" s="11187"/>
      <c r="L8" s="5086" t="s">
        <v>112</v>
      </c>
      <c r="M8" s="5086" t="s">
        <v>113</v>
      </c>
      <c r="N8" s="5086" t="s">
        <v>114</v>
      </c>
      <c r="O8" s="11187"/>
      <c r="P8" s="11187"/>
      <c r="Q8" s="11189"/>
      <c r="R8" s="5087" t="s">
        <v>115</v>
      </c>
      <c r="S8" s="5088" t="s">
        <v>116</v>
      </c>
      <c r="T8" s="5088" t="s">
        <v>117</v>
      </c>
      <c r="U8" s="5088" t="s">
        <v>118</v>
      </c>
      <c r="V8" s="5088" t="s">
        <v>119</v>
      </c>
      <c r="W8" s="5088" t="s">
        <v>372</v>
      </c>
      <c r="X8" s="5090" t="s">
        <v>121</v>
      </c>
      <c r="Y8" s="5088" t="s">
        <v>122</v>
      </c>
      <c r="Z8" s="5088" t="s">
        <v>123</v>
      </c>
      <c r="AA8" s="5088" t="s">
        <v>124</v>
      </c>
      <c r="AB8" s="5090" t="s">
        <v>125</v>
      </c>
      <c r="AC8" s="5090" t="s">
        <v>1100</v>
      </c>
      <c r="AD8" s="5088" t="s">
        <v>112</v>
      </c>
      <c r="AE8" s="5088" t="s">
        <v>113</v>
      </c>
      <c r="AF8" s="5088" t="s">
        <v>114</v>
      </c>
      <c r="AG8" s="11196"/>
    </row>
    <row r="9" spans="1:33" ht="23.25" customHeight="1">
      <c r="A9" s="9599" t="s">
        <v>4188</v>
      </c>
      <c r="B9" s="10518" t="s">
        <v>127</v>
      </c>
      <c r="C9" s="10452" t="s">
        <v>128</v>
      </c>
      <c r="D9" s="10452" t="s">
        <v>129</v>
      </c>
      <c r="E9" s="10452" t="s">
        <v>268</v>
      </c>
      <c r="F9" s="10454" t="s">
        <v>131</v>
      </c>
      <c r="G9" s="10452" t="s">
        <v>158</v>
      </c>
      <c r="H9" s="10452" t="s">
        <v>159</v>
      </c>
      <c r="I9" s="10433" t="s">
        <v>5754</v>
      </c>
      <c r="J9" s="10477" t="s">
        <v>5755</v>
      </c>
      <c r="K9" s="10452" t="s">
        <v>5756</v>
      </c>
      <c r="L9" s="10488">
        <v>1</v>
      </c>
      <c r="M9" s="10488">
        <v>1</v>
      </c>
      <c r="N9" s="10488">
        <v>1</v>
      </c>
      <c r="O9" s="10452" t="s">
        <v>5757</v>
      </c>
      <c r="P9" s="10452" t="s">
        <v>5758</v>
      </c>
      <c r="Q9" s="10453" t="s">
        <v>5759</v>
      </c>
      <c r="R9" s="3779"/>
      <c r="S9" s="5462"/>
      <c r="T9" s="5462"/>
      <c r="U9" s="3764"/>
      <c r="V9" s="5498"/>
      <c r="W9" s="3683"/>
      <c r="X9" s="5521"/>
      <c r="Y9" s="5521"/>
      <c r="Z9" s="5521"/>
      <c r="AA9" s="5522"/>
      <c r="AB9" s="5580"/>
      <c r="AC9" s="4323"/>
      <c r="AD9" s="3683"/>
      <c r="AE9" s="5609"/>
      <c r="AF9" s="5609"/>
      <c r="AG9" s="10531"/>
    </row>
    <row r="10" spans="1:33" ht="27.75" customHeight="1">
      <c r="A10" s="11139"/>
      <c r="B10" s="11136"/>
      <c r="C10" s="11124"/>
      <c r="D10" s="11124"/>
      <c r="E10" s="11124"/>
      <c r="F10" s="11124"/>
      <c r="G10" s="11124"/>
      <c r="H10" s="11124"/>
      <c r="I10" s="11124"/>
      <c r="J10" s="11124"/>
      <c r="K10" s="11124"/>
      <c r="L10" s="11131"/>
      <c r="M10" s="10504"/>
      <c r="N10" s="11131"/>
      <c r="O10" s="11124"/>
      <c r="P10" s="11124"/>
      <c r="Q10" s="11127"/>
      <c r="R10" s="3538"/>
      <c r="S10" s="5463"/>
      <c r="T10" s="5463"/>
      <c r="U10" s="3495"/>
      <c r="V10" s="5499"/>
      <c r="W10" s="3496"/>
      <c r="X10" s="5523"/>
      <c r="Y10" s="5523"/>
      <c r="Z10" s="5523"/>
      <c r="AA10" s="5524"/>
      <c r="AB10" s="5581"/>
      <c r="AC10" s="4316"/>
      <c r="AD10" s="3496"/>
      <c r="AE10" s="5610"/>
      <c r="AF10" s="5610"/>
      <c r="AG10" s="11141"/>
    </row>
    <row r="11" spans="1:33" ht="28.5" customHeight="1">
      <c r="A11" s="11139"/>
      <c r="B11" s="11136"/>
      <c r="C11" s="11124"/>
      <c r="D11" s="11124"/>
      <c r="E11" s="11124"/>
      <c r="F11" s="11124"/>
      <c r="G11" s="11124"/>
      <c r="H11" s="11124"/>
      <c r="I11" s="11124"/>
      <c r="J11" s="11124"/>
      <c r="K11" s="11124"/>
      <c r="L11" s="11131"/>
      <c r="M11" s="10504"/>
      <c r="N11" s="11131"/>
      <c r="O11" s="11124"/>
      <c r="P11" s="11124"/>
      <c r="Q11" s="11127"/>
      <c r="R11" s="3538"/>
      <c r="S11" s="5463"/>
      <c r="T11" s="5463"/>
      <c r="U11" s="3495"/>
      <c r="V11" s="5499"/>
      <c r="W11" s="3496"/>
      <c r="X11" s="5523"/>
      <c r="Y11" s="5523"/>
      <c r="Z11" s="5523"/>
      <c r="AA11" s="5524"/>
      <c r="AB11" s="5581"/>
      <c r="AC11" s="4316"/>
      <c r="AD11" s="3496"/>
      <c r="AE11" s="5610"/>
      <c r="AF11" s="5610"/>
      <c r="AG11" s="11141"/>
    </row>
    <row r="12" spans="1:33" ht="25.5" customHeight="1">
      <c r="A12" s="11139"/>
      <c r="B12" s="11136"/>
      <c r="C12" s="11124"/>
      <c r="D12" s="11124"/>
      <c r="E12" s="11124"/>
      <c r="F12" s="11124"/>
      <c r="G12" s="11124"/>
      <c r="H12" s="11124"/>
      <c r="I12" s="11124"/>
      <c r="J12" s="11124"/>
      <c r="K12" s="11124"/>
      <c r="L12" s="11131"/>
      <c r="M12" s="10504"/>
      <c r="N12" s="11131"/>
      <c r="O12" s="11124"/>
      <c r="P12" s="11124"/>
      <c r="Q12" s="11127"/>
      <c r="R12" s="3782"/>
      <c r="S12" s="5464"/>
      <c r="T12" s="5464"/>
      <c r="U12" s="3813"/>
      <c r="V12" s="5500"/>
      <c r="W12" s="3504"/>
      <c r="X12" s="5525"/>
      <c r="Y12" s="5525"/>
      <c r="Z12" s="5525"/>
      <c r="AA12" s="5526"/>
      <c r="AB12" s="5582"/>
      <c r="AC12" s="4324"/>
      <c r="AD12" s="3504"/>
      <c r="AE12" s="3699"/>
      <c r="AF12" s="3699"/>
      <c r="AG12" s="11141"/>
    </row>
    <row r="13" spans="1:33" ht="25.5" customHeight="1">
      <c r="A13" s="11139"/>
      <c r="B13" s="11137"/>
      <c r="C13" s="11125"/>
      <c r="D13" s="11125"/>
      <c r="E13" s="11125"/>
      <c r="F13" s="11125"/>
      <c r="G13" s="11125"/>
      <c r="H13" s="11125"/>
      <c r="I13" s="11125"/>
      <c r="J13" s="11125"/>
      <c r="K13" s="11125"/>
      <c r="L13" s="11134"/>
      <c r="M13" s="10505"/>
      <c r="N13" s="11134"/>
      <c r="O13" s="11125"/>
      <c r="P13" s="11125"/>
      <c r="Q13" s="11135"/>
      <c r="R13" s="3780"/>
      <c r="S13" s="5465"/>
      <c r="T13" s="5465"/>
      <c r="U13" s="3808"/>
      <c r="V13" s="5501"/>
      <c r="W13" s="3727"/>
      <c r="X13" s="5527"/>
      <c r="Y13" s="5527"/>
      <c r="Z13" s="5527"/>
      <c r="AA13" s="5528"/>
      <c r="AB13" s="5583"/>
      <c r="AC13" s="4339"/>
      <c r="AD13" s="3727"/>
      <c r="AE13" s="3755"/>
      <c r="AF13" s="3755"/>
      <c r="AG13" s="11143"/>
    </row>
    <row r="14" spans="1:33" ht="63" customHeight="1">
      <c r="A14" s="11139"/>
      <c r="B14" s="10516" t="s">
        <v>127</v>
      </c>
      <c r="C14" s="10433" t="s">
        <v>128</v>
      </c>
      <c r="D14" s="10433" t="s">
        <v>129</v>
      </c>
      <c r="E14" s="10433" t="s">
        <v>268</v>
      </c>
      <c r="F14" s="10442" t="s">
        <v>131</v>
      </c>
      <c r="G14" s="10433" t="s">
        <v>247</v>
      </c>
      <c r="H14" s="10433" t="s">
        <v>159</v>
      </c>
      <c r="I14" s="10433" t="s">
        <v>5760</v>
      </c>
      <c r="J14" s="10433" t="s">
        <v>4196</v>
      </c>
      <c r="K14" s="10433" t="s">
        <v>5761</v>
      </c>
      <c r="L14" s="10470">
        <v>1</v>
      </c>
      <c r="M14" s="10470">
        <v>1</v>
      </c>
      <c r="N14" s="10470">
        <v>1</v>
      </c>
      <c r="O14" s="10433" t="s">
        <v>5762</v>
      </c>
      <c r="P14" s="10433" t="s">
        <v>5763</v>
      </c>
      <c r="Q14" s="10439" t="s">
        <v>5764</v>
      </c>
      <c r="R14" s="3781"/>
      <c r="S14" s="5466"/>
      <c r="T14" s="5466"/>
      <c r="U14" s="3762"/>
      <c r="V14" s="5502"/>
      <c r="W14" s="3709"/>
      <c r="X14" s="5529"/>
      <c r="Y14" s="5529"/>
      <c r="Z14" s="5529"/>
      <c r="AA14" s="5530"/>
      <c r="AB14" s="5584"/>
      <c r="AC14" s="4338"/>
      <c r="AD14" s="2930"/>
      <c r="AE14" s="5611"/>
      <c r="AF14" s="5611"/>
      <c r="AG14" s="10481"/>
    </row>
    <row r="15" spans="1:33" ht="15.75" customHeight="1">
      <c r="A15" s="11139"/>
      <c r="B15" s="11136"/>
      <c r="C15" s="11124"/>
      <c r="D15" s="11124"/>
      <c r="E15" s="11124"/>
      <c r="F15" s="11124"/>
      <c r="G15" s="11124"/>
      <c r="H15" s="11124"/>
      <c r="I15" s="11124"/>
      <c r="J15" s="11124"/>
      <c r="K15" s="11124"/>
      <c r="L15" s="11131"/>
      <c r="M15" s="11131"/>
      <c r="N15" s="11131"/>
      <c r="O15" s="11124"/>
      <c r="P15" s="11124"/>
      <c r="Q15" s="11127"/>
      <c r="R15" s="3792"/>
      <c r="S15" s="5463"/>
      <c r="T15" s="5463"/>
      <c r="U15" s="3495"/>
      <c r="V15" s="5499"/>
      <c r="W15" s="3496"/>
      <c r="X15" s="5523"/>
      <c r="Y15" s="5523"/>
      <c r="Z15" s="5523"/>
      <c r="AA15" s="5524"/>
      <c r="AB15" s="5581"/>
      <c r="AC15" s="4316"/>
      <c r="AD15" s="3699"/>
      <c r="AE15" s="3699"/>
      <c r="AF15" s="3699"/>
      <c r="AG15" s="11141"/>
    </row>
    <row r="16" spans="1:33" ht="15.75" customHeight="1">
      <c r="A16" s="11139"/>
      <c r="B16" s="11136"/>
      <c r="C16" s="11124"/>
      <c r="D16" s="11124"/>
      <c r="E16" s="11124"/>
      <c r="F16" s="11124"/>
      <c r="G16" s="11124"/>
      <c r="H16" s="11124"/>
      <c r="I16" s="11124"/>
      <c r="J16" s="11124"/>
      <c r="K16" s="11124"/>
      <c r="L16" s="11131"/>
      <c r="M16" s="11131"/>
      <c r="N16" s="11131"/>
      <c r="O16" s="11124"/>
      <c r="P16" s="11124"/>
      <c r="Q16" s="11127"/>
      <c r="R16" s="3792"/>
      <c r="S16" s="5463"/>
      <c r="T16" s="5463"/>
      <c r="U16" s="3495"/>
      <c r="V16" s="5499"/>
      <c r="W16" s="3496"/>
      <c r="X16" s="5523"/>
      <c r="Y16" s="5524"/>
      <c r="Z16" s="5523"/>
      <c r="AA16" s="5524"/>
      <c r="AB16" s="5581"/>
      <c r="AC16" s="4316"/>
      <c r="AD16" s="3699"/>
      <c r="AE16" s="3699"/>
      <c r="AF16" s="3699"/>
      <c r="AG16" s="11141"/>
    </row>
    <row r="17" spans="1:33" ht="20.25" customHeight="1">
      <c r="A17" s="11139"/>
      <c r="B17" s="11136"/>
      <c r="C17" s="11124"/>
      <c r="D17" s="11124"/>
      <c r="E17" s="11124"/>
      <c r="F17" s="11124"/>
      <c r="G17" s="11124"/>
      <c r="H17" s="11124"/>
      <c r="I17" s="11124"/>
      <c r="J17" s="11124"/>
      <c r="K17" s="11124"/>
      <c r="L17" s="11131"/>
      <c r="M17" s="11131"/>
      <c r="N17" s="11131"/>
      <c r="O17" s="11124"/>
      <c r="P17" s="11124"/>
      <c r="Q17" s="11127"/>
      <c r="R17" s="3782" t="s">
        <v>79</v>
      </c>
      <c r="S17" s="5467">
        <v>840104</v>
      </c>
      <c r="T17" s="5463"/>
      <c r="U17" s="3542" t="s">
        <v>39</v>
      </c>
      <c r="V17" s="5499"/>
      <c r="W17" s="3496"/>
      <c r="X17" s="5523"/>
      <c r="Y17" s="5523"/>
      <c r="Z17" s="5523"/>
      <c r="AA17" s="5531">
        <f>Z18</f>
        <v>1325</v>
      </c>
      <c r="AB17" s="5581" t="s">
        <v>18</v>
      </c>
      <c r="AC17" s="4316"/>
      <c r="AD17" s="3504"/>
      <c r="AE17" s="3699"/>
      <c r="AF17" s="3699"/>
      <c r="AG17" s="11141"/>
    </row>
    <row r="18" spans="1:33" ht="21" customHeight="1">
      <c r="A18" s="11139"/>
      <c r="B18" s="11138"/>
      <c r="C18" s="11126"/>
      <c r="D18" s="11126"/>
      <c r="E18" s="11126"/>
      <c r="F18" s="11126"/>
      <c r="G18" s="11126"/>
      <c r="H18" s="11126"/>
      <c r="I18" s="11126"/>
      <c r="J18" s="11126"/>
      <c r="K18" s="11126"/>
      <c r="L18" s="11132"/>
      <c r="M18" s="11132"/>
      <c r="N18" s="11132"/>
      <c r="O18" s="11126"/>
      <c r="P18" s="11126"/>
      <c r="Q18" s="11128"/>
      <c r="R18" s="3794"/>
      <c r="S18" s="5468"/>
      <c r="T18" s="5468"/>
      <c r="U18" s="3557" t="s">
        <v>5765</v>
      </c>
      <c r="V18" s="5503">
        <v>1</v>
      </c>
      <c r="W18" s="3545" t="s">
        <v>180</v>
      </c>
      <c r="X18" s="5532">
        <v>1325</v>
      </c>
      <c r="Y18" s="5532">
        <f>X18</f>
        <v>1325</v>
      </c>
      <c r="Z18" s="5532">
        <f>Y18</f>
        <v>1325</v>
      </c>
      <c r="AA18" s="5533"/>
      <c r="AB18" s="5585"/>
      <c r="AC18" s="4318"/>
      <c r="AD18" s="2933"/>
      <c r="AE18" s="5612" t="s">
        <v>153</v>
      </c>
      <c r="AF18" s="3754"/>
      <c r="AG18" s="11142"/>
    </row>
    <row r="19" spans="1:33" ht="18.75" customHeight="1">
      <c r="A19" s="11139"/>
      <c r="B19" s="10512" t="s">
        <v>183</v>
      </c>
      <c r="C19" s="10444" t="s">
        <v>227</v>
      </c>
      <c r="D19" s="10444" t="s">
        <v>129</v>
      </c>
      <c r="E19" s="10444" t="s">
        <v>336</v>
      </c>
      <c r="F19" s="10451" t="s">
        <v>131</v>
      </c>
      <c r="G19" s="10444" t="s">
        <v>132</v>
      </c>
      <c r="H19" s="10444" t="s">
        <v>214</v>
      </c>
      <c r="I19" s="10444" t="s">
        <v>5766</v>
      </c>
      <c r="J19" s="10448" t="s">
        <v>5767</v>
      </c>
      <c r="K19" s="10444" t="s">
        <v>5768</v>
      </c>
      <c r="L19" s="10455">
        <v>1</v>
      </c>
      <c r="M19" s="10455">
        <v>1</v>
      </c>
      <c r="N19" s="10455">
        <v>0</v>
      </c>
      <c r="O19" s="10444" t="s">
        <v>5769</v>
      </c>
      <c r="P19" s="10444" t="s">
        <v>5770</v>
      </c>
      <c r="Q19" s="10449" t="s">
        <v>5771</v>
      </c>
      <c r="R19" s="3793"/>
      <c r="S19" s="5469"/>
      <c r="T19" s="5469"/>
      <c r="U19" s="3758"/>
      <c r="V19" s="5504"/>
      <c r="W19" s="3658"/>
      <c r="X19" s="5534"/>
      <c r="Y19" s="5534"/>
      <c r="Z19" s="5534"/>
      <c r="AA19" s="5535"/>
      <c r="AB19" s="5586"/>
      <c r="AC19" s="4314"/>
      <c r="AD19" s="3721"/>
      <c r="AE19" s="5613"/>
      <c r="AF19" s="5613"/>
      <c r="AG19" s="10478"/>
    </row>
    <row r="20" spans="1:33" ht="18.75" customHeight="1">
      <c r="A20" s="11139"/>
      <c r="B20" s="11136"/>
      <c r="C20" s="11124"/>
      <c r="D20" s="11124"/>
      <c r="E20" s="11124"/>
      <c r="F20" s="11124"/>
      <c r="G20" s="11124"/>
      <c r="H20" s="11124"/>
      <c r="I20" s="11124"/>
      <c r="J20" s="11124"/>
      <c r="K20" s="11124"/>
      <c r="L20" s="11131"/>
      <c r="M20" s="10504"/>
      <c r="N20" s="11131"/>
      <c r="O20" s="11124"/>
      <c r="P20" s="11124"/>
      <c r="Q20" s="11127"/>
      <c r="R20" s="3792"/>
      <c r="S20" s="5470"/>
      <c r="T20" s="5470"/>
      <c r="U20" s="3813"/>
      <c r="V20" s="5500"/>
      <c r="W20" s="3504"/>
      <c r="X20" s="5525"/>
      <c r="Y20" s="5525"/>
      <c r="Z20" s="5525"/>
      <c r="AA20" s="5526"/>
      <c r="AB20" s="5582"/>
      <c r="AC20" s="4324"/>
      <c r="AD20" s="3504"/>
      <c r="AE20" s="3699"/>
      <c r="AF20" s="3699"/>
      <c r="AG20" s="11141"/>
    </row>
    <row r="21" spans="1:33" ht="18.75" customHeight="1">
      <c r="A21" s="11139"/>
      <c r="B21" s="11136"/>
      <c r="C21" s="11124"/>
      <c r="D21" s="11124"/>
      <c r="E21" s="11124"/>
      <c r="F21" s="11124"/>
      <c r="G21" s="11124"/>
      <c r="H21" s="11124"/>
      <c r="I21" s="11124"/>
      <c r="J21" s="11124"/>
      <c r="K21" s="11124"/>
      <c r="L21" s="11131"/>
      <c r="M21" s="10504"/>
      <c r="N21" s="11131"/>
      <c r="O21" s="11124"/>
      <c r="P21" s="11124"/>
      <c r="Q21" s="11127"/>
      <c r="R21" s="3792"/>
      <c r="S21" s="5470"/>
      <c r="T21" s="5470"/>
      <c r="U21" s="3813"/>
      <c r="V21" s="5500"/>
      <c r="W21" s="3504"/>
      <c r="X21" s="5525"/>
      <c r="Y21" s="5525"/>
      <c r="Z21" s="5525"/>
      <c r="AA21" s="5526"/>
      <c r="AB21" s="5582"/>
      <c r="AC21" s="4324"/>
      <c r="AD21" s="3504"/>
      <c r="AE21" s="3699"/>
      <c r="AF21" s="3699"/>
      <c r="AG21" s="11141"/>
    </row>
    <row r="22" spans="1:33" ht="18.75" customHeight="1">
      <c r="A22" s="11139"/>
      <c r="B22" s="11136"/>
      <c r="C22" s="11124"/>
      <c r="D22" s="11124"/>
      <c r="E22" s="11124"/>
      <c r="F22" s="11124"/>
      <c r="G22" s="11124"/>
      <c r="H22" s="11124"/>
      <c r="I22" s="11124"/>
      <c r="J22" s="11124"/>
      <c r="K22" s="11124"/>
      <c r="L22" s="11131"/>
      <c r="M22" s="10504"/>
      <c r="N22" s="11131"/>
      <c r="O22" s="11124"/>
      <c r="P22" s="11124"/>
      <c r="Q22" s="11127"/>
      <c r="R22" s="3782"/>
      <c r="S22" s="5464"/>
      <c r="T22" s="5464"/>
      <c r="U22" s="3813"/>
      <c r="V22" s="5500"/>
      <c r="W22" s="3504"/>
      <c r="X22" s="5525"/>
      <c r="Y22" s="5525"/>
      <c r="Z22" s="5525"/>
      <c r="AA22" s="5526"/>
      <c r="AB22" s="5582"/>
      <c r="AC22" s="4324"/>
      <c r="AD22" s="3504"/>
      <c r="AE22" s="3699"/>
      <c r="AF22" s="3699"/>
      <c r="AG22" s="11141"/>
    </row>
    <row r="23" spans="1:33" ht="18.75" customHeight="1">
      <c r="A23" s="11139"/>
      <c r="B23" s="11137"/>
      <c r="C23" s="11125"/>
      <c r="D23" s="11125"/>
      <c r="E23" s="11125"/>
      <c r="F23" s="11125"/>
      <c r="G23" s="11125"/>
      <c r="H23" s="11125"/>
      <c r="I23" s="11125"/>
      <c r="J23" s="11125"/>
      <c r="K23" s="11125"/>
      <c r="L23" s="11134"/>
      <c r="M23" s="10505"/>
      <c r="N23" s="11134"/>
      <c r="O23" s="11125"/>
      <c r="P23" s="11125"/>
      <c r="Q23" s="11135"/>
      <c r="R23" s="3780"/>
      <c r="S23" s="5465"/>
      <c r="T23" s="5465"/>
      <c r="U23" s="3808"/>
      <c r="V23" s="5501"/>
      <c r="W23" s="3727"/>
      <c r="X23" s="5527"/>
      <c r="Y23" s="5527"/>
      <c r="Z23" s="5527"/>
      <c r="AA23" s="5528"/>
      <c r="AB23" s="5583"/>
      <c r="AC23" s="4339"/>
      <c r="AD23" s="3727"/>
      <c r="AE23" s="3755"/>
      <c r="AF23" s="3755"/>
      <c r="AG23" s="11143"/>
    </row>
    <row r="24" spans="1:33" ht="18.75" customHeight="1">
      <c r="A24" s="11139"/>
      <c r="B24" s="10516" t="s">
        <v>127</v>
      </c>
      <c r="C24" s="10433" t="s">
        <v>128</v>
      </c>
      <c r="D24" s="10433" t="s">
        <v>140</v>
      </c>
      <c r="E24" s="10433" t="s">
        <v>238</v>
      </c>
      <c r="F24" s="10442" t="s">
        <v>131</v>
      </c>
      <c r="G24" s="10433" t="s">
        <v>132</v>
      </c>
      <c r="H24" s="10433" t="s">
        <v>159</v>
      </c>
      <c r="I24" s="10433" t="s">
        <v>5772</v>
      </c>
      <c r="J24" s="10433" t="s">
        <v>4222</v>
      </c>
      <c r="K24" s="10433" t="s">
        <v>4747</v>
      </c>
      <c r="L24" s="10470">
        <v>1</v>
      </c>
      <c r="M24" s="10470">
        <v>1</v>
      </c>
      <c r="N24" s="10470">
        <v>1</v>
      </c>
      <c r="O24" s="10433" t="s">
        <v>5773</v>
      </c>
      <c r="P24" s="10433" t="s">
        <v>5774</v>
      </c>
      <c r="Q24" s="10439" t="s">
        <v>5775</v>
      </c>
      <c r="R24" s="3781"/>
      <c r="S24" s="5471"/>
      <c r="T24" s="5471"/>
      <c r="U24" s="2929"/>
      <c r="V24" s="5505"/>
      <c r="W24" s="2930"/>
      <c r="X24" s="5536"/>
      <c r="Y24" s="5536"/>
      <c r="Z24" s="5536"/>
      <c r="AA24" s="5537"/>
      <c r="AB24" s="5587"/>
      <c r="AC24" s="4340"/>
      <c r="AD24" s="2930"/>
      <c r="AE24" s="5611"/>
      <c r="AF24" s="5611"/>
      <c r="AG24" s="10481"/>
    </row>
    <row r="25" spans="1:33" ht="18.75" customHeight="1">
      <c r="A25" s="11139"/>
      <c r="B25" s="11136"/>
      <c r="C25" s="11124"/>
      <c r="D25" s="11124"/>
      <c r="E25" s="11124"/>
      <c r="F25" s="11124"/>
      <c r="G25" s="11124"/>
      <c r="H25" s="11124"/>
      <c r="I25" s="11124"/>
      <c r="J25" s="11124"/>
      <c r="K25" s="11124"/>
      <c r="L25" s="11131"/>
      <c r="M25" s="10504"/>
      <c r="N25" s="11131"/>
      <c r="O25" s="11124"/>
      <c r="P25" s="11124"/>
      <c r="Q25" s="11127"/>
      <c r="R25" s="3792"/>
      <c r="S25" s="5470"/>
      <c r="T25" s="5470"/>
      <c r="U25" s="3813"/>
      <c r="V25" s="5500"/>
      <c r="W25" s="3504"/>
      <c r="X25" s="5525"/>
      <c r="Y25" s="5525"/>
      <c r="Z25" s="5525"/>
      <c r="AA25" s="5526"/>
      <c r="AB25" s="5582"/>
      <c r="AC25" s="4324"/>
      <c r="AD25" s="3504"/>
      <c r="AE25" s="3699"/>
      <c r="AF25" s="3699"/>
      <c r="AG25" s="11141"/>
    </row>
    <row r="26" spans="1:33" ht="18.75" customHeight="1">
      <c r="A26" s="11139"/>
      <c r="B26" s="11136"/>
      <c r="C26" s="11124"/>
      <c r="D26" s="11124"/>
      <c r="E26" s="11124"/>
      <c r="F26" s="11124"/>
      <c r="G26" s="11124"/>
      <c r="H26" s="11124"/>
      <c r="I26" s="11124"/>
      <c r="J26" s="11124"/>
      <c r="K26" s="11124"/>
      <c r="L26" s="11131"/>
      <c r="M26" s="10504"/>
      <c r="N26" s="11131"/>
      <c r="O26" s="11124"/>
      <c r="P26" s="11124"/>
      <c r="Q26" s="11127"/>
      <c r="R26" s="3792"/>
      <c r="S26" s="5470"/>
      <c r="T26" s="5470"/>
      <c r="U26" s="3813"/>
      <c r="V26" s="5500"/>
      <c r="W26" s="3504"/>
      <c r="X26" s="5525"/>
      <c r="Y26" s="5525"/>
      <c r="Z26" s="5525"/>
      <c r="AA26" s="5526"/>
      <c r="AB26" s="5582"/>
      <c r="AC26" s="4324"/>
      <c r="AD26" s="3504"/>
      <c r="AE26" s="3699"/>
      <c r="AF26" s="3699"/>
      <c r="AG26" s="11141"/>
    </row>
    <row r="27" spans="1:33" ht="18.75" customHeight="1">
      <c r="A27" s="11139"/>
      <c r="B27" s="11136"/>
      <c r="C27" s="11124"/>
      <c r="D27" s="11124"/>
      <c r="E27" s="11124"/>
      <c r="F27" s="11124"/>
      <c r="G27" s="11124"/>
      <c r="H27" s="11124"/>
      <c r="I27" s="11124"/>
      <c r="J27" s="11124"/>
      <c r="K27" s="11124"/>
      <c r="L27" s="11131"/>
      <c r="M27" s="10504"/>
      <c r="N27" s="11131"/>
      <c r="O27" s="11124"/>
      <c r="P27" s="11124"/>
      <c r="Q27" s="11127"/>
      <c r="R27" s="3782"/>
      <c r="S27" s="5464"/>
      <c r="T27" s="5464"/>
      <c r="U27" s="3813"/>
      <c r="V27" s="5500"/>
      <c r="W27" s="3504"/>
      <c r="X27" s="5525"/>
      <c r="Y27" s="5525"/>
      <c r="Z27" s="5525"/>
      <c r="AA27" s="5526"/>
      <c r="AB27" s="5582"/>
      <c r="AC27" s="4324"/>
      <c r="AD27" s="3504"/>
      <c r="AE27" s="3699"/>
      <c r="AF27" s="3699"/>
      <c r="AG27" s="11141"/>
    </row>
    <row r="28" spans="1:33" ht="18.75" customHeight="1">
      <c r="A28" s="11139"/>
      <c r="B28" s="11138"/>
      <c r="C28" s="11126"/>
      <c r="D28" s="11126"/>
      <c r="E28" s="11126"/>
      <c r="F28" s="11126"/>
      <c r="G28" s="11126"/>
      <c r="H28" s="11126"/>
      <c r="I28" s="11126"/>
      <c r="J28" s="11126"/>
      <c r="K28" s="11126"/>
      <c r="L28" s="11132"/>
      <c r="M28" s="11129"/>
      <c r="N28" s="11132"/>
      <c r="O28" s="11126"/>
      <c r="P28" s="11126"/>
      <c r="Q28" s="11128"/>
      <c r="R28" s="3794"/>
      <c r="S28" s="5472"/>
      <c r="T28" s="5472"/>
      <c r="U28" s="2932"/>
      <c r="V28" s="5506"/>
      <c r="W28" s="2933"/>
      <c r="X28" s="5538"/>
      <c r="Y28" s="5538"/>
      <c r="Z28" s="5538"/>
      <c r="AA28" s="5539"/>
      <c r="AB28" s="5588"/>
      <c r="AC28" s="4341"/>
      <c r="AD28" s="2933"/>
      <c r="AE28" s="3754"/>
      <c r="AF28" s="3754"/>
      <c r="AG28" s="11142"/>
    </row>
    <row r="29" spans="1:33" ht="18" customHeight="1">
      <c r="A29" s="11139"/>
      <c r="B29" s="10512" t="s">
        <v>183</v>
      </c>
      <c r="C29" s="10444" t="s">
        <v>227</v>
      </c>
      <c r="D29" s="10444" t="s">
        <v>228</v>
      </c>
      <c r="E29" s="10444" t="s">
        <v>255</v>
      </c>
      <c r="F29" s="10451" t="s">
        <v>230</v>
      </c>
      <c r="G29" s="10444" t="s">
        <v>171</v>
      </c>
      <c r="H29" s="10444" t="s">
        <v>159</v>
      </c>
      <c r="I29" s="10444" t="s">
        <v>5776</v>
      </c>
      <c r="J29" s="10444" t="s">
        <v>4228</v>
      </c>
      <c r="K29" s="10444" t="s">
        <v>5777</v>
      </c>
      <c r="L29" s="10455">
        <v>1</v>
      </c>
      <c r="M29" s="10455">
        <v>1</v>
      </c>
      <c r="N29" s="10455">
        <v>1</v>
      </c>
      <c r="O29" s="10444" t="s">
        <v>5778</v>
      </c>
      <c r="P29" s="10444" t="s">
        <v>5779</v>
      </c>
      <c r="Q29" s="10449" t="s">
        <v>5780</v>
      </c>
      <c r="R29" s="3793" t="s">
        <v>80</v>
      </c>
      <c r="S29" s="5469">
        <v>530812</v>
      </c>
      <c r="T29" s="5469"/>
      <c r="U29" s="3758" t="s">
        <v>1089</v>
      </c>
      <c r="V29" s="5504"/>
      <c r="W29" s="3658"/>
      <c r="X29" s="5534"/>
      <c r="Y29" s="5534"/>
      <c r="Z29" s="5534"/>
      <c r="AA29" s="5535">
        <f>SUM($Z$30:$Z$52)</f>
        <v>2477.5000000000005</v>
      </c>
      <c r="AB29" s="5586" t="s">
        <v>18</v>
      </c>
      <c r="AC29" s="4314"/>
      <c r="AD29" s="3658"/>
      <c r="AE29" s="5613"/>
      <c r="AF29" s="5614"/>
      <c r="AG29" s="10464" t="s">
        <v>5781</v>
      </c>
    </row>
    <row r="30" spans="1:33" ht="12.75" customHeight="1">
      <c r="A30" s="11139"/>
      <c r="B30" s="11136"/>
      <c r="C30" s="11124"/>
      <c r="D30" s="11124"/>
      <c r="E30" s="11124"/>
      <c r="F30" s="11124"/>
      <c r="G30" s="11124"/>
      <c r="H30" s="11124"/>
      <c r="I30" s="11124"/>
      <c r="J30" s="11124"/>
      <c r="K30" s="11124"/>
      <c r="L30" s="11131"/>
      <c r="M30" s="11131"/>
      <c r="N30" s="11131"/>
      <c r="O30" s="11124"/>
      <c r="P30" s="11124"/>
      <c r="Q30" s="11127"/>
      <c r="R30" s="3782"/>
      <c r="S30" s="5467"/>
      <c r="T30" s="5467">
        <v>369900021</v>
      </c>
      <c r="U30" s="3495" t="s">
        <v>5782</v>
      </c>
      <c r="V30" s="5499">
        <v>4</v>
      </c>
      <c r="W30" s="3496" t="s">
        <v>180</v>
      </c>
      <c r="X30" s="5523">
        <v>27</v>
      </c>
      <c r="Y30" s="5523">
        <f t="shared" ref="Y30:Y52" si="0">+V30*X30</f>
        <v>108</v>
      </c>
      <c r="Z30" s="5523">
        <f>Y30</f>
        <v>108</v>
      </c>
      <c r="AA30" s="5523"/>
      <c r="AB30" s="5589"/>
      <c r="AC30" s="4328"/>
      <c r="AD30" s="3504" t="s">
        <v>153</v>
      </c>
      <c r="AE30" s="3699"/>
      <c r="AF30" s="3699"/>
      <c r="AG30" s="11115"/>
    </row>
    <row r="31" spans="1:33" ht="12.75" customHeight="1">
      <c r="A31" s="11139"/>
      <c r="B31" s="11136"/>
      <c r="C31" s="11124"/>
      <c r="D31" s="11124"/>
      <c r="E31" s="11124"/>
      <c r="F31" s="11124"/>
      <c r="G31" s="11124"/>
      <c r="H31" s="11124"/>
      <c r="I31" s="11124"/>
      <c r="J31" s="11124"/>
      <c r="K31" s="11124"/>
      <c r="L31" s="11131"/>
      <c r="M31" s="11131"/>
      <c r="N31" s="11131"/>
      <c r="O31" s="11124"/>
      <c r="P31" s="11124"/>
      <c r="Q31" s="11127"/>
      <c r="R31" s="3782"/>
      <c r="S31" s="5467"/>
      <c r="T31" s="5467"/>
      <c r="U31" s="3495" t="s">
        <v>5783</v>
      </c>
      <c r="V31" s="5499">
        <v>10</v>
      </c>
      <c r="W31" s="3496" t="s">
        <v>180</v>
      </c>
      <c r="X31" s="5523">
        <v>2.7</v>
      </c>
      <c r="Y31" s="5523">
        <f t="shared" si="0"/>
        <v>27</v>
      </c>
      <c r="Z31" s="5523">
        <f t="shared" ref="Z31:Z52" si="1">Y31</f>
        <v>27</v>
      </c>
      <c r="AA31" s="5523"/>
      <c r="AB31" s="5589"/>
      <c r="AC31" s="4328"/>
      <c r="AD31" s="3504" t="s">
        <v>153</v>
      </c>
      <c r="AE31" s="3699"/>
      <c r="AF31" s="3699"/>
      <c r="AG31" s="11115"/>
    </row>
    <row r="32" spans="1:33" ht="12.75" customHeight="1">
      <c r="A32" s="11139"/>
      <c r="B32" s="11136"/>
      <c r="C32" s="11124"/>
      <c r="D32" s="11124"/>
      <c r="E32" s="11124"/>
      <c r="F32" s="11124"/>
      <c r="G32" s="11124"/>
      <c r="H32" s="11124"/>
      <c r="I32" s="11124"/>
      <c r="J32" s="11124"/>
      <c r="K32" s="11124"/>
      <c r="L32" s="11131"/>
      <c r="M32" s="11131"/>
      <c r="N32" s="11131"/>
      <c r="O32" s="11124"/>
      <c r="P32" s="11124"/>
      <c r="Q32" s="11127"/>
      <c r="R32" s="3782"/>
      <c r="S32" s="5467"/>
      <c r="T32" s="5467">
        <v>385200111</v>
      </c>
      <c r="U32" s="3495" t="s">
        <v>5784</v>
      </c>
      <c r="V32" s="5499">
        <v>15</v>
      </c>
      <c r="W32" s="3496" t="s">
        <v>180</v>
      </c>
      <c r="X32" s="5523">
        <v>5.37</v>
      </c>
      <c r="Y32" s="5523">
        <f t="shared" si="0"/>
        <v>80.55</v>
      </c>
      <c r="Z32" s="5523">
        <f t="shared" si="1"/>
        <v>80.55</v>
      </c>
      <c r="AA32" s="5523"/>
      <c r="AB32" s="5589"/>
      <c r="AC32" s="4328"/>
      <c r="AD32" s="3504" t="s">
        <v>153</v>
      </c>
      <c r="AE32" s="3699"/>
      <c r="AF32" s="3699"/>
      <c r="AG32" s="11115"/>
    </row>
    <row r="33" spans="1:33" ht="12.75" customHeight="1">
      <c r="A33" s="11139"/>
      <c r="B33" s="11136"/>
      <c r="C33" s="11124"/>
      <c r="D33" s="11124"/>
      <c r="E33" s="11124"/>
      <c r="F33" s="11124"/>
      <c r="G33" s="11124"/>
      <c r="H33" s="11124"/>
      <c r="I33" s="11124"/>
      <c r="J33" s="11124"/>
      <c r="K33" s="11124"/>
      <c r="L33" s="11131"/>
      <c r="M33" s="11131"/>
      <c r="N33" s="11131"/>
      <c r="O33" s="11124"/>
      <c r="P33" s="11124"/>
      <c r="Q33" s="11127"/>
      <c r="R33" s="3782"/>
      <c r="S33" s="5467"/>
      <c r="T33" s="5467"/>
      <c r="U33" s="3495" t="s">
        <v>5785</v>
      </c>
      <c r="V33" s="5499">
        <v>15</v>
      </c>
      <c r="W33" s="3496" t="s">
        <v>180</v>
      </c>
      <c r="X33" s="5523">
        <v>5.5</v>
      </c>
      <c r="Y33" s="5523">
        <f t="shared" si="0"/>
        <v>82.5</v>
      </c>
      <c r="Z33" s="5523">
        <f t="shared" si="1"/>
        <v>82.5</v>
      </c>
      <c r="AA33" s="5523"/>
      <c r="AB33" s="5589"/>
      <c r="AC33" s="4328"/>
      <c r="AD33" s="3504" t="s">
        <v>153</v>
      </c>
      <c r="AE33" s="3699"/>
      <c r="AF33" s="3699"/>
      <c r="AG33" s="11115"/>
    </row>
    <row r="34" spans="1:33" ht="12.75" customHeight="1">
      <c r="A34" s="11139"/>
      <c r="B34" s="11136"/>
      <c r="C34" s="11124"/>
      <c r="D34" s="11124"/>
      <c r="E34" s="11124"/>
      <c r="F34" s="11124"/>
      <c r="G34" s="11124"/>
      <c r="H34" s="11124"/>
      <c r="I34" s="11124"/>
      <c r="J34" s="11124"/>
      <c r="K34" s="11124"/>
      <c r="L34" s="11131"/>
      <c r="M34" s="11131"/>
      <c r="N34" s="11131"/>
      <c r="O34" s="11124"/>
      <c r="P34" s="11124"/>
      <c r="Q34" s="11127"/>
      <c r="R34" s="3782"/>
      <c r="S34" s="5467"/>
      <c r="T34" s="5467" t="s">
        <v>5786</v>
      </c>
      <c r="U34" s="3495" t="s">
        <v>5787</v>
      </c>
      <c r="V34" s="5499">
        <v>2</v>
      </c>
      <c r="W34" s="3496" t="s">
        <v>180</v>
      </c>
      <c r="X34" s="5523">
        <v>17.5</v>
      </c>
      <c r="Y34" s="5523">
        <f t="shared" si="0"/>
        <v>35</v>
      </c>
      <c r="Z34" s="5523">
        <f t="shared" si="1"/>
        <v>35</v>
      </c>
      <c r="AA34" s="5523"/>
      <c r="AB34" s="5589"/>
      <c r="AC34" s="4328"/>
      <c r="AD34" s="3504" t="s">
        <v>153</v>
      </c>
      <c r="AE34" s="3699"/>
      <c r="AF34" s="3699"/>
      <c r="AG34" s="11115"/>
    </row>
    <row r="35" spans="1:33" ht="12.75" customHeight="1">
      <c r="A35" s="11139"/>
      <c r="B35" s="11136"/>
      <c r="C35" s="11124"/>
      <c r="D35" s="11124"/>
      <c r="E35" s="11124"/>
      <c r="F35" s="11124"/>
      <c r="G35" s="11124"/>
      <c r="H35" s="11124"/>
      <c r="I35" s="11124"/>
      <c r="J35" s="11124"/>
      <c r="K35" s="11124"/>
      <c r="L35" s="11131"/>
      <c r="M35" s="11131"/>
      <c r="N35" s="11131"/>
      <c r="O35" s="11124"/>
      <c r="P35" s="11124"/>
      <c r="Q35" s="11127"/>
      <c r="R35" s="3782"/>
      <c r="S35" s="5467"/>
      <c r="T35" s="5467">
        <v>385500011</v>
      </c>
      <c r="U35" s="3495" t="s">
        <v>5788</v>
      </c>
      <c r="V35" s="5499">
        <v>2</v>
      </c>
      <c r="W35" s="3496" t="s">
        <v>180</v>
      </c>
      <c r="X35" s="5523">
        <v>8.5</v>
      </c>
      <c r="Y35" s="5523">
        <f t="shared" si="0"/>
        <v>17</v>
      </c>
      <c r="Z35" s="5523">
        <f t="shared" si="1"/>
        <v>17</v>
      </c>
      <c r="AA35" s="5523"/>
      <c r="AB35" s="5589"/>
      <c r="AC35" s="4328"/>
      <c r="AD35" s="3504" t="s">
        <v>153</v>
      </c>
      <c r="AE35" s="3699"/>
      <c r="AF35" s="3699"/>
      <c r="AG35" s="11115"/>
    </row>
    <row r="36" spans="1:33" ht="12.75" customHeight="1">
      <c r="A36" s="11139"/>
      <c r="B36" s="11136"/>
      <c r="C36" s="11124"/>
      <c r="D36" s="11124"/>
      <c r="E36" s="11124"/>
      <c r="F36" s="11124"/>
      <c r="G36" s="11124"/>
      <c r="H36" s="11124"/>
      <c r="I36" s="11124"/>
      <c r="J36" s="11124"/>
      <c r="K36" s="11124"/>
      <c r="L36" s="11131"/>
      <c r="M36" s="11131"/>
      <c r="N36" s="11131"/>
      <c r="O36" s="11124"/>
      <c r="P36" s="11124"/>
      <c r="Q36" s="11127"/>
      <c r="R36" s="3782"/>
      <c r="S36" s="5467"/>
      <c r="T36" s="5467">
        <v>385500011</v>
      </c>
      <c r="U36" s="3495" t="s">
        <v>5789</v>
      </c>
      <c r="V36" s="5499">
        <v>2</v>
      </c>
      <c r="W36" s="3496" t="s">
        <v>180</v>
      </c>
      <c r="X36" s="5523">
        <v>25</v>
      </c>
      <c r="Y36" s="5523">
        <f t="shared" si="0"/>
        <v>50</v>
      </c>
      <c r="Z36" s="5523">
        <f t="shared" si="1"/>
        <v>50</v>
      </c>
      <c r="AA36" s="5523"/>
      <c r="AB36" s="5589"/>
      <c r="AC36" s="4328"/>
      <c r="AD36" s="3504" t="s">
        <v>153</v>
      </c>
      <c r="AE36" s="3699"/>
      <c r="AF36" s="3699"/>
      <c r="AG36" s="11115"/>
    </row>
    <row r="37" spans="1:33" ht="12.75" customHeight="1">
      <c r="A37" s="11139"/>
      <c r="B37" s="11136"/>
      <c r="C37" s="11124"/>
      <c r="D37" s="11124"/>
      <c r="E37" s="11124"/>
      <c r="F37" s="11124"/>
      <c r="G37" s="11124"/>
      <c r="H37" s="11124"/>
      <c r="I37" s="11124"/>
      <c r="J37" s="11124"/>
      <c r="K37" s="11124"/>
      <c r="L37" s="11131"/>
      <c r="M37" s="11131"/>
      <c r="N37" s="11131"/>
      <c r="O37" s="11124"/>
      <c r="P37" s="11124"/>
      <c r="Q37" s="11127"/>
      <c r="R37" s="3782"/>
      <c r="S37" s="5467"/>
      <c r="T37" s="5467">
        <v>369900032</v>
      </c>
      <c r="U37" s="3495" t="s">
        <v>5790</v>
      </c>
      <c r="V37" s="5499">
        <v>2</v>
      </c>
      <c r="W37" s="3496" t="s">
        <v>180</v>
      </c>
      <c r="X37" s="5523">
        <v>22.32</v>
      </c>
      <c r="Y37" s="5523">
        <f t="shared" si="0"/>
        <v>44.64</v>
      </c>
      <c r="Z37" s="5523">
        <f t="shared" si="1"/>
        <v>44.64</v>
      </c>
      <c r="AA37" s="5523"/>
      <c r="AB37" s="5589"/>
      <c r="AC37" s="4328"/>
      <c r="AD37" s="3504" t="s">
        <v>153</v>
      </c>
      <c r="AE37" s="3699"/>
      <c r="AF37" s="3699"/>
      <c r="AG37" s="11115"/>
    </row>
    <row r="38" spans="1:33" ht="12.75" customHeight="1">
      <c r="A38" s="11139"/>
      <c r="B38" s="11136"/>
      <c r="C38" s="11124"/>
      <c r="D38" s="11124"/>
      <c r="E38" s="11124"/>
      <c r="F38" s="11124"/>
      <c r="G38" s="11124"/>
      <c r="H38" s="11124"/>
      <c r="I38" s="11124"/>
      <c r="J38" s="11124"/>
      <c r="K38" s="11124"/>
      <c r="L38" s="11131"/>
      <c r="M38" s="11131"/>
      <c r="N38" s="11131"/>
      <c r="O38" s="11124"/>
      <c r="P38" s="11124"/>
      <c r="Q38" s="11127"/>
      <c r="R38" s="3782"/>
      <c r="S38" s="5467"/>
      <c r="T38" s="5467"/>
      <c r="U38" s="3495" t="s">
        <v>5791</v>
      </c>
      <c r="V38" s="5499">
        <v>5</v>
      </c>
      <c r="W38" s="3496" t="s">
        <v>180</v>
      </c>
      <c r="X38" s="5523">
        <v>12.5</v>
      </c>
      <c r="Y38" s="5523">
        <f t="shared" si="0"/>
        <v>62.5</v>
      </c>
      <c r="Z38" s="5523">
        <f t="shared" si="1"/>
        <v>62.5</v>
      </c>
      <c r="AA38" s="5523"/>
      <c r="AB38" s="5589"/>
      <c r="AC38" s="4328"/>
      <c r="AD38" s="3504" t="s">
        <v>153</v>
      </c>
      <c r="AE38" s="3699"/>
      <c r="AF38" s="3699"/>
      <c r="AG38" s="11115"/>
    </row>
    <row r="39" spans="1:33" ht="12.75" customHeight="1">
      <c r="A39" s="11139"/>
      <c r="B39" s="11136"/>
      <c r="C39" s="11124"/>
      <c r="D39" s="11124"/>
      <c r="E39" s="11124"/>
      <c r="F39" s="11124"/>
      <c r="G39" s="11124"/>
      <c r="H39" s="11124"/>
      <c r="I39" s="11124"/>
      <c r="J39" s="11124"/>
      <c r="K39" s="11124"/>
      <c r="L39" s="11131"/>
      <c r="M39" s="11131"/>
      <c r="N39" s="11131"/>
      <c r="O39" s="11124"/>
      <c r="P39" s="11124"/>
      <c r="Q39" s="11127"/>
      <c r="R39" s="3782"/>
      <c r="S39" s="5467"/>
      <c r="T39" s="5467">
        <v>369400022</v>
      </c>
      <c r="U39" s="3495" t="s">
        <v>5792</v>
      </c>
      <c r="V39" s="5499">
        <v>45</v>
      </c>
      <c r="W39" s="3496" t="s">
        <v>180</v>
      </c>
      <c r="X39" s="5523">
        <v>0.98</v>
      </c>
      <c r="Y39" s="5523">
        <f t="shared" si="0"/>
        <v>44.1</v>
      </c>
      <c r="Z39" s="5523">
        <f t="shared" si="1"/>
        <v>44.1</v>
      </c>
      <c r="AA39" s="5523"/>
      <c r="AB39" s="5589"/>
      <c r="AC39" s="4328"/>
      <c r="AD39" s="3504" t="s">
        <v>153</v>
      </c>
      <c r="AE39" s="3699"/>
      <c r="AF39" s="3699"/>
      <c r="AG39" s="11115"/>
    </row>
    <row r="40" spans="1:33" ht="12.75" customHeight="1">
      <c r="A40" s="11139"/>
      <c r="B40" s="11136"/>
      <c r="C40" s="11124"/>
      <c r="D40" s="11124"/>
      <c r="E40" s="11124"/>
      <c r="F40" s="11124"/>
      <c r="G40" s="11124"/>
      <c r="H40" s="11124"/>
      <c r="I40" s="11124"/>
      <c r="J40" s="11124"/>
      <c r="K40" s="11124"/>
      <c r="L40" s="11131"/>
      <c r="M40" s="11131"/>
      <c r="N40" s="11131"/>
      <c r="O40" s="11124"/>
      <c r="P40" s="11124"/>
      <c r="Q40" s="11127"/>
      <c r="R40" s="3782"/>
      <c r="S40" s="5467"/>
      <c r="T40" s="5467">
        <v>369900022</v>
      </c>
      <c r="U40" s="3495" t="s">
        <v>5793</v>
      </c>
      <c r="V40" s="5499">
        <v>2</v>
      </c>
      <c r="W40" s="3496" t="s">
        <v>180</v>
      </c>
      <c r="X40" s="5523">
        <v>32.14</v>
      </c>
      <c r="Y40" s="5523">
        <f t="shared" si="0"/>
        <v>64.28</v>
      </c>
      <c r="Z40" s="5523">
        <f t="shared" si="1"/>
        <v>64.28</v>
      </c>
      <c r="AA40" s="5523"/>
      <c r="AB40" s="5589"/>
      <c r="AC40" s="4328"/>
      <c r="AD40" s="3504" t="s">
        <v>153</v>
      </c>
      <c r="AE40" s="3699"/>
      <c r="AF40" s="3699"/>
      <c r="AG40" s="11115"/>
    </row>
    <row r="41" spans="1:33" ht="12.75" customHeight="1">
      <c r="A41" s="11139"/>
      <c r="B41" s="11136"/>
      <c r="C41" s="11124"/>
      <c r="D41" s="11124"/>
      <c r="E41" s="11124"/>
      <c r="F41" s="11124"/>
      <c r="G41" s="11124"/>
      <c r="H41" s="11124"/>
      <c r="I41" s="11124"/>
      <c r="J41" s="11124"/>
      <c r="K41" s="11124"/>
      <c r="L41" s="11131"/>
      <c r="M41" s="11131"/>
      <c r="N41" s="11131"/>
      <c r="O41" s="11124"/>
      <c r="P41" s="11124"/>
      <c r="Q41" s="11127"/>
      <c r="R41" s="3782"/>
      <c r="S41" s="5467"/>
      <c r="T41" s="5467"/>
      <c r="U41" s="3495" t="s">
        <v>5794</v>
      </c>
      <c r="V41" s="5499">
        <v>3</v>
      </c>
      <c r="W41" s="3496" t="s">
        <v>180</v>
      </c>
      <c r="X41" s="5523">
        <v>16.07</v>
      </c>
      <c r="Y41" s="5523">
        <f t="shared" si="0"/>
        <v>48.21</v>
      </c>
      <c r="Z41" s="5523">
        <f t="shared" si="1"/>
        <v>48.21</v>
      </c>
      <c r="AA41" s="5523"/>
      <c r="AB41" s="5589"/>
      <c r="AC41" s="4328"/>
      <c r="AD41" s="3504" t="s">
        <v>153</v>
      </c>
      <c r="AE41" s="3699"/>
      <c r="AF41" s="3699"/>
      <c r="AG41" s="11115"/>
    </row>
    <row r="42" spans="1:33" ht="12.75" customHeight="1">
      <c r="A42" s="11139"/>
      <c r="B42" s="11136"/>
      <c r="C42" s="11124"/>
      <c r="D42" s="11124"/>
      <c r="E42" s="11124"/>
      <c r="F42" s="11124"/>
      <c r="G42" s="11124"/>
      <c r="H42" s="11124"/>
      <c r="I42" s="11124"/>
      <c r="J42" s="11124"/>
      <c r="K42" s="11124"/>
      <c r="L42" s="11131"/>
      <c r="M42" s="11131"/>
      <c r="N42" s="11131"/>
      <c r="O42" s="11124"/>
      <c r="P42" s="11124"/>
      <c r="Q42" s="11127"/>
      <c r="R42" s="3782"/>
      <c r="S42" s="5467"/>
      <c r="T42" s="5467"/>
      <c r="U42" s="3495" t="s">
        <v>5795</v>
      </c>
      <c r="V42" s="5499">
        <v>7</v>
      </c>
      <c r="W42" s="3496" t="s">
        <v>180</v>
      </c>
      <c r="X42" s="5523">
        <v>25</v>
      </c>
      <c r="Y42" s="5523">
        <f t="shared" si="0"/>
        <v>175</v>
      </c>
      <c r="Z42" s="5523">
        <f t="shared" si="1"/>
        <v>175</v>
      </c>
      <c r="AA42" s="5523"/>
      <c r="AB42" s="5589"/>
      <c r="AC42" s="4328"/>
      <c r="AD42" s="3504" t="s">
        <v>153</v>
      </c>
      <c r="AE42" s="3699"/>
      <c r="AF42" s="3699"/>
      <c r="AG42" s="11115"/>
    </row>
    <row r="43" spans="1:33" ht="12.75" customHeight="1">
      <c r="A43" s="11139"/>
      <c r="B43" s="11136"/>
      <c r="C43" s="11124"/>
      <c r="D43" s="11124"/>
      <c r="E43" s="11124"/>
      <c r="F43" s="11124"/>
      <c r="G43" s="11124"/>
      <c r="H43" s="11124"/>
      <c r="I43" s="11124"/>
      <c r="J43" s="11124"/>
      <c r="K43" s="11124"/>
      <c r="L43" s="11131"/>
      <c r="M43" s="11131"/>
      <c r="N43" s="11131"/>
      <c r="O43" s="11124"/>
      <c r="P43" s="11124"/>
      <c r="Q43" s="11127"/>
      <c r="R43" s="3782"/>
      <c r="S43" s="5467"/>
      <c r="T43" s="5467"/>
      <c r="U43" s="3495" t="s">
        <v>5796</v>
      </c>
      <c r="V43" s="5499">
        <v>4</v>
      </c>
      <c r="W43" s="3496" t="s">
        <v>180</v>
      </c>
      <c r="X43" s="5523">
        <v>8.93</v>
      </c>
      <c r="Y43" s="5523">
        <f t="shared" si="0"/>
        <v>35.72</v>
      </c>
      <c r="Z43" s="5523">
        <f t="shared" si="1"/>
        <v>35.72</v>
      </c>
      <c r="AA43" s="5523"/>
      <c r="AB43" s="5589"/>
      <c r="AC43" s="4328"/>
      <c r="AD43" s="3504" t="s">
        <v>153</v>
      </c>
      <c r="AE43" s="3699"/>
      <c r="AF43" s="3699"/>
      <c r="AG43" s="11115"/>
    </row>
    <row r="44" spans="1:33" ht="12.75" customHeight="1">
      <c r="A44" s="11139"/>
      <c r="B44" s="11136"/>
      <c r="C44" s="11124"/>
      <c r="D44" s="11124"/>
      <c r="E44" s="11124"/>
      <c r="F44" s="11124"/>
      <c r="G44" s="11124"/>
      <c r="H44" s="11124"/>
      <c r="I44" s="11124"/>
      <c r="J44" s="11124"/>
      <c r="K44" s="11124"/>
      <c r="L44" s="11131"/>
      <c r="M44" s="11131"/>
      <c r="N44" s="11131"/>
      <c r="O44" s="11124"/>
      <c r="P44" s="11124"/>
      <c r="Q44" s="11127"/>
      <c r="R44" s="3782"/>
      <c r="S44" s="5467"/>
      <c r="T44" s="5467"/>
      <c r="U44" s="3495" t="s">
        <v>5797</v>
      </c>
      <c r="V44" s="5499">
        <v>1</v>
      </c>
      <c r="W44" s="3496" t="s">
        <v>180</v>
      </c>
      <c r="X44" s="5523">
        <v>13.4</v>
      </c>
      <c r="Y44" s="5523">
        <f t="shared" si="0"/>
        <v>13.4</v>
      </c>
      <c r="Z44" s="5523">
        <f t="shared" si="1"/>
        <v>13.4</v>
      </c>
      <c r="AA44" s="5523"/>
      <c r="AB44" s="5589"/>
      <c r="AC44" s="4328"/>
      <c r="AD44" s="3504" t="s">
        <v>153</v>
      </c>
      <c r="AE44" s="3699"/>
      <c r="AF44" s="3699"/>
      <c r="AG44" s="11115"/>
    </row>
    <row r="45" spans="1:33" ht="12.75" customHeight="1">
      <c r="A45" s="11139"/>
      <c r="B45" s="11136"/>
      <c r="C45" s="11124"/>
      <c r="D45" s="11124"/>
      <c r="E45" s="11124"/>
      <c r="F45" s="11124"/>
      <c r="G45" s="11124"/>
      <c r="H45" s="11124"/>
      <c r="I45" s="11124"/>
      <c r="J45" s="11124"/>
      <c r="K45" s="11124"/>
      <c r="L45" s="11131"/>
      <c r="M45" s="11131"/>
      <c r="N45" s="11131"/>
      <c r="O45" s="11124"/>
      <c r="P45" s="11124"/>
      <c r="Q45" s="11127"/>
      <c r="R45" s="3782"/>
      <c r="S45" s="5467"/>
      <c r="T45" s="5467">
        <v>812100021</v>
      </c>
      <c r="U45" s="3495" t="s">
        <v>5798</v>
      </c>
      <c r="V45" s="5499">
        <v>1</v>
      </c>
      <c r="W45" s="3496" t="s">
        <v>180</v>
      </c>
      <c r="X45" s="5523">
        <v>178.57</v>
      </c>
      <c r="Y45" s="5523">
        <f t="shared" si="0"/>
        <v>178.57</v>
      </c>
      <c r="Z45" s="5523">
        <f t="shared" si="1"/>
        <v>178.57</v>
      </c>
      <c r="AA45" s="5523"/>
      <c r="AB45" s="5589"/>
      <c r="AC45" s="4328"/>
      <c r="AD45" s="3504" t="s">
        <v>153</v>
      </c>
      <c r="AE45" s="3699"/>
      <c r="AF45" s="3699"/>
      <c r="AG45" s="11115"/>
    </row>
    <row r="46" spans="1:33" ht="12.75" customHeight="1">
      <c r="A46" s="11139"/>
      <c r="B46" s="11136"/>
      <c r="C46" s="11124"/>
      <c r="D46" s="11124"/>
      <c r="E46" s="11124"/>
      <c r="F46" s="11124"/>
      <c r="G46" s="11124"/>
      <c r="H46" s="11124"/>
      <c r="I46" s="11124"/>
      <c r="J46" s="11124"/>
      <c r="K46" s="11124"/>
      <c r="L46" s="11131"/>
      <c r="M46" s="11131"/>
      <c r="N46" s="11131"/>
      <c r="O46" s="11124"/>
      <c r="P46" s="11124"/>
      <c r="Q46" s="11127"/>
      <c r="R46" s="3782"/>
      <c r="S46" s="5467"/>
      <c r="T46" s="5467">
        <v>812100021</v>
      </c>
      <c r="U46" s="3495" t="s">
        <v>5799</v>
      </c>
      <c r="V46" s="5499">
        <v>1</v>
      </c>
      <c r="W46" s="3496" t="s">
        <v>180</v>
      </c>
      <c r="X46" s="5523">
        <v>178.57</v>
      </c>
      <c r="Y46" s="5523">
        <f t="shared" si="0"/>
        <v>178.57</v>
      </c>
      <c r="Z46" s="5523">
        <f t="shared" si="1"/>
        <v>178.57</v>
      </c>
      <c r="AA46" s="5523"/>
      <c r="AB46" s="5589"/>
      <c r="AC46" s="4328"/>
      <c r="AD46" s="3504" t="s">
        <v>153</v>
      </c>
      <c r="AE46" s="3699"/>
      <c r="AF46" s="3699"/>
      <c r="AG46" s="11115"/>
    </row>
    <row r="47" spans="1:33" ht="12.75" customHeight="1">
      <c r="A47" s="11139"/>
      <c r="B47" s="11136"/>
      <c r="C47" s="11124"/>
      <c r="D47" s="11124"/>
      <c r="E47" s="11124"/>
      <c r="F47" s="11124"/>
      <c r="G47" s="11124"/>
      <c r="H47" s="11124"/>
      <c r="I47" s="11124"/>
      <c r="J47" s="11124"/>
      <c r="K47" s="11124"/>
      <c r="L47" s="11131"/>
      <c r="M47" s="11131"/>
      <c r="N47" s="11131"/>
      <c r="O47" s="11124"/>
      <c r="P47" s="11124"/>
      <c r="Q47" s="11127"/>
      <c r="R47" s="3782"/>
      <c r="S47" s="5467"/>
      <c r="T47" s="5467">
        <v>812100021</v>
      </c>
      <c r="U47" s="3495" t="s">
        <v>5800</v>
      </c>
      <c r="V47" s="5499">
        <v>1</v>
      </c>
      <c r="W47" s="3496" t="s">
        <v>180</v>
      </c>
      <c r="X47" s="5523">
        <v>267.86</v>
      </c>
      <c r="Y47" s="5523">
        <f t="shared" si="0"/>
        <v>267.86</v>
      </c>
      <c r="Z47" s="5523">
        <f t="shared" si="1"/>
        <v>267.86</v>
      </c>
      <c r="AA47" s="5523"/>
      <c r="AB47" s="5589"/>
      <c r="AC47" s="4328"/>
      <c r="AD47" s="3504" t="s">
        <v>153</v>
      </c>
      <c r="AE47" s="3699"/>
      <c r="AF47" s="3699"/>
      <c r="AG47" s="11115"/>
    </row>
    <row r="48" spans="1:33" ht="12.75" customHeight="1">
      <c r="A48" s="11139"/>
      <c r="B48" s="11136"/>
      <c r="C48" s="11124"/>
      <c r="D48" s="11124"/>
      <c r="E48" s="11124"/>
      <c r="F48" s="11124"/>
      <c r="G48" s="11124"/>
      <c r="H48" s="11124"/>
      <c r="I48" s="11124"/>
      <c r="J48" s="11124"/>
      <c r="K48" s="11124"/>
      <c r="L48" s="11131"/>
      <c r="M48" s="11131"/>
      <c r="N48" s="11131"/>
      <c r="O48" s="11124"/>
      <c r="P48" s="11124"/>
      <c r="Q48" s="11127"/>
      <c r="R48" s="3782"/>
      <c r="S48" s="5467"/>
      <c r="T48" s="5467">
        <v>812100021</v>
      </c>
      <c r="U48" s="3495" t="s">
        <v>5801</v>
      </c>
      <c r="V48" s="5499">
        <v>1</v>
      </c>
      <c r="W48" s="3496" t="s">
        <v>180</v>
      </c>
      <c r="X48" s="5523">
        <f>151.79-4.16</f>
        <v>147.63</v>
      </c>
      <c r="Y48" s="5523">
        <f t="shared" si="0"/>
        <v>147.63</v>
      </c>
      <c r="Z48" s="5523">
        <f t="shared" si="1"/>
        <v>147.63</v>
      </c>
      <c r="AA48" s="5523"/>
      <c r="AB48" s="5589"/>
      <c r="AC48" s="4328"/>
      <c r="AD48" s="3504" t="s">
        <v>153</v>
      </c>
      <c r="AE48" s="3699"/>
      <c r="AF48" s="3699"/>
      <c r="AG48" s="11115"/>
    </row>
    <row r="49" spans="1:33" ht="12.75" customHeight="1">
      <c r="A49" s="11139"/>
      <c r="B49" s="11136"/>
      <c r="C49" s="11124"/>
      <c r="D49" s="11124"/>
      <c r="E49" s="11124"/>
      <c r="F49" s="11124"/>
      <c r="G49" s="11124"/>
      <c r="H49" s="11124"/>
      <c r="I49" s="11124"/>
      <c r="J49" s="11124"/>
      <c r="K49" s="11124"/>
      <c r="L49" s="11131"/>
      <c r="M49" s="11131"/>
      <c r="N49" s="11131"/>
      <c r="O49" s="11124"/>
      <c r="P49" s="11124"/>
      <c r="Q49" s="11127"/>
      <c r="R49" s="3782"/>
      <c r="S49" s="5467"/>
      <c r="T49" s="5467">
        <v>812100021</v>
      </c>
      <c r="U49" s="3495" t="s">
        <v>5802</v>
      </c>
      <c r="V49" s="5499">
        <v>1</v>
      </c>
      <c r="W49" s="3496" t="s">
        <v>180</v>
      </c>
      <c r="X49" s="5523">
        <v>446.43</v>
      </c>
      <c r="Y49" s="5523">
        <f t="shared" si="0"/>
        <v>446.43</v>
      </c>
      <c r="Z49" s="5523">
        <f t="shared" si="1"/>
        <v>446.43</v>
      </c>
      <c r="AA49" s="5523"/>
      <c r="AB49" s="5589"/>
      <c r="AC49" s="4328"/>
      <c r="AD49" s="3504" t="s">
        <v>153</v>
      </c>
      <c r="AE49" s="3699"/>
      <c r="AF49" s="3699"/>
      <c r="AG49" s="11115"/>
    </row>
    <row r="50" spans="1:33" ht="12.75" customHeight="1">
      <c r="A50" s="11139"/>
      <c r="B50" s="11136"/>
      <c r="C50" s="11124"/>
      <c r="D50" s="11124"/>
      <c r="E50" s="11124"/>
      <c r="F50" s="11124"/>
      <c r="G50" s="11124"/>
      <c r="H50" s="11124"/>
      <c r="I50" s="11124"/>
      <c r="J50" s="11124"/>
      <c r="K50" s="11124"/>
      <c r="L50" s="11131"/>
      <c r="M50" s="11131"/>
      <c r="N50" s="11131"/>
      <c r="O50" s="11124"/>
      <c r="P50" s="11124"/>
      <c r="Q50" s="11127"/>
      <c r="R50" s="3782"/>
      <c r="S50" s="5467"/>
      <c r="T50" s="5467">
        <v>812100021</v>
      </c>
      <c r="U50" s="3495" t="s">
        <v>5803</v>
      </c>
      <c r="V50" s="5499">
        <v>1</v>
      </c>
      <c r="W50" s="3496" t="s">
        <v>180</v>
      </c>
      <c r="X50" s="5523">
        <v>178.57</v>
      </c>
      <c r="Y50" s="5523">
        <f t="shared" si="0"/>
        <v>178.57</v>
      </c>
      <c r="Z50" s="5523">
        <f t="shared" si="1"/>
        <v>178.57</v>
      </c>
      <c r="AA50" s="5523"/>
      <c r="AB50" s="5589"/>
      <c r="AC50" s="4328"/>
      <c r="AD50" s="3504" t="s">
        <v>153</v>
      </c>
      <c r="AE50" s="3699"/>
      <c r="AF50" s="3699"/>
      <c r="AG50" s="11115"/>
    </row>
    <row r="51" spans="1:33" ht="12.75" customHeight="1">
      <c r="A51" s="11139"/>
      <c r="B51" s="11136"/>
      <c r="C51" s="11124"/>
      <c r="D51" s="11124"/>
      <c r="E51" s="11124"/>
      <c r="F51" s="11124"/>
      <c r="G51" s="11124"/>
      <c r="H51" s="11124"/>
      <c r="I51" s="11124"/>
      <c r="J51" s="11124"/>
      <c r="K51" s="11124"/>
      <c r="L51" s="11131"/>
      <c r="M51" s="11131"/>
      <c r="N51" s="11131"/>
      <c r="O51" s="11124"/>
      <c r="P51" s="11124"/>
      <c r="Q51" s="11127"/>
      <c r="R51" s="3782"/>
      <c r="S51" s="5467"/>
      <c r="T51" s="5467">
        <v>812100021</v>
      </c>
      <c r="U51" s="3495" t="s">
        <v>5804</v>
      </c>
      <c r="V51" s="5499">
        <v>1</v>
      </c>
      <c r="W51" s="3496" t="s">
        <v>180</v>
      </c>
      <c r="X51" s="5523">
        <v>178.57</v>
      </c>
      <c r="Y51" s="5523">
        <f t="shared" si="0"/>
        <v>178.57</v>
      </c>
      <c r="Z51" s="5523">
        <f t="shared" si="1"/>
        <v>178.57</v>
      </c>
      <c r="AA51" s="5523"/>
      <c r="AB51" s="5589"/>
      <c r="AC51" s="4328"/>
      <c r="AD51" s="3504" t="s">
        <v>153</v>
      </c>
      <c r="AE51" s="3699"/>
      <c r="AF51" s="3699"/>
      <c r="AG51" s="11115"/>
    </row>
    <row r="52" spans="1:33" ht="12.75" customHeight="1">
      <c r="A52" s="11139"/>
      <c r="B52" s="11136"/>
      <c r="C52" s="11124"/>
      <c r="D52" s="11124"/>
      <c r="E52" s="11124"/>
      <c r="F52" s="11124"/>
      <c r="G52" s="11124"/>
      <c r="H52" s="11124"/>
      <c r="I52" s="11124"/>
      <c r="J52" s="11124"/>
      <c r="K52" s="11124"/>
      <c r="L52" s="11131"/>
      <c r="M52" s="11131"/>
      <c r="N52" s="11131"/>
      <c r="O52" s="11124"/>
      <c r="P52" s="11124"/>
      <c r="Q52" s="11127"/>
      <c r="R52" s="3782"/>
      <c r="S52" s="5467"/>
      <c r="T52" s="5467">
        <v>812100021</v>
      </c>
      <c r="U52" s="3495" t="s">
        <v>5802</v>
      </c>
      <c r="V52" s="5499">
        <v>1</v>
      </c>
      <c r="W52" s="3496" t="s">
        <v>180</v>
      </c>
      <c r="X52" s="5523">
        <v>13.4</v>
      </c>
      <c r="Y52" s="5523">
        <f t="shared" si="0"/>
        <v>13.4</v>
      </c>
      <c r="Z52" s="5523">
        <f t="shared" si="1"/>
        <v>13.4</v>
      </c>
      <c r="AA52" s="5523"/>
      <c r="AB52" s="5589"/>
      <c r="AC52" s="4328"/>
      <c r="AD52" s="3504" t="s">
        <v>153</v>
      </c>
      <c r="AE52" s="3699"/>
      <c r="AF52" s="3699"/>
      <c r="AG52" s="11115"/>
    </row>
    <row r="53" spans="1:33" ht="38.25">
      <c r="A53" s="11139"/>
      <c r="B53" s="11136"/>
      <c r="C53" s="11124"/>
      <c r="D53" s="11124"/>
      <c r="E53" s="11124"/>
      <c r="F53" s="11124"/>
      <c r="G53" s="11124"/>
      <c r="H53" s="11124"/>
      <c r="I53" s="11124"/>
      <c r="J53" s="11124"/>
      <c r="K53" s="11124"/>
      <c r="L53" s="11131"/>
      <c r="M53" s="11131"/>
      <c r="N53" s="11131"/>
      <c r="O53" s="11124"/>
      <c r="P53" s="11124"/>
      <c r="Q53" s="11127"/>
      <c r="R53" s="3782" t="s">
        <v>81</v>
      </c>
      <c r="S53" s="5467">
        <v>840103</v>
      </c>
      <c r="T53" s="5467"/>
      <c r="U53" s="3542" t="s">
        <v>591</v>
      </c>
      <c r="V53" s="5499"/>
      <c r="W53" s="3496"/>
      <c r="X53" s="8069"/>
      <c r="Y53" s="8069"/>
      <c r="Z53" s="8069"/>
      <c r="AA53" s="8065">
        <f>SUM($Z$54:$Z$54)</f>
        <v>1200</v>
      </c>
      <c r="AB53" s="5581" t="s">
        <v>18</v>
      </c>
      <c r="AC53" s="4324"/>
      <c r="AD53" s="3504"/>
      <c r="AE53" s="3699"/>
      <c r="AF53" s="3699"/>
      <c r="AG53" s="11115"/>
    </row>
    <row r="54" spans="1:33" ht="48" customHeight="1">
      <c r="A54" s="11139"/>
      <c r="B54" s="11136"/>
      <c r="C54" s="11124"/>
      <c r="D54" s="11124"/>
      <c r="E54" s="11124"/>
      <c r="F54" s="11124"/>
      <c r="G54" s="11124"/>
      <c r="H54" s="11124"/>
      <c r="I54" s="11124"/>
      <c r="J54" s="11124"/>
      <c r="K54" s="11124"/>
      <c r="L54" s="11131"/>
      <c r="M54" s="11131"/>
      <c r="N54" s="11131"/>
      <c r="O54" s="11124"/>
      <c r="P54" s="11124"/>
      <c r="Q54" s="11127"/>
      <c r="R54" s="3782"/>
      <c r="S54" s="5467"/>
      <c r="T54" s="5467">
        <v>3811201111</v>
      </c>
      <c r="U54" s="3495" t="s">
        <v>5805</v>
      </c>
      <c r="V54" s="5499">
        <v>1</v>
      </c>
      <c r="W54" s="3496" t="s">
        <v>479</v>
      </c>
      <c r="X54" s="8069">
        <v>1200</v>
      </c>
      <c r="Y54" s="8069">
        <f t="shared" ref="Y54" si="2">+V54*X54</f>
        <v>1200</v>
      </c>
      <c r="Z54" s="8069">
        <f>Y54</f>
        <v>1200</v>
      </c>
      <c r="AA54" s="8069"/>
      <c r="AB54" s="5589"/>
      <c r="AC54" s="4328"/>
      <c r="AD54" s="3504"/>
      <c r="AE54" s="5615" t="s">
        <v>153</v>
      </c>
      <c r="AF54" s="3699"/>
      <c r="AG54" s="11115"/>
    </row>
    <row r="55" spans="1:33" ht="25.5">
      <c r="A55" s="11139"/>
      <c r="B55" s="11136"/>
      <c r="C55" s="11124"/>
      <c r="D55" s="11124"/>
      <c r="E55" s="11124"/>
      <c r="F55" s="11124"/>
      <c r="G55" s="11124"/>
      <c r="H55" s="11124"/>
      <c r="I55" s="11124"/>
      <c r="J55" s="11124"/>
      <c r="K55" s="11124"/>
      <c r="L55" s="11131"/>
      <c r="M55" s="11131"/>
      <c r="N55" s="11131"/>
      <c r="O55" s="11124"/>
      <c r="P55" s="11124"/>
      <c r="Q55" s="11127"/>
      <c r="R55" s="3782" t="s">
        <v>79</v>
      </c>
      <c r="S55" s="5467">
        <v>840103</v>
      </c>
      <c r="T55" s="5467"/>
      <c r="U55" s="3542" t="s">
        <v>591</v>
      </c>
      <c r="V55" s="5499"/>
      <c r="W55" s="3496"/>
      <c r="X55" s="8069"/>
      <c r="Y55" s="8069"/>
      <c r="Z55" s="8069"/>
      <c r="AA55" s="8065">
        <f>SUM(Z56)</f>
        <v>12958.62</v>
      </c>
      <c r="AB55" s="5581" t="s">
        <v>18</v>
      </c>
      <c r="AC55" s="4328"/>
      <c r="AD55" s="3504"/>
      <c r="AE55" s="3699"/>
      <c r="AF55" s="3699"/>
      <c r="AG55" s="11115"/>
    </row>
    <row r="56" spans="1:33" ht="27.75" customHeight="1">
      <c r="A56" s="11139"/>
      <c r="B56" s="11136"/>
      <c r="C56" s="11124"/>
      <c r="D56" s="11124"/>
      <c r="E56" s="11124"/>
      <c r="F56" s="11124"/>
      <c r="G56" s="11124"/>
      <c r="H56" s="11124"/>
      <c r="I56" s="11124"/>
      <c r="J56" s="11124"/>
      <c r="K56" s="11124"/>
      <c r="L56" s="11131"/>
      <c r="M56" s="11131"/>
      <c r="N56" s="11131"/>
      <c r="O56" s="11124"/>
      <c r="P56" s="11124"/>
      <c r="Q56" s="11127"/>
      <c r="R56" s="3782"/>
      <c r="S56" s="5467"/>
      <c r="T56" s="5463"/>
      <c r="U56" s="3495" t="s">
        <v>5806</v>
      </c>
      <c r="V56" s="5499">
        <v>1</v>
      </c>
      <c r="W56" s="3496" t="s">
        <v>5807</v>
      </c>
      <c r="X56" s="8069">
        <f>12958.62/1.12</f>
        <v>11570.196428571428</v>
      </c>
      <c r="Y56" s="8069">
        <f t="shared" ref="Y56" si="3">+V56*X56</f>
        <v>11570.196428571428</v>
      </c>
      <c r="Z56" s="8069">
        <f t="shared" ref="Z56" si="4">+Y56*1.12</f>
        <v>12958.62</v>
      </c>
      <c r="AA56" s="8069"/>
      <c r="AB56" s="5589"/>
      <c r="AC56" s="4328"/>
      <c r="AD56" s="3504"/>
      <c r="AE56" s="3699" t="s">
        <v>153</v>
      </c>
      <c r="AF56" s="3699"/>
      <c r="AG56" s="11115"/>
    </row>
    <row r="57" spans="1:33" ht="18" customHeight="1">
      <c r="A57" s="11139"/>
      <c r="B57" s="11136"/>
      <c r="C57" s="11124"/>
      <c r="D57" s="11124"/>
      <c r="E57" s="11124"/>
      <c r="F57" s="11124"/>
      <c r="G57" s="11124"/>
      <c r="H57" s="11124"/>
      <c r="I57" s="11124"/>
      <c r="J57" s="11124"/>
      <c r="K57" s="11124"/>
      <c r="L57" s="11131"/>
      <c r="M57" s="11131"/>
      <c r="N57" s="11131"/>
      <c r="O57" s="11124"/>
      <c r="P57" s="11124"/>
      <c r="Q57" s="11127"/>
      <c r="R57" s="3782" t="s">
        <v>81</v>
      </c>
      <c r="S57" s="5467">
        <v>531403</v>
      </c>
      <c r="T57" s="5463"/>
      <c r="U57" s="3542" t="s">
        <v>5806</v>
      </c>
      <c r="V57" s="5499"/>
      <c r="W57" s="3496"/>
      <c r="X57" s="5523"/>
      <c r="Y57" s="5523"/>
      <c r="Z57" s="5523"/>
      <c r="AA57" s="5541">
        <f>SUM($Z$58:$Z$58)</f>
        <v>158.88</v>
      </c>
      <c r="AB57" s="5581" t="s">
        <v>26</v>
      </c>
      <c r="AC57" s="4324"/>
      <c r="AD57" s="3504"/>
      <c r="AE57" s="3699"/>
      <c r="AF57" s="3699"/>
      <c r="AG57" s="11115"/>
    </row>
    <row r="58" spans="1:33" ht="18" customHeight="1">
      <c r="A58" s="11139"/>
      <c r="B58" s="11136"/>
      <c r="C58" s="11124"/>
      <c r="D58" s="11124"/>
      <c r="E58" s="11124"/>
      <c r="F58" s="11124"/>
      <c r="G58" s="11124"/>
      <c r="H58" s="11124"/>
      <c r="I58" s="11124"/>
      <c r="J58" s="11124"/>
      <c r="K58" s="11124"/>
      <c r="L58" s="11131"/>
      <c r="M58" s="11131"/>
      <c r="N58" s="11131"/>
      <c r="O58" s="11124"/>
      <c r="P58" s="11124"/>
      <c r="Q58" s="11127"/>
      <c r="R58" s="3782"/>
      <c r="S58" s="5467"/>
      <c r="T58" s="5473">
        <v>38111023100</v>
      </c>
      <c r="U58" s="3804" t="s">
        <v>5808</v>
      </c>
      <c r="V58" s="5507">
        <v>6</v>
      </c>
      <c r="W58" s="3670" t="s">
        <v>180</v>
      </c>
      <c r="X58" s="5542">
        <f>158.88/V58</f>
        <v>26.48</v>
      </c>
      <c r="Y58" s="5542">
        <f t="shared" ref="Y58:Y60" si="5">+V58*X58</f>
        <v>158.88</v>
      </c>
      <c r="Z58" s="5542">
        <f>Y58</f>
        <v>158.88</v>
      </c>
      <c r="AA58" s="5523"/>
      <c r="AB58" s="5589"/>
      <c r="AC58" s="4328"/>
      <c r="AD58" s="3504"/>
      <c r="AE58" s="3504" t="s">
        <v>153</v>
      </c>
      <c r="AF58" s="3699"/>
      <c r="AG58" s="11115"/>
    </row>
    <row r="59" spans="1:33" ht="18" customHeight="1">
      <c r="A59" s="11139"/>
      <c r="B59" s="11136"/>
      <c r="C59" s="11124"/>
      <c r="D59" s="11124"/>
      <c r="E59" s="11124"/>
      <c r="F59" s="11124"/>
      <c r="G59" s="11124"/>
      <c r="H59" s="11124"/>
      <c r="I59" s="11124"/>
      <c r="J59" s="11124"/>
      <c r="K59" s="11124"/>
      <c r="L59" s="11131"/>
      <c r="M59" s="11131"/>
      <c r="N59" s="11131"/>
      <c r="O59" s="11124"/>
      <c r="P59" s="11124"/>
      <c r="Q59" s="11127"/>
      <c r="R59" s="4364" t="s">
        <v>81</v>
      </c>
      <c r="S59" s="5474">
        <v>840103</v>
      </c>
      <c r="T59" s="5474"/>
      <c r="U59" s="3799" t="s">
        <v>591</v>
      </c>
      <c r="V59" s="5507"/>
      <c r="W59" s="3670"/>
      <c r="X59" s="8064"/>
      <c r="Y59" s="8064"/>
      <c r="Z59" s="8064"/>
      <c r="AA59" s="7980">
        <f>SUM(Z60:Z63)</f>
        <v>718.03</v>
      </c>
      <c r="AB59" s="5590" t="s">
        <v>26</v>
      </c>
      <c r="AC59" s="4329"/>
      <c r="AD59" s="3670"/>
      <c r="AE59" s="5616"/>
      <c r="AF59" s="5617"/>
      <c r="AG59" s="11115"/>
    </row>
    <row r="60" spans="1:33" ht="51.75" customHeight="1">
      <c r="A60" s="11139"/>
      <c r="B60" s="11136"/>
      <c r="C60" s="11124"/>
      <c r="D60" s="11124"/>
      <c r="E60" s="11124"/>
      <c r="F60" s="11124"/>
      <c r="G60" s="11124"/>
      <c r="H60" s="11124"/>
      <c r="I60" s="11124"/>
      <c r="J60" s="11124"/>
      <c r="K60" s="11124"/>
      <c r="L60" s="11131"/>
      <c r="M60" s="11131"/>
      <c r="N60" s="11131"/>
      <c r="O60" s="11124"/>
      <c r="P60" s="11124"/>
      <c r="Q60" s="11127"/>
      <c r="R60" s="4364"/>
      <c r="S60" s="5474"/>
      <c r="T60" s="5473"/>
      <c r="U60" s="3804" t="s">
        <v>5809</v>
      </c>
      <c r="V60" s="5507">
        <v>1</v>
      </c>
      <c r="W60" s="3670" t="s">
        <v>479</v>
      </c>
      <c r="X60" s="8064">
        <v>718.03</v>
      </c>
      <c r="Y60" s="8064">
        <f t="shared" si="5"/>
        <v>718.03</v>
      </c>
      <c r="Z60" s="8064">
        <f>Y60</f>
        <v>718.03</v>
      </c>
      <c r="AA60" s="8064"/>
      <c r="AB60" s="5591"/>
      <c r="AC60" s="4329"/>
      <c r="AD60" s="3670"/>
      <c r="AE60" s="5616"/>
      <c r="AF60" s="5617" t="s">
        <v>153</v>
      </c>
      <c r="AG60" s="11115"/>
    </row>
    <row r="61" spans="1:33" ht="18" customHeight="1">
      <c r="A61" s="11139"/>
      <c r="B61" s="11136"/>
      <c r="C61" s="11124"/>
      <c r="D61" s="11124"/>
      <c r="E61" s="11124"/>
      <c r="F61" s="11124"/>
      <c r="G61" s="11124"/>
      <c r="H61" s="11124"/>
      <c r="I61" s="11124"/>
      <c r="J61" s="11124"/>
      <c r="K61" s="11124"/>
      <c r="L61" s="11131"/>
      <c r="M61" s="11131"/>
      <c r="N61" s="11131"/>
      <c r="O61" s="11124"/>
      <c r="P61" s="11124"/>
      <c r="Q61" s="11127"/>
      <c r="R61" s="4364"/>
      <c r="S61" s="5474"/>
      <c r="T61" s="5473"/>
      <c r="U61" s="3804"/>
      <c r="V61" s="5507"/>
      <c r="W61" s="3670"/>
      <c r="X61" s="5542"/>
      <c r="Y61" s="5542"/>
      <c r="Z61" s="5542"/>
      <c r="AA61" s="5542"/>
      <c r="AB61" s="5591"/>
      <c r="AC61" s="4329"/>
      <c r="AD61" s="3670"/>
      <c r="AE61" s="5616"/>
      <c r="AF61" s="5617" t="s">
        <v>153</v>
      </c>
      <c r="AG61" s="11115"/>
    </row>
    <row r="62" spans="1:33" ht="18" customHeight="1">
      <c r="A62" s="11139"/>
      <c r="B62" s="11136"/>
      <c r="C62" s="11124"/>
      <c r="D62" s="11124"/>
      <c r="E62" s="11124"/>
      <c r="F62" s="11124"/>
      <c r="G62" s="11124"/>
      <c r="H62" s="11124"/>
      <c r="I62" s="11124"/>
      <c r="J62" s="11124"/>
      <c r="K62" s="11124"/>
      <c r="L62" s="11131"/>
      <c r="M62" s="11131"/>
      <c r="N62" s="11131"/>
      <c r="O62" s="11124"/>
      <c r="P62" s="11124"/>
      <c r="Q62" s="11127"/>
      <c r="R62" s="4364"/>
      <c r="S62" s="5474"/>
      <c r="T62" s="5473"/>
      <c r="U62" s="3804"/>
      <c r="V62" s="5507"/>
      <c r="W62" s="3670"/>
      <c r="X62" s="5542"/>
      <c r="Y62" s="5542"/>
      <c r="Z62" s="5542"/>
      <c r="AA62" s="5542"/>
      <c r="AB62" s="5591"/>
      <c r="AC62" s="4329"/>
      <c r="AD62" s="3670"/>
      <c r="AE62" s="5616"/>
      <c r="AF62" s="5617" t="s">
        <v>153</v>
      </c>
      <c r="AG62" s="11115"/>
    </row>
    <row r="63" spans="1:33" ht="18" customHeight="1">
      <c r="A63" s="11139"/>
      <c r="B63" s="11136"/>
      <c r="C63" s="11124"/>
      <c r="D63" s="11124"/>
      <c r="E63" s="11124"/>
      <c r="F63" s="11124"/>
      <c r="G63" s="11124"/>
      <c r="H63" s="11124"/>
      <c r="I63" s="11124"/>
      <c r="J63" s="11124"/>
      <c r="K63" s="11124"/>
      <c r="L63" s="11131"/>
      <c r="M63" s="11131"/>
      <c r="N63" s="11131"/>
      <c r="O63" s="11124"/>
      <c r="P63" s="11124"/>
      <c r="Q63" s="11127"/>
      <c r="R63" s="4364"/>
      <c r="S63" s="5474"/>
      <c r="T63" s="5473"/>
      <c r="U63" s="3804"/>
      <c r="V63" s="5507"/>
      <c r="W63" s="3670"/>
      <c r="X63" s="5542"/>
      <c r="Y63" s="5542"/>
      <c r="Z63" s="5542"/>
      <c r="AA63" s="5542"/>
      <c r="AB63" s="5591"/>
      <c r="AC63" s="4329"/>
      <c r="AD63" s="3670"/>
      <c r="AE63" s="5616"/>
      <c r="AF63" s="5617" t="s">
        <v>153</v>
      </c>
      <c r="AG63" s="11115"/>
    </row>
    <row r="64" spans="1:33" ht="38.25">
      <c r="A64" s="11139"/>
      <c r="B64" s="11136"/>
      <c r="C64" s="11124"/>
      <c r="D64" s="11124"/>
      <c r="E64" s="11124"/>
      <c r="F64" s="11124"/>
      <c r="G64" s="11124"/>
      <c r="H64" s="11124"/>
      <c r="I64" s="11124"/>
      <c r="J64" s="11124"/>
      <c r="K64" s="11124"/>
      <c r="L64" s="11131"/>
      <c r="M64" s="11131"/>
      <c r="N64" s="11131"/>
      <c r="O64" s="11124"/>
      <c r="P64" s="11124"/>
      <c r="Q64" s="11127"/>
      <c r="R64" s="3782" t="s">
        <v>81</v>
      </c>
      <c r="S64" s="5467">
        <v>530804</v>
      </c>
      <c r="T64" s="5463"/>
      <c r="U64" s="3542" t="s">
        <v>2003</v>
      </c>
      <c r="V64" s="5508"/>
      <c r="W64" s="3669"/>
      <c r="X64" s="5524"/>
      <c r="Y64" s="5523"/>
      <c r="Z64" s="5523"/>
      <c r="AA64" s="5541">
        <f>Z65</f>
        <v>275.31</v>
      </c>
      <c r="AB64" s="5581" t="s">
        <v>26</v>
      </c>
      <c r="AC64" s="4324"/>
      <c r="AD64" s="3504"/>
      <c r="AE64" s="3699"/>
      <c r="AF64" s="3699"/>
      <c r="AG64" s="11115"/>
    </row>
    <row r="65" spans="1:33">
      <c r="A65" s="11139"/>
      <c r="B65" s="11136"/>
      <c r="C65" s="11124"/>
      <c r="D65" s="11124"/>
      <c r="E65" s="11124"/>
      <c r="F65" s="11124"/>
      <c r="G65" s="11124"/>
      <c r="H65" s="11124"/>
      <c r="I65" s="11124"/>
      <c r="J65" s="11124"/>
      <c r="K65" s="11124"/>
      <c r="L65" s="11131"/>
      <c r="M65" s="11131"/>
      <c r="N65" s="11131"/>
      <c r="O65" s="11124"/>
      <c r="P65" s="11124"/>
      <c r="Q65" s="11127"/>
      <c r="R65" s="3782"/>
      <c r="S65" s="5467"/>
      <c r="T65" s="5463"/>
      <c r="U65" s="3804" t="s">
        <v>5810</v>
      </c>
      <c r="V65" s="5507">
        <v>1</v>
      </c>
      <c r="W65" s="3670" t="s">
        <v>479</v>
      </c>
      <c r="X65" s="5542">
        <f>335.31-60</f>
        <v>275.31</v>
      </c>
      <c r="Y65" s="5542">
        <f>X65</f>
        <v>275.31</v>
      </c>
      <c r="Z65" s="5542">
        <f>Y65</f>
        <v>275.31</v>
      </c>
      <c r="AA65" s="5523"/>
      <c r="AB65" s="5581"/>
      <c r="AC65" s="4324"/>
      <c r="AD65" s="3504" t="s">
        <v>153</v>
      </c>
      <c r="AE65" s="3699"/>
      <c r="AF65" s="3699"/>
      <c r="AG65" s="11115"/>
    </row>
    <row r="66" spans="1:33" ht="18" customHeight="1">
      <c r="A66" s="11139"/>
      <c r="B66" s="11136"/>
      <c r="C66" s="11124"/>
      <c r="D66" s="11124"/>
      <c r="E66" s="11124"/>
      <c r="F66" s="11124"/>
      <c r="G66" s="11124"/>
      <c r="H66" s="11124"/>
      <c r="I66" s="11124"/>
      <c r="J66" s="11124"/>
      <c r="K66" s="11124"/>
      <c r="L66" s="11131"/>
      <c r="M66" s="11131"/>
      <c r="N66" s="11131"/>
      <c r="O66" s="11124"/>
      <c r="P66" s="11124"/>
      <c r="Q66" s="11127"/>
      <c r="R66" s="4364" t="s">
        <v>5811</v>
      </c>
      <c r="S66" s="5474">
        <v>840203</v>
      </c>
      <c r="T66" s="5473"/>
      <c r="U66" s="3799" t="s">
        <v>5812</v>
      </c>
      <c r="V66" s="5507"/>
      <c r="W66" s="3670"/>
      <c r="X66" s="8064"/>
      <c r="Y66" s="8064"/>
      <c r="Z66" s="8064"/>
      <c r="AA66" s="7980">
        <f>Z67</f>
        <v>329688.40999999997</v>
      </c>
      <c r="AB66" s="5590" t="s">
        <v>25</v>
      </c>
      <c r="AC66" s="4316"/>
      <c r="AD66" s="5610"/>
      <c r="AE66" s="5610"/>
      <c r="AF66" s="3699"/>
      <c r="AG66" s="11115"/>
    </row>
    <row r="67" spans="1:33" ht="90.75" customHeight="1">
      <c r="A67" s="11139"/>
      <c r="B67" s="11136"/>
      <c r="C67" s="11124"/>
      <c r="D67" s="11124"/>
      <c r="E67" s="11124"/>
      <c r="F67" s="11124"/>
      <c r="G67" s="11124"/>
      <c r="H67" s="11124"/>
      <c r="I67" s="11124"/>
      <c r="J67" s="11124"/>
      <c r="K67" s="11124"/>
      <c r="L67" s="11131"/>
      <c r="M67" s="11131"/>
      <c r="N67" s="11131"/>
      <c r="O67" s="11124"/>
      <c r="P67" s="11124"/>
      <c r="Q67" s="11127"/>
      <c r="R67" s="3541"/>
      <c r="S67" s="5467"/>
      <c r="T67" s="5463"/>
      <c r="U67" s="3804" t="s">
        <v>5813</v>
      </c>
      <c r="V67" s="5507">
        <v>1</v>
      </c>
      <c r="W67" s="3670" t="s">
        <v>479</v>
      </c>
      <c r="X67" s="8064">
        <v>329688.40999999997</v>
      </c>
      <c r="Y67" s="8064">
        <f>X67</f>
        <v>329688.40999999997</v>
      </c>
      <c r="Z67" s="8064">
        <f>Y67</f>
        <v>329688.40999999997</v>
      </c>
      <c r="AA67" s="8069"/>
      <c r="AB67" s="5589"/>
      <c r="AC67" s="4327"/>
      <c r="AD67" s="5610"/>
      <c r="AE67" s="5610"/>
      <c r="AF67" s="5617" t="s">
        <v>153</v>
      </c>
      <c r="AG67" s="11115"/>
    </row>
    <row r="68" spans="1:33" ht="24" customHeight="1">
      <c r="A68" s="11139"/>
      <c r="B68" s="11136"/>
      <c r="C68" s="11124"/>
      <c r="D68" s="11124"/>
      <c r="E68" s="11124"/>
      <c r="F68" s="11124"/>
      <c r="G68" s="11124"/>
      <c r="H68" s="11124"/>
      <c r="I68" s="11124"/>
      <c r="J68" s="11124"/>
      <c r="K68" s="11124"/>
      <c r="L68" s="11131"/>
      <c r="M68" s="11131"/>
      <c r="N68" s="11131"/>
      <c r="O68" s="11124"/>
      <c r="P68" s="11124"/>
      <c r="Q68" s="11127"/>
      <c r="R68" s="3782" t="s">
        <v>81</v>
      </c>
      <c r="S68" s="5475" t="s">
        <v>1129</v>
      </c>
      <c r="T68" s="5463"/>
      <c r="U68" s="3803" t="s">
        <v>40</v>
      </c>
      <c r="V68" s="5499"/>
      <c r="W68" s="3496"/>
      <c r="X68" s="5523"/>
      <c r="Y68" s="5523"/>
      <c r="Z68" s="5523" t="s">
        <v>413</v>
      </c>
      <c r="AA68" s="5541">
        <f>SUM($Z$69:$Z$69)</f>
        <v>2370</v>
      </c>
      <c r="AB68" s="5581" t="s">
        <v>18</v>
      </c>
      <c r="AC68" s="4324"/>
      <c r="AD68" s="3504"/>
      <c r="AE68" s="3504"/>
      <c r="AF68" s="3699"/>
      <c r="AG68" s="11115"/>
    </row>
    <row r="69" spans="1:33" ht="24" customHeight="1">
      <c r="A69" s="11139"/>
      <c r="B69" s="11136"/>
      <c r="C69" s="11124"/>
      <c r="D69" s="11124"/>
      <c r="E69" s="11124"/>
      <c r="F69" s="11124"/>
      <c r="G69" s="11124"/>
      <c r="H69" s="11124"/>
      <c r="I69" s="11124"/>
      <c r="J69" s="11124"/>
      <c r="K69" s="11124"/>
      <c r="L69" s="11131"/>
      <c r="M69" s="11131"/>
      <c r="N69" s="11131"/>
      <c r="O69" s="11124"/>
      <c r="P69" s="11124"/>
      <c r="Q69" s="11127"/>
      <c r="R69" s="3782"/>
      <c r="S69" s="5463"/>
      <c r="T69" s="5473">
        <v>452200061</v>
      </c>
      <c r="U69" s="3804" t="s">
        <v>5814</v>
      </c>
      <c r="V69" s="5507">
        <v>2</v>
      </c>
      <c r="W69" s="3670" t="s">
        <v>180</v>
      </c>
      <c r="X69" s="5542">
        <v>1185</v>
      </c>
      <c r="Y69" s="5542">
        <f t="shared" ref="Y69" si="6">+V69*X69</f>
        <v>2370</v>
      </c>
      <c r="Z69" s="5542">
        <f>Y69</f>
        <v>2370</v>
      </c>
      <c r="AA69" s="5523"/>
      <c r="AB69" s="5589"/>
      <c r="AC69" s="4330"/>
      <c r="AD69" s="3504"/>
      <c r="AE69" s="5615" t="s">
        <v>153</v>
      </c>
      <c r="AF69" s="3699"/>
      <c r="AG69" s="11115"/>
    </row>
    <row r="70" spans="1:33" ht="24" customHeight="1">
      <c r="A70" s="11139"/>
      <c r="B70" s="11136"/>
      <c r="C70" s="11124"/>
      <c r="D70" s="11124"/>
      <c r="E70" s="11124"/>
      <c r="F70" s="11124"/>
      <c r="G70" s="11124"/>
      <c r="H70" s="11124"/>
      <c r="I70" s="11124"/>
      <c r="J70" s="11124"/>
      <c r="K70" s="11124"/>
      <c r="L70" s="11131"/>
      <c r="M70" s="11131"/>
      <c r="N70" s="11131"/>
      <c r="O70" s="11124"/>
      <c r="P70" s="11124"/>
      <c r="Q70" s="11127"/>
      <c r="R70" s="3782" t="s">
        <v>80</v>
      </c>
      <c r="S70" s="5475" t="s">
        <v>1129</v>
      </c>
      <c r="T70" s="5463"/>
      <c r="U70" s="3803" t="s">
        <v>40</v>
      </c>
      <c r="V70" s="5499"/>
      <c r="W70" s="3496"/>
      <c r="X70" s="8069"/>
      <c r="Y70" s="8069"/>
      <c r="Z70" s="8069"/>
      <c r="AA70" s="7980">
        <f>$Z$71</f>
        <v>9820</v>
      </c>
      <c r="AB70" s="5581" t="s">
        <v>18</v>
      </c>
      <c r="AC70" s="4330"/>
      <c r="AD70" s="3504"/>
      <c r="AE70" s="3504"/>
      <c r="AF70" s="3699"/>
      <c r="AG70" s="11115"/>
    </row>
    <row r="71" spans="1:33" ht="30" customHeight="1">
      <c r="A71" s="11139"/>
      <c r="B71" s="11136"/>
      <c r="C71" s="11124"/>
      <c r="D71" s="11124"/>
      <c r="E71" s="11124"/>
      <c r="F71" s="11124"/>
      <c r="G71" s="11124"/>
      <c r="H71" s="11124"/>
      <c r="I71" s="11124"/>
      <c r="J71" s="11124"/>
      <c r="K71" s="11124"/>
      <c r="L71" s="11131"/>
      <c r="M71" s="11131"/>
      <c r="N71" s="11131"/>
      <c r="O71" s="11124"/>
      <c r="P71" s="11124"/>
      <c r="Q71" s="11127"/>
      <c r="R71" s="3792"/>
      <c r="S71" s="5463"/>
      <c r="T71" s="5473"/>
      <c r="U71" s="3804" t="s">
        <v>5815</v>
      </c>
      <c r="V71" s="5507">
        <v>1</v>
      </c>
      <c r="W71" s="3670" t="s">
        <v>479</v>
      </c>
      <c r="X71" s="8064">
        <v>9820</v>
      </c>
      <c r="Y71" s="8064">
        <f>+V71*X71</f>
        <v>9820</v>
      </c>
      <c r="Z71" s="8064">
        <f>Y71</f>
        <v>9820</v>
      </c>
      <c r="AA71" s="8065"/>
      <c r="AB71" s="5581"/>
      <c r="AC71" s="4324"/>
      <c r="AD71" s="3504"/>
      <c r="AE71" s="5615" t="s">
        <v>153</v>
      </c>
      <c r="AF71" s="3699"/>
      <c r="AG71" s="11115"/>
    </row>
    <row r="72" spans="1:33" ht="30" customHeight="1">
      <c r="A72" s="11139"/>
      <c r="B72" s="11136"/>
      <c r="C72" s="11124"/>
      <c r="D72" s="11124"/>
      <c r="E72" s="11124"/>
      <c r="F72" s="11124"/>
      <c r="G72" s="11124"/>
      <c r="H72" s="11124"/>
      <c r="I72" s="11124"/>
      <c r="J72" s="11124"/>
      <c r="K72" s="11124"/>
      <c r="L72" s="11131"/>
      <c r="M72" s="11131"/>
      <c r="N72" s="11131"/>
      <c r="O72" s="11124"/>
      <c r="P72" s="11124"/>
      <c r="Q72" s="11127"/>
      <c r="R72" s="3782" t="s">
        <v>81</v>
      </c>
      <c r="S72" s="5467">
        <v>840104</v>
      </c>
      <c r="T72" s="5467"/>
      <c r="U72" s="3542" t="s">
        <v>39</v>
      </c>
      <c r="V72" s="5499"/>
      <c r="W72" s="3496"/>
      <c r="X72" s="5523"/>
      <c r="Y72" s="5523"/>
      <c r="Z72" s="5523"/>
      <c r="AA72" s="5543">
        <f>SUM($Z$73:$Z$74)</f>
        <v>3351</v>
      </c>
      <c r="AB72" s="5581" t="s">
        <v>18</v>
      </c>
      <c r="AC72" s="4324"/>
      <c r="AD72" s="3504"/>
      <c r="AE72" s="3504"/>
      <c r="AF72" s="3699"/>
      <c r="AG72" s="11115"/>
    </row>
    <row r="73" spans="1:33" ht="30" customHeight="1">
      <c r="A73" s="11139"/>
      <c r="B73" s="11136"/>
      <c r="C73" s="11124"/>
      <c r="D73" s="11124"/>
      <c r="E73" s="11124"/>
      <c r="F73" s="11124"/>
      <c r="G73" s="11124"/>
      <c r="H73" s="11124"/>
      <c r="I73" s="11124"/>
      <c r="J73" s="11124"/>
      <c r="K73" s="11124"/>
      <c r="L73" s="11131"/>
      <c r="M73" s="11131"/>
      <c r="N73" s="11131"/>
      <c r="O73" s="11124"/>
      <c r="P73" s="11124"/>
      <c r="Q73" s="11127"/>
      <c r="R73" s="3792"/>
      <c r="S73" s="5463"/>
      <c r="T73" s="5473">
        <v>43934002</v>
      </c>
      <c r="U73" s="3804" t="s">
        <v>5816</v>
      </c>
      <c r="V73" s="5507">
        <v>1</v>
      </c>
      <c r="W73" s="3670" t="s">
        <v>180</v>
      </c>
      <c r="X73" s="5542">
        <v>239</v>
      </c>
      <c r="Y73" s="5542">
        <f t="shared" ref="Y73" si="7">+V73*X73</f>
        <v>239</v>
      </c>
      <c r="Z73" s="5542">
        <f>Y73</f>
        <v>239</v>
      </c>
      <c r="AA73" s="5524"/>
      <c r="AB73" s="5581"/>
      <c r="AC73" s="4324"/>
      <c r="AD73" s="3504"/>
      <c r="AE73" s="5615" t="s">
        <v>153</v>
      </c>
      <c r="AF73" s="3699"/>
      <c r="AG73" s="11115"/>
    </row>
    <row r="74" spans="1:33">
      <c r="A74" s="11139"/>
      <c r="B74" s="11136"/>
      <c r="C74" s="11124"/>
      <c r="D74" s="11124"/>
      <c r="E74" s="11124"/>
      <c r="F74" s="11124"/>
      <c r="G74" s="11124"/>
      <c r="H74" s="11124"/>
      <c r="I74" s="11124"/>
      <c r="J74" s="11124"/>
      <c r="K74" s="11124"/>
      <c r="L74" s="11131"/>
      <c r="M74" s="11131"/>
      <c r="N74" s="11131"/>
      <c r="O74" s="11124"/>
      <c r="P74" s="11124"/>
      <c r="Q74" s="11127"/>
      <c r="R74" s="3792"/>
      <c r="S74" s="5463"/>
      <c r="T74" s="5473" t="s">
        <v>5817</v>
      </c>
      <c r="U74" s="3804" t="s">
        <v>5818</v>
      </c>
      <c r="V74" s="5507">
        <v>4</v>
      </c>
      <c r="W74" s="3670" t="s">
        <v>180</v>
      </c>
      <c r="X74" s="5542">
        <v>778</v>
      </c>
      <c r="Y74" s="5542">
        <f>+V74*X74</f>
        <v>3112</v>
      </c>
      <c r="Z74" s="5542">
        <f>Y74</f>
        <v>3112</v>
      </c>
      <c r="AA74" s="5524"/>
      <c r="AB74" s="5581"/>
      <c r="AC74" s="4324"/>
      <c r="AD74" s="3504"/>
      <c r="AE74" s="3504" t="s">
        <v>153</v>
      </c>
      <c r="AF74" s="3699"/>
      <c r="AG74" s="11115"/>
    </row>
    <row r="75" spans="1:33" ht="30" customHeight="1">
      <c r="A75" s="11139"/>
      <c r="B75" s="11136"/>
      <c r="C75" s="11124"/>
      <c r="D75" s="11124"/>
      <c r="E75" s="11124"/>
      <c r="F75" s="11124"/>
      <c r="G75" s="11124"/>
      <c r="H75" s="11124"/>
      <c r="I75" s="11124"/>
      <c r="J75" s="11124"/>
      <c r="K75" s="11124"/>
      <c r="L75" s="11131"/>
      <c r="M75" s="11131"/>
      <c r="N75" s="11131"/>
      <c r="O75" s="11124"/>
      <c r="P75" s="11124"/>
      <c r="Q75" s="11127"/>
      <c r="R75" s="3782" t="s">
        <v>80</v>
      </c>
      <c r="S75" s="5467">
        <v>840104</v>
      </c>
      <c r="T75" s="5467"/>
      <c r="U75" s="3542" t="s">
        <v>39</v>
      </c>
      <c r="V75" s="5499"/>
      <c r="W75" s="3496"/>
      <c r="X75" s="8069"/>
      <c r="Y75" s="8069"/>
      <c r="Z75" s="8069"/>
      <c r="AA75" s="8065">
        <f>$Z$76</f>
        <v>0</v>
      </c>
      <c r="AB75" s="5581" t="s">
        <v>18</v>
      </c>
      <c r="AC75" s="4324"/>
      <c r="AD75" s="3504"/>
      <c r="AE75" s="3504"/>
      <c r="AF75" s="3699"/>
      <c r="AG75" s="11115"/>
    </row>
    <row r="76" spans="1:33" ht="25.5">
      <c r="A76" s="11139"/>
      <c r="B76" s="11136"/>
      <c r="C76" s="11124"/>
      <c r="D76" s="11124"/>
      <c r="E76" s="11124"/>
      <c r="F76" s="11124"/>
      <c r="G76" s="11124"/>
      <c r="H76" s="11124"/>
      <c r="I76" s="11124"/>
      <c r="J76" s="11124"/>
      <c r="K76" s="11124"/>
      <c r="L76" s="11131"/>
      <c r="M76" s="11131"/>
      <c r="N76" s="11131"/>
      <c r="O76" s="11124"/>
      <c r="P76" s="11124"/>
      <c r="Q76" s="11127"/>
      <c r="R76" s="3792"/>
      <c r="S76" s="5463"/>
      <c r="T76" s="5463" t="s">
        <v>5819</v>
      </c>
      <c r="U76" s="3495" t="s">
        <v>5820</v>
      </c>
      <c r="V76" s="8087">
        <v>0</v>
      </c>
      <c r="W76" s="3496" t="s">
        <v>479</v>
      </c>
      <c r="X76" s="8069">
        <v>25446.43</v>
      </c>
      <c r="Y76" s="8069">
        <f>+V76*X76</f>
        <v>0</v>
      </c>
      <c r="Z76" s="8069">
        <f>Y76</f>
        <v>0</v>
      </c>
      <c r="AA76" s="8065"/>
      <c r="AB76" s="5581"/>
      <c r="AC76" s="4324"/>
      <c r="AD76" s="3504"/>
      <c r="AE76" s="3504" t="s">
        <v>153</v>
      </c>
      <c r="AF76" s="3699"/>
      <c r="AG76" s="11115"/>
    </row>
    <row r="77" spans="1:33" ht="41.25" customHeight="1">
      <c r="A77" s="11139"/>
      <c r="B77" s="11136"/>
      <c r="C77" s="11124"/>
      <c r="D77" s="11124"/>
      <c r="E77" s="11124"/>
      <c r="F77" s="11124"/>
      <c r="G77" s="11124"/>
      <c r="H77" s="11124"/>
      <c r="I77" s="11124"/>
      <c r="J77" s="11124"/>
      <c r="K77" s="11124"/>
      <c r="L77" s="11131"/>
      <c r="M77" s="11131"/>
      <c r="N77" s="11131"/>
      <c r="O77" s="11124"/>
      <c r="P77" s="11124"/>
      <c r="Q77" s="11127"/>
      <c r="R77" s="3782" t="s">
        <v>81</v>
      </c>
      <c r="S77" s="5467">
        <v>530402</v>
      </c>
      <c r="T77" s="5467"/>
      <c r="U77" s="3542" t="s">
        <v>281</v>
      </c>
      <c r="V77" s="5499"/>
      <c r="W77" s="3496"/>
      <c r="X77" s="5523"/>
      <c r="Y77" s="5523"/>
      <c r="Z77" s="5523"/>
      <c r="AA77" s="8065">
        <f>SUM(Z78)</f>
        <v>4961.1499999999996</v>
      </c>
      <c r="AB77" s="5581" t="s">
        <v>26</v>
      </c>
      <c r="AC77" s="4324"/>
      <c r="AD77" s="3504"/>
      <c r="AE77" s="3504"/>
      <c r="AF77" s="3699"/>
      <c r="AG77" s="5618"/>
    </row>
    <row r="78" spans="1:33" ht="30" customHeight="1">
      <c r="A78" s="11139"/>
      <c r="B78" s="11136"/>
      <c r="C78" s="11124"/>
      <c r="D78" s="11124"/>
      <c r="E78" s="11124"/>
      <c r="F78" s="11124"/>
      <c r="G78" s="11124"/>
      <c r="H78" s="11124"/>
      <c r="I78" s="11124"/>
      <c r="J78" s="11124"/>
      <c r="K78" s="11124"/>
      <c r="L78" s="11131"/>
      <c r="M78" s="11131"/>
      <c r="N78" s="11131"/>
      <c r="O78" s="11124"/>
      <c r="P78" s="11124"/>
      <c r="Q78" s="11127"/>
      <c r="R78" s="3782"/>
      <c r="S78" s="5467"/>
      <c r="T78" s="5463">
        <v>873900011</v>
      </c>
      <c r="U78" s="3495" t="s">
        <v>5821</v>
      </c>
      <c r="V78" s="5499">
        <v>1</v>
      </c>
      <c r="W78" s="3496" t="s">
        <v>152</v>
      </c>
      <c r="X78" s="5523">
        <f>4961.15</f>
        <v>4961.1499999999996</v>
      </c>
      <c r="Y78" s="5523">
        <f>+V78*X78</f>
        <v>4961.1499999999996</v>
      </c>
      <c r="Z78" s="5523">
        <f>Y78</f>
        <v>4961.1499999999996</v>
      </c>
      <c r="AA78" s="5524"/>
      <c r="AB78" s="5581"/>
      <c r="AC78" s="4324"/>
      <c r="AD78" s="3504"/>
      <c r="AE78" s="3504" t="s">
        <v>153</v>
      </c>
      <c r="AF78" s="3699"/>
      <c r="AG78" s="5618"/>
    </row>
    <row r="79" spans="1:33" ht="30" customHeight="1">
      <c r="A79" s="11139"/>
      <c r="B79" s="11136"/>
      <c r="C79" s="11124"/>
      <c r="D79" s="11124"/>
      <c r="E79" s="11124"/>
      <c r="F79" s="11124"/>
      <c r="G79" s="11124"/>
      <c r="H79" s="11124"/>
      <c r="I79" s="11124"/>
      <c r="J79" s="11124"/>
      <c r="K79" s="11124"/>
      <c r="L79" s="11131"/>
      <c r="M79" s="11131"/>
      <c r="N79" s="11131"/>
      <c r="O79" s="11124"/>
      <c r="P79" s="11124"/>
      <c r="Q79" s="11127"/>
      <c r="R79" s="8254" t="s">
        <v>79</v>
      </c>
      <c r="S79" s="8255">
        <v>530402</v>
      </c>
      <c r="T79" s="8255"/>
      <c r="U79" s="8256" t="s">
        <v>281</v>
      </c>
      <c r="V79" s="5499"/>
      <c r="W79" s="3496"/>
      <c r="X79" s="5523"/>
      <c r="Y79" s="5523"/>
      <c r="Z79" s="5523"/>
      <c r="AA79" s="8065">
        <f>Z80</f>
        <v>0</v>
      </c>
      <c r="AB79" s="8253" t="s">
        <v>26</v>
      </c>
      <c r="AC79" s="4324"/>
      <c r="AD79" s="3504"/>
      <c r="AE79" s="3504"/>
      <c r="AF79" s="3699"/>
      <c r="AG79" s="5618"/>
    </row>
    <row r="80" spans="1:33" ht="30" customHeight="1">
      <c r="A80" s="11139"/>
      <c r="B80" s="11136"/>
      <c r="C80" s="11124"/>
      <c r="D80" s="11124"/>
      <c r="E80" s="11124"/>
      <c r="F80" s="11124"/>
      <c r="G80" s="11124"/>
      <c r="H80" s="11124"/>
      <c r="I80" s="11124"/>
      <c r="J80" s="11124"/>
      <c r="K80" s="11124"/>
      <c r="L80" s="11131"/>
      <c r="M80" s="11131"/>
      <c r="N80" s="11131"/>
      <c r="O80" s="11124"/>
      <c r="P80" s="11124"/>
      <c r="Q80" s="11127"/>
      <c r="R80" s="8254"/>
      <c r="S80" s="8255"/>
      <c r="T80" s="8257"/>
      <c r="U80" s="8063" t="s">
        <v>5822</v>
      </c>
      <c r="V80" s="8087">
        <v>0</v>
      </c>
      <c r="W80" s="8088" t="s">
        <v>5823</v>
      </c>
      <c r="X80" s="8069">
        <v>5500</v>
      </c>
      <c r="Y80" s="8069">
        <f>+V80*X80</f>
        <v>0</v>
      </c>
      <c r="Z80" s="8069">
        <f>Y80*1.12</f>
        <v>0</v>
      </c>
      <c r="AA80" s="8065"/>
      <c r="AB80" s="8253"/>
      <c r="AC80" s="4324"/>
      <c r="AD80" s="3504"/>
      <c r="AE80" s="3504"/>
      <c r="AF80" s="8258" t="s">
        <v>153</v>
      </c>
      <c r="AG80" s="5618"/>
    </row>
    <row r="81" spans="1:33" ht="30" customHeight="1">
      <c r="A81" s="11139"/>
      <c r="B81" s="11136"/>
      <c r="C81" s="11124"/>
      <c r="D81" s="11124"/>
      <c r="E81" s="11124"/>
      <c r="F81" s="11124"/>
      <c r="G81" s="11124"/>
      <c r="H81" s="11124"/>
      <c r="I81" s="11124"/>
      <c r="J81" s="11124"/>
      <c r="K81" s="11124"/>
      <c r="L81" s="11131"/>
      <c r="M81" s="11131"/>
      <c r="N81" s="11131"/>
      <c r="O81" s="11124"/>
      <c r="P81" s="11124"/>
      <c r="Q81" s="11127"/>
      <c r="R81" s="3782" t="s">
        <v>79</v>
      </c>
      <c r="S81" s="5467">
        <v>531403</v>
      </c>
      <c r="T81" s="5467"/>
      <c r="U81" s="3542" t="s">
        <v>591</v>
      </c>
      <c r="V81" s="5499"/>
      <c r="W81" s="3496"/>
      <c r="X81" s="8069"/>
      <c r="Y81" s="8069"/>
      <c r="Z81" s="8069"/>
      <c r="AA81" s="8065">
        <f>SUM(Z82)</f>
        <v>868.55</v>
      </c>
      <c r="AB81" s="5581" t="s">
        <v>18</v>
      </c>
      <c r="AC81" s="4324"/>
      <c r="AD81" s="3504"/>
      <c r="AE81" s="3504"/>
      <c r="AF81" s="3699"/>
      <c r="AG81" s="5618"/>
    </row>
    <row r="82" spans="1:33" ht="30" customHeight="1">
      <c r="A82" s="11139"/>
      <c r="B82" s="11137"/>
      <c r="C82" s="11125"/>
      <c r="D82" s="11125"/>
      <c r="E82" s="11125"/>
      <c r="F82" s="11125"/>
      <c r="G82" s="11125"/>
      <c r="H82" s="11125"/>
      <c r="I82" s="11125"/>
      <c r="J82" s="11125"/>
      <c r="K82" s="11125"/>
      <c r="L82" s="11134"/>
      <c r="M82" s="11134"/>
      <c r="N82" s="11134"/>
      <c r="O82" s="11125"/>
      <c r="P82" s="11125"/>
      <c r="Q82" s="11135"/>
      <c r="R82" s="3785"/>
      <c r="S82" s="5476"/>
      <c r="T82" s="5477">
        <v>873900011</v>
      </c>
      <c r="U82" s="3759" t="s">
        <v>5806</v>
      </c>
      <c r="V82" s="5509">
        <v>1</v>
      </c>
      <c r="W82" s="3714" t="s">
        <v>5807</v>
      </c>
      <c r="X82" s="8070">
        <v>868.55</v>
      </c>
      <c r="Y82" s="8070">
        <f>+V82*X82</f>
        <v>868.55</v>
      </c>
      <c r="Z82" s="8070">
        <f>Y82</f>
        <v>868.55</v>
      </c>
      <c r="AA82" s="8071"/>
      <c r="AB82" s="5592"/>
      <c r="AC82" s="4339"/>
      <c r="AD82" s="3727"/>
      <c r="AE82" s="3727" t="s">
        <v>153</v>
      </c>
      <c r="AF82" s="3755"/>
      <c r="AG82" s="5619"/>
    </row>
    <row r="83" spans="1:33" ht="26.25" customHeight="1">
      <c r="A83" s="10053" t="s">
        <v>4188</v>
      </c>
      <c r="B83" s="10516" t="s">
        <v>127</v>
      </c>
      <c r="C83" s="10433" t="s">
        <v>128</v>
      </c>
      <c r="D83" s="10433" t="s">
        <v>140</v>
      </c>
      <c r="E83" s="10433" t="s">
        <v>141</v>
      </c>
      <c r="F83" s="10442" t="s">
        <v>131</v>
      </c>
      <c r="G83" s="10433" t="s">
        <v>132</v>
      </c>
      <c r="H83" s="10433" t="s">
        <v>189</v>
      </c>
      <c r="I83" s="10433" t="s">
        <v>5824</v>
      </c>
      <c r="J83" s="10433" t="s">
        <v>4243</v>
      </c>
      <c r="K83" s="10433" t="s">
        <v>5825</v>
      </c>
      <c r="L83" s="10470">
        <v>1</v>
      </c>
      <c r="M83" s="10470">
        <v>0</v>
      </c>
      <c r="N83" s="10470">
        <v>0</v>
      </c>
      <c r="O83" s="10433" t="s">
        <v>5826</v>
      </c>
      <c r="P83" s="10433" t="s">
        <v>5827</v>
      </c>
      <c r="Q83" s="10439" t="s">
        <v>5780</v>
      </c>
      <c r="R83" s="3776"/>
      <c r="S83" s="5466"/>
      <c r="T83" s="5466"/>
      <c r="U83" s="3762"/>
      <c r="V83" s="5502"/>
      <c r="W83" s="3709"/>
      <c r="X83" s="5529"/>
      <c r="Y83" s="5529"/>
      <c r="Z83" s="5529"/>
      <c r="AA83" s="5530"/>
      <c r="AB83" s="5584"/>
      <c r="AC83" s="4342"/>
      <c r="AD83" s="3731"/>
      <c r="AE83" s="5620"/>
      <c r="AF83" s="5620"/>
      <c r="AG83" s="10481"/>
    </row>
    <row r="84" spans="1:33" ht="26.25" customHeight="1">
      <c r="A84" s="11139"/>
      <c r="B84" s="11136"/>
      <c r="C84" s="11124"/>
      <c r="D84" s="11124"/>
      <c r="E84" s="11124"/>
      <c r="F84" s="11124"/>
      <c r="G84" s="11124"/>
      <c r="H84" s="11124"/>
      <c r="I84" s="11124"/>
      <c r="J84" s="11124"/>
      <c r="K84" s="11124"/>
      <c r="L84" s="11131"/>
      <c r="M84" s="10504"/>
      <c r="N84" s="11131"/>
      <c r="O84" s="11124"/>
      <c r="P84" s="11124"/>
      <c r="Q84" s="11127"/>
      <c r="R84" s="3538"/>
      <c r="S84" s="5463"/>
      <c r="T84" s="5478"/>
      <c r="U84" s="3765"/>
      <c r="V84" s="5510"/>
      <c r="W84" s="3678"/>
      <c r="X84" s="5546"/>
      <c r="Y84" s="5546"/>
      <c r="Z84" s="5546"/>
      <c r="AA84" s="5547"/>
      <c r="AB84" s="5593"/>
      <c r="AC84" s="4331"/>
      <c r="AD84" s="3678"/>
      <c r="AE84" s="5621"/>
      <c r="AF84" s="5621"/>
      <c r="AG84" s="11141"/>
    </row>
    <row r="85" spans="1:33" ht="26.25" customHeight="1">
      <c r="A85" s="11139"/>
      <c r="B85" s="11136"/>
      <c r="C85" s="11124"/>
      <c r="D85" s="11124"/>
      <c r="E85" s="11124"/>
      <c r="F85" s="11124"/>
      <c r="G85" s="11124"/>
      <c r="H85" s="11124"/>
      <c r="I85" s="11124"/>
      <c r="J85" s="11124"/>
      <c r="K85" s="11124"/>
      <c r="L85" s="11131"/>
      <c r="M85" s="10504"/>
      <c r="N85" s="11131"/>
      <c r="O85" s="11124"/>
      <c r="P85" s="11124"/>
      <c r="Q85" s="11127"/>
      <c r="R85" s="3538"/>
      <c r="S85" s="5463"/>
      <c r="T85" s="5478"/>
      <c r="U85" s="3765"/>
      <c r="V85" s="5510"/>
      <c r="W85" s="3678"/>
      <c r="X85" s="5546"/>
      <c r="Y85" s="5546"/>
      <c r="Z85" s="5546"/>
      <c r="AA85" s="5547"/>
      <c r="AB85" s="5593"/>
      <c r="AC85" s="4331"/>
      <c r="AD85" s="3678"/>
      <c r="AE85" s="5621"/>
      <c r="AF85" s="5621"/>
      <c r="AG85" s="11141"/>
    </row>
    <row r="86" spans="1:33" ht="26.25" customHeight="1">
      <c r="A86" s="11139"/>
      <c r="B86" s="11136"/>
      <c r="C86" s="11124"/>
      <c r="D86" s="11124"/>
      <c r="E86" s="11124"/>
      <c r="F86" s="11124"/>
      <c r="G86" s="11124"/>
      <c r="H86" s="11124"/>
      <c r="I86" s="11124"/>
      <c r="J86" s="11124"/>
      <c r="K86" s="11124"/>
      <c r="L86" s="11131"/>
      <c r="M86" s="10504"/>
      <c r="N86" s="11131"/>
      <c r="O86" s="11124"/>
      <c r="P86" s="11124"/>
      <c r="Q86" s="11127"/>
      <c r="R86" s="3538"/>
      <c r="S86" s="5463"/>
      <c r="T86" s="5478"/>
      <c r="U86" s="3765"/>
      <c r="V86" s="5510"/>
      <c r="W86" s="3678"/>
      <c r="X86" s="5546"/>
      <c r="Y86" s="5546"/>
      <c r="Z86" s="5546"/>
      <c r="AA86" s="5547"/>
      <c r="AB86" s="5593"/>
      <c r="AC86" s="4331"/>
      <c r="AD86" s="3678"/>
      <c r="AE86" s="5621"/>
      <c r="AF86" s="5621"/>
      <c r="AG86" s="11141"/>
    </row>
    <row r="87" spans="1:33" ht="26.25" customHeight="1">
      <c r="A87" s="11139"/>
      <c r="B87" s="11138"/>
      <c r="C87" s="11126"/>
      <c r="D87" s="11126"/>
      <c r="E87" s="11126"/>
      <c r="F87" s="11126"/>
      <c r="G87" s="11126"/>
      <c r="H87" s="11126"/>
      <c r="I87" s="11126"/>
      <c r="J87" s="11126"/>
      <c r="K87" s="11126"/>
      <c r="L87" s="11132"/>
      <c r="M87" s="11129"/>
      <c r="N87" s="11132"/>
      <c r="O87" s="11126"/>
      <c r="P87" s="11126"/>
      <c r="Q87" s="11128"/>
      <c r="R87" s="3543"/>
      <c r="S87" s="5468"/>
      <c r="T87" s="5479"/>
      <c r="U87" s="3766"/>
      <c r="V87" s="5511"/>
      <c r="W87" s="3701"/>
      <c r="X87" s="5548"/>
      <c r="Y87" s="5548"/>
      <c r="Z87" s="5548"/>
      <c r="AA87" s="5549"/>
      <c r="AB87" s="5594"/>
      <c r="AC87" s="4343"/>
      <c r="AD87" s="3701"/>
      <c r="AE87" s="5622"/>
      <c r="AF87" s="5622"/>
      <c r="AG87" s="11142"/>
    </row>
    <row r="88" spans="1:33" ht="26.25" customHeight="1">
      <c r="A88" s="11139"/>
      <c r="B88" s="10512" t="s">
        <v>127</v>
      </c>
      <c r="C88" s="10444" t="s">
        <v>128</v>
      </c>
      <c r="D88" s="10444" t="s">
        <v>129</v>
      </c>
      <c r="E88" s="10444" t="s">
        <v>268</v>
      </c>
      <c r="F88" s="10451" t="s">
        <v>131</v>
      </c>
      <c r="G88" s="10444" t="s">
        <v>132</v>
      </c>
      <c r="H88" s="10444" t="s">
        <v>159</v>
      </c>
      <c r="I88" s="10444" t="s">
        <v>5828</v>
      </c>
      <c r="J88" s="10444" t="s">
        <v>5829</v>
      </c>
      <c r="K88" s="10444" t="s">
        <v>5830</v>
      </c>
      <c r="L88" s="10455">
        <v>1</v>
      </c>
      <c r="M88" s="10455">
        <v>1</v>
      </c>
      <c r="N88" s="10455">
        <v>1</v>
      </c>
      <c r="O88" s="10444" t="s">
        <v>5831</v>
      </c>
      <c r="P88" s="10444" t="s">
        <v>5832</v>
      </c>
      <c r="Q88" s="10449" t="s">
        <v>5833</v>
      </c>
      <c r="R88" s="3767"/>
      <c r="S88" s="5469"/>
      <c r="T88" s="5469"/>
      <c r="U88" s="3758"/>
      <c r="V88" s="5504"/>
      <c r="W88" s="3658"/>
      <c r="X88" s="5534"/>
      <c r="Y88" s="5534"/>
      <c r="Z88" s="5534"/>
      <c r="AA88" s="5535"/>
      <c r="AB88" s="5586"/>
      <c r="AC88" s="4314"/>
      <c r="AD88" s="3658"/>
      <c r="AE88" s="5623"/>
      <c r="AF88" s="5623"/>
      <c r="AG88" s="10478"/>
    </row>
    <row r="89" spans="1:33" ht="26.25" customHeight="1">
      <c r="A89" s="11139"/>
      <c r="B89" s="11136"/>
      <c r="C89" s="11124"/>
      <c r="D89" s="11124"/>
      <c r="E89" s="11124"/>
      <c r="F89" s="11124"/>
      <c r="G89" s="11124"/>
      <c r="H89" s="11124"/>
      <c r="I89" s="11124"/>
      <c r="J89" s="11124"/>
      <c r="K89" s="11124"/>
      <c r="L89" s="11131"/>
      <c r="M89" s="10504"/>
      <c r="N89" s="11131"/>
      <c r="O89" s="11124"/>
      <c r="P89" s="11124"/>
      <c r="Q89" s="11127"/>
      <c r="R89" s="3538"/>
      <c r="S89" s="5463"/>
      <c r="T89" s="5463"/>
      <c r="U89" s="3495"/>
      <c r="V89" s="5499"/>
      <c r="W89" s="3496"/>
      <c r="X89" s="5523"/>
      <c r="Y89" s="5523"/>
      <c r="Z89" s="5523"/>
      <c r="AA89" s="5524"/>
      <c r="AB89" s="5581"/>
      <c r="AC89" s="4316"/>
      <c r="AD89" s="3496"/>
      <c r="AE89" s="5610"/>
      <c r="AF89" s="5610"/>
      <c r="AG89" s="11141"/>
    </row>
    <row r="90" spans="1:33" ht="26.25" customHeight="1">
      <c r="A90" s="11139"/>
      <c r="B90" s="11136"/>
      <c r="C90" s="11124"/>
      <c r="D90" s="11124"/>
      <c r="E90" s="11124"/>
      <c r="F90" s="11124"/>
      <c r="G90" s="11124"/>
      <c r="H90" s="11124"/>
      <c r="I90" s="11124"/>
      <c r="J90" s="11124"/>
      <c r="K90" s="11124"/>
      <c r="L90" s="11131"/>
      <c r="M90" s="10504"/>
      <c r="N90" s="11131"/>
      <c r="O90" s="11124"/>
      <c r="P90" s="11124"/>
      <c r="Q90" s="11127"/>
      <c r="R90" s="3538"/>
      <c r="S90" s="5463"/>
      <c r="T90" s="5463"/>
      <c r="U90" s="3495"/>
      <c r="V90" s="5499"/>
      <c r="W90" s="3496"/>
      <c r="X90" s="5523"/>
      <c r="Y90" s="5523"/>
      <c r="Z90" s="5523"/>
      <c r="AA90" s="5524"/>
      <c r="AB90" s="5581"/>
      <c r="AC90" s="4316"/>
      <c r="AD90" s="3496"/>
      <c r="AE90" s="5610"/>
      <c r="AF90" s="5610"/>
      <c r="AG90" s="11141"/>
    </row>
    <row r="91" spans="1:33" ht="26.25" customHeight="1">
      <c r="A91" s="11139"/>
      <c r="B91" s="11136"/>
      <c r="C91" s="11124"/>
      <c r="D91" s="11124"/>
      <c r="E91" s="11124"/>
      <c r="F91" s="11124"/>
      <c r="G91" s="11124"/>
      <c r="H91" s="11124"/>
      <c r="I91" s="11124"/>
      <c r="J91" s="11124"/>
      <c r="K91" s="11124"/>
      <c r="L91" s="11131"/>
      <c r="M91" s="10504"/>
      <c r="N91" s="11131"/>
      <c r="O91" s="11124"/>
      <c r="P91" s="11124"/>
      <c r="Q91" s="11127"/>
      <c r="R91" s="3541"/>
      <c r="S91" s="5467"/>
      <c r="T91" s="5467"/>
      <c r="U91" s="3495"/>
      <c r="V91" s="5499"/>
      <c r="W91" s="3496"/>
      <c r="X91" s="5523"/>
      <c r="Y91" s="5523"/>
      <c r="Z91" s="5523"/>
      <c r="AA91" s="5524"/>
      <c r="AB91" s="5581"/>
      <c r="AC91" s="4316"/>
      <c r="AD91" s="3496"/>
      <c r="AE91" s="5610"/>
      <c r="AF91" s="5610"/>
      <c r="AG91" s="11141"/>
    </row>
    <row r="92" spans="1:33" ht="26.25" customHeight="1">
      <c r="A92" s="11139"/>
      <c r="B92" s="11137"/>
      <c r="C92" s="11125"/>
      <c r="D92" s="11125"/>
      <c r="E92" s="11125"/>
      <c r="F92" s="11125"/>
      <c r="G92" s="11125"/>
      <c r="H92" s="11125"/>
      <c r="I92" s="11125"/>
      <c r="J92" s="11125"/>
      <c r="K92" s="11125"/>
      <c r="L92" s="11134"/>
      <c r="M92" s="10505"/>
      <c r="N92" s="11134"/>
      <c r="O92" s="11125"/>
      <c r="P92" s="11125"/>
      <c r="Q92" s="11135"/>
      <c r="R92" s="3768"/>
      <c r="S92" s="5477"/>
      <c r="T92" s="5477"/>
      <c r="U92" s="3759"/>
      <c r="V92" s="5509"/>
      <c r="W92" s="3714"/>
      <c r="X92" s="5544"/>
      <c r="Y92" s="5544"/>
      <c r="Z92" s="5544"/>
      <c r="AA92" s="5545"/>
      <c r="AB92" s="5592"/>
      <c r="AC92" s="4320"/>
      <c r="AD92" s="3714"/>
      <c r="AE92" s="5624"/>
      <c r="AF92" s="5624"/>
      <c r="AG92" s="11143"/>
    </row>
    <row r="93" spans="1:33" ht="26.25" customHeight="1">
      <c r="A93" s="11139"/>
      <c r="B93" s="10516" t="s">
        <v>183</v>
      </c>
      <c r="C93" s="10433" t="s">
        <v>227</v>
      </c>
      <c r="D93" s="10433" t="s">
        <v>228</v>
      </c>
      <c r="E93" s="10433" t="s">
        <v>2272</v>
      </c>
      <c r="F93" s="10442" t="s">
        <v>230</v>
      </c>
      <c r="G93" s="10433" t="s">
        <v>231</v>
      </c>
      <c r="H93" s="10433" t="s">
        <v>189</v>
      </c>
      <c r="I93" s="10433" t="s">
        <v>5834</v>
      </c>
      <c r="J93" s="10433" t="s">
        <v>5835</v>
      </c>
      <c r="K93" s="10433" t="s">
        <v>4262</v>
      </c>
      <c r="L93" s="10470">
        <v>1</v>
      </c>
      <c r="M93" s="10470">
        <v>1</v>
      </c>
      <c r="N93" s="10470">
        <v>1</v>
      </c>
      <c r="O93" s="10433" t="s">
        <v>5769</v>
      </c>
      <c r="P93" s="10433" t="s">
        <v>5770</v>
      </c>
      <c r="Q93" s="10439" t="s">
        <v>5836</v>
      </c>
      <c r="R93" s="3776"/>
      <c r="S93" s="5466"/>
      <c r="T93" s="5466"/>
      <c r="U93" s="3762"/>
      <c r="V93" s="5502"/>
      <c r="W93" s="3709"/>
      <c r="X93" s="5529"/>
      <c r="Y93" s="5529"/>
      <c r="Z93" s="5529"/>
      <c r="AA93" s="5530"/>
      <c r="AB93" s="5584"/>
      <c r="AC93" s="4338"/>
      <c r="AD93" s="3709"/>
      <c r="AE93" s="3746"/>
      <c r="AF93" s="3746"/>
      <c r="AG93" s="10481"/>
    </row>
    <row r="94" spans="1:33" ht="26.25" customHeight="1">
      <c r="A94" s="11139"/>
      <c r="B94" s="11136"/>
      <c r="C94" s="11124"/>
      <c r="D94" s="11124"/>
      <c r="E94" s="11124"/>
      <c r="F94" s="11124"/>
      <c r="G94" s="11124"/>
      <c r="H94" s="11124"/>
      <c r="I94" s="11124"/>
      <c r="J94" s="11124"/>
      <c r="K94" s="11124"/>
      <c r="L94" s="11131"/>
      <c r="M94" s="10504"/>
      <c r="N94" s="11131"/>
      <c r="O94" s="11124"/>
      <c r="P94" s="11124"/>
      <c r="Q94" s="11127"/>
      <c r="R94" s="3538"/>
      <c r="S94" s="5463"/>
      <c r="T94" s="5463"/>
      <c r="U94" s="3495"/>
      <c r="V94" s="5499"/>
      <c r="W94" s="3496"/>
      <c r="X94" s="5523"/>
      <c r="Y94" s="5523"/>
      <c r="Z94" s="5523"/>
      <c r="AA94" s="5524"/>
      <c r="AB94" s="5581"/>
      <c r="AC94" s="4316"/>
      <c r="AD94" s="3496"/>
      <c r="AE94" s="3496"/>
      <c r="AF94" s="3690"/>
      <c r="AG94" s="11141"/>
    </row>
    <row r="95" spans="1:33" ht="26.25" customHeight="1">
      <c r="A95" s="11139"/>
      <c r="B95" s="11136"/>
      <c r="C95" s="11124"/>
      <c r="D95" s="11124"/>
      <c r="E95" s="11124"/>
      <c r="F95" s="11124"/>
      <c r="G95" s="11124"/>
      <c r="H95" s="11124"/>
      <c r="I95" s="11124"/>
      <c r="J95" s="11124"/>
      <c r="K95" s="11124"/>
      <c r="L95" s="11131"/>
      <c r="M95" s="10504"/>
      <c r="N95" s="11131"/>
      <c r="O95" s="11124"/>
      <c r="P95" s="11124"/>
      <c r="Q95" s="11127"/>
      <c r="R95" s="3538"/>
      <c r="S95" s="5463"/>
      <c r="T95" s="5463"/>
      <c r="U95" s="3495"/>
      <c r="V95" s="5499"/>
      <c r="W95" s="3496"/>
      <c r="X95" s="5523"/>
      <c r="Y95" s="5523"/>
      <c r="Z95" s="5523"/>
      <c r="AA95" s="5524"/>
      <c r="AB95" s="5581"/>
      <c r="AC95" s="4316"/>
      <c r="AD95" s="3496"/>
      <c r="AE95" s="3496"/>
      <c r="AF95" s="5610"/>
      <c r="AG95" s="11141"/>
    </row>
    <row r="96" spans="1:33" ht="26.25" customHeight="1">
      <c r="A96" s="11139"/>
      <c r="B96" s="11136"/>
      <c r="C96" s="11124"/>
      <c r="D96" s="11124"/>
      <c r="E96" s="11124"/>
      <c r="F96" s="11124"/>
      <c r="G96" s="11124"/>
      <c r="H96" s="11124"/>
      <c r="I96" s="11124"/>
      <c r="J96" s="11124"/>
      <c r="K96" s="11124"/>
      <c r="L96" s="11131"/>
      <c r="M96" s="10504"/>
      <c r="N96" s="11131"/>
      <c r="O96" s="11124"/>
      <c r="P96" s="11124"/>
      <c r="Q96" s="11127"/>
      <c r="R96" s="3538"/>
      <c r="S96" s="5463"/>
      <c r="T96" s="5463"/>
      <c r="U96" s="3495"/>
      <c r="V96" s="5499"/>
      <c r="W96" s="3496"/>
      <c r="X96" s="5523"/>
      <c r="Y96" s="5523"/>
      <c r="Z96" s="5523"/>
      <c r="AA96" s="5524"/>
      <c r="AB96" s="5581"/>
      <c r="AC96" s="4316"/>
      <c r="AD96" s="3496"/>
      <c r="AE96" s="3496"/>
      <c r="AF96" s="5610"/>
      <c r="AG96" s="11141"/>
    </row>
    <row r="97" spans="1:33" ht="26.25" customHeight="1">
      <c r="A97" s="11139"/>
      <c r="B97" s="11138"/>
      <c r="C97" s="11126"/>
      <c r="D97" s="11126"/>
      <c r="E97" s="11126"/>
      <c r="F97" s="11126"/>
      <c r="G97" s="11126"/>
      <c r="H97" s="11126"/>
      <c r="I97" s="11126"/>
      <c r="J97" s="11126"/>
      <c r="K97" s="11126"/>
      <c r="L97" s="11132"/>
      <c r="M97" s="11129"/>
      <c r="N97" s="11132"/>
      <c r="O97" s="11126"/>
      <c r="P97" s="11126"/>
      <c r="Q97" s="11128"/>
      <c r="R97" s="3543"/>
      <c r="S97" s="5468"/>
      <c r="T97" s="5468"/>
      <c r="U97" s="3557"/>
      <c r="V97" s="5503"/>
      <c r="W97" s="3545"/>
      <c r="X97" s="5532"/>
      <c r="Y97" s="5532"/>
      <c r="Z97" s="5532"/>
      <c r="AA97" s="5533"/>
      <c r="AB97" s="5585"/>
      <c r="AC97" s="4318"/>
      <c r="AD97" s="3545"/>
      <c r="AE97" s="3545"/>
      <c r="AF97" s="5625"/>
      <c r="AG97" s="11142"/>
    </row>
    <row r="98" spans="1:33" ht="26.25" customHeight="1">
      <c r="A98" s="11139"/>
      <c r="B98" s="10512" t="s">
        <v>127</v>
      </c>
      <c r="C98" s="10444" t="s">
        <v>128</v>
      </c>
      <c r="D98" s="10444" t="s">
        <v>129</v>
      </c>
      <c r="E98" s="10444" t="s">
        <v>268</v>
      </c>
      <c r="F98" s="10451" t="s">
        <v>131</v>
      </c>
      <c r="G98" s="10444" t="s">
        <v>132</v>
      </c>
      <c r="H98" s="10444" t="s">
        <v>189</v>
      </c>
      <c r="I98" s="10444" t="s">
        <v>5837</v>
      </c>
      <c r="J98" s="10444" t="s">
        <v>5838</v>
      </c>
      <c r="K98" s="10444" t="s">
        <v>5839</v>
      </c>
      <c r="L98" s="10455">
        <v>1</v>
      </c>
      <c r="M98" s="10455">
        <v>1</v>
      </c>
      <c r="N98" s="10455">
        <v>1</v>
      </c>
      <c r="O98" s="10444" t="s">
        <v>5840</v>
      </c>
      <c r="P98" s="10444" t="s">
        <v>5841</v>
      </c>
      <c r="Q98" s="10449" t="s">
        <v>5836</v>
      </c>
      <c r="R98" s="3767"/>
      <c r="S98" s="5469"/>
      <c r="T98" s="5469"/>
      <c r="U98" s="3758"/>
      <c r="V98" s="5504"/>
      <c r="W98" s="3658"/>
      <c r="X98" s="5534"/>
      <c r="Y98" s="5534"/>
      <c r="Z98" s="5534"/>
      <c r="AA98" s="5535"/>
      <c r="AB98" s="5586"/>
      <c r="AC98" s="4314"/>
      <c r="AD98" s="3658"/>
      <c r="AE98" s="5623"/>
      <c r="AF98" s="5623"/>
      <c r="AG98" s="10478"/>
    </row>
    <row r="99" spans="1:33" ht="26.25" customHeight="1">
      <c r="A99" s="11139"/>
      <c r="B99" s="11136"/>
      <c r="C99" s="11124"/>
      <c r="D99" s="11124"/>
      <c r="E99" s="11124"/>
      <c r="F99" s="11124"/>
      <c r="G99" s="11124"/>
      <c r="H99" s="11124"/>
      <c r="I99" s="11124"/>
      <c r="J99" s="11124"/>
      <c r="K99" s="11124"/>
      <c r="L99" s="11131"/>
      <c r="M99" s="10504"/>
      <c r="N99" s="11131"/>
      <c r="O99" s="11124"/>
      <c r="P99" s="11124"/>
      <c r="Q99" s="11127"/>
      <c r="R99" s="3538"/>
      <c r="S99" s="5463"/>
      <c r="T99" s="5463"/>
      <c r="U99" s="3495"/>
      <c r="V99" s="5499"/>
      <c r="W99" s="3496"/>
      <c r="X99" s="5523"/>
      <c r="Y99" s="5523"/>
      <c r="Z99" s="5523"/>
      <c r="AA99" s="5524"/>
      <c r="AB99" s="5581"/>
      <c r="AC99" s="4316"/>
      <c r="AD99" s="3496"/>
      <c r="AE99" s="5610"/>
      <c r="AF99" s="5610"/>
      <c r="AG99" s="11141"/>
    </row>
    <row r="100" spans="1:33" ht="26.25" customHeight="1">
      <c r="A100" s="11139"/>
      <c r="B100" s="11136"/>
      <c r="C100" s="11124"/>
      <c r="D100" s="11124"/>
      <c r="E100" s="11124"/>
      <c r="F100" s="11124"/>
      <c r="G100" s="11124"/>
      <c r="H100" s="11124"/>
      <c r="I100" s="11124"/>
      <c r="J100" s="11124"/>
      <c r="K100" s="11124"/>
      <c r="L100" s="11131"/>
      <c r="M100" s="10504"/>
      <c r="N100" s="11131"/>
      <c r="O100" s="11124"/>
      <c r="P100" s="11124"/>
      <c r="Q100" s="11127"/>
      <c r="R100" s="3538"/>
      <c r="S100" s="5463"/>
      <c r="T100" s="5463"/>
      <c r="U100" s="3495"/>
      <c r="V100" s="5499"/>
      <c r="W100" s="3496"/>
      <c r="X100" s="5523"/>
      <c r="Y100" s="5523"/>
      <c r="Z100" s="5523"/>
      <c r="AA100" s="5524"/>
      <c r="AB100" s="5581"/>
      <c r="AC100" s="4316"/>
      <c r="AD100" s="3496"/>
      <c r="AE100" s="5610"/>
      <c r="AF100" s="5610"/>
      <c r="AG100" s="11141"/>
    </row>
    <row r="101" spans="1:33" ht="26.25" customHeight="1">
      <c r="A101" s="11139"/>
      <c r="B101" s="11136"/>
      <c r="C101" s="11124"/>
      <c r="D101" s="11124"/>
      <c r="E101" s="11124"/>
      <c r="F101" s="11124"/>
      <c r="G101" s="11124"/>
      <c r="H101" s="11124"/>
      <c r="I101" s="11124"/>
      <c r="J101" s="11124"/>
      <c r="K101" s="11124"/>
      <c r="L101" s="11131"/>
      <c r="M101" s="10504"/>
      <c r="N101" s="11131"/>
      <c r="O101" s="11124"/>
      <c r="P101" s="11124"/>
      <c r="Q101" s="11127"/>
      <c r="R101" s="3538"/>
      <c r="S101" s="5463"/>
      <c r="T101" s="5463"/>
      <c r="U101" s="3495"/>
      <c r="V101" s="5499"/>
      <c r="W101" s="3496"/>
      <c r="X101" s="5523"/>
      <c r="Y101" s="5523"/>
      <c r="Z101" s="5523"/>
      <c r="AA101" s="5524"/>
      <c r="AB101" s="5581"/>
      <c r="AC101" s="4316"/>
      <c r="AD101" s="3496"/>
      <c r="AE101" s="5610"/>
      <c r="AF101" s="5610"/>
      <c r="AG101" s="11141"/>
    </row>
    <row r="102" spans="1:33" ht="26.25" customHeight="1">
      <c r="A102" s="11139"/>
      <c r="B102" s="11137"/>
      <c r="C102" s="11125"/>
      <c r="D102" s="11125"/>
      <c r="E102" s="11125"/>
      <c r="F102" s="11125"/>
      <c r="G102" s="11125"/>
      <c r="H102" s="11125"/>
      <c r="I102" s="11125"/>
      <c r="J102" s="11125"/>
      <c r="K102" s="11125"/>
      <c r="L102" s="11134"/>
      <c r="M102" s="10505"/>
      <c r="N102" s="11134"/>
      <c r="O102" s="11125"/>
      <c r="P102" s="11125"/>
      <c r="Q102" s="11135"/>
      <c r="R102" s="3768"/>
      <c r="S102" s="5477"/>
      <c r="T102" s="5477"/>
      <c r="U102" s="3759"/>
      <c r="V102" s="5509"/>
      <c r="W102" s="3714"/>
      <c r="X102" s="5544"/>
      <c r="Y102" s="5544"/>
      <c r="Z102" s="5544"/>
      <c r="AA102" s="5545"/>
      <c r="AB102" s="5592"/>
      <c r="AC102" s="4320"/>
      <c r="AD102" s="3714"/>
      <c r="AE102" s="5624"/>
      <c r="AF102" s="5624"/>
      <c r="AG102" s="11143"/>
    </row>
    <row r="103" spans="1:33" ht="26.25" customHeight="1">
      <c r="A103" s="11139"/>
      <c r="B103" s="10516" t="s">
        <v>183</v>
      </c>
      <c r="C103" s="10433" t="s">
        <v>227</v>
      </c>
      <c r="D103" s="10433" t="s">
        <v>228</v>
      </c>
      <c r="E103" s="10433" t="s">
        <v>255</v>
      </c>
      <c r="F103" s="10442" t="s">
        <v>230</v>
      </c>
      <c r="G103" s="10433" t="s">
        <v>132</v>
      </c>
      <c r="H103" s="10433" t="s">
        <v>214</v>
      </c>
      <c r="I103" s="10433" t="s">
        <v>5842</v>
      </c>
      <c r="J103" s="10433" t="s">
        <v>4274</v>
      </c>
      <c r="K103" s="10433" t="s">
        <v>5843</v>
      </c>
      <c r="L103" s="10470">
        <v>1</v>
      </c>
      <c r="M103" s="10470">
        <v>1</v>
      </c>
      <c r="N103" s="10470">
        <v>1</v>
      </c>
      <c r="O103" s="10433" t="s">
        <v>5844</v>
      </c>
      <c r="P103" s="10433" t="s">
        <v>5841</v>
      </c>
      <c r="Q103" s="10439" t="s">
        <v>5845</v>
      </c>
      <c r="R103" s="3776"/>
      <c r="S103" s="5466"/>
      <c r="T103" s="5466"/>
      <c r="U103" s="3762"/>
      <c r="V103" s="5502"/>
      <c r="W103" s="3709"/>
      <c r="X103" s="5529"/>
      <c r="Y103" s="5529"/>
      <c r="Z103" s="5529"/>
      <c r="AA103" s="5530"/>
      <c r="AB103" s="5584"/>
      <c r="AC103" s="4338"/>
      <c r="AD103" s="3709"/>
      <c r="AE103" s="5626"/>
      <c r="AF103" s="5626"/>
      <c r="AG103" s="10481"/>
    </row>
    <row r="104" spans="1:33" ht="26.25" customHeight="1">
      <c r="A104" s="11139"/>
      <c r="B104" s="11136"/>
      <c r="C104" s="11124"/>
      <c r="D104" s="11124"/>
      <c r="E104" s="11124"/>
      <c r="F104" s="11124"/>
      <c r="G104" s="11124"/>
      <c r="H104" s="11124"/>
      <c r="I104" s="11124"/>
      <c r="J104" s="11124"/>
      <c r="K104" s="11124"/>
      <c r="L104" s="11131"/>
      <c r="M104" s="10504"/>
      <c r="N104" s="11131"/>
      <c r="O104" s="11124"/>
      <c r="P104" s="11124"/>
      <c r="Q104" s="11127"/>
      <c r="R104" s="3538"/>
      <c r="S104" s="5463"/>
      <c r="T104" s="5463"/>
      <c r="U104" s="3495"/>
      <c r="V104" s="5499"/>
      <c r="W104" s="3496"/>
      <c r="X104" s="5523"/>
      <c r="Y104" s="5523"/>
      <c r="Z104" s="5523"/>
      <c r="AA104" s="5524"/>
      <c r="AB104" s="5581"/>
      <c r="AC104" s="4316"/>
      <c r="AD104" s="3496"/>
      <c r="AE104" s="5610"/>
      <c r="AF104" s="5610"/>
      <c r="AG104" s="11141"/>
    </row>
    <row r="105" spans="1:33" ht="26.25" customHeight="1">
      <c r="A105" s="11139"/>
      <c r="B105" s="11136"/>
      <c r="C105" s="11124"/>
      <c r="D105" s="11124"/>
      <c r="E105" s="11124"/>
      <c r="F105" s="11124"/>
      <c r="G105" s="11124"/>
      <c r="H105" s="11124"/>
      <c r="I105" s="11124"/>
      <c r="J105" s="11124"/>
      <c r="K105" s="11124"/>
      <c r="L105" s="11131"/>
      <c r="M105" s="10504"/>
      <c r="N105" s="11131"/>
      <c r="O105" s="11124"/>
      <c r="P105" s="11124"/>
      <c r="Q105" s="11127"/>
      <c r="R105" s="3538"/>
      <c r="S105" s="5463"/>
      <c r="T105" s="5463"/>
      <c r="U105" s="3495"/>
      <c r="V105" s="5499"/>
      <c r="W105" s="3496"/>
      <c r="X105" s="5523"/>
      <c r="Y105" s="5523"/>
      <c r="Z105" s="5523"/>
      <c r="AA105" s="5524"/>
      <c r="AB105" s="5581"/>
      <c r="AC105" s="4316"/>
      <c r="AD105" s="3496"/>
      <c r="AE105" s="5610"/>
      <c r="AF105" s="5610"/>
      <c r="AG105" s="11141"/>
    </row>
    <row r="106" spans="1:33" ht="26.25" customHeight="1">
      <c r="A106" s="11139"/>
      <c r="B106" s="11136"/>
      <c r="C106" s="11124"/>
      <c r="D106" s="11124"/>
      <c r="E106" s="11124"/>
      <c r="F106" s="11124"/>
      <c r="G106" s="11124"/>
      <c r="H106" s="11124"/>
      <c r="I106" s="11124"/>
      <c r="J106" s="11124"/>
      <c r="K106" s="11124"/>
      <c r="L106" s="11131"/>
      <c r="M106" s="10504"/>
      <c r="N106" s="11131"/>
      <c r="O106" s="11124"/>
      <c r="P106" s="11124"/>
      <c r="Q106" s="11127"/>
      <c r="R106" s="3541"/>
      <c r="S106" s="5467"/>
      <c r="T106" s="5467"/>
      <c r="U106" s="3495"/>
      <c r="V106" s="5499"/>
      <c r="W106" s="3496"/>
      <c r="X106" s="5523"/>
      <c r="Y106" s="5523"/>
      <c r="Z106" s="5523"/>
      <c r="AA106" s="5524"/>
      <c r="AB106" s="5581"/>
      <c r="AC106" s="4316"/>
      <c r="AD106" s="3496"/>
      <c r="AE106" s="5610"/>
      <c r="AF106" s="5610"/>
      <c r="AG106" s="11141"/>
    </row>
    <row r="107" spans="1:33" ht="26.25" customHeight="1">
      <c r="A107" s="11139"/>
      <c r="B107" s="11138"/>
      <c r="C107" s="11126"/>
      <c r="D107" s="11126"/>
      <c r="E107" s="11126"/>
      <c r="F107" s="11126"/>
      <c r="G107" s="11126"/>
      <c r="H107" s="11126"/>
      <c r="I107" s="11126"/>
      <c r="J107" s="11126"/>
      <c r="K107" s="11126"/>
      <c r="L107" s="11132"/>
      <c r="M107" s="11129"/>
      <c r="N107" s="11132"/>
      <c r="O107" s="11126"/>
      <c r="P107" s="11126"/>
      <c r="Q107" s="11128"/>
      <c r="R107" s="3543"/>
      <c r="S107" s="5468"/>
      <c r="T107" s="5468"/>
      <c r="U107" s="3557"/>
      <c r="V107" s="5503"/>
      <c r="W107" s="3545"/>
      <c r="X107" s="5532"/>
      <c r="Y107" s="5532"/>
      <c r="Z107" s="5532"/>
      <c r="AA107" s="5533"/>
      <c r="AB107" s="5585"/>
      <c r="AC107" s="4318"/>
      <c r="AD107" s="3545"/>
      <c r="AE107" s="5625"/>
      <c r="AF107" s="5625"/>
      <c r="AG107" s="11142"/>
    </row>
    <row r="108" spans="1:33" ht="26.25" customHeight="1">
      <c r="A108" s="11139"/>
      <c r="B108" s="10512" t="s">
        <v>127</v>
      </c>
      <c r="C108" s="10444" t="s">
        <v>128</v>
      </c>
      <c r="D108" s="10444" t="s">
        <v>129</v>
      </c>
      <c r="E108" s="10444" t="s">
        <v>268</v>
      </c>
      <c r="F108" s="10451" t="s">
        <v>131</v>
      </c>
      <c r="G108" s="10444" t="s">
        <v>132</v>
      </c>
      <c r="H108" s="10444" t="s">
        <v>159</v>
      </c>
      <c r="I108" s="10448" t="s">
        <v>5846</v>
      </c>
      <c r="J108" s="10444" t="s">
        <v>5847</v>
      </c>
      <c r="K108" s="10444" t="s">
        <v>5848</v>
      </c>
      <c r="L108" s="10455">
        <v>1</v>
      </c>
      <c r="M108" s="10455">
        <v>1</v>
      </c>
      <c r="N108" s="10455">
        <v>1</v>
      </c>
      <c r="O108" s="10444" t="s">
        <v>5849</v>
      </c>
      <c r="P108" s="10444" t="s">
        <v>5850</v>
      </c>
      <c r="Q108" s="10449" t="s">
        <v>5833</v>
      </c>
      <c r="R108" s="3767"/>
      <c r="S108" s="5469"/>
      <c r="T108" s="5469"/>
      <c r="U108" s="3758"/>
      <c r="V108" s="5504"/>
      <c r="W108" s="3658"/>
      <c r="X108" s="5534"/>
      <c r="Y108" s="5534"/>
      <c r="Z108" s="5534"/>
      <c r="AA108" s="5535"/>
      <c r="AB108" s="5586"/>
      <c r="AC108" s="4314"/>
      <c r="AD108" s="3658"/>
      <c r="AE108" s="3749"/>
      <c r="AF108" s="3749"/>
      <c r="AG108" s="10478"/>
    </row>
    <row r="109" spans="1:33" ht="26.25" customHeight="1">
      <c r="A109" s="11139"/>
      <c r="B109" s="11136"/>
      <c r="C109" s="11124"/>
      <c r="D109" s="11124"/>
      <c r="E109" s="11124"/>
      <c r="F109" s="11124"/>
      <c r="G109" s="11124"/>
      <c r="H109" s="11124"/>
      <c r="I109" s="11124"/>
      <c r="J109" s="11124"/>
      <c r="K109" s="11124"/>
      <c r="L109" s="11131"/>
      <c r="M109" s="10504"/>
      <c r="N109" s="11131"/>
      <c r="O109" s="11124"/>
      <c r="P109" s="11124"/>
      <c r="Q109" s="11127"/>
      <c r="R109" s="3538"/>
      <c r="S109" s="5463"/>
      <c r="T109" s="5463"/>
      <c r="U109" s="3495"/>
      <c r="V109" s="5499"/>
      <c r="W109" s="3496"/>
      <c r="X109" s="5523"/>
      <c r="Y109" s="5523"/>
      <c r="Z109" s="5523"/>
      <c r="AA109" s="5524"/>
      <c r="AB109" s="5581"/>
      <c r="AC109" s="4316"/>
      <c r="AD109" s="3496"/>
      <c r="AE109" s="3496"/>
      <c r="AF109" s="3690"/>
      <c r="AG109" s="11141"/>
    </row>
    <row r="110" spans="1:33" ht="26.25" customHeight="1">
      <c r="A110" s="11139"/>
      <c r="B110" s="11136"/>
      <c r="C110" s="11124"/>
      <c r="D110" s="11124"/>
      <c r="E110" s="11124"/>
      <c r="F110" s="11124"/>
      <c r="G110" s="11124"/>
      <c r="H110" s="11124"/>
      <c r="I110" s="11124"/>
      <c r="J110" s="11124"/>
      <c r="K110" s="11124"/>
      <c r="L110" s="11131"/>
      <c r="M110" s="10504"/>
      <c r="N110" s="11131"/>
      <c r="O110" s="11124"/>
      <c r="P110" s="11124"/>
      <c r="Q110" s="11127"/>
      <c r="R110" s="3538"/>
      <c r="S110" s="5463"/>
      <c r="T110" s="5463"/>
      <c r="U110" s="3495"/>
      <c r="V110" s="5499"/>
      <c r="W110" s="3496"/>
      <c r="X110" s="5523"/>
      <c r="Y110" s="5523"/>
      <c r="Z110" s="5523"/>
      <c r="AA110" s="5524"/>
      <c r="AB110" s="5581"/>
      <c r="AC110" s="4316"/>
      <c r="AD110" s="3496"/>
      <c r="AE110" s="3496"/>
      <c r="AF110" s="5610"/>
      <c r="AG110" s="11141"/>
    </row>
    <row r="111" spans="1:33" ht="26.25" customHeight="1">
      <c r="A111" s="11139"/>
      <c r="B111" s="11136"/>
      <c r="C111" s="11124"/>
      <c r="D111" s="11124"/>
      <c r="E111" s="11124"/>
      <c r="F111" s="11124"/>
      <c r="G111" s="11124"/>
      <c r="H111" s="11124"/>
      <c r="I111" s="11124"/>
      <c r="J111" s="11124"/>
      <c r="K111" s="11124"/>
      <c r="L111" s="11131"/>
      <c r="M111" s="10504"/>
      <c r="N111" s="11131"/>
      <c r="O111" s="11124"/>
      <c r="P111" s="11124"/>
      <c r="Q111" s="11127"/>
      <c r="R111" s="3538"/>
      <c r="S111" s="5463"/>
      <c r="T111" s="5463"/>
      <c r="U111" s="3495"/>
      <c r="V111" s="5499"/>
      <c r="W111" s="3496"/>
      <c r="X111" s="5523"/>
      <c r="Y111" s="5523"/>
      <c r="Z111" s="5523"/>
      <c r="AA111" s="5524"/>
      <c r="AB111" s="5581"/>
      <c r="AC111" s="4316"/>
      <c r="AD111" s="3496"/>
      <c r="AE111" s="3496"/>
      <c r="AF111" s="5610"/>
      <c r="AG111" s="11141"/>
    </row>
    <row r="112" spans="1:33" ht="26.25" customHeight="1">
      <c r="A112" s="11139"/>
      <c r="B112" s="11137"/>
      <c r="C112" s="11125"/>
      <c r="D112" s="11125"/>
      <c r="E112" s="11125"/>
      <c r="F112" s="11125"/>
      <c r="G112" s="11125"/>
      <c r="H112" s="11125"/>
      <c r="I112" s="11125"/>
      <c r="J112" s="11125"/>
      <c r="K112" s="11125"/>
      <c r="L112" s="11134"/>
      <c r="M112" s="10505"/>
      <c r="N112" s="11134"/>
      <c r="O112" s="11125"/>
      <c r="P112" s="11125"/>
      <c r="Q112" s="11135"/>
      <c r="R112" s="3768"/>
      <c r="S112" s="5477"/>
      <c r="T112" s="5477"/>
      <c r="U112" s="3759"/>
      <c r="V112" s="5509"/>
      <c r="W112" s="3714"/>
      <c r="X112" s="5544"/>
      <c r="Y112" s="5544"/>
      <c r="Z112" s="5544"/>
      <c r="AA112" s="5545"/>
      <c r="AB112" s="5592"/>
      <c r="AC112" s="4320"/>
      <c r="AD112" s="3714"/>
      <c r="AE112" s="3714"/>
      <c r="AF112" s="5624"/>
      <c r="AG112" s="11143"/>
    </row>
    <row r="113" spans="1:33" ht="26.25" customHeight="1">
      <c r="A113" s="11139"/>
      <c r="B113" s="10516" t="s">
        <v>127</v>
      </c>
      <c r="C113" s="10433" t="s">
        <v>128</v>
      </c>
      <c r="D113" s="10433" t="s">
        <v>129</v>
      </c>
      <c r="E113" s="10433" t="s">
        <v>268</v>
      </c>
      <c r="F113" s="10442" t="s">
        <v>131</v>
      </c>
      <c r="G113" s="10433" t="s">
        <v>132</v>
      </c>
      <c r="H113" s="10433" t="s">
        <v>159</v>
      </c>
      <c r="I113" s="10433" t="s">
        <v>5851</v>
      </c>
      <c r="J113" s="10433" t="s">
        <v>1465</v>
      </c>
      <c r="K113" s="10433" t="s">
        <v>5852</v>
      </c>
      <c r="L113" s="10470">
        <v>1</v>
      </c>
      <c r="M113" s="10470">
        <v>3</v>
      </c>
      <c r="N113" s="10470">
        <v>0</v>
      </c>
      <c r="O113" s="10433" t="s">
        <v>5853</v>
      </c>
      <c r="P113" s="10433" t="s">
        <v>5854</v>
      </c>
      <c r="Q113" s="10439" t="s">
        <v>5855</v>
      </c>
      <c r="R113" s="3776"/>
      <c r="S113" s="5466"/>
      <c r="T113" s="5466"/>
      <c r="U113" s="3762"/>
      <c r="V113" s="5502"/>
      <c r="W113" s="3709"/>
      <c r="X113" s="5529"/>
      <c r="Y113" s="5529"/>
      <c r="Z113" s="5529"/>
      <c r="AA113" s="5530"/>
      <c r="AB113" s="5584"/>
      <c r="AC113" s="4338"/>
      <c r="AD113" s="3709"/>
      <c r="AE113" s="5626"/>
      <c r="AF113" s="5626"/>
      <c r="AG113" s="10481"/>
    </row>
    <row r="114" spans="1:33" ht="26.25" customHeight="1">
      <c r="A114" s="11139"/>
      <c r="B114" s="11136"/>
      <c r="C114" s="11124"/>
      <c r="D114" s="11124"/>
      <c r="E114" s="11124"/>
      <c r="F114" s="11124"/>
      <c r="G114" s="11124"/>
      <c r="H114" s="11124"/>
      <c r="I114" s="11124"/>
      <c r="J114" s="11124"/>
      <c r="K114" s="11124"/>
      <c r="L114" s="11131"/>
      <c r="M114" s="10504"/>
      <c r="N114" s="11131"/>
      <c r="O114" s="11124"/>
      <c r="P114" s="11124"/>
      <c r="Q114" s="11127"/>
      <c r="R114" s="3538"/>
      <c r="S114" s="5463"/>
      <c r="T114" s="5463"/>
      <c r="U114" s="3495"/>
      <c r="V114" s="5499"/>
      <c r="W114" s="3496"/>
      <c r="X114" s="5523"/>
      <c r="Y114" s="5523"/>
      <c r="Z114" s="5523"/>
      <c r="AA114" s="5524"/>
      <c r="AB114" s="5581"/>
      <c r="AC114" s="4316"/>
      <c r="AD114" s="3496"/>
      <c r="AE114" s="5610"/>
      <c r="AF114" s="5610"/>
      <c r="AG114" s="11141"/>
    </row>
    <row r="115" spans="1:33" ht="26.25" customHeight="1">
      <c r="A115" s="11139"/>
      <c r="B115" s="11136"/>
      <c r="C115" s="11124"/>
      <c r="D115" s="11124"/>
      <c r="E115" s="11124"/>
      <c r="F115" s="11124"/>
      <c r="G115" s="11124"/>
      <c r="H115" s="11124"/>
      <c r="I115" s="11124"/>
      <c r="J115" s="11124"/>
      <c r="K115" s="11124"/>
      <c r="L115" s="11131"/>
      <c r="M115" s="10504"/>
      <c r="N115" s="11131"/>
      <c r="O115" s="11124"/>
      <c r="P115" s="11124"/>
      <c r="Q115" s="11127"/>
      <c r="R115" s="3538"/>
      <c r="S115" s="5463"/>
      <c r="T115" s="5463"/>
      <c r="U115" s="3495"/>
      <c r="V115" s="5499"/>
      <c r="W115" s="3496"/>
      <c r="X115" s="5523"/>
      <c r="Y115" s="5523"/>
      <c r="Z115" s="5523"/>
      <c r="AA115" s="5524"/>
      <c r="AB115" s="5581"/>
      <c r="AC115" s="4316"/>
      <c r="AD115" s="3496"/>
      <c r="AE115" s="5610"/>
      <c r="AF115" s="5610"/>
      <c r="AG115" s="11141"/>
    </row>
    <row r="116" spans="1:33" ht="26.25" customHeight="1">
      <c r="A116" s="11139"/>
      <c r="B116" s="11136"/>
      <c r="C116" s="11124"/>
      <c r="D116" s="11124"/>
      <c r="E116" s="11124"/>
      <c r="F116" s="11124"/>
      <c r="G116" s="11124"/>
      <c r="H116" s="11124"/>
      <c r="I116" s="11124"/>
      <c r="J116" s="11124"/>
      <c r="K116" s="11124"/>
      <c r="L116" s="11131"/>
      <c r="M116" s="10504"/>
      <c r="N116" s="11131"/>
      <c r="O116" s="11124"/>
      <c r="P116" s="11124"/>
      <c r="Q116" s="11127"/>
      <c r="R116" s="3538"/>
      <c r="S116" s="5463"/>
      <c r="T116" s="5463"/>
      <c r="U116" s="3495"/>
      <c r="V116" s="5499"/>
      <c r="W116" s="3496"/>
      <c r="X116" s="5523"/>
      <c r="Y116" s="5523"/>
      <c r="Z116" s="5523"/>
      <c r="AA116" s="5524"/>
      <c r="AB116" s="5581"/>
      <c r="AC116" s="4316"/>
      <c r="AD116" s="3496"/>
      <c r="AE116" s="5610"/>
      <c r="AF116" s="5610"/>
      <c r="AG116" s="11141"/>
    </row>
    <row r="117" spans="1:33" ht="26.25" customHeight="1">
      <c r="A117" s="11181"/>
      <c r="B117" s="11138"/>
      <c r="C117" s="11126"/>
      <c r="D117" s="11126"/>
      <c r="E117" s="11126"/>
      <c r="F117" s="11126"/>
      <c r="G117" s="11126"/>
      <c r="H117" s="11126"/>
      <c r="I117" s="11126"/>
      <c r="J117" s="11126"/>
      <c r="K117" s="11126"/>
      <c r="L117" s="11132"/>
      <c r="M117" s="11129"/>
      <c r="N117" s="11132"/>
      <c r="O117" s="11126"/>
      <c r="P117" s="11126"/>
      <c r="Q117" s="11128"/>
      <c r="R117" s="3543"/>
      <c r="S117" s="5468"/>
      <c r="T117" s="5468"/>
      <c r="U117" s="3557"/>
      <c r="V117" s="5503"/>
      <c r="W117" s="3545"/>
      <c r="X117" s="5532"/>
      <c r="Y117" s="5532"/>
      <c r="Z117" s="5532"/>
      <c r="AA117" s="5533"/>
      <c r="AB117" s="5585"/>
      <c r="AC117" s="4318"/>
      <c r="AD117" s="3545"/>
      <c r="AE117" s="5625"/>
      <c r="AF117" s="5625"/>
      <c r="AG117" s="11142"/>
    </row>
    <row r="118" spans="1:33" ht="26.25" customHeight="1">
      <c r="A118" s="10053"/>
      <c r="B118" s="10512" t="s">
        <v>127</v>
      </c>
      <c r="C118" s="10444" t="s">
        <v>128</v>
      </c>
      <c r="D118" s="10444" t="s">
        <v>129</v>
      </c>
      <c r="E118" s="10444" t="s">
        <v>268</v>
      </c>
      <c r="F118" s="10451" t="s">
        <v>131</v>
      </c>
      <c r="G118" s="10444" t="s">
        <v>132</v>
      </c>
      <c r="H118" s="10444" t="s">
        <v>159</v>
      </c>
      <c r="I118" s="10444" t="s">
        <v>5856</v>
      </c>
      <c r="J118" s="10444" t="s">
        <v>1378</v>
      </c>
      <c r="K118" s="10444" t="s">
        <v>5857</v>
      </c>
      <c r="L118" s="10455">
        <v>1</v>
      </c>
      <c r="M118" s="10455">
        <v>1</v>
      </c>
      <c r="N118" s="10455"/>
      <c r="O118" s="10444" t="s">
        <v>5858</v>
      </c>
      <c r="P118" s="10444" t="s">
        <v>5859</v>
      </c>
      <c r="Q118" s="10449" t="s">
        <v>5860</v>
      </c>
      <c r="R118" s="3767"/>
      <c r="S118" s="5469"/>
      <c r="T118" s="5469"/>
      <c r="U118" s="3758"/>
      <c r="V118" s="5504"/>
      <c r="W118" s="3658"/>
      <c r="X118" s="5534"/>
      <c r="Y118" s="5534"/>
      <c r="Z118" s="5534"/>
      <c r="AA118" s="5535"/>
      <c r="AB118" s="5586"/>
      <c r="AC118" s="4314"/>
      <c r="AD118" s="3658"/>
      <c r="AE118" s="5623"/>
      <c r="AF118" s="5623"/>
      <c r="AG118" s="10478"/>
    </row>
    <row r="119" spans="1:33" ht="26.25" customHeight="1">
      <c r="A119" s="11139"/>
      <c r="B119" s="11136"/>
      <c r="C119" s="11124"/>
      <c r="D119" s="11124"/>
      <c r="E119" s="11124"/>
      <c r="F119" s="11124"/>
      <c r="G119" s="11124"/>
      <c r="H119" s="11124"/>
      <c r="I119" s="11124"/>
      <c r="J119" s="11124"/>
      <c r="K119" s="11124"/>
      <c r="L119" s="11131"/>
      <c r="M119" s="10504"/>
      <c r="N119" s="11131"/>
      <c r="O119" s="11124"/>
      <c r="P119" s="11124"/>
      <c r="Q119" s="11127"/>
      <c r="R119" s="3538"/>
      <c r="S119" s="5463"/>
      <c r="T119" s="5463"/>
      <c r="U119" s="3495"/>
      <c r="V119" s="5499"/>
      <c r="W119" s="3496"/>
      <c r="X119" s="5523"/>
      <c r="Y119" s="5523"/>
      <c r="Z119" s="5523"/>
      <c r="AA119" s="5524"/>
      <c r="AB119" s="5581"/>
      <c r="AC119" s="4316"/>
      <c r="AD119" s="3496"/>
      <c r="AE119" s="5610"/>
      <c r="AF119" s="5610"/>
      <c r="AG119" s="11141"/>
    </row>
    <row r="120" spans="1:33" ht="26.25" customHeight="1">
      <c r="A120" s="11139"/>
      <c r="B120" s="11136"/>
      <c r="C120" s="11124"/>
      <c r="D120" s="11124"/>
      <c r="E120" s="11124"/>
      <c r="F120" s="11124"/>
      <c r="G120" s="11124"/>
      <c r="H120" s="11124"/>
      <c r="I120" s="11124"/>
      <c r="J120" s="11124"/>
      <c r="K120" s="11124"/>
      <c r="L120" s="11131"/>
      <c r="M120" s="10504"/>
      <c r="N120" s="11131"/>
      <c r="O120" s="11124"/>
      <c r="P120" s="11124"/>
      <c r="Q120" s="11127"/>
      <c r="R120" s="3538"/>
      <c r="S120" s="5463"/>
      <c r="T120" s="5463"/>
      <c r="U120" s="3495"/>
      <c r="V120" s="5499"/>
      <c r="W120" s="3496"/>
      <c r="X120" s="5523"/>
      <c r="Y120" s="5523"/>
      <c r="Z120" s="5523"/>
      <c r="AA120" s="5524"/>
      <c r="AB120" s="5581"/>
      <c r="AC120" s="4316"/>
      <c r="AD120" s="3496"/>
      <c r="AE120" s="5610"/>
      <c r="AF120" s="5610"/>
      <c r="AG120" s="11141"/>
    </row>
    <row r="121" spans="1:33" ht="26.25" customHeight="1">
      <c r="A121" s="11139"/>
      <c r="B121" s="11136"/>
      <c r="C121" s="11124"/>
      <c r="D121" s="11124"/>
      <c r="E121" s="11124"/>
      <c r="F121" s="11124"/>
      <c r="G121" s="11124"/>
      <c r="H121" s="11124"/>
      <c r="I121" s="11124"/>
      <c r="J121" s="11124"/>
      <c r="K121" s="11124"/>
      <c r="L121" s="11131"/>
      <c r="M121" s="10504"/>
      <c r="N121" s="11131"/>
      <c r="O121" s="11124"/>
      <c r="P121" s="11124"/>
      <c r="Q121" s="11127"/>
      <c r="R121" s="3538"/>
      <c r="S121" s="5463"/>
      <c r="T121" s="5463"/>
      <c r="U121" s="3495"/>
      <c r="V121" s="5499"/>
      <c r="W121" s="3496"/>
      <c r="X121" s="5523"/>
      <c r="Y121" s="5523"/>
      <c r="Z121" s="5523"/>
      <c r="AA121" s="5524"/>
      <c r="AB121" s="5581"/>
      <c r="AC121" s="4316"/>
      <c r="AD121" s="3496"/>
      <c r="AE121" s="5610"/>
      <c r="AF121" s="5610"/>
      <c r="AG121" s="11141"/>
    </row>
    <row r="122" spans="1:33" ht="26.25" customHeight="1">
      <c r="A122" s="11139"/>
      <c r="B122" s="11138"/>
      <c r="C122" s="11126"/>
      <c r="D122" s="11126"/>
      <c r="E122" s="11126"/>
      <c r="F122" s="11126"/>
      <c r="G122" s="11126"/>
      <c r="H122" s="11126"/>
      <c r="I122" s="11126"/>
      <c r="J122" s="11126"/>
      <c r="K122" s="11126"/>
      <c r="L122" s="11132"/>
      <c r="M122" s="11129"/>
      <c r="N122" s="11132"/>
      <c r="O122" s="11126"/>
      <c r="P122" s="11126"/>
      <c r="Q122" s="11128"/>
      <c r="R122" s="3543"/>
      <c r="S122" s="5468"/>
      <c r="T122" s="5468"/>
      <c r="U122" s="3557"/>
      <c r="V122" s="5503"/>
      <c r="W122" s="3545"/>
      <c r="X122" s="5532"/>
      <c r="Y122" s="5532"/>
      <c r="Z122" s="5532"/>
      <c r="AA122" s="5533"/>
      <c r="AB122" s="5585"/>
      <c r="AC122" s="4318"/>
      <c r="AD122" s="3545"/>
      <c r="AE122" s="5625"/>
      <c r="AF122" s="5625"/>
      <c r="AG122" s="11142"/>
    </row>
    <row r="123" spans="1:33" s="6169" customFormat="1" ht="22.5" customHeight="1" thickBot="1">
      <c r="A123" s="6236"/>
      <c r="B123" s="6166"/>
      <c r="C123" s="6166"/>
      <c r="D123" s="6166"/>
      <c r="E123" s="6166"/>
      <c r="F123" s="6166"/>
      <c r="G123" s="6166"/>
      <c r="H123" s="6166"/>
      <c r="I123" s="6166"/>
      <c r="J123" s="6166"/>
      <c r="K123" s="6166"/>
      <c r="L123" s="6164"/>
      <c r="M123" s="6164"/>
      <c r="N123" s="6164"/>
      <c r="O123" s="6166"/>
      <c r="P123" s="6166"/>
      <c r="Q123" s="6167"/>
      <c r="R123" s="11144" t="s">
        <v>4289</v>
      </c>
      <c r="S123" s="11145"/>
      <c r="T123" s="11145"/>
      <c r="U123" s="11145"/>
      <c r="V123" s="11145"/>
      <c r="W123" s="11145"/>
      <c r="X123" s="11145"/>
      <c r="Y123" s="11145"/>
      <c r="Z123" s="5321" t="s">
        <v>292</v>
      </c>
      <c r="AA123" s="6153">
        <f>SUM(AA9:AA122)</f>
        <v>370172.45</v>
      </c>
      <c r="AB123" s="6165"/>
      <c r="AC123" s="6168"/>
      <c r="AD123" s="11146"/>
      <c r="AE123" s="11147"/>
      <c r="AF123" s="11147"/>
      <c r="AG123" s="11148"/>
    </row>
    <row r="124" spans="1:33" ht="26.25" customHeight="1">
      <c r="A124" s="9599" t="s">
        <v>4290</v>
      </c>
      <c r="B124" s="10518" t="s">
        <v>183</v>
      </c>
      <c r="C124" s="10452" t="s">
        <v>227</v>
      </c>
      <c r="D124" s="10452" t="s">
        <v>228</v>
      </c>
      <c r="E124" s="10452" t="s">
        <v>229</v>
      </c>
      <c r="F124" s="10454" t="s">
        <v>230</v>
      </c>
      <c r="G124" s="10452" t="s">
        <v>132</v>
      </c>
      <c r="H124" s="10452" t="s">
        <v>133</v>
      </c>
      <c r="I124" s="10433" t="s">
        <v>5861</v>
      </c>
      <c r="J124" s="10452" t="s">
        <v>4292</v>
      </c>
      <c r="K124" s="10452" t="s">
        <v>4293</v>
      </c>
      <c r="L124" s="10488">
        <v>2</v>
      </c>
      <c r="M124" s="10488">
        <v>1</v>
      </c>
      <c r="N124" s="10488">
        <v>3</v>
      </c>
      <c r="O124" s="10452" t="s">
        <v>5862</v>
      </c>
      <c r="P124" s="10452" t="s">
        <v>5863</v>
      </c>
      <c r="Q124" s="10453" t="s">
        <v>5864</v>
      </c>
      <c r="R124" s="5445"/>
      <c r="S124" s="4321"/>
      <c r="T124" s="4321"/>
      <c r="U124" s="3573"/>
      <c r="V124" s="5498"/>
      <c r="W124" s="3574"/>
      <c r="X124" s="5550"/>
      <c r="Y124" s="5550"/>
      <c r="Z124" s="5550"/>
      <c r="AA124" s="5551"/>
      <c r="AB124" s="5580"/>
      <c r="AC124" s="4323"/>
      <c r="AD124" s="3683"/>
      <c r="AE124" s="5609"/>
      <c r="AF124" s="5609"/>
      <c r="AG124" s="10466" t="s">
        <v>5865</v>
      </c>
    </row>
    <row r="125" spans="1:33" ht="26.25" customHeight="1">
      <c r="A125" s="11139"/>
      <c r="B125" s="11136"/>
      <c r="C125" s="11124"/>
      <c r="D125" s="11124"/>
      <c r="E125" s="11124"/>
      <c r="F125" s="11124"/>
      <c r="G125" s="11124"/>
      <c r="H125" s="11124"/>
      <c r="I125" s="11124"/>
      <c r="J125" s="11124"/>
      <c r="K125" s="11124"/>
      <c r="L125" s="11131"/>
      <c r="M125" s="11131"/>
      <c r="N125" s="11131"/>
      <c r="O125" s="11124"/>
      <c r="P125" s="11124"/>
      <c r="Q125" s="11127"/>
      <c r="R125" s="5446"/>
      <c r="S125" s="3579"/>
      <c r="T125" s="3579"/>
      <c r="U125" s="3578"/>
      <c r="V125" s="5499"/>
      <c r="W125" s="3579"/>
      <c r="X125" s="5552"/>
      <c r="Y125" s="5552"/>
      <c r="Z125" s="5552"/>
      <c r="AA125" s="5553"/>
      <c r="AB125" s="5581"/>
      <c r="AC125" s="4316"/>
      <c r="AD125" s="3496"/>
      <c r="AE125" s="5610"/>
      <c r="AF125" s="5610"/>
      <c r="AG125" s="11115"/>
    </row>
    <row r="126" spans="1:33" ht="26.25" customHeight="1">
      <c r="A126" s="11139"/>
      <c r="B126" s="11136"/>
      <c r="C126" s="11124"/>
      <c r="D126" s="11124"/>
      <c r="E126" s="11124"/>
      <c r="F126" s="11124"/>
      <c r="G126" s="11124"/>
      <c r="H126" s="11124"/>
      <c r="I126" s="11124"/>
      <c r="J126" s="11124"/>
      <c r="K126" s="11124"/>
      <c r="L126" s="11131"/>
      <c r="M126" s="11131"/>
      <c r="N126" s="11131"/>
      <c r="O126" s="11124"/>
      <c r="P126" s="11124"/>
      <c r="Q126" s="11127"/>
      <c r="R126" s="5446"/>
      <c r="S126" s="3579"/>
      <c r="T126" s="3579"/>
      <c r="U126" s="3578"/>
      <c r="V126" s="5499"/>
      <c r="W126" s="3579"/>
      <c r="X126" s="5552"/>
      <c r="Y126" s="5552"/>
      <c r="Z126" s="5552"/>
      <c r="AA126" s="5553"/>
      <c r="AB126" s="5581"/>
      <c r="AC126" s="4316"/>
      <c r="AD126" s="3496"/>
      <c r="AE126" s="5610"/>
      <c r="AF126" s="5610"/>
      <c r="AG126" s="11115"/>
    </row>
    <row r="127" spans="1:33" ht="26.25" customHeight="1">
      <c r="A127" s="11139"/>
      <c r="B127" s="11136"/>
      <c r="C127" s="11124"/>
      <c r="D127" s="11124"/>
      <c r="E127" s="11124"/>
      <c r="F127" s="11124"/>
      <c r="G127" s="11124"/>
      <c r="H127" s="11124"/>
      <c r="I127" s="11124"/>
      <c r="J127" s="11124"/>
      <c r="K127" s="11124"/>
      <c r="L127" s="11131"/>
      <c r="M127" s="11131"/>
      <c r="N127" s="11131"/>
      <c r="O127" s="11124"/>
      <c r="P127" s="11124"/>
      <c r="Q127" s="11127"/>
      <c r="R127" s="5447"/>
      <c r="S127" s="4325"/>
      <c r="T127" s="4325"/>
      <c r="U127" s="3578"/>
      <c r="V127" s="5499"/>
      <c r="W127" s="3579"/>
      <c r="X127" s="5552"/>
      <c r="Y127" s="5552"/>
      <c r="Z127" s="5552"/>
      <c r="AA127" s="5553"/>
      <c r="AB127" s="5581"/>
      <c r="AC127" s="4316"/>
      <c r="AD127" s="3496"/>
      <c r="AE127" s="5610"/>
      <c r="AF127" s="5610"/>
      <c r="AG127" s="11115"/>
    </row>
    <row r="128" spans="1:33" ht="26.25" customHeight="1">
      <c r="A128" s="11139"/>
      <c r="B128" s="11137"/>
      <c r="C128" s="11125"/>
      <c r="D128" s="11125"/>
      <c r="E128" s="11125"/>
      <c r="F128" s="11125"/>
      <c r="G128" s="11125"/>
      <c r="H128" s="11125"/>
      <c r="I128" s="11125"/>
      <c r="J128" s="11125"/>
      <c r="K128" s="11125"/>
      <c r="L128" s="11134"/>
      <c r="M128" s="11134"/>
      <c r="N128" s="11134"/>
      <c r="O128" s="11125"/>
      <c r="P128" s="11125"/>
      <c r="Q128" s="11135"/>
      <c r="R128" s="5448"/>
      <c r="S128" s="3617"/>
      <c r="T128" s="3617"/>
      <c r="U128" s="3616"/>
      <c r="V128" s="5509"/>
      <c r="W128" s="3617"/>
      <c r="X128" s="5554"/>
      <c r="Y128" s="5554"/>
      <c r="Z128" s="5554"/>
      <c r="AA128" s="5555"/>
      <c r="AB128" s="5592"/>
      <c r="AC128" s="4320"/>
      <c r="AD128" s="3714"/>
      <c r="AE128" s="5624"/>
      <c r="AF128" s="5624"/>
      <c r="AG128" s="11140"/>
    </row>
    <row r="129" spans="1:33" ht="26.25" customHeight="1">
      <c r="A129" s="11139"/>
      <c r="B129" s="10516" t="s">
        <v>183</v>
      </c>
      <c r="C129" s="10433" t="s">
        <v>227</v>
      </c>
      <c r="D129" s="10433" t="s">
        <v>228</v>
      </c>
      <c r="E129" s="10433" t="s">
        <v>229</v>
      </c>
      <c r="F129" s="10442" t="s">
        <v>230</v>
      </c>
      <c r="G129" s="10433" t="s">
        <v>132</v>
      </c>
      <c r="H129" s="10433" t="s">
        <v>133</v>
      </c>
      <c r="I129" s="10433" t="s">
        <v>5866</v>
      </c>
      <c r="J129" s="10433" t="s">
        <v>4299</v>
      </c>
      <c r="K129" s="10433" t="s">
        <v>4300</v>
      </c>
      <c r="L129" s="10470">
        <v>70</v>
      </c>
      <c r="M129" s="10470">
        <v>85</v>
      </c>
      <c r="N129" s="10470">
        <v>80</v>
      </c>
      <c r="O129" s="10433" t="s">
        <v>5867</v>
      </c>
      <c r="P129" s="10433" t="s">
        <v>5868</v>
      </c>
      <c r="Q129" s="10439" t="s">
        <v>5864</v>
      </c>
      <c r="R129" s="5449"/>
      <c r="S129" s="4336"/>
      <c r="T129" s="4336"/>
      <c r="U129" s="3597"/>
      <c r="V129" s="5502"/>
      <c r="W129" s="3598"/>
      <c r="X129" s="5556"/>
      <c r="Y129" s="5556"/>
      <c r="Z129" s="5556"/>
      <c r="AA129" s="5557"/>
      <c r="AB129" s="5584"/>
      <c r="AC129" s="4338"/>
      <c r="AD129" s="3709"/>
      <c r="AE129" s="5626"/>
      <c r="AF129" s="5626"/>
      <c r="AG129" s="10525" t="s">
        <v>5869</v>
      </c>
    </row>
    <row r="130" spans="1:33" ht="26.25" customHeight="1">
      <c r="A130" s="11139"/>
      <c r="B130" s="11136"/>
      <c r="C130" s="11124"/>
      <c r="D130" s="11124"/>
      <c r="E130" s="11124"/>
      <c r="F130" s="11124"/>
      <c r="G130" s="11124"/>
      <c r="H130" s="11124"/>
      <c r="I130" s="11124"/>
      <c r="J130" s="11124"/>
      <c r="K130" s="11124"/>
      <c r="L130" s="11131"/>
      <c r="M130" s="11131"/>
      <c r="N130" s="11131"/>
      <c r="O130" s="11124"/>
      <c r="P130" s="11124"/>
      <c r="Q130" s="11127"/>
      <c r="R130" s="5446"/>
      <c r="S130" s="3579"/>
      <c r="T130" s="3579"/>
      <c r="U130" s="3578"/>
      <c r="V130" s="5499"/>
      <c r="W130" s="3579"/>
      <c r="X130" s="5552"/>
      <c r="Y130" s="5552"/>
      <c r="Z130" s="5552"/>
      <c r="AA130" s="5553"/>
      <c r="AB130" s="5581"/>
      <c r="AC130" s="4316"/>
      <c r="AD130" s="3496"/>
      <c r="AE130" s="5610"/>
      <c r="AF130" s="5610"/>
      <c r="AG130" s="11115"/>
    </row>
    <row r="131" spans="1:33" ht="26.25" customHeight="1">
      <c r="A131" s="11139"/>
      <c r="B131" s="11136"/>
      <c r="C131" s="11124"/>
      <c r="D131" s="11124"/>
      <c r="E131" s="11124"/>
      <c r="F131" s="11124"/>
      <c r="G131" s="11124"/>
      <c r="H131" s="11124"/>
      <c r="I131" s="11124"/>
      <c r="J131" s="11124"/>
      <c r="K131" s="11124"/>
      <c r="L131" s="11131"/>
      <c r="M131" s="11131"/>
      <c r="N131" s="11131"/>
      <c r="O131" s="11124"/>
      <c r="P131" s="11124"/>
      <c r="Q131" s="11127"/>
      <c r="R131" s="5446"/>
      <c r="S131" s="3579"/>
      <c r="T131" s="3579"/>
      <c r="U131" s="3578"/>
      <c r="V131" s="5499"/>
      <c r="W131" s="3579"/>
      <c r="X131" s="5552"/>
      <c r="Y131" s="5552"/>
      <c r="Z131" s="5552"/>
      <c r="AA131" s="5553"/>
      <c r="AB131" s="5581"/>
      <c r="AC131" s="4316"/>
      <c r="AD131" s="3496"/>
      <c r="AE131" s="5610"/>
      <c r="AF131" s="5610"/>
      <c r="AG131" s="11115"/>
    </row>
    <row r="132" spans="1:33" ht="26.25" customHeight="1">
      <c r="A132" s="11139"/>
      <c r="B132" s="11136"/>
      <c r="C132" s="11124"/>
      <c r="D132" s="11124"/>
      <c r="E132" s="11124"/>
      <c r="F132" s="11124"/>
      <c r="G132" s="11124"/>
      <c r="H132" s="11124"/>
      <c r="I132" s="11124"/>
      <c r="J132" s="11124"/>
      <c r="K132" s="11124"/>
      <c r="L132" s="11131"/>
      <c r="M132" s="11131"/>
      <c r="N132" s="11131"/>
      <c r="O132" s="11124"/>
      <c r="P132" s="11124"/>
      <c r="Q132" s="11127"/>
      <c r="R132" s="5447"/>
      <c r="S132" s="4325"/>
      <c r="T132" s="4325"/>
      <c r="U132" s="3578"/>
      <c r="V132" s="5499"/>
      <c r="W132" s="3579"/>
      <c r="X132" s="5552"/>
      <c r="Y132" s="5552"/>
      <c r="Z132" s="5552"/>
      <c r="AA132" s="5553"/>
      <c r="AB132" s="5581"/>
      <c r="AC132" s="4316"/>
      <c r="AD132" s="3496"/>
      <c r="AE132" s="5610"/>
      <c r="AF132" s="5610"/>
      <c r="AG132" s="11115"/>
    </row>
    <row r="133" spans="1:33" ht="26.25" customHeight="1">
      <c r="A133" s="11139"/>
      <c r="B133" s="11138"/>
      <c r="C133" s="11126"/>
      <c r="D133" s="11126"/>
      <c r="E133" s="11126"/>
      <c r="F133" s="11126"/>
      <c r="G133" s="11126"/>
      <c r="H133" s="11126"/>
      <c r="I133" s="11126"/>
      <c r="J133" s="11126"/>
      <c r="K133" s="11126"/>
      <c r="L133" s="11132"/>
      <c r="M133" s="11132"/>
      <c r="N133" s="11132"/>
      <c r="O133" s="11126"/>
      <c r="P133" s="11126"/>
      <c r="Q133" s="11128"/>
      <c r="R133" s="5450"/>
      <c r="S133" s="3606"/>
      <c r="T133" s="3606"/>
      <c r="U133" s="3605"/>
      <c r="V133" s="5503"/>
      <c r="W133" s="3606"/>
      <c r="X133" s="5558"/>
      <c r="Y133" s="5558"/>
      <c r="Z133" s="5558"/>
      <c r="AA133" s="5559"/>
      <c r="AB133" s="5585"/>
      <c r="AC133" s="4318"/>
      <c r="AD133" s="3545"/>
      <c r="AE133" s="5625"/>
      <c r="AF133" s="5625"/>
      <c r="AG133" s="11116"/>
    </row>
    <row r="134" spans="1:33" ht="26.25" customHeight="1">
      <c r="A134" s="11139"/>
      <c r="B134" s="10512" t="s">
        <v>183</v>
      </c>
      <c r="C134" s="10444" t="s">
        <v>227</v>
      </c>
      <c r="D134" s="10444" t="s">
        <v>490</v>
      </c>
      <c r="E134" s="10444" t="s">
        <v>1484</v>
      </c>
      <c r="F134" s="10451" t="s">
        <v>230</v>
      </c>
      <c r="G134" s="10444" t="s">
        <v>231</v>
      </c>
      <c r="H134" s="10444" t="s">
        <v>159</v>
      </c>
      <c r="I134" s="10444" t="s">
        <v>5870</v>
      </c>
      <c r="J134" s="10444" t="s">
        <v>4305</v>
      </c>
      <c r="K134" s="10444" t="s">
        <v>5871</v>
      </c>
      <c r="L134" s="10455">
        <v>0</v>
      </c>
      <c r="M134" s="10455">
        <v>0</v>
      </c>
      <c r="N134" s="10455">
        <v>1</v>
      </c>
      <c r="O134" s="10444" t="s">
        <v>5872</v>
      </c>
      <c r="P134" s="10444" t="s">
        <v>5873</v>
      </c>
      <c r="Q134" s="10449" t="s">
        <v>5874</v>
      </c>
      <c r="R134" s="5451"/>
      <c r="S134" s="3650"/>
      <c r="T134" s="3650"/>
      <c r="U134" s="3622"/>
      <c r="V134" s="5504"/>
      <c r="W134" s="3623"/>
      <c r="X134" s="5560"/>
      <c r="Y134" s="5560"/>
      <c r="Z134" s="5560"/>
      <c r="AA134" s="5561"/>
      <c r="AB134" s="5586"/>
      <c r="AC134" s="4314"/>
      <c r="AD134" s="3658"/>
      <c r="AE134" s="5623"/>
      <c r="AF134" s="5623"/>
      <c r="AG134" s="10464" t="s">
        <v>5875</v>
      </c>
    </row>
    <row r="135" spans="1:33" ht="26.25" customHeight="1">
      <c r="A135" s="11139"/>
      <c r="B135" s="11136"/>
      <c r="C135" s="11124"/>
      <c r="D135" s="11124"/>
      <c r="E135" s="11124"/>
      <c r="F135" s="11124"/>
      <c r="G135" s="11124"/>
      <c r="H135" s="11124"/>
      <c r="I135" s="11124"/>
      <c r="J135" s="11124"/>
      <c r="K135" s="11124"/>
      <c r="L135" s="11131"/>
      <c r="M135" s="11131"/>
      <c r="N135" s="11131"/>
      <c r="O135" s="11124"/>
      <c r="P135" s="11124"/>
      <c r="Q135" s="11127"/>
      <c r="R135" s="5446"/>
      <c r="S135" s="3579"/>
      <c r="T135" s="3579"/>
      <c r="U135" s="3578"/>
      <c r="V135" s="5499"/>
      <c r="W135" s="3579"/>
      <c r="X135" s="5552"/>
      <c r="Y135" s="5552"/>
      <c r="Z135" s="5552"/>
      <c r="AA135" s="5553"/>
      <c r="AB135" s="5581"/>
      <c r="AC135" s="4316"/>
      <c r="AD135" s="3496"/>
      <c r="AE135" s="5610"/>
      <c r="AF135" s="5610"/>
      <c r="AG135" s="11115"/>
    </row>
    <row r="136" spans="1:33" ht="26.25" customHeight="1">
      <c r="A136" s="11139"/>
      <c r="B136" s="11136"/>
      <c r="C136" s="11124"/>
      <c r="D136" s="11124"/>
      <c r="E136" s="11124"/>
      <c r="F136" s="11124"/>
      <c r="G136" s="11124"/>
      <c r="H136" s="11124"/>
      <c r="I136" s="11124"/>
      <c r="J136" s="11124"/>
      <c r="K136" s="11124"/>
      <c r="L136" s="11131"/>
      <c r="M136" s="11131"/>
      <c r="N136" s="11131"/>
      <c r="O136" s="11124"/>
      <c r="P136" s="11124"/>
      <c r="Q136" s="11127"/>
      <c r="R136" s="5446"/>
      <c r="S136" s="3579"/>
      <c r="T136" s="3579"/>
      <c r="U136" s="3578"/>
      <c r="V136" s="5499"/>
      <c r="W136" s="3579"/>
      <c r="X136" s="5552"/>
      <c r="Y136" s="5552"/>
      <c r="Z136" s="5552"/>
      <c r="AA136" s="5553"/>
      <c r="AB136" s="5581"/>
      <c r="AC136" s="4316"/>
      <c r="AD136" s="3496"/>
      <c r="AE136" s="5610"/>
      <c r="AF136" s="5610"/>
      <c r="AG136" s="11115"/>
    </row>
    <row r="137" spans="1:33" ht="26.25" customHeight="1">
      <c r="A137" s="11139"/>
      <c r="B137" s="11136"/>
      <c r="C137" s="11124"/>
      <c r="D137" s="11124"/>
      <c r="E137" s="11124"/>
      <c r="F137" s="11124"/>
      <c r="G137" s="11124"/>
      <c r="H137" s="11124"/>
      <c r="I137" s="11124"/>
      <c r="J137" s="11124"/>
      <c r="K137" s="11124"/>
      <c r="L137" s="11131"/>
      <c r="M137" s="11131"/>
      <c r="N137" s="11131"/>
      <c r="O137" s="11124"/>
      <c r="P137" s="11124"/>
      <c r="Q137" s="11127"/>
      <c r="R137" s="5447"/>
      <c r="S137" s="4325"/>
      <c r="T137" s="4325"/>
      <c r="U137" s="3578"/>
      <c r="V137" s="5499"/>
      <c r="W137" s="3579"/>
      <c r="X137" s="5552"/>
      <c r="Y137" s="5552"/>
      <c r="Z137" s="5552"/>
      <c r="AA137" s="5553"/>
      <c r="AB137" s="5581"/>
      <c r="AC137" s="4316"/>
      <c r="AD137" s="3496"/>
      <c r="AE137" s="5610"/>
      <c r="AF137" s="5610"/>
      <c r="AG137" s="11115"/>
    </row>
    <row r="138" spans="1:33" ht="26.25" customHeight="1">
      <c r="A138" s="11139"/>
      <c r="B138" s="11137"/>
      <c r="C138" s="11125"/>
      <c r="D138" s="11125"/>
      <c r="E138" s="11125"/>
      <c r="F138" s="11125"/>
      <c r="G138" s="11125"/>
      <c r="H138" s="11125"/>
      <c r="I138" s="11125"/>
      <c r="J138" s="11125"/>
      <c r="K138" s="11125"/>
      <c r="L138" s="11134"/>
      <c r="M138" s="11134"/>
      <c r="N138" s="11134"/>
      <c r="O138" s="11125"/>
      <c r="P138" s="11125"/>
      <c r="Q138" s="11135"/>
      <c r="R138" s="5448"/>
      <c r="S138" s="3617"/>
      <c r="T138" s="3617"/>
      <c r="U138" s="3616"/>
      <c r="V138" s="5509"/>
      <c r="W138" s="3617"/>
      <c r="X138" s="5554"/>
      <c r="Y138" s="5554"/>
      <c r="Z138" s="5554"/>
      <c r="AA138" s="5555"/>
      <c r="AB138" s="5592"/>
      <c r="AC138" s="4320"/>
      <c r="AD138" s="3714"/>
      <c r="AE138" s="5624"/>
      <c r="AF138" s="5624"/>
      <c r="AG138" s="11140"/>
    </row>
    <row r="139" spans="1:33" ht="24" customHeight="1">
      <c r="A139" s="11139"/>
      <c r="B139" s="10516" t="s">
        <v>183</v>
      </c>
      <c r="C139" s="10433" t="s">
        <v>227</v>
      </c>
      <c r="D139" s="10433" t="s">
        <v>228</v>
      </c>
      <c r="E139" s="10433" t="s">
        <v>229</v>
      </c>
      <c r="F139" s="10442" t="s">
        <v>230</v>
      </c>
      <c r="G139" s="10433" t="s">
        <v>132</v>
      </c>
      <c r="H139" s="10433" t="s">
        <v>159</v>
      </c>
      <c r="I139" s="10433" t="s">
        <v>5876</v>
      </c>
      <c r="J139" s="10433" t="s">
        <v>4312</v>
      </c>
      <c r="K139" s="10433" t="s">
        <v>4313</v>
      </c>
      <c r="L139" s="10470">
        <v>1</v>
      </c>
      <c r="M139" s="10470">
        <v>0</v>
      </c>
      <c r="N139" s="10470">
        <v>1</v>
      </c>
      <c r="O139" s="10433" t="s">
        <v>5877</v>
      </c>
      <c r="P139" s="10433" t="s">
        <v>5878</v>
      </c>
      <c r="Q139" s="10439" t="s">
        <v>5879</v>
      </c>
      <c r="R139" s="5449"/>
      <c r="S139" s="4336"/>
      <c r="T139" s="4336"/>
      <c r="U139" s="3597"/>
      <c r="V139" s="5502"/>
      <c r="W139" s="3598"/>
      <c r="X139" s="5556"/>
      <c r="Y139" s="5556"/>
      <c r="Z139" s="5556"/>
      <c r="AA139" s="5557"/>
      <c r="AB139" s="5584"/>
      <c r="AC139" s="4338"/>
      <c r="AD139" s="3709"/>
      <c r="AE139" s="5626"/>
      <c r="AF139" s="5626"/>
      <c r="AG139" s="10525" t="s">
        <v>5880</v>
      </c>
    </row>
    <row r="140" spans="1:33" ht="23.25" customHeight="1">
      <c r="A140" s="11139"/>
      <c r="B140" s="11136"/>
      <c r="C140" s="11124"/>
      <c r="D140" s="11124"/>
      <c r="E140" s="11124"/>
      <c r="F140" s="11124"/>
      <c r="G140" s="11124"/>
      <c r="H140" s="11124"/>
      <c r="I140" s="11124"/>
      <c r="J140" s="11124"/>
      <c r="K140" s="11124"/>
      <c r="L140" s="11131"/>
      <c r="M140" s="11131"/>
      <c r="N140" s="11131"/>
      <c r="O140" s="11124"/>
      <c r="P140" s="11124"/>
      <c r="Q140" s="11127"/>
      <c r="R140" s="5446"/>
      <c r="S140" s="3579"/>
      <c r="T140" s="3579"/>
      <c r="U140" s="3578"/>
      <c r="V140" s="5499"/>
      <c r="W140" s="3579"/>
      <c r="X140" s="5552"/>
      <c r="Y140" s="5552"/>
      <c r="Z140" s="5552"/>
      <c r="AA140" s="5553"/>
      <c r="AB140" s="5581"/>
      <c r="AC140" s="4316"/>
      <c r="AD140" s="3496"/>
      <c r="AE140" s="5610"/>
      <c r="AF140" s="5610"/>
      <c r="AG140" s="11115"/>
    </row>
    <row r="141" spans="1:33" ht="25.5" customHeight="1">
      <c r="A141" s="11139"/>
      <c r="B141" s="11136"/>
      <c r="C141" s="11124"/>
      <c r="D141" s="11124"/>
      <c r="E141" s="11124"/>
      <c r="F141" s="11124"/>
      <c r="G141" s="11124"/>
      <c r="H141" s="11124"/>
      <c r="I141" s="11124"/>
      <c r="J141" s="11124"/>
      <c r="K141" s="11124"/>
      <c r="L141" s="11131"/>
      <c r="M141" s="11131"/>
      <c r="N141" s="11131"/>
      <c r="O141" s="11124"/>
      <c r="P141" s="11124"/>
      <c r="Q141" s="11127"/>
      <c r="R141" s="5446"/>
      <c r="S141" s="3579"/>
      <c r="T141" s="3579"/>
      <c r="U141" s="3578"/>
      <c r="V141" s="5499"/>
      <c r="W141" s="3579"/>
      <c r="X141" s="5552"/>
      <c r="Y141" s="5552"/>
      <c r="Z141" s="5552"/>
      <c r="AA141" s="5553"/>
      <c r="AB141" s="5581"/>
      <c r="AC141" s="4316"/>
      <c r="AD141" s="3496"/>
      <c r="AE141" s="5610"/>
      <c r="AF141" s="5610"/>
      <c r="AG141" s="11115"/>
    </row>
    <row r="142" spans="1:33" ht="27.75" customHeight="1">
      <c r="A142" s="11139"/>
      <c r="B142" s="11136"/>
      <c r="C142" s="11124"/>
      <c r="D142" s="11124"/>
      <c r="E142" s="11124"/>
      <c r="F142" s="11124"/>
      <c r="G142" s="11124"/>
      <c r="H142" s="11124"/>
      <c r="I142" s="11124"/>
      <c r="J142" s="11124"/>
      <c r="K142" s="11124"/>
      <c r="L142" s="11131"/>
      <c r="M142" s="11131"/>
      <c r="N142" s="11131"/>
      <c r="O142" s="11124"/>
      <c r="P142" s="11124"/>
      <c r="Q142" s="11127"/>
      <c r="R142" s="5447"/>
      <c r="S142" s="4325"/>
      <c r="T142" s="4325"/>
      <c r="U142" s="3578"/>
      <c r="V142" s="5499"/>
      <c r="W142" s="3579"/>
      <c r="X142" s="5552"/>
      <c r="Y142" s="5552"/>
      <c r="Z142" s="5552"/>
      <c r="AA142" s="5553"/>
      <c r="AB142" s="5581"/>
      <c r="AC142" s="4316"/>
      <c r="AD142" s="3496"/>
      <c r="AE142" s="5610"/>
      <c r="AF142" s="5610"/>
      <c r="AG142" s="11115"/>
    </row>
    <row r="143" spans="1:33" ht="28.5" customHeight="1">
      <c r="A143" s="11139"/>
      <c r="B143" s="11138"/>
      <c r="C143" s="11126"/>
      <c r="D143" s="11126"/>
      <c r="E143" s="11126"/>
      <c r="F143" s="11126"/>
      <c r="G143" s="11126"/>
      <c r="H143" s="11126"/>
      <c r="I143" s="11126"/>
      <c r="J143" s="11126"/>
      <c r="K143" s="11126"/>
      <c r="L143" s="11132"/>
      <c r="M143" s="11132"/>
      <c r="N143" s="11132"/>
      <c r="O143" s="11126"/>
      <c r="P143" s="11126"/>
      <c r="Q143" s="11128"/>
      <c r="R143" s="5450"/>
      <c r="S143" s="3606"/>
      <c r="T143" s="3606"/>
      <c r="U143" s="3605"/>
      <c r="V143" s="5503"/>
      <c r="W143" s="3606"/>
      <c r="X143" s="5558"/>
      <c r="Y143" s="5558"/>
      <c r="Z143" s="5558"/>
      <c r="AA143" s="5559"/>
      <c r="AB143" s="5585"/>
      <c r="AC143" s="4318"/>
      <c r="AD143" s="3545"/>
      <c r="AE143" s="5625"/>
      <c r="AF143" s="5625"/>
      <c r="AG143" s="11116"/>
    </row>
    <row r="144" spans="1:33" ht="26.25" customHeight="1">
      <c r="A144" s="11139"/>
      <c r="B144" s="10512" t="s">
        <v>183</v>
      </c>
      <c r="C144" s="10444" t="s">
        <v>227</v>
      </c>
      <c r="D144" s="10444" t="s">
        <v>228</v>
      </c>
      <c r="E144" s="10444" t="s">
        <v>255</v>
      </c>
      <c r="F144" s="10451" t="s">
        <v>230</v>
      </c>
      <c r="G144" s="10444" t="s">
        <v>132</v>
      </c>
      <c r="H144" s="10444" t="s">
        <v>133</v>
      </c>
      <c r="I144" s="10444" t="s">
        <v>5881</v>
      </c>
      <c r="J144" s="10444" t="s">
        <v>4326</v>
      </c>
      <c r="K144" s="10444" t="s">
        <v>5882</v>
      </c>
      <c r="L144" s="10455">
        <v>2</v>
      </c>
      <c r="M144" s="10455">
        <v>0</v>
      </c>
      <c r="N144" s="10455">
        <v>2</v>
      </c>
      <c r="O144" s="10444" t="s">
        <v>5883</v>
      </c>
      <c r="P144" s="10444" t="s">
        <v>5884</v>
      </c>
      <c r="Q144" s="10449" t="s">
        <v>5885</v>
      </c>
      <c r="R144" s="5451"/>
      <c r="S144" s="3650"/>
      <c r="T144" s="3650"/>
      <c r="U144" s="3622"/>
      <c r="V144" s="5504"/>
      <c r="W144" s="3623"/>
      <c r="X144" s="5560"/>
      <c r="Y144" s="5560"/>
      <c r="Z144" s="5560"/>
      <c r="AA144" s="5561"/>
      <c r="AB144" s="5586"/>
      <c r="AC144" s="4314"/>
      <c r="AD144" s="3658"/>
      <c r="AE144" s="3749"/>
      <c r="AF144" s="3749"/>
      <c r="AG144" s="10464" t="s">
        <v>5886</v>
      </c>
    </row>
    <row r="145" spans="1:33" ht="26.25" customHeight="1">
      <c r="A145" s="11139"/>
      <c r="B145" s="11136"/>
      <c r="C145" s="11124"/>
      <c r="D145" s="11124"/>
      <c r="E145" s="11124"/>
      <c r="F145" s="11124"/>
      <c r="G145" s="11124"/>
      <c r="H145" s="11124"/>
      <c r="I145" s="11124"/>
      <c r="J145" s="11124"/>
      <c r="K145" s="11124"/>
      <c r="L145" s="11131"/>
      <c r="M145" s="11131"/>
      <c r="N145" s="11131"/>
      <c r="O145" s="11124"/>
      <c r="P145" s="11124"/>
      <c r="Q145" s="11127"/>
      <c r="R145" s="5446"/>
      <c r="S145" s="3579"/>
      <c r="T145" s="3579"/>
      <c r="U145" s="3578"/>
      <c r="V145" s="5499"/>
      <c r="W145" s="3579"/>
      <c r="X145" s="5552"/>
      <c r="Y145" s="5552"/>
      <c r="Z145" s="5552"/>
      <c r="AA145" s="5553"/>
      <c r="AB145" s="5581"/>
      <c r="AC145" s="4316"/>
      <c r="AD145" s="3496"/>
      <c r="AE145" s="3496"/>
      <c r="AF145" s="3690"/>
      <c r="AG145" s="11115"/>
    </row>
    <row r="146" spans="1:33" ht="26.25" customHeight="1">
      <c r="A146" s="11139"/>
      <c r="B146" s="11136"/>
      <c r="C146" s="11124"/>
      <c r="D146" s="11124"/>
      <c r="E146" s="11124"/>
      <c r="F146" s="11124"/>
      <c r="G146" s="11124"/>
      <c r="H146" s="11124"/>
      <c r="I146" s="11124"/>
      <c r="J146" s="11124"/>
      <c r="K146" s="11124"/>
      <c r="L146" s="11131"/>
      <c r="M146" s="11131"/>
      <c r="N146" s="11131"/>
      <c r="O146" s="11124"/>
      <c r="P146" s="11124"/>
      <c r="Q146" s="11127"/>
      <c r="R146" s="5446"/>
      <c r="S146" s="3579"/>
      <c r="T146" s="3579"/>
      <c r="U146" s="3578"/>
      <c r="V146" s="5499"/>
      <c r="W146" s="3579"/>
      <c r="X146" s="5552"/>
      <c r="Y146" s="5552"/>
      <c r="Z146" s="5552"/>
      <c r="AA146" s="5553"/>
      <c r="AB146" s="5581"/>
      <c r="AC146" s="4316"/>
      <c r="AD146" s="3496"/>
      <c r="AE146" s="3496"/>
      <c r="AF146" s="5610"/>
      <c r="AG146" s="11115"/>
    </row>
    <row r="147" spans="1:33" ht="26.25" customHeight="1">
      <c r="A147" s="11139"/>
      <c r="B147" s="11136"/>
      <c r="C147" s="11124"/>
      <c r="D147" s="11124"/>
      <c r="E147" s="11124"/>
      <c r="F147" s="11124"/>
      <c r="G147" s="11124"/>
      <c r="H147" s="11124"/>
      <c r="I147" s="11124"/>
      <c r="J147" s="11124"/>
      <c r="K147" s="11124"/>
      <c r="L147" s="11131"/>
      <c r="M147" s="11131"/>
      <c r="N147" s="11131"/>
      <c r="O147" s="11124"/>
      <c r="P147" s="11124"/>
      <c r="Q147" s="11127"/>
      <c r="R147" s="5446"/>
      <c r="S147" s="3579"/>
      <c r="T147" s="3579"/>
      <c r="U147" s="3578"/>
      <c r="V147" s="5499"/>
      <c r="W147" s="3579"/>
      <c r="X147" s="5552"/>
      <c r="Y147" s="5552"/>
      <c r="Z147" s="5552"/>
      <c r="AA147" s="5553"/>
      <c r="AB147" s="5581"/>
      <c r="AC147" s="4316"/>
      <c r="AD147" s="3496"/>
      <c r="AE147" s="3496"/>
      <c r="AF147" s="5610"/>
      <c r="AG147" s="11115"/>
    </row>
    <row r="148" spans="1:33" ht="26.25" customHeight="1">
      <c r="A148" s="11139"/>
      <c r="B148" s="11137"/>
      <c r="C148" s="11125"/>
      <c r="D148" s="11125"/>
      <c r="E148" s="11125"/>
      <c r="F148" s="11125"/>
      <c r="G148" s="11125"/>
      <c r="H148" s="11125"/>
      <c r="I148" s="11125"/>
      <c r="J148" s="11125"/>
      <c r="K148" s="11125"/>
      <c r="L148" s="11134"/>
      <c r="M148" s="11134"/>
      <c r="N148" s="11134"/>
      <c r="O148" s="11125"/>
      <c r="P148" s="11125"/>
      <c r="Q148" s="11135"/>
      <c r="R148" s="5448"/>
      <c r="S148" s="3617"/>
      <c r="T148" s="3617"/>
      <c r="U148" s="3616"/>
      <c r="V148" s="5509"/>
      <c r="W148" s="3617"/>
      <c r="X148" s="5554"/>
      <c r="Y148" s="5554"/>
      <c r="Z148" s="5554"/>
      <c r="AA148" s="5555"/>
      <c r="AB148" s="5592"/>
      <c r="AC148" s="4320"/>
      <c r="AD148" s="3714"/>
      <c r="AE148" s="3714"/>
      <c r="AF148" s="5624"/>
      <c r="AG148" s="11140"/>
    </row>
    <row r="149" spans="1:33" ht="31.5" customHeight="1">
      <c r="A149" s="11139"/>
      <c r="B149" s="10516" t="s">
        <v>183</v>
      </c>
      <c r="C149" s="10433" t="s">
        <v>227</v>
      </c>
      <c r="D149" s="10433" t="s">
        <v>228</v>
      </c>
      <c r="E149" s="10433" t="s">
        <v>229</v>
      </c>
      <c r="F149" s="10442" t="s">
        <v>230</v>
      </c>
      <c r="G149" s="10433" t="s">
        <v>132</v>
      </c>
      <c r="H149" s="10433" t="s">
        <v>159</v>
      </c>
      <c r="I149" s="10433" t="s">
        <v>5887</v>
      </c>
      <c r="J149" s="10433" t="s">
        <v>5247</v>
      </c>
      <c r="K149" s="10433" t="s">
        <v>5888</v>
      </c>
      <c r="L149" s="10470">
        <v>4</v>
      </c>
      <c r="M149" s="10470">
        <v>4</v>
      </c>
      <c r="N149" s="10470">
        <v>4</v>
      </c>
      <c r="O149" s="10433" t="s">
        <v>5889</v>
      </c>
      <c r="P149" s="10433" t="s">
        <v>5890</v>
      </c>
      <c r="Q149" s="10439" t="s">
        <v>5891</v>
      </c>
      <c r="R149" s="5449"/>
      <c r="S149" s="4336"/>
      <c r="T149" s="4336"/>
      <c r="U149" s="3597"/>
      <c r="V149" s="5502"/>
      <c r="W149" s="3598"/>
      <c r="X149" s="5556"/>
      <c r="Y149" s="5556"/>
      <c r="Z149" s="5556"/>
      <c r="AA149" s="5557"/>
      <c r="AB149" s="5584"/>
      <c r="AC149" s="4338"/>
      <c r="AD149" s="3709"/>
      <c r="AE149" s="5626"/>
      <c r="AF149" s="5626"/>
      <c r="AG149" s="10525" t="s">
        <v>5892</v>
      </c>
    </row>
    <row r="150" spans="1:33" ht="31.5" customHeight="1">
      <c r="A150" s="11139"/>
      <c r="B150" s="11136"/>
      <c r="C150" s="11124"/>
      <c r="D150" s="11124"/>
      <c r="E150" s="11124"/>
      <c r="F150" s="11124"/>
      <c r="G150" s="11124"/>
      <c r="H150" s="11124"/>
      <c r="I150" s="11124"/>
      <c r="J150" s="11124"/>
      <c r="K150" s="11124"/>
      <c r="L150" s="11131"/>
      <c r="M150" s="11131"/>
      <c r="N150" s="11131"/>
      <c r="O150" s="11124"/>
      <c r="P150" s="11124"/>
      <c r="Q150" s="11127"/>
      <c r="R150" s="5446"/>
      <c r="S150" s="3579"/>
      <c r="T150" s="3579"/>
      <c r="U150" s="3578"/>
      <c r="V150" s="5499"/>
      <c r="W150" s="3579"/>
      <c r="X150" s="5552"/>
      <c r="Y150" s="5552"/>
      <c r="Z150" s="5552"/>
      <c r="AA150" s="5553"/>
      <c r="AB150" s="5581"/>
      <c r="AC150" s="4316"/>
      <c r="AD150" s="3496"/>
      <c r="AE150" s="5610"/>
      <c r="AF150" s="5610"/>
      <c r="AG150" s="11115"/>
    </row>
    <row r="151" spans="1:33" ht="31.5" customHeight="1">
      <c r="A151" s="11139"/>
      <c r="B151" s="11136"/>
      <c r="C151" s="11124"/>
      <c r="D151" s="11124"/>
      <c r="E151" s="11124"/>
      <c r="F151" s="11124"/>
      <c r="G151" s="11124"/>
      <c r="H151" s="11124"/>
      <c r="I151" s="11124"/>
      <c r="J151" s="11124"/>
      <c r="K151" s="11124"/>
      <c r="L151" s="11131"/>
      <c r="M151" s="11131"/>
      <c r="N151" s="11131"/>
      <c r="O151" s="11124"/>
      <c r="P151" s="11124"/>
      <c r="Q151" s="11127"/>
      <c r="R151" s="5446"/>
      <c r="S151" s="3579"/>
      <c r="T151" s="3579"/>
      <c r="U151" s="3578"/>
      <c r="V151" s="5499"/>
      <c r="W151" s="3579"/>
      <c r="X151" s="5552"/>
      <c r="Y151" s="5552"/>
      <c r="Z151" s="5552"/>
      <c r="AA151" s="5553"/>
      <c r="AB151" s="5581"/>
      <c r="AC151" s="4316"/>
      <c r="AD151" s="3496"/>
      <c r="AE151" s="5610"/>
      <c r="AF151" s="5610"/>
      <c r="AG151" s="11115"/>
    </row>
    <row r="152" spans="1:33" ht="31.5" customHeight="1">
      <c r="A152" s="11181"/>
      <c r="B152" s="11136"/>
      <c r="C152" s="11124"/>
      <c r="D152" s="11124"/>
      <c r="E152" s="11124"/>
      <c r="F152" s="11124"/>
      <c r="G152" s="11124"/>
      <c r="H152" s="11124"/>
      <c r="I152" s="11124"/>
      <c r="J152" s="11124"/>
      <c r="K152" s="11124"/>
      <c r="L152" s="11131"/>
      <c r="M152" s="11131"/>
      <c r="N152" s="11131"/>
      <c r="O152" s="11124"/>
      <c r="P152" s="11124"/>
      <c r="Q152" s="11127"/>
      <c r="R152" s="5446"/>
      <c r="S152" s="3579"/>
      <c r="T152" s="3579"/>
      <c r="U152" s="3578"/>
      <c r="V152" s="5499"/>
      <c r="W152" s="3579"/>
      <c r="X152" s="5552"/>
      <c r="Y152" s="5552"/>
      <c r="Z152" s="5552"/>
      <c r="AA152" s="5553"/>
      <c r="AB152" s="5581"/>
      <c r="AC152" s="4316"/>
      <c r="AD152" s="3496"/>
      <c r="AE152" s="5610"/>
      <c r="AF152" s="5610"/>
      <c r="AG152" s="11115"/>
    </row>
    <row r="153" spans="1:33" ht="31.5" customHeight="1">
      <c r="A153" s="10053" t="s">
        <v>4290</v>
      </c>
      <c r="B153" s="11138"/>
      <c r="C153" s="11126"/>
      <c r="D153" s="11126"/>
      <c r="E153" s="11126"/>
      <c r="F153" s="11126"/>
      <c r="G153" s="11126"/>
      <c r="H153" s="11126"/>
      <c r="I153" s="11126"/>
      <c r="J153" s="11126"/>
      <c r="K153" s="11126"/>
      <c r="L153" s="11132"/>
      <c r="M153" s="11132"/>
      <c r="N153" s="11132"/>
      <c r="O153" s="11126"/>
      <c r="P153" s="11126"/>
      <c r="Q153" s="11128"/>
      <c r="R153" s="5450"/>
      <c r="S153" s="3606"/>
      <c r="T153" s="3606"/>
      <c r="U153" s="3605"/>
      <c r="V153" s="5503"/>
      <c r="W153" s="3606"/>
      <c r="X153" s="5558"/>
      <c r="Y153" s="5558"/>
      <c r="Z153" s="5558"/>
      <c r="AA153" s="5559"/>
      <c r="AB153" s="5585"/>
      <c r="AC153" s="4318"/>
      <c r="AD153" s="3545"/>
      <c r="AE153" s="5625"/>
      <c r="AF153" s="5625"/>
      <c r="AG153" s="11116"/>
    </row>
    <row r="154" spans="1:33" ht="31.5" customHeight="1">
      <c r="A154" s="11139"/>
      <c r="B154" s="10512" t="s">
        <v>127</v>
      </c>
      <c r="C154" s="10444" t="s">
        <v>128</v>
      </c>
      <c r="D154" s="10444" t="s">
        <v>140</v>
      </c>
      <c r="E154" s="10444" t="s">
        <v>212</v>
      </c>
      <c r="F154" s="10451" t="s">
        <v>131</v>
      </c>
      <c r="G154" s="10444" t="s">
        <v>213</v>
      </c>
      <c r="H154" s="10444" t="s">
        <v>189</v>
      </c>
      <c r="I154" s="10444" t="s">
        <v>5893</v>
      </c>
      <c r="J154" s="10444" t="s">
        <v>4332</v>
      </c>
      <c r="K154" s="10444" t="s">
        <v>5894</v>
      </c>
      <c r="L154" s="10455">
        <v>1</v>
      </c>
      <c r="M154" s="10455">
        <v>0</v>
      </c>
      <c r="N154" s="10455">
        <v>0</v>
      </c>
      <c r="O154" s="10444" t="s">
        <v>5895</v>
      </c>
      <c r="P154" s="10444" t="s">
        <v>5896</v>
      </c>
      <c r="Q154" s="10449" t="s">
        <v>5897</v>
      </c>
      <c r="R154" s="5451"/>
      <c r="S154" s="3650"/>
      <c r="T154" s="3650"/>
      <c r="U154" s="3622"/>
      <c r="V154" s="5504"/>
      <c r="W154" s="3623"/>
      <c r="X154" s="5560"/>
      <c r="Y154" s="5560"/>
      <c r="Z154" s="5560"/>
      <c r="AA154" s="5561"/>
      <c r="AB154" s="5586"/>
      <c r="AC154" s="4314"/>
      <c r="AD154" s="3658"/>
      <c r="AE154" s="5623"/>
      <c r="AF154" s="5623"/>
      <c r="AG154" s="10464" t="s">
        <v>5898</v>
      </c>
    </row>
    <row r="155" spans="1:33" ht="31.5" customHeight="1">
      <c r="A155" s="11139"/>
      <c r="B155" s="11136"/>
      <c r="C155" s="11124"/>
      <c r="D155" s="11124"/>
      <c r="E155" s="11124"/>
      <c r="F155" s="11124"/>
      <c r="G155" s="11124"/>
      <c r="H155" s="11124"/>
      <c r="I155" s="11124"/>
      <c r="J155" s="11124"/>
      <c r="K155" s="11124"/>
      <c r="L155" s="11131"/>
      <c r="M155" s="11131"/>
      <c r="N155" s="11131"/>
      <c r="O155" s="11124"/>
      <c r="P155" s="11124"/>
      <c r="Q155" s="11127"/>
      <c r="R155" s="5446"/>
      <c r="S155" s="3579"/>
      <c r="T155" s="3579"/>
      <c r="U155" s="3578"/>
      <c r="V155" s="5499"/>
      <c r="W155" s="3579"/>
      <c r="X155" s="5552"/>
      <c r="Y155" s="5552"/>
      <c r="Z155" s="5552"/>
      <c r="AA155" s="5553"/>
      <c r="AB155" s="5581"/>
      <c r="AC155" s="4316"/>
      <c r="AD155" s="3496"/>
      <c r="AE155" s="5610"/>
      <c r="AF155" s="5610"/>
      <c r="AG155" s="11115"/>
    </row>
    <row r="156" spans="1:33" ht="31.5" customHeight="1">
      <c r="A156" s="11139"/>
      <c r="B156" s="11136"/>
      <c r="C156" s="11124"/>
      <c r="D156" s="11124"/>
      <c r="E156" s="11124"/>
      <c r="F156" s="11124"/>
      <c r="G156" s="11124"/>
      <c r="H156" s="11124"/>
      <c r="I156" s="11124"/>
      <c r="J156" s="11124"/>
      <c r="K156" s="11124"/>
      <c r="L156" s="11131"/>
      <c r="M156" s="11131"/>
      <c r="N156" s="11131"/>
      <c r="O156" s="11124"/>
      <c r="P156" s="11124"/>
      <c r="Q156" s="11127"/>
      <c r="R156" s="5446"/>
      <c r="S156" s="3579"/>
      <c r="T156" s="3579"/>
      <c r="U156" s="3578"/>
      <c r="V156" s="5499"/>
      <c r="W156" s="3579"/>
      <c r="X156" s="5552"/>
      <c r="Y156" s="5552"/>
      <c r="Z156" s="5552"/>
      <c r="AA156" s="5553"/>
      <c r="AB156" s="5581"/>
      <c r="AC156" s="4316"/>
      <c r="AD156" s="3496"/>
      <c r="AE156" s="5610"/>
      <c r="AF156" s="5610"/>
      <c r="AG156" s="11115"/>
    </row>
    <row r="157" spans="1:33" ht="31.5" customHeight="1">
      <c r="A157" s="11139"/>
      <c r="B157" s="11136"/>
      <c r="C157" s="11124"/>
      <c r="D157" s="11124"/>
      <c r="E157" s="11124"/>
      <c r="F157" s="11124"/>
      <c r="G157" s="11124"/>
      <c r="H157" s="11124"/>
      <c r="I157" s="11124"/>
      <c r="J157" s="11124"/>
      <c r="K157" s="11124"/>
      <c r="L157" s="11131"/>
      <c r="M157" s="11131"/>
      <c r="N157" s="11131"/>
      <c r="O157" s="11124"/>
      <c r="P157" s="11124"/>
      <c r="Q157" s="11127"/>
      <c r="R157" s="5446"/>
      <c r="S157" s="3579"/>
      <c r="T157" s="3579"/>
      <c r="U157" s="3578"/>
      <c r="V157" s="5499"/>
      <c r="W157" s="3579"/>
      <c r="X157" s="5552"/>
      <c r="Y157" s="5552"/>
      <c r="Z157" s="5552"/>
      <c r="AA157" s="5553"/>
      <c r="AB157" s="5581"/>
      <c r="AC157" s="4316"/>
      <c r="AD157" s="3496"/>
      <c r="AE157" s="5610"/>
      <c r="AF157" s="5610"/>
      <c r="AG157" s="11115"/>
    </row>
    <row r="158" spans="1:33" ht="30" customHeight="1">
      <c r="A158" s="11139"/>
      <c r="B158" s="11137"/>
      <c r="C158" s="11125"/>
      <c r="D158" s="11125"/>
      <c r="E158" s="11125"/>
      <c r="F158" s="11125"/>
      <c r="G158" s="11125"/>
      <c r="H158" s="11125"/>
      <c r="I158" s="11125"/>
      <c r="J158" s="11125"/>
      <c r="K158" s="11125"/>
      <c r="L158" s="11134"/>
      <c r="M158" s="11134"/>
      <c r="N158" s="11134"/>
      <c r="O158" s="11125"/>
      <c r="P158" s="11125"/>
      <c r="Q158" s="11135"/>
      <c r="R158" s="5448"/>
      <c r="S158" s="3617"/>
      <c r="T158" s="3617"/>
      <c r="U158" s="3616"/>
      <c r="V158" s="5509"/>
      <c r="W158" s="3617"/>
      <c r="X158" s="5554"/>
      <c r="Y158" s="5554"/>
      <c r="Z158" s="5554"/>
      <c r="AA158" s="5555"/>
      <c r="AB158" s="5592"/>
      <c r="AC158" s="4320"/>
      <c r="AD158" s="3714"/>
      <c r="AE158" s="5624"/>
      <c r="AF158" s="5624"/>
      <c r="AG158" s="11140"/>
    </row>
    <row r="159" spans="1:33" ht="26.25" customHeight="1">
      <c r="A159" s="11139"/>
      <c r="B159" s="10516" t="s">
        <v>183</v>
      </c>
      <c r="C159" s="10433" t="s">
        <v>227</v>
      </c>
      <c r="D159" s="10433" t="s">
        <v>185</v>
      </c>
      <c r="E159" s="10433" t="s">
        <v>1938</v>
      </c>
      <c r="F159" s="10442" t="s">
        <v>230</v>
      </c>
      <c r="G159" s="10433" t="s">
        <v>171</v>
      </c>
      <c r="H159" s="10433" t="s">
        <v>133</v>
      </c>
      <c r="I159" s="10433" t="s">
        <v>5899</v>
      </c>
      <c r="J159" s="10433" t="s">
        <v>4338</v>
      </c>
      <c r="K159" s="10433" t="s">
        <v>5900</v>
      </c>
      <c r="L159" s="10470">
        <v>1</v>
      </c>
      <c r="M159" s="10470">
        <v>0</v>
      </c>
      <c r="N159" s="10470">
        <v>1</v>
      </c>
      <c r="O159" s="10433" t="s">
        <v>5901</v>
      </c>
      <c r="P159" s="10433" t="s">
        <v>5902</v>
      </c>
      <c r="Q159" s="10439" t="s">
        <v>5903</v>
      </c>
      <c r="R159" s="5449"/>
      <c r="S159" s="4336"/>
      <c r="T159" s="4336"/>
      <c r="U159" s="3597"/>
      <c r="V159" s="5502"/>
      <c r="W159" s="3598"/>
      <c r="X159" s="5556"/>
      <c r="Y159" s="5556"/>
      <c r="Z159" s="5556"/>
      <c r="AA159" s="5557"/>
      <c r="AB159" s="5584"/>
      <c r="AC159" s="4338"/>
      <c r="AD159" s="3709"/>
      <c r="AE159" s="5626"/>
      <c r="AF159" s="5626"/>
      <c r="AG159" s="10525" t="s">
        <v>5904</v>
      </c>
    </row>
    <row r="160" spans="1:33" ht="26.25" customHeight="1">
      <c r="A160" s="11139"/>
      <c r="B160" s="11136"/>
      <c r="C160" s="11124"/>
      <c r="D160" s="11124"/>
      <c r="E160" s="11124"/>
      <c r="F160" s="11124"/>
      <c r="G160" s="11124"/>
      <c r="H160" s="11124"/>
      <c r="I160" s="11124"/>
      <c r="J160" s="11124"/>
      <c r="K160" s="11124"/>
      <c r="L160" s="11131"/>
      <c r="M160" s="11131"/>
      <c r="N160" s="11131"/>
      <c r="O160" s="11124"/>
      <c r="P160" s="11124"/>
      <c r="Q160" s="11127"/>
      <c r="R160" s="5446"/>
      <c r="S160" s="3579"/>
      <c r="T160" s="3579"/>
      <c r="U160" s="3578"/>
      <c r="V160" s="5499"/>
      <c r="W160" s="3579"/>
      <c r="X160" s="5552"/>
      <c r="Y160" s="5552"/>
      <c r="Z160" s="5552"/>
      <c r="AA160" s="5553"/>
      <c r="AB160" s="5581"/>
      <c r="AC160" s="4316"/>
      <c r="AD160" s="3496"/>
      <c r="AE160" s="5610"/>
      <c r="AF160" s="5610"/>
      <c r="AG160" s="11115"/>
    </row>
    <row r="161" spans="1:33" ht="26.25" customHeight="1">
      <c r="A161" s="11139"/>
      <c r="B161" s="11136"/>
      <c r="C161" s="11124"/>
      <c r="D161" s="11124"/>
      <c r="E161" s="11124"/>
      <c r="F161" s="11124"/>
      <c r="G161" s="11124"/>
      <c r="H161" s="11124"/>
      <c r="I161" s="11124"/>
      <c r="J161" s="11124"/>
      <c r="K161" s="11124"/>
      <c r="L161" s="11131"/>
      <c r="M161" s="11131"/>
      <c r="N161" s="11131"/>
      <c r="O161" s="11124"/>
      <c r="P161" s="11124"/>
      <c r="Q161" s="11127"/>
      <c r="R161" s="5446"/>
      <c r="S161" s="3579"/>
      <c r="T161" s="3579"/>
      <c r="U161" s="3578"/>
      <c r="V161" s="5499"/>
      <c r="W161" s="3579"/>
      <c r="X161" s="5552"/>
      <c r="Y161" s="5552"/>
      <c r="Z161" s="5552"/>
      <c r="AA161" s="5553"/>
      <c r="AB161" s="5581"/>
      <c r="AC161" s="4316"/>
      <c r="AD161" s="3496"/>
      <c r="AE161" s="5610"/>
      <c r="AF161" s="5610"/>
      <c r="AG161" s="11115"/>
    </row>
    <row r="162" spans="1:33" ht="26.25" customHeight="1">
      <c r="A162" s="11139"/>
      <c r="B162" s="11136"/>
      <c r="C162" s="11124"/>
      <c r="D162" s="11124"/>
      <c r="E162" s="11124"/>
      <c r="F162" s="11124"/>
      <c r="G162" s="11124"/>
      <c r="H162" s="11124"/>
      <c r="I162" s="11124"/>
      <c r="J162" s="11124"/>
      <c r="K162" s="11124"/>
      <c r="L162" s="11131"/>
      <c r="M162" s="11131"/>
      <c r="N162" s="11131"/>
      <c r="O162" s="11124"/>
      <c r="P162" s="11124"/>
      <c r="Q162" s="11127"/>
      <c r="R162" s="5447"/>
      <c r="S162" s="4325"/>
      <c r="T162" s="4325"/>
      <c r="U162" s="3578"/>
      <c r="V162" s="5499"/>
      <c r="W162" s="3579"/>
      <c r="X162" s="5552"/>
      <c r="Y162" s="5552"/>
      <c r="Z162" s="5552"/>
      <c r="AA162" s="5553"/>
      <c r="AB162" s="5581"/>
      <c r="AC162" s="4316"/>
      <c r="AD162" s="3496"/>
      <c r="AE162" s="5610"/>
      <c r="AF162" s="5610"/>
      <c r="AG162" s="11115"/>
    </row>
    <row r="163" spans="1:33" ht="26.25" customHeight="1">
      <c r="A163" s="11139"/>
      <c r="B163" s="11138"/>
      <c r="C163" s="11126"/>
      <c r="D163" s="11126"/>
      <c r="E163" s="11126"/>
      <c r="F163" s="11126"/>
      <c r="G163" s="11126"/>
      <c r="H163" s="11126"/>
      <c r="I163" s="11126"/>
      <c r="J163" s="11126"/>
      <c r="K163" s="11126"/>
      <c r="L163" s="11132"/>
      <c r="M163" s="11132"/>
      <c r="N163" s="11132"/>
      <c r="O163" s="11126"/>
      <c r="P163" s="11126"/>
      <c r="Q163" s="11128"/>
      <c r="R163" s="5450"/>
      <c r="S163" s="3606"/>
      <c r="T163" s="3606"/>
      <c r="U163" s="3605"/>
      <c r="V163" s="5503"/>
      <c r="W163" s="3606"/>
      <c r="X163" s="5558"/>
      <c r="Y163" s="5558"/>
      <c r="Z163" s="5558"/>
      <c r="AA163" s="5559"/>
      <c r="AB163" s="5585"/>
      <c r="AC163" s="4318"/>
      <c r="AD163" s="3545"/>
      <c r="AE163" s="5625"/>
      <c r="AF163" s="5625"/>
      <c r="AG163" s="11116"/>
    </row>
    <row r="164" spans="1:33" ht="26.25" customHeight="1">
      <c r="A164" s="11139"/>
      <c r="B164" s="10512" t="s">
        <v>127</v>
      </c>
      <c r="C164" s="10444" t="s">
        <v>128</v>
      </c>
      <c r="D164" s="10444" t="s">
        <v>129</v>
      </c>
      <c r="E164" s="10444" t="s">
        <v>157</v>
      </c>
      <c r="F164" s="10451" t="s">
        <v>131</v>
      </c>
      <c r="G164" s="10444" t="s">
        <v>158</v>
      </c>
      <c r="H164" s="10444" t="s">
        <v>133</v>
      </c>
      <c r="I164" s="10444" t="s">
        <v>5905</v>
      </c>
      <c r="J164" s="10444" t="s">
        <v>4348</v>
      </c>
      <c r="K164" s="10444" t="s">
        <v>4349</v>
      </c>
      <c r="L164" s="10455">
        <v>0</v>
      </c>
      <c r="M164" s="10455">
        <v>0</v>
      </c>
      <c r="N164" s="10455">
        <v>3</v>
      </c>
      <c r="O164" s="10444" t="s">
        <v>5458</v>
      </c>
      <c r="P164" s="10444" t="s">
        <v>5906</v>
      </c>
      <c r="Q164" s="10449" t="s">
        <v>5907</v>
      </c>
      <c r="R164" s="5451"/>
      <c r="S164" s="3650"/>
      <c r="T164" s="3650"/>
      <c r="U164" s="3622"/>
      <c r="V164" s="5504"/>
      <c r="W164" s="3623"/>
      <c r="X164" s="5560"/>
      <c r="Y164" s="5560"/>
      <c r="Z164" s="5560"/>
      <c r="AA164" s="5561"/>
      <c r="AB164" s="5586"/>
      <c r="AC164" s="4314"/>
      <c r="AD164" s="3658"/>
      <c r="AE164" s="3749"/>
      <c r="AF164" s="3749"/>
      <c r="AG164" s="10464" t="s">
        <v>5908</v>
      </c>
    </row>
    <row r="165" spans="1:33" ht="26.25" customHeight="1">
      <c r="A165" s="11139"/>
      <c r="B165" s="11136"/>
      <c r="C165" s="11124"/>
      <c r="D165" s="11124"/>
      <c r="E165" s="11124"/>
      <c r="F165" s="11124"/>
      <c r="G165" s="11124"/>
      <c r="H165" s="11124"/>
      <c r="I165" s="11124"/>
      <c r="J165" s="11124"/>
      <c r="K165" s="11124"/>
      <c r="L165" s="11131"/>
      <c r="M165" s="11131"/>
      <c r="N165" s="11131"/>
      <c r="O165" s="11124"/>
      <c r="P165" s="11124"/>
      <c r="Q165" s="11127"/>
      <c r="R165" s="5446"/>
      <c r="S165" s="3579"/>
      <c r="T165" s="3579"/>
      <c r="U165" s="3578"/>
      <c r="V165" s="5499"/>
      <c r="W165" s="3579"/>
      <c r="X165" s="5552"/>
      <c r="Y165" s="5552"/>
      <c r="Z165" s="5552"/>
      <c r="AA165" s="5553"/>
      <c r="AB165" s="5581"/>
      <c r="AC165" s="4316"/>
      <c r="AD165" s="3496"/>
      <c r="AE165" s="3496"/>
      <c r="AF165" s="3690"/>
      <c r="AG165" s="11115"/>
    </row>
    <row r="166" spans="1:33" ht="26.25" customHeight="1">
      <c r="A166" s="11139"/>
      <c r="B166" s="11136"/>
      <c r="C166" s="11124"/>
      <c r="D166" s="11124"/>
      <c r="E166" s="11124"/>
      <c r="F166" s="11124"/>
      <c r="G166" s="11124"/>
      <c r="H166" s="11124"/>
      <c r="I166" s="11124"/>
      <c r="J166" s="11124"/>
      <c r="K166" s="11124"/>
      <c r="L166" s="11131"/>
      <c r="M166" s="11131"/>
      <c r="N166" s="11131"/>
      <c r="O166" s="11124"/>
      <c r="P166" s="11124"/>
      <c r="Q166" s="11127"/>
      <c r="R166" s="5446"/>
      <c r="S166" s="3579"/>
      <c r="T166" s="3579"/>
      <c r="U166" s="3578"/>
      <c r="V166" s="5499"/>
      <c r="W166" s="3579"/>
      <c r="X166" s="5552"/>
      <c r="Y166" s="5552"/>
      <c r="Z166" s="5552"/>
      <c r="AA166" s="5553"/>
      <c r="AB166" s="5581"/>
      <c r="AC166" s="4316"/>
      <c r="AD166" s="3496"/>
      <c r="AE166" s="3496"/>
      <c r="AF166" s="5610"/>
      <c r="AG166" s="11115"/>
    </row>
    <row r="167" spans="1:33" ht="26.25" customHeight="1">
      <c r="A167" s="11139"/>
      <c r="B167" s="11136"/>
      <c r="C167" s="11124"/>
      <c r="D167" s="11124"/>
      <c r="E167" s="11124"/>
      <c r="F167" s="11124"/>
      <c r="G167" s="11124"/>
      <c r="H167" s="11124"/>
      <c r="I167" s="11124"/>
      <c r="J167" s="11124"/>
      <c r="K167" s="11124"/>
      <c r="L167" s="11131"/>
      <c r="M167" s="11131"/>
      <c r="N167" s="11131"/>
      <c r="O167" s="11124"/>
      <c r="P167" s="11124"/>
      <c r="Q167" s="11127"/>
      <c r="R167" s="5446"/>
      <c r="S167" s="3579"/>
      <c r="T167" s="3579"/>
      <c r="U167" s="3578"/>
      <c r="V167" s="5499"/>
      <c r="W167" s="3579"/>
      <c r="X167" s="5552"/>
      <c r="Y167" s="5552"/>
      <c r="Z167" s="5552"/>
      <c r="AA167" s="5553"/>
      <c r="AB167" s="5581"/>
      <c r="AC167" s="4316"/>
      <c r="AD167" s="3496"/>
      <c r="AE167" s="3496"/>
      <c r="AF167" s="5610"/>
      <c r="AG167" s="11115"/>
    </row>
    <row r="168" spans="1:33" ht="26.25" customHeight="1">
      <c r="A168" s="11139"/>
      <c r="B168" s="11137"/>
      <c r="C168" s="11125"/>
      <c r="D168" s="11125"/>
      <c r="E168" s="11125"/>
      <c r="F168" s="11125"/>
      <c r="G168" s="11125"/>
      <c r="H168" s="11125"/>
      <c r="I168" s="11125"/>
      <c r="J168" s="11125"/>
      <c r="K168" s="11125"/>
      <c r="L168" s="11134"/>
      <c r="M168" s="11134"/>
      <c r="N168" s="11134"/>
      <c r="O168" s="11125"/>
      <c r="P168" s="11125"/>
      <c r="Q168" s="11135"/>
      <c r="R168" s="5448"/>
      <c r="S168" s="3617"/>
      <c r="T168" s="3617"/>
      <c r="U168" s="3616"/>
      <c r="V168" s="5509"/>
      <c r="W168" s="3617"/>
      <c r="X168" s="5554"/>
      <c r="Y168" s="5554"/>
      <c r="Z168" s="5554"/>
      <c r="AA168" s="5555"/>
      <c r="AB168" s="5592"/>
      <c r="AC168" s="4320"/>
      <c r="AD168" s="3714"/>
      <c r="AE168" s="3714"/>
      <c r="AF168" s="5624"/>
      <c r="AG168" s="11140"/>
    </row>
    <row r="169" spans="1:33" ht="26.25" customHeight="1">
      <c r="A169" s="11139"/>
      <c r="B169" s="10516" t="s">
        <v>183</v>
      </c>
      <c r="C169" s="10433" t="s">
        <v>227</v>
      </c>
      <c r="D169" s="10433" t="s">
        <v>228</v>
      </c>
      <c r="E169" s="10433" t="s">
        <v>229</v>
      </c>
      <c r="F169" s="10442" t="s">
        <v>230</v>
      </c>
      <c r="G169" s="10433" t="s">
        <v>171</v>
      </c>
      <c r="H169" s="10433" t="s">
        <v>159</v>
      </c>
      <c r="I169" s="10433" t="s">
        <v>5909</v>
      </c>
      <c r="J169" s="10433" t="s">
        <v>4355</v>
      </c>
      <c r="K169" s="10433" t="s">
        <v>5910</v>
      </c>
      <c r="L169" s="10470">
        <v>0</v>
      </c>
      <c r="M169" s="10470">
        <v>8</v>
      </c>
      <c r="N169" s="10470">
        <v>6</v>
      </c>
      <c r="O169" s="10433" t="s">
        <v>5911</v>
      </c>
      <c r="P169" s="10433" t="s">
        <v>5912</v>
      </c>
      <c r="Q169" s="10439" t="s">
        <v>5913</v>
      </c>
      <c r="R169" s="5449"/>
      <c r="S169" s="4336"/>
      <c r="T169" s="4336"/>
      <c r="U169" s="3597"/>
      <c r="V169" s="5502"/>
      <c r="W169" s="3598"/>
      <c r="X169" s="5556"/>
      <c r="Y169" s="5556"/>
      <c r="Z169" s="5556"/>
      <c r="AA169" s="5557"/>
      <c r="AB169" s="5584"/>
      <c r="AC169" s="4338"/>
      <c r="AD169" s="3709"/>
      <c r="AE169" s="5626"/>
      <c r="AF169" s="5626"/>
      <c r="AG169" s="10525" t="s">
        <v>5914</v>
      </c>
    </row>
    <row r="170" spans="1:33" ht="26.25" customHeight="1">
      <c r="A170" s="11139"/>
      <c r="B170" s="11136"/>
      <c r="C170" s="11124"/>
      <c r="D170" s="11124"/>
      <c r="E170" s="11124"/>
      <c r="F170" s="11124"/>
      <c r="G170" s="11124"/>
      <c r="H170" s="11124"/>
      <c r="I170" s="11124"/>
      <c r="J170" s="11124"/>
      <c r="K170" s="11124"/>
      <c r="L170" s="11131"/>
      <c r="M170" s="11131"/>
      <c r="N170" s="11131"/>
      <c r="O170" s="11124"/>
      <c r="P170" s="11124"/>
      <c r="Q170" s="11127"/>
      <c r="R170" s="5446"/>
      <c r="S170" s="3579"/>
      <c r="T170" s="3579"/>
      <c r="U170" s="3578"/>
      <c r="V170" s="5499"/>
      <c r="W170" s="3579"/>
      <c r="X170" s="5552"/>
      <c r="Y170" s="5552"/>
      <c r="Z170" s="5552"/>
      <c r="AA170" s="5553"/>
      <c r="AB170" s="5581"/>
      <c r="AC170" s="4316"/>
      <c r="AD170" s="3496"/>
      <c r="AE170" s="5610"/>
      <c r="AF170" s="5610"/>
      <c r="AG170" s="11115"/>
    </row>
    <row r="171" spans="1:33" ht="29.25" customHeight="1">
      <c r="A171" s="11139"/>
      <c r="B171" s="11136"/>
      <c r="C171" s="11124"/>
      <c r="D171" s="11124"/>
      <c r="E171" s="11124"/>
      <c r="F171" s="11124"/>
      <c r="G171" s="11124"/>
      <c r="H171" s="11124"/>
      <c r="I171" s="11124"/>
      <c r="J171" s="11124"/>
      <c r="K171" s="11124"/>
      <c r="L171" s="11131"/>
      <c r="M171" s="11131"/>
      <c r="N171" s="11131"/>
      <c r="O171" s="11124"/>
      <c r="P171" s="11124"/>
      <c r="Q171" s="11127"/>
      <c r="R171" s="5446"/>
      <c r="S171" s="3579"/>
      <c r="T171" s="3579"/>
      <c r="U171" s="3578"/>
      <c r="V171" s="5499"/>
      <c r="W171" s="3579"/>
      <c r="X171" s="5552"/>
      <c r="Y171" s="5552"/>
      <c r="Z171" s="5552"/>
      <c r="AA171" s="5553"/>
      <c r="AB171" s="5581"/>
      <c r="AC171" s="4316"/>
      <c r="AD171" s="3496"/>
      <c r="AE171" s="5610"/>
      <c r="AF171" s="5610"/>
      <c r="AG171" s="11115"/>
    </row>
    <row r="172" spans="1:33" ht="29.25" customHeight="1">
      <c r="A172" s="11139"/>
      <c r="B172" s="11136"/>
      <c r="C172" s="11124"/>
      <c r="D172" s="11124"/>
      <c r="E172" s="11124"/>
      <c r="F172" s="11124"/>
      <c r="G172" s="11124"/>
      <c r="H172" s="11124"/>
      <c r="I172" s="11124"/>
      <c r="J172" s="11124"/>
      <c r="K172" s="11124"/>
      <c r="L172" s="11131"/>
      <c r="M172" s="11131"/>
      <c r="N172" s="11131"/>
      <c r="O172" s="11124"/>
      <c r="P172" s="11124"/>
      <c r="Q172" s="11127"/>
      <c r="R172" s="5446"/>
      <c r="S172" s="3579"/>
      <c r="T172" s="3579"/>
      <c r="U172" s="3578"/>
      <c r="V172" s="5499"/>
      <c r="W172" s="3579"/>
      <c r="X172" s="5552"/>
      <c r="Y172" s="5552"/>
      <c r="Z172" s="5552"/>
      <c r="AA172" s="5553"/>
      <c r="AB172" s="5581"/>
      <c r="AC172" s="4316"/>
      <c r="AD172" s="3496"/>
      <c r="AE172" s="5610"/>
      <c r="AF172" s="5610"/>
      <c r="AG172" s="11115"/>
    </row>
    <row r="173" spans="1:33" ht="29.25" customHeight="1">
      <c r="A173" s="11139"/>
      <c r="B173" s="11138"/>
      <c r="C173" s="11126"/>
      <c r="D173" s="11126"/>
      <c r="E173" s="11126"/>
      <c r="F173" s="11126"/>
      <c r="G173" s="11126"/>
      <c r="H173" s="11126"/>
      <c r="I173" s="11126"/>
      <c r="J173" s="11126"/>
      <c r="K173" s="11126"/>
      <c r="L173" s="11132"/>
      <c r="M173" s="11132"/>
      <c r="N173" s="11132"/>
      <c r="O173" s="11126"/>
      <c r="P173" s="11126"/>
      <c r="Q173" s="11128"/>
      <c r="R173" s="5450"/>
      <c r="S173" s="3606"/>
      <c r="T173" s="3606"/>
      <c r="U173" s="3605"/>
      <c r="V173" s="5503"/>
      <c r="W173" s="3606"/>
      <c r="X173" s="5558"/>
      <c r="Y173" s="5558"/>
      <c r="Z173" s="5558"/>
      <c r="AA173" s="5559"/>
      <c r="AB173" s="5585"/>
      <c r="AC173" s="4318"/>
      <c r="AD173" s="3545"/>
      <c r="AE173" s="5625"/>
      <c r="AF173" s="5625"/>
      <c r="AG173" s="11116"/>
    </row>
    <row r="174" spans="1:33" ht="29.25" customHeight="1">
      <c r="A174" s="11139"/>
      <c r="B174" s="10512" t="s">
        <v>183</v>
      </c>
      <c r="C174" s="10444" t="s">
        <v>1291</v>
      </c>
      <c r="D174" s="10444" t="s">
        <v>228</v>
      </c>
      <c r="E174" s="10444" t="s">
        <v>229</v>
      </c>
      <c r="F174" s="10451" t="s">
        <v>230</v>
      </c>
      <c r="G174" s="10444" t="s">
        <v>132</v>
      </c>
      <c r="H174" s="10444" t="s">
        <v>159</v>
      </c>
      <c r="I174" s="10444" t="s">
        <v>5915</v>
      </c>
      <c r="J174" s="10444" t="s">
        <v>4362</v>
      </c>
      <c r="K174" s="10444" t="s">
        <v>5916</v>
      </c>
      <c r="L174" s="10455">
        <v>1</v>
      </c>
      <c r="M174" s="10455">
        <v>0</v>
      </c>
      <c r="N174" s="10455">
        <v>1</v>
      </c>
      <c r="O174" s="10444" t="s">
        <v>5917</v>
      </c>
      <c r="P174" s="10444" t="s">
        <v>5918</v>
      </c>
      <c r="Q174" s="10449" t="s">
        <v>5919</v>
      </c>
      <c r="R174" s="5451"/>
      <c r="S174" s="3650"/>
      <c r="T174" s="3650"/>
      <c r="U174" s="3622"/>
      <c r="V174" s="5504"/>
      <c r="W174" s="3623"/>
      <c r="X174" s="5560"/>
      <c r="Y174" s="5560"/>
      <c r="Z174" s="5560"/>
      <c r="AA174" s="5561"/>
      <c r="AB174" s="5586"/>
      <c r="AC174" s="4314"/>
      <c r="AD174" s="3658"/>
      <c r="AE174" s="5623"/>
      <c r="AF174" s="5623"/>
      <c r="AG174" s="10464" t="s">
        <v>5920</v>
      </c>
    </row>
    <row r="175" spans="1:33" ht="29.25" customHeight="1">
      <c r="A175" s="11139"/>
      <c r="B175" s="11136"/>
      <c r="C175" s="11124"/>
      <c r="D175" s="11124"/>
      <c r="E175" s="11124"/>
      <c r="F175" s="11124"/>
      <c r="G175" s="11124"/>
      <c r="H175" s="11124"/>
      <c r="I175" s="11124"/>
      <c r="J175" s="11124"/>
      <c r="K175" s="11124"/>
      <c r="L175" s="11131"/>
      <c r="M175" s="11131"/>
      <c r="N175" s="11131"/>
      <c r="O175" s="11124"/>
      <c r="P175" s="11124"/>
      <c r="Q175" s="11127"/>
      <c r="R175" s="5446"/>
      <c r="S175" s="3579"/>
      <c r="T175" s="3579"/>
      <c r="U175" s="3578"/>
      <c r="V175" s="5499"/>
      <c r="W175" s="3579"/>
      <c r="X175" s="5552"/>
      <c r="Y175" s="5552"/>
      <c r="Z175" s="5552"/>
      <c r="AA175" s="5553"/>
      <c r="AB175" s="5581"/>
      <c r="AC175" s="4316"/>
      <c r="AD175" s="3496"/>
      <c r="AE175" s="5610"/>
      <c r="AF175" s="5610"/>
      <c r="AG175" s="11115"/>
    </row>
    <row r="176" spans="1:33" ht="29.25" customHeight="1">
      <c r="A176" s="11139"/>
      <c r="B176" s="11136"/>
      <c r="C176" s="11124"/>
      <c r="D176" s="11124"/>
      <c r="E176" s="11124"/>
      <c r="F176" s="11124"/>
      <c r="G176" s="11124"/>
      <c r="H176" s="11124"/>
      <c r="I176" s="11124"/>
      <c r="J176" s="11124"/>
      <c r="K176" s="11124"/>
      <c r="L176" s="11131"/>
      <c r="M176" s="11131"/>
      <c r="N176" s="11131"/>
      <c r="O176" s="11124"/>
      <c r="P176" s="11124"/>
      <c r="Q176" s="11127"/>
      <c r="R176" s="5446"/>
      <c r="S176" s="3579"/>
      <c r="T176" s="3579"/>
      <c r="U176" s="3578"/>
      <c r="V176" s="5499"/>
      <c r="W176" s="3579"/>
      <c r="X176" s="5552"/>
      <c r="Y176" s="5552"/>
      <c r="Z176" s="5552"/>
      <c r="AA176" s="5553"/>
      <c r="AB176" s="5581"/>
      <c r="AC176" s="4316"/>
      <c r="AD176" s="3496"/>
      <c r="AE176" s="5610"/>
      <c r="AF176" s="5610"/>
      <c r="AG176" s="11115"/>
    </row>
    <row r="177" spans="1:33" ht="29.25" customHeight="1">
      <c r="A177" s="11139"/>
      <c r="B177" s="11136"/>
      <c r="C177" s="11124"/>
      <c r="D177" s="11124"/>
      <c r="E177" s="11124"/>
      <c r="F177" s="11124"/>
      <c r="G177" s="11124"/>
      <c r="H177" s="11124"/>
      <c r="I177" s="11124"/>
      <c r="J177" s="11124"/>
      <c r="K177" s="11124"/>
      <c r="L177" s="11131"/>
      <c r="M177" s="11131"/>
      <c r="N177" s="11131"/>
      <c r="O177" s="11124"/>
      <c r="P177" s="11124"/>
      <c r="Q177" s="11127"/>
      <c r="R177" s="5447"/>
      <c r="S177" s="4325"/>
      <c r="T177" s="4325"/>
      <c r="U177" s="3578"/>
      <c r="V177" s="5499"/>
      <c r="W177" s="3579"/>
      <c r="X177" s="5552"/>
      <c r="Y177" s="5552"/>
      <c r="Z177" s="5552"/>
      <c r="AA177" s="5553"/>
      <c r="AB177" s="5581"/>
      <c r="AC177" s="4316"/>
      <c r="AD177" s="3496"/>
      <c r="AE177" s="5610"/>
      <c r="AF177" s="5610"/>
      <c r="AG177" s="11115"/>
    </row>
    <row r="178" spans="1:33" ht="29.25" customHeight="1">
      <c r="A178" s="11139"/>
      <c r="B178" s="11137"/>
      <c r="C178" s="11125"/>
      <c r="D178" s="11125"/>
      <c r="E178" s="11125"/>
      <c r="F178" s="11125"/>
      <c r="G178" s="11125"/>
      <c r="H178" s="11125"/>
      <c r="I178" s="11125"/>
      <c r="J178" s="11125"/>
      <c r="K178" s="11125"/>
      <c r="L178" s="11134"/>
      <c r="M178" s="11134"/>
      <c r="N178" s="11134"/>
      <c r="O178" s="11125"/>
      <c r="P178" s="11125"/>
      <c r="Q178" s="11135"/>
      <c r="R178" s="5448"/>
      <c r="S178" s="3617"/>
      <c r="T178" s="3617"/>
      <c r="U178" s="3616"/>
      <c r="V178" s="5509"/>
      <c r="W178" s="3617"/>
      <c r="X178" s="5554"/>
      <c r="Y178" s="5554"/>
      <c r="Z178" s="5554"/>
      <c r="AA178" s="5555"/>
      <c r="AB178" s="5592"/>
      <c r="AC178" s="4320"/>
      <c r="AD178" s="3714"/>
      <c r="AE178" s="5624"/>
      <c r="AF178" s="5624"/>
      <c r="AG178" s="11140"/>
    </row>
    <row r="179" spans="1:33" ht="29.25" customHeight="1">
      <c r="A179" s="11139"/>
      <c r="B179" s="10516" t="s">
        <v>183</v>
      </c>
      <c r="C179" s="10433" t="s">
        <v>227</v>
      </c>
      <c r="D179" s="10433" t="s">
        <v>228</v>
      </c>
      <c r="E179" s="10433" t="s">
        <v>2272</v>
      </c>
      <c r="F179" s="10442" t="s">
        <v>230</v>
      </c>
      <c r="G179" s="10433" t="s">
        <v>158</v>
      </c>
      <c r="H179" s="10433" t="s">
        <v>133</v>
      </c>
      <c r="I179" s="10433" t="s">
        <v>5921</v>
      </c>
      <c r="J179" s="10433" t="s">
        <v>4368</v>
      </c>
      <c r="K179" s="10433" t="s">
        <v>5922</v>
      </c>
      <c r="L179" s="10470">
        <v>0</v>
      </c>
      <c r="M179" s="10470">
        <v>1</v>
      </c>
      <c r="N179" s="10470">
        <v>1</v>
      </c>
      <c r="O179" s="10433" t="s">
        <v>5923</v>
      </c>
      <c r="P179" s="10433" t="s">
        <v>5924</v>
      </c>
      <c r="Q179" s="10439" t="s">
        <v>5925</v>
      </c>
      <c r="R179" s="5449"/>
      <c r="S179" s="4336"/>
      <c r="T179" s="4336"/>
      <c r="U179" s="3597"/>
      <c r="V179" s="5502"/>
      <c r="W179" s="3598"/>
      <c r="X179" s="5556"/>
      <c r="Y179" s="5556"/>
      <c r="Z179" s="5556"/>
      <c r="AA179" s="5557"/>
      <c r="AB179" s="5584"/>
      <c r="AC179" s="4338"/>
      <c r="AD179" s="3709"/>
      <c r="AE179" s="3746"/>
      <c r="AF179" s="3746"/>
      <c r="AG179" s="10525"/>
    </row>
    <row r="180" spans="1:33" ht="28.5" customHeight="1">
      <c r="A180" s="11139"/>
      <c r="B180" s="11136"/>
      <c r="C180" s="11124"/>
      <c r="D180" s="11124"/>
      <c r="E180" s="11124"/>
      <c r="F180" s="11124"/>
      <c r="G180" s="11124"/>
      <c r="H180" s="11124"/>
      <c r="I180" s="11124"/>
      <c r="J180" s="11124"/>
      <c r="K180" s="11124"/>
      <c r="L180" s="11131"/>
      <c r="M180" s="11131"/>
      <c r="N180" s="11131"/>
      <c r="O180" s="11124"/>
      <c r="P180" s="11124"/>
      <c r="Q180" s="11127"/>
      <c r="R180" s="5446"/>
      <c r="S180" s="3579"/>
      <c r="T180" s="3579"/>
      <c r="U180" s="3578"/>
      <c r="V180" s="5499"/>
      <c r="W180" s="3579"/>
      <c r="X180" s="5552"/>
      <c r="Y180" s="5552"/>
      <c r="Z180" s="5552"/>
      <c r="AA180" s="5553"/>
      <c r="AB180" s="5581"/>
      <c r="AC180" s="4316"/>
      <c r="AD180" s="3496"/>
      <c r="AE180" s="3496"/>
      <c r="AF180" s="3690"/>
      <c r="AG180" s="11115"/>
    </row>
    <row r="181" spans="1:33" ht="28.5" customHeight="1">
      <c r="A181" s="11139"/>
      <c r="B181" s="11136"/>
      <c r="C181" s="11124"/>
      <c r="D181" s="11124"/>
      <c r="E181" s="11124"/>
      <c r="F181" s="11124"/>
      <c r="G181" s="11124"/>
      <c r="H181" s="11124"/>
      <c r="I181" s="11124"/>
      <c r="J181" s="11124"/>
      <c r="K181" s="11124"/>
      <c r="L181" s="11131"/>
      <c r="M181" s="11131"/>
      <c r="N181" s="11131"/>
      <c r="O181" s="11124"/>
      <c r="P181" s="11124"/>
      <c r="Q181" s="11127"/>
      <c r="R181" s="5446"/>
      <c r="S181" s="3579"/>
      <c r="T181" s="3579"/>
      <c r="U181" s="3578"/>
      <c r="V181" s="5499"/>
      <c r="W181" s="3579"/>
      <c r="X181" s="5552"/>
      <c r="Y181" s="5552"/>
      <c r="Z181" s="5552"/>
      <c r="AA181" s="5553"/>
      <c r="AB181" s="5581"/>
      <c r="AC181" s="4316"/>
      <c r="AD181" s="3496"/>
      <c r="AE181" s="3496"/>
      <c r="AF181" s="5610"/>
      <c r="AG181" s="11115"/>
    </row>
    <row r="182" spans="1:33" ht="28.5" customHeight="1">
      <c r="A182" s="11139"/>
      <c r="B182" s="11136"/>
      <c r="C182" s="11124"/>
      <c r="D182" s="11124"/>
      <c r="E182" s="11124"/>
      <c r="F182" s="11124"/>
      <c r="G182" s="11124"/>
      <c r="H182" s="11124"/>
      <c r="I182" s="11124"/>
      <c r="J182" s="11124"/>
      <c r="K182" s="11124"/>
      <c r="L182" s="11131"/>
      <c r="M182" s="11131"/>
      <c r="N182" s="11131"/>
      <c r="O182" s="11124"/>
      <c r="P182" s="11124"/>
      <c r="Q182" s="11127"/>
      <c r="R182" s="5446"/>
      <c r="S182" s="3579"/>
      <c r="T182" s="3579"/>
      <c r="U182" s="3578"/>
      <c r="V182" s="5499"/>
      <c r="W182" s="3579"/>
      <c r="X182" s="5552"/>
      <c r="Y182" s="5552"/>
      <c r="Z182" s="5552"/>
      <c r="AA182" s="5553"/>
      <c r="AB182" s="5581"/>
      <c r="AC182" s="4316"/>
      <c r="AD182" s="3496"/>
      <c r="AE182" s="3496"/>
      <c r="AF182" s="5610"/>
      <c r="AG182" s="11115"/>
    </row>
    <row r="183" spans="1:33" ht="28.5" customHeight="1">
      <c r="A183" s="11139"/>
      <c r="B183" s="11138"/>
      <c r="C183" s="11126"/>
      <c r="D183" s="11126"/>
      <c r="E183" s="11126"/>
      <c r="F183" s="11126"/>
      <c r="G183" s="11126"/>
      <c r="H183" s="11126"/>
      <c r="I183" s="11126"/>
      <c r="J183" s="11126"/>
      <c r="K183" s="11126"/>
      <c r="L183" s="11132"/>
      <c r="M183" s="11132"/>
      <c r="N183" s="11132"/>
      <c r="O183" s="11126"/>
      <c r="P183" s="11126"/>
      <c r="Q183" s="11128"/>
      <c r="R183" s="5450"/>
      <c r="S183" s="3606"/>
      <c r="T183" s="3606"/>
      <c r="U183" s="3605"/>
      <c r="V183" s="5503"/>
      <c r="W183" s="3606"/>
      <c r="X183" s="5558"/>
      <c r="Y183" s="5558"/>
      <c r="Z183" s="5558"/>
      <c r="AA183" s="5559"/>
      <c r="AB183" s="5585"/>
      <c r="AC183" s="4318"/>
      <c r="AD183" s="3545"/>
      <c r="AE183" s="3545"/>
      <c r="AF183" s="5625"/>
      <c r="AG183" s="11116"/>
    </row>
    <row r="184" spans="1:33" ht="28.5" customHeight="1">
      <c r="A184" s="11139"/>
      <c r="B184" s="10512" t="s">
        <v>127</v>
      </c>
      <c r="C184" s="10444" t="s">
        <v>128</v>
      </c>
      <c r="D184" s="10444" t="s">
        <v>140</v>
      </c>
      <c r="E184" s="10444" t="s">
        <v>212</v>
      </c>
      <c r="F184" s="10451" t="s">
        <v>131</v>
      </c>
      <c r="G184" s="10444" t="s">
        <v>132</v>
      </c>
      <c r="H184" s="10444" t="s">
        <v>159</v>
      </c>
      <c r="I184" s="10444" t="s">
        <v>5926</v>
      </c>
      <c r="J184" s="10448" t="s">
        <v>5927</v>
      </c>
      <c r="K184" s="10448" t="s">
        <v>5928</v>
      </c>
      <c r="L184" s="11182">
        <v>1</v>
      </c>
      <c r="M184" s="11182">
        <v>0</v>
      </c>
      <c r="N184" s="11182">
        <v>1</v>
      </c>
      <c r="O184" s="10448" t="s">
        <v>5929</v>
      </c>
      <c r="P184" s="10448" t="s">
        <v>5930</v>
      </c>
      <c r="Q184" s="10449" t="s">
        <v>5931</v>
      </c>
      <c r="R184" s="5451"/>
      <c r="S184" s="3650"/>
      <c r="T184" s="3650"/>
      <c r="U184" s="3622"/>
      <c r="V184" s="5504"/>
      <c r="W184" s="3623"/>
      <c r="X184" s="5560"/>
      <c r="Y184" s="5560"/>
      <c r="Z184" s="5560"/>
      <c r="AA184" s="5561"/>
      <c r="AB184" s="5586"/>
      <c r="AC184" s="4314"/>
      <c r="AD184" s="3658"/>
      <c r="AE184" s="5623"/>
      <c r="AF184" s="5623"/>
      <c r="AG184" s="10464" t="s">
        <v>5932</v>
      </c>
    </row>
    <row r="185" spans="1:33" ht="28.5" customHeight="1">
      <c r="A185" s="11139"/>
      <c r="B185" s="11136"/>
      <c r="C185" s="11124"/>
      <c r="D185" s="11124"/>
      <c r="E185" s="11124"/>
      <c r="F185" s="11124"/>
      <c r="G185" s="11124"/>
      <c r="H185" s="11124"/>
      <c r="I185" s="11124"/>
      <c r="J185" s="11124"/>
      <c r="K185" s="11124"/>
      <c r="L185" s="11131"/>
      <c r="M185" s="11131"/>
      <c r="N185" s="11131"/>
      <c r="O185" s="11124"/>
      <c r="P185" s="11124"/>
      <c r="Q185" s="11127"/>
      <c r="R185" s="5446"/>
      <c r="S185" s="3579"/>
      <c r="T185" s="3579"/>
      <c r="U185" s="3578"/>
      <c r="V185" s="5499"/>
      <c r="W185" s="3579"/>
      <c r="X185" s="5552"/>
      <c r="Y185" s="5552"/>
      <c r="Z185" s="5552"/>
      <c r="AA185" s="5553"/>
      <c r="AB185" s="5581"/>
      <c r="AC185" s="4316"/>
      <c r="AD185" s="3496"/>
      <c r="AE185" s="5610"/>
      <c r="AF185" s="5610"/>
      <c r="AG185" s="11115"/>
    </row>
    <row r="186" spans="1:33" ht="28.5" customHeight="1">
      <c r="A186" s="11139"/>
      <c r="B186" s="11136"/>
      <c r="C186" s="11124"/>
      <c r="D186" s="11124"/>
      <c r="E186" s="11124"/>
      <c r="F186" s="11124"/>
      <c r="G186" s="11124"/>
      <c r="H186" s="11124"/>
      <c r="I186" s="11124"/>
      <c r="J186" s="11124"/>
      <c r="K186" s="11124"/>
      <c r="L186" s="11131"/>
      <c r="M186" s="11131"/>
      <c r="N186" s="11131"/>
      <c r="O186" s="11124"/>
      <c r="P186" s="11124"/>
      <c r="Q186" s="11127"/>
      <c r="R186" s="5446"/>
      <c r="S186" s="3579"/>
      <c r="T186" s="3579"/>
      <c r="U186" s="3578"/>
      <c r="V186" s="5499"/>
      <c r="W186" s="3579"/>
      <c r="X186" s="5552"/>
      <c r="Y186" s="5552"/>
      <c r="Z186" s="5552"/>
      <c r="AA186" s="5553"/>
      <c r="AB186" s="5581"/>
      <c r="AC186" s="4316"/>
      <c r="AD186" s="3496"/>
      <c r="AE186" s="5610"/>
      <c r="AF186" s="5610"/>
      <c r="AG186" s="11115"/>
    </row>
    <row r="187" spans="1:33" ht="28.5" customHeight="1">
      <c r="A187" s="11139"/>
      <c r="B187" s="11136"/>
      <c r="C187" s="11124"/>
      <c r="D187" s="11124"/>
      <c r="E187" s="11124"/>
      <c r="F187" s="11124"/>
      <c r="G187" s="11124"/>
      <c r="H187" s="11124"/>
      <c r="I187" s="11124"/>
      <c r="J187" s="11124"/>
      <c r="K187" s="11124"/>
      <c r="L187" s="11131"/>
      <c r="M187" s="11131"/>
      <c r="N187" s="11131"/>
      <c r="O187" s="11124"/>
      <c r="P187" s="11124"/>
      <c r="Q187" s="11127"/>
      <c r="R187" s="5446"/>
      <c r="S187" s="3579"/>
      <c r="T187" s="3579"/>
      <c r="U187" s="3578"/>
      <c r="V187" s="5499"/>
      <c r="W187" s="3579"/>
      <c r="X187" s="5552"/>
      <c r="Y187" s="5552"/>
      <c r="Z187" s="5552"/>
      <c r="AA187" s="5553"/>
      <c r="AB187" s="5581"/>
      <c r="AC187" s="4316"/>
      <c r="AD187" s="3496"/>
      <c r="AE187" s="5610"/>
      <c r="AF187" s="5610"/>
      <c r="AG187" s="11115"/>
    </row>
    <row r="188" spans="1:33" ht="28.5" customHeight="1">
      <c r="A188" s="11139"/>
      <c r="B188" s="11137"/>
      <c r="C188" s="11125"/>
      <c r="D188" s="11125"/>
      <c r="E188" s="11125"/>
      <c r="F188" s="11125"/>
      <c r="G188" s="11125"/>
      <c r="H188" s="11125"/>
      <c r="I188" s="11125"/>
      <c r="J188" s="11125"/>
      <c r="K188" s="11125"/>
      <c r="L188" s="11134"/>
      <c r="M188" s="11134"/>
      <c r="N188" s="11134"/>
      <c r="O188" s="11125"/>
      <c r="P188" s="11125"/>
      <c r="Q188" s="11135"/>
      <c r="R188" s="5448"/>
      <c r="S188" s="3617"/>
      <c r="T188" s="3617"/>
      <c r="U188" s="3616"/>
      <c r="V188" s="5509"/>
      <c r="W188" s="3617"/>
      <c r="X188" s="5554"/>
      <c r="Y188" s="5554"/>
      <c r="Z188" s="5554"/>
      <c r="AA188" s="5555"/>
      <c r="AB188" s="5592"/>
      <c r="AC188" s="4320"/>
      <c r="AD188" s="3714"/>
      <c r="AE188" s="5624"/>
      <c r="AF188" s="5624"/>
      <c r="AG188" s="11140"/>
    </row>
    <row r="189" spans="1:33" ht="28.5" customHeight="1">
      <c r="A189" s="11139"/>
      <c r="B189" s="10516" t="s">
        <v>127</v>
      </c>
      <c r="C189" s="10433" t="s">
        <v>128</v>
      </c>
      <c r="D189" s="10433" t="s">
        <v>140</v>
      </c>
      <c r="E189" s="10433" t="s">
        <v>1691</v>
      </c>
      <c r="F189" s="10442" t="s">
        <v>131</v>
      </c>
      <c r="G189" s="10433" t="s">
        <v>132</v>
      </c>
      <c r="H189" s="10433" t="s">
        <v>133</v>
      </c>
      <c r="I189" s="10433" t="s">
        <v>5933</v>
      </c>
      <c r="J189" s="10443" t="s">
        <v>4476</v>
      </c>
      <c r="K189" s="10443" t="s">
        <v>4873</v>
      </c>
      <c r="L189" s="11149">
        <v>8</v>
      </c>
      <c r="M189" s="11149">
        <v>6</v>
      </c>
      <c r="N189" s="11149">
        <v>10</v>
      </c>
      <c r="O189" s="10443" t="s">
        <v>5480</v>
      </c>
      <c r="P189" s="10443" t="s">
        <v>5481</v>
      </c>
      <c r="Q189" s="10439" t="s">
        <v>5934</v>
      </c>
      <c r="R189" s="5452"/>
      <c r="S189" s="3598"/>
      <c r="T189" s="3598"/>
      <c r="U189" s="4344"/>
      <c r="V189" s="5502"/>
      <c r="W189" s="3598"/>
      <c r="X189" s="5556"/>
      <c r="Y189" s="5556"/>
      <c r="Z189" s="5556"/>
      <c r="AA189" s="5557"/>
      <c r="AB189" s="5584"/>
      <c r="AC189" s="4338"/>
      <c r="AD189" s="3709"/>
      <c r="AE189" s="5626"/>
      <c r="AF189" s="5626"/>
      <c r="AG189" s="10525" t="s">
        <v>5935</v>
      </c>
    </row>
    <row r="190" spans="1:33" ht="28.5" customHeight="1">
      <c r="A190" s="11139"/>
      <c r="B190" s="11136"/>
      <c r="C190" s="11124"/>
      <c r="D190" s="11124"/>
      <c r="E190" s="11124"/>
      <c r="F190" s="11124"/>
      <c r="G190" s="11124"/>
      <c r="H190" s="11124"/>
      <c r="I190" s="11124"/>
      <c r="J190" s="11124"/>
      <c r="K190" s="11124"/>
      <c r="L190" s="11131"/>
      <c r="M190" s="11131"/>
      <c r="N190" s="11131"/>
      <c r="O190" s="11124"/>
      <c r="P190" s="11124"/>
      <c r="Q190" s="11127"/>
      <c r="R190" s="5453"/>
      <c r="S190" s="3578"/>
      <c r="T190" s="3578"/>
      <c r="U190" s="3578"/>
      <c r="V190" s="5499"/>
      <c r="W190" s="3578"/>
      <c r="X190" s="5562"/>
      <c r="Y190" s="5552"/>
      <c r="Z190" s="5552"/>
      <c r="AA190" s="5562"/>
      <c r="AB190" s="5589"/>
      <c r="AC190" s="4332"/>
      <c r="AD190" s="5627"/>
      <c r="AE190" s="5627"/>
      <c r="AF190" s="5627"/>
      <c r="AG190" s="11115"/>
    </row>
    <row r="191" spans="1:33" ht="28.5" customHeight="1">
      <c r="A191" s="11139"/>
      <c r="B191" s="11136"/>
      <c r="C191" s="11124"/>
      <c r="D191" s="11124"/>
      <c r="E191" s="11124"/>
      <c r="F191" s="11124"/>
      <c r="G191" s="11124"/>
      <c r="H191" s="11124"/>
      <c r="I191" s="11124"/>
      <c r="J191" s="11124"/>
      <c r="K191" s="11124"/>
      <c r="L191" s="11131"/>
      <c r="M191" s="11131"/>
      <c r="N191" s="11131"/>
      <c r="O191" s="11124"/>
      <c r="P191" s="11124"/>
      <c r="Q191" s="11127"/>
      <c r="R191" s="5453"/>
      <c r="S191" s="3578"/>
      <c r="T191" s="3578"/>
      <c r="U191" s="3578"/>
      <c r="V191" s="5499"/>
      <c r="W191" s="3578"/>
      <c r="X191" s="5562"/>
      <c r="Y191" s="5552"/>
      <c r="Z191" s="5552"/>
      <c r="AA191" s="5562"/>
      <c r="AB191" s="5589"/>
      <c r="AC191" s="4332"/>
      <c r="AD191" s="5627"/>
      <c r="AE191" s="5627"/>
      <c r="AF191" s="5627"/>
      <c r="AG191" s="11115"/>
    </row>
    <row r="192" spans="1:33" ht="28.5" customHeight="1">
      <c r="A192" s="11139"/>
      <c r="B192" s="11136"/>
      <c r="C192" s="11124"/>
      <c r="D192" s="11124"/>
      <c r="E192" s="11124"/>
      <c r="F192" s="11124"/>
      <c r="G192" s="11124"/>
      <c r="H192" s="11124"/>
      <c r="I192" s="11124"/>
      <c r="J192" s="11124"/>
      <c r="K192" s="11124"/>
      <c r="L192" s="11131"/>
      <c r="M192" s="11131"/>
      <c r="N192" s="11131"/>
      <c r="O192" s="11124"/>
      <c r="P192" s="11124"/>
      <c r="Q192" s="11127"/>
      <c r="R192" s="5453"/>
      <c r="S192" s="3578"/>
      <c r="T192" s="3578"/>
      <c r="U192" s="3578"/>
      <c r="V192" s="5499"/>
      <c r="W192" s="3578"/>
      <c r="X192" s="5562"/>
      <c r="Y192" s="5552"/>
      <c r="Z192" s="5552"/>
      <c r="AA192" s="5562"/>
      <c r="AB192" s="5589"/>
      <c r="AC192" s="4332"/>
      <c r="AD192" s="5627"/>
      <c r="AE192" s="5627"/>
      <c r="AF192" s="5627"/>
      <c r="AG192" s="11115"/>
    </row>
    <row r="193" spans="1:33" ht="28.5" customHeight="1">
      <c r="A193" s="11139"/>
      <c r="B193" s="11137"/>
      <c r="C193" s="11125"/>
      <c r="D193" s="11125"/>
      <c r="E193" s="11125"/>
      <c r="F193" s="11125"/>
      <c r="G193" s="11125"/>
      <c r="H193" s="11125"/>
      <c r="I193" s="11125"/>
      <c r="J193" s="11125"/>
      <c r="K193" s="11125"/>
      <c r="L193" s="11134"/>
      <c r="M193" s="11134"/>
      <c r="N193" s="11134"/>
      <c r="O193" s="11125"/>
      <c r="P193" s="11125"/>
      <c r="Q193" s="11135"/>
      <c r="R193" s="5454"/>
      <c r="S193" s="3616"/>
      <c r="T193" s="3616"/>
      <c r="U193" s="3616"/>
      <c r="V193" s="5509"/>
      <c r="W193" s="3616"/>
      <c r="X193" s="5563"/>
      <c r="Y193" s="5554"/>
      <c r="Z193" s="5554"/>
      <c r="AA193" s="5563"/>
      <c r="AB193" s="5596"/>
      <c r="AC193" s="4348"/>
      <c r="AD193" s="5628"/>
      <c r="AE193" s="5628"/>
      <c r="AF193" s="5628"/>
      <c r="AG193" s="11140"/>
    </row>
    <row r="194" spans="1:33" ht="28.5" customHeight="1">
      <c r="A194" s="11139"/>
      <c r="B194" s="10516" t="s">
        <v>127</v>
      </c>
      <c r="C194" s="10433" t="s">
        <v>128</v>
      </c>
      <c r="D194" s="10433" t="s">
        <v>129</v>
      </c>
      <c r="E194" s="10433" t="s">
        <v>157</v>
      </c>
      <c r="F194" s="10442" t="s">
        <v>131</v>
      </c>
      <c r="G194" s="10433" t="s">
        <v>132</v>
      </c>
      <c r="H194" s="10433" t="s">
        <v>159</v>
      </c>
      <c r="I194" s="10433" t="s">
        <v>5936</v>
      </c>
      <c r="J194" s="10443" t="s">
        <v>286</v>
      </c>
      <c r="K194" s="10443" t="s">
        <v>5852</v>
      </c>
      <c r="L194" s="11149">
        <v>0</v>
      </c>
      <c r="M194" s="11149">
        <v>1</v>
      </c>
      <c r="N194" s="11149">
        <v>1</v>
      </c>
      <c r="O194" s="10443" t="s">
        <v>5937</v>
      </c>
      <c r="P194" s="10443" t="s">
        <v>5938</v>
      </c>
      <c r="Q194" s="10439" t="s">
        <v>5939</v>
      </c>
      <c r="R194" s="5455"/>
      <c r="S194" s="4344"/>
      <c r="T194" s="4344"/>
      <c r="U194" s="4344"/>
      <c r="V194" s="5502"/>
      <c r="W194" s="4344"/>
      <c r="X194" s="5564"/>
      <c r="Y194" s="5556"/>
      <c r="Z194" s="5556"/>
      <c r="AA194" s="5564"/>
      <c r="AB194" s="5597"/>
      <c r="AC194" s="4347"/>
      <c r="AD194" s="5629"/>
      <c r="AE194" s="5629"/>
      <c r="AF194" s="5629"/>
      <c r="AG194" s="10525"/>
    </row>
    <row r="195" spans="1:33" ht="28.5" customHeight="1">
      <c r="A195" s="11139"/>
      <c r="B195" s="11136"/>
      <c r="C195" s="11124"/>
      <c r="D195" s="11124"/>
      <c r="E195" s="11124"/>
      <c r="F195" s="11124"/>
      <c r="G195" s="11124"/>
      <c r="H195" s="11124"/>
      <c r="I195" s="11124"/>
      <c r="J195" s="11124"/>
      <c r="K195" s="11124"/>
      <c r="L195" s="11131"/>
      <c r="M195" s="11131"/>
      <c r="N195" s="11131"/>
      <c r="O195" s="11124"/>
      <c r="P195" s="11124"/>
      <c r="Q195" s="11127"/>
      <c r="R195" s="5453"/>
      <c r="S195" s="3578"/>
      <c r="T195" s="3578"/>
      <c r="U195" s="3578"/>
      <c r="V195" s="5499"/>
      <c r="W195" s="3578"/>
      <c r="X195" s="5562"/>
      <c r="Y195" s="5552"/>
      <c r="Z195" s="5552"/>
      <c r="AA195" s="5562"/>
      <c r="AB195" s="5589"/>
      <c r="AC195" s="4332"/>
      <c r="AD195" s="5627"/>
      <c r="AE195" s="5627"/>
      <c r="AF195" s="5627"/>
      <c r="AG195" s="11115"/>
    </row>
    <row r="196" spans="1:33" ht="28.5" customHeight="1">
      <c r="A196" s="11139"/>
      <c r="B196" s="11136"/>
      <c r="C196" s="11124"/>
      <c r="D196" s="11124"/>
      <c r="E196" s="11124"/>
      <c r="F196" s="11124"/>
      <c r="G196" s="11124"/>
      <c r="H196" s="11124"/>
      <c r="I196" s="11124"/>
      <c r="J196" s="11124"/>
      <c r="K196" s="11124"/>
      <c r="L196" s="11131"/>
      <c r="M196" s="11131"/>
      <c r="N196" s="11131"/>
      <c r="O196" s="11124"/>
      <c r="P196" s="11124"/>
      <c r="Q196" s="11127"/>
      <c r="R196" s="5453"/>
      <c r="S196" s="3578"/>
      <c r="T196" s="3578"/>
      <c r="U196" s="3578"/>
      <c r="V196" s="5499"/>
      <c r="W196" s="3578"/>
      <c r="X196" s="5562"/>
      <c r="Y196" s="5552"/>
      <c r="Z196" s="5552"/>
      <c r="AA196" s="5562"/>
      <c r="AB196" s="5589"/>
      <c r="AC196" s="4332"/>
      <c r="AD196" s="5627"/>
      <c r="AE196" s="5627"/>
      <c r="AF196" s="5627"/>
      <c r="AG196" s="11115"/>
    </row>
    <row r="197" spans="1:33" ht="28.5" customHeight="1">
      <c r="A197" s="11139"/>
      <c r="B197" s="11136"/>
      <c r="C197" s="11124"/>
      <c r="D197" s="11124"/>
      <c r="E197" s="11124"/>
      <c r="F197" s="11124"/>
      <c r="G197" s="11124"/>
      <c r="H197" s="11124"/>
      <c r="I197" s="11124"/>
      <c r="J197" s="11124"/>
      <c r="K197" s="11124"/>
      <c r="L197" s="11131"/>
      <c r="M197" s="11131"/>
      <c r="N197" s="11131"/>
      <c r="O197" s="11124"/>
      <c r="P197" s="11124"/>
      <c r="Q197" s="11127"/>
      <c r="R197" s="5453"/>
      <c r="S197" s="3578"/>
      <c r="T197" s="3578"/>
      <c r="U197" s="3578"/>
      <c r="V197" s="5499"/>
      <c r="W197" s="3578"/>
      <c r="X197" s="5562"/>
      <c r="Y197" s="5552"/>
      <c r="Z197" s="5552"/>
      <c r="AA197" s="5562"/>
      <c r="AB197" s="5589"/>
      <c r="AC197" s="4332"/>
      <c r="AD197" s="5627"/>
      <c r="AE197" s="5627"/>
      <c r="AF197" s="5627"/>
      <c r="AG197" s="11115"/>
    </row>
    <row r="198" spans="1:33" ht="28.5" customHeight="1">
      <c r="A198" s="11139"/>
      <c r="B198" s="11138"/>
      <c r="C198" s="11126"/>
      <c r="D198" s="11126"/>
      <c r="E198" s="11126"/>
      <c r="F198" s="11126"/>
      <c r="G198" s="11126"/>
      <c r="H198" s="11126"/>
      <c r="I198" s="11126"/>
      <c r="J198" s="11126"/>
      <c r="K198" s="11126"/>
      <c r="L198" s="11132"/>
      <c r="M198" s="11132"/>
      <c r="N198" s="11132"/>
      <c r="O198" s="11126"/>
      <c r="P198" s="11126"/>
      <c r="Q198" s="11128"/>
      <c r="R198" s="5456"/>
      <c r="S198" s="3605"/>
      <c r="T198" s="3605"/>
      <c r="U198" s="3605"/>
      <c r="V198" s="5503"/>
      <c r="W198" s="3605"/>
      <c r="X198" s="5565"/>
      <c r="Y198" s="5558"/>
      <c r="Z198" s="5558"/>
      <c r="AA198" s="5565"/>
      <c r="AB198" s="5598"/>
      <c r="AC198" s="4345"/>
      <c r="AD198" s="5630"/>
      <c r="AE198" s="5630"/>
      <c r="AF198" s="5630"/>
      <c r="AG198" s="11116"/>
    </row>
    <row r="199" spans="1:33" ht="28.5" customHeight="1">
      <c r="A199" s="11139"/>
      <c r="B199" s="10512" t="s">
        <v>127</v>
      </c>
      <c r="C199" s="10444" t="s">
        <v>128</v>
      </c>
      <c r="D199" s="10444" t="s">
        <v>129</v>
      </c>
      <c r="E199" s="10444" t="s">
        <v>157</v>
      </c>
      <c r="F199" s="10451" t="s">
        <v>131</v>
      </c>
      <c r="G199" s="10444" t="s">
        <v>132</v>
      </c>
      <c r="H199" s="10444" t="s">
        <v>159</v>
      </c>
      <c r="I199" s="10444" t="s">
        <v>5940</v>
      </c>
      <c r="J199" s="10448" t="s">
        <v>1378</v>
      </c>
      <c r="K199" s="10444" t="s">
        <v>1265</v>
      </c>
      <c r="L199" s="10455">
        <v>1</v>
      </c>
      <c r="M199" s="10455">
        <v>1</v>
      </c>
      <c r="N199" s="10455">
        <v>2</v>
      </c>
      <c r="O199" s="10444" t="s">
        <v>4489</v>
      </c>
      <c r="P199" s="10444" t="s">
        <v>5941</v>
      </c>
      <c r="Q199" s="10449" t="s">
        <v>5942</v>
      </c>
      <c r="R199" s="5451"/>
      <c r="S199" s="3650"/>
      <c r="T199" s="3650"/>
      <c r="U199" s="3622"/>
      <c r="V199" s="5504"/>
      <c r="W199" s="3623"/>
      <c r="X199" s="5560"/>
      <c r="Y199" s="5560"/>
      <c r="Z199" s="5560"/>
      <c r="AA199" s="5561"/>
      <c r="AB199" s="5586"/>
      <c r="AC199" s="4314"/>
      <c r="AD199" s="3658"/>
      <c r="AE199" s="5623"/>
      <c r="AF199" s="5623"/>
      <c r="AG199" s="10464" t="s">
        <v>5943</v>
      </c>
    </row>
    <row r="200" spans="1:33" ht="28.5" customHeight="1">
      <c r="A200" s="11139"/>
      <c r="B200" s="11136"/>
      <c r="C200" s="11124"/>
      <c r="D200" s="11124"/>
      <c r="E200" s="11124"/>
      <c r="F200" s="11124"/>
      <c r="G200" s="11124"/>
      <c r="H200" s="11124"/>
      <c r="I200" s="11124"/>
      <c r="J200" s="11124"/>
      <c r="K200" s="11124"/>
      <c r="L200" s="11131"/>
      <c r="M200" s="11131"/>
      <c r="N200" s="11131"/>
      <c r="O200" s="11124"/>
      <c r="P200" s="11124"/>
      <c r="Q200" s="11127"/>
      <c r="R200" s="5446"/>
      <c r="S200" s="3579"/>
      <c r="T200" s="3579"/>
      <c r="U200" s="3578"/>
      <c r="V200" s="5499"/>
      <c r="W200" s="3579"/>
      <c r="X200" s="5552"/>
      <c r="Y200" s="5552"/>
      <c r="Z200" s="5552"/>
      <c r="AA200" s="5553"/>
      <c r="AB200" s="5581"/>
      <c r="AC200" s="4316"/>
      <c r="AD200" s="3496"/>
      <c r="AE200" s="5610"/>
      <c r="AF200" s="5610"/>
      <c r="AG200" s="11115"/>
    </row>
    <row r="201" spans="1:33" ht="28.5" customHeight="1">
      <c r="A201" s="11139"/>
      <c r="B201" s="11136"/>
      <c r="C201" s="11124"/>
      <c r="D201" s="11124"/>
      <c r="E201" s="11124"/>
      <c r="F201" s="11124"/>
      <c r="G201" s="11124"/>
      <c r="H201" s="11124"/>
      <c r="I201" s="11124"/>
      <c r="J201" s="11124"/>
      <c r="K201" s="11124"/>
      <c r="L201" s="11131"/>
      <c r="M201" s="11131"/>
      <c r="N201" s="11131"/>
      <c r="O201" s="11124"/>
      <c r="P201" s="11124"/>
      <c r="Q201" s="11127"/>
      <c r="R201" s="5446"/>
      <c r="S201" s="3579"/>
      <c r="T201" s="3579"/>
      <c r="U201" s="3578"/>
      <c r="V201" s="5499"/>
      <c r="W201" s="3579"/>
      <c r="X201" s="5552"/>
      <c r="Y201" s="5552"/>
      <c r="Z201" s="5552"/>
      <c r="AA201" s="5553"/>
      <c r="AB201" s="5581"/>
      <c r="AC201" s="4316"/>
      <c r="AD201" s="3496"/>
      <c r="AE201" s="5610"/>
      <c r="AF201" s="5610"/>
      <c r="AG201" s="11115"/>
    </row>
    <row r="202" spans="1:33" ht="28.5" customHeight="1">
      <c r="A202" s="11139"/>
      <c r="B202" s="11136"/>
      <c r="C202" s="11124"/>
      <c r="D202" s="11124"/>
      <c r="E202" s="11124"/>
      <c r="F202" s="11124"/>
      <c r="G202" s="11124"/>
      <c r="H202" s="11124"/>
      <c r="I202" s="11124"/>
      <c r="J202" s="11124"/>
      <c r="K202" s="11124"/>
      <c r="L202" s="11131"/>
      <c r="M202" s="11131"/>
      <c r="N202" s="11131"/>
      <c r="O202" s="11124"/>
      <c r="P202" s="11124"/>
      <c r="Q202" s="11127"/>
      <c r="R202" s="5446"/>
      <c r="S202" s="3579"/>
      <c r="T202" s="3579"/>
      <c r="U202" s="3578"/>
      <c r="V202" s="5499"/>
      <c r="W202" s="3579"/>
      <c r="X202" s="5552"/>
      <c r="Y202" s="5552"/>
      <c r="Z202" s="5552"/>
      <c r="AA202" s="5553"/>
      <c r="AB202" s="5581"/>
      <c r="AC202" s="4316"/>
      <c r="AD202" s="3496"/>
      <c r="AE202" s="5610"/>
      <c r="AF202" s="5610"/>
      <c r="AG202" s="11115"/>
    </row>
    <row r="203" spans="1:33" ht="28.5" customHeight="1">
      <c r="A203" s="11139"/>
      <c r="B203" s="11138"/>
      <c r="C203" s="11126"/>
      <c r="D203" s="11126"/>
      <c r="E203" s="11126"/>
      <c r="F203" s="11126"/>
      <c r="G203" s="11126"/>
      <c r="H203" s="11126"/>
      <c r="I203" s="11126"/>
      <c r="J203" s="11126"/>
      <c r="K203" s="11126"/>
      <c r="L203" s="11132"/>
      <c r="M203" s="11132"/>
      <c r="N203" s="11132"/>
      <c r="O203" s="11126"/>
      <c r="P203" s="11126"/>
      <c r="Q203" s="11128"/>
      <c r="R203" s="5450"/>
      <c r="S203" s="3606"/>
      <c r="T203" s="3606"/>
      <c r="U203" s="3605"/>
      <c r="V203" s="5503"/>
      <c r="W203" s="3606"/>
      <c r="X203" s="5558"/>
      <c r="Y203" s="5558"/>
      <c r="Z203" s="5558"/>
      <c r="AA203" s="5559"/>
      <c r="AB203" s="5585"/>
      <c r="AC203" s="4318"/>
      <c r="AD203" s="3545"/>
      <c r="AE203" s="5625"/>
      <c r="AF203" s="5625"/>
      <c r="AG203" s="11116"/>
    </row>
    <row r="204" spans="1:33" s="6169" customFormat="1" ht="22.5" customHeight="1" thickBot="1">
      <c r="A204" s="6237"/>
      <c r="B204" s="6166"/>
      <c r="C204" s="6166"/>
      <c r="D204" s="6166"/>
      <c r="E204" s="6166"/>
      <c r="F204" s="6166"/>
      <c r="G204" s="6166"/>
      <c r="H204" s="6166"/>
      <c r="I204" s="6166"/>
      <c r="J204" s="6166"/>
      <c r="K204" s="6166"/>
      <c r="L204" s="6164"/>
      <c r="M204" s="6164"/>
      <c r="N204" s="6164"/>
      <c r="O204" s="6166"/>
      <c r="P204" s="6166"/>
      <c r="Q204" s="6167"/>
      <c r="R204" s="11144" t="s">
        <v>4491</v>
      </c>
      <c r="S204" s="11145"/>
      <c r="T204" s="11145"/>
      <c r="U204" s="11145"/>
      <c r="V204" s="11145"/>
      <c r="W204" s="11145"/>
      <c r="X204" s="11145"/>
      <c r="Y204" s="11145"/>
      <c r="Z204" s="5321" t="s">
        <v>292</v>
      </c>
      <c r="AA204" s="6153">
        <f>SUM(AA124:AA203)</f>
        <v>0</v>
      </c>
      <c r="AB204" s="6165"/>
      <c r="AC204" s="6168"/>
      <c r="AD204" s="11146"/>
      <c r="AE204" s="11147"/>
      <c r="AF204" s="11147"/>
      <c r="AG204" s="11148"/>
    </row>
    <row r="205" spans="1:33" ht="28.5" customHeight="1">
      <c r="A205" s="9599" t="s">
        <v>4492</v>
      </c>
      <c r="B205" s="10518" t="s">
        <v>127</v>
      </c>
      <c r="C205" s="10452" t="s">
        <v>128</v>
      </c>
      <c r="D205" s="10452" t="s">
        <v>129</v>
      </c>
      <c r="E205" s="10452" t="s">
        <v>268</v>
      </c>
      <c r="F205" s="10454" t="s">
        <v>131</v>
      </c>
      <c r="G205" s="10452" t="s">
        <v>213</v>
      </c>
      <c r="H205" s="10452" t="s">
        <v>159</v>
      </c>
      <c r="I205" s="10433" t="s">
        <v>5944</v>
      </c>
      <c r="J205" s="10452" t="s">
        <v>4494</v>
      </c>
      <c r="K205" s="10452" t="s">
        <v>5492</v>
      </c>
      <c r="L205" s="10488">
        <v>1</v>
      </c>
      <c r="M205" s="10488">
        <v>1</v>
      </c>
      <c r="N205" s="10488">
        <v>1</v>
      </c>
      <c r="O205" s="10452" t="s">
        <v>5945</v>
      </c>
      <c r="P205" s="10452" t="s">
        <v>5494</v>
      </c>
      <c r="Q205" s="10453" t="s">
        <v>5946</v>
      </c>
      <c r="R205" s="5445"/>
      <c r="S205" s="4321"/>
      <c r="T205" s="4321"/>
      <c r="U205" s="3573"/>
      <c r="V205" s="5498"/>
      <c r="W205" s="3574"/>
      <c r="X205" s="5550"/>
      <c r="Y205" s="5550"/>
      <c r="Z205" s="5550"/>
      <c r="AA205" s="5551"/>
      <c r="AB205" s="5580"/>
      <c r="AC205" s="4323"/>
      <c r="AD205" s="3683"/>
      <c r="AE205" s="5609"/>
      <c r="AF205" s="5609"/>
      <c r="AG205" s="10531"/>
    </row>
    <row r="206" spans="1:33" ht="28.5" customHeight="1">
      <c r="A206" s="11139"/>
      <c r="B206" s="11136"/>
      <c r="C206" s="11124"/>
      <c r="D206" s="11124"/>
      <c r="E206" s="11124"/>
      <c r="F206" s="11124"/>
      <c r="G206" s="11124"/>
      <c r="H206" s="11124"/>
      <c r="I206" s="11124"/>
      <c r="J206" s="11124"/>
      <c r="K206" s="11124"/>
      <c r="L206" s="11131"/>
      <c r="M206" s="11131"/>
      <c r="N206" s="11131"/>
      <c r="O206" s="11124"/>
      <c r="P206" s="11124"/>
      <c r="Q206" s="11127"/>
      <c r="R206" s="5446"/>
      <c r="S206" s="3579"/>
      <c r="T206" s="3579"/>
      <c r="U206" s="3578"/>
      <c r="V206" s="5499"/>
      <c r="W206" s="3579"/>
      <c r="X206" s="5552"/>
      <c r="Y206" s="5552"/>
      <c r="Z206" s="5552"/>
      <c r="AA206" s="5553"/>
      <c r="AB206" s="5581"/>
      <c r="AC206" s="4316"/>
      <c r="AD206" s="3496"/>
      <c r="AE206" s="5610"/>
      <c r="AF206" s="5610"/>
      <c r="AG206" s="11141"/>
    </row>
    <row r="207" spans="1:33" ht="28.5" customHeight="1">
      <c r="A207" s="11139"/>
      <c r="B207" s="11136"/>
      <c r="C207" s="11124"/>
      <c r="D207" s="11124"/>
      <c r="E207" s="11124"/>
      <c r="F207" s="11124"/>
      <c r="G207" s="11124"/>
      <c r="H207" s="11124"/>
      <c r="I207" s="11124"/>
      <c r="J207" s="11124"/>
      <c r="K207" s="11124"/>
      <c r="L207" s="11131"/>
      <c r="M207" s="11131"/>
      <c r="N207" s="11131"/>
      <c r="O207" s="11124"/>
      <c r="P207" s="11124"/>
      <c r="Q207" s="11127"/>
      <c r="R207" s="5446"/>
      <c r="S207" s="3579"/>
      <c r="T207" s="3579"/>
      <c r="U207" s="3578"/>
      <c r="V207" s="5499"/>
      <c r="W207" s="3579"/>
      <c r="X207" s="5552"/>
      <c r="Y207" s="5552"/>
      <c r="Z207" s="5552"/>
      <c r="AA207" s="5553"/>
      <c r="AB207" s="5581"/>
      <c r="AC207" s="4316"/>
      <c r="AD207" s="3496"/>
      <c r="AE207" s="5610"/>
      <c r="AF207" s="5610"/>
      <c r="AG207" s="11141"/>
    </row>
    <row r="208" spans="1:33" ht="28.5" customHeight="1">
      <c r="A208" s="11139"/>
      <c r="B208" s="11136"/>
      <c r="C208" s="11124"/>
      <c r="D208" s="11124"/>
      <c r="E208" s="11124"/>
      <c r="F208" s="11124"/>
      <c r="G208" s="11124"/>
      <c r="H208" s="11124"/>
      <c r="I208" s="11124"/>
      <c r="J208" s="11124"/>
      <c r="K208" s="11124"/>
      <c r="L208" s="11131"/>
      <c r="M208" s="11131"/>
      <c r="N208" s="11131"/>
      <c r="O208" s="11124"/>
      <c r="P208" s="11124"/>
      <c r="Q208" s="11127"/>
      <c r="R208" s="5447"/>
      <c r="S208" s="4325"/>
      <c r="T208" s="4325"/>
      <c r="U208" s="3578"/>
      <c r="V208" s="5499"/>
      <c r="W208" s="3579"/>
      <c r="X208" s="5552"/>
      <c r="Y208" s="5552"/>
      <c r="Z208" s="5552"/>
      <c r="AA208" s="5553"/>
      <c r="AB208" s="5581"/>
      <c r="AC208" s="4316"/>
      <c r="AD208" s="3496"/>
      <c r="AE208" s="5610"/>
      <c r="AF208" s="5610"/>
      <c r="AG208" s="11141"/>
    </row>
    <row r="209" spans="1:33" ht="28.5" customHeight="1">
      <c r="A209" s="11139"/>
      <c r="B209" s="11137"/>
      <c r="C209" s="11125"/>
      <c r="D209" s="11125"/>
      <c r="E209" s="11125"/>
      <c r="F209" s="11125"/>
      <c r="G209" s="11125"/>
      <c r="H209" s="11125"/>
      <c r="I209" s="11125"/>
      <c r="J209" s="11125"/>
      <c r="K209" s="11125"/>
      <c r="L209" s="11134"/>
      <c r="M209" s="11134"/>
      <c r="N209" s="11134"/>
      <c r="O209" s="11125"/>
      <c r="P209" s="11125"/>
      <c r="Q209" s="11135"/>
      <c r="R209" s="5448"/>
      <c r="S209" s="3617"/>
      <c r="T209" s="3617"/>
      <c r="U209" s="3616"/>
      <c r="V209" s="5509"/>
      <c r="W209" s="3617"/>
      <c r="X209" s="5554"/>
      <c r="Y209" s="5554"/>
      <c r="Z209" s="5554"/>
      <c r="AA209" s="5555"/>
      <c r="AB209" s="5592"/>
      <c r="AC209" s="4320"/>
      <c r="AD209" s="3714"/>
      <c r="AE209" s="5624"/>
      <c r="AF209" s="5624"/>
      <c r="AG209" s="11143"/>
    </row>
    <row r="210" spans="1:33" ht="28.5" customHeight="1">
      <c r="A210" s="11139"/>
      <c r="B210" s="10516" t="s">
        <v>127</v>
      </c>
      <c r="C210" s="10433" t="s">
        <v>128</v>
      </c>
      <c r="D210" s="10433" t="s">
        <v>129</v>
      </c>
      <c r="E210" s="10433" t="s">
        <v>268</v>
      </c>
      <c r="F210" s="10442" t="s">
        <v>131</v>
      </c>
      <c r="G210" s="10433" t="s">
        <v>132</v>
      </c>
      <c r="H210" s="10433" t="s">
        <v>159</v>
      </c>
      <c r="I210" s="10433" t="s">
        <v>5947</v>
      </c>
      <c r="J210" s="10433" t="s">
        <v>4500</v>
      </c>
      <c r="K210" s="10433" t="s">
        <v>4891</v>
      </c>
      <c r="L210" s="10470">
        <v>0</v>
      </c>
      <c r="M210" s="10470">
        <v>5</v>
      </c>
      <c r="N210" s="10470">
        <v>5</v>
      </c>
      <c r="O210" s="10433" t="s">
        <v>5948</v>
      </c>
      <c r="P210" s="10433" t="s">
        <v>5949</v>
      </c>
      <c r="Q210" s="10439" t="s">
        <v>5950</v>
      </c>
      <c r="R210" s="5449"/>
      <c r="S210" s="4336"/>
      <c r="T210" s="4336"/>
      <c r="U210" s="3597"/>
      <c r="V210" s="5502"/>
      <c r="W210" s="3598"/>
      <c r="X210" s="5556"/>
      <c r="Y210" s="5556"/>
      <c r="Z210" s="5556"/>
      <c r="AA210" s="5557"/>
      <c r="AB210" s="5584"/>
      <c r="AC210" s="4338"/>
      <c r="AD210" s="3709"/>
      <c r="AE210" s="5626"/>
      <c r="AF210" s="5626"/>
      <c r="AG210" s="10481"/>
    </row>
    <row r="211" spans="1:33" ht="28.5" customHeight="1">
      <c r="A211" s="11139"/>
      <c r="B211" s="11136"/>
      <c r="C211" s="11124"/>
      <c r="D211" s="11124"/>
      <c r="E211" s="11124"/>
      <c r="F211" s="11124"/>
      <c r="G211" s="11124"/>
      <c r="H211" s="11124"/>
      <c r="I211" s="11124"/>
      <c r="J211" s="11124"/>
      <c r="K211" s="11124"/>
      <c r="L211" s="11131"/>
      <c r="M211" s="11131"/>
      <c r="N211" s="11131"/>
      <c r="O211" s="11124"/>
      <c r="P211" s="11124"/>
      <c r="Q211" s="11127"/>
      <c r="R211" s="5446"/>
      <c r="S211" s="3579"/>
      <c r="T211" s="3579"/>
      <c r="U211" s="3578"/>
      <c r="V211" s="5499"/>
      <c r="W211" s="3579"/>
      <c r="X211" s="5552"/>
      <c r="Y211" s="5552"/>
      <c r="Z211" s="5552"/>
      <c r="AA211" s="5553"/>
      <c r="AB211" s="5581"/>
      <c r="AC211" s="4316"/>
      <c r="AD211" s="3496"/>
      <c r="AE211" s="5610"/>
      <c r="AF211" s="5610"/>
      <c r="AG211" s="11141"/>
    </row>
    <row r="212" spans="1:33" ht="28.5" customHeight="1">
      <c r="A212" s="11139"/>
      <c r="B212" s="11136"/>
      <c r="C212" s="11124"/>
      <c r="D212" s="11124"/>
      <c r="E212" s="11124"/>
      <c r="F212" s="11124"/>
      <c r="G212" s="11124"/>
      <c r="H212" s="11124"/>
      <c r="I212" s="11124"/>
      <c r="J212" s="11124"/>
      <c r="K212" s="11124"/>
      <c r="L212" s="11131"/>
      <c r="M212" s="11131"/>
      <c r="N212" s="11131"/>
      <c r="O212" s="11124"/>
      <c r="P212" s="11124"/>
      <c r="Q212" s="11127"/>
      <c r="R212" s="5446"/>
      <c r="S212" s="3579"/>
      <c r="T212" s="3579"/>
      <c r="U212" s="3578"/>
      <c r="V212" s="5499"/>
      <c r="W212" s="3579"/>
      <c r="X212" s="5552"/>
      <c r="Y212" s="5552"/>
      <c r="Z212" s="5552"/>
      <c r="AA212" s="5553"/>
      <c r="AB212" s="5581"/>
      <c r="AC212" s="4316"/>
      <c r="AD212" s="3496"/>
      <c r="AE212" s="5610"/>
      <c r="AF212" s="5610"/>
      <c r="AG212" s="11141"/>
    </row>
    <row r="213" spans="1:33" ht="28.5" customHeight="1">
      <c r="A213" s="11139"/>
      <c r="B213" s="11136"/>
      <c r="C213" s="11124"/>
      <c r="D213" s="11124"/>
      <c r="E213" s="11124"/>
      <c r="F213" s="11124"/>
      <c r="G213" s="11124"/>
      <c r="H213" s="11124"/>
      <c r="I213" s="11124"/>
      <c r="J213" s="11124"/>
      <c r="K213" s="11124"/>
      <c r="L213" s="11131"/>
      <c r="M213" s="11131"/>
      <c r="N213" s="11131"/>
      <c r="O213" s="11124"/>
      <c r="P213" s="11124"/>
      <c r="Q213" s="11127"/>
      <c r="R213" s="5447"/>
      <c r="S213" s="4325"/>
      <c r="T213" s="4325"/>
      <c r="U213" s="3578"/>
      <c r="V213" s="5499"/>
      <c r="W213" s="3579"/>
      <c r="X213" s="5552"/>
      <c r="Y213" s="5552"/>
      <c r="Z213" s="5552"/>
      <c r="AA213" s="5553"/>
      <c r="AB213" s="5581"/>
      <c r="AC213" s="4316"/>
      <c r="AD213" s="3496"/>
      <c r="AE213" s="5610"/>
      <c r="AF213" s="5610"/>
      <c r="AG213" s="11141"/>
    </row>
    <row r="214" spans="1:33" ht="28.5" customHeight="1">
      <c r="A214" s="11139"/>
      <c r="B214" s="11138"/>
      <c r="C214" s="11126"/>
      <c r="D214" s="11126"/>
      <c r="E214" s="11126"/>
      <c r="F214" s="11126"/>
      <c r="G214" s="11126"/>
      <c r="H214" s="11126"/>
      <c r="I214" s="11126"/>
      <c r="J214" s="11126"/>
      <c r="K214" s="11126"/>
      <c r="L214" s="11132"/>
      <c r="M214" s="11132"/>
      <c r="N214" s="11132"/>
      <c r="O214" s="11126"/>
      <c r="P214" s="11126"/>
      <c r="Q214" s="11128"/>
      <c r="R214" s="5450"/>
      <c r="S214" s="3606"/>
      <c r="T214" s="3606"/>
      <c r="U214" s="3605"/>
      <c r="V214" s="5503"/>
      <c r="W214" s="3606"/>
      <c r="X214" s="5558"/>
      <c r="Y214" s="5558"/>
      <c r="Z214" s="5558"/>
      <c r="AA214" s="5559"/>
      <c r="AB214" s="5585"/>
      <c r="AC214" s="4318"/>
      <c r="AD214" s="3545"/>
      <c r="AE214" s="5625"/>
      <c r="AF214" s="5625"/>
      <c r="AG214" s="11142"/>
    </row>
    <row r="215" spans="1:33" ht="28.5" customHeight="1">
      <c r="A215" s="11139"/>
      <c r="B215" s="10512" t="s">
        <v>127</v>
      </c>
      <c r="C215" s="10444" t="s">
        <v>128</v>
      </c>
      <c r="D215" s="10444" t="s">
        <v>129</v>
      </c>
      <c r="E215" s="10444" t="s">
        <v>268</v>
      </c>
      <c r="F215" s="10451" t="s">
        <v>131</v>
      </c>
      <c r="G215" s="10444" t="s">
        <v>132</v>
      </c>
      <c r="H215" s="10444" t="s">
        <v>159</v>
      </c>
      <c r="I215" s="10444" t="s">
        <v>5951</v>
      </c>
      <c r="J215" s="10444" t="s">
        <v>4505</v>
      </c>
      <c r="K215" s="10444" t="s">
        <v>5500</v>
      </c>
      <c r="L215" s="10455">
        <v>0</v>
      </c>
      <c r="M215" s="10455">
        <v>5</v>
      </c>
      <c r="N215" s="10455">
        <v>5</v>
      </c>
      <c r="O215" s="10444" t="s">
        <v>5952</v>
      </c>
      <c r="P215" s="10444" t="s">
        <v>5953</v>
      </c>
      <c r="Q215" s="10449" t="s">
        <v>5954</v>
      </c>
      <c r="R215" s="5451"/>
      <c r="S215" s="3650"/>
      <c r="T215" s="3650"/>
      <c r="U215" s="3622"/>
      <c r="V215" s="5504"/>
      <c r="W215" s="3623"/>
      <c r="X215" s="5560"/>
      <c r="Y215" s="5560"/>
      <c r="Z215" s="5560"/>
      <c r="AA215" s="5561"/>
      <c r="AB215" s="5586"/>
      <c r="AC215" s="4314"/>
      <c r="AD215" s="3658"/>
      <c r="AE215" s="5623"/>
      <c r="AF215" s="5623"/>
      <c r="AG215" s="10478"/>
    </row>
    <row r="216" spans="1:33" ht="28.5" customHeight="1">
      <c r="A216" s="11139"/>
      <c r="B216" s="11136"/>
      <c r="C216" s="11124"/>
      <c r="D216" s="11124"/>
      <c r="E216" s="11124"/>
      <c r="F216" s="11124"/>
      <c r="G216" s="11124"/>
      <c r="H216" s="11124"/>
      <c r="I216" s="11124"/>
      <c r="J216" s="11124"/>
      <c r="K216" s="11124"/>
      <c r="L216" s="11131"/>
      <c r="M216" s="11131"/>
      <c r="N216" s="11131"/>
      <c r="O216" s="11124"/>
      <c r="P216" s="11124"/>
      <c r="Q216" s="11127"/>
      <c r="R216" s="5446"/>
      <c r="S216" s="3579"/>
      <c r="T216" s="3579"/>
      <c r="U216" s="3578"/>
      <c r="V216" s="5499"/>
      <c r="W216" s="3579"/>
      <c r="X216" s="5552"/>
      <c r="Y216" s="5552"/>
      <c r="Z216" s="5552"/>
      <c r="AA216" s="5553"/>
      <c r="AB216" s="5581"/>
      <c r="AC216" s="4316"/>
      <c r="AD216" s="3496"/>
      <c r="AE216" s="5610"/>
      <c r="AF216" s="5610"/>
      <c r="AG216" s="11141"/>
    </row>
    <row r="217" spans="1:33" ht="28.5" customHeight="1">
      <c r="A217" s="11139"/>
      <c r="B217" s="11136"/>
      <c r="C217" s="11124"/>
      <c r="D217" s="11124"/>
      <c r="E217" s="11124"/>
      <c r="F217" s="11124"/>
      <c r="G217" s="11124"/>
      <c r="H217" s="11124"/>
      <c r="I217" s="11124"/>
      <c r="J217" s="11124"/>
      <c r="K217" s="11124"/>
      <c r="L217" s="11131"/>
      <c r="M217" s="11131"/>
      <c r="N217" s="11131"/>
      <c r="O217" s="11124"/>
      <c r="P217" s="11124"/>
      <c r="Q217" s="11127"/>
      <c r="R217" s="5446"/>
      <c r="S217" s="3579"/>
      <c r="T217" s="3579"/>
      <c r="U217" s="3578"/>
      <c r="V217" s="5499"/>
      <c r="W217" s="3579"/>
      <c r="X217" s="5552"/>
      <c r="Y217" s="5552"/>
      <c r="Z217" s="5552"/>
      <c r="AA217" s="5553"/>
      <c r="AB217" s="5581"/>
      <c r="AC217" s="4316"/>
      <c r="AD217" s="3496"/>
      <c r="AE217" s="5610"/>
      <c r="AF217" s="5610"/>
      <c r="AG217" s="11141"/>
    </row>
    <row r="218" spans="1:33" ht="28.5" customHeight="1">
      <c r="A218" s="11139"/>
      <c r="B218" s="11136"/>
      <c r="C218" s="11124"/>
      <c r="D218" s="11124"/>
      <c r="E218" s="11124"/>
      <c r="F218" s="11124"/>
      <c r="G218" s="11124"/>
      <c r="H218" s="11124"/>
      <c r="I218" s="11124"/>
      <c r="J218" s="11124"/>
      <c r="K218" s="11124"/>
      <c r="L218" s="11131"/>
      <c r="M218" s="11131"/>
      <c r="N218" s="11131"/>
      <c r="O218" s="11124"/>
      <c r="P218" s="11124"/>
      <c r="Q218" s="11127"/>
      <c r="R218" s="5447"/>
      <c r="S218" s="4325"/>
      <c r="T218" s="4325"/>
      <c r="U218" s="3578"/>
      <c r="V218" s="5499"/>
      <c r="W218" s="3579"/>
      <c r="X218" s="5552"/>
      <c r="Y218" s="5552"/>
      <c r="Z218" s="5552"/>
      <c r="AA218" s="5553"/>
      <c r="AB218" s="5581"/>
      <c r="AC218" s="4316"/>
      <c r="AD218" s="3496"/>
      <c r="AE218" s="5610"/>
      <c r="AF218" s="5610"/>
      <c r="AG218" s="11141"/>
    </row>
    <row r="219" spans="1:33" ht="28.5" customHeight="1">
      <c r="A219" s="11139"/>
      <c r="B219" s="11137"/>
      <c r="C219" s="11125"/>
      <c r="D219" s="11125"/>
      <c r="E219" s="11125"/>
      <c r="F219" s="11125"/>
      <c r="G219" s="11125"/>
      <c r="H219" s="11125"/>
      <c r="I219" s="11125"/>
      <c r="J219" s="11125"/>
      <c r="K219" s="11125"/>
      <c r="L219" s="11134"/>
      <c r="M219" s="11134"/>
      <c r="N219" s="11134"/>
      <c r="O219" s="11125"/>
      <c r="P219" s="11125"/>
      <c r="Q219" s="11135"/>
      <c r="R219" s="5448"/>
      <c r="S219" s="3617"/>
      <c r="T219" s="3617"/>
      <c r="U219" s="3616"/>
      <c r="V219" s="5509"/>
      <c r="W219" s="3617"/>
      <c r="X219" s="5554"/>
      <c r="Y219" s="5554"/>
      <c r="Z219" s="5554"/>
      <c r="AA219" s="5555"/>
      <c r="AB219" s="5592"/>
      <c r="AC219" s="4320"/>
      <c r="AD219" s="3714"/>
      <c r="AE219" s="5624"/>
      <c r="AF219" s="5624"/>
      <c r="AG219" s="11143"/>
    </row>
    <row r="220" spans="1:33" ht="28.5" customHeight="1">
      <c r="A220" s="11139"/>
      <c r="B220" s="10516" t="s">
        <v>127</v>
      </c>
      <c r="C220" s="10433" t="s">
        <v>128</v>
      </c>
      <c r="D220" s="10433" t="s">
        <v>129</v>
      </c>
      <c r="E220" s="10433" t="s">
        <v>268</v>
      </c>
      <c r="F220" s="10442" t="s">
        <v>131</v>
      </c>
      <c r="G220" s="10433" t="s">
        <v>132</v>
      </c>
      <c r="H220" s="10433" t="s">
        <v>159</v>
      </c>
      <c r="I220" s="10433" t="s">
        <v>5955</v>
      </c>
      <c r="J220" s="10433" t="s">
        <v>4511</v>
      </c>
      <c r="K220" s="10433"/>
      <c r="L220" s="10470"/>
      <c r="M220" s="10470"/>
      <c r="N220" s="10470"/>
      <c r="O220" s="10433"/>
      <c r="P220" s="10433"/>
      <c r="Q220" s="10439" t="s">
        <v>4902</v>
      </c>
      <c r="R220" s="5449"/>
      <c r="S220" s="4336"/>
      <c r="T220" s="4336"/>
      <c r="U220" s="3597"/>
      <c r="V220" s="5502"/>
      <c r="W220" s="3598"/>
      <c r="X220" s="5556"/>
      <c r="Y220" s="5556"/>
      <c r="Z220" s="5556"/>
      <c r="AA220" s="5557"/>
      <c r="AB220" s="5584"/>
      <c r="AC220" s="4338"/>
      <c r="AD220" s="3709"/>
      <c r="AE220" s="5626"/>
      <c r="AF220" s="5626"/>
      <c r="AG220" s="10481"/>
    </row>
    <row r="221" spans="1:33" ht="28.5" customHeight="1">
      <c r="A221" s="11139"/>
      <c r="B221" s="11136"/>
      <c r="C221" s="11124"/>
      <c r="D221" s="11124"/>
      <c r="E221" s="11124"/>
      <c r="F221" s="11124"/>
      <c r="G221" s="11124"/>
      <c r="H221" s="11124"/>
      <c r="I221" s="11124"/>
      <c r="J221" s="11124"/>
      <c r="K221" s="11124"/>
      <c r="L221" s="11131"/>
      <c r="M221" s="11131"/>
      <c r="N221" s="11131"/>
      <c r="O221" s="11124"/>
      <c r="P221" s="11124"/>
      <c r="Q221" s="11127"/>
      <c r="R221" s="5446"/>
      <c r="S221" s="3579"/>
      <c r="T221" s="3579"/>
      <c r="U221" s="3578"/>
      <c r="V221" s="5499"/>
      <c r="W221" s="3579"/>
      <c r="X221" s="5552"/>
      <c r="Y221" s="5552"/>
      <c r="Z221" s="5552"/>
      <c r="AA221" s="5553"/>
      <c r="AB221" s="5581"/>
      <c r="AC221" s="4316"/>
      <c r="AD221" s="3496"/>
      <c r="AE221" s="5610"/>
      <c r="AF221" s="5610"/>
      <c r="AG221" s="11141"/>
    </row>
    <row r="222" spans="1:33" ht="28.5" customHeight="1">
      <c r="A222" s="11139"/>
      <c r="B222" s="11136"/>
      <c r="C222" s="11124"/>
      <c r="D222" s="11124"/>
      <c r="E222" s="11124"/>
      <c r="F222" s="11124"/>
      <c r="G222" s="11124"/>
      <c r="H222" s="11124"/>
      <c r="I222" s="11124"/>
      <c r="J222" s="11124"/>
      <c r="K222" s="11124"/>
      <c r="L222" s="11131"/>
      <c r="M222" s="11131"/>
      <c r="N222" s="11131"/>
      <c r="O222" s="11124"/>
      <c r="P222" s="11124"/>
      <c r="Q222" s="11127"/>
      <c r="R222" s="5446"/>
      <c r="S222" s="3579"/>
      <c r="T222" s="3579"/>
      <c r="U222" s="3578"/>
      <c r="V222" s="5499"/>
      <c r="W222" s="3579"/>
      <c r="X222" s="5552"/>
      <c r="Y222" s="5552"/>
      <c r="Z222" s="5552"/>
      <c r="AA222" s="5553"/>
      <c r="AB222" s="5581"/>
      <c r="AC222" s="4316"/>
      <c r="AD222" s="3496"/>
      <c r="AE222" s="5610"/>
      <c r="AF222" s="5610"/>
      <c r="AG222" s="11141"/>
    </row>
    <row r="223" spans="1:33" ht="28.5" customHeight="1">
      <c r="A223" s="11139"/>
      <c r="B223" s="11136"/>
      <c r="C223" s="11124"/>
      <c r="D223" s="11124"/>
      <c r="E223" s="11124"/>
      <c r="F223" s="11124"/>
      <c r="G223" s="11124"/>
      <c r="H223" s="11124"/>
      <c r="I223" s="11124"/>
      <c r="J223" s="11124"/>
      <c r="K223" s="11124"/>
      <c r="L223" s="11131"/>
      <c r="M223" s="11131"/>
      <c r="N223" s="11131"/>
      <c r="O223" s="11124"/>
      <c r="P223" s="11124"/>
      <c r="Q223" s="11127"/>
      <c r="R223" s="5447"/>
      <c r="S223" s="4325"/>
      <c r="T223" s="4325"/>
      <c r="U223" s="3578"/>
      <c r="V223" s="5499"/>
      <c r="W223" s="3579"/>
      <c r="X223" s="5552"/>
      <c r="Y223" s="5552"/>
      <c r="Z223" s="5552"/>
      <c r="AA223" s="5553"/>
      <c r="AB223" s="5581"/>
      <c r="AC223" s="4316"/>
      <c r="AD223" s="3496"/>
      <c r="AE223" s="5610"/>
      <c r="AF223" s="5610"/>
      <c r="AG223" s="11141"/>
    </row>
    <row r="224" spans="1:33" ht="28.5" customHeight="1">
      <c r="A224" s="11139"/>
      <c r="B224" s="11138"/>
      <c r="C224" s="11126"/>
      <c r="D224" s="11126"/>
      <c r="E224" s="11126"/>
      <c r="F224" s="11126"/>
      <c r="G224" s="11126"/>
      <c r="H224" s="11126"/>
      <c r="I224" s="11126"/>
      <c r="J224" s="11126"/>
      <c r="K224" s="11126"/>
      <c r="L224" s="11132"/>
      <c r="M224" s="11132"/>
      <c r="N224" s="11132"/>
      <c r="O224" s="11126"/>
      <c r="P224" s="11126"/>
      <c r="Q224" s="11128"/>
      <c r="R224" s="5450"/>
      <c r="S224" s="3606"/>
      <c r="T224" s="3606"/>
      <c r="U224" s="3605"/>
      <c r="V224" s="5503"/>
      <c r="W224" s="3606"/>
      <c r="X224" s="5558"/>
      <c r="Y224" s="5558"/>
      <c r="Z224" s="5558"/>
      <c r="AA224" s="5559"/>
      <c r="AB224" s="5585"/>
      <c r="AC224" s="4318"/>
      <c r="AD224" s="3545"/>
      <c r="AE224" s="5625"/>
      <c r="AF224" s="5625"/>
      <c r="AG224" s="11142"/>
    </row>
    <row r="225" spans="1:33" ht="28.5" customHeight="1">
      <c r="A225" s="11139"/>
      <c r="B225" s="10512" t="s">
        <v>127</v>
      </c>
      <c r="C225" s="10444" t="s">
        <v>128</v>
      </c>
      <c r="D225" s="10444" t="s">
        <v>129</v>
      </c>
      <c r="E225" s="10444" t="s">
        <v>268</v>
      </c>
      <c r="F225" s="10451" t="s">
        <v>131</v>
      </c>
      <c r="G225" s="10444" t="s">
        <v>132</v>
      </c>
      <c r="H225" s="10444" t="s">
        <v>159</v>
      </c>
      <c r="I225" s="10444" t="s">
        <v>5956</v>
      </c>
      <c r="J225" s="10444" t="s">
        <v>4517</v>
      </c>
      <c r="K225" s="10444" t="s">
        <v>5506</v>
      </c>
      <c r="L225" s="10455">
        <v>20</v>
      </c>
      <c r="M225" s="10455">
        <v>20</v>
      </c>
      <c r="N225" s="10455">
        <v>20</v>
      </c>
      <c r="O225" s="10444" t="s">
        <v>5957</v>
      </c>
      <c r="P225" s="10444" t="s">
        <v>5958</v>
      </c>
      <c r="Q225" s="10449" t="s">
        <v>5959</v>
      </c>
      <c r="R225" s="5451"/>
      <c r="S225" s="3650"/>
      <c r="T225" s="3650"/>
      <c r="U225" s="3622"/>
      <c r="V225" s="5504"/>
      <c r="W225" s="3623"/>
      <c r="X225" s="5560"/>
      <c r="Y225" s="5560"/>
      <c r="Z225" s="5560"/>
      <c r="AA225" s="5561"/>
      <c r="AB225" s="5586"/>
      <c r="AC225" s="4314"/>
      <c r="AD225" s="3658"/>
      <c r="AE225" s="3749"/>
      <c r="AF225" s="3749"/>
      <c r="AG225" s="10478"/>
    </row>
    <row r="226" spans="1:33" ht="28.5" customHeight="1">
      <c r="A226" s="11139"/>
      <c r="B226" s="11136"/>
      <c r="C226" s="11124"/>
      <c r="D226" s="11124"/>
      <c r="E226" s="11124"/>
      <c r="F226" s="11124"/>
      <c r="G226" s="11124"/>
      <c r="H226" s="11124"/>
      <c r="I226" s="11124"/>
      <c r="J226" s="11124"/>
      <c r="K226" s="11124"/>
      <c r="L226" s="11131"/>
      <c r="M226" s="11131"/>
      <c r="N226" s="11131"/>
      <c r="O226" s="11124"/>
      <c r="P226" s="11124"/>
      <c r="Q226" s="11127"/>
      <c r="R226" s="5446"/>
      <c r="S226" s="3579"/>
      <c r="T226" s="3579"/>
      <c r="U226" s="3578"/>
      <c r="V226" s="5499"/>
      <c r="W226" s="3579"/>
      <c r="X226" s="5552"/>
      <c r="Y226" s="5552"/>
      <c r="Z226" s="5552"/>
      <c r="AA226" s="5553"/>
      <c r="AB226" s="5581"/>
      <c r="AC226" s="4316"/>
      <c r="AD226" s="3496"/>
      <c r="AE226" s="3496"/>
      <c r="AF226" s="3690"/>
      <c r="AG226" s="11141"/>
    </row>
    <row r="227" spans="1:33" ht="28.5" customHeight="1">
      <c r="A227" s="11181"/>
      <c r="B227" s="11136"/>
      <c r="C227" s="11124"/>
      <c r="D227" s="11124"/>
      <c r="E227" s="11124"/>
      <c r="F227" s="11124"/>
      <c r="G227" s="11124"/>
      <c r="H227" s="11124"/>
      <c r="I227" s="11124"/>
      <c r="J227" s="11124"/>
      <c r="K227" s="11124"/>
      <c r="L227" s="11131"/>
      <c r="M227" s="11131"/>
      <c r="N227" s="11131"/>
      <c r="O227" s="11124"/>
      <c r="P227" s="11124"/>
      <c r="Q227" s="11127"/>
      <c r="R227" s="5446"/>
      <c r="S227" s="3579"/>
      <c r="T227" s="3579"/>
      <c r="U227" s="3578"/>
      <c r="V227" s="5499"/>
      <c r="W227" s="3579"/>
      <c r="X227" s="5552"/>
      <c r="Y227" s="5552"/>
      <c r="Z227" s="5552"/>
      <c r="AA227" s="5553"/>
      <c r="AB227" s="5581"/>
      <c r="AC227" s="4316"/>
      <c r="AD227" s="3496"/>
      <c r="AE227" s="3496"/>
      <c r="AF227" s="5610"/>
      <c r="AG227" s="11141"/>
    </row>
    <row r="228" spans="1:33" ht="28.5" customHeight="1">
      <c r="A228" s="10053" t="s">
        <v>4492</v>
      </c>
      <c r="B228" s="11136"/>
      <c r="C228" s="11124"/>
      <c r="D228" s="11124"/>
      <c r="E228" s="11124"/>
      <c r="F228" s="11124"/>
      <c r="G228" s="11124"/>
      <c r="H228" s="11124"/>
      <c r="I228" s="11124"/>
      <c r="J228" s="11124"/>
      <c r="K228" s="11124"/>
      <c r="L228" s="11131"/>
      <c r="M228" s="11131"/>
      <c r="N228" s="11131"/>
      <c r="O228" s="11124"/>
      <c r="P228" s="11124"/>
      <c r="Q228" s="11127"/>
      <c r="R228" s="5446"/>
      <c r="S228" s="3579"/>
      <c r="T228" s="3579"/>
      <c r="U228" s="3578"/>
      <c r="V228" s="5499"/>
      <c r="W228" s="3579"/>
      <c r="X228" s="5552"/>
      <c r="Y228" s="5552"/>
      <c r="Z228" s="5552"/>
      <c r="AA228" s="5553"/>
      <c r="AB228" s="5581"/>
      <c r="AC228" s="4316"/>
      <c r="AD228" s="3496"/>
      <c r="AE228" s="3496"/>
      <c r="AF228" s="5610"/>
      <c r="AG228" s="11141"/>
    </row>
    <row r="229" spans="1:33" ht="28.5" customHeight="1">
      <c r="A229" s="11139"/>
      <c r="B229" s="11137"/>
      <c r="C229" s="11125"/>
      <c r="D229" s="11125"/>
      <c r="E229" s="11125"/>
      <c r="F229" s="11125"/>
      <c r="G229" s="11125"/>
      <c r="H229" s="11125"/>
      <c r="I229" s="11125"/>
      <c r="J229" s="11125"/>
      <c r="K229" s="11125"/>
      <c r="L229" s="11134"/>
      <c r="M229" s="11134"/>
      <c r="N229" s="11134"/>
      <c r="O229" s="11125"/>
      <c r="P229" s="11125"/>
      <c r="Q229" s="11135"/>
      <c r="R229" s="5448"/>
      <c r="S229" s="3617"/>
      <c r="T229" s="3617"/>
      <c r="U229" s="3616"/>
      <c r="V229" s="5509"/>
      <c r="W229" s="3617"/>
      <c r="X229" s="5554"/>
      <c r="Y229" s="5554"/>
      <c r="Z229" s="5554"/>
      <c r="AA229" s="5555"/>
      <c r="AB229" s="5592"/>
      <c r="AC229" s="4320"/>
      <c r="AD229" s="3714"/>
      <c r="AE229" s="3714"/>
      <c r="AF229" s="5624"/>
      <c r="AG229" s="11143"/>
    </row>
    <row r="230" spans="1:33" ht="28.5" customHeight="1">
      <c r="A230" s="11139"/>
      <c r="B230" s="10516" t="s">
        <v>127</v>
      </c>
      <c r="C230" s="10433" t="s">
        <v>128</v>
      </c>
      <c r="D230" s="10433" t="s">
        <v>129</v>
      </c>
      <c r="E230" s="10433" t="s">
        <v>268</v>
      </c>
      <c r="F230" s="10442" t="s">
        <v>131</v>
      </c>
      <c r="G230" s="10433" t="s">
        <v>132</v>
      </c>
      <c r="H230" s="10433" t="s">
        <v>159</v>
      </c>
      <c r="I230" s="10433" t="s">
        <v>5960</v>
      </c>
      <c r="J230" s="10433" t="s">
        <v>4523</v>
      </c>
      <c r="K230" s="10433" t="s">
        <v>5511</v>
      </c>
      <c r="L230" s="10470">
        <v>1</v>
      </c>
      <c r="M230" s="10470">
        <v>1</v>
      </c>
      <c r="N230" s="10470">
        <v>2</v>
      </c>
      <c r="O230" s="10433" t="s">
        <v>5961</v>
      </c>
      <c r="P230" s="10433" t="s">
        <v>5962</v>
      </c>
      <c r="Q230" s="10439" t="s">
        <v>5963</v>
      </c>
      <c r="R230" s="5449"/>
      <c r="S230" s="4336"/>
      <c r="T230" s="4336"/>
      <c r="U230" s="3597"/>
      <c r="V230" s="5502"/>
      <c r="W230" s="3598"/>
      <c r="X230" s="5556"/>
      <c r="Y230" s="5556"/>
      <c r="Z230" s="5556"/>
      <c r="AA230" s="5557"/>
      <c r="AB230" s="5584"/>
      <c r="AC230" s="4338"/>
      <c r="AD230" s="3709"/>
      <c r="AE230" s="5626"/>
      <c r="AF230" s="5626"/>
      <c r="AG230" s="10481"/>
    </row>
    <row r="231" spans="1:33" ht="28.5" customHeight="1">
      <c r="A231" s="11139"/>
      <c r="B231" s="11136"/>
      <c r="C231" s="11124"/>
      <c r="D231" s="11124"/>
      <c r="E231" s="11124"/>
      <c r="F231" s="11124"/>
      <c r="G231" s="11124"/>
      <c r="H231" s="11124"/>
      <c r="I231" s="11124"/>
      <c r="J231" s="11124"/>
      <c r="K231" s="11124"/>
      <c r="L231" s="11131"/>
      <c r="M231" s="11131"/>
      <c r="N231" s="11131"/>
      <c r="O231" s="11124"/>
      <c r="P231" s="11124"/>
      <c r="Q231" s="11127"/>
      <c r="R231" s="5446"/>
      <c r="S231" s="3579"/>
      <c r="T231" s="3579"/>
      <c r="U231" s="3578"/>
      <c r="V231" s="5499"/>
      <c r="W231" s="3579"/>
      <c r="X231" s="5552"/>
      <c r="Y231" s="5552"/>
      <c r="Z231" s="5552"/>
      <c r="AA231" s="5553"/>
      <c r="AB231" s="5581"/>
      <c r="AC231" s="4316"/>
      <c r="AD231" s="3496"/>
      <c r="AE231" s="5610"/>
      <c r="AF231" s="5610"/>
      <c r="AG231" s="11141"/>
    </row>
    <row r="232" spans="1:33" ht="28.5" customHeight="1">
      <c r="A232" s="11139"/>
      <c r="B232" s="11136"/>
      <c r="C232" s="11124"/>
      <c r="D232" s="11124"/>
      <c r="E232" s="11124"/>
      <c r="F232" s="11124"/>
      <c r="G232" s="11124"/>
      <c r="H232" s="11124"/>
      <c r="I232" s="11124"/>
      <c r="J232" s="11124"/>
      <c r="K232" s="11124"/>
      <c r="L232" s="11131"/>
      <c r="M232" s="11131"/>
      <c r="N232" s="11131"/>
      <c r="O232" s="11124"/>
      <c r="P232" s="11124"/>
      <c r="Q232" s="11127"/>
      <c r="R232" s="5446"/>
      <c r="S232" s="3579"/>
      <c r="T232" s="3579"/>
      <c r="U232" s="3578"/>
      <c r="V232" s="5499"/>
      <c r="W232" s="3579"/>
      <c r="X232" s="5552"/>
      <c r="Y232" s="5552"/>
      <c r="Z232" s="5552"/>
      <c r="AA232" s="5553"/>
      <c r="AB232" s="5581"/>
      <c r="AC232" s="4316"/>
      <c r="AD232" s="3496"/>
      <c r="AE232" s="5610"/>
      <c r="AF232" s="5610"/>
      <c r="AG232" s="11141"/>
    </row>
    <row r="233" spans="1:33" ht="28.5" customHeight="1">
      <c r="A233" s="11139"/>
      <c r="B233" s="11136"/>
      <c r="C233" s="11124"/>
      <c r="D233" s="11124"/>
      <c r="E233" s="11124"/>
      <c r="F233" s="11124"/>
      <c r="G233" s="11124"/>
      <c r="H233" s="11124"/>
      <c r="I233" s="11124"/>
      <c r="J233" s="11124"/>
      <c r="K233" s="11124"/>
      <c r="L233" s="11131"/>
      <c r="M233" s="11131"/>
      <c r="N233" s="11131"/>
      <c r="O233" s="11124"/>
      <c r="P233" s="11124"/>
      <c r="Q233" s="11127"/>
      <c r="R233" s="5446"/>
      <c r="S233" s="3579"/>
      <c r="T233" s="3579"/>
      <c r="U233" s="3578"/>
      <c r="V233" s="5499"/>
      <c r="W233" s="3579"/>
      <c r="X233" s="5552"/>
      <c r="Y233" s="5552"/>
      <c r="Z233" s="5552"/>
      <c r="AA233" s="5553"/>
      <c r="AB233" s="5581"/>
      <c r="AC233" s="4316"/>
      <c r="AD233" s="3496"/>
      <c r="AE233" s="5610"/>
      <c r="AF233" s="5610"/>
      <c r="AG233" s="11141"/>
    </row>
    <row r="234" spans="1:33" ht="28.5" customHeight="1">
      <c r="A234" s="11139"/>
      <c r="B234" s="11138"/>
      <c r="C234" s="11126"/>
      <c r="D234" s="11126"/>
      <c r="E234" s="11126"/>
      <c r="F234" s="11126"/>
      <c r="G234" s="11126"/>
      <c r="H234" s="11126"/>
      <c r="I234" s="11126"/>
      <c r="J234" s="11126"/>
      <c r="K234" s="11126"/>
      <c r="L234" s="11132"/>
      <c r="M234" s="11132"/>
      <c r="N234" s="11132"/>
      <c r="O234" s="11126"/>
      <c r="P234" s="11126"/>
      <c r="Q234" s="11128"/>
      <c r="R234" s="5450"/>
      <c r="S234" s="3606"/>
      <c r="T234" s="3606"/>
      <c r="U234" s="3605"/>
      <c r="V234" s="5503"/>
      <c r="W234" s="3606"/>
      <c r="X234" s="5558"/>
      <c r="Y234" s="5558"/>
      <c r="Z234" s="5558"/>
      <c r="AA234" s="5559"/>
      <c r="AB234" s="5585"/>
      <c r="AC234" s="4318"/>
      <c r="AD234" s="3545"/>
      <c r="AE234" s="5625"/>
      <c r="AF234" s="5625"/>
      <c r="AG234" s="11142"/>
    </row>
    <row r="235" spans="1:33" ht="28.5" customHeight="1">
      <c r="A235" s="11139"/>
      <c r="B235" s="10512" t="s">
        <v>127</v>
      </c>
      <c r="C235" s="10444" t="s">
        <v>128</v>
      </c>
      <c r="D235" s="10444" t="s">
        <v>129</v>
      </c>
      <c r="E235" s="10444" t="s">
        <v>268</v>
      </c>
      <c r="F235" s="10451" t="s">
        <v>131</v>
      </c>
      <c r="G235" s="10444" t="s">
        <v>132</v>
      </c>
      <c r="H235" s="10444" t="s">
        <v>159</v>
      </c>
      <c r="I235" s="10444" t="s">
        <v>5964</v>
      </c>
      <c r="J235" s="10444" t="s">
        <v>4529</v>
      </c>
      <c r="K235" s="10444" t="s">
        <v>5515</v>
      </c>
      <c r="L235" s="10455">
        <v>1</v>
      </c>
      <c r="M235" s="10455">
        <v>0</v>
      </c>
      <c r="N235" s="10455">
        <v>1</v>
      </c>
      <c r="O235" s="10444" t="s">
        <v>5965</v>
      </c>
      <c r="P235" s="10444" t="s">
        <v>5966</v>
      </c>
      <c r="Q235" s="10449" t="s">
        <v>5954</v>
      </c>
      <c r="R235" s="5451"/>
      <c r="S235" s="3650"/>
      <c r="T235" s="3650"/>
      <c r="U235" s="3622"/>
      <c r="V235" s="5504"/>
      <c r="W235" s="3623"/>
      <c r="X235" s="5560"/>
      <c r="Y235" s="5560"/>
      <c r="Z235" s="5560"/>
      <c r="AA235" s="5561"/>
      <c r="AB235" s="5586"/>
      <c r="AC235" s="4314"/>
      <c r="AD235" s="3658"/>
      <c r="AE235" s="5623"/>
      <c r="AF235" s="5623"/>
      <c r="AG235" s="10478"/>
    </row>
    <row r="236" spans="1:33" ht="28.5" customHeight="1">
      <c r="A236" s="11139"/>
      <c r="B236" s="11136"/>
      <c r="C236" s="11124"/>
      <c r="D236" s="11124"/>
      <c r="E236" s="11124"/>
      <c r="F236" s="11124"/>
      <c r="G236" s="11124"/>
      <c r="H236" s="11124"/>
      <c r="I236" s="11124"/>
      <c r="J236" s="11124"/>
      <c r="K236" s="11124"/>
      <c r="L236" s="11131"/>
      <c r="M236" s="11131"/>
      <c r="N236" s="11131"/>
      <c r="O236" s="11124"/>
      <c r="P236" s="11124"/>
      <c r="Q236" s="11127"/>
      <c r="R236" s="5446"/>
      <c r="S236" s="3579"/>
      <c r="T236" s="3579"/>
      <c r="U236" s="3578"/>
      <c r="V236" s="5499"/>
      <c r="W236" s="3579"/>
      <c r="X236" s="5552"/>
      <c r="Y236" s="5552"/>
      <c r="Z236" s="5552"/>
      <c r="AA236" s="5553"/>
      <c r="AB236" s="5581"/>
      <c r="AC236" s="4316"/>
      <c r="AD236" s="3496"/>
      <c r="AE236" s="5610"/>
      <c r="AF236" s="5610"/>
      <c r="AG236" s="11141"/>
    </row>
    <row r="237" spans="1:33" ht="28.5" customHeight="1">
      <c r="A237" s="11139"/>
      <c r="B237" s="11136"/>
      <c r="C237" s="11124"/>
      <c r="D237" s="11124"/>
      <c r="E237" s="11124"/>
      <c r="F237" s="11124"/>
      <c r="G237" s="11124"/>
      <c r="H237" s="11124"/>
      <c r="I237" s="11124"/>
      <c r="J237" s="11124"/>
      <c r="K237" s="11124"/>
      <c r="L237" s="11131"/>
      <c r="M237" s="11131"/>
      <c r="N237" s="11131"/>
      <c r="O237" s="11124"/>
      <c r="P237" s="11124"/>
      <c r="Q237" s="11127"/>
      <c r="R237" s="5446"/>
      <c r="S237" s="3579"/>
      <c r="T237" s="3579"/>
      <c r="U237" s="3578"/>
      <c r="V237" s="5499"/>
      <c r="W237" s="3579"/>
      <c r="X237" s="5552"/>
      <c r="Y237" s="5552"/>
      <c r="Z237" s="5552"/>
      <c r="AA237" s="5553"/>
      <c r="AB237" s="5581"/>
      <c r="AC237" s="4316"/>
      <c r="AD237" s="3496"/>
      <c r="AE237" s="5610"/>
      <c r="AF237" s="5610"/>
      <c r="AG237" s="11141"/>
    </row>
    <row r="238" spans="1:33" ht="28.5" customHeight="1">
      <c r="A238" s="11139"/>
      <c r="B238" s="11136"/>
      <c r="C238" s="11124"/>
      <c r="D238" s="11124"/>
      <c r="E238" s="11124"/>
      <c r="F238" s="11124"/>
      <c r="G238" s="11124"/>
      <c r="H238" s="11124"/>
      <c r="I238" s="11124"/>
      <c r="J238" s="11124"/>
      <c r="K238" s="11124"/>
      <c r="L238" s="11131"/>
      <c r="M238" s="11131"/>
      <c r="N238" s="11131"/>
      <c r="O238" s="11124"/>
      <c r="P238" s="11124"/>
      <c r="Q238" s="11127"/>
      <c r="R238" s="5447"/>
      <c r="S238" s="4325"/>
      <c r="T238" s="4325"/>
      <c r="U238" s="3578"/>
      <c r="V238" s="5499"/>
      <c r="W238" s="3579"/>
      <c r="X238" s="5552"/>
      <c r="Y238" s="5552"/>
      <c r="Z238" s="5552"/>
      <c r="AA238" s="5553"/>
      <c r="AB238" s="5581"/>
      <c r="AC238" s="4316"/>
      <c r="AD238" s="3496"/>
      <c r="AE238" s="5610"/>
      <c r="AF238" s="5610"/>
      <c r="AG238" s="11141"/>
    </row>
    <row r="239" spans="1:33" ht="28.5" customHeight="1">
      <c r="A239" s="11139"/>
      <c r="B239" s="11137"/>
      <c r="C239" s="11125"/>
      <c r="D239" s="11125"/>
      <c r="E239" s="11125"/>
      <c r="F239" s="11125"/>
      <c r="G239" s="11125"/>
      <c r="H239" s="11125"/>
      <c r="I239" s="11125"/>
      <c r="J239" s="11125"/>
      <c r="K239" s="11125"/>
      <c r="L239" s="11134"/>
      <c r="M239" s="11134"/>
      <c r="N239" s="11134"/>
      <c r="O239" s="11125"/>
      <c r="P239" s="11125"/>
      <c r="Q239" s="11135"/>
      <c r="R239" s="5448"/>
      <c r="S239" s="3617"/>
      <c r="T239" s="3617"/>
      <c r="U239" s="3616"/>
      <c r="V239" s="5509"/>
      <c r="W239" s="3617"/>
      <c r="X239" s="5554"/>
      <c r="Y239" s="5554"/>
      <c r="Z239" s="5554"/>
      <c r="AA239" s="5555"/>
      <c r="AB239" s="5592"/>
      <c r="AC239" s="4320"/>
      <c r="AD239" s="3714"/>
      <c r="AE239" s="5624"/>
      <c r="AF239" s="5624"/>
      <c r="AG239" s="11143"/>
    </row>
    <row r="240" spans="1:33" ht="28.5" customHeight="1">
      <c r="A240" s="11139"/>
      <c r="B240" s="10516" t="s">
        <v>127</v>
      </c>
      <c r="C240" s="10433" t="s">
        <v>128</v>
      </c>
      <c r="D240" s="10433" t="s">
        <v>129</v>
      </c>
      <c r="E240" s="10433" t="s">
        <v>268</v>
      </c>
      <c r="F240" s="10442" t="s">
        <v>131</v>
      </c>
      <c r="G240" s="10433" t="s">
        <v>132</v>
      </c>
      <c r="H240" s="10433" t="s">
        <v>159</v>
      </c>
      <c r="I240" s="10433" t="s">
        <v>5967</v>
      </c>
      <c r="J240" s="10433" t="s">
        <v>4535</v>
      </c>
      <c r="K240" s="10433" t="s">
        <v>5520</v>
      </c>
      <c r="L240" s="10470">
        <v>200</v>
      </c>
      <c r="M240" s="10470">
        <v>300</v>
      </c>
      <c r="N240" s="10470">
        <v>50</v>
      </c>
      <c r="O240" s="10433" t="s">
        <v>5968</v>
      </c>
      <c r="P240" s="10433" t="s">
        <v>5522</v>
      </c>
      <c r="Q240" s="10439" t="s">
        <v>5969</v>
      </c>
      <c r="R240" s="5449"/>
      <c r="S240" s="4336"/>
      <c r="T240" s="4336"/>
      <c r="U240" s="3597"/>
      <c r="V240" s="5502"/>
      <c r="W240" s="3598"/>
      <c r="X240" s="5556"/>
      <c r="Y240" s="5556"/>
      <c r="Z240" s="5556"/>
      <c r="AA240" s="5557"/>
      <c r="AB240" s="5584"/>
      <c r="AC240" s="4338"/>
      <c r="AD240" s="3709"/>
      <c r="AE240" s="3746"/>
      <c r="AF240" s="3746"/>
      <c r="AG240" s="10481"/>
    </row>
    <row r="241" spans="1:33" ht="28.5" customHeight="1">
      <c r="A241" s="11139"/>
      <c r="B241" s="11136"/>
      <c r="C241" s="11124"/>
      <c r="D241" s="11124"/>
      <c r="E241" s="11124"/>
      <c r="F241" s="11124"/>
      <c r="G241" s="11124"/>
      <c r="H241" s="11124"/>
      <c r="I241" s="11124"/>
      <c r="J241" s="11124"/>
      <c r="K241" s="11124"/>
      <c r="L241" s="11131"/>
      <c r="M241" s="11131"/>
      <c r="N241" s="11131"/>
      <c r="O241" s="11124"/>
      <c r="P241" s="11124"/>
      <c r="Q241" s="11127"/>
      <c r="R241" s="5446"/>
      <c r="S241" s="3579"/>
      <c r="T241" s="3579"/>
      <c r="U241" s="3578"/>
      <c r="V241" s="5499"/>
      <c r="W241" s="3579"/>
      <c r="X241" s="5552"/>
      <c r="Y241" s="5552"/>
      <c r="Z241" s="5552"/>
      <c r="AA241" s="5553"/>
      <c r="AB241" s="5581"/>
      <c r="AC241" s="4316"/>
      <c r="AD241" s="3496"/>
      <c r="AE241" s="3496"/>
      <c r="AF241" s="3690"/>
      <c r="AG241" s="11141"/>
    </row>
    <row r="242" spans="1:33" ht="28.5" customHeight="1">
      <c r="A242" s="11139"/>
      <c r="B242" s="11136"/>
      <c r="C242" s="11124"/>
      <c r="D242" s="11124"/>
      <c r="E242" s="11124"/>
      <c r="F242" s="11124"/>
      <c r="G242" s="11124"/>
      <c r="H242" s="11124"/>
      <c r="I242" s="11124"/>
      <c r="J242" s="11124"/>
      <c r="K242" s="11124"/>
      <c r="L242" s="11131"/>
      <c r="M242" s="11131"/>
      <c r="N242" s="11131"/>
      <c r="O242" s="11124"/>
      <c r="P242" s="11124"/>
      <c r="Q242" s="11127"/>
      <c r="R242" s="5446"/>
      <c r="S242" s="3579"/>
      <c r="T242" s="3579"/>
      <c r="U242" s="3578"/>
      <c r="V242" s="5499"/>
      <c r="W242" s="3579"/>
      <c r="X242" s="5552"/>
      <c r="Y242" s="5552"/>
      <c r="Z242" s="5552"/>
      <c r="AA242" s="5553"/>
      <c r="AB242" s="5581"/>
      <c r="AC242" s="4316"/>
      <c r="AD242" s="3496"/>
      <c r="AE242" s="3496"/>
      <c r="AF242" s="5610"/>
      <c r="AG242" s="11141"/>
    </row>
    <row r="243" spans="1:33" ht="28.5" customHeight="1">
      <c r="A243" s="11139"/>
      <c r="B243" s="11136"/>
      <c r="C243" s="11124"/>
      <c r="D243" s="11124"/>
      <c r="E243" s="11124"/>
      <c r="F243" s="11124"/>
      <c r="G243" s="11124"/>
      <c r="H243" s="11124"/>
      <c r="I243" s="11124"/>
      <c r="J243" s="11124"/>
      <c r="K243" s="11124"/>
      <c r="L243" s="11131"/>
      <c r="M243" s="11131"/>
      <c r="N243" s="11131"/>
      <c r="O243" s="11124"/>
      <c r="P243" s="11124"/>
      <c r="Q243" s="11127"/>
      <c r="R243" s="5446"/>
      <c r="S243" s="3579"/>
      <c r="T243" s="3579"/>
      <c r="U243" s="3578"/>
      <c r="V243" s="5499"/>
      <c r="W243" s="3579"/>
      <c r="X243" s="5552"/>
      <c r="Y243" s="5552"/>
      <c r="Z243" s="5552"/>
      <c r="AA243" s="5553"/>
      <c r="AB243" s="5581"/>
      <c r="AC243" s="4316"/>
      <c r="AD243" s="3496"/>
      <c r="AE243" s="3496"/>
      <c r="AF243" s="5610"/>
      <c r="AG243" s="11141"/>
    </row>
    <row r="244" spans="1:33" ht="28.5" customHeight="1">
      <c r="A244" s="11139"/>
      <c r="B244" s="11138"/>
      <c r="C244" s="11126"/>
      <c r="D244" s="11126"/>
      <c r="E244" s="11126"/>
      <c r="F244" s="11126"/>
      <c r="G244" s="11126"/>
      <c r="H244" s="11126"/>
      <c r="I244" s="11126"/>
      <c r="J244" s="11126"/>
      <c r="K244" s="11126"/>
      <c r="L244" s="11132"/>
      <c r="M244" s="11132"/>
      <c r="N244" s="11132"/>
      <c r="O244" s="11126"/>
      <c r="P244" s="11126"/>
      <c r="Q244" s="11128"/>
      <c r="R244" s="5450"/>
      <c r="S244" s="3606"/>
      <c r="T244" s="3606"/>
      <c r="U244" s="3605"/>
      <c r="V244" s="5503"/>
      <c r="W244" s="3606"/>
      <c r="X244" s="5558"/>
      <c r="Y244" s="5558"/>
      <c r="Z244" s="5558"/>
      <c r="AA244" s="5559"/>
      <c r="AB244" s="5585"/>
      <c r="AC244" s="4318"/>
      <c r="AD244" s="3545"/>
      <c r="AE244" s="3545"/>
      <c r="AF244" s="5625"/>
      <c r="AG244" s="11142"/>
    </row>
    <row r="245" spans="1:33" ht="28.5" customHeight="1">
      <c r="A245" s="11139"/>
      <c r="B245" s="10512" t="s">
        <v>127</v>
      </c>
      <c r="C245" s="10444" t="s">
        <v>128</v>
      </c>
      <c r="D245" s="10444" t="s">
        <v>129</v>
      </c>
      <c r="E245" s="10444" t="s">
        <v>268</v>
      </c>
      <c r="F245" s="10451" t="s">
        <v>131</v>
      </c>
      <c r="G245" s="10444" t="s">
        <v>132</v>
      </c>
      <c r="H245" s="10444" t="s">
        <v>159</v>
      </c>
      <c r="I245" s="10444" t="s">
        <v>5970</v>
      </c>
      <c r="J245" s="10444" t="s">
        <v>4541</v>
      </c>
      <c r="K245" s="10444" t="s">
        <v>5524</v>
      </c>
      <c r="L245" s="10455">
        <v>21</v>
      </c>
      <c r="M245" s="10455">
        <v>43</v>
      </c>
      <c r="N245" s="10455">
        <v>38</v>
      </c>
      <c r="O245" s="10444" t="s">
        <v>5971</v>
      </c>
      <c r="P245" s="10444" t="s">
        <v>5972</v>
      </c>
      <c r="Q245" s="10449" t="s">
        <v>5973</v>
      </c>
      <c r="R245" s="5451"/>
      <c r="S245" s="3650"/>
      <c r="T245" s="3650"/>
      <c r="U245" s="3622"/>
      <c r="V245" s="5504"/>
      <c r="W245" s="3623"/>
      <c r="X245" s="5560"/>
      <c r="Y245" s="5560"/>
      <c r="Z245" s="5560"/>
      <c r="AA245" s="5561"/>
      <c r="AB245" s="5586"/>
      <c r="AC245" s="4314"/>
      <c r="AD245" s="3658"/>
      <c r="AE245" s="5623"/>
      <c r="AF245" s="5623"/>
      <c r="AG245" s="10478"/>
    </row>
    <row r="246" spans="1:33" ht="28.5" customHeight="1">
      <c r="A246" s="11139"/>
      <c r="B246" s="11136"/>
      <c r="C246" s="11124"/>
      <c r="D246" s="11124"/>
      <c r="E246" s="11124"/>
      <c r="F246" s="11124"/>
      <c r="G246" s="11124"/>
      <c r="H246" s="11124"/>
      <c r="I246" s="11124"/>
      <c r="J246" s="11124"/>
      <c r="K246" s="11124"/>
      <c r="L246" s="11131"/>
      <c r="M246" s="11131"/>
      <c r="N246" s="11131"/>
      <c r="O246" s="11124"/>
      <c r="P246" s="11124"/>
      <c r="Q246" s="11127"/>
      <c r="R246" s="5446"/>
      <c r="S246" s="3579"/>
      <c r="T246" s="3579"/>
      <c r="U246" s="3578"/>
      <c r="V246" s="5499"/>
      <c r="W246" s="3579"/>
      <c r="X246" s="5552"/>
      <c r="Y246" s="5552"/>
      <c r="Z246" s="5552"/>
      <c r="AA246" s="5553"/>
      <c r="AB246" s="5581"/>
      <c r="AC246" s="4316"/>
      <c r="AD246" s="3496"/>
      <c r="AE246" s="5610"/>
      <c r="AF246" s="5610"/>
      <c r="AG246" s="11141"/>
    </row>
    <row r="247" spans="1:33" ht="28.5" customHeight="1">
      <c r="A247" s="11139"/>
      <c r="B247" s="11136"/>
      <c r="C247" s="11124"/>
      <c r="D247" s="11124"/>
      <c r="E247" s="11124"/>
      <c r="F247" s="11124"/>
      <c r="G247" s="11124"/>
      <c r="H247" s="11124"/>
      <c r="I247" s="11124"/>
      <c r="J247" s="11124"/>
      <c r="K247" s="11124"/>
      <c r="L247" s="11131"/>
      <c r="M247" s="11131"/>
      <c r="N247" s="11131"/>
      <c r="O247" s="11124"/>
      <c r="P247" s="11124"/>
      <c r="Q247" s="11127"/>
      <c r="R247" s="5446"/>
      <c r="S247" s="3579"/>
      <c r="T247" s="3579"/>
      <c r="U247" s="3578"/>
      <c r="V247" s="5499"/>
      <c r="W247" s="3579"/>
      <c r="X247" s="5552"/>
      <c r="Y247" s="5552"/>
      <c r="Z247" s="5552"/>
      <c r="AA247" s="5553"/>
      <c r="AB247" s="5581"/>
      <c r="AC247" s="4316"/>
      <c r="AD247" s="3496"/>
      <c r="AE247" s="5610"/>
      <c r="AF247" s="5610"/>
      <c r="AG247" s="11141"/>
    </row>
    <row r="248" spans="1:33" ht="28.5" customHeight="1">
      <c r="A248" s="11139"/>
      <c r="B248" s="11136"/>
      <c r="C248" s="11124"/>
      <c r="D248" s="11124"/>
      <c r="E248" s="11124"/>
      <c r="F248" s="11124"/>
      <c r="G248" s="11124"/>
      <c r="H248" s="11124"/>
      <c r="I248" s="11124"/>
      <c r="J248" s="11124"/>
      <c r="K248" s="11124"/>
      <c r="L248" s="11131"/>
      <c r="M248" s="11131"/>
      <c r="N248" s="11131"/>
      <c r="O248" s="11124"/>
      <c r="P248" s="11124"/>
      <c r="Q248" s="11127"/>
      <c r="R248" s="5446"/>
      <c r="S248" s="3579"/>
      <c r="T248" s="3579"/>
      <c r="U248" s="3578"/>
      <c r="V248" s="5499"/>
      <c r="W248" s="3579"/>
      <c r="X248" s="5552"/>
      <c r="Y248" s="5552"/>
      <c r="Z248" s="5552"/>
      <c r="AA248" s="5553"/>
      <c r="AB248" s="5581"/>
      <c r="AC248" s="4316"/>
      <c r="AD248" s="3496"/>
      <c r="AE248" s="5610"/>
      <c r="AF248" s="5610"/>
      <c r="AG248" s="11141"/>
    </row>
    <row r="249" spans="1:33" ht="28.5" customHeight="1">
      <c r="A249" s="11139"/>
      <c r="B249" s="11137"/>
      <c r="C249" s="11125"/>
      <c r="D249" s="11125"/>
      <c r="E249" s="11125"/>
      <c r="F249" s="11125"/>
      <c r="G249" s="11125"/>
      <c r="H249" s="11125"/>
      <c r="I249" s="11125"/>
      <c r="J249" s="11125"/>
      <c r="K249" s="11125"/>
      <c r="L249" s="11134"/>
      <c r="M249" s="11134"/>
      <c r="N249" s="11134"/>
      <c r="O249" s="11125"/>
      <c r="P249" s="11125"/>
      <c r="Q249" s="11135"/>
      <c r="R249" s="5448"/>
      <c r="S249" s="3617"/>
      <c r="T249" s="3617"/>
      <c r="U249" s="3616"/>
      <c r="V249" s="5509"/>
      <c r="W249" s="3617"/>
      <c r="X249" s="5554"/>
      <c r="Y249" s="5554"/>
      <c r="Z249" s="5554"/>
      <c r="AA249" s="5555"/>
      <c r="AB249" s="5592"/>
      <c r="AC249" s="4320"/>
      <c r="AD249" s="3714"/>
      <c r="AE249" s="5624"/>
      <c r="AF249" s="5624"/>
      <c r="AG249" s="11143"/>
    </row>
    <row r="250" spans="1:33" ht="28.5" customHeight="1">
      <c r="A250" s="11139"/>
      <c r="B250" s="10516" t="s">
        <v>127</v>
      </c>
      <c r="C250" s="10433" t="s">
        <v>128</v>
      </c>
      <c r="D250" s="10433" t="s">
        <v>140</v>
      </c>
      <c r="E250" s="10433" t="s">
        <v>212</v>
      </c>
      <c r="F250" s="10442" t="s">
        <v>131</v>
      </c>
      <c r="G250" s="10433" t="s">
        <v>132</v>
      </c>
      <c r="H250" s="10433" t="s">
        <v>159</v>
      </c>
      <c r="I250" s="10433" t="s">
        <v>5974</v>
      </c>
      <c r="J250" s="10433" t="s">
        <v>4547</v>
      </c>
      <c r="K250" s="10433" t="s">
        <v>5528</v>
      </c>
      <c r="L250" s="10470">
        <v>1</v>
      </c>
      <c r="M250" s="10470">
        <v>1</v>
      </c>
      <c r="N250" s="10470">
        <v>1</v>
      </c>
      <c r="O250" s="10433" t="s">
        <v>5975</v>
      </c>
      <c r="P250" s="10433" t="s">
        <v>5976</v>
      </c>
      <c r="Q250" s="10439" t="s">
        <v>5977</v>
      </c>
      <c r="R250" s="5449"/>
      <c r="S250" s="4336"/>
      <c r="T250" s="4336"/>
      <c r="U250" s="3597"/>
      <c r="V250" s="5502"/>
      <c r="W250" s="3598"/>
      <c r="X250" s="5556"/>
      <c r="Y250" s="5556"/>
      <c r="Z250" s="5556"/>
      <c r="AA250" s="5557"/>
      <c r="AB250" s="5584"/>
      <c r="AC250" s="4338"/>
      <c r="AD250" s="3709"/>
      <c r="AE250" s="5626"/>
      <c r="AF250" s="5626"/>
      <c r="AG250" s="10481"/>
    </row>
    <row r="251" spans="1:33" ht="28.5" customHeight="1">
      <c r="A251" s="11139"/>
      <c r="B251" s="11136"/>
      <c r="C251" s="11124"/>
      <c r="D251" s="11124"/>
      <c r="E251" s="11124"/>
      <c r="F251" s="11124"/>
      <c r="G251" s="11124"/>
      <c r="H251" s="11124"/>
      <c r="I251" s="11124"/>
      <c r="J251" s="11124"/>
      <c r="K251" s="11124"/>
      <c r="L251" s="11131"/>
      <c r="M251" s="11131"/>
      <c r="N251" s="11131"/>
      <c r="O251" s="11124"/>
      <c r="P251" s="11124"/>
      <c r="Q251" s="11127"/>
      <c r="R251" s="5446"/>
      <c r="S251" s="3579"/>
      <c r="T251" s="3579"/>
      <c r="U251" s="3578"/>
      <c r="V251" s="5499"/>
      <c r="W251" s="3579"/>
      <c r="X251" s="5552"/>
      <c r="Y251" s="5552"/>
      <c r="Z251" s="5552"/>
      <c r="AA251" s="5553"/>
      <c r="AB251" s="5581"/>
      <c r="AC251" s="4316"/>
      <c r="AD251" s="3496"/>
      <c r="AE251" s="5610"/>
      <c r="AF251" s="5610"/>
      <c r="AG251" s="11141"/>
    </row>
    <row r="252" spans="1:33" ht="28.5" customHeight="1">
      <c r="A252" s="11139"/>
      <c r="B252" s="11136"/>
      <c r="C252" s="11124"/>
      <c r="D252" s="11124"/>
      <c r="E252" s="11124"/>
      <c r="F252" s="11124"/>
      <c r="G252" s="11124"/>
      <c r="H252" s="11124"/>
      <c r="I252" s="11124"/>
      <c r="J252" s="11124"/>
      <c r="K252" s="11124"/>
      <c r="L252" s="11131"/>
      <c r="M252" s="11131"/>
      <c r="N252" s="11131"/>
      <c r="O252" s="11124"/>
      <c r="P252" s="11124"/>
      <c r="Q252" s="11127"/>
      <c r="R252" s="5446"/>
      <c r="S252" s="3579"/>
      <c r="T252" s="3579"/>
      <c r="U252" s="3578"/>
      <c r="V252" s="5499"/>
      <c r="W252" s="3579"/>
      <c r="X252" s="5552"/>
      <c r="Y252" s="5552"/>
      <c r="Z252" s="5552"/>
      <c r="AA252" s="5553"/>
      <c r="AB252" s="5581"/>
      <c r="AC252" s="4316"/>
      <c r="AD252" s="3496"/>
      <c r="AE252" s="5610"/>
      <c r="AF252" s="5610"/>
      <c r="AG252" s="11141"/>
    </row>
    <row r="253" spans="1:33" ht="28.5" customHeight="1">
      <c r="A253" s="11139"/>
      <c r="B253" s="11136"/>
      <c r="C253" s="11124"/>
      <c r="D253" s="11124"/>
      <c r="E253" s="11124"/>
      <c r="F253" s="11124"/>
      <c r="G253" s="11124"/>
      <c r="H253" s="11124"/>
      <c r="I253" s="11124"/>
      <c r="J253" s="11124"/>
      <c r="K253" s="11124"/>
      <c r="L253" s="11131"/>
      <c r="M253" s="11131"/>
      <c r="N253" s="11131"/>
      <c r="O253" s="11124"/>
      <c r="P253" s="11124"/>
      <c r="Q253" s="11127"/>
      <c r="R253" s="5447"/>
      <c r="S253" s="4325"/>
      <c r="T253" s="4325"/>
      <c r="U253" s="3578"/>
      <c r="V253" s="5499"/>
      <c r="W253" s="3579"/>
      <c r="X253" s="5552"/>
      <c r="Y253" s="5552"/>
      <c r="Z253" s="5552"/>
      <c r="AA253" s="5553"/>
      <c r="AB253" s="5581"/>
      <c r="AC253" s="4316"/>
      <c r="AD253" s="3496"/>
      <c r="AE253" s="5610"/>
      <c r="AF253" s="5610"/>
      <c r="AG253" s="11141"/>
    </row>
    <row r="254" spans="1:33" ht="28.5" customHeight="1">
      <c r="A254" s="11139"/>
      <c r="B254" s="11137"/>
      <c r="C254" s="11125"/>
      <c r="D254" s="11125"/>
      <c r="E254" s="11125"/>
      <c r="F254" s="11125"/>
      <c r="G254" s="11125"/>
      <c r="H254" s="11125"/>
      <c r="I254" s="11125"/>
      <c r="J254" s="11125"/>
      <c r="K254" s="11125"/>
      <c r="L254" s="11134"/>
      <c r="M254" s="11134"/>
      <c r="N254" s="11134"/>
      <c r="O254" s="11125"/>
      <c r="P254" s="11125"/>
      <c r="Q254" s="11135"/>
      <c r="R254" s="5448"/>
      <c r="S254" s="3617"/>
      <c r="T254" s="3617"/>
      <c r="U254" s="3616"/>
      <c r="V254" s="5509"/>
      <c r="W254" s="3617"/>
      <c r="X254" s="5554"/>
      <c r="Y254" s="5554"/>
      <c r="Z254" s="5554"/>
      <c r="AA254" s="5555"/>
      <c r="AB254" s="5592"/>
      <c r="AC254" s="4320"/>
      <c r="AD254" s="3714"/>
      <c r="AE254" s="5624"/>
      <c r="AF254" s="5624"/>
      <c r="AG254" s="11143"/>
    </row>
    <row r="255" spans="1:33" ht="28.5" customHeight="1">
      <c r="A255" s="11139"/>
      <c r="B255" s="10516" t="s">
        <v>127</v>
      </c>
      <c r="C255" s="10433" t="s">
        <v>128</v>
      </c>
      <c r="D255" s="10433" t="s">
        <v>140</v>
      </c>
      <c r="E255" s="10433" t="s">
        <v>212</v>
      </c>
      <c r="F255" s="10442" t="s">
        <v>131</v>
      </c>
      <c r="G255" s="10433" t="s">
        <v>132</v>
      </c>
      <c r="H255" s="10433" t="s">
        <v>159</v>
      </c>
      <c r="I255" s="10433" t="s">
        <v>5978</v>
      </c>
      <c r="J255" s="10433" t="s">
        <v>286</v>
      </c>
      <c r="K255" s="10433" t="s">
        <v>2076</v>
      </c>
      <c r="L255" s="10470">
        <v>0</v>
      </c>
      <c r="M255" s="10470">
        <v>1</v>
      </c>
      <c r="N255" s="10470">
        <v>1</v>
      </c>
      <c r="O255" s="10433" t="s">
        <v>5979</v>
      </c>
      <c r="P255" s="10433" t="s">
        <v>5980</v>
      </c>
      <c r="Q255" s="10439" t="s">
        <v>5977</v>
      </c>
      <c r="R255" s="5449"/>
      <c r="S255" s="4336"/>
      <c r="T255" s="4336"/>
      <c r="U255" s="3597"/>
      <c r="V255" s="5502"/>
      <c r="W255" s="3598"/>
      <c r="X255" s="5556"/>
      <c r="Y255" s="5556"/>
      <c r="Z255" s="5556"/>
      <c r="AA255" s="5557"/>
      <c r="AB255" s="5584"/>
      <c r="AC255" s="4338"/>
      <c r="AD255" s="3709"/>
      <c r="AE255" s="3746"/>
      <c r="AF255" s="3746"/>
      <c r="AG255" s="10481"/>
    </row>
    <row r="256" spans="1:33" ht="28.5" customHeight="1">
      <c r="A256" s="11139"/>
      <c r="B256" s="11136"/>
      <c r="C256" s="11124"/>
      <c r="D256" s="11124"/>
      <c r="E256" s="11124"/>
      <c r="F256" s="11124"/>
      <c r="G256" s="11124"/>
      <c r="H256" s="11124"/>
      <c r="I256" s="11124"/>
      <c r="J256" s="11124"/>
      <c r="K256" s="11124"/>
      <c r="L256" s="11131"/>
      <c r="M256" s="11131"/>
      <c r="N256" s="11131"/>
      <c r="O256" s="11124"/>
      <c r="P256" s="11124"/>
      <c r="Q256" s="11127"/>
      <c r="R256" s="5446"/>
      <c r="S256" s="3579"/>
      <c r="T256" s="3579"/>
      <c r="U256" s="3578"/>
      <c r="V256" s="5499"/>
      <c r="W256" s="3579"/>
      <c r="X256" s="5552"/>
      <c r="Y256" s="5552"/>
      <c r="Z256" s="5552"/>
      <c r="AA256" s="5553"/>
      <c r="AB256" s="5581"/>
      <c r="AC256" s="4316"/>
      <c r="AD256" s="3496"/>
      <c r="AE256" s="3496"/>
      <c r="AF256" s="3690"/>
      <c r="AG256" s="11141"/>
    </row>
    <row r="257" spans="1:33" ht="28.5" customHeight="1">
      <c r="A257" s="11139"/>
      <c r="B257" s="11136"/>
      <c r="C257" s="11124"/>
      <c r="D257" s="11124"/>
      <c r="E257" s="11124"/>
      <c r="F257" s="11124"/>
      <c r="G257" s="11124"/>
      <c r="H257" s="11124"/>
      <c r="I257" s="11124"/>
      <c r="J257" s="11124"/>
      <c r="K257" s="11124"/>
      <c r="L257" s="11131"/>
      <c r="M257" s="11131"/>
      <c r="N257" s="11131"/>
      <c r="O257" s="11124"/>
      <c r="P257" s="11124"/>
      <c r="Q257" s="11127"/>
      <c r="R257" s="5446"/>
      <c r="S257" s="3579"/>
      <c r="T257" s="3579"/>
      <c r="U257" s="3578"/>
      <c r="V257" s="5499"/>
      <c r="W257" s="3579"/>
      <c r="X257" s="5552"/>
      <c r="Y257" s="5552"/>
      <c r="Z257" s="5552"/>
      <c r="AA257" s="5553"/>
      <c r="AB257" s="5581"/>
      <c r="AC257" s="4316"/>
      <c r="AD257" s="3496"/>
      <c r="AE257" s="3496"/>
      <c r="AF257" s="5610"/>
      <c r="AG257" s="11141"/>
    </row>
    <row r="258" spans="1:33" ht="28.5" customHeight="1">
      <c r="A258" s="11139"/>
      <c r="B258" s="11136"/>
      <c r="C258" s="11124"/>
      <c r="D258" s="11124"/>
      <c r="E258" s="11124"/>
      <c r="F258" s="11124"/>
      <c r="G258" s="11124"/>
      <c r="H258" s="11124"/>
      <c r="I258" s="11124"/>
      <c r="J258" s="11124"/>
      <c r="K258" s="11124"/>
      <c r="L258" s="11131"/>
      <c r="M258" s="11131"/>
      <c r="N258" s="11131"/>
      <c r="O258" s="11124"/>
      <c r="P258" s="11124"/>
      <c r="Q258" s="11127"/>
      <c r="R258" s="5446"/>
      <c r="S258" s="3579"/>
      <c r="T258" s="3579"/>
      <c r="U258" s="3578"/>
      <c r="V258" s="5499"/>
      <c r="W258" s="3579"/>
      <c r="X258" s="5552"/>
      <c r="Y258" s="5552"/>
      <c r="Z258" s="5552"/>
      <c r="AA258" s="5553"/>
      <c r="AB258" s="5581"/>
      <c r="AC258" s="4316"/>
      <c r="AD258" s="3496"/>
      <c r="AE258" s="3496"/>
      <c r="AF258" s="5610"/>
      <c r="AG258" s="11141"/>
    </row>
    <row r="259" spans="1:33" ht="30" customHeight="1">
      <c r="A259" s="11139"/>
      <c r="B259" s="11138"/>
      <c r="C259" s="11126"/>
      <c r="D259" s="11126"/>
      <c r="E259" s="11126"/>
      <c r="F259" s="11126"/>
      <c r="G259" s="11126"/>
      <c r="H259" s="11126"/>
      <c r="I259" s="11126"/>
      <c r="J259" s="11126"/>
      <c r="K259" s="11126"/>
      <c r="L259" s="11132"/>
      <c r="M259" s="11132"/>
      <c r="N259" s="11132"/>
      <c r="O259" s="11126"/>
      <c r="P259" s="11126"/>
      <c r="Q259" s="11128"/>
      <c r="R259" s="5450"/>
      <c r="S259" s="3606"/>
      <c r="T259" s="3606"/>
      <c r="U259" s="3605"/>
      <c r="V259" s="5503"/>
      <c r="W259" s="3606"/>
      <c r="X259" s="5558"/>
      <c r="Y259" s="5558"/>
      <c r="Z259" s="5558"/>
      <c r="AA259" s="5559"/>
      <c r="AB259" s="5585"/>
      <c r="AC259" s="4318"/>
      <c r="AD259" s="3545"/>
      <c r="AE259" s="3545"/>
      <c r="AF259" s="5625"/>
      <c r="AG259" s="11142"/>
    </row>
    <row r="260" spans="1:33" ht="30" customHeight="1">
      <c r="A260" s="11139"/>
      <c r="B260" s="10512" t="s">
        <v>127</v>
      </c>
      <c r="C260" s="10444" t="s">
        <v>128</v>
      </c>
      <c r="D260" s="10444" t="s">
        <v>129</v>
      </c>
      <c r="E260" s="10444" t="s">
        <v>268</v>
      </c>
      <c r="F260" s="10451" t="s">
        <v>131</v>
      </c>
      <c r="G260" s="10444" t="s">
        <v>132</v>
      </c>
      <c r="H260" s="10444" t="s">
        <v>159</v>
      </c>
      <c r="I260" s="10444" t="s">
        <v>5981</v>
      </c>
      <c r="J260" s="10444" t="s">
        <v>1378</v>
      </c>
      <c r="K260" s="10444" t="s">
        <v>5982</v>
      </c>
      <c r="L260" s="10455">
        <v>3</v>
      </c>
      <c r="M260" s="10455">
        <v>3</v>
      </c>
      <c r="N260" s="10455">
        <v>6</v>
      </c>
      <c r="O260" s="10444" t="s">
        <v>5983</v>
      </c>
      <c r="P260" s="10444" t="s">
        <v>5984</v>
      </c>
      <c r="Q260" s="10449" t="s">
        <v>5985</v>
      </c>
      <c r="R260" s="5451"/>
      <c r="S260" s="3650"/>
      <c r="T260" s="3650"/>
      <c r="U260" s="3622"/>
      <c r="V260" s="5504"/>
      <c r="W260" s="3623"/>
      <c r="X260" s="5560"/>
      <c r="Y260" s="5560"/>
      <c r="Z260" s="5560"/>
      <c r="AA260" s="5561"/>
      <c r="AB260" s="5586"/>
      <c r="AC260" s="4314"/>
      <c r="AD260" s="3658"/>
      <c r="AE260" s="5623"/>
      <c r="AF260" s="5623"/>
      <c r="AG260" s="10478"/>
    </row>
    <row r="261" spans="1:33" ht="30" customHeight="1">
      <c r="A261" s="11139"/>
      <c r="B261" s="11136"/>
      <c r="C261" s="11124"/>
      <c r="D261" s="11124"/>
      <c r="E261" s="11124"/>
      <c r="F261" s="11124"/>
      <c r="G261" s="11124"/>
      <c r="H261" s="11124"/>
      <c r="I261" s="11124"/>
      <c r="J261" s="11124"/>
      <c r="K261" s="11124"/>
      <c r="L261" s="11131"/>
      <c r="M261" s="11131"/>
      <c r="N261" s="11131"/>
      <c r="O261" s="11124"/>
      <c r="P261" s="11124"/>
      <c r="Q261" s="11127"/>
      <c r="R261" s="5446"/>
      <c r="S261" s="3579"/>
      <c r="T261" s="3579"/>
      <c r="U261" s="3578"/>
      <c r="V261" s="5499"/>
      <c r="W261" s="3579"/>
      <c r="X261" s="5552"/>
      <c r="Y261" s="5552"/>
      <c r="Z261" s="5552"/>
      <c r="AA261" s="5553"/>
      <c r="AB261" s="5581"/>
      <c r="AC261" s="4316"/>
      <c r="AD261" s="3496"/>
      <c r="AE261" s="5610"/>
      <c r="AF261" s="5610"/>
      <c r="AG261" s="11141"/>
    </row>
    <row r="262" spans="1:33" ht="30" customHeight="1">
      <c r="A262" s="11139"/>
      <c r="B262" s="11136"/>
      <c r="C262" s="11124"/>
      <c r="D262" s="11124"/>
      <c r="E262" s="11124"/>
      <c r="F262" s="11124"/>
      <c r="G262" s="11124"/>
      <c r="H262" s="11124"/>
      <c r="I262" s="11124"/>
      <c r="J262" s="11124"/>
      <c r="K262" s="11124"/>
      <c r="L262" s="11131"/>
      <c r="M262" s="11131"/>
      <c r="N262" s="11131"/>
      <c r="O262" s="11124"/>
      <c r="P262" s="11124"/>
      <c r="Q262" s="11127"/>
      <c r="R262" s="5446"/>
      <c r="S262" s="3579"/>
      <c r="T262" s="3579"/>
      <c r="U262" s="3578"/>
      <c r="V262" s="5499"/>
      <c r="W262" s="3579"/>
      <c r="X262" s="5552"/>
      <c r="Y262" s="5552"/>
      <c r="Z262" s="5552"/>
      <c r="AA262" s="5553"/>
      <c r="AB262" s="5581"/>
      <c r="AC262" s="4316"/>
      <c r="AD262" s="3496"/>
      <c r="AE262" s="5610"/>
      <c r="AF262" s="5610"/>
      <c r="AG262" s="11141"/>
    </row>
    <row r="263" spans="1:33" ht="30" customHeight="1">
      <c r="A263" s="11139"/>
      <c r="B263" s="11136"/>
      <c r="C263" s="11124"/>
      <c r="D263" s="11124"/>
      <c r="E263" s="11124"/>
      <c r="F263" s="11124"/>
      <c r="G263" s="11124"/>
      <c r="H263" s="11124"/>
      <c r="I263" s="11124"/>
      <c r="J263" s="11124"/>
      <c r="K263" s="11124"/>
      <c r="L263" s="11131"/>
      <c r="M263" s="11131"/>
      <c r="N263" s="11131"/>
      <c r="O263" s="11124"/>
      <c r="P263" s="11124"/>
      <c r="Q263" s="11127"/>
      <c r="R263" s="5446"/>
      <c r="S263" s="3579"/>
      <c r="T263" s="3579"/>
      <c r="U263" s="3578"/>
      <c r="V263" s="5499"/>
      <c r="W263" s="3579"/>
      <c r="X263" s="5552"/>
      <c r="Y263" s="5552"/>
      <c r="Z263" s="5552"/>
      <c r="AA263" s="5553"/>
      <c r="AB263" s="5581"/>
      <c r="AC263" s="4316"/>
      <c r="AD263" s="3496"/>
      <c r="AE263" s="5610"/>
      <c r="AF263" s="5610"/>
      <c r="AG263" s="11141"/>
    </row>
    <row r="264" spans="1:33" ht="30" customHeight="1">
      <c r="A264" s="11139"/>
      <c r="B264" s="11138"/>
      <c r="C264" s="11126"/>
      <c r="D264" s="11126"/>
      <c r="E264" s="11126"/>
      <c r="F264" s="11126"/>
      <c r="G264" s="11126"/>
      <c r="H264" s="11126"/>
      <c r="I264" s="11126"/>
      <c r="J264" s="11126"/>
      <c r="K264" s="11126"/>
      <c r="L264" s="11132"/>
      <c r="M264" s="11132"/>
      <c r="N264" s="11132"/>
      <c r="O264" s="11126"/>
      <c r="P264" s="11126"/>
      <c r="Q264" s="11128"/>
      <c r="R264" s="5450"/>
      <c r="S264" s="3606"/>
      <c r="T264" s="3606"/>
      <c r="U264" s="3605"/>
      <c r="V264" s="5503"/>
      <c r="W264" s="3606"/>
      <c r="X264" s="5558"/>
      <c r="Y264" s="5558"/>
      <c r="Z264" s="5558"/>
      <c r="AA264" s="5559"/>
      <c r="AB264" s="5585"/>
      <c r="AC264" s="4318"/>
      <c r="AD264" s="3545"/>
      <c r="AE264" s="5625"/>
      <c r="AF264" s="5625"/>
      <c r="AG264" s="11142"/>
    </row>
    <row r="265" spans="1:33" s="6169" customFormat="1" ht="35.25" customHeight="1" thickBot="1">
      <c r="A265" s="6237"/>
      <c r="B265" s="6166"/>
      <c r="C265" s="6166"/>
      <c r="D265" s="6166"/>
      <c r="E265" s="6166"/>
      <c r="F265" s="6166"/>
      <c r="G265" s="6166"/>
      <c r="H265" s="6166"/>
      <c r="I265" s="6166"/>
      <c r="J265" s="6166"/>
      <c r="K265" s="6166"/>
      <c r="L265" s="6164"/>
      <c r="M265" s="6164"/>
      <c r="N265" s="6164"/>
      <c r="O265" s="6166"/>
      <c r="P265" s="6166"/>
      <c r="Q265" s="6167"/>
      <c r="R265" s="11144" t="s">
        <v>4561</v>
      </c>
      <c r="S265" s="11145"/>
      <c r="T265" s="11145"/>
      <c r="U265" s="11145"/>
      <c r="V265" s="11145"/>
      <c r="W265" s="11145"/>
      <c r="X265" s="11145"/>
      <c r="Y265" s="11145"/>
      <c r="Z265" s="5321" t="s">
        <v>292</v>
      </c>
      <c r="AA265" s="6153">
        <f>SUM(AA205:AA264)</f>
        <v>0</v>
      </c>
      <c r="AB265" s="6165"/>
      <c r="AC265" s="6168"/>
      <c r="AD265" s="11146"/>
      <c r="AE265" s="11147"/>
      <c r="AF265" s="11147"/>
      <c r="AG265" s="11148"/>
    </row>
    <row r="266" spans="1:33" ht="30" customHeight="1">
      <c r="A266" s="9599" t="s">
        <v>4562</v>
      </c>
      <c r="B266" s="10518" t="s">
        <v>127</v>
      </c>
      <c r="C266" s="10452" t="s">
        <v>128</v>
      </c>
      <c r="D266" s="10452" t="s">
        <v>129</v>
      </c>
      <c r="E266" s="10452" t="s">
        <v>268</v>
      </c>
      <c r="F266" s="10454" t="s">
        <v>131</v>
      </c>
      <c r="G266" s="10452" t="s">
        <v>132</v>
      </c>
      <c r="H266" s="10452" t="s">
        <v>189</v>
      </c>
      <c r="I266" s="10433" t="s">
        <v>5986</v>
      </c>
      <c r="J266" s="10452" t="s">
        <v>4564</v>
      </c>
      <c r="K266" s="10452" t="s">
        <v>5987</v>
      </c>
      <c r="L266" s="10455">
        <v>249</v>
      </c>
      <c r="M266" s="10470">
        <v>270</v>
      </c>
      <c r="N266" s="10455">
        <v>200</v>
      </c>
      <c r="O266" s="10452" t="s">
        <v>5988</v>
      </c>
      <c r="P266" s="10452" t="s">
        <v>5542</v>
      </c>
      <c r="Q266" s="10453" t="s">
        <v>5989</v>
      </c>
      <c r="R266" s="5445"/>
      <c r="S266" s="4321"/>
      <c r="T266" s="4321"/>
      <c r="U266" s="3573"/>
      <c r="V266" s="5498"/>
      <c r="W266" s="3574"/>
      <c r="X266" s="5550"/>
      <c r="Y266" s="5550"/>
      <c r="Z266" s="5550"/>
      <c r="AA266" s="5551"/>
      <c r="AB266" s="5580"/>
      <c r="AC266" s="4323"/>
      <c r="AD266" s="3683"/>
      <c r="AE266" s="5609"/>
      <c r="AF266" s="5609"/>
      <c r="AG266" s="10531"/>
    </row>
    <row r="267" spans="1:33" ht="28.5" customHeight="1">
      <c r="A267" s="11139"/>
      <c r="B267" s="11136"/>
      <c r="C267" s="11124"/>
      <c r="D267" s="11124"/>
      <c r="E267" s="11124"/>
      <c r="F267" s="11124"/>
      <c r="G267" s="11124"/>
      <c r="H267" s="11124"/>
      <c r="I267" s="11124"/>
      <c r="J267" s="11124"/>
      <c r="K267" s="11124"/>
      <c r="L267" s="11131"/>
      <c r="M267" s="11131"/>
      <c r="N267" s="11131"/>
      <c r="O267" s="11124"/>
      <c r="P267" s="11124"/>
      <c r="Q267" s="11127"/>
      <c r="R267" s="5446"/>
      <c r="S267" s="3579"/>
      <c r="T267" s="3579"/>
      <c r="U267" s="3578"/>
      <c r="V267" s="5499"/>
      <c r="W267" s="3579"/>
      <c r="X267" s="5552"/>
      <c r="Y267" s="5552"/>
      <c r="Z267" s="5552"/>
      <c r="AA267" s="5553"/>
      <c r="AB267" s="5581"/>
      <c r="AC267" s="4316"/>
      <c r="AD267" s="3496"/>
      <c r="AE267" s="5610"/>
      <c r="AF267" s="5610"/>
      <c r="AG267" s="11141"/>
    </row>
    <row r="268" spans="1:33" ht="28.5" customHeight="1">
      <c r="A268" s="11139"/>
      <c r="B268" s="11136"/>
      <c r="C268" s="11124"/>
      <c r="D268" s="11124"/>
      <c r="E268" s="11124"/>
      <c r="F268" s="11124"/>
      <c r="G268" s="11124"/>
      <c r="H268" s="11124"/>
      <c r="I268" s="11124"/>
      <c r="J268" s="11124"/>
      <c r="K268" s="11124"/>
      <c r="L268" s="11131"/>
      <c r="M268" s="11131"/>
      <c r="N268" s="11131"/>
      <c r="O268" s="11124"/>
      <c r="P268" s="11124"/>
      <c r="Q268" s="11127"/>
      <c r="R268" s="5446"/>
      <c r="S268" s="3579"/>
      <c r="T268" s="3579"/>
      <c r="U268" s="3578"/>
      <c r="V268" s="5499"/>
      <c r="W268" s="3579"/>
      <c r="X268" s="5552"/>
      <c r="Y268" s="5552"/>
      <c r="Z268" s="5552"/>
      <c r="AA268" s="5553"/>
      <c r="AB268" s="5581"/>
      <c r="AC268" s="4316"/>
      <c r="AD268" s="3496"/>
      <c r="AE268" s="5610"/>
      <c r="AF268" s="5610"/>
      <c r="AG268" s="11141"/>
    </row>
    <row r="269" spans="1:33" ht="28.5" customHeight="1">
      <c r="A269" s="11139"/>
      <c r="B269" s="11136"/>
      <c r="C269" s="11124"/>
      <c r="D269" s="11124"/>
      <c r="E269" s="11124"/>
      <c r="F269" s="11124"/>
      <c r="G269" s="11124"/>
      <c r="H269" s="11124"/>
      <c r="I269" s="11124"/>
      <c r="J269" s="11124"/>
      <c r="K269" s="11124"/>
      <c r="L269" s="11131"/>
      <c r="M269" s="11131"/>
      <c r="N269" s="11131"/>
      <c r="O269" s="11124"/>
      <c r="P269" s="11124"/>
      <c r="Q269" s="11127"/>
      <c r="R269" s="5447"/>
      <c r="S269" s="4325"/>
      <c r="T269" s="4325"/>
      <c r="U269" s="3578"/>
      <c r="V269" s="5499"/>
      <c r="W269" s="3579"/>
      <c r="X269" s="5552"/>
      <c r="Y269" s="5552"/>
      <c r="Z269" s="5552"/>
      <c r="AA269" s="5553"/>
      <c r="AB269" s="5581"/>
      <c r="AC269" s="4316"/>
      <c r="AD269" s="3496"/>
      <c r="AE269" s="5610"/>
      <c r="AF269" s="5610"/>
      <c r="AG269" s="11141"/>
    </row>
    <row r="270" spans="1:33" ht="28.5" customHeight="1">
      <c r="A270" s="11139"/>
      <c r="B270" s="11137"/>
      <c r="C270" s="11125"/>
      <c r="D270" s="11125"/>
      <c r="E270" s="11125"/>
      <c r="F270" s="11125"/>
      <c r="G270" s="11125"/>
      <c r="H270" s="11125"/>
      <c r="I270" s="11125"/>
      <c r="J270" s="11125"/>
      <c r="K270" s="11125"/>
      <c r="L270" s="11134"/>
      <c r="M270" s="11134"/>
      <c r="N270" s="11134"/>
      <c r="O270" s="11125"/>
      <c r="P270" s="11125"/>
      <c r="Q270" s="11135"/>
      <c r="R270" s="5448"/>
      <c r="S270" s="3617"/>
      <c r="T270" s="3617"/>
      <c r="U270" s="3616"/>
      <c r="V270" s="5509"/>
      <c r="W270" s="3617"/>
      <c r="X270" s="5554"/>
      <c r="Y270" s="5554"/>
      <c r="Z270" s="5554"/>
      <c r="AA270" s="5555"/>
      <c r="AB270" s="5592"/>
      <c r="AC270" s="4320"/>
      <c r="AD270" s="3714"/>
      <c r="AE270" s="5624"/>
      <c r="AF270" s="5624"/>
      <c r="AG270" s="11143"/>
    </row>
    <row r="271" spans="1:33" ht="28.5" customHeight="1">
      <c r="A271" s="11139"/>
      <c r="B271" s="10516" t="s">
        <v>127</v>
      </c>
      <c r="C271" s="10433" t="s">
        <v>128</v>
      </c>
      <c r="D271" s="10433" t="s">
        <v>129</v>
      </c>
      <c r="E271" s="10433" t="s">
        <v>268</v>
      </c>
      <c r="F271" s="10442" t="s">
        <v>131</v>
      </c>
      <c r="G271" s="10433" t="s">
        <v>132</v>
      </c>
      <c r="H271" s="10433" t="s">
        <v>189</v>
      </c>
      <c r="I271" s="10433" t="s">
        <v>5990</v>
      </c>
      <c r="J271" s="10433" t="s">
        <v>4570</v>
      </c>
      <c r="K271" s="10433" t="s">
        <v>5991</v>
      </c>
      <c r="L271" s="10470">
        <v>350</v>
      </c>
      <c r="M271" s="10470">
        <v>350</v>
      </c>
      <c r="N271" s="10470">
        <v>200</v>
      </c>
      <c r="O271" s="10433" t="s">
        <v>5548</v>
      </c>
      <c r="P271" s="10433" t="s">
        <v>5549</v>
      </c>
      <c r="Q271" s="10439" t="s">
        <v>5992</v>
      </c>
      <c r="R271" s="5449"/>
      <c r="S271" s="4336"/>
      <c r="T271" s="4336"/>
      <c r="U271" s="3597"/>
      <c r="V271" s="5502"/>
      <c r="W271" s="3598"/>
      <c r="X271" s="5556"/>
      <c r="Y271" s="5556"/>
      <c r="Z271" s="5556"/>
      <c r="AA271" s="5557"/>
      <c r="AB271" s="5584"/>
      <c r="AC271" s="4338"/>
      <c r="AD271" s="3709"/>
      <c r="AE271" s="5626"/>
      <c r="AF271" s="5626"/>
      <c r="AG271" s="10481"/>
    </row>
    <row r="272" spans="1:33" ht="28.5" customHeight="1">
      <c r="A272" s="11139"/>
      <c r="B272" s="11136"/>
      <c r="C272" s="11124"/>
      <c r="D272" s="11124"/>
      <c r="E272" s="11124"/>
      <c r="F272" s="11124"/>
      <c r="G272" s="11124"/>
      <c r="H272" s="11124"/>
      <c r="I272" s="11124"/>
      <c r="J272" s="11124"/>
      <c r="K272" s="11124"/>
      <c r="L272" s="11131"/>
      <c r="M272" s="11131"/>
      <c r="N272" s="11131"/>
      <c r="O272" s="11124"/>
      <c r="P272" s="11124"/>
      <c r="Q272" s="11127"/>
      <c r="R272" s="5446"/>
      <c r="S272" s="3579"/>
      <c r="T272" s="3579"/>
      <c r="U272" s="3578"/>
      <c r="V272" s="5499"/>
      <c r="W272" s="3579"/>
      <c r="X272" s="5552"/>
      <c r="Y272" s="5552"/>
      <c r="Z272" s="5552"/>
      <c r="AA272" s="5553"/>
      <c r="AB272" s="5581"/>
      <c r="AC272" s="4316"/>
      <c r="AD272" s="3496"/>
      <c r="AE272" s="5610"/>
      <c r="AF272" s="5610"/>
      <c r="AG272" s="11141"/>
    </row>
    <row r="273" spans="1:33" ht="28.5" customHeight="1">
      <c r="A273" s="11139"/>
      <c r="B273" s="11136"/>
      <c r="C273" s="11124"/>
      <c r="D273" s="11124"/>
      <c r="E273" s="11124"/>
      <c r="F273" s="11124"/>
      <c r="G273" s="11124"/>
      <c r="H273" s="11124"/>
      <c r="I273" s="11124"/>
      <c r="J273" s="11124"/>
      <c r="K273" s="11124"/>
      <c r="L273" s="11131"/>
      <c r="M273" s="11131"/>
      <c r="N273" s="11131"/>
      <c r="O273" s="11124"/>
      <c r="P273" s="11124"/>
      <c r="Q273" s="11127"/>
      <c r="R273" s="5446"/>
      <c r="S273" s="3579"/>
      <c r="T273" s="3579"/>
      <c r="U273" s="3578"/>
      <c r="V273" s="5499"/>
      <c r="W273" s="3579"/>
      <c r="X273" s="5552"/>
      <c r="Y273" s="5552"/>
      <c r="Z273" s="5552"/>
      <c r="AA273" s="5553"/>
      <c r="AB273" s="5581"/>
      <c r="AC273" s="4316"/>
      <c r="AD273" s="3496"/>
      <c r="AE273" s="5610"/>
      <c r="AF273" s="5610"/>
      <c r="AG273" s="11141"/>
    </row>
    <row r="274" spans="1:33" ht="28.5" customHeight="1">
      <c r="A274" s="11139"/>
      <c r="B274" s="11136"/>
      <c r="C274" s="11124"/>
      <c r="D274" s="11124"/>
      <c r="E274" s="11124"/>
      <c r="F274" s="11124"/>
      <c r="G274" s="11124"/>
      <c r="H274" s="11124"/>
      <c r="I274" s="11124"/>
      <c r="J274" s="11124"/>
      <c r="K274" s="11124"/>
      <c r="L274" s="11131"/>
      <c r="M274" s="11131"/>
      <c r="N274" s="11131"/>
      <c r="O274" s="11124"/>
      <c r="P274" s="11124"/>
      <c r="Q274" s="11127"/>
      <c r="R274" s="5447"/>
      <c r="S274" s="4325"/>
      <c r="T274" s="4325"/>
      <c r="U274" s="3578"/>
      <c r="V274" s="5499"/>
      <c r="W274" s="3579"/>
      <c r="X274" s="5552"/>
      <c r="Y274" s="5552"/>
      <c r="Z274" s="5552"/>
      <c r="AA274" s="5553"/>
      <c r="AB274" s="5581"/>
      <c r="AC274" s="4316"/>
      <c r="AD274" s="3496"/>
      <c r="AE274" s="5610"/>
      <c r="AF274" s="5610"/>
      <c r="AG274" s="11141"/>
    </row>
    <row r="275" spans="1:33" ht="28.5" customHeight="1">
      <c r="A275" s="11139"/>
      <c r="B275" s="11138"/>
      <c r="C275" s="11126"/>
      <c r="D275" s="11126"/>
      <c r="E275" s="11126"/>
      <c r="F275" s="11126"/>
      <c r="G275" s="11126"/>
      <c r="H275" s="11126"/>
      <c r="I275" s="11126"/>
      <c r="J275" s="11126"/>
      <c r="K275" s="11126"/>
      <c r="L275" s="11132"/>
      <c r="M275" s="11132"/>
      <c r="N275" s="11132"/>
      <c r="O275" s="11126"/>
      <c r="P275" s="11126"/>
      <c r="Q275" s="11128"/>
      <c r="R275" s="5450"/>
      <c r="S275" s="3606"/>
      <c r="T275" s="3606"/>
      <c r="U275" s="3605"/>
      <c r="V275" s="5503"/>
      <c r="W275" s="3606"/>
      <c r="X275" s="5558"/>
      <c r="Y275" s="5558"/>
      <c r="Z275" s="5558"/>
      <c r="AA275" s="5559"/>
      <c r="AB275" s="5585"/>
      <c r="AC275" s="4318"/>
      <c r="AD275" s="3545"/>
      <c r="AE275" s="5625"/>
      <c r="AF275" s="5625"/>
      <c r="AG275" s="11142"/>
    </row>
    <row r="276" spans="1:33" ht="28.5" customHeight="1">
      <c r="A276" s="11139"/>
      <c r="B276" s="10512" t="s">
        <v>127</v>
      </c>
      <c r="C276" s="10444" t="s">
        <v>128</v>
      </c>
      <c r="D276" s="10444" t="s">
        <v>129</v>
      </c>
      <c r="E276" s="10444" t="s">
        <v>268</v>
      </c>
      <c r="F276" s="10451" t="s">
        <v>131</v>
      </c>
      <c r="G276" s="10444" t="s">
        <v>132</v>
      </c>
      <c r="H276" s="10444" t="s">
        <v>189</v>
      </c>
      <c r="I276" s="10444" t="s">
        <v>5993</v>
      </c>
      <c r="J276" s="10444" t="s">
        <v>4575</v>
      </c>
      <c r="K276" s="10444" t="s">
        <v>5552</v>
      </c>
      <c r="L276" s="10455">
        <v>249</v>
      </c>
      <c r="M276" s="10455">
        <v>270</v>
      </c>
      <c r="N276" s="10455">
        <v>200</v>
      </c>
      <c r="O276" s="10444" t="s">
        <v>5553</v>
      </c>
      <c r="P276" s="10444" t="s">
        <v>5554</v>
      </c>
      <c r="Q276" s="10449" t="s">
        <v>5992</v>
      </c>
      <c r="R276" s="5451"/>
      <c r="S276" s="3650"/>
      <c r="T276" s="3650"/>
      <c r="U276" s="3622"/>
      <c r="V276" s="5504"/>
      <c r="W276" s="3623"/>
      <c r="X276" s="5560"/>
      <c r="Y276" s="5560"/>
      <c r="Z276" s="5560"/>
      <c r="AA276" s="5561"/>
      <c r="AB276" s="5586"/>
      <c r="AC276" s="4314"/>
      <c r="AD276" s="3658"/>
      <c r="AE276" s="5623"/>
      <c r="AF276" s="5623"/>
      <c r="AG276" s="10478"/>
    </row>
    <row r="277" spans="1:33" ht="28.5" customHeight="1">
      <c r="A277" s="11139"/>
      <c r="B277" s="11136"/>
      <c r="C277" s="11124"/>
      <c r="D277" s="11124"/>
      <c r="E277" s="11124"/>
      <c r="F277" s="11124"/>
      <c r="G277" s="11124"/>
      <c r="H277" s="11124"/>
      <c r="I277" s="11124"/>
      <c r="J277" s="11124"/>
      <c r="K277" s="11124"/>
      <c r="L277" s="11131"/>
      <c r="M277" s="11131"/>
      <c r="N277" s="11131"/>
      <c r="O277" s="11124"/>
      <c r="P277" s="11124"/>
      <c r="Q277" s="11127"/>
      <c r="R277" s="5446"/>
      <c r="S277" s="3579"/>
      <c r="T277" s="3579"/>
      <c r="U277" s="3578"/>
      <c r="V277" s="5499"/>
      <c r="W277" s="3579"/>
      <c r="X277" s="5552"/>
      <c r="Y277" s="5552"/>
      <c r="Z277" s="5552"/>
      <c r="AA277" s="5553"/>
      <c r="AB277" s="5581"/>
      <c r="AC277" s="4316"/>
      <c r="AD277" s="3496"/>
      <c r="AE277" s="5610"/>
      <c r="AF277" s="5610"/>
      <c r="AG277" s="11141"/>
    </row>
    <row r="278" spans="1:33" ht="28.5" customHeight="1">
      <c r="A278" s="11139"/>
      <c r="B278" s="11136"/>
      <c r="C278" s="11124"/>
      <c r="D278" s="11124"/>
      <c r="E278" s="11124"/>
      <c r="F278" s="11124"/>
      <c r="G278" s="11124"/>
      <c r="H278" s="11124"/>
      <c r="I278" s="11124"/>
      <c r="J278" s="11124"/>
      <c r="K278" s="11124"/>
      <c r="L278" s="11131"/>
      <c r="M278" s="11131"/>
      <c r="N278" s="11131"/>
      <c r="O278" s="11124"/>
      <c r="P278" s="11124"/>
      <c r="Q278" s="11127"/>
      <c r="R278" s="5446"/>
      <c r="S278" s="3579"/>
      <c r="T278" s="3579"/>
      <c r="U278" s="3578"/>
      <c r="V278" s="5499"/>
      <c r="W278" s="3579"/>
      <c r="X278" s="5552"/>
      <c r="Y278" s="5552"/>
      <c r="Z278" s="5552"/>
      <c r="AA278" s="5553"/>
      <c r="AB278" s="5581"/>
      <c r="AC278" s="4316"/>
      <c r="AD278" s="3496"/>
      <c r="AE278" s="5610"/>
      <c r="AF278" s="5610"/>
      <c r="AG278" s="11141"/>
    </row>
    <row r="279" spans="1:33" ht="28.5" customHeight="1">
      <c r="A279" s="11139"/>
      <c r="B279" s="11136"/>
      <c r="C279" s="11124"/>
      <c r="D279" s="11124"/>
      <c r="E279" s="11124"/>
      <c r="F279" s="11124"/>
      <c r="G279" s="11124"/>
      <c r="H279" s="11124"/>
      <c r="I279" s="11124"/>
      <c r="J279" s="11124"/>
      <c r="K279" s="11124"/>
      <c r="L279" s="11131"/>
      <c r="M279" s="11131"/>
      <c r="N279" s="11131"/>
      <c r="O279" s="11124"/>
      <c r="P279" s="11124"/>
      <c r="Q279" s="11127"/>
      <c r="R279" s="5447"/>
      <c r="S279" s="4325"/>
      <c r="T279" s="4325"/>
      <c r="U279" s="3578"/>
      <c r="V279" s="5499"/>
      <c r="W279" s="3579"/>
      <c r="X279" s="5552"/>
      <c r="Y279" s="5552"/>
      <c r="Z279" s="5552"/>
      <c r="AA279" s="5553"/>
      <c r="AB279" s="5581"/>
      <c r="AC279" s="4316"/>
      <c r="AD279" s="3496"/>
      <c r="AE279" s="5610"/>
      <c r="AF279" s="5610"/>
      <c r="AG279" s="11141"/>
    </row>
    <row r="280" spans="1:33" ht="34.5" customHeight="1">
      <c r="A280" s="11139"/>
      <c r="B280" s="11137"/>
      <c r="C280" s="11125"/>
      <c r="D280" s="11125"/>
      <c r="E280" s="11125"/>
      <c r="F280" s="11125"/>
      <c r="G280" s="11125"/>
      <c r="H280" s="11125"/>
      <c r="I280" s="11125"/>
      <c r="J280" s="11125"/>
      <c r="K280" s="11125"/>
      <c r="L280" s="11134"/>
      <c r="M280" s="11134"/>
      <c r="N280" s="11134"/>
      <c r="O280" s="11125"/>
      <c r="P280" s="11125"/>
      <c r="Q280" s="11135"/>
      <c r="R280" s="5448"/>
      <c r="S280" s="3617"/>
      <c r="T280" s="3617"/>
      <c r="U280" s="3616"/>
      <c r="V280" s="5509"/>
      <c r="W280" s="3617"/>
      <c r="X280" s="5554"/>
      <c r="Y280" s="5554"/>
      <c r="Z280" s="5554"/>
      <c r="AA280" s="5555"/>
      <c r="AB280" s="5592"/>
      <c r="AC280" s="4320"/>
      <c r="AD280" s="3714"/>
      <c r="AE280" s="5624"/>
      <c r="AF280" s="5624"/>
      <c r="AG280" s="11143"/>
    </row>
    <row r="281" spans="1:33" ht="34.5" customHeight="1">
      <c r="A281" s="11139"/>
      <c r="B281" s="10516" t="s">
        <v>127</v>
      </c>
      <c r="C281" s="10433" t="s">
        <v>128</v>
      </c>
      <c r="D281" s="10433" t="s">
        <v>129</v>
      </c>
      <c r="E281" s="10433" t="s">
        <v>268</v>
      </c>
      <c r="F281" s="10442" t="s">
        <v>131</v>
      </c>
      <c r="G281" s="10433" t="s">
        <v>213</v>
      </c>
      <c r="H281" s="10433" t="s">
        <v>189</v>
      </c>
      <c r="I281" s="10433" t="s">
        <v>5994</v>
      </c>
      <c r="J281" s="10433" t="s">
        <v>4580</v>
      </c>
      <c r="K281" s="10433" t="s">
        <v>5557</v>
      </c>
      <c r="L281" s="10470">
        <v>6</v>
      </c>
      <c r="M281" s="10470">
        <v>6</v>
      </c>
      <c r="N281" s="10470">
        <v>6</v>
      </c>
      <c r="O281" s="10433" t="s">
        <v>5995</v>
      </c>
      <c r="P281" s="10433" t="s">
        <v>5996</v>
      </c>
      <c r="Q281" s="10439" t="s">
        <v>5992</v>
      </c>
      <c r="R281" s="5449"/>
      <c r="S281" s="4336"/>
      <c r="T281" s="4336"/>
      <c r="U281" s="3597"/>
      <c r="V281" s="5502"/>
      <c r="W281" s="3598"/>
      <c r="X281" s="5556"/>
      <c r="Y281" s="5556"/>
      <c r="Z281" s="5556"/>
      <c r="AA281" s="5557"/>
      <c r="AB281" s="5584"/>
      <c r="AC281" s="4338"/>
      <c r="AD281" s="3709"/>
      <c r="AE281" s="5626"/>
      <c r="AF281" s="5626"/>
      <c r="AG281" s="10481"/>
    </row>
    <row r="282" spans="1:33" ht="34.5" customHeight="1">
      <c r="A282" s="11139"/>
      <c r="B282" s="11136"/>
      <c r="C282" s="11124"/>
      <c r="D282" s="11124"/>
      <c r="E282" s="11124"/>
      <c r="F282" s="11124"/>
      <c r="G282" s="11124"/>
      <c r="H282" s="11124"/>
      <c r="I282" s="11124"/>
      <c r="J282" s="11124"/>
      <c r="K282" s="11124"/>
      <c r="L282" s="11131"/>
      <c r="M282" s="11131"/>
      <c r="N282" s="11131"/>
      <c r="O282" s="11124"/>
      <c r="P282" s="11124"/>
      <c r="Q282" s="11127"/>
      <c r="R282" s="5446"/>
      <c r="S282" s="3579"/>
      <c r="T282" s="3579"/>
      <c r="U282" s="3578"/>
      <c r="V282" s="5499"/>
      <c r="W282" s="3579"/>
      <c r="X282" s="5552"/>
      <c r="Y282" s="5552"/>
      <c r="Z282" s="5552"/>
      <c r="AA282" s="5553"/>
      <c r="AB282" s="5581"/>
      <c r="AC282" s="4316"/>
      <c r="AD282" s="3496"/>
      <c r="AE282" s="5610"/>
      <c r="AF282" s="5610"/>
      <c r="AG282" s="11141"/>
    </row>
    <row r="283" spans="1:33" ht="34.5" customHeight="1">
      <c r="A283" s="11139"/>
      <c r="B283" s="11136"/>
      <c r="C283" s="11124"/>
      <c r="D283" s="11124"/>
      <c r="E283" s="11124"/>
      <c r="F283" s="11124"/>
      <c r="G283" s="11124"/>
      <c r="H283" s="11124"/>
      <c r="I283" s="11124"/>
      <c r="J283" s="11124"/>
      <c r="K283" s="11124"/>
      <c r="L283" s="11131"/>
      <c r="M283" s="11131"/>
      <c r="N283" s="11131"/>
      <c r="O283" s="11124"/>
      <c r="P283" s="11124"/>
      <c r="Q283" s="11127"/>
      <c r="R283" s="5446"/>
      <c r="S283" s="3579"/>
      <c r="T283" s="3579"/>
      <c r="U283" s="3578"/>
      <c r="V283" s="5499"/>
      <c r="W283" s="3579"/>
      <c r="X283" s="5552"/>
      <c r="Y283" s="5552"/>
      <c r="Z283" s="5552"/>
      <c r="AA283" s="5553"/>
      <c r="AB283" s="5581"/>
      <c r="AC283" s="4316"/>
      <c r="AD283" s="3496"/>
      <c r="AE283" s="5610"/>
      <c r="AF283" s="5610"/>
      <c r="AG283" s="11141"/>
    </row>
    <row r="284" spans="1:33" ht="34.5" customHeight="1">
      <c r="A284" s="11139"/>
      <c r="B284" s="11136"/>
      <c r="C284" s="11124"/>
      <c r="D284" s="11124"/>
      <c r="E284" s="11124"/>
      <c r="F284" s="11124"/>
      <c r="G284" s="11124"/>
      <c r="H284" s="11124"/>
      <c r="I284" s="11124"/>
      <c r="J284" s="11124"/>
      <c r="K284" s="11124"/>
      <c r="L284" s="11131"/>
      <c r="M284" s="11131"/>
      <c r="N284" s="11131"/>
      <c r="O284" s="11124"/>
      <c r="P284" s="11124"/>
      <c r="Q284" s="11127"/>
      <c r="R284" s="5447"/>
      <c r="S284" s="4325"/>
      <c r="T284" s="4325"/>
      <c r="U284" s="3578"/>
      <c r="V284" s="5499"/>
      <c r="W284" s="3579"/>
      <c r="X284" s="5552"/>
      <c r="Y284" s="5552"/>
      <c r="Z284" s="5552"/>
      <c r="AA284" s="5553"/>
      <c r="AB284" s="5581"/>
      <c r="AC284" s="4316"/>
      <c r="AD284" s="3496"/>
      <c r="AE284" s="5610"/>
      <c r="AF284" s="5610"/>
      <c r="AG284" s="11141"/>
    </row>
    <row r="285" spans="1:33" ht="34.5" customHeight="1">
      <c r="A285" s="11139"/>
      <c r="B285" s="11138"/>
      <c r="C285" s="11126"/>
      <c r="D285" s="11126"/>
      <c r="E285" s="11126"/>
      <c r="F285" s="11126"/>
      <c r="G285" s="11126"/>
      <c r="H285" s="11126"/>
      <c r="I285" s="11126"/>
      <c r="J285" s="11126"/>
      <c r="K285" s="11126"/>
      <c r="L285" s="11132"/>
      <c r="M285" s="11132"/>
      <c r="N285" s="11132"/>
      <c r="O285" s="11126"/>
      <c r="P285" s="11126"/>
      <c r="Q285" s="11128"/>
      <c r="R285" s="5450"/>
      <c r="S285" s="3606"/>
      <c r="T285" s="3606"/>
      <c r="U285" s="3605"/>
      <c r="V285" s="5503"/>
      <c r="W285" s="3606"/>
      <c r="X285" s="5558"/>
      <c r="Y285" s="5558"/>
      <c r="Z285" s="5558"/>
      <c r="AA285" s="5559"/>
      <c r="AB285" s="5585"/>
      <c r="AC285" s="4318"/>
      <c r="AD285" s="3545"/>
      <c r="AE285" s="5625"/>
      <c r="AF285" s="5625"/>
      <c r="AG285" s="11142"/>
    </row>
    <row r="286" spans="1:33" ht="34.5" customHeight="1">
      <c r="A286" s="11139"/>
      <c r="B286" s="10512" t="s">
        <v>127</v>
      </c>
      <c r="C286" s="10444" t="s">
        <v>128</v>
      </c>
      <c r="D286" s="10444" t="s">
        <v>129</v>
      </c>
      <c r="E286" s="10444" t="s">
        <v>268</v>
      </c>
      <c r="F286" s="10451" t="s">
        <v>131</v>
      </c>
      <c r="G286" s="10444" t="s">
        <v>132</v>
      </c>
      <c r="H286" s="10444" t="s">
        <v>159</v>
      </c>
      <c r="I286" s="10444" t="s">
        <v>5997</v>
      </c>
      <c r="J286" s="10444" t="s">
        <v>4586</v>
      </c>
      <c r="K286" s="10444" t="s">
        <v>5998</v>
      </c>
      <c r="L286" s="10455">
        <v>2</v>
      </c>
      <c r="M286" s="10455">
        <v>2</v>
      </c>
      <c r="N286" s="10455">
        <v>1</v>
      </c>
      <c r="O286" s="10444" t="s">
        <v>5563</v>
      </c>
      <c r="P286" s="10444" t="s">
        <v>5564</v>
      </c>
      <c r="Q286" s="10449" t="s">
        <v>5992</v>
      </c>
      <c r="R286" s="5451"/>
      <c r="S286" s="3650"/>
      <c r="T286" s="3650"/>
      <c r="U286" s="3622"/>
      <c r="V286" s="5504"/>
      <c r="W286" s="3623"/>
      <c r="X286" s="5560"/>
      <c r="Y286" s="5560"/>
      <c r="Z286" s="5560"/>
      <c r="AA286" s="5561"/>
      <c r="AB286" s="5586"/>
      <c r="AC286" s="4314"/>
      <c r="AD286" s="3658"/>
      <c r="AE286" s="3749"/>
      <c r="AF286" s="3749"/>
      <c r="AG286" s="10478"/>
    </row>
    <row r="287" spans="1:33" ht="34.5" customHeight="1">
      <c r="A287" s="11139"/>
      <c r="B287" s="11136"/>
      <c r="C287" s="11124"/>
      <c r="D287" s="11124"/>
      <c r="E287" s="11124"/>
      <c r="F287" s="11124"/>
      <c r="G287" s="11124"/>
      <c r="H287" s="11124"/>
      <c r="I287" s="11124"/>
      <c r="J287" s="11124"/>
      <c r="K287" s="11124"/>
      <c r="L287" s="11131"/>
      <c r="M287" s="11131"/>
      <c r="N287" s="11131"/>
      <c r="O287" s="11124"/>
      <c r="P287" s="11124"/>
      <c r="Q287" s="11127"/>
      <c r="R287" s="5446"/>
      <c r="S287" s="3579"/>
      <c r="T287" s="3579"/>
      <c r="U287" s="3578"/>
      <c r="V287" s="5499"/>
      <c r="W287" s="3579"/>
      <c r="X287" s="5552"/>
      <c r="Y287" s="5552"/>
      <c r="Z287" s="5552"/>
      <c r="AA287" s="5553"/>
      <c r="AB287" s="5581"/>
      <c r="AC287" s="4316"/>
      <c r="AD287" s="3496"/>
      <c r="AE287" s="3496"/>
      <c r="AF287" s="3690"/>
      <c r="AG287" s="11141"/>
    </row>
    <row r="288" spans="1:33" ht="34.5" customHeight="1">
      <c r="A288" s="11139"/>
      <c r="B288" s="11136"/>
      <c r="C288" s="11124"/>
      <c r="D288" s="11124"/>
      <c r="E288" s="11124"/>
      <c r="F288" s="11124"/>
      <c r="G288" s="11124"/>
      <c r="H288" s="11124"/>
      <c r="I288" s="11124"/>
      <c r="J288" s="11124"/>
      <c r="K288" s="11124"/>
      <c r="L288" s="11131"/>
      <c r="M288" s="11131"/>
      <c r="N288" s="11131"/>
      <c r="O288" s="11124"/>
      <c r="P288" s="11124"/>
      <c r="Q288" s="11127"/>
      <c r="R288" s="5446"/>
      <c r="S288" s="3579"/>
      <c r="T288" s="3579"/>
      <c r="U288" s="3578"/>
      <c r="V288" s="5499"/>
      <c r="W288" s="3579"/>
      <c r="X288" s="5552"/>
      <c r="Y288" s="5552"/>
      <c r="Z288" s="5552"/>
      <c r="AA288" s="5553"/>
      <c r="AB288" s="5581"/>
      <c r="AC288" s="4316"/>
      <c r="AD288" s="3496"/>
      <c r="AE288" s="3496"/>
      <c r="AF288" s="5610"/>
      <c r="AG288" s="11141"/>
    </row>
    <row r="289" spans="1:33" ht="34.5" customHeight="1">
      <c r="A289" s="11139"/>
      <c r="B289" s="11136"/>
      <c r="C289" s="11124"/>
      <c r="D289" s="11124"/>
      <c r="E289" s="11124"/>
      <c r="F289" s="11124"/>
      <c r="G289" s="11124"/>
      <c r="H289" s="11124"/>
      <c r="I289" s="11124"/>
      <c r="J289" s="11124"/>
      <c r="K289" s="11124"/>
      <c r="L289" s="11131"/>
      <c r="M289" s="11131"/>
      <c r="N289" s="11131"/>
      <c r="O289" s="11124"/>
      <c r="P289" s="11124"/>
      <c r="Q289" s="11127"/>
      <c r="R289" s="5446"/>
      <c r="S289" s="3579"/>
      <c r="T289" s="3579"/>
      <c r="U289" s="3578"/>
      <c r="V289" s="5499"/>
      <c r="W289" s="3579"/>
      <c r="X289" s="5552"/>
      <c r="Y289" s="5552"/>
      <c r="Z289" s="5552"/>
      <c r="AA289" s="5553"/>
      <c r="AB289" s="5581"/>
      <c r="AC289" s="4316"/>
      <c r="AD289" s="3496"/>
      <c r="AE289" s="3496"/>
      <c r="AF289" s="5610"/>
      <c r="AG289" s="11141"/>
    </row>
    <row r="290" spans="1:33" ht="34.5" customHeight="1">
      <c r="A290" s="11139"/>
      <c r="B290" s="11137"/>
      <c r="C290" s="11125"/>
      <c r="D290" s="11125"/>
      <c r="E290" s="11125"/>
      <c r="F290" s="11125"/>
      <c r="G290" s="11125"/>
      <c r="H290" s="11125"/>
      <c r="I290" s="11125"/>
      <c r="J290" s="11125"/>
      <c r="K290" s="11125"/>
      <c r="L290" s="11134"/>
      <c r="M290" s="11134"/>
      <c r="N290" s="11134"/>
      <c r="O290" s="11125"/>
      <c r="P290" s="11125"/>
      <c r="Q290" s="11135"/>
      <c r="R290" s="5448"/>
      <c r="S290" s="3617"/>
      <c r="T290" s="3617"/>
      <c r="U290" s="3616"/>
      <c r="V290" s="5509"/>
      <c r="W290" s="3617"/>
      <c r="X290" s="5554"/>
      <c r="Y290" s="5554"/>
      <c r="Z290" s="5554"/>
      <c r="AA290" s="5555"/>
      <c r="AB290" s="5592"/>
      <c r="AC290" s="4320"/>
      <c r="AD290" s="3714"/>
      <c r="AE290" s="3714"/>
      <c r="AF290" s="5624"/>
      <c r="AG290" s="11143"/>
    </row>
    <row r="291" spans="1:33" ht="34.5" customHeight="1">
      <c r="A291" s="11139"/>
      <c r="B291" s="10516" t="s">
        <v>127</v>
      </c>
      <c r="C291" s="10433" t="s">
        <v>128</v>
      </c>
      <c r="D291" s="10433" t="s">
        <v>129</v>
      </c>
      <c r="E291" s="10433" t="s">
        <v>268</v>
      </c>
      <c r="F291" s="10442" t="s">
        <v>131</v>
      </c>
      <c r="G291" s="10433" t="s">
        <v>132</v>
      </c>
      <c r="H291" s="10433" t="s">
        <v>159</v>
      </c>
      <c r="I291" s="10433" t="s">
        <v>5999</v>
      </c>
      <c r="J291" s="10433" t="s">
        <v>5566</v>
      </c>
      <c r="K291" s="10433" t="s">
        <v>6000</v>
      </c>
      <c r="L291" s="10470">
        <v>249</v>
      </c>
      <c r="M291" s="10470">
        <v>270</v>
      </c>
      <c r="N291" s="10470">
        <v>200</v>
      </c>
      <c r="O291" s="10433" t="s">
        <v>6001</v>
      </c>
      <c r="P291" s="10433" t="s">
        <v>6002</v>
      </c>
      <c r="Q291" s="10439" t="s">
        <v>5992</v>
      </c>
      <c r="R291" s="5449"/>
      <c r="S291" s="4336"/>
      <c r="T291" s="4336"/>
      <c r="U291" s="3597"/>
      <c r="V291" s="5502"/>
      <c r="W291" s="3598"/>
      <c r="X291" s="5556"/>
      <c r="Y291" s="5556"/>
      <c r="Z291" s="5556"/>
      <c r="AA291" s="5557"/>
      <c r="AB291" s="5584"/>
      <c r="AC291" s="4338"/>
      <c r="AD291" s="3709"/>
      <c r="AE291" s="5626"/>
      <c r="AF291" s="5626"/>
      <c r="AG291" s="10481"/>
    </row>
    <row r="292" spans="1:33" ht="34.5" customHeight="1">
      <c r="A292" s="11139"/>
      <c r="B292" s="11136"/>
      <c r="C292" s="11124"/>
      <c r="D292" s="11124"/>
      <c r="E292" s="11124"/>
      <c r="F292" s="11124"/>
      <c r="G292" s="11124"/>
      <c r="H292" s="11124"/>
      <c r="I292" s="11124"/>
      <c r="J292" s="11124"/>
      <c r="K292" s="11124"/>
      <c r="L292" s="11131"/>
      <c r="M292" s="11131"/>
      <c r="N292" s="11131"/>
      <c r="O292" s="11124"/>
      <c r="P292" s="11124"/>
      <c r="Q292" s="11127"/>
      <c r="R292" s="5446"/>
      <c r="S292" s="3579"/>
      <c r="T292" s="3579"/>
      <c r="U292" s="3578"/>
      <c r="V292" s="5499"/>
      <c r="W292" s="3579"/>
      <c r="X292" s="5552"/>
      <c r="Y292" s="5552"/>
      <c r="Z292" s="5552"/>
      <c r="AA292" s="5553"/>
      <c r="AB292" s="5581"/>
      <c r="AC292" s="4316"/>
      <c r="AD292" s="3496"/>
      <c r="AE292" s="5610"/>
      <c r="AF292" s="5610"/>
      <c r="AG292" s="11141"/>
    </row>
    <row r="293" spans="1:33" ht="34.5" customHeight="1">
      <c r="A293" s="11139"/>
      <c r="B293" s="11136"/>
      <c r="C293" s="11124"/>
      <c r="D293" s="11124"/>
      <c r="E293" s="11124"/>
      <c r="F293" s="11124"/>
      <c r="G293" s="11124"/>
      <c r="H293" s="11124"/>
      <c r="I293" s="11124"/>
      <c r="J293" s="11124"/>
      <c r="K293" s="11124"/>
      <c r="L293" s="11131"/>
      <c r="M293" s="11131"/>
      <c r="N293" s="11131"/>
      <c r="O293" s="11124"/>
      <c r="P293" s="11124"/>
      <c r="Q293" s="11127"/>
      <c r="R293" s="5446"/>
      <c r="S293" s="3579"/>
      <c r="T293" s="3579"/>
      <c r="U293" s="3578"/>
      <c r="V293" s="5499"/>
      <c r="W293" s="3579"/>
      <c r="X293" s="5552"/>
      <c r="Y293" s="5552"/>
      <c r="Z293" s="5552"/>
      <c r="AA293" s="5553"/>
      <c r="AB293" s="5581"/>
      <c r="AC293" s="4316"/>
      <c r="AD293" s="3496"/>
      <c r="AE293" s="5610"/>
      <c r="AF293" s="5610"/>
      <c r="AG293" s="11141"/>
    </row>
    <row r="294" spans="1:33" ht="34.5" customHeight="1">
      <c r="A294" s="11139"/>
      <c r="B294" s="11136"/>
      <c r="C294" s="11124"/>
      <c r="D294" s="11124"/>
      <c r="E294" s="11124"/>
      <c r="F294" s="11124"/>
      <c r="G294" s="11124"/>
      <c r="H294" s="11124"/>
      <c r="I294" s="11124"/>
      <c r="J294" s="11124"/>
      <c r="K294" s="11124"/>
      <c r="L294" s="11131"/>
      <c r="M294" s="11131"/>
      <c r="N294" s="11131"/>
      <c r="O294" s="11124"/>
      <c r="P294" s="11124"/>
      <c r="Q294" s="11127"/>
      <c r="R294" s="5446"/>
      <c r="S294" s="3579"/>
      <c r="T294" s="3579"/>
      <c r="U294" s="3578"/>
      <c r="V294" s="5499"/>
      <c r="W294" s="3579"/>
      <c r="X294" s="5552"/>
      <c r="Y294" s="5552"/>
      <c r="Z294" s="5552"/>
      <c r="AA294" s="5553"/>
      <c r="AB294" s="5581"/>
      <c r="AC294" s="4316"/>
      <c r="AD294" s="3496"/>
      <c r="AE294" s="5610"/>
      <c r="AF294" s="5610"/>
      <c r="AG294" s="11141"/>
    </row>
    <row r="295" spans="1:33" ht="28.5" customHeight="1">
      <c r="A295" s="11139"/>
      <c r="B295" s="11137"/>
      <c r="C295" s="11125"/>
      <c r="D295" s="11125"/>
      <c r="E295" s="11125"/>
      <c r="F295" s="11125"/>
      <c r="G295" s="11125"/>
      <c r="H295" s="11125"/>
      <c r="I295" s="11125"/>
      <c r="J295" s="11125"/>
      <c r="K295" s="11125"/>
      <c r="L295" s="11134"/>
      <c r="M295" s="11134"/>
      <c r="N295" s="11134"/>
      <c r="O295" s="11125"/>
      <c r="P295" s="11125"/>
      <c r="Q295" s="11135"/>
      <c r="R295" s="5448"/>
      <c r="S295" s="3617"/>
      <c r="T295" s="3617"/>
      <c r="U295" s="3616"/>
      <c r="V295" s="5509"/>
      <c r="W295" s="3617"/>
      <c r="X295" s="5554"/>
      <c r="Y295" s="5554"/>
      <c r="Z295" s="5554"/>
      <c r="AA295" s="5555"/>
      <c r="AB295" s="5592"/>
      <c r="AC295" s="4320"/>
      <c r="AD295" s="3714"/>
      <c r="AE295" s="5624"/>
      <c r="AF295" s="5624"/>
      <c r="AG295" s="11143"/>
    </row>
    <row r="296" spans="1:33" ht="28.5" customHeight="1">
      <c r="A296" s="11139"/>
      <c r="B296" s="10516" t="s">
        <v>127</v>
      </c>
      <c r="C296" s="10433" t="s">
        <v>128</v>
      </c>
      <c r="D296" s="10433" t="s">
        <v>140</v>
      </c>
      <c r="E296" s="10433" t="s">
        <v>724</v>
      </c>
      <c r="F296" s="10442" t="s">
        <v>131</v>
      </c>
      <c r="G296" s="10433" t="s">
        <v>132</v>
      </c>
      <c r="H296" s="10433" t="s">
        <v>159</v>
      </c>
      <c r="I296" s="10433" t="s">
        <v>6003</v>
      </c>
      <c r="J296" s="10433" t="s">
        <v>286</v>
      </c>
      <c r="K296" s="10433" t="s">
        <v>5852</v>
      </c>
      <c r="L296" s="10470">
        <v>0</v>
      </c>
      <c r="M296" s="10470">
        <v>1</v>
      </c>
      <c r="N296" s="10470">
        <v>1</v>
      </c>
      <c r="O296" s="10433" t="s">
        <v>6004</v>
      </c>
      <c r="P296" s="10433" t="s">
        <v>6005</v>
      </c>
      <c r="Q296" s="10439" t="s">
        <v>6006</v>
      </c>
      <c r="R296" s="5449"/>
      <c r="S296" s="4336"/>
      <c r="T296" s="4336"/>
      <c r="U296" s="3597"/>
      <c r="V296" s="5502"/>
      <c r="W296" s="3598"/>
      <c r="X296" s="5556"/>
      <c r="Y296" s="5556"/>
      <c r="Z296" s="5556"/>
      <c r="AA296" s="5557"/>
      <c r="AB296" s="5584"/>
      <c r="AC296" s="4338"/>
      <c r="AD296" s="3709"/>
      <c r="AE296" s="5626"/>
      <c r="AF296" s="5626"/>
      <c r="AG296" s="10569"/>
    </row>
    <row r="297" spans="1:33" ht="28.5" customHeight="1">
      <c r="A297" s="11139"/>
      <c r="B297" s="11136"/>
      <c r="C297" s="11124"/>
      <c r="D297" s="11124"/>
      <c r="E297" s="11124"/>
      <c r="F297" s="11124"/>
      <c r="G297" s="11124"/>
      <c r="H297" s="11124"/>
      <c r="I297" s="11124"/>
      <c r="J297" s="11124"/>
      <c r="K297" s="11124"/>
      <c r="L297" s="11131"/>
      <c r="M297" s="11131"/>
      <c r="N297" s="11131"/>
      <c r="O297" s="11124"/>
      <c r="P297" s="11124"/>
      <c r="Q297" s="11127"/>
      <c r="R297" s="5446"/>
      <c r="S297" s="3579"/>
      <c r="T297" s="3579"/>
      <c r="U297" s="3578"/>
      <c r="V297" s="5499"/>
      <c r="W297" s="3579"/>
      <c r="X297" s="5552"/>
      <c r="Y297" s="5552"/>
      <c r="Z297" s="5552"/>
      <c r="AA297" s="5553"/>
      <c r="AB297" s="5581"/>
      <c r="AC297" s="4316"/>
      <c r="AD297" s="3496"/>
      <c r="AE297" s="5610"/>
      <c r="AF297" s="5610"/>
      <c r="AG297" s="10570"/>
    </row>
    <row r="298" spans="1:33" ht="28.5" customHeight="1">
      <c r="A298" s="11139"/>
      <c r="B298" s="11136"/>
      <c r="C298" s="11124"/>
      <c r="D298" s="11124"/>
      <c r="E298" s="11124"/>
      <c r="F298" s="11124"/>
      <c r="G298" s="11124"/>
      <c r="H298" s="11124"/>
      <c r="I298" s="11124"/>
      <c r="J298" s="11124"/>
      <c r="K298" s="11124"/>
      <c r="L298" s="11131"/>
      <c r="M298" s="11131"/>
      <c r="N298" s="11131"/>
      <c r="O298" s="11124"/>
      <c r="P298" s="11124"/>
      <c r="Q298" s="11127"/>
      <c r="R298" s="5447"/>
      <c r="S298" s="4325"/>
      <c r="T298" s="4325"/>
      <c r="U298" s="3578"/>
      <c r="V298" s="5499"/>
      <c r="W298" s="3579"/>
      <c r="X298" s="5552"/>
      <c r="Y298" s="5552"/>
      <c r="Z298" s="5552"/>
      <c r="AA298" s="5553"/>
      <c r="AB298" s="5581"/>
      <c r="AC298" s="4316"/>
      <c r="AD298" s="3496"/>
      <c r="AE298" s="5610"/>
      <c r="AF298" s="5610"/>
      <c r="AG298" s="10570"/>
    </row>
    <row r="299" spans="1:33" ht="28.5" customHeight="1">
      <c r="A299" s="11139"/>
      <c r="B299" s="11136"/>
      <c r="C299" s="11124"/>
      <c r="D299" s="11124"/>
      <c r="E299" s="11124"/>
      <c r="F299" s="11124"/>
      <c r="G299" s="11124"/>
      <c r="H299" s="11124"/>
      <c r="I299" s="11124"/>
      <c r="J299" s="11124"/>
      <c r="K299" s="11124"/>
      <c r="L299" s="11131"/>
      <c r="M299" s="11131"/>
      <c r="N299" s="11131"/>
      <c r="O299" s="11124"/>
      <c r="P299" s="11124"/>
      <c r="Q299" s="11127"/>
      <c r="R299" s="5453"/>
      <c r="S299" s="3578"/>
      <c r="T299" s="3578"/>
      <c r="U299" s="3578"/>
      <c r="V299" s="5517"/>
      <c r="W299" s="3578"/>
      <c r="X299" s="5562"/>
      <c r="Y299" s="5552"/>
      <c r="Z299" s="5552"/>
      <c r="AA299" s="5553"/>
      <c r="AB299" s="5581"/>
      <c r="AC299" s="4316"/>
      <c r="AD299" s="3496"/>
      <c r="AE299" s="5610"/>
      <c r="AF299" s="5610"/>
      <c r="AG299" s="10570"/>
    </row>
    <row r="300" spans="1:33" ht="28.5" customHeight="1">
      <c r="A300" s="11139"/>
      <c r="B300" s="11138"/>
      <c r="C300" s="11126"/>
      <c r="D300" s="11126"/>
      <c r="E300" s="11126"/>
      <c r="F300" s="11126"/>
      <c r="G300" s="11126"/>
      <c r="H300" s="11126"/>
      <c r="I300" s="11126"/>
      <c r="J300" s="11126"/>
      <c r="K300" s="11126"/>
      <c r="L300" s="11132"/>
      <c r="M300" s="11132"/>
      <c r="N300" s="11132"/>
      <c r="O300" s="11126"/>
      <c r="P300" s="11126"/>
      <c r="Q300" s="11128"/>
      <c r="R300" s="5456"/>
      <c r="S300" s="3605"/>
      <c r="T300" s="3605"/>
      <c r="U300" s="3605"/>
      <c r="V300" s="5518"/>
      <c r="W300" s="3605"/>
      <c r="X300" s="5565"/>
      <c r="Y300" s="5558"/>
      <c r="Z300" s="5558"/>
      <c r="AA300" s="5559"/>
      <c r="AB300" s="5585"/>
      <c r="AC300" s="4318"/>
      <c r="AD300" s="3545"/>
      <c r="AE300" s="5625"/>
      <c r="AF300" s="5625"/>
      <c r="AG300" s="10571"/>
    </row>
    <row r="301" spans="1:33" ht="28.5" customHeight="1">
      <c r="A301" s="11139"/>
      <c r="B301" s="10512" t="s">
        <v>127</v>
      </c>
      <c r="C301" s="10444" t="s">
        <v>128</v>
      </c>
      <c r="D301" s="10444" t="s">
        <v>129</v>
      </c>
      <c r="E301" s="10444" t="s">
        <v>268</v>
      </c>
      <c r="F301" s="10451" t="s">
        <v>131</v>
      </c>
      <c r="G301" s="10444" t="s">
        <v>132</v>
      </c>
      <c r="H301" s="10444" t="s">
        <v>159</v>
      </c>
      <c r="I301" s="10444" t="s">
        <v>4598</v>
      </c>
      <c r="J301" s="10444" t="s">
        <v>4599</v>
      </c>
      <c r="K301" s="10444" t="s">
        <v>6007</v>
      </c>
      <c r="L301" s="10455">
        <v>1</v>
      </c>
      <c r="M301" s="10455">
        <v>1</v>
      </c>
      <c r="N301" s="10455">
        <v>1</v>
      </c>
      <c r="O301" s="10444" t="s">
        <v>6008</v>
      </c>
      <c r="P301" s="10444" t="s">
        <v>1805</v>
      </c>
      <c r="Q301" s="10449" t="s">
        <v>5992</v>
      </c>
      <c r="R301" s="5457"/>
      <c r="S301" s="4312"/>
      <c r="T301" s="4312"/>
      <c r="U301" s="4312"/>
      <c r="V301" s="5519"/>
      <c r="W301" s="4312"/>
      <c r="X301" s="5566"/>
      <c r="Y301" s="5560"/>
      <c r="Z301" s="5560"/>
      <c r="AA301" s="5561"/>
      <c r="AB301" s="5586"/>
      <c r="AC301" s="4314"/>
      <c r="AD301" s="3658"/>
      <c r="AE301" s="5623"/>
      <c r="AF301" s="5623"/>
      <c r="AG301" s="11118"/>
    </row>
    <row r="302" spans="1:33" ht="28.5" customHeight="1">
      <c r="A302" s="11139"/>
      <c r="B302" s="11136"/>
      <c r="C302" s="11124"/>
      <c r="D302" s="11124"/>
      <c r="E302" s="11124"/>
      <c r="F302" s="11124"/>
      <c r="G302" s="11124"/>
      <c r="H302" s="11124"/>
      <c r="I302" s="11124"/>
      <c r="J302" s="11124"/>
      <c r="K302" s="11124"/>
      <c r="L302" s="11131"/>
      <c r="M302" s="11131"/>
      <c r="N302" s="11131"/>
      <c r="O302" s="11124"/>
      <c r="P302" s="11124"/>
      <c r="Q302" s="11127"/>
      <c r="R302" s="5453"/>
      <c r="S302" s="3578"/>
      <c r="T302" s="3578"/>
      <c r="U302" s="3578"/>
      <c r="V302" s="5517"/>
      <c r="W302" s="3578"/>
      <c r="X302" s="5562"/>
      <c r="Y302" s="5552"/>
      <c r="Z302" s="5552"/>
      <c r="AA302" s="5553"/>
      <c r="AB302" s="5581"/>
      <c r="AC302" s="4316"/>
      <c r="AD302" s="3496"/>
      <c r="AE302" s="5610"/>
      <c r="AF302" s="5610"/>
      <c r="AG302" s="11119"/>
    </row>
    <row r="303" spans="1:33" ht="28.5" customHeight="1">
      <c r="A303" s="11139"/>
      <c r="B303" s="11136"/>
      <c r="C303" s="11124"/>
      <c r="D303" s="11124"/>
      <c r="E303" s="11124"/>
      <c r="F303" s="11124"/>
      <c r="G303" s="11124"/>
      <c r="H303" s="11124"/>
      <c r="I303" s="11124"/>
      <c r="J303" s="11124"/>
      <c r="K303" s="11124"/>
      <c r="L303" s="11131"/>
      <c r="M303" s="11131"/>
      <c r="N303" s="11131"/>
      <c r="O303" s="11124"/>
      <c r="P303" s="11124"/>
      <c r="Q303" s="11127"/>
      <c r="R303" s="5453"/>
      <c r="S303" s="3578"/>
      <c r="T303" s="3578"/>
      <c r="U303" s="3578"/>
      <c r="V303" s="5517"/>
      <c r="W303" s="3578"/>
      <c r="X303" s="5562"/>
      <c r="Y303" s="5552"/>
      <c r="Z303" s="5552"/>
      <c r="AA303" s="5553"/>
      <c r="AB303" s="5581"/>
      <c r="AC303" s="4316"/>
      <c r="AD303" s="3496"/>
      <c r="AE303" s="5610"/>
      <c r="AF303" s="5610"/>
      <c r="AG303" s="11119"/>
    </row>
    <row r="304" spans="1:33" ht="28.5" customHeight="1">
      <c r="A304" s="11139"/>
      <c r="B304" s="11136"/>
      <c r="C304" s="11124"/>
      <c r="D304" s="11124"/>
      <c r="E304" s="11124"/>
      <c r="F304" s="11124"/>
      <c r="G304" s="11124"/>
      <c r="H304" s="11124"/>
      <c r="I304" s="11124"/>
      <c r="J304" s="11124"/>
      <c r="K304" s="11124"/>
      <c r="L304" s="11131"/>
      <c r="M304" s="11131"/>
      <c r="N304" s="11131"/>
      <c r="O304" s="11124"/>
      <c r="P304" s="11124"/>
      <c r="Q304" s="11127"/>
      <c r="R304" s="5453"/>
      <c r="S304" s="3578"/>
      <c r="T304" s="3578"/>
      <c r="U304" s="3578"/>
      <c r="V304" s="5517"/>
      <c r="W304" s="3578"/>
      <c r="X304" s="5562"/>
      <c r="Y304" s="5552"/>
      <c r="Z304" s="5552"/>
      <c r="AA304" s="5553"/>
      <c r="AB304" s="5581"/>
      <c r="AC304" s="4316"/>
      <c r="AD304" s="3496"/>
      <c r="AE304" s="5610"/>
      <c r="AF304" s="5610"/>
      <c r="AG304" s="11119"/>
    </row>
    <row r="305" spans="1:33" ht="28.5" customHeight="1">
      <c r="A305" s="11139"/>
      <c r="B305" s="11138"/>
      <c r="C305" s="11126"/>
      <c r="D305" s="11126"/>
      <c r="E305" s="11126"/>
      <c r="F305" s="11126"/>
      <c r="G305" s="11126"/>
      <c r="H305" s="11126"/>
      <c r="I305" s="11126"/>
      <c r="J305" s="11126"/>
      <c r="K305" s="11126"/>
      <c r="L305" s="11132"/>
      <c r="M305" s="11132"/>
      <c r="N305" s="11132"/>
      <c r="O305" s="11126"/>
      <c r="P305" s="11126"/>
      <c r="Q305" s="11128"/>
      <c r="R305" s="5450"/>
      <c r="S305" s="3606"/>
      <c r="T305" s="3606"/>
      <c r="U305" s="3605"/>
      <c r="V305" s="5503"/>
      <c r="W305" s="3606"/>
      <c r="X305" s="5558"/>
      <c r="Y305" s="5558"/>
      <c r="Z305" s="5558"/>
      <c r="AA305" s="5559"/>
      <c r="AB305" s="5585"/>
      <c r="AC305" s="4318"/>
      <c r="AD305" s="3545"/>
      <c r="AE305" s="5625"/>
      <c r="AF305" s="5625"/>
      <c r="AG305" s="11120"/>
    </row>
    <row r="306" spans="1:33" s="6169" customFormat="1" ht="22.5" customHeight="1" thickBot="1">
      <c r="A306" s="6236"/>
      <c r="B306" s="6166"/>
      <c r="C306" s="6166"/>
      <c r="D306" s="6166"/>
      <c r="E306" s="6166"/>
      <c r="F306" s="6166"/>
      <c r="G306" s="6166"/>
      <c r="H306" s="6166"/>
      <c r="I306" s="6166"/>
      <c r="J306" s="6166"/>
      <c r="K306" s="6166"/>
      <c r="L306" s="6164"/>
      <c r="M306" s="6164"/>
      <c r="N306" s="6164"/>
      <c r="O306" s="6166"/>
      <c r="P306" s="6166"/>
      <c r="Q306" s="6167"/>
      <c r="R306" s="11144" t="s">
        <v>4606</v>
      </c>
      <c r="S306" s="11145"/>
      <c r="T306" s="11145"/>
      <c r="U306" s="11145"/>
      <c r="V306" s="11145"/>
      <c r="W306" s="11145"/>
      <c r="X306" s="11145"/>
      <c r="Y306" s="11145"/>
      <c r="Z306" s="5321" t="s">
        <v>292</v>
      </c>
      <c r="AA306" s="6153">
        <f>SUM(AA266:AA305)</f>
        <v>0</v>
      </c>
      <c r="AB306" s="6165"/>
      <c r="AC306" s="6168"/>
      <c r="AD306" s="11146"/>
      <c r="AE306" s="11147"/>
      <c r="AF306" s="11147"/>
      <c r="AG306" s="11148"/>
    </row>
    <row r="307" spans="1:33" ht="21.75" customHeight="1">
      <c r="A307" s="9599" t="s">
        <v>6009</v>
      </c>
      <c r="B307" s="10518" t="s">
        <v>183</v>
      </c>
      <c r="C307" s="10452" t="s">
        <v>227</v>
      </c>
      <c r="D307" s="10452" t="s">
        <v>228</v>
      </c>
      <c r="E307" s="10452" t="s">
        <v>229</v>
      </c>
      <c r="F307" s="10454" t="s">
        <v>230</v>
      </c>
      <c r="G307" s="10452" t="s">
        <v>132</v>
      </c>
      <c r="H307" s="10452" t="s">
        <v>159</v>
      </c>
      <c r="I307" s="10433" t="s">
        <v>6010</v>
      </c>
      <c r="J307" s="10452" t="s">
        <v>6011</v>
      </c>
      <c r="K307" s="10452" t="s">
        <v>5761</v>
      </c>
      <c r="L307" s="10488">
        <v>2</v>
      </c>
      <c r="M307" s="10488">
        <v>1</v>
      </c>
      <c r="N307" s="10488">
        <v>2</v>
      </c>
      <c r="O307" s="10452" t="s">
        <v>6012</v>
      </c>
      <c r="P307" s="10452" t="s">
        <v>6013</v>
      </c>
      <c r="Q307" s="10453" t="s">
        <v>6014</v>
      </c>
      <c r="R307" s="5445"/>
      <c r="S307" s="4321"/>
      <c r="T307" s="4321"/>
      <c r="U307" s="3573"/>
      <c r="V307" s="5498"/>
      <c r="W307" s="3574"/>
      <c r="X307" s="5550"/>
      <c r="Y307" s="5550"/>
      <c r="Z307" s="5550"/>
      <c r="AA307" s="5551"/>
      <c r="AB307" s="5580"/>
      <c r="AC307" s="4323"/>
      <c r="AD307" s="3683"/>
      <c r="AE307" s="5609"/>
      <c r="AF307" s="5609"/>
      <c r="AG307" s="10531"/>
    </row>
    <row r="308" spans="1:33" ht="21.75" customHeight="1">
      <c r="A308" s="11139"/>
      <c r="B308" s="11136"/>
      <c r="C308" s="11124"/>
      <c r="D308" s="11124"/>
      <c r="E308" s="11124"/>
      <c r="F308" s="11124"/>
      <c r="G308" s="11124"/>
      <c r="H308" s="11124"/>
      <c r="I308" s="11124"/>
      <c r="J308" s="11124"/>
      <c r="K308" s="11124"/>
      <c r="L308" s="11131"/>
      <c r="M308" s="11131"/>
      <c r="N308" s="11131"/>
      <c r="O308" s="11124"/>
      <c r="P308" s="11124"/>
      <c r="Q308" s="11127"/>
      <c r="R308" s="5446"/>
      <c r="S308" s="3579"/>
      <c r="T308" s="3579"/>
      <c r="U308" s="3578"/>
      <c r="V308" s="5499"/>
      <c r="W308" s="3579"/>
      <c r="X308" s="5552"/>
      <c r="Y308" s="5552"/>
      <c r="Z308" s="5552"/>
      <c r="AA308" s="5553"/>
      <c r="AB308" s="5581"/>
      <c r="AC308" s="4316"/>
      <c r="AD308" s="3496"/>
      <c r="AE308" s="5610"/>
      <c r="AF308" s="5610"/>
      <c r="AG308" s="11141"/>
    </row>
    <row r="309" spans="1:33" ht="21.75" customHeight="1">
      <c r="A309" s="11139"/>
      <c r="B309" s="11136"/>
      <c r="C309" s="11124"/>
      <c r="D309" s="11124"/>
      <c r="E309" s="11124"/>
      <c r="F309" s="11124"/>
      <c r="G309" s="11124"/>
      <c r="H309" s="11124"/>
      <c r="I309" s="11124"/>
      <c r="J309" s="11124"/>
      <c r="K309" s="11124"/>
      <c r="L309" s="11131"/>
      <c r="M309" s="11131"/>
      <c r="N309" s="11131"/>
      <c r="O309" s="11124"/>
      <c r="P309" s="11124"/>
      <c r="Q309" s="11127"/>
      <c r="R309" s="5446"/>
      <c r="S309" s="3579"/>
      <c r="T309" s="3579"/>
      <c r="U309" s="3578"/>
      <c r="V309" s="5499"/>
      <c r="W309" s="3579"/>
      <c r="X309" s="5552"/>
      <c r="Y309" s="5552"/>
      <c r="Z309" s="5552"/>
      <c r="AA309" s="5553"/>
      <c r="AB309" s="5581"/>
      <c r="AC309" s="4316"/>
      <c r="AD309" s="3496"/>
      <c r="AE309" s="5610"/>
      <c r="AF309" s="5610"/>
      <c r="AG309" s="11141"/>
    </row>
    <row r="310" spans="1:33" ht="21.75" customHeight="1">
      <c r="A310" s="11139"/>
      <c r="B310" s="11136"/>
      <c r="C310" s="11124"/>
      <c r="D310" s="11124"/>
      <c r="E310" s="11124"/>
      <c r="F310" s="11124"/>
      <c r="G310" s="11124"/>
      <c r="H310" s="11124"/>
      <c r="I310" s="11124"/>
      <c r="J310" s="11124"/>
      <c r="K310" s="11124"/>
      <c r="L310" s="11131"/>
      <c r="M310" s="11131"/>
      <c r="N310" s="11131"/>
      <c r="O310" s="11124"/>
      <c r="P310" s="11124"/>
      <c r="Q310" s="11127"/>
      <c r="R310" s="5447"/>
      <c r="S310" s="4325"/>
      <c r="T310" s="4325"/>
      <c r="U310" s="3578"/>
      <c r="V310" s="5499"/>
      <c r="W310" s="3579"/>
      <c r="X310" s="5552"/>
      <c r="Y310" s="5552"/>
      <c r="Z310" s="5552"/>
      <c r="AA310" s="5553"/>
      <c r="AB310" s="5581"/>
      <c r="AC310" s="4316"/>
      <c r="AD310" s="3496"/>
      <c r="AE310" s="5610"/>
      <c r="AF310" s="5610"/>
      <c r="AG310" s="11141"/>
    </row>
    <row r="311" spans="1:33" ht="21.75" customHeight="1">
      <c r="A311" s="11139"/>
      <c r="B311" s="11137"/>
      <c r="C311" s="11125"/>
      <c r="D311" s="11125"/>
      <c r="E311" s="11125"/>
      <c r="F311" s="11125"/>
      <c r="G311" s="11125"/>
      <c r="H311" s="11125"/>
      <c r="I311" s="11125"/>
      <c r="J311" s="11125"/>
      <c r="K311" s="11125"/>
      <c r="L311" s="11134"/>
      <c r="M311" s="11134"/>
      <c r="N311" s="11134"/>
      <c r="O311" s="11125"/>
      <c r="P311" s="11125"/>
      <c r="Q311" s="11135"/>
      <c r="R311" s="5448"/>
      <c r="S311" s="3617"/>
      <c r="T311" s="3617"/>
      <c r="U311" s="3616"/>
      <c r="V311" s="5509"/>
      <c r="W311" s="3617"/>
      <c r="X311" s="5554"/>
      <c r="Y311" s="5554"/>
      <c r="Z311" s="5554"/>
      <c r="AA311" s="5555"/>
      <c r="AB311" s="5592"/>
      <c r="AC311" s="4320"/>
      <c r="AD311" s="3714"/>
      <c r="AE311" s="5624"/>
      <c r="AF311" s="5624"/>
      <c r="AG311" s="11143"/>
    </row>
    <row r="312" spans="1:33" ht="21.75" customHeight="1">
      <c r="A312" s="11139"/>
      <c r="B312" s="10516" t="s">
        <v>127</v>
      </c>
      <c r="C312" s="10433" t="s">
        <v>128</v>
      </c>
      <c r="D312" s="10433" t="s">
        <v>129</v>
      </c>
      <c r="E312" s="10433" t="s">
        <v>157</v>
      </c>
      <c r="F312" s="10442" t="s">
        <v>131</v>
      </c>
      <c r="G312" s="10433" t="s">
        <v>132</v>
      </c>
      <c r="H312" s="10433" t="s">
        <v>159</v>
      </c>
      <c r="I312" s="10433" t="s">
        <v>6015</v>
      </c>
      <c r="J312" s="10433" t="s">
        <v>6016</v>
      </c>
      <c r="K312" s="10433" t="s">
        <v>5761</v>
      </c>
      <c r="L312" s="11130">
        <v>2</v>
      </c>
      <c r="M312" s="11130">
        <v>0</v>
      </c>
      <c r="N312" s="11130">
        <v>2</v>
      </c>
      <c r="O312" s="10433" t="s">
        <v>6017</v>
      </c>
      <c r="P312" s="10433" t="s">
        <v>6018</v>
      </c>
      <c r="Q312" s="10439" t="s">
        <v>6019</v>
      </c>
      <c r="R312" s="5452"/>
      <c r="S312" s="3598"/>
      <c r="T312" s="3598"/>
      <c r="U312" s="4344"/>
      <c r="V312" s="5502"/>
      <c r="W312" s="3598"/>
      <c r="X312" s="5556"/>
      <c r="Y312" s="5556"/>
      <c r="Z312" s="5556"/>
      <c r="AA312" s="5557"/>
      <c r="AB312" s="5584"/>
      <c r="AC312" s="4338"/>
      <c r="AD312" s="3709"/>
      <c r="AE312" s="5626"/>
      <c r="AF312" s="5626"/>
      <c r="AG312" s="10525"/>
    </row>
    <row r="313" spans="1:33" ht="21.75" customHeight="1">
      <c r="A313" s="11139"/>
      <c r="B313" s="11136"/>
      <c r="C313" s="11124"/>
      <c r="D313" s="11124"/>
      <c r="E313" s="11124"/>
      <c r="F313" s="11124"/>
      <c r="G313" s="11124"/>
      <c r="H313" s="11124"/>
      <c r="I313" s="11124"/>
      <c r="J313" s="11124"/>
      <c r="K313" s="11124"/>
      <c r="L313" s="11131"/>
      <c r="M313" s="11131"/>
      <c r="N313" s="11131"/>
      <c r="O313" s="11124"/>
      <c r="P313" s="11124"/>
      <c r="Q313" s="11127"/>
      <c r="R313" s="5446"/>
      <c r="S313" s="3579"/>
      <c r="T313" s="3579"/>
      <c r="U313" s="3578"/>
      <c r="V313" s="5499"/>
      <c r="W313" s="3579"/>
      <c r="X313" s="5552"/>
      <c r="Y313" s="5552"/>
      <c r="Z313" s="5552"/>
      <c r="AA313" s="5553"/>
      <c r="AB313" s="5581"/>
      <c r="AC313" s="4316"/>
      <c r="AD313" s="3496"/>
      <c r="AE313" s="5610"/>
      <c r="AF313" s="5610"/>
      <c r="AG313" s="11115"/>
    </row>
    <row r="314" spans="1:33" ht="21.75" customHeight="1">
      <c r="A314" s="11139"/>
      <c r="B314" s="11136"/>
      <c r="C314" s="11124"/>
      <c r="D314" s="11124"/>
      <c r="E314" s="11124"/>
      <c r="F314" s="11124"/>
      <c r="G314" s="11124"/>
      <c r="H314" s="11124"/>
      <c r="I314" s="11124"/>
      <c r="J314" s="11124"/>
      <c r="K314" s="11124"/>
      <c r="L314" s="11131"/>
      <c r="M314" s="11131"/>
      <c r="N314" s="11131"/>
      <c r="O314" s="11124"/>
      <c r="P314" s="11124"/>
      <c r="Q314" s="11127"/>
      <c r="R314" s="5446"/>
      <c r="S314" s="3579"/>
      <c r="T314" s="3579"/>
      <c r="U314" s="3578"/>
      <c r="V314" s="5499"/>
      <c r="W314" s="3579"/>
      <c r="X314" s="5552"/>
      <c r="Y314" s="5552"/>
      <c r="Z314" s="5552"/>
      <c r="AA314" s="5553"/>
      <c r="AB314" s="5581"/>
      <c r="AC314" s="4316"/>
      <c r="AD314" s="3496"/>
      <c r="AE314" s="5610"/>
      <c r="AF314" s="5610"/>
      <c r="AG314" s="11115"/>
    </row>
    <row r="315" spans="1:33" ht="21.75" customHeight="1">
      <c r="A315" s="11139"/>
      <c r="B315" s="11136"/>
      <c r="C315" s="11124"/>
      <c r="D315" s="11124"/>
      <c r="E315" s="11124"/>
      <c r="F315" s="11124"/>
      <c r="G315" s="11124"/>
      <c r="H315" s="11124"/>
      <c r="I315" s="11124"/>
      <c r="J315" s="11124"/>
      <c r="K315" s="11124"/>
      <c r="L315" s="11131"/>
      <c r="M315" s="11131"/>
      <c r="N315" s="11131"/>
      <c r="O315" s="11124"/>
      <c r="P315" s="11124"/>
      <c r="Q315" s="11127"/>
      <c r="R315" s="5446"/>
      <c r="S315" s="3579"/>
      <c r="T315" s="3579"/>
      <c r="U315" s="3578"/>
      <c r="V315" s="5499"/>
      <c r="W315" s="3579"/>
      <c r="X315" s="5552"/>
      <c r="Y315" s="5552"/>
      <c r="Z315" s="5552"/>
      <c r="AA315" s="5553"/>
      <c r="AB315" s="5581"/>
      <c r="AC315" s="4316"/>
      <c r="AD315" s="3496"/>
      <c r="AE315" s="5610"/>
      <c r="AF315" s="5610"/>
      <c r="AG315" s="11115"/>
    </row>
    <row r="316" spans="1:33" ht="21.75" customHeight="1">
      <c r="A316" s="11139"/>
      <c r="B316" s="11138"/>
      <c r="C316" s="11126"/>
      <c r="D316" s="11126"/>
      <c r="E316" s="11126"/>
      <c r="F316" s="11126"/>
      <c r="G316" s="11126"/>
      <c r="H316" s="11126"/>
      <c r="I316" s="11126"/>
      <c r="J316" s="11126"/>
      <c r="K316" s="11126"/>
      <c r="L316" s="11132"/>
      <c r="M316" s="11132"/>
      <c r="N316" s="11132"/>
      <c r="O316" s="11126"/>
      <c r="P316" s="11126"/>
      <c r="Q316" s="11128"/>
      <c r="R316" s="5450"/>
      <c r="S316" s="3606"/>
      <c r="T316" s="3606"/>
      <c r="U316" s="3605"/>
      <c r="V316" s="5503"/>
      <c r="W316" s="3606"/>
      <c r="X316" s="5558"/>
      <c r="Y316" s="5558"/>
      <c r="Z316" s="5558"/>
      <c r="AA316" s="5559"/>
      <c r="AB316" s="5585"/>
      <c r="AC316" s="4318"/>
      <c r="AD316" s="3545"/>
      <c r="AE316" s="5625"/>
      <c r="AF316" s="5625"/>
      <c r="AG316" s="11116"/>
    </row>
    <row r="317" spans="1:33" ht="21.75" customHeight="1">
      <c r="A317" s="11139"/>
      <c r="B317" s="10512" t="s">
        <v>127</v>
      </c>
      <c r="C317" s="10444" t="s">
        <v>128</v>
      </c>
      <c r="D317" s="10444" t="s">
        <v>129</v>
      </c>
      <c r="E317" s="10444" t="s">
        <v>157</v>
      </c>
      <c r="F317" s="10451" t="s">
        <v>131</v>
      </c>
      <c r="G317" s="10444" t="s">
        <v>132</v>
      </c>
      <c r="H317" s="10444" t="s">
        <v>159</v>
      </c>
      <c r="I317" s="10444" t="s">
        <v>6020</v>
      </c>
      <c r="J317" s="10444" t="s">
        <v>6021</v>
      </c>
      <c r="K317" s="10444" t="s">
        <v>6022</v>
      </c>
      <c r="L317" s="11133">
        <v>0</v>
      </c>
      <c r="M317" s="11133">
        <v>1</v>
      </c>
      <c r="N317" s="11133">
        <v>0</v>
      </c>
      <c r="O317" s="10444" t="s">
        <v>6023</v>
      </c>
      <c r="P317" s="10444" t="s">
        <v>6024</v>
      </c>
      <c r="Q317" s="10449" t="s">
        <v>6025</v>
      </c>
      <c r="R317" s="5458"/>
      <c r="S317" s="3623"/>
      <c r="T317" s="3623"/>
      <c r="U317" s="4312"/>
      <c r="V317" s="5504"/>
      <c r="W317" s="3623"/>
      <c r="X317" s="5560"/>
      <c r="Y317" s="5560"/>
      <c r="Z317" s="5560"/>
      <c r="AA317" s="5561"/>
      <c r="AB317" s="5586"/>
      <c r="AC317" s="4314"/>
      <c r="AD317" s="3658"/>
      <c r="AE317" s="5623"/>
      <c r="AF317" s="5623"/>
      <c r="AG317" s="10525"/>
    </row>
    <row r="318" spans="1:33" ht="21.75" customHeight="1">
      <c r="A318" s="11139"/>
      <c r="B318" s="11136"/>
      <c r="C318" s="11124"/>
      <c r="D318" s="11124"/>
      <c r="E318" s="11124"/>
      <c r="F318" s="11124"/>
      <c r="G318" s="11124"/>
      <c r="H318" s="11124"/>
      <c r="I318" s="11124"/>
      <c r="J318" s="11124"/>
      <c r="K318" s="11124"/>
      <c r="L318" s="11131"/>
      <c r="M318" s="11131"/>
      <c r="N318" s="11131"/>
      <c r="O318" s="11124"/>
      <c r="P318" s="11124"/>
      <c r="Q318" s="11127"/>
      <c r="R318" s="5446"/>
      <c r="S318" s="3579"/>
      <c r="T318" s="3579"/>
      <c r="U318" s="3578"/>
      <c r="V318" s="5499"/>
      <c r="W318" s="3579"/>
      <c r="X318" s="5552"/>
      <c r="Y318" s="5552"/>
      <c r="Z318" s="5552"/>
      <c r="AA318" s="5553"/>
      <c r="AB318" s="5581"/>
      <c r="AC318" s="4316"/>
      <c r="AD318" s="3496"/>
      <c r="AE318" s="5610"/>
      <c r="AF318" s="5610"/>
      <c r="AG318" s="11115"/>
    </row>
    <row r="319" spans="1:33" ht="21.75" customHeight="1">
      <c r="A319" s="11139"/>
      <c r="B319" s="11136"/>
      <c r="C319" s="11124"/>
      <c r="D319" s="11124"/>
      <c r="E319" s="11124"/>
      <c r="F319" s="11124"/>
      <c r="G319" s="11124"/>
      <c r="H319" s="11124"/>
      <c r="I319" s="11124"/>
      <c r="J319" s="11124"/>
      <c r="K319" s="11124"/>
      <c r="L319" s="11131"/>
      <c r="M319" s="11131"/>
      <c r="N319" s="11131"/>
      <c r="O319" s="11124"/>
      <c r="P319" s="11124"/>
      <c r="Q319" s="11127"/>
      <c r="R319" s="5446"/>
      <c r="S319" s="3579"/>
      <c r="T319" s="3579"/>
      <c r="U319" s="3578"/>
      <c r="V319" s="5499"/>
      <c r="W319" s="3579"/>
      <c r="X319" s="5552"/>
      <c r="Y319" s="5552"/>
      <c r="Z319" s="5552"/>
      <c r="AA319" s="5553"/>
      <c r="AB319" s="5581"/>
      <c r="AC319" s="4316"/>
      <c r="AD319" s="3496"/>
      <c r="AE319" s="5610"/>
      <c r="AF319" s="5610"/>
      <c r="AG319" s="11115"/>
    </row>
    <row r="320" spans="1:33" ht="21.75" customHeight="1">
      <c r="A320" s="11139"/>
      <c r="B320" s="11136"/>
      <c r="C320" s="11124"/>
      <c r="D320" s="11124"/>
      <c r="E320" s="11124"/>
      <c r="F320" s="11124"/>
      <c r="G320" s="11124"/>
      <c r="H320" s="11124"/>
      <c r="I320" s="11124"/>
      <c r="J320" s="11124"/>
      <c r="K320" s="11124"/>
      <c r="L320" s="11131"/>
      <c r="M320" s="11131"/>
      <c r="N320" s="11131"/>
      <c r="O320" s="11124"/>
      <c r="P320" s="11124"/>
      <c r="Q320" s="11127"/>
      <c r="R320" s="5446"/>
      <c r="S320" s="3579"/>
      <c r="T320" s="3579"/>
      <c r="U320" s="3578"/>
      <c r="V320" s="5499"/>
      <c r="W320" s="3579"/>
      <c r="X320" s="5552"/>
      <c r="Y320" s="5552"/>
      <c r="Z320" s="5552"/>
      <c r="AA320" s="5553"/>
      <c r="AB320" s="5581"/>
      <c r="AC320" s="4316"/>
      <c r="AD320" s="3496"/>
      <c r="AE320" s="5610"/>
      <c r="AF320" s="5610"/>
      <c r="AG320" s="11115"/>
    </row>
    <row r="321" spans="1:33" ht="21.75" customHeight="1">
      <c r="A321" s="11139"/>
      <c r="B321" s="11137"/>
      <c r="C321" s="11125"/>
      <c r="D321" s="11125"/>
      <c r="E321" s="11125"/>
      <c r="F321" s="11125"/>
      <c r="G321" s="11125"/>
      <c r="H321" s="11125"/>
      <c r="I321" s="11125"/>
      <c r="J321" s="11125"/>
      <c r="K321" s="11125"/>
      <c r="L321" s="11134"/>
      <c r="M321" s="11134"/>
      <c r="N321" s="11134"/>
      <c r="O321" s="11125"/>
      <c r="P321" s="11125"/>
      <c r="Q321" s="11135"/>
      <c r="R321" s="5448"/>
      <c r="S321" s="3617"/>
      <c r="T321" s="3617"/>
      <c r="U321" s="3616"/>
      <c r="V321" s="5509"/>
      <c r="W321" s="3617"/>
      <c r="X321" s="5554"/>
      <c r="Y321" s="5554"/>
      <c r="Z321" s="5554"/>
      <c r="AA321" s="5555"/>
      <c r="AB321" s="5592"/>
      <c r="AC321" s="4320"/>
      <c r="AD321" s="3714"/>
      <c r="AE321" s="5624"/>
      <c r="AF321" s="5624"/>
      <c r="AG321" s="11116"/>
    </row>
    <row r="322" spans="1:33" ht="21.75" customHeight="1">
      <c r="A322" s="11139"/>
      <c r="B322" s="10516" t="s">
        <v>183</v>
      </c>
      <c r="C322" s="10433" t="s">
        <v>227</v>
      </c>
      <c r="D322" s="10433" t="s">
        <v>228</v>
      </c>
      <c r="E322" s="10433" t="s">
        <v>229</v>
      </c>
      <c r="F322" s="10442" t="s">
        <v>230</v>
      </c>
      <c r="G322" s="10433" t="s">
        <v>132</v>
      </c>
      <c r="H322" s="10433" t="s">
        <v>159</v>
      </c>
      <c r="I322" s="10433" t="s">
        <v>6026</v>
      </c>
      <c r="J322" s="10433" t="s">
        <v>6027</v>
      </c>
      <c r="K322" s="10433" t="s">
        <v>6022</v>
      </c>
      <c r="L322" s="11130">
        <v>0</v>
      </c>
      <c r="M322" s="11130">
        <v>1</v>
      </c>
      <c r="N322" s="11130">
        <v>1</v>
      </c>
      <c r="O322" s="10433" t="s">
        <v>6028</v>
      </c>
      <c r="P322" s="10433" t="s">
        <v>6029</v>
      </c>
      <c r="Q322" s="10439" t="s">
        <v>6025</v>
      </c>
      <c r="R322" s="5452"/>
      <c r="S322" s="3598"/>
      <c r="T322" s="3598"/>
      <c r="U322" s="4344"/>
      <c r="V322" s="5502"/>
      <c r="W322" s="3598"/>
      <c r="X322" s="5556"/>
      <c r="Y322" s="5556"/>
      <c r="Z322" s="5556"/>
      <c r="AA322" s="5557"/>
      <c r="AB322" s="5584"/>
      <c r="AC322" s="4338"/>
      <c r="AD322" s="3709"/>
      <c r="AE322" s="5626"/>
      <c r="AF322" s="5626"/>
      <c r="AG322" s="10525"/>
    </row>
    <row r="323" spans="1:33" ht="21.75" customHeight="1">
      <c r="A323" s="11139"/>
      <c r="B323" s="11136"/>
      <c r="C323" s="11124"/>
      <c r="D323" s="11124"/>
      <c r="E323" s="11124"/>
      <c r="F323" s="11124"/>
      <c r="G323" s="11124"/>
      <c r="H323" s="11124"/>
      <c r="I323" s="11124"/>
      <c r="J323" s="11124"/>
      <c r="K323" s="11124"/>
      <c r="L323" s="11131"/>
      <c r="M323" s="11131"/>
      <c r="N323" s="11131"/>
      <c r="O323" s="11124"/>
      <c r="P323" s="11124"/>
      <c r="Q323" s="11127"/>
      <c r="R323" s="5446"/>
      <c r="S323" s="3579"/>
      <c r="T323" s="3579"/>
      <c r="U323" s="3578"/>
      <c r="V323" s="5499"/>
      <c r="W323" s="3579"/>
      <c r="X323" s="5552"/>
      <c r="Y323" s="5552"/>
      <c r="Z323" s="5552"/>
      <c r="AA323" s="5553"/>
      <c r="AB323" s="5581"/>
      <c r="AC323" s="4316"/>
      <c r="AD323" s="3496"/>
      <c r="AE323" s="5610"/>
      <c r="AF323" s="5610"/>
      <c r="AG323" s="11115"/>
    </row>
    <row r="324" spans="1:33" ht="21.75" customHeight="1">
      <c r="A324" s="11139"/>
      <c r="B324" s="11136"/>
      <c r="C324" s="11124"/>
      <c r="D324" s="11124"/>
      <c r="E324" s="11124"/>
      <c r="F324" s="11124"/>
      <c r="G324" s="11124"/>
      <c r="H324" s="11124"/>
      <c r="I324" s="11124"/>
      <c r="J324" s="11124"/>
      <c r="K324" s="11124"/>
      <c r="L324" s="11131"/>
      <c r="M324" s="11131"/>
      <c r="N324" s="11131"/>
      <c r="O324" s="11124"/>
      <c r="P324" s="11124"/>
      <c r="Q324" s="11127"/>
      <c r="R324" s="5446"/>
      <c r="S324" s="3579"/>
      <c r="T324" s="3579"/>
      <c r="U324" s="3578"/>
      <c r="V324" s="5499"/>
      <c r="W324" s="3579"/>
      <c r="X324" s="5552"/>
      <c r="Y324" s="5552"/>
      <c r="Z324" s="5552"/>
      <c r="AA324" s="5553"/>
      <c r="AB324" s="5581"/>
      <c r="AC324" s="4316"/>
      <c r="AD324" s="3496"/>
      <c r="AE324" s="5610"/>
      <c r="AF324" s="5610"/>
      <c r="AG324" s="11115"/>
    </row>
    <row r="325" spans="1:33" ht="21.75" customHeight="1">
      <c r="A325" s="11139"/>
      <c r="B325" s="11136"/>
      <c r="C325" s="11124"/>
      <c r="D325" s="11124"/>
      <c r="E325" s="11124"/>
      <c r="F325" s="11124"/>
      <c r="G325" s="11124"/>
      <c r="H325" s="11124"/>
      <c r="I325" s="11124"/>
      <c r="J325" s="11124"/>
      <c r="K325" s="11124"/>
      <c r="L325" s="11131"/>
      <c r="M325" s="11131"/>
      <c r="N325" s="11131"/>
      <c r="O325" s="11124"/>
      <c r="P325" s="11124"/>
      <c r="Q325" s="11127"/>
      <c r="R325" s="5446"/>
      <c r="S325" s="3579"/>
      <c r="T325" s="3579"/>
      <c r="U325" s="3578"/>
      <c r="V325" s="5499"/>
      <c r="W325" s="3579"/>
      <c r="X325" s="5552"/>
      <c r="Y325" s="5552"/>
      <c r="Z325" s="5552"/>
      <c r="AA325" s="5553"/>
      <c r="AB325" s="5581"/>
      <c r="AC325" s="4316"/>
      <c r="AD325" s="3496"/>
      <c r="AE325" s="5610"/>
      <c r="AF325" s="5610"/>
      <c r="AG325" s="11115"/>
    </row>
    <row r="326" spans="1:33" ht="21.75" customHeight="1">
      <c r="A326" s="11139"/>
      <c r="B326" s="11138"/>
      <c r="C326" s="11126"/>
      <c r="D326" s="11126"/>
      <c r="E326" s="11126"/>
      <c r="F326" s="11126"/>
      <c r="G326" s="11126"/>
      <c r="H326" s="11126"/>
      <c r="I326" s="11126"/>
      <c r="J326" s="11126"/>
      <c r="K326" s="11126"/>
      <c r="L326" s="11132"/>
      <c r="M326" s="11132"/>
      <c r="N326" s="11132"/>
      <c r="O326" s="11126"/>
      <c r="P326" s="11126"/>
      <c r="Q326" s="11128"/>
      <c r="R326" s="5450"/>
      <c r="S326" s="3606"/>
      <c r="T326" s="3606"/>
      <c r="U326" s="3605"/>
      <c r="V326" s="5503"/>
      <c r="W326" s="3606"/>
      <c r="X326" s="5558"/>
      <c r="Y326" s="5558"/>
      <c r="Z326" s="5558"/>
      <c r="AA326" s="5559"/>
      <c r="AB326" s="5585"/>
      <c r="AC326" s="4318"/>
      <c r="AD326" s="3545"/>
      <c r="AE326" s="5625"/>
      <c r="AF326" s="5625"/>
      <c r="AG326" s="11116"/>
    </row>
    <row r="327" spans="1:33" ht="21.75" customHeight="1">
      <c r="A327" s="11139"/>
      <c r="B327" s="10512" t="s">
        <v>183</v>
      </c>
      <c r="C327" s="10444" t="s">
        <v>227</v>
      </c>
      <c r="D327" s="10444" t="s">
        <v>185</v>
      </c>
      <c r="E327" s="10444" t="s">
        <v>1938</v>
      </c>
      <c r="F327" s="10451" t="s">
        <v>230</v>
      </c>
      <c r="G327" s="10444" t="s">
        <v>171</v>
      </c>
      <c r="H327" s="10444" t="s">
        <v>133</v>
      </c>
      <c r="I327" s="10444" t="s">
        <v>6030</v>
      </c>
      <c r="J327" s="10444" t="s">
        <v>6031</v>
      </c>
      <c r="K327" s="10444" t="s">
        <v>5900</v>
      </c>
      <c r="L327" s="11133">
        <v>1</v>
      </c>
      <c r="M327" s="11133">
        <v>0</v>
      </c>
      <c r="N327" s="11133">
        <v>1</v>
      </c>
      <c r="O327" s="10444" t="s">
        <v>6032</v>
      </c>
      <c r="P327" s="10444" t="s">
        <v>5902</v>
      </c>
      <c r="Q327" s="10449" t="s">
        <v>6033</v>
      </c>
      <c r="R327" s="5458"/>
      <c r="S327" s="3623"/>
      <c r="T327" s="3623"/>
      <c r="U327" s="4312"/>
      <c r="V327" s="5504"/>
      <c r="W327" s="3623"/>
      <c r="X327" s="5560"/>
      <c r="Y327" s="5560"/>
      <c r="Z327" s="5560"/>
      <c r="AA327" s="5561"/>
      <c r="AB327" s="5586"/>
      <c r="AC327" s="4314"/>
      <c r="AD327" s="3658"/>
      <c r="AE327" s="5623"/>
      <c r="AF327" s="5623"/>
      <c r="AG327" s="10525"/>
    </row>
    <row r="328" spans="1:33" ht="21.75" customHeight="1">
      <c r="A328" s="11139"/>
      <c r="B328" s="11136"/>
      <c r="C328" s="11124"/>
      <c r="D328" s="11124"/>
      <c r="E328" s="11124"/>
      <c r="F328" s="11124"/>
      <c r="G328" s="11124"/>
      <c r="H328" s="11124"/>
      <c r="I328" s="11124"/>
      <c r="J328" s="11124"/>
      <c r="K328" s="11124"/>
      <c r="L328" s="11131"/>
      <c r="M328" s="11131"/>
      <c r="N328" s="11131"/>
      <c r="O328" s="11124"/>
      <c r="P328" s="11124"/>
      <c r="Q328" s="11127"/>
      <c r="R328" s="5446"/>
      <c r="S328" s="3579"/>
      <c r="T328" s="3579"/>
      <c r="U328" s="3578"/>
      <c r="V328" s="5499"/>
      <c r="W328" s="3579"/>
      <c r="X328" s="5552"/>
      <c r="Y328" s="5552"/>
      <c r="Z328" s="5552"/>
      <c r="AA328" s="5553"/>
      <c r="AB328" s="5581"/>
      <c r="AC328" s="4316"/>
      <c r="AD328" s="3496"/>
      <c r="AE328" s="5610"/>
      <c r="AF328" s="5610"/>
      <c r="AG328" s="11115"/>
    </row>
    <row r="329" spans="1:33" ht="21.75" customHeight="1">
      <c r="A329" s="11139"/>
      <c r="B329" s="11136"/>
      <c r="C329" s="11124"/>
      <c r="D329" s="11124"/>
      <c r="E329" s="11124"/>
      <c r="F329" s="11124"/>
      <c r="G329" s="11124"/>
      <c r="H329" s="11124"/>
      <c r="I329" s="11124"/>
      <c r="J329" s="11124"/>
      <c r="K329" s="11124"/>
      <c r="L329" s="11131"/>
      <c r="M329" s="11131"/>
      <c r="N329" s="11131"/>
      <c r="O329" s="11124"/>
      <c r="P329" s="11124"/>
      <c r="Q329" s="11127"/>
      <c r="R329" s="5446"/>
      <c r="S329" s="3579"/>
      <c r="T329" s="3579"/>
      <c r="U329" s="3578"/>
      <c r="V329" s="5499"/>
      <c r="W329" s="3579"/>
      <c r="X329" s="5552"/>
      <c r="Y329" s="5552"/>
      <c r="Z329" s="5552"/>
      <c r="AA329" s="5553"/>
      <c r="AB329" s="5581"/>
      <c r="AC329" s="4316"/>
      <c r="AD329" s="3496"/>
      <c r="AE329" s="5610"/>
      <c r="AF329" s="5610"/>
      <c r="AG329" s="11115"/>
    </row>
    <row r="330" spans="1:33" ht="21.75" customHeight="1">
      <c r="A330" s="11139"/>
      <c r="B330" s="11136"/>
      <c r="C330" s="11124"/>
      <c r="D330" s="11124"/>
      <c r="E330" s="11124"/>
      <c r="F330" s="11124"/>
      <c r="G330" s="11124"/>
      <c r="H330" s="11124"/>
      <c r="I330" s="11124"/>
      <c r="J330" s="11124"/>
      <c r="K330" s="11124"/>
      <c r="L330" s="11131"/>
      <c r="M330" s="11131"/>
      <c r="N330" s="11131"/>
      <c r="O330" s="11124"/>
      <c r="P330" s="11124"/>
      <c r="Q330" s="11127"/>
      <c r="R330" s="5446"/>
      <c r="S330" s="3579"/>
      <c r="T330" s="3579"/>
      <c r="U330" s="3578"/>
      <c r="V330" s="5499"/>
      <c r="W330" s="3579"/>
      <c r="X330" s="5552"/>
      <c r="Y330" s="5552"/>
      <c r="Z330" s="5552"/>
      <c r="AA330" s="5553"/>
      <c r="AB330" s="5581"/>
      <c r="AC330" s="4316"/>
      <c r="AD330" s="3496"/>
      <c r="AE330" s="5610"/>
      <c r="AF330" s="5610"/>
      <c r="AG330" s="11115"/>
    </row>
    <row r="331" spans="1:33" ht="21.75" customHeight="1">
      <c r="A331" s="11139"/>
      <c r="B331" s="11137"/>
      <c r="C331" s="11125"/>
      <c r="D331" s="11125"/>
      <c r="E331" s="11125"/>
      <c r="F331" s="11125"/>
      <c r="G331" s="11125"/>
      <c r="H331" s="11125"/>
      <c r="I331" s="11125"/>
      <c r="J331" s="11125"/>
      <c r="K331" s="11125"/>
      <c r="L331" s="11134"/>
      <c r="M331" s="11134"/>
      <c r="N331" s="11134"/>
      <c r="O331" s="11125"/>
      <c r="P331" s="11125"/>
      <c r="Q331" s="11135"/>
      <c r="R331" s="5448"/>
      <c r="S331" s="3617"/>
      <c r="T331" s="3617"/>
      <c r="U331" s="3616"/>
      <c r="V331" s="5509"/>
      <c r="W331" s="3617"/>
      <c r="X331" s="5554"/>
      <c r="Y331" s="5554"/>
      <c r="Z331" s="5554"/>
      <c r="AA331" s="5555"/>
      <c r="AB331" s="5592"/>
      <c r="AC331" s="4320"/>
      <c r="AD331" s="3714"/>
      <c r="AE331" s="5624"/>
      <c r="AF331" s="5624"/>
      <c r="AG331" s="11116"/>
    </row>
    <row r="332" spans="1:33" ht="21.75" customHeight="1">
      <c r="A332" s="11139"/>
      <c r="B332" s="10516" t="s">
        <v>127</v>
      </c>
      <c r="C332" s="10433" t="s">
        <v>128</v>
      </c>
      <c r="D332" s="10433" t="s">
        <v>129</v>
      </c>
      <c r="E332" s="10433" t="s">
        <v>157</v>
      </c>
      <c r="F332" s="10442" t="s">
        <v>131</v>
      </c>
      <c r="G332" s="10433" t="s">
        <v>132</v>
      </c>
      <c r="H332" s="10433" t="s">
        <v>159</v>
      </c>
      <c r="I332" s="10433" t="s">
        <v>6034</v>
      </c>
      <c r="J332" s="10433" t="s">
        <v>6035</v>
      </c>
      <c r="K332" s="10433" t="s">
        <v>6036</v>
      </c>
      <c r="L332" s="11130">
        <v>1</v>
      </c>
      <c r="M332" s="11130">
        <v>2</v>
      </c>
      <c r="N332" s="11130">
        <v>2</v>
      </c>
      <c r="O332" s="10433" t="s">
        <v>6037</v>
      </c>
      <c r="P332" s="10433" t="s">
        <v>6038</v>
      </c>
      <c r="Q332" s="10439" t="s">
        <v>6025</v>
      </c>
      <c r="R332" s="5452"/>
      <c r="S332" s="3598"/>
      <c r="T332" s="3598"/>
      <c r="U332" s="4344"/>
      <c r="V332" s="5502"/>
      <c r="W332" s="3598"/>
      <c r="X332" s="5556"/>
      <c r="Y332" s="5556"/>
      <c r="Z332" s="5556"/>
      <c r="AA332" s="5557"/>
      <c r="AB332" s="5584"/>
      <c r="AC332" s="4338"/>
      <c r="AD332" s="3709"/>
      <c r="AE332" s="5626"/>
      <c r="AF332" s="5626"/>
      <c r="AG332" s="10525"/>
    </row>
    <row r="333" spans="1:33" ht="21.75" customHeight="1">
      <c r="A333" s="11139"/>
      <c r="B333" s="11136"/>
      <c r="C333" s="11124"/>
      <c r="D333" s="11124"/>
      <c r="E333" s="11124"/>
      <c r="F333" s="11124"/>
      <c r="G333" s="11124"/>
      <c r="H333" s="11124"/>
      <c r="I333" s="11124"/>
      <c r="J333" s="11124"/>
      <c r="K333" s="11124"/>
      <c r="L333" s="11131"/>
      <c r="M333" s="11131"/>
      <c r="N333" s="11131"/>
      <c r="O333" s="11124"/>
      <c r="P333" s="11124"/>
      <c r="Q333" s="11127"/>
      <c r="R333" s="5446"/>
      <c r="S333" s="3579"/>
      <c r="T333" s="3579"/>
      <c r="U333" s="3578"/>
      <c r="V333" s="5499"/>
      <c r="W333" s="3579"/>
      <c r="X333" s="5552"/>
      <c r="Y333" s="5552"/>
      <c r="Z333" s="5552"/>
      <c r="AA333" s="5553"/>
      <c r="AB333" s="5581"/>
      <c r="AC333" s="4316"/>
      <c r="AD333" s="3496"/>
      <c r="AE333" s="5610"/>
      <c r="AF333" s="5610"/>
      <c r="AG333" s="11115"/>
    </row>
    <row r="334" spans="1:33" ht="21.75" customHeight="1">
      <c r="A334" s="11139"/>
      <c r="B334" s="11136"/>
      <c r="C334" s="11124"/>
      <c r="D334" s="11124"/>
      <c r="E334" s="11124"/>
      <c r="F334" s="11124"/>
      <c r="G334" s="11124"/>
      <c r="H334" s="11124"/>
      <c r="I334" s="11124"/>
      <c r="J334" s="11124"/>
      <c r="K334" s="11124"/>
      <c r="L334" s="11131"/>
      <c r="M334" s="11131"/>
      <c r="N334" s="11131"/>
      <c r="O334" s="11124"/>
      <c r="P334" s="11124"/>
      <c r="Q334" s="11127"/>
      <c r="R334" s="5446"/>
      <c r="S334" s="3579"/>
      <c r="T334" s="3579"/>
      <c r="U334" s="3578"/>
      <c r="V334" s="5499"/>
      <c r="W334" s="3579"/>
      <c r="X334" s="5552"/>
      <c r="Y334" s="5552"/>
      <c r="Z334" s="5552"/>
      <c r="AA334" s="5553"/>
      <c r="AB334" s="5581"/>
      <c r="AC334" s="4316"/>
      <c r="AD334" s="3496"/>
      <c r="AE334" s="5610"/>
      <c r="AF334" s="5610"/>
      <c r="AG334" s="11115"/>
    </row>
    <row r="335" spans="1:33" ht="21.75" customHeight="1">
      <c r="A335" s="11139"/>
      <c r="B335" s="11136"/>
      <c r="C335" s="11124"/>
      <c r="D335" s="11124"/>
      <c r="E335" s="11124"/>
      <c r="F335" s="11124"/>
      <c r="G335" s="11124"/>
      <c r="H335" s="11124"/>
      <c r="I335" s="11124"/>
      <c r="J335" s="11124"/>
      <c r="K335" s="11124"/>
      <c r="L335" s="11131"/>
      <c r="M335" s="11131"/>
      <c r="N335" s="11131"/>
      <c r="O335" s="11124"/>
      <c r="P335" s="11124"/>
      <c r="Q335" s="11127"/>
      <c r="R335" s="5446"/>
      <c r="S335" s="3579"/>
      <c r="T335" s="3579"/>
      <c r="U335" s="3578"/>
      <c r="V335" s="5499"/>
      <c r="W335" s="3579"/>
      <c r="X335" s="5552"/>
      <c r="Y335" s="5552"/>
      <c r="Z335" s="5552"/>
      <c r="AA335" s="5553"/>
      <c r="AB335" s="5581"/>
      <c r="AC335" s="4316"/>
      <c r="AD335" s="3496"/>
      <c r="AE335" s="5610"/>
      <c r="AF335" s="5610"/>
      <c r="AG335" s="11115"/>
    </row>
    <row r="336" spans="1:33" ht="21.75" customHeight="1">
      <c r="A336" s="11139"/>
      <c r="B336" s="11138"/>
      <c r="C336" s="11126"/>
      <c r="D336" s="11126"/>
      <c r="E336" s="11126"/>
      <c r="F336" s="11126"/>
      <c r="G336" s="11126"/>
      <c r="H336" s="11126"/>
      <c r="I336" s="11126"/>
      <c r="J336" s="11126"/>
      <c r="K336" s="11126"/>
      <c r="L336" s="11132"/>
      <c r="M336" s="11132"/>
      <c r="N336" s="11132"/>
      <c r="O336" s="11126"/>
      <c r="P336" s="11126"/>
      <c r="Q336" s="11128"/>
      <c r="R336" s="5450"/>
      <c r="S336" s="3606"/>
      <c r="T336" s="3606"/>
      <c r="U336" s="3605"/>
      <c r="V336" s="5503"/>
      <c r="W336" s="3606"/>
      <c r="X336" s="5558"/>
      <c r="Y336" s="5558"/>
      <c r="Z336" s="5558"/>
      <c r="AA336" s="5559"/>
      <c r="AB336" s="5585"/>
      <c r="AC336" s="4318"/>
      <c r="AD336" s="3545"/>
      <c r="AE336" s="5625"/>
      <c r="AF336" s="5625"/>
      <c r="AG336" s="11116"/>
    </row>
    <row r="337" spans="1:33" ht="21.75" customHeight="1">
      <c r="A337" s="11139"/>
      <c r="B337" s="10512" t="s">
        <v>183</v>
      </c>
      <c r="C337" s="10444" t="s">
        <v>227</v>
      </c>
      <c r="D337" s="10444" t="s">
        <v>228</v>
      </c>
      <c r="E337" s="10444" t="s">
        <v>229</v>
      </c>
      <c r="F337" s="10451" t="s">
        <v>230</v>
      </c>
      <c r="G337" s="10444" t="s">
        <v>132</v>
      </c>
      <c r="H337" s="10444" t="s">
        <v>159</v>
      </c>
      <c r="I337" s="10444" t="s">
        <v>6039</v>
      </c>
      <c r="J337" s="10444" t="s">
        <v>6040</v>
      </c>
      <c r="K337" s="10444" t="s">
        <v>6022</v>
      </c>
      <c r="L337" s="11133">
        <v>0</v>
      </c>
      <c r="M337" s="11133">
        <v>1</v>
      </c>
      <c r="N337" s="11133">
        <v>0</v>
      </c>
      <c r="O337" s="10444" t="s">
        <v>6041</v>
      </c>
      <c r="P337" s="10444" t="s">
        <v>6042</v>
      </c>
      <c r="Q337" s="10449" t="s">
        <v>6025</v>
      </c>
      <c r="R337" s="5458"/>
      <c r="S337" s="3623"/>
      <c r="T337" s="3623"/>
      <c r="U337" s="4312"/>
      <c r="V337" s="5504"/>
      <c r="W337" s="3623"/>
      <c r="X337" s="5560"/>
      <c r="Y337" s="5560"/>
      <c r="Z337" s="5560"/>
      <c r="AA337" s="5561"/>
      <c r="AB337" s="5586"/>
      <c r="AC337" s="4314"/>
      <c r="AD337" s="3658"/>
      <c r="AE337" s="5623"/>
      <c r="AF337" s="5623"/>
      <c r="AG337" s="10525"/>
    </row>
    <row r="338" spans="1:33" ht="21.75" customHeight="1">
      <c r="A338" s="11139"/>
      <c r="B338" s="11136"/>
      <c r="C338" s="11124"/>
      <c r="D338" s="11124"/>
      <c r="E338" s="11124"/>
      <c r="F338" s="11124"/>
      <c r="G338" s="11124"/>
      <c r="H338" s="11124"/>
      <c r="I338" s="11124"/>
      <c r="J338" s="11124"/>
      <c r="K338" s="11124"/>
      <c r="L338" s="11131"/>
      <c r="M338" s="11131"/>
      <c r="N338" s="11131"/>
      <c r="O338" s="11124"/>
      <c r="P338" s="11124"/>
      <c r="Q338" s="11127"/>
      <c r="R338" s="5446"/>
      <c r="S338" s="3579"/>
      <c r="T338" s="3579"/>
      <c r="U338" s="3578"/>
      <c r="V338" s="5499"/>
      <c r="W338" s="3579"/>
      <c r="X338" s="5552"/>
      <c r="Y338" s="5552"/>
      <c r="Z338" s="5552"/>
      <c r="AA338" s="5553"/>
      <c r="AB338" s="5581"/>
      <c r="AC338" s="4316"/>
      <c r="AD338" s="3496"/>
      <c r="AE338" s="5610"/>
      <c r="AF338" s="5610"/>
      <c r="AG338" s="11115"/>
    </row>
    <row r="339" spans="1:33" ht="21.75" customHeight="1">
      <c r="A339" s="11139"/>
      <c r="B339" s="11136"/>
      <c r="C339" s="11124"/>
      <c r="D339" s="11124"/>
      <c r="E339" s="11124"/>
      <c r="F339" s="11124"/>
      <c r="G339" s="11124"/>
      <c r="H339" s="11124"/>
      <c r="I339" s="11124"/>
      <c r="J339" s="11124"/>
      <c r="K339" s="11124"/>
      <c r="L339" s="11131"/>
      <c r="M339" s="11131"/>
      <c r="N339" s="11131"/>
      <c r="O339" s="11124"/>
      <c r="P339" s="11124"/>
      <c r="Q339" s="11127"/>
      <c r="R339" s="5446"/>
      <c r="S339" s="3579"/>
      <c r="T339" s="3579"/>
      <c r="U339" s="3578"/>
      <c r="V339" s="5499"/>
      <c r="W339" s="3579"/>
      <c r="X339" s="5552"/>
      <c r="Y339" s="5552"/>
      <c r="Z339" s="5552"/>
      <c r="AA339" s="5553"/>
      <c r="AB339" s="5581"/>
      <c r="AC339" s="4316"/>
      <c r="AD339" s="3496"/>
      <c r="AE339" s="5610"/>
      <c r="AF339" s="5610"/>
      <c r="AG339" s="11115"/>
    </row>
    <row r="340" spans="1:33" ht="21.75" customHeight="1">
      <c r="A340" s="11139"/>
      <c r="B340" s="11136"/>
      <c r="C340" s="11124"/>
      <c r="D340" s="11124"/>
      <c r="E340" s="11124"/>
      <c r="F340" s="11124"/>
      <c r="G340" s="11124"/>
      <c r="H340" s="11124"/>
      <c r="I340" s="11124"/>
      <c r="J340" s="11124"/>
      <c r="K340" s="11124"/>
      <c r="L340" s="11131"/>
      <c r="M340" s="11131"/>
      <c r="N340" s="11131"/>
      <c r="O340" s="11124"/>
      <c r="P340" s="11124"/>
      <c r="Q340" s="11127"/>
      <c r="R340" s="5446"/>
      <c r="S340" s="3579"/>
      <c r="T340" s="3579"/>
      <c r="U340" s="3578"/>
      <c r="V340" s="5499"/>
      <c r="W340" s="3579"/>
      <c r="X340" s="5552"/>
      <c r="Y340" s="5552"/>
      <c r="Z340" s="5552"/>
      <c r="AA340" s="5553"/>
      <c r="AB340" s="5581"/>
      <c r="AC340" s="4316"/>
      <c r="AD340" s="3496"/>
      <c r="AE340" s="5610"/>
      <c r="AF340" s="5610"/>
      <c r="AG340" s="11115"/>
    </row>
    <row r="341" spans="1:33" ht="21.75" customHeight="1">
      <c r="A341" s="11139"/>
      <c r="B341" s="11137"/>
      <c r="C341" s="11125"/>
      <c r="D341" s="11125"/>
      <c r="E341" s="11125"/>
      <c r="F341" s="11125"/>
      <c r="G341" s="11125"/>
      <c r="H341" s="11125"/>
      <c r="I341" s="11125"/>
      <c r="J341" s="11125"/>
      <c r="K341" s="11125"/>
      <c r="L341" s="11134"/>
      <c r="M341" s="11134"/>
      <c r="N341" s="11134"/>
      <c r="O341" s="11125"/>
      <c r="P341" s="11125"/>
      <c r="Q341" s="11135"/>
      <c r="R341" s="5448"/>
      <c r="S341" s="3617"/>
      <c r="T341" s="3617"/>
      <c r="U341" s="3616"/>
      <c r="V341" s="5509"/>
      <c r="W341" s="3617"/>
      <c r="X341" s="5554"/>
      <c r="Y341" s="5554"/>
      <c r="Z341" s="5554"/>
      <c r="AA341" s="5555"/>
      <c r="AB341" s="5592"/>
      <c r="AC341" s="4320"/>
      <c r="AD341" s="3714"/>
      <c r="AE341" s="5624"/>
      <c r="AF341" s="5624"/>
      <c r="AG341" s="11116"/>
    </row>
    <row r="342" spans="1:33" ht="21.75" customHeight="1">
      <c r="A342" s="11139"/>
      <c r="B342" s="10516" t="s">
        <v>183</v>
      </c>
      <c r="C342" s="10433" t="s">
        <v>227</v>
      </c>
      <c r="D342" s="10433" t="s">
        <v>228</v>
      </c>
      <c r="E342" s="10433" t="s">
        <v>229</v>
      </c>
      <c r="F342" s="10442" t="s">
        <v>230</v>
      </c>
      <c r="G342" s="10433" t="s">
        <v>132</v>
      </c>
      <c r="H342" s="10433" t="s">
        <v>159</v>
      </c>
      <c r="I342" s="10433" t="s">
        <v>6043</v>
      </c>
      <c r="J342" s="10433" t="s">
        <v>6044</v>
      </c>
      <c r="K342" s="10433" t="s">
        <v>5882</v>
      </c>
      <c r="L342" s="11130">
        <v>2</v>
      </c>
      <c r="M342" s="11130">
        <v>0</v>
      </c>
      <c r="N342" s="11130">
        <v>2</v>
      </c>
      <c r="O342" s="10433" t="s">
        <v>6045</v>
      </c>
      <c r="P342" s="10433" t="s">
        <v>6046</v>
      </c>
      <c r="Q342" s="10439" t="s">
        <v>6025</v>
      </c>
      <c r="R342" s="5452"/>
      <c r="S342" s="3598"/>
      <c r="T342" s="3598"/>
      <c r="U342" s="4344"/>
      <c r="V342" s="5502"/>
      <c r="W342" s="3598"/>
      <c r="X342" s="5556"/>
      <c r="Y342" s="5556"/>
      <c r="Z342" s="5556"/>
      <c r="AA342" s="5557"/>
      <c r="AB342" s="5584"/>
      <c r="AC342" s="4338"/>
      <c r="AD342" s="3709"/>
      <c r="AE342" s="5626"/>
      <c r="AF342" s="5626"/>
      <c r="AG342" s="10525"/>
    </row>
    <row r="343" spans="1:33" ht="21.75" customHeight="1">
      <c r="A343" s="11139"/>
      <c r="B343" s="11136"/>
      <c r="C343" s="11124"/>
      <c r="D343" s="11124"/>
      <c r="E343" s="11124"/>
      <c r="F343" s="11124"/>
      <c r="G343" s="11124"/>
      <c r="H343" s="11124"/>
      <c r="I343" s="11124"/>
      <c r="J343" s="11124"/>
      <c r="K343" s="11124"/>
      <c r="L343" s="11131"/>
      <c r="M343" s="11131"/>
      <c r="N343" s="11131"/>
      <c r="O343" s="11124"/>
      <c r="P343" s="11124"/>
      <c r="Q343" s="11127"/>
      <c r="R343" s="5446"/>
      <c r="S343" s="3579"/>
      <c r="T343" s="3579"/>
      <c r="U343" s="3578"/>
      <c r="V343" s="5499"/>
      <c r="W343" s="3579"/>
      <c r="X343" s="5552"/>
      <c r="Y343" s="5552"/>
      <c r="Z343" s="5552"/>
      <c r="AA343" s="5553"/>
      <c r="AB343" s="5581"/>
      <c r="AC343" s="4316"/>
      <c r="AD343" s="3496"/>
      <c r="AE343" s="5610"/>
      <c r="AF343" s="5610"/>
      <c r="AG343" s="11115"/>
    </row>
    <row r="344" spans="1:33" ht="21.75" customHeight="1">
      <c r="A344" s="11139"/>
      <c r="B344" s="11136"/>
      <c r="C344" s="11124"/>
      <c r="D344" s="11124"/>
      <c r="E344" s="11124"/>
      <c r="F344" s="11124"/>
      <c r="G344" s="11124"/>
      <c r="H344" s="11124"/>
      <c r="I344" s="11124"/>
      <c r="J344" s="11124"/>
      <c r="K344" s="11124"/>
      <c r="L344" s="11131"/>
      <c r="M344" s="11131"/>
      <c r="N344" s="11131"/>
      <c r="O344" s="11124"/>
      <c r="P344" s="11124"/>
      <c r="Q344" s="11127"/>
      <c r="R344" s="5446"/>
      <c r="S344" s="3579"/>
      <c r="T344" s="3579"/>
      <c r="U344" s="3578"/>
      <c r="V344" s="5499"/>
      <c r="W344" s="3579"/>
      <c r="X344" s="5552"/>
      <c r="Y344" s="5552"/>
      <c r="Z344" s="5552"/>
      <c r="AA344" s="5553"/>
      <c r="AB344" s="5581"/>
      <c r="AC344" s="4316"/>
      <c r="AD344" s="3496"/>
      <c r="AE344" s="5610"/>
      <c r="AF344" s="5610"/>
      <c r="AG344" s="11115"/>
    </row>
    <row r="345" spans="1:33" ht="21.75" customHeight="1">
      <c r="A345" s="11139"/>
      <c r="B345" s="11136"/>
      <c r="C345" s="11124"/>
      <c r="D345" s="11124"/>
      <c r="E345" s="11124"/>
      <c r="F345" s="11124"/>
      <c r="G345" s="11124"/>
      <c r="H345" s="11124"/>
      <c r="I345" s="11124"/>
      <c r="J345" s="11124"/>
      <c r="K345" s="11124"/>
      <c r="L345" s="11131"/>
      <c r="M345" s="11131"/>
      <c r="N345" s="11131"/>
      <c r="O345" s="11124"/>
      <c r="P345" s="11124"/>
      <c r="Q345" s="11127"/>
      <c r="R345" s="5446"/>
      <c r="S345" s="3579"/>
      <c r="T345" s="3579"/>
      <c r="U345" s="3578"/>
      <c r="V345" s="5499"/>
      <c r="W345" s="3579"/>
      <c r="X345" s="5552"/>
      <c r="Y345" s="5552"/>
      <c r="Z345" s="5552"/>
      <c r="AA345" s="5553"/>
      <c r="AB345" s="5581"/>
      <c r="AC345" s="4316"/>
      <c r="AD345" s="3496"/>
      <c r="AE345" s="5610"/>
      <c r="AF345" s="5610"/>
      <c r="AG345" s="11115"/>
    </row>
    <row r="346" spans="1:33" ht="21.75" customHeight="1">
      <c r="A346" s="11139"/>
      <c r="B346" s="11138"/>
      <c r="C346" s="11126"/>
      <c r="D346" s="11126"/>
      <c r="E346" s="11126"/>
      <c r="F346" s="11126"/>
      <c r="G346" s="11126"/>
      <c r="H346" s="11126"/>
      <c r="I346" s="11126"/>
      <c r="J346" s="11126"/>
      <c r="K346" s="11126"/>
      <c r="L346" s="11132"/>
      <c r="M346" s="11132"/>
      <c r="N346" s="11132"/>
      <c r="O346" s="11126"/>
      <c r="P346" s="11126"/>
      <c r="Q346" s="11128"/>
      <c r="R346" s="5450"/>
      <c r="S346" s="3606"/>
      <c r="T346" s="3606"/>
      <c r="U346" s="3605"/>
      <c r="V346" s="5503"/>
      <c r="W346" s="3606"/>
      <c r="X346" s="5558"/>
      <c r="Y346" s="5558"/>
      <c r="Z346" s="5558"/>
      <c r="AA346" s="5559"/>
      <c r="AB346" s="5585"/>
      <c r="AC346" s="4318"/>
      <c r="AD346" s="3545"/>
      <c r="AE346" s="5625"/>
      <c r="AF346" s="5625"/>
      <c r="AG346" s="11116"/>
    </row>
    <row r="347" spans="1:33" ht="21.75" customHeight="1">
      <c r="A347" s="11139"/>
      <c r="B347" s="10512" t="s">
        <v>183</v>
      </c>
      <c r="C347" s="10444" t="s">
        <v>227</v>
      </c>
      <c r="D347" s="10444" t="s">
        <v>228</v>
      </c>
      <c r="E347" s="10444" t="s">
        <v>229</v>
      </c>
      <c r="F347" s="10451" t="s">
        <v>230</v>
      </c>
      <c r="G347" s="10444" t="s">
        <v>132</v>
      </c>
      <c r="H347" s="10444" t="s">
        <v>159</v>
      </c>
      <c r="I347" s="10444" t="s">
        <v>6047</v>
      </c>
      <c r="J347" s="10444" t="s">
        <v>6048</v>
      </c>
      <c r="K347" s="10444" t="s">
        <v>6049</v>
      </c>
      <c r="L347" s="11133">
        <v>4</v>
      </c>
      <c r="M347" s="11133">
        <v>4</v>
      </c>
      <c r="N347" s="11133">
        <v>4</v>
      </c>
      <c r="O347" s="10444" t="s">
        <v>6050</v>
      </c>
      <c r="P347" s="10444" t="s">
        <v>6051</v>
      </c>
      <c r="Q347" s="10449" t="s">
        <v>6052</v>
      </c>
      <c r="R347" s="5458"/>
      <c r="S347" s="3623"/>
      <c r="T347" s="3623"/>
      <c r="U347" s="4312"/>
      <c r="V347" s="5504"/>
      <c r="W347" s="3623"/>
      <c r="X347" s="5560"/>
      <c r="Y347" s="5560"/>
      <c r="Z347" s="5560"/>
      <c r="AA347" s="5561"/>
      <c r="AB347" s="5586"/>
      <c r="AC347" s="4314"/>
      <c r="AD347" s="3658"/>
      <c r="AE347" s="5623"/>
      <c r="AF347" s="5623"/>
      <c r="AG347" s="10525"/>
    </row>
    <row r="348" spans="1:33" ht="21.75" customHeight="1">
      <c r="A348" s="11139"/>
      <c r="B348" s="11136"/>
      <c r="C348" s="11124"/>
      <c r="D348" s="11124"/>
      <c r="E348" s="11124"/>
      <c r="F348" s="11124"/>
      <c r="G348" s="11124"/>
      <c r="H348" s="11124"/>
      <c r="I348" s="11124"/>
      <c r="J348" s="11124"/>
      <c r="K348" s="11124"/>
      <c r="L348" s="11131"/>
      <c r="M348" s="11131"/>
      <c r="N348" s="11131"/>
      <c r="O348" s="11124"/>
      <c r="P348" s="11124"/>
      <c r="Q348" s="11127"/>
      <c r="R348" s="5446"/>
      <c r="S348" s="3579"/>
      <c r="T348" s="3579"/>
      <c r="U348" s="3578"/>
      <c r="V348" s="5499"/>
      <c r="W348" s="3579"/>
      <c r="X348" s="5552"/>
      <c r="Y348" s="5552"/>
      <c r="Z348" s="5552"/>
      <c r="AA348" s="5553"/>
      <c r="AB348" s="5581"/>
      <c r="AC348" s="4316"/>
      <c r="AD348" s="3496"/>
      <c r="AE348" s="5610"/>
      <c r="AF348" s="5610"/>
      <c r="AG348" s="11115"/>
    </row>
    <row r="349" spans="1:33" ht="21.75" customHeight="1">
      <c r="A349" s="11139"/>
      <c r="B349" s="11136"/>
      <c r="C349" s="11124"/>
      <c r="D349" s="11124"/>
      <c r="E349" s="11124"/>
      <c r="F349" s="11124"/>
      <c r="G349" s="11124"/>
      <c r="H349" s="11124"/>
      <c r="I349" s="11124"/>
      <c r="J349" s="11124"/>
      <c r="K349" s="11124"/>
      <c r="L349" s="11131"/>
      <c r="M349" s="11131"/>
      <c r="N349" s="11131"/>
      <c r="O349" s="11124"/>
      <c r="P349" s="11124"/>
      <c r="Q349" s="11127"/>
      <c r="R349" s="5446"/>
      <c r="S349" s="3579"/>
      <c r="T349" s="3579"/>
      <c r="U349" s="3578"/>
      <c r="V349" s="5499"/>
      <c r="W349" s="3579"/>
      <c r="X349" s="5552"/>
      <c r="Y349" s="5552"/>
      <c r="Z349" s="5552"/>
      <c r="AA349" s="5553"/>
      <c r="AB349" s="5581"/>
      <c r="AC349" s="4316"/>
      <c r="AD349" s="3496"/>
      <c r="AE349" s="5610"/>
      <c r="AF349" s="5610"/>
      <c r="AG349" s="11115"/>
    </row>
    <row r="350" spans="1:33" ht="21.75" customHeight="1">
      <c r="A350" s="11139"/>
      <c r="B350" s="11136"/>
      <c r="C350" s="11124"/>
      <c r="D350" s="11124"/>
      <c r="E350" s="11124"/>
      <c r="F350" s="11124"/>
      <c r="G350" s="11124"/>
      <c r="H350" s="11124"/>
      <c r="I350" s="11124"/>
      <c r="J350" s="11124"/>
      <c r="K350" s="11124"/>
      <c r="L350" s="11131"/>
      <c r="M350" s="11131"/>
      <c r="N350" s="11131"/>
      <c r="O350" s="11124"/>
      <c r="P350" s="11124"/>
      <c r="Q350" s="11127"/>
      <c r="R350" s="5446"/>
      <c r="S350" s="3579"/>
      <c r="T350" s="3579"/>
      <c r="U350" s="3578"/>
      <c r="V350" s="5499"/>
      <c r="W350" s="3579"/>
      <c r="X350" s="5552"/>
      <c r="Y350" s="5552"/>
      <c r="Z350" s="5552"/>
      <c r="AA350" s="5553"/>
      <c r="AB350" s="5581"/>
      <c r="AC350" s="4316"/>
      <c r="AD350" s="3496"/>
      <c r="AE350" s="5610"/>
      <c r="AF350" s="5610"/>
      <c r="AG350" s="11115"/>
    </row>
    <row r="351" spans="1:33" ht="21.75" customHeight="1">
      <c r="A351" s="11139"/>
      <c r="B351" s="11137"/>
      <c r="C351" s="11125"/>
      <c r="D351" s="11125"/>
      <c r="E351" s="11125"/>
      <c r="F351" s="11125"/>
      <c r="G351" s="11125"/>
      <c r="H351" s="11125"/>
      <c r="I351" s="11125"/>
      <c r="J351" s="11125"/>
      <c r="K351" s="11125"/>
      <c r="L351" s="11134"/>
      <c r="M351" s="11134"/>
      <c r="N351" s="11134"/>
      <c r="O351" s="11125"/>
      <c r="P351" s="11125"/>
      <c r="Q351" s="11135"/>
      <c r="R351" s="5448"/>
      <c r="S351" s="3617"/>
      <c r="T351" s="3617"/>
      <c r="U351" s="3616"/>
      <c r="V351" s="5509"/>
      <c r="W351" s="3617"/>
      <c r="X351" s="5554"/>
      <c r="Y351" s="5554"/>
      <c r="Z351" s="5554"/>
      <c r="AA351" s="5555"/>
      <c r="AB351" s="5592"/>
      <c r="AC351" s="4320"/>
      <c r="AD351" s="3714"/>
      <c r="AE351" s="5624"/>
      <c r="AF351" s="5624"/>
      <c r="AG351" s="11116"/>
    </row>
    <row r="352" spans="1:33" ht="21.75" customHeight="1">
      <c r="A352" s="11139"/>
      <c r="B352" s="10516" t="s">
        <v>183</v>
      </c>
      <c r="C352" s="10433" t="s">
        <v>227</v>
      </c>
      <c r="D352" s="10433" t="s">
        <v>228</v>
      </c>
      <c r="E352" s="10433" t="s">
        <v>229</v>
      </c>
      <c r="F352" s="10442" t="s">
        <v>230</v>
      </c>
      <c r="G352" s="10433" t="s">
        <v>132</v>
      </c>
      <c r="H352" s="10433" t="s">
        <v>159</v>
      </c>
      <c r="I352" s="10433" t="s">
        <v>6053</v>
      </c>
      <c r="J352" s="10433" t="s">
        <v>6054</v>
      </c>
      <c r="K352" s="10433" t="s">
        <v>6022</v>
      </c>
      <c r="L352" s="11130">
        <v>1</v>
      </c>
      <c r="M352" s="11130">
        <v>1</v>
      </c>
      <c r="N352" s="11130">
        <v>1</v>
      </c>
      <c r="O352" s="10433" t="s">
        <v>6055</v>
      </c>
      <c r="P352" s="10433" t="s">
        <v>6056</v>
      </c>
      <c r="Q352" s="10439" t="s">
        <v>6052</v>
      </c>
      <c r="R352" s="5452"/>
      <c r="S352" s="3598"/>
      <c r="T352" s="3598"/>
      <c r="U352" s="4344"/>
      <c r="V352" s="5502"/>
      <c r="W352" s="3598"/>
      <c r="X352" s="5556"/>
      <c r="Y352" s="5556"/>
      <c r="Z352" s="5556"/>
      <c r="AA352" s="5557"/>
      <c r="AB352" s="5584"/>
      <c r="AC352" s="4338"/>
      <c r="AD352" s="3709"/>
      <c r="AE352" s="5626"/>
      <c r="AF352" s="5626"/>
      <c r="AG352" s="10525"/>
    </row>
    <row r="353" spans="1:33" ht="21.75" customHeight="1">
      <c r="A353" s="11139"/>
      <c r="B353" s="11136"/>
      <c r="C353" s="11124"/>
      <c r="D353" s="11124"/>
      <c r="E353" s="11124"/>
      <c r="F353" s="11124"/>
      <c r="G353" s="11124"/>
      <c r="H353" s="11124"/>
      <c r="I353" s="11124"/>
      <c r="J353" s="11124"/>
      <c r="K353" s="11124"/>
      <c r="L353" s="11131"/>
      <c r="M353" s="11131"/>
      <c r="N353" s="11131"/>
      <c r="O353" s="11124"/>
      <c r="P353" s="11124"/>
      <c r="Q353" s="11127"/>
      <c r="R353" s="5446"/>
      <c r="S353" s="3579"/>
      <c r="T353" s="3579"/>
      <c r="U353" s="3578"/>
      <c r="V353" s="5499"/>
      <c r="W353" s="3579"/>
      <c r="X353" s="5552"/>
      <c r="Y353" s="5552"/>
      <c r="Z353" s="5552"/>
      <c r="AA353" s="5553"/>
      <c r="AB353" s="5581"/>
      <c r="AC353" s="4316"/>
      <c r="AD353" s="3496"/>
      <c r="AE353" s="5610"/>
      <c r="AF353" s="5610"/>
      <c r="AG353" s="11115"/>
    </row>
    <row r="354" spans="1:33" ht="21.75" customHeight="1">
      <c r="A354" s="11139"/>
      <c r="B354" s="11136"/>
      <c r="C354" s="11124"/>
      <c r="D354" s="11124"/>
      <c r="E354" s="11124"/>
      <c r="F354" s="11124"/>
      <c r="G354" s="11124"/>
      <c r="H354" s="11124"/>
      <c r="I354" s="11124"/>
      <c r="J354" s="11124"/>
      <c r="K354" s="11124"/>
      <c r="L354" s="11131"/>
      <c r="M354" s="11131"/>
      <c r="N354" s="11131"/>
      <c r="O354" s="11124"/>
      <c r="P354" s="11124"/>
      <c r="Q354" s="11127"/>
      <c r="R354" s="5446"/>
      <c r="S354" s="3579"/>
      <c r="T354" s="3579"/>
      <c r="U354" s="3578"/>
      <c r="V354" s="5499"/>
      <c r="W354" s="3579"/>
      <c r="X354" s="5552"/>
      <c r="Y354" s="5552"/>
      <c r="Z354" s="5552"/>
      <c r="AA354" s="5553"/>
      <c r="AB354" s="5581"/>
      <c r="AC354" s="4316"/>
      <c r="AD354" s="3496"/>
      <c r="AE354" s="5610"/>
      <c r="AF354" s="5610"/>
      <c r="AG354" s="11115"/>
    </row>
    <row r="355" spans="1:33" ht="21.75" customHeight="1">
      <c r="A355" s="11139"/>
      <c r="B355" s="11136"/>
      <c r="C355" s="11124"/>
      <c r="D355" s="11124"/>
      <c r="E355" s="11124"/>
      <c r="F355" s="11124"/>
      <c r="G355" s="11124"/>
      <c r="H355" s="11124"/>
      <c r="I355" s="11124"/>
      <c r="J355" s="11124"/>
      <c r="K355" s="11124"/>
      <c r="L355" s="11131"/>
      <c r="M355" s="11131"/>
      <c r="N355" s="11131"/>
      <c r="O355" s="11124"/>
      <c r="P355" s="11124"/>
      <c r="Q355" s="11127"/>
      <c r="R355" s="5446"/>
      <c r="S355" s="3579"/>
      <c r="T355" s="3579"/>
      <c r="U355" s="3578"/>
      <c r="V355" s="5499"/>
      <c r="W355" s="3579"/>
      <c r="X355" s="5552"/>
      <c r="Y355" s="5552"/>
      <c r="Z355" s="5552"/>
      <c r="AA355" s="5553"/>
      <c r="AB355" s="5581"/>
      <c r="AC355" s="4316"/>
      <c r="AD355" s="3496"/>
      <c r="AE355" s="5610"/>
      <c r="AF355" s="5610"/>
      <c r="AG355" s="11115"/>
    </row>
    <row r="356" spans="1:33" ht="21.75" customHeight="1">
      <c r="A356" s="11139"/>
      <c r="B356" s="11138"/>
      <c r="C356" s="11126"/>
      <c r="D356" s="11126"/>
      <c r="E356" s="11126"/>
      <c r="F356" s="11126"/>
      <c r="G356" s="11126"/>
      <c r="H356" s="11126"/>
      <c r="I356" s="11126"/>
      <c r="J356" s="11126"/>
      <c r="K356" s="11126"/>
      <c r="L356" s="11132"/>
      <c r="M356" s="11132"/>
      <c r="N356" s="11132"/>
      <c r="O356" s="11126"/>
      <c r="P356" s="11126"/>
      <c r="Q356" s="11128"/>
      <c r="R356" s="5450"/>
      <c r="S356" s="3606"/>
      <c r="T356" s="3606"/>
      <c r="U356" s="3605"/>
      <c r="V356" s="5503"/>
      <c r="W356" s="3606"/>
      <c r="X356" s="5558"/>
      <c r="Y356" s="5558"/>
      <c r="Z356" s="5558"/>
      <c r="AA356" s="5559"/>
      <c r="AB356" s="5585"/>
      <c r="AC356" s="4318"/>
      <c r="AD356" s="3545"/>
      <c r="AE356" s="5625"/>
      <c r="AF356" s="5625"/>
      <c r="AG356" s="11116"/>
    </row>
    <row r="357" spans="1:33" ht="21.75" customHeight="1">
      <c r="A357" s="11139"/>
      <c r="B357" s="10512" t="s">
        <v>183</v>
      </c>
      <c r="C357" s="10444" t="s">
        <v>227</v>
      </c>
      <c r="D357" s="10444" t="s">
        <v>228</v>
      </c>
      <c r="E357" s="10444" t="s">
        <v>229</v>
      </c>
      <c r="F357" s="10451" t="s">
        <v>230</v>
      </c>
      <c r="G357" s="10444" t="s">
        <v>132</v>
      </c>
      <c r="H357" s="10444" t="s">
        <v>159</v>
      </c>
      <c r="I357" s="10444" t="s">
        <v>6057</v>
      </c>
      <c r="J357" s="10444" t="s">
        <v>6058</v>
      </c>
      <c r="K357" s="10444" t="s">
        <v>6049</v>
      </c>
      <c r="L357" s="11133">
        <v>0</v>
      </c>
      <c r="M357" s="11133">
        <v>1</v>
      </c>
      <c r="N357" s="11133">
        <v>1</v>
      </c>
      <c r="O357" s="10444" t="s">
        <v>6059</v>
      </c>
      <c r="P357" s="10444" t="s">
        <v>6060</v>
      </c>
      <c r="Q357" s="10449" t="s">
        <v>6052</v>
      </c>
      <c r="R357" s="5458"/>
      <c r="S357" s="3623"/>
      <c r="T357" s="3623"/>
      <c r="U357" s="4312"/>
      <c r="V357" s="5504"/>
      <c r="W357" s="3623"/>
      <c r="X357" s="5560"/>
      <c r="Y357" s="5560"/>
      <c r="Z357" s="5560"/>
      <c r="AA357" s="5561"/>
      <c r="AB357" s="5586"/>
      <c r="AC357" s="4314"/>
      <c r="AD357" s="3658"/>
      <c r="AE357" s="5623"/>
      <c r="AF357" s="5623"/>
      <c r="AG357" s="10525"/>
    </row>
    <row r="358" spans="1:33" ht="21.75" customHeight="1">
      <c r="A358" s="11139"/>
      <c r="B358" s="11136"/>
      <c r="C358" s="11124"/>
      <c r="D358" s="11124"/>
      <c r="E358" s="11124"/>
      <c r="F358" s="11124"/>
      <c r="G358" s="11124"/>
      <c r="H358" s="11124"/>
      <c r="I358" s="11124"/>
      <c r="J358" s="11124"/>
      <c r="K358" s="11124"/>
      <c r="L358" s="11131"/>
      <c r="M358" s="11131"/>
      <c r="N358" s="11131"/>
      <c r="O358" s="11124"/>
      <c r="P358" s="11124"/>
      <c r="Q358" s="11127"/>
      <c r="R358" s="5446"/>
      <c r="S358" s="3579"/>
      <c r="T358" s="3579"/>
      <c r="U358" s="3578"/>
      <c r="V358" s="5499"/>
      <c r="W358" s="3579"/>
      <c r="X358" s="5552"/>
      <c r="Y358" s="5552"/>
      <c r="Z358" s="5552"/>
      <c r="AA358" s="5553"/>
      <c r="AB358" s="5581"/>
      <c r="AC358" s="4316"/>
      <c r="AD358" s="3496"/>
      <c r="AE358" s="5610"/>
      <c r="AF358" s="5610"/>
      <c r="AG358" s="11115"/>
    </row>
    <row r="359" spans="1:33" ht="21.75" customHeight="1">
      <c r="A359" s="11139"/>
      <c r="B359" s="11136"/>
      <c r="C359" s="11124"/>
      <c r="D359" s="11124"/>
      <c r="E359" s="11124"/>
      <c r="F359" s="11124"/>
      <c r="G359" s="11124"/>
      <c r="H359" s="11124"/>
      <c r="I359" s="11124"/>
      <c r="J359" s="11124"/>
      <c r="K359" s="11124"/>
      <c r="L359" s="11131"/>
      <c r="M359" s="11131"/>
      <c r="N359" s="11131"/>
      <c r="O359" s="11124"/>
      <c r="P359" s="11124"/>
      <c r="Q359" s="11127"/>
      <c r="R359" s="5446"/>
      <c r="S359" s="3579"/>
      <c r="T359" s="3579"/>
      <c r="U359" s="3578"/>
      <c r="V359" s="5499"/>
      <c r="W359" s="3579"/>
      <c r="X359" s="5552"/>
      <c r="Y359" s="5552"/>
      <c r="Z359" s="5552"/>
      <c r="AA359" s="5553"/>
      <c r="AB359" s="5581"/>
      <c r="AC359" s="4316"/>
      <c r="AD359" s="3496"/>
      <c r="AE359" s="5610"/>
      <c r="AF359" s="5610"/>
      <c r="AG359" s="11115"/>
    </row>
    <row r="360" spans="1:33" ht="21.75" customHeight="1">
      <c r="A360" s="11139"/>
      <c r="B360" s="11136"/>
      <c r="C360" s="11124"/>
      <c r="D360" s="11124"/>
      <c r="E360" s="11124"/>
      <c r="F360" s="11124"/>
      <c r="G360" s="11124"/>
      <c r="H360" s="11124"/>
      <c r="I360" s="11124"/>
      <c r="J360" s="11124"/>
      <c r="K360" s="11124"/>
      <c r="L360" s="11131"/>
      <c r="M360" s="11131"/>
      <c r="N360" s="11131"/>
      <c r="O360" s="11124"/>
      <c r="P360" s="11124"/>
      <c r="Q360" s="11127"/>
      <c r="R360" s="5446"/>
      <c r="S360" s="3579"/>
      <c r="T360" s="3579"/>
      <c r="U360" s="3578"/>
      <c r="V360" s="5499"/>
      <c r="W360" s="3579"/>
      <c r="X360" s="5552"/>
      <c r="Y360" s="5552"/>
      <c r="Z360" s="5552"/>
      <c r="AA360" s="5553"/>
      <c r="AB360" s="5581"/>
      <c r="AC360" s="4316"/>
      <c r="AD360" s="3496"/>
      <c r="AE360" s="5610"/>
      <c r="AF360" s="5610"/>
      <c r="AG360" s="11115"/>
    </row>
    <row r="361" spans="1:33" ht="21.75" customHeight="1">
      <c r="A361" s="11139"/>
      <c r="B361" s="11137"/>
      <c r="C361" s="11125"/>
      <c r="D361" s="11125"/>
      <c r="E361" s="11125"/>
      <c r="F361" s="11125"/>
      <c r="G361" s="11125"/>
      <c r="H361" s="11125"/>
      <c r="I361" s="11125"/>
      <c r="J361" s="11125"/>
      <c r="K361" s="11125"/>
      <c r="L361" s="11134"/>
      <c r="M361" s="11134"/>
      <c r="N361" s="11134"/>
      <c r="O361" s="11125"/>
      <c r="P361" s="11125"/>
      <c r="Q361" s="11135"/>
      <c r="R361" s="5448"/>
      <c r="S361" s="3617"/>
      <c r="T361" s="3617"/>
      <c r="U361" s="3616"/>
      <c r="V361" s="5509"/>
      <c r="W361" s="3617"/>
      <c r="X361" s="5554"/>
      <c r="Y361" s="5554"/>
      <c r="Z361" s="5554"/>
      <c r="AA361" s="5555"/>
      <c r="AB361" s="5592"/>
      <c r="AC361" s="4320"/>
      <c r="AD361" s="3714"/>
      <c r="AE361" s="5624"/>
      <c r="AF361" s="5624"/>
      <c r="AG361" s="11116"/>
    </row>
    <row r="362" spans="1:33" ht="21.75" customHeight="1">
      <c r="A362" s="11139"/>
      <c r="B362" s="10516" t="s">
        <v>127</v>
      </c>
      <c r="C362" s="10433" t="s">
        <v>128</v>
      </c>
      <c r="D362" s="10433" t="s">
        <v>129</v>
      </c>
      <c r="E362" s="10433" t="s">
        <v>157</v>
      </c>
      <c r="F362" s="10442" t="s">
        <v>131</v>
      </c>
      <c r="G362" s="10433" t="s">
        <v>132</v>
      </c>
      <c r="H362" s="10433" t="s">
        <v>159</v>
      </c>
      <c r="I362" s="10433" t="s">
        <v>6061</v>
      </c>
      <c r="J362" s="10433" t="s">
        <v>6062</v>
      </c>
      <c r="K362" s="10433" t="s">
        <v>6063</v>
      </c>
      <c r="L362" s="11130">
        <v>1</v>
      </c>
      <c r="M362" s="11130">
        <v>1</v>
      </c>
      <c r="N362" s="11130">
        <v>1</v>
      </c>
      <c r="O362" s="10433" t="s">
        <v>6064</v>
      </c>
      <c r="P362" s="10433" t="s">
        <v>6065</v>
      </c>
      <c r="Q362" s="10439" t="s">
        <v>6025</v>
      </c>
      <c r="R362" s="5452"/>
      <c r="S362" s="3598"/>
      <c r="T362" s="3598"/>
      <c r="U362" s="4344"/>
      <c r="V362" s="5502"/>
      <c r="W362" s="3598"/>
      <c r="X362" s="5556"/>
      <c r="Y362" s="5556"/>
      <c r="Z362" s="5556"/>
      <c r="AA362" s="5557"/>
      <c r="AB362" s="5584"/>
      <c r="AC362" s="4338"/>
      <c r="AD362" s="3709"/>
      <c r="AE362" s="5626"/>
      <c r="AF362" s="5626"/>
      <c r="AG362" s="10525"/>
    </row>
    <row r="363" spans="1:33" ht="21.75" customHeight="1">
      <c r="A363" s="11139"/>
      <c r="B363" s="11136"/>
      <c r="C363" s="11124"/>
      <c r="D363" s="11124"/>
      <c r="E363" s="11124"/>
      <c r="F363" s="11124"/>
      <c r="G363" s="11124"/>
      <c r="H363" s="11124"/>
      <c r="I363" s="11124"/>
      <c r="J363" s="11124"/>
      <c r="K363" s="11124"/>
      <c r="L363" s="11131"/>
      <c r="M363" s="11131"/>
      <c r="N363" s="11131"/>
      <c r="O363" s="11124"/>
      <c r="P363" s="11124"/>
      <c r="Q363" s="11127"/>
      <c r="R363" s="5446"/>
      <c r="S363" s="3579"/>
      <c r="T363" s="3579"/>
      <c r="U363" s="3578"/>
      <c r="V363" s="5499"/>
      <c r="W363" s="3579"/>
      <c r="X363" s="5552"/>
      <c r="Y363" s="5552"/>
      <c r="Z363" s="5552"/>
      <c r="AA363" s="5553"/>
      <c r="AB363" s="5581"/>
      <c r="AC363" s="4316"/>
      <c r="AD363" s="3496"/>
      <c r="AE363" s="5610"/>
      <c r="AF363" s="5610"/>
      <c r="AG363" s="11115"/>
    </row>
    <row r="364" spans="1:33" ht="21.75" customHeight="1">
      <c r="A364" s="11139"/>
      <c r="B364" s="11136"/>
      <c r="C364" s="11124"/>
      <c r="D364" s="11124"/>
      <c r="E364" s="11124"/>
      <c r="F364" s="11124"/>
      <c r="G364" s="11124"/>
      <c r="H364" s="11124"/>
      <c r="I364" s="11124"/>
      <c r="J364" s="11124"/>
      <c r="K364" s="11124"/>
      <c r="L364" s="11131"/>
      <c r="M364" s="11131"/>
      <c r="N364" s="11131"/>
      <c r="O364" s="11124"/>
      <c r="P364" s="11124"/>
      <c r="Q364" s="11127"/>
      <c r="R364" s="5446"/>
      <c r="S364" s="3579"/>
      <c r="T364" s="3579"/>
      <c r="U364" s="3578"/>
      <c r="V364" s="5499"/>
      <c r="W364" s="3579"/>
      <c r="X364" s="5552"/>
      <c r="Y364" s="5552"/>
      <c r="Z364" s="5552"/>
      <c r="AA364" s="5553"/>
      <c r="AB364" s="5581"/>
      <c r="AC364" s="4316"/>
      <c r="AD364" s="3496"/>
      <c r="AE364" s="5610"/>
      <c r="AF364" s="5610"/>
      <c r="AG364" s="11115"/>
    </row>
    <row r="365" spans="1:33" ht="21.75" customHeight="1">
      <c r="A365" s="11139"/>
      <c r="B365" s="11136"/>
      <c r="C365" s="11124"/>
      <c r="D365" s="11124"/>
      <c r="E365" s="11124"/>
      <c r="F365" s="11124"/>
      <c r="G365" s="11124"/>
      <c r="H365" s="11124"/>
      <c r="I365" s="11124"/>
      <c r="J365" s="11124"/>
      <c r="K365" s="11124"/>
      <c r="L365" s="11131"/>
      <c r="M365" s="11131"/>
      <c r="N365" s="11131"/>
      <c r="O365" s="11124"/>
      <c r="P365" s="11124"/>
      <c r="Q365" s="11127"/>
      <c r="R365" s="5446"/>
      <c r="S365" s="3579"/>
      <c r="T365" s="3579"/>
      <c r="U365" s="3578"/>
      <c r="V365" s="5499"/>
      <c r="W365" s="3579"/>
      <c r="X365" s="5552"/>
      <c r="Y365" s="5552"/>
      <c r="Z365" s="5552"/>
      <c r="AA365" s="5553"/>
      <c r="AB365" s="5581"/>
      <c r="AC365" s="4316"/>
      <c r="AD365" s="3496"/>
      <c r="AE365" s="5610"/>
      <c r="AF365" s="5610"/>
      <c r="AG365" s="11115"/>
    </row>
    <row r="366" spans="1:33" ht="21.75" customHeight="1">
      <c r="A366" s="11139"/>
      <c r="B366" s="11138"/>
      <c r="C366" s="11126"/>
      <c r="D366" s="11126"/>
      <c r="E366" s="11126"/>
      <c r="F366" s="11126"/>
      <c r="G366" s="11126"/>
      <c r="H366" s="11126"/>
      <c r="I366" s="11126"/>
      <c r="J366" s="11126"/>
      <c r="K366" s="11126"/>
      <c r="L366" s="11132"/>
      <c r="M366" s="11132"/>
      <c r="N366" s="11132"/>
      <c r="O366" s="11126"/>
      <c r="P366" s="11126"/>
      <c r="Q366" s="11128"/>
      <c r="R366" s="5450"/>
      <c r="S366" s="3606"/>
      <c r="T366" s="3606"/>
      <c r="U366" s="3605"/>
      <c r="V366" s="5503"/>
      <c r="W366" s="3606"/>
      <c r="X366" s="5558"/>
      <c r="Y366" s="5558"/>
      <c r="Z366" s="5558"/>
      <c r="AA366" s="5559"/>
      <c r="AB366" s="5585"/>
      <c r="AC366" s="4318"/>
      <c r="AD366" s="3545"/>
      <c r="AE366" s="5625"/>
      <c r="AF366" s="5625"/>
      <c r="AG366" s="11116"/>
    </row>
    <row r="367" spans="1:33" ht="21.75" customHeight="1">
      <c r="A367" s="11139"/>
      <c r="B367" s="10512" t="s">
        <v>183</v>
      </c>
      <c r="C367" s="10444" t="s">
        <v>227</v>
      </c>
      <c r="D367" s="10444" t="s">
        <v>228</v>
      </c>
      <c r="E367" s="10444" t="s">
        <v>229</v>
      </c>
      <c r="F367" s="10451" t="s">
        <v>230</v>
      </c>
      <c r="G367" s="10444" t="s">
        <v>132</v>
      </c>
      <c r="H367" s="10444" t="s">
        <v>159</v>
      </c>
      <c r="I367" s="10444" t="s">
        <v>6066</v>
      </c>
      <c r="J367" s="10444" t="s">
        <v>6067</v>
      </c>
      <c r="K367" s="10444" t="s">
        <v>5871</v>
      </c>
      <c r="L367" s="11133">
        <v>0</v>
      </c>
      <c r="M367" s="11133">
        <v>1</v>
      </c>
      <c r="N367" s="11133">
        <v>0</v>
      </c>
      <c r="O367" s="10444" t="s">
        <v>5872</v>
      </c>
      <c r="P367" s="10444" t="s">
        <v>5873</v>
      </c>
      <c r="Q367" s="10449" t="s">
        <v>6052</v>
      </c>
      <c r="R367" s="5458"/>
      <c r="S367" s="3623"/>
      <c r="T367" s="3623"/>
      <c r="U367" s="4312"/>
      <c r="V367" s="5504"/>
      <c r="W367" s="3623"/>
      <c r="X367" s="5560"/>
      <c r="Y367" s="5560"/>
      <c r="Z367" s="5560"/>
      <c r="AA367" s="5561"/>
      <c r="AB367" s="5586"/>
      <c r="AC367" s="4314"/>
      <c r="AD367" s="3658"/>
      <c r="AE367" s="5623"/>
      <c r="AF367" s="5623"/>
      <c r="AG367" s="10525"/>
    </row>
    <row r="368" spans="1:33" ht="21.75" customHeight="1">
      <c r="A368" s="11139"/>
      <c r="B368" s="11136"/>
      <c r="C368" s="11124"/>
      <c r="D368" s="11124"/>
      <c r="E368" s="11124"/>
      <c r="F368" s="11124"/>
      <c r="G368" s="11124"/>
      <c r="H368" s="11124"/>
      <c r="I368" s="11124"/>
      <c r="J368" s="11124"/>
      <c r="K368" s="11124"/>
      <c r="L368" s="11131"/>
      <c r="M368" s="11131"/>
      <c r="N368" s="11131"/>
      <c r="O368" s="11124"/>
      <c r="P368" s="11124"/>
      <c r="Q368" s="11127"/>
      <c r="R368" s="5446"/>
      <c r="S368" s="3579"/>
      <c r="T368" s="3579"/>
      <c r="U368" s="3578"/>
      <c r="V368" s="5499"/>
      <c r="W368" s="3579"/>
      <c r="X368" s="5552"/>
      <c r="Y368" s="5552"/>
      <c r="Z368" s="5552"/>
      <c r="AA368" s="5553"/>
      <c r="AB368" s="5581"/>
      <c r="AC368" s="4316"/>
      <c r="AD368" s="3496"/>
      <c r="AE368" s="5610"/>
      <c r="AF368" s="5610"/>
      <c r="AG368" s="11115"/>
    </row>
    <row r="369" spans="1:33" ht="21.75" customHeight="1">
      <c r="A369" s="11139"/>
      <c r="B369" s="11136"/>
      <c r="C369" s="11124"/>
      <c r="D369" s="11124"/>
      <c r="E369" s="11124"/>
      <c r="F369" s="11124"/>
      <c r="G369" s="11124"/>
      <c r="H369" s="11124"/>
      <c r="I369" s="11124"/>
      <c r="J369" s="11124"/>
      <c r="K369" s="11124"/>
      <c r="L369" s="11131"/>
      <c r="M369" s="11131"/>
      <c r="N369" s="11131"/>
      <c r="O369" s="11124"/>
      <c r="P369" s="11124"/>
      <c r="Q369" s="11127"/>
      <c r="R369" s="5446"/>
      <c r="S369" s="3579"/>
      <c r="T369" s="3579"/>
      <c r="U369" s="3578"/>
      <c r="V369" s="5499"/>
      <c r="W369" s="3579"/>
      <c r="X369" s="5552"/>
      <c r="Y369" s="5552"/>
      <c r="Z369" s="5552"/>
      <c r="AA369" s="5553"/>
      <c r="AB369" s="5581"/>
      <c r="AC369" s="4316"/>
      <c r="AD369" s="3496"/>
      <c r="AE369" s="5610"/>
      <c r="AF369" s="5610"/>
      <c r="AG369" s="11115"/>
    </row>
    <row r="370" spans="1:33" ht="21.75" customHeight="1">
      <c r="A370" s="11139"/>
      <c r="B370" s="11136"/>
      <c r="C370" s="11124"/>
      <c r="D370" s="11124"/>
      <c r="E370" s="11124"/>
      <c r="F370" s="11124"/>
      <c r="G370" s="11124"/>
      <c r="H370" s="11124"/>
      <c r="I370" s="11124"/>
      <c r="J370" s="11124"/>
      <c r="K370" s="11124"/>
      <c r="L370" s="11131"/>
      <c r="M370" s="11131"/>
      <c r="N370" s="11131"/>
      <c r="O370" s="11124"/>
      <c r="P370" s="11124"/>
      <c r="Q370" s="11127"/>
      <c r="R370" s="5446"/>
      <c r="S370" s="3579"/>
      <c r="T370" s="3579"/>
      <c r="U370" s="3578"/>
      <c r="V370" s="5499"/>
      <c r="W370" s="3579"/>
      <c r="X370" s="5552"/>
      <c r="Y370" s="5552"/>
      <c r="Z370" s="5552"/>
      <c r="AA370" s="5553"/>
      <c r="AB370" s="5581"/>
      <c r="AC370" s="4316"/>
      <c r="AD370" s="3496"/>
      <c r="AE370" s="5610"/>
      <c r="AF370" s="5610"/>
      <c r="AG370" s="11115"/>
    </row>
    <row r="371" spans="1:33" ht="21.75" customHeight="1">
      <c r="A371" s="11139"/>
      <c r="B371" s="11137"/>
      <c r="C371" s="11125"/>
      <c r="D371" s="11125"/>
      <c r="E371" s="11125"/>
      <c r="F371" s="11125"/>
      <c r="G371" s="11125"/>
      <c r="H371" s="11125"/>
      <c r="I371" s="11125"/>
      <c r="J371" s="11125"/>
      <c r="K371" s="11125"/>
      <c r="L371" s="11134"/>
      <c r="M371" s="11134"/>
      <c r="N371" s="11134"/>
      <c r="O371" s="11125"/>
      <c r="P371" s="11125"/>
      <c r="Q371" s="11135"/>
      <c r="R371" s="5448"/>
      <c r="S371" s="3617"/>
      <c r="T371" s="3617"/>
      <c r="U371" s="3616"/>
      <c r="V371" s="5509"/>
      <c r="W371" s="3617"/>
      <c r="X371" s="5554"/>
      <c r="Y371" s="5554"/>
      <c r="Z371" s="5554"/>
      <c r="AA371" s="5555"/>
      <c r="AB371" s="5592"/>
      <c r="AC371" s="4320"/>
      <c r="AD371" s="3714"/>
      <c r="AE371" s="5624"/>
      <c r="AF371" s="5624"/>
      <c r="AG371" s="11116"/>
    </row>
    <row r="372" spans="1:33" ht="18" customHeight="1">
      <c r="A372" s="11139"/>
      <c r="B372" s="10516" t="s">
        <v>183</v>
      </c>
      <c r="C372" s="10433" t="s">
        <v>227</v>
      </c>
      <c r="D372" s="10433" t="s">
        <v>228</v>
      </c>
      <c r="E372" s="10433" t="s">
        <v>229</v>
      </c>
      <c r="F372" s="10442" t="s">
        <v>230</v>
      </c>
      <c r="G372" s="10433" t="s">
        <v>171</v>
      </c>
      <c r="H372" s="10433" t="s">
        <v>133</v>
      </c>
      <c r="I372" s="10433" t="s">
        <v>6068</v>
      </c>
      <c r="J372" s="10433" t="s">
        <v>6069</v>
      </c>
      <c r="K372" s="10433" t="s">
        <v>6022</v>
      </c>
      <c r="L372" s="10470">
        <v>1</v>
      </c>
      <c r="M372" s="10470">
        <v>1</v>
      </c>
      <c r="N372" s="10470">
        <v>1</v>
      </c>
      <c r="O372" s="10433" t="s">
        <v>6070</v>
      </c>
      <c r="P372" s="10433" t="s">
        <v>6071</v>
      </c>
      <c r="Q372" s="10439" t="s">
        <v>6072</v>
      </c>
      <c r="R372" s="5449"/>
      <c r="S372" s="4336"/>
      <c r="T372" s="4336"/>
      <c r="U372" s="3597"/>
      <c r="V372" s="5502"/>
      <c r="W372" s="3598"/>
      <c r="X372" s="5556"/>
      <c r="Y372" s="5556"/>
      <c r="Z372" s="5556"/>
      <c r="AA372" s="5557"/>
      <c r="AB372" s="5584"/>
      <c r="AC372" s="4338"/>
      <c r="AD372" s="3709"/>
      <c r="AE372" s="5626"/>
      <c r="AF372" s="5626"/>
      <c r="AG372" s="10525"/>
    </row>
    <row r="373" spans="1:33" ht="18" customHeight="1">
      <c r="A373" s="11139"/>
      <c r="B373" s="11136"/>
      <c r="C373" s="11124"/>
      <c r="D373" s="11124"/>
      <c r="E373" s="11124"/>
      <c r="F373" s="11124"/>
      <c r="G373" s="11124"/>
      <c r="H373" s="11124"/>
      <c r="I373" s="11124"/>
      <c r="J373" s="11124"/>
      <c r="K373" s="11124"/>
      <c r="L373" s="11131"/>
      <c r="M373" s="11131"/>
      <c r="N373" s="11131"/>
      <c r="O373" s="11124"/>
      <c r="P373" s="11124"/>
      <c r="Q373" s="11127"/>
      <c r="R373" s="5446"/>
      <c r="S373" s="3579"/>
      <c r="T373" s="3579"/>
      <c r="U373" s="3578"/>
      <c r="V373" s="5499"/>
      <c r="W373" s="3579"/>
      <c r="X373" s="5552"/>
      <c r="Y373" s="5552"/>
      <c r="Z373" s="5552"/>
      <c r="AA373" s="5553"/>
      <c r="AB373" s="5581"/>
      <c r="AC373" s="4316"/>
      <c r="AD373" s="3496"/>
      <c r="AE373" s="5610"/>
      <c r="AF373" s="5610"/>
      <c r="AG373" s="11115"/>
    </row>
    <row r="374" spans="1:33" ht="18" customHeight="1">
      <c r="A374" s="11139"/>
      <c r="B374" s="11136"/>
      <c r="C374" s="11124"/>
      <c r="D374" s="11124"/>
      <c r="E374" s="11124"/>
      <c r="F374" s="11124"/>
      <c r="G374" s="11124"/>
      <c r="H374" s="11124"/>
      <c r="I374" s="11124"/>
      <c r="J374" s="11124"/>
      <c r="K374" s="11124"/>
      <c r="L374" s="11131"/>
      <c r="M374" s="11131"/>
      <c r="N374" s="11131"/>
      <c r="O374" s="11124"/>
      <c r="P374" s="11124"/>
      <c r="Q374" s="11127"/>
      <c r="R374" s="5446"/>
      <c r="S374" s="3579"/>
      <c r="T374" s="3579"/>
      <c r="U374" s="3578"/>
      <c r="V374" s="5499"/>
      <c r="W374" s="3579"/>
      <c r="X374" s="5552"/>
      <c r="Y374" s="5552"/>
      <c r="Z374" s="5552"/>
      <c r="AA374" s="5553"/>
      <c r="AB374" s="5581"/>
      <c r="AC374" s="4316"/>
      <c r="AD374" s="3496"/>
      <c r="AE374" s="5610"/>
      <c r="AF374" s="5610"/>
      <c r="AG374" s="11115"/>
    </row>
    <row r="375" spans="1:33" ht="18" customHeight="1">
      <c r="A375" s="11139"/>
      <c r="B375" s="11136"/>
      <c r="C375" s="11124"/>
      <c r="D375" s="11124"/>
      <c r="E375" s="11124"/>
      <c r="F375" s="11124"/>
      <c r="G375" s="11124"/>
      <c r="H375" s="11124"/>
      <c r="I375" s="11124"/>
      <c r="J375" s="11124"/>
      <c r="K375" s="11124"/>
      <c r="L375" s="11131"/>
      <c r="M375" s="11131"/>
      <c r="N375" s="11131"/>
      <c r="O375" s="11124"/>
      <c r="P375" s="11124"/>
      <c r="Q375" s="11127"/>
      <c r="R375" s="5447"/>
      <c r="S375" s="4325"/>
      <c r="T375" s="4325"/>
      <c r="U375" s="3578"/>
      <c r="V375" s="5499"/>
      <c r="W375" s="3579"/>
      <c r="X375" s="5552"/>
      <c r="Y375" s="5552"/>
      <c r="Z375" s="5552"/>
      <c r="AA375" s="5553"/>
      <c r="AB375" s="5581"/>
      <c r="AC375" s="4316"/>
      <c r="AD375" s="3496"/>
      <c r="AE375" s="5610"/>
      <c r="AF375" s="5610"/>
      <c r="AG375" s="11115"/>
    </row>
    <row r="376" spans="1:33" ht="18" customHeight="1">
      <c r="A376" s="11139"/>
      <c r="B376" s="11138"/>
      <c r="C376" s="11126"/>
      <c r="D376" s="11126"/>
      <c r="E376" s="11126"/>
      <c r="F376" s="11126"/>
      <c r="G376" s="11126"/>
      <c r="H376" s="11126"/>
      <c r="I376" s="11126"/>
      <c r="J376" s="11126"/>
      <c r="K376" s="11126"/>
      <c r="L376" s="11132"/>
      <c r="M376" s="11132"/>
      <c r="N376" s="11132"/>
      <c r="O376" s="11126"/>
      <c r="P376" s="11126"/>
      <c r="Q376" s="11128"/>
      <c r="R376" s="5450"/>
      <c r="S376" s="3606"/>
      <c r="T376" s="3606"/>
      <c r="U376" s="3605"/>
      <c r="V376" s="5503"/>
      <c r="W376" s="3606"/>
      <c r="X376" s="5558"/>
      <c r="Y376" s="5558"/>
      <c r="Z376" s="5558"/>
      <c r="AA376" s="5559"/>
      <c r="AB376" s="5585"/>
      <c r="AC376" s="4318"/>
      <c r="AD376" s="3545"/>
      <c r="AE376" s="5625"/>
      <c r="AF376" s="5625"/>
      <c r="AG376" s="11116"/>
    </row>
    <row r="377" spans="1:33" ht="18" customHeight="1">
      <c r="A377" s="11139"/>
      <c r="B377" s="10512" t="s">
        <v>127</v>
      </c>
      <c r="C377" s="10444" t="s">
        <v>128</v>
      </c>
      <c r="D377" s="10444" t="s">
        <v>129</v>
      </c>
      <c r="E377" s="10444" t="s">
        <v>157</v>
      </c>
      <c r="F377" s="10451" t="s">
        <v>131</v>
      </c>
      <c r="G377" s="10444" t="s">
        <v>132</v>
      </c>
      <c r="H377" s="10444" t="s">
        <v>159</v>
      </c>
      <c r="I377" s="10444" t="s">
        <v>6073</v>
      </c>
      <c r="J377" s="10444" t="s">
        <v>6074</v>
      </c>
      <c r="K377" s="10444" t="s">
        <v>5888</v>
      </c>
      <c r="L377" s="10455">
        <v>3</v>
      </c>
      <c r="M377" s="10455">
        <v>4</v>
      </c>
      <c r="N377" s="10455">
        <v>3</v>
      </c>
      <c r="O377" s="10444" t="s">
        <v>6075</v>
      </c>
      <c r="P377" s="10444" t="s">
        <v>6076</v>
      </c>
      <c r="Q377" s="10449" t="s">
        <v>6025</v>
      </c>
      <c r="R377" s="5451"/>
      <c r="S377" s="3650"/>
      <c r="T377" s="3650"/>
      <c r="U377" s="3622"/>
      <c r="V377" s="5504"/>
      <c r="W377" s="3623"/>
      <c r="X377" s="5560"/>
      <c r="Y377" s="5560"/>
      <c r="Z377" s="5560"/>
      <c r="AA377" s="5561"/>
      <c r="AB377" s="5586"/>
      <c r="AC377" s="4314"/>
      <c r="AD377" s="3658"/>
      <c r="AE377" s="5623"/>
      <c r="AF377" s="5623"/>
      <c r="AG377" s="10464"/>
    </row>
    <row r="378" spans="1:33" ht="18" customHeight="1">
      <c r="A378" s="11139"/>
      <c r="B378" s="11136"/>
      <c r="C378" s="11124"/>
      <c r="D378" s="11124"/>
      <c r="E378" s="11124"/>
      <c r="F378" s="11124"/>
      <c r="G378" s="11124"/>
      <c r="H378" s="11124"/>
      <c r="I378" s="11124"/>
      <c r="J378" s="11124"/>
      <c r="K378" s="11124"/>
      <c r="L378" s="11131"/>
      <c r="M378" s="11131"/>
      <c r="N378" s="11131"/>
      <c r="O378" s="11124"/>
      <c r="P378" s="11124"/>
      <c r="Q378" s="11127"/>
      <c r="R378" s="5446"/>
      <c r="S378" s="3579"/>
      <c r="T378" s="3579"/>
      <c r="U378" s="3578"/>
      <c r="V378" s="5499"/>
      <c r="W378" s="3579"/>
      <c r="X378" s="5552"/>
      <c r="Y378" s="5552"/>
      <c r="Z378" s="5552"/>
      <c r="AA378" s="5553"/>
      <c r="AB378" s="5581"/>
      <c r="AC378" s="4316"/>
      <c r="AD378" s="3496"/>
      <c r="AE378" s="5610"/>
      <c r="AF378" s="5610"/>
      <c r="AG378" s="11115"/>
    </row>
    <row r="379" spans="1:33" ht="18" customHeight="1">
      <c r="A379" s="11139"/>
      <c r="B379" s="11136"/>
      <c r="C379" s="11124"/>
      <c r="D379" s="11124"/>
      <c r="E379" s="11124"/>
      <c r="F379" s="11124"/>
      <c r="G379" s="11124"/>
      <c r="H379" s="11124"/>
      <c r="I379" s="11124"/>
      <c r="J379" s="11124"/>
      <c r="K379" s="11124"/>
      <c r="L379" s="11131"/>
      <c r="M379" s="11131"/>
      <c r="N379" s="11131"/>
      <c r="O379" s="11124"/>
      <c r="P379" s="11124"/>
      <c r="Q379" s="11127"/>
      <c r="R379" s="5446"/>
      <c r="S379" s="3579"/>
      <c r="T379" s="3579"/>
      <c r="U379" s="3578"/>
      <c r="V379" s="5499"/>
      <c r="W379" s="3579"/>
      <c r="X379" s="5552"/>
      <c r="Y379" s="5552"/>
      <c r="Z379" s="5552"/>
      <c r="AA379" s="5553"/>
      <c r="AB379" s="5581"/>
      <c r="AC379" s="4316"/>
      <c r="AD379" s="3496"/>
      <c r="AE379" s="5610"/>
      <c r="AF379" s="5610"/>
      <c r="AG379" s="11115"/>
    </row>
    <row r="380" spans="1:33" ht="18" customHeight="1">
      <c r="A380" s="11139"/>
      <c r="B380" s="11136"/>
      <c r="C380" s="11124"/>
      <c r="D380" s="11124"/>
      <c r="E380" s="11124"/>
      <c r="F380" s="11124"/>
      <c r="G380" s="11124"/>
      <c r="H380" s="11124"/>
      <c r="I380" s="11124"/>
      <c r="J380" s="11124"/>
      <c r="K380" s="11124"/>
      <c r="L380" s="11131"/>
      <c r="M380" s="11131"/>
      <c r="N380" s="11131"/>
      <c r="O380" s="11124"/>
      <c r="P380" s="11124"/>
      <c r="Q380" s="11127"/>
      <c r="R380" s="5447"/>
      <c r="S380" s="4325"/>
      <c r="T380" s="4325"/>
      <c r="U380" s="3578"/>
      <c r="V380" s="5499"/>
      <c r="W380" s="3579"/>
      <c r="X380" s="5552"/>
      <c r="Y380" s="5552"/>
      <c r="Z380" s="5552"/>
      <c r="AA380" s="5553"/>
      <c r="AB380" s="5581"/>
      <c r="AC380" s="4316"/>
      <c r="AD380" s="3496"/>
      <c r="AE380" s="5610"/>
      <c r="AF380" s="5610"/>
      <c r="AG380" s="11115"/>
    </row>
    <row r="381" spans="1:33" ht="18" customHeight="1">
      <c r="A381" s="11139"/>
      <c r="B381" s="11138"/>
      <c r="C381" s="11126"/>
      <c r="D381" s="11126"/>
      <c r="E381" s="11126"/>
      <c r="F381" s="11126"/>
      <c r="G381" s="11126"/>
      <c r="H381" s="11126"/>
      <c r="I381" s="11126"/>
      <c r="J381" s="11126"/>
      <c r="K381" s="11126"/>
      <c r="L381" s="11132"/>
      <c r="M381" s="11132"/>
      <c r="N381" s="11132"/>
      <c r="O381" s="11126"/>
      <c r="P381" s="11126"/>
      <c r="Q381" s="11128"/>
      <c r="R381" s="5450"/>
      <c r="S381" s="3606"/>
      <c r="T381" s="3606"/>
      <c r="U381" s="3605"/>
      <c r="V381" s="5503"/>
      <c r="W381" s="3606"/>
      <c r="X381" s="5558"/>
      <c r="Y381" s="5558"/>
      <c r="Z381" s="5558"/>
      <c r="AA381" s="5559"/>
      <c r="AB381" s="5585"/>
      <c r="AC381" s="4318"/>
      <c r="AD381" s="3545"/>
      <c r="AE381" s="5625"/>
      <c r="AF381" s="5625"/>
      <c r="AG381" s="11116"/>
    </row>
    <row r="382" spans="1:33" s="6169" customFormat="1" ht="22.5" customHeight="1" thickBot="1">
      <c r="A382" s="6236"/>
      <c r="B382" s="6250"/>
      <c r="C382" s="6250"/>
      <c r="D382" s="6250"/>
      <c r="E382" s="6250"/>
      <c r="F382" s="6250"/>
      <c r="G382" s="6250"/>
      <c r="H382" s="6250"/>
      <c r="I382" s="6250"/>
      <c r="J382" s="6250"/>
      <c r="K382" s="6250"/>
      <c r="L382" s="6164"/>
      <c r="M382" s="6164"/>
      <c r="N382" s="6164"/>
      <c r="O382" s="6166"/>
      <c r="P382" s="6166"/>
      <c r="Q382" s="6167"/>
      <c r="R382" s="11144" t="s">
        <v>6077</v>
      </c>
      <c r="S382" s="11145"/>
      <c r="T382" s="11145"/>
      <c r="U382" s="11145"/>
      <c r="V382" s="11145"/>
      <c r="W382" s="11145"/>
      <c r="X382" s="11145"/>
      <c r="Y382" s="11145"/>
      <c r="Z382" s="5321" t="s">
        <v>292</v>
      </c>
      <c r="AA382" s="6153">
        <f>SUM(AA307:AA381)</f>
        <v>0</v>
      </c>
      <c r="AB382" s="6165"/>
      <c r="AC382" s="6168"/>
      <c r="AD382" s="11146"/>
      <c r="AE382" s="11147"/>
      <c r="AF382" s="11147"/>
      <c r="AG382" s="11148"/>
    </row>
    <row r="383" spans="1:33" ht="25.5" customHeight="1">
      <c r="A383" s="9237" t="s">
        <v>6078</v>
      </c>
      <c r="B383" s="10518" t="s">
        <v>183</v>
      </c>
      <c r="C383" s="10452" t="s">
        <v>227</v>
      </c>
      <c r="D383" s="10452" t="s">
        <v>228</v>
      </c>
      <c r="E383" s="10452" t="s">
        <v>229</v>
      </c>
      <c r="F383" s="10454" t="s">
        <v>230</v>
      </c>
      <c r="G383" s="10452" t="s">
        <v>132</v>
      </c>
      <c r="H383" s="10452" t="s">
        <v>159</v>
      </c>
      <c r="I383" s="10433" t="s">
        <v>6010</v>
      </c>
      <c r="J383" s="10452" t="s">
        <v>6011</v>
      </c>
      <c r="K383" s="10452" t="s">
        <v>5761</v>
      </c>
      <c r="L383" s="10488">
        <v>2</v>
      </c>
      <c r="M383" s="10488">
        <v>1</v>
      </c>
      <c r="N383" s="10488">
        <v>2</v>
      </c>
      <c r="O383" s="10452" t="s">
        <v>6012</v>
      </c>
      <c r="P383" s="10452" t="s">
        <v>6013</v>
      </c>
      <c r="Q383" s="10453" t="s">
        <v>6014</v>
      </c>
      <c r="R383" s="7889" t="s">
        <v>80</v>
      </c>
      <c r="S383" s="7890">
        <v>840104</v>
      </c>
      <c r="T383" s="7891"/>
      <c r="U383" s="7892" t="s">
        <v>39</v>
      </c>
      <c r="V383" s="7893"/>
      <c r="W383" s="7894"/>
      <c r="X383" s="7895"/>
      <c r="Y383" s="7895"/>
      <c r="Z383" s="7895"/>
      <c r="AA383" s="7896">
        <v>28605.919999999998</v>
      </c>
      <c r="AB383" s="7897" t="s">
        <v>26</v>
      </c>
      <c r="AC383" s="4314"/>
      <c r="AD383" s="3658"/>
      <c r="AE383" s="5623"/>
      <c r="AF383" s="5623"/>
      <c r="AG383" s="11121"/>
    </row>
    <row r="384" spans="1:33" ht="18" customHeight="1">
      <c r="A384" s="9099"/>
      <c r="B384" s="11136"/>
      <c r="C384" s="11124"/>
      <c r="D384" s="11124"/>
      <c r="E384" s="11124"/>
      <c r="F384" s="11124"/>
      <c r="G384" s="11124"/>
      <c r="H384" s="11124"/>
      <c r="I384" s="11124"/>
      <c r="J384" s="11124"/>
      <c r="K384" s="11124"/>
      <c r="L384" s="11131"/>
      <c r="M384" s="11131"/>
      <c r="N384" s="11131"/>
      <c r="O384" s="11124"/>
      <c r="P384" s="11124"/>
      <c r="Q384" s="11127"/>
      <c r="R384" s="3538"/>
      <c r="S384" s="5463"/>
      <c r="T384" s="5463"/>
      <c r="U384" s="7898" t="s">
        <v>6079</v>
      </c>
      <c r="V384" s="7899">
        <v>2</v>
      </c>
      <c r="W384" s="7900" t="s">
        <v>180</v>
      </c>
      <c r="X384" s="7901">
        <v>680</v>
      </c>
      <c r="Y384" s="7901">
        <f>+V384*X384</f>
        <v>1360</v>
      </c>
      <c r="Z384" s="7901">
        <f>+Y384*1.12</f>
        <v>1523.2</v>
      </c>
      <c r="AA384" s="5524"/>
      <c r="AB384" s="5581"/>
      <c r="AC384" s="4316"/>
      <c r="AD384" s="3496"/>
      <c r="AE384" s="5610"/>
      <c r="AF384" s="5617" t="s">
        <v>153</v>
      </c>
      <c r="AG384" s="11122"/>
    </row>
    <row r="385" spans="1:33" ht="18" customHeight="1">
      <c r="A385" s="9099"/>
      <c r="B385" s="11136"/>
      <c r="C385" s="11124"/>
      <c r="D385" s="11124"/>
      <c r="E385" s="11124"/>
      <c r="F385" s="11124"/>
      <c r="G385" s="11124"/>
      <c r="H385" s="11124"/>
      <c r="I385" s="11124"/>
      <c r="J385" s="11124"/>
      <c r="K385" s="11124"/>
      <c r="L385" s="11131"/>
      <c r="M385" s="11131"/>
      <c r="N385" s="11131"/>
      <c r="O385" s="11124"/>
      <c r="P385" s="11124"/>
      <c r="Q385" s="11127"/>
      <c r="R385" s="3538"/>
      <c r="S385" s="5463"/>
      <c r="T385" s="5463"/>
      <c r="U385" s="7898" t="s">
        <v>6080</v>
      </c>
      <c r="V385" s="7899">
        <v>6</v>
      </c>
      <c r="W385" s="7900" t="s">
        <v>180</v>
      </c>
      <c r="X385" s="7901">
        <v>2206</v>
      </c>
      <c r="Y385" s="7901">
        <f t="shared" ref="Y385:Y400" si="8">+V385*X385</f>
        <v>13236</v>
      </c>
      <c r="Z385" s="7901">
        <f t="shared" ref="Z385:Z400" si="9">+Y385*1.12</f>
        <v>14824.320000000002</v>
      </c>
      <c r="AA385" s="5524"/>
      <c r="AB385" s="5581"/>
      <c r="AC385" s="4316"/>
      <c r="AD385" s="3496"/>
      <c r="AE385" s="5610"/>
      <c r="AF385" s="5617" t="s">
        <v>153</v>
      </c>
      <c r="AG385" s="11122"/>
    </row>
    <row r="386" spans="1:33">
      <c r="A386" s="9099"/>
      <c r="B386" s="11136"/>
      <c r="C386" s="11124"/>
      <c r="D386" s="11124"/>
      <c r="E386" s="11124"/>
      <c r="F386" s="11124"/>
      <c r="G386" s="11124"/>
      <c r="H386" s="11124"/>
      <c r="I386" s="11124"/>
      <c r="J386" s="11124"/>
      <c r="K386" s="11124"/>
      <c r="L386" s="11131"/>
      <c r="M386" s="11131"/>
      <c r="N386" s="11131"/>
      <c r="O386" s="11124"/>
      <c r="P386" s="11124"/>
      <c r="Q386" s="11127"/>
      <c r="R386" s="3538"/>
      <c r="S386" s="5463"/>
      <c r="T386" s="5463"/>
      <c r="U386" s="7902" t="s">
        <v>6081</v>
      </c>
      <c r="V386" s="7899">
        <v>6</v>
      </c>
      <c r="W386" s="7900" t="s">
        <v>180</v>
      </c>
      <c r="X386" s="7901">
        <v>160</v>
      </c>
      <c r="Y386" s="7901">
        <f t="shared" si="8"/>
        <v>960</v>
      </c>
      <c r="Z386" s="7901">
        <f t="shared" si="9"/>
        <v>1075.2</v>
      </c>
      <c r="AA386" s="5524"/>
      <c r="AB386" s="5581"/>
      <c r="AC386" s="4316"/>
      <c r="AD386" s="3496"/>
      <c r="AE386" s="5610"/>
      <c r="AF386" s="5617" t="s">
        <v>153</v>
      </c>
      <c r="AG386" s="11122"/>
    </row>
    <row r="387" spans="1:33" ht="44.25" customHeight="1">
      <c r="A387" s="9099"/>
      <c r="B387" s="11136"/>
      <c r="C387" s="11124"/>
      <c r="D387" s="11124"/>
      <c r="E387" s="11124"/>
      <c r="F387" s="11124"/>
      <c r="G387" s="11124"/>
      <c r="H387" s="11124"/>
      <c r="I387" s="11124"/>
      <c r="J387" s="11124"/>
      <c r="K387" s="11124"/>
      <c r="L387" s="11131"/>
      <c r="M387" s="11131"/>
      <c r="N387" s="11131"/>
      <c r="O387" s="11124"/>
      <c r="P387" s="11124"/>
      <c r="Q387" s="11127"/>
      <c r="R387" s="3538"/>
      <c r="S387" s="5463"/>
      <c r="T387" s="5463"/>
      <c r="U387" s="7898" t="s">
        <v>6082</v>
      </c>
      <c r="V387" s="7899">
        <v>7</v>
      </c>
      <c r="W387" s="7900" t="s">
        <v>180</v>
      </c>
      <c r="X387" s="7901">
        <v>115</v>
      </c>
      <c r="Y387" s="7901">
        <f t="shared" si="8"/>
        <v>805</v>
      </c>
      <c r="Z387" s="7901">
        <f t="shared" si="9"/>
        <v>901.60000000000014</v>
      </c>
      <c r="AA387" s="5524"/>
      <c r="AB387" s="5581"/>
      <c r="AC387" s="4316"/>
      <c r="AD387" s="3496"/>
      <c r="AE387" s="5610"/>
      <c r="AF387" s="5617" t="s">
        <v>153</v>
      </c>
      <c r="AG387" s="11122"/>
    </row>
    <row r="388" spans="1:33" ht="27.75" customHeight="1">
      <c r="A388" s="9099"/>
      <c r="B388" s="11136"/>
      <c r="C388" s="11124"/>
      <c r="D388" s="11124"/>
      <c r="E388" s="11124"/>
      <c r="F388" s="11124"/>
      <c r="G388" s="11124"/>
      <c r="H388" s="11124"/>
      <c r="I388" s="11124"/>
      <c r="J388" s="11124"/>
      <c r="K388" s="11124"/>
      <c r="L388" s="11131"/>
      <c r="M388" s="11131"/>
      <c r="N388" s="11131"/>
      <c r="O388" s="11124"/>
      <c r="P388" s="11124"/>
      <c r="Q388" s="11127"/>
      <c r="R388" s="3538"/>
      <c r="S388" s="5463"/>
      <c r="T388" s="5463"/>
      <c r="U388" s="7898" t="s">
        <v>6083</v>
      </c>
      <c r="V388" s="7899">
        <v>2</v>
      </c>
      <c r="W388" s="7900" t="s">
        <v>180</v>
      </c>
      <c r="X388" s="7901">
        <v>124</v>
      </c>
      <c r="Y388" s="7901">
        <f t="shared" si="8"/>
        <v>248</v>
      </c>
      <c r="Z388" s="7901">
        <f t="shared" si="9"/>
        <v>277.76000000000005</v>
      </c>
      <c r="AA388" s="5524"/>
      <c r="AB388" s="5581"/>
      <c r="AC388" s="4316"/>
      <c r="AD388" s="3496"/>
      <c r="AE388" s="5610"/>
      <c r="AF388" s="5617" t="s">
        <v>153</v>
      </c>
      <c r="AG388" s="11122"/>
    </row>
    <row r="389" spans="1:33" ht="26.25" customHeight="1">
      <c r="A389" s="9099"/>
      <c r="B389" s="11136"/>
      <c r="C389" s="11124"/>
      <c r="D389" s="11124"/>
      <c r="E389" s="11124"/>
      <c r="F389" s="11124"/>
      <c r="G389" s="11124"/>
      <c r="H389" s="11124"/>
      <c r="I389" s="11124"/>
      <c r="J389" s="11124"/>
      <c r="K389" s="11124"/>
      <c r="L389" s="11131"/>
      <c r="M389" s="11131"/>
      <c r="N389" s="11131"/>
      <c r="O389" s="11124"/>
      <c r="P389" s="11124"/>
      <c r="Q389" s="11127"/>
      <c r="R389" s="3538"/>
      <c r="S389" s="5463"/>
      <c r="T389" s="5463"/>
      <c r="U389" s="7898" t="s">
        <v>6084</v>
      </c>
      <c r="V389" s="7899">
        <v>1</v>
      </c>
      <c r="W389" s="7900" t="s">
        <v>180</v>
      </c>
      <c r="X389" s="7901">
        <v>1793</v>
      </c>
      <c r="Y389" s="7901">
        <f t="shared" si="8"/>
        <v>1793</v>
      </c>
      <c r="Z389" s="7901">
        <f t="shared" si="9"/>
        <v>2008.16</v>
      </c>
      <c r="AA389" s="5524"/>
      <c r="AB389" s="5581"/>
      <c r="AC389" s="4316"/>
      <c r="AD389" s="3496"/>
      <c r="AE389" s="5610"/>
      <c r="AF389" s="5617" t="s">
        <v>153</v>
      </c>
      <c r="AG389" s="11122"/>
    </row>
    <row r="390" spans="1:33" ht="29.25" customHeight="1">
      <c r="A390" s="9099"/>
      <c r="B390" s="11136"/>
      <c r="C390" s="11124"/>
      <c r="D390" s="11124"/>
      <c r="E390" s="11124"/>
      <c r="F390" s="11124"/>
      <c r="G390" s="11124"/>
      <c r="H390" s="11124"/>
      <c r="I390" s="11124"/>
      <c r="J390" s="11124"/>
      <c r="K390" s="11124"/>
      <c r="L390" s="11131"/>
      <c r="M390" s="11131"/>
      <c r="N390" s="11131"/>
      <c r="O390" s="11124"/>
      <c r="P390" s="11124"/>
      <c r="Q390" s="11127"/>
      <c r="R390" s="3538"/>
      <c r="S390" s="5463"/>
      <c r="T390" s="5463"/>
      <c r="U390" s="7898" t="s">
        <v>6085</v>
      </c>
      <c r="V390" s="7899">
        <v>1</v>
      </c>
      <c r="W390" s="7900" t="s">
        <v>180</v>
      </c>
      <c r="X390" s="7901">
        <v>550</v>
      </c>
      <c r="Y390" s="7901">
        <f t="shared" si="8"/>
        <v>550</v>
      </c>
      <c r="Z390" s="7901">
        <f t="shared" si="9"/>
        <v>616.00000000000011</v>
      </c>
      <c r="AA390" s="5524"/>
      <c r="AB390" s="5581"/>
      <c r="AC390" s="4316"/>
      <c r="AD390" s="3496"/>
      <c r="AE390" s="5610"/>
      <c r="AF390" s="5617" t="s">
        <v>153</v>
      </c>
      <c r="AG390" s="11122"/>
    </row>
    <row r="391" spans="1:33" ht="32.25" customHeight="1">
      <c r="A391" s="9099"/>
      <c r="B391" s="11136"/>
      <c r="C391" s="11124"/>
      <c r="D391" s="11124"/>
      <c r="E391" s="11124"/>
      <c r="F391" s="11124"/>
      <c r="G391" s="11124"/>
      <c r="H391" s="11124"/>
      <c r="I391" s="11124"/>
      <c r="J391" s="11124"/>
      <c r="K391" s="11124"/>
      <c r="L391" s="11131"/>
      <c r="M391" s="11131"/>
      <c r="N391" s="11131"/>
      <c r="O391" s="11124"/>
      <c r="P391" s="11124"/>
      <c r="Q391" s="11127"/>
      <c r="R391" s="3538"/>
      <c r="S391" s="5463"/>
      <c r="T391" s="5463"/>
      <c r="U391" s="7898" t="s">
        <v>6086</v>
      </c>
      <c r="V391" s="7899">
        <v>1</v>
      </c>
      <c r="W391" s="7900" t="s">
        <v>180</v>
      </c>
      <c r="X391" s="7901">
        <v>250</v>
      </c>
      <c r="Y391" s="7901">
        <f t="shared" si="8"/>
        <v>250</v>
      </c>
      <c r="Z391" s="7901">
        <f t="shared" si="9"/>
        <v>280</v>
      </c>
      <c r="AA391" s="5524"/>
      <c r="AB391" s="5581"/>
      <c r="AC391" s="4316"/>
      <c r="AD391" s="3496"/>
      <c r="AE391" s="5610"/>
      <c r="AF391" s="5617" t="s">
        <v>153</v>
      </c>
      <c r="AG391" s="11122"/>
    </row>
    <row r="392" spans="1:33" ht="31.5" customHeight="1">
      <c r="A392" s="9099"/>
      <c r="B392" s="11136"/>
      <c r="C392" s="11124"/>
      <c r="D392" s="11124"/>
      <c r="E392" s="11124"/>
      <c r="F392" s="11124"/>
      <c r="G392" s="11124"/>
      <c r="H392" s="11124"/>
      <c r="I392" s="11124"/>
      <c r="J392" s="11124"/>
      <c r="K392" s="11124"/>
      <c r="L392" s="11131"/>
      <c r="M392" s="11131"/>
      <c r="N392" s="11131"/>
      <c r="O392" s="11124"/>
      <c r="P392" s="11124"/>
      <c r="Q392" s="11127"/>
      <c r="R392" s="3538"/>
      <c r="S392" s="5463"/>
      <c r="T392" s="5463"/>
      <c r="U392" s="7898" t="s">
        <v>6087</v>
      </c>
      <c r="V392" s="7899">
        <v>3</v>
      </c>
      <c r="W392" s="7900" t="s">
        <v>180</v>
      </c>
      <c r="X392" s="7901">
        <v>327</v>
      </c>
      <c r="Y392" s="7901">
        <f t="shared" si="8"/>
        <v>981</v>
      </c>
      <c r="Z392" s="7901">
        <f t="shared" si="9"/>
        <v>1098.72</v>
      </c>
      <c r="AA392" s="5524"/>
      <c r="AB392" s="5581"/>
      <c r="AC392" s="4316"/>
      <c r="AD392" s="3496"/>
      <c r="AE392" s="5610"/>
      <c r="AF392" s="5617" t="s">
        <v>153</v>
      </c>
      <c r="AG392" s="11122"/>
    </row>
    <row r="393" spans="1:33" ht="30" customHeight="1">
      <c r="A393" s="9099"/>
      <c r="B393" s="11136"/>
      <c r="C393" s="11124"/>
      <c r="D393" s="11124"/>
      <c r="E393" s="11124"/>
      <c r="F393" s="11124"/>
      <c r="G393" s="11124"/>
      <c r="H393" s="11124"/>
      <c r="I393" s="11124"/>
      <c r="J393" s="11124"/>
      <c r="K393" s="11124"/>
      <c r="L393" s="11131"/>
      <c r="M393" s="11131"/>
      <c r="N393" s="11131"/>
      <c r="O393" s="11124"/>
      <c r="P393" s="11124"/>
      <c r="Q393" s="11127"/>
      <c r="R393" s="3538"/>
      <c r="S393" s="5463"/>
      <c r="T393" s="5463"/>
      <c r="U393" s="7898" t="s">
        <v>6088</v>
      </c>
      <c r="V393" s="7899">
        <v>3</v>
      </c>
      <c r="W393" s="7900" t="s">
        <v>180</v>
      </c>
      <c r="X393" s="7901">
        <v>327</v>
      </c>
      <c r="Y393" s="7901">
        <f t="shared" si="8"/>
        <v>981</v>
      </c>
      <c r="Z393" s="7901">
        <f t="shared" si="9"/>
        <v>1098.72</v>
      </c>
      <c r="AA393" s="5524"/>
      <c r="AB393" s="5581"/>
      <c r="AC393" s="4316"/>
      <c r="AD393" s="3496"/>
      <c r="AE393" s="5610"/>
      <c r="AF393" s="5617" t="s">
        <v>153</v>
      </c>
      <c r="AG393" s="11122"/>
    </row>
    <row r="394" spans="1:33" ht="30" customHeight="1">
      <c r="A394" s="9099"/>
      <c r="B394" s="11136"/>
      <c r="C394" s="11124"/>
      <c r="D394" s="11124"/>
      <c r="E394" s="11124"/>
      <c r="F394" s="11124"/>
      <c r="G394" s="11124"/>
      <c r="H394" s="11124"/>
      <c r="I394" s="11124"/>
      <c r="J394" s="11124"/>
      <c r="K394" s="11124"/>
      <c r="L394" s="11131"/>
      <c r="M394" s="11131"/>
      <c r="N394" s="11131"/>
      <c r="O394" s="11124"/>
      <c r="P394" s="11124"/>
      <c r="Q394" s="11127"/>
      <c r="R394" s="3538"/>
      <c r="S394" s="5463"/>
      <c r="T394" s="5463"/>
      <c r="U394" s="7898" t="s">
        <v>6089</v>
      </c>
      <c r="V394" s="7899">
        <v>1</v>
      </c>
      <c r="W394" s="7900" t="s">
        <v>180</v>
      </c>
      <c r="X394" s="7901">
        <v>614</v>
      </c>
      <c r="Y394" s="7901">
        <f t="shared" si="8"/>
        <v>614</v>
      </c>
      <c r="Z394" s="7901">
        <f t="shared" si="9"/>
        <v>687.68000000000006</v>
      </c>
      <c r="AA394" s="5524"/>
      <c r="AB394" s="5581"/>
      <c r="AC394" s="4316"/>
      <c r="AD394" s="3496"/>
      <c r="AE394" s="5610"/>
      <c r="AF394" s="5617" t="s">
        <v>153</v>
      </c>
      <c r="AG394" s="11122"/>
    </row>
    <row r="395" spans="1:33" ht="30" customHeight="1">
      <c r="A395" s="9099"/>
      <c r="B395" s="11136"/>
      <c r="C395" s="11124"/>
      <c r="D395" s="11124"/>
      <c r="E395" s="11124"/>
      <c r="F395" s="11124"/>
      <c r="G395" s="11124"/>
      <c r="H395" s="11124"/>
      <c r="I395" s="11124"/>
      <c r="J395" s="11124"/>
      <c r="K395" s="11124"/>
      <c r="L395" s="11131"/>
      <c r="M395" s="11131"/>
      <c r="N395" s="11131"/>
      <c r="O395" s="11124"/>
      <c r="P395" s="11124"/>
      <c r="Q395" s="11127"/>
      <c r="R395" s="3538"/>
      <c r="S395" s="5463"/>
      <c r="T395" s="5463"/>
      <c r="U395" s="7898" t="s">
        <v>6090</v>
      </c>
      <c r="V395" s="7899">
        <v>1</v>
      </c>
      <c r="W395" s="7900" t="s">
        <v>180</v>
      </c>
      <c r="X395" s="7901">
        <v>751</v>
      </c>
      <c r="Y395" s="7901">
        <f t="shared" si="8"/>
        <v>751</v>
      </c>
      <c r="Z395" s="7901">
        <f t="shared" si="9"/>
        <v>841.12000000000012</v>
      </c>
      <c r="AA395" s="5524"/>
      <c r="AB395" s="5581"/>
      <c r="AC395" s="4316"/>
      <c r="AD395" s="3496"/>
      <c r="AE395" s="5610"/>
      <c r="AF395" s="5617" t="s">
        <v>153</v>
      </c>
      <c r="AG395" s="11122"/>
    </row>
    <row r="396" spans="1:33">
      <c r="A396" s="9099"/>
      <c r="B396" s="11136"/>
      <c r="C396" s="11124"/>
      <c r="D396" s="11124"/>
      <c r="E396" s="11124"/>
      <c r="F396" s="11124"/>
      <c r="G396" s="11124"/>
      <c r="H396" s="11124"/>
      <c r="I396" s="11124"/>
      <c r="J396" s="11124"/>
      <c r="K396" s="11124"/>
      <c r="L396" s="11131"/>
      <c r="M396" s="11131"/>
      <c r="N396" s="11131"/>
      <c r="O396" s="11124"/>
      <c r="P396" s="11124"/>
      <c r="Q396" s="11127"/>
      <c r="R396" s="3538"/>
      <c r="S396" s="5463"/>
      <c r="T396" s="5463"/>
      <c r="U396" s="7898" t="s">
        <v>6091</v>
      </c>
      <c r="V396" s="7899">
        <v>2</v>
      </c>
      <c r="W396" s="7900" t="s">
        <v>180</v>
      </c>
      <c r="X396" s="7901">
        <v>684</v>
      </c>
      <c r="Y396" s="7901">
        <f t="shared" si="8"/>
        <v>1368</v>
      </c>
      <c r="Z396" s="7901">
        <f t="shared" si="9"/>
        <v>1532.16</v>
      </c>
      <c r="AA396" s="5524"/>
      <c r="AB396" s="5581"/>
      <c r="AC396" s="4316"/>
      <c r="AD396" s="3496"/>
      <c r="AE396" s="5610"/>
      <c r="AF396" s="5617" t="s">
        <v>153</v>
      </c>
      <c r="AG396" s="11122"/>
    </row>
    <row r="397" spans="1:33" ht="25.5">
      <c r="A397" s="9099"/>
      <c r="B397" s="11136"/>
      <c r="C397" s="11124"/>
      <c r="D397" s="11124"/>
      <c r="E397" s="11124"/>
      <c r="F397" s="11124"/>
      <c r="G397" s="11124"/>
      <c r="H397" s="11124"/>
      <c r="I397" s="11124"/>
      <c r="J397" s="11124"/>
      <c r="K397" s="11124"/>
      <c r="L397" s="11131"/>
      <c r="M397" s="11131"/>
      <c r="N397" s="11131"/>
      <c r="O397" s="11124"/>
      <c r="P397" s="11124"/>
      <c r="Q397" s="11127"/>
      <c r="R397" s="3538"/>
      <c r="S397" s="5463"/>
      <c r="T397" s="5463"/>
      <c r="U397" s="7898" t="s">
        <v>6092</v>
      </c>
      <c r="V397" s="7899">
        <v>1</v>
      </c>
      <c r="W397" s="7900" t="s">
        <v>180</v>
      </c>
      <c r="X397" s="7901">
        <v>374</v>
      </c>
      <c r="Y397" s="7901">
        <f t="shared" si="8"/>
        <v>374</v>
      </c>
      <c r="Z397" s="7901">
        <f t="shared" si="9"/>
        <v>418.88000000000005</v>
      </c>
      <c r="AA397" s="5524"/>
      <c r="AB397" s="5581"/>
      <c r="AC397" s="4316"/>
      <c r="AD397" s="3496"/>
      <c r="AE397" s="5610"/>
      <c r="AF397" s="5617" t="s">
        <v>153</v>
      </c>
      <c r="AG397" s="11122"/>
    </row>
    <row r="398" spans="1:33">
      <c r="A398" s="9099"/>
      <c r="B398" s="11136"/>
      <c r="C398" s="11124"/>
      <c r="D398" s="11124"/>
      <c r="E398" s="11124"/>
      <c r="F398" s="11124"/>
      <c r="G398" s="11124"/>
      <c r="H398" s="11124"/>
      <c r="I398" s="11124"/>
      <c r="J398" s="11124"/>
      <c r="K398" s="11124"/>
      <c r="L398" s="11131"/>
      <c r="M398" s="11131"/>
      <c r="N398" s="11131"/>
      <c r="O398" s="11124"/>
      <c r="P398" s="11124"/>
      <c r="Q398" s="11127"/>
      <c r="R398" s="3538"/>
      <c r="S398" s="5463"/>
      <c r="T398" s="5463"/>
      <c r="U398" s="7898" t="s">
        <v>6093</v>
      </c>
      <c r="V398" s="7899">
        <v>1</v>
      </c>
      <c r="W398" s="7900" t="s">
        <v>180</v>
      </c>
      <c r="X398" s="7901">
        <v>160</v>
      </c>
      <c r="Y398" s="7901">
        <f t="shared" si="8"/>
        <v>160</v>
      </c>
      <c r="Z398" s="7901">
        <f t="shared" si="9"/>
        <v>179.20000000000002</v>
      </c>
      <c r="AA398" s="5524"/>
      <c r="AB398" s="5581"/>
      <c r="AC398" s="4316"/>
      <c r="AD398" s="3496"/>
      <c r="AE398" s="5610"/>
      <c r="AF398" s="5617" t="s">
        <v>153</v>
      </c>
      <c r="AG398" s="11122"/>
    </row>
    <row r="399" spans="1:33">
      <c r="A399" s="9099"/>
      <c r="B399" s="11136"/>
      <c r="C399" s="11124"/>
      <c r="D399" s="11124"/>
      <c r="E399" s="11124"/>
      <c r="F399" s="11124"/>
      <c r="G399" s="11124"/>
      <c r="H399" s="11124"/>
      <c r="I399" s="11124"/>
      <c r="J399" s="11124"/>
      <c r="K399" s="11124"/>
      <c r="L399" s="11131"/>
      <c r="M399" s="11131"/>
      <c r="N399" s="11131"/>
      <c r="O399" s="11124"/>
      <c r="P399" s="11124"/>
      <c r="Q399" s="11127"/>
      <c r="R399" s="3538"/>
      <c r="S399" s="5463"/>
      <c r="T399" s="5463"/>
      <c r="U399" s="7898" t="s">
        <v>6094</v>
      </c>
      <c r="V399" s="7899">
        <v>4</v>
      </c>
      <c r="W399" s="7900" t="s">
        <v>180</v>
      </c>
      <c r="X399" s="7901">
        <v>160</v>
      </c>
      <c r="Y399" s="7901">
        <f t="shared" si="8"/>
        <v>640</v>
      </c>
      <c r="Z399" s="7901">
        <f t="shared" si="9"/>
        <v>716.80000000000007</v>
      </c>
      <c r="AA399" s="5524"/>
      <c r="AB399" s="5581"/>
      <c r="AC399" s="4316"/>
      <c r="AD399" s="3496"/>
      <c r="AE399" s="5610"/>
      <c r="AF399" s="5617" t="s">
        <v>153</v>
      </c>
      <c r="AG399" s="11122"/>
    </row>
    <row r="400" spans="1:33" ht="18" customHeight="1">
      <c r="A400" s="9099"/>
      <c r="B400" s="11137"/>
      <c r="C400" s="11125"/>
      <c r="D400" s="11125"/>
      <c r="E400" s="11125"/>
      <c r="F400" s="11125"/>
      <c r="G400" s="11125"/>
      <c r="H400" s="11125"/>
      <c r="I400" s="11125"/>
      <c r="J400" s="11125"/>
      <c r="K400" s="11125"/>
      <c r="L400" s="11134"/>
      <c r="M400" s="11134"/>
      <c r="N400" s="11134"/>
      <c r="O400" s="11125"/>
      <c r="P400" s="11125"/>
      <c r="Q400" s="11135"/>
      <c r="R400" s="3768"/>
      <c r="S400" s="5477"/>
      <c r="T400" s="5477"/>
      <c r="U400" s="7903" t="s">
        <v>6095</v>
      </c>
      <c r="V400" s="7904">
        <v>2</v>
      </c>
      <c r="W400" s="7905" t="s">
        <v>180</v>
      </c>
      <c r="X400" s="7906">
        <v>235</v>
      </c>
      <c r="Y400" s="7906">
        <f t="shared" si="8"/>
        <v>470</v>
      </c>
      <c r="Z400" s="7906">
        <f t="shared" si="9"/>
        <v>526.40000000000009</v>
      </c>
      <c r="AA400" s="5545"/>
      <c r="AB400" s="5592"/>
      <c r="AC400" s="4320"/>
      <c r="AD400" s="3714"/>
      <c r="AE400" s="5624"/>
      <c r="AF400" s="5631" t="s">
        <v>153</v>
      </c>
      <c r="AG400" s="11123"/>
    </row>
    <row r="401" spans="1:33" ht="18" customHeight="1">
      <c r="A401" s="9099"/>
      <c r="B401" s="10516" t="s">
        <v>127</v>
      </c>
      <c r="C401" s="10433" t="s">
        <v>128</v>
      </c>
      <c r="D401" s="10433" t="s">
        <v>129</v>
      </c>
      <c r="E401" s="10433" t="s">
        <v>157</v>
      </c>
      <c r="F401" s="10442" t="s">
        <v>131</v>
      </c>
      <c r="G401" s="10433" t="s">
        <v>132</v>
      </c>
      <c r="H401" s="10433" t="s">
        <v>159</v>
      </c>
      <c r="I401" s="10433" t="s">
        <v>6015</v>
      </c>
      <c r="J401" s="10433" t="s">
        <v>6016</v>
      </c>
      <c r="K401" s="10433" t="s">
        <v>5761</v>
      </c>
      <c r="L401" s="11130">
        <v>2</v>
      </c>
      <c r="M401" s="11130">
        <v>0</v>
      </c>
      <c r="N401" s="11130">
        <v>2</v>
      </c>
      <c r="O401" s="10433" t="s">
        <v>6017</v>
      </c>
      <c r="P401" s="10433" t="s">
        <v>6018</v>
      </c>
      <c r="Q401" s="10439" t="s">
        <v>6096</v>
      </c>
      <c r="R401" s="3774"/>
      <c r="S401" s="5481"/>
      <c r="T401" s="5481"/>
      <c r="U401" s="3761"/>
      <c r="V401" s="5502"/>
      <c r="W401" s="3709"/>
      <c r="X401" s="5529"/>
      <c r="Y401" s="5529"/>
      <c r="Z401" s="5529"/>
      <c r="AA401" s="5530"/>
      <c r="AB401" s="5584"/>
      <c r="AC401" s="4338"/>
      <c r="AD401" s="3709"/>
      <c r="AE401" s="5626"/>
      <c r="AF401" s="5626"/>
      <c r="AG401" s="10525"/>
    </row>
    <row r="402" spans="1:33" ht="18" customHeight="1">
      <c r="A402" s="9099"/>
      <c r="B402" s="11136"/>
      <c r="C402" s="11124"/>
      <c r="D402" s="11124"/>
      <c r="E402" s="11124"/>
      <c r="F402" s="11124"/>
      <c r="G402" s="11124"/>
      <c r="H402" s="11124"/>
      <c r="I402" s="11124"/>
      <c r="J402" s="11124"/>
      <c r="K402" s="11124"/>
      <c r="L402" s="11131"/>
      <c r="M402" s="11131"/>
      <c r="N402" s="11131"/>
      <c r="O402" s="11124"/>
      <c r="P402" s="11124"/>
      <c r="Q402" s="11127"/>
      <c r="R402" s="3538"/>
      <c r="S402" s="5463"/>
      <c r="T402" s="5463"/>
      <c r="U402" s="3495"/>
      <c r="V402" s="5499"/>
      <c r="W402" s="3496"/>
      <c r="X402" s="5523"/>
      <c r="Y402" s="5523"/>
      <c r="Z402" s="5523"/>
      <c r="AA402" s="5524"/>
      <c r="AB402" s="5581"/>
      <c r="AC402" s="4316"/>
      <c r="AD402" s="3496"/>
      <c r="AE402" s="5610"/>
      <c r="AF402" s="5610"/>
      <c r="AG402" s="11115"/>
    </row>
    <row r="403" spans="1:33" ht="18" customHeight="1">
      <c r="A403" s="9099"/>
      <c r="B403" s="11136"/>
      <c r="C403" s="11124"/>
      <c r="D403" s="11124"/>
      <c r="E403" s="11124"/>
      <c r="F403" s="11124"/>
      <c r="G403" s="11124"/>
      <c r="H403" s="11124"/>
      <c r="I403" s="11124"/>
      <c r="J403" s="11124"/>
      <c r="K403" s="11124"/>
      <c r="L403" s="11131"/>
      <c r="M403" s="11131"/>
      <c r="N403" s="11131"/>
      <c r="O403" s="11124"/>
      <c r="P403" s="11124"/>
      <c r="Q403" s="11127"/>
      <c r="R403" s="3538"/>
      <c r="S403" s="5463"/>
      <c r="T403" s="5463"/>
      <c r="U403" s="3495"/>
      <c r="V403" s="5499"/>
      <c r="W403" s="3496"/>
      <c r="X403" s="5523"/>
      <c r="Y403" s="5523"/>
      <c r="Z403" s="5523"/>
      <c r="AA403" s="5524"/>
      <c r="AB403" s="5581"/>
      <c r="AC403" s="4316"/>
      <c r="AD403" s="3496"/>
      <c r="AE403" s="5610"/>
      <c r="AF403" s="5610"/>
      <c r="AG403" s="11115"/>
    </row>
    <row r="404" spans="1:33" ht="18" customHeight="1">
      <c r="A404" s="9099"/>
      <c r="B404" s="11136"/>
      <c r="C404" s="11124"/>
      <c r="D404" s="11124"/>
      <c r="E404" s="11124"/>
      <c r="F404" s="11124"/>
      <c r="G404" s="11124"/>
      <c r="H404" s="11124"/>
      <c r="I404" s="11124"/>
      <c r="J404" s="11124"/>
      <c r="K404" s="11124"/>
      <c r="L404" s="11131"/>
      <c r="M404" s="11131"/>
      <c r="N404" s="11131"/>
      <c r="O404" s="11124"/>
      <c r="P404" s="11124"/>
      <c r="Q404" s="11127"/>
      <c r="R404" s="3538"/>
      <c r="S404" s="5463"/>
      <c r="T404" s="5463"/>
      <c r="U404" s="3495"/>
      <c r="V404" s="5499"/>
      <c r="W404" s="3496"/>
      <c r="X404" s="5523"/>
      <c r="Y404" s="5523"/>
      <c r="Z404" s="5523"/>
      <c r="AA404" s="5524"/>
      <c r="AB404" s="5581"/>
      <c r="AC404" s="4316"/>
      <c r="AD404" s="3496"/>
      <c r="AE404" s="5610"/>
      <c r="AF404" s="5610"/>
      <c r="AG404" s="11115"/>
    </row>
    <row r="405" spans="1:33" ht="18" customHeight="1">
      <c r="A405" s="9099"/>
      <c r="B405" s="11138"/>
      <c r="C405" s="11126"/>
      <c r="D405" s="11126"/>
      <c r="E405" s="11126"/>
      <c r="F405" s="11126"/>
      <c r="G405" s="11126"/>
      <c r="H405" s="11126"/>
      <c r="I405" s="11126"/>
      <c r="J405" s="11126"/>
      <c r="K405" s="11126"/>
      <c r="L405" s="11132"/>
      <c r="M405" s="11132"/>
      <c r="N405" s="11132"/>
      <c r="O405" s="11126"/>
      <c r="P405" s="11126"/>
      <c r="Q405" s="11128"/>
      <c r="R405" s="3543"/>
      <c r="S405" s="5468"/>
      <c r="T405" s="5468"/>
      <c r="U405" s="3557"/>
      <c r="V405" s="5503"/>
      <c r="W405" s="3545"/>
      <c r="X405" s="5532"/>
      <c r="Y405" s="5532"/>
      <c r="Z405" s="5532"/>
      <c r="AA405" s="5533"/>
      <c r="AB405" s="5585"/>
      <c r="AC405" s="4318"/>
      <c r="AD405" s="3545"/>
      <c r="AE405" s="5625"/>
      <c r="AF405" s="5625"/>
      <c r="AG405" s="11116"/>
    </row>
    <row r="406" spans="1:33" ht="18" customHeight="1">
      <c r="A406" s="9099"/>
      <c r="B406" s="10512" t="s">
        <v>127</v>
      </c>
      <c r="C406" s="10444" t="s">
        <v>128</v>
      </c>
      <c r="D406" s="10444" t="s">
        <v>129</v>
      </c>
      <c r="E406" s="10444" t="s">
        <v>157</v>
      </c>
      <c r="F406" s="10451" t="s">
        <v>131</v>
      </c>
      <c r="G406" s="10444" t="s">
        <v>132</v>
      </c>
      <c r="H406" s="10444" t="s">
        <v>159</v>
      </c>
      <c r="I406" s="10444" t="s">
        <v>6020</v>
      </c>
      <c r="J406" s="10444" t="s">
        <v>6021</v>
      </c>
      <c r="K406" s="10444" t="s">
        <v>6022</v>
      </c>
      <c r="L406" s="11133">
        <v>0</v>
      </c>
      <c r="M406" s="11133">
        <v>1</v>
      </c>
      <c r="N406" s="11133">
        <v>0</v>
      </c>
      <c r="O406" s="10444" t="s">
        <v>6023</v>
      </c>
      <c r="P406" s="10444" t="s">
        <v>6024</v>
      </c>
      <c r="Q406" s="10449" t="s">
        <v>6097</v>
      </c>
      <c r="R406" s="5459"/>
      <c r="S406" s="5482"/>
      <c r="T406" s="5482"/>
      <c r="U406" s="4659"/>
      <c r="V406" s="5504"/>
      <c r="W406" s="3658"/>
      <c r="X406" s="5534"/>
      <c r="Y406" s="5534"/>
      <c r="Z406" s="5534"/>
      <c r="AA406" s="5535"/>
      <c r="AB406" s="5586"/>
      <c r="AC406" s="4314"/>
      <c r="AD406" s="3658"/>
      <c r="AE406" s="5623"/>
      <c r="AF406" s="5623"/>
      <c r="AG406" s="10525"/>
    </row>
    <row r="407" spans="1:33" ht="18" customHeight="1">
      <c r="A407" s="9099"/>
      <c r="B407" s="11136"/>
      <c r="C407" s="11124"/>
      <c r="D407" s="11124"/>
      <c r="E407" s="11124"/>
      <c r="F407" s="11124"/>
      <c r="G407" s="11124"/>
      <c r="H407" s="11124"/>
      <c r="I407" s="11124"/>
      <c r="J407" s="11124"/>
      <c r="K407" s="11124"/>
      <c r="L407" s="11131"/>
      <c r="M407" s="11131"/>
      <c r="N407" s="11131"/>
      <c r="O407" s="11124"/>
      <c r="P407" s="11124"/>
      <c r="Q407" s="11127"/>
      <c r="R407" s="3538"/>
      <c r="S407" s="5463"/>
      <c r="T407" s="5463"/>
      <c r="U407" s="3495"/>
      <c r="V407" s="5499"/>
      <c r="W407" s="3496"/>
      <c r="X407" s="5523"/>
      <c r="Y407" s="5523"/>
      <c r="Z407" s="5523"/>
      <c r="AA407" s="5524"/>
      <c r="AB407" s="5581"/>
      <c r="AC407" s="4316"/>
      <c r="AD407" s="3496"/>
      <c r="AE407" s="5610"/>
      <c r="AF407" s="5610"/>
      <c r="AG407" s="11115"/>
    </row>
    <row r="408" spans="1:33" ht="18" customHeight="1">
      <c r="A408" s="9099"/>
      <c r="B408" s="11136"/>
      <c r="C408" s="11124"/>
      <c r="D408" s="11124"/>
      <c r="E408" s="11124"/>
      <c r="F408" s="11124"/>
      <c r="G408" s="11124"/>
      <c r="H408" s="11124"/>
      <c r="I408" s="11124"/>
      <c r="J408" s="11124"/>
      <c r="K408" s="11124"/>
      <c r="L408" s="11131"/>
      <c r="M408" s="11131"/>
      <c r="N408" s="11131"/>
      <c r="O408" s="11124"/>
      <c r="P408" s="11124"/>
      <c r="Q408" s="11127"/>
      <c r="R408" s="3538"/>
      <c r="S408" s="5463"/>
      <c r="T408" s="5463"/>
      <c r="U408" s="3495"/>
      <c r="V408" s="5499"/>
      <c r="W408" s="3496"/>
      <c r="X408" s="5523"/>
      <c r="Y408" s="5523"/>
      <c r="Z408" s="5523"/>
      <c r="AA408" s="5524"/>
      <c r="AB408" s="5581"/>
      <c r="AC408" s="4316"/>
      <c r="AD408" s="3496"/>
      <c r="AE408" s="5610"/>
      <c r="AF408" s="5610"/>
      <c r="AG408" s="11115"/>
    </row>
    <row r="409" spans="1:33" ht="18" customHeight="1">
      <c r="A409" s="9099"/>
      <c r="B409" s="11136"/>
      <c r="C409" s="11124"/>
      <c r="D409" s="11124"/>
      <c r="E409" s="11124"/>
      <c r="F409" s="11124"/>
      <c r="G409" s="11124"/>
      <c r="H409" s="11124"/>
      <c r="I409" s="11124"/>
      <c r="J409" s="11124"/>
      <c r="K409" s="11124"/>
      <c r="L409" s="11131"/>
      <c r="M409" s="11131"/>
      <c r="N409" s="11131"/>
      <c r="O409" s="11124"/>
      <c r="P409" s="11124"/>
      <c r="Q409" s="11127"/>
      <c r="R409" s="3538"/>
      <c r="S409" s="5463"/>
      <c r="T409" s="5463"/>
      <c r="U409" s="3495"/>
      <c r="V409" s="5499"/>
      <c r="W409" s="3496"/>
      <c r="X409" s="5523"/>
      <c r="Y409" s="5523"/>
      <c r="Z409" s="5523"/>
      <c r="AA409" s="5524"/>
      <c r="AB409" s="5581"/>
      <c r="AC409" s="4316"/>
      <c r="AD409" s="3496"/>
      <c r="AE409" s="5610"/>
      <c r="AF409" s="5610"/>
      <c r="AG409" s="11115"/>
    </row>
    <row r="410" spans="1:33" ht="18" customHeight="1">
      <c r="A410" s="9099"/>
      <c r="B410" s="11137"/>
      <c r="C410" s="11125"/>
      <c r="D410" s="11125"/>
      <c r="E410" s="11125"/>
      <c r="F410" s="11125"/>
      <c r="G410" s="11125"/>
      <c r="H410" s="11125"/>
      <c r="I410" s="11125"/>
      <c r="J410" s="11125"/>
      <c r="K410" s="11125"/>
      <c r="L410" s="11134"/>
      <c r="M410" s="11134"/>
      <c r="N410" s="11134"/>
      <c r="O410" s="11125"/>
      <c r="P410" s="11125"/>
      <c r="Q410" s="11135"/>
      <c r="R410" s="3768"/>
      <c r="S410" s="5477"/>
      <c r="T410" s="5477"/>
      <c r="U410" s="3759"/>
      <c r="V410" s="5509"/>
      <c r="W410" s="3714"/>
      <c r="X410" s="5544"/>
      <c r="Y410" s="5544"/>
      <c r="Z410" s="5544"/>
      <c r="AA410" s="5545"/>
      <c r="AB410" s="5592"/>
      <c r="AC410" s="4320"/>
      <c r="AD410" s="3714"/>
      <c r="AE410" s="5624"/>
      <c r="AF410" s="5624"/>
      <c r="AG410" s="11116"/>
    </row>
    <row r="411" spans="1:33" ht="16.5" customHeight="1">
      <c r="A411" s="9099"/>
      <c r="B411" s="10516" t="s">
        <v>183</v>
      </c>
      <c r="C411" s="10433" t="s">
        <v>227</v>
      </c>
      <c r="D411" s="10433" t="s">
        <v>228</v>
      </c>
      <c r="E411" s="10433" t="s">
        <v>229</v>
      </c>
      <c r="F411" s="10442" t="s">
        <v>230</v>
      </c>
      <c r="G411" s="10433" t="s">
        <v>132</v>
      </c>
      <c r="H411" s="10433" t="s">
        <v>159</v>
      </c>
      <c r="I411" s="10433" t="s">
        <v>6026</v>
      </c>
      <c r="J411" s="10433" t="s">
        <v>6027</v>
      </c>
      <c r="K411" s="10433" t="s">
        <v>6022</v>
      </c>
      <c r="L411" s="11130">
        <v>0</v>
      </c>
      <c r="M411" s="11130">
        <v>1</v>
      </c>
      <c r="N411" s="11130">
        <v>1</v>
      </c>
      <c r="O411" s="10433" t="s">
        <v>6028</v>
      </c>
      <c r="P411" s="10433" t="s">
        <v>6029</v>
      </c>
      <c r="Q411" s="10439" t="s">
        <v>6097</v>
      </c>
      <c r="R411" s="3781"/>
      <c r="S411" s="5471"/>
      <c r="T411" s="5471"/>
      <c r="U411" s="2929"/>
      <c r="V411" s="5505"/>
      <c r="W411" s="2930"/>
      <c r="X411" s="5536"/>
      <c r="Y411" s="5536"/>
      <c r="Z411" s="5536"/>
      <c r="AA411" s="5537"/>
      <c r="AB411" s="5587"/>
      <c r="AC411" s="4340"/>
      <c r="AD411" s="3709"/>
      <c r="AE411" s="5626"/>
      <c r="AF411" s="5626"/>
      <c r="AG411" s="10525"/>
    </row>
    <row r="412" spans="1:33" ht="16.5" customHeight="1">
      <c r="A412" s="9099"/>
      <c r="B412" s="11136"/>
      <c r="C412" s="11124"/>
      <c r="D412" s="11124"/>
      <c r="E412" s="11124"/>
      <c r="F412" s="11124"/>
      <c r="G412" s="11124"/>
      <c r="H412" s="11124"/>
      <c r="I412" s="11124"/>
      <c r="J412" s="11124"/>
      <c r="K412" s="11124"/>
      <c r="L412" s="11131"/>
      <c r="M412" s="11131"/>
      <c r="N412" s="11131"/>
      <c r="O412" s="11124"/>
      <c r="P412" s="11124"/>
      <c r="Q412" s="11127"/>
      <c r="R412" s="3782"/>
      <c r="S412" s="5464"/>
      <c r="T412" s="5464"/>
      <c r="U412" s="3864"/>
      <c r="V412" s="5500"/>
      <c r="W412" s="3504"/>
      <c r="X412" s="5525"/>
      <c r="Y412" s="5525"/>
      <c r="Z412" s="5525"/>
      <c r="AA412" s="5526"/>
      <c r="AB412" s="5582"/>
      <c r="AC412" s="4324"/>
      <c r="AD412" s="3496"/>
      <c r="AE412" s="5610"/>
      <c r="AF412" s="5610"/>
      <c r="AG412" s="11115"/>
    </row>
    <row r="413" spans="1:33" ht="18" customHeight="1">
      <c r="A413" s="9099"/>
      <c r="B413" s="11136"/>
      <c r="C413" s="11124"/>
      <c r="D413" s="11124"/>
      <c r="E413" s="11124"/>
      <c r="F413" s="11124"/>
      <c r="G413" s="11124"/>
      <c r="H413" s="11124"/>
      <c r="I413" s="11124"/>
      <c r="J413" s="11124"/>
      <c r="K413" s="11124"/>
      <c r="L413" s="11131"/>
      <c r="M413" s="11131"/>
      <c r="N413" s="11131"/>
      <c r="O413" s="11124"/>
      <c r="P413" s="11124"/>
      <c r="Q413" s="11127"/>
      <c r="R413" s="3792"/>
      <c r="S413" s="5470"/>
      <c r="T413" s="5470"/>
      <c r="U413" s="3813"/>
      <c r="V413" s="5500"/>
      <c r="W413" s="3504"/>
      <c r="X413" s="5525"/>
      <c r="Y413" s="5525"/>
      <c r="Z413" s="5525"/>
      <c r="AA413" s="5526"/>
      <c r="AB413" s="5582"/>
      <c r="AC413" s="4324"/>
      <c r="AD413" s="3496"/>
      <c r="AE413" s="5610"/>
      <c r="AF413" s="5610"/>
      <c r="AG413" s="11115"/>
    </row>
    <row r="414" spans="1:33" ht="18" customHeight="1">
      <c r="A414" s="9099"/>
      <c r="B414" s="11136"/>
      <c r="C414" s="11124"/>
      <c r="D414" s="11124"/>
      <c r="E414" s="11124"/>
      <c r="F414" s="11124"/>
      <c r="G414" s="11124"/>
      <c r="H414" s="11124"/>
      <c r="I414" s="11124"/>
      <c r="J414" s="11124"/>
      <c r="K414" s="11124"/>
      <c r="L414" s="11131"/>
      <c r="M414" s="11131"/>
      <c r="N414" s="11131"/>
      <c r="O414" s="11124"/>
      <c r="P414" s="11124"/>
      <c r="Q414" s="11127"/>
      <c r="R414" s="3782"/>
      <c r="S414" s="5464"/>
      <c r="T414" s="5464"/>
      <c r="U414" s="3813"/>
      <c r="V414" s="5500"/>
      <c r="W414" s="3504"/>
      <c r="X414" s="5525"/>
      <c r="Y414" s="5525"/>
      <c r="Z414" s="5525"/>
      <c r="AA414" s="5526"/>
      <c r="AB414" s="5582"/>
      <c r="AC414" s="4324"/>
      <c r="AD414" s="3496"/>
      <c r="AE414" s="5610"/>
      <c r="AF414" s="5610"/>
      <c r="AG414" s="11115"/>
    </row>
    <row r="415" spans="1:33" ht="25.5" customHeight="1">
      <c r="A415" s="9099"/>
      <c r="B415" s="11138"/>
      <c r="C415" s="11126"/>
      <c r="D415" s="11126"/>
      <c r="E415" s="11126"/>
      <c r="F415" s="11126"/>
      <c r="G415" s="11126"/>
      <c r="H415" s="11126"/>
      <c r="I415" s="11126"/>
      <c r="J415" s="11126"/>
      <c r="K415" s="11126"/>
      <c r="L415" s="11132"/>
      <c r="M415" s="11132"/>
      <c r="N415" s="11132"/>
      <c r="O415" s="11126"/>
      <c r="P415" s="11126"/>
      <c r="Q415" s="11128"/>
      <c r="R415" s="3543"/>
      <c r="S415" s="5468"/>
      <c r="T415" s="5468"/>
      <c r="U415" s="3557"/>
      <c r="V415" s="5503"/>
      <c r="W415" s="3545"/>
      <c r="X415" s="5532"/>
      <c r="Y415" s="5532"/>
      <c r="Z415" s="5532"/>
      <c r="AA415" s="5533"/>
      <c r="AB415" s="5585"/>
      <c r="AC415" s="4318"/>
      <c r="AD415" s="3545"/>
      <c r="AE415" s="5625"/>
      <c r="AF415" s="5625"/>
      <c r="AG415" s="11116"/>
    </row>
    <row r="416" spans="1:33" ht="57" customHeight="1">
      <c r="A416" s="9099"/>
      <c r="B416" s="10512" t="s">
        <v>183</v>
      </c>
      <c r="C416" s="10444" t="s">
        <v>1291</v>
      </c>
      <c r="D416" s="10444" t="s">
        <v>1292</v>
      </c>
      <c r="E416" s="10444" t="s">
        <v>1293</v>
      </c>
      <c r="F416" s="10451" t="s">
        <v>1294</v>
      </c>
      <c r="G416" s="10444" t="s">
        <v>1304</v>
      </c>
      <c r="H416" s="10444" t="s">
        <v>214</v>
      </c>
      <c r="I416" s="10444" t="s">
        <v>6098</v>
      </c>
      <c r="J416" s="10444" t="s">
        <v>6099</v>
      </c>
      <c r="K416" s="10444" t="s">
        <v>6100</v>
      </c>
      <c r="L416" s="10455">
        <v>1</v>
      </c>
      <c r="M416" s="10455">
        <v>1</v>
      </c>
      <c r="N416" s="10455">
        <v>1</v>
      </c>
      <c r="O416" s="10444" t="s">
        <v>6101</v>
      </c>
      <c r="P416" s="10444" t="s">
        <v>6102</v>
      </c>
      <c r="Q416" s="10449" t="s">
        <v>6103</v>
      </c>
      <c r="R416" s="3767" t="s">
        <v>80</v>
      </c>
      <c r="S416" s="5483" t="s">
        <v>1129</v>
      </c>
      <c r="T416" s="5482"/>
      <c r="U416" s="5494" t="s">
        <v>40</v>
      </c>
      <c r="V416" s="5504"/>
      <c r="W416" s="3658"/>
      <c r="X416" s="8120"/>
      <c r="Y416" s="8120"/>
      <c r="Z416" s="8120"/>
      <c r="AA416" s="8121">
        <f>SUM($Z$417:$Z$418)</f>
        <v>0</v>
      </c>
      <c r="AB416" s="5586" t="s">
        <v>18</v>
      </c>
      <c r="AC416" s="4349"/>
      <c r="AD416" s="3719"/>
      <c r="AE416" s="3719"/>
      <c r="AF416" s="3719"/>
      <c r="AG416" s="10464" t="s">
        <v>6104</v>
      </c>
    </row>
    <row r="417" spans="1:33" ht="43.5" customHeight="1">
      <c r="A417" s="9099"/>
      <c r="B417" s="11136"/>
      <c r="C417" s="11124"/>
      <c r="D417" s="11124"/>
      <c r="E417" s="11124"/>
      <c r="F417" s="11124"/>
      <c r="G417" s="11124"/>
      <c r="H417" s="11124"/>
      <c r="I417" s="11124"/>
      <c r="J417" s="11124"/>
      <c r="K417" s="11124"/>
      <c r="L417" s="11131"/>
      <c r="M417" s="11131"/>
      <c r="N417" s="11131"/>
      <c r="O417" s="11124"/>
      <c r="P417" s="11124"/>
      <c r="Q417" s="11127"/>
      <c r="R417" s="3541"/>
      <c r="S417" s="5467"/>
      <c r="T417" s="5463">
        <v>4516003136</v>
      </c>
      <c r="U417" s="3495" t="s">
        <v>6105</v>
      </c>
      <c r="V417" s="5499">
        <v>1</v>
      </c>
      <c r="W417" s="3496" t="s">
        <v>6106</v>
      </c>
      <c r="X417" s="8069">
        <v>650</v>
      </c>
      <c r="Y417" s="8069">
        <f t="shared" ref="Y417:Y418" si="10">+V417*X417</f>
        <v>650</v>
      </c>
      <c r="Z417" s="8122">
        <v>0</v>
      </c>
      <c r="AA417" s="8069"/>
      <c r="AB417" s="5589"/>
      <c r="AC417" s="4332"/>
      <c r="AD417" s="3496"/>
      <c r="AE417" s="5632" t="s">
        <v>153</v>
      </c>
      <c r="AF417" s="3496"/>
      <c r="AG417" s="11115"/>
    </row>
    <row r="418" spans="1:33" ht="40.5" customHeight="1">
      <c r="A418" s="9099"/>
      <c r="B418" s="11136"/>
      <c r="C418" s="11124"/>
      <c r="D418" s="11124"/>
      <c r="E418" s="11124"/>
      <c r="F418" s="11124"/>
      <c r="G418" s="11124"/>
      <c r="H418" s="11124"/>
      <c r="I418" s="11124"/>
      <c r="J418" s="11124"/>
      <c r="K418" s="11124"/>
      <c r="L418" s="11131"/>
      <c r="M418" s="11131"/>
      <c r="N418" s="11131"/>
      <c r="O418" s="11124"/>
      <c r="P418" s="11124"/>
      <c r="Q418" s="11127"/>
      <c r="R418" s="3541"/>
      <c r="S418" s="5467"/>
      <c r="T418" s="5473">
        <v>4523000381</v>
      </c>
      <c r="U418" s="3804" t="s">
        <v>1712</v>
      </c>
      <c r="V418" s="5507">
        <v>1</v>
      </c>
      <c r="W418" s="3670" t="s">
        <v>180</v>
      </c>
      <c r="X418" s="8064">
        <v>1158</v>
      </c>
      <c r="Y418" s="8064">
        <f t="shared" si="10"/>
        <v>1158</v>
      </c>
      <c r="Z418" s="8064">
        <v>0</v>
      </c>
      <c r="AA418" s="8065"/>
      <c r="AB418" s="5581"/>
      <c r="AC418" s="4333"/>
      <c r="AD418" s="3496"/>
      <c r="AE418" s="5632" t="s">
        <v>153</v>
      </c>
      <c r="AF418" s="3669"/>
      <c r="AG418" s="11115"/>
    </row>
    <row r="419" spans="1:33" ht="30" customHeight="1">
      <c r="A419" s="9099"/>
      <c r="B419" s="11136"/>
      <c r="C419" s="11124"/>
      <c r="D419" s="11124"/>
      <c r="E419" s="11124"/>
      <c r="F419" s="11124"/>
      <c r="G419" s="11124"/>
      <c r="H419" s="11124"/>
      <c r="I419" s="11124"/>
      <c r="J419" s="11124"/>
      <c r="K419" s="11124"/>
      <c r="L419" s="11131"/>
      <c r="M419" s="11131"/>
      <c r="N419" s="11131"/>
      <c r="O419" s="11124"/>
      <c r="P419" s="11124"/>
      <c r="Q419" s="11127"/>
      <c r="R419" s="3541"/>
      <c r="S419" s="5467"/>
      <c r="T419" s="5467"/>
      <c r="U419" s="3542"/>
      <c r="V419" s="5499"/>
      <c r="W419" s="3496"/>
      <c r="X419" s="5523"/>
      <c r="Y419" s="5523"/>
      <c r="Z419" s="5523"/>
      <c r="AA419" s="5524"/>
      <c r="AB419" s="5581"/>
      <c r="AC419" s="4334"/>
      <c r="AD419" s="3496"/>
      <c r="AE419" s="3496"/>
      <c r="AF419" s="3669"/>
      <c r="AG419" s="11115"/>
    </row>
    <row r="420" spans="1:33" ht="21" customHeight="1">
      <c r="A420" s="9099"/>
      <c r="B420" s="11137"/>
      <c r="C420" s="11125"/>
      <c r="D420" s="11125"/>
      <c r="E420" s="11125"/>
      <c r="F420" s="11125"/>
      <c r="G420" s="11125"/>
      <c r="H420" s="11125"/>
      <c r="I420" s="11125"/>
      <c r="J420" s="11125"/>
      <c r="K420" s="11125"/>
      <c r="L420" s="11134"/>
      <c r="M420" s="11134"/>
      <c r="N420" s="11134"/>
      <c r="O420" s="11125"/>
      <c r="P420" s="11125"/>
      <c r="Q420" s="11135"/>
      <c r="R420" s="3780"/>
      <c r="S420" s="5465"/>
      <c r="T420" s="5465"/>
      <c r="U420" s="3808"/>
      <c r="V420" s="5501"/>
      <c r="W420" s="3727"/>
      <c r="X420" s="5527"/>
      <c r="Y420" s="5527"/>
      <c r="Z420" s="5527"/>
      <c r="AA420" s="5527"/>
      <c r="AB420" s="5599"/>
      <c r="AC420" s="4352"/>
      <c r="AD420" s="5628"/>
      <c r="AE420" s="5628"/>
      <c r="AF420" s="5628"/>
      <c r="AG420" s="11140"/>
    </row>
    <row r="421" spans="1:33" ht="21" customHeight="1">
      <c r="A421" s="9099"/>
      <c r="B421" s="10516" t="s">
        <v>127</v>
      </c>
      <c r="C421" s="10433" t="s">
        <v>128</v>
      </c>
      <c r="D421" s="10433" t="s">
        <v>129</v>
      </c>
      <c r="E421" s="10433" t="s">
        <v>157</v>
      </c>
      <c r="F421" s="10442" t="s">
        <v>131</v>
      </c>
      <c r="G421" s="10433" t="s">
        <v>132</v>
      </c>
      <c r="H421" s="10433" t="s">
        <v>159</v>
      </c>
      <c r="I421" s="10433" t="s">
        <v>6034</v>
      </c>
      <c r="J421" s="10433" t="s">
        <v>6035</v>
      </c>
      <c r="K421" s="10433" t="s">
        <v>6036</v>
      </c>
      <c r="L421" s="11130">
        <v>1</v>
      </c>
      <c r="M421" s="11130">
        <v>2</v>
      </c>
      <c r="N421" s="11130">
        <v>2</v>
      </c>
      <c r="O421" s="10433" t="s">
        <v>6037</v>
      </c>
      <c r="P421" s="10433" t="s">
        <v>6038</v>
      </c>
      <c r="Q421" s="10439" t="s">
        <v>6107</v>
      </c>
      <c r="R421" s="5460"/>
      <c r="S421" s="5484"/>
      <c r="T421" s="5484"/>
      <c r="U421" s="3826"/>
      <c r="V421" s="5505"/>
      <c r="W421" s="2930"/>
      <c r="X421" s="5536"/>
      <c r="Y421" s="5536"/>
      <c r="Z421" s="5536"/>
      <c r="AA421" s="5536"/>
      <c r="AB421" s="5600"/>
      <c r="AC421" s="4350"/>
      <c r="AD421" s="5629"/>
      <c r="AE421" s="5629"/>
      <c r="AF421" s="5629"/>
      <c r="AG421" s="10525"/>
    </row>
    <row r="422" spans="1:33" ht="21" customHeight="1">
      <c r="A422" s="9099"/>
      <c r="B422" s="11136"/>
      <c r="C422" s="11124"/>
      <c r="D422" s="11124"/>
      <c r="E422" s="11124"/>
      <c r="F422" s="11124"/>
      <c r="G422" s="11124"/>
      <c r="H422" s="11124"/>
      <c r="I422" s="11124"/>
      <c r="J422" s="11124"/>
      <c r="K422" s="11124"/>
      <c r="L422" s="11131"/>
      <c r="M422" s="11131"/>
      <c r="N422" s="11131"/>
      <c r="O422" s="11124"/>
      <c r="P422" s="11124"/>
      <c r="Q422" s="11127"/>
      <c r="R422" s="3792"/>
      <c r="S422" s="5470"/>
      <c r="T422" s="5470"/>
      <c r="U422" s="3813"/>
      <c r="V422" s="5500"/>
      <c r="W422" s="3504"/>
      <c r="X422" s="5525"/>
      <c r="Y422" s="5525"/>
      <c r="Z422" s="5525"/>
      <c r="AA422" s="5525"/>
      <c r="AB422" s="5601"/>
      <c r="AC422" s="4330"/>
      <c r="AD422" s="5627"/>
      <c r="AE422" s="5627"/>
      <c r="AF422" s="5627"/>
      <c r="AG422" s="11115"/>
    </row>
    <row r="423" spans="1:33" ht="21" customHeight="1">
      <c r="A423" s="9099"/>
      <c r="B423" s="11136"/>
      <c r="C423" s="11124"/>
      <c r="D423" s="11124"/>
      <c r="E423" s="11124"/>
      <c r="F423" s="11124"/>
      <c r="G423" s="11124"/>
      <c r="H423" s="11124"/>
      <c r="I423" s="11124"/>
      <c r="J423" s="11124"/>
      <c r="K423" s="11124"/>
      <c r="L423" s="11131"/>
      <c r="M423" s="11131"/>
      <c r="N423" s="11131"/>
      <c r="O423" s="11124"/>
      <c r="P423" s="11124"/>
      <c r="Q423" s="11127"/>
      <c r="R423" s="3792"/>
      <c r="S423" s="5470"/>
      <c r="T423" s="5470"/>
      <c r="U423" s="3813"/>
      <c r="V423" s="5500"/>
      <c r="W423" s="3504"/>
      <c r="X423" s="5525"/>
      <c r="Y423" s="5525"/>
      <c r="Z423" s="5525"/>
      <c r="AA423" s="5525"/>
      <c r="AB423" s="5601"/>
      <c r="AC423" s="4330"/>
      <c r="AD423" s="5627"/>
      <c r="AE423" s="5627"/>
      <c r="AF423" s="5627"/>
      <c r="AG423" s="11115"/>
    </row>
    <row r="424" spans="1:33" ht="21" customHeight="1">
      <c r="A424" s="9099"/>
      <c r="B424" s="11136"/>
      <c r="C424" s="11124"/>
      <c r="D424" s="11124"/>
      <c r="E424" s="11124"/>
      <c r="F424" s="11124"/>
      <c r="G424" s="11124"/>
      <c r="H424" s="11124"/>
      <c r="I424" s="11124"/>
      <c r="J424" s="11124"/>
      <c r="K424" s="11124"/>
      <c r="L424" s="11131"/>
      <c r="M424" s="11131"/>
      <c r="N424" s="11131"/>
      <c r="O424" s="11124"/>
      <c r="P424" s="11124"/>
      <c r="Q424" s="11127"/>
      <c r="R424" s="3792"/>
      <c r="S424" s="5470"/>
      <c r="T424" s="5470"/>
      <c r="U424" s="3813"/>
      <c r="V424" s="5500"/>
      <c r="W424" s="3504"/>
      <c r="X424" s="5525"/>
      <c r="Y424" s="5525"/>
      <c r="Z424" s="5525"/>
      <c r="AA424" s="5525"/>
      <c r="AB424" s="5601"/>
      <c r="AC424" s="4330"/>
      <c r="AD424" s="5627"/>
      <c r="AE424" s="5627"/>
      <c r="AF424" s="5627"/>
      <c r="AG424" s="11115"/>
    </row>
    <row r="425" spans="1:33" ht="21" customHeight="1">
      <c r="A425" s="9099"/>
      <c r="B425" s="11138"/>
      <c r="C425" s="11126"/>
      <c r="D425" s="11126"/>
      <c r="E425" s="11126"/>
      <c r="F425" s="11126"/>
      <c r="G425" s="11126"/>
      <c r="H425" s="11126"/>
      <c r="I425" s="11126"/>
      <c r="J425" s="11126"/>
      <c r="K425" s="11126"/>
      <c r="L425" s="11132"/>
      <c r="M425" s="11132"/>
      <c r="N425" s="11132"/>
      <c r="O425" s="11126"/>
      <c r="P425" s="11126"/>
      <c r="Q425" s="11128"/>
      <c r="R425" s="3794"/>
      <c r="S425" s="5472"/>
      <c r="T425" s="5472"/>
      <c r="U425" s="2932"/>
      <c r="V425" s="5506"/>
      <c r="W425" s="2933"/>
      <c r="X425" s="5538"/>
      <c r="Y425" s="5538"/>
      <c r="Z425" s="5538"/>
      <c r="AA425" s="5538"/>
      <c r="AB425" s="5602"/>
      <c r="AC425" s="4351"/>
      <c r="AD425" s="5630"/>
      <c r="AE425" s="5630"/>
      <c r="AF425" s="5630"/>
      <c r="AG425" s="11116"/>
    </row>
    <row r="426" spans="1:33" ht="21" customHeight="1">
      <c r="A426" s="9099"/>
      <c r="B426" s="10512" t="s">
        <v>183</v>
      </c>
      <c r="C426" s="10444" t="s">
        <v>227</v>
      </c>
      <c r="D426" s="10444" t="s">
        <v>228</v>
      </c>
      <c r="E426" s="10444" t="s">
        <v>229</v>
      </c>
      <c r="F426" s="10451" t="s">
        <v>230</v>
      </c>
      <c r="G426" s="10444" t="s">
        <v>132</v>
      </c>
      <c r="H426" s="10444" t="s">
        <v>159</v>
      </c>
      <c r="I426" s="10444" t="s">
        <v>6039</v>
      </c>
      <c r="J426" s="10444" t="s">
        <v>6040</v>
      </c>
      <c r="K426" s="10444" t="s">
        <v>6022</v>
      </c>
      <c r="L426" s="11133">
        <v>0</v>
      </c>
      <c r="M426" s="11133">
        <v>1</v>
      </c>
      <c r="N426" s="11133">
        <v>0</v>
      </c>
      <c r="O426" s="10444" t="s">
        <v>6041</v>
      </c>
      <c r="P426" s="10444" t="s">
        <v>6042</v>
      </c>
      <c r="Q426" s="10449" t="s">
        <v>6107</v>
      </c>
      <c r="R426" s="5461"/>
      <c r="S426" s="5485"/>
      <c r="T426" s="5485"/>
      <c r="U426" s="5495"/>
      <c r="V426" s="5516"/>
      <c r="W426" s="3721"/>
      <c r="X426" s="5571"/>
      <c r="Y426" s="5571"/>
      <c r="Z426" s="5571"/>
      <c r="AA426" s="5571"/>
      <c r="AB426" s="5603"/>
      <c r="AC426" s="4353"/>
      <c r="AD426" s="5633"/>
      <c r="AE426" s="5633"/>
      <c r="AF426" s="5633"/>
      <c r="AG426" s="10525"/>
    </row>
    <row r="427" spans="1:33" ht="21" customHeight="1">
      <c r="A427" s="9099"/>
      <c r="B427" s="11136"/>
      <c r="C427" s="11124"/>
      <c r="D427" s="11124"/>
      <c r="E427" s="11124"/>
      <c r="F427" s="11124"/>
      <c r="G427" s="11124"/>
      <c r="H427" s="11124"/>
      <c r="I427" s="11124"/>
      <c r="J427" s="11124"/>
      <c r="K427" s="11124"/>
      <c r="L427" s="11131"/>
      <c r="M427" s="11131"/>
      <c r="N427" s="11131"/>
      <c r="O427" s="11124"/>
      <c r="P427" s="11124"/>
      <c r="Q427" s="11127"/>
      <c r="R427" s="3538"/>
      <c r="S427" s="5463"/>
      <c r="T427" s="5463"/>
      <c r="U427" s="3495"/>
      <c r="V427" s="5499"/>
      <c r="W427" s="3496"/>
      <c r="X427" s="5523"/>
      <c r="Y427" s="5523"/>
      <c r="Z427" s="5523"/>
      <c r="AA427" s="5523"/>
      <c r="AB427" s="5589"/>
      <c r="AC427" s="4332"/>
      <c r="AD427" s="5627"/>
      <c r="AE427" s="5627"/>
      <c r="AF427" s="5627"/>
      <c r="AG427" s="11115"/>
    </row>
    <row r="428" spans="1:33" ht="21" customHeight="1">
      <c r="A428" s="9099"/>
      <c r="B428" s="11136"/>
      <c r="C428" s="11124"/>
      <c r="D428" s="11124"/>
      <c r="E428" s="11124"/>
      <c r="F428" s="11124"/>
      <c r="G428" s="11124"/>
      <c r="H428" s="11124"/>
      <c r="I428" s="11124"/>
      <c r="J428" s="11124"/>
      <c r="K428" s="11124"/>
      <c r="L428" s="11131"/>
      <c r="M428" s="11131"/>
      <c r="N428" s="11131"/>
      <c r="O428" s="11124"/>
      <c r="P428" s="11124"/>
      <c r="Q428" s="11127"/>
      <c r="R428" s="3538"/>
      <c r="S428" s="5463"/>
      <c r="T428" s="5463"/>
      <c r="U428" s="3495"/>
      <c r="V428" s="5499"/>
      <c r="W428" s="3496"/>
      <c r="X428" s="5523"/>
      <c r="Y428" s="5523"/>
      <c r="Z428" s="5523"/>
      <c r="AA428" s="5523"/>
      <c r="AB428" s="5589"/>
      <c r="AC428" s="4332"/>
      <c r="AD428" s="5627"/>
      <c r="AE428" s="5627"/>
      <c r="AF428" s="5627"/>
      <c r="AG428" s="11115"/>
    </row>
    <row r="429" spans="1:33" ht="21" customHeight="1">
      <c r="A429" s="9099"/>
      <c r="B429" s="11136"/>
      <c r="C429" s="11124"/>
      <c r="D429" s="11124"/>
      <c r="E429" s="11124"/>
      <c r="F429" s="11124"/>
      <c r="G429" s="11124"/>
      <c r="H429" s="11124"/>
      <c r="I429" s="11124"/>
      <c r="J429" s="11124"/>
      <c r="K429" s="11124"/>
      <c r="L429" s="11131"/>
      <c r="M429" s="11131"/>
      <c r="N429" s="11131"/>
      <c r="O429" s="11124"/>
      <c r="P429" s="11124"/>
      <c r="Q429" s="11127"/>
      <c r="R429" s="3538"/>
      <c r="S429" s="5463"/>
      <c r="T429" s="5463"/>
      <c r="U429" s="3495"/>
      <c r="V429" s="5499"/>
      <c r="W429" s="3496"/>
      <c r="X429" s="5523"/>
      <c r="Y429" s="5523"/>
      <c r="Z429" s="5523"/>
      <c r="AA429" s="5523"/>
      <c r="AB429" s="5589"/>
      <c r="AC429" s="4332"/>
      <c r="AD429" s="5627"/>
      <c r="AE429" s="5627"/>
      <c r="AF429" s="5627"/>
      <c r="AG429" s="11115"/>
    </row>
    <row r="430" spans="1:33" ht="21" customHeight="1">
      <c r="A430" s="9099"/>
      <c r="B430" s="11137"/>
      <c r="C430" s="11125"/>
      <c r="D430" s="11125"/>
      <c r="E430" s="11125"/>
      <c r="F430" s="11125"/>
      <c r="G430" s="11125"/>
      <c r="H430" s="11125"/>
      <c r="I430" s="11125"/>
      <c r="J430" s="11125"/>
      <c r="K430" s="11125"/>
      <c r="L430" s="11134"/>
      <c r="M430" s="11134"/>
      <c r="N430" s="11134"/>
      <c r="O430" s="11125"/>
      <c r="P430" s="11125"/>
      <c r="Q430" s="11135"/>
      <c r="R430" s="3768"/>
      <c r="S430" s="5477"/>
      <c r="T430" s="5477"/>
      <c r="U430" s="3759"/>
      <c r="V430" s="5509"/>
      <c r="W430" s="3714"/>
      <c r="X430" s="5544"/>
      <c r="Y430" s="5544"/>
      <c r="Z430" s="5544"/>
      <c r="AA430" s="5544"/>
      <c r="AB430" s="5596"/>
      <c r="AC430" s="4348"/>
      <c r="AD430" s="5628"/>
      <c r="AE430" s="5628"/>
      <c r="AF430" s="5628"/>
      <c r="AG430" s="11116"/>
    </row>
    <row r="431" spans="1:33" ht="21" customHeight="1">
      <c r="A431" s="9099"/>
      <c r="B431" s="10516" t="s">
        <v>183</v>
      </c>
      <c r="C431" s="10433" t="s">
        <v>227</v>
      </c>
      <c r="D431" s="10433" t="s">
        <v>228</v>
      </c>
      <c r="E431" s="10433" t="s">
        <v>229</v>
      </c>
      <c r="F431" s="10442" t="s">
        <v>230</v>
      </c>
      <c r="G431" s="10433" t="s">
        <v>132</v>
      </c>
      <c r="H431" s="10433" t="s">
        <v>159</v>
      </c>
      <c r="I431" s="10433" t="s">
        <v>6043</v>
      </c>
      <c r="J431" s="10433" t="s">
        <v>6044</v>
      </c>
      <c r="K431" s="10433" t="s">
        <v>5882</v>
      </c>
      <c r="L431" s="11130">
        <v>2</v>
      </c>
      <c r="M431" s="11130">
        <v>0</v>
      </c>
      <c r="N431" s="11130">
        <v>2</v>
      </c>
      <c r="O431" s="10433" t="s">
        <v>6045</v>
      </c>
      <c r="P431" s="10433" t="s">
        <v>6046</v>
      </c>
      <c r="Q431" s="10439" t="s">
        <v>6107</v>
      </c>
      <c r="R431" s="3774"/>
      <c r="S431" s="5481"/>
      <c r="T431" s="5481"/>
      <c r="U431" s="3761"/>
      <c r="V431" s="5502"/>
      <c r="W431" s="3709"/>
      <c r="X431" s="5529"/>
      <c r="Y431" s="5529"/>
      <c r="Z431" s="5529"/>
      <c r="AA431" s="5529"/>
      <c r="AB431" s="5597"/>
      <c r="AC431" s="4347"/>
      <c r="AD431" s="5629"/>
      <c r="AE431" s="5629"/>
      <c r="AF431" s="5629"/>
      <c r="AG431" s="10525"/>
    </row>
    <row r="432" spans="1:33" ht="21" customHeight="1">
      <c r="A432" s="9099"/>
      <c r="B432" s="11136"/>
      <c r="C432" s="11124"/>
      <c r="D432" s="11124"/>
      <c r="E432" s="11124"/>
      <c r="F432" s="11124"/>
      <c r="G432" s="11124"/>
      <c r="H432" s="11124"/>
      <c r="I432" s="11124"/>
      <c r="J432" s="11124"/>
      <c r="K432" s="11124"/>
      <c r="L432" s="11131"/>
      <c r="M432" s="11131"/>
      <c r="N432" s="11131"/>
      <c r="O432" s="11124"/>
      <c r="P432" s="11124"/>
      <c r="Q432" s="11127"/>
      <c r="R432" s="3538"/>
      <c r="S432" s="5463"/>
      <c r="T432" s="5463"/>
      <c r="U432" s="3495"/>
      <c r="V432" s="5499"/>
      <c r="W432" s="3496"/>
      <c r="X432" s="5523"/>
      <c r="Y432" s="5523"/>
      <c r="Z432" s="5523"/>
      <c r="AA432" s="5523"/>
      <c r="AB432" s="5589"/>
      <c r="AC432" s="4332"/>
      <c r="AD432" s="5627"/>
      <c r="AE432" s="5627"/>
      <c r="AF432" s="5627"/>
      <c r="AG432" s="11115"/>
    </row>
    <row r="433" spans="1:33" ht="21" customHeight="1">
      <c r="A433" s="9099"/>
      <c r="B433" s="11136"/>
      <c r="C433" s="11124"/>
      <c r="D433" s="11124"/>
      <c r="E433" s="11124"/>
      <c r="F433" s="11124"/>
      <c r="G433" s="11124"/>
      <c r="H433" s="11124"/>
      <c r="I433" s="11124"/>
      <c r="J433" s="11124"/>
      <c r="K433" s="11124"/>
      <c r="L433" s="11131"/>
      <c r="M433" s="11131"/>
      <c r="N433" s="11131"/>
      <c r="O433" s="11124"/>
      <c r="P433" s="11124"/>
      <c r="Q433" s="11127"/>
      <c r="R433" s="3538"/>
      <c r="S433" s="5463"/>
      <c r="T433" s="5463"/>
      <c r="U433" s="3495"/>
      <c r="V433" s="5499"/>
      <c r="W433" s="3496"/>
      <c r="X433" s="5523"/>
      <c r="Y433" s="5523"/>
      <c r="Z433" s="5523"/>
      <c r="AA433" s="5523"/>
      <c r="AB433" s="5589"/>
      <c r="AC433" s="4332"/>
      <c r="AD433" s="5627"/>
      <c r="AE433" s="5627"/>
      <c r="AF433" s="5627"/>
      <c r="AG433" s="11115"/>
    </row>
    <row r="434" spans="1:33" ht="21" customHeight="1">
      <c r="A434" s="9099"/>
      <c r="B434" s="11136"/>
      <c r="C434" s="11124"/>
      <c r="D434" s="11124"/>
      <c r="E434" s="11124"/>
      <c r="F434" s="11124"/>
      <c r="G434" s="11124"/>
      <c r="H434" s="11124"/>
      <c r="I434" s="11124"/>
      <c r="J434" s="11124"/>
      <c r="K434" s="11124"/>
      <c r="L434" s="11131"/>
      <c r="M434" s="11131"/>
      <c r="N434" s="11131"/>
      <c r="O434" s="11124"/>
      <c r="P434" s="11124"/>
      <c r="Q434" s="11127"/>
      <c r="R434" s="3538"/>
      <c r="S434" s="5463"/>
      <c r="T434" s="5463"/>
      <c r="U434" s="3495"/>
      <c r="V434" s="5499"/>
      <c r="W434" s="3496"/>
      <c r="X434" s="5523"/>
      <c r="Y434" s="5523"/>
      <c r="Z434" s="5523"/>
      <c r="AA434" s="5523"/>
      <c r="AB434" s="5589"/>
      <c r="AC434" s="4332"/>
      <c r="AD434" s="5627"/>
      <c r="AE434" s="5627"/>
      <c r="AF434" s="5627"/>
      <c r="AG434" s="11115"/>
    </row>
    <row r="435" spans="1:33" ht="21" customHeight="1">
      <c r="A435" s="9099"/>
      <c r="B435" s="11138"/>
      <c r="C435" s="11126"/>
      <c r="D435" s="11126"/>
      <c r="E435" s="11126"/>
      <c r="F435" s="11126"/>
      <c r="G435" s="11126"/>
      <c r="H435" s="11126"/>
      <c r="I435" s="11126"/>
      <c r="J435" s="11126"/>
      <c r="K435" s="11126"/>
      <c r="L435" s="11132"/>
      <c r="M435" s="11132"/>
      <c r="N435" s="11132"/>
      <c r="O435" s="11126"/>
      <c r="P435" s="11126"/>
      <c r="Q435" s="11128"/>
      <c r="R435" s="3543"/>
      <c r="S435" s="5468"/>
      <c r="T435" s="5468"/>
      <c r="U435" s="3557"/>
      <c r="V435" s="5503"/>
      <c r="W435" s="3545"/>
      <c r="X435" s="5532"/>
      <c r="Y435" s="5532"/>
      <c r="Z435" s="5532"/>
      <c r="AA435" s="5532"/>
      <c r="AB435" s="5598"/>
      <c r="AC435" s="4345"/>
      <c r="AD435" s="5630"/>
      <c r="AE435" s="5630"/>
      <c r="AF435" s="5630"/>
      <c r="AG435" s="11116"/>
    </row>
    <row r="436" spans="1:33" ht="21" customHeight="1">
      <c r="A436" s="9099"/>
      <c r="B436" s="10512" t="s">
        <v>183</v>
      </c>
      <c r="C436" s="10444" t="s">
        <v>227</v>
      </c>
      <c r="D436" s="10444" t="s">
        <v>228</v>
      </c>
      <c r="E436" s="10444" t="s">
        <v>229</v>
      </c>
      <c r="F436" s="10451" t="s">
        <v>230</v>
      </c>
      <c r="G436" s="10444" t="s">
        <v>132</v>
      </c>
      <c r="H436" s="10444" t="s">
        <v>159</v>
      </c>
      <c r="I436" s="10444" t="s">
        <v>6047</v>
      </c>
      <c r="J436" s="10444" t="s">
        <v>6048</v>
      </c>
      <c r="K436" s="10444" t="s">
        <v>6049</v>
      </c>
      <c r="L436" s="11133">
        <v>4</v>
      </c>
      <c r="M436" s="11133">
        <v>4</v>
      </c>
      <c r="N436" s="11133">
        <v>4</v>
      </c>
      <c r="O436" s="10444" t="s">
        <v>6050</v>
      </c>
      <c r="P436" s="10444" t="s">
        <v>6051</v>
      </c>
      <c r="Q436" s="10449" t="s">
        <v>6108</v>
      </c>
      <c r="R436" s="5459"/>
      <c r="S436" s="5482"/>
      <c r="T436" s="5482"/>
      <c r="U436" s="4659"/>
      <c r="V436" s="5504"/>
      <c r="W436" s="3658"/>
      <c r="X436" s="5534"/>
      <c r="Y436" s="5534"/>
      <c r="Z436" s="5534"/>
      <c r="AA436" s="5534"/>
      <c r="AB436" s="5604"/>
      <c r="AC436" s="4346"/>
      <c r="AD436" s="5633"/>
      <c r="AE436" s="5633"/>
      <c r="AF436" s="5633"/>
      <c r="AG436" s="10525"/>
    </row>
    <row r="437" spans="1:33" ht="21" customHeight="1">
      <c r="A437" s="9099"/>
      <c r="B437" s="11136"/>
      <c r="C437" s="11124"/>
      <c r="D437" s="11124"/>
      <c r="E437" s="11124"/>
      <c r="F437" s="11124"/>
      <c r="G437" s="11124"/>
      <c r="H437" s="11124"/>
      <c r="I437" s="11124"/>
      <c r="J437" s="11124"/>
      <c r="K437" s="11124"/>
      <c r="L437" s="11131"/>
      <c r="M437" s="11131"/>
      <c r="N437" s="11131"/>
      <c r="O437" s="11124"/>
      <c r="P437" s="11124"/>
      <c r="Q437" s="11127"/>
      <c r="R437" s="3538"/>
      <c r="S437" s="5463"/>
      <c r="T437" s="5463"/>
      <c r="U437" s="3495"/>
      <c r="V437" s="5499"/>
      <c r="W437" s="3496"/>
      <c r="X437" s="5523"/>
      <c r="Y437" s="5523"/>
      <c r="Z437" s="5523"/>
      <c r="AA437" s="5523"/>
      <c r="AB437" s="5589"/>
      <c r="AC437" s="4332"/>
      <c r="AD437" s="5627"/>
      <c r="AE437" s="5627"/>
      <c r="AF437" s="5627"/>
      <c r="AG437" s="11115"/>
    </row>
    <row r="438" spans="1:33" ht="21" customHeight="1">
      <c r="A438" s="9099"/>
      <c r="B438" s="11136"/>
      <c r="C438" s="11124"/>
      <c r="D438" s="11124"/>
      <c r="E438" s="11124"/>
      <c r="F438" s="11124"/>
      <c r="G438" s="11124"/>
      <c r="H438" s="11124"/>
      <c r="I438" s="11124"/>
      <c r="J438" s="11124"/>
      <c r="K438" s="11124"/>
      <c r="L438" s="11131"/>
      <c r="M438" s="11131"/>
      <c r="N438" s="11131"/>
      <c r="O438" s="11124"/>
      <c r="P438" s="11124"/>
      <c r="Q438" s="11127"/>
      <c r="R438" s="3538"/>
      <c r="S438" s="5463"/>
      <c r="T438" s="5463"/>
      <c r="U438" s="3495"/>
      <c r="V438" s="5499"/>
      <c r="W438" s="3496"/>
      <c r="X438" s="5523"/>
      <c r="Y438" s="5523"/>
      <c r="Z438" s="5523"/>
      <c r="AA438" s="5523"/>
      <c r="AB438" s="5589"/>
      <c r="AC438" s="4332"/>
      <c r="AD438" s="5627"/>
      <c r="AE438" s="5627"/>
      <c r="AF438" s="5627"/>
      <c r="AG438" s="11115"/>
    </row>
    <row r="439" spans="1:33" ht="21" customHeight="1">
      <c r="A439" s="9099"/>
      <c r="B439" s="11136"/>
      <c r="C439" s="11124"/>
      <c r="D439" s="11124"/>
      <c r="E439" s="11124"/>
      <c r="F439" s="11124"/>
      <c r="G439" s="11124"/>
      <c r="H439" s="11124"/>
      <c r="I439" s="11124"/>
      <c r="J439" s="11124"/>
      <c r="K439" s="11124"/>
      <c r="L439" s="11131"/>
      <c r="M439" s="11131"/>
      <c r="N439" s="11131"/>
      <c r="O439" s="11124"/>
      <c r="P439" s="11124"/>
      <c r="Q439" s="11127"/>
      <c r="R439" s="3538"/>
      <c r="S439" s="5463"/>
      <c r="T439" s="5463"/>
      <c r="U439" s="3495"/>
      <c r="V439" s="5499"/>
      <c r="W439" s="3496"/>
      <c r="X439" s="5523"/>
      <c r="Y439" s="5523"/>
      <c r="Z439" s="5523"/>
      <c r="AA439" s="5523"/>
      <c r="AB439" s="5589"/>
      <c r="AC439" s="4332"/>
      <c r="AD439" s="5627"/>
      <c r="AE439" s="5627"/>
      <c r="AF439" s="5627"/>
      <c r="AG439" s="11115"/>
    </row>
    <row r="440" spans="1:33" ht="21" customHeight="1">
      <c r="A440" s="9099"/>
      <c r="B440" s="11137"/>
      <c r="C440" s="11125"/>
      <c r="D440" s="11125"/>
      <c r="E440" s="11125"/>
      <c r="F440" s="11125"/>
      <c r="G440" s="11125"/>
      <c r="H440" s="11125"/>
      <c r="I440" s="11125"/>
      <c r="J440" s="11125"/>
      <c r="K440" s="11125"/>
      <c r="L440" s="11134"/>
      <c r="M440" s="11134"/>
      <c r="N440" s="11134"/>
      <c r="O440" s="11125"/>
      <c r="P440" s="11125"/>
      <c r="Q440" s="11135"/>
      <c r="R440" s="3768"/>
      <c r="S440" s="5477"/>
      <c r="T440" s="5477"/>
      <c r="U440" s="3759"/>
      <c r="V440" s="5509"/>
      <c r="W440" s="3714"/>
      <c r="X440" s="5544"/>
      <c r="Y440" s="5544"/>
      <c r="Z440" s="5544"/>
      <c r="AA440" s="5544"/>
      <c r="AB440" s="5596"/>
      <c r="AC440" s="4348"/>
      <c r="AD440" s="5628"/>
      <c r="AE440" s="5628"/>
      <c r="AF440" s="5628"/>
      <c r="AG440" s="11116"/>
    </row>
    <row r="441" spans="1:33" ht="21" customHeight="1">
      <c r="A441" s="9099"/>
      <c r="B441" s="10516" t="s">
        <v>183</v>
      </c>
      <c r="C441" s="10433" t="s">
        <v>227</v>
      </c>
      <c r="D441" s="10433" t="s">
        <v>228</v>
      </c>
      <c r="E441" s="10433" t="s">
        <v>229</v>
      </c>
      <c r="F441" s="10442" t="s">
        <v>230</v>
      </c>
      <c r="G441" s="10433" t="s">
        <v>132</v>
      </c>
      <c r="H441" s="10433" t="s">
        <v>159</v>
      </c>
      <c r="I441" s="10433" t="s">
        <v>6053</v>
      </c>
      <c r="J441" s="10433" t="s">
        <v>6054</v>
      </c>
      <c r="K441" s="10433" t="s">
        <v>6022</v>
      </c>
      <c r="L441" s="11130">
        <v>1</v>
      </c>
      <c r="M441" s="11130">
        <v>1</v>
      </c>
      <c r="N441" s="11130">
        <v>1</v>
      </c>
      <c r="O441" s="10433" t="s">
        <v>6055</v>
      </c>
      <c r="P441" s="10433" t="s">
        <v>6056</v>
      </c>
      <c r="Q441" s="10439" t="s">
        <v>6108</v>
      </c>
      <c r="R441" s="3774"/>
      <c r="S441" s="5481"/>
      <c r="T441" s="5481"/>
      <c r="U441" s="3761"/>
      <c r="V441" s="5502"/>
      <c r="W441" s="3709"/>
      <c r="X441" s="5529"/>
      <c r="Y441" s="5529"/>
      <c r="Z441" s="5529"/>
      <c r="AA441" s="5529"/>
      <c r="AB441" s="5597"/>
      <c r="AC441" s="4347"/>
      <c r="AD441" s="5629"/>
      <c r="AE441" s="5629"/>
      <c r="AF441" s="5629"/>
      <c r="AG441" s="10525"/>
    </row>
    <row r="442" spans="1:33" ht="21" customHeight="1">
      <c r="A442" s="9099"/>
      <c r="B442" s="11136"/>
      <c r="C442" s="11124"/>
      <c r="D442" s="11124"/>
      <c r="E442" s="11124"/>
      <c r="F442" s="11124"/>
      <c r="G442" s="11124"/>
      <c r="H442" s="11124"/>
      <c r="I442" s="11124"/>
      <c r="J442" s="11124"/>
      <c r="K442" s="11124"/>
      <c r="L442" s="11131"/>
      <c r="M442" s="11131"/>
      <c r="N442" s="11131"/>
      <c r="O442" s="11124"/>
      <c r="P442" s="11124"/>
      <c r="Q442" s="11127"/>
      <c r="R442" s="3538"/>
      <c r="S442" s="5463"/>
      <c r="T442" s="5463"/>
      <c r="U442" s="3495"/>
      <c r="V442" s="5499"/>
      <c r="W442" s="3496"/>
      <c r="X442" s="5523"/>
      <c r="Y442" s="5523"/>
      <c r="Z442" s="5523"/>
      <c r="AA442" s="5523"/>
      <c r="AB442" s="5589"/>
      <c r="AC442" s="4332"/>
      <c r="AD442" s="5627"/>
      <c r="AE442" s="5627"/>
      <c r="AF442" s="5627"/>
      <c r="AG442" s="11115"/>
    </row>
    <row r="443" spans="1:33" ht="21" customHeight="1">
      <c r="A443" s="9099"/>
      <c r="B443" s="11136"/>
      <c r="C443" s="11124"/>
      <c r="D443" s="11124"/>
      <c r="E443" s="11124"/>
      <c r="F443" s="11124"/>
      <c r="G443" s="11124"/>
      <c r="H443" s="11124"/>
      <c r="I443" s="11124"/>
      <c r="J443" s="11124"/>
      <c r="K443" s="11124"/>
      <c r="L443" s="11131"/>
      <c r="M443" s="11131"/>
      <c r="N443" s="11131"/>
      <c r="O443" s="11124"/>
      <c r="P443" s="11124"/>
      <c r="Q443" s="11127"/>
      <c r="R443" s="3538"/>
      <c r="S443" s="5463"/>
      <c r="T443" s="5463"/>
      <c r="U443" s="3495"/>
      <c r="V443" s="5499"/>
      <c r="W443" s="3496"/>
      <c r="X443" s="5523"/>
      <c r="Y443" s="5523"/>
      <c r="Z443" s="5523"/>
      <c r="AA443" s="5523"/>
      <c r="AB443" s="5589"/>
      <c r="AC443" s="4332"/>
      <c r="AD443" s="5627"/>
      <c r="AE443" s="5627"/>
      <c r="AF443" s="5627"/>
      <c r="AG443" s="11115"/>
    </row>
    <row r="444" spans="1:33" ht="21" customHeight="1">
      <c r="A444" s="9099"/>
      <c r="B444" s="11136"/>
      <c r="C444" s="11124"/>
      <c r="D444" s="11124"/>
      <c r="E444" s="11124"/>
      <c r="F444" s="11124"/>
      <c r="G444" s="11124"/>
      <c r="H444" s="11124"/>
      <c r="I444" s="11124"/>
      <c r="J444" s="11124"/>
      <c r="K444" s="11124"/>
      <c r="L444" s="11131"/>
      <c r="M444" s="11131"/>
      <c r="N444" s="11131"/>
      <c r="O444" s="11124"/>
      <c r="P444" s="11124"/>
      <c r="Q444" s="11127"/>
      <c r="R444" s="3538"/>
      <c r="S444" s="5463"/>
      <c r="T444" s="5463"/>
      <c r="U444" s="3495"/>
      <c r="V444" s="5499"/>
      <c r="W444" s="3496"/>
      <c r="X444" s="5523"/>
      <c r="Y444" s="5523"/>
      <c r="Z444" s="5523"/>
      <c r="AA444" s="5523"/>
      <c r="AB444" s="5589"/>
      <c r="AC444" s="4332"/>
      <c r="AD444" s="5627"/>
      <c r="AE444" s="5627"/>
      <c r="AF444" s="5627"/>
      <c r="AG444" s="11115"/>
    </row>
    <row r="445" spans="1:33" ht="21" customHeight="1">
      <c r="A445" s="9099"/>
      <c r="B445" s="11138"/>
      <c r="C445" s="11126"/>
      <c r="D445" s="11126"/>
      <c r="E445" s="11126"/>
      <c r="F445" s="11126"/>
      <c r="G445" s="11126"/>
      <c r="H445" s="11126"/>
      <c r="I445" s="11126"/>
      <c r="J445" s="11126"/>
      <c r="K445" s="11126"/>
      <c r="L445" s="11132"/>
      <c r="M445" s="11132"/>
      <c r="N445" s="11132"/>
      <c r="O445" s="11126"/>
      <c r="P445" s="11126"/>
      <c r="Q445" s="11128"/>
      <c r="R445" s="3543"/>
      <c r="S445" s="5468"/>
      <c r="T445" s="5468"/>
      <c r="U445" s="3557"/>
      <c r="V445" s="5503"/>
      <c r="W445" s="3545"/>
      <c r="X445" s="5532"/>
      <c r="Y445" s="5532"/>
      <c r="Z445" s="5532"/>
      <c r="AA445" s="5532"/>
      <c r="AB445" s="5598"/>
      <c r="AC445" s="4345"/>
      <c r="AD445" s="5630"/>
      <c r="AE445" s="5630"/>
      <c r="AF445" s="5630"/>
      <c r="AG445" s="11116"/>
    </row>
    <row r="446" spans="1:33" ht="21" customHeight="1">
      <c r="A446" s="9099"/>
      <c r="B446" s="10512" t="s">
        <v>183</v>
      </c>
      <c r="C446" s="10444" t="s">
        <v>227</v>
      </c>
      <c r="D446" s="10444" t="s">
        <v>228</v>
      </c>
      <c r="E446" s="10444" t="s">
        <v>229</v>
      </c>
      <c r="F446" s="10451" t="s">
        <v>230</v>
      </c>
      <c r="G446" s="10444" t="s">
        <v>132</v>
      </c>
      <c r="H446" s="10444" t="s">
        <v>159</v>
      </c>
      <c r="I446" s="10444" t="s">
        <v>6057</v>
      </c>
      <c r="J446" s="10444" t="s">
        <v>6058</v>
      </c>
      <c r="K446" s="10444" t="s">
        <v>6049</v>
      </c>
      <c r="L446" s="11133">
        <v>0</v>
      </c>
      <c r="M446" s="11133">
        <v>1</v>
      </c>
      <c r="N446" s="11133">
        <v>1</v>
      </c>
      <c r="O446" s="10444" t="s">
        <v>6059</v>
      </c>
      <c r="P446" s="10444" t="s">
        <v>6060</v>
      </c>
      <c r="Q446" s="10449" t="s">
        <v>6108</v>
      </c>
      <c r="R446" s="5459"/>
      <c r="S446" s="5482"/>
      <c r="T446" s="5482"/>
      <c r="U446" s="4659"/>
      <c r="V446" s="5504"/>
      <c r="W446" s="3658"/>
      <c r="X446" s="5534"/>
      <c r="Y446" s="5534"/>
      <c r="Z446" s="5534"/>
      <c r="AA446" s="5534"/>
      <c r="AB446" s="5604"/>
      <c r="AC446" s="4346"/>
      <c r="AD446" s="5633"/>
      <c r="AE446" s="5633"/>
      <c r="AF446" s="5633"/>
      <c r="AG446" s="10525"/>
    </row>
    <row r="447" spans="1:33" ht="21" customHeight="1">
      <c r="A447" s="9099"/>
      <c r="B447" s="11136"/>
      <c r="C447" s="11124"/>
      <c r="D447" s="11124"/>
      <c r="E447" s="11124"/>
      <c r="F447" s="11124"/>
      <c r="G447" s="11124"/>
      <c r="H447" s="11124"/>
      <c r="I447" s="11124"/>
      <c r="J447" s="11124"/>
      <c r="K447" s="11124"/>
      <c r="L447" s="11131"/>
      <c r="M447" s="11131"/>
      <c r="N447" s="11131"/>
      <c r="O447" s="11124"/>
      <c r="P447" s="11124"/>
      <c r="Q447" s="11127"/>
      <c r="R447" s="3538"/>
      <c r="S447" s="5463"/>
      <c r="T447" s="5463"/>
      <c r="U447" s="3495"/>
      <c r="V447" s="5499"/>
      <c r="W447" s="3496"/>
      <c r="X447" s="5523"/>
      <c r="Y447" s="5523"/>
      <c r="Z447" s="5523"/>
      <c r="AA447" s="5523"/>
      <c r="AB447" s="5589"/>
      <c r="AC447" s="4332"/>
      <c r="AD447" s="5627"/>
      <c r="AE447" s="5627"/>
      <c r="AF447" s="5627"/>
      <c r="AG447" s="11115"/>
    </row>
    <row r="448" spans="1:33" ht="21" customHeight="1">
      <c r="A448" s="9099"/>
      <c r="B448" s="11136"/>
      <c r="C448" s="11124"/>
      <c r="D448" s="11124"/>
      <c r="E448" s="11124"/>
      <c r="F448" s="11124"/>
      <c r="G448" s="11124"/>
      <c r="H448" s="11124"/>
      <c r="I448" s="11124"/>
      <c r="J448" s="11124"/>
      <c r="K448" s="11124"/>
      <c r="L448" s="11131"/>
      <c r="M448" s="11131"/>
      <c r="N448" s="11131"/>
      <c r="O448" s="11124"/>
      <c r="P448" s="11124"/>
      <c r="Q448" s="11127"/>
      <c r="R448" s="3538"/>
      <c r="S448" s="5463"/>
      <c r="T448" s="5463"/>
      <c r="U448" s="3495"/>
      <c r="V448" s="5499"/>
      <c r="W448" s="3496"/>
      <c r="X448" s="5523"/>
      <c r="Y448" s="5523"/>
      <c r="Z448" s="5523"/>
      <c r="AA448" s="5523"/>
      <c r="AB448" s="5589"/>
      <c r="AC448" s="4332"/>
      <c r="AD448" s="5627"/>
      <c r="AE448" s="5627"/>
      <c r="AF448" s="5627"/>
      <c r="AG448" s="11115"/>
    </row>
    <row r="449" spans="1:33" ht="21" customHeight="1">
      <c r="A449" s="9099"/>
      <c r="B449" s="11136"/>
      <c r="C449" s="11124"/>
      <c r="D449" s="11124"/>
      <c r="E449" s="11124"/>
      <c r="F449" s="11124"/>
      <c r="G449" s="11124"/>
      <c r="H449" s="11124"/>
      <c r="I449" s="11124"/>
      <c r="J449" s="11124"/>
      <c r="K449" s="11124"/>
      <c r="L449" s="11131"/>
      <c r="M449" s="11131"/>
      <c r="N449" s="11131"/>
      <c r="O449" s="11124"/>
      <c r="P449" s="11124"/>
      <c r="Q449" s="11127"/>
      <c r="R449" s="3538"/>
      <c r="S449" s="5463"/>
      <c r="T449" s="5463"/>
      <c r="U449" s="3495"/>
      <c r="V449" s="5499"/>
      <c r="W449" s="3496"/>
      <c r="X449" s="5523"/>
      <c r="Y449" s="5523"/>
      <c r="Z449" s="5523"/>
      <c r="AA449" s="5523"/>
      <c r="AB449" s="5589"/>
      <c r="AC449" s="4332"/>
      <c r="AD449" s="5627"/>
      <c r="AE449" s="5627"/>
      <c r="AF449" s="5627"/>
      <c r="AG449" s="11115"/>
    </row>
    <row r="450" spans="1:33" ht="21" customHeight="1">
      <c r="A450" s="9099"/>
      <c r="B450" s="11137"/>
      <c r="C450" s="11125"/>
      <c r="D450" s="11125"/>
      <c r="E450" s="11125"/>
      <c r="F450" s="11125"/>
      <c r="G450" s="11125"/>
      <c r="H450" s="11125"/>
      <c r="I450" s="11125"/>
      <c r="J450" s="11125"/>
      <c r="K450" s="11125"/>
      <c r="L450" s="11134"/>
      <c r="M450" s="11134"/>
      <c r="N450" s="11134"/>
      <c r="O450" s="11125"/>
      <c r="P450" s="11125"/>
      <c r="Q450" s="11135"/>
      <c r="R450" s="3768"/>
      <c r="S450" s="5477"/>
      <c r="T450" s="5477"/>
      <c r="U450" s="3759"/>
      <c r="V450" s="5509"/>
      <c r="W450" s="3714"/>
      <c r="X450" s="5544"/>
      <c r="Y450" s="5544"/>
      <c r="Z450" s="5544"/>
      <c r="AA450" s="5544"/>
      <c r="AB450" s="5596"/>
      <c r="AC450" s="4348"/>
      <c r="AD450" s="5628"/>
      <c r="AE450" s="5628"/>
      <c r="AF450" s="5628"/>
      <c r="AG450" s="11116"/>
    </row>
    <row r="451" spans="1:33" ht="21" customHeight="1">
      <c r="A451" s="9099"/>
      <c r="B451" s="10516" t="s">
        <v>127</v>
      </c>
      <c r="C451" s="10433" t="s">
        <v>128</v>
      </c>
      <c r="D451" s="10433" t="s">
        <v>129</v>
      </c>
      <c r="E451" s="10433" t="s">
        <v>157</v>
      </c>
      <c r="F451" s="10442" t="s">
        <v>131</v>
      </c>
      <c r="G451" s="10433" t="s">
        <v>132</v>
      </c>
      <c r="H451" s="10433" t="s">
        <v>159</v>
      </c>
      <c r="I451" s="10433" t="s">
        <v>6061</v>
      </c>
      <c r="J451" s="10433" t="s">
        <v>6062</v>
      </c>
      <c r="K451" s="10433" t="s">
        <v>6063</v>
      </c>
      <c r="L451" s="11130">
        <v>1</v>
      </c>
      <c r="M451" s="11130">
        <v>1</v>
      </c>
      <c r="N451" s="11130">
        <v>1</v>
      </c>
      <c r="O451" s="10433" t="s">
        <v>6064</v>
      </c>
      <c r="P451" s="10433" t="s">
        <v>6065</v>
      </c>
      <c r="Q451" s="10439" t="s">
        <v>6107</v>
      </c>
      <c r="R451" s="3774"/>
      <c r="S451" s="5481"/>
      <c r="T451" s="5481"/>
      <c r="U451" s="3761"/>
      <c r="V451" s="5502"/>
      <c r="W451" s="3709"/>
      <c r="X451" s="5529"/>
      <c r="Y451" s="5529"/>
      <c r="Z451" s="5529"/>
      <c r="AA451" s="5529"/>
      <c r="AB451" s="5597"/>
      <c r="AC451" s="4347"/>
      <c r="AD451" s="5629"/>
      <c r="AE451" s="5629"/>
      <c r="AF451" s="5629"/>
      <c r="AG451" s="10525"/>
    </row>
    <row r="452" spans="1:33" ht="21" customHeight="1">
      <c r="A452" s="9099"/>
      <c r="B452" s="11136"/>
      <c r="C452" s="11124"/>
      <c r="D452" s="11124"/>
      <c r="E452" s="11124"/>
      <c r="F452" s="11124"/>
      <c r="G452" s="11124"/>
      <c r="H452" s="11124"/>
      <c r="I452" s="11124"/>
      <c r="J452" s="11124"/>
      <c r="K452" s="11124"/>
      <c r="L452" s="11131"/>
      <c r="M452" s="11131"/>
      <c r="N452" s="11131"/>
      <c r="O452" s="11124"/>
      <c r="P452" s="11124"/>
      <c r="Q452" s="11127"/>
      <c r="R452" s="3538"/>
      <c r="S452" s="5463"/>
      <c r="T452" s="5463"/>
      <c r="U452" s="3495"/>
      <c r="V452" s="5499"/>
      <c r="W452" s="3496"/>
      <c r="X452" s="5523"/>
      <c r="Y452" s="5523"/>
      <c r="Z452" s="5523"/>
      <c r="AA452" s="5523"/>
      <c r="AB452" s="5589"/>
      <c r="AC452" s="4332"/>
      <c r="AD452" s="5627"/>
      <c r="AE452" s="5627"/>
      <c r="AF452" s="5627"/>
      <c r="AG452" s="11115"/>
    </row>
    <row r="453" spans="1:33" ht="21" customHeight="1">
      <c r="A453" s="9099"/>
      <c r="B453" s="11136"/>
      <c r="C453" s="11124"/>
      <c r="D453" s="11124"/>
      <c r="E453" s="11124"/>
      <c r="F453" s="11124"/>
      <c r="G453" s="11124"/>
      <c r="H453" s="11124"/>
      <c r="I453" s="11124"/>
      <c r="J453" s="11124"/>
      <c r="K453" s="11124"/>
      <c r="L453" s="11131"/>
      <c r="M453" s="11131"/>
      <c r="N453" s="11131"/>
      <c r="O453" s="11124"/>
      <c r="P453" s="11124"/>
      <c r="Q453" s="11127"/>
      <c r="R453" s="3538"/>
      <c r="S453" s="5463"/>
      <c r="T453" s="5463"/>
      <c r="U453" s="3495"/>
      <c r="V453" s="5499"/>
      <c r="W453" s="3496"/>
      <c r="X453" s="5523"/>
      <c r="Y453" s="5523"/>
      <c r="Z453" s="5523"/>
      <c r="AA453" s="5523"/>
      <c r="AB453" s="5589"/>
      <c r="AC453" s="4332"/>
      <c r="AD453" s="5627"/>
      <c r="AE453" s="5627"/>
      <c r="AF453" s="5627"/>
      <c r="AG453" s="11115"/>
    </row>
    <row r="454" spans="1:33" ht="21" customHeight="1">
      <c r="A454" s="9099"/>
      <c r="B454" s="11136"/>
      <c r="C454" s="11124"/>
      <c r="D454" s="11124"/>
      <c r="E454" s="11124"/>
      <c r="F454" s="11124"/>
      <c r="G454" s="11124"/>
      <c r="H454" s="11124"/>
      <c r="I454" s="11124"/>
      <c r="J454" s="11124"/>
      <c r="K454" s="11124"/>
      <c r="L454" s="11131"/>
      <c r="M454" s="11131"/>
      <c r="N454" s="11131"/>
      <c r="O454" s="11124"/>
      <c r="P454" s="11124"/>
      <c r="Q454" s="11127"/>
      <c r="R454" s="3538"/>
      <c r="S454" s="5463"/>
      <c r="T454" s="5463"/>
      <c r="U454" s="3495"/>
      <c r="V454" s="5499"/>
      <c r="W454" s="3496"/>
      <c r="X454" s="5523"/>
      <c r="Y454" s="5523"/>
      <c r="Z454" s="5523"/>
      <c r="AA454" s="5523"/>
      <c r="AB454" s="5589"/>
      <c r="AC454" s="4332"/>
      <c r="AD454" s="5627"/>
      <c r="AE454" s="5627"/>
      <c r="AF454" s="5627"/>
      <c r="AG454" s="11115"/>
    </row>
    <row r="455" spans="1:33" ht="21" customHeight="1">
      <c r="A455" s="9099"/>
      <c r="B455" s="11138"/>
      <c r="C455" s="11126"/>
      <c r="D455" s="11126"/>
      <c r="E455" s="11126"/>
      <c r="F455" s="11126"/>
      <c r="G455" s="11126"/>
      <c r="H455" s="11126"/>
      <c r="I455" s="11126"/>
      <c r="J455" s="11126"/>
      <c r="K455" s="11126"/>
      <c r="L455" s="11132"/>
      <c r="M455" s="11132"/>
      <c r="N455" s="11132"/>
      <c r="O455" s="11126"/>
      <c r="P455" s="11126"/>
      <c r="Q455" s="11128"/>
      <c r="R455" s="3543"/>
      <c r="S455" s="5468"/>
      <c r="T455" s="5468"/>
      <c r="U455" s="3557"/>
      <c r="V455" s="5503"/>
      <c r="W455" s="3545"/>
      <c r="X455" s="5532"/>
      <c r="Y455" s="5532"/>
      <c r="Z455" s="5532"/>
      <c r="AA455" s="5532"/>
      <c r="AB455" s="5598"/>
      <c r="AC455" s="4345"/>
      <c r="AD455" s="5630"/>
      <c r="AE455" s="5630"/>
      <c r="AF455" s="5630"/>
      <c r="AG455" s="11116"/>
    </row>
    <row r="456" spans="1:33" ht="21" customHeight="1">
      <c r="A456" s="9099"/>
      <c r="B456" s="10512" t="s">
        <v>183</v>
      </c>
      <c r="C456" s="10444" t="s">
        <v>227</v>
      </c>
      <c r="D456" s="10444" t="s">
        <v>228</v>
      </c>
      <c r="E456" s="10444" t="s">
        <v>229</v>
      </c>
      <c r="F456" s="10451" t="s">
        <v>230</v>
      </c>
      <c r="G456" s="10444" t="s">
        <v>132</v>
      </c>
      <c r="H456" s="10444" t="s">
        <v>159</v>
      </c>
      <c r="I456" s="10444" t="s">
        <v>6066</v>
      </c>
      <c r="J456" s="10444" t="s">
        <v>6067</v>
      </c>
      <c r="K456" s="10444" t="s">
        <v>5871</v>
      </c>
      <c r="L456" s="11133">
        <v>0</v>
      </c>
      <c r="M456" s="11133">
        <v>1</v>
      </c>
      <c r="N456" s="11133">
        <v>0</v>
      </c>
      <c r="O456" s="10444" t="s">
        <v>5872</v>
      </c>
      <c r="P456" s="10444" t="s">
        <v>5873</v>
      </c>
      <c r="Q456" s="10449" t="s">
        <v>6108</v>
      </c>
      <c r="R456" s="5459"/>
      <c r="S456" s="5482"/>
      <c r="T456" s="5482"/>
      <c r="U456" s="4659"/>
      <c r="V456" s="5504"/>
      <c r="W456" s="3658"/>
      <c r="X456" s="5534"/>
      <c r="Y456" s="5534"/>
      <c r="Z456" s="5534"/>
      <c r="AA456" s="5534"/>
      <c r="AB456" s="5604"/>
      <c r="AC456" s="4346"/>
      <c r="AD456" s="5633"/>
      <c r="AE456" s="5633"/>
      <c r="AF456" s="5633"/>
      <c r="AG456" s="10525"/>
    </row>
    <row r="457" spans="1:33" ht="21" customHeight="1">
      <c r="A457" s="9099"/>
      <c r="B457" s="11136"/>
      <c r="C457" s="11124"/>
      <c r="D457" s="11124"/>
      <c r="E457" s="11124"/>
      <c r="F457" s="11124"/>
      <c r="G457" s="11124"/>
      <c r="H457" s="11124"/>
      <c r="I457" s="11124"/>
      <c r="J457" s="11124"/>
      <c r="K457" s="11124"/>
      <c r="L457" s="11131"/>
      <c r="M457" s="11131"/>
      <c r="N457" s="11131"/>
      <c r="O457" s="11124"/>
      <c r="P457" s="11124"/>
      <c r="Q457" s="11127"/>
      <c r="R457" s="3538"/>
      <c r="S457" s="5463"/>
      <c r="T457" s="5463"/>
      <c r="U457" s="3495"/>
      <c r="V457" s="5499"/>
      <c r="W457" s="3496"/>
      <c r="X457" s="5523"/>
      <c r="Y457" s="5523"/>
      <c r="Z457" s="5523"/>
      <c r="AA457" s="5523"/>
      <c r="AB457" s="5589"/>
      <c r="AC457" s="4332"/>
      <c r="AD457" s="5627"/>
      <c r="AE457" s="5627"/>
      <c r="AF457" s="5627"/>
      <c r="AG457" s="11115"/>
    </row>
    <row r="458" spans="1:33" ht="21" customHeight="1">
      <c r="A458" s="9099"/>
      <c r="B458" s="11136"/>
      <c r="C458" s="11124"/>
      <c r="D458" s="11124"/>
      <c r="E458" s="11124"/>
      <c r="F458" s="11124"/>
      <c r="G458" s="11124"/>
      <c r="H458" s="11124"/>
      <c r="I458" s="11124"/>
      <c r="J458" s="11124"/>
      <c r="K458" s="11124"/>
      <c r="L458" s="11131"/>
      <c r="M458" s="11131"/>
      <c r="N458" s="11131"/>
      <c r="O458" s="11124"/>
      <c r="P458" s="11124"/>
      <c r="Q458" s="11127"/>
      <c r="R458" s="3538"/>
      <c r="S458" s="5463"/>
      <c r="T458" s="5463"/>
      <c r="U458" s="3495"/>
      <c r="V458" s="5499"/>
      <c r="W458" s="3496"/>
      <c r="X458" s="5523"/>
      <c r="Y458" s="5523"/>
      <c r="Z458" s="5523"/>
      <c r="AA458" s="5523"/>
      <c r="AB458" s="5589"/>
      <c r="AC458" s="4332"/>
      <c r="AD458" s="5627"/>
      <c r="AE458" s="5627"/>
      <c r="AF458" s="5627"/>
      <c r="AG458" s="11115"/>
    </row>
    <row r="459" spans="1:33" ht="21" customHeight="1">
      <c r="A459" s="9099"/>
      <c r="B459" s="11136"/>
      <c r="C459" s="11124"/>
      <c r="D459" s="11124"/>
      <c r="E459" s="11124"/>
      <c r="F459" s="11124"/>
      <c r="G459" s="11124"/>
      <c r="H459" s="11124"/>
      <c r="I459" s="11124"/>
      <c r="J459" s="11124"/>
      <c r="K459" s="11124"/>
      <c r="L459" s="11131"/>
      <c r="M459" s="11131"/>
      <c r="N459" s="11131"/>
      <c r="O459" s="11124"/>
      <c r="P459" s="11124"/>
      <c r="Q459" s="11127"/>
      <c r="R459" s="3538"/>
      <c r="S459" s="5463"/>
      <c r="T459" s="5463"/>
      <c r="U459" s="3495"/>
      <c r="V459" s="5499"/>
      <c r="W459" s="3496"/>
      <c r="X459" s="5523"/>
      <c r="Y459" s="5523"/>
      <c r="Z459" s="5523"/>
      <c r="AA459" s="5523"/>
      <c r="AB459" s="5589"/>
      <c r="AC459" s="4332"/>
      <c r="AD459" s="5627"/>
      <c r="AE459" s="5627"/>
      <c r="AF459" s="5627"/>
      <c r="AG459" s="11115"/>
    </row>
    <row r="460" spans="1:33" ht="21" customHeight="1">
      <c r="A460" s="9099"/>
      <c r="B460" s="11137"/>
      <c r="C460" s="11125"/>
      <c r="D460" s="11125"/>
      <c r="E460" s="11125"/>
      <c r="F460" s="11125"/>
      <c r="G460" s="11125"/>
      <c r="H460" s="11125"/>
      <c r="I460" s="11125"/>
      <c r="J460" s="11125"/>
      <c r="K460" s="11125"/>
      <c r="L460" s="11134"/>
      <c r="M460" s="11134"/>
      <c r="N460" s="11134"/>
      <c r="O460" s="11125"/>
      <c r="P460" s="11125"/>
      <c r="Q460" s="11135"/>
      <c r="R460" s="3768"/>
      <c r="S460" s="5477"/>
      <c r="T460" s="5477"/>
      <c r="U460" s="3759"/>
      <c r="V460" s="5509"/>
      <c r="W460" s="3714"/>
      <c r="X460" s="5544"/>
      <c r="Y460" s="5544"/>
      <c r="Z460" s="5544"/>
      <c r="AA460" s="5544"/>
      <c r="AB460" s="5596"/>
      <c r="AC460" s="4348"/>
      <c r="AD460" s="5628"/>
      <c r="AE460" s="5628"/>
      <c r="AF460" s="5628"/>
      <c r="AG460" s="11116"/>
    </row>
    <row r="461" spans="1:33" ht="21" customHeight="1">
      <c r="A461" s="9099"/>
      <c r="B461" s="10516" t="s">
        <v>183</v>
      </c>
      <c r="C461" s="10433" t="s">
        <v>227</v>
      </c>
      <c r="D461" s="10433" t="s">
        <v>228</v>
      </c>
      <c r="E461" s="10433" t="s">
        <v>229</v>
      </c>
      <c r="F461" s="10442" t="s">
        <v>230</v>
      </c>
      <c r="G461" s="10433" t="s">
        <v>171</v>
      </c>
      <c r="H461" s="10433" t="s">
        <v>133</v>
      </c>
      <c r="I461" s="10433" t="s">
        <v>6068</v>
      </c>
      <c r="J461" s="10433" t="s">
        <v>6069</v>
      </c>
      <c r="K461" s="10433" t="s">
        <v>6022</v>
      </c>
      <c r="L461" s="10470">
        <v>1</v>
      </c>
      <c r="M461" s="10470">
        <v>1</v>
      </c>
      <c r="N461" s="10470">
        <v>1</v>
      </c>
      <c r="O461" s="10433" t="s">
        <v>6070</v>
      </c>
      <c r="P461" s="10433" t="s">
        <v>6071</v>
      </c>
      <c r="Q461" s="10439" t="s">
        <v>6109</v>
      </c>
      <c r="R461" s="3774"/>
      <c r="S461" s="5481"/>
      <c r="T461" s="5481"/>
      <c r="U461" s="3761"/>
      <c r="V461" s="5502"/>
      <c r="W461" s="3709"/>
      <c r="X461" s="5529"/>
      <c r="Y461" s="5529"/>
      <c r="Z461" s="5529"/>
      <c r="AA461" s="5529"/>
      <c r="AB461" s="5597"/>
      <c r="AC461" s="4347"/>
      <c r="AD461" s="5629"/>
      <c r="AE461" s="5629"/>
      <c r="AF461" s="5629"/>
      <c r="AG461" s="10525"/>
    </row>
    <row r="462" spans="1:33" ht="21" customHeight="1">
      <c r="A462" s="9099"/>
      <c r="B462" s="11136"/>
      <c r="C462" s="11124"/>
      <c r="D462" s="11124"/>
      <c r="E462" s="11124"/>
      <c r="F462" s="11124"/>
      <c r="G462" s="11124"/>
      <c r="H462" s="11124"/>
      <c r="I462" s="11124"/>
      <c r="J462" s="11124"/>
      <c r="K462" s="11124"/>
      <c r="L462" s="11131"/>
      <c r="M462" s="11131"/>
      <c r="N462" s="11131"/>
      <c r="O462" s="11124"/>
      <c r="P462" s="11124"/>
      <c r="Q462" s="11127"/>
      <c r="R462" s="3538"/>
      <c r="S462" s="5463"/>
      <c r="T462" s="5463"/>
      <c r="U462" s="3495"/>
      <c r="V462" s="5499"/>
      <c r="W462" s="3496"/>
      <c r="X462" s="5523"/>
      <c r="Y462" s="5523"/>
      <c r="Z462" s="5523"/>
      <c r="AA462" s="5523"/>
      <c r="AB462" s="5589"/>
      <c r="AC462" s="4332"/>
      <c r="AD462" s="5627"/>
      <c r="AE462" s="5627"/>
      <c r="AF462" s="5627"/>
      <c r="AG462" s="11115"/>
    </row>
    <row r="463" spans="1:33" ht="21" customHeight="1">
      <c r="A463" s="9099"/>
      <c r="B463" s="11136"/>
      <c r="C463" s="11124"/>
      <c r="D463" s="11124"/>
      <c r="E463" s="11124"/>
      <c r="F463" s="11124"/>
      <c r="G463" s="11124"/>
      <c r="H463" s="11124"/>
      <c r="I463" s="11124"/>
      <c r="J463" s="11124"/>
      <c r="K463" s="11124"/>
      <c r="L463" s="11131"/>
      <c r="M463" s="11131"/>
      <c r="N463" s="11131"/>
      <c r="O463" s="11124"/>
      <c r="P463" s="11124"/>
      <c r="Q463" s="11127"/>
      <c r="R463" s="3538"/>
      <c r="S463" s="5463"/>
      <c r="T463" s="5463"/>
      <c r="U463" s="3495"/>
      <c r="V463" s="5499"/>
      <c r="W463" s="3496"/>
      <c r="X463" s="5523"/>
      <c r="Y463" s="5523"/>
      <c r="Z463" s="5523"/>
      <c r="AA463" s="5523"/>
      <c r="AB463" s="5589"/>
      <c r="AC463" s="4332"/>
      <c r="AD463" s="5627"/>
      <c r="AE463" s="5627"/>
      <c r="AF463" s="5627"/>
      <c r="AG463" s="11115"/>
    </row>
    <row r="464" spans="1:33" ht="21" customHeight="1">
      <c r="A464" s="9099"/>
      <c r="B464" s="11136"/>
      <c r="C464" s="11124"/>
      <c r="D464" s="11124"/>
      <c r="E464" s="11124"/>
      <c r="F464" s="11124"/>
      <c r="G464" s="11124"/>
      <c r="H464" s="11124"/>
      <c r="I464" s="11124"/>
      <c r="J464" s="11124"/>
      <c r="K464" s="11124"/>
      <c r="L464" s="11131"/>
      <c r="M464" s="11131"/>
      <c r="N464" s="11131"/>
      <c r="O464" s="11124"/>
      <c r="P464" s="11124"/>
      <c r="Q464" s="11127"/>
      <c r="R464" s="3538"/>
      <c r="S464" s="5463"/>
      <c r="T464" s="5463"/>
      <c r="U464" s="3495"/>
      <c r="V464" s="5499"/>
      <c r="W464" s="3496"/>
      <c r="X464" s="5523"/>
      <c r="Y464" s="5523"/>
      <c r="Z464" s="5523"/>
      <c r="AA464" s="5523"/>
      <c r="AB464" s="5589"/>
      <c r="AC464" s="4332"/>
      <c r="AD464" s="5627"/>
      <c r="AE464" s="5627"/>
      <c r="AF464" s="5627"/>
      <c r="AG464" s="11115"/>
    </row>
    <row r="465" spans="1:33" ht="21" customHeight="1">
      <c r="A465" s="9099"/>
      <c r="B465" s="11138"/>
      <c r="C465" s="11126"/>
      <c r="D465" s="11126"/>
      <c r="E465" s="11126"/>
      <c r="F465" s="11126"/>
      <c r="G465" s="11126"/>
      <c r="H465" s="11126"/>
      <c r="I465" s="11126"/>
      <c r="J465" s="11126"/>
      <c r="K465" s="11126"/>
      <c r="L465" s="11132"/>
      <c r="M465" s="11132"/>
      <c r="N465" s="11132"/>
      <c r="O465" s="11126"/>
      <c r="P465" s="11126"/>
      <c r="Q465" s="11128"/>
      <c r="R465" s="3543"/>
      <c r="S465" s="5468"/>
      <c r="T465" s="5468"/>
      <c r="U465" s="3557"/>
      <c r="V465" s="5503"/>
      <c r="W465" s="3545"/>
      <c r="X465" s="5532"/>
      <c r="Y465" s="5532"/>
      <c r="Z465" s="5532"/>
      <c r="AA465" s="5532"/>
      <c r="AB465" s="5598"/>
      <c r="AC465" s="4345"/>
      <c r="AD465" s="5630"/>
      <c r="AE465" s="5630"/>
      <c r="AF465" s="5630"/>
      <c r="AG465" s="11116"/>
    </row>
    <row r="466" spans="1:33" ht="18" customHeight="1">
      <c r="A466" s="9099"/>
      <c r="B466" s="10512" t="s">
        <v>127</v>
      </c>
      <c r="C466" s="10444" t="s">
        <v>128</v>
      </c>
      <c r="D466" s="10444" t="s">
        <v>129</v>
      </c>
      <c r="E466" s="10444" t="s">
        <v>157</v>
      </c>
      <c r="F466" s="10451" t="s">
        <v>131</v>
      </c>
      <c r="G466" s="10444" t="s">
        <v>132</v>
      </c>
      <c r="H466" s="10444" t="s">
        <v>159</v>
      </c>
      <c r="I466" s="10444" t="s">
        <v>6073</v>
      </c>
      <c r="J466" s="10444" t="s">
        <v>6074</v>
      </c>
      <c r="K466" s="10444" t="s">
        <v>5888</v>
      </c>
      <c r="L466" s="10455">
        <v>3</v>
      </c>
      <c r="M466" s="10455">
        <v>4</v>
      </c>
      <c r="N466" s="10455">
        <v>3</v>
      </c>
      <c r="O466" s="10444" t="s">
        <v>6075</v>
      </c>
      <c r="P466" s="10444" t="s">
        <v>6076</v>
      </c>
      <c r="Q466" s="10449" t="s">
        <v>6107</v>
      </c>
      <c r="R466" s="3767"/>
      <c r="S466" s="5469"/>
      <c r="T466" s="5469"/>
      <c r="U466" s="3758"/>
      <c r="V466" s="5504"/>
      <c r="W466" s="3658"/>
      <c r="X466" s="5534"/>
      <c r="Y466" s="5534"/>
      <c r="Z466" s="5534"/>
      <c r="AA466" s="5535"/>
      <c r="AB466" s="5586"/>
      <c r="AC466" s="4314"/>
      <c r="AD466" s="3658"/>
      <c r="AE466" s="5623"/>
      <c r="AF466" s="5623"/>
      <c r="AG466" s="10464"/>
    </row>
    <row r="467" spans="1:33" ht="18" customHeight="1">
      <c r="A467" s="9099"/>
      <c r="B467" s="11136"/>
      <c r="C467" s="11124"/>
      <c r="D467" s="11124"/>
      <c r="E467" s="11124"/>
      <c r="F467" s="11124"/>
      <c r="G467" s="11124"/>
      <c r="H467" s="11124"/>
      <c r="I467" s="11124"/>
      <c r="J467" s="11124"/>
      <c r="K467" s="11124"/>
      <c r="L467" s="11131"/>
      <c r="M467" s="11131"/>
      <c r="N467" s="11131"/>
      <c r="O467" s="11124"/>
      <c r="P467" s="11124"/>
      <c r="Q467" s="11127"/>
      <c r="R467" s="3538"/>
      <c r="S467" s="5463"/>
      <c r="T467" s="5463"/>
      <c r="U467" s="3495"/>
      <c r="V467" s="5499"/>
      <c r="W467" s="3496"/>
      <c r="X467" s="5523"/>
      <c r="Y467" s="5523"/>
      <c r="Z467" s="5523"/>
      <c r="AA467" s="5524"/>
      <c r="AB467" s="5581"/>
      <c r="AC467" s="4316"/>
      <c r="AD467" s="3496"/>
      <c r="AE467" s="5610"/>
      <c r="AF467" s="5610"/>
      <c r="AG467" s="11115"/>
    </row>
    <row r="468" spans="1:33" ht="18" customHeight="1">
      <c r="A468" s="9099"/>
      <c r="B468" s="11136"/>
      <c r="C468" s="11124"/>
      <c r="D468" s="11124"/>
      <c r="E468" s="11124"/>
      <c r="F468" s="11124"/>
      <c r="G468" s="11124"/>
      <c r="H468" s="11124"/>
      <c r="I468" s="11124"/>
      <c r="J468" s="11124"/>
      <c r="K468" s="11124"/>
      <c r="L468" s="11131"/>
      <c r="M468" s="11131"/>
      <c r="N468" s="11131"/>
      <c r="O468" s="11124"/>
      <c r="P468" s="11124"/>
      <c r="Q468" s="11127"/>
      <c r="R468" s="3538"/>
      <c r="S468" s="5463"/>
      <c r="T468" s="5463"/>
      <c r="U468" s="3495"/>
      <c r="V468" s="5499"/>
      <c r="W468" s="3496"/>
      <c r="X468" s="5523"/>
      <c r="Y468" s="5523"/>
      <c r="Z468" s="5523"/>
      <c r="AA468" s="5524"/>
      <c r="AB468" s="5581"/>
      <c r="AC468" s="4316"/>
      <c r="AD468" s="3496"/>
      <c r="AE468" s="5610"/>
      <c r="AF468" s="5610"/>
      <c r="AG468" s="11115"/>
    </row>
    <row r="469" spans="1:33" ht="18" customHeight="1">
      <c r="A469" s="9099"/>
      <c r="B469" s="11136"/>
      <c r="C469" s="11124"/>
      <c r="D469" s="11124"/>
      <c r="E469" s="11124"/>
      <c r="F469" s="11124"/>
      <c r="G469" s="11124"/>
      <c r="H469" s="11124"/>
      <c r="I469" s="11124"/>
      <c r="J469" s="11124"/>
      <c r="K469" s="11124"/>
      <c r="L469" s="11131"/>
      <c r="M469" s="11131"/>
      <c r="N469" s="11131"/>
      <c r="O469" s="11124"/>
      <c r="P469" s="11124"/>
      <c r="Q469" s="11127"/>
      <c r="R469" s="3541"/>
      <c r="S469" s="5467"/>
      <c r="T469" s="5467"/>
      <c r="U469" s="3495"/>
      <c r="V469" s="5499"/>
      <c r="W469" s="3496"/>
      <c r="X469" s="5523"/>
      <c r="Y469" s="5523"/>
      <c r="Z469" s="5523"/>
      <c r="AA469" s="5524"/>
      <c r="AB469" s="5581"/>
      <c r="AC469" s="4316"/>
      <c r="AD469" s="3496"/>
      <c r="AE469" s="5610"/>
      <c r="AF469" s="5610"/>
      <c r="AG469" s="11115"/>
    </row>
    <row r="470" spans="1:33" ht="18" customHeight="1">
      <c r="A470" s="9099"/>
      <c r="B470" s="11138"/>
      <c r="C470" s="11126"/>
      <c r="D470" s="11126"/>
      <c r="E470" s="11126"/>
      <c r="F470" s="11126"/>
      <c r="G470" s="11126"/>
      <c r="H470" s="11126"/>
      <c r="I470" s="11126"/>
      <c r="J470" s="11126"/>
      <c r="K470" s="11126"/>
      <c r="L470" s="11132"/>
      <c r="M470" s="11132"/>
      <c r="N470" s="11132"/>
      <c r="O470" s="11126"/>
      <c r="P470" s="11126"/>
      <c r="Q470" s="11128"/>
      <c r="R470" s="3543"/>
      <c r="S470" s="5468"/>
      <c r="T470" s="5468"/>
      <c r="U470" s="3557"/>
      <c r="V470" s="5503"/>
      <c r="W470" s="3545"/>
      <c r="X470" s="5532"/>
      <c r="Y470" s="5532"/>
      <c r="Z470" s="5532"/>
      <c r="AA470" s="5533"/>
      <c r="AB470" s="5585"/>
      <c r="AC470" s="4318"/>
      <c r="AD470" s="3545"/>
      <c r="AE470" s="5625"/>
      <c r="AF470" s="5625"/>
      <c r="AG470" s="11116"/>
    </row>
    <row r="471" spans="1:33" s="6169" customFormat="1" ht="22.5" customHeight="1" thickBot="1">
      <c r="A471" s="6236"/>
      <c r="B471" s="6250"/>
      <c r="C471" s="6250"/>
      <c r="D471" s="6250"/>
      <c r="E471" s="6250"/>
      <c r="F471" s="6250"/>
      <c r="G471" s="6250"/>
      <c r="H471" s="6250"/>
      <c r="I471" s="6250"/>
      <c r="J471" s="6250"/>
      <c r="K471" s="6250"/>
      <c r="L471" s="6164"/>
      <c r="M471" s="6164"/>
      <c r="N471" s="6164"/>
      <c r="O471" s="6166"/>
      <c r="P471" s="6166"/>
      <c r="Q471" s="6167"/>
      <c r="R471" s="11144" t="s">
        <v>6110</v>
      </c>
      <c r="S471" s="11145"/>
      <c r="T471" s="11145"/>
      <c r="U471" s="11145"/>
      <c r="V471" s="11145"/>
      <c r="W471" s="11145"/>
      <c r="X471" s="11145"/>
      <c r="Y471" s="11145"/>
      <c r="Z471" s="5321" t="s">
        <v>292</v>
      </c>
      <c r="AA471" s="6153">
        <f>SUM(AA383:AA470)</f>
        <v>28605.919999999998</v>
      </c>
      <c r="AB471" s="6165"/>
      <c r="AC471" s="6168"/>
      <c r="AD471" s="11146"/>
      <c r="AE471" s="11147"/>
      <c r="AF471" s="11147"/>
      <c r="AG471" s="11148"/>
    </row>
    <row r="472" spans="1:33" ht="18" customHeight="1">
      <c r="A472" s="9599" t="s">
        <v>6111</v>
      </c>
      <c r="B472" s="10518" t="s">
        <v>183</v>
      </c>
      <c r="C472" s="10452" t="s">
        <v>227</v>
      </c>
      <c r="D472" s="10452" t="s">
        <v>228</v>
      </c>
      <c r="E472" s="10452" t="s">
        <v>229</v>
      </c>
      <c r="F472" s="10454" t="s">
        <v>230</v>
      </c>
      <c r="G472" s="10452" t="s">
        <v>132</v>
      </c>
      <c r="H472" s="10452" t="s">
        <v>159</v>
      </c>
      <c r="I472" s="10433" t="s">
        <v>6010</v>
      </c>
      <c r="J472" s="10452" t="s">
        <v>6011</v>
      </c>
      <c r="K472" s="10452" t="s">
        <v>5761</v>
      </c>
      <c r="L472" s="10488">
        <v>2</v>
      </c>
      <c r="M472" s="10488">
        <v>1</v>
      </c>
      <c r="N472" s="10488">
        <v>2</v>
      </c>
      <c r="O472" s="10452" t="s">
        <v>6012</v>
      </c>
      <c r="P472" s="10452" t="s">
        <v>6013</v>
      </c>
      <c r="Q472" s="10453" t="s">
        <v>6014</v>
      </c>
      <c r="R472" s="3779"/>
      <c r="S472" s="5462"/>
      <c r="T472" s="5462"/>
      <c r="U472" s="3764"/>
      <c r="V472" s="5498"/>
      <c r="W472" s="3683"/>
      <c r="X472" s="5521"/>
      <c r="Y472" s="5521"/>
      <c r="Z472" s="5521"/>
      <c r="AA472" s="5522"/>
      <c r="AB472" s="5580"/>
      <c r="AC472" s="4323"/>
      <c r="AD472" s="3683"/>
      <c r="AE472" s="5609"/>
      <c r="AF472" s="5609"/>
      <c r="AG472" s="11117"/>
    </row>
    <row r="473" spans="1:33" ht="18" customHeight="1">
      <c r="A473" s="11139"/>
      <c r="B473" s="11136"/>
      <c r="C473" s="11124"/>
      <c r="D473" s="11124"/>
      <c r="E473" s="11124"/>
      <c r="F473" s="11124"/>
      <c r="G473" s="11124"/>
      <c r="H473" s="11124"/>
      <c r="I473" s="11124"/>
      <c r="J473" s="11124"/>
      <c r="K473" s="11124"/>
      <c r="L473" s="11131"/>
      <c r="M473" s="11131"/>
      <c r="N473" s="11131"/>
      <c r="O473" s="11124"/>
      <c r="P473" s="11124"/>
      <c r="Q473" s="11127"/>
      <c r="R473" s="3541"/>
      <c r="S473" s="5467"/>
      <c r="T473" s="5467"/>
      <c r="U473" s="3542"/>
      <c r="V473" s="5499"/>
      <c r="W473" s="3496"/>
      <c r="X473" s="5523"/>
      <c r="Y473" s="5523"/>
      <c r="Z473" s="5523"/>
      <c r="AA473" s="5524"/>
      <c r="AB473" s="5581"/>
      <c r="AC473" s="4316"/>
      <c r="AD473" s="3496"/>
      <c r="AE473" s="5610"/>
      <c r="AF473" s="5610"/>
      <c r="AG473" s="10570"/>
    </row>
    <row r="474" spans="1:33" ht="18" customHeight="1">
      <c r="A474" s="11139"/>
      <c r="B474" s="11136"/>
      <c r="C474" s="11124"/>
      <c r="D474" s="11124"/>
      <c r="E474" s="11124"/>
      <c r="F474" s="11124"/>
      <c r="G474" s="11124"/>
      <c r="H474" s="11124"/>
      <c r="I474" s="11124"/>
      <c r="J474" s="11124"/>
      <c r="K474" s="11124"/>
      <c r="L474" s="11131"/>
      <c r="M474" s="11131"/>
      <c r="N474" s="11131"/>
      <c r="O474" s="11124"/>
      <c r="P474" s="11124"/>
      <c r="Q474" s="11127"/>
      <c r="R474" s="3541"/>
      <c r="S474" s="5467"/>
      <c r="T474" s="5467"/>
      <c r="U474" s="3542"/>
      <c r="V474" s="5499"/>
      <c r="W474" s="3496"/>
      <c r="X474" s="5523"/>
      <c r="Y474" s="5523"/>
      <c r="Z474" s="5523"/>
      <c r="AA474" s="5524"/>
      <c r="AB474" s="5581"/>
      <c r="AC474" s="4316"/>
      <c r="AD474" s="3496"/>
      <c r="AE474" s="5610"/>
      <c r="AF474" s="5610"/>
      <c r="AG474" s="10570"/>
    </row>
    <row r="475" spans="1:33" ht="18" customHeight="1">
      <c r="A475" s="11139"/>
      <c r="B475" s="11136"/>
      <c r="C475" s="11124"/>
      <c r="D475" s="11124"/>
      <c r="E475" s="11124"/>
      <c r="F475" s="11124"/>
      <c r="G475" s="11124"/>
      <c r="H475" s="11124"/>
      <c r="I475" s="11124"/>
      <c r="J475" s="11124"/>
      <c r="K475" s="11124"/>
      <c r="L475" s="11131"/>
      <c r="M475" s="11131"/>
      <c r="N475" s="11131"/>
      <c r="O475" s="11124"/>
      <c r="P475" s="11124"/>
      <c r="Q475" s="11127"/>
      <c r="R475" s="3541"/>
      <c r="S475" s="5467"/>
      <c r="T475" s="5467"/>
      <c r="U475" s="3542"/>
      <c r="V475" s="5499"/>
      <c r="W475" s="3496"/>
      <c r="X475" s="5523"/>
      <c r="Y475" s="5523"/>
      <c r="Z475" s="5523"/>
      <c r="AA475" s="5524"/>
      <c r="AB475" s="5581"/>
      <c r="AC475" s="4316"/>
      <c r="AD475" s="3496"/>
      <c r="AE475" s="5610"/>
      <c r="AF475" s="5610"/>
      <c r="AG475" s="10570"/>
    </row>
    <row r="476" spans="1:33" ht="18" customHeight="1">
      <c r="A476" s="11139"/>
      <c r="B476" s="11137"/>
      <c r="C476" s="11125"/>
      <c r="D476" s="11125"/>
      <c r="E476" s="11125"/>
      <c r="F476" s="11125"/>
      <c r="G476" s="11125"/>
      <c r="H476" s="11125"/>
      <c r="I476" s="11125"/>
      <c r="J476" s="11125"/>
      <c r="K476" s="11125"/>
      <c r="L476" s="11134"/>
      <c r="M476" s="11134"/>
      <c r="N476" s="11134"/>
      <c r="O476" s="11125"/>
      <c r="P476" s="11125"/>
      <c r="Q476" s="11135"/>
      <c r="R476" s="3773"/>
      <c r="S476" s="5476"/>
      <c r="T476" s="5476"/>
      <c r="U476" s="3760"/>
      <c r="V476" s="5509"/>
      <c r="W476" s="3714"/>
      <c r="X476" s="5544"/>
      <c r="Y476" s="5544"/>
      <c r="Z476" s="5544"/>
      <c r="AA476" s="5545"/>
      <c r="AB476" s="5592"/>
      <c r="AC476" s="4320"/>
      <c r="AD476" s="3714"/>
      <c r="AE476" s="5624"/>
      <c r="AF476" s="5624"/>
      <c r="AG476" s="10571"/>
    </row>
    <row r="477" spans="1:33" ht="18" customHeight="1">
      <c r="A477" s="11139"/>
      <c r="B477" s="10516" t="s">
        <v>127</v>
      </c>
      <c r="C477" s="10433" t="s">
        <v>128</v>
      </c>
      <c r="D477" s="10433" t="s">
        <v>129</v>
      </c>
      <c r="E477" s="10433" t="s">
        <v>157</v>
      </c>
      <c r="F477" s="10442" t="s">
        <v>131</v>
      </c>
      <c r="G477" s="10433" t="s">
        <v>132</v>
      </c>
      <c r="H477" s="10433" t="s">
        <v>159</v>
      </c>
      <c r="I477" s="10433" t="s">
        <v>6015</v>
      </c>
      <c r="J477" s="10433" t="s">
        <v>6016</v>
      </c>
      <c r="K477" s="10433" t="s">
        <v>5761</v>
      </c>
      <c r="L477" s="11130">
        <v>2</v>
      </c>
      <c r="M477" s="11130">
        <v>0</v>
      </c>
      <c r="N477" s="11130">
        <v>2</v>
      </c>
      <c r="O477" s="10433" t="s">
        <v>6017</v>
      </c>
      <c r="P477" s="10433" t="s">
        <v>6018</v>
      </c>
      <c r="Q477" s="10439" t="s">
        <v>6112</v>
      </c>
      <c r="R477" s="3776"/>
      <c r="S477" s="5466"/>
      <c r="T477" s="5466"/>
      <c r="U477" s="3762"/>
      <c r="V477" s="5502"/>
      <c r="W477" s="3709"/>
      <c r="X477" s="5529"/>
      <c r="Y477" s="5529"/>
      <c r="Z477" s="5529"/>
      <c r="AA477" s="5530"/>
      <c r="AB477" s="5584"/>
      <c r="AC477" s="4338"/>
      <c r="AD477" s="3709"/>
      <c r="AE477" s="5626"/>
      <c r="AF477" s="5626"/>
      <c r="AG477" s="10525"/>
    </row>
    <row r="478" spans="1:33" ht="18" customHeight="1">
      <c r="A478" s="11139"/>
      <c r="B478" s="11136"/>
      <c r="C478" s="11124"/>
      <c r="D478" s="11124"/>
      <c r="E478" s="11124"/>
      <c r="F478" s="11124"/>
      <c r="G478" s="11124"/>
      <c r="H478" s="11124"/>
      <c r="I478" s="11124"/>
      <c r="J478" s="11124"/>
      <c r="K478" s="11124"/>
      <c r="L478" s="11131"/>
      <c r="M478" s="11131"/>
      <c r="N478" s="11131"/>
      <c r="O478" s="11124"/>
      <c r="P478" s="11124"/>
      <c r="Q478" s="11127"/>
      <c r="R478" s="3541"/>
      <c r="S478" s="5467"/>
      <c r="T478" s="5467"/>
      <c r="U478" s="3542"/>
      <c r="V478" s="5499"/>
      <c r="W478" s="3496"/>
      <c r="X478" s="5523"/>
      <c r="Y478" s="5523"/>
      <c r="Z478" s="5523"/>
      <c r="AA478" s="5524"/>
      <c r="AB478" s="5581"/>
      <c r="AC478" s="4316"/>
      <c r="AD478" s="3496"/>
      <c r="AE478" s="5610"/>
      <c r="AF478" s="5610"/>
      <c r="AG478" s="11115"/>
    </row>
    <row r="479" spans="1:33" ht="18" customHeight="1">
      <c r="A479" s="11139"/>
      <c r="B479" s="11136"/>
      <c r="C479" s="11124"/>
      <c r="D479" s="11124"/>
      <c r="E479" s="11124"/>
      <c r="F479" s="11124"/>
      <c r="G479" s="11124"/>
      <c r="H479" s="11124"/>
      <c r="I479" s="11124"/>
      <c r="J479" s="11124"/>
      <c r="K479" s="11124"/>
      <c r="L479" s="11131"/>
      <c r="M479" s="11131"/>
      <c r="N479" s="11131"/>
      <c r="O479" s="11124"/>
      <c r="P479" s="11124"/>
      <c r="Q479" s="11127"/>
      <c r="R479" s="3541"/>
      <c r="S479" s="5467"/>
      <c r="T479" s="5467"/>
      <c r="U479" s="3542"/>
      <c r="V479" s="5499"/>
      <c r="W479" s="3496"/>
      <c r="X479" s="5523"/>
      <c r="Y479" s="5523"/>
      <c r="Z479" s="5523"/>
      <c r="AA479" s="5524"/>
      <c r="AB479" s="5581"/>
      <c r="AC479" s="4316"/>
      <c r="AD479" s="3496"/>
      <c r="AE479" s="5610"/>
      <c r="AF479" s="5610"/>
      <c r="AG479" s="11115"/>
    </row>
    <row r="480" spans="1:33" ht="18" customHeight="1">
      <c r="A480" s="11139"/>
      <c r="B480" s="11136"/>
      <c r="C480" s="11124"/>
      <c r="D480" s="11124"/>
      <c r="E480" s="11124"/>
      <c r="F480" s="11124"/>
      <c r="G480" s="11124"/>
      <c r="H480" s="11124"/>
      <c r="I480" s="11124"/>
      <c r="J480" s="11124"/>
      <c r="K480" s="11124"/>
      <c r="L480" s="11131"/>
      <c r="M480" s="11131"/>
      <c r="N480" s="11131"/>
      <c r="O480" s="11124"/>
      <c r="P480" s="11124"/>
      <c r="Q480" s="11127"/>
      <c r="R480" s="3541"/>
      <c r="S480" s="5467"/>
      <c r="T480" s="5467"/>
      <c r="U480" s="3542"/>
      <c r="V480" s="5499"/>
      <c r="W480" s="3496"/>
      <c r="X480" s="5523"/>
      <c r="Y480" s="5523"/>
      <c r="Z480" s="5523"/>
      <c r="AA480" s="5524"/>
      <c r="AB480" s="5581"/>
      <c r="AC480" s="4316"/>
      <c r="AD480" s="3496"/>
      <c r="AE480" s="5610"/>
      <c r="AF480" s="5610"/>
      <c r="AG480" s="11115"/>
    </row>
    <row r="481" spans="1:33" ht="18" customHeight="1">
      <c r="A481" s="11139"/>
      <c r="B481" s="11138"/>
      <c r="C481" s="11126"/>
      <c r="D481" s="11126"/>
      <c r="E481" s="11126"/>
      <c r="F481" s="11126"/>
      <c r="G481" s="11126"/>
      <c r="H481" s="11126"/>
      <c r="I481" s="11126"/>
      <c r="J481" s="11126"/>
      <c r="K481" s="11126"/>
      <c r="L481" s="11132"/>
      <c r="M481" s="11132"/>
      <c r="N481" s="11132"/>
      <c r="O481" s="11126"/>
      <c r="P481" s="11126"/>
      <c r="Q481" s="11128"/>
      <c r="R481" s="3556"/>
      <c r="S481" s="5486"/>
      <c r="T481" s="5486"/>
      <c r="U481" s="4661"/>
      <c r="V481" s="5503"/>
      <c r="W481" s="3545"/>
      <c r="X481" s="5532"/>
      <c r="Y481" s="5532"/>
      <c r="Z481" s="5532"/>
      <c r="AA481" s="5533"/>
      <c r="AB481" s="5585"/>
      <c r="AC481" s="4318"/>
      <c r="AD481" s="3545"/>
      <c r="AE481" s="5625"/>
      <c r="AF481" s="5625"/>
      <c r="AG481" s="11116"/>
    </row>
    <row r="482" spans="1:33" ht="18" customHeight="1">
      <c r="A482" s="11139"/>
      <c r="B482" s="10512" t="s">
        <v>127</v>
      </c>
      <c r="C482" s="10444" t="s">
        <v>128</v>
      </c>
      <c r="D482" s="10444" t="s">
        <v>129</v>
      </c>
      <c r="E482" s="10444" t="s">
        <v>157</v>
      </c>
      <c r="F482" s="10451" t="s">
        <v>131</v>
      </c>
      <c r="G482" s="10444" t="s">
        <v>132</v>
      </c>
      <c r="H482" s="10444" t="s">
        <v>159</v>
      </c>
      <c r="I482" s="10444" t="s">
        <v>6020</v>
      </c>
      <c r="J482" s="10444" t="s">
        <v>6021</v>
      </c>
      <c r="K482" s="10444" t="s">
        <v>6022</v>
      </c>
      <c r="L482" s="11133">
        <v>0</v>
      </c>
      <c r="M482" s="11133">
        <v>1</v>
      </c>
      <c r="N482" s="11133">
        <v>0</v>
      </c>
      <c r="O482" s="10444" t="s">
        <v>6023</v>
      </c>
      <c r="P482" s="10444" t="s">
        <v>6024</v>
      </c>
      <c r="Q482" s="10449" t="s">
        <v>6113</v>
      </c>
      <c r="R482" s="3767"/>
      <c r="S482" s="5469"/>
      <c r="T482" s="5469"/>
      <c r="U482" s="3758"/>
      <c r="V482" s="5504"/>
      <c r="W482" s="3658"/>
      <c r="X482" s="5534"/>
      <c r="Y482" s="5534"/>
      <c r="Z482" s="5534"/>
      <c r="AA482" s="5535"/>
      <c r="AB482" s="5586"/>
      <c r="AC482" s="4314"/>
      <c r="AD482" s="3658"/>
      <c r="AE482" s="5623"/>
      <c r="AF482" s="5623"/>
      <c r="AG482" s="10525"/>
    </row>
    <row r="483" spans="1:33" ht="18" customHeight="1">
      <c r="A483" s="11139"/>
      <c r="B483" s="11136"/>
      <c r="C483" s="11124"/>
      <c r="D483" s="11124"/>
      <c r="E483" s="11124"/>
      <c r="F483" s="11124"/>
      <c r="G483" s="11124"/>
      <c r="H483" s="11124"/>
      <c r="I483" s="11124"/>
      <c r="J483" s="11124"/>
      <c r="K483" s="11124"/>
      <c r="L483" s="11131"/>
      <c r="M483" s="11131"/>
      <c r="N483" s="11131"/>
      <c r="O483" s="11124"/>
      <c r="P483" s="11124"/>
      <c r="Q483" s="11127"/>
      <c r="R483" s="3541"/>
      <c r="S483" s="5467"/>
      <c r="T483" s="5467"/>
      <c r="U483" s="3542"/>
      <c r="V483" s="5499"/>
      <c r="W483" s="3496"/>
      <c r="X483" s="5523"/>
      <c r="Y483" s="5523"/>
      <c r="Z483" s="5523"/>
      <c r="AA483" s="5524"/>
      <c r="AB483" s="5581"/>
      <c r="AC483" s="4316"/>
      <c r="AD483" s="3496"/>
      <c r="AE483" s="5610"/>
      <c r="AF483" s="5610"/>
      <c r="AG483" s="11115"/>
    </row>
    <row r="484" spans="1:33" ht="18" customHeight="1">
      <c r="A484" s="11139"/>
      <c r="B484" s="11136"/>
      <c r="C484" s="11124"/>
      <c r="D484" s="11124"/>
      <c r="E484" s="11124"/>
      <c r="F484" s="11124"/>
      <c r="G484" s="11124"/>
      <c r="H484" s="11124"/>
      <c r="I484" s="11124"/>
      <c r="J484" s="11124"/>
      <c r="K484" s="11124"/>
      <c r="L484" s="11131"/>
      <c r="M484" s="11131"/>
      <c r="N484" s="11131"/>
      <c r="O484" s="11124"/>
      <c r="P484" s="11124"/>
      <c r="Q484" s="11127"/>
      <c r="R484" s="3541"/>
      <c r="S484" s="5467"/>
      <c r="T484" s="5467"/>
      <c r="U484" s="3542"/>
      <c r="V484" s="5499"/>
      <c r="W484" s="3496"/>
      <c r="X484" s="5523"/>
      <c r="Y484" s="5523"/>
      <c r="Z484" s="5523"/>
      <c r="AA484" s="5524"/>
      <c r="AB484" s="5581"/>
      <c r="AC484" s="4316"/>
      <c r="AD484" s="3496"/>
      <c r="AE484" s="5610"/>
      <c r="AF484" s="5610"/>
      <c r="AG484" s="11115"/>
    </row>
    <row r="485" spans="1:33" ht="18" customHeight="1">
      <c r="A485" s="11139"/>
      <c r="B485" s="11136"/>
      <c r="C485" s="11124"/>
      <c r="D485" s="11124"/>
      <c r="E485" s="11124"/>
      <c r="F485" s="11124"/>
      <c r="G485" s="11124"/>
      <c r="H485" s="11124"/>
      <c r="I485" s="11124"/>
      <c r="J485" s="11124"/>
      <c r="K485" s="11124"/>
      <c r="L485" s="11131"/>
      <c r="M485" s="11131"/>
      <c r="N485" s="11131"/>
      <c r="O485" s="11124"/>
      <c r="P485" s="11124"/>
      <c r="Q485" s="11127"/>
      <c r="R485" s="3541"/>
      <c r="S485" s="5467"/>
      <c r="T485" s="5467"/>
      <c r="U485" s="3542"/>
      <c r="V485" s="5499"/>
      <c r="W485" s="3496"/>
      <c r="X485" s="5523"/>
      <c r="Y485" s="5523"/>
      <c r="Z485" s="5523"/>
      <c r="AA485" s="5524"/>
      <c r="AB485" s="5581"/>
      <c r="AC485" s="4316"/>
      <c r="AD485" s="3496"/>
      <c r="AE485" s="5610"/>
      <c r="AF485" s="5610"/>
      <c r="AG485" s="11115"/>
    </row>
    <row r="486" spans="1:33" ht="18" customHeight="1">
      <c r="A486" s="11139"/>
      <c r="B486" s="11137"/>
      <c r="C486" s="11125"/>
      <c r="D486" s="11125"/>
      <c r="E486" s="11125"/>
      <c r="F486" s="11125"/>
      <c r="G486" s="11125"/>
      <c r="H486" s="11125"/>
      <c r="I486" s="11125"/>
      <c r="J486" s="11125"/>
      <c r="K486" s="11125"/>
      <c r="L486" s="11134"/>
      <c r="M486" s="11134"/>
      <c r="N486" s="11134"/>
      <c r="O486" s="11125"/>
      <c r="P486" s="11125"/>
      <c r="Q486" s="11135"/>
      <c r="R486" s="3773"/>
      <c r="S486" s="5476"/>
      <c r="T486" s="5487"/>
      <c r="U486" s="3823"/>
      <c r="V486" s="5514"/>
      <c r="W486" s="3747"/>
      <c r="X486" s="5572"/>
      <c r="Y486" s="5572"/>
      <c r="Z486" s="5572"/>
      <c r="AA486" s="5573"/>
      <c r="AB486" s="5605"/>
      <c r="AC486" s="4354"/>
      <c r="AD486" s="3747"/>
      <c r="AE486" s="5624"/>
      <c r="AF486" s="5624"/>
      <c r="AG486" s="11116"/>
    </row>
    <row r="487" spans="1:33" ht="18" customHeight="1">
      <c r="A487" s="11139"/>
      <c r="B487" s="10516" t="s">
        <v>183</v>
      </c>
      <c r="C487" s="10433" t="s">
        <v>227</v>
      </c>
      <c r="D487" s="10433" t="s">
        <v>228</v>
      </c>
      <c r="E487" s="10433" t="s">
        <v>229</v>
      </c>
      <c r="F487" s="10442" t="s">
        <v>230</v>
      </c>
      <c r="G487" s="10433" t="s">
        <v>132</v>
      </c>
      <c r="H487" s="10433" t="s">
        <v>159</v>
      </c>
      <c r="I487" s="10433" t="s">
        <v>6026</v>
      </c>
      <c r="J487" s="10433" t="s">
        <v>6027</v>
      </c>
      <c r="K487" s="10433" t="s">
        <v>6022</v>
      </c>
      <c r="L487" s="11130">
        <v>0</v>
      </c>
      <c r="M487" s="11130">
        <v>1</v>
      </c>
      <c r="N487" s="11130">
        <v>1</v>
      </c>
      <c r="O487" s="10433" t="s">
        <v>6028</v>
      </c>
      <c r="P487" s="10433" t="s">
        <v>6029</v>
      </c>
      <c r="Q487" s="10439" t="s">
        <v>6113</v>
      </c>
      <c r="R487" s="3776"/>
      <c r="S487" s="5466"/>
      <c r="T487" s="5488"/>
      <c r="U487" s="5496"/>
      <c r="V487" s="5515"/>
      <c r="W487" s="3731"/>
      <c r="X487" s="5574"/>
      <c r="Y487" s="5574"/>
      <c r="Z487" s="5574"/>
      <c r="AA487" s="5575"/>
      <c r="AB487" s="5606"/>
      <c r="AC487" s="4342"/>
      <c r="AD487" s="3731"/>
      <c r="AE487" s="5626"/>
      <c r="AF487" s="5626"/>
      <c r="AG487" s="10525"/>
    </row>
    <row r="488" spans="1:33" ht="18" customHeight="1">
      <c r="A488" s="11139"/>
      <c r="B488" s="11136"/>
      <c r="C488" s="11124"/>
      <c r="D488" s="11124"/>
      <c r="E488" s="11124"/>
      <c r="F488" s="11124"/>
      <c r="G488" s="11124"/>
      <c r="H488" s="11124"/>
      <c r="I488" s="11124"/>
      <c r="J488" s="11124"/>
      <c r="K488" s="11124"/>
      <c r="L488" s="11131"/>
      <c r="M488" s="11131"/>
      <c r="N488" s="11131"/>
      <c r="O488" s="11124"/>
      <c r="P488" s="11124"/>
      <c r="Q488" s="11127"/>
      <c r="R488" s="3538"/>
      <c r="S488" s="5463"/>
      <c r="T488" s="5478"/>
      <c r="U488" s="3765"/>
      <c r="V488" s="5510"/>
      <c r="W488" s="3678"/>
      <c r="X488" s="5546"/>
      <c r="Y488" s="5546"/>
      <c r="Z488" s="5546"/>
      <c r="AA488" s="5547"/>
      <c r="AB488" s="5593"/>
      <c r="AC488" s="4331"/>
      <c r="AD488" s="3678"/>
      <c r="AE488" s="5610"/>
      <c r="AF488" s="5610"/>
      <c r="AG488" s="11115"/>
    </row>
    <row r="489" spans="1:33" ht="18" customHeight="1">
      <c r="A489" s="11139"/>
      <c r="B489" s="11136"/>
      <c r="C489" s="11124"/>
      <c r="D489" s="11124"/>
      <c r="E489" s="11124"/>
      <c r="F489" s="11124"/>
      <c r="G489" s="11124"/>
      <c r="H489" s="11124"/>
      <c r="I489" s="11124"/>
      <c r="J489" s="11124"/>
      <c r="K489" s="11124"/>
      <c r="L489" s="11131"/>
      <c r="M489" s="11131"/>
      <c r="N489" s="11131"/>
      <c r="O489" s="11124"/>
      <c r="P489" s="11124"/>
      <c r="Q489" s="11127"/>
      <c r="R489" s="3538"/>
      <c r="S489" s="5463"/>
      <c r="T489" s="5478"/>
      <c r="U489" s="3765"/>
      <c r="V489" s="5510"/>
      <c r="W489" s="3678"/>
      <c r="X489" s="5546"/>
      <c r="Y489" s="5546"/>
      <c r="Z489" s="5546"/>
      <c r="AA489" s="5547"/>
      <c r="AB489" s="5593"/>
      <c r="AC489" s="4331"/>
      <c r="AD489" s="3678"/>
      <c r="AE489" s="5610"/>
      <c r="AF489" s="5610"/>
      <c r="AG489" s="11115"/>
    </row>
    <row r="490" spans="1:33" ht="18" customHeight="1">
      <c r="A490" s="11139"/>
      <c r="B490" s="11136"/>
      <c r="C490" s="11124"/>
      <c r="D490" s="11124"/>
      <c r="E490" s="11124"/>
      <c r="F490" s="11124"/>
      <c r="G490" s="11124"/>
      <c r="H490" s="11124"/>
      <c r="I490" s="11124"/>
      <c r="J490" s="11124"/>
      <c r="K490" s="11124"/>
      <c r="L490" s="11131"/>
      <c r="M490" s="11131"/>
      <c r="N490" s="11131"/>
      <c r="O490" s="11124"/>
      <c r="P490" s="11124"/>
      <c r="Q490" s="11127"/>
      <c r="R490" s="3541"/>
      <c r="S490" s="5467"/>
      <c r="T490" s="5489"/>
      <c r="U490" s="3765"/>
      <c r="V490" s="5510"/>
      <c r="W490" s="3678"/>
      <c r="X490" s="5546"/>
      <c r="Y490" s="5546"/>
      <c r="Z490" s="5546"/>
      <c r="AA490" s="5547"/>
      <c r="AB490" s="5593"/>
      <c r="AC490" s="4331"/>
      <c r="AD490" s="3678"/>
      <c r="AE490" s="5610"/>
      <c r="AF490" s="5610"/>
      <c r="AG490" s="11115"/>
    </row>
    <row r="491" spans="1:33" ht="18" customHeight="1">
      <c r="A491" s="11139"/>
      <c r="B491" s="11137"/>
      <c r="C491" s="11125"/>
      <c r="D491" s="11125"/>
      <c r="E491" s="11125"/>
      <c r="F491" s="11125"/>
      <c r="G491" s="11125"/>
      <c r="H491" s="11125"/>
      <c r="I491" s="11125"/>
      <c r="J491" s="11125"/>
      <c r="K491" s="11125"/>
      <c r="L491" s="11134"/>
      <c r="M491" s="11134"/>
      <c r="N491" s="11134"/>
      <c r="O491" s="11125"/>
      <c r="P491" s="11125"/>
      <c r="Q491" s="11135"/>
      <c r="R491" s="3768"/>
      <c r="S491" s="5477"/>
      <c r="T491" s="5477"/>
      <c r="U491" s="3759"/>
      <c r="V491" s="5509"/>
      <c r="W491" s="3714"/>
      <c r="X491" s="5544"/>
      <c r="Y491" s="5544"/>
      <c r="Z491" s="5544"/>
      <c r="AA491" s="5545"/>
      <c r="AB491" s="5592"/>
      <c r="AC491" s="4320"/>
      <c r="AD491" s="3747"/>
      <c r="AE491" s="5624"/>
      <c r="AF491" s="5624"/>
      <c r="AG491" s="11116"/>
    </row>
    <row r="492" spans="1:33" ht="38.25">
      <c r="A492" s="11139"/>
      <c r="B492" s="10516" t="s">
        <v>183</v>
      </c>
      <c r="C492" s="10433" t="s">
        <v>227</v>
      </c>
      <c r="D492" s="10433" t="s">
        <v>185</v>
      </c>
      <c r="E492" s="10433" t="s">
        <v>186</v>
      </c>
      <c r="F492" s="10442" t="s">
        <v>230</v>
      </c>
      <c r="G492" s="10433" t="s">
        <v>171</v>
      </c>
      <c r="H492" s="10433" t="s">
        <v>133</v>
      </c>
      <c r="I492" s="10433" t="s">
        <v>6030</v>
      </c>
      <c r="J492" s="10433" t="s">
        <v>6031</v>
      </c>
      <c r="K492" s="10433" t="s">
        <v>5900</v>
      </c>
      <c r="L492" s="10470">
        <v>1</v>
      </c>
      <c r="M492" s="10470">
        <v>0</v>
      </c>
      <c r="N492" s="10470">
        <v>1</v>
      </c>
      <c r="O492" s="10433" t="s">
        <v>6114</v>
      </c>
      <c r="P492" s="10433" t="s">
        <v>6115</v>
      </c>
      <c r="Q492" s="10439" t="s">
        <v>6116</v>
      </c>
      <c r="R492" s="3776" t="s">
        <v>81</v>
      </c>
      <c r="S492" s="5490" t="s">
        <v>1129</v>
      </c>
      <c r="T492" s="5481"/>
      <c r="U492" s="3817" t="s">
        <v>40</v>
      </c>
      <c r="V492" s="5502"/>
      <c r="W492" s="3709"/>
      <c r="X492" s="5529"/>
      <c r="Y492" s="5529"/>
      <c r="Z492" s="5529"/>
      <c r="AA492" s="5530">
        <f>SUM($Z$493:$Z$494)</f>
        <v>3864.0000000000005</v>
      </c>
      <c r="AB492" s="5584" t="s">
        <v>18</v>
      </c>
      <c r="AC492" s="4338"/>
      <c r="AD492" s="3731"/>
      <c r="AE492" s="5626"/>
      <c r="AF492" s="5626"/>
      <c r="AG492" s="10525"/>
    </row>
    <row r="493" spans="1:33" ht="42" customHeight="1">
      <c r="A493" s="11139"/>
      <c r="B493" s="11136"/>
      <c r="C493" s="11124"/>
      <c r="D493" s="11124"/>
      <c r="E493" s="11124"/>
      <c r="F493" s="11124"/>
      <c r="G493" s="11124"/>
      <c r="H493" s="11124"/>
      <c r="I493" s="11124"/>
      <c r="J493" s="11124"/>
      <c r="K493" s="11124"/>
      <c r="L493" s="11131"/>
      <c r="M493" s="11131"/>
      <c r="N493" s="11131"/>
      <c r="O493" s="11124"/>
      <c r="P493" s="11124"/>
      <c r="Q493" s="11127"/>
      <c r="R493" s="3541"/>
      <c r="S493" s="5467"/>
      <c r="T493" s="5463">
        <v>4516003136</v>
      </c>
      <c r="U493" s="3495" t="s">
        <v>6105</v>
      </c>
      <c r="V493" s="5499">
        <v>1</v>
      </c>
      <c r="W493" s="3496" t="s">
        <v>6106</v>
      </c>
      <c r="X493" s="5523">
        <v>650</v>
      </c>
      <c r="Y493" s="5523">
        <f t="shared" ref="Y493:Y494" si="11">+V493*X493</f>
        <v>650</v>
      </c>
      <c r="Z493" s="5523">
        <f t="shared" ref="Z493:Z494" si="12">+Y493*1.12</f>
        <v>728.00000000000011</v>
      </c>
      <c r="AA493" s="5524"/>
      <c r="AB493" s="5581"/>
      <c r="AC493" s="4316"/>
      <c r="AD493" s="3678"/>
      <c r="AE493" s="5634" t="s">
        <v>153</v>
      </c>
      <c r="AF493" s="5610"/>
      <c r="AG493" s="11115"/>
    </row>
    <row r="494" spans="1:33" ht="27.75" customHeight="1">
      <c r="A494" s="11139"/>
      <c r="B494" s="11136"/>
      <c r="C494" s="11124"/>
      <c r="D494" s="11124"/>
      <c r="E494" s="11124"/>
      <c r="F494" s="11124"/>
      <c r="G494" s="11124"/>
      <c r="H494" s="11124"/>
      <c r="I494" s="11124"/>
      <c r="J494" s="11124"/>
      <c r="K494" s="11124"/>
      <c r="L494" s="11131"/>
      <c r="M494" s="11131"/>
      <c r="N494" s="11131"/>
      <c r="O494" s="11124"/>
      <c r="P494" s="11124"/>
      <c r="Q494" s="11127"/>
      <c r="R494" s="3541"/>
      <c r="S494" s="5467"/>
      <c r="T494" s="5463" t="s">
        <v>6117</v>
      </c>
      <c r="U494" s="3495" t="s">
        <v>1712</v>
      </c>
      <c r="V494" s="5499">
        <v>2</v>
      </c>
      <c r="W494" s="3496" t="s">
        <v>180</v>
      </c>
      <c r="X494" s="5523">
        <v>1400</v>
      </c>
      <c r="Y494" s="5523">
        <f t="shared" si="11"/>
        <v>2800</v>
      </c>
      <c r="Z494" s="5523">
        <f t="shared" si="12"/>
        <v>3136.0000000000005</v>
      </c>
      <c r="AA494" s="5524"/>
      <c r="AB494" s="5581"/>
      <c r="AC494" s="4316"/>
      <c r="AD494" s="3678"/>
      <c r="AE494" s="5634" t="s">
        <v>153</v>
      </c>
      <c r="AF494" s="5610"/>
      <c r="AG494" s="11115"/>
    </row>
    <row r="495" spans="1:33" ht="27.75" customHeight="1">
      <c r="A495" s="11139"/>
      <c r="B495" s="11136"/>
      <c r="C495" s="11124"/>
      <c r="D495" s="11124"/>
      <c r="E495" s="11124"/>
      <c r="F495" s="11124"/>
      <c r="G495" s="11124"/>
      <c r="H495" s="11124"/>
      <c r="I495" s="11124"/>
      <c r="J495" s="11124"/>
      <c r="K495" s="11124"/>
      <c r="L495" s="11131"/>
      <c r="M495" s="11131"/>
      <c r="N495" s="11131"/>
      <c r="O495" s="11124"/>
      <c r="P495" s="11124"/>
      <c r="Q495" s="11127"/>
      <c r="R495" s="4364" t="s">
        <v>80</v>
      </c>
      <c r="S495" s="5474">
        <v>530204</v>
      </c>
      <c r="T495" s="5473"/>
      <c r="U495" s="3799" t="s">
        <v>6118</v>
      </c>
      <c r="V495" s="5507"/>
      <c r="W495" s="3670"/>
      <c r="X495" s="5542"/>
      <c r="Y495" s="5542"/>
      <c r="Z495" s="5542"/>
      <c r="AA495" s="5541">
        <f>+Z496</f>
        <v>2000</v>
      </c>
      <c r="AB495" s="5590" t="s">
        <v>25</v>
      </c>
      <c r="AC495" s="4316"/>
      <c r="AD495" s="3678"/>
      <c r="AE495" s="5634"/>
      <c r="AF495" s="5610"/>
      <c r="AG495" s="11115"/>
    </row>
    <row r="496" spans="1:33" ht="27.75" customHeight="1">
      <c r="A496" s="11139"/>
      <c r="B496" s="11136"/>
      <c r="C496" s="11124"/>
      <c r="D496" s="11124"/>
      <c r="E496" s="11124"/>
      <c r="F496" s="11124"/>
      <c r="G496" s="11124"/>
      <c r="H496" s="11124"/>
      <c r="I496" s="11124"/>
      <c r="J496" s="11124"/>
      <c r="K496" s="11124"/>
      <c r="L496" s="11131"/>
      <c r="M496" s="11131"/>
      <c r="N496" s="11131"/>
      <c r="O496" s="11124"/>
      <c r="P496" s="11124"/>
      <c r="Q496" s="11127"/>
      <c r="R496" s="4364"/>
      <c r="S496" s="5474"/>
      <c r="T496" s="5473"/>
      <c r="U496" s="3804" t="s">
        <v>6119</v>
      </c>
      <c r="V496" s="5507">
        <v>1</v>
      </c>
      <c r="W496" s="3670" t="s">
        <v>180</v>
      </c>
      <c r="X496" s="5542">
        <f>2000/1.12</f>
        <v>1785.7142857142856</v>
      </c>
      <c r="Y496" s="5542">
        <f t="shared" ref="Y496" si="13">+V496*X496</f>
        <v>1785.7142857142856</v>
      </c>
      <c r="Z496" s="5542">
        <f t="shared" ref="Z496" si="14">+Y496*1.12</f>
        <v>2000</v>
      </c>
      <c r="AA496" s="5524"/>
      <c r="AB496" s="5581"/>
      <c r="AC496" s="4316"/>
      <c r="AD496" s="3678"/>
      <c r="AE496" s="5634"/>
      <c r="AF496" s="5617" t="s">
        <v>153</v>
      </c>
      <c r="AG496" s="11115"/>
    </row>
    <row r="497" spans="1:33" ht="29.25" customHeight="1">
      <c r="A497" s="11139"/>
      <c r="B497" s="11136"/>
      <c r="C497" s="11124"/>
      <c r="D497" s="11124"/>
      <c r="E497" s="11124"/>
      <c r="F497" s="11124"/>
      <c r="G497" s="11124"/>
      <c r="H497" s="11124"/>
      <c r="I497" s="11124"/>
      <c r="J497" s="11124"/>
      <c r="K497" s="11124"/>
      <c r="L497" s="11131"/>
      <c r="M497" s="11131"/>
      <c r="N497" s="11131"/>
      <c r="O497" s="11124"/>
      <c r="P497" s="11124"/>
      <c r="Q497" s="11127"/>
      <c r="R497" s="3541" t="s">
        <v>81</v>
      </c>
      <c r="S497" s="5467">
        <v>530807</v>
      </c>
      <c r="T497" s="5467"/>
      <c r="U497" s="3542" t="s">
        <v>1006</v>
      </c>
      <c r="V497" s="5508"/>
      <c r="W497" s="3496"/>
      <c r="X497" s="5523"/>
      <c r="Y497" s="5523"/>
      <c r="Z497" s="5523"/>
      <c r="AA497" s="5524">
        <f>SUM($Z$498:$Z$501)</f>
        <v>332.64000000000004</v>
      </c>
      <c r="AB497" s="5581" t="s">
        <v>26</v>
      </c>
      <c r="AC497" s="4316"/>
      <c r="AD497" s="3678"/>
      <c r="AE497" s="5610"/>
      <c r="AF497" s="5610"/>
      <c r="AG497" s="11115"/>
    </row>
    <row r="498" spans="1:33" ht="29.25" customHeight="1">
      <c r="A498" s="11139"/>
      <c r="B498" s="11136"/>
      <c r="C498" s="11124"/>
      <c r="D498" s="11124"/>
      <c r="E498" s="11124"/>
      <c r="F498" s="11124"/>
      <c r="G498" s="11124"/>
      <c r="H498" s="11124"/>
      <c r="I498" s="11124"/>
      <c r="J498" s="11124"/>
      <c r="K498" s="11124"/>
      <c r="L498" s="11131"/>
      <c r="M498" s="11131"/>
      <c r="N498" s="11131"/>
      <c r="O498" s="11124"/>
      <c r="P498" s="11124"/>
      <c r="Q498" s="11127"/>
      <c r="R498" s="3541"/>
      <c r="S498" s="5467"/>
      <c r="T498" s="5467">
        <v>351300111</v>
      </c>
      <c r="U498" s="3495" t="s">
        <v>6120</v>
      </c>
      <c r="V498" s="5499">
        <v>7</v>
      </c>
      <c r="W498" s="3496" t="s">
        <v>6106</v>
      </c>
      <c r="X498" s="5523">
        <v>9</v>
      </c>
      <c r="Y498" s="5523">
        <f t="shared" ref="Y498:Y501" si="15">+V498*X498</f>
        <v>63</v>
      </c>
      <c r="Z498" s="5523">
        <f t="shared" ref="Z498:Z501" si="16">+Y498*1.12</f>
        <v>70.56</v>
      </c>
      <c r="AA498" s="5524"/>
      <c r="AB498" s="5581"/>
      <c r="AC498" s="4316"/>
      <c r="AD498" s="3678" t="s">
        <v>153</v>
      </c>
      <c r="AE498" s="5610"/>
      <c r="AF498" s="5610"/>
      <c r="AG498" s="11115"/>
    </row>
    <row r="499" spans="1:33" ht="29.25" customHeight="1">
      <c r="A499" s="11139"/>
      <c r="B499" s="11136"/>
      <c r="C499" s="11124"/>
      <c r="D499" s="11124"/>
      <c r="E499" s="11124"/>
      <c r="F499" s="11124"/>
      <c r="G499" s="11124"/>
      <c r="H499" s="11124"/>
      <c r="I499" s="11124"/>
      <c r="J499" s="11124"/>
      <c r="K499" s="11124"/>
      <c r="L499" s="11131"/>
      <c r="M499" s="11131"/>
      <c r="N499" s="11131"/>
      <c r="O499" s="11124"/>
      <c r="P499" s="11124"/>
      <c r="Q499" s="11127"/>
      <c r="R499" s="3541"/>
      <c r="S499" s="5467"/>
      <c r="T499" s="5467">
        <v>351300111</v>
      </c>
      <c r="U499" s="3495" t="s">
        <v>6121</v>
      </c>
      <c r="V499" s="5499">
        <v>7</v>
      </c>
      <c r="W499" s="3496" t="s">
        <v>6106</v>
      </c>
      <c r="X499" s="5523">
        <v>9</v>
      </c>
      <c r="Y499" s="5523">
        <f t="shared" si="15"/>
        <v>63</v>
      </c>
      <c r="Z499" s="5523">
        <f t="shared" si="16"/>
        <v>70.56</v>
      </c>
      <c r="AA499" s="5524"/>
      <c r="AB499" s="5581"/>
      <c r="AC499" s="4316"/>
      <c r="AD499" s="3678" t="s">
        <v>153</v>
      </c>
      <c r="AE499" s="5610"/>
      <c r="AF499" s="5610"/>
      <c r="AG499" s="11115"/>
    </row>
    <row r="500" spans="1:33" ht="29.25" customHeight="1">
      <c r="A500" s="11139"/>
      <c r="B500" s="11136"/>
      <c r="C500" s="11124"/>
      <c r="D500" s="11124"/>
      <c r="E500" s="11124"/>
      <c r="F500" s="11124"/>
      <c r="G500" s="11124"/>
      <c r="H500" s="11124"/>
      <c r="I500" s="11124"/>
      <c r="J500" s="11124"/>
      <c r="K500" s="11124"/>
      <c r="L500" s="11131"/>
      <c r="M500" s="11131"/>
      <c r="N500" s="11131"/>
      <c r="O500" s="11124"/>
      <c r="P500" s="11124"/>
      <c r="Q500" s="11127"/>
      <c r="R500" s="3541"/>
      <c r="S500" s="5467"/>
      <c r="T500" s="5467">
        <v>351300011</v>
      </c>
      <c r="U500" s="3495" t="s">
        <v>6122</v>
      </c>
      <c r="V500" s="5499">
        <v>12</v>
      </c>
      <c r="W500" s="3496" t="s">
        <v>6106</v>
      </c>
      <c r="X500" s="5523">
        <v>9</v>
      </c>
      <c r="Y500" s="5523">
        <f t="shared" si="15"/>
        <v>108</v>
      </c>
      <c r="Z500" s="5523">
        <f t="shared" si="16"/>
        <v>120.96000000000001</v>
      </c>
      <c r="AA500" s="5524"/>
      <c r="AB500" s="5581"/>
      <c r="AC500" s="4316"/>
      <c r="AD500" s="3678" t="s">
        <v>153</v>
      </c>
      <c r="AE500" s="5610"/>
      <c r="AF500" s="5610"/>
      <c r="AG500" s="11115"/>
    </row>
    <row r="501" spans="1:33" ht="29.25" customHeight="1">
      <c r="A501" s="11139"/>
      <c r="B501" s="11138"/>
      <c r="C501" s="11126"/>
      <c r="D501" s="11126"/>
      <c r="E501" s="11126"/>
      <c r="F501" s="11126"/>
      <c r="G501" s="11126"/>
      <c r="H501" s="11126"/>
      <c r="I501" s="11126"/>
      <c r="J501" s="11126"/>
      <c r="K501" s="11126"/>
      <c r="L501" s="11132"/>
      <c r="M501" s="11132"/>
      <c r="N501" s="11132"/>
      <c r="O501" s="11126"/>
      <c r="P501" s="11126"/>
      <c r="Q501" s="11128"/>
      <c r="R501" s="3543"/>
      <c r="S501" s="5468"/>
      <c r="T501" s="5486">
        <v>351300111</v>
      </c>
      <c r="U501" s="3557" t="s">
        <v>6123</v>
      </c>
      <c r="V501" s="5503">
        <v>7</v>
      </c>
      <c r="W501" s="3545" t="s">
        <v>6106</v>
      </c>
      <c r="X501" s="5532">
        <v>9</v>
      </c>
      <c r="Y501" s="5532">
        <f t="shared" si="15"/>
        <v>63</v>
      </c>
      <c r="Z501" s="5532">
        <f t="shared" si="16"/>
        <v>70.56</v>
      </c>
      <c r="AA501" s="5533"/>
      <c r="AB501" s="5585"/>
      <c r="AC501" s="4318"/>
      <c r="AD501" s="2933" t="s">
        <v>153</v>
      </c>
      <c r="AE501" s="3754"/>
      <c r="AF501" s="5625"/>
      <c r="AG501" s="11116"/>
    </row>
    <row r="502" spans="1:33" ht="18.75" customHeight="1">
      <c r="A502" s="11139"/>
      <c r="B502" s="10512" t="s">
        <v>127</v>
      </c>
      <c r="C502" s="10444" t="s">
        <v>128</v>
      </c>
      <c r="D502" s="10444" t="s">
        <v>129</v>
      </c>
      <c r="E502" s="10444" t="s">
        <v>157</v>
      </c>
      <c r="F502" s="10451" t="s">
        <v>131</v>
      </c>
      <c r="G502" s="10444" t="s">
        <v>132</v>
      </c>
      <c r="H502" s="10444" t="s">
        <v>159</v>
      </c>
      <c r="I502" s="10444" t="s">
        <v>6034</v>
      </c>
      <c r="J502" s="10444" t="s">
        <v>6035</v>
      </c>
      <c r="K502" s="10444" t="s">
        <v>6036</v>
      </c>
      <c r="L502" s="11133">
        <v>1</v>
      </c>
      <c r="M502" s="11133">
        <v>2</v>
      </c>
      <c r="N502" s="11133">
        <v>2</v>
      </c>
      <c r="O502" s="10444" t="s">
        <v>6037</v>
      </c>
      <c r="P502" s="10444" t="s">
        <v>6038</v>
      </c>
      <c r="Q502" s="10449" t="s">
        <v>6113</v>
      </c>
      <c r="R502" s="5459"/>
      <c r="S502" s="5482"/>
      <c r="T502" s="5482"/>
      <c r="U502" s="4659"/>
      <c r="V502" s="5504"/>
      <c r="W502" s="3658"/>
      <c r="X502" s="5534"/>
      <c r="Y502" s="5534"/>
      <c r="Z502" s="5534"/>
      <c r="AA502" s="5535"/>
      <c r="AB502" s="5586"/>
      <c r="AC502" s="4314"/>
      <c r="AD502" s="3721"/>
      <c r="AE502" s="5613"/>
      <c r="AF502" s="5623"/>
      <c r="AG502" s="10525"/>
    </row>
    <row r="503" spans="1:33" ht="27" customHeight="1">
      <c r="A503" s="11139"/>
      <c r="B503" s="11136"/>
      <c r="C503" s="11124"/>
      <c r="D503" s="11124"/>
      <c r="E503" s="11124"/>
      <c r="F503" s="11124"/>
      <c r="G503" s="11124"/>
      <c r="H503" s="11124"/>
      <c r="I503" s="11124"/>
      <c r="J503" s="11124"/>
      <c r="K503" s="11124"/>
      <c r="L503" s="11131"/>
      <c r="M503" s="11131"/>
      <c r="N503" s="11131"/>
      <c r="O503" s="11124"/>
      <c r="P503" s="11124"/>
      <c r="Q503" s="11127"/>
      <c r="R503" s="3538"/>
      <c r="S503" s="5463"/>
      <c r="T503" s="5463"/>
      <c r="U503" s="3495"/>
      <c r="V503" s="5499"/>
      <c r="W503" s="3496"/>
      <c r="X503" s="5523"/>
      <c r="Y503" s="5523"/>
      <c r="Z503" s="5523"/>
      <c r="AA503" s="5524"/>
      <c r="AB503" s="5581"/>
      <c r="AC503" s="4316"/>
      <c r="AD503" s="3504"/>
      <c r="AE503" s="3699"/>
      <c r="AF503" s="5610"/>
      <c r="AG503" s="11115"/>
    </row>
    <row r="504" spans="1:33" ht="25.5" customHeight="1">
      <c r="A504" s="11139"/>
      <c r="B504" s="11136"/>
      <c r="C504" s="11124"/>
      <c r="D504" s="11124"/>
      <c r="E504" s="11124"/>
      <c r="F504" s="11124"/>
      <c r="G504" s="11124"/>
      <c r="H504" s="11124"/>
      <c r="I504" s="11124"/>
      <c r="J504" s="11124"/>
      <c r="K504" s="11124"/>
      <c r="L504" s="11131"/>
      <c r="M504" s="11131"/>
      <c r="N504" s="11131"/>
      <c r="O504" s="11124"/>
      <c r="P504" s="11124"/>
      <c r="Q504" s="11127"/>
      <c r="R504" s="3538"/>
      <c r="S504" s="5463"/>
      <c r="T504" s="5463"/>
      <c r="U504" s="3495"/>
      <c r="V504" s="5499"/>
      <c r="W504" s="3496"/>
      <c r="X504" s="5523"/>
      <c r="Y504" s="5523"/>
      <c r="Z504" s="5523"/>
      <c r="AA504" s="5524"/>
      <c r="AB504" s="5581"/>
      <c r="AC504" s="4316"/>
      <c r="AD504" s="3504"/>
      <c r="AE504" s="3699"/>
      <c r="AF504" s="5610"/>
      <c r="AG504" s="11115"/>
    </row>
    <row r="505" spans="1:33" ht="21" customHeight="1">
      <c r="A505" s="11139"/>
      <c r="B505" s="11136"/>
      <c r="C505" s="11124"/>
      <c r="D505" s="11124"/>
      <c r="E505" s="11124"/>
      <c r="F505" s="11124"/>
      <c r="G505" s="11124"/>
      <c r="H505" s="11124"/>
      <c r="I505" s="11124"/>
      <c r="J505" s="11124"/>
      <c r="K505" s="11124"/>
      <c r="L505" s="11131"/>
      <c r="M505" s="11131"/>
      <c r="N505" s="11131"/>
      <c r="O505" s="11124"/>
      <c r="P505" s="11124"/>
      <c r="Q505" s="11127"/>
      <c r="R505" s="3538"/>
      <c r="S505" s="5463"/>
      <c r="T505" s="5470"/>
      <c r="U505" s="3813"/>
      <c r="V505" s="5500"/>
      <c r="W505" s="3504"/>
      <c r="X505" s="5525"/>
      <c r="Y505" s="5525"/>
      <c r="Z505" s="5525"/>
      <c r="AA505" s="5526"/>
      <c r="AB505" s="5582"/>
      <c r="AC505" s="4324"/>
      <c r="AD505" s="3504"/>
      <c r="AE505" s="3699"/>
      <c r="AF505" s="5610"/>
      <c r="AG505" s="11115"/>
    </row>
    <row r="506" spans="1:33" ht="24" customHeight="1">
      <c r="A506" s="11139"/>
      <c r="B506" s="11138"/>
      <c r="C506" s="11126"/>
      <c r="D506" s="11126"/>
      <c r="E506" s="11126"/>
      <c r="F506" s="11126"/>
      <c r="G506" s="11126"/>
      <c r="H506" s="11126"/>
      <c r="I506" s="11126"/>
      <c r="J506" s="11126"/>
      <c r="K506" s="11126"/>
      <c r="L506" s="11132"/>
      <c r="M506" s="11132"/>
      <c r="N506" s="11132"/>
      <c r="O506" s="11126"/>
      <c r="P506" s="11126"/>
      <c r="Q506" s="11128"/>
      <c r="R506" s="3543"/>
      <c r="S506" s="5468"/>
      <c r="T506" s="5472"/>
      <c r="U506" s="2932"/>
      <c r="V506" s="5506"/>
      <c r="W506" s="2933"/>
      <c r="X506" s="5538"/>
      <c r="Y506" s="5538"/>
      <c r="Z506" s="5538"/>
      <c r="AA506" s="5539"/>
      <c r="AB506" s="5588"/>
      <c r="AC506" s="4341"/>
      <c r="AD506" s="2933"/>
      <c r="AE506" s="3754"/>
      <c r="AF506" s="5625"/>
      <c r="AG506" s="11116"/>
    </row>
    <row r="507" spans="1:33" ht="24" customHeight="1">
      <c r="A507" s="11139"/>
      <c r="B507" s="10512" t="s">
        <v>183</v>
      </c>
      <c r="C507" s="10444" t="s">
        <v>227</v>
      </c>
      <c r="D507" s="10444" t="s">
        <v>228</v>
      </c>
      <c r="E507" s="10444" t="s">
        <v>229</v>
      </c>
      <c r="F507" s="10451" t="s">
        <v>230</v>
      </c>
      <c r="G507" s="10444" t="s">
        <v>132</v>
      </c>
      <c r="H507" s="10444" t="s">
        <v>159</v>
      </c>
      <c r="I507" s="10444" t="s">
        <v>6039</v>
      </c>
      <c r="J507" s="10444" t="s">
        <v>6040</v>
      </c>
      <c r="K507" s="10444" t="s">
        <v>6022</v>
      </c>
      <c r="L507" s="11133">
        <v>0</v>
      </c>
      <c r="M507" s="11133">
        <v>1</v>
      </c>
      <c r="N507" s="11133">
        <v>0</v>
      </c>
      <c r="O507" s="10444" t="s">
        <v>6041</v>
      </c>
      <c r="P507" s="10444" t="s">
        <v>6042</v>
      </c>
      <c r="Q507" s="10449" t="s">
        <v>6124</v>
      </c>
      <c r="R507" s="5459"/>
      <c r="S507" s="5482"/>
      <c r="T507" s="5485"/>
      <c r="U507" s="5495"/>
      <c r="V507" s="5516"/>
      <c r="W507" s="3721"/>
      <c r="X507" s="5571"/>
      <c r="Y507" s="5571"/>
      <c r="Z507" s="5571"/>
      <c r="AA507" s="5576"/>
      <c r="AB507" s="5607"/>
      <c r="AC507" s="4355"/>
      <c r="AD507" s="3721"/>
      <c r="AE507" s="5613"/>
      <c r="AF507" s="5623"/>
      <c r="AG507" s="10525"/>
    </row>
    <row r="508" spans="1:33" ht="24" customHeight="1">
      <c r="A508" s="11139"/>
      <c r="B508" s="11136"/>
      <c r="C508" s="11124"/>
      <c r="D508" s="11124"/>
      <c r="E508" s="11124"/>
      <c r="F508" s="11124"/>
      <c r="G508" s="11124"/>
      <c r="H508" s="11124"/>
      <c r="I508" s="11124"/>
      <c r="J508" s="11124"/>
      <c r="K508" s="11124"/>
      <c r="L508" s="11131"/>
      <c r="M508" s="11131"/>
      <c r="N508" s="11131"/>
      <c r="O508" s="11124"/>
      <c r="P508" s="11124"/>
      <c r="Q508" s="11127"/>
      <c r="R508" s="3538"/>
      <c r="S508" s="5463"/>
      <c r="T508" s="5470"/>
      <c r="U508" s="3813"/>
      <c r="V508" s="5500"/>
      <c r="W508" s="3504"/>
      <c r="X508" s="5525"/>
      <c r="Y508" s="5525"/>
      <c r="Z508" s="5525"/>
      <c r="AA508" s="5526"/>
      <c r="AB508" s="5582"/>
      <c r="AC508" s="4324"/>
      <c r="AD508" s="3504"/>
      <c r="AE508" s="3699"/>
      <c r="AF508" s="5610"/>
      <c r="AG508" s="11115"/>
    </row>
    <row r="509" spans="1:33" ht="24" customHeight="1">
      <c r="A509" s="11139"/>
      <c r="B509" s="11136"/>
      <c r="C509" s="11124"/>
      <c r="D509" s="11124"/>
      <c r="E509" s="11124"/>
      <c r="F509" s="11124"/>
      <c r="G509" s="11124"/>
      <c r="H509" s="11124"/>
      <c r="I509" s="11124"/>
      <c r="J509" s="11124"/>
      <c r="K509" s="11124"/>
      <c r="L509" s="11131"/>
      <c r="M509" s="11131"/>
      <c r="N509" s="11131"/>
      <c r="O509" s="11124"/>
      <c r="P509" s="11124"/>
      <c r="Q509" s="11127"/>
      <c r="R509" s="3538"/>
      <c r="S509" s="5463"/>
      <c r="T509" s="5470"/>
      <c r="U509" s="3813"/>
      <c r="V509" s="5500"/>
      <c r="W509" s="3504"/>
      <c r="X509" s="5525"/>
      <c r="Y509" s="5525"/>
      <c r="Z509" s="5525"/>
      <c r="AA509" s="5526"/>
      <c r="AB509" s="5582"/>
      <c r="AC509" s="4324"/>
      <c r="AD509" s="3504"/>
      <c r="AE509" s="3699"/>
      <c r="AF509" s="5610"/>
      <c r="AG509" s="11115"/>
    </row>
    <row r="510" spans="1:33" ht="24" customHeight="1">
      <c r="A510" s="11139"/>
      <c r="B510" s="11136"/>
      <c r="C510" s="11124"/>
      <c r="D510" s="11124"/>
      <c r="E510" s="11124"/>
      <c r="F510" s="11124"/>
      <c r="G510" s="11124"/>
      <c r="H510" s="11124"/>
      <c r="I510" s="11124"/>
      <c r="J510" s="11124"/>
      <c r="K510" s="11124"/>
      <c r="L510" s="11131"/>
      <c r="M510" s="11131"/>
      <c r="N510" s="11131"/>
      <c r="O510" s="11124"/>
      <c r="P510" s="11124"/>
      <c r="Q510" s="11127"/>
      <c r="R510" s="3538"/>
      <c r="S510" s="5463"/>
      <c r="T510" s="5470"/>
      <c r="U510" s="3813"/>
      <c r="V510" s="5500"/>
      <c r="W510" s="3504"/>
      <c r="X510" s="5525"/>
      <c r="Y510" s="5525"/>
      <c r="Z510" s="5525"/>
      <c r="AA510" s="5526"/>
      <c r="AB510" s="5582"/>
      <c r="AC510" s="4324"/>
      <c r="AD510" s="3504"/>
      <c r="AE510" s="3699"/>
      <c r="AF510" s="5610"/>
      <c r="AG510" s="11115"/>
    </row>
    <row r="511" spans="1:33" ht="24" customHeight="1">
      <c r="A511" s="11139"/>
      <c r="B511" s="11137"/>
      <c r="C511" s="11125"/>
      <c r="D511" s="11125"/>
      <c r="E511" s="11125"/>
      <c r="F511" s="11125"/>
      <c r="G511" s="11125"/>
      <c r="H511" s="11125"/>
      <c r="I511" s="11125"/>
      <c r="J511" s="11125"/>
      <c r="K511" s="11125"/>
      <c r="L511" s="11134"/>
      <c r="M511" s="11134"/>
      <c r="N511" s="11134"/>
      <c r="O511" s="11125"/>
      <c r="P511" s="11125"/>
      <c r="Q511" s="11135"/>
      <c r="R511" s="3768"/>
      <c r="S511" s="5477"/>
      <c r="T511" s="5465"/>
      <c r="U511" s="3808"/>
      <c r="V511" s="5501"/>
      <c r="W511" s="3727"/>
      <c r="X511" s="5527"/>
      <c r="Y511" s="5527"/>
      <c r="Z511" s="5527"/>
      <c r="AA511" s="5528"/>
      <c r="AB511" s="5583"/>
      <c r="AC511" s="4339"/>
      <c r="AD511" s="3727"/>
      <c r="AE511" s="3755"/>
      <c r="AF511" s="5624"/>
      <c r="AG511" s="11116"/>
    </row>
    <row r="512" spans="1:33" ht="24" customHeight="1">
      <c r="A512" s="11139"/>
      <c r="B512" s="10516" t="s">
        <v>183</v>
      </c>
      <c r="C512" s="10433" t="s">
        <v>227</v>
      </c>
      <c r="D512" s="10433" t="s">
        <v>228</v>
      </c>
      <c r="E512" s="10433" t="s">
        <v>229</v>
      </c>
      <c r="F512" s="10442" t="s">
        <v>230</v>
      </c>
      <c r="G512" s="10433" t="s">
        <v>132</v>
      </c>
      <c r="H512" s="10433" t="s">
        <v>159</v>
      </c>
      <c r="I512" s="10433" t="s">
        <v>6043</v>
      </c>
      <c r="J512" s="10433" t="s">
        <v>6044</v>
      </c>
      <c r="K512" s="10433" t="s">
        <v>5882</v>
      </c>
      <c r="L512" s="11130">
        <v>2</v>
      </c>
      <c r="M512" s="11130">
        <v>0</v>
      </c>
      <c r="N512" s="11130">
        <v>2</v>
      </c>
      <c r="O512" s="10433" t="s">
        <v>6045</v>
      </c>
      <c r="P512" s="10433" t="s">
        <v>6046</v>
      </c>
      <c r="Q512" s="10439" t="s">
        <v>6124</v>
      </c>
      <c r="R512" s="3774"/>
      <c r="S512" s="5481"/>
      <c r="T512" s="5484"/>
      <c r="U512" s="3826"/>
      <c r="V512" s="5505"/>
      <c r="W512" s="2930"/>
      <c r="X512" s="5536"/>
      <c r="Y512" s="5536"/>
      <c r="Z512" s="5536"/>
      <c r="AA512" s="5537"/>
      <c r="AB512" s="5587"/>
      <c r="AC512" s="4340"/>
      <c r="AD512" s="2930"/>
      <c r="AE512" s="5611"/>
      <c r="AF512" s="5626"/>
      <c r="AG512" s="10525"/>
    </row>
    <row r="513" spans="1:33" ht="24" customHeight="1">
      <c r="A513" s="11139"/>
      <c r="B513" s="11136"/>
      <c r="C513" s="11124"/>
      <c r="D513" s="11124"/>
      <c r="E513" s="11124"/>
      <c r="F513" s="11124"/>
      <c r="G513" s="11124"/>
      <c r="H513" s="11124"/>
      <c r="I513" s="11124"/>
      <c r="J513" s="11124"/>
      <c r="K513" s="11124"/>
      <c r="L513" s="11131"/>
      <c r="M513" s="11131"/>
      <c r="N513" s="11131"/>
      <c r="O513" s="11124"/>
      <c r="P513" s="11124"/>
      <c r="Q513" s="11127"/>
      <c r="R513" s="3538"/>
      <c r="S513" s="5463"/>
      <c r="T513" s="5470"/>
      <c r="U513" s="3813"/>
      <c r="V513" s="5500"/>
      <c r="W513" s="3504"/>
      <c r="X513" s="5525"/>
      <c r="Y513" s="5525"/>
      <c r="Z513" s="5525"/>
      <c r="AA513" s="5526"/>
      <c r="AB513" s="5582"/>
      <c r="AC513" s="4324"/>
      <c r="AD513" s="3504"/>
      <c r="AE513" s="3699"/>
      <c r="AF513" s="5610"/>
      <c r="AG513" s="11115"/>
    </row>
    <row r="514" spans="1:33" ht="24" customHeight="1">
      <c r="A514" s="11139"/>
      <c r="B514" s="11136"/>
      <c r="C514" s="11124"/>
      <c r="D514" s="11124"/>
      <c r="E514" s="11124"/>
      <c r="F514" s="11124"/>
      <c r="G514" s="11124"/>
      <c r="H514" s="11124"/>
      <c r="I514" s="11124"/>
      <c r="J514" s="11124"/>
      <c r="K514" s="11124"/>
      <c r="L514" s="11131"/>
      <c r="M514" s="11131"/>
      <c r="N514" s="11131"/>
      <c r="O514" s="11124"/>
      <c r="P514" s="11124"/>
      <c r="Q514" s="11127"/>
      <c r="R514" s="3538"/>
      <c r="S514" s="5463"/>
      <c r="T514" s="5478"/>
      <c r="U514" s="3765"/>
      <c r="V514" s="5510"/>
      <c r="W514" s="3678"/>
      <c r="X514" s="5546"/>
      <c r="Y514" s="5546"/>
      <c r="Z514" s="5546"/>
      <c r="AA514" s="5547"/>
      <c r="AB514" s="5593"/>
      <c r="AC514" s="4331"/>
      <c r="AD514" s="3678"/>
      <c r="AE514" s="5610"/>
      <c r="AF514" s="5610"/>
      <c r="AG514" s="11115"/>
    </row>
    <row r="515" spans="1:33" ht="24" customHeight="1">
      <c r="A515" s="11139"/>
      <c r="B515" s="11136"/>
      <c r="C515" s="11124"/>
      <c r="D515" s="11124"/>
      <c r="E515" s="11124"/>
      <c r="F515" s="11124"/>
      <c r="G515" s="11124"/>
      <c r="H515" s="11124"/>
      <c r="I515" s="11124"/>
      <c r="J515" s="11124"/>
      <c r="K515" s="11124"/>
      <c r="L515" s="11131"/>
      <c r="M515" s="11131"/>
      <c r="N515" s="11131"/>
      <c r="O515" s="11124"/>
      <c r="P515" s="11124"/>
      <c r="Q515" s="11127"/>
      <c r="R515" s="3538"/>
      <c r="S515" s="5463"/>
      <c r="T515" s="5478"/>
      <c r="U515" s="3765"/>
      <c r="V515" s="5510"/>
      <c r="W515" s="3678"/>
      <c r="X515" s="5546"/>
      <c r="Y515" s="5546"/>
      <c r="Z515" s="5546"/>
      <c r="AA515" s="5547"/>
      <c r="AB515" s="5593"/>
      <c r="AC515" s="4331"/>
      <c r="AD515" s="3678"/>
      <c r="AE515" s="5610"/>
      <c r="AF515" s="5610"/>
      <c r="AG515" s="11115"/>
    </row>
    <row r="516" spans="1:33" ht="24" customHeight="1">
      <c r="A516" s="11139"/>
      <c r="B516" s="11138"/>
      <c r="C516" s="11126"/>
      <c r="D516" s="11126"/>
      <c r="E516" s="11126"/>
      <c r="F516" s="11126"/>
      <c r="G516" s="11126"/>
      <c r="H516" s="11126"/>
      <c r="I516" s="11126"/>
      <c r="J516" s="11126"/>
      <c r="K516" s="11126"/>
      <c r="L516" s="11132"/>
      <c r="M516" s="11132"/>
      <c r="N516" s="11132"/>
      <c r="O516" s="11126"/>
      <c r="P516" s="11126"/>
      <c r="Q516" s="11128"/>
      <c r="R516" s="3543"/>
      <c r="S516" s="5468"/>
      <c r="T516" s="5479"/>
      <c r="U516" s="3766"/>
      <c r="V516" s="5511"/>
      <c r="W516" s="3701"/>
      <c r="X516" s="5548"/>
      <c r="Y516" s="5548"/>
      <c r="Z516" s="5548"/>
      <c r="AA516" s="5549"/>
      <c r="AB516" s="5594"/>
      <c r="AC516" s="4343"/>
      <c r="AD516" s="3701"/>
      <c r="AE516" s="5625"/>
      <c r="AF516" s="5625"/>
      <c r="AG516" s="11116"/>
    </row>
    <row r="517" spans="1:33" ht="24" customHeight="1">
      <c r="A517" s="11139"/>
      <c r="B517" s="10512" t="s">
        <v>183</v>
      </c>
      <c r="C517" s="10444" t="s">
        <v>227</v>
      </c>
      <c r="D517" s="10444" t="s">
        <v>228</v>
      </c>
      <c r="E517" s="10444" t="s">
        <v>229</v>
      </c>
      <c r="F517" s="10451" t="s">
        <v>230</v>
      </c>
      <c r="G517" s="10444" t="s">
        <v>132</v>
      </c>
      <c r="H517" s="10444" t="s">
        <v>159</v>
      </c>
      <c r="I517" s="10444" t="s">
        <v>6047</v>
      </c>
      <c r="J517" s="10444" t="s">
        <v>6048</v>
      </c>
      <c r="K517" s="10444" t="s">
        <v>6049</v>
      </c>
      <c r="L517" s="11133">
        <v>4</v>
      </c>
      <c r="M517" s="11133">
        <v>4</v>
      </c>
      <c r="N517" s="11133">
        <v>4</v>
      </c>
      <c r="O517" s="10444" t="s">
        <v>6050</v>
      </c>
      <c r="P517" s="10444" t="s">
        <v>6051</v>
      </c>
      <c r="Q517" s="10449" t="s">
        <v>6125</v>
      </c>
      <c r="R517" s="5459"/>
      <c r="S517" s="5482"/>
      <c r="T517" s="5491"/>
      <c r="U517" s="4663"/>
      <c r="V517" s="5520"/>
      <c r="W517" s="3729"/>
      <c r="X517" s="5577"/>
      <c r="Y517" s="5577"/>
      <c r="Z517" s="5577"/>
      <c r="AA517" s="5578"/>
      <c r="AB517" s="5608"/>
      <c r="AC517" s="4356"/>
      <c r="AD517" s="3729"/>
      <c r="AE517" s="5623"/>
      <c r="AF517" s="5623"/>
      <c r="AG517" s="10525"/>
    </row>
    <row r="518" spans="1:33" ht="24" customHeight="1">
      <c r="A518" s="11139"/>
      <c r="B518" s="11136"/>
      <c r="C518" s="11124"/>
      <c r="D518" s="11124"/>
      <c r="E518" s="11124"/>
      <c r="F518" s="11124"/>
      <c r="G518" s="11124"/>
      <c r="H518" s="11124"/>
      <c r="I518" s="11124"/>
      <c r="J518" s="11124"/>
      <c r="K518" s="11124"/>
      <c r="L518" s="11131"/>
      <c r="M518" s="11131"/>
      <c r="N518" s="11131"/>
      <c r="O518" s="11124"/>
      <c r="P518" s="11124"/>
      <c r="Q518" s="11127"/>
      <c r="R518" s="3538"/>
      <c r="S518" s="5463"/>
      <c r="T518" s="5478"/>
      <c r="U518" s="3765"/>
      <c r="V518" s="5510"/>
      <c r="W518" s="3678"/>
      <c r="X518" s="5546"/>
      <c r="Y518" s="5546"/>
      <c r="Z518" s="5546"/>
      <c r="AA518" s="5547"/>
      <c r="AB518" s="5593"/>
      <c r="AC518" s="4331"/>
      <c r="AD518" s="3678"/>
      <c r="AE518" s="5610"/>
      <c r="AF518" s="5610"/>
      <c r="AG518" s="11115"/>
    </row>
    <row r="519" spans="1:33" ht="24" customHeight="1">
      <c r="A519" s="11139"/>
      <c r="B519" s="11136"/>
      <c r="C519" s="11124"/>
      <c r="D519" s="11124"/>
      <c r="E519" s="11124"/>
      <c r="F519" s="11124"/>
      <c r="G519" s="11124"/>
      <c r="H519" s="11124"/>
      <c r="I519" s="11124"/>
      <c r="J519" s="11124"/>
      <c r="K519" s="11124"/>
      <c r="L519" s="11131"/>
      <c r="M519" s="11131"/>
      <c r="N519" s="11131"/>
      <c r="O519" s="11124"/>
      <c r="P519" s="11124"/>
      <c r="Q519" s="11127"/>
      <c r="R519" s="3538"/>
      <c r="S519" s="5463"/>
      <c r="T519" s="5478"/>
      <c r="U519" s="3765"/>
      <c r="V519" s="5510"/>
      <c r="W519" s="3678"/>
      <c r="X519" s="5546"/>
      <c r="Y519" s="5546"/>
      <c r="Z519" s="5546"/>
      <c r="AA519" s="5547"/>
      <c r="AB519" s="5593"/>
      <c r="AC519" s="4331"/>
      <c r="AD519" s="3678"/>
      <c r="AE519" s="5610"/>
      <c r="AF519" s="5610"/>
      <c r="AG519" s="11115"/>
    </row>
    <row r="520" spans="1:33" ht="24" customHeight="1">
      <c r="A520" s="11139"/>
      <c r="B520" s="11136"/>
      <c r="C520" s="11124"/>
      <c r="D520" s="11124"/>
      <c r="E520" s="11124"/>
      <c r="F520" s="11124"/>
      <c r="G520" s="11124"/>
      <c r="H520" s="11124"/>
      <c r="I520" s="11124"/>
      <c r="J520" s="11124"/>
      <c r="K520" s="11124"/>
      <c r="L520" s="11131"/>
      <c r="M520" s="11131"/>
      <c r="N520" s="11131"/>
      <c r="O520" s="11124"/>
      <c r="P520" s="11124"/>
      <c r="Q520" s="11127"/>
      <c r="R520" s="3538"/>
      <c r="S520" s="5463"/>
      <c r="T520" s="5478"/>
      <c r="U520" s="3765"/>
      <c r="V520" s="5510"/>
      <c r="W520" s="3678"/>
      <c r="X520" s="5546"/>
      <c r="Y520" s="5546"/>
      <c r="Z520" s="5546"/>
      <c r="AA520" s="5547"/>
      <c r="AB520" s="5593"/>
      <c r="AC520" s="4331"/>
      <c r="AD520" s="3678"/>
      <c r="AE520" s="5610"/>
      <c r="AF520" s="5610"/>
      <c r="AG520" s="11115"/>
    </row>
    <row r="521" spans="1:33" ht="24" customHeight="1">
      <c r="A521" s="11139"/>
      <c r="B521" s="11137"/>
      <c r="C521" s="11125"/>
      <c r="D521" s="11125"/>
      <c r="E521" s="11125"/>
      <c r="F521" s="11125"/>
      <c r="G521" s="11125"/>
      <c r="H521" s="11125"/>
      <c r="I521" s="11125"/>
      <c r="J521" s="11125"/>
      <c r="K521" s="11125"/>
      <c r="L521" s="11134"/>
      <c r="M521" s="11134"/>
      <c r="N521" s="11134"/>
      <c r="O521" s="11125"/>
      <c r="P521" s="11125"/>
      <c r="Q521" s="11135"/>
      <c r="R521" s="3768"/>
      <c r="S521" s="5477"/>
      <c r="T521" s="5492"/>
      <c r="U521" s="4662"/>
      <c r="V521" s="5514"/>
      <c r="W521" s="3747"/>
      <c r="X521" s="5572"/>
      <c r="Y521" s="5572"/>
      <c r="Z521" s="5572"/>
      <c r="AA521" s="5573"/>
      <c r="AB521" s="5605"/>
      <c r="AC521" s="4354"/>
      <c r="AD521" s="3747"/>
      <c r="AE521" s="5624"/>
      <c r="AF521" s="5624"/>
      <c r="AG521" s="11116"/>
    </row>
    <row r="522" spans="1:33" ht="24" customHeight="1">
      <c r="A522" s="11139"/>
      <c r="B522" s="10516" t="s">
        <v>183</v>
      </c>
      <c r="C522" s="10433" t="s">
        <v>227</v>
      </c>
      <c r="D522" s="10433" t="s">
        <v>228</v>
      </c>
      <c r="E522" s="10433" t="s">
        <v>229</v>
      </c>
      <c r="F522" s="10442" t="s">
        <v>230</v>
      </c>
      <c r="G522" s="10433" t="s">
        <v>132</v>
      </c>
      <c r="H522" s="10433" t="s">
        <v>159</v>
      </c>
      <c r="I522" s="10433" t="s">
        <v>6053</v>
      </c>
      <c r="J522" s="10433" t="s">
        <v>6054</v>
      </c>
      <c r="K522" s="10433" t="s">
        <v>6022</v>
      </c>
      <c r="L522" s="11130">
        <v>1</v>
      </c>
      <c r="M522" s="11130">
        <v>1</v>
      </c>
      <c r="N522" s="11130">
        <v>1</v>
      </c>
      <c r="O522" s="10433" t="s">
        <v>6055</v>
      </c>
      <c r="P522" s="10433" t="s">
        <v>6056</v>
      </c>
      <c r="Q522" s="10439" t="s">
        <v>6125</v>
      </c>
      <c r="R522" s="3774"/>
      <c r="S522" s="5481"/>
      <c r="T522" s="5493"/>
      <c r="U522" s="4660"/>
      <c r="V522" s="5515"/>
      <c r="W522" s="3731"/>
      <c r="X522" s="5574"/>
      <c r="Y522" s="5574"/>
      <c r="Z522" s="5574"/>
      <c r="AA522" s="5575"/>
      <c r="AB522" s="5606"/>
      <c r="AC522" s="4342"/>
      <c r="AD522" s="3731"/>
      <c r="AE522" s="5626"/>
      <c r="AF522" s="5626"/>
      <c r="AG522" s="10525"/>
    </row>
    <row r="523" spans="1:33" ht="24" customHeight="1">
      <c r="A523" s="11139"/>
      <c r="B523" s="11136"/>
      <c r="C523" s="11124"/>
      <c r="D523" s="11124"/>
      <c r="E523" s="11124"/>
      <c r="F523" s="11124"/>
      <c r="G523" s="11124"/>
      <c r="H523" s="11124"/>
      <c r="I523" s="11124"/>
      <c r="J523" s="11124"/>
      <c r="K523" s="11124"/>
      <c r="L523" s="11131"/>
      <c r="M523" s="11131"/>
      <c r="N523" s="11131"/>
      <c r="O523" s="11124"/>
      <c r="P523" s="11124"/>
      <c r="Q523" s="11127"/>
      <c r="R523" s="3538"/>
      <c r="S523" s="5463"/>
      <c r="T523" s="5478"/>
      <c r="U523" s="3765"/>
      <c r="V523" s="5510"/>
      <c r="W523" s="3678"/>
      <c r="X523" s="5546"/>
      <c r="Y523" s="5546"/>
      <c r="Z523" s="5546"/>
      <c r="AA523" s="5547"/>
      <c r="AB523" s="5593"/>
      <c r="AC523" s="4331"/>
      <c r="AD523" s="3678"/>
      <c r="AE523" s="5610"/>
      <c r="AF523" s="5610"/>
      <c r="AG523" s="11115"/>
    </row>
    <row r="524" spans="1:33" ht="24" customHeight="1">
      <c r="A524" s="11139"/>
      <c r="B524" s="11136"/>
      <c r="C524" s="11124"/>
      <c r="D524" s="11124"/>
      <c r="E524" s="11124"/>
      <c r="F524" s="11124"/>
      <c r="G524" s="11124"/>
      <c r="H524" s="11124"/>
      <c r="I524" s="11124"/>
      <c r="J524" s="11124"/>
      <c r="K524" s="11124"/>
      <c r="L524" s="11131"/>
      <c r="M524" s="11131"/>
      <c r="N524" s="11131"/>
      <c r="O524" s="11124"/>
      <c r="P524" s="11124"/>
      <c r="Q524" s="11127"/>
      <c r="R524" s="3538"/>
      <c r="S524" s="5463"/>
      <c r="T524" s="5478"/>
      <c r="U524" s="3765"/>
      <c r="V524" s="5510"/>
      <c r="W524" s="3678"/>
      <c r="X524" s="5546"/>
      <c r="Y524" s="5546"/>
      <c r="Z524" s="5546"/>
      <c r="AA524" s="5547"/>
      <c r="AB524" s="5593"/>
      <c r="AC524" s="4331"/>
      <c r="AD524" s="3678"/>
      <c r="AE524" s="5610"/>
      <c r="AF524" s="5610"/>
      <c r="AG524" s="11115"/>
    </row>
    <row r="525" spans="1:33" ht="24" customHeight="1">
      <c r="A525" s="11139"/>
      <c r="B525" s="11136"/>
      <c r="C525" s="11124"/>
      <c r="D525" s="11124"/>
      <c r="E525" s="11124"/>
      <c r="F525" s="11124"/>
      <c r="G525" s="11124"/>
      <c r="H525" s="11124"/>
      <c r="I525" s="11124"/>
      <c r="J525" s="11124"/>
      <c r="K525" s="11124"/>
      <c r="L525" s="11131"/>
      <c r="M525" s="11131"/>
      <c r="N525" s="11131"/>
      <c r="O525" s="11124"/>
      <c r="P525" s="11124"/>
      <c r="Q525" s="11127"/>
      <c r="R525" s="3538"/>
      <c r="S525" s="5463"/>
      <c r="T525" s="5478"/>
      <c r="U525" s="3765"/>
      <c r="V525" s="5510"/>
      <c r="W525" s="3678"/>
      <c r="X525" s="5546"/>
      <c r="Y525" s="5546"/>
      <c r="Z525" s="5546"/>
      <c r="AA525" s="5547"/>
      <c r="AB525" s="5593"/>
      <c r="AC525" s="4331"/>
      <c r="AD525" s="3678"/>
      <c r="AE525" s="5610"/>
      <c r="AF525" s="5610"/>
      <c r="AG525" s="11115"/>
    </row>
    <row r="526" spans="1:33" ht="24" customHeight="1">
      <c r="A526" s="11139"/>
      <c r="B526" s="11138"/>
      <c r="C526" s="11126"/>
      <c r="D526" s="11126"/>
      <c r="E526" s="11126"/>
      <c r="F526" s="11126"/>
      <c r="G526" s="11126"/>
      <c r="H526" s="11126"/>
      <c r="I526" s="11126"/>
      <c r="J526" s="11126"/>
      <c r="K526" s="11126"/>
      <c r="L526" s="11132"/>
      <c r="M526" s="11132"/>
      <c r="N526" s="11132"/>
      <c r="O526" s="11126"/>
      <c r="P526" s="11126"/>
      <c r="Q526" s="11128"/>
      <c r="R526" s="3543"/>
      <c r="S526" s="5468"/>
      <c r="T526" s="5479"/>
      <c r="U526" s="3766"/>
      <c r="V526" s="5511"/>
      <c r="W526" s="3701"/>
      <c r="X526" s="5548"/>
      <c r="Y526" s="5548"/>
      <c r="Z526" s="5548"/>
      <c r="AA526" s="5549"/>
      <c r="AB526" s="5594"/>
      <c r="AC526" s="4343"/>
      <c r="AD526" s="3701"/>
      <c r="AE526" s="5625"/>
      <c r="AF526" s="5625"/>
      <c r="AG526" s="11116"/>
    </row>
    <row r="527" spans="1:33" ht="24" customHeight="1">
      <c r="A527" s="11139"/>
      <c r="B527" s="10512" t="s">
        <v>183</v>
      </c>
      <c r="C527" s="10444" t="s">
        <v>227</v>
      </c>
      <c r="D527" s="10444" t="s">
        <v>228</v>
      </c>
      <c r="E527" s="10444" t="s">
        <v>229</v>
      </c>
      <c r="F527" s="10451" t="s">
        <v>230</v>
      </c>
      <c r="G527" s="10444" t="s">
        <v>132</v>
      </c>
      <c r="H527" s="10444" t="s">
        <v>159</v>
      </c>
      <c r="I527" s="10444" t="s">
        <v>6057</v>
      </c>
      <c r="J527" s="10444" t="s">
        <v>6058</v>
      </c>
      <c r="K527" s="10444" t="s">
        <v>6049</v>
      </c>
      <c r="L527" s="11133">
        <v>0</v>
      </c>
      <c r="M527" s="11133">
        <v>1</v>
      </c>
      <c r="N527" s="11133">
        <v>1</v>
      </c>
      <c r="O527" s="10444" t="s">
        <v>6059</v>
      </c>
      <c r="P527" s="10444" t="s">
        <v>6060</v>
      </c>
      <c r="Q527" s="10449" t="s">
        <v>6125</v>
      </c>
      <c r="R527" s="5459"/>
      <c r="S527" s="5482"/>
      <c r="T527" s="5491"/>
      <c r="U527" s="4663"/>
      <c r="V527" s="5520"/>
      <c r="W527" s="3729"/>
      <c r="X527" s="5577"/>
      <c r="Y527" s="5577"/>
      <c r="Z527" s="5577"/>
      <c r="AA527" s="5578"/>
      <c r="AB527" s="5608"/>
      <c r="AC527" s="4356"/>
      <c r="AD527" s="3729"/>
      <c r="AE527" s="5623"/>
      <c r="AF527" s="5623"/>
      <c r="AG527" s="10525"/>
    </row>
    <row r="528" spans="1:33" ht="24" customHeight="1">
      <c r="A528" s="11139"/>
      <c r="B528" s="11136"/>
      <c r="C528" s="11124"/>
      <c r="D528" s="11124"/>
      <c r="E528" s="11124"/>
      <c r="F528" s="11124"/>
      <c r="G528" s="11124"/>
      <c r="H528" s="11124"/>
      <c r="I528" s="11124"/>
      <c r="J528" s="11124"/>
      <c r="K528" s="11124"/>
      <c r="L528" s="11131"/>
      <c r="M528" s="11131"/>
      <c r="N528" s="11131"/>
      <c r="O528" s="11124"/>
      <c r="P528" s="11124"/>
      <c r="Q528" s="11127"/>
      <c r="R528" s="3538"/>
      <c r="S528" s="5463"/>
      <c r="T528" s="5478"/>
      <c r="U528" s="3765"/>
      <c r="V528" s="5510"/>
      <c r="W528" s="3678"/>
      <c r="X528" s="5546"/>
      <c r="Y528" s="5546"/>
      <c r="Z528" s="5546"/>
      <c r="AA528" s="5547"/>
      <c r="AB528" s="5593"/>
      <c r="AC528" s="4331"/>
      <c r="AD528" s="3678"/>
      <c r="AE528" s="5610"/>
      <c r="AF528" s="5610"/>
      <c r="AG528" s="11115"/>
    </row>
    <row r="529" spans="1:33" ht="24" customHeight="1">
      <c r="A529" s="11139"/>
      <c r="B529" s="11136"/>
      <c r="C529" s="11124"/>
      <c r="D529" s="11124"/>
      <c r="E529" s="11124"/>
      <c r="F529" s="11124"/>
      <c r="G529" s="11124"/>
      <c r="H529" s="11124"/>
      <c r="I529" s="11124"/>
      <c r="J529" s="11124"/>
      <c r="K529" s="11124"/>
      <c r="L529" s="11131"/>
      <c r="M529" s="11131"/>
      <c r="N529" s="11131"/>
      <c r="O529" s="11124"/>
      <c r="P529" s="11124"/>
      <c r="Q529" s="11127"/>
      <c r="R529" s="3538"/>
      <c r="S529" s="5463"/>
      <c r="T529" s="5478"/>
      <c r="U529" s="3765"/>
      <c r="V529" s="5510"/>
      <c r="W529" s="3678"/>
      <c r="X529" s="5546"/>
      <c r="Y529" s="5546"/>
      <c r="Z529" s="5546"/>
      <c r="AA529" s="5547"/>
      <c r="AB529" s="5593"/>
      <c r="AC529" s="4331"/>
      <c r="AD529" s="3678"/>
      <c r="AE529" s="5610"/>
      <c r="AF529" s="5610"/>
      <c r="AG529" s="11115"/>
    </row>
    <row r="530" spans="1:33" ht="24" customHeight="1">
      <c r="A530" s="11139"/>
      <c r="B530" s="11136"/>
      <c r="C530" s="11124"/>
      <c r="D530" s="11124"/>
      <c r="E530" s="11124"/>
      <c r="F530" s="11124"/>
      <c r="G530" s="11124"/>
      <c r="H530" s="11124"/>
      <c r="I530" s="11124"/>
      <c r="J530" s="11124"/>
      <c r="K530" s="11124"/>
      <c r="L530" s="11131"/>
      <c r="M530" s="11131"/>
      <c r="N530" s="11131"/>
      <c r="O530" s="11124"/>
      <c r="P530" s="11124"/>
      <c r="Q530" s="11127"/>
      <c r="R530" s="3538"/>
      <c r="S530" s="5463"/>
      <c r="T530" s="5478"/>
      <c r="U530" s="3765"/>
      <c r="V530" s="5510"/>
      <c r="W530" s="3678"/>
      <c r="X530" s="5546"/>
      <c r="Y530" s="5546"/>
      <c r="Z530" s="5546"/>
      <c r="AA530" s="5547"/>
      <c r="AB530" s="5593"/>
      <c r="AC530" s="4331"/>
      <c r="AD530" s="3678"/>
      <c r="AE530" s="5610"/>
      <c r="AF530" s="5610"/>
      <c r="AG530" s="11115"/>
    </row>
    <row r="531" spans="1:33" ht="24" customHeight="1">
      <c r="A531" s="11139"/>
      <c r="B531" s="11137"/>
      <c r="C531" s="11125"/>
      <c r="D531" s="11125"/>
      <c r="E531" s="11125"/>
      <c r="F531" s="11125"/>
      <c r="G531" s="11125"/>
      <c r="H531" s="11125"/>
      <c r="I531" s="11125"/>
      <c r="J531" s="11125"/>
      <c r="K531" s="11125"/>
      <c r="L531" s="11134"/>
      <c r="M531" s="11134"/>
      <c r="N531" s="11134"/>
      <c r="O531" s="11125"/>
      <c r="P531" s="11125"/>
      <c r="Q531" s="11135"/>
      <c r="R531" s="3768"/>
      <c r="S531" s="5477"/>
      <c r="T531" s="5492"/>
      <c r="U531" s="4662"/>
      <c r="V531" s="5514"/>
      <c r="W531" s="3747"/>
      <c r="X531" s="5572"/>
      <c r="Y531" s="5572"/>
      <c r="Z531" s="5572"/>
      <c r="AA531" s="5573"/>
      <c r="AB531" s="5605"/>
      <c r="AC531" s="4354"/>
      <c r="AD531" s="3747"/>
      <c r="AE531" s="5624"/>
      <c r="AF531" s="5624"/>
      <c r="AG531" s="11116"/>
    </row>
    <row r="532" spans="1:33" ht="24" customHeight="1">
      <c r="A532" s="11139"/>
      <c r="B532" s="10516" t="s">
        <v>127</v>
      </c>
      <c r="C532" s="10433" t="s">
        <v>128</v>
      </c>
      <c r="D532" s="10433" t="s">
        <v>129</v>
      </c>
      <c r="E532" s="10433" t="s">
        <v>157</v>
      </c>
      <c r="F532" s="10442" t="s">
        <v>131</v>
      </c>
      <c r="G532" s="10433" t="s">
        <v>132</v>
      </c>
      <c r="H532" s="10433" t="s">
        <v>159</v>
      </c>
      <c r="I532" s="10433" t="s">
        <v>6061</v>
      </c>
      <c r="J532" s="10433" t="s">
        <v>6062</v>
      </c>
      <c r="K532" s="10433" t="s">
        <v>6063</v>
      </c>
      <c r="L532" s="11130">
        <v>1</v>
      </c>
      <c r="M532" s="11130">
        <v>1</v>
      </c>
      <c r="N532" s="11130">
        <v>1</v>
      </c>
      <c r="O532" s="10433" t="s">
        <v>6064</v>
      </c>
      <c r="P532" s="10433" t="s">
        <v>6065</v>
      </c>
      <c r="Q532" s="10439" t="s">
        <v>6124</v>
      </c>
      <c r="R532" s="3774"/>
      <c r="S532" s="5481"/>
      <c r="T532" s="5493"/>
      <c r="U532" s="4660"/>
      <c r="V532" s="5515"/>
      <c r="W532" s="3731"/>
      <c r="X532" s="5574"/>
      <c r="Y532" s="5574"/>
      <c r="Z532" s="5574"/>
      <c r="AA532" s="5575"/>
      <c r="AB532" s="5606"/>
      <c r="AC532" s="4342"/>
      <c r="AD532" s="3731"/>
      <c r="AE532" s="5626"/>
      <c r="AF532" s="5626"/>
      <c r="AG532" s="10525"/>
    </row>
    <row r="533" spans="1:33" ht="24" customHeight="1">
      <c r="A533" s="11139"/>
      <c r="B533" s="11136"/>
      <c r="C533" s="11124"/>
      <c r="D533" s="11124"/>
      <c r="E533" s="11124"/>
      <c r="F533" s="11124"/>
      <c r="G533" s="11124"/>
      <c r="H533" s="11124"/>
      <c r="I533" s="11124"/>
      <c r="J533" s="11124"/>
      <c r="K533" s="11124"/>
      <c r="L533" s="11131"/>
      <c r="M533" s="11131"/>
      <c r="N533" s="11131"/>
      <c r="O533" s="11124"/>
      <c r="P533" s="11124"/>
      <c r="Q533" s="11127"/>
      <c r="R533" s="3538"/>
      <c r="S533" s="5463"/>
      <c r="T533" s="5478"/>
      <c r="U533" s="3765"/>
      <c r="V533" s="5510"/>
      <c r="W533" s="3678"/>
      <c r="X533" s="5546"/>
      <c r="Y533" s="5546"/>
      <c r="Z533" s="5546"/>
      <c r="AA533" s="5547"/>
      <c r="AB533" s="5593"/>
      <c r="AC533" s="4331"/>
      <c r="AD533" s="3678"/>
      <c r="AE533" s="5610"/>
      <c r="AF533" s="5610"/>
      <c r="AG533" s="11115"/>
    </row>
    <row r="534" spans="1:33" ht="24" customHeight="1">
      <c r="A534" s="11139"/>
      <c r="B534" s="11136"/>
      <c r="C534" s="11124"/>
      <c r="D534" s="11124"/>
      <c r="E534" s="11124"/>
      <c r="F534" s="11124"/>
      <c r="G534" s="11124"/>
      <c r="H534" s="11124"/>
      <c r="I534" s="11124"/>
      <c r="J534" s="11124"/>
      <c r="K534" s="11124"/>
      <c r="L534" s="11131"/>
      <c r="M534" s="11131"/>
      <c r="N534" s="11131"/>
      <c r="O534" s="11124"/>
      <c r="P534" s="11124"/>
      <c r="Q534" s="11127"/>
      <c r="R534" s="3538"/>
      <c r="S534" s="5463"/>
      <c r="T534" s="5478"/>
      <c r="U534" s="3765"/>
      <c r="V534" s="5510"/>
      <c r="W534" s="3678"/>
      <c r="X534" s="5546"/>
      <c r="Y534" s="5546"/>
      <c r="Z534" s="5546"/>
      <c r="AA534" s="5547"/>
      <c r="AB534" s="5593"/>
      <c r="AC534" s="4331"/>
      <c r="AD534" s="3678"/>
      <c r="AE534" s="5610"/>
      <c r="AF534" s="5610"/>
      <c r="AG534" s="11115"/>
    </row>
    <row r="535" spans="1:33" ht="24" customHeight="1">
      <c r="A535" s="11139"/>
      <c r="B535" s="11136"/>
      <c r="C535" s="11124"/>
      <c r="D535" s="11124"/>
      <c r="E535" s="11124"/>
      <c r="F535" s="11124"/>
      <c r="G535" s="11124"/>
      <c r="H535" s="11124"/>
      <c r="I535" s="11124"/>
      <c r="J535" s="11124"/>
      <c r="K535" s="11124"/>
      <c r="L535" s="11131"/>
      <c r="M535" s="11131"/>
      <c r="N535" s="11131"/>
      <c r="O535" s="11124"/>
      <c r="P535" s="11124"/>
      <c r="Q535" s="11127"/>
      <c r="R535" s="3538"/>
      <c r="S535" s="5463"/>
      <c r="T535" s="5478"/>
      <c r="U535" s="3765"/>
      <c r="V535" s="5510"/>
      <c r="W535" s="3678"/>
      <c r="X535" s="5546"/>
      <c r="Y535" s="5546"/>
      <c r="Z535" s="5546"/>
      <c r="AA535" s="5547"/>
      <c r="AB535" s="5593"/>
      <c r="AC535" s="4331"/>
      <c r="AD535" s="3678"/>
      <c r="AE535" s="5610"/>
      <c r="AF535" s="5610"/>
      <c r="AG535" s="11115"/>
    </row>
    <row r="536" spans="1:33" ht="24" customHeight="1">
      <c r="A536" s="11139"/>
      <c r="B536" s="11138"/>
      <c r="C536" s="11126"/>
      <c r="D536" s="11126"/>
      <c r="E536" s="11126"/>
      <c r="F536" s="11126"/>
      <c r="G536" s="11126"/>
      <c r="H536" s="11126"/>
      <c r="I536" s="11126"/>
      <c r="J536" s="11126"/>
      <c r="K536" s="11126"/>
      <c r="L536" s="11132"/>
      <c r="M536" s="11132"/>
      <c r="N536" s="11132"/>
      <c r="O536" s="11126"/>
      <c r="P536" s="11126"/>
      <c r="Q536" s="11128"/>
      <c r="R536" s="3543"/>
      <c r="S536" s="5468"/>
      <c r="T536" s="5479"/>
      <c r="U536" s="3766"/>
      <c r="V536" s="5511"/>
      <c r="W536" s="3701"/>
      <c r="X536" s="5548"/>
      <c r="Y536" s="5548"/>
      <c r="Z536" s="5548"/>
      <c r="AA536" s="5549"/>
      <c r="AB536" s="5594"/>
      <c r="AC536" s="4343"/>
      <c r="AD536" s="3701"/>
      <c r="AE536" s="5625"/>
      <c r="AF536" s="5625"/>
      <c r="AG536" s="11116"/>
    </row>
    <row r="537" spans="1:33" ht="24" customHeight="1">
      <c r="A537" s="11139"/>
      <c r="B537" s="10512" t="s">
        <v>183</v>
      </c>
      <c r="C537" s="10444" t="s">
        <v>227</v>
      </c>
      <c r="D537" s="10444" t="s">
        <v>228</v>
      </c>
      <c r="E537" s="10444" t="s">
        <v>229</v>
      </c>
      <c r="F537" s="10451" t="s">
        <v>230</v>
      </c>
      <c r="G537" s="10444" t="s">
        <v>132</v>
      </c>
      <c r="H537" s="10444" t="s">
        <v>159</v>
      </c>
      <c r="I537" s="10444" t="s">
        <v>6066</v>
      </c>
      <c r="J537" s="10444" t="s">
        <v>6067</v>
      </c>
      <c r="K537" s="10444" t="s">
        <v>5871</v>
      </c>
      <c r="L537" s="11133">
        <v>0</v>
      </c>
      <c r="M537" s="11133">
        <v>1</v>
      </c>
      <c r="N537" s="11133">
        <v>0</v>
      </c>
      <c r="O537" s="10444" t="s">
        <v>5872</v>
      </c>
      <c r="P537" s="10444" t="s">
        <v>5873</v>
      </c>
      <c r="Q537" s="10449" t="s">
        <v>6125</v>
      </c>
      <c r="R537" s="5459"/>
      <c r="S537" s="5482"/>
      <c r="T537" s="5491"/>
      <c r="U537" s="4663"/>
      <c r="V537" s="5520"/>
      <c r="W537" s="3729"/>
      <c r="X537" s="5577"/>
      <c r="Y537" s="5577"/>
      <c r="Z537" s="5577"/>
      <c r="AA537" s="5578"/>
      <c r="AB537" s="5608"/>
      <c r="AC537" s="4356"/>
      <c r="AD537" s="3729"/>
      <c r="AE537" s="5623"/>
      <c r="AF537" s="5623"/>
      <c r="AG537" s="10525"/>
    </row>
    <row r="538" spans="1:33" ht="24" customHeight="1">
      <c r="A538" s="11139"/>
      <c r="B538" s="11136"/>
      <c r="C538" s="11124"/>
      <c r="D538" s="11124"/>
      <c r="E538" s="11124"/>
      <c r="F538" s="11124"/>
      <c r="G538" s="11124"/>
      <c r="H538" s="11124"/>
      <c r="I538" s="11124"/>
      <c r="J538" s="11124"/>
      <c r="K538" s="11124"/>
      <c r="L538" s="11131"/>
      <c r="M538" s="11131"/>
      <c r="N538" s="11131"/>
      <c r="O538" s="11124"/>
      <c r="P538" s="11124"/>
      <c r="Q538" s="11127"/>
      <c r="R538" s="3538"/>
      <c r="S538" s="5463"/>
      <c r="T538" s="5478"/>
      <c r="U538" s="3765"/>
      <c r="V538" s="5510"/>
      <c r="W538" s="3678"/>
      <c r="X538" s="5546"/>
      <c r="Y538" s="5546"/>
      <c r="Z538" s="5546"/>
      <c r="AA538" s="5547"/>
      <c r="AB538" s="5593"/>
      <c r="AC538" s="4331"/>
      <c r="AD538" s="3678"/>
      <c r="AE538" s="5610"/>
      <c r="AF538" s="5610"/>
      <c r="AG538" s="11115"/>
    </row>
    <row r="539" spans="1:33" ht="24" customHeight="1">
      <c r="A539" s="11139"/>
      <c r="B539" s="11136"/>
      <c r="C539" s="11124"/>
      <c r="D539" s="11124"/>
      <c r="E539" s="11124"/>
      <c r="F539" s="11124"/>
      <c r="G539" s="11124"/>
      <c r="H539" s="11124"/>
      <c r="I539" s="11124"/>
      <c r="J539" s="11124"/>
      <c r="K539" s="11124"/>
      <c r="L539" s="11131"/>
      <c r="M539" s="11131"/>
      <c r="N539" s="11131"/>
      <c r="O539" s="11124"/>
      <c r="P539" s="11124"/>
      <c r="Q539" s="11127"/>
      <c r="R539" s="3538"/>
      <c r="S539" s="5463"/>
      <c r="T539" s="5478"/>
      <c r="U539" s="3765"/>
      <c r="V539" s="5510"/>
      <c r="W539" s="3678"/>
      <c r="X539" s="5546"/>
      <c r="Y539" s="5546"/>
      <c r="Z539" s="5546"/>
      <c r="AA539" s="5547"/>
      <c r="AB539" s="5593"/>
      <c r="AC539" s="4331"/>
      <c r="AD539" s="3678"/>
      <c r="AE539" s="5610"/>
      <c r="AF539" s="5610"/>
      <c r="AG539" s="11115"/>
    </row>
    <row r="540" spans="1:33" ht="24" customHeight="1">
      <c r="A540" s="11139"/>
      <c r="B540" s="11136"/>
      <c r="C540" s="11124"/>
      <c r="D540" s="11124"/>
      <c r="E540" s="11124"/>
      <c r="F540" s="11124"/>
      <c r="G540" s="11124"/>
      <c r="H540" s="11124"/>
      <c r="I540" s="11124"/>
      <c r="J540" s="11124"/>
      <c r="K540" s="11124"/>
      <c r="L540" s="11131"/>
      <c r="M540" s="11131"/>
      <c r="N540" s="11131"/>
      <c r="O540" s="11124"/>
      <c r="P540" s="11124"/>
      <c r="Q540" s="11127"/>
      <c r="R540" s="3538"/>
      <c r="S540" s="5463"/>
      <c r="T540" s="5478"/>
      <c r="U540" s="3765"/>
      <c r="V540" s="5510"/>
      <c r="W540" s="3678"/>
      <c r="X540" s="5546"/>
      <c r="Y540" s="5546"/>
      <c r="Z540" s="5546"/>
      <c r="AA540" s="5547"/>
      <c r="AB540" s="5593"/>
      <c r="AC540" s="4331"/>
      <c r="AD540" s="3678"/>
      <c r="AE540" s="5610"/>
      <c r="AF540" s="5610"/>
      <c r="AG540" s="11115"/>
    </row>
    <row r="541" spans="1:33" ht="24" customHeight="1">
      <c r="A541" s="11139"/>
      <c r="B541" s="11137"/>
      <c r="C541" s="11125"/>
      <c r="D541" s="11125"/>
      <c r="E541" s="11125"/>
      <c r="F541" s="11125"/>
      <c r="G541" s="11125"/>
      <c r="H541" s="11125"/>
      <c r="I541" s="11125"/>
      <c r="J541" s="11125"/>
      <c r="K541" s="11125"/>
      <c r="L541" s="11134"/>
      <c r="M541" s="11134"/>
      <c r="N541" s="11134"/>
      <c r="O541" s="11125"/>
      <c r="P541" s="11125"/>
      <c r="Q541" s="11135"/>
      <c r="R541" s="3768"/>
      <c r="S541" s="5477"/>
      <c r="T541" s="5492"/>
      <c r="U541" s="4662"/>
      <c r="V541" s="5514"/>
      <c r="W541" s="3747"/>
      <c r="X541" s="5572"/>
      <c r="Y541" s="5572"/>
      <c r="Z541" s="5572"/>
      <c r="AA541" s="5573"/>
      <c r="AB541" s="5605"/>
      <c r="AC541" s="4354"/>
      <c r="AD541" s="3747"/>
      <c r="AE541" s="5624"/>
      <c r="AF541" s="5624"/>
      <c r="AG541" s="11116"/>
    </row>
    <row r="542" spans="1:33" ht="15" customHeight="1">
      <c r="A542" s="11139"/>
      <c r="B542" s="10516" t="s">
        <v>183</v>
      </c>
      <c r="C542" s="10433" t="s">
        <v>227</v>
      </c>
      <c r="D542" s="10433" t="s">
        <v>228</v>
      </c>
      <c r="E542" s="10433" t="s">
        <v>229</v>
      </c>
      <c r="F542" s="10442" t="s">
        <v>230</v>
      </c>
      <c r="G542" s="10433" t="s">
        <v>171</v>
      </c>
      <c r="H542" s="10433" t="s">
        <v>133</v>
      </c>
      <c r="I542" s="10433" t="s">
        <v>6068</v>
      </c>
      <c r="J542" s="10433" t="s">
        <v>6069</v>
      </c>
      <c r="K542" s="10433" t="s">
        <v>6022</v>
      </c>
      <c r="L542" s="10470">
        <v>1</v>
      </c>
      <c r="M542" s="10470">
        <v>1</v>
      </c>
      <c r="N542" s="10470">
        <v>1</v>
      </c>
      <c r="O542" s="10433" t="s">
        <v>6070</v>
      </c>
      <c r="P542" s="10433" t="s">
        <v>6071</v>
      </c>
      <c r="Q542" s="10439" t="s">
        <v>6126</v>
      </c>
      <c r="R542" s="3776"/>
      <c r="S542" s="5466"/>
      <c r="T542" s="5488"/>
      <c r="U542" s="5496"/>
      <c r="V542" s="5515"/>
      <c r="W542" s="3731"/>
      <c r="X542" s="5574"/>
      <c r="Y542" s="5574"/>
      <c r="Z542" s="5574"/>
      <c r="AA542" s="5575"/>
      <c r="AB542" s="5606"/>
      <c r="AC542" s="4342"/>
      <c r="AD542" s="3731"/>
      <c r="AE542" s="5626"/>
      <c r="AF542" s="5626"/>
      <c r="AG542" s="10525"/>
    </row>
    <row r="543" spans="1:33" ht="21" customHeight="1">
      <c r="A543" s="11139"/>
      <c r="B543" s="11136"/>
      <c r="C543" s="11124"/>
      <c r="D543" s="11124"/>
      <c r="E543" s="11124"/>
      <c r="F543" s="11124"/>
      <c r="G543" s="11124"/>
      <c r="H543" s="11124"/>
      <c r="I543" s="11124"/>
      <c r="J543" s="11124"/>
      <c r="K543" s="11124"/>
      <c r="L543" s="11131"/>
      <c r="M543" s="11131"/>
      <c r="N543" s="11131"/>
      <c r="O543" s="11124"/>
      <c r="P543" s="11124"/>
      <c r="Q543" s="11127"/>
      <c r="R543" s="3541"/>
      <c r="S543" s="5467"/>
      <c r="T543" s="5489"/>
      <c r="U543" s="3822"/>
      <c r="V543" s="5510"/>
      <c r="W543" s="3678"/>
      <c r="X543" s="5546"/>
      <c r="Y543" s="5546"/>
      <c r="Z543" s="5546"/>
      <c r="AA543" s="5547"/>
      <c r="AB543" s="5593"/>
      <c r="AC543" s="4331"/>
      <c r="AD543" s="3678"/>
      <c r="AE543" s="5610"/>
      <c r="AF543" s="5610"/>
      <c r="AG543" s="11115"/>
    </row>
    <row r="544" spans="1:33" ht="21" customHeight="1">
      <c r="A544" s="11139"/>
      <c r="B544" s="11136"/>
      <c r="C544" s="11124"/>
      <c r="D544" s="11124"/>
      <c r="E544" s="11124"/>
      <c r="F544" s="11124"/>
      <c r="G544" s="11124"/>
      <c r="H544" s="11124"/>
      <c r="I544" s="11124"/>
      <c r="J544" s="11124"/>
      <c r="K544" s="11124"/>
      <c r="L544" s="11131"/>
      <c r="M544" s="11131"/>
      <c r="N544" s="11131"/>
      <c r="O544" s="11124"/>
      <c r="P544" s="11124"/>
      <c r="Q544" s="11127"/>
      <c r="R544" s="3541"/>
      <c r="S544" s="5467"/>
      <c r="T544" s="5467"/>
      <c r="U544" s="3542"/>
      <c r="V544" s="5499"/>
      <c r="W544" s="3496"/>
      <c r="X544" s="5523"/>
      <c r="Y544" s="5523"/>
      <c r="Z544" s="5523"/>
      <c r="AA544" s="5524"/>
      <c r="AB544" s="5581"/>
      <c r="AC544" s="4316"/>
      <c r="AD544" s="3496"/>
      <c r="AE544" s="5610"/>
      <c r="AF544" s="5610"/>
      <c r="AG544" s="11115"/>
    </row>
    <row r="545" spans="1:33" ht="21" customHeight="1">
      <c r="A545" s="11139"/>
      <c r="B545" s="11136"/>
      <c r="C545" s="11124"/>
      <c r="D545" s="11124"/>
      <c r="E545" s="11124"/>
      <c r="F545" s="11124"/>
      <c r="G545" s="11124"/>
      <c r="H545" s="11124"/>
      <c r="I545" s="11124"/>
      <c r="J545" s="11124"/>
      <c r="K545" s="11124"/>
      <c r="L545" s="11131"/>
      <c r="M545" s="11131"/>
      <c r="N545" s="11131"/>
      <c r="O545" s="11124"/>
      <c r="P545" s="11124"/>
      <c r="Q545" s="11127"/>
      <c r="R545" s="3541"/>
      <c r="S545" s="5467"/>
      <c r="T545" s="5467"/>
      <c r="U545" s="3542"/>
      <c r="V545" s="5499"/>
      <c r="W545" s="3496"/>
      <c r="X545" s="5523"/>
      <c r="Y545" s="5523"/>
      <c r="Z545" s="5523"/>
      <c r="AA545" s="5524"/>
      <c r="AB545" s="5581"/>
      <c r="AC545" s="4316"/>
      <c r="AD545" s="3496"/>
      <c r="AE545" s="5610"/>
      <c r="AF545" s="5610"/>
      <c r="AG545" s="11115"/>
    </row>
    <row r="546" spans="1:33" ht="21" customHeight="1">
      <c r="A546" s="11139"/>
      <c r="B546" s="11138"/>
      <c r="C546" s="11126"/>
      <c r="D546" s="11126"/>
      <c r="E546" s="11126"/>
      <c r="F546" s="11126"/>
      <c r="G546" s="11126"/>
      <c r="H546" s="11126"/>
      <c r="I546" s="11126"/>
      <c r="J546" s="11126"/>
      <c r="K546" s="11126"/>
      <c r="L546" s="11132"/>
      <c r="M546" s="11132"/>
      <c r="N546" s="11132"/>
      <c r="O546" s="11126"/>
      <c r="P546" s="11126"/>
      <c r="Q546" s="11128"/>
      <c r="R546" s="3556"/>
      <c r="S546" s="5486"/>
      <c r="T546" s="5486"/>
      <c r="U546" s="4661"/>
      <c r="V546" s="5503"/>
      <c r="W546" s="3545"/>
      <c r="X546" s="5532"/>
      <c r="Y546" s="5532"/>
      <c r="Z546" s="5532"/>
      <c r="AA546" s="5533"/>
      <c r="AB546" s="5585"/>
      <c r="AC546" s="4318"/>
      <c r="AD546" s="3545"/>
      <c r="AE546" s="5625"/>
      <c r="AF546" s="5625"/>
      <c r="AG546" s="11116"/>
    </row>
    <row r="547" spans="1:33" ht="18" customHeight="1">
      <c r="A547" s="11139"/>
      <c r="B547" s="10512" t="s">
        <v>127</v>
      </c>
      <c r="C547" s="10444" t="s">
        <v>128</v>
      </c>
      <c r="D547" s="10444" t="s">
        <v>129</v>
      </c>
      <c r="E547" s="10444" t="s">
        <v>157</v>
      </c>
      <c r="F547" s="10451" t="s">
        <v>131</v>
      </c>
      <c r="G547" s="10444" t="s">
        <v>132</v>
      </c>
      <c r="H547" s="10444" t="s">
        <v>159</v>
      </c>
      <c r="I547" s="10444" t="s">
        <v>6073</v>
      </c>
      <c r="J547" s="10444" t="s">
        <v>6074</v>
      </c>
      <c r="K547" s="10444" t="s">
        <v>5888</v>
      </c>
      <c r="L547" s="10455">
        <v>3</v>
      </c>
      <c r="M547" s="10455">
        <v>4</v>
      </c>
      <c r="N547" s="10455">
        <v>3</v>
      </c>
      <c r="O547" s="10444" t="s">
        <v>6075</v>
      </c>
      <c r="P547" s="10444" t="s">
        <v>6076</v>
      </c>
      <c r="Q547" s="10449" t="s">
        <v>6124</v>
      </c>
      <c r="R547" s="5459"/>
      <c r="S547" s="5482"/>
      <c r="T547" s="5482"/>
      <c r="U547" s="4659"/>
      <c r="V547" s="5504"/>
      <c r="W547" s="3658"/>
      <c r="X547" s="5534"/>
      <c r="Y547" s="5534"/>
      <c r="Z547" s="5534"/>
      <c r="AA547" s="5535"/>
      <c r="AB547" s="5586"/>
      <c r="AC547" s="4314"/>
      <c r="AD547" s="3658"/>
      <c r="AE547" s="5623"/>
      <c r="AF547" s="5623"/>
      <c r="AG547" s="10525"/>
    </row>
    <row r="548" spans="1:33" ht="18" customHeight="1">
      <c r="A548" s="11139"/>
      <c r="B548" s="11136"/>
      <c r="C548" s="11124"/>
      <c r="D548" s="11124"/>
      <c r="E548" s="11124"/>
      <c r="F548" s="11124"/>
      <c r="G548" s="11124"/>
      <c r="H548" s="11124"/>
      <c r="I548" s="11124"/>
      <c r="J548" s="11124"/>
      <c r="K548" s="11124"/>
      <c r="L548" s="11131"/>
      <c r="M548" s="11131"/>
      <c r="N548" s="11131"/>
      <c r="O548" s="11124"/>
      <c r="P548" s="11124"/>
      <c r="Q548" s="11127"/>
      <c r="R548" s="3538"/>
      <c r="S548" s="5463"/>
      <c r="T548" s="5463"/>
      <c r="U548" s="3495"/>
      <c r="V548" s="5499"/>
      <c r="W548" s="3496"/>
      <c r="X548" s="5523"/>
      <c r="Y548" s="5523"/>
      <c r="Z548" s="5523"/>
      <c r="AA548" s="5524"/>
      <c r="AB548" s="5581"/>
      <c r="AC548" s="4316"/>
      <c r="AD548" s="3496"/>
      <c r="AE548" s="5610"/>
      <c r="AF548" s="5610"/>
      <c r="AG548" s="11115"/>
    </row>
    <row r="549" spans="1:33" ht="18" customHeight="1">
      <c r="A549" s="11139"/>
      <c r="B549" s="11136"/>
      <c r="C549" s="11124"/>
      <c r="D549" s="11124"/>
      <c r="E549" s="11124"/>
      <c r="F549" s="11124"/>
      <c r="G549" s="11124"/>
      <c r="H549" s="11124"/>
      <c r="I549" s="11124"/>
      <c r="J549" s="11124"/>
      <c r="K549" s="11124"/>
      <c r="L549" s="11131"/>
      <c r="M549" s="11131"/>
      <c r="N549" s="11131"/>
      <c r="O549" s="11124"/>
      <c r="P549" s="11124"/>
      <c r="Q549" s="11127"/>
      <c r="R549" s="3538"/>
      <c r="S549" s="5463"/>
      <c r="T549" s="5463"/>
      <c r="U549" s="3495"/>
      <c r="V549" s="5499"/>
      <c r="W549" s="3496"/>
      <c r="X549" s="5523"/>
      <c r="Y549" s="5523"/>
      <c r="Z549" s="5523"/>
      <c r="AA549" s="5524"/>
      <c r="AB549" s="5581"/>
      <c r="AC549" s="4316"/>
      <c r="AD549" s="3496"/>
      <c r="AE549" s="5610"/>
      <c r="AF549" s="5610"/>
      <c r="AG549" s="11115"/>
    </row>
    <row r="550" spans="1:33" ht="18" customHeight="1">
      <c r="A550" s="11139"/>
      <c r="B550" s="11136"/>
      <c r="C550" s="11124"/>
      <c r="D550" s="11124"/>
      <c r="E550" s="11124"/>
      <c r="F550" s="11124"/>
      <c r="G550" s="11124"/>
      <c r="H550" s="11124"/>
      <c r="I550" s="11124"/>
      <c r="J550" s="11124"/>
      <c r="K550" s="11124"/>
      <c r="L550" s="11131"/>
      <c r="M550" s="11131"/>
      <c r="N550" s="11131"/>
      <c r="O550" s="11124"/>
      <c r="P550" s="11124"/>
      <c r="Q550" s="11127"/>
      <c r="R550" s="3541"/>
      <c r="S550" s="5467"/>
      <c r="T550" s="5467"/>
      <c r="U550" s="3495"/>
      <c r="V550" s="5499"/>
      <c r="W550" s="3496"/>
      <c r="X550" s="5523"/>
      <c r="Y550" s="5523"/>
      <c r="Z550" s="5523"/>
      <c r="AA550" s="5524"/>
      <c r="AB550" s="5581"/>
      <c r="AC550" s="4316"/>
      <c r="AD550" s="3496"/>
      <c r="AE550" s="5610"/>
      <c r="AF550" s="5610"/>
      <c r="AG550" s="11115"/>
    </row>
    <row r="551" spans="1:33" ht="18" customHeight="1">
      <c r="A551" s="11139"/>
      <c r="B551" s="11138"/>
      <c r="C551" s="11126"/>
      <c r="D551" s="11126"/>
      <c r="E551" s="11126"/>
      <c r="F551" s="11126"/>
      <c r="G551" s="11126"/>
      <c r="H551" s="11126"/>
      <c r="I551" s="11126"/>
      <c r="J551" s="11126"/>
      <c r="K551" s="11126"/>
      <c r="L551" s="11132"/>
      <c r="M551" s="11132"/>
      <c r="N551" s="11132"/>
      <c r="O551" s="11126"/>
      <c r="P551" s="11126"/>
      <c r="Q551" s="11128"/>
      <c r="R551" s="3543"/>
      <c r="S551" s="5468"/>
      <c r="T551" s="5468"/>
      <c r="U551" s="3557"/>
      <c r="V551" s="5503"/>
      <c r="W551" s="3545"/>
      <c r="X551" s="5532"/>
      <c r="Y551" s="5532"/>
      <c r="Z551" s="5532"/>
      <c r="AA551" s="5533"/>
      <c r="AB551" s="5585"/>
      <c r="AC551" s="4318"/>
      <c r="AD551" s="3545"/>
      <c r="AE551" s="5625"/>
      <c r="AF551" s="5625"/>
      <c r="AG551" s="11116"/>
    </row>
    <row r="552" spans="1:33" s="6169" customFormat="1" ht="22.5" customHeight="1" thickBot="1">
      <c r="A552" s="6236"/>
      <c r="B552" s="6250"/>
      <c r="C552" s="6250"/>
      <c r="D552" s="6250"/>
      <c r="E552" s="6250"/>
      <c r="F552" s="6250"/>
      <c r="G552" s="6250"/>
      <c r="H552" s="6250"/>
      <c r="I552" s="6250"/>
      <c r="J552" s="6250"/>
      <c r="K552" s="6250"/>
      <c r="L552" s="6164"/>
      <c r="M552" s="6164"/>
      <c r="N552" s="6164"/>
      <c r="O552" s="6166"/>
      <c r="P552" s="6166"/>
      <c r="Q552" s="6167"/>
      <c r="R552" s="11144" t="s">
        <v>6127</v>
      </c>
      <c r="S552" s="11145"/>
      <c r="T552" s="11145"/>
      <c r="U552" s="11145"/>
      <c r="V552" s="11145"/>
      <c r="W552" s="11145"/>
      <c r="X552" s="11145"/>
      <c r="Y552" s="11145"/>
      <c r="Z552" s="5321" t="s">
        <v>292</v>
      </c>
      <c r="AA552" s="6153">
        <f>SUM(AA472:AA551)</f>
        <v>6196.64</v>
      </c>
      <c r="AB552" s="6165"/>
      <c r="AC552" s="6168"/>
      <c r="AD552" s="11146"/>
      <c r="AE552" s="11147"/>
      <c r="AF552" s="11147"/>
      <c r="AG552" s="11148"/>
    </row>
    <row r="553" spans="1:33" ht="18" customHeight="1">
      <c r="A553" s="9599" t="s">
        <v>6128</v>
      </c>
      <c r="B553" s="10518" t="s">
        <v>183</v>
      </c>
      <c r="C553" s="10452" t="s">
        <v>227</v>
      </c>
      <c r="D553" s="10452" t="s">
        <v>228</v>
      </c>
      <c r="E553" s="10452" t="s">
        <v>229</v>
      </c>
      <c r="F553" s="10454" t="s">
        <v>230</v>
      </c>
      <c r="G553" s="10452" t="s">
        <v>132</v>
      </c>
      <c r="H553" s="10452" t="s">
        <v>159</v>
      </c>
      <c r="I553" s="10433" t="s">
        <v>6010</v>
      </c>
      <c r="J553" s="10452" t="s">
        <v>6011</v>
      </c>
      <c r="K553" s="10452" t="s">
        <v>5761</v>
      </c>
      <c r="L553" s="10488">
        <v>2</v>
      </c>
      <c r="M553" s="10488">
        <v>1</v>
      </c>
      <c r="N553" s="10488">
        <v>2</v>
      </c>
      <c r="O553" s="10452" t="s">
        <v>6012</v>
      </c>
      <c r="P553" s="10452" t="s">
        <v>6013</v>
      </c>
      <c r="Q553" s="10453" t="s">
        <v>6014</v>
      </c>
      <c r="R553" s="3779"/>
      <c r="S553" s="5462"/>
      <c r="T553" s="5462"/>
      <c r="U553" s="3764"/>
      <c r="V553" s="5498"/>
      <c r="W553" s="3683"/>
      <c r="X553" s="5521"/>
      <c r="Y553" s="5521"/>
      <c r="Z553" s="5521"/>
      <c r="AA553" s="5522"/>
      <c r="AB553" s="5580"/>
      <c r="AC553" s="4323"/>
      <c r="AD553" s="3683"/>
      <c r="AE553" s="5609"/>
      <c r="AF553" s="5609"/>
      <c r="AG553" s="10466"/>
    </row>
    <row r="554" spans="1:33" ht="18" customHeight="1">
      <c r="A554" s="11139"/>
      <c r="B554" s="11136"/>
      <c r="C554" s="11124"/>
      <c r="D554" s="11124"/>
      <c r="E554" s="11124"/>
      <c r="F554" s="11124"/>
      <c r="G554" s="11124"/>
      <c r="H554" s="11124"/>
      <c r="I554" s="11124"/>
      <c r="J554" s="11124"/>
      <c r="K554" s="11124"/>
      <c r="L554" s="11131"/>
      <c r="M554" s="11131"/>
      <c r="N554" s="11131"/>
      <c r="O554" s="11124"/>
      <c r="P554" s="11124"/>
      <c r="Q554" s="11127"/>
      <c r="R554" s="3538"/>
      <c r="S554" s="5463"/>
      <c r="T554" s="5463"/>
      <c r="U554" s="3495"/>
      <c r="V554" s="5499"/>
      <c r="W554" s="3496"/>
      <c r="X554" s="5523"/>
      <c r="Y554" s="5523"/>
      <c r="Z554" s="5523"/>
      <c r="AA554" s="5524"/>
      <c r="AB554" s="5581"/>
      <c r="AC554" s="4316"/>
      <c r="AD554" s="3496"/>
      <c r="AE554" s="5610"/>
      <c r="AF554" s="5610"/>
      <c r="AG554" s="11115"/>
    </row>
    <row r="555" spans="1:33" ht="18" customHeight="1">
      <c r="A555" s="11139"/>
      <c r="B555" s="11136"/>
      <c r="C555" s="11124"/>
      <c r="D555" s="11124"/>
      <c r="E555" s="11124"/>
      <c r="F555" s="11124"/>
      <c r="G555" s="11124"/>
      <c r="H555" s="11124"/>
      <c r="I555" s="11124"/>
      <c r="J555" s="11124"/>
      <c r="K555" s="11124"/>
      <c r="L555" s="11131"/>
      <c r="M555" s="11131"/>
      <c r="N555" s="11131"/>
      <c r="O555" s="11124"/>
      <c r="P555" s="11124"/>
      <c r="Q555" s="11127"/>
      <c r="R555" s="3538"/>
      <c r="S555" s="5463"/>
      <c r="T555" s="5463"/>
      <c r="U555" s="3495"/>
      <c r="V555" s="5499"/>
      <c r="W555" s="3496"/>
      <c r="X555" s="5523"/>
      <c r="Y555" s="5523"/>
      <c r="Z555" s="5523"/>
      <c r="AA555" s="5524"/>
      <c r="AB555" s="5581"/>
      <c r="AC555" s="4316"/>
      <c r="AD555" s="3496"/>
      <c r="AE555" s="5610"/>
      <c r="AF555" s="5610"/>
      <c r="AG555" s="11115"/>
    </row>
    <row r="556" spans="1:33" ht="18" customHeight="1">
      <c r="A556" s="11139"/>
      <c r="B556" s="11136"/>
      <c r="C556" s="11124"/>
      <c r="D556" s="11124"/>
      <c r="E556" s="11124"/>
      <c r="F556" s="11124"/>
      <c r="G556" s="11124"/>
      <c r="H556" s="11124"/>
      <c r="I556" s="11124"/>
      <c r="J556" s="11124"/>
      <c r="K556" s="11124"/>
      <c r="L556" s="11131"/>
      <c r="M556" s="11131"/>
      <c r="N556" s="11131"/>
      <c r="O556" s="11124"/>
      <c r="P556" s="11124"/>
      <c r="Q556" s="11127"/>
      <c r="R556" s="3541"/>
      <c r="S556" s="5467"/>
      <c r="T556" s="5467"/>
      <c r="U556" s="3495"/>
      <c r="V556" s="5499"/>
      <c r="W556" s="3496"/>
      <c r="X556" s="5523"/>
      <c r="Y556" s="5523"/>
      <c r="Z556" s="5523"/>
      <c r="AA556" s="5524"/>
      <c r="AB556" s="5581"/>
      <c r="AC556" s="4316"/>
      <c r="AD556" s="3496"/>
      <c r="AE556" s="5610"/>
      <c r="AF556" s="5610"/>
      <c r="AG556" s="11115"/>
    </row>
    <row r="557" spans="1:33" ht="18" customHeight="1">
      <c r="A557" s="11139"/>
      <c r="B557" s="11137"/>
      <c r="C557" s="11125"/>
      <c r="D557" s="11125"/>
      <c r="E557" s="11125"/>
      <c r="F557" s="11125"/>
      <c r="G557" s="11125"/>
      <c r="H557" s="11125"/>
      <c r="I557" s="11125"/>
      <c r="J557" s="11125"/>
      <c r="K557" s="11125"/>
      <c r="L557" s="11134"/>
      <c r="M557" s="11134"/>
      <c r="N557" s="11134"/>
      <c r="O557" s="11125"/>
      <c r="P557" s="11125"/>
      <c r="Q557" s="11135"/>
      <c r="R557" s="3768"/>
      <c r="S557" s="5477"/>
      <c r="T557" s="5477"/>
      <c r="U557" s="3759"/>
      <c r="V557" s="5509"/>
      <c r="W557" s="3714"/>
      <c r="X557" s="5544"/>
      <c r="Y557" s="5544"/>
      <c r="Z557" s="5544"/>
      <c r="AA557" s="5545"/>
      <c r="AB557" s="5592"/>
      <c r="AC557" s="4320"/>
      <c r="AD557" s="3714"/>
      <c r="AE557" s="5624"/>
      <c r="AF557" s="5624"/>
      <c r="AG557" s="11116"/>
    </row>
    <row r="558" spans="1:33" ht="18" customHeight="1">
      <c r="A558" s="11139"/>
      <c r="B558" s="10516" t="s">
        <v>127</v>
      </c>
      <c r="C558" s="10433" t="s">
        <v>128</v>
      </c>
      <c r="D558" s="10433" t="s">
        <v>129</v>
      </c>
      <c r="E558" s="10433" t="s">
        <v>157</v>
      </c>
      <c r="F558" s="10442" t="s">
        <v>131</v>
      </c>
      <c r="G558" s="10433" t="s">
        <v>132</v>
      </c>
      <c r="H558" s="10433" t="s">
        <v>159</v>
      </c>
      <c r="I558" s="10433" t="s">
        <v>6015</v>
      </c>
      <c r="J558" s="10433" t="s">
        <v>6016</v>
      </c>
      <c r="K558" s="10433" t="s">
        <v>5761</v>
      </c>
      <c r="L558" s="11130">
        <v>2</v>
      </c>
      <c r="M558" s="11130">
        <v>0</v>
      </c>
      <c r="N558" s="11130">
        <v>2</v>
      </c>
      <c r="O558" s="10433" t="s">
        <v>6017</v>
      </c>
      <c r="P558" s="10433" t="s">
        <v>6018</v>
      </c>
      <c r="Q558" s="10439" t="s">
        <v>6129</v>
      </c>
      <c r="R558" s="3774"/>
      <c r="S558" s="5481"/>
      <c r="T558" s="5481"/>
      <c r="U558" s="3761"/>
      <c r="V558" s="5502"/>
      <c r="W558" s="3709"/>
      <c r="X558" s="5529"/>
      <c r="Y558" s="5529"/>
      <c r="Z558" s="5529"/>
      <c r="AA558" s="5530"/>
      <c r="AB558" s="5584"/>
      <c r="AC558" s="4338"/>
      <c r="AD558" s="3709"/>
      <c r="AE558" s="5626"/>
      <c r="AF558" s="5626"/>
      <c r="AG558" s="10464"/>
    </row>
    <row r="559" spans="1:33" ht="18" customHeight="1">
      <c r="A559" s="11139"/>
      <c r="B559" s="11136"/>
      <c r="C559" s="11124"/>
      <c r="D559" s="11124"/>
      <c r="E559" s="11124"/>
      <c r="F559" s="11124"/>
      <c r="G559" s="11124"/>
      <c r="H559" s="11124"/>
      <c r="I559" s="11124"/>
      <c r="J559" s="11124"/>
      <c r="K559" s="11124"/>
      <c r="L559" s="11131"/>
      <c r="M559" s="11131"/>
      <c r="N559" s="11131"/>
      <c r="O559" s="11124"/>
      <c r="P559" s="11124"/>
      <c r="Q559" s="11127"/>
      <c r="R559" s="3538"/>
      <c r="S559" s="5463"/>
      <c r="T559" s="5463"/>
      <c r="U559" s="3495"/>
      <c r="V559" s="5499"/>
      <c r="W559" s="3496"/>
      <c r="X559" s="5523"/>
      <c r="Y559" s="5523"/>
      <c r="Z559" s="5523"/>
      <c r="AA559" s="5524"/>
      <c r="AB559" s="5581"/>
      <c r="AC559" s="4316"/>
      <c r="AD559" s="3496"/>
      <c r="AE559" s="5610"/>
      <c r="AF559" s="5610"/>
      <c r="AG559" s="11115"/>
    </row>
    <row r="560" spans="1:33" ht="18" customHeight="1">
      <c r="A560" s="11139"/>
      <c r="B560" s="11136"/>
      <c r="C560" s="11124"/>
      <c r="D560" s="11124"/>
      <c r="E560" s="11124"/>
      <c r="F560" s="11124"/>
      <c r="G560" s="11124"/>
      <c r="H560" s="11124"/>
      <c r="I560" s="11124"/>
      <c r="J560" s="11124"/>
      <c r="K560" s="11124"/>
      <c r="L560" s="11131"/>
      <c r="M560" s="11131"/>
      <c r="N560" s="11131"/>
      <c r="O560" s="11124"/>
      <c r="P560" s="11124"/>
      <c r="Q560" s="11127"/>
      <c r="R560" s="3538"/>
      <c r="S560" s="5463"/>
      <c r="T560" s="5463"/>
      <c r="U560" s="3495"/>
      <c r="V560" s="5499"/>
      <c r="W560" s="3496"/>
      <c r="X560" s="5523"/>
      <c r="Y560" s="5523"/>
      <c r="Z560" s="5523"/>
      <c r="AA560" s="5524"/>
      <c r="AB560" s="5581"/>
      <c r="AC560" s="4316"/>
      <c r="AD560" s="3496"/>
      <c r="AE560" s="5610"/>
      <c r="AF560" s="5610"/>
      <c r="AG560" s="11115"/>
    </row>
    <row r="561" spans="1:33" ht="18" customHeight="1">
      <c r="A561" s="11139"/>
      <c r="B561" s="11136"/>
      <c r="C561" s="11124"/>
      <c r="D561" s="11124"/>
      <c r="E561" s="11124"/>
      <c r="F561" s="11124"/>
      <c r="G561" s="11124"/>
      <c r="H561" s="11124"/>
      <c r="I561" s="11124"/>
      <c r="J561" s="11124"/>
      <c r="K561" s="11124"/>
      <c r="L561" s="11131"/>
      <c r="M561" s="11131"/>
      <c r="N561" s="11131"/>
      <c r="O561" s="11124"/>
      <c r="P561" s="11124"/>
      <c r="Q561" s="11127"/>
      <c r="R561" s="3538"/>
      <c r="S561" s="5463"/>
      <c r="T561" s="5463"/>
      <c r="U561" s="3495"/>
      <c r="V561" s="5499"/>
      <c r="W561" s="3496"/>
      <c r="X561" s="5523"/>
      <c r="Y561" s="5523"/>
      <c r="Z561" s="5523"/>
      <c r="AA561" s="5524"/>
      <c r="AB561" s="5581"/>
      <c r="AC561" s="4316"/>
      <c r="AD561" s="3496"/>
      <c r="AE561" s="5610"/>
      <c r="AF561" s="5610"/>
      <c r="AG561" s="11115"/>
    </row>
    <row r="562" spans="1:33" ht="18" customHeight="1">
      <c r="A562" s="11139"/>
      <c r="B562" s="11138"/>
      <c r="C562" s="11126"/>
      <c r="D562" s="11126"/>
      <c r="E562" s="11126"/>
      <c r="F562" s="11126"/>
      <c r="G562" s="11126"/>
      <c r="H562" s="11126"/>
      <c r="I562" s="11126"/>
      <c r="J562" s="11126"/>
      <c r="K562" s="11126"/>
      <c r="L562" s="11132"/>
      <c r="M562" s="11132"/>
      <c r="N562" s="11132"/>
      <c r="O562" s="11126"/>
      <c r="P562" s="11126"/>
      <c r="Q562" s="11128"/>
      <c r="R562" s="3543"/>
      <c r="S562" s="5468"/>
      <c r="T562" s="5468"/>
      <c r="U562" s="3557"/>
      <c r="V562" s="5503"/>
      <c r="W562" s="3545"/>
      <c r="X562" s="5532"/>
      <c r="Y562" s="5532"/>
      <c r="Z562" s="5532"/>
      <c r="AA562" s="5533"/>
      <c r="AB562" s="5585"/>
      <c r="AC562" s="4318"/>
      <c r="AD562" s="3545"/>
      <c r="AE562" s="5625"/>
      <c r="AF562" s="5625"/>
      <c r="AG562" s="11116"/>
    </row>
    <row r="563" spans="1:33" ht="18" customHeight="1">
      <c r="A563" s="11139"/>
      <c r="B563" s="10512" t="s">
        <v>127</v>
      </c>
      <c r="C563" s="10444" t="s">
        <v>128</v>
      </c>
      <c r="D563" s="10444" t="s">
        <v>129</v>
      </c>
      <c r="E563" s="10444" t="s">
        <v>157</v>
      </c>
      <c r="F563" s="10451" t="s">
        <v>131</v>
      </c>
      <c r="G563" s="10444" t="s">
        <v>132</v>
      </c>
      <c r="H563" s="10444" t="s">
        <v>159</v>
      </c>
      <c r="I563" s="10444" t="s">
        <v>6020</v>
      </c>
      <c r="J563" s="10444" t="s">
        <v>6021</v>
      </c>
      <c r="K563" s="10444" t="s">
        <v>6022</v>
      </c>
      <c r="L563" s="11133">
        <v>0</v>
      </c>
      <c r="M563" s="11133">
        <v>1</v>
      </c>
      <c r="N563" s="11133">
        <v>0</v>
      </c>
      <c r="O563" s="10444" t="s">
        <v>6023</v>
      </c>
      <c r="P563" s="10444" t="s">
        <v>6024</v>
      </c>
      <c r="Q563" s="10449" t="s">
        <v>6130</v>
      </c>
      <c r="R563" s="5459"/>
      <c r="S563" s="5482"/>
      <c r="T563" s="5482"/>
      <c r="U563" s="4659"/>
      <c r="V563" s="5504"/>
      <c r="W563" s="3658"/>
      <c r="X563" s="5534"/>
      <c r="Y563" s="5534"/>
      <c r="Z563" s="5534"/>
      <c r="AA563" s="5535"/>
      <c r="AB563" s="5586"/>
      <c r="AC563" s="4314"/>
      <c r="AD563" s="3658"/>
      <c r="AE563" s="5623"/>
      <c r="AF563" s="5623"/>
      <c r="AG563" s="10525"/>
    </row>
    <row r="564" spans="1:33" ht="18" customHeight="1">
      <c r="A564" s="11139"/>
      <c r="B564" s="11136"/>
      <c r="C564" s="11124"/>
      <c r="D564" s="11124"/>
      <c r="E564" s="11124"/>
      <c r="F564" s="11124"/>
      <c r="G564" s="11124"/>
      <c r="H564" s="11124"/>
      <c r="I564" s="11124"/>
      <c r="J564" s="11124"/>
      <c r="K564" s="11124"/>
      <c r="L564" s="11131"/>
      <c r="M564" s="11131"/>
      <c r="N564" s="11131"/>
      <c r="O564" s="11124"/>
      <c r="P564" s="11124"/>
      <c r="Q564" s="11127"/>
      <c r="R564" s="3538"/>
      <c r="S564" s="5463"/>
      <c r="T564" s="5463"/>
      <c r="U564" s="3495"/>
      <c r="V564" s="5499"/>
      <c r="W564" s="3496"/>
      <c r="X564" s="5523"/>
      <c r="Y564" s="5523"/>
      <c r="Z564" s="5523"/>
      <c r="AA564" s="5524"/>
      <c r="AB564" s="5581"/>
      <c r="AC564" s="4316"/>
      <c r="AD564" s="3496"/>
      <c r="AE564" s="5610"/>
      <c r="AF564" s="5610"/>
      <c r="AG564" s="11115"/>
    </row>
    <row r="565" spans="1:33" ht="18" customHeight="1">
      <c r="A565" s="11139"/>
      <c r="B565" s="11136"/>
      <c r="C565" s="11124"/>
      <c r="D565" s="11124"/>
      <c r="E565" s="11124"/>
      <c r="F565" s="11124"/>
      <c r="G565" s="11124"/>
      <c r="H565" s="11124"/>
      <c r="I565" s="11124"/>
      <c r="J565" s="11124"/>
      <c r="K565" s="11124"/>
      <c r="L565" s="11131"/>
      <c r="M565" s="11131"/>
      <c r="N565" s="11131"/>
      <c r="O565" s="11124"/>
      <c r="P565" s="11124"/>
      <c r="Q565" s="11127"/>
      <c r="R565" s="3538"/>
      <c r="S565" s="5463"/>
      <c r="T565" s="5463"/>
      <c r="U565" s="3495"/>
      <c r="V565" s="5499"/>
      <c r="W565" s="3496"/>
      <c r="X565" s="5523"/>
      <c r="Y565" s="5523"/>
      <c r="Z565" s="5523"/>
      <c r="AA565" s="5524"/>
      <c r="AB565" s="5581"/>
      <c r="AC565" s="4316"/>
      <c r="AD565" s="3496"/>
      <c r="AE565" s="5610"/>
      <c r="AF565" s="5610"/>
      <c r="AG565" s="11115"/>
    </row>
    <row r="566" spans="1:33" ht="18" customHeight="1">
      <c r="A566" s="11139"/>
      <c r="B566" s="11136"/>
      <c r="C566" s="11124"/>
      <c r="D566" s="11124"/>
      <c r="E566" s="11124"/>
      <c r="F566" s="11124"/>
      <c r="G566" s="11124"/>
      <c r="H566" s="11124"/>
      <c r="I566" s="11124"/>
      <c r="J566" s="11124"/>
      <c r="K566" s="11124"/>
      <c r="L566" s="11131"/>
      <c r="M566" s="11131"/>
      <c r="N566" s="11131"/>
      <c r="O566" s="11124"/>
      <c r="P566" s="11124"/>
      <c r="Q566" s="11127"/>
      <c r="R566" s="3792"/>
      <c r="S566" s="5470"/>
      <c r="T566" s="5470"/>
      <c r="U566" s="3813"/>
      <c r="V566" s="5500"/>
      <c r="W566" s="3504"/>
      <c r="X566" s="5525"/>
      <c r="Y566" s="5525"/>
      <c r="Z566" s="5525"/>
      <c r="AA566" s="5526"/>
      <c r="AB566" s="5582"/>
      <c r="AC566" s="4316"/>
      <c r="AD566" s="3496"/>
      <c r="AE566" s="5610"/>
      <c r="AF566" s="5610"/>
      <c r="AG566" s="11115"/>
    </row>
    <row r="567" spans="1:33" ht="18" customHeight="1">
      <c r="A567" s="11139"/>
      <c r="B567" s="11137"/>
      <c r="C567" s="11125"/>
      <c r="D567" s="11125"/>
      <c r="E567" s="11125"/>
      <c r="F567" s="11125"/>
      <c r="G567" s="11125"/>
      <c r="H567" s="11125"/>
      <c r="I567" s="11125"/>
      <c r="J567" s="11125"/>
      <c r="K567" s="11125"/>
      <c r="L567" s="11134"/>
      <c r="M567" s="11134"/>
      <c r="N567" s="11134"/>
      <c r="O567" s="11125"/>
      <c r="P567" s="11125"/>
      <c r="Q567" s="11135"/>
      <c r="R567" s="3780"/>
      <c r="S567" s="5465"/>
      <c r="T567" s="5465"/>
      <c r="U567" s="3808"/>
      <c r="V567" s="5501"/>
      <c r="W567" s="3727"/>
      <c r="X567" s="5527"/>
      <c r="Y567" s="5527"/>
      <c r="Z567" s="5527"/>
      <c r="AA567" s="5528"/>
      <c r="AB567" s="5583"/>
      <c r="AC567" s="4320"/>
      <c r="AD567" s="3714"/>
      <c r="AE567" s="5624"/>
      <c r="AF567" s="5624"/>
      <c r="AG567" s="11116"/>
    </row>
    <row r="568" spans="1:33" ht="18" customHeight="1">
      <c r="A568" s="11139"/>
      <c r="B568" s="10516" t="s">
        <v>183</v>
      </c>
      <c r="C568" s="10433" t="s">
        <v>227</v>
      </c>
      <c r="D568" s="10433" t="s">
        <v>228</v>
      </c>
      <c r="E568" s="10433" t="s">
        <v>229</v>
      </c>
      <c r="F568" s="10442" t="s">
        <v>230</v>
      </c>
      <c r="G568" s="10433" t="s">
        <v>132</v>
      </c>
      <c r="H568" s="10433" t="s">
        <v>159</v>
      </c>
      <c r="I568" s="10433" t="s">
        <v>6026</v>
      </c>
      <c r="J568" s="10433" t="s">
        <v>6027</v>
      </c>
      <c r="K568" s="10433" t="s">
        <v>6022</v>
      </c>
      <c r="L568" s="11130">
        <v>0</v>
      </c>
      <c r="M568" s="11130">
        <v>1</v>
      </c>
      <c r="N568" s="11130">
        <v>1</v>
      </c>
      <c r="O568" s="10433" t="s">
        <v>6028</v>
      </c>
      <c r="P568" s="10433" t="s">
        <v>6029</v>
      </c>
      <c r="Q568" s="10439" t="s">
        <v>6130</v>
      </c>
      <c r="R568" s="5460"/>
      <c r="S568" s="5484"/>
      <c r="T568" s="5484"/>
      <c r="U568" s="3826"/>
      <c r="V568" s="5505"/>
      <c r="W568" s="2930"/>
      <c r="X568" s="5536"/>
      <c r="Y568" s="5536"/>
      <c r="Z568" s="5536"/>
      <c r="AA568" s="5537"/>
      <c r="AB568" s="5587"/>
      <c r="AC568" s="4338"/>
      <c r="AD568" s="3709"/>
      <c r="AE568" s="5626"/>
      <c r="AF568" s="5626"/>
      <c r="AG568" s="10525"/>
    </row>
    <row r="569" spans="1:33" ht="18" customHeight="1">
      <c r="A569" s="11139"/>
      <c r="B569" s="11136"/>
      <c r="C569" s="11124"/>
      <c r="D569" s="11124"/>
      <c r="E569" s="11124"/>
      <c r="F569" s="11124"/>
      <c r="G569" s="11124"/>
      <c r="H569" s="11124"/>
      <c r="I569" s="11124"/>
      <c r="J569" s="11124"/>
      <c r="K569" s="11124"/>
      <c r="L569" s="11131"/>
      <c r="M569" s="11131"/>
      <c r="N569" s="11131"/>
      <c r="O569" s="11124"/>
      <c r="P569" s="11124"/>
      <c r="Q569" s="11127"/>
      <c r="R569" s="3792"/>
      <c r="S569" s="5470"/>
      <c r="T569" s="5470"/>
      <c r="U569" s="3813"/>
      <c r="V569" s="5500"/>
      <c r="W569" s="3504"/>
      <c r="X569" s="5525"/>
      <c r="Y569" s="5525"/>
      <c r="Z569" s="5525"/>
      <c r="AA569" s="5526"/>
      <c r="AB569" s="5582"/>
      <c r="AC569" s="4316"/>
      <c r="AD569" s="3496"/>
      <c r="AE569" s="5610"/>
      <c r="AF569" s="5610"/>
      <c r="AG569" s="11115"/>
    </row>
    <row r="570" spans="1:33" ht="18" customHeight="1">
      <c r="A570" s="11139"/>
      <c r="B570" s="11136"/>
      <c r="C570" s="11124"/>
      <c r="D570" s="11124"/>
      <c r="E570" s="11124"/>
      <c r="F570" s="11124"/>
      <c r="G570" s="11124"/>
      <c r="H570" s="11124"/>
      <c r="I570" s="11124"/>
      <c r="J570" s="11124"/>
      <c r="K570" s="11124"/>
      <c r="L570" s="11131"/>
      <c r="M570" s="11131"/>
      <c r="N570" s="11131"/>
      <c r="O570" s="11124"/>
      <c r="P570" s="11124"/>
      <c r="Q570" s="11127"/>
      <c r="R570" s="3538"/>
      <c r="S570" s="5463"/>
      <c r="T570" s="5463"/>
      <c r="U570" s="3495"/>
      <c r="V570" s="5499"/>
      <c r="W570" s="3496"/>
      <c r="X570" s="5523"/>
      <c r="Y570" s="5523"/>
      <c r="Z570" s="5523"/>
      <c r="AA570" s="5524"/>
      <c r="AB570" s="5581"/>
      <c r="AC570" s="4316"/>
      <c r="AD570" s="3496"/>
      <c r="AE570" s="5610"/>
      <c r="AF570" s="5610"/>
      <c r="AG570" s="11115"/>
    </row>
    <row r="571" spans="1:33" ht="18" customHeight="1">
      <c r="A571" s="11139"/>
      <c r="B571" s="11136"/>
      <c r="C571" s="11124"/>
      <c r="D571" s="11124"/>
      <c r="E571" s="11124"/>
      <c r="F571" s="11124"/>
      <c r="G571" s="11124"/>
      <c r="H571" s="11124"/>
      <c r="I571" s="11124"/>
      <c r="J571" s="11124"/>
      <c r="K571" s="11124"/>
      <c r="L571" s="11131"/>
      <c r="M571" s="11131"/>
      <c r="N571" s="11131"/>
      <c r="O571" s="11124"/>
      <c r="P571" s="11124"/>
      <c r="Q571" s="11127"/>
      <c r="R571" s="3538"/>
      <c r="S571" s="5463"/>
      <c r="T571" s="5463"/>
      <c r="U571" s="3495"/>
      <c r="V571" s="5499"/>
      <c r="W571" s="3496"/>
      <c r="X571" s="5523"/>
      <c r="Y571" s="5523"/>
      <c r="Z571" s="5523"/>
      <c r="AA571" s="5524"/>
      <c r="AB571" s="5581"/>
      <c r="AC571" s="4316"/>
      <c r="AD571" s="3496"/>
      <c r="AE571" s="5610"/>
      <c r="AF571" s="5610"/>
      <c r="AG571" s="11115"/>
    </row>
    <row r="572" spans="1:33" ht="18" customHeight="1">
      <c r="A572" s="11139"/>
      <c r="B572" s="11138"/>
      <c r="C572" s="11126"/>
      <c r="D572" s="11126"/>
      <c r="E572" s="11126"/>
      <c r="F572" s="11126"/>
      <c r="G572" s="11126"/>
      <c r="H572" s="11126"/>
      <c r="I572" s="11126"/>
      <c r="J572" s="11126"/>
      <c r="K572" s="11126"/>
      <c r="L572" s="11132"/>
      <c r="M572" s="11132"/>
      <c r="N572" s="11132"/>
      <c r="O572" s="11126"/>
      <c r="P572" s="11126"/>
      <c r="Q572" s="11128"/>
      <c r="R572" s="3543"/>
      <c r="S572" s="5468"/>
      <c r="T572" s="5468"/>
      <c r="U572" s="3557"/>
      <c r="V572" s="5503"/>
      <c r="W572" s="3545"/>
      <c r="X572" s="5532"/>
      <c r="Y572" s="5532"/>
      <c r="Z572" s="5532"/>
      <c r="AA572" s="5533"/>
      <c r="AB572" s="5585"/>
      <c r="AC572" s="4318"/>
      <c r="AD572" s="3545"/>
      <c r="AE572" s="5625"/>
      <c r="AF572" s="5625"/>
      <c r="AG572" s="11116"/>
    </row>
    <row r="573" spans="1:33" ht="25.5">
      <c r="A573" s="11139"/>
      <c r="B573" s="10512" t="s">
        <v>183</v>
      </c>
      <c r="C573" s="10444" t="s">
        <v>227</v>
      </c>
      <c r="D573" s="10444" t="s">
        <v>185</v>
      </c>
      <c r="E573" s="10444" t="s">
        <v>1938</v>
      </c>
      <c r="F573" s="10451" t="s">
        <v>230</v>
      </c>
      <c r="G573" s="10444" t="s">
        <v>171</v>
      </c>
      <c r="H573" s="10444" t="s">
        <v>133</v>
      </c>
      <c r="I573" s="10444" t="s">
        <v>6030</v>
      </c>
      <c r="J573" s="10444" t="s">
        <v>6031</v>
      </c>
      <c r="K573" s="10444" t="s">
        <v>5900</v>
      </c>
      <c r="L573" s="11133">
        <v>1</v>
      </c>
      <c r="M573" s="11133">
        <v>0</v>
      </c>
      <c r="N573" s="11133">
        <v>1</v>
      </c>
      <c r="O573" s="10444" t="s">
        <v>6131</v>
      </c>
      <c r="P573" s="10444" t="s">
        <v>5902</v>
      </c>
      <c r="Q573" s="10449" t="s">
        <v>6132</v>
      </c>
      <c r="R573" s="3767" t="s">
        <v>80</v>
      </c>
      <c r="S573" s="5483" t="s">
        <v>1129</v>
      </c>
      <c r="T573" s="5482"/>
      <c r="U573" s="5494" t="s">
        <v>40</v>
      </c>
      <c r="V573" s="5504"/>
      <c r="W573" s="3658"/>
      <c r="X573" s="8120"/>
      <c r="Y573" s="8120"/>
      <c r="Z573" s="8120"/>
      <c r="AA573" s="8123">
        <f>$Z$574</f>
        <v>0</v>
      </c>
      <c r="AB573" s="5586" t="s">
        <v>18</v>
      </c>
      <c r="AC573" s="4314"/>
      <c r="AD573" s="3658"/>
      <c r="AE573" s="5623"/>
      <c r="AF573" s="5623"/>
      <c r="AG573" s="10525"/>
    </row>
    <row r="574" spans="1:33" ht="18" customHeight="1">
      <c r="A574" s="11139"/>
      <c r="B574" s="11136"/>
      <c r="C574" s="11124"/>
      <c r="D574" s="11124"/>
      <c r="E574" s="11124"/>
      <c r="F574" s="11124"/>
      <c r="G574" s="11124"/>
      <c r="H574" s="11124"/>
      <c r="I574" s="11124"/>
      <c r="J574" s="11124"/>
      <c r="K574" s="11124"/>
      <c r="L574" s="11131"/>
      <c r="M574" s="11131"/>
      <c r="N574" s="11131"/>
      <c r="O574" s="11124"/>
      <c r="P574" s="11124"/>
      <c r="Q574" s="11127"/>
      <c r="R574" s="3541"/>
      <c r="S574" s="5463"/>
      <c r="T574" s="5473">
        <v>452200061</v>
      </c>
      <c r="U574" s="3804" t="s">
        <v>5814</v>
      </c>
      <c r="V574" s="5507">
        <v>1</v>
      </c>
      <c r="W574" s="3670" t="s">
        <v>180</v>
      </c>
      <c r="X574" s="8064">
        <v>1185</v>
      </c>
      <c r="Y574" s="8064">
        <f>+V574*X574</f>
        <v>1185</v>
      </c>
      <c r="Z574" s="8064">
        <v>0</v>
      </c>
      <c r="AA574" s="8065"/>
      <c r="AB574" s="5581"/>
      <c r="AC574" s="4316"/>
      <c r="AD574" s="3496"/>
      <c r="AE574" s="5635" t="s">
        <v>153</v>
      </c>
      <c r="AF574" s="5610"/>
      <c r="AG574" s="11115"/>
    </row>
    <row r="575" spans="1:33" ht="18" customHeight="1">
      <c r="A575" s="11139"/>
      <c r="B575" s="11136"/>
      <c r="C575" s="11124"/>
      <c r="D575" s="11124"/>
      <c r="E575" s="11124"/>
      <c r="F575" s="11124"/>
      <c r="G575" s="11124"/>
      <c r="H575" s="11124"/>
      <c r="I575" s="11124"/>
      <c r="J575" s="11124"/>
      <c r="K575" s="11124"/>
      <c r="L575" s="11131"/>
      <c r="M575" s="11131"/>
      <c r="N575" s="11131"/>
      <c r="O575" s="11124"/>
      <c r="P575" s="11124"/>
      <c r="Q575" s="11127"/>
      <c r="R575" s="3538"/>
      <c r="S575" s="5463"/>
      <c r="T575" s="5463"/>
      <c r="U575" s="3495"/>
      <c r="V575" s="5499"/>
      <c r="W575" s="3496"/>
      <c r="X575" s="5523"/>
      <c r="Y575" s="5523"/>
      <c r="Z575" s="5523"/>
      <c r="AA575" s="5524"/>
      <c r="AB575" s="5581"/>
      <c r="AC575" s="4316"/>
      <c r="AD575" s="3496"/>
      <c r="AE575" s="5610"/>
      <c r="AF575" s="5610"/>
      <c r="AG575" s="11115"/>
    </row>
    <row r="576" spans="1:33" ht="18" customHeight="1">
      <c r="A576" s="11139"/>
      <c r="B576" s="11136"/>
      <c r="C576" s="11124"/>
      <c r="D576" s="11124"/>
      <c r="E576" s="11124"/>
      <c r="F576" s="11124"/>
      <c r="G576" s="11124"/>
      <c r="H576" s="11124"/>
      <c r="I576" s="11124"/>
      <c r="J576" s="11124"/>
      <c r="K576" s="11124"/>
      <c r="L576" s="11131"/>
      <c r="M576" s="11131"/>
      <c r="N576" s="11131"/>
      <c r="O576" s="11124"/>
      <c r="P576" s="11124"/>
      <c r="Q576" s="11127"/>
      <c r="R576" s="3538"/>
      <c r="S576" s="5463"/>
      <c r="T576" s="5463"/>
      <c r="U576" s="3495"/>
      <c r="V576" s="5499"/>
      <c r="W576" s="3496"/>
      <c r="X576" s="5523"/>
      <c r="Y576" s="5523"/>
      <c r="Z576" s="5523"/>
      <c r="AA576" s="5524"/>
      <c r="AB576" s="5581"/>
      <c r="AC576" s="4316"/>
      <c r="AD576" s="3496"/>
      <c r="AE576" s="5610"/>
      <c r="AF576" s="5610"/>
      <c r="AG576" s="11115"/>
    </row>
    <row r="577" spans="1:33" ht="19.5" customHeight="1">
      <c r="A577" s="11139"/>
      <c r="B577" s="11137"/>
      <c r="C577" s="11125"/>
      <c r="D577" s="11125"/>
      <c r="E577" s="11125"/>
      <c r="F577" s="11125"/>
      <c r="G577" s="11125"/>
      <c r="H577" s="11125"/>
      <c r="I577" s="11125"/>
      <c r="J577" s="11125"/>
      <c r="K577" s="11125"/>
      <c r="L577" s="11134"/>
      <c r="M577" s="11134"/>
      <c r="N577" s="11134"/>
      <c r="O577" s="11125"/>
      <c r="P577" s="11125"/>
      <c r="Q577" s="11135"/>
      <c r="R577" s="3768"/>
      <c r="S577" s="5477"/>
      <c r="T577" s="5477"/>
      <c r="U577" s="3759"/>
      <c r="V577" s="5509"/>
      <c r="W577" s="3714"/>
      <c r="X577" s="5544"/>
      <c r="Y577" s="5544"/>
      <c r="Z577" s="5544"/>
      <c r="AA577" s="5545"/>
      <c r="AB577" s="5592"/>
      <c r="AC577" s="4320"/>
      <c r="AD577" s="3714"/>
      <c r="AE577" s="5624"/>
      <c r="AF577" s="5624"/>
      <c r="AG577" s="11116"/>
    </row>
    <row r="578" spans="1:33" ht="18" customHeight="1">
      <c r="A578" s="11139"/>
      <c r="B578" s="10516" t="s">
        <v>127</v>
      </c>
      <c r="C578" s="10433" t="s">
        <v>128</v>
      </c>
      <c r="D578" s="10433" t="s">
        <v>129</v>
      </c>
      <c r="E578" s="10433" t="s">
        <v>157</v>
      </c>
      <c r="F578" s="10442" t="s">
        <v>131</v>
      </c>
      <c r="G578" s="10433" t="s">
        <v>132</v>
      </c>
      <c r="H578" s="10433" t="s">
        <v>159</v>
      </c>
      <c r="I578" s="10433" t="s">
        <v>6034</v>
      </c>
      <c r="J578" s="10433" t="s">
        <v>6035</v>
      </c>
      <c r="K578" s="10433" t="s">
        <v>6036</v>
      </c>
      <c r="L578" s="11130">
        <v>1</v>
      </c>
      <c r="M578" s="11130">
        <v>2</v>
      </c>
      <c r="N578" s="11130">
        <v>2</v>
      </c>
      <c r="O578" s="10433" t="s">
        <v>6037</v>
      </c>
      <c r="P578" s="10433" t="s">
        <v>6038</v>
      </c>
      <c r="Q578" s="10439" t="s">
        <v>6130</v>
      </c>
      <c r="R578" s="3774"/>
      <c r="S578" s="5481"/>
      <c r="T578" s="5481"/>
      <c r="U578" s="3761"/>
      <c r="V578" s="5502"/>
      <c r="W578" s="3709"/>
      <c r="X578" s="5529"/>
      <c r="Y578" s="5529"/>
      <c r="Z578" s="5529"/>
      <c r="AA578" s="5530"/>
      <c r="AB578" s="5584"/>
      <c r="AC578" s="4338"/>
      <c r="AD578" s="3709"/>
      <c r="AE578" s="5626"/>
      <c r="AF578" s="5626"/>
      <c r="AG578" s="10525"/>
    </row>
    <row r="579" spans="1:33" ht="18" customHeight="1">
      <c r="A579" s="11139"/>
      <c r="B579" s="11136"/>
      <c r="C579" s="11124"/>
      <c r="D579" s="11124"/>
      <c r="E579" s="11124"/>
      <c r="F579" s="11124"/>
      <c r="G579" s="11124"/>
      <c r="H579" s="11124"/>
      <c r="I579" s="11124"/>
      <c r="J579" s="11124"/>
      <c r="K579" s="11124"/>
      <c r="L579" s="11131"/>
      <c r="M579" s="11131"/>
      <c r="N579" s="11131"/>
      <c r="O579" s="11124"/>
      <c r="P579" s="11124"/>
      <c r="Q579" s="11127"/>
      <c r="R579" s="3538"/>
      <c r="S579" s="5463"/>
      <c r="T579" s="5463"/>
      <c r="U579" s="3495"/>
      <c r="V579" s="5499"/>
      <c r="W579" s="3496"/>
      <c r="X579" s="5523"/>
      <c r="Y579" s="5523"/>
      <c r="Z579" s="5523"/>
      <c r="AA579" s="5524"/>
      <c r="AB579" s="5581"/>
      <c r="AC579" s="4316"/>
      <c r="AD579" s="3496"/>
      <c r="AE579" s="5610"/>
      <c r="AF579" s="5610"/>
      <c r="AG579" s="11115"/>
    </row>
    <row r="580" spans="1:33" ht="18" customHeight="1">
      <c r="A580" s="11139"/>
      <c r="B580" s="11136"/>
      <c r="C580" s="11124"/>
      <c r="D580" s="11124"/>
      <c r="E580" s="11124"/>
      <c r="F580" s="11124"/>
      <c r="G580" s="11124"/>
      <c r="H580" s="11124"/>
      <c r="I580" s="11124"/>
      <c r="J580" s="11124"/>
      <c r="K580" s="11124"/>
      <c r="L580" s="11131"/>
      <c r="M580" s="11131"/>
      <c r="N580" s="11131"/>
      <c r="O580" s="11124"/>
      <c r="P580" s="11124"/>
      <c r="Q580" s="11127"/>
      <c r="R580" s="3792"/>
      <c r="S580" s="5470"/>
      <c r="T580" s="5470"/>
      <c r="U580" s="3813"/>
      <c r="V580" s="5500"/>
      <c r="W580" s="3504"/>
      <c r="X580" s="5525"/>
      <c r="Y580" s="5525"/>
      <c r="Z580" s="5525"/>
      <c r="AA580" s="5526"/>
      <c r="AB580" s="5582"/>
      <c r="AC580" s="4316"/>
      <c r="AD580" s="3496"/>
      <c r="AE580" s="5610"/>
      <c r="AF580" s="5610"/>
      <c r="AG580" s="11115"/>
    </row>
    <row r="581" spans="1:33" ht="18" customHeight="1">
      <c r="A581" s="11139"/>
      <c r="B581" s="11136"/>
      <c r="C581" s="11124"/>
      <c r="D581" s="11124"/>
      <c r="E581" s="11124"/>
      <c r="F581" s="11124"/>
      <c r="G581" s="11124"/>
      <c r="H581" s="11124"/>
      <c r="I581" s="11124"/>
      <c r="J581" s="11124"/>
      <c r="K581" s="11124"/>
      <c r="L581" s="11131"/>
      <c r="M581" s="11131"/>
      <c r="N581" s="11131"/>
      <c r="O581" s="11124"/>
      <c r="P581" s="11124"/>
      <c r="Q581" s="11127"/>
      <c r="R581" s="3792"/>
      <c r="S581" s="5470"/>
      <c r="T581" s="5470"/>
      <c r="U581" s="3813"/>
      <c r="V581" s="5500"/>
      <c r="W581" s="3504"/>
      <c r="X581" s="5525"/>
      <c r="Y581" s="5525"/>
      <c r="Z581" s="5525"/>
      <c r="AA581" s="5526"/>
      <c r="AB581" s="5582"/>
      <c r="AC581" s="4316"/>
      <c r="AD581" s="3496"/>
      <c r="AE581" s="5610"/>
      <c r="AF581" s="5610"/>
      <c r="AG581" s="11115"/>
    </row>
    <row r="582" spans="1:33" ht="18" customHeight="1">
      <c r="A582" s="11139"/>
      <c r="B582" s="11138"/>
      <c r="C582" s="11126"/>
      <c r="D582" s="11126"/>
      <c r="E582" s="11126"/>
      <c r="F582" s="11126"/>
      <c r="G582" s="11126"/>
      <c r="H582" s="11126"/>
      <c r="I582" s="11126"/>
      <c r="J582" s="11126"/>
      <c r="K582" s="11126"/>
      <c r="L582" s="11132"/>
      <c r="M582" s="11132"/>
      <c r="N582" s="11132"/>
      <c r="O582" s="11126"/>
      <c r="P582" s="11126"/>
      <c r="Q582" s="11128"/>
      <c r="R582" s="3794"/>
      <c r="S582" s="5472"/>
      <c r="T582" s="5472"/>
      <c r="U582" s="2932"/>
      <c r="V582" s="5506"/>
      <c r="W582" s="2933"/>
      <c r="X582" s="5538"/>
      <c r="Y582" s="5538"/>
      <c r="Z582" s="5538"/>
      <c r="AA582" s="5539"/>
      <c r="AB582" s="5588"/>
      <c r="AC582" s="4318"/>
      <c r="AD582" s="3545"/>
      <c r="AE582" s="5625"/>
      <c r="AF582" s="5625"/>
      <c r="AG582" s="11116"/>
    </row>
    <row r="583" spans="1:33" ht="18" customHeight="1">
      <c r="A583" s="11139"/>
      <c r="B583" s="10512" t="s">
        <v>183</v>
      </c>
      <c r="C583" s="10444" t="s">
        <v>227</v>
      </c>
      <c r="D583" s="10444" t="s">
        <v>228</v>
      </c>
      <c r="E583" s="10444" t="s">
        <v>229</v>
      </c>
      <c r="F583" s="10451" t="s">
        <v>230</v>
      </c>
      <c r="G583" s="10444" t="s">
        <v>132</v>
      </c>
      <c r="H583" s="10444" t="s">
        <v>159</v>
      </c>
      <c r="I583" s="10444" t="s">
        <v>6039</v>
      </c>
      <c r="J583" s="10444" t="s">
        <v>6040</v>
      </c>
      <c r="K583" s="10444" t="s">
        <v>6022</v>
      </c>
      <c r="L583" s="11133">
        <v>0</v>
      </c>
      <c r="M583" s="11133">
        <v>1</v>
      </c>
      <c r="N583" s="11133">
        <v>0</v>
      </c>
      <c r="O583" s="10444" t="s">
        <v>6041</v>
      </c>
      <c r="P583" s="10444" t="s">
        <v>6042</v>
      </c>
      <c r="Q583" s="10449" t="s">
        <v>6130</v>
      </c>
      <c r="R583" s="5461"/>
      <c r="S583" s="5485"/>
      <c r="T583" s="5485"/>
      <c r="U583" s="5495"/>
      <c r="V583" s="5516"/>
      <c r="W583" s="3721"/>
      <c r="X583" s="5571"/>
      <c r="Y583" s="5571"/>
      <c r="Z583" s="5571"/>
      <c r="AA583" s="5576"/>
      <c r="AB583" s="5607"/>
      <c r="AC583" s="4314"/>
      <c r="AD583" s="3658"/>
      <c r="AE583" s="5623"/>
      <c r="AF583" s="5623"/>
      <c r="AG583" s="10525"/>
    </row>
    <row r="584" spans="1:33" ht="18" customHeight="1">
      <c r="A584" s="11139"/>
      <c r="B584" s="11136"/>
      <c r="C584" s="11124"/>
      <c r="D584" s="11124"/>
      <c r="E584" s="11124"/>
      <c r="F584" s="11124"/>
      <c r="G584" s="11124"/>
      <c r="H584" s="11124"/>
      <c r="I584" s="11124"/>
      <c r="J584" s="11124"/>
      <c r="K584" s="11124"/>
      <c r="L584" s="11131"/>
      <c r="M584" s="11131"/>
      <c r="N584" s="11131"/>
      <c r="O584" s="11124"/>
      <c r="P584" s="11124"/>
      <c r="Q584" s="11127"/>
      <c r="R584" s="3792"/>
      <c r="S584" s="5470"/>
      <c r="T584" s="5470"/>
      <c r="U584" s="3813"/>
      <c r="V584" s="5500"/>
      <c r="W584" s="3504"/>
      <c r="X584" s="5525"/>
      <c r="Y584" s="5525"/>
      <c r="Z584" s="5525"/>
      <c r="AA584" s="5526"/>
      <c r="AB584" s="5582"/>
      <c r="AC584" s="4316"/>
      <c r="AD584" s="3496"/>
      <c r="AE584" s="5610"/>
      <c r="AF584" s="5610"/>
      <c r="AG584" s="11115"/>
    </row>
    <row r="585" spans="1:33" ht="18" customHeight="1">
      <c r="A585" s="11139"/>
      <c r="B585" s="11136"/>
      <c r="C585" s="11124"/>
      <c r="D585" s="11124"/>
      <c r="E585" s="11124"/>
      <c r="F585" s="11124"/>
      <c r="G585" s="11124"/>
      <c r="H585" s="11124"/>
      <c r="I585" s="11124"/>
      <c r="J585" s="11124"/>
      <c r="K585" s="11124"/>
      <c r="L585" s="11131"/>
      <c r="M585" s="11131"/>
      <c r="N585" s="11131"/>
      <c r="O585" s="11124"/>
      <c r="P585" s="11124"/>
      <c r="Q585" s="11127"/>
      <c r="R585" s="3792"/>
      <c r="S585" s="5470"/>
      <c r="T585" s="5470"/>
      <c r="U585" s="3813"/>
      <c r="V585" s="5500"/>
      <c r="W585" s="3504"/>
      <c r="X585" s="5525"/>
      <c r="Y585" s="5525"/>
      <c r="Z585" s="5525"/>
      <c r="AA585" s="5526"/>
      <c r="AB585" s="5582"/>
      <c r="AC585" s="4316"/>
      <c r="AD585" s="3496"/>
      <c r="AE585" s="5610"/>
      <c r="AF585" s="5610"/>
      <c r="AG585" s="11115"/>
    </row>
    <row r="586" spans="1:33" ht="18" customHeight="1">
      <c r="A586" s="11139"/>
      <c r="B586" s="11136"/>
      <c r="C586" s="11124"/>
      <c r="D586" s="11124"/>
      <c r="E586" s="11124"/>
      <c r="F586" s="11124"/>
      <c r="G586" s="11124"/>
      <c r="H586" s="11124"/>
      <c r="I586" s="11124"/>
      <c r="J586" s="11124"/>
      <c r="K586" s="11124"/>
      <c r="L586" s="11131"/>
      <c r="M586" s="11131"/>
      <c r="N586" s="11131"/>
      <c r="O586" s="11124"/>
      <c r="P586" s="11124"/>
      <c r="Q586" s="11127"/>
      <c r="R586" s="3538"/>
      <c r="S586" s="5463"/>
      <c r="T586" s="5463"/>
      <c r="U586" s="3495"/>
      <c r="V586" s="5499"/>
      <c r="W586" s="3496"/>
      <c r="X586" s="5523"/>
      <c r="Y586" s="5523"/>
      <c r="Z586" s="5523"/>
      <c r="AA586" s="5524"/>
      <c r="AB586" s="5581"/>
      <c r="AC586" s="4316"/>
      <c r="AD586" s="3496"/>
      <c r="AE586" s="5610"/>
      <c r="AF586" s="5610"/>
      <c r="AG586" s="11115"/>
    </row>
    <row r="587" spans="1:33" ht="18" customHeight="1">
      <c r="A587" s="11139"/>
      <c r="B587" s="11137"/>
      <c r="C587" s="11125"/>
      <c r="D587" s="11125"/>
      <c r="E587" s="11125"/>
      <c r="F587" s="11125"/>
      <c r="G587" s="11125"/>
      <c r="H587" s="11125"/>
      <c r="I587" s="11125"/>
      <c r="J587" s="11125"/>
      <c r="K587" s="11125"/>
      <c r="L587" s="11134"/>
      <c r="M587" s="11134"/>
      <c r="N587" s="11134"/>
      <c r="O587" s="11125"/>
      <c r="P587" s="11125"/>
      <c r="Q587" s="11135"/>
      <c r="R587" s="3768"/>
      <c r="S587" s="5477"/>
      <c r="T587" s="5477"/>
      <c r="U587" s="3759"/>
      <c r="V587" s="5509"/>
      <c r="W587" s="3714"/>
      <c r="X587" s="5544"/>
      <c r="Y587" s="5544"/>
      <c r="Z587" s="5544"/>
      <c r="AA587" s="5545"/>
      <c r="AB587" s="5592"/>
      <c r="AC587" s="4320"/>
      <c r="AD587" s="3714"/>
      <c r="AE587" s="5624"/>
      <c r="AF587" s="5624"/>
      <c r="AG587" s="11116"/>
    </row>
    <row r="588" spans="1:33" ht="18" customHeight="1">
      <c r="A588" s="11139"/>
      <c r="B588" s="10516" t="s">
        <v>183</v>
      </c>
      <c r="C588" s="10433" t="s">
        <v>227</v>
      </c>
      <c r="D588" s="10433" t="s">
        <v>228</v>
      </c>
      <c r="E588" s="10433" t="s">
        <v>229</v>
      </c>
      <c r="F588" s="10442" t="s">
        <v>230</v>
      </c>
      <c r="G588" s="10433" t="s">
        <v>132</v>
      </c>
      <c r="H588" s="10433" t="s">
        <v>159</v>
      </c>
      <c r="I588" s="10433" t="s">
        <v>6043</v>
      </c>
      <c r="J588" s="10433" t="s">
        <v>6044</v>
      </c>
      <c r="K588" s="10433" t="s">
        <v>5882</v>
      </c>
      <c r="L588" s="11130">
        <v>2</v>
      </c>
      <c r="M588" s="11130">
        <v>0</v>
      </c>
      <c r="N588" s="11130">
        <v>2</v>
      </c>
      <c r="O588" s="10433" t="s">
        <v>6045</v>
      </c>
      <c r="P588" s="10433" t="s">
        <v>6046</v>
      </c>
      <c r="Q588" s="10439" t="s">
        <v>6130</v>
      </c>
      <c r="R588" s="3774"/>
      <c r="S588" s="5481"/>
      <c r="T588" s="5481"/>
      <c r="U588" s="3761"/>
      <c r="V588" s="5502"/>
      <c r="W588" s="3709"/>
      <c r="X588" s="5529"/>
      <c r="Y588" s="5529"/>
      <c r="Z588" s="5529"/>
      <c r="AA588" s="5530"/>
      <c r="AB588" s="5584"/>
      <c r="AC588" s="4338"/>
      <c r="AD588" s="3709"/>
      <c r="AE588" s="5626"/>
      <c r="AF588" s="5626"/>
      <c r="AG588" s="10525"/>
    </row>
    <row r="589" spans="1:33" ht="18" customHeight="1">
      <c r="A589" s="11139"/>
      <c r="B589" s="11136"/>
      <c r="C589" s="11124"/>
      <c r="D589" s="11124"/>
      <c r="E589" s="11124"/>
      <c r="F589" s="11124"/>
      <c r="G589" s="11124"/>
      <c r="H589" s="11124"/>
      <c r="I589" s="11124"/>
      <c r="J589" s="11124"/>
      <c r="K589" s="11124"/>
      <c r="L589" s="11131"/>
      <c r="M589" s="11131"/>
      <c r="N589" s="11131"/>
      <c r="O589" s="11124"/>
      <c r="P589" s="11124"/>
      <c r="Q589" s="11127"/>
      <c r="R589" s="3538"/>
      <c r="S589" s="5463"/>
      <c r="T589" s="5463"/>
      <c r="U589" s="3495"/>
      <c r="V589" s="5499"/>
      <c r="W589" s="3496"/>
      <c r="X589" s="5523"/>
      <c r="Y589" s="5523"/>
      <c r="Z589" s="5523"/>
      <c r="AA589" s="5524"/>
      <c r="AB589" s="5581"/>
      <c r="AC589" s="4316"/>
      <c r="AD589" s="3496"/>
      <c r="AE589" s="5610"/>
      <c r="AF589" s="5610"/>
      <c r="AG589" s="11115"/>
    </row>
    <row r="590" spans="1:33" ht="18" customHeight="1">
      <c r="A590" s="11139"/>
      <c r="B590" s="11136"/>
      <c r="C590" s="11124"/>
      <c r="D590" s="11124"/>
      <c r="E590" s="11124"/>
      <c r="F590" s="11124"/>
      <c r="G590" s="11124"/>
      <c r="H590" s="11124"/>
      <c r="I590" s="11124"/>
      <c r="J590" s="11124"/>
      <c r="K590" s="11124"/>
      <c r="L590" s="11131"/>
      <c r="M590" s="11131"/>
      <c r="N590" s="11131"/>
      <c r="O590" s="11124"/>
      <c r="P590" s="11124"/>
      <c r="Q590" s="11127"/>
      <c r="R590" s="3538"/>
      <c r="S590" s="5463"/>
      <c r="T590" s="5463"/>
      <c r="U590" s="3495"/>
      <c r="V590" s="5499"/>
      <c r="W590" s="3496"/>
      <c r="X590" s="5523"/>
      <c r="Y590" s="5523"/>
      <c r="Z590" s="5523"/>
      <c r="AA590" s="5524"/>
      <c r="AB590" s="5581"/>
      <c r="AC590" s="4316"/>
      <c r="AD590" s="3496"/>
      <c r="AE590" s="5610"/>
      <c r="AF590" s="5610"/>
      <c r="AG590" s="11115"/>
    </row>
    <row r="591" spans="1:33" ht="18" customHeight="1">
      <c r="A591" s="11139"/>
      <c r="B591" s="11136"/>
      <c r="C591" s="11124"/>
      <c r="D591" s="11124"/>
      <c r="E591" s="11124"/>
      <c r="F591" s="11124"/>
      <c r="G591" s="11124"/>
      <c r="H591" s="11124"/>
      <c r="I591" s="11124"/>
      <c r="J591" s="11124"/>
      <c r="K591" s="11124"/>
      <c r="L591" s="11131"/>
      <c r="M591" s="11131"/>
      <c r="N591" s="11131"/>
      <c r="O591" s="11124"/>
      <c r="P591" s="11124"/>
      <c r="Q591" s="11127"/>
      <c r="R591" s="3538"/>
      <c r="S591" s="5463"/>
      <c r="T591" s="5463"/>
      <c r="U591" s="3495"/>
      <c r="V591" s="5499"/>
      <c r="W591" s="3496"/>
      <c r="X591" s="5523"/>
      <c r="Y591" s="5523"/>
      <c r="Z591" s="5523"/>
      <c r="AA591" s="5524"/>
      <c r="AB591" s="5581"/>
      <c r="AC591" s="4316"/>
      <c r="AD591" s="3496"/>
      <c r="AE591" s="5610"/>
      <c r="AF591" s="5610"/>
      <c r="AG591" s="11115"/>
    </row>
    <row r="592" spans="1:33" ht="18" customHeight="1">
      <c r="A592" s="11139"/>
      <c r="B592" s="11138"/>
      <c r="C592" s="11126"/>
      <c r="D592" s="11126"/>
      <c r="E592" s="11126"/>
      <c r="F592" s="11126"/>
      <c r="G592" s="11126"/>
      <c r="H592" s="11126"/>
      <c r="I592" s="11126"/>
      <c r="J592" s="11126"/>
      <c r="K592" s="11126"/>
      <c r="L592" s="11132"/>
      <c r="M592" s="11132"/>
      <c r="N592" s="11132"/>
      <c r="O592" s="11126"/>
      <c r="P592" s="11126"/>
      <c r="Q592" s="11128"/>
      <c r="R592" s="3543"/>
      <c r="S592" s="5468"/>
      <c r="T592" s="5468"/>
      <c r="U592" s="3557"/>
      <c r="V592" s="5503"/>
      <c r="W592" s="3545"/>
      <c r="X592" s="5532"/>
      <c r="Y592" s="5532"/>
      <c r="Z592" s="5532"/>
      <c r="AA592" s="5533"/>
      <c r="AB592" s="5585"/>
      <c r="AC592" s="4318"/>
      <c r="AD592" s="3545"/>
      <c r="AE592" s="5625"/>
      <c r="AF592" s="5625"/>
      <c r="AG592" s="11116"/>
    </row>
    <row r="593" spans="1:33" ht="18" customHeight="1">
      <c r="A593" s="11139"/>
      <c r="B593" s="10512" t="s">
        <v>183</v>
      </c>
      <c r="C593" s="10444" t="s">
        <v>227</v>
      </c>
      <c r="D593" s="10444" t="s">
        <v>228</v>
      </c>
      <c r="E593" s="10444" t="s">
        <v>229</v>
      </c>
      <c r="F593" s="10451" t="s">
        <v>230</v>
      </c>
      <c r="G593" s="10444" t="s">
        <v>132</v>
      </c>
      <c r="H593" s="10444" t="s">
        <v>159</v>
      </c>
      <c r="I593" s="10444" t="s">
        <v>6047</v>
      </c>
      <c r="J593" s="10444" t="s">
        <v>6048</v>
      </c>
      <c r="K593" s="10444" t="s">
        <v>6049</v>
      </c>
      <c r="L593" s="11133">
        <v>4</v>
      </c>
      <c r="M593" s="11133">
        <v>4</v>
      </c>
      <c r="N593" s="11133">
        <v>4</v>
      </c>
      <c r="O593" s="10444" t="s">
        <v>6050</v>
      </c>
      <c r="P593" s="10444" t="s">
        <v>6051</v>
      </c>
      <c r="Q593" s="10449" t="s">
        <v>6133</v>
      </c>
      <c r="R593" s="5459"/>
      <c r="S593" s="5482"/>
      <c r="T593" s="5482"/>
      <c r="U593" s="4659"/>
      <c r="V593" s="5504"/>
      <c r="W593" s="3658"/>
      <c r="X593" s="5534"/>
      <c r="Y593" s="5534"/>
      <c r="Z593" s="5534"/>
      <c r="AA593" s="5535"/>
      <c r="AB593" s="5586"/>
      <c r="AC593" s="4314"/>
      <c r="AD593" s="3658"/>
      <c r="AE593" s="5623"/>
      <c r="AF593" s="5623"/>
      <c r="AG593" s="10525"/>
    </row>
    <row r="594" spans="1:33" ht="18" customHeight="1">
      <c r="A594" s="11139"/>
      <c r="B594" s="11136"/>
      <c r="C594" s="11124"/>
      <c r="D594" s="11124"/>
      <c r="E594" s="11124"/>
      <c r="F594" s="11124"/>
      <c r="G594" s="11124"/>
      <c r="H594" s="11124"/>
      <c r="I594" s="11124"/>
      <c r="J594" s="11124"/>
      <c r="K594" s="11124"/>
      <c r="L594" s="11131"/>
      <c r="M594" s="11131"/>
      <c r="N594" s="11131"/>
      <c r="O594" s="11124"/>
      <c r="P594" s="11124"/>
      <c r="Q594" s="11127"/>
      <c r="R594" s="3538"/>
      <c r="S594" s="5463"/>
      <c r="T594" s="5463"/>
      <c r="U594" s="3495"/>
      <c r="V594" s="5499"/>
      <c r="W594" s="3496"/>
      <c r="X594" s="5523"/>
      <c r="Y594" s="5523"/>
      <c r="Z594" s="5523"/>
      <c r="AA594" s="5524"/>
      <c r="AB594" s="5581"/>
      <c r="AC594" s="4316"/>
      <c r="AD594" s="3496"/>
      <c r="AE594" s="5610"/>
      <c r="AF594" s="5610"/>
      <c r="AG594" s="11115"/>
    </row>
    <row r="595" spans="1:33" ht="18" customHeight="1">
      <c r="A595" s="11139"/>
      <c r="B595" s="11136"/>
      <c r="C595" s="11124"/>
      <c r="D595" s="11124"/>
      <c r="E595" s="11124"/>
      <c r="F595" s="11124"/>
      <c r="G595" s="11124"/>
      <c r="H595" s="11124"/>
      <c r="I595" s="11124"/>
      <c r="J595" s="11124"/>
      <c r="K595" s="11124"/>
      <c r="L595" s="11131"/>
      <c r="M595" s="11131"/>
      <c r="N595" s="11131"/>
      <c r="O595" s="11124"/>
      <c r="P595" s="11124"/>
      <c r="Q595" s="11127"/>
      <c r="R595" s="3538"/>
      <c r="S595" s="5463"/>
      <c r="T595" s="5463"/>
      <c r="U595" s="3495"/>
      <c r="V595" s="5499"/>
      <c r="W595" s="3496"/>
      <c r="X595" s="5523"/>
      <c r="Y595" s="5523"/>
      <c r="Z595" s="5523"/>
      <c r="AA595" s="5524"/>
      <c r="AB595" s="5581"/>
      <c r="AC595" s="4316"/>
      <c r="AD595" s="3496"/>
      <c r="AE595" s="5610"/>
      <c r="AF595" s="5610"/>
      <c r="AG595" s="11115"/>
    </row>
    <row r="596" spans="1:33" ht="18" customHeight="1">
      <c r="A596" s="11139"/>
      <c r="B596" s="11136"/>
      <c r="C596" s="11124"/>
      <c r="D596" s="11124"/>
      <c r="E596" s="11124"/>
      <c r="F596" s="11124"/>
      <c r="G596" s="11124"/>
      <c r="H596" s="11124"/>
      <c r="I596" s="11124"/>
      <c r="J596" s="11124"/>
      <c r="K596" s="11124"/>
      <c r="L596" s="11131"/>
      <c r="M596" s="11131"/>
      <c r="N596" s="11131"/>
      <c r="O596" s="11124"/>
      <c r="P596" s="11124"/>
      <c r="Q596" s="11127"/>
      <c r="R596" s="3538"/>
      <c r="S596" s="5463"/>
      <c r="T596" s="5463"/>
      <c r="U596" s="3495"/>
      <c r="V596" s="5499"/>
      <c r="W596" s="3496"/>
      <c r="X596" s="5523"/>
      <c r="Y596" s="5523"/>
      <c r="Z596" s="5523"/>
      <c r="AA596" s="5524"/>
      <c r="AB596" s="5581"/>
      <c r="AC596" s="4316"/>
      <c r="AD596" s="3496"/>
      <c r="AE596" s="5610"/>
      <c r="AF596" s="5610"/>
      <c r="AG596" s="11115"/>
    </row>
    <row r="597" spans="1:33" ht="18" customHeight="1">
      <c r="A597" s="11139"/>
      <c r="B597" s="11137"/>
      <c r="C597" s="11125"/>
      <c r="D597" s="11125"/>
      <c r="E597" s="11125"/>
      <c r="F597" s="11125"/>
      <c r="G597" s="11125"/>
      <c r="H597" s="11125"/>
      <c r="I597" s="11125"/>
      <c r="J597" s="11125"/>
      <c r="K597" s="11125"/>
      <c r="L597" s="11134"/>
      <c r="M597" s="11134"/>
      <c r="N597" s="11134"/>
      <c r="O597" s="11125"/>
      <c r="P597" s="11125"/>
      <c r="Q597" s="11135"/>
      <c r="R597" s="3768"/>
      <c r="S597" s="5477"/>
      <c r="T597" s="5477"/>
      <c r="U597" s="3759"/>
      <c r="V597" s="5509"/>
      <c r="W597" s="3714"/>
      <c r="X597" s="5544"/>
      <c r="Y597" s="5544"/>
      <c r="Z597" s="5544"/>
      <c r="AA597" s="5545"/>
      <c r="AB597" s="5592"/>
      <c r="AC597" s="4320"/>
      <c r="AD597" s="3714"/>
      <c r="AE597" s="5624"/>
      <c r="AF597" s="5624"/>
      <c r="AG597" s="11116"/>
    </row>
    <row r="598" spans="1:33" ht="18" customHeight="1">
      <c r="A598" s="11139"/>
      <c r="B598" s="10516" t="s">
        <v>183</v>
      </c>
      <c r="C598" s="10433" t="s">
        <v>227</v>
      </c>
      <c r="D598" s="10433" t="s">
        <v>228</v>
      </c>
      <c r="E598" s="10433" t="s">
        <v>229</v>
      </c>
      <c r="F598" s="10442" t="s">
        <v>230</v>
      </c>
      <c r="G598" s="10433" t="s">
        <v>132</v>
      </c>
      <c r="H598" s="10433" t="s">
        <v>159</v>
      </c>
      <c r="I598" s="10433" t="s">
        <v>6053</v>
      </c>
      <c r="J598" s="10433" t="s">
        <v>6054</v>
      </c>
      <c r="K598" s="10433" t="s">
        <v>6022</v>
      </c>
      <c r="L598" s="11130">
        <v>1</v>
      </c>
      <c r="M598" s="11130">
        <v>1</v>
      </c>
      <c r="N598" s="11130">
        <v>1</v>
      </c>
      <c r="O598" s="10433" t="s">
        <v>6055</v>
      </c>
      <c r="P598" s="10433" t="s">
        <v>6056</v>
      </c>
      <c r="Q598" s="10439" t="s">
        <v>6133</v>
      </c>
      <c r="R598" s="3774"/>
      <c r="S598" s="5481"/>
      <c r="T598" s="5481"/>
      <c r="U598" s="3761"/>
      <c r="V598" s="5502"/>
      <c r="W598" s="3709"/>
      <c r="X598" s="5529"/>
      <c r="Y598" s="5529"/>
      <c r="Z598" s="5529"/>
      <c r="AA598" s="5530"/>
      <c r="AB598" s="5584"/>
      <c r="AC598" s="4338"/>
      <c r="AD598" s="3709"/>
      <c r="AE598" s="5626"/>
      <c r="AF598" s="5626"/>
      <c r="AG598" s="10525"/>
    </row>
    <row r="599" spans="1:33" ht="18" customHeight="1">
      <c r="A599" s="11139"/>
      <c r="B599" s="11136"/>
      <c r="C599" s="11124"/>
      <c r="D599" s="11124"/>
      <c r="E599" s="11124"/>
      <c r="F599" s="11124"/>
      <c r="G599" s="11124"/>
      <c r="H599" s="11124"/>
      <c r="I599" s="11124"/>
      <c r="J599" s="11124"/>
      <c r="K599" s="11124"/>
      <c r="L599" s="11131"/>
      <c r="M599" s="11131"/>
      <c r="N599" s="11131"/>
      <c r="O599" s="11124"/>
      <c r="P599" s="11124"/>
      <c r="Q599" s="11127"/>
      <c r="R599" s="3538"/>
      <c r="S599" s="5463"/>
      <c r="T599" s="5463"/>
      <c r="U599" s="3495"/>
      <c r="V599" s="5499"/>
      <c r="W599" s="3496"/>
      <c r="X599" s="5523"/>
      <c r="Y599" s="5523"/>
      <c r="Z599" s="5523"/>
      <c r="AA599" s="5524"/>
      <c r="AB599" s="5581"/>
      <c r="AC599" s="4316"/>
      <c r="AD599" s="3496"/>
      <c r="AE599" s="5610"/>
      <c r="AF599" s="5610"/>
      <c r="AG599" s="11115"/>
    </row>
    <row r="600" spans="1:33" ht="18" customHeight="1">
      <c r="A600" s="11139"/>
      <c r="B600" s="11136"/>
      <c r="C600" s="11124"/>
      <c r="D600" s="11124"/>
      <c r="E600" s="11124"/>
      <c r="F600" s="11124"/>
      <c r="G600" s="11124"/>
      <c r="H600" s="11124"/>
      <c r="I600" s="11124"/>
      <c r="J600" s="11124"/>
      <c r="K600" s="11124"/>
      <c r="L600" s="11131"/>
      <c r="M600" s="11131"/>
      <c r="N600" s="11131"/>
      <c r="O600" s="11124"/>
      <c r="P600" s="11124"/>
      <c r="Q600" s="11127"/>
      <c r="R600" s="3538"/>
      <c r="S600" s="5463"/>
      <c r="T600" s="5463"/>
      <c r="U600" s="3495"/>
      <c r="V600" s="5499"/>
      <c r="W600" s="3496"/>
      <c r="X600" s="5523"/>
      <c r="Y600" s="5523"/>
      <c r="Z600" s="5523"/>
      <c r="AA600" s="5524"/>
      <c r="AB600" s="5581"/>
      <c r="AC600" s="4316"/>
      <c r="AD600" s="3496"/>
      <c r="AE600" s="5610"/>
      <c r="AF600" s="5610"/>
      <c r="AG600" s="11115"/>
    </row>
    <row r="601" spans="1:33" ht="18" customHeight="1">
      <c r="A601" s="11139"/>
      <c r="B601" s="11136"/>
      <c r="C601" s="11124"/>
      <c r="D601" s="11124"/>
      <c r="E601" s="11124"/>
      <c r="F601" s="11124"/>
      <c r="G601" s="11124"/>
      <c r="H601" s="11124"/>
      <c r="I601" s="11124"/>
      <c r="J601" s="11124"/>
      <c r="K601" s="11124"/>
      <c r="L601" s="11131"/>
      <c r="M601" s="11131"/>
      <c r="N601" s="11131"/>
      <c r="O601" s="11124"/>
      <c r="P601" s="11124"/>
      <c r="Q601" s="11127"/>
      <c r="R601" s="3538"/>
      <c r="S601" s="5463"/>
      <c r="T601" s="5463"/>
      <c r="U601" s="3495"/>
      <c r="V601" s="5499"/>
      <c r="W601" s="3496"/>
      <c r="X601" s="5523"/>
      <c r="Y601" s="5523"/>
      <c r="Z601" s="5523"/>
      <c r="AA601" s="5524"/>
      <c r="AB601" s="5581"/>
      <c r="AC601" s="4316"/>
      <c r="AD601" s="3496"/>
      <c r="AE601" s="5610"/>
      <c r="AF601" s="5610"/>
      <c r="AG601" s="11115"/>
    </row>
    <row r="602" spans="1:33" ht="18" customHeight="1">
      <c r="A602" s="11139"/>
      <c r="B602" s="11138"/>
      <c r="C602" s="11126"/>
      <c r="D602" s="11126"/>
      <c r="E602" s="11126"/>
      <c r="F602" s="11126"/>
      <c r="G602" s="11126"/>
      <c r="H602" s="11126"/>
      <c r="I602" s="11126"/>
      <c r="J602" s="11126"/>
      <c r="K602" s="11126"/>
      <c r="L602" s="11132"/>
      <c r="M602" s="11132"/>
      <c r="N602" s="11132"/>
      <c r="O602" s="11126"/>
      <c r="P602" s="11126"/>
      <c r="Q602" s="11128"/>
      <c r="R602" s="3543"/>
      <c r="S602" s="5468"/>
      <c r="T602" s="5468"/>
      <c r="U602" s="3557"/>
      <c r="V602" s="5503"/>
      <c r="W602" s="3545"/>
      <c r="X602" s="5532"/>
      <c r="Y602" s="5532"/>
      <c r="Z602" s="5532"/>
      <c r="AA602" s="5533"/>
      <c r="AB602" s="5585"/>
      <c r="AC602" s="4318"/>
      <c r="AD602" s="3545"/>
      <c r="AE602" s="5625"/>
      <c r="AF602" s="5625"/>
      <c r="AG602" s="11116"/>
    </row>
    <row r="603" spans="1:33" ht="18" customHeight="1">
      <c r="A603" s="11139"/>
      <c r="B603" s="10512" t="s">
        <v>183</v>
      </c>
      <c r="C603" s="10444" t="s">
        <v>227</v>
      </c>
      <c r="D603" s="10444" t="s">
        <v>228</v>
      </c>
      <c r="E603" s="10444" t="s">
        <v>229</v>
      </c>
      <c r="F603" s="10451" t="s">
        <v>230</v>
      </c>
      <c r="G603" s="10444" t="s">
        <v>132</v>
      </c>
      <c r="H603" s="10444" t="s">
        <v>159</v>
      </c>
      <c r="I603" s="10444" t="s">
        <v>6057</v>
      </c>
      <c r="J603" s="10444" t="s">
        <v>6058</v>
      </c>
      <c r="K603" s="10444" t="s">
        <v>6049</v>
      </c>
      <c r="L603" s="11133">
        <v>0</v>
      </c>
      <c r="M603" s="11133">
        <v>1</v>
      </c>
      <c r="N603" s="11133">
        <v>1</v>
      </c>
      <c r="O603" s="10444" t="s">
        <v>6059</v>
      </c>
      <c r="P603" s="10444" t="s">
        <v>6060</v>
      </c>
      <c r="Q603" s="10449" t="s">
        <v>6133</v>
      </c>
      <c r="R603" s="5459"/>
      <c r="S603" s="5482"/>
      <c r="T603" s="5482"/>
      <c r="U603" s="4659"/>
      <c r="V603" s="5504"/>
      <c r="W603" s="3658"/>
      <c r="X603" s="5534"/>
      <c r="Y603" s="5534"/>
      <c r="Z603" s="5534"/>
      <c r="AA603" s="5535"/>
      <c r="AB603" s="5586"/>
      <c r="AC603" s="4314"/>
      <c r="AD603" s="3658"/>
      <c r="AE603" s="5623"/>
      <c r="AF603" s="5623"/>
      <c r="AG603" s="10525"/>
    </row>
    <row r="604" spans="1:33" ht="18" customHeight="1">
      <c r="A604" s="11139"/>
      <c r="B604" s="11136"/>
      <c r="C604" s="11124"/>
      <c r="D604" s="11124"/>
      <c r="E604" s="11124"/>
      <c r="F604" s="11124"/>
      <c r="G604" s="11124"/>
      <c r="H604" s="11124"/>
      <c r="I604" s="11124"/>
      <c r="J604" s="11124"/>
      <c r="K604" s="11124"/>
      <c r="L604" s="11131"/>
      <c r="M604" s="11131"/>
      <c r="N604" s="11131"/>
      <c r="O604" s="11124"/>
      <c r="P604" s="11124"/>
      <c r="Q604" s="11127"/>
      <c r="R604" s="3538"/>
      <c r="S604" s="5463"/>
      <c r="T604" s="5463"/>
      <c r="U604" s="3495"/>
      <c r="V604" s="5499"/>
      <c r="W604" s="3496"/>
      <c r="X604" s="5523"/>
      <c r="Y604" s="5523"/>
      <c r="Z604" s="5523"/>
      <c r="AA604" s="5524"/>
      <c r="AB604" s="5581"/>
      <c r="AC604" s="4316"/>
      <c r="AD604" s="3496"/>
      <c r="AE604" s="5610"/>
      <c r="AF604" s="5610"/>
      <c r="AG604" s="11115"/>
    </row>
    <row r="605" spans="1:33" ht="18" customHeight="1">
      <c r="A605" s="11139"/>
      <c r="B605" s="11136"/>
      <c r="C605" s="11124"/>
      <c r="D605" s="11124"/>
      <c r="E605" s="11124"/>
      <c r="F605" s="11124"/>
      <c r="G605" s="11124"/>
      <c r="H605" s="11124"/>
      <c r="I605" s="11124"/>
      <c r="J605" s="11124"/>
      <c r="K605" s="11124"/>
      <c r="L605" s="11131"/>
      <c r="M605" s="11131"/>
      <c r="N605" s="11131"/>
      <c r="O605" s="11124"/>
      <c r="P605" s="11124"/>
      <c r="Q605" s="11127"/>
      <c r="R605" s="3538"/>
      <c r="S605" s="5463"/>
      <c r="T605" s="5463"/>
      <c r="U605" s="3495"/>
      <c r="V605" s="5499"/>
      <c r="W605" s="3496"/>
      <c r="X605" s="5523"/>
      <c r="Y605" s="5523"/>
      <c r="Z605" s="5523"/>
      <c r="AA605" s="5524"/>
      <c r="AB605" s="5581"/>
      <c r="AC605" s="4316"/>
      <c r="AD605" s="3496"/>
      <c r="AE605" s="5610"/>
      <c r="AF605" s="5610"/>
      <c r="AG605" s="11115"/>
    </row>
    <row r="606" spans="1:33" ht="18" customHeight="1">
      <c r="A606" s="11139"/>
      <c r="B606" s="11136"/>
      <c r="C606" s="11124"/>
      <c r="D606" s="11124"/>
      <c r="E606" s="11124"/>
      <c r="F606" s="11124"/>
      <c r="G606" s="11124"/>
      <c r="H606" s="11124"/>
      <c r="I606" s="11124"/>
      <c r="J606" s="11124"/>
      <c r="K606" s="11124"/>
      <c r="L606" s="11131"/>
      <c r="M606" s="11131"/>
      <c r="N606" s="11131"/>
      <c r="O606" s="11124"/>
      <c r="P606" s="11124"/>
      <c r="Q606" s="11127"/>
      <c r="R606" s="3538"/>
      <c r="S606" s="5463"/>
      <c r="T606" s="5463"/>
      <c r="U606" s="3495"/>
      <c r="V606" s="5499"/>
      <c r="W606" s="3496"/>
      <c r="X606" s="5523"/>
      <c r="Y606" s="5523"/>
      <c r="Z606" s="5523"/>
      <c r="AA606" s="5524"/>
      <c r="AB606" s="5581"/>
      <c r="AC606" s="4316"/>
      <c r="AD606" s="3496"/>
      <c r="AE606" s="5610"/>
      <c r="AF606" s="5610"/>
      <c r="AG606" s="11115"/>
    </row>
    <row r="607" spans="1:33" ht="18" customHeight="1">
      <c r="A607" s="11139"/>
      <c r="B607" s="11137"/>
      <c r="C607" s="11125"/>
      <c r="D607" s="11125"/>
      <c r="E607" s="11125"/>
      <c r="F607" s="11125"/>
      <c r="G607" s="11125"/>
      <c r="H607" s="11125"/>
      <c r="I607" s="11125"/>
      <c r="J607" s="11125"/>
      <c r="K607" s="11125"/>
      <c r="L607" s="11134"/>
      <c r="M607" s="11134"/>
      <c r="N607" s="11134"/>
      <c r="O607" s="11125"/>
      <c r="P607" s="11125"/>
      <c r="Q607" s="11135"/>
      <c r="R607" s="3768"/>
      <c r="S607" s="5477"/>
      <c r="T607" s="5477"/>
      <c r="U607" s="3759"/>
      <c r="V607" s="5509"/>
      <c r="W607" s="3714"/>
      <c r="X607" s="5544"/>
      <c r="Y607" s="5544"/>
      <c r="Z607" s="5544"/>
      <c r="AA607" s="5545"/>
      <c r="AB607" s="5592"/>
      <c r="AC607" s="4320"/>
      <c r="AD607" s="3714"/>
      <c r="AE607" s="5624"/>
      <c r="AF607" s="5624"/>
      <c r="AG607" s="11116"/>
    </row>
    <row r="608" spans="1:33" ht="18" customHeight="1">
      <c r="A608" s="11139"/>
      <c r="B608" s="10516" t="s">
        <v>127</v>
      </c>
      <c r="C608" s="10433" t="s">
        <v>128</v>
      </c>
      <c r="D608" s="10433" t="s">
        <v>129</v>
      </c>
      <c r="E608" s="10433" t="s">
        <v>157</v>
      </c>
      <c r="F608" s="10442" t="s">
        <v>131</v>
      </c>
      <c r="G608" s="10433" t="s">
        <v>132</v>
      </c>
      <c r="H608" s="10433" t="s">
        <v>159</v>
      </c>
      <c r="I608" s="10433" t="s">
        <v>6061</v>
      </c>
      <c r="J608" s="10433" t="s">
        <v>6062</v>
      </c>
      <c r="K608" s="10433" t="s">
        <v>6063</v>
      </c>
      <c r="L608" s="11130">
        <v>1</v>
      </c>
      <c r="M608" s="11130">
        <v>1</v>
      </c>
      <c r="N608" s="11130">
        <v>1</v>
      </c>
      <c r="O608" s="10433" t="s">
        <v>6064</v>
      </c>
      <c r="P608" s="10433" t="s">
        <v>6065</v>
      </c>
      <c r="Q608" s="10439" t="s">
        <v>6130</v>
      </c>
      <c r="R608" s="3774"/>
      <c r="S608" s="5481"/>
      <c r="T608" s="5481"/>
      <c r="U608" s="3761"/>
      <c r="V608" s="5502"/>
      <c r="W608" s="3709"/>
      <c r="X608" s="5529"/>
      <c r="Y608" s="5529"/>
      <c r="Z608" s="5529"/>
      <c r="AA608" s="5530"/>
      <c r="AB608" s="5584"/>
      <c r="AC608" s="4338"/>
      <c r="AD608" s="3709"/>
      <c r="AE608" s="5626"/>
      <c r="AF608" s="5626"/>
      <c r="AG608" s="10525"/>
    </row>
    <row r="609" spans="1:33" ht="18" customHeight="1">
      <c r="A609" s="11139"/>
      <c r="B609" s="11136"/>
      <c r="C609" s="11124"/>
      <c r="D609" s="11124"/>
      <c r="E609" s="11124"/>
      <c r="F609" s="11124"/>
      <c r="G609" s="11124"/>
      <c r="H609" s="11124"/>
      <c r="I609" s="11124"/>
      <c r="J609" s="11124"/>
      <c r="K609" s="11124"/>
      <c r="L609" s="11131"/>
      <c r="M609" s="11131"/>
      <c r="N609" s="11131"/>
      <c r="O609" s="11124"/>
      <c r="P609" s="11124"/>
      <c r="Q609" s="11127"/>
      <c r="R609" s="3538"/>
      <c r="S609" s="5463"/>
      <c r="T609" s="5463"/>
      <c r="U609" s="3495"/>
      <c r="V609" s="5499"/>
      <c r="W609" s="3496"/>
      <c r="X609" s="5523"/>
      <c r="Y609" s="5523"/>
      <c r="Z609" s="5523"/>
      <c r="AA609" s="5524"/>
      <c r="AB609" s="5581"/>
      <c r="AC609" s="4316"/>
      <c r="AD609" s="3496"/>
      <c r="AE609" s="5610"/>
      <c r="AF609" s="5610"/>
      <c r="AG609" s="11115"/>
    </row>
    <row r="610" spans="1:33" ht="18" customHeight="1">
      <c r="A610" s="11139"/>
      <c r="B610" s="11136"/>
      <c r="C610" s="11124"/>
      <c r="D610" s="11124"/>
      <c r="E610" s="11124"/>
      <c r="F610" s="11124"/>
      <c r="G610" s="11124"/>
      <c r="H610" s="11124"/>
      <c r="I610" s="11124"/>
      <c r="J610" s="11124"/>
      <c r="K610" s="11124"/>
      <c r="L610" s="11131"/>
      <c r="M610" s="11131"/>
      <c r="N610" s="11131"/>
      <c r="O610" s="11124"/>
      <c r="P610" s="11124"/>
      <c r="Q610" s="11127"/>
      <c r="R610" s="3538"/>
      <c r="S610" s="5463"/>
      <c r="T610" s="5463"/>
      <c r="U610" s="3495"/>
      <c r="V610" s="5499"/>
      <c r="W610" s="3496"/>
      <c r="X610" s="5523"/>
      <c r="Y610" s="5523"/>
      <c r="Z610" s="5523"/>
      <c r="AA610" s="5524"/>
      <c r="AB610" s="5581"/>
      <c r="AC610" s="4316"/>
      <c r="AD610" s="3496"/>
      <c r="AE610" s="5610"/>
      <c r="AF610" s="5610"/>
      <c r="AG610" s="11115"/>
    </row>
    <row r="611" spans="1:33" ht="18" customHeight="1">
      <c r="A611" s="11139"/>
      <c r="B611" s="11136"/>
      <c r="C611" s="11124"/>
      <c r="D611" s="11124"/>
      <c r="E611" s="11124"/>
      <c r="F611" s="11124"/>
      <c r="G611" s="11124"/>
      <c r="H611" s="11124"/>
      <c r="I611" s="11124"/>
      <c r="J611" s="11124"/>
      <c r="K611" s="11124"/>
      <c r="L611" s="11131"/>
      <c r="M611" s="11131"/>
      <c r="N611" s="11131"/>
      <c r="O611" s="11124"/>
      <c r="P611" s="11124"/>
      <c r="Q611" s="11127"/>
      <c r="R611" s="3538"/>
      <c r="S611" s="5463"/>
      <c r="T611" s="5463"/>
      <c r="U611" s="3495"/>
      <c r="V611" s="5499"/>
      <c r="W611" s="3496"/>
      <c r="X611" s="5523"/>
      <c r="Y611" s="5523"/>
      <c r="Z611" s="5523"/>
      <c r="AA611" s="5524"/>
      <c r="AB611" s="5581"/>
      <c r="AC611" s="4316"/>
      <c r="AD611" s="3496"/>
      <c r="AE611" s="5610"/>
      <c r="AF611" s="5610"/>
      <c r="AG611" s="11115"/>
    </row>
    <row r="612" spans="1:33" ht="18" customHeight="1">
      <c r="A612" s="11139"/>
      <c r="B612" s="11138"/>
      <c r="C612" s="11126"/>
      <c r="D612" s="11126"/>
      <c r="E612" s="11126"/>
      <c r="F612" s="11126"/>
      <c r="G612" s="11126"/>
      <c r="H612" s="11126"/>
      <c r="I612" s="11126"/>
      <c r="J612" s="11126"/>
      <c r="K612" s="11126"/>
      <c r="L612" s="11132"/>
      <c r="M612" s="11132"/>
      <c r="N612" s="11132"/>
      <c r="O612" s="11126"/>
      <c r="P612" s="11126"/>
      <c r="Q612" s="11128"/>
      <c r="R612" s="3543"/>
      <c r="S612" s="5468"/>
      <c r="T612" s="5468"/>
      <c r="U612" s="3557"/>
      <c r="V612" s="5503"/>
      <c r="W612" s="3545"/>
      <c r="X612" s="5532"/>
      <c r="Y612" s="5532"/>
      <c r="Z612" s="5532"/>
      <c r="AA612" s="5533"/>
      <c r="AB612" s="5585"/>
      <c r="AC612" s="4318"/>
      <c r="AD612" s="3545"/>
      <c r="AE612" s="5625"/>
      <c r="AF612" s="5625"/>
      <c r="AG612" s="11116"/>
    </row>
    <row r="613" spans="1:33" ht="18" customHeight="1">
      <c r="A613" s="11139"/>
      <c r="B613" s="10512" t="s">
        <v>183</v>
      </c>
      <c r="C613" s="10444" t="s">
        <v>227</v>
      </c>
      <c r="D613" s="10444" t="s">
        <v>228</v>
      </c>
      <c r="E613" s="10444" t="s">
        <v>229</v>
      </c>
      <c r="F613" s="10451" t="s">
        <v>230</v>
      </c>
      <c r="G613" s="10444" t="s">
        <v>132</v>
      </c>
      <c r="H613" s="10444" t="s">
        <v>159</v>
      </c>
      <c r="I613" s="10444" t="s">
        <v>6066</v>
      </c>
      <c r="J613" s="10444" t="s">
        <v>6067</v>
      </c>
      <c r="K613" s="10444" t="s">
        <v>5871</v>
      </c>
      <c r="L613" s="11133">
        <v>0</v>
      </c>
      <c r="M613" s="11133">
        <v>1</v>
      </c>
      <c r="N613" s="11133">
        <v>0</v>
      </c>
      <c r="O613" s="10444" t="s">
        <v>5872</v>
      </c>
      <c r="P613" s="10444" t="s">
        <v>5873</v>
      </c>
      <c r="Q613" s="10449" t="s">
        <v>6133</v>
      </c>
      <c r="R613" s="5459"/>
      <c r="S613" s="5482"/>
      <c r="T613" s="5482"/>
      <c r="U613" s="4659"/>
      <c r="V613" s="5504"/>
      <c r="W613" s="3658"/>
      <c r="X613" s="5534"/>
      <c r="Y613" s="5534"/>
      <c r="Z613" s="5534"/>
      <c r="AA613" s="5535"/>
      <c r="AB613" s="5586"/>
      <c r="AC613" s="4314"/>
      <c r="AD613" s="3658"/>
      <c r="AE613" s="5623"/>
      <c r="AF613" s="5623"/>
      <c r="AG613" s="10525"/>
    </row>
    <row r="614" spans="1:33" ht="18" customHeight="1">
      <c r="A614" s="11139"/>
      <c r="B614" s="11136"/>
      <c r="C614" s="11124"/>
      <c r="D614" s="11124"/>
      <c r="E614" s="11124"/>
      <c r="F614" s="11124"/>
      <c r="G614" s="11124"/>
      <c r="H614" s="11124"/>
      <c r="I614" s="11124"/>
      <c r="J614" s="11124"/>
      <c r="K614" s="11124"/>
      <c r="L614" s="11131"/>
      <c r="M614" s="11131"/>
      <c r="N614" s="11131"/>
      <c r="O614" s="11124"/>
      <c r="P614" s="11124"/>
      <c r="Q614" s="11127"/>
      <c r="R614" s="3538"/>
      <c r="S614" s="5463"/>
      <c r="T614" s="5463"/>
      <c r="U614" s="3495"/>
      <c r="V614" s="5499"/>
      <c r="W614" s="3496"/>
      <c r="X614" s="5523"/>
      <c r="Y614" s="5523"/>
      <c r="Z614" s="5523"/>
      <c r="AA614" s="5524"/>
      <c r="AB614" s="5581"/>
      <c r="AC614" s="4316"/>
      <c r="AD614" s="3496"/>
      <c r="AE614" s="5610"/>
      <c r="AF614" s="5610"/>
      <c r="AG614" s="11115"/>
    </row>
    <row r="615" spans="1:33" ht="18" customHeight="1">
      <c r="A615" s="11139"/>
      <c r="B615" s="11136"/>
      <c r="C615" s="11124"/>
      <c r="D615" s="11124"/>
      <c r="E615" s="11124"/>
      <c r="F615" s="11124"/>
      <c r="G615" s="11124"/>
      <c r="H615" s="11124"/>
      <c r="I615" s="11124"/>
      <c r="J615" s="11124"/>
      <c r="K615" s="11124"/>
      <c r="L615" s="11131"/>
      <c r="M615" s="11131"/>
      <c r="N615" s="11131"/>
      <c r="O615" s="11124"/>
      <c r="P615" s="11124"/>
      <c r="Q615" s="11127"/>
      <c r="R615" s="3538"/>
      <c r="S615" s="5463"/>
      <c r="T615" s="5463"/>
      <c r="U615" s="3495"/>
      <c r="V615" s="5499"/>
      <c r="W615" s="3496"/>
      <c r="X615" s="5523"/>
      <c r="Y615" s="5523"/>
      <c r="Z615" s="5523"/>
      <c r="AA615" s="5524"/>
      <c r="AB615" s="5581"/>
      <c r="AC615" s="4316"/>
      <c r="AD615" s="3496"/>
      <c r="AE615" s="5610"/>
      <c r="AF615" s="5610"/>
      <c r="AG615" s="11115"/>
    </row>
    <row r="616" spans="1:33" ht="18" customHeight="1">
      <c r="A616" s="11139"/>
      <c r="B616" s="11136"/>
      <c r="C616" s="11124"/>
      <c r="D616" s="11124"/>
      <c r="E616" s="11124"/>
      <c r="F616" s="11124"/>
      <c r="G616" s="11124"/>
      <c r="H616" s="11124"/>
      <c r="I616" s="11124"/>
      <c r="J616" s="11124"/>
      <c r="K616" s="11124"/>
      <c r="L616" s="11131"/>
      <c r="M616" s="11131"/>
      <c r="N616" s="11131"/>
      <c r="O616" s="11124"/>
      <c r="P616" s="11124"/>
      <c r="Q616" s="11127"/>
      <c r="R616" s="3538"/>
      <c r="S616" s="5463"/>
      <c r="T616" s="5463"/>
      <c r="U616" s="3495"/>
      <c r="V616" s="5499"/>
      <c r="W616" s="3496"/>
      <c r="X616" s="5523"/>
      <c r="Y616" s="5523"/>
      <c r="Z616" s="5523"/>
      <c r="AA616" s="5524"/>
      <c r="AB616" s="5581"/>
      <c r="AC616" s="4316"/>
      <c r="AD616" s="3496"/>
      <c r="AE616" s="5610"/>
      <c r="AF616" s="5610"/>
      <c r="AG616" s="11115"/>
    </row>
    <row r="617" spans="1:33" ht="18" customHeight="1">
      <c r="A617" s="11139"/>
      <c r="B617" s="11137"/>
      <c r="C617" s="11125"/>
      <c r="D617" s="11125"/>
      <c r="E617" s="11125"/>
      <c r="F617" s="11125"/>
      <c r="G617" s="11125"/>
      <c r="H617" s="11125"/>
      <c r="I617" s="11125"/>
      <c r="J617" s="11125"/>
      <c r="K617" s="11125"/>
      <c r="L617" s="11134"/>
      <c r="M617" s="11134"/>
      <c r="N617" s="11134"/>
      <c r="O617" s="11125"/>
      <c r="P617" s="11125"/>
      <c r="Q617" s="11135"/>
      <c r="R617" s="3768"/>
      <c r="S617" s="5477"/>
      <c r="T617" s="5477"/>
      <c r="U617" s="3759"/>
      <c r="V617" s="5509"/>
      <c r="W617" s="3714"/>
      <c r="X617" s="5544"/>
      <c r="Y617" s="5544"/>
      <c r="Z617" s="5544"/>
      <c r="AA617" s="5545"/>
      <c r="AB617" s="5592"/>
      <c r="AC617" s="4320"/>
      <c r="AD617" s="3714"/>
      <c r="AE617" s="5624"/>
      <c r="AF617" s="5624"/>
      <c r="AG617" s="11116"/>
    </row>
    <row r="618" spans="1:33" ht="18" customHeight="1">
      <c r="A618" s="11139"/>
      <c r="B618" s="10516" t="s">
        <v>183</v>
      </c>
      <c r="C618" s="10433" t="s">
        <v>227</v>
      </c>
      <c r="D618" s="10433" t="s">
        <v>228</v>
      </c>
      <c r="E618" s="10433" t="s">
        <v>229</v>
      </c>
      <c r="F618" s="10442" t="s">
        <v>230</v>
      </c>
      <c r="G618" s="10433" t="s">
        <v>171</v>
      </c>
      <c r="H618" s="10433" t="s">
        <v>133</v>
      </c>
      <c r="I618" s="10433" t="s">
        <v>6068</v>
      </c>
      <c r="J618" s="10433" t="s">
        <v>6069</v>
      </c>
      <c r="K618" s="10433" t="s">
        <v>6022</v>
      </c>
      <c r="L618" s="10470">
        <v>1</v>
      </c>
      <c r="M618" s="10470">
        <v>1</v>
      </c>
      <c r="N618" s="10470">
        <v>1</v>
      </c>
      <c r="O618" s="10433" t="s">
        <v>6070</v>
      </c>
      <c r="P618" s="10433" t="s">
        <v>6071</v>
      </c>
      <c r="Q618" s="10439" t="s">
        <v>6134</v>
      </c>
      <c r="R618" s="3776"/>
      <c r="S618" s="5466"/>
      <c r="T618" s="5466"/>
      <c r="U618" s="3762"/>
      <c r="V618" s="5502"/>
      <c r="W618" s="3709"/>
      <c r="X618" s="5529"/>
      <c r="Y618" s="5529"/>
      <c r="Z618" s="5529"/>
      <c r="AA618" s="5530"/>
      <c r="AB618" s="5584"/>
      <c r="AC618" s="4338"/>
      <c r="AD618" s="3709"/>
      <c r="AE618" s="5626"/>
      <c r="AF618" s="5626"/>
      <c r="AG618" s="10525"/>
    </row>
    <row r="619" spans="1:33" ht="18" customHeight="1">
      <c r="A619" s="11139"/>
      <c r="B619" s="11136"/>
      <c r="C619" s="11124"/>
      <c r="D619" s="11124"/>
      <c r="E619" s="11124"/>
      <c r="F619" s="11124"/>
      <c r="G619" s="11124"/>
      <c r="H619" s="11124"/>
      <c r="I619" s="11124"/>
      <c r="J619" s="11124"/>
      <c r="K619" s="11124"/>
      <c r="L619" s="11131"/>
      <c r="M619" s="11131"/>
      <c r="N619" s="11131"/>
      <c r="O619" s="11124"/>
      <c r="P619" s="11124"/>
      <c r="Q619" s="11127"/>
      <c r="R619" s="3538"/>
      <c r="S619" s="5463"/>
      <c r="T619" s="5463"/>
      <c r="U619" s="3495"/>
      <c r="V619" s="5499"/>
      <c r="W619" s="3496"/>
      <c r="X619" s="5523"/>
      <c r="Y619" s="5523"/>
      <c r="Z619" s="5523"/>
      <c r="AA619" s="5524"/>
      <c r="AB619" s="5581"/>
      <c r="AC619" s="4316"/>
      <c r="AD619" s="3496"/>
      <c r="AE619" s="5610"/>
      <c r="AF619" s="5610"/>
      <c r="AG619" s="11115"/>
    </row>
    <row r="620" spans="1:33" ht="18" customHeight="1">
      <c r="A620" s="11139"/>
      <c r="B620" s="11136"/>
      <c r="C620" s="11124"/>
      <c r="D620" s="11124"/>
      <c r="E620" s="11124"/>
      <c r="F620" s="11124"/>
      <c r="G620" s="11124"/>
      <c r="H620" s="11124"/>
      <c r="I620" s="11124"/>
      <c r="J620" s="11124"/>
      <c r="K620" s="11124"/>
      <c r="L620" s="11131"/>
      <c r="M620" s="11131"/>
      <c r="N620" s="11131"/>
      <c r="O620" s="11124"/>
      <c r="P620" s="11124"/>
      <c r="Q620" s="11127"/>
      <c r="R620" s="3538"/>
      <c r="S620" s="5463"/>
      <c r="T620" s="5463"/>
      <c r="U620" s="3495"/>
      <c r="V620" s="5499"/>
      <c r="W620" s="3496"/>
      <c r="X620" s="5523"/>
      <c r="Y620" s="5523"/>
      <c r="Z620" s="5523"/>
      <c r="AA620" s="5524"/>
      <c r="AB620" s="5581"/>
      <c r="AC620" s="4316"/>
      <c r="AD620" s="3496"/>
      <c r="AE620" s="5610"/>
      <c r="AF620" s="5610"/>
      <c r="AG620" s="11115"/>
    </row>
    <row r="621" spans="1:33" ht="18" customHeight="1">
      <c r="A621" s="11139"/>
      <c r="B621" s="11136"/>
      <c r="C621" s="11124"/>
      <c r="D621" s="11124"/>
      <c r="E621" s="11124"/>
      <c r="F621" s="11124"/>
      <c r="G621" s="11124"/>
      <c r="H621" s="11124"/>
      <c r="I621" s="11124"/>
      <c r="J621" s="11124"/>
      <c r="K621" s="11124"/>
      <c r="L621" s="11131"/>
      <c r="M621" s="11131"/>
      <c r="N621" s="11131"/>
      <c r="O621" s="11124"/>
      <c r="P621" s="11124"/>
      <c r="Q621" s="11127"/>
      <c r="R621" s="3541"/>
      <c r="S621" s="5467"/>
      <c r="T621" s="5467"/>
      <c r="U621" s="3495"/>
      <c r="V621" s="5499"/>
      <c r="W621" s="3496"/>
      <c r="X621" s="5523"/>
      <c r="Y621" s="5523"/>
      <c r="Z621" s="5523"/>
      <c r="AA621" s="5524"/>
      <c r="AB621" s="5581"/>
      <c r="AC621" s="4316"/>
      <c r="AD621" s="3496"/>
      <c r="AE621" s="5610"/>
      <c r="AF621" s="5610"/>
      <c r="AG621" s="11115"/>
    </row>
    <row r="622" spans="1:33" ht="18" customHeight="1">
      <c r="A622" s="11139"/>
      <c r="B622" s="11138"/>
      <c r="C622" s="11126"/>
      <c r="D622" s="11126"/>
      <c r="E622" s="11126"/>
      <c r="F622" s="11126"/>
      <c r="G622" s="11126"/>
      <c r="H622" s="11126"/>
      <c r="I622" s="11126"/>
      <c r="J622" s="11126"/>
      <c r="K622" s="11126"/>
      <c r="L622" s="11132"/>
      <c r="M622" s="11132"/>
      <c r="N622" s="11132"/>
      <c r="O622" s="11126"/>
      <c r="P622" s="11126"/>
      <c r="Q622" s="11128"/>
      <c r="R622" s="3543"/>
      <c r="S622" s="5468"/>
      <c r="T622" s="5468"/>
      <c r="U622" s="3557"/>
      <c r="V622" s="5503"/>
      <c r="W622" s="3545"/>
      <c r="X622" s="5532"/>
      <c r="Y622" s="5532"/>
      <c r="Z622" s="5532"/>
      <c r="AA622" s="5533"/>
      <c r="AB622" s="5585"/>
      <c r="AC622" s="4318"/>
      <c r="AD622" s="3545"/>
      <c r="AE622" s="5625"/>
      <c r="AF622" s="5625"/>
      <c r="AG622" s="11116"/>
    </row>
    <row r="623" spans="1:33" ht="18" customHeight="1">
      <c r="A623" s="11139"/>
      <c r="B623" s="10512" t="s">
        <v>127</v>
      </c>
      <c r="C623" s="10444" t="s">
        <v>128</v>
      </c>
      <c r="D623" s="10444" t="s">
        <v>129</v>
      </c>
      <c r="E623" s="10444" t="s">
        <v>157</v>
      </c>
      <c r="F623" s="10451" t="s">
        <v>131</v>
      </c>
      <c r="G623" s="10444" t="s">
        <v>132</v>
      </c>
      <c r="H623" s="10444" t="s">
        <v>159</v>
      </c>
      <c r="I623" s="10444" t="s">
        <v>6073</v>
      </c>
      <c r="J623" s="10444" t="s">
        <v>6074</v>
      </c>
      <c r="K623" s="10444" t="s">
        <v>5888</v>
      </c>
      <c r="L623" s="10455">
        <v>3</v>
      </c>
      <c r="M623" s="10455">
        <v>4</v>
      </c>
      <c r="N623" s="10455">
        <v>3</v>
      </c>
      <c r="O623" s="10444" t="s">
        <v>6075</v>
      </c>
      <c r="P623" s="10444" t="s">
        <v>6076</v>
      </c>
      <c r="Q623" s="10449" t="s">
        <v>6130</v>
      </c>
      <c r="R623" s="3767"/>
      <c r="S623" s="5469"/>
      <c r="T623" s="5469"/>
      <c r="U623" s="3758"/>
      <c r="V623" s="5504"/>
      <c r="W623" s="3658"/>
      <c r="X623" s="5534"/>
      <c r="Y623" s="5534"/>
      <c r="Z623" s="5534"/>
      <c r="AA623" s="5535"/>
      <c r="AB623" s="5586"/>
      <c r="AC623" s="4314"/>
      <c r="AD623" s="3658"/>
      <c r="AE623" s="5623"/>
      <c r="AF623" s="5623"/>
      <c r="AG623" s="10464"/>
    </row>
    <row r="624" spans="1:33" ht="18" customHeight="1">
      <c r="A624" s="11139"/>
      <c r="B624" s="11136"/>
      <c r="C624" s="11124"/>
      <c r="D624" s="11124"/>
      <c r="E624" s="11124"/>
      <c r="F624" s="11124"/>
      <c r="G624" s="11124"/>
      <c r="H624" s="11124"/>
      <c r="I624" s="11124"/>
      <c r="J624" s="11124"/>
      <c r="K624" s="11124"/>
      <c r="L624" s="11131"/>
      <c r="M624" s="11131"/>
      <c r="N624" s="11131"/>
      <c r="O624" s="11124"/>
      <c r="P624" s="11124"/>
      <c r="Q624" s="11127"/>
      <c r="R624" s="3538"/>
      <c r="S624" s="5463"/>
      <c r="T624" s="5463"/>
      <c r="U624" s="3495"/>
      <c r="V624" s="5499"/>
      <c r="W624" s="3496"/>
      <c r="X624" s="5523"/>
      <c r="Y624" s="5523"/>
      <c r="Z624" s="5523"/>
      <c r="AA624" s="5524"/>
      <c r="AB624" s="5581"/>
      <c r="AC624" s="4316"/>
      <c r="AD624" s="3496"/>
      <c r="AE624" s="5610"/>
      <c r="AF624" s="5610"/>
      <c r="AG624" s="11115"/>
    </row>
    <row r="625" spans="1:33" ht="18" customHeight="1">
      <c r="A625" s="11139"/>
      <c r="B625" s="11136"/>
      <c r="C625" s="11124"/>
      <c r="D625" s="11124"/>
      <c r="E625" s="11124"/>
      <c r="F625" s="11124"/>
      <c r="G625" s="11124"/>
      <c r="H625" s="11124"/>
      <c r="I625" s="11124"/>
      <c r="J625" s="11124"/>
      <c r="K625" s="11124"/>
      <c r="L625" s="11131"/>
      <c r="M625" s="11131"/>
      <c r="N625" s="11131"/>
      <c r="O625" s="11124"/>
      <c r="P625" s="11124"/>
      <c r="Q625" s="11127"/>
      <c r="R625" s="3538"/>
      <c r="S625" s="5463"/>
      <c r="T625" s="5463"/>
      <c r="U625" s="3495"/>
      <c r="V625" s="5499"/>
      <c r="W625" s="3496"/>
      <c r="X625" s="5523"/>
      <c r="Y625" s="5523"/>
      <c r="Z625" s="5523"/>
      <c r="AA625" s="5524"/>
      <c r="AB625" s="5581"/>
      <c r="AC625" s="4316"/>
      <c r="AD625" s="3496"/>
      <c r="AE625" s="5610"/>
      <c r="AF625" s="5610"/>
      <c r="AG625" s="11115"/>
    </row>
    <row r="626" spans="1:33" ht="18" customHeight="1">
      <c r="A626" s="11139"/>
      <c r="B626" s="11136"/>
      <c r="C626" s="11124"/>
      <c r="D626" s="11124"/>
      <c r="E626" s="11124"/>
      <c r="F626" s="11124"/>
      <c r="G626" s="11124"/>
      <c r="H626" s="11124"/>
      <c r="I626" s="11124"/>
      <c r="J626" s="11124"/>
      <c r="K626" s="11124"/>
      <c r="L626" s="11131"/>
      <c r="M626" s="11131"/>
      <c r="N626" s="11131"/>
      <c r="O626" s="11124"/>
      <c r="P626" s="11124"/>
      <c r="Q626" s="11127"/>
      <c r="R626" s="3541"/>
      <c r="S626" s="5467"/>
      <c r="T626" s="5467"/>
      <c r="U626" s="3495"/>
      <c r="V626" s="5499"/>
      <c r="W626" s="3496"/>
      <c r="X626" s="5523"/>
      <c r="Y626" s="5523"/>
      <c r="Z626" s="5523"/>
      <c r="AA626" s="5524"/>
      <c r="AB626" s="5581"/>
      <c r="AC626" s="4316"/>
      <c r="AD626" s="3496"/>
      <c r="AE626" s="5610"/>
      <c r="AF626" s="5610"/>
      <c r="AG626" s="11115"/>
    </row>
    <row r="627" spans="1:33" ht="18" customHeight="1">
      <c r="A627" s="11139"/>
      <c r="B627" s="11138"/>
      <c r="C627" s="11126"/>
      <c r="D627" s="11126"/>
      <c r="E627" s="11126"/>
      <c r="F627" s="11126"/>
      <c r="G627" s="11126"/>
      <c r="H627" s="11126"/>
      <c r="I627" s="11126"/>
      <c r="J627" s="11126"/>
      <c r="K627" s="11126"/>
      <c r="L627" s="11132"/>
      <c r="M627" s="11132"/>
      <c r="N627" s="11132"/>
      <c r="O627" s="11126"/>
      <c r="P627" s="11126"/>
      <c r="Q627" s="11128"/>
      <c r="R627" s="3543"/>
      <c r="S627" s="5468"/>
      <c r="T627" s="5468"/>
      <c r="U627" s="3557"/>
      <c r="V627" s="5503"/>
      <c r="W627" s="3545"/>
      <c r="X627" s="5532"/>
      <c r="Y627" s="5532"/>
      <c r="Z627" s="5532"/>
      <c r="AA627" s="5533"/>
      <c r="AB627" s="5585"/>
      <c r="AC627" s="4318"/>
      <c r="AD627" s="3545"/>
      <c r="AE627" s="5625"/>
      <c r="AF627" s="5625"/>
      <c r="AG627" s="11116"/>
    </row>
    <row r="628" spans="1:33" s="6169" customFormat="1" ht="22.5" customHeight="1" thickBot="1">
      <c r="A628" s="6236"/>
      <c r="B628" s="6250"/>
      <c r="C628" s="6250"/>
      <c r="D628" s="6250"/>
      <c r="E628" s="6250"/>
      <c r="F628" s="6250"/>
      <c r="G628" s="6250"/>
      <c r="H628" s="6250"/>
      <c r="I628" s="6250"/>
      <c r="J628" s="6250"/>
      <c r="K628" s="6250"/>
      <c r="L628" s="6164"/>
      <c r="M628" s="6164"/>
      <c r="N628" s="6164"/>
      <c r="O628" s="6166"/>
      <c r="P628" s="6166"/>
      <c r="Q628" s="6167"/>
      <c r="R628" s="11144" t="s">
        <v>6135</v>
      </c>
      <c r="S628" s="11145"/>
      <c r="T628" s="11145"/>
      <c r="U628" s="11145"/>
      <c r="V628" s="11145"/>
      <c r="W628" s="11145"/>
      <c r="X628" s="11145"/>
      <c r="Y628" s="11145"/>
      <c r="Z628" s="5321" t="s">
        <v>292</v>
      </c>
      <c r="AA628" s="6153">
        <f>SUM(AA553:AA627)</f>
        <v>0</v>
      </c>
      <c r="AB628" s="6165"/>
      <c r="AC628" s="6168"/>
      <c r="AD628" s="11146"/>
      <c r="AE628" s="11147"/>
      <c r="AF628" s="11147"/>
      <c r="AG628" s="11148"/>
    </row>
    <row r="629" spans="1:33" ht="18" customHeight="1">
      <c r="A629" s="9599" t="s">
        <v>6136</v>
      </c>
      <c r="B629" s="10518" t="s">
        <v>183</v>
      </c>
      <c r="C629" s="10452" t="s">
        <v>227</v>
      </c>
      <c r="D629" s="10452" t="s">
        <v>228</v>
      </c>
      <c r="E629" s="10452" t="s">
        <v>229</v>
      </c>
      <c r="F629" s="10454" t="s">
        <v>230</v>
      </c>
      <c r="G629" s="10452" t="s">
        <v>132</v>
      </c>
      <c r="H629" s="10452" t="s">
        <v>159</v>
      </c>
      <c r="I629" s="10433" t="s">
        <v>6010</v>
      </c>
      <c r="J629" s="10452" t="s">
        <v>6011</v>
      </c>
      <c r="K629" s="10452" t="s">
        <v>5761</v>
      </c>
      <c r="L629" s="10488">
        <v>2</v>
      </c>
      <c r="M629" s="10488">
        <v>1</v>
      </c>
      <c r="N629" s="10488">
        <v>2</v>
      </c>
      <c r="O629" s="10452" t="s">
        <v>6012</v>
      </c>
      <c r="P629" s="10452" t="s">
        <v>6013</v>
      </c>
      <c r="Q629" s="10453" t="s">
        <v>6014</v>
      </c>
      <c r="R629" s="5445"/>
      <c r="S629" s="4321"/>
      <c r="T629" s="4321"/>
      <c r="U629" s="3573"/>
      <c r="V629" s="4322"/>
      <c r="W629" s="3574"/>
      <c r="X629" s="5550"/>
      <c r="Y629" s="5550"/>
      <c r="Z629" s="5550"/>
      <c r="AA629" s="5551"/>
      <c r="AB629" s="5580"/>
      <c r="AC629" s="4323"/>
      <c r="AD629" s="3683"/>
      <c r="AE629" s="5609"/>
      <c r="AF629" s="5609"/>
      <c r="AG629" s="10466"/>
    </row>
    <row r="630" spans="1:33" ht="18" customHeight="1">
      <c r="A630" s="11139"/>
      <c r="B630" s="11136"/>
      <c r="C630" s="11124"/>
      <c r="D630" s="11124"/>
      <c r="E630" s="11124"/>
      <c r="F630" s="11124"/>
      <c r="G630" s="11124"/>
      <c r="H630" s="11124"/>
      <c r="I630" s="11124"/>
      <c r="J630" s="11124"/>
      <c r="K630" s="11124"/>
      <c r="L630" s="11131"/>
      <c r="M630" s="11131"/>
      <c r="N630" s="11131"/>
      <c r="O630" s="11124"/>
      <c r="P630" s="11124"/>
      <c r="Q630" s="11127"/>
      <c r="R630" s="5446"/>
      <c r="S630" s="3579"/>
      <c r="T630" s="3579"/>
      <c r="U630" s="3578"/>
      <c r="V630" s="4315"/>
      <c r="W630" s="3579"/>
      <c r="X630" s="5552"/>
      <c r="Y630" s="5552"/>
      <c r="Z630" s="5552"/>
      <c r="AA630" s="5553"/>
      <c r="AB630" s="5581"/>
      <c r="AC630" s="4316"/>
      <c r="AD630" s="3496"/>
      <c r="AE630" s="5610"/>
      <c r="AF630" s="5610"/>
      <c r="AG630" s="11115"/>
    </row>
    <row r="631" spans="1:33" ht="18" customHeight="1">
      <c r="A631" s="11139"/>
      <c r="B631" s="11136"/>
      <c r="C631" s="11124"/>
      <c r="D631" s="11124"/>
      <c r="E631" s="11124"/>
      <c r="F631" s="11124"/>
      <c r="G631" s="11124"/>
      <c r="H631" s="11124"/>
      <c r="I631" s="11124"/>
      <c r="J631" s="11124"/>
      <c r="K631" s="11124"/>
      <c r="L631" s="11131"/>
      <c r="M631" s="11131"/>
      <c r="N631" s="11131"/>
      <c r="O631" s="11124"/>
      <c r="P631" s="11124"/>
      <c r="Q631" s="11127"/>
      <c r="R631" s="5446"/>
      <c r="S631" s="3579"/>
      <c r="T631" s="3579"/>
      <c r="U631" s="3578"/>
      <c r="V631" s="4315"/>
      <c r="W631" s="3579"/>
      <c r="X631" s="5552"/>
      <c r="Y631" s="5552"/>
      <c r="Z631" s="5552"/>
      <c r="AA631" s="5553"/>
      <c r="AB631" s="5581"/>
      <c r="AC631" s="4316"/>
      <c r="AD631" s="3496"/>
      <c r="AE631" s="5610"/>
      <c r="AF631" s="5610"/>
      <c r="AG631" s="11115"/>
    </row>
    <row r="632" spans="1:33" ht="18" customHeight="1">
      <c r="A632" s="11139"/>
      <c r="B632" s="11136"/>
      <c r="C632" s="11124"/>
      <c r="D632" s="11124"/>
      <c r="E632" s="11124"/>
      <c r="F632" s="11124"/>
      <c r="G632" s="11124"/>
      <c r="H632" s="11124"/>
      <c r="I632" s="11124"/>
      <c r="J632" s="11124"/>
      <c r="K632" s="11124"/>
      <c r="L632" s="11131"/>
      <c r="M632" s="11131"/>
      <c r="N632" s="11131"/>
      <c r="O632" s="11124"/>
      <c r="P632" s="11124"/>
      <c r="Q632" s="11127"/>
      <c r="R632" s="5447"/>
      <c r="S632" s="4325"/>
      <c r="T632" s="4325"/>
      <c r="U632" s="3578"/>
      <c r="V632" s="4315"/>
      <c r="W632" s="3579"/>
      <c r="X632" s="5552"/>
      <c r="Y632" s="5552"/>
      <c r="Z632" s="5552"/>
      <c r="AA632" s="5553"/>
      <c r="AB632" s="5581"/>
      <c r="AC632" s="4316"/>
      <c r="AD632" s="3496"/>
      <c r="AE632" s="5610"/>
      <c r="AF632" s="5610"/>
      <c r="AG632" s="11115"/>
    </row>
    <row r="633" spans="1:33" ht="18" customHeight="1">
      <c r="A633" s="11139"/>
      <c r="B633" s="11137"/>
      <c r="C633" s="11125"/>
      <c r="D633" s="11125"/>
      <c r="E633" s="11125"/>
      <c r="F633" s="11125"/>
      <c r="G633" s="11125"/>
      <c r="H633" s="11125"/>
      <c r="I633" s="11125"/>
      <c r="J633" s="11125"/>
      <c r="K633" s="11125"/>
      <c r="L633" s="11134"/>
      <c r="M633" s="11134"/>
      <c r="N633" s="11134"/>
      <c r="O633" s="11125"/>
      <c r="P633" s="11125"/>
      <c r="Q633" s="11135"/>
      <c r="R633" s="5448"/>
      <c r="S633" s="3617"/>
      <c r="T633" s="3617"/>
      <c r="U633" s="3616"/>
      <c r="V633" s="4319"/>
      <c r="W633" s="3617"/>
      <c r="X633" s="5554"/>
      <c r="Y633" s="5554"/>
      <c r="Z633" s="5554"/>
      <c r="AA633" s="5555"/>
      <c r="AB633" s="5592"/>
      <c r="AC633" s="4320"/>
      <c r="AD633" s="3714"/>
      <c r="AE633" s="5624"/>
      <c r="AF633" s="5624"/>
      <c r="AG633" s="11116"/>
    </row>
    <row r="634" spans="1:33" ht="18" customHeight="1">
      <c r="A634" s="11139"/>
      <c r="B634" s="10516" t="s">
        <v>127</v>
      </c>
      <c r="C634" s="10433" t="s">
        <v>128</v>
      </c>
      <c r="D634" s="10433" t="s">
        <v>129</v>
      </c>
      <c r="E634" s="10433" t="s">
        <v>157</v>
      </c>
      <c r="F634" s="10442" t="s">
        <v>131</v>
      </c>
      <c r="G634" s="10433" t="s">
        <v>132</v>
      </c>
      <c r="H634" s="10433" t="s">
        <v>159</v>
      </c>
      <c r="I634" s="10433" t="s">
        <v>6015</v>
      </c>
      <c r="J634" s="10433" t="s">
        <v>6016</v>
      </c>
      <c r="K634" s="10433" t="s">
        <v>5761</v>
      </c>
      <c r="L634" s="11130">
        <v>2</v>
      </c>
      <c r="M634" s="11130">
        <v>0</v>
      </c>
      <c r="N634" s="11130">
        <v>2</v>
      </c>
      <c r="O634" s="10433" t="s">
        <v>6017</v>
      </c>
      <c r="P634" s="10433" t="s">
        <v>6018</v>
      </c>
      <c r="Q634" s="10439" t="s">
        <v>6137</v>
      </c>
      <c r="R634" s="5452"/>
      <c r="S634" s="3598"/>
      <c r="T634" s="3598"/>
      <c r="U634" s="4344"/>
      <c r="V634" s="4337"/>
      <c r="W634" s="3598"/>
      <c r="X634" s="5556"/>
      <c r="Y634" s="5556"/>
      <c r="Z634" s="5556"/>
      <c r="AA634" s="5557"/>
      <c r="AB634" s="5584"/>
      <c r="AC634" s="4338"/>
      <c r="AD634" s="3709"/>
      <c r="AE634" s="5626"/>
      <c r="AF634" s="5626"/>
      <c r="AG634" s="10525"/>
    </row>
    <row r="635" spans="1:33" ht="18" customHeight="1">
      <c r="A635" s="11139"/>
      <c r="B635" s="11136"/>
      <c r="C635" s="11124"/>
      <c r="D635" s="11124"/>
      <c r="E635" s="11124"/>
      <c r="F635" s="11124"/>
      <c r="G635" s="11124"/>
      <c r="H635" s="11124"/>
      <c r="I635" s="11124"/>
      <c r="J635" s="11124"/>
      <c r="K635" s="11124"/>
      <c r="L635" s="11131"/>
      <c r="M635" s="11131"/>
      <c r="N635" s="11131"/>
      <c r="O635" s="11124"/>
      <c r="P635" s="11124"/>
      <c r="Q635" s="11127"/>
      <c r="R635" s="5446"/>
      <c r="S635" s="3579"/>
      <c r="T635" s="3579"/>
      <c r="U635" s="3578"/>
      <c r="V635" s="4315"/>
      <c r="W635" s="3579"/>
      <c r="X635" s="5552"/>
      <c r="Y635" s="5552"/>
      <c r="Z635" s="5552"/>
      <c r="AA635" s="5553"/>
      <c r="AB635" s="5581"/>
      <c r="AC635" s="4316"/>
      <c r="AD635" s="3496"/>
      <c r="AE635" s="5610"/>
      <c r="AF635" s="5610"/>
      <c r="AG635" s="11115"/>
    </row>
    <row r="636" spans="1:33" ht="18" customHeight="1">
      <c r="A636" s="11139"/>
      <c r="B636" s="11136"/>
      <c r="C636" s="11124"/>
      <c r="D636" s="11124"/>
      <c r="E636" s="11124"/>
      <c r="F636" s="11124"/>
      <c r="G636" s="11124"/>
      <c r="H636" s="11124"/>
      <c r="I636" s="11124"/>
      <c r="J636" s="11124"/>
      <c r="K636" s="11124"/>
      <c r="L636" s="11131"/>
      <c r="M636" s="11131"/>
      <c r="N636" s="11131"/>
      <c r="O636" s="11124"/>
      <c r="P636" s="11124"/>
      <c r="Q636" s="11127"/>
      <c r="R636" s="5446"/>
      <c r="S636" s="3579"/>
      <c r="T636" s="3579"/>
      <c r="U636" s="3578"/>
      <c r="V636" s="4315"/>
      <c r="W636" s="3579"/>
      <c r="X636" s="5552"/>
      <c r="Y636" s="5552"/>
      <c r="Z636" s="5552"/>
      <c r="AA636" s="5553"/>
      <c r="AB636" s="5581"/>
      <c r="AC636" s="4316"/>
      <c r="AD636" s="3496"/>
      <c r="AE636" s="5610"/>
      <c r="AF636" s="5610"/>
      <c r="AG636" s="11115"/>
    </row>
    <row r="637" spans="1:33" ht="18" customHeight="1">
      <c r="A637" s="11139"/>
      <c r="B637" s="11136"/>
      <c r="C637" s="11124"/>
      <c r="D637" s="11124"/>
      <c r="E637" s="11124"/>
      <c r="F637" s="11124"/>
      <c r="G637" s="11124"/>
      <c r="H637" s="11124"/>
      <c r="I637" s="11124"/>
      <c r="J637" s="11124"/>
      <c r="K637" s="11124"/>
      <c r="L637" s="11131"/>
      <c r="M637" s="11131"/>
      <c r="N637" s="11131"/>
      <c r="O637" s="11124"/>
      <c r="P637" s="11124"/>
      <c r="Q637" s="11127"/>
      <c r="R637" s="5446"/>
      <c r="S637" s="3579"/>
      <c r="T637" s="3579"/>
      <c r="U637" s="3578"/>
      <c r="V637" s="4315"/>
      <c r="W637" s="3579"/>
      <c r="X637" s="5552"/>
      <c r="Y637" s="5552"/>
      <c r="Z637" s="5552"/>
      <c r="AA637" s="5553"/>
      <c r="AB637" s="5581"/>
      <c r="AC637" s="4316"/>
      <c r="AD637" s="3496"/>
      <c r="AE637" s="5610"/>
      <c r="AF637" s="5610"/>
      <c r="AG637" s="11115"/>
    </row>
    <row r="638" spans="1:33" ht="18" customHeight="1">
      <c r="A638" s="11139"/>
      <c r="B638" s="11138"/>
      <c r="C638" s="11126"/>
      <c r="D638" s="11126"/>
      <c r="E638" s="11126"/>
      <c r="F638" s="11126"/>
      <c r="G638" s="11126"/>
      <c r="H638" s="11126"/>
      <c r="I638" s="11126"/>
      <c r="J638" s="11126"/>
      <c r="K638" s="11126"/>
      <c r="L638" s="11132"/>
      <c r="M638" s="11132"/>
      <c r="N638" s="11132"/>
      <c r="O638" s="11126"/>
      <c r="P638" s="11126"/>
      <c r="Q638" s="11128"/>
      <c r="R638" s="5450"/>
      <c r="S638" s="3606"/>
      <c r="T638" s="3606"/>
      <c r="U638" s="3605"/>
      <c r="V638" s="4317"/>
      <c r="W638" s="3606"/>
      <c r="X638" s="5558"/>
      <c r="Y638" s="5558"/>
      <c r="Z638" s="5558"/>
      <c r="AA638" s="5559"/>
      <c r="AB638" s="5585"/>
      <c r="AC638" s="4318"/>
      <c r="AD638" s="3545"/>
      <c r="AE638" s="5625"/>
      <c r="AF638" s="5625"/>
      <c r="AG638" s="11116"/>
    </row>
    <row r="639" spans="1:33" ht="18" customHeight="1">
      <c r="A639" s="11139"/>
      <c r="B639" s="10512" t="s">
        <v>127</v>
      </c>
      <c r="C639" s="10444" t="s">
        <v>128</v>
      </c>
      <c r="D639" s="10444" t="s">
        <v>129</v>
      </c>
      <c r="E639" s="10444" t="s">
        <v>157</v>
      </c>
      <c r="F639" s="10451" t="s">
        <v>131</v>
      </c>
      <c r="G639" s="10444" t="s">
        <v>132</v>
      </c>
      <c r="H639" s="10444" t="s">
        <v>159</v>
      </c>
      <c r="I639" s="10444" t="s">
        <v>6020</v>
      </c>
      <c r="J639" s="10444" t="s">
        <v>6021</v>
      </c>
      <c r="K639" s="10444" t="s">
        <v>6022</v>
      </c>
      <c r="L639" s="11133">
        <v>0</v>
      </c>
      <c r="M639" s="11133">
        <v>1</v>
      </c>
      <c r="N639" s="11133">
        <v>0</v>
      </c>
      <c r="O639" s="10444" t="s">
        <v>6023</v>
      </c>
      <c r="P639" s="10444" t="s">
        <v>6024</v>
      </c>
      <c r="Q639" s="10449" t="s">
        <v>6138</v>
      </c>
      <c r="R639" s="5458"/>
      <c r="S639" s="3623"/>
      <c r="T639" s="3623"/>
      <c r="U639" s="4312"/>
      <c r="V639" s="4313"/>
      <c r="W639" s="3623"/>
      <c r="X639" s="5560"/>
      <c r="Y639" s="5560"/>
      <c r="Z639" s="5560"/>
      <c r="AA639" s="5561"/>
      <c r="AB639" s="5586"/>
      <c r="AC639" s="4314"/>
      <c r="AD639" s="3658"/>
      <c r="AE639" s="5623"/>
      <c r="AF639" s="5623"/>
      <c r="AG639" s="10525"/>
    </row>
    <row r="640" spans="1:33" ht="18" customHeight="1">
      <c r="A640" s="11139"/>
      <c r="B640" s="11136"/>
      <c r="C640" s="11124"/>
      <c r="D640" s="11124"/>
      <c r="E640" s="11124"/>
      <c r="F640" s="11124"/>
      <c r="G640" s="11124"/>
      <c r="H640" s="11124"/>
      <c r="I640" s="11124"/>
      <c r="J640" s="11124"/>
      <c r="K640" s="11124"/>
      <c r="L640" s="11131"/>
      <c r="M640" s="11131"/>
      <c r="N640" s="11131"/>
      <c r="O640" s="11124"/>
      <c r="P640" s="11124"/>
      <c r="Q640" s="11127"/>
      <c r="R640" s="5446"/>
      <c r="S640" s="3579"/>
      <c r="T640" s="3579"/>
      <c r="U640" s="3578"/>
      <c r="V640" s="4315"/>
      <c r="W640" s="3579"/>
      <c r="X640" s="5552"/>
      <c r="Y640" s="5552"/>
      <c r="Z640" s="5552"/>
      <c r="AA640" s="5553"/>
      <c r="AB640" s="5581"/>
      <c r="AC640" s="4316"/>
      <c r="AD640" s="3496"/>
      <c r="AE640" s="5610"/>
      <c r="AF640" s="5610"/>
      <c r="AG640" s="11115"/>
    </row>
    <row r="641" spans="1:33" ht="18" customHeight="1">
      <c r="A641" s="11139"/>
      <c r="B641" s="11136"/>
      <c r="C641" s="11124"/>
      <c r="D641" s="11124"/>
      <c r="E641" s="11124"/>
      <c r="F641" s="11124"/>
      <c r="G641" s="11124"/>
      <c r="H641" s="11124"/>
      <c r="I641" s="11124"/>
      <c r="J641" s="11124"/>
      <c r="K641" s="11124"/>
      <c r="L641" s="11131"/>
      <c r="M641" s="11131"/>
      <c r="N641" s="11131"/>
      <c r="O641" s="11124"/>
      <c r="P641" s="11124"/>
      <c r="Q641" s="11127"/>
      <c r="R641" s="5446"/>
      <c r="S641" s="3579"/>
      <c r="T641" s="3579"/>
      <c r="U641" s="3578"/>
      <c r="V641" s="4315"/>
      <c r="W641" s="3579"/>
      <c r="X641" s="5552"/>
      <c r="Y641" s="5552"/>
      <c r="Z641" s="5552"/>
      <c r="AA641" s="5553"/>
      <c r="AB641" s="5581"/>
      <c r="AC641" s="4316"/>
      <c r="AD641" s="3496"/>
      <c r="AE641" s="5610"/>
      <c r="AF641" s="5610"/>
      <c r="AG641" s="11115"/>
    </row>
    <row r="642" spans="1:33" ht="18" customHeight="1">
      <c r="A642" s="11139"/>
      <c r="B642" s="11136"/>
      <c r="C642" s="11124"/>
      <c r="D642" s="11124"/>
      <c r="E642" s="11124"/>
      <c r="F642" s="11124"/>
      <c r="G642" s="11124"/>
      <c r="H642" s="11124"/>
      <c r="I642" s="11124"/>
      <c r="J642" s="11124"/>
      <c r="K642" s="11124"/>
      <c r="L642" s="11131"/>
      <c r="M642" s="11131"/>
      <c r="N642" s="11131"/>
      <c r="O642" s="11124"/>
      <c r="P642" s="11124"/>
      <c r="Q642" s="11127"/>
      <c r="R642" s="5446"/>
      <c r="S642" s="3579"/>
      <c r="T642" s="3579"/>
      <c r="U642" s="3578"/>
      <c r="V642" s="4315"/>
      <c r="W642" s="3579"/>
      <c r="X642" s="5552"/>
      <c r="Y642" s="5552"/>
      <c r="Z642" s="5552"/>
      <c r="AA642" s="5553"/>
      <c r="AB642" s="5581"/>
      <c r="AC642" s="4316"/>
      <c r="AD642" s="3496"/>
      <c r="AE642" s="5610"/>
      <c r="AF642" s="5610"/>
      <c r="AG642" s="11115"/>
    </row>
    <row r="643" spans="1:33" ht="18" customHeight="1">
      <c r="A643" s="11139"/>
      <c r="B643" s="11137"/>
      <c r="C643" s="11125"/>
      <c r="D643" s="11125"/>
      <c r="E643" s="11125"/>
      <c r="F643" s="11125"/>
      <c r="G643" s="11125"/>
      <c r="H643" s="11125"/>
      <c r="I643" s="11125"/>
      <c r="J643" s="11125"/>
      <c r="K643" s="11125"/>
      <c r="L643" s="11134"/>
      <c r="M643" s="11134"/>
      <c r="N643" s="11134"/>
      <c r="O643" s="11125"/>
      <c r="P643" s="11125"/>
      <c r="Q643" s="11135"/>
      <c r="R643" s="5448"/>
      <c r="S643" s="3617"/>
      <c r="T643" s="3617"/>
      <c r="U643" s="3616"/>
      <c r="V643" s="4319"/>
      <c r="W643" s="3617"/>
      <c r="X643" s="5554"/>
      <c r="Y643" s="5554"/>
      <c r="Z643" s="5554"/>
      <c r="AA643" s="5555"/>
      <c r="AB643" s="5592"/>
      <c r="AC643" s="4320"/>
      <c r="AD643" s="3714"/>
      <c r="AE643" s="5624"/>
      <c r="AF643" s="5624"/>
      <c r="AG643" s="11116"/>
    </row>
    <row r="644" spans="1:33" ht="18" customHeight="1">
      <c r="A644" s="11139"/>
      <c r="B644" s="10516" t="s">
        <v>183</v>
      </c>
      <c r="C644" s="10433" t="s">
        <v>227</v>
      </c>
      <c r="D644" s="10433" t="s">
        <v>228</v>
      </c>
      <c r="E644" s="10433" t="s">
        <v>229</v>
      </c>
      <c r="F644" s="10442" t="s">
        <v>230</v>
      </c>
      <c r="G644" s="10433" t="s">
        <v>132</v>
      </c>
      <c r="H644" s="10433" t="s">
        <v>159</v>
      </c>
      <c r="I644" s="10433" t="s">
        <v>6026</v>
      </c>
      <c r="J644" s="10433" t="s">
        <v>6027</v>
      </c>
      <c r="K644" s="10433" t="s">
        <v>6022</v>
      </c>
      <c r="L644" s="11130">
        <v>0</v>
      </c>
      <c r="M644" s="11130">
        <v>1</v>
      </c>
      <c r="N644" s="11130">
        <v>1</v>
      </c>
      <c r="O644" s="10433" t="s">
        <v>6028</v>
      </c>
      <c r="P644" s="10433" t="s">
        <v>6029</v>
      </c>
      <c r="Q644" s="10439" t="s">
        <v>6138</v>
      </c>
      <c r="R644" s="5452"/>
      <c r="S644" s="3598"/>
      <c r="T644" s="3598"/>
      <c r="U644" s="4344"/>
      <c r="V644" s="4337"/>
      <c r="W644" s="3598"/>
      <c r="X644" s="5556"/>
      <c r="Y644" s="5556"/>
      <c r="Z644" s="5556"/>
      <c r="AA644" s="5557"/>
      <c r="AB644" s="5584"/>
      <c r="AC644" s="4338"/>
      <c r="AD644" s="3709"/>
      <c r="AE644" s="5626"/>
      <c r="AF644" s="5626"/>
      <c r="AG644" s="10525"/>
    </row>
    <row r="645" spans="1:33" ht="18" customHeight="1">
      <c r="A645" s="11139"/>
      <c r="B645" s="11136"/>
      <c r="C645" s="11124"/>
      <c r="D645" s="11124"/>
      <c r="E645" s="11124"/>
      <c r="F645" s="11124"/>
      <c r="G645" s="11124"/>
      <c r="H645" s="11124"/>
      <c r="I645" s="11124"/>
      <c r="J645" s="11124"/>
      <c r="K645" s="11124"/>
      <c r="L645" s="11131"/>
      <c r="M645" s="11131"/>
      <c r="N645" s="11131"/>
      <c r="O645" s="11124"/>
      <c r="P645" s="11124"/>
      <c r="Q645" s="11127"/>
      <c r="R645" s="5446"/>
      <c r="S645" s="3579"/>
      <c r="T645" s="3579"/>
      <c r="U645" s="3578"/>
      <c r="V645" s="4315"/>
      <c r="W645" s="3579"/>
      <c r="X645" s="5552"/>
      <c r="Y645" s="5552"/>
      <c r="Z645" s="5552"/>
      <c r="AA645" s="5553"/>
      <c r="AB645" s="5581"/>
      <c r="AC645" s="4316"/>
      <c r="AD645" s="3496"/>
      <c r="AE645" s="5610"/>
      <c r="AF645" s="5610"/>
      <c r="AG645" s="11115"/>
    </row>
    <row r="646" spans="1:33" ht="18" customHeight="1">
      <c r="A646" s="11139"/>
      <c r="B646" s="11136"/>
      <c r="C646" s="11124"/>
      <c r="D646" s="11124"/>
      <c r="E646" s="11124"/>
      <c r="F646" s="11124"/>
      <c r="G646" s="11124"/>
      <c r="H646" s="11124"/>
      <c r="I646" s="11124"/>
      <c r="J646" s="11124"/>
      <c r="K646" s="11124"/>
      <c r="L646" s="11131"/>
      <c r="M646" s="11131"/>
      <c r="N646" s="11131"/>
      <c r="O646" s="11124"/>
      <c r="P646" s="11124"/>
      <c r="Q646" s="11127"/>
      <c r="R646" s="5446"/>
      <c r="S646" s="3579"/>
      <c r="T646" s="3579"/>
      <c r="U646" s="3578"/>
      <c r="V646" s="4315"/>
      <c r="W646" s="3579"/>
      <c r="X646" s="5552"/>
      <c r="Y646" s="5552"/>
      <c r="Z646" s="5552"/>
      <c r="AA646" s="5553"/>
      <c r="AB646" s="5581"/>
      <c r="AC646" s="4316"/>
      <c r="AD646" s="3496"/>
      <c r="AE646" s="5610"/>
      <c r="AF646" s="5610"/>
      <c r="AG646" s="11115"/>
    </row>
    <row r="647" spans="1:33" ht="18" customHeight="1">
      <c r="A647" s="11139"/>
      <c r="B647" s="11136"/>
      <c r="C647" s="11124"/>
      <c r="D647" s="11124"/>
      <c r="E647" s="11124"/>
      <c r="F647" s="11124"/>
      <c r="G647" s="11124"/>
      <c r="H647" s="11124"/>
      <c r="I647" s="11124"/>
      <c r="J647" s="11124"/>
      <c r="K647" s="11124"/>
      <c r="L647" s="11131"/>
      <c r="M647" s="11131"/>
      <c r="N647" s="11131"/>
      <c r="O647" s="11124"/>
      <c r="P647" s="11124"/>
      <c r="Q647" s="11127"/>
      <c r="R647" s="5446"/>
      <c r="S647" s="3579"/>
      <c r="T647" s="3579"/>
      <c r="U647" s="3578"/>
      <c r="V647" s="4315"/>
      <c r="W647" s="3579"/>
      <c r="X647" s="5552"/>
      <c r="Y647" s="5552"/>
      <c r="Z647" s="5552"/>
      <c r="AA647" s="5553"/>
      <c r="AB647" s="5581"/>
      <c r="AC647" s="4316"/>
      <c r="AD647" s="3496"/>
      <c r="AE647" s="5610"/>
      <c r="AF647" s="5610"/>
      <c r="AG647" s="11115"/>
    </row>
    <row r="648" spans="1:33" ht="18" customHeight="1">
      <c r="A648" s="11139"/>
      <c r="B648" s="11138"/>
      <c r="C648" s="11126"/>
      <c r="D648" s="11126"/>
      <c r="E648" s="11126"/>
      <c r="F648" s="11126"/>
      <c r="G648" s="11126"/>
      <c r="H648" s="11126"/>
      <c r="I648" s="11126"/>
      <c r="J648" s="11126"/>
      <c r="K648" s="11126"/>
      <c r="L648" s="11132"/>
      <c r="M648" s="11132"/>
      <c r="N648" s="11132"/>
      <c r="O648" s="11126"/>
      <c r="P648" s="11126"/>
      <c r="Q648" s="11128"/>
      <c r="R648" s="5450"/>
      <c r="S648" s="3606"/>
      <c r="T648" s="3606"/>
      <c r="U648" s="3605"/>
      <c r="V648" s="4317"/>
      <c r="W648" s="3606"/>
      <c r="X648" s="5558"/>
      <c r="Y648" s="5558"/>
      <c r="Z648" s="5558"/>
      <c r="AA648" s="5559"/>
      <c r="AB648" s="5585"/>
      <c r="AC648" s="4318"/>
      <c r="AD648" s="3545"/>
      <c r="AE648" s="5625"/>
      <c r="AF648" s="5625"/>
      <c r="AG648" s="11116"/>
    </row>
    <row r="649" spans="1:33" ht="18" customHeight="1">
      <c r="A649" s="11139"/>
      <c r="B649" s="10512" t="s">
        <v>183</v>
      </c>
      <c r="C649" s="10444" t="s">
        <v>227</v>
      </c>
      <c r="D649" s="10444" t="s">
        <v>185</v>
      </c>
      <c r="E649" s="10444" t="s">
        <v>1938</v>
      </c>
      <c r="F649" s="10451" t="s">
        <v>230</v>
      </c>
      <c r="G649" s="10444" t="s">
        <v>171</v>
      </c>
      <c r="H649" s="10444" t="s">
        <v>133</v>
      </c>
      <c r="I649" s="10444" t="s">
        <v>6030</v>
      </c>
      <c r="J649" s="10444" t="s">
        <v>6031</v>
      </c>
      <c r="K649" s="10444" t="s">
        <v>5900</v>
      </c>
      <c r="L649" s="11133">
        <v>1</v>
      </c>
      <c r="M649" s="11133">
        <v>0</v>
      </c>
      <c r="N649" s="11133">
        <v>1</v>
      </c>
      <c r="O649" s="10444" t="s">
        <v>6032</v>
      </c>
      <c r="P649" s="10444" t="s">
        <v>5902</v>
      </c>
      <c r="Q649" s="10449" t="s">
        <v>6139</v>
      </c>
      <c r="R649" s="5458"/>
      <c r="S649" s="3623"/>
      <c r="T649" s="3623"/>
      <c r="U649" s="4312"/>
      <c r="V649" s="4313"/>
      <c r="W649" s="3623"/>
      <c r="X649" s="5560"/>
      <c r="Y649" s="5560"/>
      <c r="Z649" s="5560"/>
      <c r="AA649" s="5561"/>
      <c r="AB649" s="5586"/>
      <c r="AC649" s="4314"/>
      <c r="AD649" s="3658"/>
      <c r="AE649" s="5623"/>
      <c r="AF649" s="5623"/>
      <c r="AG649" s="10525"/>
    </row>
    <row r="650" spans="1:33" ht="18" customHeight="1">
      <c r="A650" s="11139"/>
      <c r="B650" s="11136"/>
      <c r="C650" s="11124"/>
      <c r="D650" s="11124"/>
      <c r="E650" s="11124"/>
      <c r="F650" s="11124"/>
      <c r="G650" s="11124"/>
      <c r="H650" s="11124"/>
      <c r="I650" s="11124"/>
      <c r="J650" s="11124"/>
      <c r="K650" s="11124"/>
      <c r="L650" s="11131"/>
      <c r="M650" s="11131"/>
      <c r="N650" s="11131"/>
      <c r="O650" s="11124"/>
      <c r="P650" s="11124"/>
      <c r="Q650" s="11127"/>
      <c r="R650" s="5446"/>
      <c r="S650" s="3579"/>
      <c r="T650" s="3579"/>
      <c r="U650" s="3578"/>
      <c r="V650" s="4315"/>
      <c r="W650" s="3579"/>
      <c r="X650" s="5552"/>
      <c r="Y650" s="5552"/>
      <c r="Z650" s="5552"/>
      <c r="AA650" s="5553"/>
      <c r="AB650" s="5581"/>
      <c r="AC650" s="4316"/>
      <c r="AD650" s="3496"/>
      <c r="AE650" s="5610"/>
      <c r="AF650" s="5610"/>
      <c r="AG650" s="11115"/>
    </row>
    <row r="651" spans="1:33" ht="18" customHeight="1">
      <c r="A651" s="11139"/>
      <c r="B651" s="11136"/>
      <c r="C651" s="11124"/>
      <c r="D651" s="11124"/>
      <c r="E651" s="11124"/>
      <c r="F651" s="11124"/>
      <c r="G651" s="11124"/>
      <c r="H651" s="11124"/>
      <c r="I651" s="11124"/>
      <c r="J651" s="11124"/>
      <c r="K651" s="11124"/>
      <c r="L651" s="11131"/>
      <c r="M651" s="11131"/>
      <c r="N651" s="11131"/>
      <c r="O651" s="11124"/>
      <c r="P651" s="11124"/>
      <c r="Q651" s="11127"/>
      <c r="R651" s="5446"/>
      <c r="S651" s="3579"/>
      <c r="T651" s="3579"/>
      <c r="U651" s="3578"/>
      <c r="V651" s="4315"/>
      <c r="W651" s="3579"/>
      <c r="X651" s="5552"/>
      <c r="Y651" s="5552"/>
      <c r="Z651" s="5552"/>
      <c r="AA651" s="5553"/>
      <c r="AB651" s="5581"/>
      <c r="AC651" s="4316"/>
      <c r="AD651" s="3496"/>
      <c r="AE651" s="5610"/>
      <c r="AF651" s="5610"/>
      <c r="AG651" s="11115"/>
    </row>
    <row r="652" spans="1:33" ht="18" customHeight="1">
      <c r="A652" s="11139"/>
      <c r="B652" s="11136"/>
      <c r="C652" s="11124"/>
      <c r="D652" s="11124"/>
      <c r="E652" s="11124"/>
      <c r="F652" s="11124"/>
      <c r="G652" s="11124"/>
      <c r="H652" s="11124"/>
      <c r="I652" s="11124"/>
      <c r="J652" s="11124"/>
      <c r="K652" s="11124"/>
      <c r="L652" s="11131"/>
      <c r="M652" s="11131"/>
      <c r="N652" s="11131"/>
      <c r="O652" s="11124"/>
      <c r="P652" s="11124"/>
      <c r="Q652" s="11127"/>
      <c r="R652" s="5446"/>
      <c r="S652" s="3579"/>
      <c r="T652" s="3579"/>
      <c r="U652" s="3578"/>
      <c r="V652" s="4315"/>
      <c r="W652" s="3579"/>
      <c r="X652" s="5552"/>
      <c r="Y652" s="5552"/>
      <c r="Z652" s="5552"/>
      <c r="AA652" s="5553"/>
      <c r="AB652" s="5581"/>
      <c r="AC652" s="4316"/>
      <c r="AD652" s="3496"/>
      <c r="AE652" s="5610"/>
      <c r="AF652" s="5610"/>
      <c r="AG652" s="11115"/>
    </row>
    <row r="653" spans="1:33" ht="18" customHeight="1">
      <c r="A653" s="11139"/>
      <c r="B653" s="11137"/>
      <c r="C653" s="11125"/>
      <c r="D653" s="11125"/>
      <c r="E653" s="11125"/>
      <c r="F653" s="11125"/>
      <c r="G653" s="11125"/>
      <c r="H653" s="11125"/>
      <c r="I653" s="11125"/>
      <c r="J653" s="11125"/>
      <c r="K653" s="11125"/>
      <c r="L653" s="11134"/>
      <c r="M653" s="11134"/>
      <c r="N653" s="11134"/>
      <c r="O653" s="11125"/>
      <c r="P653" s="11125"/>
      <c r="Q653" s="11135"/>
      <c r="R653" s="5448"/>
      <c r="S653" s="3617"/>
      <c r="T653" s="3617"/>
      <c r="U653" s="3616"/>
      <c r="V653" s="4319"/>
      <c r="W653" s="3617"/>
      <c r="X653" s="5554"/>
      <c r="Y653" s="5554"/>
      <c r="Z653" s="5554"/>
      <c r="AA653" s="5555"/>
      <c r="AB653" s="5592"/>
      <c r="AC653" s="4320"/>
      <c r="AD653" s="3714"/>
      <c r="AE653" s="5624"/>
      <c r="AF653" s="5624"/>
      <c r="AG653" s="11116"/>
    </row>
    <row r="654" spans="1:33" ht="18" customHeight="1">
      <c r="A654" s="11139"/>
      <c r="B654" s="10516" t="s">
        <v>127</v>
      </c>
      <c r="C654" s="10433" t="s">
        <v>128</v>
      </c>
      <c r="D654" s="10433" t="s">
        <v>129</v>
      </c>
      <c r="E654" s="10433" t="s">
        <v>157</v>
      </c>
      <c r="F654" s="10442" t="s">
        <v>131</v>
      </c>
      <c r="G654" s="10433" t="s">
        <v>132</v>
      </c>
      <c r="H654" s="10433" t="s">
        <v>159</v>
      </c>
      <c r="I654" s="10433" t="s">
        <v>6034</v>
      </c>
      <c r="J654" s="10433" t="s">
        <v>6035</v>
      </c>
      <c r="K654" s="10433" t="s">
        <v>6036</v>
      </c>
      <c r="L654" s="11130">
        <v>1</v>
      </c>
      <c r="M654" s="11130">
        <v>2</v>
      </c>
      <c r="N654" s="11130">
        <v>2</v>
      </c>
      <c r="O654" s="10433" t="s">
        <v>6037</v>
      </c>
      <c r="P654" s="10433" t="s">
        <v>6038</v>
      </c>
      <c r="Q654" s="10439" t="s">
        <v>6138</v>
      </c>
      <c r="R654" s="5452"/>
      <c r="S654" s="3598"/>
      <c r="T654" s="3598"/>
      <c r="U654" s="4344"/>
      <c r="V654" s="4337"/>
      <c r="W654" s="3598"/>
      <c r="X654" s="5556"/>
      <c r="Y654" s="5556"/>
      <c r="Z654" s="5556"/>
      <c r="AA654" s="5557"/>
      <c r="AB654" s="5584"/>
      <c r="AC654" s="4338"/>
      <c r="AD654" s="3709"/>
      <c r="AE654" s="5626"/>
      <c r="AF654" s="5626"/>
      <c r="AG654" s="10525"/>
    </row>
    <row r="655" spans="1:33" ht="18" customHeight="1">
      <c r="A655" s="11139"/>
      <c r="B655" s="11136"/>
      <c r="C655" s="11124"/>
      <c r="D655" s="11124"/>
      <c r="E655" s="11124"/>
      <c r="F655" s="11124"/>
      <c r="G655" s="11124"/>
      <c r="H655" s="11124"/>
      <c r="I655" s="11124"/>
      <c r="J655" s="11124"/>
      <c r="K655" s="11124"/>
      <c r="L655" s="11131"/>
      <c r="M655" s="11131"/>
      <c r="N655" s="11131"/>
      <c r="O655" s="11124"/>
      <c r="P655" s="11124"/>
      <c r="Q655" s="11127"/>
      <c r="R655" s="5446"/>
      <c r="S655" s="3579"/>
      <c r="T655" s="3579"/>
      <c r="U655" s="3578"/>
      <c r="V655" s="4315"/>
      <c r="W655" s="3579"/>
      <c r="X655" s="5552"/>
      <c r="Y655" s="5552"/>
      <c r="Z655" s="5552"/>
      <c r="AA655" s="5553"/>
      <c r="AB655" s="5581"/>
      <c r="AC655" s="4316"/>
      <c r="AD655" s="3496"/>
      <c r="AE655" s="5610"/>
      <c r="AF655" s="5610"/>
      <c r="AG655" s="11115"/>
    </row>
    <row r="656" spans="1:33" ht="18" customHeight="1">
      <c r="A656" s="11139"/>
      <c r="B656" s="11136"/>
      <c r="C656" s="11124"/>
      <c r="D656" s="11124"/>
      <c r="E656" s="11124"/>
      <c r="F656" s="11124"/>
      <c r="G656" s="11124"/>
      <c r="H656" s="11124"/>
      <c r="I656" s="11124"/>
      <c r="J656" s="11124"/>
      <c r="K656" s="11124"/>
      <c r="L656" s="11131"/>
      <c r="M656" s="11131"/>
      <c r="N656" s="11131"/>
      <c r="O656" s="11124"/>
      <c r="P656" s="11124"/>
      <c r="Q656" s="11127"/>
      <c r="R656" s="5446"/>
      <c r="S656" s="3579"/>
      <c r="T656" s="3579"/>
      <c r="U656" s="3578"/>
      <c r="V656" s="4315"/>
      <c r="W656" s="3579"/>
      <c r="X656" s="5552"/>
      <c r="Y656" s="5552"/>
      <c r="Z656" s="5552"/>
      <c r="AA656" s="5553"/>
      <c r="AB656" s="5581"/>
      <c r="AC656" s="4316"/>
      <c r="AD656" s="3496"/>
      <c r="AE656" s="5610"/>
      <c r="AF656" s="5610"/>
      <c r="AG656" s="11115"/>
    </row>
    <row r="657" spans="1:33" ht="18" customHeight="1">
      <c r="A657" s="11139"/>
      <c r="B657" s="11136"/>
      <c r="C657" s="11124"/>
      <c r="D657" s="11124"/>
      <c r="E657" s="11124"/>
      <c r="F657" s="11124"/>
      <c r="G657" s="11124"/>
      <c r="H657" s="11124"/>
      <c r="I657" s="11124"/>
      <c r="J657" s="11124"/>
      <c r="K657" s="11124"/>
      <c r="L657" s="11131"/>
      <c r="M657" s="11131"/>
      <c r="N657" s="11131"/>
      <c r="O657" s="11124"/>
      <c r="P657" s="11124"/>
      <c r="Q657" s="11127"/>
      <c r="R657" s="5446"/>
      <c r="S657" s="3579"/>
      <c r="T657" s="3579"/>
      <c r="U657" s="3578"/>
      <c r="V657" s="4315"/>
      <c r="W657" s="3579"/>
      <c r="X657" s="5552"/>
      <c r="Y657" s="5552"/>
      <c r="Z657" s="5552"/>
      <c r="AA657" s="5553"/>
      <c r="AB657" s="5581"/>
      <c r="AC657" s="4316"/>
      <c r="AD657" s="3496"/>
      <c r="AE657" s="5610"/>
      <c r="AF657" s="5610"/>
      <c r="AG657" s="11115"/>
    </row>
    <row r="658" spans="1:33" ht="18" customHeight="1">
      <c r="A658" s="11139"/>
      <c r="B658" s="11138"/>
      <c r="C658" s="11126"/>
      <c r="D658" s="11126"/>
      <c r="E658" s="11126"/>
      <c r="F658" s="11126"/>
      <c r="G658" s="11126"/>
      <c r="H658" s="11126"/>
      <c r="I658" s="11126"/>
      <c r="J658" s="11126"/>
      <c r="K658" s="11126"/>
      <c r="L658" s="11132"/>
      <c r="M658" s="11132"/>
      <c r="N658" s="11132"/>
      <c r="O658" s="11126"/>
      <c r="P658" s="11126"/>
      <c r="Q658" s="11128"/>
      <c r="R658" s="5450"/>
      <c r="S658" s="3606"/>
      <c r="T658" s="3606"/>
      <c r="U658" s="3605"/>
      <c r="V658" s="4317"/>
      <c r="W658" s="3606"/>
      <c r="X658" s="5558"/>
      <c r="Y658" s="5558"/>
      <c r="Z658" s="5558"/>
      <c r="AA658" s="5559"/>
      <c r="AB658" s="5585"/>
      <c r="AC658" s="4318"/>
      <c r="AD658" s="3545"/>
      <c r="AE658" s="5625"/>
      <c r="AF658" s="5625"/>
      <c r="AG658" s="11116"/>
    </row>
    <row r="659" spans="1:33" ht="18" customHeight="1">
      <c r="A659" s="11139"/>
      <c r="B659" s="10512" t="s">
        <v>183</v>
      </c>
      <c r="C659" s="10444" t="s">
        <v>227</v>
      </c>
      <c r="D659" s="10444" t="s">
        <v>228</v>
      </c>
      <c r="E659" s="10444" t="s">
        <v>229</v>
      </c>
      <c r="F659" s="10451" t="s">
        <v>230</v>
      </c>
      <c r="G659" s="10444" t="s">
        <v>132</v>
      </c>
      <c r="H659" s="10444" t="s">
        <v>159</v>
      </c>
      <c r="I659" s="10444" t="s">
        <v>6039</v>
      </c>
      <c r="J659" s="10444" t="s">
        <v>6040</v>
      </c>
      <c r="K659" s="10444" t="s">
        <v>6022</v>
      </c>
      <c r="L659" s="11133">
        <v>0</v>
      </c>
      <c r="M659" s="11133">
        <v>1</v>
      </c>
      <c r="N659" s="11133">
        <v>0</v>
      </c>
      <c r="O659" s="10444" t="s">
        <v>6041</v>
      </c>
      <c r="P659" s="10444" t="s">
        <v>6042</v>
      </c>
      <c r="Q659" s="10449" t="s">
        <v>6138</v>
      </c>
      <c r="R659" s="5458"/>
      <c r="S659" s="3623"/>
      <c r="T659" s="3623"/>
      <c r="U659" s="4312"/>
      <c r="V659" s="4313"/>
      <c r="W659" s="3623"/>
      <c r="X659" s="5560"/>
      <c r="Y659" s="5560"/>
      <c r="Z659" s="5560"/>
      <c r="AA659" s="5561"/>
      <c r="AB659" s="5586"/>
      <c r="AC659" s="4314"/>
      <c r="AD659" s="3658"/>
      <c r="AE659" s="5623"/>
      <c r="AF659" s="5623"/>
      <c r="AG659" s="10525"/>
    </row>
    <row r="660" spans="1:33" ht="18" customHeight="1">
      <c r="A660" s="11139"/>
      <c r="B660" s="11136"/>
      <c r="C660" s="11124"/>
      <c r="D660" s="11124"/>
      <c r="E660" s="11124"/>
      <c r="F660" s="11124"/>
      <c r="G660" s="11124"/>
      <c r="H660" s="11124"/>
      <c r="I660" s="11124"/>
      <c r="J660" s="11124"/>
      <c r="K660" s="11124"/>
      <c r="L660" s="11131"/>
      <c r="M660" s="11131"/>
      <c r="N660" s="11131"/>
      <c r="O660" s="11124"/>
      <c r="P660" s="11124"/>
      <c r="Q660" s="11127"/>
      <c r="R660" s="5446"/>
      <c r="S660" s="3579"/>
      <c r="T660" s="3579"/>
      <c r="U660" s="3578"/>
      <c r="V660" s="4315"/>
      <c r="W660" s="3579"/>
      <c r="X660" s="5552"/>
      <c r="Y660" s="5552"/>
      <c r="Z660" s="5552"/>
      <c r="AA660" s="5553"/>
      <c r="AB660" s="5581"/>
      <c r="AC660" s="4316"/>
      <c r="AD660" s="3496"/>
      <c r="AE660" s="5610"/>
      <c r="AF660" s="5610"/>
      <c r="AG660" s="11115"/>
    </row>
    <row r="661" spans="1:33" ht="18" customHeight="1">
      <c r="A661" s="11139"/>
      <c r="B661" s="11136"/>
      <c r="C661" s="11124"/>
      <c r="D661" s="11124"/>
      <c r="E661" s="11124"/>
      <c r="F661" s="11124"/>
      <c r="G661" s="11124"/>
      <c r="H661" s="11124"/>
      <c r="I661" s="11124"/>
      <c r="J661" s="11124"/>
      <c r="K661" s="11124"/>
      <c r="L661" s="11131"/>
      <c r="M661" s="11131"/>
      <c r="N661" s="11131"/>
      <c r="O661" s="11124"/>
      <c r="P661" s="11124"/>
      <c r="Q661" s="11127"/>
      <c r="R661" s="5446"/>
      <c r="S661" s="3579"/>
      <c r="T661" s="3579"/>
      <c r="U661" s="3578"/>
      <c r="V661" s="4315"/>
      <c r="W661" s="3579"/>
      <c r="X661" s="5552"/>
      <c r="Y661" s="5552"/>
      <c r="Z661" s="5552"/>
      <c r="AA661" s="5553"/>
      <c r="AB661" s="5581"/>
      <c r="AC661" s="4316"/>
      <c r="AD661" s="3496"/>
      <c r="AE661" s="5610"/>
      <c r="AF661" s="5610"/>
      <c r="AG661" s="11115"/>
    </row>
    <row r="662" spans="1:33" ht="18" customHeight="1">
      <c r="A662" s="11139"/>
      <c r="B662" s="11136"/>
      <c r="C662" s="11124"/>
      <c r="D662" s="11124"/>
      <c r="E662" s="11124"/>
      <c r="F662" s="11124"/>
      <c r="G662" s="11124"/>
      <c r="H662" s="11124"/>
      <c r="I662" s="11124"/>
      <c r="J662" s="11124"/>
      <c r="K662" s="11124"/>
      <c r="L662" s="11131"/>
      <c r="M662" s="11131"/>
      <c r="N662" s="11131"/>
      <c r="O662" s="11124"/>
      <c r="P662" s="11124"/>
      <c r="Q662" s="11127"/>
      <c r="R662" s="5446"/>
      <c r="S662" s="3579"/>
      <c r="T662" s="3579"/>
      <c r="U662" s="3578"/>
      <c r="V662" s="4315"/>
      <c r="W662" s="3579"/>
      <c r="X662" s="5552"/>
      <c r="Y662" s="5552"/>
      <c r="Z662" s="5552"/>
      <c r="AA662" s="5553"/>
      <c r="AB662" s="5581"/>
      <c r="AC662" s="4316"/>
      <c r="AD662" s="3496"/>
      <c r="AE662" s="5610"/>
      <c r="AF662" s="5610"/>
      <c r="AG662" s="11115"/>
    </row>
    <row r="663" spans="1:33" ht="18" customHeight="1">
      <c r="A663" s="11139"/>
      <c r="B663" s="11137"/>
      <c r="C663" s="11125"/>
      <c r="D663" s="11125"/>
      <c r="E663" s="11125"/>
      <c r="F663" s="11125"/>
      <c r="G663" s="11125"/>
      <c r="H663" s="11125"/>
      <c r="I663" s="11125"/>
      <c r="J663" s="11125"/>
      <c r="K663" s="11125"/>
      <c r="L663" s="11134"/>
      <c r="M663" s="11134"/>
      <c r="N663" s="11134"/>
      <c r="O663" s="11125"/>
      <c r="P663" s="11125"/>
      <c r="Q663" s="11135"/>
      <c r="R663" s="5448"/>
      <c r="S663" s="3617"/>
      <c r="T663" s="3617"/>
      <c r="U663" s="3616"/>
      <c r="V663" s="4319"/>
      <c r="W663" s="3617"/>
      <c r="X663" s="5554"/>
      <c r="Y663" s="5554"/>
      <c r="Z663" s="5554"/>
      <c r="AA663" s="5555"/>
      <c r="AB663" s="5592"/>
      <c r="AC663" s="4320"/>
      <c r="AD663" s="3714"/>
      <c r="AE663" s="5624"/>
      <c r="AF663" s="5624"/>
      <c r="AG663" s="11116"/>
    </row>
    <row r="664" spans="1:33" ht="18" customHeight="1">
      <c r="A664" s="11139"/>
      <c r="B664" s="10516" t="s">
        <v>183</v>
      </c>
      <c r="C664" s="10433" t="s">
        <v>227</v>
      </c>
      <c r="D664" s="10433" t="s">
        <v>228</v>
      </c>
      <c r="E664" s="10433" t="s">
        <v>229</v>
      </c>
      <c r="F664" s="10442" t="s">
        <v>230</v>
      </c>
      <c r="G664" s="10433" t="s">
        <v>132</v>
      </c>
      <c r="H664" s="10433" t="s">
        <v>159</v>
      </c>
      <c r="I664" s="10433" t="s">
        <v>6043</v>
      </c>
      <c r="J664" s="10433" t="s">
        <v>6044</v>
      </c>
      <c r="K664" s="10433" t="s">
        <v>5882</v>
      </c>
      <c r="L664" s="11130">
        <v>2</v>
      </c>
      <c r="M664" s="11130">
        <v>0</v>
      </c>
      <c r="N664" s="11130">
        <v>2</v>
      </c>
      <c r="O664" s="10433" t="s">
        <v>6045</v>
      </c>
      <c r="P664" s="10433" t="s">
        <v>6046</v>
      </c>
      <c r="Q664" s="10439" t="s">
        <v>6138</v>
      </c>
      <c r="R664" s="5452"/>
      <c r="S664" s="3598"/>
      <c r="T664" s="3598"/>
      <c r="U664" s="4344"/>
      <c r="V664" s="4337"/>
      <c r="W664" s="3598"/>
      <c r="X664" s="5556"/>
      <c r="Y664" s="5556"/>
      <c r="Z664" s="5556"/>
      <c r="AA664" s="5557"/>
      <c r="AB664" s="5584"/>
      <c r="AC664" s="4338"/>
      <c r="AD664" s="3709"/>
      <c r="AE664" s="5626"/>
      <c r="AF664" s="5626"/>
      <c r="AG664" s="10525"/>
    </row>
    <row r="665" spans="1:33" ht="18" customHeight="1">
      <c r="A665" s="11139"/>
      <c r="B665" s="11136"/>
      <c r="C665" s="11124"/>
      <c r="D665" s="11124"/>
      <c r="E665" s="11124"/>
      <c r="F665" s="11124"/>
      <c r="G665" s="11124"/>
      <c r="H665" s="11124"/>
      <c r="I665" s="11124"/>
      <c r="J665" s="11124"/>
      <c r="K665" s="11124"/>
      <c r="L665" s="11131"/>
      <c r="M665" s="11131"/>
      <c r="N665" s="11131"/>
      <c r="O665" s="11124"/>
      <c r="P665" s="11124"/>
      <c r="Q665" s="11127"/>
      <c r="R665" s="5446"/>
      <c r="S665" s="3579"/>
      <c r="T665" s="3579"/>
      <c r="U665" s="3578"/>
      <c r="V665" s="4315"/>
      <c r="W665" s="3579"/>
      <c r="X665" s="5552"/>
      <c r="Y665" s="5552"/>
      <c r="Z665" s="5552"/>
      <c r="AA665" s="5553"/>
      <c r="AB665" s="5581"/>
      <c r="AC665" s="4316"/>
      <c r="AD665" s="3496"/>
      <c r="AE665" s="5610"/>
      <c r="AF665" s="5610"/>
      <c r="AG665" s="11115"/>
    </row>
    <row r="666" spans="1:33" ht="18" customHeight="1">
      <c r="A666" s="11139"/>
      <c r="B666" s="11136"/>
      <c r="C666" s="11124"/>
      <c r="D666" s="11124"/>
      <c r="E666" s="11124"/>
      <c r="F666" s="11124"/>
      <c r="G666" s="11124"/>
      <c r="H666" s="11124"/>
      <c r="I666" s="11124"/>
      <c r="J666" s="11124"/>
      <c r="K666" s="11124"/>
      <c r="L666" s="11131"/>
      <c r="M666" s="11131"/>
      <c r="N666" s="11131"/>
      <c r="O666" s="11124"/>
      <c r="P666" s="11124"/>
      <c r="Q666" s="11127"/>
      <c r="R666" s="5446"/>
      <c r="S666" s="3579"/>
      <c r="T666" s="3579"/>
      <c r="U666" s="3578"/>
      <c r="V666" s="4315"/>
      <c r="W666" s="3579"/>
      <c r="X666" s="5552"/>
      <c r="Y666" s="5552"/>
      <c r="Z666" s="5552"/>
      <c r="AA666" s="5553"/>
      <c r="AB666" s="5581"/>
      <c r="AC666" s="4316"/>
      <c r="AD666" s="3496"/>
      <c r="AE666" s="5610"/>
      <c r="AF666" s="5610"/>
      <c r="AG666" s="11115"/>
    </row>
    <row r="667" spans="1:33" ht="18" customHeight="1">
      <c r="A667" s="11139"/>
      <c r="B667" s="11136"/>
      <c r="C667" s="11124"/>
      <c r="D667" s="11124"/>
      <c r="E667" s="11124"/>
      <c r="F667" s="11124"/>
      <c r="G667" s="11124"/>
      <c r="H667" s="11124"/>
      <c r="I667" s="11124"/>
      <c r="J667" s="11124"/>
      <c r="K667" s="11124"/>
      <c r="L667" s="11131"/>
      <c r="M667" s="11131"/>
      <c r="N667" s="11131"/>
      <c r="O667" s="11124"/>
      <c r="P667" s="11124"/>
      <c r="Q667" s="11127"/>
      <c r="R667" s="5446"/>
      <c r="S667" s="3579"/>
      <c r="T667" s="3579"/>
      <c r="U667" s="3578"/>
      <c r="V667" s="4315"/>
      <c r="W667" s="3579"/>
      <c r="X667" s="5552"/>
      <c r="Y667" s="5552"/>
      <c r="Z667" s="5552"/>
      <c r="AA667" s="5553"/>
      <c r="AB667" s="5581"/>
      <c r="AC667" s="4316"/>
      <c r="AD667" s="3496"/>
      <c r="AE667" s="5610"/>
      <c r="AF667" s="5610"/>
      <c r="AG667" s="11115"/>
    </row>
    <row r="668" spans="1:33" ht="18" customHeight="1">
      <c r="A668" s="11139"/>
      <c r="B668" s="11138"/>
      <c r="C668" s="11126"/>
      <c r="D668" s="11126"/>
      <c r="E668" s="11126"/>
      <c r="F668" s="11126"/>
      <c r="G668" s="11126"/>
      <c r="H668" s="11126"/>
      <c r="I668" s="11126"/>
      <c r="J668" s="11126"/>
      <c r="K668" s="11126"/>
      <c r="L668" s="11132"/>
      <c r="M668" s="11132"/>
      <c r="N668" s="11132"/>
      <c r="O668" s="11126"/>
      <c r="P668" s="11126"/>
      <c r="Q668" s="11128"/>
      <c r="R668" s="5450"/>
      <c r="S668" s="3606"/>
      <c r="T668" s="3606"/>
      <c r="U668" s="3605"/>
      <c r="V668" s="4317"/>
      <c r="W668" s="3606"/>
      <c r="X668" s="5558"/>
      <c r="Y668" s="5558"/>
      <c r="Z668" s="5558"/>
      <c r="AA668" s="5559"/>
      <c r="AB668" s="5585"/>
      <c r="AC668" s="4318"/>
      <c r="AD668" s="3545"/>
      <c r="AE668" s="5625"/>
      <c r="AF668" s="5625"/>
      <c r="AG668" s="11116"/>
    </row>
    <row r="669" spans="1:33" ht="18" customHeight="1">
      <c r="A669" s="11139"/>
      <c r="B669" s="10512" t="s">
        <v>183</v>
      </c>
      <c r="C669" s="10444" t="s">
        <v>227</v>
      </c>
      <c r="D669" s="10444" t="s">
        <v>228</v>
      </c>
      <c r="E669" s="10444" t="s">
        <v>229</v>
      </c>
      <c r="F669" s="10451" t="s">
        <v>230</v>
      </c>
      <c r="G669" s="10444" t="s">
        <v>132</v>
      </c>
      <c r="H669" s="10444" t="s">
        <v>159</v>
      </c>
      <c r="I669" s="10444" t="s">
        <v>6047</v>
      </c>
      <c r="J669" s="10444" t="s">
        <v>6048</v>
      </c>
      <c r="K669" s="10444" t="s">
        <v>6049</v>
      </c>
      <c r="L669" s="11133">
        <v>4</v>
      </c>
      <c r="M669" s="11133">
        <v>4</v>
      </c>
      <c r="N669" s="11133">
        <v>4</v>
      </c>
      <c r="O669" s="10444" t="s">
        <v>6050</v>
      </c>
      <c r="P669" s="10444" t="s">
        <v>6051</v>
      </c>
      <c r="Q669" s="10449" t="s">
        <v>6140</v>
      </c>
      <c r="R669" s="5458"/>
      <c r="S669" s="3623"/>
      <c r="T669" s="3623"/>
      <c r="U669" s="4312"/>
      <c r="V669" s="4313"/>
      <c r="W669" s="3623"/>
      <c r="X669" s="5560"/>
      <c r="Y669" s="5560"/>
      <c r="Z669" s="5560"/>
      <c r="AA669" s="5561"/>
      <c r="AB669" s="5586"/>
      <c r="AC669" s="4314"/>
      <c r="AD669" s="3658"/>
      <c r="AE669" s="5623"/>
      <c r="AF669" s="5623"/>
      <c r="AG669" s="10525"/>
    </row>
    <row r="670" spans="1:33" ht="18" customHeight="1">
      <c r="A670" s="11139"/>
      <c r="B670" s="11136"/>
      <c r="C670" s="11124"/>
      <c r="D670" s="11124"/>
      <c r="E670" s="11124"/>
      <c r="F670" s="11124"/>
      <c r="G670" s="11124"/>
      <c r="H670" s="11124"/>
      <c r="I670" s="11124"/>
      <c r="J670" s="11124"/>
      <c r="K670" s="11124"/>
      <c r="L670" s="11131"/>
      <c r="M670" s="11131"/>
      <c r="N670" s="11131"/>
      <c r="O670" s="11124"/>
      <c r="P670" s="11124"/>
      <c r="Q670" s="11127"/>
      <c r="R670" s="5446"/>
      <c r="S670" s="3579"/>
      <c r="T670" s="3579"/>
      <c r="U670" s="3578"/>
      <c r="V670" s="4315"/>
      <c r="W670" s="3579"/>
      <c r="X670" s="5552"/>
      <c r="Y670" s="5552"/>
      <c r="Z670" s="5552"/>
      <c r="AA670" s="5553"/>
      <c r="AB670" s="5581"/>
      <c r="AC670" s="4316"/>
      <c r="AD670" s="3496"/>
      <c r="AE670" s="5610"/>
      <c r="AF670" s="5610"/>
      <c r="AG670" s="11115"/>
    </row>
    <row r="671" spans="1:33" ht="18" customHeight="1">
      <c r="A671" s="11139"/>
      <c r="B671" s="11136"/>
      <c r="C671" s="11124"/>
      <c r="D671" s="11124"/>
      <c r="E671" s="11124"/>
      <c r="F671" s="11124"/>
      <c r="G671" s="11124"/>
      <c r="H671" s="11124"/>
      <c r="I671" s="11124"/>
      <c r="J671" s="11124"/>
      <c r="K671" s="11124"/>
      <c r="L671" s="11131"/>
      <c r="M671" s="11131"/>
      <c r="N671" s="11131"/>
      <c r="O671" s="11124"/>
      <c r="P671" s="11124"/>
      <c r="Q671" s="11127"/>
      <c r="R671" s="5446"/>
      <c r="S671" s="3579"/>
      <c r="T671" s="3579"/>
      <c r="U671" s="3578"/>
      <c r="V671" s="4315"/>
      <c r="W671" s="3579"/>
      <c r="X671" s="5552"/>
      <c r="Y671" s="5552"/>
      <c r="Z671" s="5552"/>
      <c r="AA671" s="5553"/>
      <c r="AB671" s="5581"/>
      <c r="AC671" s="4316"/>
      <c r="AD671" s="3496"/>
      <c r="AE671" s="5610"/>
      <c r="AF671" s="5610"/>
      <c r="AG671" s="11115"/>
    </row>
    <row r="672" spans="1:33" ht="18" customHeight="1">
      <c r="A672" s="11139"/>
      <c r="B672" s="11136"/>
      <c r="C672" s="11124"/>
      <c r="D672" s="11124"/>
      <c r="E672" s="11124"/>
      <c r="F672" s="11124"/>
      <c r="G672" s="11124"/>
      <c r="H672" s="11124"/>
      <c r="I672" s="11124"/>
      <c r="J672" s="11124"/>
      <c r="K672" s="11124"/>
      <c r="L672" s="11131"/>
      <c r="M672" s="11131"/>
      <c r="N672" s="11131"/>
      <c r="O672" s="11124"/>
      <c r="P672" s="11124"/>
      <c r="Q672" s="11127"/>
      <c r="R672" s="5446"/>
      <c r="S672" s="3579"/>
      <c r="T672" s="3579"/>
      <c r="U672" s="3578"/>
      <c r="V672" s="4315"/>
      <c r="W672" s="3579"/>
      <c r="X672" s="5552"/>
      <c r="Y672" s="5552"/>
      <c r="Z672" s="5552"/>
      <c r="AA672" s="5553"/>
      <c r="AB672" s="5581"/>
      <c r="AC672" s="4316"/>
      <c r="AD672" s="3496"/>
      <c r="AE672" s="5610"/>
      <c r="AF672" s="5610"/>
      <c r="AG672" s="11115"/>
    </row>
    <row r="673" spans="1:33" ht="18" customHeight="1">
      <c r="A673" s="11139"/>
      <c r="B673" s="11137"/>
      <c r="C673" s="11125"/>
      <c r="D673" s="11125"/>
      <c r="E673" s="11125"/>
      <c r="F673" s="11125"/>
      <c r="G673" s="11125"/>
      <c r="H673" s="11125"/>
      <c r="I673" s="11125"/>
      <c r="J673" s="11125"/>
      <c r="K673" s="11125"/>
      <c r="L673" s="11134"/>
      <c r="M673" s="11134"/>
      <c r="N673" s="11134"/>
      <c r="O673" s="11125"/>
      <c r="P673" s="11125"/>
      <c r="Q673" s="11135"/>
      <c r="R673" s="5448"/>
      <c r="S673" s="3617"/>
      <c r="T673" s="3617"/>
      <c r="U673" s="3616"/>
      <c r="V673" s="4319"/>
      <c r="W673" s="3617"/>
      <c r="X673" s="5554"/>
      <c r="Y673" s="5554"/>
      <c r="Z673" s="5554"/>
      <c r="AA673" s="5555"/>
      <c r="AB673" s="5592"/>
      <c r="AC673" s="4320"/>
      <c r="AD673" s="3714"/>
      <c r="AE673" s="5624"/>
      <c r="AF673" s="5624"/>
      <c r="AG673" s="11116"/>
    </row>
    <row r="674" spans="1:33" ht="18" customHeight="1">
      <c r="A674" s="11139"/>
      <c r="B674" s="10516" t="s">
        <v>183</v>
      </c>
      <c r="C674" s="10433" t="s">
        <v>227</v>
      </c>
      <c r="D674" s="10433" t="s">
        <v>228</v>
      </c>
      <c r="E674" s="10433" t="s">
        <v>229</v>
      </c>
      <c r="F674" s="10442" t="s">
        <v>230</v>
      </c>
      <c r="G674" s="10433" t="s">
        <v>132</v>
      </c>
      <c r="H674" s="10433" t="s">
        <v>159</v>
      </c>
      <c r="I674" s="10433" t="s">
        <v>6053</v>
      </c>
      <c r="J674" s="10433" t="s">
        <v>6054</v>
      </c>
      <c r="K674" s="10433" t="s">
        <v>6022</v>
      </c>
      <c r="L674" s="11130">
        <v>1</v>
      </c>
      <c r="M674" s="11130">
        <v>1</v>
      </c>
      <c r="N674" s="11130">
        <v>1</v>
      </c>
      <c r="O674" s="10433" t="s">
        <v>6055</v>
      </c>
      <c r="P674" s="10433" t="s">
        <v>6056</v>
      </c>
      <c r="Q674" s="10439" t="s">
        <v>6140</v>
      </c>
      <c r="R674" s="5452"/>
      <c r="S674" s="3598"/>
      <c r="T674" s="3598"/>
      <c r="U674" s="4344"/>
      <c r="V674" s="4337"/>
      <c r="W674" s="3598"/>
      <c r="X674" s="5556"/>
      <c r="Y674" s="5556"/>
      <c r="Z674" s="5556"/>
      <c r="AA674" s="5557"/>
      <c r="AB674" s="5584"/>
      <c r="AC674" s="4338"/>
      <c r="AD674" s="3709"/>
      <c r="AE674" s="5626"/>
      <c r="AF674" s="5626"/>
      <c r="AG674" s="10525"/>
    </row>
    <row r="675" spans="1:33" ht="18" customHeight="1">
      <c r="A675" s="11139"/>
      <c r="B675" s="11136"/>
      <c r="C675" s="11124"/>
      <c r="D675" s="11124"/>
      <c r="E675" s="11124"/>
      <c r="F675" s="11124"/>
      <c r="G675" s="11124"/>
      <c r="H675" s="11124"/>
      <c r="I675" s="11124"/>
      <c r="J675" s="11124"/>
      <c r="K675" s="11124"/>
      <c r="L675" s="11131"/>
      <c r="M675" s="11131"/>
      <c r="N675" s="11131"/>
      <c r="O675" s="11124"/>
      <c r="P675" s="11124"/>
      <c r="Q675" s="11127"/>
      <c r="R675" s="5446"/>
      <c r="S675" s="3579"/>
      <c r="T675" s="3579"/>
      <c r="U675" s="3578"/>
      <c r="V675" s="4315"/>
      <c r="W675" s="3579"/>
      <c r="X675" s="5552"/>
      <c r="Y675" s="5552"/>
      <c r="Z675" s="5552"/>
      <c r="AA675" s="5553"/>
      <c r="AB675" s="5581"/>
      <c r="AC675" s="4316"/>
      <c r="AD675" s="3496"/>
      <c r="AE675" s="5610"/>
      <c r="AF675" s="5610"/>
      <c r="AG675" s="11115"/>
    </row>
    <row r="676" spans="1:33" ht="18" customHeight="1">
      <c r="A676" s="11139"/>
      <c r="B676" s="11136"/>
      <c r="C676" s="11124"/>
      <c r="D676" s="11124"/>
      <c r="E676" s="11124"/>
      <c r="F676" s="11124"/>
      <c r="G676" s="11124"/>
      <c r="H676" s="11124"/>
      <c r="I676" s="11124"/>
      <c r="J676" s="11124"/>
      <c r="K676" s="11124"/>
      <c r="L676" s="11131"/>
      <c r="M676" s="11131"/>
      <c r="N676" s="11131"/>
      <c r="O676" s="11124"/>
      <c r="P676" s="11124"/>
      <c r="Q676" s="11127"/>
      <c r="R676" s="5446"/>
      <c r="S676" s="3579"/>
      <c r="T676" s="3579"/>
      <c r="U676" s="3578"/>
      <c r="V676" s="4315"/>
      <c r="W676" s="3579"/>
      <c r="X676" s="5552"/>
      <c r="Y676" s="5552"/>
      <c r="Z676" s="5552"/>
      <c r="AA676" s="5553"/>
      <c r="AB676" s="5581"/>
      <c r="AC676" s="4316"/>
      <c r="AD676" s="3496"/>
      <c r="AE676" s="5610"/>
      <c r="AF676" s="5610"/>
      <c r="AG676" s="11115"/>
    </row>
    <row r="677" spans="1:33" ht="18" customHeight="1">
      <c r="A677" s="11139"/>
      <c r="B677" s="11136"/>
      <c r="C677" s="11124"/>
      <c r="D677" s="11124"/>
      <c r="E677" s="11124"/>
      <c r="F677" s="11124"/>
      <c r="G677" s="11124"/>
      <c r="H677" s="11124"/>
      <c r="I677" s="11124"/>
      <c r="J677" s="11124"/>
      <c r="K677" s="11124"/>
      <c r="L677" s="11131"/>
      <c r="M677" s="11131"/>
      <c r="N677" s="11131"/>
      <c r="O677" s="11124"/>
      <c r="P677" s="11124"/>
      <c r="Q677" s="11127"/>
      <c r="R677" s="5446"/>
      <c r="S677" s="3579"/>
      <c r="T677" s="3579"/>
      <c r="U677" s="3578"/>
      <c r="V677" s="4315"/>
      <c r="W677" s="3579"/>
      <c r="X677" s="5552"/>
      <c r="Y677" s="5552"/>
      <c r="Z677" s="5552"/>
      <c r="AA677" s="5553"/>
      <c r="AB677" s="5581"/>
      <c r="AC677" s="4316"/>
      <c r="AD677" s="3496"/>
      <c r="AE677" s="5610"/>
      <c r="AF677" s="5610"/>
      <c r="AG677" s="11115"/>
    </row>
    <row r="678" spans="1:33" ht="18" customHeight="1">
      <c r="A678" s="11139"/>
      <c r="B678" s="11138"/>
      <c r="C678" s="11126"/>
      <c r="D678" s="11126"/>
      <c r="E678" s="11126"/>
      <c r="F678" s="11126"/>
      <c r="G678" s="11126"/>
      <c r="H678" s="11126"/>
      <c r="I678" s="11126"/>
      <c r="J678" s="11126"/>
      <c r="K678" s="11126"/>
      <c r="L678" s="11132"/>
      <c r="M678" s="11132"/>
      <c r="N678" s="11132"/>
      <c r="O678" s="11126"/>
      <c r="P678" s="11126"/>
      <c r="Q678" s="11128"/>
      <c r="R678" s="5450"/>
      <c r="S678" s="3606"/>
      <c r="T678" s="3606"/>
      <c r="U678" s="3605"/>
      <c r="V678" s="4317"/>
      <c r="W678" s="3606"/>
      <c r="X678" s="5558"/>
      <c r="Y678" s="5558"/>
      <c r="Z678" s="5558"/>
      <c r="AA678" s="5559"/>
      <c r="AB678" s="5585"/>
      <c r="AC678" s="4318"/>
      <c r="AD678" s="3545"/>
      <c r="AE678" s="5625"/>
      <c r="AF678" s="5625"/>
      <c r="AG678" s="11116"/>
    </row>
    <row r="679" spans="1:33" ht="18" customHeight="1">
      <c r="A679" s="11139"/>
      <c r="B679" s="10512" t="s">
        <v>183</v>
      </c>
      <c r="C679" s="10444" t="s">
        <v>227</v>
      </c>
      <c r="D679" s="10444" t="s">
        <v>228</v>
      </c>
      <c r="E679" s="10444" t="s">
        <v>229</v>
      </c>
      <c r="F679" s="10451" t="s">
        <v>230</v>
      </c>
      <c r="G679" s="10444" t="s">
        <v>132</v>
      </c>
      <c r="H679" s="10444" t="s">
        <v>159</v>
      </c>
      <c r="I679" s="10444" t="s">
        <v>6057</v>
      </c>
      <c r="J679" s="10444" t="s">
        <v>6058</v>
      </c>
      <c r="K679" s="10444" t="s">
        <v>6049</v>
      </c>
      <c r="L679" s="11133">
        <v>0</v>
      </c>
      <c r="M679" s="11133">
        <v>1</v>
      </c>
      <c r="N679" s="11133">
        <v>1</v>
      </c>
      <c r="O679" s="10444" t="s">
        <v>6059</v>
      </c>
      <c r="P679" s="10444" t="s">
        <v>6060</v>
      </c>
      <c r="Q679" s="10449" t="s">
        <v>6140</v>
      </c>
      <c r="R679" s="5458"/>
      <c r="S679" s="3623"/>
      <c r="T679" s="3623"/>
      <c r="U679" s="4312"/>
      <c r="V679" s="4313"/>
      <c r="W679" s="3623"/>
      <c r="X679" s="5560"/>
      <c r="Y679" s="5560"/>
      <c r="Z679" s="5560"/>
      <c r="AA679" s="5561"/>
      <c r="AB679" s="5586"/>
      <c r="AC679" s="4314"/>
      <c r="AD679" s="3658"/>
      <c r="AE679" s="5623"/>
      <c r="AF679" s="5623"/>
      <c r="AG679" s="10525"/>
    </row>
    <row r="680" spans="1:33" ht="18" customHeight="1">
      <c r="A680" s="11139"/>
      <c r="B680" s="11136"/>
      <c r="C680" s="11124"/>
      <c r="D680" s="11124"/>
      <c r="E680" s="11124"/>
      <c r="F680" s="11124"/>
      <c r="G680" s="11124"/>
      <c r="H680" s="11124"/>
      <c r="I680" s="11124"/>
      <c r="J680" s="11124"/>
      <c r="K680" s="11124"/>
      <c r="L680" s="11131"/>
      <c r="M680" s="11131"/>
      <c r="N680" s="11131"/>
      <c r="O680" s="11124"/>
      <c r="P680" s="11124"/>
      <c r="Q680" s="11127"/>
      <c r="R680" s="5446"/>
      <c r="S680" s="3579"/>
      <c r="T680" s="3579"/>
      <c r="U680" s="3578"/>
      <c r="V680" s="4315"/>
      <c r="W680" s="3579"/>
      <c r="X680" s="5552"/>
      <c r="Y680" s="5552"/>
      <c r="Z680" s="5552"/>
      <c r="AA680" s="5553"/>
      <c r="AB680" s="5581"/>
      <c r="AC680" s="4316"/>
      <c r="AD680" s="3496"/>
      <c r="AE680" s="5610"/>
      <c r="AF680" s="5610"/>
      <c r="AG680" s="11115"/>
    </row>
    <row r="681" spans="1:33" ht="18" customHeight="1">
      <c r="A681" s="11139"/>
      <c r="B681" s="11136"/>
      <c r="C681" s="11124"/>
      <c r="D681" s="11124"/>
      <c r="E681" s="11124"/>
      <c r="F681" s="11124"/>
      <c r="G681" s="11124"/>
      <c r="H681" s="11124"/>
      <c r="I681" s="11124"/>
      <c r="J681" s="11124"/>
      <c r="K681" s="11124"/>
      <c r="L681" s="11131"/>
      <c r="M681" s="11131"/>
      <c r="N681" s="11131"/>
      <c r="O681" s="11124"/>
      <c r="P681" s="11124"/>
      <c r="Q681" s="11127"/>
      <c r="R681" s="5446"/>
      <c r="S681" s="3579"/>
      <c r="T681" s="3579"/>
      <c r="U681" s="3578"/>
      <c r="V681" s="4315"/>
      <c r="W681" s="3579"/>
      <c r="X681" s="5552"/>
      <c r="Y681" s="5552"/>
      <c r="Z681" s="5552"/>
      <c r="AA681" s="5553"/>
      <c r="AB681" s="5581"/>
      <c r="AC681" s="4316"/>
      <c r="AD681" s="3496"/>
      <c r="AE681" s="5610"/>
      <c r="AF681" s="5610"/>
      <c r="AG681" s="11115"/>
    </row>
    <row r="682" spans="1:33" ht="18" customHeight="1">
      <c r="A682" s="11139"/>
      <c r="B682" s="11136"/>
      <c r="C682" s="11124"/>
      <c r="D682" s="11124"/>
      <c r="E682" s="11124"/>
      <c r="F682" s="11124"/>
      <c r="G682" s="11124"/>
      <c r="H682" s="11124"/>
      <c r="I682" s="11124"/>
      <c r="J682" s="11124"/>
      <c r="K682" s="11124"/>
      <c r="L682" s="11131"/>
      <c r="M682" s="11131"/>
      <c r="N682" s="11131"/>
      <c r="O682" s="11124"/>
      <c r="P682" s="11124"/>
      <c r="Q682" s="11127"/>
      <c r="R682" s="5446"/>
      <c r="S682" s="3579"/>
      <c r="T682" s="3579"/>
      <c r="U682" s="3578"/>
      <c r="V682" s="4315"/>
      <c r="W682" s="3579"/>
      <c r="X682" s="5552"/>
      <c r="Y682" s="5552"/>
      <c r="Z682" s="5552"/>
      <c r="AA682" s="5553"/>
      <c r="AB682" s="5581"/>
      <c r="AC682" s="4316"/>
      <c r="AD682" s="3496"/>
      <c r="AE682" s="5610"/>
      <c r="AF682" s="5610"/>
      <c r="AG682" s="11115"/>
    </row>
    <row r="683" spans="1:33" ht="18" customHeight="1">
      <c r="A683" s="11139"/>
      <c r="B683" s="11137"/>
      <c r="C683" s="11125"/>
      <c r="D683" s="11125"/>
      <c r="E683" s="11125"/>
      <c r="F683" s="11125"/>
      <c r="G683" s="11125"/>
      <c r="H683" s="11125"/>
      <c r="I683" s="11125"/>
      <c r="J683" s="11125"/>
      <c r="K683" s="11125"/>
      <c r="L683" s="11134"/>
      <c r="M683" s="11134"/>
      <c r="N683" s="11134"/>
      <c r="O683" s="11125"/>
      <c r="P683" s="11125"/>
      <c r="Q683" s="11135"/>
      <c r="R683" s="5448"/>
      <c r="S683" s="3617"/>
      <c r="T683" s="3617"/>
      <c r="U683" s="3616"/>
      <c r="V683" s="4319"/>
      <c r="W683" s="3617"/>
      <c r="X683" s="5554"/>
      <c r="Y683" s="5554"/>
      <c r="Z683" s="5554"/>
      <c r="AA683" s="5555"/>
      <c r="AB683" s="5592"/>
      <c r="AC683" s="4320"/>
      <c r="AD683" s="3714"/>
      <c r="AE683" s="5624"/>
      <c r="AF683" s="5624"/>
      <c r="AG683" s="11116"/>
    </row>
    <row r="684" spans="1:33" ht="18" customHeight="1">
      <c r="A684" s="11139"/>
      <c r="B684" s="10516" t="s">
        <v>127</v>
      </c>
      <c r="C684" s="10433" t="s">
        <v>128</v>
      </c>
      <c r="D684" s="10433" t="s">
        <v>129</v>
      </c>
      <c r="E684" s="10433" t="s">
        <v>157</v>
      </c>
      <c r="F684" s="10442" t="s">
        <v>131</v>
      </c>
      <c r="G684" s="10433" t="s">
        <v>132</v>
      </c>
      <c r="H684" s="10433" t="s">
        <v>159</v>
      </c>
      <c r="I684" s="10433" t="s">
        <v>6061</v>
      </c>
      <c r="J684" s="10433" t="s">
        <v>6062</v>
      </c>
      <c r="K684" s="10433" t="s">
        <v>6063</v>
      </c>
      <c r="L684" s="11130">
        <v>1</v>
      </c>
      <c r="M684" s="11130">
        <v>1</v>
      </c>
      <c r="N684" s="11130">
        <v>1</v>
      </c>
      <c r="O684" s="10433" t="s">
        <v>6064</v>
      </c>
      <c r="P684" s="10433" t="s">
        <v>6065</v>
      </c>
      <c r="Q684" s="10439" t="s">
        <v>6138</v>
      </c>
      <c r="R684" s="5452"/>
      <c r="S684" s="3598"/>
      <c r="T684" s="3598"/>
      <c r="U684" s="4344"/>
      <c r="V684" s="4337"/>
      <c r="W684" s="3598"/>
      <c r="X684" s="5556"/>
      <c r="Y684" s="5556"/>
      <c r="Z684" s="5556"/>
      <c r="AA684" s="5557"/>
      <c r="AB684" s="5584"/>
      <c r="AC684" s="4338"/>
      <c r="AD684" s="3709"/>
      <c r="AE684" s="5626"/>
      <c r="AF684" s="5626"/>
      <c r="AG684" s="10525"/>
    </row>
    <row r="685" spans="1:33" ht="18" customHeight="1">
      <c r="A685" s="11139"/>
      <c r="B685" s="11136"/>
      <c r="C685" s="11124"/>
      <c r="D685" s="11124"/>
      <c r="E685" s="11124"/>
      <c r="F685" s="11124"/>
      <c r="G685" s="11124"/>
      <c r="H685" s="11124"/>
      <c r="I685" s="11124"/>
      <c r="J685" s="11124"/>
      <c r="K685" s="11124"/>
      <c r="L685" s="11131"/>
      <c r="M685" s="11131"/>
      <c r="N685" s="11131"/>
      <c r="O685" s="11124"/>
      <c r="P685" s="11124"/>
      <c r="Q685" s="11127"/>
      <c r="R685" s="5446"/>
      <c r="S685" s="3579"/>
      <c r="T685" s="3579"/>
      <c r="U685" s="3578"/>
      <c r="V685" s="4315"/>
      <c r="W685" s="3579"/>
      <c r="X685" s="5552"/>
      <c r="Y685" s="5552"/>
      <c r="Z685" s="5552"/>
      <c r="AA685" s="5553"/>
      <c r="AB685" s="5581"/>
      <c r="AC685" s="4316"/>
      <c r="AD685" s="3496"/>
      <c r="AE685" s="5610"/>
      <c r="AF685" s="5610"/>
      <c r="AG685" s="11115"/>
    </row>
    <row r="686" spans="1:33" ht="18" customHeight="1">
      <c r="A686" s="11139"/>
      <c r="B686" s="11136"/>
      <c r="C686" s="11124"/>
      <c r="D686" s="11124"/>
      <c r="E686" s="11124"/>
      <c r="F686" s="11124"/>
      <c r="G686" s="11124"/>
      <c r="H686" s="11124"/>
      <c r="I686" s="11124"/>
      <c r="J686" s="11124"/>
      <c r="K686" s="11124"/>
      <c r="L686" s="11131"/>
      <c r="M686" s="11131"/>
      <c r="N686" s="11131"/>
      <c r="O686" s="11124"/>
      <c r="P686" s="11124"/>
      <c r="Q686" s="11127"/>
      <c r="R686" s="5446"/>
      <c r="S686" s="3579"/>
      <c r="T686" s="3579"/>
      <c r="U686" s="3578"/>
      <c r="V686" s="4315"/>
      <c r="W686" s="3579"/>
      <c r="X686" s="5552"/>
      <c r="Y686" s="5552"/>
      <c r="Z686" s="5552"/>
      <c r="AA686" s="5553"/>
      <c r="AB686" s="5581"/>
      <c r="AC686" s="4316"/>
      <c r="AD686" s="3496"/>
      <c r="AE686" s="5610"/>
      <c r="AF686" s="5610"/>
      <c r="AG686" s="11115"/>
    </row>
    <row r="687" spans="1:33" ht="18" customHeight="1">
      <c r="A687" s="11139"/>
      <c r="B687" s="11136"/>
      <c r="C687" s="11124"/>
      <c r="D687" s="11124"/>
      <c r="E687" s="11124"/>
      <c r="F687" s="11124"/>
      <c r="G687" s="11124"/>
      <c r="H687" s="11124"/>
      <c r="I687" s="11124"/>
      <c r="J687" s="11124"/>
      <c r="K687" s="11124"/>
      <c r="L687" s="11131"/>
      <c r="M687" s="11131"/>
      <c r="N687" s="11131"/>
      <c r="O687" s="11124"/>
      <c r="P687" s="11124"/>
      <c r="Q687" s="11127"/>
      <c r="R687" s="5446"/>
      <c r="S687" s="3579"/>
      <c r="T687" s="3579"/>
      <c r="U687" s="3578"/>
      <c r="V687" s="4315"/>
      <c r="W687" s="3579"/>
      <c r="X687" s="5552"/>
      <c r="Y687" s="5552"/>
      <c r="Z687" s="5552"/>
      <c r="AA687" s="5553"/>
      <c r="AB687" s="5581"/>
      <c r="AC687" s="4316"/>
      <c r="AD687" s="3496"/>
      <c r="AE687" s="5610"/>
      <c r="AF687" s="5610"/>
      <c r="AG687" s="11115"/>
    </row>
    <row r="688" spans="1:33" ht="18" customHeight="1">
      <c r="A688" s="11139"/>
      <c r="B688" s="11138"/>
      <c r="C688" s="11126"/>
      <c r="D688" s="11126"/>
      <c r="E688" s="11126"/>
      <c r="F688" s="11126"/>
      <c r="G688" s="11126"/>
      <c r="H688" s="11126"/>
      <c r="I688" s="11126"/>
      <c r="J688" s="11126"/>
      <c r="K688" s="11126"/>
      <c r="L688" s="11132"/>
      <c r="M688" s="11132"/>
      <c r="N688" s="11132"/>
      <c r="O688" s="11126"/>
      <c r="P688" s="11126"/>
      <c r="Q688" s="11128"/>
      <c r="R688" s="5450"/>
      <c r="S688" s="3606"/>
      <c r="T688" s="3606"/>
      <c r="U688" s="3605"/>
      <c r="V688" s="4317"/>
      <c r="W688" s="3606"/>
      <c r="X688" s="5558"/>
      <c r="Y688" s="5558"/>
      <c r="Z688" s="5558"/>
      <c r="AA688" s="5559"/>
      <c r="AB688" s="5585"/>
      <c r="AC688" s="4318"/>
      <c r="AD688" s="3545"/>
      <c r="AE688" s="5625"/>
      <c r="AF688" s="5625"/>
      <c r="AG688" s="11116"/>
    </row>
    <row r="689" spans="1:33" ht="18" customHeight="1">
      <c r="A689" s="11139"/>
      <c r="B689" s="10512" t="s">
        <v>183</v>
      </c>
      <c r="C689" s="10444" t="s">
        <v>227</v>
      </c>
      <c r="D689" s="10444" t="s">
        <v>228</v>
      </c>
      <c r="E689" s="10444" t="s">
        <v>229</v>
      </c>
      <c r="F689" s="10451" t="s">
        <v>230</v>
      </c>
      <c r="G689" s="10444" t="s">
        <v>132</v>
      </c>
      <c r="H689" s="10444" t="s">
        <v>159</v>
      </c>
      <c r="I689" s="10444" t="s">
        <v>6066</v>
      </c>
      <c r="J689" s="10444" t="s">
        <v>6067</v>
      </c>
      <c r="K689" s="10444" t="s">
        <v>5871</v>
      </c>
      <c r="L689" s="11133">
        <v>0</v>
      </c>
      <c r="M689" s="11133">
        <v>1</v>
      </c>
      <c r="N689" s="11133">
        <v>0</v>
      </c>
      <c r="O689" s="10444" t="s">
        <v>5872</v>
      </c>
      <c r="P689" s="10444" t="s">
        <v>5873</v>
      </c>
      <c r="Q689" s="10449" t="s">
        <v>6140</v>
      </c>
      <c r="R689" s="5458"/>
      <c r="S689" s="3623"/>
      <c r="T689" s="3623"/>
      <c r="U689" s="4312"/>
      <c r="V689" s="4313"/>
      <c r="W689" s="3623"/>
      <c r="X689" s="5560"/>
      <c r="Y689" s="5560"/>
      <c r="Z689" s="5560"/>
      <c r="AA689" s="5561"/>
      <c r="AB689" s="5586"/>
      <c r="AC689" s="4314"/>
      <c r="AD689" s="3658"/>
      <c r="AE689" s="5623"/>
      <c r="AF689" s="5623"/>
      <c r="AG689" s="10525"/>
    </row>
    <row r="690" spans="1:33" ht="18" customHeight="1">
      <c r="A690" s="11139"/>
      <c r="B690" s="11136"/>
      <c r="C690" s="11124"/>
      <c r="D690" s="11124"/>
      <c r="E690" s="11124"/>
      <c r="F690" s="11124"/>
      <c r="G690" s="11124"/>
      <c r="H690" s="11124"/>
      <c r="I690" s="11124"/>
      <c r="J690" s="11124"/>
      <c r="K690" s="11124"/>
      <c r="L690" s="11131"/>
      <c r="M690" s="11131"/>
      <c r="N690" s="11131"/>
      <c r="O690" s="11124"/>
      <c r="P690" s="11124"/>
      <c r="Q690" s="11127"/>
      <c r="R690" s="5446"/>
      <c r="S690" s="3579"/>
      <c r="T690" s="3579"/>
      <c r="U690" s="3578"/>
      <c r="V690" s="4315"/>
      <c r="W690" s="3579"/>
      <c r="X690" s="5552"/>
      <c r="Y690" s="5552"/>
      <c r="Z690" s="5552"/>
      <c r="AA690" s="5553"/>
      <c r="AB690" s="5581"/>
      <c r="AC690" s="4316"/>
      <c r="AD690" s="3496"/>
      <c r="AE690" s="5610"/>
      <c r="AF690" s="5610"/>
      <c r="AG690" s="11115"/>
    </row>
    <row r="691" spans="1:33" ht="18" customHeight="1">
      <c r="A691" s="11139"/>
      <c r="B691" s="11136"/>
      <c r="C691" s="11124"/>
      <c r="D691" s="11124"/>
      <c r="E691" s="11124"/>
      <c r="F691" s="11124"/>
      <c r="G691" s="11124"/>
      <c r="H691" s="11124"/>
      <c r="I691" s="11124"/>
      <c r="J691" s="11124"/>
      <c r="K691" s="11124"/>
      <c r="L691" s="11131"/>
      <c r="M691" s="11131"/>
      <c r="N691" s="11131"/>
      <c r="O691" s="11124"/>
      <c r="P691" s="11124"/>
      <c r="Q691" s="11127"/>
      <c r="R691" s="5446"/>
      <c r="S691" s="3579"/>
      <c r="T691" s="3579"/>
      <c r="U691" s="3578"/>
      <c r="V691" s="4315"/>
      <c r="W691" s="3579"/>
      <c r="X691" s="5552"/>
      <c r="Y691" s="5552"/>
      <c r="Z691" s="5552"/>
      <c r="AA691" s="5553"/>
      <c r="AB691" s="5581"/>
      <c r="AC691" s="4316"/>
      <c r="AD691" s="3496"/>
      <c r="AE691" s="5610"/>
      <c r="AF691" s="5610"/>
      <c r="AG691" s="11115"/>
    </row>
    <row r="692" spans="1:33" ht="18" customHeight="1">
      <c r="A692" s="11139"/>
      <c r="B692" s="11136"/>
      <c r="C692" s="11124"/>
      <c r="D692" s="11124"/>
      <c r="E692" s="11124"/>
      <c r="F692" s="11124"/>
      <c r="G692" s="11124"/>
      <c r="H692" s="11124"/>
      <c r="I692" s="11124"/>
      <c r="J692" s="11124"/>
      <c r="K692" s="11124"/>
      <c r="L692" s="11131"/>
      <c r="M692" s="11131"/>
      <c r="N692" s="11131"/>
      <c r="O692" s="11124"/>
      <c r="P692" s="11124"/>
      <c r="Q692" s="11127"/>
      <c r="R692" s="5446"/>
      <c r="S692" s="3579"/>
      <c r="T692" s="3579"/>
      <c r="U692" s="3578"/>
      <c r="V692" s="4315"/>
      <c r="W692" s="3579"/>
      <c r="X692" s="5552"/>
      <c r="Y692" s="5552"/>
      <c r="Z692" s="5552"/>
      <c r="AA692" s="5553"/>
      <c r="AB692" s="5581"/>
      <c r="AC692" s="4316"/>
      <c r="AD692" s="3496"/>
      <c r="AE692" s="5610"/>
      <c r="AF692" s="5610"/>
      <c r="AG692" s="11115"/>
    </row>
    <row r="693" spans="1:33" ht="18" customHeight="1">
      <c r="A693" s="11139"/>
      <c r="B693" s="11137"/>
      <c r="C693" s="11125"/>
      <c r="D693" s="11125"/>
      <c r="E693" s="11125"/>
      <c r="F693" s="11125"/>
      <c r="G693" s="11125"/>
      <c r="H693" s="11125"/>
      <c r="I693" s="11125"/>
      <c r="J693" s="11125"/>
      <c r="K693" s="11125"/>
      <c r="L693" s="11134"/>
      <c r="M693" s="11134"/>
      <c r="N693" s="11134"/>
      <c r="O693" s="11125"/>
      <c r="P693" s="11125"/>
      <c r="Q693" s="11135"/>
      <c r="R693" s="5448"/>
      <c r="S693" s="3617"/>
      <c r="T693" s="3617"/>
      <c r="U693" s="3616"/>
      <c r="V693" s="4319"/>
      <c r="W693" s="3617"/>
      <c r="X693" s="5554"/>
      <c r="Y693" s="5554"/>
      <c r="Z693" s="5554"/>
      <c r="AA693" s="5555"/>
      <c r="AB693" s="5592"/>
      <c r="AC693" s="4320"/>
      <c r="AD693" s="3714"/>
      <c r="AE693" s="5624"/>
      <c r="AF693" s="5624"/>
      <c r="AG693" s="11116"/>
    </row>
    <row r="694" spans="1:33" ht="18" customHeight="1">
      <c r="A694" s="11139"/>
      <c r="B694" s="10516" t="s">
        <v>183</v>
      </c>
      <c r="C694" s="10433" t="s">
        <v>227</v>
      </c>
      <c r="D694" s="10433" t="s">
        <v>228</v>
      </c>
      <c r="E694" s="10433" t="s">
        <v>229</v>
      </c>
      <c r="F694" s="10442" t="s">
        <v>230</v>
      </c>
      <c r="G694" s="10433" t="s">
        <v>171</v>
      </c>
      <c r="H694" s="10433" t="s">
        <v>133</v>
      </c>
      <c r="I694" s="10433" t="s">
        <v>6068</v>
      </c>
      <c r="J694" s="10433" t="s">
        <v>6069</v>
      </c>
      <c r="K694" s="10433" t="s">
        <v>6022</v>
      </c>
      <c r="L694" s="10470">
        <v>1</v>
      </c>
      <c r="M694" s="10470">
        <v>1</v>
      </c>
      <c r="N694" s="10470">
        <v>1</v>
      </c>
      <c r="O694" s="10433" t="s">
        <v>6070</v>
      </c>
      <c r="P694" s="10433" t="s">
        <v>6071</v>
      </c>
      <c r="Q694" s="10439" t="s">
        <v>6141</v>
      </c>
      <c r="R694" s="5449"/>
      <c r="S694" s="4336"/>
      <c r="T694" s="4336"/>
      <c r="U694" s="3597"/>
      <c r="V694" s="4337"/>
      <c r="W694" s="3598"/>
      <c r="X694" s="5556"/>
      <c r="Y694" s="5556"/>
      <c r="Z694" s="5556"/>
      <c r="AA694" s="5557"/>
      <c r="AB694" s="5584"/>
      <c r="AC694" s="4338"/>
      <c r="AD694" s="3709"/>
      <c r="AE694" s="5626"/>
      <c r="AF694" s="5626"/>
      <c r="AG694" s="10525"/>
    </row>
    <row r="695" spans="1:33" ht="18" customHeight="1">
      <c r="A695" s="11139"/>
      <c r="B695" s="11136"/>
      <c r="C695" s="11124"/>
      <c r="D695" s="11124"/>
      <c r="E695" s="11124"/>
      <c r="F695" s="11124"/>
      <c r="G695" s="11124"/>
      <c r="H695" s="11124"/>
      <c r="I695" s="11124"/>
      <c r="J695" s="11124"/>
      <c r="K695" s="11124"/>
      <c r="L695" s="11131"/>
      <c r="M695" s="11131"/>
      <c r="N695" s="11131"/>
      <c r="O695" s="11124"/>
      <c r="P695" s="11124"/>
      <c r="Q695" s="11127"/>
      <c r="R695" s="5446"/>
      <c r="S695" s="3579"/>
      <c r="T695" s="3579"/>
      <c r="U695" s="3578"/>
      <c r="V695" s="4315"/>
      <c r="W695" s="3579"/>
      <c r="X695" s="5552"/>
      <c r="Y695" s="5552"/>
      <c r="Z695" s="5552"/>
      <c r="AA695" s="5553"/>
      <c r="AB695" s="5581"/>
      <c r="AC695" s="4316"/>
      <c r="AD695" s="3496"/>
      <c r="AE695" s="5610"/>
      <c r="AF695" s="5610"/>
      <c r="AG695" s="11115"/>
    </row>
    <row r="696" spans="1:33" ht="18" customHeight="1">
      <c r="A696" s="11139"/>
      <c r="B696" s="11136"/>
      <c r="C696" s="11124"/>
      <c r="D696" s="11124"/>
      <c r="E696" s="11124"/>
      <c r="F696" s="11124"/>
      <c r="G696" s="11124"/>
      <c r="H696" s="11124"/>
      <c r="I696" s="11124"/>
      <c r="J696" s="11124"/>
      <c r="K696" s="11124"/>
      <c r="L696" s="11131"/>
      <c r="M696" s="11131"/>
      <c r="N696" s="11131"/>
      <c r="O696" s="11124"/>
      <c r="P696" s="11124"/>
      <c r="Q696" s="11127"/>
      <c r="R696" s="5446"/>
      <c r="S696" s="3579"/>
      <c r="T696" s="3579"/>
      <c r="U696" s="3578"/>
      <c r="V696" s="4315"/>
      <c r="W696" s="3579"/>
      <c r="X696" s="5552"/>
      <c r="Y696" s="5552"/>
      <c r="Z696" s="5552"/>
      <c r="AA696" s="5553"/>
      <c r="AB696" s="5581"/>
      <c r="AC696" s="4316"/>
      <c r="AD696" s="3496"/>
      <c r="AE696" s="5610"/>
      <c r="AF696" s="5610"/>
      <c r="AG696" s="11115"/>
    </row>
    <row r="697" spans="1:33" ht="18" customHeight="1">
      <c r="A697" s="11139"/>
      <c r="B697" s="11136"/>
      <c r="C697" s="11124"/>
      <c r="D697" s="11124"/>
      <c r="E697" s="11124"/>
      <c r="F697" s="11124"/>
      <c r="G697" s="11124"/>
      <c r="H697" s="11124"/>
      <c r="I697" s="11124"/>
      <c r="J697" s="11124"/>
      <c r="K697" s="11124"/>
      <c r="L697" s="11131"/>
      <c r="M697" s="11131"/>
      <c r="N697" s="11131"/>
      <c r="O697" s="11124"/>
      <c r="P697" s="11124"/>
      <c r="Q697" s="11127"/>
      <c r="R697" s="5447"/>
      <c r="S697" s="4325"/>
      <c r="T697" s="4325"/>
      <c r="U697" s="3578"/>
      <c r="V697" s="4315"/>
      <c r="W697" s="3579"/>
      <c r="X697" s="5552"/>
      <c r="Y697" s="5552"/>
      <c r="Z697" s="5552"/>
      <c r="AA697" s="5553"/>
      <c r="AB697" s="5581"/>
      <c r="AC697" s="4316"/>
      <c r="AD697" s="3496"/>
      <c r="AE697" s="5610"/>
      <c r="AF697" s="5610"/>
      <c r="AG697" s="11115"/>
    </row>
    <row r="698" spans="1:33" ht="18" customHeight="1">
      <c r="A698" s="11139"/>
      <c r="B698" s="11138"/>
      <c r="C698" s="11126"/>
      <c r="D698" s="11126"/>
      <c r="E698" s="11126"/>
      <c r="F698" s="11126"/>
      <c r="G698" s="11126"/>
      <c r="H698" s="11126"/>
      <c r="I698" s="11126"/>
      <c r="J698" s="11126"/>
      <c r="K698" s="11126"/>
      <c r="L698" s="11132"/>
      <c r="M698" s="11132"/>
      <c r="N698" s="11132"/>
      <c r="O698" s="11126"/>
      <c r="P698" s="11126"/>
      <c r="Q698" s="11128"/>
      <c r="R698" s="5450"/>
      <c r="S698" s="3606"/>
      <c r="T698" s="3606"/>
      <c r="U698" s="3605"/>
      <c r="V698" s="4317"/>
      <c r="W698" s="3606"/>
      <c r="X698" s="5558"/>
      <c r="Y698" s="5558"/>
      <c r="Z698" s="5558"/>
      <c r="AA698" s="5559"/>
      <c r="AB698" s="5585"/>
      <c r="AC698" s="4318"/>
      <c r="AD698" s="3545"/>
      <c r="AE698" s="5625"/>
      <c r="AF698" s="5625"/>
      <c r="AG698" s="11116"/>
    </row>
    <row r="699" spans="1:33" ht="18" customHeight="1">
      <c r="A699" s="11139"/>
      <c r="B699" s="10512" t="s">
        <v>127</v>
      </c>
      <c r="C699" s="10444" t="s">
        <v>128</v>
      </c>
      <c r="D699" s="10444" t="s">
        <v>129</v>
      </c>
      <c r="E699" s="10444" t="s">
        <v>157</v>
      </c>
      <c r="F699" s="10451" t="s">
        <v>131</v>
      </c>
      <c r="G699" s="10444" t="s">
        <v>132</v>
      </c>
      <c r="H699" s="10444" t="s">
        <v>159</v>
      </c>
      <c r="I699" s="10444" t="s">
        <v>6073</v>
      </c>
      <c r="J699" s="10444" t="s">
        <v>6074</v>
      </c>
      <c r="K699" s="10444" t="s">
        <v>5888</v>
      </c>
      <c r="L699" s="10455">
        <v>3</v>
      </c>
      <c r="M699" s="10455">
        <v>4</v>
      </c>
      <c r="N699" s="10455">
        <v>3</v>
      </c>
      <c r="O699" s="10444" t="s">
        <v>6075</v>
      </c>
      <c r="P699" s="10444" t="s">
        <v>6076</v>
      </c>
      <c r="Q699" s="10449" t="s">
        <v>6142</v>
      </c>
      <c r="R699" s="5451"/>
      <c r="S699" s="3650"/>
      <c r="T699" s="3650"/>
      <c r="U699" s="3622"/>
      <c r="V699" s="4313"/>
      <c r="W699" s="3623"/>
      <c r="X699" s="5560"/>
      <c r="Y699" s="5560"/>
      <c r="Z699" s="5560"/>
      <c r="AA699" s="5561"/>
      <c r="AB699" s="5586"/>
      <c r="AC699" s="4314"/>
      <c r="AD699" s="3658"/>
      <c r="AE699" s="5623"/>
      <c r="AF699" s="5623"/>
      <c r="AG699" s="10464"/>
    </row>
    <row r="700" spans="1:33" ht="18" customHeight="1">
      <c r="A700" s="11139"/>
      <c r="B700" s="11136"/>
      <c r="C700" s="11124"/>
      <c r="D700" s="11124"/>
      <c r="E700" s="11124"/>
      <c r="F700" s="11124"/>
      <c r="G700" s="11124"/>
      <c r="H700" s="11124"/>
      <c r="I700" s="11124"/>
      <c r="J700" s="11124"/>
      <c r="K700" s="11124"/>
      <c r="L700" s="11131"/>
      <c r="M700" s="11131"/>
      <c r="N700" s="11131"/>
      <c r="O700" s="11124"/>
      <c r="P700" s="11124"/>
      <c r="Q700" s="11127"/>
      <c r="R700" s="5446"/>
      <c r="S700" s="3579"/>
      <c r="T700" s="3579"/>
      <c r="U700" s="3578"/>
      <c r="V700" s="4315"/>
      <c r="W700" s="3579"/>
      <c r="X700" s="5552"/>
      <c r="Y700" s="5552"/>
      <c r="Z700" s="5552"/>
      <c r="AA700" s="5553"/>
      <c r="AB700" s="5581"/>
      <c r="AC700" s="4316"/>
      <c r="AD700" s="3496"/>
      <c r="AE700" s="5610"/>
      <c r="AF700" s="5610"/>
      <c r="AG700" s="11115"/>
    </row>
    <row r="701" spans="1:33" ht="18" customHeight="1">
      <c r="A701" s="11139"/>
      <c r="B701" s="11136"/>
      <c r="C701" s="11124"/>
      <c r="D701" s="11124"/>
      <c r="E701" s="11124"/>
      <c r="F701" s="11124"/>
      <c r="G701" s="11124"/>
      <c r="H701" s="11124"/>
      <c r="I701" s="11124"/>
      <c r="J701" s="11124"/>
      <c r="K701" s="11124"/>
      <c r="L701" s="11131"/>
      <c r="M701" s="11131"/>
      <c r="N701" s="11131"/>
      <c r="O701" s="11124"/>
      <c r="P701" s="11124"/>
      <c r="Q701" s="11127"/>
      <c r="R701" s="5446"/>
      <c r="S701" s="3579"/>
      <c r="T701" s="3579"/>
      <c r="U701" s="3578"/>
      <c r="V701" s="4315"/>
      <c r="W701" s="3579"/>
      <c r="X701" s="5552"/>
      <c r="Y701" s="5552"/>
      <c r="Z701" s="5552"/>
      <c r="AA701" s="5553"/>
      <c r="AB701" s="5581"/>
      <c r="AC701" s="4316"/>
      <c r="AD701" s="3496"/>
      <c r="AE701" s="5610"/>
      <c r="AF701" s="5610"/>
      <c r="AG701" s="11115"/>
    </row>
    <row r="702" spans="1:33" ht="18" customHeight="1">
      <c r="A702" s="11139"/>
      <c r="B702" s="11136"/>
      <c r="C702" s="11124"/>
      <c r="D702" s="11124"/>
      <c r="E702" s="11124"/>
      <c r="F702" s="11124"/>
      <c r="G702" s="11124"/>
      <c r="H702" s="11124"/>
      <c r="I702" s="11124"/>
      <c r="J702" s="11124"/>
      <c r="K702" s="11124"/>
      <c r="L702" s="11131"/>
      <c r="M702" s="11131"/>
      <c r="N702" s="11131"/>
      <c r="O702" s="11124"/>
      <c r="P702" s="11124"/>
      <c r="Q702" s="11127"/>
      <c r="R702" s="5447"/>
      <c r="S702" s="4325"/>
      <c r="T702" s="4325"/>
      <c r="U702" s="3578"/>
      <c r="V702" s="4315"/>
      <c r="W702" s="3579"/>
      <c r="X702" s="5552"/>
      <c r="Y702" s="5552"/>
      <c r="Z702" s="5552"/>
      <c r="AA702" s="5553"/>
      <c r="AB702" s="5581"/>
      <c r="AC702" s="4316"/>
      <c r="AD702" s="3496"/>
      <c r="AE702" s="5610"/>
      <c r="AF702" s="5610"/>
      <c r="AG702" s="11115"/>
    </row>
    <row r="703" spans="1:33" ht="18" customHeight="1">
      <c r="A703" s="11139"/>
      <c r="B703" s="11138"/>
      <c r="C703" s="11126"/>
      <c r="D703" s="11126"/>
      <c r="E703" s="11126"/>
      <c r="F703" s="11126"/>
      <c r="G703" s="11126"/>
      <c r="H703" s="11126"/>
      <c r="I703" s="11126"/>
      <c r="J703" s="11126"/>
      <c r="K703" s="11126"/>
      <c r="L703" s="11132"/>
      <c r="M703" s="11132"/>
      <c r="N703" s="11132"/>
      <c r="O703" s="11126"/>
      <c r="P703" s="11126"/>
      <c r="Q703" s="11128"/>
      <c r="R703" s="5450"/>
      <c r="S703" s="3606"/>
      <c r="T703" s="3606"/>
      <c r="U703" s="3605"/>
      <c r="V703" s="4317"/>
      <c r="W703" s="3606"/>
      <c r="X703" s="5558"/>
      <c r="Y703" s="5558"/>
      <c r="Z703" s="5558"/>
      <c r="AA703" s="5559"/>
      <c r="AB703" s="5585"/>
      <c r="AC703" s="4318"/>
      <c r="AD703" s="3545"/>
      <c r="AE703" s="5625"/>
      <c r="AF703" s="5625"/>
      <c r="AG703" s="11116"/>
    </row>
    <row r="704" spans="1:33" s="6169" customFormat="1" ht="22.5" customHeight="1" thickBot="1">
      <c r="A704" s="6236"/>
      <c r="B704" s="6250"/>
      <c r="C704" s="6250"/>
      <c r="D704" s="6250"/>
      <c r="E704" s="6250"/>
      <c r="F704" s="6250"/>
      <c r="G704" s="6250"/>
      <c r="H704" s="6250"/>
      <c r="I704" s="6250"/>
      <c r="J704" s="6250"/>
      <c r="K704" s="6250"/>
      <c r="L704" s="6164"/>
      <c r="M704" s="6164"/>
      <c r="N704" s="6164"/>
      <c r="O704" s="6166"/>
      <c r="P704" s="6166"/>
      <c r="Q704" s="6167"/>
      <c r="R704" s="11144" t="s">
        <v>6143</v>
      </c>
      <c r="S704" s="11145"/>
      <c r="T704" s="11145"/>
      <c r="U704" s="11145"/>
      <c r="V704" s="11145"/>
      <c r="W704" s="11145"/>
      <c r="X704" s="11145"/>
      <c r="Y704" s="11145"/>
      <c r="Z704" s="5321" t="s">
        <v>292</v>
      </c>
      <c r="AA704" s="6153">
        <f>SUM(AA629:AA703)</f>
        <v>0</v>
      </c>
      <c r="AB704" s="6165"/>
      <c r="AC704" s="6168"/>
      <c r="AD704" s="11146"/>
      <c r="AE704" s="11147"/>
      <c r="AF704" s="11147"/>
      <c r="AG704" s="11148"/>
    </row>
    <row r="705" spans="1:33" ht="25.5">
      <c r="A705" s="9599" t="s">
        <v>6144</v>
      </c>
      <c r="B705" s="10518" t="s">
        <v>183</v>
      </c>
      <c r="C705" s="10452" t="s">
        <v>227</v>
      </c>
      <c r="D705" s="10452" t="s">
        <v>228</v>
      </c>
      <c r="E705" s="10452" t="s">
        <v>229</v>
      </c>
      <c r="F705" s="10454" t="s">
        <v>230</v>
      </c>
      <c r="G705" s="10452" t="s">
        <v>132</v>
      </c>
      <c r="H705" s="10452" t="s">
        <v>159</v>
      </c>
      <c r="I705" s="10433" t="s">
        <v>6010</v>
      </c>
      <c r="J705" s="10452" t="s">
        <v>6011</v>
      </c>
      <c r="K705" s="10452" t="s">
        <v>5761</v>
      </c>
      <c r="L705" s="10488">
        <v>2</v>
      </c>
      <c r="M705" s="10488">
        <v>1</v>
      </c>
      <c r="N705" s="10488">
        <v>2</v>
      </c>
      <c r="O705" s="10452" t="s">
        <v>6012</v>
      </c>
      <c r="P705" s="10452" t="s">
        <v>6013</v>
      </c>
      <c r="Q705" s="10453" t="s">
        <v>6014</v>
      </c>
      <c r="R705" s="3767" t="s">
        <v>79</v>
      </c>
      <c r="S705" s="5462">
        <v>531408</v>
      </c>
      <c r="T705" s="5462"/>
      <c r="U705" s="3758" t="s">
        <v>903</v>
      </c>
      <c r="V705" s="5498"/>
      <c r="W705" s="3683"/>
      <c r="X705" s="5521"/>
      <c r="Y705" s="5521"/>
      <c r="Z705" s="5521"/>
      <c r="AA705" s="5522">
        <f>SUM($Z$706:$Z$706)</f>
        <v>1179.75</v>
      </c>
      <c r="AB705" s="5580" t="s">
        <v>25</v>
      </c>
      <c r="AC705" s="4335"/>
      <c r="AD705" s="3694"/>
      <c r="AE705" s="5636"/>
      <c r="AF705" s="5636"/>
      <c r="AG705" s="10466"/>
    </row>
    <row r="706" spans="1:33" ht="18" customHeight="1">
      <c r="A706" s="11139"/>
      <c r="B706" s="11136"/>
      <c r="C706" s="11124"/>
      <c r="D706" s="11124"/>
      <c r="E706" s="11124"/>
      <c r="F706" s="11124"/>
      <c r="G706" s="11124"/>
      <c r="H706" s="11124"/>
      <c r="I706" s="11124"/>
      <c r="J706" s="11124"/>
      <c r="K706" s="11124"/>
      <c r="L706" s="11131"/>
      <c r="M706" s="11131"/>
      <c r="N706" s="11131"/>
      <c r="O706" s="11124"/>
      <c r="P706" s="11124"/>
      <c r="Q706" s="11127"/>
      <c r="R706" s="3538"/>
      <c r="S706" s="5463"/>
      <c r="T706" s="5463">
        <v>5327000117</v>
      </c>
      <c r="U706" s="3495" t="s">
        <v>6145</v>
      </c>
      <c r="V706" s="5499">
        <v>1</v>
      </c>
      <c r="W706" s="3496" t="s">
        <v>479</v>
      </c>
      <c r="X706" s="5523">
        <f>1179.75</f>
        <v>1179.75</v>
      </c>
      <c r="Y706" s="5523">
        <f t="shared" ref="Y706" si="17">+V706*X706</f>
        <v>1179.75</v>
      </c>
      <c r="Z706" s="5523">
        <f>Y706</f>
        <v>1179.75</v>
      </c>
      <c r="AA706" s="5524"/>
      <c r="AB706" s="5581"/>
      <c r="AC706" s="4324"/>
      <c r="AD706" s="3504" t="s">
        <v>153</v>
      </c>
      <c r="AE706" s="3699"/>
      <c r="AF706" s="3699"/>
      <c r="AG706" s="11115"/>
    </row>
    <row r="707" spans="1:33" ht="30.95" customHeight="1">
      <c r="A707" s="11139"/>
      <c r="B707" s="11136"/>
      <c r="C707" s="11124"/>
      <c r="D707" s="11124"/>
      <c r="E707" s="11124"/>
      <c r="F707" s="11124"/>
      <c r="G707" s="11124"/>
      <c r="H707" s="11124"/>
      <c r="I707" s="11124"/>
      <c r="J707" s="11124"/>
      <c r="K707" s="11124"/>
      <c r="L707" s="11131"/>
      <c r="M707" s="11131"/>
      <c r="N707" s="11131"/>
      <c r="O707" s="11124"/>
      <c r="P707" s="11124"/>
      <c r="Q707" s="11127"/>
      <c r="R707" s="3782" t="s">
        <v>79</v>
      </c>
      <c r="S707" s="5467">
        <v>840103</v>
      </c>
      <c r="T707" s="5467"/>
      <c r="U707" s="3542" t="s">
        <v>591</v>
      </c>
      <c r="V707" s="5499"/>
      <c r="W707" s="3496"/>
      <c r="X707" s="7821"/>
      <c r="Y707" s="7821"/>
      <c r="Z707" s="7821"/>
      <c r="AA707" s="7820">
        <f>Z708</f>
        <v>860</v>
      </c>
      <c r="AB707" s="5581" t="s">
        <v>25</v>
      </c>
      <c r="AC707" s="4324"/>
      <c r="AD707" s="3504"/>
      <c r="AE707" s="3699"/>
      <c r="AF707" s="3699"/>
      <c r="AG707" s="11115"/>
    </row>
    <row r="708" spans="1:33" ht="18" customHeight="1">
      <c r="A708" s="11139"/>
      <c r="B708" s="11136"/>
      <c r="C708" s="11124"/>
      <c r="D708" s="11124"/>
      <c r="E708" s="11124"/>
      <c r="F708" s="11124"/>
      <c r="G708" s="11124"/>
      <c r="H708" s="11124"/>
      <c r="I708" s="11124"/>
      <c r="J708" s="11124"/>
      <c r="K708" s="11124"/>
      <c r="L708" s="11131"/>
      <c r="M708" s="11131"/>
      <c r="N708" s="11131"/>
      <c r="O708" s="11124"/>
      <c r="P708" s="11124"/>
      <c r="Q708" s="11127"/>
      <c r="R708" s="3541"/>
      <c r="S708" s="5467"/>
      <c r="T708" s="5467"/>
      <c r="U708" s="3495" t="s">
        <v>6146</v>
      </c>
      <c r="V708" s="5499">
        <v>1</v>
      </c>
      <c r="W708" s="3496" t="s">
        <v>479</v>
      </c>
      <c r="X708" s="7821">
        <v>860</v>
      </c>
      <c r="Y708" s="7821">
        <f>+V708*X708</f>
        <v>860</v>
      </c>
      <c r="Z708" s="7821">
        <f>Y708</f>
        <v>860</v>
      </c>
      <c r="AA708" s="7820"/>
      <c r="AB708" s="5581"/>
      <c r="AC708" s="4324"/>
      <c r="AD708" s="3504"/>
      <c r="AE708" s="3699" t="s">
        <v>153</v>
      </c>
      <c r="AF708" s="3699"/>
      <c r="AG708" s="11115"/>
    </row>
    <row r="709" spans="1:33" ht="21.75" customHeight="1">
      <c r="A709" s="11139"/>
      <c r="B709" s="11137"/>
      <c r="C709" s="11125"/>
      <c r="D709" s="11125"/>
      <c r="E709" s="11125"/>
      <c r="F709" s="11125"/>
      <c r="G709" s="11125"/>
      <c r="H709" s="11125"/>
      <c r="I709" s="11125"/>
      <c r="J709" s="11125"/>
      <c r="K709" s="11125"/>
      <c r="L709" s="11134"/>
      <c r="M709" s="11134"/>
      <c r="N709" s="11134"/>
      <c r="O709" s="11125"/>
      <c r="P709" s="11125"/>
      <c r="Q709" s="11135"/>
      <c r="R709" s="3768"/>
      <c r="S709" s="5477"/>
      <c r="T709" s="5477"/>
      <c r="U709" s="5497"/>
      <c r="V709" s="5509"/>
      <c r="W709" s="3714"/>
      <c r="X709" s="5579"/>
      <c r="Y709" s="5579"/>
      <c r="Z709" s="5579"/>
      <c r="AA709" s="5579"/>
      <c r="AB709" s="5509"/>
      <c r="AC709" s="4339"/>
      <c r="AD709" s="3727"/>
      <c r="AE709" s="3755"/>
      <c r="AF709" s="3755"/>
      <c r="AG709" s="11116"/>
    </row>
    <row r="710" spans="1:33" ht="21.75" customHeight="1">
      <c r="A710" s="11139"/>
      <c r="B710" s="10516" t="s">
        <v>127</v>
      </c>
      <c r="C710" s="10433" t="s">
        <v>128</v>
      </c>
      <c r="D710" s="10433" t="s">
        <v>129</v>
      </c>
      <c r="E710" s="10433" t="s">
        <v>157</v>
      </c>
      <c r="F710" s="10442" t="s">
        <v>131</v>
      </c>
      <c r="G710" s="10433" t="s">
        <v>132</v>
      </c>
      <c r="H710" s="10433" t="s">
        <v>159</v>
      </c>
      <c r="I710" s="10433" t="s">
        <v>6015</v>
      </c>
      <c r="J710" s="10433" t="s">
        <v>6016</v>
      </c>
      <c r="K710" s="10433" t="s">
        <v>5761</v>
      </c>
      <c r="L710" s="11130">
        <v>2</v>
      </c>
      <c r="M710" s="11130">
        <v>0</v>
      </c>
      <c r="N710" s="11130">
        <v>2</v>
      </c>
      <c r="O710" s="10433" t="s">
        <v>6017</v>
      </c>
      <c r="P710" s="10433" t="s">
        <v>6018</v>
      </c>
      <c r="Q710" s="10439" t="s">
        <v>6147</v>
      </c>
      <c r="R710" s="3774"/>
      <c r="S710" s="5481"/>
      <c r="T710" s="5481"/>
      <c r="U710" s="3761"/>
      <c r="V710" s="5502"/>
      <c r="W710" s="3709"/>
      <c r="X710" s="5529"/>
      <c r="Y710" s="5529"/>
      <c r="Z710" s="5529"/>
      <c r="AA710" s="5530"/>
      <c r="AB710" s="5584"/>
      <c r="AC710" s="4338"/>
      <c r="AD710" s="3709"/>
      <c r="AE710" s="5626"/>
      <c r="AF710" s="5626"/>
      <c r="AG710" s="10525"/>
    </row>
    <row r="711" spans="1:33" ht="21.75" customHeight="1">
      <c r="A711" s="11139"/>
      <c r="B711" s="11136"/>
      <c r="C711" s="11124"/>
      <c r="D711" s="11124"/>
      <c r="E711" s="11124"/>
      <c r="F711" s="11124"/>
      <c r="G711" s="11124"/>
      <c r="H711" s="11124"/>
      <c r="I711" s="11124"/>
      <c r="J711" s="11124"/>
      <c r="K711" s="11124"/>
      <c r="L711" s="11131"/>
      <c r="M711" s="11131"/>
      <c r="N711" s="11131"/>
      <c r="O711" s="11124"/>
      <c r="P711" s="11124"/>
      <c r="Q711" s="11127"/>
      <c r="R711" s="3538"/>
      <c r="S711" s="5463"/>
      <c r="T711" s="5463"/>
      <c r="U711" s="3495"/>
      <c r="V711" s="5499"/>
      <c r="W711" s="3496"/>
      <c r="X711" s="5523"/>
      <c r="Y711" s="5523"/>
      <c r="Z711" s="5523"/>
      <c r="AA711" s="5524"/>
      <c r="AB711" s="5581"/>
      <c r="AC711" s="4316"/>
      <c r="AD711" s="3496"/>
      <c r="AE711" s="5610"/>
      <c r="AF711" s="5610"/>
      <c r="AG711" s="11115"/>
    </row>
    <row r="712" spans="1:33" ht="21.75" customHeight="1">
      <c r="A712" s="11139"/>
      <c r="B712" s="11136"/>
      <c r="C712" s="11124"/>
      <c r="D712" s="11124"/>
      <c r="E712" s="11124"/>
      <c r="F712" s="11124"/>
      <c r="G712" s="11124"/>
      <c r="H712" s="11124"/>
      <c r="I712" s="11124"/>
      <c r="J712" s="11124"/>
      <c r="K712" s="11124"/>
      <c r="L712" s="11131"/>
      <c r="M712" s="11131"/>
      <c r="N712" s="11131"/>
      <c r="O712" s="11124"/>
      <c r="P712" s="11124"/>
      <c r="Q712" s="11127"/>
      <c r="R712" s="3538"/>
      <c r="S712" s="5463"/>
      <c r="T712" s="5463"/>
      <c r="U712" s="3495"/>
      <c r="V712" s="5499"/>
      <c r="W712" s="3496"/>
      <c r="X712" s="5523"/>
      <c r="Y712" s="5523"/>
      <c r="Z712" s="5523"/>
      <c r="AA712" s="5524"/>
      <c r="AB712" s="5581"/>
      <c r="AC712" s="4316"/>
      <c r="AD712" s="3496"/>
      <c r="AE712" s="5610"/>
      <c r="AF712" s="5610"/>
      <c r="AG712" s="11115"/>
    </row>
    <row r="713" spans="1:33" ht="21.75" customHeight="1">
      <c r="A713" s="11139"/>
      <c r="B713" s="11136"/>
      <c r="C713" s="11124"/>
      <c r="D713" s="11124"/>
      <c r="E713" s="11124"/>
      <c r="F713" s="11124"/>
      <c r="G713" s="11124"/>
      <c r="H713" s="11124"/>
      <c r="I713" s="11124"/>
      <c r="J713" s="11124"/>
      <c r="K713" s="11124"/>
      <c r="L713" s="11131"/>
      <c r="M713" s="11131"/>
      <c r="N713" s="11131"/>
      <c r="O713" s="11124"/>
      <c r="P713" s="11124"/>
      <c r="Q713" s="11127"/>
      <c r="R713" s="3538"/>
      <c r="S713" s="5463"/>
      <c r="T713" s="5463"/>
      <c r="U713" s="3495"/>
      <c r="V713" s="5499"/>
      <c r="W713" s="3496"/>
      <c r="X713" s="5523"/>
      <c r="Y713" s="5523"/>
      <c r="Z713" s="5523"/>
      <c r="AA713" s="5524"/>
      <c r="AB713" s="5581"/>
      <c r="AC713" s="4316"/>
      <c r="AD713" s="3496"/>
      <c r="AE713" s="5610"/>
      <c r="AF713" s="5610"/>
      <c r="AG713" s="11115"/>
    </row>
    <row r="714" spans="1:33" ht="21.75" customHeight="1">
      <c r="A714" s="11139"/>
      <c r="B714" s="11138"/>
      <c r="C714" s="11126"/>
      <c r="D714" s="11126"/>
      <c r="E714" s="11126"/>
      <c r="F714" s="11126"/>
      <c r="G714" s="11126"/>
      <c r="H714" s="11126"/>
      <c r="I714" s="11126"/>
      <c r="J714" s="11126"/>
      <c r="K714" s="11126"/>
      <c r="L714" s="11132"/>
      <c r="M714" s="11132"/>
      <c r="N714" s="11132"/>
      <c r="O714" s="11126"/>
      <c r="P714" s="11126"/>
      <c r="Q714" s="11128"/>
      <c r="R714" s="3543"/>
      <c r="S714" s="5468"/>
      <c r="T714" s="5468"/>
      <c r="U714" s="3557"/>
      <c r="V714" s="5503"/>
      <c r="W714" s="3545"/>
      <c r="X714" s="5532"/>
      <c r="Y714" s="5532"/>
      <c r="Z714" s="5532"/>
      <c r="AA714" s="5533"/>
      <c r="AB714" s="5585"/>
      <c r="AC714" s="4318"/>
      <c r="AD714" s="3545"/>
      <c r="AE714" s="5625"/>
      <c r="AF714" s="5625"/>
      <c r="AG714" s="11116"/>
    </row>
    <row r="715" spans="1:33" ht="21.75" customHeight="1">
      <c r="A715" s="11139"/>
      <c r="B715" s="10512" t="s">
        <v>127</v>
      </c>
      <c r="C715" s="10444" t="s">
        <v>128</v>
      </c>
      <c r="D715" s="10444" t="s">
        <v>129</v>
      </c>
      <c r="E715" s="10444" t="s">
        <v>157</v>
      </c>
      <c r="F715" s="10451" t="s">
        <v>131</v>
      </c>
      <c r="G715" s="10444" t="s">
        <v>132</v>
      </c>
      <c r="H715" s="10444" t="s">
        <v>159</v>
      </c>
      <c r="I715" s="10444" t="s">
        <v>6020</v>
      </c>
      <c r="J715" s="10444" t="s">
        <v>6021</v>
      </c>
      <c r="K715" s="10444" t="s">
        <v>6022</v>
      </c>
      <c r="L715" s="11133">
        <v>0</v>
      </c>
      <c r="M715" s="11133">
        <v>1</v>
      </c>
      <c r="N715" s="11133">
        <v>0</v>
      </c>
      <c r="O715" s="10444" t="s">
        <v>6023</v>
      </c>
      <c r="P715" s="10444" t="s">
        <v>6024</v>
      </c>
      <c r="Q715" s="10449" t="s">
        <v>6148</v>
      </c>
      <c r="R715" s="5459"/>
      <c r="S715" s="5482"/>
      <c r="T715" s="5482"/>
      <c r="U715" s="4659"/>
      <c r="V715" s="5504"/>
      <c r="W715" s="3658"/>
      <c r="X715" s="5534"/>
      <c r="Y715" s="5534"/>
      <c r="Z715" s="5534"/>
      <c r="AA715" s="5535"/>
      <c r="AB715" s="5586"/>
      <c r="AC715" s="4314"/>
      <c r="AD715" s="3658"/>
      <c r="AE715" s="5623"/>
      <c r="AF715" s="5623"/>
      <c r="AG715" s="10525"/>
    </row>
    <row r="716" spans="1:33" ht="21.75" customHeight="1">
      <c r="A716" s="11139"/>
      <c r="B716" s="11136"/>
      <c r="C716" s="11124"/>
      <c r="D716" s="11124"/>
      <c r="E716" s="11124"/>
      <c r="F716" s="11124"/>
      <c r="G716" s="11124"/>
      <c r="H716" s="11124"/>
      <c r="I716" s="11124"/>
      <c r="J716" s="11124"/>
      <c r="K716" s="11124"/>
      <c r="L716" s="11131"/>
      <c r="M716" s="11131"/>
      <c r="N716" s="11131"/>
      <c r="O716" s="11124"/>
      <c r="P716" s="11124"/>
      <c r="Q716" s="11127"/>
      <c r="R716" s="3538"/>
      <c r="S716" s="5463"/>
      <c r="T716" s="5463"/>
      <c r="U716" s="3495"/>
      <c r="V716" s="5499"/>
      <c r="W716" s="3496"/>
      <c r="X716" s="5523"/>
      <c r="Y716" s="5523"/>
      <c r="Z716" s="5523"/>
      <c r="AA716" s="5524"/>
      <c r="AB716" s="5581"/>
      <c r="AC716" s="4316"/>
      <c r="AD716" s="3496"/>
      <c r="AE716" s="5610"/>
      <c r="AF716" s="5610"/>
      <c r="AG716" s="11115"/>
    </row>
    <row r="717" spans="1:33" ht="21.75" customHeight="1">
      <c r="A717" s="11139"/>
      <c r="B717" s="11136"/>
      <c r="C717" s="11124"/>
      <c r="D717" s="11124"/>
      <c r="E717" s="11124"/>
      <c r="F717" s="11124"/>
      <c r="G717" s="11124"/>
      <c r="H717" s="11124"/>
      <c r="I717" s="11124"/>
      <c r="J717" s="11124"/>
      <c r="K717" s="11124"/>
      <c r="L717" s="11131"/>
      <c r="M717" s="11131"/>
      <c r="N717" s="11131"/>
      <c r="O717" s="11124"/>
      <c r="P717" s="11124"/>
      <c r="Q717" s="11127"/>
      <c r="R717" s="3538"/>
      <c r="S717" s="5463"/>
      <c r="T717" s="5463"/>
      <c r="U717" s="3495"/>
      <c r="V717" s="5499"/>
      <c r="W717" s="3496"/>
      <c r="X717" s="5523"/>
      <c r="Y717" s="5523"/>
      <c r="Z717" s="5523"/>
      <c r="AA717" s="5524"/>
      <c r="AB717" s="5581"/>
      <c r="AC717" s="4316"/>
      <c r="AD717" s="3496"/>
      <c r="AE717" s="5610"/>
      <c r="AF717" s="5610"/>
      <c r="AG717" s="11115"/>
    </row>
    <row r="718" spans="1:33" ht="21.75" customHeight="1">
      <c r="A718" s="11139"/>
      <c r="B718" s="11136"/>
      <c r="C718" s="11124"/>
      <c r="D718" s="11124"/>
      <c r="E718" s="11124"/>
      <c r="F718" s="11124"/>
      <c r="G718" s="11124"/>
      <c r="H718" s="11124"/>
      <c r="I718" s="11124"/>
      <c r="J718" s="11124"/>
      <c r="K718" s="11124"/>
      <c r="L718" s="11131"/>
      <c r="M718" s="11131"/>
      <c r="N718" s="11131"/>
      <c r="O718" s="11124"/>
      <c r="P718" s="11124"/>
      <c r="Q718" s="11127"/>
      <c r="R718" s="3538"/>
      <c r="S718" s="5463"/>
      <c r="T718" s="5463"/>
      <c r="U718" s="3495"/>
      <c r="V718" s="5499"/>
      <c r="W718" s="3496"/>
      <c r="X718" s="5523"/>
      <c r="Y718" s="5523"/>
      <c r="Z718" s="5523"/>
      <c r="AA718" s="5524"/>
      <c r="AB718" s="5581"/>
      <c r="AC718" s="4316"/>
      <c r="AD718" s="3496"/>
      <c r="AE718" s="5610"/>
      <c r="AF718" s="5610"/>
      <c r="AG718" s="11115"/>
    </row>
    <row r="719" spans="1:33" ht="21.75" customHeight="1">
      <c r="A719" s="11139"/>
      <c r="B719" s="11137"/>
      <c r="C719" s="11125"/>
      <c r="D719" s="11125"/>
      <c r="E719" s="11125"/>
      <c r="F719" s="11125"/>
      <c r="G719" s="11125"/>
      <c r="H719" s="11125"/>
      <c r="I719" s="11125"/>
      <c r="J719" s="11125"/>
      <c r="K719" s="11125"/>
      <c r="L719" s="11134"/>
      <c r="M719" s="11134"/>
      <c r="N719" s="11134"/>
      <c r="O719" s="11125"/>
      <c r="P719" s="11125"/>
      <c r="Q719" s="11135"/>
      <c r="R719" s="3768"/>
      <c r="S719" s="5477"/>
      <c r="T719" s="5477"/>
      <c r="U719" s="3759"/>
      <c r="V719" s="5509"/>
      <c r="W719" s="3714"/>
      <c r="X719" s="5544"/>
      <c r="Y719" s="5544"/>
      <c r="Z719" s="5544"/>
      <c r="AA719" s="5545"/>
      <c r="AB719" s="5592"/>
      <c r="AC719" s="4320"/>
      <c r="AD719" s="3714"/>
      <c r="AE719" s="5624"/>
      <c r="AF719" s="5624"/>
      <c r="AG719" s="11116"/>
    </row>
    <row r="720" spans="1:33" ht="21.75" customHeight="1">
      <c r="A720" s="11139"/>
      <c r="B720" s="10516" t="s">
        <v>183</v>
      </c>
      <c r="C720" s="10433" t="s">
        <v>227</v>
      </c>
      <c r="D720" s="10433" t="s">
        <v>228</v>
      </c>
      <c r="E720" s="10433" t="s">
        <v>229</v>
      </c>
      <c r="F720" s="10442" t="s">
        <v>230</v>
      </c>
      <c r="G720" s="10433" t="s">
        <v>132</v>
      </c>
      <c r="H720" s="10433" t="s">
        <v>159</v>
      </c>
      <c r="I720" s="10433" t="s">
        <v>6026</v>
      </c>
      <c r="J720" s="10433" t="s">
        <v>6027</v>
      </c>
      <c r="K720" s="10433" t="s">
        <v>6022</v>
      </c>
      <c r="L720" s="11130">
        <v>0</v>
      </c>
      <c r="M720" s="11130">
        <v>1</v>
      </c>
      <c r="N720" s="11130">
        <v>1</v>
      </c>
      <c r="O720" s="10433" t="s">
        <v>6028</v>
      </c>
      <c r="P720" s="10433" t="s">
        <v>6029</v>
      </c>
      <c r="Q720" s="10439" t="s">
        <v>6148</v>
      </c>
      <c r="R720" s="3774"/>
      <c r="S720" s="5481"/>
      <c r="T720" s="5481"/>
      <c r="U720" s="3761"/>
      <c r="V720" s="5502"/>
      <c r="W720" s="3709"/>
      <c r="X720" s="5529"/>
      <c r="Y720" s="5529"/>
      <c r="Z720" s="5529"/>
      <c r="AA720" s="5530"/>
      <c r="AB720" s="5584"/>
      <c r="AC720" s="4338"/>
      <c r="AD720" s="3709"/>
      <c r="AE720" s="5626"/>
      <c r="AF720" s="5626"/>
      <c r="AG720" s="10525"/>
    </row>
    <row r="721" spans="1:33" ht="21.75" customHeight="1">
      <c r="A721" s="11139"/>
      <c r="B721" s="11136"/>
      <c r="C721" s="11124"/>
      <c r="D721" s="11124"/>
      <c r="E721" s="11124"/>
      <c r="F721" s="11124"/>
      <c r="G721" s="11124"/>
      <c r="H721" s="11124"/>
      <c r="I721" s="11124"/>
      <c r="J721" s="11124"/>
      <c r="K721" s="11124"/>
      <c r="L721" s="11131"/>
      <c r="M721" s="11131"/>
      <c r="N721" s="11131"/>
      <c r="O721" s="11124"/>
      <c r="P721" s="11124"/>
      <c r="Q721" s="11127"/>
      <c r="R721" s="3538"/>
      <c r="S721" s="5463"/>
      <c r="T721" s="5463"/>
      <c r="U721" s="3495"/>
      <c r="V721" s="5499"/>
      <c r="W721" s="3496"/>
      <c r="X721" s="5523"/>
      <c r="Y721" s="5523"/>
      <c r="Z721" s="5523"/>
      <c r="AA721" s="5524"/>
      <c r="AB721" s="5581"/>
      <c r="AC721" s="4316"/>
      <c r="AD721" s="3496"/>
      <c r="AE721" s="5610"/>
      <c r="AF721" s="5610"/>
      <c r="AG721" s="11115"/>
    </row>
    <row r="722" spans="1:33" ht="21.75" customHeight="1">
      <c r="A722" s="11139"/>
      <c r="B722" s="11136"/>
      <c r="C722" s="11124"/>
      <c r="D722" s="11124"/>
      <c r="E722" s="11124"/>
      <c r="F722" s="11124"/>
      <c r="G722" s="11124"/>
      <c r="H722" s="11124"/>
      <c r="I722" s="11124"/>
      <c r="J722" s="11124"/>
      <c r="K722" s="11124"/>
      <c r="L722" s="11131"/>
      <c r="M722" s="11131"/>
      <c r="N722" s="11131"/>
      <c r="O722" s="11124"/>
      <c r="P722" s="11124"/>
      <c r="Q722" s="11127"/>
      <c r="R722" s="3538"/>
      <c r="S722" s="5463"/>
      <c r="T722" s="5463"/>
      <c r="U722" s="3495"/>
      <c r="V722" s="5499"/>
      <c r="W722" s="3496"/>
      <c r="X722" s="5523"/>
      <c r="Y722" s="5523"/>
      <c r="Z722" s="5523"/>
      <c r="AA722" s="5524"/>
      <c r="AB722" s="5581"/>
      <c r="AC722" s="4316"/>
      <c r="AD722" s="3496"/>
      <c r="AE722" s="5610"/>
      <c r="AF722" s="5610"/>
      <c r="AG722" s="11115"/>
    </row>
    <row r="723" spans="1:33" ht="21.75" customHeight="1">
      <c r="A723" s="11139"/>
      <c r="B723" s="11136"/>
      <c r="C723" s="11124"/>
      <c r="D723" s="11124"/>
      <c r="E723" s="11124"/>
      <c r="F723" s="11124"/>
      <c r="G723" s="11124"/>
      <c r="H723" s="11124"/>
      <c r="I723" s="11124"/>
      <c r="J723" s="11124"/>
      <c r="K723" s="11124"/>
      <c r="L723" s="11131"/>
      <c r="M723" s="11131"/>
      <c r="N723" s="11131"/>
      <c r="O723" s="11124"/>
      <c r="P723" s="11124"/>
      <c r="Q723" s="11127"/>
      <c r="R723" s="3538"/>
      <c r="S723" s="5463"/>
      <c r="T723" s="5463"/>
      <c r="U723" s="3495"/>
      <c r="V723" s="5499"/>
      <c r="W723" s="3496"/>
      <c r="X723" s="5523"/>
      <c r="Y723" s="5523"/>
      <c r="Z723" s="5523"/>
      <c r="AA723" s="5524"/>
      <c r="AB723" s="5581"/>
      <c r="AC723" s="4316"/>
      <c r="AD723" s="3496"/>
      <c r="AE723" s="5610"/>
      <c r="AF723" s="5610"/>
      <c r="AG723" s="11115"/>
    </row>
    <row r="724" spans="1:33" ht="21.75" customHeight="1">
      <c r="A724" s="11139"/>
      <c r="B724" s="11138"/>
      <c r="C724" s="11126"/>
      <c r="D724" s="11126"/>
      <c r="E724" s="11126"/>
      <c r="F724" s="11126"/>
      <c r="G724" s="11126"/>
      <c r="H724" s="11126"/>
      <c r="I724" s="11126"/>
      <c r="J724" s="11126"/>
      <c r="K724" s="11126"/>
      <c r="L724" s="11132"/>
      <c r="M724" s="11132"/>
      <c r="N724" s="11132"/>
      <c r="O724" s="11126"/>
      <c r="P724" s="11126"/>
      <c r="Q724" s="11128"/>
      <c r="R724" s="3543"/>
      <c r="S724" s="5468"/>
      <c r="T724" s="5468"/>
      <c r="U724" s="3557"/>
      <c r="V724" s="5503"/>
      <c r="W724" s="3545"/>
      <c r="X724" s="5532"/>
      <c r="Y724" s="5532"/>
      <c r="Z724" s="5532"/>
      <c r="AA724" s="5533"/>
      <c r="AB724" s="5585"/>
      <c r="AC724" s="4318"/>
      <c r="AD724" s="3545"/>
      <c r="AE724" s="5625"/>
      <c r="AF724" s="5625"/>
      <c r="AG724" s="11116"/>
    </row>
    <row r="725" spans="1:33" ht="21.75" customHeight="1">
      <c r="A725" s="11139"/>
      <c r="B725" s="10512" t="s">
        <v>183</v>
      </c>
      <c r="C725" s="10444" t="s">
        <v>227</v>
      </c>
      <c r="D725" s="10444" t="s">
        <v>185</v>
      </c>
      <c r="E725" s="10444" t="s">
        <v>1938</v>
      </c>
      <c r="F725" s="10451" t="s">
        <v>230</v>
      </c>
      <c r="G725" s="10444" t="s">
        <v>171</v>
      </c>
      <c r="H725" s="10444" t="s">
        <v>133</v>
      </c>
      <c r="I725" s="10444" t="s">
        <v>6030</v>
      </c>
      <c r="J725" s="10444" t="s">
        <v>6031</v>
      </c>
      <c r="K725" s="10444" t="s">
        <v>5900</v>
      </c>
      <c r="L725" s="11133">
        <v>1</v>
      </c>
      <c r="M725" s="11133">
        <v>0</v>
      </c>
      <c r="N725" s="11133">
        <v>1</v>
      </c>
      <c r="O725" s="10444" t="s">
        <v>6032</v>
      </c>
      <c r="P725" s="10444" t="s">
        <v>5902</v>
      </c>
      <c r="Q725" s="10449" t="s">
        <v>6149</v>
      </c>
      <c r="R725" s="5459"/>
      <c r="S725" s="5482"/>
      <c r="T725" s="5482"/>
      <c r="U725" s="4659"/>
      <c r="V725" s="5504"/>
      <c r="W725" s="3658"/>
      <c r="X725" s="5534"/>
      <c r="Y725" s="5534"/>
      <c r="Z725" s="5534"/>
      <c r="AA725" s="5535"/>
      <c r="AB725" s="5586"/>
      <c r="AC725" s="4314"/>
      <c r="AD725" s="3658"/>
      <c r="AE725" s="5623"/>
      <c r="AF725" s="5623"/>
      <c r="AG725" s="10525"/>
    </row>
    <row r="726" spans="1:33" ht="21.75" customHeight="1">
      <c r="A726" s="11139"/>
      <c r="B726" s="11136"/>
      <c r="C726" s="11124"/>
      <c r="D726" s="11124"/>
      <c r="E726" s="11124"/>
      <c r="F726" s="11124"/>
      <c r="G726" s="11124"/>
      <c r="H726" s="11124"/>
      <c r="I726" s="11124"/>
      <c r="J726" s="11124"/>
      <c r="K726" s="11124"/>
      <c r="L726" s="11131"/>
      <c r="M726" s="11131"/>
      <c r="N726" s="11131"/>
      <c r="O726" s="11124"/>
      <c r="P726" s="11124"/>
      <c r="Q726" s="11127"/>
      <c r="R726" s="3538"/>
      <c r="S726" s="5463"/>
      <c r="T726" s="5463"/>
      <c r="U726" s="3495"/>
      <c r="V726" s="5499"/>
      <c r="W726" s="3496"/>
      <c r="X726" s="5523"/>
      <c r="Y726" s="5523"/>
      <c r="Z726" s="5523"/>
      <c r="AA726" s="5524"/>
      <c r="AB726" s="5581"/>
      <c r="AC726" s="4316"/>
      <c r="AD726" s="3496"/>
      <c r="AE726" s="5610"/>
      <c r="AF726" s="5610"/>
      <c r="AG726" s="11115"/>
    </row>
    <row r="727" spans="1:33" ht="21.75" customHeight="1">
      <c r="A727" s="11139"/>
      <c r="B727" s="11136"/>
      <c r="C727" s="11124"/>
      <c r="D727" s="11124"/>
      <c r="E727" s="11124"/>
      <c r="F727" s="11124"/>
      <c r="G727" s="11124"/>
      <c r="H727" s="11124"/>
      <c r="I727" s="11124"/>
      <c r="J727" s="11124"/>
      <c r="K727" s="11124"/>
      <c r="L727" s="11131"/>
      <c r="M727" s="11131"/>
      <c r="N727" s="11131"/>
      <c r="O727" s="11124"/>
      <c r="P727" s="11124"/>
      <c r="Q727" s="11127"/>
      <c r="R727" s="3538"/>
      <c r="S727" s="5463"/>
      <c r="T727" s="5463"/>
      <c r="U727" s="3495"/>
      <c r="V727" s="5499"/>
      <c r="W727" s="3496"/>
      <c r="X727" s="5523"/>
      <c r="Y727" s="5523"/>
      <c r="Z727" s="5523"/>
      <c r="AA727" s="5524"/>
      <c r="AB727" s="5581"/>
      <c r="AC727" s="4316"/>
      <c r="AD727" s="3496"/>
      <c r="AE727" s="5610"/>
      <c r="AF727" s="5610"/>
      <c r="AG727" s="11115"/>
    </row>
    <row r="728" spans="1:33" ht="21.75" customHeight="1">
      <c r="A728" s="11139"/>
      <c r="B728" s="11136"/>
      <c r="C728" s="11124"/>
      <c r="D728" s="11124"/>
      <c r="E728" s="11124"/>
      <c r="F728" s="11124"/>
      <c r="G728" s="11124"/>
      <c r="H728" s="11124"/>
      <c r="I728" s="11124"/>
      <c r="J728" s="11124"/>
      <c r="K728" s="11124"/>
      <c r="L728" s="11131"/>
      <c r="M728" s="11131"/>
      <c r="N728" s="11131"/>
      <c r="O728" s="11124"/>
      <c r="P728" s="11124"/>
      <c r="Q728" s="11127"/>
      <c r="R728" s="3538"/>
      <c r="S728" s="5463"/>
      <c r="T728" s="5463"/>
      <c r="U728" s="3495"/>
      <c r="V728" s="5499"/>
      <c r="W728" s="3496"/>
      <c r="X728" s="5523"/>
      <c r="Y728" s="5523"/>
      <c r="Z728" s="5523"/>
      <c r="AA728" s="5524"/>
      <c r="AB728" s="5581"/>
      <c r="AC728" s="4316"/>
      <c r="AD728" s="3496"/>
      <c r="AE728" s="5610"/>
      <c r="AF728" s="5610"/>
      <c r="AG728" s="11115"/>
    </row>
    <row r="729" spans="1:33" ht="21.75" customHeight="1">
      <c r="A729" s="11139"/>
      <c r="B729" s="11137"/>
      <c r="C729" s="11125"/>
      <c r="D729" s="11125"/>
      <c r="E729" s="11125"/>
      <c r="F729" s="11125"/>
      <c r="G729" s="11125"/>
      <c r="H729" s="11125"/>
      <c r="I729" s="11125"/>
      <c r="J729" s="11125"/>
      <c r="K729" s="11125"/>
      <c r="L729" s="11134"/>
      <c r="M729" s="11134"/>
      <c r="N729" s="11134"/>
      <c r="O729" s="11125"/>
      <c r="P729" s="11125"/>
      <c r="Q729" s="11135"/>
      <c r="R729" s="3768"/>
      <c r="S729" s="5477"/>
      <c r="T729" s="5477"/>
      <c r="U729" s="3759"/>
      <c r="V729" s="5509"/>
      <c r="W729" s="3714"/>
      <c r="X729" s="5544"/>
      <c r="Y729" s="5544"/>
      <c r="Z729" s="5544"/>
      <c r="AA729" s="5545"/>
      <c r="AB729" s="5592"/>
      <c r="AC729" s="4320"/>
      <c r="AD729" s="3714"/>
      <c r="AE729" s="5624"/>
      <c r="AF729" s="5624"/>
      <c r="AG729" s="11116"/>
    </row>
    <row r="730" spans="1:33" ht="21.75" customHeight="1">
      <c r="A730" s="11139"/>
      <c r="B730" s="10516" t="s">
        <v>127</v>
      </c>
      <c r="C730" s="10433" t="s">
        <v>128</v>
      </c>
      <c r="D730" s="10433" t="s">
        <v>129</v>
      </c>
      <c r="E730" s="10433" t="s">
        <v>157</v>
      </c>
      <c r="F730" s="10442" t="s">
        <v>131</v>
      </c>
      <c r="G730" s="10433" t="s">
        <v>132</v>
      </c>
      <c r="H730" s="10433" t="s">
        <v>159</v>
      </c>
      <c r="I730" s="10433" t="s">
        <v>6034</v>
      </c>
      <c r="J730" s="10433" t="s">
        <v>6035</v>
      </c>
      <c r="K730" s="10433" t="s">
        <v>6036</v>
      </c>
      <c r="L730" s="11130">
        <v>1</v>
      </c>
      <c r="M730" s="11130">
        <v>2</v>
      </c>
      <c r="N730" s="11130">
        <v>2</v>
      </c>
      <c r="O730" s="10433" t="s">
        <v>6037</v>
      </c>
      <c r="P730" s="10433" t="s">
        <v>6038</v>
      </c>
      <c r="Q730" s="10439" t="s">
        <v>6148</v>
      </c>
      <c r="R730" s="3774"/>
      <c r="S730" s="5481"/>
      <c r="T730" s="5481"/>
      <c r="U730" s="3761"/>
      <c r="V730" s="5502"/>
      <c r="W730" s="3709"/>
      <c r="X730" s="5529"/>
      <c r="Y730" s="5529"/>
      <c r="Z730" s="5529"/>
      <c r="AA730" s="5530"/>
      <c r="AB730" s="5584"/>
      <c r="AC730" s="4338"/>
      <c r="AD730" s="3709"/>
      <c r="AE730" s="5626"/>
      <c r="AF730" s="5626"/>
      <c r="AG730" s="10525"/>
    </row>
    <row r="731" spans="1:33" ht="21.75" customHeight="1">
      <c r="A731" s="11139"/>
      <c r="B731" s="11136"/>
      <c r="C731" s="11124"/>
      <c r="D731" s="11124"/>
      <c r="E731" s="11124"/>
      <c r="F731" s="11124"/>
      <c r="G731" s="11124"/>
      <c r="H731" s="11124"/>
      <c r="I731" s="11124"/>
      <c r="J731" s="11124"/>
      <c r="K731" s="11124"/>
      <c r="L731" s="11131"/>
      <c r="M731" s="11131"/>
      <c r="N731" s="11131"/>
      <c r="O731" s="11124"/>
      <c r="P731" s="11124"/>
      <c r="Q731" s="11127"/>
      <c r="R731" s="3538"/>
      <c r="S731" s="5463"/>
      <c r="T731" s="5463"/>
      <c r="U731" s="3495"/>
      <c r="V731" s="5499"/>
      <c r="W731" s="3496"/>
      <c r="X731" s="5523"/>
      <c r="Y731" s="5523"/>
      <c r="Z731" s="5523"/>
      <c r="AA731" s="5524"/>
      <c r="AB731" s="5581"/>
      <c r="AC731" s="4316"/>
      <c r="AD731" s="3496"/>
      <c r="AE731" s="5610"/>
      <c r="AF731" s="5610"/>
      <c r="AG731" s="11115"/>
    </row>
    <row r="732" spans="1:33" ht="21.75" customHeight="1">
      <c r="A732" s="11139"/>
      <c r="B732" s="11136"/>
      <c r="C732" s="11124"/>
      <c r="D732" s="11124"/>
      <c r="E732" s="11124"/>
      <c r="F732" s="11124"/>
      <c r="G732" s="11124"/>
      <c r="H732" s="11124"/>
      <c r="I732" s="11124"/>
      <c r="J732" s="11124"/>
      <c r="K732" s="11124"/>
      <c r="L732" s="11131"/>
      <c r="M732" s="11131"/>
      <c r="N732" s="11131"/>
      <c r="O732" s="11124"/>
      <c r="P732" s="11124"/>
      <c r="Q732" s="11127"/>
      <c r="R732" s="3538"/>
      <c r="S732" s="5463"/>
      <c r="T732" s="5463"/>
      <c r="U732" s="3495"/>
      <c r="V732" s="5499"/>
      <c r="W732" s="3496"/>
      <c r="X732" s="5523"/>
      <c r="Y732" s="5523"/>
      <c r="Z732" s="5523"/>
      <c r="AA732" s="5524"/>
      <c r="AB732" s="5581"/>
      <c r="AC732" s="4316"/>
      <c r="AD732" s="3496"/>
      <c r="AE732" s="5610"/>
      <c r="AF732" s="5610"/>
      <c r="AG732" s="11115"/>
    </row>
    <row r="733" spans="1:33" ht="21.75" customHeight="1">
      <c r="A733" s="11139"/>
      <c r="B733" s="11136"/>
      <c r="C733" s="11124"/>
      <c r="D733" s="11124"/>
      <c r="E733" s="11124"/>
      <c r="F733" s="11124"/>
      <c r="G733" s="11124"/>
      <c r="H733" s="11124"/>
      <c r="I733" s="11124"/>
      <c r="J733" s="11124"/>
      <c r="K733" s="11124"/>
      <c r="L733" s="11131"/>
      <c r="M733" s="11131"/>
      <c r="N733" s="11131"/>
      <c r="O733" s="11124"/>
      <c r="P733" s="11124"/>
      <c r="Q733" s="11127"/>
      <c r="R733" s="3538"/>
      <c r="S733" s="5463"/>
      <c r="T733" s="5463"/>
      <c r="U733" s="3495"/>
      <c r="V733" s="5499"/>
      <c r="W733" s="3496"/>
      <c r="X733" s="5523"/>
      <c r="Y733" s="5523"/>
      <c r="Z733" s="5523"/>
      <c r="AA733" s="5524"/>
      <c r="AB733" s="5581"/>
      <c r="AC733" s="4316"/>
      <c r="AD733" s="3496"/>
      <c r="AE733" s="5610"/>
      <c r="AF733" s="5610"/>
      <c r="AG733" s="11115"/>
    </row>
    <row r="734" spans="1:33" ht="21.75" customHeight="1">
      <c r="A734" s="11139"/>
      <c r="B734" s="11138"/>
      <c r="C734" s="11126"/>
      <c r="D734" s="11126"/>
      <c r="E734" s="11126"/>
      <c r="F734" s="11126"/>
      <c r="G734" s="11126"/>
      <c r="H734" s="11126"/>
      <c r="I734" s="11126"/>
      <c r="J734" s="11126"/>
      <c r="K734" s="11126"/>
      <c r="L734" s="11132"/>
      <c r="M734" s="11132"/>
      <c r="N734" s="11132"/>
      <c r="O734" s="11126"/>
      <c r="P734" s="11126"/>
      <c r="Q734" s="11128"/>
      <c r="R734" s="3543"/>
      <c r="S734" s="5468"/>
      <c r="T734" s="5468"/>
      <c r="U734" s="3557"/>
      <c r="V734" s="5503"/>
      <c r="W734" s="3545"/>
      <c r="X734" s="5532"/>
      <c r="Y734" s="5532"/>
      <c r="Z734" s="5532"/>
      <c r="AA734" s="5533"/>
      <c r="AB734" s="5585"/>
      <c r="AC734" s="4318"/>
      <c r="AD734" s="3545"/>
      <c r="AE734" s="5625"/>
      <c r="AF734" s="5625"/>
      <c r="AG734" s="11116"/>
    </row>
    <row r="735" spans="1:33" ht="21.75" customHeight="1">
      <c r="A735" s="11139"/>
      <c r="B735" s="10512" t="s">
        <v>183</v>
      </c>
      <c r="C735" s="10444" t="s">
        <v>227</v>
      </c>
      <c r="D735" s="10444" t="s">
        <v>228</v>
      </c>
      <c r="E735" s="10444" t="s">
        <v>229</v>
      </c>
      <c r="F735" s="10451" t="s">
        <v>230</v>
      </c>
      <c r="G735" s="10444" t="s">
        <v>132</v>
      </c>
      <c r="H735" s="10444" t="s">
        <v>159</v>
      </c>
      <c r="I735" s="10444" t="s">
        <v>6039</v>
      </c>
      <c r="J735" s="10444" t="s">
        <v>6040</v>
      </c>
      <c r="K735" s="10444" t="s">
        <v>6022</v>
      </c>
      <c r="L735" s="11133">
        <v>0</v>
      </c>
      <c r="M735" s="11133">
        <v>1</v>
      </c>
      <c r="N735" s="11133">
        <v>0</v>
      </c>
      <c r="O735" s="10444" t="s">
        <v>6041</v>
      </c>
      <c r="P735" s="10444" t="s">
        <v>6042</v>
      </c>
      <c r="Q735" s="10449" t="s">
        <v>6148</v>
      </c>
      <c r="R735" s="5459"/>
      <c r="S735" s="5482"/>
      <c r="T735" s="5482"/>
      <c r="U735" s="4659"/>
      <c r="V735" s="5504"/>
      <c r="W735" s="3658"/>
      <c r="X735" s="5534"/>
      <c r="Y735" s="5534"/>
      <c r="Z735" s="5534"/>
      <c r="AA735" s="5535"/>
      <c r="AB735" s="5586"/>
      <c r="AC735" s="4314"/>
      <c r="AD735" s="3658"/>
      <c r="AE735" s="5623"/>
      <c r="AF735" s="5623"/>
      <c r="AG735" s="10525"/>
    </row>
    <row r="736" spans="1:33" ht="21.75" customHeight="1">
      <c r="A736" s="11139"/>
      <c r="B736" s="11136"/>
      <c r="C736" s="11124"/>
      <c r="D736" s="11124"/>
      <c r="E736" s="11124"/>
      <c r="F736" s="11124"/>
      <c r="G736" s="11124"/>
      <c r="H736" s="11124"/>
      <c r="I736" s="11124"/>
      <c r="J736" s="11124"/>
      <c r="K736" s="11124"/>
      <c r="L736" s="11131"/>
      <c r="M736" s="11131"/>
      <c r="N736" s="11131"/>
      <c r="O736" s="11124"/>
      <c r="P736" s="11124"/>
      <c r="Q736" s="11127"/>
      <c r="R736" s="3538"/>
      <c r="S736" s="5463"/>
      <c r="T736" s="5463"/>
      <c r="U736" s="3495"/>
      <c r="V736" s="5499"/>
      <c r="W736" s="3496"/>
      <c r="X736" s="5523"/>
      <c r="Y736" s="5523"/>
      <c r="Z736" s="5523"/>
      <c r="AA736" s="5524"/>
      <c r="AB736" s="5581"/>
      <c r="AC736" s="4316"/>
      <c r="AD736" s="3496"/>
      <c r="AE736" s="5610"/>
      <c r="AF736" s="5610"/>
      <c r="AG736" s="11115"/>
    </row>
    <row r="737" spans="1:33" ht="21.75" customHeight="1">
      <c r="A737" s="11139"/>
      <c r="B737" s="11136"/>
      <c r="C737" s="11124"/>
      <c r="D737" s="11124"/>
      <c r="E737" s="11124"/>
      <c r="F737" s="11124"/>
      <c r="G737" s="11124"/>
      <c r="H737" s="11124"/>
      <c r="I737" s="11124"/>
      <c r="J737" s="11124"/>
      <c r="K737" s="11124"/>
      <c r="L737" s="11131"/>
      <c r="M737" s="11131"/>
      <c r="N737" s="11131"/>
      <c r="O737" s="11124"/>
      <c r="P737" s="11124"/>
      <c r="Q737" s="11127"/>
      <c r="R737" s="3538"/>
      <c r="S737" s="5463"/>
      <c r="T737" s="5463"/>
      <c r="U737" s="3495"/>
      <c r="V737" s="5499"/>
      <c r="W737" s="3496"/>
      <c r="X737" s="5523"/>
      <c r="Y737" s="5523"/>
      <c r="Z737" s="5523"/>
      <c r="AA737" s="5524"/>
      <c r="AB737" s="5581"/>
      <c r="AC737" s="4316"/>
      <c r="AD737" s="3496"/>
      <c r="AE737" s="5610"/>
      <c r="AF737" s="5610"/>
      <c r="AG737" s="11115"/>
    </row>
    <row r="738" spans="1:33" ht="21.75" customHeight="1">
      <c r="A738" s="11139"/>
      <c r="B738" s="11136"/>
      <c r="C738" s="11124"/>
      <c r="D738" s="11124"/>
      <c r="E738" s="11124"/>
      <c r="F738" s="11124"/>
      <c r="G738" s="11124"/>
      <c r="H738" s="11124"/>
      <c r="I738" s="11124"/>
      <c r="J738" s="11124"/>
      <c r="K738" s="11124"/>
      <c r="L738" s="11131"/>
      <c r="M738" s="11131"/>
      <c r="N738" s="11131"/>
      <c r="O738" s="11124"/>
      <c r="P738" s="11124"/>
      <c r="Q738" s="11127"/>
      <c r="R738" s="3538"/>
      <c r="S738" s="5463"/>
      <c r="T738" s="5463"/>
      <c r="U738" s="3495"/>
      <c r="V738" s="5499"/>
      <c r="W738" s="3496"/>
      <c r="X738" s="5523"/>
      <c r="Y738" s="5523"/>
      <c r="Z738" s="5523"/>
      <c r="AA738" s="5524"/>
      <c r="AB738" s="5581"/>
      <c r="AC738" s="4316"/>
      <c r="AD738" s="3496"/>
      <c r="AE738" s="5610"/>
      <c r="AF738" s="5610"/>
      <c r="AG738" s="11115"/>
    </row>
    <row r="739" spans="1:33" ht="21.75" customHeight="1">
      <c r="A739" s="11139"/>
      <c r="B739" s="11137"/>
      <c r="C739" s="11125"/>
      <c r="D739" s="11125"/>
      <c r="E739" s="11125"/>
      <c r="F739" s="11125"/>
      <c r="G739" s="11125"/>
      <c r="H739" s="11125"/>
      <c r="I739" s="11125"/>
      <c r="J739" s="11125"/>
      <c r="K739" s="11125"/>
      <c r="L739" s="11134"/>
      <c r="M739" s="11134"/>
      <c r="N739" s="11134"/>
      <c r="O739" s="11125"/>
      <c r="P739" s="11125"/>
      <c r="Q739" s="11135"/>
      <c r="R739" s="3768"/>
      <c r="S739" s="5477"/>
      <c r="T739" s="5477"/>
      <c r="U739" s="3759"/>
      <c r="V739" s="5509"/>
      <c r="W739" s="3714"/>
      <c r="X739" s="5544"/>
      <c r="Y739" s="5544"/>
      <c r="Z739" s="5544"/>
      <c r="AA739" s="5545"/>
      <c r="AB739" s="5592"/>
      <c r="AC739" s="4320"/>
      <c r="AD739" s="3714"/>
      <c r="AE739" s="5624"/>
      <c r="AF739" s="5624"/>
      <c r="AG739" s="11116"/>
    </row>
    <row r="740" spans="1:33" ht="21.75" customHeight="1">
      <c r="A740" s="11139"/>
      <c r="B740" s="10516" t="s">
        <v>183</v>
      </c>
      <c r="C740" s="10433" t="s">
        <v>227</v>
      </c>
      <c r="D740" s="10433" t="s">
        <v>228</v>
      </c>
      <c r="E740" s="10433" t="s">
        <v>229</v>
      </c>
      <c r="F740" s="10442" t="s">
        <v>230</v>
      </c>
      <c r="G740" s="10433" t="s">
        <v>132</v>
      </c>
      <c r="H740" s="10433" t="s">
        <v>159</v>
      </c>
      <c r="I740" s="10433" t="s">
        <v>6043</v>
      </c>
      <c r="J740" s="10433" t="s">
        <v>6044</v>
      </c>
      <c r="K740" s="10433" t="s">
        <v>5882</v>
      </c>
      <c r="L740" s="11130">
        <v>2</v>
      </c>
      <c r="M740" s="11130">
        <v>0</v>
      </c>
      <c r="N740" s="11130">
        <v>2</v>
      </c>
      <c r="O740" s="10433" t="s">
        <v>6045</v>
      </c>
      <c r="P740" s="10433" t="s">
        <v>6046</v>
      </c>
      <c r="Q740" s="10439" t="s">
        <v>6148</v>
      </c>
      <c r="R740" s="3774"/>
      <c r="S740" s="5481"/>
      <c r="T740" s="5481"/>
      <c r="U740" s="3761"/>
      <c r="V740" s="5502"/>
      <c r="W740" s="3709"/>
      <c r="X740" s="5529"/>
      <c r="Y740" s="5529"/>
      <c r="Z740" s="5529"/>
      <c r="AA740" s="5530"/>
      <c r="AB740" s="5584"/>
      <c r="AC740" s="4338"/>
      <c r="AD740" s="3709"/>
      <c r="AE740" s="5626"/>
      <c r="AF740" s="5626"/>
      <c r="AG740" s="10525"/>
    </row>
    <row r="741" spans="1:33" ht="21.75" customHeight="1">
      <c r="A741" s="11139"/>
      <c r="B741" s="11136"/>
      <c r="C741" s="11124"/>
      <c r="D741" s="11124"/>
      <c r="E741" s="11124"/>
      <c r="F741" s="11124"/>
      <c r="G741" s="11124"/>
      <c r="H741" s="11124"/>
      <c r="I741" s="11124"/>
      <c r="J741" s="11124"/>
      <c r="K741" s="11124"/>
      <c r="L741" s="11131"/>
      <c r="M741" s="11131"/>
      <c r="N741" s="11131"/>
      <c r="O741" s="11124"/>
      <c r="P741" s="11124"/>
      <c r="Q741" s="11127"/>
      <c r="R741" s="3538"/>
      <c r="S741" s="5463"/>
      <c r="T741" s="5463"/>
      <c r="U741" s="3495"/>
      <c r="V741" s="5499"/>
      <c r="W741" s="3496"/>
      <c r="X741" s="5523"/>
      <c r="Y741" s="5523"/>
      <c r="Z741" s="5523"/>
      <c r="AA741" s="5524"/>
      <c r="AB741" s="5581"/>
      <c r="AC741" s="4316"/>
      <c r="AD741" s="3496"/>
      <c r="AE741" s="5610"/>
      <c r="AF741" s="5610"/>
      <c r="AG741" s="11115"/>
    </row>
    <row r="742" spans="1:33" ht="21.75" customHeight="1">
      <c r="A742" s="11139"/>
      <c r="B742" s="11136"/>
      <c r="C742" s="11124"/>
      <c r="D742" s="11124"/>
      <c r="E742" s="11124"/>
      <c r="F742" s="11124"/>
      <c r="G742" s="11124"/>
      <c r="H742" s="11124"/>
      <c r="I742" s="11124"/>
      <c r="J742" s="11124"/>
      <c r="K742" s="11124"/>
      <c r="L742" s="11131"/>
      <c r="M742" s="11131"/>
      <c r="N742" s="11131"/>
      <c r="O742" s="11124"/>
      <c r="P742" s="11124"/>
      <c r="Q742" s="11127"/>
      <c r="R742" s="3538"/>
      <c r="S742" s="5463"/>
      <c r="T742" s="5463"/>
      <c r="U742" s="3495"/>
      <c r="V742" s="5499"/>
      <c r="W742" s="3496"/>
      <c r="X742" s="5523"/>
      <c r="Y742" s="5523"/>
      <c r="Z742" s="5523"/>
      <c r="AA742" s="5524"/>
      <c r="AB742" s="5581"/>
      <c r="AC742" s="4316"/>
      <c r="AD742" s="3496"/>
      <c r="AE742" s="5610"/>
      <c r="AF742" s="5610"/>
      <c r="AG742" s="11115"/>
    </row>
    <row r="743" spans="1:33" ht="21.75" customHeight="1">
      <c r="A743" s="11139"/>
      <c r="B743" s="11136"/>
      <c r="C743" s="11124"/>
      <c r="D743" s="11124"/>
      <c r="E743" s="11124"/>
      <c r="F743" s="11124"/>
      <c r="G743" s="11124"/>
      <c r="H743" s="11124"/>
      <c r="I743" s="11124"/>
      <c r="J743" s="11124"/>
      <c r="K743" s="11124"/>
      <c r="L743" s="11131"/>
      <c r="M743" s="11131"/>
      <c r="N743" s="11131"/>
      <c r="O743" s="11124"/>
      <c r="P743" s="11124"/>
      <c r="Q743" s="11127"/>
      <c r="R743" s="3538"/>
      <c r="S743" s="5463"/>
      <c r="T743" s="5463"/>
      <c r="U743" s="3495"/>
      <c r="V743" s="5499"/>
      <c r="W743" s="3496"/>
      <c r="X743" s="5523"/>
      <c r="Y743" s="5523"/>
      <c r="Z743" s="5523"/>
      <c r="AA743" s="5524"/>
      <c r="AB743" s="5581"/>
      <c r="AC743" s="4316"/>
      <c r="AD743" s="3496"/>
      <c r="AE743" s="5610"/>
      <c r="AF743" s="5610"/>
      <c r="AG743" s="11115"/>
    </row>
    <row r="744" spans="1:33" ht="21.75" customHeight="1">
      <c r="A744" s="11139"/>
      <c r="B744" s="11138"/>
      <c r="C744" s="11126"/>
      <c r="D744" s="11126"/>
      <c r="E744" s="11126"/>
      <c r="F744" s="11126"/>
      <c r="G744" s="11126"/>
      <c r="H744" s="11126"/>
      <c r="I744" s="11126"/>
      <c r="J744" s="11126"/>
      <c r="K744" s="11126"/>
      <c r="L744" s="11132"/>
      <c r="M744" s="11132"/>
      <c r="N744" s="11132"/>
      <c r="O744" s="11126"/>
      <c r="P744" s="11126"/>
      <c r="Q744" s="11128"/>
      <c r="R744" s="3543"/>
      <c r="S744" s="5468"/>
      <c r="T744" s="5468"/>
      <c r="U744" s="3557"/>
      <c r="V744" s="5503"/>
      <c r="W744" s="3545"/>
      <c r="X744" s="5532"/>
      <c r="Y744" s="5532"/>
      <c r="Z744" s="5532"/>
      <c r="AA744" s="5533"/>
      <c r="AB744" s="5585"/>
      <c r="AC744" s="4318"/>
      <c r="AD744" s="3545"/>
      <c r="AE744" s="5625"/>
      <c r="AF744" s="5625"/>
      <c r="AG744" s="11116"/>
    </row>
    <row r="745" spans="1:33" ht="21.75" customHeight="1">
      <c r="A745" s="11139"/>
      <c r="B745" s="10512" t="s">
        <v>183</v>
      </c>
      <c r="C745" s="10444" t="s">
        <v>227</v>
      </c>
      <c r="D745" s="10444" t="s">
        <v>228</v>
      </c>
      <c r="E745" s="10444" t="s">
        <v>229</v>
      </c>
      <c r="F745" s="10451" t="s">
        <v>230</v>
      </c>
      <c r="G745" s="10444" t="s">
        <v>132</v>
      </c>
      <c r="H745" s="10444" t="s">
        <v>159</v>
      </c>
      <c r="I745" s="10444" t="s">
        <v>6047</v>
      </c>
      <c r="J745" s="10444" t="s">
        <v>6048</v>
      </c>
      <c r="K745" s="10444" t="s">
        <v>6049</v>
      </c>
      <c r="L745" s="11133">
        <v>4</v>
      </c>
      <c r="M745" s="11133">
        <v>4</v>
      </c>
      <c r="N745" s="11133">
        <v>4</v>
      </c>
      <c r="O745" s="10444" t="s">
        <v>6050</v>
      </c>
      <c r="P745" s="10444" t="s">
        <v>6051</v>
      </c>
      <c r="Q745" s="10449" t="s">
        <v>6150</v>
      </c>
      <c r="R745" s="5459"/>
      <c r="S745" s="5482"/>
      <c r="T745" s="5482"/>
      <c r="U745" s="4659"/>
      <c r="V745" s="5504"/>
      <c r="W745" s="3658"/>
      <c r="X745" s="5534"/>
      <c r="Y745" s="5534"/>
      <c r="Z745" s="5534"/>
      <c r="AA745" s="5535"/>
      <c r="AB745" s="5586"/>
      <c r="AC745" s="4314"/>
      <c r="AD745" s="3658"/>
      <c r="AE745" s="5623"/>
      <c r="AF745" s="5623"/>
      <c r="AG745" s="10525"/>
    </row>
    <row r="746" spans="1:33" ht="21.75" customHeight="1">
      <c r="A746" s="11139"/>
      <c r="B746" s="11136"/>
      <c r="C746" s="11124"/>
      <c r="D746" s="11124"/>
      <c r="E746" s="11124"/>
      <c r="F746" s="11124"/>
      <c r="G746" s="11124"/>
      <c r="H746" s="11124"/>
      <c r="I746" s="11124"/>
      <c r="J746" s="11124"/>
      <c r="K746" s="11124"/>
      <c r="L746" s="11131"/>
      <c r="M746" s="11131"/>
      <c r="N746" s="11131"/>
      <c r="O746" s="11124"/>
      <c r="P746" s="11124"/>
      <c r="Q746" s="11127"/>
      <c r="R746" s="3538"/>
      <c r="S746" s="5463"/>
      <c r="T746" s="5463"/>
      <c r="U746" s="3495"/>
      <c r="V746" s="5499"/>
      <c r="W746" s="3496"/>
      <c r="X746" s="5523"/>
      <c r="Y746" s="5523"/>
      <c r="Z746" s="5523"/>
      <c r="AA746" s="5524"/>
      <c r="AB746" s="5581"/>
      <c r="AC746" s="4316"/>
      <c r="AD746" s="3496"/>
      <c r="AE746" s="5610"/>
      <c r="AF746" s="5610"/>
      <c r="AG746" s="11115"/>
    </row>
    <row r="747" spans="1:33" ht="21.75" customHeight="1">
      <c r="A747" s="11139"/>
      <c r="B747" s="11136"/>
      <c r="C747" s="11124"/>
      <c r="D747" s="11124"/>
      <c r="E747" s="11124"/>
      <c r="F747" s="11124"/>
      <c r="G747" s="11124"/>
      <c r="H747" s="11124"/>
      <c r="I747" s="11124"/>
      <c r="J747" s="11124"/>
      <c r="K747" s="11124"/>
      <c r="L747" s="11131"/>
      <c r="M747" s="11131"/>
      <c r="N747" s="11131"/>
      <c r="O747" s="11124"/>
      <c r="P747" s="11124"/>
      <c r="Q747" s="11127"/>
      <c r="R747" s="3538"/>
      <c r="S747" s="5463"/>
      <c r="T747" s="5463"/>
      <c r="U747" s="3495"/>
      <c r="V747" s="5499"/>
      <c r="W747" s="3496"/>
      <c r="X747" s="5523"/>
      <c r="Y747" s="5523"/>
      <c r="Z747" s="5523"/>
      <c r="AA747" s="5524"/>
      <c r="AB747" s="5581"/>
      <c r="AC747" s="4316"/>
      <c r="AD747" s="3496"/>
      <c r="AE747" s="5610"/>
      <c r="AF747" s="5610"/>
      <c r="AG747" s="11115"/>
    </row>
    <row r="748" spans="1:33" ht="21.75" customHeight="1">
      <c r="A748" s="11139"/>
      <c r="B748" s="11136"/>
      <c r="C748" s="11124"/>
      <c r="D748" s="11124"/>
      <c r="E748" s="11124"/>
      <c r="F748" s="11124"/>
      <c r="G748" s="11124"/>
      <c r="H748" s="11124"/>
      <c r="I748" s="11124"/>
      <c r="J748" s="11124"/>
      <c r="K748" s="11124"/>
      <c r="L748" s="11131"/>
      <c r="M748" s="11131"/>
      <c r="N748" s="11131"/>
      <c r="O748" s="11124"/>
      <c r="P748" s="11124"/>
      <c r="Q748" s="11127"/>
      <c r="R748" s="3538"/>
      <c r="S748" s="5463"/>
      <c r="T748" s="5463"/>
      <c r="U748" s="3495"/>
      <c r="V748" s="5499"/>
      <c r="W748" s="3496"/>
      <c r="X748" s="5523"/>
      <c r="Y748" s="5523"/>
      <c r="Z748" s="5523"/>
      <c r="AA748" s="5524"/>
      <c r="AB748" s="5581"/>
      <c r="AC748" s="4316"/>
      <c r="AD748" s="3496"/>
      <c r="AE748" s="5610"/>
      <c r="AF748" s="5610"/>
      <c r="AG748" s="11115"/>
    </row>
    <row r="749" spans="1:33" ht="21.75" customHeight="1">
      <c r="A749" s="11139"/>
      <c r="B749" s="11137"/>
      <c r="C749" s="11125"/>
      <c r="D749" s="11125"/>
      <c r="E749" s="11125"/>
      <c r="F749" s="11125"/>
      <c r="G749" s="11125"/>
      <c r="H749" s="11125"/>
      <c r="I749" s="11125"/>
      <c r="J749" s="11125"/>
      <c r="K749" s="11125"/>
      <c r="L749" s="11134"/>
      <c r="M749" s="11134"/>
      <c r="N749" s="11134"/>
      <c r="O749" s="11125"/>
      <c r="P749" s="11125"/>
      <c r="Q749" s="11135"/>
      <c r="R749" s="3768"/>
      <c r="S749" s="5477"/>
      <c r="T749" s="5477"/>
      <c r="U749" s="3759"/>
      <c r="V749" s="5509"/>
      <c r="W749" s="3714"/>
      <c r="X749" s="5544"/>
      <c r="Y749" s="5544"/>
      <c r="Z749" s="5544"/>
      <c r="AA749" s="5545"/>
      <c r="AB749" s="5592"/>
      <c r="AC749" s="4320"/>
      <c r="AD749" s="3714"/>
      <c r="AE749" s="5624"/>
      <c r="AF749" s="5624"/>
      <c r="AG749" s="11116"/>
    </row>
    <row r="750" spans="1:33" ht="21.75" customHeight="1">
      <c r="A750" s="11139"/>
      <c r="B750" s="10516" t="s">
        <v>183</v>
      </c>
      <c r="C750" s="10433" t="s">
        <v>227</v>
      </c>
      <c r="D750" s="10433" t="s">
        <v>228</v>
      </c>
      <c r="E750" s="10433" t="s">
        <v>229</v>
      </c>
      <c r="F750" s="10442" t="s">
        <v>230</v>
      </c>
      <c r="G750" s="10433" t="s">
        <v>132</v>
      </c>
      <c r="H750" s="10433" t="s">
        <v>159</v>
      </c>
      <c r="I750" s="10433" t="s">
        <v>6053</v>
      </c>
      <c r="J750" s="10433" t="s">
        <v>6054</v>
      </c>
      <c r="K750" s="10433" t="s">
        <v>6022</v>
      </c>
      <c r="L750" s="11130">
        <v>1</v>
      </c>
      <c r="M750" s="11130">
        <v>1</v>
      </c>
      <c r="N750" s="11130">
        <v>1</v>
      </c>
      <c r="O750" s="10433" t="s">
        <v>6055</v>
      </c>
      <c r="P750" s="10433" t="s">
        <v>6056</v>
      </c>
      <c r="Q750" s="10439" t="s">
        <v>6150</v>
      </c>
      <c r="R750" s="3774"/>
      <c r="S750" s="5481"/>
      <c r="T750" s="5481"/>
      <c r="U750" s="3761"/>
      <c r="V750" s="5502"/>
      <c r="W750" s="3709"/>
      <c r="X750" s="5529"/>
      <c r="Y750" s="5529"/>
      <c r="Z750" s="5529"/>
      <c r="AA750" s="5530"/>
      <c r="AB750" s="5584"/>
      <c r="AC750" s="4338"/>
      <c r="AD750" s="3709"/>
      <c r="AE750" s="5626"/>
      <c r="AF750" s="5626"/>
      <c r="AG750" s="10525"/>
    </row>
    <row r="751" spans="1:33" ht="21.75" customHeight="1">
      <c r="A751" s="11139"/>
      <c r="B751" s="11136"/>
      <c r="C751" s="11124"/>
      <c r="D751" s="11124"/>
      <c r="E751" s="11124"/>
      <c r="F751" s="11124"/>
      <c r="G751" s="11124"/>
      <c r="H751" s="11124"/>
      <c r="I751" s="11124"/>
      <c r="J751" s="11124"/>
      <c r="K751" s="11124"/>
      <c r="L751" s="11131"/>
      <c r="M751" s="11131"/>
      <c r="N751" s="11131"/>
      <c r="O751" s="11124"/>
      <c r="P751" s="11124"/>
      <c r="Q751" s="11127"/>
      <c r="R751" s="3538"/>
      <c r="S751" s="5463"/>
      <c r="T751" s="5463"/>
      <c r="U751" s="3495"/>
      <c r="V751" s="5499"/>
      <c r="W751" s="3496"/>
      <c r="X751" s="5523"/>
      <c r="Y751" s="5523"/>
      <c r="Z751" s="5523"/>
      <c r="AA751" s="5524"/>
      <c r="AB751" s="5581"/>
      <c r="AC751" s="4316"/>
      <c r="AD751" s="3496"/>
      <c r="AE751" s="5610"/>
      <c r="AF751" s="5610"/>
      <c r="AG751" s="11115"/>
    </row>
    <row r="752" spans="1:33" ht="21.75" customHeight="1">
      <c r="A752" s="11139"/>
      <c r="B752" s="11136"/>
      <c r="C752" s="11124"/>
      <c r="D752" s="11124"/>
      <c r="E752" s="11124"/>
      <c r="F752" s="11124"/>
      <c r="G752" s="11124"/>
      <c r="H752" s="11124"/>
      <c r="I752" s="11124"/>
      <c r="J752" s="11124"/>
      <c r="K752" s="11124"/>
      <c r="L752" s="11131"/>
      <c r="M752" s="11131"/>
      <c r="N752" s="11131"/>
      <c r="O752" s="11124"/>
      <c r="P752" s="11124"/>
      <c r="Q752" s="11127"/>
      <c r="R752" s="3538"/>
      <c r="S752" s="5463"/>
      <c r="T752" s="5463"/>
      <c r="U752" s="3495"/>
      <c r="V752" s="5499"/>
      <c r="W752" s="3496"/>
      <c r="X752" s="5523"/>
      <c r="Y752" s="5523"/>
      <c r="Z752" s="5523"/>
      <c r="AA752" s="5524"/>
      <c r="AB752" s="5581"/>
      <c r="AC752" s="4316"/>
      <c r="AD752" s="3496"/>
      <c r="AE752" s="5610"/>
      <c r="AF752" s="5610"/>
      <c r="AG752" s="11115"/>
    </row>
    <row r="753" spans="1:33" ht="21.75" customHeight="1">
      <c r="A753" s="11139"/>
      <c r="B753" s="11136"/>
      <c r="C753" s="11124"/>
      <c r="D753" s="11124"/>
      <c r="E753" s="11124"/>
      <c r="F753" s="11124"/>
      <c r="G753" s="11124"/>
      <c r="H753" s="11124"/>
      <c r="I753" s="11124"/>
      <c r="J753" s="11124"/>
      <c r="K753" s="11124"/>
      <c r="L753" s="11131"/>
      <c r="M753" s="11131"/>
      <c r="N753" s="11131"/>
      <c r="O753" s="11124"/>
      <c r="P753" s="11124"/>
      <c r="Q753" s="11127"/>
      <c r="R753" s="3538"/>
      <c r="S753" s="5463"/>
      <c r="T753" s="5463"/>
      <c r="U753" s="3495"/>
      <c r="V753" s="5499"/>
      <c r="W753" s="3496"/>
      <c r="X753" s="5523"/>
      <c r="Y753" s="5523"/>
      <c r="Z753" s="5523"/>
      <c r="AA753" s="5524"/>
      <c r="AB753" s="5581"/>
      <c r="AC753" s="4316"/>
      <c r="AD753" s="3496"/>
      <c r="AE753" s="5610"/>
      <c r="AF753" s="5610"/>
      <c r="AG753" s="11115"/>
    </row>
    <row r="754" spans="1:33" ht="21.75" customHeight="1">
      <c r="A754" s="11139"/>
      <c r="B754" s="11138"/>
      <c r="C754" s="11126"/>
      <c r="D754" s="11126"/>
      <c r="E754" s="11126"/>
      <c r="F754" s="11126"/>
      <c r="G754" s="11126"/>
      <c r="H754" s="11126"/>
      <c r="I754" s="11126"/>
      <c r="J754" s="11126"/>
      <c r="K754" s="11126"/>
      <c r="L754" s="11132"/>
      <c r="M754" s="11132"/>
      <c r="N754" s="11132"/>
      <c r="O754" s="11126"/>
      <c r="P754" s="11126"/>
      <c r="Q754" s="11128"/>
      <c r="R754" s="3543"/>
      <c r="S754" s="5468"/>
      <c r="T754" s="5468"/>
      <c r="U754" s="3557"/>
      <c r="V754" s="5503"/>
      <c r="W754" s="3545"/>
      <c r="X754" s="5532"/>
      <c r="Y754" s="5532"/>
      <c r="Z754" s="5532"/>
      <c r="AA754" s="5533"/>
      <c r="AB754" s="5585"/>
      <c r="AC754" s="4318"/>
      <c r="AD754" s="3545"/>
      <c r="AE754" s="5625"/>
      <c r="AF754" s="5625"/>
      <c r="AG754" s="11116"/>
    </row>
    <row r="755" spans="1:33" ht="21.75" customHeight="1">
      <c r="A755" s="11139"/>
      <c r="B755" s="10512" t="s">
        <v>183</v>
      </c>
      <c r="C755" s="10444" t="s">
        <v>227</v>
      </c>
      <c r="D755" s="10444" t="s">
        <v>228</v>
      </c>
      <c r="E755" s="10444" t="s">
        <v>229</v>
      </c>
      <c r="F755" s="10451" t="s">
        <v>230</v>
      </c>
      <c r="G755" s="10444" t="s">
        <v>132</v>
      </c>
      <c r="H755" s="10444" t="s">
        <v>159</v>
      </c>
      <c r="I755" s="10444" t="s">
        <v>6057</v>
      </c>
      <c r="J755" s="10444" t="s">
        <v>6058</v>
      </c>
      <c r="K755" s="10444" t="s">
        <v>6049</v>
      </c>
      <c r="L755" s="11133">
        <v>0</v>
      </c>
      <c r="M755" s="11133">
        <v>1</v>
      </c>
      <c r="N755" s="11133">
        <v>1</v>
      </c>
      <c r="O755" s="10444" t="s">
        <v>6059</v>
      </c>
      <c r="P755" s="10444" t="s">
        <v>6060</v>
      </c>
      <c r="Q755" s="10449" t="s">
        <v>6150</v>
      </c>
      <c r="R755" s="5459"/>
      <c r="S755" s="5482"/>
      <c r="T755" s="5482"/>
      <c r="U755" s="4659"/>
      <c r="V755" s="5504"/>
      <c r="W755" s="3658"/>
      <c r="X755" s="5534"/>
      <c r="Y755" s="5534"/>
      <c r="Z755" s="5534"/>
      <c r="AA755" s="5535"/>
      <c r="AB755" s="5586"/>
      <c r="AC755" s="4314"/>
      <c r="AD755" s="3658"/>
      <c r="AE755" s="5623"/>
      <c r="AF755" s="5623"/>
      <c r="AG755" s="10525"/>
    </row>
    <row r="756" spans="1:33" ht="21.75" customHeight="1">
      <c r="A756" s="11139"/>
      <c r="B756" s="11136"/>
      <c r="C756" s="11124"/>
      <c r="D756" s="11124"/>
      <c r="E756" s="11124"/>
      <c r="F756" s="11124"/>
      <c r="G756" s="11124"/>
      <c r="H756" s="11124"/>
      <c r="I756" s="11124"/>
      <c r="J756" s="11124"/>
      <c r="K756" s="11124"/>
      <c r="L756" s="11131"/>
      <c r="M756" s="11131"/>
      <c r="N756" s="11131"/>
      <c r="O756" s="11124"/>
      <c r="P756" s="11124"/>
      <c r="Q756" s="11127"/>
      <c r="R756" s="3538"/>
      <c r="S756" s="5463"/>
      <c r="T756" s="5463"/>
      <c r="U756" s="3495"/>
      <c r="V756" s="5499"/>
      <c r="W756" s="3496"/>
      <c r="X756" s="5523"/>
      <c r="Y756" s="5523"/>
      <c r="Z756" s="5523"/>
      <c r="AA756" s="5524"/>
      <c r="AB756" s="5581"/>
      <c r="AC756" s="4316"/>
      <c r="AD756" s="3496"/>
      <c r="AE756" s="5610"/>
      <c r="AF756" s="5610"/>
      <c r="AG756" s="11115"/>
    </row>
    <row r="757" spans="1:33" ht="21.75" customHeight="1">
      <c r="A757" s="11139"/>
      <c r="B757" s="11136"/>
      <c r="C757" s="11124"/>
      <c r="D757" s="11124"/>
      <c r="E757" s="11124"/>
      <c r="F757" s="11124"/>
      <c r="G757" s="11124"/>
      <c r="H757" s="11124"/>
      <c r="I757" s="11124"/>
      <c r="J757" s="11124"/>
      <c r="K757" s="11124"/>
      <c r="L757" s="11131"/>
      <c r="M757" s="11131"/>
      <c r="N757" s="11131"/>
      <c r="O757" s="11124"/>
      <c r="P757" s="11124"/>
      <c r="Q757" s="11127"/>
      <c r="R757" s="3538"/>
      <c r="S757" s="5463"/>
      <c r="T757" s="5463"/>
      <c r="U757" s="3495"/>
      <c r="V757" s="5499"/>
      <c r="W757" s="3496"/>
      <c r="X757" s="5523"/>
      <c r="Y757" s="5523"/>
      <c r="Z757" s="5523"/>
      <c r="AA757" s="5524"/>
      <c r="AB757" s="5581"/>
      <c r="AC757" s="4316"/>
      <c r="AD757" s="3496"/>
      <c r="AE757" s="5610"/>
      <c r="AF757" s="5610"/>
      <c r="AG757" s="11115"/>
    </row>
    <row r="758" spans="1:33" ht="21.75" customHeight="1">
      <c r="A758" s="11139"/>
      <c r="B758" s="11136"/>
      <c r="C758" s="11124"/>
      <c r="D758" s="11124"/>
      <c r="E758" s="11124"/>
      <c r="F758" s="11124"/>
      <c r="G758" s="11124"/>
      <c r="H758" s="11124"/>
      <c r="I758" s="11124"/>
      <c r="J758" s="11124"/>
      <c r="K758" s="11124"/>
      <c r="L758" s="11131"/>
      <c r="M758" s="11131"/>
      <c r="N758" s="11131"/>
      <c r="O758" s="11124"/>
      <c r="P758" s="11124"/>
      <c r="Q758" s="11127"/>
      <c r="R758" s="3538"/>
      <c r="S758" s="5463"/>
      <c r="T758" s="5463"/>
      <c r="U758" s="3495"/>
      <c r="V758" s="5499"/>
      <c r="W758" s="3496"/>
      <c r="X758" s="5523"/>
      <c r="Y758" s="5523"/>
      <c r="Z758" s="5523"/>
      <c r="AA758" s="5524"/>
      <c r="AB758" s="5581"/>
      <c r="AC758" s="4316"/>
      <c r="AD758" s="3496"/>
      <c r="AE758" s="5610"/>
      <c r="AF758" s="5610"/>
      <c r="AG758" s="11115"/>
    </row>
    <row r="759" spans="1:33" ht="21.75" customHeight="1">
      <c r="A759" s="11139"/>
      <c r="B759" s="11137"/>
      <c r="C759" s="11125"/>
      <c r="D759" s="11125"/>
      <c r="E759" s="11125"/>
      <c r="F759" s="11125"/>
      <c r="G759" s="11125"/>
      <c r="H759" s="11125"/>
      <c r="I759" s="11125"/>
      <c r="J759" s="11125"/>
      <c r="K759" s="11125"/>
      <c r="L759" s="11134"/>
      <c r="M759" s="11134"/>
      <c r="N759" s="11134"/>
      <c r="O759" s="11125"/>
      <c r="P759" s="11125"/>
      <c r="Q759" s="11135"/>
      <c r="R759" s="3768"/>
      <c r="S759" s="5477"/>
      <c r="T759" s="5477"/>
      <c r="U759" s="3759"/>
      <c r="V759" s="5509"/>
      <c r="W759" s="3714"/>
      <c r="X759" s="5544"/>
      <c r="Y759" s="5544"/>
      <c r="Z759" s="5544"/>
      <c r="AA759" s="5545"/>
      <c r="AB759" s="5592"/>
      <c r="AC759" s="4320"/>
      <c r="AD759" s="3714"/>
      <c r="AE759" s="5624"/>
      <c r="AF759" s="5624"/>
      <c r="AG759" s="11116"/>
    </row>
    <row r="760" spans="1:33" ht="21.75" customHeight="1">
      <c r="A760" s="11139"/>
      <c r="B760" s="10516" t="s">
        <v>127</v>
      </c>
      <c r="C760" s="10433" t="s">
        <v>128</v>
      </c>
      <c r="D760" s="10433" t="s">
        <v>129</v>
      </c>
      <c r="E760" s="10433" t="s">
        <v>157</v>
      </c>
      <c r="F760" s="10442" t="s">
        <v>131</v>
      </c>
      <c r="G760" s="10433" t="s">
        <v>132</v>
      </c>
      <c r="H760" s="10433" t="s">
        <v>159</v>
      </c>
      <c r="I760" s="10433" t="s">
        <v>6061</v>
      </c>
      <c r="J760" s="10433" t="s">
        <v>6062</v>
      </c>
      <c r="K760" s="10433" t="s">
        <v>6063</v>
      </c>
      <c r="L760" s="11130">
        <v>1</v>
      </c>
      <c r="M760" s="11130">
        <v>1</v>
      </c>
      <c r="N760" s="11130">
        <v>1</v>
      </c>
      <c r="O760" s="10433" t="s">
        <v>6064</v>
      </c>
      <c r="P760" s="10433" t="s">
        <v>6065</v>
      </c>
      <c r="Q760" s="10439" t="s">
        <v>6148</v>
      </c>
      <c r="R760" s="3774"/>
      <c r="S760" s="5481"/>
      <c r="T760" s="5481"/>
      <c r="U760" s="3761"/>
      <c r="V760" s="5502"/>
      <c r="W760" s="3709"/>
      <c r="X760" s="5529"/>
      <c r="Y760" s="5529"/>
      <c r="Z760" s="5529"/>
      <c r="AA760" s="5530"/>
      <c r="AB760" s="5584"/>
      <c r="AC760" s="4338"/>
      <c r="AD760" s="3709"/>
      <c r="AE760" s="5626"/>
      <c r="AF760" s="5626"/>
      <c r="AG760" s="10525"/>
    </row>
    <row r="761" spans="1:33" ht="21.75" customHeight="1">
      <c r="A761" s="11139"/>
      <c r="B761" s="11136"/>
      <c r="C761" s="11124"/>
      <c r="D761" s="11124"/>
      <c r="E761" s="11124"/>
      <c r="F761" s="11124"/>
      <c r="G761" s="11124"/>
      <c r="H761" s="11124"/>
      <c r="I761" s="11124"/>
      <c r="J761" s="11124"/>
      <c r="K761" s="11124"/>
      <c r="L761" s="11131"/>
      <c r="M761" s="11131"/>
      <c r="N761" s="11131"/>
      <c r="O761" s="11124"/>
      <c r="P761" s="11124"/>
      <c r="Q761" s="11127"/>
      <c r="R761" s="3538"/>
      <c r="S761" s="5463"/>
      <c r="T761" s="5463"/>
      <c r="U761" s="3495"/>
      <c r="V761" s="5499"/>
      <c r="W761" s="3496"/>
      <c r="X761" s="5523"/>
      <c r="Y761" s="5523"/>
      <c r="Z761" s="5523"/>
      <c r="AA761" s="5524"/>
      <c r="AB761" s="5581"/>
      <c r="AC761" s="4316"/>
      <c r="AD761" s="3496"/>
      <c r="AE761" s="5610"/>
      <c r="AF761" s="5610"/>
      <c r="AG761" s="11115"/>
    </row>
    <row r="762" spans="1:33" ht="21.75" customHeight="1">
      <c r="A762" s="11139"/>
      <c r="B762" s="11136"/>
      <c r="C762" s="11124"/>
      <c r="D762" s="11124"/>
      <c r="E762" s="11124"/>
      <c r="F762" s="11124"/>
      <c r="G762" s="11124"/>
      <c r="H762" s="11124"/>
      <c r="I762" s="11124"/>
      <c r="J762" s="11124"/>
      <c r="K762" s="11124"/>
      <c r="L762" s="11131"/>
      <c r="M762" s="11131"/>
      <c r="N762" s="11131"/>
      <c r="O762" s="11124"/>
      <c r="P762" s="11124"/>
      <c r="Q762" s="11127"/>
      <c r="R762" s="3538"/>
      <c r="S762" s="5463"/>
      <c r="T762" s="5463"/>
      <c r="U762" s="3495"/>
      <c r="V762" s="5499"/>
      <c r="W762" s="3496"/>
      <c r="X762" s="5523"/>
      <c r="Y762" s="5523"/>
      <c r="Z762" s="5523"/>
      <c r="AA762" s="5524"/>
      <c r="AB762" s="5581"/>
      <c r="AC762" s="4316"/>
      <c r="AD762" s="3496"/>
      <c r="AE762" s="5610"/>
      <c r="AF762" s="5610"/>
      <c r="AG762" s="11115"/>
    </row>
    <row r="763" spans="1:33" ht="21.75" customHeight="1">
      <c r="A763" s="11139"/>
      <c r="B763" s="11136"/>
      <c r="C763" s="11124"/>
      <c r="D763" s="11124"/>
      <c r="E763" s="11124"/>
      <c r="F763" s="11124"/>
      <c r="G763" s="11124"/>
      <c r="H763" s="11124"/>
      <c r="I763" s="11124"/>
      <c r="J763" s="11124"/>
      <c r="K763" s="11124"/>
      <c r="L763" s="11131"/>
      <c r="M763" s="11131"/>
      <c r="N763" s="11131"/>
      <c r="O763" s="11124"/>
      <c r="P763" s="11124"/>
      <c r="Q763" s="11127"/>
      <c r="R763" s="3538"/>
      <c r="S763" s="5463"/>
      <c r="T763" s="5463"/>
      <c r="U763" s="3495"/>
      <c r="V763" s="5499"/>
      <c r="W763" s="3496"/>
      <c r="X763" s="5523"/>
      <c r="Y763" s="5523"/>
      <c r="Z763" s="5523"/>
      <c r="AA763" s="5524"/>
      <c r="AB763" s="5581"/>
      <c r="AC763" s="4316"/>
      <c r="AD763" s="3496"/>
      <c r="AE763" s="5610"/>
      <c r="AF763" s="5610"/>
      <c r="AG763" s="11115"/>
    </row>
    <row r="764" spans="1:33" ht="21.75" customHeight="1">
      <c r="A764" s="11139"/>
      <c r="B764" s="11137"/>
      <c r="C764" s="11125"/>
      <c r="D764" s="11125"/>
      <c r="E764" s="11125"/>
      <c r="F764" s="11125"/>
      <c r="G764" s="11125"/>
      <c r="H764" s="11125"/>
      <c r="I764" s="11125"/>
      <c r="J764" s="11125"/>
      <c r="K764" s="11125"/>
      <c r="L764" s="11134"/>
      <c r="M764" s="11134"/>
      <c r="N764" s="11134"/>
      <c r="O764" s="11125"/>
      <c r="P764" s="11125"/>
      <c r="Q764" s="11135"/>
      <c r="R764" s="3768"/>
      <c r="S764" s="5477"/>
      <c r="T764" s="5477"/>
      <c r="U764" s="3759"/>
      <c r="V764" s="5509"/>
      <c r="W764" s="3714"/>
      <c r="X764" s="5544"/>
      <c r="Y764" s="5544"/>
      <c r="Z764" s="5544"/>
      <c r="AA764" s="5545"/>
      <c r="AB764" s="5592"/>
      <c r="AC764" s="4320"/>
      <c r="AD764" s="3714"/>
      <c r="AE764" s="5624"/>
      <c r="AF764" s="5624"/>
      <c r="AG764" s="11116"/>
    </row>
    <row r="765" spans="1:33" ht="21.75" customHeight="1">
      <c r="A765" s="11139"/>
      <c r="B765" s="10516" t="s">
        <v>183</v>
      </c>
      <c r="C765" s="10433" t="s">
        <v>227</v>
      </c>
      <c r="D765" s="10433" t="s">
        <v>228</v>
      </c>
      <c r="E765" s="10433" t="s">
        <v>229</v>
      </c>
      <c r="F765" s="10442" t="s">
        <v>230</v>
      </c>
      <c r="G765" s="10433" t="s">
        <v>132</v>
      </c>
      <c r="H765" s="10433" t="s">
        <v>159</v>
      </c>
      <c r="I765" s="10433" t="s">
        <v>6066</v>
      </c>
      <c r="J765" s="10433" t="s">
        <v>6067</v>
      </c>
      <c r="K765" s="10433" t="s">
        <v>5871</v>
      </c>
      <c r="L765" s="11130">
        <v>0</v>
      </c>
      <c r="M765" s="11130">
        <v>1</v>
      </c>
      <c r="N765" s="11130">
        <v>0</v>
      </c>
      <c r="O765" s="10433" t="s">
        <v>5872</v>
      </c>
      <c r="P765" s="10433" t="s">
        <v>5873</v>
      </c>
      <c r="Q765" s="10439" t="s">
        <v>6150</v>
      </c>
      <c r="R765" s="3774"/>
      <c r="S765" s="5481"/>
      <c r="T765" s="5481"/>
      <c r="U765" s="3761"/>
      <c r="V765" s="5502"/>
      <c r="W765" s="3709"/>
      <c r="X765" s="5529"/>
      <c r="Y765" s="5529"/>
      <c r="Z765" s="5529"/>
      <c r="AA765" s="5530"/>
      <c r="AB765" s="5584"/>
      <c r="AC765" s="4338"/>
      <c r="AD765" s="3709"/>
      <c r="AE765" s="5626"/>
      <c r="AF765" s="5626"/>
      <c r="AG765" s="10525"/>
    </row>
    <row r="766" spans="1:33" ht="21.75" customHeight="1">
      <c r="A766" s="11139"/>
      <c r="B766" s="11136"/>
      <c r="C766" s="11124"/>
      <c r="D766" s="11124"/>
      <c r="E766" s="11124"/>
      <c r="F766" s="11124"/>
      <c r="G766" s="11124"/>
      <c r="H766" s="11124"/>
      <c r="I766" s="11124"/>
      <c r="J766" s="11124"/>
      <c r="K766" s="11124"/>
      <c r="L766" s="11131"/>
      <c r="M766" s="11131"/>
      <c r="N766" s="11131"/>
      <c r="O766" s="11124"/>
      <c r="P766" s="11124"/>
      <c r="Q766" s="11127"/>
      <c r="R766" s="3538"/>
      <c r="S766" s="5463"/>
      <c r="T766" s="5463"/>
      <c r="U766" s="3495"/>
      <c r="V766" s="5499"/>
      <c r="W766" s="3496"/>
      <c r="X766" s="5523"/>
      <c r="Y766" s="5523"/>
      <c r="Z766" s="5523"/>
      <c r="AA766" s="5524"/>
      <c r="AB766" s="5581"/>
      <c r="AC766" s="4316"/>
      <c r="AD766" s="3496"/>
      <c r="AE766" s="5610"/>
      <c r="AF766" s="5610"/>
      <c r="AG766" s="11115"/>
    </row>
    <row r="767" spans="1:33" ht="21.75" customHeight="1">
      <c r="A767" s="11139"/>
      <c r="B767" s="11136"/>
      <c r="C767" s="11124"/>
      <c r="D767" s="11124"/>
      <c r="E767" s="11124"/>
      <c r="F767" s="11124"/>
      <c r="G767" s="11124"/>
      <c r="H767" s="11124"/>
      <c r="I767" s="11124"/>
      <c r="J767" s="11124"/>
      <c r="K767" s="11124"/>
      <c r="L767" s="11131"/>
      <c r="M767" s="11131"/>
      <c r="N767" s="11131"/>
      <c r="O767" s="11124"/>
      <c r="P767" s="11124"/>
      <c r="Q767" s="11127"/>
      <c r="R767" s="3538"/>
      <c r="S767" s="5463"/>
      <c r="T767" s="5463"/>
      <c r="U767" s="3495"/>
      <c r="V767" s="5499"/>
      <c r="W767" s="3496"/>
      <c r="X767" s="5523"/>
      <c r="Y767" s="5523"/>
      <c r="Z767" s="5523"/>
      <c r="AA767" s="5524"/>
      <c r="AB767" s="5581"/>
      <c r="AC767" s="4316"/>
      <c r="AD767" s="3496"/>
      <c r="AE767" s="5610"/>
      <c r="AF767" s="5610"/>
      <c r="AG767" s="11115"/>
    </row>
    <row r="768" spans="1:33" ht="21.75" customHeight="1">
      <c r="A768" s="11139"/>
      <c r="B768" s="11136"/>
      <c r="C768" s="11124"/>
      <c r="D768" s="11124"/>
      <c r="E768" s="11124"/>
      <c r="F768" s="11124"/>
      <c r="G768" s="11124"/>
      <c r="H768" s="11124"/>
      <c r="I768" s="11124"/>
      <c r="J768" s="11124"/>
      <c r="K768" s="11124"/>
      <c r="L768" s="11131"/>
      <c r="M768" s="11131"/>
      <c r="N768" s="11131"/>
      <c r="O768" s="11124"/>
      <c r="P768" s="11124"/>
      <c r="Q768" s="11127"/>
      <c r="R768" s="3538"/>
      <c r="S768" s="5463"/>
      <c r="T768" s="5463"/>
      <c r="U768" s="3495"/>
      <c r="V768" s="5499"/>
      <c r="W768" s="3496"/>
      <c r="X768" s="5523"/>
      <c r="Y768" s="5523"/>
      <c r="Z768" s="5523"/>
      <c r="AA768" s="5524"/>
      <c r="AB768" s="5581"/>
      <c r="AC768" s="4316"/>
      <c r="AD768" s="3496"/>
      <c r="AE768" s="5610"/>
      <c r="AF768" s="5610"/>
      <c r="AG768" s="11115"/>
    </row>
    <row r="769" spans="1:33" ht="21.75" customHeight="1">
      <c r="A769" s="11139"/>
      <c r="B769" s="11137"/>
      <c r="C769" s="11125"/>
      <c r="D769" s="11125"/>
      <c r="E769" s="11125"/>
      <c r="F769" s="11125"/>
      <c r="G769" s="11125"/>
      <c r="H769" s="11125"/>
      <c r="I769" s="11125"/>
      <c r="J769" s="11125"/>
      <c r="K769" s="11125"/>
      <c r="L769" s="11134"/>
      <c r="M769" s="11134"/>
      <c r="N769" s="11134"/>
      <c r="O769" s="11125"/>
      <c r="P769" s="11125"/>
      <c r="Q769" s="11135"/>
      <c r="R769" s="3768"/>
      <c r="S769" s="5477"/>
      <c r="T769" s="5477"/>
      <c r="U769" s="3759"/>
      <c r="V769" s="5509"/>
      <c r="W769" s="3714"/>
      <c r="X769" s="5544"/>
      <c r="Y769" s="5544"/>
      <c r="Z769" s="5544"/>
      <c r="AA769" s="5545"/>
      <c r="AB769" s="5592"/>
      <c r="AC769" s="4320"/>
      <c r="AD769" s="3714"/>
      <c r="AE769" s="5624"/>
      <c r="AF769" s="5624"/>
      <c r="AG769" s="11116"/>
    </row>
    <row r="770" spans="1:33" ht="18" customHeight="1">
      <c r="A770" s="11139"/>
      <c r="B770" s="10516" t="s">
        <v>183</v>
      </c>
      <c r="C770" s="10433" t="s">
        <v>227</v>
      </c>
      <c r="D770" s="10433" t="s">
        <v>228</v>
      </c>
      <c r="E770" s="10433" t="s">
        <v>229</v>
      </c>
      <c r="F770" s="10442" t="s">
        <v>230</v>
      </c>
      <c r="G770" s="10433" t="s">
        <v>171</v>
      </c>
      <c r="H770" s="10433" t="s">
        <v>133</v>
      </c>
      <c r="I770" s="10433" t="s">
        <v>6068</v>
      </c>
      <c r="J770" s="10433" t="s">
        <v>6069</v>
      </c>
      <c r="K770" s="10433" t="s">
        <v>6022</v>
      </c>
      <c r="L770" s="10470">
        <v>1</v>
      </c>
      <c r="M770" s="10470">
        <v>1</v>
      </c>
      <c r="N770" s="10470">
        <v>1</v>
      </c>
      <c r="O770" s="10433" t="s">
        <v>6070</v>
      </c>
      <c r="P770" s="10433" t="s">
        <v>6071</v>
      </c>
      <c r="Q770" s="10439" t="s">
        <v>6151</v>
      </c>
      <c r="R770" s="3776"/>
      <c r="S770" s="5466"/>
      <c r="T770" s="5466"/>
      <c r="U770" s="3762"/>
      <c r="V770" s="5502"/>
      <c r="W770" s="3709"/>
      <c r="X770" s="5529"/>
      <c r="Y770" s="5529"/>
      <c r="Z770" s="5529"/>
      <c r="AA770" s="5530"/>
      <c r="AB770" s="5584"/>
      <c r="AC770" s="4338"/>
      <c r="AD770" s="3709"/>
      <c r="AE770" s="5626"/>
      <c r="AF770" s="5626"/>
      <c r="AG770" s="10525"/>
    </row>
    <row r="771" spans="1:33" ht="18" customHeight="1">
      <c r="A771" s="11139"/>
      <c r="B771" s="11136"/>
      <c r="C771" s="11124"/>
      <c r="D771" s="11124"/>
      <c r="E771" s="11124"/>
      <c r="F771" s="11124"/>
      <c r="G771" s="11124"/>
      <c r="H771" s="11124"/>
      <c r="I771" s="11124"/>
      <c r="J771" s="11124"/>
      <c r="K771" s="11124"/>
      <c r="L771" s="11131"/>
      <c r="M771" s="11131"/>
      <c r="N771" s="11131"/>
      <c r="O771" s="11124"/>
      <c r="P771" s="11124"/>
      <c r="Q771" s="11127"/>
      <c r="R771" s="3538"/>
      <c r="S771" s="5463"/>
      <c r="T771" s="5463"/>
      <c r="U771" s="3495"/>
      <c r="V771" s="5499"/>
      <c r="W771" s="3496"/>
      <c r="X771" s="5523"/>
      <c r="Y771" s="5523"/>
      <c r="Z771" s="5523"/>
      <c r="AA771" s="5524"/>
      <c r="AB771" s="5581"/>
      <c r="AC771" s="4316"/>
      <c r="AD771" s="3496"/>
      <c r="AE771" s="5610"/>
      <c r="AF771" s="5610"/>
      <c r="AG771" s="11115"/>
    </row>
    <row r="772" spans="1:33" ht="18" customHeight="1">
      <c r="A772" s="11139"/>
      <c r="B772" s="11136"/>
      <c r="C772" s="11124"/>
      <c r="D772" s="11124"/>
      <c r="E772" s="11124"/>
      <c r="F772" s="11124"/>
      <c r="G772" s="11124"/>
      <c r="H772" s="11124"/>
      <c r="I772" s="11124"/>
      <c r="J772" s="11124"/>
      <c r="K772" s="11124"/>
      <c r="L772" s="11131"/>
      <c r="M772" s="11131"/>
      <c r="N772" s="11131"/>
      <c r="O772" s="11124"/>
      <c r="P772" s="11124"/>
      <c r="Q772" s="11127"/>
      <c r="R772" s="3538"/>
      <c r="S772" s="5463"/>
      <c r="T772" s="5463"/>
      <c r="U772" s="3495"/>
      <c r="V772" s="5499"/>
      <c r="W772" s="3496"/>
      <c r="X772" s="5523"/>
      <c r="Y772" s="5523"/>
      <c r="Z772" s="5523"/>
      <c r="AA772" s="5524"/>
      <c r="AB772" s="5581"/>
      <c r="AC772" s="4316"/>
      <c r="AD772" s="3496"/>
      <c r="AE772" s="5610"/>
      <c r="AF772" s="5610"/>
      <c r="AG772" s="11115"/>
    </row>
    <row r="773" spans="1:33" ht="18" customHeight="1">
      <c r="A773" s="11139"/>
      <c r="B773" s="11136"/>
      <c r="C773" s="11124"/>
      <c r="D773" s="11124"/>
      <c r="E773" s="11124"/>
      <c r="F773" s="11124"/>
      <c r="G773" s="11124"/>
      <c r="H773" s="11124"/>
      <c r="I773" s="11124"/>
      <c r="J773" s="11124"/>
      <c r="K773" s="11124"/>
      <c r="L773" s="11131"/>
      <c r="M773" s="11131"/>
      <c r="N773" s="11131"/>
      <c r="O773" s="11124"/>
      <c r="P773" s="11124"/>
      <c r="Q773" s="11127"/>
      <c r="R773" s="3541"/>
      <c r="S773" s="5467"/>
      <c r="T773" s="5467"/>
      <c r="U773" s="3495"/>
      <c r="V773" s="5499"/>
      <c r="W773" s="3496"/>
      <c r="X773" s="5523"/>
      <c r="Y773" s="5523"/>
      <c r="Z773" s="5523"/>
      <c r="AA773" s="5524"/>
      <c r="AB773" s="5581"/>
      <c r="AC773" s="4316"/>
      <c r="AD773" s="3496"/>
      <c r="AE773" s="5610"/>
      <c r="AF773" s="5610"/>
      <c r="AG773" s="11115"/>
    </row>
    <row r="774" spans="1:33" ht="18" customHeight="1">
      <c r="A774" s="11139"/>
      <c r="B774" s="11138"/>
      <c r="C774" s="11126"/>
      <c r="D774" s="11126"/>
      <c r="E774" s="11126"/>
      <c r="F774" s="11126"/>
      <c r="G774" s="11126"/>
      <c r="H774" s="11126"/>
      <c r="I774" s="11126"/>
      <c r="J774" s="11126"/>
      <c r="K774" s="11126"/>
      <c r="L774" s="11132"/>
      <c r="M774" s="11132"/>
      <c r="N774" s="11132"/>
      <c r="O774" s="11126"/>
      <c r="P774" s="11126"/>
      <c r="Q774" s="11128"/>
      <c r="R774" s="3543"/>
      <c r="S774" s="5468"/>
      <c r="T774" s="5468"/>
      <c r="U774" s="3557"/>
      <c r="V774" s="5503"/>
      <c r="W774" s="3545"/>
      <c r="X774" s="5532"/>
      <c r="Y774" s="5532"/>
      <c r="Z774" s="5532"/>
      <c r="AA774" s="5533"/>
      <c r="AB774" s="5585"/>
      <c r="AC774" s="4318"/>
      <c r="AD774" s="3545"/>
      <c r="AE774" s="5625"/>
      <c r="AF774" s="5625"/>
      <c r="AG774" s="11116"/>
    </row>
    <row r="775" spans="1:33" ht="18" customHeight="1">
      <c r="A775" s="11139"/>
      <c r="B775" s="10512" t="s">
        <v>127</v>
      </c>
      <c r="C775" s="10444" t="s">
        <v>128</v>
      </c>
      <c r="D775" s="10444" t="s">
        <v>129</v>
      </c>
      <c r="E775" s="10444" t="s">
        <v>157</v>
      </c>
      <c r="F775" s="10451" t="s">
        <v>131</v>
      </c>
      <c r="G775" s="10444" t="s">
        <v>132</v>
      </c>
      <c r="H775" s="10444" t="s">
        <v>159</v>
      </c>
      <c r="I775" s="10444" t="s">
        <v>6073</v>
      </c>
      <c r="J775" s="10444" t="s">
        <v>6074</v>
      </c>
      <c r="K775" s="10444" t="s">
        <v>5888</v>
      </c>
      <c r="L775" s="10455">
        <v>3</v>
      </c>
      <c r="M775" s="10455">
        <v>4</v>
      </c>
      <c r="N775" s="10455">
        <v>3</v>
      </c>
      <c r="O775" s="10444" t="s">
        <v>6075</v>
      </c>
      <c r="P775" s="10444" t="s">
        <v>6076</v>
      </c>
      <c r="Q775" s="10449" t="s">
        <v>6148</v>
      </c>
      <c r="R775" s="3767"/>
      <c r="S775" s="5469"/>
      <c r="T775" s="5469"/>
      <c r="U775" s="3758"/>
      <c r="V775" s="5504"/>
      <c r="W775" s="3658"/>
      <c r="X775" s="5534"/>
      <c r="Y775" s="5534"/>
      <c r="Z775" s="5534"/>
      <c r="AA775" s="5535"/>
      <c r="AB775" s="5586"/>
      <c r="AC775" s="4314"/>
      <c r="AD775" s="3658"/>
      <c r="AE775" s="5623"/>
      <c r="AF775" s="5623"/>
      <c r="AG775" s="10464"/>
    </row>
    <row r="776" spans="1:33" ht="18" customHeight="1">
      <c r="A776" s="11139"/>
      <c r="B776" s="11136"/>
      <c r="C776" s="11124"/>
      <c r="D776" s="11124"/>
      <c r="E776" s="11124"/>
      <c r="F776" s="11124"/>
      <c r="G776" s="11124"/>
      <c r="H776" s="11124"/>
      <c r="I776" s="11124"/>
      <c r="J776" s="11124"/>
      <c r="K776" s="11124"/>
      <c r="L776" s="11131"/>
      <c r="M776" s="11131"/>
      <c r="N776" s="11131"/>
      <c r="O776" s="11124"/>
      <c r="P776" s="11124"/>
      <c r="Q776" s="11127"/>
      <c r="R776" s="3538"/>
      <c r="S776" s="5463"/>
      <c r="T776" s="5463"/>
      <c r="U776" s="3495"/>
      <c r="V776" s="5499"/>
      <c r="W776" s="3496"/>
      <c r="X776" s="5523"/>
      <c r="Y776" s="5523"/>
      <c r="Z776" s="5523"/>
      <c r="AA776" s="5524"/>
      <c r="AB776" s="5581"/>
      <c r="AC776" s="4316"/>
      <c r="AD776" s="3496"/>
      <c r="AE776" s="5610"/>
      <c r="AF776" s="5610"/>
      <c r="AG776" s="11115"/>
    </row>
    <row r="777" spans="1:33" ht="18" customHeight="1">
      <c r="A777" s="11139"/>
      <c r="B777" s="11136"/>
      <c r="C777" s="11124"/>
      <c r="D777" s="11124"/>
      <c r="E777" s="11124"/>
      <c r="F777" s="11124"/>
      <c r="G777" s="11124"/>
      <c r="H777" s="11124"/>
      <c r="I777" s="11124"/>
      <c r="J777" s="11124"/>
      <c r="K777" s="11124"/>
      <c r="L777" s="11131"/>
      <c r="M777" s="11131"/>
      <c r="N777" s="11131"/>
      <c r="O777" s="11124"/>
      <c r="P777" s="11124"/>
      <c r="Q777" s="11127"/>
      <c r="R777" s="3538"/>
      <c r="S777" s="5463"/>
      <c r="T777" s="5463"/>
      <c r="U777" s="3495"/>
      <c r="V777" s="5499"/>
      <c r="W777" s="3496"/>
      <c r="X777" s="5523"/>
      <c r="Y777" s="5523"/>
      <c r="Z777" s="5523"/>
      <c r="AA777" s="5524"/>
      <c r="AB777" s="5581"/>
      <c r="AC777" s="4316"/>
      <c r="AD777" s="3496"/>
      <c r="AE777" s="5610"/>
      <c r="AF777" s="5610"/>
      <c r="AG777" s="11115"/>
    </row>
    <row r="778" spans="1:33" ht="18" customHeight="1">
      <c r="A778" s="11139"/>
      <c r="B778" s="11136"/>
      <c r="C778" s="11124"/>
      <c r="D778" s="11124"/>
      <c r="E778" s="11124"/>
      <c r="F778" s="11124"/>
      <c r="G778" s="11124"/>
      <c r="H778" s="11124"/>
      <c r="I778" s="11124"/>
      <c r="J778" s="11124"/>
      <c r="K778" s="11124"/>
      <c r="L778" s="11131"/>
      <c r="M778" s="11131"/>
      <c r="N778" s="11131"/>
      <c r="O778" s="11124"/>
      <c r="P778" s="11124"/>
      <c r="Q778" s="11127"/>
      <c r="R778" s="3541"/>
      <c r="S778" s="5467"/>
      <c r="T778" s="5467"/>
      <c r="U778" s="3495"/>
      <c r="V778" s="5499"/>
      <c r="W778" s="3496"/>
      <c r="X778" s="5523"/>
      <c r="Y778" s="5523"/>
      <c r="Z778" s="5523"/>
      <c r="AA778" s="5524"/>
      <c r="AB778" s="5581"/>
      <c r="AC778" s="4316"/>
      <c r="AD778" s="3496"/>
      <c r="AE778" s="5610"/>
      <c r="AF778" s="5610"/>
      <c r="AG778" s="11115"/>
    </row>
    <row r="779" spans="1:33" ht="18" customHeight="1">
      <c r="A779" s="11139"/>
      <c r="B779" s="11138"/>
      <c r="C779" s="11126"/>
      <c r="D779" s="11126"/>
      <c r="E779" s="11126"/>
      <c r="F779" s="11126"/>
      <c r="G779" s="11126"/>
      <c r="H779" s="11126"/>
      <c r="I779" s="11126"/>
      <c r="J779" s="11126"/>
      <c r="K779" s="11126"/>
      <c r="L779" s="11132"/>
      <c r="M779" s="11132"/>
      <c r="N779" s="11132"/>
      <c r="O779" s="11126"/>
      <c r="P779" s="11126"/>
      <c r="Q779" s="11128"/>
      <c r="R779" s="3543"/>
      <c r="S779" s="5468"/>
      <c r="T779" s="5468"/>
      <c r="U779" s="3557"/>
      <c r="V779" s="5503"/>
      <c r="W779" s="3545"/>
      <c r="X779" s="5532"/>
      <c r="Y779" s="5532"/>
      <c r="Z779" s="5532"/>
      <c r="AA779" s="5533"/>
      <c r="AB779" s="5585"/>
      <c r="AC779" s="4318"/>
      <c r="AD779" s="3545"/>
      <c r="AE779" s="5625"/>
      <c r="AF779" s="5625"/>
      <c r="AG779" s="11116"/>
    </row>
    <row r="780" spans="1:33" s="6169" customFormat="1" ht="35.25" customHeight="1" thickBot="1">
      <c r="A780" s="6236"/>
      <c r="B780" s="6250"/>
      <c r="C780" s="6250"/>
      <c r="D780" s="6250"/>
      <c r="E780" s="6250"/>
      <c r="F780" s="6250"/>
      <c r="G780" s="6250"/>
      <c r="H780" s="6250"/>
      <c r="I780" s="6250"/>
      <c r="J780" s="6250"/>
      <c r="K780" s="6250"/>
      <c r="L780" s="6164"/>
      <c r="M780" s="6164"/>
      <c r="N780" s="6164"/>
      <c r="O780" s="6166"/>
      <c r="P780" s="6166"/>
      <c r="Q780" s="6167"/>
      <c r="R780" s="11144" t="s">
        <v>6152</v>
      </c>
      <c r="S780" s="11145"/>
      <c r="T780" s="11145"/>
      <c r="U780" s="11145"/>
      <c r="V780" s="11145"/>
      <c r="W780" s="11145"/>
      <c r="X780" s="11145"/>
      <c r="Y780" s="11145"/>
      <c r="Z780" s="5321" t="s">
        <v>292</v>
      </c>
      <c r="AA780" s="6153">
        <f>SUM(AA705:AA779)</f>
        <v>2039.75</v>
      </c>
      <c r="AB780" s="6165"/>
      <c r="AC780" s="6168"/>
      <c r="AD780" s="11146"/>
      <c r="AE780" s="11147"/>
      <c r="AF780" s="11147"/>
      <c r="AG780" s="11148"/>
    </row>
    <row r="781" spans="1:33" ht="18" customHeight="1">
      <c r="A781" s="9599" t="s">
        <v>6153</v>
      </c>
      <c r="B781" s="10518" t="s">
        <v>183</v>
      </c>
      <c r="C781" s="10452" t="s">
        <v>227</v>
      </c>
      <c r="D781" s="10452" t="s">
        <v>228</v>
      </c>
      <c r="E781" s="10452" t="s">
        <v>229</v>
      </c>
      <c r="F781" s="10454" t="s">
        <v>230</v>
      </c>
      <c r="G781" s="10452" t="s">
        <v>132</v>
      </c>
      <c r="H781" s="10452" t="s">
        <v>159</v>
      </c>
      <c r="I781" s="10433" t="s">
        <v>6010</v>
      </c>
      <c r="J781" s="10452" t="s">
        <v>6011</v>
      </c>
      <c r="K781" s="10452" t="s">
        <v>5761</v>
      </c>
      <c r="L781" s="10488">
        <v>2</v>
      </c>
      <c r="M781" s="10488">
        <v>1</v>
      </c>
      <c r="N781" s="10488">
        <v>2</v>
      </c>
      <c r="O781" s="10452" t="s">
        <v>6012</v>
      </c>
      <c r="P781" s="10452" t="s">
        <v>6013</v>
      </c>
      <c r="Q781" s="10453" t="s">
        <v>6014</v>
      </c>
      <c r="R781" s="5445"/>
      <c r="S781" s="4321"/>
      <c r="T781" s="4321"/>
      <c r="U781" s="3573"/>
      <c r="V781" s="4322"/>
      <c r="W781" s="3574"/>
      <c r="X781" s="5550"/>
      <c r="Y781" s="5550"/>
      <c r="Z781" s="5550"/>
      <c r="AA781" s="5551"/>
      <c r="AB781" s="5580"/>
      <c r="AC781" s="4323"/>
      <c r="AD781" s="3683"/>
      <c r="AE781" s="5609"/>
      <c r="AF781" s="5609"/>
      <c r="AG781" s="10466"/>
    </row>
    <row r="782" spans="1:33" ht="18" customHeight="1">
      <c r="A782" s="11139"/>
      <c r="B782" s="11136"/>
      <c r="C782" s="11124"/>
      <c r="D782" s="11124"/>
      <c r="E782" s="11124"/>
      <c r="F782" s="11124"/>
      <c r="G782" s="11124"/>
      <c r="H782" s="11124"/>
      <c r="I782" s="11124"/>
      <c r="J782" s="11124"/>
      <c r="K782" s="11124"/>
      <c r="L782" s="11131"/>
      <c r="M782" s="11131"/>
      <c r="N782" s="11131"/>
      <c r="O782" s="11124"/>
      <c r="P782" s="11124"/>
      <c r="Q782" s="11127"/>
      <c r="R782" s="5446"/>
      <c r="S782" s="3579"/>
      <c r="T782" s="3579"/>
      <c r="U782" s="3578"/>
      <c r="V782" s="4315"/>
      <c r="W782" s="3579"/>
      <c r="X782" s="5552"/>
      <c r="Y782" s="5552"/>
      <c r="Z782" s="5552"/>
      <c r="AA782" s="5553"/>
      <c r="AB782" s="5581"/>
      <c r="AC782" s="4316"/>
      <c r="AD782" s="3496"/>
      <c r="AE782" s="5610"/>
      <c r="AF782" s="5610"/>
      <c r="AG782" s="11115"/>
    </row>
    <row r="783" spans="1:33" ht="18" customHeight="1">
      <c r="A783" s="11139"/>
      <c r="B783" s="11136"/>
      <c r="C783" s="11124"/>
      <c r="D783" s="11124"/>
      <c r="E783" s="11124"/>
      <c r="F783" s="11124"/>
      <c r="G783" s="11124"/>
      <c r="H783" s="11124"/>
      <c r="I783" s="11124"/>
      <c r="J783" s="11124"/>
      <c r="K783" s="11124"/>
      <c r="L783" s="11131"/>
      <c r="M783" s="11131"/>
      <c r="N783" s="11131"/>
      <c r="O783" s="11124"/>
      <c r="P783" s="11124"/>
      <c r="Q783" s="11127"/>
      <c r="R783" s="5446"/>
      <c r="S783" s="3579"/>
      <c r="T783" s="3579"/>
      <c r="U783" s="3578"/>
      <c r="V783" s="4315"/>
      <c r="W783" s="3579"/>
      <c r="X783" s="5552"/>
      <c r="Y783" s="5552"/>
      <c r="Z783" s="5552"/>
      <c r="AA783" s="5553"/>
      <c r="AB783" s="5581"/>
      <c r="AC783" s="4316"/>
      <c r="AD783" s="3496"/>
      <c r="AE783" s="5610"/>
      <c r="AF783" s="5610"/>
      <c r="AG783" s="11115"/>
    </row>
    <row r="784" spans="1:33" ht="18" customHeight="1">
      <c r="A784" s="11139"/>
      <c r="B784" s="11136"/>
      <c r="C784" s="11124"/>
      <c r="D784" s="11124"/>
      <c r="E784" s="11124"/>
      <c r="F784" s="11124"/>
      <c r="G784" s="11124"/>
      <c r="H784" s="11124"/>
      <c r="I784" s="11124"/>
      <c r="J784" s="11124"/>
      <c r="K784" s="11124"/>
      <c r="L784" s="11131"/>
      <c r="M784" s="11131"/>
      <c r="N784" s="11131"/>
      <c r="O784" s="11124"/>
      <c r="P784" s="11124"/>
      <c r="Q784" s="11127"/>
      <c r="R784" s="5447"/>
      <c r="S784" s="4325"/>
      <c r="T784" s="4325"/>
      <c r="U784" s="3578"/>
      <c r="V784" s="4315"/>
      <c r="W784" s="3579"/>
      <c r="X784" s="5552"/>
      <c r="Y784" s="5552"/>
      <c r="Z784" s="5552"/>
      <c r="AA784" s="5553"/>
      <c r="AB784" s="5581"/>
      <c r="AC784" s="4316"/>
      <c r="AD784" s="3496"/>
      <c r="AE784" s="5610"/>
      <c r="AF784" s="5610"/>
      <c r="AG784" s="11115"/>
    </row>
    <row r="785" spans="1:33" ht="18" customHeight="1">
      <c r="A785" s="11139"/>
      <c r="B785" s="11137"/>
      <c r="C785" s="11125"/>
      <c r="D785" s="11125"/>
      <c r="E785" s="11125"/>
      <c r="F785" s="11125"/>
      <c r="G785" s="11125"/>
      <c r="H785" s="11125"/>
      <c r="I785" s="11125"/>
      <c r="J785" s="11125"/>
      <c r="K785" s="11125"/>
      <c r="L785" s="11134"/>
      <c r="M785" s="11134"/>
      <c r="N785" s="11134"/>
      <c r="O785" s="11125"/>
      <c r="P785" s="11125"/>
      <c r="Q785" s="11135"/>
      <c r="R785" s="5448"/>
      <c r="S785" s="3617"/>
      <c r="T785" s="3617"/>
      <c r="U785" s="3616"/>
      <c r="V785" s="4319"/>
      <c r="W785" s="3617"/>
      <c r="X785" s="5554"/>
      <c r="Y785" s="5554"/>
      <c r="Z785" s="5554"/>
      <c r="AA785" s="5555"/>
      <c r="AB785" s="5592"/>
      <c r="AC785" s="4320"/>
      <c r="AD785" s="3714"/>
      <c r="AE785" s="5624"/>
      <c r="AF785" s="5624"/>
      <c r="AG785" s="11116"/>
    </row>
    <row r="786" spans="1:33" ht="18" customHeight="1">
      <c r="A786" s="11139"/>
      <c r="B786" s="10516" t="s">
        <v>127</v>
      </c>
      <c r="C786" s="10433" t="s">
        <v>128</v>
      </c>
      <c r="D786" s="10433" t="s">
        <v>129</v>
      </c>
      <c r="E786" s="10433" t="s">
        <v>157</v>
      </c>
      <c r="F786" s="10442" t="s">
        <v>131</v>
      </c>
      <c r="G786" s="10433" t="s">
        <v>132</v>
      </c>
      <c r="H786" s="10433" t="s">
        <v>159</v>
      </c>
      <c r="I786" s="10433" t="s">
        <v>6015</v>
      </c>
      <c r="J786" s="10433" t="s">
        <v>6016</v>
      </c>
      <c r="K786" s="10433" t="s">
        <v>5761</v>
      </c>
      <c r="L786" s="11130">
        <v>2</v>
      </c>
      <c r="M786" s="11130">
        <v>0</v>
      </c>
      <c r="N786" s="11130">
        <v>2</v>
      </c>
      <c r="O786" s="10433" t="s">
        <v>6017</v>
      </c>
      <c r="P786" s="10433" t="s">
        <v>6018</v>
      </c>
      <c r="Q786" s="10439" t="s">
        <v>6154</v>
      </c>
      <c r="R786" s="5452"/>
      <c r="S786" s="3598"/>
      <c r="T786" s="3598"/>
      <c r="U786" s="4344"/>
      <c r="V786" s="4337"/>
      <c r="W786" s="3598"/>
      <c r="X786" s="5556"/>
      <c r="Y786" s="5556"/>
      <c r="Z786" s="5556"/>
      <c r="AA786" s="5557"/>
      <c r="AB786" s="5584"/>
      <c r="AC786" s="4338"/>
      <c r="AD786" s="3709"/>
      <c r="AE786" s="5626"/>
      <c r="AF786" s="5626"/>
      <c r="AG786" s="10525"/>
    </row>
    <row r="787" spans="1:33" ht="18" customHeight="1">
      <c r="A787" s="11139"/>
      <c r="B787" s="11136"/>
      <c r="C787" s="11124"/>
      <c r="D787" s="11124"/>
      <c r="E787" s="11124"/>
      <c r="F787" s="11124"/>
      <c r="G787" s="11124"/>
      <c r="H787" s="11124"/>
      <c r="I787" s="11124"/>
      <c r="J787" s="11124"/>
      <c r="K787" s="11124"/>
      <c r="L787" s="11131"/>
      <c r="M787" s="11131"/>
      <c r="N787" s="11131"/>
      <c r="O787" s="11124"/>
      <c r="P787" s="11124"/>
      <c r="Q787" s="11127"/>
      <c r="R787" s="5446"/>
      <c r="S787" s="3579"/>
      <c r="T787" s="3579"/>
      <c r="U787" s="3578"/>
      <c r="V787" s="4315"/>
      <c r="W787" s="3579"/>
      <c r="X787" s="5552"/>
      <c r="Y787" s="5552"/>
      <c r="Z787" s="5552"/>
      <c r="AA787" s="5553"/>
      <c r="AB787" s="5581"/>
      <c r="AC787" s="4316"/>
      <c r="AD787" s="3496"/>
      <c r="AE787" s="5610"/>
      <c r="AF787" s="5610"/>
      <c r="AG787" s="11115"/>
    </row>
    <row r="788" spans="1:33" ht="18" customHeight="1">
      <c r="A788" s="11139"/>
      <c r="B788" s="11136"/>
      <c r="C788" s="11124"/>
      <c r="D788" s="11124"/>
      <c r="E788" s="11124"/>
      <c r="F788" s="11124"/>
      <c r="G788" s="11124"/>
      <c r="H788" s="11124"/>
      <c r="I788" s="11124"/>
      <c r="J788" s="11124"/>
      <c r="K788" s="11124"/>
      <c r="L788" s="11131"/>
      <c r="M788" s="11131"/>
      <c r="N788" s="11131"/>
      <c r="O788" s="11124"/>
      <c r="P788" s="11124"/>
      <c r="Q788" s="11127"/>
      <c r="R788" s="5446"/>
      <c r="S788" s="3579"/>
      <c r="T788" s="3579"/>
      <c r="U788" s="3578"/>
      <c r="V788" s="4315"/>
      <c r="W788" s="3579"/>
      <c r="X788" s="5552"/>
      <c r="Y788" s="5552"/>
      <c r="Z788" s="5552"/>
      <c r="AA788" s="5553"/>
      <c r="AB788" s="5581"/>
      <c r="AC788" s="4316"/>
      <c r="AD788" s="3496"/>
      <c r="AE788" s="5610"/>
      <c r="AF788" s="5610"/>
      <c r="AG788" s="11115"/>
    </row>
    <row r="789" spans="1:33" ht="18" customHeight="1">
      <c r="A789" s="11139"/>
      <c r="B789" s="11136"/>
      <c r="C789" s="11124"/>
      <c r="D789" s="11124"/>
      <c r="E789" s="11124"/>
      <c r="F789" s="11124"/>
      <c r="G789" s="11124"/>
      <c r="H789" s="11124"/>
      <c r="I789" s="11124"/>
      <c r="J789" s="11124"/>
      <c r="K789" s="11124"/>
      <c r="L789" s="11131"/>
      <c r="M789" s="11131"/>
      <c r="N789" s="11131"/>
      <c r="O789" s="11124"/>
      <c r="P789" s="11124"/>
      <c r="Q789" s="11127"/>
      <c r="R789" s="5446"/>
      <c r="S789" s="3579"/>
      <c r="T789" s="3579"/>
      <c r="U789" s="3578"/>
      <c r="V789" s="4315"/>
      <c r="W789" s="3579"/>
      <c r="X789" s="5552"/>
      <c r="Y789" s="5552"/>
      <c r="Z789" s="5552"/>
      <c r="AA789" s="5553"/>
      <c r="AB789" s="5581"/>
      <c r="AC789" s="4316"/>
      <c r="AD789" s="3496"/>
      <c r="AE789" s="5610"/>
      <c r="AF789" s="5610"/>
      <c r="AG789" s="11115"/>
    </row>
    <row r="790" spans="1:33" ht="18" customHeight="1">
      <c r="A790" s="11139"/>
      <c r="B790" s="11138"/>
      <c r="C790" s="11126"/>
      <c r="D790" s="11126"/>
      <c r="E790" s="11126"/>
      <c r="F790" s="11126"/>
      <c r="G790" s="11126"/>
      <c r="H790" s="11126"/>
      <c r="I790" s="11126"/>
      <c r="J790" s="11126"/>
      <c r="K790" s="11126"/>
      <c r="L790" s="11132"/>
      <c r="M790" s="11132"/>
      <c r="N790" s="11132"/>
      <c r="O790" s="11126"/>
      <c r="P790" s="11126"/>
      <c r="Q790" s="11128"/>
      <c r="R790" s="5450"/>
      <c r="S790" s="3606"/>
      <c r="T790" s="3606"/>
      <c r="U790" s="3605"/>
      <c r="V790" s="4317"/>
      <c r="W790" s="3606"/>
      <c r="X790" s="5558"/>
      <c r="Y790" s="5558"/>
      <c r="Z790" s="5558"/>
      <c r="AA790" s="5559"/>
      <c r="AB790" s="5585"/>
      <c r="AC790" s="4318"/>
      <c r="AD790" s="3545"/>
      <c r="AE790" s="5625"/>
      <c r="AF790" s="5625"/>
      <c r="AG790" s="11116"/>
    </row>
    <row r="791" spans="1:33" ht="18" customHeight="1">
      <c r="A791" s="11139"/>
      <c r="B791" s="10512" t="s">
        <v>127</v>
      </c>
      <c r="C791" s="10444" t="s">
        <v>128</v>
      </c>
      <c r="D791" s="10444" t="s">
        <v>129</v>
      </c>
      <c r="E791" s="10444" t="s">
        <v>157</v>
      </c>
      <c r="F791" s="10451" t="s">
        <v>131</v>
      </c>
      <c r="G791" s="10444" t="s">
        <v>132</v>
      </c>
      <c r="H791" s="10444" t="s">
        <v>159</v>
      </c>
      <c r="I791" s="10444" t="s">
        <v>6020</v>
      </c>
      <c r="J791" s="10444" t="s">
        <v>6021</v>
      </c>
      <c r="K791" s="10444" t="s">
        <v>6022</v>
      </c>
      <c r="L791" s="11133">
        <v>0</v>
      </c>
      <c r="M791" s="11133">
        <v>1</v>
      </c>
      <c r="N791" s="11133">
        <v>0</v>
      </c>
      <c r="O791" s="10444" t="s">
        <v>6023</v>
      </c>
      <c r="P791" s="10444" t="s">
        <v>6024</v>
      </c>
      <c r="Q791" s="10449" t="s">
        <v>6155</v>
      </c>
      <c r="R791" s="5458"/>
      <c r="S791" s="3623"/>
      <c r="T791" s="3623"/>
      <c r="U791" s="4312"/>
      <c r="V791" s="4313"/>
      <c r="W791" s="3623"/>
      <c r="X791" s="5560"/>
      <c r="Y791" s="5560"/>
      <c r="Z791" s="5560"/>
      <c r="AA791" s="5561"/>
      <c r="AB791" s="5586"/>
      <c r="AC791" s="4314"/>
      <c r="AD791" s="3658"/>
      <c r="AE791" s="5623"/>
      <c r="AF791" s="5623"/>
      <c r="AG791" s="10525"/>
    </row>
    <row r="792" spans="1:33" ht="18" customHeight="1">
      <c r="A792" s="11139"/>
      <c r="B792" s="11136"/>
      <c r="C792" s="11124"/>
      <c r="D792" s="11124"/>
      <c r="E792" s="11124"/>
      <c r="F792" s="11124"/>
      <c r="G792" s="11124"/>
      <c r="H792" s="11124"/>
      <c r="I792" s="11124"/>
      <c r="J792" s="11124"/>
      <c r="K792" s="11124"/>
      <c r="L792" s="11131"/>
      <c r="M792" s="11131"/>
      <c r="N792" s="11131"/>
      <c r="O792" s="11124"/>
      <c r="P792" s="11124"/>
      <c r="Q792" s="11127"/>
      <c r="R792" s="5446"/>
      <c r="S792" s="3579"/>
      <c r="T792" s="3579"/>
      <c r="U792" s="3578"/>
      <c r="V792" s="4315"/>
      <c r="W792" s="3579"/>
      <c r="X792" s="5552"/>
      <c r="Y792" s="5552"/>
      <c r="Z792" s="5552"/>
      <c r="AA792" s="5553"/>
      <c r="AB792" s="5581"/>
      <c r="AC792" s="4316"/>
      <c r="AD792" s="3496"/>
      <c r="AE792" s="5610"/>
      <c r="AF792" s="5610"/>
      <c r="AG792" s="11115"/>
    </row>
    <row r="793" spans="1:33" ht="18" customHeight="1">
      <c r="A793" s="11139"/>
      <c r="B793" s="11136"/>
      <c r="C793" s="11124"/>
      <c r="D793" s="11124"/>
      <c r="E793" s="11124"/>
      <c r="F793" s="11124"/>
      <c r="G793" s="11124"/>
      <c r="H793" s="11124"/>
      <c r="I793" s="11124"/>
      <c r="J793" s="11124"/>
      <c r="K793" s="11124"/>
      <c r="L793" s="11131"/>
      <c r="M793" s="11131"/>
      <c r="N793" s="11131"/>
      <c r="O793" s="11124"/>
      <c r="P793" s="11124"/>
      <c r="Q793" s="11127"/>
      <c r="R793" s="5446"/>
      <c r="S793" s="3579"/>
      <c r="T793" s="3579"/>
      <c r="U793" s="3578"/>
      <c r="V793" s="4315"/>
      <c r="W793" s="3579"/>
      <c r="X793" s="5552"/>
      <c r="Y793" s="5552"/>
      <c r="Z793" s="5552"/>
      <c r="AA793" s="5553"/>
      <c r="AB793" s="5581"/>
      <c r="AC793" s="4316"/>
      <c r="AD793" s="3496"/>
      <c r="AE793" s="5610"/>
      <c r="AF793" s="5610"/>
      <c r="AG793" s="11115"/>
    </row>
    <row r="794" spans="1:33" ht="18" customHeight="1">
      <c r="A794" s="11139"/>
      <c r="B794" s="11136"/>
      <c r="C794" s="11124"/>
      <c r="D794" s="11124"/>
      <c r="E794" s="11124"/>
      <c r="F794" s="11124"/>
      <c r="G794" s="11124"/>
      <c r="H794" s="11124"/>
      <c r="I794" s="11124"/>
      <c r="J794" s="11124"/>
      <c r="K794" s="11124"/>
      <c r="L794" s="11131"/>
      <c r="M794" s="11131"/>
      <c r="N794" s="11131"/>
      <c r="O794" s="11124"/>
      <c r="P794" s="11124"/>
      <c r="Q794" s="11127"/>
      <c r="R794" s="5446"/>
      <c r="S794" s="3579"/>
      <c r="T794" s="3579"/>
      <c r="U794" s="3578"/>
      <c r="V794" s="4315"/>
      <c r="W794" s="3579"/>
      <c r="X794" s="5552"/>
      <c r="Y794" s="5552"/>
      <c r="Z794" s="5552"/>
      <c r="AA794" s="5553"/>
      <c r="AB794" s="5581"/>
      <c r="AC794" s="4316"/>
      <c r="AD794" s="3496"/>
      <c r="AE794" s="5610"/>
      <c r="AF794" s="5610"/>
      <c r="AG794" s="11115"/>
    </row>
    <row r="795" spans="1:33" ht="18" customHeight="1">
      <c r="A795" s="11139"/>
      <c r="B795" s="11137"/>
      <c r="C795" s="11125"/>
      <c r="D795" s="11125"/>
      <c r="E795" s="11125"/>
      <c r="F795" s="11125"/>
      <c r="G795" s="11125"/>
      <c r="H795" s="11125"/>
      <c r="I795" s="11125"/>
      <c r="J795" s="11125"/>
      <c r="K795" s="11125"/>
      <c r="L795" s="11134"/>
      <c r="M795" s="11134"/>
      <c r="N795" s="11134"/>
      <c r="O795" s="11125"/>
      <c r="P795" s="11125"/>
      <c r="Q795" s="11135"/>
      <c r="R795" s="5448"/>
      <c r="S795" s="3617"/>
      <c r="T795" s="3617"/>
      <c r="U795" s="3616"/>
      <c r="V795" s="4319"/>
      <c r="W795" s="3617"/>
      <c r="X795" s="5554"/>
      <c r="Y795" s="5554"/>
      <c r="Z795" s="5554"/>
      <c r="AA795" s="5555"/>
      <c r="AB795" s="5592"/>
      <c r="AC795" s="4320"/>
      <c r="AD795" s="3714"/>
      <c r="AE795" s="5624"/>
      <c r="AF795" s="5624"/>
      <c r="AG795" s="11116"/>
    </row>
    <row r="796" spans="1:33" ht="18" customHeight="1">
      <c r="A796" s="11139"/>
      <c r="B796" s="10516" t="s">
        <v>183</v>
      </c>
      <c r="C796" s="10433" t="s">
        <v>227</v>
      </c>
      <c r="D796" s="10433" t="s">
        <v>228</v>
      </c>
      <c r="E796" s="10433" t="s">
        <v>229</v>
      </c>
      <c r="F796" s="10442" t="s">
        <v>230</v>
      </c>
      <c r="G796" s="10433" t="s">
        <v>132</v>
      </c>
      <c r="H796" s="10433" t="s">
        <v>159</v>
      </c>
      <c r="I796" s="10433" t="s">
        <v>6026</v>
      </c>
      <c r="J796" s="10433" t="s">
        <v>6027</v>
      </c>
      <c r="K796" s="10433" t="s">
        <v>6022</v>
      </c>
      <c r="L796" s="11130">
        <v>0</v>
      </c>
      <c r="M796" s="11130">
        <v>1</v>
      </c>
      <c r="N796" s="11130">
        <v>1</v>
      </c>
      <c r="O796" s="10433" t="s">
        <v>6028</v>
      </c>
      <c r="P796" s="10433" t="s">
        <v>6029</v>
      </c>
      <c r="Q796" s="10439" t="s">
        <v>6155</v>
      </c>
      <c r="R796" s="5452"/>
      <c r="S796" s="3598"/>
      <c r="T796" s="3598"/>
      <c r="U796" s="4344"/>
      <c r="V796" s="4337"/>
      <c r="W796" s="3598"/>
      <c r="X796" s="5556"/>
      <c r="Y796" s="5556"/>
      <c r="Z796" s="5556"/>
      <c r="AA796" s="5557"/>
      <c r="AB796" s="5584"/>
      <c r="AC796" s="4338"/>
      <c r="AD796" s="3709"/>
      <c r="AE796" s="5626"/>
      <c r="AF796" s="5626"/>
      <c r="AG796" s="10525"/>
    </row>
    <row r="797" spans="1:33" ht="18" customHeight="1">
      <c r="A797" s="11139"/>
      <c r="B797" s="11136"/>
      <c r="C797" s="11124"/>
      <c r="D797" s="11124"/>
      <c r="E797" s="11124"/>
      <c r="F797" s="11124"/>
      <c r="G797" s="11124"/>
      <c r="H797" s="11124"/>
      <c r="I797" s="11124"/>
      <c r="J797" s="11124"/>
      <c r="K797" s="11124"/>
      <c r="L797" s="11131"/>
      <c r="M797" s="11131"/>
      <c r="N797" s="11131"/>
      <c r="O797" s="11124"/>
      <c r="P797" s="11124"/>
      <c r="Q797" s="11127"/>
      <c r="R797" s="5446"/>
      <c r="S797" s="3579"/>
      <c r="T797" s="3579"/>
      <c r="U797" s="3578"/>
      <c r="V797" s="4315"/>
      <c r="W797" s="3579"/>
      <c r="X797" s="5552"/>
      <c r="Y797" s="5552"/>
      <c r="Z797" s="5552"/>
      <c r="AA797" s="5553"/>
      <c r="AB797" s="5581"/>
      <c r="AC797" s="4316"/>
      <c r="AD797" s="3496"/>
      <c r="AE797" s="5610"/>
      <c r="AF797" s="5610"/>
      <c r="AG797" s="11115"/>
    </row>
    <row r="798" spans="1:33" ht="18" customHeight="1">
      <c r="A798" s="11139"/>
      <c r="B798" s="11136"/>
      <c r="C798" s="11124"/>
      <c r="D798" s="11124"/>
      <c r="E798" s="11124"/>
      <c r="F798" s="11124"/>
      <c r="G798" s="11124"/>
      <c r="H798" s="11124"/>
      <c r="I798" s="11124"/>
      <c r="J798" s="11124"/>
      <c r="K798" s="11124"/>
      <c r="L798" s="11131"/>
      <c r="M798" s="11131"/>
      <c r="N798" s="11131"/>
      <c r="O798" s="11124"/>
      <c r="P798" s="11124"/>
      <c r="Q798" s="11127"/>
      <c r="R798" s="5446"/>
      <c r="S798" s="3579"/>
      <c r="T798" s="3579"/>
      <c r="U798" s="3578"/>
      <c r="V798" s="4315"/>
      <c r="W798" s="3579"/>
      <c r="X798" s="5552"/>
      <c r="Y798" s="5552"/>
      <c r="Z798" s="5552"/>
      <c r="AA798" s="5553"/>
      <c r="AB798" s="5581"/>
      <c r="AC798" s="4316"/>
      <c r="AD798" s="3496"/>
      <c r="AE798" s="5610"/>
      <c r="AF798" s="5610"/>
      <c r="AG798" s="11115"/>
    </row>
    <row r="799" spans="1:33" ht="18" customHeight="1">
      <c r="A799" s="11139"/>
      <c r="B799" s="11136"/>
      <c r="C799" s="11124"/>
      <c r="D799" s="11124"/>
      <c r="E799" s="11124"/>
      <c r="F799" s="11124"/>
      <c r="G799" s="11124"/>
      <c r="H799" s="11124"/>
      <c r="I799" s="11124"/>
      <c r="J799" s="11124"/>
      <c r="K799" s="11124"/>
      <c r="L799" s="11131"/>
      <c r="M799" s="11131"/>
      <c r="N799" s="11131"/>
      <c r="O799" s="11124"/>
      <c r="P799" s="11124"/>
      <c r="Q799" s="11127"/>
      <c r="R799" s="5446"/>
      <c r="S799" s="3579"/>
      <c r="T799" s="3579"/>
      <c r="U799" s="3578"/>
      <c r="V799" s="4315"/>
      <c r="W799" s="3579"/>
      <c r="X799" s="5552"/>
      <c r="Y799" s="5552"/>
      <c r="Z799" s="5552"/>
      <c r="AA799" s="5553"/>
      <c r="AB799" s="5581"/>
      <c r="AC799" s="4316"/>
      <c r="AD799" s="3496"/>
      <c r="AE799" s="5610"/>
      <c r="AF799" s="5610"/>
      <c r="AG799" s="11115"/>
    </row>
    <row r="800" spans="1:33" ht="18" customHeight="1">
      <c r="A800" s="11139"/>
      <c r="B800" s="11138"/>
      <c r="C800" s="11126"/>
      <c r="D800" s="11126"/>
      <c r="E800" s="11126"/>
      <c r="F800" s="11126"/>
      <c r="G800" s="11126"/>
      <c r="H800" s="11126"/>
      <c r="I800" s="11126"/>
      <c r="J800" s="11126"/>
      <c r="K800" s="11126"/>
      <c r="L800" s="11132"/>
      <c r="M800" s="11132"/>
      <c r="N800" s="11132"/>
      <c r="O800" s="11126"/>
      <c r="P800" s="11126"/>
      <c r="Q800" s="11128"/>
      <c r="R800" s="5450"/>
      <c r="S800" s="3606"/>
      <c r="T800" s="3606"/>
      <c r="U800" s="3605"/>
      <c r="V800" s="4317"/>
      <c r="W800" s="3606"/>
      <c r="X800" s="5558"/>
      <c r="Y800" s="5558"/>
      <c r="Z800" s="5558"/>
      <c r="AA800" s="5559"/>
      <c r="AB800" s="5585"/>
      <c r="AC800" s="4318"/>
      <c r="AD800" s="3545"/>
      <c r="AE800" s="5625"/>
      <c r="AF800" s="5625"/>
      <c r="AG800" s="11116"/>
    </row>
    <row r="801" spans="1:33" ht="18" customHeight="1">
      <c r="A801" s="11139"/>
      <c r="B801" s="10512" t="s">
        <v>183</v>
      </c>
      <c r="C801" s="10444" t="s">
        <v>227</v>
      </c>
      <c r="D801" s="10444" t="s">
        <v>185</v>
      </c>
      <c r="E801" s="10444" t="s">
        <v>1938</v>
      </c>
      <c r="F801" s="10451" t="s">
        <v>230</v>
      </c>
      <c r="G801" s="10444" t="s">
        <v>171</v>
      </c>
      <c r="H801" s="10444" t="s">
        <v>133</v>
      </c>
      <c r="I801" s="10444" t="s">
        <v>6030</v>
      </c>
      <c r="J801" s="10444" t="s">
        <v>6031</v>
      </c>
      <c r="K801" s="10444" t="s">
        <v>5900</v>
      </c>
      <c r="L801" s="11133">
        <v>1</v>
      </c>
      <c r="M801" s="11133">
        <v>0</v>
      </c>
      <c r="N801" s="11133">
        <v>1</v>
      </c>
      <c r="O801" s="10444" t="s">
        <v>6032</v>
      </c>
      <c r="P801" s="10444" t="s">
        <v>5902</v>
      </c>
      <c r="Q801" s="10449" t="s">
        <v>6156</v>
      </c>
      <c r="R801" s="5458"/>
      <c r="S801" s="3623"/>
      <c r="T801" s="3623"/>
      <c r="U801" s="4312"/>
      <c r="V801" s="4313"/>
      <c r="W801" s="3623"/>
      <c r="X801" s="5560"/>
      <c r="Y801" s="5560"/>
      <c r="Z801" s="5560"/>
      <c r="AA801" s="5561"/>
      <c r="AB801" s="5586"/>
      <c r="AC801" s="4314"/>
      <c r="AD801" s="3658"/>
      <c r="AE801" s="5623"/>
      <c r="AF801" s="5623"/>
      <c r="AG801" s="10525"/>
    </row>
    <row r="802" spans="1:33" ht="18" customHeight="1">
      <c r="A802" s="11139"/>
      <c r="B802" s="11136"/>
      <c r="C802" s="11124"/>
      <c r="D802" s="11124"/>
      <c r="E802" s="11124"/>
      <c r="F802" s="11124"/>
      <c r="G802" s="11124"/>
      <c r="H802" s="11124"/>
      <c r="I802" s="11124"/>
      <c r="J802" s="11124"/>
      <c r="K802" s="11124"/>
      <c r="L802" s="11131"/>
      <c r="M802" s="11131"/>
      <c r="N802" s="11131"/>
      <c r="O802" s="11124"/>
      <c r="P802" s="11124"/>
      <c r="Q802" s="11127"/>
      <c r="R802" s="5446"/>
      <c r="S802" s="3579"/>
      <c r="T802" s="3579"/>
      <c r="U802" s="3578"/>
      <c r="V802" s="4315"/>
      <c r="W802" s="3579"/>
      <c r="X802" s="5552"/>
      <c r="Y802" s="5552"/>
      <c r="Z802" s="5552"/>
      <c r="AA802" s="5553"/>
      <c r="AB802" s="5581"/>
      <c r="AC802" s="4316"/>
      <c r="AD802" s="3496"/>
      <c r="AE802" s="5610"/>
      <c r="AF802" s="5610"/>
      <c r="AG802" s="11115"/>
    </row>
    <row r="803" spans="1:33" ht="18" customHeight="1">
      <c r="A803" s="11139"/>
      <c r="B803" s="11136"/>
      <c r="C803" s="11124"/>
      <c r="D803" s="11124"/>
      <c r="E803" s="11124"/>
      <c r="F803" s="11124"/>
      <c r="G803" s="11124"/>
      <c r="H803" s="11124"/>
      <c r="I803" s="11124"/>
      <c r="J803" s="11124"/>
      <c r="K803" s="11124"/>
      <c r="L803" s="11131"/>
      <c r="M803" s="11131"/>
      <c r="N803" s="11131"/>
      <c r="O803" s="11124"/>
      <c r="P803" s="11124"/>
      <c r="Q803" s="11127"/>
      <c r="R803" s="5446"/>
      <c r="S803" s="3579"/>
      <c r="T803" s="3579"/>
      <c r="U803" s="3578"/>
      <c r="V803" s="4315"/>
      <c r="W803" s="3579"/>
      <c r="X803" s="5552"/>
      <c r="Y803" s="5552"/>
      <c r="Z803" s="5552"/>
      <c r="AA803" s="5553"/>
      <c r="AB803" s="5581"/>
      <c r="AC803" s="4316"/>
      <c r="AD803" s="3496"/>
      <c r="AE803" s="5610"/>
      <c r="AF803" s="5610"/>
      <c r="AG803" s="11115"/>
    </row>
    <row r="804" spans="1:33" ht="18" customHeight="1">
      <c r="A804" s="11139"/>
      <c r="B804" s="11136"/>
      <c r="C804" s="11124"/>
      <c r="D804" s="11124"/>
      <c r="E804" s="11124"/>
      <c r="F804" s="11124"/>
      <c r="G804" s="11124"/>
      <c r="H804" s="11124"/>
      <c r="I804" s="11124"/>
      <c r="J804" s="11124"/>
      <c r="K804" s="11124"/>
      <c r="L804" s="11131"/>
      <c r="M804" s="11131"/>
      <c r="N804" s="11131"/>
      <c r="O804" s="11124"/>
      <c r="P804" s="11124"/>
      <c r="Q804" s="11127"/>
      <c r="R804" s="5446"/>
      <c r="S804" s="3579"/>
      <c r="T804" s="3579"/>
      <c r="U804" s="3578"/>
      <c r="V804" s="4315"/>
      <c r="W804" s="3579"/>
      <c r="X804" s="5552"/>
      <c r="Y804" s="5552"/>
      <c r="Z804" s="5552"/>
      <c r="AA804" s="5553"/>
      <c r="AB804" s="5581"/>
      <c r="AC804" s="4316"/>
      <c r="AD804" s="3496"/>
      <c r="AE804" s="5610"/>
      <c r="AF804" s="5610"/>
      <c r="AG804" s="11115"/>
    </row>
    <row r="805" spans="1:33" ht="18" customHeight="1">
      <c r="A805" s="11139"/>
      <c r="B805" s="11137"/>
      <c r="C805" s="11125"/>
      <c r="D805" s="11125"/>
      <c r="E805" s="11125"/>
      <c r="F805" s="11125"/>
      <c r="G805" s="11125"/>
      <c r="H805" s="11125"/>
      <c r="I805" s="11125"/>
      <c r="J805" s="11125"/>
      <c r="K805" s="11125"/>
      <c r="L805" s="11134"/>
      <c r="M805" s="11134"/>
      <c r="N805" s="11134"/>
      <c r="O805" s="11125"/>
      <c r="P805" s="11125"/>
      <c r="Q805" s="11135"/>
      <c r="R805" s="5448"/>
      <c r="S805" s="3617"/>
      <c r="T805" s="3617"/>
      <c r="U805" s="3616"/>
      <c r="V805" s="4319"/>
      <c r="W805" s="3617"/>
      <c r="X805" s="5554"/>
      <c r="Y805" s="5554"/>
      <c r="Z805" s="5554"/>
      <c r="AA805" s="5555"/>
      <c r="AB805" s="5592"/>
      <c r="AC805" s="4320"/>
      <c r="AD805" s="3714"/>
      <c r="AE805" s="5624"/>
      <c r="AF805" s="5624"/>
      <c r="AG805" s="11116"/>
    </row>
    <row r="806" spans="1:33" ht="18" customHeight="1">
      <c r="A806" s="11139"/>
      <c r="B806" s="10516" t="s">
        <v>127</v>
      </c>
      <c r="C806" s="10433" t="s">
        <v>128</v>
      </c>
      <c r="D806" s="10433" t="s">
        <v>129</v>
      </c>
      <c r="E806" s="10433" t="s">
        <v>157</v>
      </c>
      <c r="F806" s="10442" t="s">
        <v>131</v>
      </c>
      <c r="G806" s="10433" t="s">
        <v>132</v>
      </c>
      <c r="H806" s="10433" t="s">
        <v>159</v>
      </c>
      <c r="I806" s="10433" t="s">
        <v>6034</v>
      </c>
      <c r="J806" s="10433" t="s">
        <v>6035</v>
      </c>
      <c r="K806" s="10433" t="s">
        <v>6036</v>
      </c>
      <c r="L806" s="11130">
        <v>1</v>
      </c>
      <c r="M806" s="11130">
        <v>2</v>
      </c>
      <c r="N806" s="11130">
        <v>2</v>
      </c>
      <c r="O806" s="10433" t="s">
        <v>6037</v>
      </c>
      <c r="P806" s="10433" t="s">
        <v>6038</v>
      </c>
      <c r="Q806" s="10439" t="s">
        <v>6155</v>
      </c>
      <c r="R806" s="5452"/>
      <c r="S806" s="3598"/>
      <c r="T806" s="3598"/>
      <c r="U806" s="4344"/>
      <c r="V806" s="4337"/>
      <c r="W806" s="3598"/>
      <c r="X806" s="5556"/>
      <c r="Y806" s="5556"/>
      <c r="Z806" s="5556"/>
      <c r="AA806" s="5557"/>
      <c r="AB806" s="5584"/>
      <c r="AC806" s="4338"/>
      <c r="AD806" s="3709"/>
      <c r="AE806" s="5626"/>
      <c r="AF806" s="5626"/>
      <c r="AG806" s="10525"/>
    </row>
    <row r="807" spans="1:33" ht="18" customHeight="1">
      <c r="A807" s="11139"/>
      <c r="B807" s="11136"/>
      <c r="C807" s="11124"/>
      <c r="D807" s="11124"/>
      <c r="E807" s="11124"/>
      <c r="F807" s="11124"/>
      <c r="G807" s="11124"/>
      <c r="H807" s="11124"/>
      <c r="I807" s="11124"/>
      <c r="J807" s="11124"/>
      <c r="K807" s="11124"/>
      <c r="L807" s="11131"/>
      <c r="M807" s="11131"/>
      <c r="N807" s="11131"/>
      <c r="O807" s="11124"/>
      <c r="P807" s="11124"/>
      <c r="Q807" s="11127"/>
      <c r="R807" s="5446"/>
      <c r="S807" s="3579"/>
      <c r="T807" s="3579"/>
      <c r="U807" s="3578"/>
      <c r="V807" s="4315"/>
      <c r="W807" s="3579"/>
      <c r="X807" s="5552"/>
      <c r="Y807" s="5552"/>
      <c r="Z807" s="5552"/>
      <c r="AA807" s="5553"/>
      <c r="AB807" s="5581"/>
      <c r="AC807" s="4316"/>
      <c r="AD807" s="3496"/>
      <c r="AE807" s="5610"/>
      <c r="AF807" s="5610"/>
      <c r="AG807" s="11115"/>
    </row>
    <row r="808" spans="1:33" ht="18" customHeight="1">
      <c r="A808" s="11139"/>
      <c r="B808" s="11136"/>
      <c r="C808" s="11124"/>
      <c r="D808" s="11124"/>
      <c r="E808" s="11124"/>
      <c r="F808" s="11124"/>
      <c r="G808" s="11124"/>
      <c r="H808" s="11124"/>
      <c r="I808" s="11124"/>
      <c r="J808" s="11124"/>
      <c r="K808" s="11124"/>
      <c r="L808" s="11131"/>
      <c r="M808" s="11131"/>
      <c r="N808" s="11131"/>
      <c r="O808" s="11124"/>
      <c r="P808" s="11124"/>
      <c r="Q808" s="11127"/>
      <c r="R808" s="5446"/>
      <c r="S808" s="3579"/>
      <c r="T808" s="3579"/>
      <c r="U808" s="3578"/>
      <c r="V808" s="4315"/>
      <c r="W808" s="3579"/>
      <c r="X808" s="5552"/>
      <c r="Y808" s="5552"/>
      <c r="Z808" s="5552"/>
      <c r="AA808" s="5553"/>
      <c r="AB808" s="5581"/>
      <c r="AC808" s="4316"/>
      <c r="AD808" s="3496"/>
      <c r="AE808" s="5610"/>
      <c r="AF808" s="5610"/>
      <c r="AG808" s="11115"/>
    </row>
    <row r="809" spans="1:33" ht="18" customHeight="1">
      <c r="A809" s="11139"/>
      <c r="B809" s="11136"/>
      <c r="C809" s="11124"/>
      <c r="D809" s="11124"/>
      <c r="E809" s="11124"/>
      <c r="F809" s="11124"/>
      <c r="G809" s="11124"/>
      <c r="H809" s="11124"/>
      <c r="I809" s="11124"/>
      <c r="J809" s="11124"/>
      <c r="K809" s="11124"/>
      <c r="L809" s="11131"/>
      <c r="M809" s="11131"/>
      <c r="N809" s="11131"/>
      <c r="O809" s="11124"/>
      <c r="P809" s="11124"/>
      <c r="Q809" s="11127"/>
      <c r="R809" s="5446"/>
      <c r="S809" s="3579"/>
      <c r="T809" s="3579"/>
      <c r="U809" s="3578"/>
      <c r="V809" s="4315"/>
      <c r="W809" s="3579"/>
      <c r="X809" s="5552"/>
      <c r="Y809" s="5552"/>
      <c r="Z809" s="5552"/>
      <c r="AA809" s="5553"/>
      <c r="AB809" s="5581"/>
      <c r="AC809" s="4316"/>
      <c r="AD809" s="3496"/>
      <c r="AE809" s="5610"/>
      <c r="AF809" s="5610"/>
      <c r="AG809" s="11115"/>
    </row>
    <row r="810" spans="1:33" ht="18" customHeight="1">
      <c r="A810" s="11139"/>
      <c r="B810" s="11138"/>
      <c r="C810" s="11126"/>
      <c r="D810" s="11126"/>
      <c r="E810" s="11126"/>
      <c r="F810" s="11126"/>
      <c r="G810" s="11126"/>
      <c r="H810" s="11126"/>
      <c r="I810" s="11126"/>
      <c r="J810" s="11126"/>
      <c r="K810" s="11126"/>
      <c r="L810" s="11132"/>
      <c r="M810" s="11132"/>
      <c r="N810" s="11132"/>
      <c r="O810" s="11126"/>
      <c r="P810" s="11126"/>
      <c r="Q810" s="11128"/>
      <c r="R810" s="5450"/>
      <c r="S810" s="3606"/>
      <c r="T810" s="3606"/>
      <c r="U810" s="3605"/>
      <c r="V810" s="4317"/>
      <c r="W810" s="3606"/>
      <c r="X810" s="5558"/>
      <c r="Y810" s="5558"/>
      <c r="Z810" s="5558"/>
      <c r="AA810" s="5559"/>
      <c r="AB810" s="5585"/>
      <c r="AC810" s="4318"/>
      <c r="AD810" s="3545"/>
      <c r="AE810" s="5625"/>
      <c r="AF810" s="5625"/>
      <c r="AG810" s="11116"/>
    </row>
    <row r="811" spans="1:33" ht="18" customHeight="1">
      <c r="A811" s="11139"/>
      <c r="B811" s="10512" t="s">
        <v>183</v>
      </c>
      <c r="C811" s="10444" t="s">
        <v>227</v>
      </c>
      <c r="D811" s="10444" t="s">
        <v>228</v>
      </c>
      <c r="E811" s="10444" t="s">
        <v>229</v>
      </c>
      <c r="F811" s="10451" t="s">
        <v>230</v>
      </c>
      <c r="G811" s="10444" t="s">
        <v>132</v>
      </c>
      <c r="H811" s="10444" t="s">
        <v>159</v>
      </c>
      <c r="I811" s="10444" t="s">
        <v>6039</v>
      </c>
      <c r="J811" s="10444" t="s">
        <v>6040</v>
      </c>
      <c r="K811" s="10444" t="s">
        <v>6022</v>
      </c>
      <c r="L811" s="11133">
        <v>0</v>
      </c>
      <c r="M811" s="11133">
        <v>1</v>
      </c>
      <c r="N811" s="11133">
        <v>0</v>
      </c>
      <c r="O811" s="10444" t="s">
        <v>6041</v>
      </c>
      <c r="P811" s="10444" t="s">
        <v>6042</v>
      </c>
      <c r="Q811" s="10449" t="s">
        <v>6155</v>
      </c>
      <c r="R811" s="5458"/>
      <c r="S811" s="3623"/>
      <c r="T811" s="3623"/>
      <c r="U811" s="4312"/>
      <c r="V811" s="4313"/>
      <c r="W811" s="3623"/>
      <c r="X811" s="5560"/>
      <c r="Y811" s="5560"/>
      <c r="Z811" s="5560"/>
      <c r="AA811" s="5561"/>
      <c r="AB811" s="5586"/>
      <c r="AC811" s="4314"/>
      <c r="AD811" s="3658"/>
      <c r="AE811" s="5623"/>
      <c r="AF811" s="5623"/>
      <c r="AG811" s="10525"/>
    </row>
    <row r="812" spans="1:33" ht="18" customHeight="1">
      <c r="A812" s="11139"/>
      <c r="B812" s="11136"/>
      <c r="C812" s="11124"/>
      <c r="D812" s="11124"/>
      <c r="E812" s="11124"/>
      <c r="F812" s="11124"/>
      <c r="G812" s="11124"/>
      <c r="H812" s="11124"/>
      <c r="I812" s="11124"/>
      <c r="J812" s="11124"/>
      <c r="K812" s="11124"/>
      <c r="L812" s="11131"/>
      <c r="M812" s="11131"/>
      <c r="N812" s="11131"/>
      <c r="O812" s="11124"/>
      <c r="P812" s="11124"/>
      <c r="Q812" s="11127"/>
      <c r="R812" s="5446"/>
      <c r="S812" s="3579"/>
      <c r="T812" s="3579"/>
      <c r="U812" s="3578"/>
      <c r="V812" s="4315"/>
      <c r="W812" s="3579"/>
      <c r="X812" s="5552"/>
      <c r="Y812" s="5552"/>
      <c r="Z812" s="5552"/>
      <c r="AA812" s="5553"/>
      <c r="AB812" s="5581"/>
      <c r="AC812" s="4316"/>
      <c r="AD812" s="3496"/>
      <c r="AE812" s="5610"/>
      <c r="AF812" s="5610"/>
      <c r="AG812" s="11115"/>
    </row>
    <row r="813" spans="1:33" ht="18" customHeight="1">
      <c r="A813" s="11139"/>
      <c r="B813" s="11136"/>
      <c r="C813" s="11124"/>
      <c r="D813" s="11124"/>
      <c r="E813" s="11124"/>
      <c r="F813" s="11124"/>
      <c r="G813" s="11124"/>
      <c r="H813" s="11124"/>
      <c r="I813" s="11124"/>
      <c r="J813" s="11124"/>
      <c r="K813" s="11124"/>
      <c r="L813" s="11131"/>
      <c r="M813" s="11131"/>
      <c r="N813" s="11131"/>
      <c r="O813" s="11124"/>
      <c r="P813" s="11124"/>
      <c r="Q813" s="11127"/>
      <c r="R813" s="5446"/>
      <c r="S813" s="3579"/>
      <c r="T813" s="3579"/>
      <c r="U813" s="3578"/>
      <c r="V813" s="4315"/>
      <c r="W813" s="3579"/>
      <c r="X813" s="5552"/>
      <c r="Y813" s="5552"/>
      <c r="Z813" s="5552"/>
      <c r="AA813" s="5553"/>
      <c r="AB813" s="5581"/>
      <c r="AC813" s="4316"/>
      <c r="AD813" s="3496"/>
      <c r="AE813" s="5610"/>
      <c r="AF813" s="5610"/>
      <c r="AG813" s="11115"/>
    </row>
    <row r="814" spans="1:33" ht="18" customHeight="1">
      <c r="A814" s="11139"/>
      <c r="B814" s="11136"/>
      <c r="C814" s="11124"/>
      <c r="D814" s="11124"/>
      <c r="E814" s="11124"/>
      <c r="F814" s="11124"/>
      <c r="G814" s="11124"/>
      <c r="H814" s="11124"/>
      <c r="I814" s="11124"/>
      <c r="J814" s="11124"/>
      <c r="K814" s="11124"/>
      <c r="L814" s="11131"/>
      <c r="M814" s="11131"/>
      <c r="N814" s="11131"/>
      <c r="O814" s="11124"/>
      <c r="P814" s="11124"/>
      <c r="Q814" s="11127"/>
      <c r="R814" s="5446"/>
      <c r="S814" s="3579"/>
      <c r="T814" s="3579"/>
      <c r="U814" s="3578"/>
      <c r="V814" s="4315"/>
      <c r="W814" s="3579"/>
      <c r="X814" s="5552"/>
      <c r="Y814" s="5552"/>
      <c r="Z814" s="5552"/>
      <c r="AA814" s="5553"/>
      <c r="AB814" s="5581"/>
      <c r="AC814" s="4316"/>
      <c r="AD814" s="3496"/>
      <c r="AE814" s="5610"/>
      <c r="AF814" s="5610"/>
      <c r="AG814" s="11115"/>
    </row>
    <row r="815" spans="1:33" ht="18" customHeight="1">
      <c r="A815" s="11139"/>
      <c r="B815" s="11137"/>
      <c r="C815" s="11125"/>
      <c r="D815" s="11125"/>
      <c r="E815" s="11125"/>
      <c r="F815" s="11125"/>
      <c r="G815" s="11125"/>
      <c r="H815" s="11125"/>
      <c r="I815" s="11125"/>
      <c r="J815" s="11125"/>
      <c r="K815" s="11125"/>
      <c r="L815" s="11134"/>
      <c r="M815" s="11134"/>
      <c r="N815" s="11134"/>
      <c r="O815" s="11125"/>
      <c r="P815" s="11125"/>
      <c r="Q815" s="11135"/>
      <c r="R815" s="5448"/>
      <c r="S815" s="3617"/>
      <c r="T815" s="3617"/>
      <c r="U815" s="3616"/>
      <c r="V815" s="4319"/>
      <c r="W815" s="3617"/>
      <c r="X815" s="5554"/>
      <c r="Y815" s="5554"/>
      <c r="Z815" s="5554"/>
      <c r="AA815" s="5555"/>
      <c r="AB815" s="5592"/>
      <c r="AC815" s="4320"/>
      <c r="AD815" s="3714"/>
      <c r="AE815" s="5624"/>
      <c r="AF815" s="5624"/>
      <c r="AG815" s="11116"/>
    </row>
    <row r="816" spans="1:33" ht="18" customHeight="1">
      <c r="A816" s="11139"/>
      <c r="B816" s="10516" t="s">
        <v>183</v>
      </c>
      <c r="C816" s="10433" t="s">
        <v>227</v>
      </c>
      <c r="D816" s="10433" t="s">
        <v>228</v>
      </c>
      <c r="E816" s="10433" t="s">
        <v>229</v>
      </c>
      <c r="F816" s="10442" t="s">
        <v>230</v>
      </c>
      <c r="G816" s="10433" t="s">
        <v>132</v>
      </c>
      <c r="H816" s="10433" t="s">
        <v>159</v>
      </c>
      <c r="I816" s="10433" t="s">
        <v>6043</v>
      </c>
      <c r="J816" s="10433" t="s">
        <v>6044</v>
      </c>
      <c r="K816" s="10433" t="s">
        <v>5882</v>
      </c>
      <c r="L816" s="11130">
        <v>2</v>
      </c>
      <c r="M816" s="11130">
        <v>0</v>
      </c>
      <c r="N816" s="11130">
        <v>2</v>
      </c>
      <c r="O816" s="10433" t="s">
        <v>6045</v>
      </c>
      <c r="P816" s="10433" t="s">
        <v>6046</v>
      </c>
      <c r="Q816" s="10439" t="s">
        <v>6155</v>
      </c>
      <c r="R816" s="5452"/>
      <c r="S816" s="3598"/>
      <c r="T816" s="3598"/>
      <c r="U816" s="4344"/>
      <c r="V816" s="4337"/>
      <c r="W816" s="3598"/>
      <c r="X816" s="5556"/>
      <c r="Y816" s="5556"/>
      <c r="Z816" s="5556"/>
      <c r="AA816" s="5557"/>
      <c r="AB816" s="5584"/>
      <c r="AC816" s="4338"/>
      <c r="AD816" s="3709"/>
      <c r="AE816" s="5626"/>
      <c r="AF816" s="5626"/>
      <c r="AG816" s="10525"/>
    </row>
    <row r="817" spans="1:33" ht="18" customHeight="1">
      <c r="A817" s="11139"/>
      <c r="B817" s="11136"/>
      <c r="C817" s="11124"/>
      <c r="D817" s="11124"/>
      <c r="E817" s="11124"/>
      <c r="F817" s="11124"/>
      <c r="G817" s="11124"/>
      <c r="H817" s="11124"/>
      <c r="I817" s="11124"/>
      <c r="J817" s="11124"/>
      <c r="K817" s="11124"/>
      <c r="L817" s="11131"/>
      <c r="M817" s="11131"/>
      <c r="N817" s="11131"/>
      <c r="O817" s="11124"/>
      <c r="P817" s="11124"/>
      <c r="Q817" s="11127"/>
      <c r="R817" s="5446"/>
      <c r="S817" s="3579"/>
      <c r="T817" s="3579"/>
      <c r="U817" s="3578"/>
      <c r="V817" s="4315"/>
      <c r="W817" s="3579"/>
      <c r="X817" s="5552"/>
      <c r="Y817" s="5552"/>
      <c r="Z817" s="5552"/>
      <c r="AA817" s="5553"/>
      <c r="AB817" s="5581"/>
      <c r="AC817" s="4316"/>
      <c r="AD817" s="3496"/>
      <c r="AE817" s="5610"/>
      <c r="AF817" s="5610"/>
      <c r="AG817" s="11115"/>
    </row>
    <row r="818" spans="1:33" ht="18" customHeight="1">
      <c r="A818" s="11139"/>
      <c r="B818" s="11136"/>
      <c r="C818" s="11124"/>
      <c r="D818" s="11124"/>
      <c r="E818" s="11124"/>
      <c r="F818" s="11124"/>
      <c r="G818" s="11124"/>
      <c r="H818" s="11124"/>
      <c r="I818" s="11124"/>
      <c r="J818" s="11124"/>
      <c r="K818" s="11124"/>
      <c r="L818" s="11131"/>
      <c r="M818" s="11131"/>
      <c r="N818" s="11131"/>
      <c r="O818" s="11124"/>
      <c r="P818" s="11124"/>
      <c r="Q818" s="11127"/>
      <c r="R818" s="5446"/>
      <c r="S818" s="3579"/>
      <c r="T818" s="3579"/>
      <c r="U818" s="3578"/>
      <c r="V818" s="4315"/>
      <c r="W818" s="3579"/>
      <c r="X818" s="5552"/>
      <c r="Y818" s="5552"/>
      <c r="Z818" s="5552"/>
      <c r="AA818" s="5553"/>
      <c r="AB818" s="5581"/>
      <c r="AC818" s="4316"/>
      <c r="AD818" s="3496"/>
      <c r="AE818" s="5610"/>
      <c r="AF818" s="5610"/>
      <c r="AG818" s="11115"/>
    </row>
    <row r="819" spans="1:33" ht="18" customHeight="1">
      <c r="A819" s="11139"/>
      <c r="B819" s="11136"/>
      <c r="C819" s="11124"/>
      <c r="D819" s="11124"/>
      <c r="E819" s="11124"/>
      <c r="F819" s="11124"/>
      <c r="G819" s="11124"/>
      <c r="H819" s="11124"/>
      <c r="I819" s="11124"/>
      <c r="J819" s="11124"/>
      <c r="K819" s="11124"/>
      <c r="L819" s="11131"/>
      <c r="M819" s="11131"/>
      <c r="N819" s="11131"/>
      <c r="O819" s="11124"/>
      <c r="P819" s="11124"/>
      <c r="Q819" s="11127"/>
      <c r="R819" s="5446"/>
      <c r="S819" s="3579"/>
      <c r="T819" s="3579"/>
      <c r="U819" s="3578"/>
      <c r="V819" s="4315"/>
      <c r="W819" s="3579"/>
      <c r="X819" s="5552"/>
      <c r="Y819" s="5552"/>
      <c r="Z819" s="5552"/>
      <c r="AA819" s="5553"/>
      <c r="AB819" s="5581"/>
      <c r="AC819" s="4316"/>
      <c r="AD819" s="3496"/>
      <c r="AE819" s="5610"/>
      <c r="AF819" s="5610"/>
      <c r="AG819" s="11115"/>
    </row>
    <row r="820" spans="1:33" ht="18" customHeight="1">
      <c r="A820" s="11139"/>
      <c r="B820" s="11138"/>
      <c r="C820" s="11126"/>
      <c r="D820" s="11126"/>
      <c r="E820" s="11126"/>
      <c r="F820" s="11126"/>
      <c r="G820" s="11126"/>
      <c r="H820" s="11126"/>
      <c r="I820" s="11126"/>
      <c r="J820" s="11126"/>
      <c r="K820" s="11126"/>
      <c r="L820" s="11132"/>
      <c r="M820" s="11132"/>
      <c r="N820" s="11132"/>
      <c r="O820" s="11126"/>
      <c r="P820" s="11126"/>
      <c r="Q820" s="11128"/>
      <c r="R820" s="5450"/>
      <c r="S820" s="3606"/>
      <c r="T820" s="3606"/>
      <c r="U820" s="3605"/>
      <c r="V820" s="4317"/>
      <c r="W820" s="3606"/>
      <c r="X820" s="5558"/>
      <c r="Y820" s="5558"/>
      <c r="Z820" s="5558"/>
      <c r="AA820" s="5559"/>
      <c r="AB820" s="5585"/>
      <c r="AC820" s="4318"/>
      <c r="AD820" s="3545"/>
      <c r="AE820" s="5625"/>
      <c r="AF820" s="5625"/>
      <c r="AG820" s="11116"/>
    </row>
    <row r="821" spans="1:33" ht="18" customHeight="1">
      <c r="A821" s="11139"/>
      <c r="B821" s="10512" t="s">
        <v>183</v>
      </c>
      <c r="C821" s="10444" t="s">
        <v>227</v>
      </c>
      <c r="D821" s="10444" t="s">
        <v>228</v>
      </c>
      <c r="E821" s="10444" t="s">
        <v>229</v>
      </c>
      <c r="F821" s="10451" t="s">
        <v>230</v>
      </c>
      <c r="G821" s="10444" t="s">
        <v>132</v>
      </c>
      <c r="H821" s="10444" t="s">
        <v>159</v>
      </c>
      <c r="I821" s="10444" t="s">
        <v>6047</v>
      </c>
      <c r="J821" s="10444" t="s">
        <v>6048</v>
      </c>
      <c r="K821" s="10444" t="s">
        <v>6049</v>
      </c>
      <c r="L821" s="11133">
        <v>4</v>
      </c>
      <c r="M821" s="11133">
        <v>4</v>
      </c>
      <c r="N821" s="11133">
        <v>4</v>
      </c>
      <c r="O821" s="10444" t="s">
        <v>6050</v>
      </c>
      <c r="P821" s="10444" t="s">
        <v>6051</v>
      </c>
      <c r="Q821" s="10449" t="s">
        <v>6157</v>
      </c>
      <c r="R821" s="5458"/>
      <c r="S821" s="3623"/>
      <c r="T821" s="3623"/>
      <c r="U821" s="4312"/>
      <c r="V821" s="4313"/>
      <c r="W821" s="3623"/>
      <c r="X821" s="5560"/>
      <c r="Y821" s="5560"/>
      <c r="Z821" s="5560"/>
      <c r="AA821" s="5561"/>
      <c r="AB821" s="5586"/>
      <c r="AC821" s="4314"/>
      <c r="AD821" s="3658"/>
      <c r="AE821" s="5623"/>
      <c r="AF821" s="5623"/>
      <c r="AG821" s="10525"/>
    </row>
    <row r="822" spans="1:33" ht="18" customHeight="1">
      <c r="A822" s="11139"/>
      <c r="B822" s="11136"/>
      <c r="C822" s="11124"/>
      <c r="D822" s="11124"/>
      <c r="E822" s="11124"/>
      <c r="F822" s="11124"/>
      <c r="G822" s="11124"/>
      <c r="H822" s="11124"/>
      <c r="I822" s="11124"/>
      <c r="J822" s="11124"/>
      <c r="K822" s="11124"/>
      <c r="L822" s="11131"/>
      <c r="M822" s="11131"/>
      <c r="N822" s="11131"/>
      <c r="O822" s="11124"/>
      <c r="P822" s="11124"/>
      <c r="Q822" s="11127"/>
      <c r="R822" s="5446"/>
      <c r="S822" s="3579"/>
      <c r="T822" s="3579"/>
      <c r="U822" s="3578"/>
      <c r="V822" s="4315"/>
      <c r="W822" s="3579"/>
      <c r="X822" s="5552"/>
      <c r="Y822" s="5552"/>
      <c r="Z822" s="5552"/>
      <c r="AA822" s="5553"/>
      <c r="AB822" s="5581"/>
      <c r="AC822" s="4316"/>
      <c r="AD822" s="3496"/>
      <c r="AE822" s="5610"/>
      <c r="AF822" s="5610"/>
      <c r="AG822" s="11115"/>
    </row>
    <row r="823" spans="1:33" ht="18" customHeight="1">
      <c r="A823" s="11139"/>
      <c r="B823" s="11136"/>
      <c r="C823" s="11124"/>
      <c r="D823" s="11124"/>
      <c r="E823" s="11124"/>
      <c r="F823" s="11124"/>
      <c r="G823" s="11124"/>
      <c r="H823" s="11124"/>
      <c r="I823" s="11124"/>
      <c r="J823" s="11124"/>
      <c r="K823" s="11124"/>
      <c r="L823" s="11131"/>
      <c r="M823" s="11131"/>
      <c r="N823" s="11131"/>
      <c r="O823" s="11124"/>
      <c r="P823" s="11124"/>
      <c r="Q823" s="11127"/>
      <c r="R823" s="5446"/>
      <c r="S823" s="3579"/>
      <c r="T823" s="3579"/>
      <c r="U823" s="3578"/>
      <c r="V823" s="4315"/>
      <c r="W823" s="3579"/>
      <c r="X823" s="5552"/>
      <c r="Y823" s="5552"/>
      <c r="Z823" s="5552"/>
      <c r="AA823" s="5553"/>
      <c r="AB823" s="5581"/>
      <c r="AC823" s="4316"/>
      <c r="AD823" s="3496"/>
      <c r="AE823" s="5610"/>
      <c r="AF823" s="5610"/>
      <c r="AG823" s="11115"/>
    </row>
    <row r="824" spans="1:33" ht="18" customHeight="1">
      <c r="A824" s="11139"/>
      <c r="B824" s="11136"/>
      <c r="C824" s="11124"/>
      <c r="D824" s="11124"/>
      <c r="E824" s="11124"/>
      <c r="F824" s="11124"/>
      <c r="G824" s="11124"/>
      <c r="H824" s="11124"/>
      <c r="I824" s="11124"/>
      <c r="J824" s="11124"/>
      <c r="K824" s="11124"/>
      <c r="L824" s="11131"/>
      <c r="M824" s="11131"/>
      <c r="N824" s="11131"/>
      <c r="O824" s="11124"/>
      <c r="P824" s="11124"/>
      <c r="Q824" s="11127"/>
      <c r="R824" s="5446"/>
      <c r="S824" s="3579"/>
      <c r="T824" s="3579"/>
      <c r="U824" s="3578"/>
      <c r="V824" s="4315"/>
      <c r="W824" s="3579"/>
      <c r="X824" s="5552"/>
      <c r="Y824" s="5552"/>
      <c r="Z824" s="5552"/>
      <c r="AA824" s="5553"/>
      <c r="AB824" s="5581"/>
      <c r="AC824" s="4316"/>
      <c r="AD824" s="3496"/>
      <c r="AE824" s="5610"/>
      <c r="AF824" s="5610"/>
      <c r="AG824" s="11115"/>
    </row>
    <row r="825" spans="1:33" ht="18" customHeight="1">
      <c r="A825" s="11139"/>
      <c r="B825" s="11137"/>
      <c r="C825" s="11125"/>
      <c r="D825" s="11125"/>
      <c r="E825" s="11125"/>
      <c r="F825" s="11125"/>
      <c r="G825" s="11125"/>
      <c r="H825" s="11125"/>
      <c r="I825" s="11125"/>
      <c r="J825" s="11125"/>
      <c r="K825" s="11125"/>
      <c r="L825" s="11134"/>
      <c r="M825" s="11134"/>
      <c r="N825" s="11134"/>
      <c r="O825" s="11125"/>
      <c r="P825" s="11125"/>
      <c r="Q825" s="11135"/>
      <c r="R825" s="5448"/>
      <c r="S825" s="3617"/>
      <c r="T825" s="3617"/>
      <c r="U825" s="3616"/>
      <c r="V825" s="4319"/>
      <c r="W825" s="3617"/>
      <c r="X825" s="5554"/>
      <c r="Y825" s="5554"/>
      <c r="Z825" s="5554"/>
      <c r="AA825" s="5555"/>
      <c r="AB825" s="5592"/>
      <c r="AC825" s="4320"/>
      <c r="AD825" s="3714"/>
      <c r="AE825" s="5624"/>
      <c r="AF825" s="5624"/>
      <c r="AG825" s="11116"/>
    </row>
    <row r="826" spans="1:33" ht="18" customHeight="1">
      <c r="A826" s="11139"/>
      <c r="B826" s="10516" t="s">
        <v>183</v>
      </c>
      <c r="C826" s="10433" t="s">
        <v>227</v>
      </c>
      <c r="D826" s="10433" t="s">
        <v>228</v>
      </c>
      <c r="E826" s="10433" t="s">
        <v>229</v>
      </c>
      <c r="F826" s="10442" t="s">
        <v>230</v>
      </c>
      <c r="G826" s="10433" t="s">
        <v>132</v>
      </c>
      <c r="H826" s="10433" t="s">
        <v>159</v>
      </c>
      <c r="I826" s="10433" t="s">
        <v>6053</v>
      </c>
      <c r="J826" s="10433" t="s">
        <v>6054</v>
      </c>
      <c r="K826" s="10433" t="s">
        <v>6022</v>
      </c>
      <c r="L826" s="11130">
        <v>1</v>
      </c>
      <c r="M826" s="11130">
        <v>1</v>
      </c>
      <c r="N826" s="11130">
        <v>1</v>
      </c>
      <c r="O826" s="10433" t="s">
        <v>6055</v>
      </c>
      <c r="P826" s="10433" t="s">
        <v>6056</v>
      </c>
      <c r="Q826" s="10439" t="s">
        <v>6157</v>
      </c>
      <c r="R826" s="5452"/>
      <c r="S826" s="3598"/>
      <c r="T826" s="3598"/>
      <c r="U826" s="4344"/>
      <c r="V826" s="4337"/>
      <c r="W826" s="3598"/>
      <c r="X826" s="5556"/>
      <c r="Y826" s="5556"/>
      <c r="Z826" s="5556"/>
      <c r="AA826" s="5557"/>
      <c r="AB826" s="5584"/>
      <c r="AC826" s="4338"/>
      <c r="AD826" s="3709"/>
      <c r="AE826" s="5626"/>
      <c r="AF826" s="5626"/>
      <c r="AG826" s="10525"/>
    </row>
    <row r="827" spans="1:33" ht="18" customHeight="1">
      <c r="A827" s="11139"/>
      <c r="B827" s="11136"/>
      <c r="C827" s="11124"/>
      <c r="D827" s="11124"/>
      <c r="E827" s="11124"/>
      <c r="F827" s="11124"/>
      <c r="G827" s="11124"/>
      <c r="H827" s="11124"/>
      <c r="I827" s="11124"/>
      <c r="J827" s="11124"/>
      <c r="K827" s="11124"/>
      <c r="L827" s="11131"/>
      <c r="M827" s="11131"/>
      <c r="N827" s="11131"/>
      <c r="O827" s="11124"/>
      <c r="P827" s="11124"/>
      <c r="Q827" s="11127"/>
      <c r="R827" s="5446"/>
      <c r="S827" s="3579"/>
      <c r="T827" s="3579"/>
      <c r="U827" s="3578"/>
      <c r="V827" s="4315"/>
      <c r="W827" s="3579"/>
      <c r="X827" s="5552"/>
      <c r="Y827" s="5552"/>
      <c r="Z827" s="5552"/>
      <c r="AA827" s="5553"/>
      <c r="AB827" s="5581"/>
      <c r="AC827" s="4316"/>
      <c r="AD827" s="3496"/>
      <c r="AE827" s="5610"/>
      <c r="AF827" s="5610"/>
      <c r="AG827" s="11115"/>
    </row>
    <row r="828" spans="1:33" ht="18" customHeight="1">
      <c r="A828" s="11139"/>
      <c r="B828" s="11136"/>
      <c r="C828" s="11124"/>
      <c r="D828" s="11124"/>
      <c r="E828" s="11124"/>
      <c r="F828" s="11124"/>
      <c r="G828" s="11124"/>
      <c r="H828" s="11124"/>
      <c r="I828" s="11124"/>
      <c r="J828" s="11124"/>
      <c r="K828" s="11124"/>
      <c r="L828" s="11131"/>
      <c r="M828" s="11131"/>
      <c r="N828" s="11131"/>
      <c r="O828" s="11124"/>
      <c r="P828" s="11124"/>
      <c r="Q828" s="11127"/>
      <c r="R828" s="5446"/>
      <c r="S828" s="3579"/>
      <c r="T828" s="3579"/>
      <c r="U828" s="3578"/>
      <c r="V828" s="4315"/>
      <c r="W828" s="3579"/>
      <c r="X828" s="5552"/>
      <c r="Y828" s="5552"/>
      <c r="Z828" s="5552"/>
      <c r="AA828" s="5553"/>
      <c r="AB828" s="5581"/>
      <c r="AC828" s="4316"/>
      <c r="AD828" s="3496"/>
      <c r="AE828" s="5610"/>
      <c r="AF828" s="5610"/>
      <c r="AG828" s="11115"/>
    </row>
    <row r="829" spans="1:33" ht="18" customHeight="1">
      <c r="A829" s="11139"/>
      <c r="B829" s="11136"/>
      <c r="C829" s="11124"/>
      <c r="D829" s="11124"/>
      <c r="E829" s="11124"/>
      <c r="F829" s="11124"/>
      <c r="G829" s="11124"/>
      <c r="H829" s="11124"/>
      <c r="I829" s="11124"/>
      <c r="J829" s="11124"/>
      <c r="K829" s="11124"/>
      <c r="L829" s="11131"/>
      <c r="M829" s="11131"/>
      <c r="N829" s="11131"/>
      <c r="O829" s="11124"/>
      <c r="P829" s="11124"/>
      <c r="Q829" s="11127"/>
      <c r="R829" s="5446"/>
      <c r="S829" s="3579"/>
      <c r="T829" s="3579"/>
      <c r="U829" s="3578"/>
      <c r="V829" s="4315"/>
      <c r="W829" s="3579"/>
      <c r="X829" s="5552"/>
      <c r="Y829" s="5552"/>
      <c r="Z829" s="5552"/>
      <c r="AA829" s="5553"/>
      <c r="AB829" s="5581"/>
      <c r="AC829" s="4316"/>
      <c r="AD829" s="3496"/>
      <c r="AE829" s="5610"/>
      <c r="AF829" s="5610"/>
      <c r="AG829" s="11115"/>
    </row>
    <row r="830" spans="1:33" ht="18" customHeight="1">
      <c r="A830" s="11139"/>
      <c r="B830" s="11138"/>
      <c r="C830" s="11126"/>
      <c r="D830" s="11126"/>
      <c r="E830" s="11126"/>
      <c r="F830" s="11126"/>
      <c r="G830" s="11126"/>
      <c r="H830" s="11126"/>
      <c r="I830" s="11126"/>
      <c r="J830" s="11126"/>
      <c r="K830" s="11126"/>
      <c r="L830" s="11132"/>
      <c r="M830" s="11132"/>
      <c r="N830" s="11132"/>
      <c r="O830" s="11126"/>
      <c r="P830" s="11126"/>
      <c r="Q830" s="11128"/>
      <c r="R830" s="5450"/>
      <c r="S830" s="3606"/>
      <c r="T830" s="3606"/>
      <c r="U830" s="3605"/>
      <c r="V830" s="4317"/>
      <c r="W830" s="3606"/>
      <c r="X830" s="5558"/>
      <c r="Y830" s="5558"/>
      <c r="Z830" s="5558"/>
      <c r="AA830" s="5559"/>
      <c r="AB830" s="5585"/>
      <c r="AC830" s="4318"/>
      <c r="AD830" s="3545"/>
      <c r="AE830" s="5625"/>
      <c r="AF830" s="5625"/>
      <c r="AG830" s="11116"/>
    </row>
    <row r="831" spans="1:33" ht="18" customHeight="1">
      <c r="A831" s="11139"/>
      <c r="B831" s="10512" t="s">
        <v>183</v>
      </c>
      <c r="C831" s="10444" t="s">
        <v>227</v>
      </c>
      <c r="D831" s="10444" t="s">
        <v>228</v>
      </c>
      <c r="E831" s="10444" t="s">
        <v>229</v>
      </c>
      <c r="F831" s="10451" t="s">
        <v>230</v>
      </c>
      <c r="G831" s="10444" t="s">
        <v>132</v>
      </c>
      <c r="H831" s="10444" t="s">
        <v>159</v>
      </c>
      <c r="I831" s="10444" t="s">
        <v>6057</v>
      </c>
      <c r="J831" s="10444" t="s">
        <v>6058</v>
      </c>
      <c r="K831" s="10444" t="s">
        <v>6049</v>
      </c>
      <c r="L831" s="11133">
        <v>0</v>
      </c>
      <c r="M831" s="11133">
        <v>1</v>
      </c>
      <c r="N831" s="11133">
        <v>1</v>
      </c>
      <c r="O831" s="10444" t="s">
        <v>6059</v>
      </c>
      <c r="P831" s="10444" t="s">
        <v>6060</v>
      </c>
      <c r="Q831" s="10449" t="s">
        <v>6157</v>
      </c>
      <c r="R831" s="5458"/>
      <c r="S831" s="3623"/>
      <c r="T831" s="3623"/>
      <c r="U831" s="4312"/>
      <c r="V831" s="4313"/>
      <c r="W831" s="3623"/>
      <c r="X831" s="5560"/>
      <c r="Y831" s="5560"/>
      <c r="Z831" s="5560"/>
      <c r="AA831" s="5561"/>
      <c r="AB831" s="5586"/>
      <c r="AC831" s="4314"/>
      <c r="AD831" s="3658"/>
      <c r="AE831" s="5623"/>
      <c r="AF831" s="5623"/>
      <c r="AG831" s="10525"/>
    </row>
    <row r="832" spans="1:33" ht="18" customHeight="1">
      <c r="A832" s="11139"/>
      <c r="B832" s="11136"/>
      <c r="C832" s="11124"/>
      <c r="D832" s="11124"/>
      <c r="E832" s="11124"/>
      <c r="F832" s="11124"/>
      <c r="G832" s="11124"/>
      <c r="H832" s="11124"/>
      <c r="I832" s="11124"/>
      <c r="J832" s="11124"/>
      <c r="K832" s="11124"/>
      <c r="L832" s="11131"/>
      <c r="M832" s="11131"/>
      <c r="N832" s="11131"/>
      <c r="O832" s="11124"/>
      <c r="P832" s="11124"/>
      <c r="Q832" s="11127"/>
      <c r="R832" s="5446"/>
      <c r="S832" s="3579"/>
      <c r="T832" s="3579"/>
      <c r="U832" s="3578"/>
      <c r="V832" s="4315"/>
      <c r="W832" s="3579"/>
      <c r="X832" s="5552"/>
      <c r="Y832" s="5552"/>
      <c r="Z832" s="5552"/>
      <c r="AA832" s="5553"/>
      <c r="AB832" s="5581"/>
      <c r="AC832" s="4316"/>
      <c r="AD832" s="3496"/>
      <c r="AE832" s="5610"/>
      <c r="AF832" s="5610"/>
      <c r="AG832" s="11115"/>
    </row>
    <row r="833" spans="1:33" ht="18" customHeight="1">
      <c r="A833" s="11139"/>
      <c r="B833" s="11136"/>
      <c r="C833" s="11124"/>
      <c r="D833" s="11124"/>
      <c r="E833" s="11124"/>
      <c r="F833" s="11124"/>
      <c r="G833" s="11124"/>
      <c r="H833" s="11124"/>
      <c r="I833" s="11124"/>
      <c r="J833" s="11124"/>
      <c r="K833" s="11124"/>
      <c r="L833" s="11131"/>
      <c r="M833" s="11131"/>
      <c r="N833" s="11131"/>
      <c r="O833" s="11124"/>
      <c r="P833" s="11124"/>
      <c r="Q833" s="11127"/>
      <c r="R833" s="5446"/>
      <c r="S833" s="3579"/>
      <c r="T833" s="3579"/>
      <c r="U833" s="3578"/>
      <c r="V833" s="4315"/>
      <c r="W833" s="3579"/>
      <c r="X833" s="5552"/>
      <c r="Y833" s="5552"/>
      <c r="Z833" s="5552"/>
      <c r="AA833" s="5553"/>
      <c r="AB833" s="5581"/>
      <c r="AC833" s="4316"/>
      <c r="AD833" s="3496"/>
      <c r="AE833" s="5610"/>
      <c r="AF833" s="5610"/>
      <c r="AG833" s="11115"/>
    </row>
    <row r="834" spans="1:33" ht="18" customHeight="1">
      <c r="A834" s="11139"/>
      <c r="B834" s="11136"/>
      <c r="C834" s="11124"/>
      <c r="D834" s="11124"/>
      <c r="E834" s="11124"/>
      <c r="F834" s="11124"/>
      <c r="G834" s="11124"/>
      <c r="H834" s="11124"/>
      <c r="I834" s="11124"/>
      <c r="J834" s="11124"/>
      <c r="K834" s="11124"/>
      <c r="L834" s="11131"/>
      <c r="M834" s="11131"/>
      <c r="N834" s="11131"/>
      <c r="O834" s="11124"/>
      <c r="P834" s="11124"/>
      <c r="Q834" s="11127"/>
      <c r="R834" s="5446"/>
      <c r="S834" s="3579"/>
      <c r="T834" s="3579"/>
      <c r="U834" s="3578"/>
      <c r="V834" s="4315"/>
      <c r="W834" s="3579"/>
      <c r="X834" s="5552"/>
      <c r="Y834" s="5552"/>
      <c r="Z834" s="5552"/>
      <c r="AA834" s="5553"/>
      <c r="AB834" s="5581"/>
      <c r="AC834" s="4316"/>
      <c r="AD834" s="3496"/>
      <c r="AE834" s="5610"/>
      <c r="AF834" s="5610"/>
      <c r="AG834" s="11115"/>
    </row>
    <row r="835" spans="1:33" ht="18" customHeight="1">
      <c r="A835" s="11139"/>
      <c r="B835" s="11137"/>
      <c r="C835" s="11125"/>
      <c r="D835" s="11125"/>
      <c r="E835" s="11125"/>
      <c r="F835" s="11125"/>
      <c r="G835" s="11125"/>
      <c r="H835" s="11125"/>
      <c r="I835" s="11125"/>
      <c r="J835" s="11125"/>
      <c r="K835" s="11125"/>
      <c r="L835" s="11134"/>
      <c r="M835" s="11134"/>
      <c r="N835" s="11134"/>
      <c r="O835" s="11125"/>
      <c r="P835" s="11125"/>
      <c r="Q835" s="11135"/>
      <c r="R835" s="5448"/>
      <c r="S835" s="3617"/>
      <c r="T835" s="3617"/>
      <c r="U835" s="3616"/>
      <c r="V835" s="4319"/>
      <c r="W835" s="3617"/>
      <c r="X835" s="5554"/>
      <c r="Y835" s="5554"/>
      <c r="Z835" s="5554"/>
      <c r="AA835" s="5555"/>
      <c r="AB835" s="5592"/>
      <c r="AC835" s="4320"/>
      <c r="AD835" s="3714"/>
      <c r="AE835" s="5624"/>
      <c r="AF835" s="5624"/>
      <c r="AG835" s="11116"/>
    </row>
    <row r="836" spans="1:33" ht="18" customHeight="1">
      <c r="A836" s="11139"/>
      <c r="B836" s="10516" t="s">
        <v>127</v>
      </c>
      <c r="C836" s="10433" t="s">
        <v>128</v>
      </c>
      <c r="D836" s="10433" t="s">
        <v>129</v>
      </c>
      <c r="E836" s="10433" t="s">
        <v>157</v>
      </c>
      <c r="F836" s="10442" t="s">
        <v>131</v>
      </c>
      <c r="G836" s="10433" t="s">
        <v>132</v>
      </c>
      <c r="H836" s="10433" t="s">
        <v>159</v>
      </c>
      <c r="I836" s="10433" t="s">
        <v>6061</v>
      </c>
      <c r="J836" s="10433" t="s">
        <v>6062</v>
      </c>
      <c r="K836" s="10433" t="s">
        <v>6063</v>
      </c>
      <c r="L836" s="11130">
        <v>1</v>
      </c>
      <c r="M836" s="11130">
        <v>1</v>
      </c>
      <c r="N836" s="11130">
        <v>1</v>
      </c>
      <c r="O836" s="10433" t="s">
        <v>6064</v>
      </c>
      <c r="P836" s="10433" t="s">
        <v>6065</v>
      </c>
      <c r="Q836" s="10439" t="s">
        <v>6155</v>
      </c>
      <c r="R836" s="5452"/>
      <c r="S836" s="3598"/>
      <c r="T836" s="3598"/>
      <c r="U836" s="4344"/>
      <c r="V836" s="4337"/>
      <c r="W836" s="3598"/>
      <c r="X836" s="5556"/>
      <c r="Y836" s="5556"/>
      <c r="Z836" s="5556"/>
      <c r="AA836" s="5557"/>
      <c r="AB836" s="5584"/>
      <c r="AC836" s="4338"/>
      <c r="AD836" s="3709"/>
      <c r="AE836" s="5626"/>
      <c r="AF836" s="5626"/>
      <c r="AG836" s="10525"/>
    </row>
    <row r="837" spans="1:33" ht="18" customHeight="1">
      <c r="A837" s="11139"/>
      <c r="B837" s="11136"/>
      <c r="C837" s="11124"/>
      <c r="D837" s="11124"/>
      <c r="E837" s="11124"/>
      <c r="F837" s="11124"/>
      <c r="G837" s="11124"/>
      <c r="H837" s="11124"/>
      <c r="I837" s="11124"/>
      <c r="J837" s="11124"/>
      <c r="K837" s="11124"/>
      <c r="L837" s="11131"/>
      <c r="M837" s="11131"/>
      <c r="N837" s="11131"/>
      <c r="O837" s="11124"/>
      <c r="P837" s="11124"/>
      <c r="Q837" s="11127"/>
      <c r="R837" s="5446"/>
      <c r="S837" s="3579"/>
      <c r="T837" s="3579"/>
      <c r="U837" s="3578"/>
      <c r="V837" s="4315"/>
      <c r="W837" s="3579"/>
      <c r="X837" s="5552"/>
      <c r="Y837" s="5552"/>
      <c r="Z837" s="5552"/>
      <c r="AA837" s="5553"/>
      <c r="AB837" s="5581"/>
      <c r="AC837" s="4316"/>
      <c r="AD837" s="3496"/>
      <c r="AE837" s="5610"/>
      <c r="AF837" s="5610"/>
      <c r="AG837" s="11115"/>
    </row>
    <row r="838" spans="1:33" ht="18" customHeight="1">
      <c r="A838" s="11139"/>
      <c r="B838" s="11136"/>
      <c r="C838" s="11124"/>
      <c r="D838" s="11124"/>
      <c r="E838" s="11124"/>
      <c r="F838" s="11124"/>
      <c r="G838" s="11124"/>
      <c r="H838" s="11124"/>
      <c r="I838" s="11124"/>
      <c r="J838" s="11124"/>
      <c r="K838" s="11124"/>
      <c r="L838" s="11131"/>
      <c r="M838" s="11131"/>
      <c r="N838" s="11131"/>
      <c r="O838" s="11124"/>
      <c r="P838" s="11124"/>
      <c r="Q838" s="11127"/>
      <c r="R838" s="5446"/>
      <c r="S838" s="3579"/>
      <c r="T838" s="3579"/>
      <c r="U838" s="3578"/>
      <c r="V838" s="4315"/>
      <c r="W838" s="3579"/>
      <c r="X838" s="5552"/>
      <c r="Y838" s="5552"/>
      <c r="Z838" s="5552"/>
      <c r="AA838" s="5553"/>
      <c r="AB838" s="5581"/>
      <c r="AC838" s="4316"/>
      <c r="AD838" s="3496"/>
      <c r="AE838" s="5610"/>
      <c r="AF838" s="5610"/>
      <c r="AG838" s="11115"/>
    </row>
    <row r="839" spans="1:33" ht="18" customHeight="1">
      <c r="A839" s="11139"/>
      <c r="B839" s="11136"/>
      <c r="C839" s="11124"/>
      <c r="D839" s="11124"/>
      <c r="E839" s="11124"/>
      <c r="F839" s="11124"/>
      <c r="G839" s="11124"/>
      <c r="H839" s="11124"/>
      <c r="I839" s="11124"/>
      <c r="J839" s="11124"/>
      <c r="K839" s="11124"/>
      <c r="L839" s="11131"/>
      <c r="M839" s="11131"/>
      <c r="N839" s="11131"/>
      <c r="O839" s="11124"/>
      <c r="P839" s="11124"/>
      <c r="Q839" s="11127"/>
      <c r="R839" s="5446"/>
      <c r="S839" s="3579"/>
      <c r="T839" s="3579"/>
      <c r="U839" s="3578"/>
      <c r="V839" s="4315"/>
      <c r="W839" s="3579"/>
      <c r="X839" s="5552"/>
      <c r="Y839" s="5552"/>
      <c r="Z839" s="5552"/>
      <c r="AA839" s="5553"/>
      <c r="AB839" s="5581"/>
      <c r="AC839" s="4316"/>
      <c r="AD839" s="3496"/>
      <c r="AE839" s="5610"/>
      <c r="AF839" s="5610"/>
      <c r="AG839" s="11115"/>
    </row>
    <row r="840" spans="1:33" ht="18" customHeight="1">
      <c r="A840" s="11139"/>
      <c r="B840" s="11138"/>
      <c r="C840" s="11126"/>
      <c r="D840" s="11126"/>
      <c r="E840" s="11126"/>
      <c r="F840" s="11126"/>
      <c r="G840" s="11126"/>
      <c r="H840" s="11126"/>
      <c r="I840" s="11126"/>
      <c r="J840" s="11126"/>
      <c r="K840" s="11126"/>
      <c r="L840" s="11132"/>
      <c r="M840" s="11132"/>
      <c r="N840" s="11132"/>
      <c r="O840" s="11126"/>
      <c r="P840" s="11126"/>
      <c r="Q840" s="11128"/>
      <c r="R840" s="5450"/>
      <c r="S840" s="3606"/>
      <c r="T840" s="3606"/>
      <c r="U840" s="3605"/>
      <c r="V840" s="4317"/>
      <c r="W840" s="3606"/>
      <c r="X840" s="5558"/>
      <c r="Y840" s="5558"/>
      <c r="Z840" s="5558"/>
      <c r="AA840" s="5559"/>
      <c r="AB840" s="5585"/>
      <c r="AC840" s="4318"/>
      <c r="AD840" s="3545"/>
      <c r="AE840" s="5625"/>
      <c r="AF840" s="5625"/>
      <c r="AG840" s="11116"/>
    </row>
    <row r="841" spans="1:33" ht="18" customHeight="1">
      <c r="A841" s="11139"/>
      <c r="B841" s="10512" t="s">
        <v>183</v>
      </c>
      <c r="C841" s="10444" t="s">
        <v>227</v>
      </c>
      <c r="D841" s="10444" t="s">
        <v>228</v>
      </c>
      <c r="E841" s="10444" t="s">
        <v>229</v>
      </c>
      <c r="F841" s="10451" t="s">
        <v>230</v>
      </c>
      <c r="G841" s="10444" t="s">
        <v>132</v>
      </c>
      <c r="H841" s="10444" t="s">
        <v>159</v>
      </c>
      <c r="I841" s="10444" t="s">
        <v>6066</v>
      </c>
      <c r="J841" s="10444" t="s">
        <v>6067</v>
      </c>
      <c r="K841" s="10444" t="s">
        <v>5871</v>
      </c>
      <c r="L841" s="11133">
        <v>0</v>
      </c>
      <c r="M841" s="11133">
        <v>1</v>
      </c>
      <c r="N841" s="11133">
        <v>0</v>
      </c>
      <c r="O841" s="10444" t="s">
        <v>5872</v>
      </c>
      <c r="P841" s="10444" t="s">
        <v>5873</v>
      </c>
      <c r="Q841" s="10449" t="s">
        <v>6157</v>
      </c>
      <c r="R841" s="5458"/>
      <c r="S841" s="3623"/>
      <c r="T841" s="3623"/>
      <c r="U841" s="4312"/>
      <c r="V841" s="4313"/>
      <c r="W841" s="3623"/>
      <c r="X841" s="5560"/>
      <c r="Y841" s="5560"/>
      <c r="Z841" s="5560"/>
      <c r="AA841" s="5561"/>
      <c r="AB841" s="5586"/>
      <c r="AC841" s="4314"/>
      <c r="AD841" s="3658"/>
      <c r="AE841" s="5623"/>
      <c r="AF841" s="5623"/>
      <c r="AG841" s="10525"/>
    </row>
    <row r="842" spans="1:33" ht="18" customHeight="1">
      <c r="A842" s="11139"/>
      <c r="B842" s="11136"/>
      <c r="C842" s="11124"/>
      <c r="D842" s="11124"/>
      <c r="E842" s="11124"/>
      <c r="F842" s="11124"/>
      <c r="G842" s="11124"/>
      <c r="H842" s="11124"/>
      <c r="I842" s="11124"/>
      <c r="J842" s="11124"/>
      <c r="K842" s="11124"/>
      <c r="L842" s="11131"/>
      <c r="M842" s="11131"/>
      <c r="N842" s="11131"/>
      <c r="O842" s="11124"/>
      <c r="P842" s="11124"/>
      <c r="Q842" s="11127"/>
      <c r="R842" s="5446"/>
      <c r="S842" s="3579"/>
      <c r="T842" s="3579"/>
      <c r="U842" s="3578"/>
      <c r="V842" s="4315"/>
      <c r="W842" s="3579"/>
      <c r="X842" s="5552"/>
      <c r="Y842" s="5552"/>
      <c r="Z842" s="5552"/>
      <c r="AA842" s="5553"/>
      <c r="AB842" s="5581"/>
      <c r="AC842" s="4316"/>
      <c r="AD842" s="3496"/>
      <c r="AE842" s="5610"/>
      <c r="AF842" s="5610"/>
      <c r="AG842" s="11115"/>
    </row>
    <row r="843" spans="1:33" ht="18" customHeight="1">
      <c r="A843" s="11139"/>
      <c r="B843" s="11136"/>
      <c r="C843" s="11124"/>
      <c r="D843" s="11124"/>
      <c r="E843" s="11124"/>
      <c r="F843" s="11124"/>
      <c r="G843" s="11124"/>
      <c r="H843" s="11124"/>
      <c r="I843" s="11124"/>
      <c r="J843" s="11124"/>
      <c r="K843" s="11124"/>
      <c r="L843" s="11131"/>
      <c r="M843" s="11131"/>
      <c r="N843" s="11131"/>
      <c r="O843" s="11124"/>
      <c r="P843" s="11124"/>
      <c r="Q843" s="11127"/>
      <c r="R843" s="5446"/>
      <c r="S843" s="3579"/>
      <c r="T843" s="3579"/>
      <c r="U843" s="3578"/>
      <c r="V843" s="4315"/>
      <c r="W843" s="3579"/>
      <c r="X843" s="5552"/>
      <c r="Y843" s="5552"/>
      <c r="Z843" s="5552"/>
      <c r="AA843" s="5553"/>
      <c r="AB843" s="5581"/>
      <c r="AC843" s="4316"/>
      <c r="AD843" s="3496"/>
      <c r="AE843" s="5610"/>
      <c r="AF843" s="5610"/>
      <c r="AG843" s="11115"/>
    </row>
    <row r="844" spans="1:33" ht="18" customHeight="1">
      <c r="A844" s="11139"/>
      <c r="B844" s="11136"/>
      <c r="C844" s="11124"/>
      <c r="D844" s="11124"/>
      <c r="E844" s="11124"/>
      <c r="F844" s="11124"/>
      <c r="G844" s="11124"/>
      <c r="H844" s="11124"/>
      <c r="I844" s="11124"/>
      <c r="J844" s="11124"/>
      <c r="K844" s="11124"/>
      <c r="L844" s="11131"/>
      <c r="M844" s="11131"/>
      <c r="N844" s="11131"/>
      <c r="O844" s="11124"/>
      <c r="P844" s="11124"/>
      <c r="Q844" s="11127"/>
      <c r="R844" s="5446"/>
      <c r="S844" s="3579"/>
      <c r="T844" s="3579"/>
      <c r="U844" s="3578"/>
      <c r="V844" s="4315"/>
      <c r="W844" s="3579"/>
      <c r="X844" s="5552"/>
      <c r="Y844" s="5552"/>
      <c r="Z844" s="5552"/>
      <c r="AA844" s="5553"/>
      <c r="AB844" s="5581"/>
      <c r="AC844" s="4316"/>
      <c r="AD844" s="3496"/>
      <c r="AE844" s="5610"/>
      <c r="AF844" s="5610"/>
      <c r="AG844" s="11115"/>
    </row>
    <row r="845" spans="1:33" ht="18" customHeight="1">
      <c r="A845" s="11139"/>
      <c r="B845" s="11137"/>
      <c r="C845" s="11125"/>
      <c r="D845" s="11125"/>
      <c r="E845" s="11125"/>
      <c r="F845" s="11125"/>
      <c r="G845" s="11125"/>
      <c r="H845" s="11125"/>
      <c r="I845" s="11125"/>
      <c r="J845" s="11125"/>
      <c r="K845" s="11125"/>
      <c r="L845" s="11134"/>
      <c r="M845" s="11134"/>
      <c r="N845" s="11134"/>
      <c r="O845" s="11125"/>
      <c r="P845" s="11125"/>
      <c r="Q845" s="11135"/>
      <c r="R845" s="5448"/>
      <c r="S845" s="3617"/>
      <c r="T845" s="3617"/>
      <c r="U845" s="3616"/>
      <c r="V845" s="4319"/>
      <c r="W845" s="3617"/>
      <c r="X845" s="5554"/>
      <c r="Y845" s="5554"/>
      <c r="Z845" s="5554"/>
      <c r="AA845" s="5555"/>
      <c r="AB845" s="5592"/>
      <c r="AC845" s="4320"/>
      <c r="AD845" s="3714"/>
      <c r="AE845" s="5624"/>
      <c r="AF845" s="5624"/>
      <c r="AG845" s="11116"/>
    </row>
    <row r="846" spans="1:33" ht="18" customHeight="1">
      <c r="A846" s="11139"/>
      <c r="B846" s="10516" t="s">
        <v>183</v>
      </c>
      <c r="C846" s="10433" t="s">
        <v>227</v>
      </c>
      <c r="D846" s="10433" t="s">
        <v>228</v>
      </c>
      <c r="E846" s="10433" t="s">
        <v>229</v>
      </c>
      <c r="F846" s="10442" t="s">
        <v>230</v>
      </c>
      <c r="G846" s="10433" t="s">
        <v>171</v>
      </c>
      <c r="H846" s="10433" t="s">
        <v>133</v>
      </c>
      <c r="I846" s="10433" t="s">
        <v>6068</v>
      </c>
      <c r="J846" s="10433" t="s">
        <v>6069</v>
      </c>
      <c r="K846" s="10433" t="s">
        <v>6022</v>
      </c>
      <c r="L846" s="10470">
        <v>1</v>
      </c>
      <c r="M846" s="10470">
        <v>1</v>
      </c>
      <c r="N846" s="10470">
        <v>1</v>
      </c>
      <c r="O846" s="10433" t="s">
        <v>6070</v>
      </c>
      <c r="P846" s="10433" t="s">
        <v>6071</v>
      </c>
      <c r="Q846" s="10439" t="s">
        <v>6158</v>
      </c>
      <c r="R846" s="5449"/>
      <c r="S846" s="4336"/>
      <c r="T846" s="4336"/>
      <c r="U846" s="3597"/>
      <c r="V846" s="4337"/>
      <c r="W846" s="3598"/>
      <c r="X846" s="5556"/>
      <c r="Y846" s="5556"/>
      <c r="Z846" s="5556"/>
      <c r="AA846" s="5557"/>
      <c r="AB846" s="5584"/>
      <c r="AC846" s="4338"/>
      <c r="AD846" s="3709"/>
      <c r="AE846" s="5626"/>
      <c r="AF846" s="5626"/>
      <c r="AG846" s="10525"/>
    </row>
    <row r="847" spans="1:33" ht="18" customHeight="1">
      <c r="A847" s="11139"/>
      <c r="B847" s="11136"/>
      <c r="C847" s="11124"/>
      <c r="D847" s="11124"/>
      <c r="E847" s="11124"/>
      <c r="F847" s="11124"/>
      <c r="G847" s="11124"/>
      <c r="H847" s="11124"/>
      <c r="I847" s="11124"/>
      <c r="J847" s="11124"/>
      <c r="K847" s="11124"/>
      <c r="L847" s="11131"/>
      <c r="M847" s="11131"/>
      <c r="N847" s="11131"/>
      <c r="O847" s="11124"/>
      <c r="P847" s="11124"/>
      <c r="Q847" s="11127"/>
      <c r="R847" s="5446"/>
      <c r="S847" s="3579"/>
      <c r="T847" s="3579"/>
      <c r="U847" s="3578"/>
      <c r="V847" s="4315"/>
      <c r="W847" s="3579"/>
      <c r="X847" s="5552"/>
      <c r="Y847" s="5552"/>
      <c r="Z847" s="5552"/>
      <c r="AA847" s="5553"/>
      <c r="AB847" s="5581"/>
      <c r="AC847" s="4316"/>
      <c r="AD847" s="3496"/>
      <c r="AE847" s="5610"/>
      <c r="AF847" s="5610"/>
      <c r="AG847" s="11115"/>
    </row>
    <row r="848" spans="1:33" ht="18" customHeight="1">
      <c r="A848" s="11139"/>
      <c r="B848" s="11136"/>
      <c r="C848" s="11124"/>
      <c r="D848" s="11124"/>
      <c r="E848" s="11124"/>
      <c r="F848" s="11124"/>
      <c r="G848" s="11124"/>
      <c r="H848" s="11124"/>
      <c r="I848" s="11124"/>
      <c r="J848" s="11124"/>
      <c r="K848" s="11124"/>
      <c r="L848" s="11131"/>
      <c r="M848" s="11131"/>
      <c r="N848" s="11131"/>
      <c r="O848" s="11124"/>
      <c r="P848" s="11124"/>
      <c r="Q848" s="11127"/>
      <c r="R848" s="5446"/>
      <c r="S848" s="3579"/>
      <c r="T848" s="3579"/>
      <c r="U848" s="3578"/>
      <c r="V848" s="4315"/>
      <c r="W848" s="3579"/>
      <c r="X848" s="5552"/>
      <c r="Y848" s="5552"/>
      <c r="Z848" s="5552"/>
      <c r="AA848" s="5553"/>
      <c r="AB848" s="5581"/>
      <c r="AC848" s="4316"/>
      <c r="AD848" s="3496"/>
      <c r="AE848" s="5610"/>
      <c r="AF848" s="5610"/>
      <c r="AG848" s="11115"/>
    </row>
    <row r="849" spans="1:33" ht="18" customHeight="1">
      <c r="A849" s="11139"/>
      <c r="B849" s="11136"/>
      <c r="C849" s="11124"/>
      <c r="D849" s="11124"/>
      <c r="E849" s="11124"/>
      <c r="F849" s="11124"/>
      <c r="G849" s="11124"/>
      <c r="H849" s="11124"/>
      <c r="I849" s="11124"/>
      <c r="J849" s="11124"/>
      <c r="K849" s="11124"/>
      <c r="L849" s="11131"/>
      <c r="M849" s="11131"/>
      <c r="N849" s="11131"/>
      <c r="O849" s="11124"/>
      <c r="P849" s="11124"/>
      <c r="Q849" s="11127"/>
      <c r="R849" s="5447"/>
      <c r="S849" s="4325"/>
      <c r="T849" s="4325"/>
      <c r="U849" s="3578"/>
      <c r="V849" s="4315"/>
      <c r="W849" s="3579"/>
      <c r="X849" s="5552"/>
      <c r="Y849" s="5552"/>
      <c r="Z849" s="5552"/>
      <c r="AA849" s="5553"/>
      <c r="AB849" s="5581"/>
      <c r="AC849" s="4316"/>
      <c r="AD849" s="3496"/>
      <c r="AE849" s="5610"/>
      <c r="AF849" s="5610"/>
      <c r="AG849" s="11115"/>
    </row>
    <row r="850" spans="1:33" ht="18" customHeight="1">
      <c r="A850" s="11139"/>
      <c r="B850" s="11138"/>
      <c r="C850" s="11126"/>
      <c r="D850" s="11126"/>
      <c r="E850" s="11126"/>
      <c r="F850" s="11126"/>
      <c r="G850" s="11126"/>
      <c r="H850" s="11126"/>
      <c r="I850" s="11126"/>
      <c r="J850" s="11126"/>
      <c r="K850" s="11126"/>
      <c r="L850" s="11132"/>
      <c r="M850" s="11132"/>
      <c r="N850" s="11132"/>
      <c r="O850" s="11126"/>
      <c r="P850" s="11126"/>
      <c r="Q850" s="11128"/>
      <c r="R850" s="5450"/>
      <c r="S850" s="3606"/>
      <c r="T850" s="3606"/>
      <c r="U850" s="3605"/>
      <c r="V850" s="4317"/>
      <c r="W850" s="3606"/>
      <c r="X850" s="5558"/>
      <c r="Y850" s="5558"/>
      <c r="Z850" s="5558"/>
      <c r="AA850" s="5559"/>
      <c r="AB850" s="5585"/>
      <c r="AC850" s="4318"/>
      <c r="AD850" s="3545"/>
      <c r="AE850" s="5625"/>
      <c r="AF850" s="5625"/>
      <c r="AG850" s="11116"/>
    </row>
    <row r="851" spans="1:33" ht="18" customHeight="1">
      <c r="A851" s="11139"/>
      <c r="B851" s="10512" t="s">
        <v>127</v>
      </c>
      <c r="C851" s="10444" t="s">
        <v>128</v>
      </c>
      <c r="D851" s="10444" t="s">
        <v>129</v>
      </c>
      <c r="E851" s="10444" t="s">
        <v>157</v>
      </c>
      <c r="F851" s="10451" t="s">
        <v>131</v>
      </c>
      <c r="G851" s="10444" t="s">
        <v>132</v>
      </c>
      <c r="H851" s="10444" t="s">
        <v>159</v>
      </c>
      <c r="I851" s="10444" t="s">
        <v>6073</v>
      </c>
      <c r="J851" s="10444" t="s">
        <v>6074</v>
      </c>
      <c r="K851" s="10444" t="s">
        <v>5888</v>
      </c>
      <c r="L851" s="10455">
        <v>3</v>
      </c>
      <c r="M851" s="10455">
        <v>4</v>
      </c>
      <c r="N851" s="10455">
        <v>3</v>
      </c>
      <c r="O851" s="10444" t="s">
        <v>6075</v>
      </c>
      <c r="P851" s="10444" t="s">
        <v>6076</v>
      </c>
      <c r="Q851" s="10449" t="s">
        <v>6155</v>
      </c>
      <c r="R851" s="5451"/>
      <c r="S851" s="3650"/>
      <c r="T851" s="3650"/>
      <c r="U851" s="3622"/>
      <c r="V851" s="4313"/>
      <c r="W851" s="3623"/>
      <c r="X851" s="5560"/>
      <c r="Y851" s="5560"/>
      <c r="Z851" s="5560"/>
      <c r="AA851" s="5561"/>
      <c r="AB851" s="5586"/>
      <c r="AC851" s="4314"/>
      <c r="AD851" s="3658"/>
      <c r="AE851" s="5623"/>
      <c r="AF851" s="5623"/>
      <c r="AG851" s="10464"/>
    </row>
    <row r="852" spans="1:33" ht="18" customHeight="1">
      <c r="A852" s="11139"/>
      <c r="B852" s="11136"/>
      <c r="C852" s="11124"/>
      <c r="D852" s="11124"/>
      <c r="E852" s="11124"/>
      <c r="F852" s="11124"/>
      <c r="G852" s="11124"/>
      <c r="H852" s="11124"/>
      <c r="I852" s="11124"/>
      <c r="J852" s="11124"/>
      <c r="K852" s="11124"/>
      <c r="L852" s="11131"/>
      <c r="M852" s="11131"/>
      <c r="N852" s="11131"/>
      <c r="O852" s="11124"/>
      <c r="P852" s="11124"/>
      <c r="Q852" s="11127"/>
      <c r="R852" s="5446"/>
      <c r="S852" s="3579"/>
      <c r="T852" s="3579"/>
      <c r="U852" s="3578"/>
      <c r="V852" s="4315"/>
      <c r="W852" s="3579"/>
      <c r="X852" s="5552"/>
      <c r="Y852" s="5552"/>
      <c r="Z852" s="5552"/>
      <c r="AA852" s="5553"/>
      <c r="AB852" s="5581"/>
      <c r="AC852" s="4316"/>
      <c r="AD852" s="3496"/>
      <c r="AE852" s="5610"/>
      <c r="AF852" s="5610"/>
      <c r="AG852" s="11115"/>
    </row>
    <row r="853" spans="1:33" ht="18" customHeight="1">
      <c r="A853" s="11139"/>
      <c r="B853" s="11136"/>
      <c r="C853" s="11124"/>
      <c r="D853" s="11124"/>
      <c r="E853" s="11124"/>
      <c r="F853" s="11124"/>
      <c r="G853" s="11124"/>
      <c r="H853" s="11124"/>
      <c r="I853" s="11124"/>
      <c r="J853" s="11124"/>
      <c r="K853" s="11124"/>
      <c r="L853" s="11131"/>
      <c r="M853" s="11131"/>
      <c r="N853" s="11131"/>
      <c r="O853" s="11124"/>
      <c r="P853" s="11124"/>
      <c r="Q853" s="11127"/>
      <c r="R853" s="5446"/>
      <c r="S853" s="3579"/>
      <c r="T853" s="3579"/>
      <c r="U853" s="3578"/>
      <c r="V853" s="4315"/>
      <c r="W853" s="3579"/>
      <c r="X853" s="5552"/>
      <c r="Y853" s="5552"/>
      <c r="Z853" s="5552"/>
      <c r="AA853" s="5553"/>
      <c r="AB853" s="5581"/>
      <c r="AC853" s="4316"/>
      <c r="AD853" s="3496"/>
      <c r="AE853" s="5610"/>
      <c r="AF853" s="5610"/>
      <c r="AG853" s="11115"/>
    </row>
    <row r="854" spans="1:33" ht="18" customHeight="1">
      <c r="A854" s="11139"/>
      <c r="B854" s="11136"/>
      <c r="C854" s="11124"/>
      <c r="D854" s="11124"/>
      <c r="E854" s="11124"/>
      <c r="F854" s="11124"/>
      <c r="G854" s="11124"/>
      <c r="H854" s="11124"/>
      <c r="I854" s="11124"/>
      <c r="J854" s="11124"/>
      <c r="K854" s="11124"/>
      <c r="L854" s="11131"/>
      <c r="M854" s="11131"/>
      <c r="N854" s="11131"/>
      <c r="O854" s="11124"/>
      <c r="P854" s="11124"/>
      <c r="Q854" s="11127"/>
      <c r="R854" s="5447"/>
      <c r="S854" s="4325"/>
      <c r="T854" s="4325"/>
      <c r="U854" s="3578"/>
      <c r="V854" s="4315"/>
      <c r="W854" s="3579"/>
      <c r="X854" s="5552"/>
      <c r="Y854" s="5552"/>
      <c r="Z854" s="5552"/>
      <c r="AA854" s="5553"/>
      <c r="AB854" s="5581"/>
      <c r="AC854" s="4316"/>
      <c r="AD854" s="3496"/>
      <c r="AE854" s="5610"/>
      <c r="AF854" s="5610"/>
      <c r="AG854" s="11115"/>
    </row>
    <row r="855" spans="1:33" ht="18" customHeight="1">
      <c r="A855" s="11139"/>
      <c r="B855" s="11138"/>
      <c r="C855" s="11126"/>
      <c r="D855" s="11126"/>
      <c r="E855" s="11126"/>
      <c r="F855" s="11126"/>
      <c r="G855" s="11126"/>
      <c r="H855" s="11126"/>
      <c r="I855" s="11126"/>
      <c r="J855" s="11126"/>
      <c r="K855" s="11126"/>
      <c r="L855" s="11132"/>
      <c r="M855" s="11132"/>
      <c r="N855" s="11132"/>
      <c r="O855" s="11126"/>
      <c r="P855" s="11126"/>
      <c r="Q855" s="11128"/>
      <c r="R855" s="5450"/>
      <c r="S855" s="3606"/>
      <c r="T855" s="3606"/>
      <c r="U855" s="3605"/>
      <c r="V855" s="4317"/>
      <c r="W855" s="3606"/>
      <c r="X855" s="5558"/>
      <c r="Y855" s="5558"/>
      <c r="Z855" s="5558"/>
      <c r="AA855" s="5559"/>
      <c r="AB855" s="5585"/>
      <c r="AC855" s="4318"/>
      <c r="AD855" s="3545"/>
      <c r="AE855" s="5625"/>
      <c r="AF855" s="5625"/>
      <c r="AG855" s="11116"/>
    </row>
    <row r="856" spans="1:33" s="6169" customFormat="1" ht="35.25" customHeight="1" thickBot="1">
      <c r="A856" s="6236"/>
      <c r="B856" s="6250"/>
      <c r="C856" s="6250"/>
      <c r="D856" s="6250"/>
      <c r="E856" s="6250"/>
      <c r="F856" s="6250"/>
      <c r="G856" s="6250"/>
      <c r="H856" s="6250"/>
      <c r="I856" s="6250"/>
      <c r="J856" s="6250"/>
      <c r="K856" s="6250"/>
      <c r="L856" s="6164"/>
      <c r="M856" s="6164"/>
      <c r="N856" s="6164"/>
      <c r="O856" s="6166"/>
      <c r="P856" s="6166"/>
      <c r="Q856" s="6167"/>
      <c r="R856" s="11144" t="s">
        <v>6159</v>
      </c>
      <c r="S856" s="11145"/>
      <c r="T856" s="11145"/>
      <c r="U856" s="11145"/>
      <c r="V856" s="11145"/>
      <c r="W856" s="11145"/>
      <c r="X856" s="11145"/>
      <c r="Y856" s="11145"/>
      <c r="Z856" s="5321" t="s">
        <v>292</v>
      </c>
      <c r="AA856" s="6153">
        <f>SUM(AA781:AA855)</f>
        <v>0</v>
      </c>
      <c r="AB856" s="6165"/>
      <c r="AC856" s="6168"/>
      <c r="AD856" s="11146"/>
      <c r="AE856" s="11147"/>
      <c r="AF856" s="11147"/>
      <c r="AG856" s="11148"/>
    </row>
    <row r="857" spans="1:33" ht="18" customHeight="1">
      <c r="A857" s="9599" t="s">
        <v>6160</v>
      </c>
      <c r="B857" s="10518" t="s">
        <v>183</v>
      </c>
      <c r="C857" s="10452" t="s">
        <v>227</v>
      </c>
      <c r="D857" s="10452" t="s">
        <v>228</v>
      </c>
      <c r="E857" s="10452" t="s">
        <v>229</v>
      </c>
      <c r="F857" s="10454" t="s">
        <v>230</v>
      </c>
      <c r="G857" s="10452" t="s">
        <v>132</v>
      </c>
      <c r="H857" s="10452" t="s">
        <v>159</v>
      </c>
      <c r="I857" s="10433" t="s">
        <v>6010</v>
      </c>
      <c r="J857" s="10452" t="s">
        <v>6011</v>
      </c>
      <c r="K857" s="10452" t="s">
        <v>5761</v>
      </c>
      <c r="L857" s="10488">
        <v>2</v>
      </c>
      <c r="M857" s="10488">
        <v>1</v>
      </c>
      <c r="N857" s="10488">
        <v>2</v>
      </c>
      <c r="O857" s="10452" t="s">
        <v>6012</v>
      </c>
      <c r="P857" s="10452" t="s">
        <v>6013</v>
      </c>
      <c r="Q857" s="10453" t="s">
        <v>6014</v>
      </c>
      <c r="R857" s="5445"/>
      <c r="S857" s="4321"/>
      <c r="T857" s="4321"/>
      <c r="U857" s="3573"/>
      <c r="V857" s="4322"/>
      <c r="W857" s="3574"/>
      <c r="X857" s="5550"/>
      <c r="Y857" s="5550"/>
      <c r="Z857" s="5550"/>
      <c r="AA857" s="5551"/>
      <c r="AB857" s="5580"/>
      <c r="AC857" s="4323"/>
      <c r="AD857" s="3683"/>
      <c r="AE857" s="5609"/>
      <c r="AF857" s="5609"/>
      <c r="AG857" s="10466"/>
    </row>
    <row r="858" spans="1:33" ht="18" customHeight="1">
      <c r="A858" s="11139"/>
      <c r="B858" s="11136"/>
      <c r="C858" s="11124"/>
      <c r="D858" s="11124"/>
      <c r="E858" s="11124"/>
      <c r="F858" s="11124"/>
      <c r="G858" s="11124"/>
      <c r="H858" s="11124"/>
      <c r="I858" s="11124"/>
      <c r="J858" s="11124"/>
      <c r="K858" s="11124"/>
      <c r="L858" s="11131"/>
      <c r="M858" s="11131"/>
      <c r="N858" s="11131"/>
      <c r="O858" s="11124"/>
      <c r="P858" s="11124"/>
      <c r="Q858" s="11127"/>
      <c r="R858" s="5446"/>
      <c r="S858" s="3579"/>
      <c r="T858" s="3579"/>
      <c r="U858" s="3578"/>
      <c r="V858" s="4315"/>
      <c r="W858" s="3579"/>
      <c r="X858" s="5552"/>
      <c r="Y858" s="5552"/>
      <c r="Z858" s="5552"/>
      <c r="AA858" s="5553"/>
      <c r="AB858" s="5581"/>
      <c r="AC858" s="4316"/>
      <c r="AD858" s="3496"/>
      <c r="AE858" s="5610"/>
      <c r="AF858" s="5610"/>
      <c r="AG858" s="11115"/>
    </row>
    <row r="859" spans="1:33" ht="18" customHeight="1">
      <c r="A859" s="11139"/>
      <c r="B859" s="11136"/>
      <c r="C859" s="11124"/>
      <c r="D859" s="11124"/>
      <c r="E859" s="11124"/>
      <c r="F859" s="11124"/>
      <c r="G859" s="11124"/>
      <c r="H859" s="11124"/>
      <c r="I859" s="11124"/>
      <c r="J859" s="11124"/>
      <c r="K859" s="11124"/>
      <c r="L859" s="11131"/>
      <c r="M859" s="11131"/>
      <c r="N859" s="11131"/>
      <c r="O859" s="11124"/>
      <c r="P859" s="11124"/>
      <c r="Q859" s="11127"/>
      <c r="R859" s="5446"/>
      <c r="S859" s="3579"/>
      <c r="T859" s="3579"/>
      <c r="U859" s="3578"/>
      <c r="V859" s="4315"/>
      <c r="W859" s="3579"/>
      <c r="X859" s="5552"/>
      <c r="Y859" s="5552"/>
      <c r="Z859" s="5552"/>
      <c r="AA859" s="5553"/>
      <c r="AB859" s="5581"/>
      <c r="AC859" s="4316"/>
      <c r="AD859" s="3496"/>
      <c r="AE859" s="5610"/>
      <c r="AF859" s="5610"/>
      <c r="AG859" s="11115"/>
    </row>
    <row r="860" spans="1:33" ht="18" customHeight="1">
      <c r="A860" s="11139"/>
      <c r="B860" s="11136"/>
      <c r="C860" s="11124"/>
      <c r="D860" s="11124"/>
      <c r="E860" s="11124"/>
      <c r="F860" s="11124"/>
      <c r="G860" s="11124"/>
      <c r="H860" s="11124"/>
      <c r="I860" s="11124"/>
      <c r="J860" s="11124"/>
      <c r="K860" s="11124"/>
      <c r="L860" s="11131"/>
      <c r="M860" s="11131"/>
      <c r="N860" s="11131"/>
      <c r="O860" s="11124"/>
      <c r="P860" s="11124"/>
      <c r="Q860" s="11127"/>
      <c r="R860" s="5447"/>
      <c r="S860" s="4325"/>
      <c r="T860" s="4325"/>
      <c r="U860" s="3578"/>
      <c r="V860" s="4315"/>
      <c r="W860" s="3579"/>
      <c r="X860" s="5552"/>
      <c r="Y860" s="5552"/>
      <c r="Z860" s="5552"/>
      <c r="AA860" s="5553"/>
      <c r="AB860" s="5581"/>
      <c r="AC860" s="4316"/>
      <c r="AD860" s="3496"/>
      <c r="AE860" s="5610"/>
      <c r="AF860" s="5610"/>
      <c r="AG860" s="11115"/>
    </row>
    <row r="861" spans="1:33" ht="18" customHeight="1">
      <c r="A861" s="11139"/>
      <c r="B861" s="11137"/>
      <c r="C861" s="11125"/>
      <c r="D861" s="11125"/>
      <c r="E861" s="11125"/>
      <c r="F861" s="11125"/>
      <c r="G861" s="11125"/>
      <c r="H861" s="11125"/>
      <c r="I861" s="11125"/>
      <c r="J861" s="11125"/>
      <c r="K861" s="11125"/>
      <c r="L861" s="11134"/>
      <c r="M861" s="11134"/>
      <c r="N861" s="11134"/>
      <c r="O861" s="11125"/>
      <c r="P861" s="11125"/>
      <c r="Q861" s="11135"/>
      <c r="R861" s="5448"/>
      <c r="S861" s="3617"/>
      <c r="T861" s="3617"/>
      <c r="U861" s="3616"/>
      <c r="V861" s="4319"/>
      <c r="W861" s="3617"/>
      <c r="X861" s="5554"/>
      <c r="Y861" s="5554"/>
      <c r="Z861" s="5554"/>
      <c r="AA861" s="5555"/>
      <c r="AB861" s="5592"/>
      <c r="AC861" s="4320"/>
      <c r="AD861" s="3714"/>
      <c r="AE861" s="5624"/>
      <c r="AF861" s="5624"/>
      <c r="AG861" s="11116"/>
    </row>
    <row r="862" spans="1:33" ht="18" customHeight="1">
      <c r="A862" s="11139"/>
      <c r="B862" s="10516" t="s">
        <v>127</v>
      </c>
      <c r="C862" s="10433" t="s">
        <v>128</v>
      </c>
      <c r="D862" s="10433" t="s">
        <v>129</v>
      </c>
      <c r="E862" s="10433" t="s">
        <v>157</v>
      </c>
      <c r="F862" s="10442" t="s">
        <v>131</v>
      </c>
      <c r="G862" s="10433" t="s">
        <v>132</v>
      </c>
      <c r="H862" s="10433" t="s">
        <v>159</v>
      </c>
      <c r="I862" s="10433" t="s">
        <v>6015</v>
      </c>
      <c r="J862" s="10433" t="s">
        <v>6016</v>
      </c>
      <c r="K862" s="10433" t="s">
        <v>5761</v>
      </c>
      <c r="L862" s="11130">
        <v>2</v>
      </c>
      <c r="M862" s="11130">
        <v>0</v>
      </c>
      <c r="N862" s="11130">
        <v>2</v>
      </c>
      <c r="O862" s="10433" t="s">
        <v>6017</v>
      </c>
      <c r="P862" s="10433" t="s">
        <v>6018</v>
      </c>
      <c r="Q862" s="10439" t="s">
        <v>6161</v>
      </c>
      <c r="R862" s="5452"/>
      <c r="S862" s="3598"/>
      <c r="T862" s="3598"/>
      <c r="U862" s="4344"/>
      <c r="V862" s="4337"/>
      <c r="W862" s="3598"/>
      <c r="X862" s="5556"/>
      <c r="Y862" s="5556"/>
      <c r="Z862" s="5556"/>
      <c r="AA862" s="5557"/>
      <c r="AB862" s="5584"/>
      <c r="AC862" s="4338"/>
      <c r="AD862" s="3709"/>
      <c r="AE862" s="5626"/>
      <c r="AF862" s="5626"/>
      <c r="AG862" s="10525"/>
    </row>
    <row r="863" spans="1:33" ht="18" customHeight="1">
      <c r="A863" s="11139"/>
      <c r="B863" s="11136"/>
      <c r="C863" s="11124"/>
      <c r="D863" s="11124"/>
      <c r="E863" s="11124"/>
      <c r="F863" s="11124"/>
      <c r="G863" s="11124"/>
      <c r="H863" s="11124"/>
      <c r="I863" s="11124"/>
      <c r="J863" s="11124"/>
      <c r="K863" s="11124"/>
      <c r="L863" s="11131"/>
      <c r="M863" s="11131"/>
      <c r="N863" s="11131"/>
      <c r="O863" s="11124"/>
      <c r="P863" s="11124"/>
      <c r="Q863" s="11127"/>
      <c r="R863" s="5446"/>
      <c r="S863" s="3579"/>
      <c r="T863" s="3579"/>
      <c r="U863" s="3578"/>
      <c r="V863" s="4315"/>
      <c r="W863" s="3579"/>
      <c r="X863" s="5552"/>
      <c r="Y863" s="5552"/>
      <c r="Z863" s="5552"/>
      <c r="AA863" s="5553"/>
      <c r="AB863" s="5581"/>
      <c r="AC863" s="4316"/>
      <c r="AD863" s="3496"/>
      <c r="AE863" s="5610"/>
      <c r="AF863" s="5610"/>
      <c r="AG863" s="11115"/>
    </row>
    <row r="864" spans="1:33" ht="18" customHeight="1">
      <c r="A864" s="11139"/>
      <c r="B864" s="11136"/>
      <c r="C864" s="11124"/>
      <c r="D864" s="11124"/>
      <c r="E864" s="11124"/>
      <c r="F864" s="11124"/>
      <c r="G864" s="11124"/>
      <c r="H864" s="11124"/>
      <c r="I864" s="11124"/>
      <c r="J864" s="11124"/>
      <c r="K864" s="11124"/>
      <c r="L864" s="11131"/>
      <c r="M864" s="11131"/>
      <c r="N864" s="11131"/>
      <c r="O864" s="11124"/>
      <c r="P864" s="11124"/>
      <c r="Q864" s="11127"/>
      <c r="R864" s="5446"/>
      <c r="S864" s="3579"/>
      <c r="T864" s="3579"/>
      <c r="U864" s="3578"/>
      <c r="V864" s="4315"/>
      <c r="W864" s="3579"/>
      <c r="X864" s="5552"/>
      <c r="Y864" s="5552"/>
      <c r="Z864" s="5552"/>
      <c r="AA864" s="5553"/>
      <c r="AB864" s="5581"/>
      <c r="AC864" s="4316"/>
      <c r="AD864" s="3496"/>
      <c r="AE864" s="5610"/>
      <c r="AF864" s="5610"/>
      <c r="AG864" s="11115"/>
    </row>
    <row r="865" spans="1:33" ht="18" customHeight="1">
      <c r="A865" s="11139"/>
      <c r="B865" s="11136"/>
      <c r="C865" s="11124"/>
      <c r="D865" s="11124"/>
      <c r="E865" s="11124"/>
      <c r="F865" s="11124"/>
      <c r="G865" s="11124"/>
      <c r="H865" s="11124"/>
      <c r="I865" s="11124"/>
      <c r="J865" s="11124"/>
      <c r="K865" s="11124"/>
      <c r="L865" s="11131"/>
      <c r="M865" s="11131"/>
      <c r="N865" s="11131"/>
      <c r="O865" s="11124"/>
      <c r="P865" s="11124"/>
      <c r="Q865" s="11127"/>
      <c r="R865" s="5446"/>
      <c r="S865" s="3579"/>
      <c r="T865" s="3579"/>
      <c r="U865" s="3578"/>
      <c r="V865" s="4315"/>
      <c r="W865" s="3579"/>
      <c r="X865" s="5552"/>
      <c r="Y865" s="5552"/>
      <c r="Z865" s="5552"/>
      <c r="AA865" s="5553"/>
      <c r="AB865" s="5581"/>
      <c r="AC865" s="4316"/>
      <c r="AD865" s="3496"/>
      <c r="AE865" s="5610"/>
      <c r="AF865" s="5610"/>
      <c r="AG865" s="11115"/>
    </row>
    <row r="866" spans="1:33" ht="18" customHeight="1">
      <c r="A866" s="11139"/>
      <c r="B866" s="11138"/>
      <c r="C866" s="11126"/>
      <c r="D866" s="11126"/>
      <c r="E866" s="11126"/>
      <c r="F866" s="11126"/>
      <c r="G866" s="11126"/>
      <c r="H866" s="11126"/>
      <c r="I866" s="11126"/>
      <c r="J866" s="11126"/>
      <c r="K866" s="11126"/>
      <c r="L866" s="11132"/>
      <c r="M866" s="11132"/>
      <c r="N866" s="11132"/>
      <c r="O866" s="11126"/>
      <c r="P866" s="11126"/>
      <c r="Q866" s="11128"/>
      <c r="R866" s="5450"/>
      <c r="S866" s="3606"/>
      <c r="T866" s="3606"/>
      <c r="U866" s="3605"/>
      <c r="V866" s="4317"/>
      <c r="W866" s="3606"/>
      <c r="X866" s="5558"/>
      <c r="Y866" s="5558"/>
      <c r="Z866" s="5558"/>
      <c r="AA866" s="5559"/>
      <c r="AB866" s="5585"/>
      <c r="AC866" s="4318"/>
      <c r="AD866" s="3545"/>
      <c r="AE866" s="5625"/>
      <c r="AF866" s="5625"/>
      <c r="AG866" s="11116"/>
    </row>
    <row r="867" spans="1:33" ht="18" customHeight="1">
      <c r="A867" s="11139"/>
      <c r="B867" s="10512" t="s">
        <v>127</v>
      </c>
      <c r="C867" s="10444" t="s">
        <v>128</v>
      </c>
      <c r="D867" s="10444" t="s">
        <v>129</v>
      </c>
      <c r="E867" s="10444" t="s">
        <v>157</v>
      </c>
      <c r="F867" s="10451" t="s">
        <v>131</v>
      </c>
      <c r="G867" s="10444" t="s">
        <v>132</v>
      </c>
      <c r="H867" s="10444" t="s">
        <v>159</v>
      </c>
      <c r="I867" s="10444" t="s">
        <v>6020</v>
      </c>
      <c r="J867" s="10444" t="s">
        <v>6021</v>
      </c>
      <c r="K867" s="10444" t="s">
        <v>6022</v>
      </c>
      <c r="L867" s="11133">
        <v>0</v>
      </c>
      <c r="M867" s="11133">
        <v>1</v>
      </c>
      <c r="N867" s="11133">
        <v>0</v>
      </c>
      <c r="O867" s="10444" t="s">
        <v>6023</v>
      </c>
      <c r="P867" s="10444" t="s">
        <v>6024</v>
      </c>
      <c r="Q867" s="10449" t="s">
        <v>6162</v>
      </c>
      <c r="R867" s="5458"/>
      <c r="S867" s="3623"/>
      <c r="T867" s="3623"/>
      <c r="U867" s="4312"/>
      <c r="V867" s="4313"/>
      <c r="W867" s="3623"/>
      <c r="X867" s="5560"/>
      <c r="Y867" s="5560"/>
      <c r="Z867" s="5560"/>
      <c r="AA867" s="5561"/>
      <c r="AB867" s="5586"/>
      <c r="AC867" s="4314"/>
      <c r="AD867" s="3658"/>
      <c r="AE867" s="5623"/>
      <c r="AF867" s="5623"/>
      <c r="AG867" s="10525"/>
    </row>
    <row r="868" spans="1:33" ht="18" customHeight="1">
      <c r="A868" s="11139"/>
      <c r="B868" s="11136"/>
      <c r="C868" s="11124"/>
      <c r="D868" s="11124"/>
      <c r="E868" s="11124"/>
      <c r="F868" s="11124"/>
      <c r="G868" s="11124"/>
      <c r="H868" s="11124"/>
      <c r="I868" s="11124"/>
      <c r="J868" s="11124"/>
      <c r="K868" s="11124"/>
      <c r="L868" s="11131"/>
      <c r="M868" s="11131"/>
      <c r="N868" s="11131"/>
      <c r="O868" s="11124"/>
      <c r="P868" s="11124"/>
      <c r="Q868" s="11127"/>
      <c r="R868" s="5446"/>
      <c r="S868" s="3579"/>
      <c r="T868" s="3579"/>
      <c r="U868" s="3578"/>
      <c r="V868" s="4315"/>
      <c r="W868" s="3579"/>
      <c r="X868" s="5552"/>
      <c r="Y868" s="5552"/>
      <c r="Z868" s="5552"/>
      <c r="AA868" s="5553"/>
      <c r="AB868" s="5581"/>
      <c r="AC868" s="4316"/>
      <c r="AD868" s="3496"/>
      <c r="AE868" s="5610"/>
      <c r="AF868" s="5610"/>
      <c r="AG868" s="11115"/>
    </row>
    <row r="869" spans="1:33" ht="18" customHeight="1">
      <c r="A869" s="11139"/>
      <c r="B869" s="11136"/>
      <c r="C869" s="11124"/>
      <c r="D869" s="11124"/>
      <c r="E869" s="11124"/>
      <c r="F869" s="11124"/>
      <c r="G869" s="11124"/>
      <c r="H869" s="11124"/>
      <c r="I869" s="11124"/>
      <c r="J869" s="11124"/>
      <c r="K869" s="11124"/>
      <c r="L869" s="11131"/>
      <c r="M869" s="11131"/>
      <c r="N869" s="11131"/>
      <c r="O869" s="11124"/>
      <c r="P869" s="11124"/>
      <c r="Q869" s="11127"/>
      <c r="R869" s="5446"/>
      <c r="S869" s="3579"/>
      <c r="T869" s="3579"/>
      <c r="U869" s="3578"/>
      <c r="V869" s="4315"/>
      <c r="W869" s="3579"/>
      <c r="X869" s="5552"/>
      <c r="Y869" s="5552"/>
      <c r="Z869" s="5552"/>
      <c r="AA869" s="5553"/>
      <c r="AB869" s="5581"/>
      <c r="AC869" s="4316"/>
      <c r="AD869" s="3496"/>
      <c r="AE869" s="5610"/>
      <c r="AF869" s="5610"/>
      <c r="AG869" s="11115"/>
    </row>
    <row r="870" spans="1:33" ht="18" customHeight="1">
      <c r="A870" s="11139"/>
      <c r="B870" s="11136"/>
      <c r="C870" s="11124"/>
      <c r="D870" s="11124"/>
      <c r="E870" s="11124"/>
      <c r="F870" s="11124"/>
      <c r="G870" s="11124"/>
      <c r="H870" s="11124"/>
      <c r="I870" s="11124"/>
      <c r="J870" s="11124"/>
      <c r="K870" s="11124"/>
      <c r="L870" s="11131"/>
      <c r="M870" s="11131"/>
      <c r="N870" s="11131"/>
      <c r="O870" s="11124"/>
      <c r="P870" s="11124"/>
      <c r="Q870" s="11127"/>
      <c r="R870" s="5446"/>
      <c r="S870" s="3579"/>
      <c r="T870" s="3579"/>
      <c r="U870" s="3578"/>
      <c r="V870" s="4315"/>
      <c r="W870" s="3579"/>
      <c r="X870" s="5552"/>
      <c r="Y870" s="5552"/>
      <c r="Z870" s="5552"/>
      <c r="AA870" s="5553"/>
      <c r="AB870" s="5581"/>
      <c r="AC870" s="4316"/>
      <c r="AD870" s="3496"/>
      <c r="AE870" s="5610"/>
      <c r="AF870" s="5610"/>
      <c r="AG870" s="11115"/>
    </row>
    <row r="871" spans="1:33" ht="18" customHeight="1">
      <c r="A871" s="11139"/>
      <c r="B871" s="11137"/>
      <c r="C871" s="11125"/>
      <c r="D871" s="11125"/>
      <c r="E871" s="11125"/>
      <c r="F871" s="11125"/>
      <c r="G871" s="11125"/>
      <c r="H871" s="11125"/>
      <c r="I871" s="11125"/>
      <c r="J871" s="11125"/>
      <c r="K871" s="11125"/>
      <c r="L871" s="11134"/>
      <c r="M871" s="11134"/>
      <c r="N871" s="11134"/>
      <c r="O871" s="11125"/>
      <c r="P871" s="11125"/>
      <c r="Q871" s="11135"/>
      <c r="R871" s="5448"/>
      <c r="S871" s="3617"/>
      <c r="T871" s="3617"/>
      <c r="U871" s="3616"/>
      <c r="V871" s="4319"/>
      <c r="W871" s="3617"/>
      <c r="X871" s="5554"/>
      <c r="Y871" s="5554"/>
      <c r="Z871" s="5554"/>
      <c r="AA871" s="5555"/>
      <c r="AB871" s="5592"/>
      <c r="AC871" s="4320"/>
      <c r="AD871" s="3714"/>
      <c r="AE871" s="5624"/>
      <c r="AF871" s="5624"/>
      <c r="AG871" s="11116"/>
    </row>
    <row r="872" spans="1:33" ht="18" customHeight="1">
      <c r="A872" s="11139"/>
      <c r="B872" s="10516" t="s">
        <v>183</v>
      </c>
      <c r="C872" s="10433" t="s">
        <v>227</v>
      </c>
      <c r="D872" s="10433" t="s">
        <v>228</v>
      </c>
      <c r="E872" s="10433" t="s">
        <v>229</v>
      </c>
      <c r="F872" s="10442" t="s">
        <v>230</v>
      </c>
      <c r="G872" s="10433" t="s">
        <v>132</v>
      </c>
      <c r="H872" s="10433" t="s">
        <v>159</v>
      </c>
      <c r="I872" s="10433" t="s">
        <v>6026</v>
      </c>
      <c r="J872" s="10433" t="s">
        <v>6027</v>
      </c>
      <c r="K872" s="10433" t="s">
        <v>6022</v>
      </c>
      <c r="L872" s="11130">
        <v>0</v>
      </c>
      <c r="M872" s="11130">
        <v>1</v>
      </c>
      <c r="N872" s="11130">
        <v>1</v>
      </c>
      <c r="O872" s="10433" t="s">
        <v>6028</v>
      </c>
      <c r="P872" s="10433" t="s">
        <v>6029</v>
      </c>
      <c r="Q872" s="10439" t="s">
        <v>6162</v>
      </c>
      <c r="R872" s="5452"/>
      <c r="S872" s="3598"/>
      <c r="T872" s="3598"/>
      <c r="U872" s="4344"/>
      <c r="V872" s="4337"/>
      <c r="W872" s="3598"/>
      <c r="X872" s="5556"/>
      <c r="Y872" s="5556"/>
      <c r="Z872" s="5556"/>
      <c r="AA872" s="5557"/>
      <c r="AB872" s="5584"/>
      <c r="AC872" s="4338"/>
      <c r="AD872" s="3709"/>
      <c r="AE872" s="5626"/>
      <c r="AF872" s="5626"/>
      <c r="AG872" s="10525"/>
    </row>
    <row r="873" spans="1:33" ht="18" customHeight="1">
      <c r="A873" s="11139"/>
      <c r="B873" s="11136"/>
      <c r="C873" s="11124"/>
      <c r="D873" s="11124"/>
      <c r="E873" s="11124"/>
      <c r="F873" s="11124"/>
      <c r="G873" s="11124"/>
      <c r="H873" s="11124"/>
      <c r="I873" s="11124"/>
      <c r="J873" s="11124"/>
      <c r="K873" s="11124"/>
      <c r="L873" s="11131"/>
      <c r="M873" s="11131"/>
      <c r="N873" s="11131"/>
      <c r="O873" s="11124"/>
      <c r="P873" s="11124"/>
      <c r="Q873" s="11127"/>
      <c r="R873" s="5446"/>
      <c r="S873" s="3579"/>
      <c r="T873" s="3579"/>
      <c r="U873" s="3578"/>
      <c r="V873" s="4315"/>
      <c r="W873" s="3579"/>
      <c r="X873" s="5552"/>
      <c r="Y873" s="5552"/>
      <c r="Z873" s="5552"/>
      <c r="AA873" s="5553"/>
      <c r="AB873" s="5581"/>
      <c r="AC873" s="4316"/>
      <c r="AD873" s="3496"/>
      <c r="AE873" s="5610"/>
      <c r="AF873" s="5610"/>
      <c r="AG873" s="11115"/>
    </row>
    <row r="874" spans="1:33" ht="18" customHeight="1">
      <c r="A874" s="11139"/>
      <c r="B874" s="11136"/>
      <c r="C874" s="11124"/>
      <c r="D874" s="11124"/>
      <c r="E874" s="11124"/>
      <c r="F874" s="11124"/>
      <c r="G874" s="11124"/>
      <c r="H874" s="11124"/>
      <c r="I874" s="11124"/>
      <c r="J874" s="11124"/>
      <c r="K874" s="11124"/>
      <c r="L874" s="11131"/>
      <c r="M874" s="11131"/>
      <c r="N874" s="11131"/>
      <c r="O874" s="11124"/>
      <c r="P874" s="11124"/>
      <c r="Q874" s="11127"/>
      <c r="R874" s="5446"/>
      <c r="S874" s="3579"/>
      <c r="T874" s="3579"/>
      <c r="U874" s="3578"/>
      <c r="V874" s="4315"/>
      <c r="W874" s="3579"/>
      <c r="X874" s="5552"/>
      <c r="Y874" s="5552"/>
      <c r="Z874" s="5552"/>
      <c r="AA874" s="5553"/>
      <c r="AB874" s="5581"/>
      <c r="AC874" s="4316"/>
      <c r="AD874" s="3496"/>
      <c r="AE874" s="5610"/>
      <c r="AF874" s="5610"/>
      <c r="AG874" s="11115"/>
    </row>
    <row r="875" spans="1:33" ht="18" customHeight="1">
      <c r="A875" s="11139"/>
      <c r="B875" s="11136"/>
      <c r="C875" s="11124"/>
      <c r="D875" s="11124"/>
      <c r="E875" s="11124"/>
      <c r="F875" s="11124"/>
      <c r="G875" s="11124"/>
      <c r="H875" s="11124"/>
      <c r="I875" s="11124"/>
      <c r="J875" s="11124"/>
      <c r="K875" s="11124"/>
      <c r="L875" s="11131"/>
      <c r="M875" s="11131"/>
      <c r="N875" s="11131"/>
      <c r="O875" s="11124"/>
      <c r="P875" s="11124"/>
      <c r="Q875" s="11127"/>
      <c r="R875" s="5446"/>
      <c r="S875" s="3579"/>
      <c r="T875" s="3579"/>
      <c r="U875" s="3578"/>
      <c r="V875" s="4315"/>
      <c r="W875" s="3579"/>
      <c r="X875" s="5552"/>
      <c r="Y875" s="5552"/>
      <c r="Z875" s="5552"/>
      <c r="AA875" s="5553"/>
      <c r="AB875" s="5581"/>
      <c r="AC875" s="4316"/>
      <c r="AD875" s="3496"/>
      <c r="AE875" s="5610"/>
      <c r="AF875" s="5610"/>
      <c r="AG875" s="11115"/>
    </row>
    <row r="876" spans="1:33" ht="18" customHeight="1">
      <c r="A876" s="11139"/>
      <c r="B876" s="11138"/>
      <c r="C876" s="11126"/>
      <c r="D876" s="11126"/>
      <c r="E876" s="11126"/>
      <c r="F876" s="11126"/>
      <c r="G876" s="11126"/>
      <c r="H876" s="11126"/>
      <c r="I876" s="11126"/>
      <c r="J876" s="11126"/>
      <c r="K876" s="11126"/>
      <c r="L876" s="11132"/>
      <c r="M876" s="11132"/>
      <c r="N876" s="11132"/>
      <c r="O876" s="11126"/>
      <c r="P876" s="11126"/>
      <c r="Q876" s="11128"/>
      <c r="R876" s="5450"/>
      <c r="S876" s="3606"/>
      <c r="T876" s="3606"/>
      <c r="U876" s="3605"/>
      <c r="V876" s="4317"/>
      <c r="W876" s="3606"/>
      <c r="X876" s="5558"/>
      <c r="Y876" s="5558"/>
      <c r="Z876" s="5558"/>
      <c r="AA876" s="5559"/>
      <c r="AB876" s="5585"/>
      <c r="AC876" s="4318"/>
      <c r="AD876" s="3545"/>
      <c r="AE876" s="5625"/>
      <c r="AF876" s="5625"/>
      <c r="AG876" s="11116"/>
    </row>
    <row r="877" spans="1:33" ht="18" customHeight="1">
      <c r="A877" s="11139"/>
      <c r="B877" s="10512" t="s">
        <v>183</v>
      </c>
      <c r="C877" s="10444" t="s">
        <v>227</v>
      </c>
      <c r="D877" s="10444" t="s">
        <v>185</v>
      </c>
      <c r="E877" s="10444" t="s">
        <v>1938</v>
      </c>
      <c r="F877" s="10451" t="s">
        <v>230</v>
      </c>
      <c r="G877" s="10444" t="s">
        <v>171</v>
      </c>
      <c r="H877" s="10444" t="s">
        <v>133</v>
      </c>
      <c r="I877" s="10444" t="s">
        <v>6030</v>
      </c>
      <c r="J877" s="10444" t="s">
        <v>6031</v>
      </c>
      <c r="K877" s="10444" t="s">
        <v>5900</v>
      </c>
      <c r="L877" s="11133">
        <v>1</v>
      </c>
      <c r="M877" s="11133">
        <v>0</v>
      </c>
      <c r="N877" s="11133">
        <v>1</v>
      </c>
      <c r="O877" s="10444" t="s">
        <v>6032</v>
      </c>
      <c r="P877" s="10444" t="s">
        <v>5902</v>
      </c>
      <c r="Q877" s="10449" t="s">
        <v>6163</v>
      </c>
      <c r="R877" s="5458"/>
      <c r="S877" s="3623"/>
      <c r="T877" s="3623"/>
      <c r="U877" s="4312"/>
      <c r="V877" s="4313"/>
      <c r="W877" s="3623"/>
      <c r="X877" s="5560"/>
      <c r="Y877" s="5560"/>
      <c r="Z877" s="5560"/>
      <c r="AA877" s="5561"/>
      <c r="AB877" s="5586"/>
      <c r="AC877" s="4314"/>
      <c r="AD877" s="3658"/>
      <c r="AE877" s="5623"/>
      <c r="AF877" s="5623"/>
      <c r="AG877" s="10525"/>
    </row>
    <row r="878" spans="1:33" ht="18" customHeight="1">
      <c r="A878" s="11139"/>
      <c r="B878" s="11136"/>
      <c r="C878" s="11124"/>
      <c r="D878" s="11124"/>
      <c r="E878" s="11124"/>
      <c r="F878" s="11124"/>
      <c r="G878" s="11124"/>
      <c r="H878" s="11124"/>
      <c r="I878" s="11124"/>
      <c r="J878" s="11124"/>
      <c r="K878" s="11124"/>
      <c r="L878" s="11131"/>
      <c r="M878" s="11131"/>
      <c r="N878" s="11131"/>
      <c r="O878" s="11124"/>
      <c r="P878" s="11124"/>
      <c r="Q878" s="11127"/>
      <c r="R878" s="5446"/>
      <c r="S878" s="3579"/>
      <c r="T878" s="3579"/>
      <c r="U878" s="3578"/>
      <c r="V878" s="4315"/>
      <c r="W878" s="3579"/>
      <c r="X878" s="5552"/>
      <c r="Y878" s="5552"/>
      <c r="Z878" s="5552"/>
      <c r="AA878" s="5553"/>
      <c r="AB878" s="5581"/>
      <c r="AC878" s="4316"/>
      <c r="AD878" s="3496"/>
      <c r="AE878" s="5610"/>
      <c r="AF878" s="5610"/>
      <c r="AG878" s="11115"/>
    </row>
    <row r="879" spans="1:33" ht="18" customHeight="1">
      <c r="A879" s="11139"/>
      <c r="B879" s="11136"/>
      <c r="C879" s="11124"/>
      <c r="D879" s="11124"/>
      <c r="E879" s="11124"/>
      <c r="F879" s="11124"/>
      <c r="G879" s="11124"/>
      <c r="H879" s="11124"/>
      <c r="I879" s="11124"/>
      <c r="J879" s="11124"/>
      <c r="K879" s="11124"/>
      <c r="L879" s="11131"/>
      <c r="M879" s="11131"/>
      <c r="N879" s="11131"/>
      <c r="O879" s="11124"/>
      <c r="P879" s="11124"/>
      <c r="Q879" s="11127"/>
      <c r="R879" s="5446"/>
      <c r="S879" s="3579"/>
      <c r="T879" s="3579"/>
      <c r="U879" s="3578"/>
      <c r="V879" s="4315"/>
      <c r="W879" s="3579"/>
      <c r="X879" s="5552"/>
      <c r="Y879" s="5552"/>
      <c r="Z879" s="5552"/>
      <c r="AA879" s="5553"/>
      <c r="AB879" s="5581"/>
      <c r="AC879" s="4316"/>
      <c r="AD879" s="3496"/>
      <c r="AE879" s="5610"/>
      <c r="AF879" s="5610"/>
      <c r="AG879" s="11115"/>
    </row>
    <row r="880" spans="1:33" ht="18" customHeight="1">
      <c r="A880" s="11139"/>
      <c r="B880" s="11136"/>
      <c r="C880" s="11124"/>
      <c r="D880" s="11124"/>
      <c r="E880" s="11124"/>
      <c r="F880" s="11124"/>
      <c r="G880" s="11124"/>
      <c r="H880" s="11124"/>
      <c r="I880" s="11124"/>
      <c r="J880" s="11124"/>
      <c r="K880" s="11124"/>
      <c r="L880" s="11131"/>
      <c r="M880" s="11131"/>
      <c r="N880" s="11131"/>
      <c r="O880" s="11124"/>
      <c r="P880" s="11124"/>
      <c r="Q880" s="11127"/>
      <c r="R880" s="5446"/>
      <c r="S880" s="3579"/>
      <c r="T880" s="3579"/>
      <c r="U880" s="3578"/>
      <c r="V880" s="4315"/>
      <c r="W880" s="3579"/>
      <c r="X880" s="5552"/>
      <c r="Y880" s="5552"/>
      <c r="Z880" s="5552"/>
      <c r="AA880" s="5553"/>
      <c r="AB880" s="5581"/>
      <c r="AC880" s="4316"/>
      <c r="AD880" s="3496"/>
      <c r="AE880" s="5610"/>
      <c r="AF880" s="5610"/>
      <c r="AG880" s="11115"/>
    </row>
    <row r="881" spans="1:33" ht="18" customHeight="1">
      <c r="A881" s="11139"/>
      <c r="B881" s="11137"/>
      <c r="C881" s="11125"/>
      <c r="D881" s="11125"/>
      <c r="E881" s="11125"/>
      <c r="F881" s="11125"/>
      <c r="G881" s="11125"/>
      <c r="H881" s="11125"/>
      <c r="I881" s="11125"/>
      <c r="J881" s="11125"/>
      <c r="K881" s="11125"/>
      <c r="L881" s="11134"/>
      <c r="M881" s="11134"/>
      <c r="N881" s="11134"/>
      <c r="O881" s="11125"/>
      <c r="P881" s="11125"/>
      <c r="Q881" s="11135"/>
      <c r="R881" s="5448"/>
      <c r="S881" s="3617"/>
      <c r="T881" s="3617"/>
      <c r="U881" s="3616"/>
      <c r="V881" s="4319"/>
      <c r="W881" s="3617"/>
      <c r="X881" s="5554"/>
      <c r="Y881" s="5554"/>
      <c r="Z881" s="5554"/>
      <c r="AA881" s="5555"/>
      <c r="AB881" s="5592"/>
      <c r="AC881" s="4320"/>
      <c r="AD881" s="3714"/>
      <c r="AE881" s="5624"/>
      <c r="AF881" s="5624"/>
      <c r="AG881" s="11116"/>
    </row>
    <row r="882" spans="1:33" ht="18" customHeight="1">
      <c r="A882" s="11139"/>
      <c r="B882" s="10516" t="s">
        <v>127</v>
      </c>
      <c r="C882" s="10433" t="s">
        <v>128</v>
      </c>
      <c r="D882" s="10433" t="s">
        <v>129</v>
      </c>
      <c r="E882" s="10433" t="s">
        <v>157</v>
      </c>
      <c r="F882" s="10442" t="s">
        <v>131</v>
      </c>
      <c r="G882" s="10433" t="s">
        <v>132</v>
      </c>
      <c r="H882" s="10433" t="s">
        <v>159</v>
      </c>
      <c r="I882" s="10433" t="s">
        <v>6034</v>
      </c>
      <c r="J882" s="10433" t="s">
        <v>6035</v>
      </c>
      <c r="K882" s="10433" t="s">
        <v>6036</v>
      </c>
      <c r="L882" s="11130">
        <v>1</v>
      </c>
      <c r="M882" s="11130">
        <v>2</v>
      </c>
      <c r="N882" s="11130">
        <v>2</v>
      </c>
      <c r="O882" s="10433" t="s">
        <v>6037</v>
      </c>
      <c r="P882" s="10433" t="s">
        <v>6038</v>
      </c>
      <c r="Q882" s="10439" t="s">
        <v>6162</v>
      </c>
      <c r="R882" s="5452"/>
      <c r="S882" s="3598"/>
      <c r="T882" s="3598"/>
      <c r="U882" s="4344"/>
      <c r="V882" s="4337"/>
      <c r="W882" s="3598"/>
      <c r="X882" s="5556"/>
      <c r="Y882" s="5556"/>
      <c r="Z882" s="5556"/>
      <c r="AA882" s="5557"/>
      <c r="AB882" s="5584"/>
      <c r="AC882" s="4338"/>
      <c r="AD882" s="3709"/>
      <c r="AE882" s="5626"/>
      <c r="AF882" s="5626"/>
      <c r="AG882" s="10525"/>
    </row>
    <row r="883" spans="1:33" ht="18" customHeight="1">
      <c r="A883" s="11139"/>
      <c r="B883" s="11136"/>
      <c r="C883" s="11124"/>
      <c r="D883" s="11124"/>
      <c r="E883" s="11124"/>
      <c r="F883" s="11124"/>
      <c r="G883" s="11124"/>
      <c r="H883" s="11124"/>
      <c r="I883" s="11124"/>
      <c r="J883" s="11124"/>
      <c r="K883" s="11124"/>
      <c r="L883" s="11131"/>
      <c r="M883" s="11131"/>
      <c r="N883" s="11131"/>
      <c r="O883" s="11124"/>
      <c r="P883" s="11124"/>
      <c r="Q883" s="11127"/>
      <c r="R883" s="5446"/>
      <c r="S883" s="3579"/>
      <c r="T883" s="3579"/>
      <c r="U883" s="3578"/>
      <c r="V883" s="4315"/>
      <c r="W883" s="3579"/>
      <c r="X883" s="5552"/>
      <c r="Y883" s="5552"/>
      <c r="Z883" s="5552"/>
      <c r="AA883" s="5553"/>
      <c r="AB883" s="5581"/>
      <c r="AC883" s="4316"/>
      <c r="AD883" s="3496"/>
      <c r="AE883" s="5610"/>
      <c r="AF883" s="5610"/>
      <c r="AG883" s="11115"/>
    </row>
    <row r="884" spans="1:33" ht="18" customHeight="1">
      <c r="A884" s="11139"/>
      <c r="B884" s="11136"/>
      <c r="C884" s="11124"/>
      <c r="D884" s="11124"/>
      <c r="E884" s="11124"/>
      <c r="F884" s="11124"/>
      <c r="G884" s="11124"/>
      <c r="H884" s="11124"/>
      <c r="I884" s="11124"/>
      <c r="J884" s="11124"/>
      <c r="K884" s="11124"/>
      <c r="L884" s="11131"/>
      <c r="M884" s="11131"/>
      <c r="N884" s="11131"/>
      <c r="O884" s="11124"/>
      <c r="P884" s="11124"/>
      <c r="Q884" s="11127"/>
      <c r="R884" s="5446"/>
      <c r="S884" s="3579"/>
      <c r="T884" s="3579"/>
      <c r="U884" s="3578"/>
      <c r="V884" s="4315"/>
      <c r="W884" s="3579"/>
      <c r="X884" s="5552"/>
      <c r="Y884" s="5552"/>
      <c r="Z884" s="5552"/>
      <c r="AA884" s="5553"/>
      <c r="AB884" s="5581"/>
      <c r="AC884" s="4316"/>
      <c r="AD884" s="3496"/>
      <c r="AE884" s="5610"/>
      <c r="AF884" s="5610"/>
      <c r="AG884" s="11115"/>
    </row>
    <row r="885" spans="1:33" ht="18" customHeight="1">
      <c r="A885" s="11139"/>
      <c r="B885" s="11136"/>
      <c r="C885" s="11124"/>
      <c r="D885" s="11124"/>
      <c r="E885" s="11124"/>
      <c r="F885" s="11124"/>
      <c r="G885" s="11124"/>
      <c r="H885" s="11124"/>
      <c r="I885" s="11124"/>
      <c r="J885" s="11124"/>
      <c r="K885" s="11124"/>
      <c r="L885" s="11131"/>
      <c r="M885" s="11131"/>
      <c r="N885" s="11131"/>
      <c r="O885" s="11124"/>
      <c r="P885" s="11124"/>
      <c r="Q885" s="11127"/>
      <c r="R885" s="5446"/>
      <c r="S885" s="3579"/>
      <c r="T885" s="3579"/>
      <c r="U885" s="3578"/>
      <c r="V885" s="4315"/>
      <c r="W885" s="3579"/>
      <c r="X885" s="5552"/>
      <c r="Y885" s="5552"/>
      <c r="Z885" s="5552"/>
      <c r="AA885" s="5553"/>
      <c r="AB885" s="5581"/>
      <c r="AC885" s="4316"/>
      <c r="AD885" s="3496"/>
      <c r="AE885" s="5610"/>
      <c r="AF885" s="5610"/>
      <c r="AG885" s="11115"/>
    </row>
    <row r="886" spans="1:33" ht="18" customHeight="1">
      <c r="A886" s="11139"/>
      <c r="B886" s="11138"/>
      <c r="C886" s="11126"/>
      <c r="D886" s="11126"/>
      <c r="E886" s="11126"/>
      <c r="F886" s="11126"/>
      <c r="G886" s="11126"/>
      <c r="H886" s="11126"/>
      <c r="I886" s="11126"/>
      <c r="J886" s="11126"/>
      <c r="K886" s="11126"/>
      <c r="L886" s="11132"/>
      <c r="M886" s="11132"/>
      <c r="N886" s="11132"/>
      <c r="O886" s="11126"/>
      <c r="P886" s="11126"/>
      <c r="Q886" s="11128"/>
      <c r="R886" s="5450"/>
      <c r="S886" s="3606"/>
      <c r="T886" s="3606"/>
      <c r="U886" s="3605"/>
      <c r="V886" s="4317"/>
      <c r="W886" s="3606"/>
      <c r="X886" s="5558"/>
      <c r="Y886" s="5558"/>
      <c r="Z886" s="5558"/>
      <c r="AA886" s="5559"/>
      <c r="AB886" s="5585"/>
      <c r="AC886" s="4318"/>
      <c r="AD886" s="3545"/>
      <c r="AE886" s="5625"/>
      <c r="AF886" s="5625"/>
      <c r="AG886" s="11116"/>
    </row>
    <row r="887" spans="1:33" ht="18" customHeight="1">
      <c r="A887" s="11139"/>
      <c r="B887" s="10512" t="s">
        <v>183</v>
      </c>
      <c r="C887" s="10444" t="s">
        <v>227</v>
      </c>
      <c r="D887" s="10444" t="s">
        <v>228</v>
      </c>
      <c r="E887" s="10444" t="s">
        <v>229</v>
      </c>
      <c r="F887" s="10451" t="s">
        <v>230</v>
      </c>
      <c r="G887" s="10444" t="s">
        <v>132</v>
      </c>
      <c r="H887" s="10444" t="s">
        <v>159</v>
      </c>
      <c r="I887" s="10444" t="s">
        <v>6039</v>
      </c>
      <c r="J887" s="10444" t="s">
        <v>6040</v>
      </c>
      <c r="K887" s="10444" t="s">
        <v>6022</v>
      </c>
      <c r="L887" s="11133">
        <v>0</v>
      </c>
      <c r="M887" s="11133">
        <v>1</v>
      </c>
      <c r="N887" s="11133">
        <v>0</v>
      </c>
      <c r="O887" s="10444" t="s">
        <v>6041</v>
      </c>
      <c r="P887" s="10444" t="s">
        <v>6042</v>
      </c>
      <c r="Q887" s="10449" t="s">
        <v>6162</v>
      </c>
      <c r="R887" s="5458"/>
      <c r="S887" s="3623"/>
      <c r="T887" s="3623"/>
      <c r="U887" s="4312"/>
      <c r="V887" s="4313"/>
      <c r="W887" s="3623"/>
      <c r="X887" s="5560"/>
      <c r="Y887" s="5560"/>
      <c r="Z887" s="5560"/>
      <c r="AA887" s="5561"/>
      <c r="AB887" s="5586"/>
      <c r="AC887" s="4314"/>
      <c r="AD887" s="3658"/>
      <c r="AE887" s="5623"/>
      <c r="AF887" s="5623"/>
      <c r="AG887" s="10525"/>
    </row>
    <row r="888" spans="1:33" ht="18" customHeight="1">
      <c r="A888" s="11139"/>
      <c r="B888" s="11136"/>
      <c r="C888" s="11124"/>
      <c r="D888" s="11124"/>
      <c r="E888" s="11124"/>
      <c r="F888" s="11124"/>
      <c r="G888" s="11124"/>
      <c r="H888" s="11124"/>
      <c r="I888" s="11124"/>
      <c r="J888" s="11124"/>
      <c r="K888" s="11124"/>
      <c r="L888" s="11131"/>
      <c r="M888" s="11131"/>
      <c r="N888" s="11131"/>
      <c r="O888" s="11124"/>
      <c r="P888" s="11124"/>
      <c r="Q888" s="11127"/>
      <c r="R888" s="5446"/>
      <c r="S888" s="3579"/>
      <c r="T888" s="3579"/>
      <c r="U888" s="3578"/>
      <c r="V888" s="4315"/>
      <c r="W888" s="3579"/>
      <c r="X888" s="5552"/>
      <c r="Y888" s="5552"/>
      <c r="Z888" s="5552"/>
      <c r="AA888" s="5553"/>
      <c r="AB888" s="5581"/>
      <c r="AC888" s="4316"/>
      <c r="AD888" s="3496"/>
      <c r="AE888" s="5610"/>
      <c r="AF888" s="5610"/>
      <c r="AG888" s="11115"/>
    </row>
    <row r="889" spans="1:33" ht="18" customHeight="1">
      <c r="A889" s="11139"/>
      <c r="B889" s="11136"/>
      <c r="C889" s="11124"/>
      <c r="D889" s="11124"/>
      <c r="E889" s="11124"/>
      <c r="F889" s="11124"/>
      <c r="G889" s="11124"/>
      <c r="H889" s="11124"/>
      <c r="I889" s="11124"/>
      <c r="J889" s="11124"/>
      <c r="K889" s="11124"/>
      <c r="L889" s="11131"/>
      <c r="M889" s="11131"/>
      <c r="N889" s="11131"/>
      <c r="O889" s="11124"/>
      <c r="P889" s="11124"/>
      <c r="Q889" s="11127"/>
      <c r="R889" s="5446"/>
      <c r="S889" s="3579"/>
      <c r="T889" s="3579"/>
      <c r="U889" s="3578"/>
      <c r="V889" s="4315"/>
      <c r="W889" s="3579"/>
      <c r="X889" s="5552"/>
      <c r="Y889" s="5552"/>
      <c r="Z889" s="5552"/>
      <c r="AA889" s="5553"/>
      <c r="AB889" s="5581"/>
      <c r="AC889" s="4316"/>
      <c r="AD889" s="3496"/>
      <c r="AE889" s="5610"/>
      <c r="AF889" s="5610"/>
      <c r="AG889" s="11115"/>
    </row>
    <row r="890" spans="1:33" ht="18" customHeight="1">
      <c r="A890" s="11139"/>
      <c r="B890" s="11136"/>
      <c r="C890" s="11124"/>
      <c r="D890" s="11124"/>
      <c r="E890" s="11124"/>
      <c r="F890" s="11124"/>
      <c r="G890" s="11124"/>
      <c r="H890" s="11124"/>
      <c r="I890" s="11124"/>
      <c r="J890" s="11124"/>
      <c r="K890" s="11124"/>
      <c r="L890" s="11131"/>
      <c r="M890" s="11131"/>
      <c r="N890" s="11131"/>
      <c r="O890" s="11124"/>
      <c r="P890" s="11124"/>
      <c r="Q890" s="11127"/>
      <c r="R890" s="5446"/>
      <c r="S890" s="3579"/>
      <c r="T890" s="3579"/>
      <c r="U890" s="3578"/>
      <c r="V890" s="4315"/>
      <c r="W890" s="3579"/>
      <c r="X890" s="5552"/>
      <c r="Y890" s="5552"/>
      <c r="Z890" s="5552"/>
      <c r="AA890" s="5553"/>
      <c r="AB890" s="5581"/>
      <c r="AC890" s="4316"/>
      <c r="AD890" s="3496"/>
      <c r="AE890" s="5610"/>
      <c r="AF890" s="5610"/>
      <c r="AG890" s="11115"/>
    </row>
    <row r="891" spans="1:33" ht="18" customHeight="1">
      <c r="A891" s="11139"/>
      <c r="B891" s="11137"/>
      <c r="C891" s="11125"/>
      <c r="D891" s="11125"/>
      <c r="E891" s="11125"/>
      <c r="F891" s="11125"/>
      <c r="G891" s="11125"/>
      <c r="H891" s="11125"/>
      <c r="I891" s="11125"/>
      <c r="J891" s="11125"/>
      <c r="K891" s="11125"/>
      <c r="L891" s="11134"/>
      <c r="M891" s="11134"/>
      <c r="N891" s="11134"/>
      <c r="O891" s="11125"/>
      <c r="P891" s="11125"/>
      <c r="Q891" s="11135"/>
      <c r="R891" s="5448"/>
      <c r="S891" s="3617"/>
      <c r="T891" s="3617"/>
      <c r="U891" s="3616"/>
      <c r="V891" s="4319"/>
      <c r="W891" s="3617"/>
      <c r="X891" s="5554"/>
      <c r="Y891" s="5554"/>
      <c r="Z891" s="5554"/>
      <c r="AA891" s="5555"/>
      <c r="AB891" s="5592"/>
      <c r="AC891" s="4320"/>
      <c r="AD891" s="3714"/>
      <c r="AE891" s="5624"/>
      <c r="AF891" s="5624"/>
      <c r="AG891" s="11116"/>
    </row>
    <row r="892" spans="1:33" ht="18" customHeight="1">
      <c r="A892" s="11139"/>
      <c r="B892" s="10516" t="s">
        <v>183</v>
      </c>
      <c r="C892" s="10433" t="s">
        <v>227</v>
      </c>
      <c r="D892" s="10433" t="s">
        <v>228</v>
      </c>
      <c r="E892" s="10433" t="s">
        <v>229</v>
      </c>
      <c r="F892" s="10442" t="s">
        <v>230</v>
      </c>
      <c r="G892" s="10433" t="s">
        <v>132</v>
      </c>
      <c r="H892" s="10433" t="s">
        <v>159</v>
      </c>
      <c r="I892" s="10433" t="s">
        <v>6043</v>
      </c>
      <c r="J892" s="10433" t="s">
        <v>6044</v>
      </c>
      <c r="K892" s="10433" t="s">
        <v>5882</v>
      </c>
      <c r="L892" s="11130">
        <v>2</v>
      </c>
      <c r="M892" s="11130">
        <v>0</v>
      </c>
      <c r="N892" s="11130">
        <v>2</v>
      </c>
      <c r="O892" s="10433" t="s">
        <v>6045</v>
      </c>
      <c r="P892" s="10433" t="s">
        <v>6046</v>
      </c>
      <c r="Q892" s="10439" t="s">
        <v>6162</v>
      </c>
      <c r="R892" s="5452"/>
      <c r="S892" s="3598"/>
      <c r="T892" s="3598"/>
      <c r="U892" s="4344"/>
      <c r="V892" s="4337"/>
      <c r="W892" s="3598"/>
      <c r="X892" s="5556"/>
      <c r="Y892" s="5556"/>
      <c r="Z892" s="5556"/>
      <c r="AA892" s="5557"/>
      <c r="AB892" s="5584"/>
      <c r="AC892" s="4338"/>
      <c r="AD892" s="3709"/>
      <c r="AE892" s="5626"/>
      <c r="AF892" s="5626"/>
      <c r="AG892" s="10525"/>
    </row>
    <row r="893" spans="1:33" ht="18" customHeight="1">
      <c r="A893" s="11139"/>
      <c r="B893" s="11136"/>
      <c r="C893" s="11124"/>
      <c r="D893" s="11124"/>
      <c r="E893" s="11124"/>
      <c r="F893" s="11124"/>
      <c r="G893" s="11124"/>
      <c r="H893" s="11124"/>
      <c r="I893" s="11124"/>
      <c r="J893" s="11124"/>
      <c r="K893" s="11124"/>
      <c r="L893" s="11131"/>
      <c r="M893" s="11131"/>
      <c r="N893" s="11131"/>
      <c r="O893" s="11124"/>
      <c r="P893" s="11124"/>
      <c r="Q893" s="11127"/>
      <c r="R893" s="5446"/>
      <c r="S893" s="3579"/>
      <c r="T893" s="3579"/>
      <c r="U893" s="3578"/>
      <c r="V893" s="4315"/>
      <c r="W893" s="3579"/>
      <c r="X893" s="5552"/>
      <c r="Y893" s="5552"/>
      <c r="Z893" s="5552"/>
      <c r="AA893" s="5553"/>
      <c r="AB893" s="5581"/>
      <c r="AC893" s="4316"/>
      <c r="AD893" s="3496"/>
      <c r="AE893" s="5610"/>
      <c r="AF893" s="5610"/>
      <c r="AG893" s="11115"/>
    </row>
    <row r="894" spans="1:33" ht="18" customHeight="1">
      <c r="A894" s="11139"/>
      <c r="B894" s="11136"/>
      <c r="C894" s="11124"/>
      <c r="D894" s="11124"/>
      <c r="E894" s="11124"/>
      <c r="F894" s="11124"/>
      <c r="G894" s="11124"/>
      <c r="H894" s="11124"/>
      <c r="I894" s="11124"/>
      <c r="J894" s="11124"/>
      <c r="K894" s="11124"/>
      <c r="L894" s="11131"/>
      <c r="M894" s="11131"/>
      <c r="N894" s="11131"/>
      <c r="O894" s="11124"/>
      <c r="P894" s="11124"/>
      <c r="Q894" s="11127"/>
      <c r="R894" s="5446"/>
      <c r="S894" s="3579"/>
      <c r="T894" s="3579"/>
      <c r="U894" s="3578"/>
      <c r="V894" s="4315"/>
      <c r="W894" s="3579"/>
      <c r="X894" s="5552"/>
      <c r="Y894" s="5552"/>
      <c r="Z894" s="5552"/>
      <c r="AA894" s="5553"/>
      <c r="AB894" s="5581"/>
      <c r="AC894" s="4316"/>
      <c r="AD894" s="3496"/>
      <c r="AE894" s="5610"/>
      <c r="AF894" s="5610"/>
      <c r="AG894" s="11115"/>
    </row>
    <row r="895" spans="1:33" ht="18" customHeight="1">
      <c r="A895" s="11139"/>
      <c r="B895" s="11136"/>
      <c r="C895" s="11124"/>
      <c r="D895" s="11124"/>
      <c r="E895" s="11124"/>
      <c r="F895" s="11124"/>
      <c r="G895" s="11124"/>
      <c r="H895" s="11124"/>
      <c r="I895" s="11124"/>
      <c r="J895" s="11124"/>
      <c r="K895" s="11124"/>
      <c r="L895" s="11131"/>
      <c r="M895" s="11131"/>
      <c r="N895" s="11131"/>
      <c r="O895" s="11124"/>
      <c r="P895" s="11124"/>
      <c r="Q895" s="11127"/>
      <c r="R895" s="5446"/>
      <c r="S895" s="3579"/>
      <c r="T895" s="3579"/>
      <c r="U895" s="3578"/>
      <c r="V895" s="4315"/>
      <c r="W895" s="3579"/>
      <c r="X895" s="5552"/>
      <c r="Y895" s="5552"/>
      <c r="Z895" s="5552"/>
      <c r="AA895" s="5553"/>
      <c r="AB895" s="5581"/>
      <c r="AC895" s="4316"/>
      <c r="AD895" s="3496"/>
      <c r="AE895" s="5610"/>
      <c r="AF895" s="5610"/>
      <c r="AG895" s="11115"/>
    </row>
    <row r="896" spans="1:33" ht="18" customHeight="1">
      <c r="A896" s="11139"/>
      <c r="B896" s="11138"/>
      <c r="C896" s="11126"/>
      <c r="D896" s="11126"/>
      <c r="E896" s="11126"/>
      <c r="F896" s="11126"/>
      <c r="G896" s="11126"/>
      <c r="H896" s="11126"/>
      <c r="I896" s="11126"/>
      <c r="J896" s="11126"/>
      <c r="K896" s="11126"/>
      <c r="L896" s="11132"/>
      <c r="M896" s="11132"/>
      <c r="N896" s="11132"/>
      <c r="O896" s="11126"/>
      <c r="P896" s="11126"/>
      <c r="Q896" s="11128"/>
      <c r="R896" s="5450"/>
      <c r="S896" s="3606"/>
      <c r="T896" s="3606"/>
      <c r="U896" s="3605"/>
      <c r="V896" s="4317"/>
      <c r="W896" s="3606"/>
      <c r="X896" s="5558"/>
      <c r="Y896" s="5558"/>
      <c r="Z896" s="5558"/>
      <c r="AA896" s="5559"/>
      <c r="AB896" s="5585"/>
      <c r="AC896" s="4318"/>
      <c r="AD896" s="3545"/>
      <c r="AE896" s="5625"/>
      <c r="AF896" s="5625"/>
      <c r="AG896" s="11116"/>
    </row>
    <row r="897" spans="1:33" ht="18" customHeight="1">
      <c r="A897" s="11139"/>
      <c r="B897" s="10512" t="s">
        <v>183</v>
      </c>
      <c r="C897" s="10444" t="s">
        <v>227</v>
      </c>
      <c r="D897" s="10444" t="s">
        <v>228</v>
      </c>
      <c r="E897" s="10444" t="s">
        <v>229</v>
      </c>
      <c r="F897" s="10451" t="s">
        <v>230</v>
      </c>
      <c r="G897" s="10444" t="s">
        <v>132</v>
      </c>
      <c r="H897" s="10444" t="s">
        <v>159</v>
      </c>
      <c r="I897" s="10444" t="s">
        <v>6047</v>
      </c>
      <c r="J897" s="10444" t="s">
        <v>6048</v>
      </c>
      <c r="K897" s="10444" t="s">
        <v>6049</v>
      </c>
      <c r="L897" s="11133">
        <v>4</v>
      </c>
      <c r="M897" s="11133">
        <v>4</v>
      </c>
      <c r="N897" s="11133">
        <v>4</v>
      </c>
      <c r="O897" s="10444" t="s">
        <v>6050</v>
      </c>
      <c r="P897" s="10444" t="s">
        <v>6051</v>
      </c>
      <c r="Q897" s="10449" t="s">
        <v>6164</v>
      </c>
      <c r="R897" s="5458"/>
      <c r="S897" s="3623"/>
      <c r="T897" s="3623"/>
      <c r="U897" s="4312"/>
      <c r="V897" s="4313"/>
      <c r="W897" s="3623"/>
      <c r="X897" s="5560"/>
      <c r="Y897" s="5560"/>
      <c r="Z897" s="5560"/>
      <c r="AA897" s="5561"/>
      <c r="AB897" s="5586"/>
      <c r="AC897" s="4314"/>
      <c r="AD897" s="3658"/>
      <c r="AE897" s="5623"/>
      <c r="AF897" s="5623"/>
      <c r="AG897" s="10525"/>
    </row>
    <row r="898" spans="1:33" ht="18" customHeight="1">
      <c r="A898" s="11139"/>
      <c r="B898" s="11136"/>
      <c r="C898" s="11124"/>
      <c r="D898" s="11124"/>
      <c r="E898" s="11124"/>
      <c r="F898" s="11124"/>
      <c r="G898" s="11124"/>
      <c r="H898" s="11124"/>
      <c r="I898" s="11124"/>
      <c r="J898" s="11124"/>
      <c r="K898" s="11124"/>
      <c r="L898" s="11131"/>
      <c r="M898" s="11131"/>
      <c r="N898" s="11131"/>
      <c r="O898" s="11124"/>
      <c r="P898" s="11124"/>
      <c r="Q898" s="11127"/>
      <c r="R898" s="5446"/>
      <c r="S898" s="3579"/>
      <c r="T898" s="3579"/>
      <c r="U898" s="3578"/>
      <c r="V898" s="4315"/>
      <c r="W898" s="3579"/>
      <c r="X898" s="5552"/>
      <c r="Y898" s="5552"/>
      <c r="Z898" s="5552"/>
      <c r="AA898" s="5553"/>
      <c r="AB898" s="5581"/>
      <c r="AC898" s="4316"/>
      <c r="AD898" s="3496"/>
      <c r="AE898" s="5610"/>
      <c r="AF898" s="5610"/>
      <c r="AG898" s="11115"/>
    </row>
    <row r="899" spans="1:33" ht="18" customHeight="1">
      <c r="A899" s="11139"/>
      <c r="B899" s="11136"/>
      <c r="C899" s="11124"/>
      <c r="D899" s="11124"/>
      <c r="E899" s="11124"/>
      <c r="F899" s="11124"/>
      <c r="G899" s="11124"/>
      <c r="H899" s="11124"/>
      <c r="I899" s="11124"/>
      <c r="J899" s="11124"/>
      <c r="K899" s="11124"/>
      <c r="L899" s="11131"/>
      <c r="M899" s="11131"/>
      <c r="N899" s="11131"/>
      <c r="O899" s="11124"/>
      <c r="P899" s="11124"/>
      <c r="Q899" s="11127"/>
      <c r="R899" s="5446"/>
      <c r="S899" s="3579"/>
      <c r="T899" s="3579"/>
      <c r="U899" s="3578"/>
      <c r="V899" s="4315"/>
      <c r="W899" s="3579"/>
      <c r="X899" s="5552"/>
      <c r="Y899" s="5552"/>
      <c r="Z899" s="5552"/>
      <c r="AA899" s="5553"/>
      <c r="AB899" s="5581"/>
      <c r="AC899" s="4316"/>
      <c r="AD899" s="3496"/>
      <c r="AE899" s="5610"/>
      <c r="AF899" s="5610"/>
      <c r="AG899" s="11115"/>
    </row>
    <row r="900" spans="1:33" ht="18" customHeight="1">
      <c r="A900" s="11139"/>
      <c r="B900" s="11136"/>
      <c r="C900" s="11124"/>
      <c r="D900" s="11124"/>
      <c r="E900" s="11124"/>
      <c r="F900" s="11124"/>
      <c r="G900" s="11124"/>
      <c r="H900" s="11124"/>
      <c r="I900" s="11124"/>
      <c r="J900" s="11124"/>
      <c r="K900" s="11124"/>
      <c r="L900" s="11131"/>
      <c r="M900" s="11131"/>
      <c r="N900" s="11131"/>
      <c r="O900" s="11124"/>
      <c r="P900" s="11124"/>
      <c r="Q900" s="11127"/>
      <c r="R900" s="5446"/>
      <c r="S900" s="3579"/>
      <c r="T900" s="3579"/>
      <c r="U900" s="3578"/>
      <c r="V900" s="4315"/>
      <c r="W900" s="3579"/>
      <c r="X900" s="5552"/>
      <c r="Y900" s="5552"/>
      <c r="Z900" s="5552"/>
      <c r="AA900" s="5553"/>
      <c r="AB900" s="5581"/>
      <c r="AC900" s="4316"/>
      <c r="AD900" s="3496"/>
      <c r="AE900" s="5610"/>
      <c r="AF900" s="5610"/>
      <c r="AG900" s="11115"/>
    </row>
    <row r="901" spans="1:33" ht="18" customHeight="1">
      <c r="A901" s="11139"/>
      <c r="B901" s="11137"/>
      <c r="C901" s="11125"/>
      <c r="D901" s="11125"/>
      <c r="E901" s="11125"/>
      <c r="F901" s="11125"/>
      <c r="G901" s="11125"/>
      <c r="H901" s="11125"/>
      <c r="I901" s="11125"/>
      <c r="J901" s="11125"/>
      <c r="K901" s="11125"/>
      <c r="L901" s="11134"/>
      <c r="M901" s="11134"/>
      <c r="N901" s="11134"/>
      <c r="O901" s="11125"/>
      <c r="P901" s="11125"/>
      <c r="Q901" s="11135"/>
      <c r="R901" s="5448"/>
      <c r="S901" s="3617"/>
      <c r="T901" s="3617"/>
      <c r="U901" s="3616"/>
      <c r="V901" s="4319"/>
      <c r="W901" s="3617"/>
      <c r="X901" s="5554"/>
      <c r="Y901" s="5554"/>
      <c r="Z901" s="5554"/>
      <c r="AA901" s="5555"/>
      <c r="AB901" s="5592"/>
      <c r="AC901" s="4320"/>
      <c r="AD901" s="3714"/>
      <c r="AE901" s="5624"/>
      <c r="AF901" s="5624"/>
      <c r="AG901" s="11116"/>
    </row>
    <row r="902" spans="1:33" ht="18" customHeight="1">
      <c r="A902" s="11139"/>
      <c r="B902" s="10516" t="s">
        <v>183</v>
      </c>
      <c r="C902" s="10433" t="s">
        <v>227</v>
      </c>
      <c r="D902" s="10433" t="s">
        <v>228</v>
      </c>
      <c r="E902" s="10433" t="s">
        <v>229</v>
      </c>
      <c r="F902" s="10442" t="s">
        <v>230</v>
      </c>
      <c r="G902" s="10433" t="s">
        <v>132</v>
      </c>
      <c r="H902" s="10433" t="s">
        <v>159</v>
      </c>
      <c r="I902" s="10433" t="s">
        <v>6053</v>
      </c>
      <c r="J902" s="10433" t="s">
        <v>6054</v>
      </c>
      <c r="K902" s="10433" t="s">
        <v>6022</v>
      </c>
      <c r="L902" s="11130">
        <v>1</v>
      </c>
      <c r="M902" s="11130">
        <v>1</v>
      </c>
      <c r="N902" s="11130">
        <v>1</v>
      </c>
      <c r="O902" s="10433" t="s">
        <v>6055</v>
      </c>
      <c r="P902" s="10433" t="s">
        <v>6056</v>
      </c>
      <c r="Q902" s="10439" t="s">
        <v>6164</v>
      </c>
      <c r="R902" s="5452"/>
      <c r="S902" s="3598"/>
      <c r="T902" s="3598"/>
      <c r="U902" s="4344"/>
      <c r="V902" s="4337"/>
      <c r="W902" s="3598"/>
      <c r="X902" s="5556"/>
      <c r="Y902" s="5556"/>
      <c r="Z902" s="5556"/>
      <c r="AA902" s="5557"/>
      <c r="AB902" s="5584"/>
      <c r="AC902" s="4338"/>
      <c r="AD902" s="3709"/>
      <c r="AE902" s="5626"/>
      <c r="AF902" s="5626"/>
      <c r="AG902" s="10525"/>
    </row>
    <row r="903" spans="1:33" ht="18" customHeight="1">
      <c r="A903" s="11139"/>
      <c r="B903" s="11136"/>
      <c r="C903" s="11124"/>
      <c r="D903" s="11124"/>
      <c r="E903" s="11124"/>
      <c r="F903" s="11124"/>
      <c r="G903" s="11124"/>
      <c r="H903" s="11124"/>
      <c r="I903" s="11124"/>
      <c r="J903" s="11124"/>
      <c r="K903" s="11124"/>
      <c r="L903" s="11131"/>
      <c r="M903" s="11131"/>
      <c r="N903" s="11131"/>
      <c r="O903" s="11124"/>
      <c r="P903" s="11124"/>
      <c r="Q903" s="11127"/>
      <c r="R903" s="5446"/>
      <c r="S903" s="3579"/>
      <c r="T903" s="3579"/>
      <c r="U903" s="3578"/>
      <c r="V903" s="4315"/>
      <c r="W903" s="3579"/>
      <c r="X903" s="5552"/>
      <c r="Y903" s="5552"/>
      <c r="Z903" s="5552"/>
      <c r="AA903" s="5553"/>
      <c r="AB903" s="5581"/>
      <c r="AC903" s="4316"/>
      <c r="AD903" s="3496"/>
      <c r="AE903" s="5610"/>
      <c r="AF903" s="5610"/>
      <c r="AG903" s="11115"/>
    </row>
    <row r="904" spans="1:33" ht="18" customHeight="1">
      <c r="A904" s="11139"/>
      <c r="B904" s="11136"/>
      <c r="C904" s="11124"/>
      <c r="D904" s="11124"/>
      <c r="E904" s="11124"/>
      <c r="F904" s="11124"/>
      <c r="G904" s="11124"/>
      <c r="H904" s="11124"/>
      <c r="I904" s="11124"/>
      <c r="J904" s="11124"/>
      <c r="K904" s="11124"/>
      <c r="L904" s="11131"/>
      <c r="M904" s="11131"/>
      <c r="N904" s="11131"/>
      <c r="O904" s="11124"/>
      <c r="P904" s="11124"/>
      <c r="Q904" s="11127"/>
      <c r="R904" s="5446"/>
      <c r="S904" s="3579"/>
      <c r="T904" s="3579"/>
      <c r="U904" s="3578"/>
      <c r="V904" s="4315"/>
      <c r="W904" s="3579"/>
      <c r="X904" s="5552"/>
      <c r="Y904" s="5552"/>
      <c r="Z904" s="5552"/>
      <c r="AA904" s="5553"/>
      <c r="AB904" s="5581"/>
      <c r="AC904" s="4316"/>
      <c r="AD904" s="3496"/>
      <c r="AE904" s="5610"/>
      <c r="AF904" s="5610"/>
      <c r="AG904" s="11115"/>
    </row>
    <row r="905" spans="1:33" ht="18" customHeight="1">
      <c r="A905" s="11139"/>
      <c r="B905" s="11136"/>
      <c r="C905" s="11124"/>
      <c r="D905" s="11124"/>
      <c r="E905" s="11124"/>
      <c r="F905" s="11124"/>
      <c r="G905" s="11124"/>
      <c r="H905" s="11124"/>
      <c r="I905" s="11124"/>
      <c r="J905" s="11124"/>
      <c r="K905" s="11124"/>
      <c r="L905" s="11131"/>
      <c r="M905" s="11131"/>
      <c r="N905" s="11131"/>
      <c r="O905" s="11124"/>
      <c r="P905" s="11124"/>
      <c r="Q905" s="11127"/>
      <c r="R905" s="5446"/>
      <c r="S905" s="3579"/>
      <c r="T905" s="3579"/>
      <c r="U905" s="3578"/>
      <c r="V905" s="4315"/>
      <c r="W905" s="3579"/>
      <c r="X905" s="5552"/>
      <c r="Y905" s="5552"/>
      <c r="Z905" s="5552"/>
      <c r="AA905" s="5553"/>
      <c r="AB905" s="5581"/>
      <c r="AC905" s="4316"/>
      <c r="AD905" s="3496"/>
      <c r="AE905" s="5610"/>
      <c r="AF905" s="5610"/>
      <c r="AG905" s="11115"/>
    </row>
    <row r="906" spans="1:33" ht="18" customHeight="1">
      <c r="A906" s="11139"/>
      <c r="B906" s="11138"/>
      <c r="C906" s="11126"/>
      <c r="D906" s="11126"/>
      <c r="E906" s="11126"/>
      <c r="F906" s="11126"/>
      <c r="G906" s="11126"/>
      <c r="H906" s="11126"/>
      <c r="I906" s="11126"/>
      <c r="J906" s="11126"/>
      <c r="K906" s="11126"/>
      <c r="L906" s="11132"/>
      <c r="M906" s="11132"/>
      <c r="N906" s="11132"/>
      <c r="O906" s="11126"/>
      <c r="P906" s="11126"/>
      <c r="Q906" s="11128"/>
      <c r="R906" s="5450"/>
      <c r="S906" s="3606"/>
      <c r="T906" s="3606"/>
      <c r="U906" s="3605"/>
      <c r="V906" s="4317"/>
      <c r="W906" s="3606"/>
      <c r="X906" s="5558"/>
      <c r="Y906" s="5558"/>
      <c r="Z906" s="5558"/>
      <c r="AA906" s="5559"/>
      <c r="AB906" s="5585"/>
      <c r="AC906" s="4318"/>
      <c r="AD906" s="3545"/>
      <c r="AE906" s="5625"/>
      <c r="AF906" s="5625"/>
      <c r="AG906" s="11116"/>
    </row>
    <row r="907" spans="1:33" ht="18" customHeight="1">
      <c r="A907" s="11139"/>
      <c r="B907" s="10512" t="s">
        <v>183</v>
      </c>
      <c r="C907" s="10444" t="s">
        <v>227</v>
      </c>
      <c r="D907" s="10444" t="s">
        <v>228</v>
      </c>
      <c r="E907" s="10444" t="s">
        <v>229</v>
      </c>
      <c r="F907" s="10451" t="s">
        <v>230</v>
      </c>
      <c r="G907" s="10444" t="s">
        <v>132</v>
      </c>
      <c r="H907" s="10444" t="s">
        <v>159</v>
      </c>
      <c r="I907" s="10444" t="s">
        <v>6057</v>
      </c>
      <c r="J907" s="10444" t="s">
        <v>6058</v>
      </c>
      <c r="K907" s="10444" t="s">
        <v>6049</v>
      </c>
      <c r="L907" s="11133">
        <v>0</v>
      </c>
      <c r="M907" s="11133">
        <v>1</v>
      </c>
      <c r="N907" s="11133">
        <v>1</v>
      </c>
      <c r="O907" s="10444" t="s">
        <v>6059</v>
      </c>
      <c r="P907" s="10444" t="s">
        <v>6060</v>
      </c>
      <c r="Q907" s="10449" t="s">
        <v>6164</v>
      </c>
      <c r="R907" s="5458"/>
      <c r="S907" s="3623"/>
      <c r="T907" s="3623"/>
      <c r="U907" s="4312"/>
      <c r="V907" s="4313"/>
      <c r="W907" s="3623"/>
      <c r="X907" s="5560"/>
      <c r="Y907" s="5560"/>
      <c r="Z907" s="5560"/>
      <c r="AA907" s="5561"/>
      <c r="AB907" s="5586"/>
      <c r="AC907" s="4314"/>
      <c r="AD907" s="3658"/>
      <c r="AE907" s="5623"/>
      <c r="AF907" s="5623"/>
      <c r="AG907" s="10525"/>
    </row>
    <row r="908" spans="1:33" ht="18" customHeight="1">
      <c r="A908" s="11139"/>
      <c r="B908" s="11136"/>
      <c r="C908" s="11124"/>
      <c r="D908" s="11124"/>
      <c r="E908" s="11124"/>
      <c r="F908" s="11124"/>
      <c r="G908" s="11124"/>
      <c r="H908" s="11124"/>
      <c r="I908" s="11124"/>
      <c r="J908" s="11124"/>
      <c r="K908" s="11124"/>
      <c r="L908" s="11131"/>
      <c r="M908" s="11131"/>
      <c r="N908" s="11131"/>
      <c r="O908" s="11124"/>
      <c r="P908" s="11124"/>
      <c r="Q908" s="11127"/>
      <c r="R908" s="5446"/>
      <c r="S908" s="3579"/>
      <c r="T908" s="3579"/>
      <c r="U908" s="3578"/>
      <c r="V908" s="4315"/>
      <c r="W908" s="3579"/>
      <c r="X908" s="5552"/>
      <c r="Y908" s="5552"/>
      <c r="Z908" s="5552"/>
      <c r="AA908" s="5553"/>
      <c r="AB908" s="5581"/>
      <c r="AC908" s="4316"/>
      <c r="AD908" s="3496"/>
      <c r="AE908" s="5610"/>
      <c r="AF908" s="5610"/>
      <c r="AG908" s="11115"/>
    </row>
    <row r="909" spans="1:33" ht="18" customHeight="1">
      <c r="A909" s="11139"/>
      <c r="B909" s="11136"/>
      <c r="C909" s="11124"/>
      <c r="D909" s="11124"/>
      <c r="E909" s="11124"/>
      <c r="F909" s="11124"/>
      <c r="G909" s="11124"/>
      <c r="H909" s="11124"/>
      <c r="I909" s="11124"/>
      <c r="J909" s="11124"/>
      <c r="K909" s="11124"/>
      <c r="L909" s="11131"/>
      <c r="M909" s="11131"/>
      <c r="N909" s="11131"/>
      <c r="O909" s="11124"/>
      <c r="P909" s="11124"/>
      <c r="Q909" s="11127"/>
      <c r="R909" s="5446"/>
      <c r="S909" s="3579"/>
      <c r="T909" s="3579"/>
      <c r="U909" s="3578"/>
      <c r="V909" s="4315"/>
      <c r="W909" s="3579"/>
      <c r="X909" s="5552"/>
      <c r="Y909" s="5552"/>
      <c r="Z909" s="5552"/>
      <c r="AA909" s="5553"/>
      <c r="AB909" s="5581"/>
      <c r="AC909" s="4316"/>
      <c r="AD909" s="3496"/>
      <c r="AE909" s="5610"/>
      <c r="AF909" s="5610"/>
      <c r="AG909" s="11115"/>
    </row>
    <row r="910" spans="1:33" ht="18" customHeight="1">
      <c r="A910" s="11139"/>
      <c r="B910" s="11136"/>
      <c r="C910" s="11124"/>
      <c r="D910" s="11124"/>
      <c r="E910" s="11124"/>
      <c r="F910" s="11124"/>
      <c r="G910" s="11124"/>
      <c r="H910" s="11124"/>
      <c r="I910" s="11124"/>
      <c r="J910" s="11124"/>
      <c r="K910" s="11124"/>
      <c r="L910" s="11131"/>
      <c r="M910" s="11131"/>
      <c r="N910" s="11131"/>
      <c r="O910" s="11124"/>
      <c r="P910" s="11124"/>
      <c r="Q910" s="11127"/>
      <c r="R910" s="5446"/>
      <c r="S910" s="3579"/>
      <c r="T910" s="3579"/>
      <c r="U910" s="3578"/>
      <c r="V910" s="4315"/>
      <c r="W910" s="3579"/>
      <c r="X910" s="5552"/>
      <c r="Y910" s="5552"/>
      <c r="Z910" s="5552"/>
      <c r="AA910" s="5553"/>
      <c r="AB910" s="5581"/>
      <c r="AC910" s="4316"/>
      <c r="AD910" s="3496"/>
      <c r="AE910" s="5610"/>
      <c r="AF910" s="5610"/>
      <c r="AG910" s="11115"/>
    </row>
    <row r="911" spans="1:33" ht="18" customHeight="1">
      <c r="A911" s="11139"/>
      <c r="B911" s="11137"/>
      <c r="C911" s="11125"/>
      <c r="D911" s="11125"/>
      <c r="E911" s="11125"/>
      <c r="F911" s="11125"/>
      <c r="G911" s="11125"/>
      <c r="H911" s="11125"/>
      <c r="I911" s="11125"/>
      <c r="J911" s="11125"/>
      <c r="K911" s="11125"/>
      <c r="L911" s="11134"/>
      <c r="M911" s="11134"/>
      <c r="N911" s="11134"/>
      <c r="O911" s="11125"/>
      <c r="P911" s="11125"/>
      <c r="Q911" s="11135"/>
      <c r="R911" s="5448"/>
      <c r="S911" s="3617"/>
      <c r="T911" s="3617"/>
      <c r="U911" s="3616"/>
      <c r="V911" s="4319"/>
      <c r="W911" s="3617"/>
      <c r="X911" s="5554"/>
      <c r="Y911" s="5554"/>
      <c r="Z911" s="5554"/>
      <c r="AA911" s="5555"/>
      <c r="AB911" s="5592"/>
      <c r="AC911" s="4320"/>
      <c r="AD911" s="3714"/>
      <c r="AE911" s="5624"/>
      <c r="AF911" s="5624"/>
      <c r="AG911" s="11116"/>
    </row>
    <row r="912" spans="1:33" ht="18" customHeight="1">
      <c r="A912" s="11139"/>
      <c r="B912" s="10516" t="s">
        <v>127</v>
      </c>
      <c r="C912" s="10433" t="s">
        <v>128</v>
      </c>
      <c r="D912" s="10433" t="s">
        <v>129</v>
      </c>
      <c r="E912" s="10433" t="s">
        <v>157</v>
      </c>
      <c r="F912" s="10442" t="s">
        <v>131</v>
      </c>
      <c r="G912" s="10433" t="s">
        <v>132</v>
      </c>
      <c r="H912" s="10433" t="s">
        <v>159</v>
      </c>
      <c r="I912" s="10433" t="s">
        <v>6061</v>
      </c>
      <c r="J912" s="10433" t="s">
        <v>6062</v>
      </c>
      <c r="K912" s="10433" t="s">
        <v>6063</v>
      </c>
      <c r="L912" s="11130">
        <v>1</v>
      </c>
      <c r="M912" s="11130">
        <v>1</v>
      </c>
      <c r="N912" s="11130">
        <v>1</v>
      </c>
      <c r="O912" s="10433" t="s">
        <v>6064</v>
      </c>
      <c r="P912" s="10433" t="s">
        <v>6065</v>
      </c>
      <c r="Q912" s="10439" t="s">
        <v>6162</v>
      </c>
      <c r="R912" s="5452"/>
      <c r="S912" s="3598"/>
      <c r="T912" s="3598"/>
      <c r="U912" s="4344"/>
      <c r="V912" s="4337"/>
      <c r="W912" s="3598"/>
      <c r="X912" s="5556"/>
      <c r="Y912" s="5556"/>
      <c r="Z912" s="5556"/>
      <c r="AA912" s="5557"/>
      <c r="AB912" s="5584"/>
      <c r="AC912" s="4338"/>
      <c r="AD912" s="3709"/>
      <c r="AE912" s="5626"/>
      <c r="AF912" s="5626"/>
      <c r="AG912" s="10525"/>
    </row>
    <row r="913" spans="1:33" ht="18" customHeight="1">
      <c r="A913" s="11139"/>
      <c r="B913" s="11136"/>
      <c r="C913" s="11124"/>
      <c r="D913" s="11124"/>
      <c r="E913" s="11124"/>
      <c r="F913" s="11124"/>
      <c r="G913" s="11124"/>
      <c r="H913" s="11124"/>
      <c r="I913" s="11124"/>
      <c r="J913" s="11124"/>
      <c r="K913" s="11124"/>
      <c r="L913" s="11131"/>
      <c r="M913" s="11131"/>
      <c r="N913" s="11131"/>
      <c r="O913" s="11124"/>
      <c r="P913" s="11124"/>
      <c r="Q913" s="11127"/>
      <c r="R913" s="5446"/>
      <c r="S913" s="3579"/>
      <c r="T913" s="3579"/>
      <c r="U913" s="3578"/>
      <c r="V913" s="4315"/>
      <c r="W913" s="3579"/>
      <c r="X913" s="5552"/>
      <c r="Y913" s="5552"/>
      <c r="Z913" s="5552"/>
      <c r="AA913" s="5553"/>
      <c r="AB913" s="5581"/>
      <c r="AC913" s="4316"/>
      <c r="AD913" s="3496"/>
      <c r="AE913" s="5610"/>
      <c r="AF913" s="5610"/>
      <c r="AG913" s="11115"/>
    </row>
    <row r="914" spans="1:33" ht="18" customHeight="1">
      <c r="A914" s="11139"/>
      <c r="B914" s="11136"/>
      <c r="C914" s="11124"/>
      <c r="D914" s="11124"/>
      <c r="E914" s="11124"/>
      <c r="F914" s="11124"/>
      <c r="G914" s="11124"/>
      <c r="H914" s="11124"/>
      <c r="I914" s="11124"/>
      <c r="J914" s="11124"/>
      <c r="K914" s="11124"/>
      <c r="L914" s="11131"/>
      <c r="M914" s="11131"/>
      <c r="N914" s="11131"/>
      <c r="O914" s="11124"/>
      <c r="P914" s="11124"/>
      <c r="Q914" s="11127"/>
      <c r="R914" s="5446"/>
      <c r="S914" s="3579"/>
      <c r="T914" s="3579"/>
      <c r="U914" s="3578"/>
      <c r="V914" s="4315"/>
      <c r="W914" s="3579"/>
      <c r="X914" s="5552"/>
      <c r="Y914" s="5552"/>
      <c r="Z914" s="5552"/>
      <c r="AA914" s="5553"/>
      <c r="AB914" s="5581"/>
      <c r="AC914" s="4316"/>
      <c r="AD914" s="3496"/>
      <c r="AE914" s="5610"/>
      <c r="AF914" s="5610"/>
      <c r="AG914" s="11115"/>
    </row>
    <row r="915" spans="1:33" ht="18" customHeight="1">
      <c r="A915" s="11139"/>
      <c r="B915" s="11136"/>
      <c r="C915" s="11124"/>
      <c r="D915" s="11124"/>
      <c r="E915" s="11124"/>
      <c r="F915" s="11124"/>
      <c r="G915" s="11124"/>
      <c r="H915" s="11124"/>
      <c r="I915" s="11124"/>
      <c r="J915" s="11124"/>
      <c r="K915" s="11124"/>
      <c r="L915" s="11131"/>
      <c r="M915" s="11131"/>
      <c r="N915" s="11131"/>
      <c r="O915" s="11124"/>
      <c r="P915" s="11124"/>
      <c r="Q915" s="11127"/>
      <c r="R915" s="5446"/>
      <c r="S915" s="3579"/>
      <c r="T915" s="3579"/>
      <c r="U915" s="3578"/>
      <c r="V915" s="4315"/>
      <c r="W915" s="3579"/>
      <c r="X915" s="5552"/>
      <c r="Y915" s="5552"/>
      <c r="Z915" s="5552"/>
      <c r="AA915" s="5553"/>
      <c r="AB915" s="5581"/>
      <c r="AC915" s="4316"/>
      <c r="AD915" s="3496"/>
      <c r="AE915" s="5610"/>
      <c r="AF915" s="5610"/>
      <c r="AG915" s="11115"/>
    </row>
    <row r="916" spans="1:33" ht="18" customHeight="1">
      <c r="A916" s="11139"/>
      <c r="B916" s="11138"/>
      <c r="C916" s="11126"/>
      <c r="D916" s="11126"/>
      <c r="E916" s="11126"/>
      <c r="F916" s="11126"/>
      <c r="G916" s="11126"/>
      <c r="H916" s="11126"/>
      <c r="I916" s="11126"/>
      <c r="J916" s="11126"/>
      <c r="K916" s="11126"/>
      <c r="L916" s="11132"/>
      <c r="M916" s="11132"/>
      <c r="N916" s="11132"/>
      <c r="O916" s="11126"/>
      <c r="P916" s="11126"/>
      <c r="Q916" s="11128"/>
      <c r="R916" s="5450"/>
      <c r="S916" s="3606"/>
      <c r="T916" s="3606"/>
      <c r="U916" s="3605"/>
      <c r="V916" s="4317"/>
      <c r="W916" s="3606"/>
      <c r="X916" s="5558"/>
      <c r="Y916" s="5558"/>
      <c r="Z916" s="5558"/>
      <c r="AA916" s="5559"/>
      <c r="AB916" s="5585"/>
      <c r="AC916" s="4318"/>
      <c r="AD916" s="3545"/>
      <c r="AE916" s="5625"/>
      <c r="AF916" s="5625"/>
      <c r="AG916" s="11116"/>
    </row>
    <row r="917" spans="1:33" ht="18" customHeight="1">
      <c r="A917" s="11139"/>
      <c r="B917" s="10512" t="s">
        <v>183</v>
      </c>
      <c r="C917" s="10444" t="s">
        <v>227</v>
      </c>
      <c r="D917" s="10444" t="s">
        <v>228</v>
      </c>
      <c r="E917" s="10444" t="s">
        <v>229</v>
      </c>
      <c r="F917" s="10451" t="s">
        <v>230</v>
      </c>
      <c r="G917" s="10444" t="s">
        <v>132</v>
      </c>
      <c r="H917" s="10444" t="s">
        <v>159</v>
      </c>
      <c r="I917" s="10444" t="s">
        <v>6066</v>
      </c>
      <c r="J917" s="10444" t="s">
        <v>6067</v>
      </c>
      <c r="K917" s="10444" t="s">
        <v>5871</v>
      </c>
      <c r="L917" s="11133">
        <v>0</v>
      </c>
      <c r="M917" s="11133">
        <v>1</v>
      </c>
      <c r="N917" s="11133">
        <v>0</v>
      </c>
      <c r="O917" s="10444" t="s">
        <v>5872</v>
      </c>
      <c r="P917" s="10444" t="s">
        <v>5873</v>
      </c>
      <c r="Q917" s="10449" t="s">
        <v>6164</v>
      </c>
      <c r="R917" s="5458"/>
      <c r="S917" s="3623"/>
      <c r="T917" s="3623"/>
      <c r="U917" s="4312"/>
      <c r="V917" s="4313"/>
      <c r="W917" s="3623"/>
      <c r="X917" s="5560"/>
      <c r="Y917" s="5560"/>
      <c r="Z917" s="5560"/>
      <c r="AA917" s="5561"/>
      <c r="AB917" s="5586"/>
      <c r="AC917" s="4314"/>
      <c r="AD917" s="3658"/>
      <c r="AE917" s="5623"/>
      <c r="AF917" s="5623"/>
      <c r="AG917" s="10525"/>
    </row>
    <row r="918" spans="1:33" ht="18" customHeight="1">
      <c r="A918" s="11139"/>
      <c r="B918" s="11136"/>
      <c r="C918" s="11124"/>
      <c r="D918" s="11124"/>
      <c r="E918" s="11124"/>
      <c r="F918" s="11124"/>
      <c r="G918" s="11124"/>
      <c r="H918" s="11124"/>
      <c r="I918" s="11124"/>
      <c r="J918" s="11124"/>
      <c r="K918" s="11124"/>
      <c r="L918" s="11131"/>
      <c r="M918" s="11131"/>
      <c r="N918" s="11131"/>
      <c r="O918" s="11124"/>
      <c r="P918" s="11124"/>
      <c r="Q918" s="11127"/>
      <c r="R918" s="5446"/>
      <c r="S918" s="3579"/>
      <c r="T918" s="3579"/>
      <c r="U918" s="3578"/>
      <c r="V918" s="4315"/>
      <c r="W918" s="3579"/>
      <c r="X918" s="5552"/>
      <c r="Y918" s="5552"/>
      <c r="Z918" s="5552"/>
      <c r="AA918" s="5553"/>
      <c r="AB918" s="5581"/>
      <c r="AC918" s="4316"/>
      <c r="AD918" s="3496"/>
      <c r="AE918" s="5610"/>
      <c r="AF918" s="5610"/>
      <c r="AG918" s="11115"/>
    </row>
    <row r="919" spans="1:33" ht="18" customHeight="1">
      <c r="A919" s="11139"/>
      <c r="B919" s="11136"/>
      <c r="C919" s="11124"/>
      <c r="D919" s="11124"/>
      <c r="E919" s="11124"/>
      <c r="F919" s="11124"/>
      <c r="G919" s="11124"/>
      <c r="H919" s="11124"/>
      <c r="I919" s="11124"/>
      <c r="J919" s="11124"/>
      <c r="K919" s="11124"/>
      <c r="L919" s="11131"/>
      <c r="M919" s="11131"/>
      <c r="N919" s="11131"/>
      <c r="O919" s="11124"/>
      <c r="P919" s="11124"/>
      <c r="Q919" s="11127"/>
      <c r="R919" s="5446"/>
      <c r="S919" s="3579"/>
      <c r="T919" s="3579"/>
      <c r="U919" s="3578"/>
      <c r="V919" s="4315"/>
      <c r="W919" s="3579"/>
      <c r="X919" s="5552"/>
      <c r="Y919" s="5552"/>
      <c r="Z919" s="5552"/>
      <c r="AA919" s="5553"/>
      <c r="AB919" s="5581"/>
      <c r="AC919" s="4316"/>
      <c r="AD919" s="3496"/>
      <c r="AE919" s="5610"/>
      <c r="AF919" s="5610"/>
      <c r="AG919" s="11115"/>
    </row>
    <row r="920" spans="1:33" ht="18" customHeight="1">
      <c r="A920" s="11139"/>
      <c r="B920" s="11136"/>
      <c r="C920" s="11124"/>
      <c r="D920" s="11124"/>
      <c r="E920" s="11124"/>
      <c r="F920" s="11124"/>
      <c r="G920" s="11124"/>
      <c r="H920" s="11124"/>
      <c r="I920" s="11124"/>
      <c r="J920" s="11124"/>
      <c r="K920" s="11124"/>
      <c r="L920" s="11131"/>
      <c r="M920" s="11131"/>
      <c r="N920" s="11131"/>
      <c r="O920" s="11124"/>
      <c r="P920" s="11124"/>
      <c r="Q920" s="11127"/>
      <c r="R920" s="5446"/>
      <c r="S920" s="3579"/>
      <c r="T920" s="3579"/>
      <c r="U920" s="3578"/>
      <c r="V920" s="4315"/>
      <c r="W920" s="3579"/>
      <c r="X920" s="5552"/>
      <c r="Y920" s="5552"/>
      <c r="Z920" s="5552"/>
      <c r="AA920" s="5553"/>
      <c r="AB920" s="5581"/>
      <c r="AC920" s="4316"/>
      <c r="AD920" s="3496"/>
      <c r="AE920" s="5610"/>
      <c r="AF920" s="5610"/>
      <c r="AG920" s="11115"/>
    </row>
    <row r="921" spans="1:33" ht="18" customHeight="1">
      <c r="A921" s="11139"/>
      <c r="B921" s="11137"/>
      <c r="C921" s="11125"/>
      <c r="D921" s="11125"/>
      <c r="E921" s="11125"/>
      <c r="F921" s="11125"/>
      <c r="G921" s="11125"/>
      <c r="H921" s="11125"/>
      <c r="I921" s="11125"/>
      <c r="J921" s="11125"/>
      <c r="K921" s="11125"/>
      <c r="L921" s="11134"/>
      <c r="M921" s="11134"/>
      <c r="N921" s="11134"/>
      <c r="O921" s="11125"/>
      <c r="P921" s="11125"/>
      <c r="Q921" s="11135"/>
      <c r="R921" s="5448"/>
      <c r="S921" s="3617"/>
      <c r="T921" s="3617"/>
      <c r="U921" s="3616"/>
      <c r="V921" s="4319"/>
      <c r="W921" s="3617"/>
      <c r="X921" s="5554"/>
      <c r="Y921" s="5554"/>
      <c r="Z921" s="5554"/>
      <c r="AA921" s="5555"/>
      <c r="AB921" s="5592"/>
      <c r="AC921" s="4320"/>
      <c r="AD921" s="3714"/>
      <c r="AE921" s="5624"/>
      <c r="AF921" s="5624"/>
      <c r="AG921" s="11116"/>
    </row>
    <row r="922" spans="1:33" ht="18" customHeight="1">
      <c r="A922" s="11139"/>
      <c r="B922" s="10516" t="s">
        <v>183</v>
      </c>
      <c r="C922" s="10433" t="s">
        <v>227</v>
      </c>
      <c r="D922" s="10433" t="s">
        <v>228</v>
      </c>
      <c r="E922" s="10433" t="s">
        <v>229</v>
      </c>
      <c r="F922" s="10442" t="s">
        <v>230</v>
      </c>
      <c r="G922" s="10433" t="s">
        <v>171</v>
      </c>
      <c r="H922" s="10433" t="s">
        <v>133</v>
      </c>
      <c r="I922" s="10433" t="s">
        <v>6068</v>
      </c>
      <c r="J922" s="10433" t="s">
        <v>6069</v>
      </c>
      <c r="K922" s="10433" t="s">
        <v>6022</v>
      </c>
      <c r="L922" s="10470">
        <v>1</v>
      </c>
      <c r="M922" s="10470">
        <v>1</v>
      </c>
      <c r="N922" s="10470">
        <v>1</v>
      </c>
      <c r="O922" s="10433" t="s">
        <v>6070</v>
      </c>
      <c r="P922" s="10433" t="s">
        <v>6071</v>
      </c>
      <c r="Q922" s="10439" t="s">
        <v>6165</v>
      </c>
      <c r="R922" s="5449"/>
      <c r="S922" s="4336"/>
      <c r="T922" s="4336"/>
      <c r="U922" s="3597"/>
      <c r="V922" s="4337"/>
      <c r="W922" s="3598"/>
      <c r="X922" s="5556"/>
      <c r="Y922" s="5556"/>
      <c r="Z922" s="5556"/>
      <c r="AA922" s="5557"/>
      <c r="AB922" s="5584"/>
      <c r="AC922" s="4338"/>
      <c r="AD922" s="3709"/>
      <c r="AE922" s="5626"/>
      <c r="AF922" s="5626"/>
      <c r="AG922" s="10525"/>
    </row>
    <row r="923" spans="1:33" ht="18" customHeight="1">
      <c r="A923" s="11139"/>
      <c r="B923" s="11136"/>
      <c r="C923" s="11124"/>
      <c r="D923" s="11124"/>
      <c r="E923" s="11124"/>
      <c r="F923" s="11124"/>
      <c r="G923" s="11124"/>
      <c r="H923" s="11124"/>
      <c r="I923" s="11124"/>
      <c r="J923" s="11124"/>
      <c r="K923" s="11124"/>
      <c r="L923" s="11131"/>
      <c r="M923" s="11131"/>
      <c r="N923" s="11131"/>
      <c r="O923" s="11124"/>
      <c r="P923" s="11124"/>
      <c r="Q923" s="11127"/>
      <c r="R923" s="5446"/>
      <c r="S923" s="3579"/>
      <c r="T923" s="3579"/>
      <c r="U923" s="3578"/>
      <c r="V923" s="4315"/>
      <c r="W923" s="3579"/>
      <c r="X923" s="5552"/>
      <c r="Y923" s="5552"/>
      <c r="Z923" s="5552"/>
      <c r="AA923" s="5553"/>
      <c r="AB923" s="5581"/>
      <c r="AC923" s="4316"/>
      <c r="AD923" s="3496"/>
      <c r="AE923" s="5610"/>
      <c r="AF923" s="5610"/>
      <c r="AG923" s="11115"/>
    </row>
    <row r="924" spans="1:33" ht="18" customHeight="1">
      <c r="A924" s="11139"/>
      <c r="B924" s="11136"/>
      <c r="C924" s="11124"/>
      <c r="D924" s="11124"/>
      <c r="E924" s="11124"/>
      <c r="F924" s="11124"/>
      <c r="G924" s="11124"/>
      <c r="H924" s="11124"/>
      <c r="I924" s="11124"/>
      <c r="J924" s="11124"/>
      <c r="K924" s="11124"/>
      <c r="L924" s="11131"/>
      <c r="M924" s="11131"/>
      <c r="N924" s="11131"/>
      <c r="O924" s="11124"/>
      <c r="P924" s="11124"/>
      <c r="Q924" s="11127"/>
      <c r="R924" s="5446"/>
      <c r="S924" s="3579"/>
      <c r="T924" s="3579"/>
      <c r="U924" s="3578"/>
      <c r="V924" s="4315"/>
      <c r="W924" s="3579"/>
      <c r="X924" s="5552"/>
      <c r="Y924" s="5552"/>
      <c r="Z924" s="5552"/>
      <c r="AA924" s="5553"/>
      <c r="AB924" s="5581"/>
      <c r="AC924" s="4316"/>
      <c r="AD924" s="3496"/>
      <c r="AE924" s="5610"/>
      <c r="AF924" s="5610"/>
      <c r="AG924" s="11115"/>
    </row>
    <row r="925" spans="1:33" ht="18" customHeight="1">
      <c r="A925" s="11139"/>
      <c r="B925" s="11136"/>
      <c r="C925" s="11124"/>
      <c r="D925" s="11124"/>
      <c r="E925" s="11124"/>
      <c r="F925" s="11124"/>
      <c r="G925" s="11124"/>
      <c r="H925" s="11124"/>
      <c r="I925" s="11124"/>
      <c r="J925" s="11124"/>
      <c r="K925" s="11124"/>
      <c r="L925" s="11131"/>
      <c r="M925" s="11131"/>
      <c r="N925" s="11131"/>
      <c r="O925" s="11124"/>
      <c r="P925" s="11124"/>
      <c r="Q925" s="11127"/>
      <c r="R925" s="5447"/>
      <c r="S925" s="4325"/>
      <c r="T925" s="4325"/>
      <c r="U925" s="3578"/>
      <c r="V925" s="4315"/>
      <c r="W925" s="3579"/>
      <c r="X925" s="5552"/>
      <c r="Y925" s="5552"/>
      <c r="Z925" s="5552"/>
      <c r="AA925" s="5553"/>
      <c r="AB925" s="5581"/>
      <c r="AC925" s="4316"/>
      <c r="AD925" s="3496"/>
      <c r="AE925" s="5610"/>
      <c r="AF925" s="5610"/>
      <c r="AG925" s="11115"/>
    </row>
    <row r="926" spans="1:33" ht="18" customHeight="1">
      <c r="A926" s="11139"/>
      <c r="B926" s="11138"/>
      <c r="C926" s="11126"/>
      <c r="D926" s="11126"/>
      <c r="E926" s="11126"/>
      <c r="F926" s="11126"/>
      <c r="G926" s="11126"/>
      <c r="H926" s="11126"/>
      <c r="I926" s="11126"/>
      <c r="J926" s="11126"/>
      <c r="K926" s="11126"/>
      <c r="L926" s="11132"/>
      <c r="M926" s="11132"/>
      <c r="N926" s="11132"/>
      <c r="O926" s="11126"/>
      <c r="P926" s="11126"/>
      <c r="Q926" s="11128"/>
      <c r="R926" s="5450"/>
      <c r="S926" s="3606"/>
      <c r="T926" s="3606"/>
      <c r="U926" s="3605"/>
      <c r="V926" s="4317"/>
      <c r="W926" s="3606"/>
      <c r="X926" s="5558"/>
      <c r="Y926" s="5558"/>
      <c r="Z926" s="5558"/>
      <c r="AA926" s="5559"/>
      <c r="AB926" s="5585"/>
      <c r="AC926" s="4318"/>
      <c r="AD926" s="3545"/>
      <c r="AE926" s="5625"/>
      <c r="AF926" s="5625"/>
      <c r="AG926" s="11116"/>
    </row>
    <row r="927" spans="1:33" ht="18" customHeight="1">
      <c r="A927" s="11139"/>
      <c r="B927" s="10512" t="s">
        <v>127</v>
      </c>
      <c r="C927" s="10444" t="s">
        <v>128</v>
      </c>
      <c r="D927" s="10444" t="s">
        <v>129</v>
      </c>
      <c r="E927" s="10444" t="s">
        <v>157</v>
      </c>
      <c r="F927" s="10451" t="s">
        <v>131</v>
      </c>
      <c r="G927" s="10444" t="s">
        <v>132</v>
      </c>
      <c r="H927" s="10444" t="s">
        <v>159</v>
      </c>
      <c r="I927" s="10444" t="s">
        <v>6073</v>
      </c>
      <c r="J927" s="10444" t="s">
        <v>6074</v>
      </c>
      <c r="K927" s="10444" t="s">
        <v>5888</v>
      </c>
      <c r="L927" s="10455">
        <v>3</v>
      </c>
      <c r="M927" s="10455">
        <v>4</v>
      </c>
      <c r="N927" s="10455">
        <v>3</v>
      </c>
      <c r="O927" s="10444" t="s">
        <v>6075</v>
      </c>
      <c r="P927" s="10444" t="s">
        <v>6076</v>
      </c>
      <c r="Q927" s="10449" t="s">
        <v>6162</v>
      </c>
      <c r="R927" s="5451"/>
      <c r="S927" s="3650"/>
      <c r="T927" s="3650"/>
      <c r="U927" s="3622"/>
      <c r="V927" s="4313"/>
      <c r="W927" s="3623"/>
      <c r="X927" s="5560"/>
      <c r="Y927" s="5560"/>
      <c r="Z927" s="5560"/>
      <c r="AA927" s="5561"/>
      <c r="AB927" s="5586"/>
      <c r="AC927" s="4314"/>
      <c r="AD927" s="3658"/>
      <c r="AE927" s="5623"/>
      <c r="AF927" s="5623"/>
      <c r="AG927" s="10464"/>
    </row>
    <row r="928" spans="1:33" ht="18" customHeight="1">
      <c r="A928" s="11139"/>
      <c r="B928" s="11136"/>
      <c r="C928" s="11124"/>
      <c r="D928" s="11124"/>
      <c r="E928" s="11124"/>
      <c r="F928" s="11124"/>
      <c r="G928" s="11124"/>
      <c r="H928" s="11124"/>
      <c r="I928" s="11124"/>
      <c r="J928" s="11124"/>
      <c r="K928" s="11124"/>
      <c r="L928" s="11131"/>
      <c r="M928" s="11131"/>
      <c r="N928" s="11131"/>
      <c r="O928" s="11124"/>
      <c r="P928" s="11124"/>
      <c r="Q928" s="11127"/>
      <c r="R928" s="5446"/>
      <c r="S928" s="3579"/>
      <c r="T928" s="3579"/>
      <c r="U928" s="3578"/>
      <c r="V928" s="4315"/>
      <c r="W928" s="3579"/>
      <c r="X928" s="5552"/>
      <c r="Y928" s="5552"/>
      <c r="Z928" s="5552"/>
      <c r="AA928" s="5553"/>
      <c r="AB928" s="5581"/>
      <c r="AC928" s="4316"/>
      <c r="AD928" s="3496"/>
      <c r="AE928" s="5610"/>
      <c r="AF928" s="5610"/>
      <c r="AG928" s="11115"/>
    </row>
    <row r="929" spans="1:33" ht="18" customHeight="1">
      <c r="A929" s="11139"/>
      <c r="B929" s="11136"/>
      <c r="C929" s="11124"/>
      <c r="D929" s="11124"/>
      <c r="E929" s="11124"/>
      <c r="F929" s="11124"/>
      <c r="G929" s="11124"/>
      <c r="H929" s="11124"/>
      <c r="I929" s="11124"/>
      <c r="J929" s="11124"/>
      <c r="K929" s="11124"/>
      <c r="L929" s="11131"/>
      <c r="M929" s="11131"/>
      <c r="N929" s="11131"/>
      <c r="O929" s="11124"/>
      <c r="P929" s="11124"/>
      <c r="Q929" s="11127"/>
      <c r="R929" s="5446"/>
      <c r="S929" s="3579"/>
      <c r="T929" s="3579"/>
      <c r="U929" s="3578"/>
      <c r="V929" s="4315"/>
      <c r="W929" s="3579"/>
      <c r="X929" s="5552"/>
      <c r="Y929" s="5552"/>
      <c r="Z929" s="5552"/>
      <c r="AA929" s="5553"/>
      <c r="AB929" s="5581"/>
      <c r="AC929" s="4316"/>
      <c r="AD929" s="3496"/>
      <c r="AE929" s="5610"/>
      <c r="AF929" s="5610"/>
      <c r="AG929" s="11115"/>
    </row>
    <row r="930" spans="1:33" ht="18" customHeight="1">
      <c r="A930" s="11139"/>
      <c r="B930" s="11136"/>
      <c r="C930" s="11124"/>
      <c r="D930" s="11124"/>
      <c r="E930" s="11124"/>
      <c r="F930" s="11124"/>
      <c r="G930" s="11124"/>
      <c r="H930" s="11124"/>
      <c r="I930" s="11124"/>
      <c r="J930" s="11124"/>
      <c r="K930" s="11124"/>
      <c r="L930" s="11131"/>
      <c r="M930" s="11131"/>
      <c r="N930" s="11131"/>
      <c r="O930" s="11124"/>
      <c r="P930" s="11124"/>
      <c r="Q930" s="11127"/>
      <c r="R930" s="5447"/>
      <c r="S930" s="4325"/>
      <c r="T930" s="4325"/>
      <c r="U930" s="3578"/>
      <c r="V930" s="4315"/>
      <c r="W930" s="3579"/>
      <c r="X930" s="5552"/>
      <c r="Y930" s="5552"/>
      <c r="Z930" s="5552"/>
      <c r="AA930" s="5553"/>
      <c r="AB930" s="5581"/>
      <c r="AC930" s="4316"/>
      <c r="AD930" s="3496"/>
      <c r="AE930" s="5610"/>
      <c r="AF930" s="5610"/>
      <c r="AG930" s="11115"/>
    </row>
    <row r="931" spans="1:33" ht="18" customHeight="1">
      <c r="A931" s="11139"/>
      <c r="B931" s="11138"/>
      <c r="C931" s="11126"/>
      <c r="D931" s="11126"/>
      <c r="E931" s="11126"/>
      <c r="F931" s="11126"/>
      <c r="G931" s="11126"/>
      <c r="H931" s="11126"/>
      <c r="I931" s="11126"/>
      <c r="J931" s="11126"/>
      <c r="K931" s="11126"/>
      <c r="L931" s="11132"/>
      <c r="M931" s="11132"/>
      <c r="N931" s="11132"/>
      <c r="O931" s="11126"/>
      <c r="P931" s="11126"/>
      <c r="Q931" s="11128"/>
      <c r="R931" s="5450"/>
      <c r="S931" s="3606"/>
      <c r="T931" s="3606"/>
      <c r="U931" s="3605"/>
      <c r="V931" s="4317"/>
      <c r="W931" s="3606"/>
      <c r="X931" s="5558"/>
      <c r="Y931" s="5558"/>
      <c r="Z931" s="5558"/>
      <c r="AA931" s="5559"/>
      <c r="AB931" s="5585"/>
      <c r="AC931" s="4318"/>
      <c r="AD931" s="3545"/>
      <c r="AE931" s="5625"/>
      <c r="AF931" s="5625"/>
      <c r="AG931" s="11116"/>
    </row>
    <row r="932" spans="1:33" s="6169" customFormat="1" ht="35.25" customHeight="1" thickBot="1">
      <c r="A932" s="6236"/>
      <c r="B932" s="6250"/>
      <c r="C932" s="6250"/>
      <c r="D932" s="6250"/>
      <c r="E932" s="6250"/>
      <c r="F932" s="6250"/>
      <c r="G932" s="6250"/>
      <c r="H932" s="6250"/>
      <c r="I932" s="6250"/>
      <c r="J932" s="6250"/>
      <c r="K932" s="6250"/>
      <c r="L932" s="6164"/>
      <c r="M932" s="6164"/>
      <c r="N932" s="6164"/>
      <c r="O932" s="6166"/>
      <c r="P932" s="6166"/>
      <c r="Q932" s="6167"/>
      <c r="R932" s="11144" t="s">
        <v>6166</v>
      </c>
      <c r="S932" s="11145"/>
      <c r="T932" s="11145"/>
      <c r="U932" s="11145"/>
      <c r="V932" s="11145"/>
      <c r="W932" s="11145"/>
      <c r="X932" s="11145"/>
      <c r="Y932" s="11145"/>
      <c r="Z932" s="5321" t="s">
        <v>292</v>
      </c>
      <c r="AA932" s="6153">
        <f>SUM(AA857:AA931)</f>
        <v>0</v>
      </c>
      <c r="AB932" s="6165"/>
      <c r="AC932" s="6168"/>
      <c r="AD932" s="11146"/>
      <c r="AE932" s="11147"/>
      <c r="AF932" s="11147"/>
      <c r="AG932" s="11148"/>
    </row>
    <row r="933" spans="1:33" ht="18" customHeight="1">
      <c r="A933" s="9599" t="s">
        <v>6167</v>
      </c>
      <c r="B933" s="10518" t="s">
        <v>183</v>
      </c>
      <c r="C933" s="10452" t="s">
        <v>227</v>
      </c>
      <c r="D933" s="10452" t="s">
        <v>228</v>
      </c>
      <c r="E933" s="10452" t="s">
        <v>229</v>
      </c>
      <c r="F933" s="10454" t="s">
        <v>230</v>
      </c>
      <c r="G933" s="10452" t="s">
        <v>132</v>
      </c>
      <c r="H933" s="10452" t="s">
        <v>159</v>
      </c>
      <c r="I933" s="10433" t="s">
        <v>6010</v>
      </c>
      <c r="J933" s="10452" t="s">
        <v>6011</v>
      </c>
      <c r="K933" s="10452" t="s">
        <v>5761</v>
      </c>
      <c r="L933" s="10488">
        <v>2</v>
      </c>
      <c r="M933" s="10488">
        <v>1</v>
      </c>
      <c r="N933" s="10488">
        <v>2</v>
      </c>
      <c r="O933" s="10452" t="s">
        <v>6012</v>
      </c>
      <c r="P933" s="10452" t="s">
        <v>6013</v>
      </c>
      <c r="Q933" s="10453" t="s">
        <v>6014</v>
      </c>
      <c r="R933" s="5445"/>
      <c r="S933" s="4321"/>
      <c r="T933" s="4321"/>
      <c r="U933" s="3573"/>
      <c r="V933" s="4322"/>
      <c r="W933" s="3574"/>
      <c r="X933" s="5550"/>
      <c r="Y933" s="5550"/>
      <c r="Z933" s="5550"/>
      <c r="AA933" s="5551"/>
      <c r="AB933" s="5580"/>
      <c r="AC933" s="4323"/>
      <c r="AD933" s="3683"/>
      <c r="AE933" s="5609"/>
      <c r="AF933" s="5609"/>
      <c r="AG933" s="10466"/>
    </row>
    <row r="934" spans="1:33" ht="18" customHeight="1">
      <c r="A934" s="11139"/>
      <c r="B934" s="11136"/>
      <c r="C934" s="11124"/>
      <c r="D934" s="11124"/>
      <c r="E934" s="11124"/>
      <c r="F934" s="11124"/>
      <c r="G934" s="11124"/>
      <c r="H934" s="11124"/>
      <c r="I934" s="11124"/>
      <c r="J934" s="11124"/>
      <c r="K934" s="11124"/>
      <c r="L934" s="11131"/>
      <c r="M934" s="11131"/>
      <c r="N934" s="11131"/>
      <c r="O934" s="11124"/>
      <c r="P934" s="11124"/>
      <c r="Q934" s="11127"/>
      <c r="R934" s="5446"/>
      <c r="S934" s="3579"/>
      <c r="T934" s="3579"/>
      <c r="U934" s="3578"/>
      <c r="V934" s="4315"/>
      <c r="W934" s="3579"/>
      <c r="X934" s="5552"/>
      <c r="Y934" s="5552"/>
      <c r="Z934" s="5552"/>
      <c r="AA934" s="5553"/>
      <c r="AB934" s="5581"/>
      <c r="AC934" s="4316"/>
      <c r="AD934" s="3496"/>
      <c r="AE934" s="5610"/>
      <c r="AF934" s="5610"/>
      <c r="AG934" s="11115"/>
    </row>
    <row r="935" spans="1:33" ht="18" customHeight="1">
      <c r="A935" s="11139"/>
      <c r="B935" s="11136"/>
      <c r="C935" s="11124"/>
      <c r="D935" s="11124"/>
      <c r="E935" s="11124"/>
      <c r="F935" s="11124"/>
      <c r="G935" s="11124"/>
      <c r="H935" s="11124"/>
      <c r="I935" s="11124"/>
      <c r="J935" s="11124"/>
      <c r="K935" s="11124"/>
      <c r="L935" s="11131"/>
      <c r="M935" s="11131"/>
      <c r="N935" s="11131"/>
      <c r="O935" s="11124"/>
      <c r="P935" s="11124"/>
      <c r="Q935" s="11127"/>
      <c r="R935" s="5446"/>
      <c r="S935" s="3579"/>
      <c r="T935" s="3579"/>
      <c r="U935" s="3578"/>
      <c r="V935" s="4315"/>
      <c r="W935" s="3579"/>
      <c r="X935" s="5552"/>
      <c r="Y935" s="5552"/>
      <c r="Z935" s="5552"/>
      <c r="AA935" s="5553"/>
      <c r="AB935" s="5581"/>
      <c r="AC935" s="4316"/>
      <c r="AD935" s="3496"/>
      <c r="AE935" s="5610"/>
      <c r="AF935" s="5610"/>
      <c r="AG935" s="11115"/>
    </row>
    <row r="936" spans="1:33" ht="18" customHeight="1">
      <c r="A936" s="11139"/>
      <c r="B936" s="11136"/>
      <c r="C936" s="11124"/>
      <c r="D936" s="11124"/>
      <c r="E936" s="11124"/>
      <c r="F936" s="11124"/>
      <c r="G936" s="11124"/>
      <c r="H936" s="11124"/>
      <c r="I936" s="11124"/>
      <c r="J936" s="11124"/>
      <c r="K936" s="11124"/>
      <c r="L936" s="11131"/>
      <c r="M936" s="11131"/>
      <c r="N936" s="11131"/>
      <c r="O936" s="11124"/>
      <c r="P936" s="11124"/>
      <c r="Q936" s="11127"/>
      <c r="R936" s="5447"/>
      <c r="S936" s="4325"/>
      <c r="T936" s="4325"/>
      <c r="U936" s="3578"/>
      <c r="V936" s="4315"/>
      <c r="W936" s="3579"/>
      <c r="X936" s="5552"/>
      <c r="Y936" s="5552"/>
      <c r="Z936" s="5552"/>
      <c r="AA936" s="5553"/>
      <c r="AB936" s="5581"/>
      <c r="AC936" s="4316"/>
      <c r="AD936" s="3496"/>
      <c r="AE936" s="5610"/>
      <c r="AF936" s="5610"/>
      <c r="AG936" s="11115"/>
    </row>
    <row r="937" spans="1:33" ht="18" customHeight="1">
      <c r="A937" s="11139"/>
      <c r="B937" s="11137"/>
      <c r="C937" s="11125"/>
      <c r="D937" s="11125"/>
      <c r="E937" s="11125"/>
      <c r="F937" s="11125"/>
      <c r="G937" s="11125"/>
      <c r="H937" s="11125"/>
      <c r="I937" s="11125"/>
      <c r="J937" s="11125"/>
      <c r="K937" s="11125"/>
      <c r="L937" s="11134"/>
      <c r="M937" s="11134"/>
      <c r="N937" s="11134"/>
      <c r="O937" s="11125"/>
      <c r="P937" s="11125"/>
      <c r="Q937" s="11135"/>
      <c r="R937" s="5448"/>
      <c r="S937" s="3617"/>
      <c r="T937" s="3617"/>
      <c r="U937" s="3616"/>
      <c r="V937" s="4319"/>
      <c r="W937" s="3617"/>
      <c r="X937" s="5554"/>
      <c r="Y937" s="5554"/>
      <c r="Z937" s="5554"/>
      <c r="AA937" s="5555"/>
      <c r="AB937" s="5592"/>
      <c r="AC937" s="4320"/>
      <c r="AD937" s="3714"/>
      <c r="AE937" s="5624"/>
      <c r="AF937" s="5624"/>
      <c r="AG937" s="11116"/>
    </row>
    <row r="938" spans="1:33" ht="18" customHeight="1">
      <c r="A938" s="11139"/>
      <c r="B938" s="10516" t="s">
        <v>127</v>
      </c>
      <c r="C938" s="10433" t="s">
        <v>128</v>
      </c>
      <c r="D938" s="10433" t="s">
        <v>129</v>
      </c>
      <c r="E938" s="10433" t="s">
        <v>157</v>
      </c>
      <c r="F938" s="10442" t="s">
        <v>131</v>
      </c>
      <c r="G938" s="10433" t="s">
        <v>132</v>
      </c>
      <c r="H938" s="10433" t="s">
        <v>159</v>
      </c>
      <c r="I938" s="10433" t="s">
        <v>6015</v>
      </c>
      <c r="J938" s="10433" t="s">
        <v>6016</v>
      </c>
      <c r="K938" s="10433" t="s">
        <v>5761</v>
      </c>
      <c r="L938" s="11130">
        <v>2</v>
      </c>
      <c r="M938" s="11130">
        <v>0</v>
      </c>
      <c r="N938" s="11130">
        <v>2</v>
      </c>
      <c r="O938" s="10433" t="s">
        <v>6017</v>
      </c>
      <c r="P938" s="10433" t="s">
        <v>6018</v>
      </c>
      <c r="Q938" s="10439" t="s">
        <v>6168</v>
      </c>
      <c r="R938" s="5452"/>
      <c r="S938" s="3598"/>
      <c r="T938" s="3598"/>
      <c r="U938" s="4344"/>
      <c r="V938" s="4337"/>
      <c r="W938" s="3598"/>
      <c r="X938" s="5556"/>
      <c r="Y938" s="5556"/>
      <c r="Z938" s="5556"/>
      <c r="AA938" s="5557"/>
      <c r="AB938" s="5584"/>
      <c r="AC938" s="4338"/>
      <c r="AD938" s="3709"/>
      <c r="AE938" s="5626"/>
      <c r="AF938" s="5626"/>
      <c r="AG938" s="10525"/>
    </row>
    <row r="939" spans="1:33" ht="18" customHeight="1">
      <c r="A939" s="11139"/>
      <c r="B939" s="11136"/>
      <c r="C939" s="11124"/>
      <c r="D939" s="11124"/>
      <c r="E939" s="11124"/>
      <c r="F939" s="11124"/>
      <c r="G939" s="11124"/>
      <c r="H939" s="11124"/>
      <c r="I939" s="11124"/>
      <c r="J939" s="11124"/>
      <c r="K939" s="11124"/>
      <c r="L939" s="11131"/>
      <c r="M939" s="11131"/>
      <c r="N939" s="11131"/>
      <c r="O939" s="11124"/>
      <c r="P939" s="11124"/>
      <c r="Q939" s="11127"/>
      <c r="R939" s="5446"/>
      <c r="S939" s="3579"/>
      <c r="T939" s="3579"/>
      <c r="U939" s="3578"/>
      <c r="V939" s="4315"/>
      <c r="W939" s="3579"/>
      <c r="X939" s="5552"/>
      <c r="Y939" s="5552"/>
      <c r="Z939" s="5552"/>
      <c r="AA939" s="5553"/>
      <c r="AB939" s="5581"/>
      <c r="AC939" s="4316"/>
      <c r="AD939" s="3496"/>
      <c r="AE939" s="5610"/>
      <c r="AF939" s="5610"/>
      <c r="AG939" s="11115"/>
    </row>
    <row r="940" spans="1:33" ht="18" customHeight="1">
      <c r="A940" s="11139"/>
      <c r="B940" s="11136"/>
      <c r="C940" s="11124"/>
      <c r="D940" s="11124"/>
      <c r="E940" s="11124"/>
      <c r="F940" s="11124"/>
      <c r="G940" s="11124"/>
      <c r="H940" s="11124"/>
      <c r="I940" s="11124"/>
      <c r="J940" s="11124"/>
      <c r="K940" s="11124"/>
      <c r="L940" s="11131"/>
      <c r="M940" s="11131"/>
      <c r="N940" s="11131"/>
      <c r="O940" s="11124"/>
      <c r="P940" s="11124"/>
      <c r="Q940" s="11127"/>
      <c r="R940" s="5446"/>
      <c r="S940" s="3579"/>
      <c r="T940" s="3579"/>
      <c r="U940" s="3578"/>
      <c r="V940" s="4315"/>
      <c r="W940" s="3579"/>
      <c r="X940" s="5552"/>
      <c r="Y940" s="5552"/>
      <c r="Z940" s="5552"/>
      <c r="AA940" s="5553"/>
      <c r="AB940" s="5581"/>
      <c r="AC940" s="4316"/>
      <c r="AD940" s="3496"/>
      <c r="AE940" s="5610"/>
      <c r="AF940" s="5610"/>
      <c r="AG940" s="11115"/>
    </row>
    <row r="941" spans="1:33" ht="18" customHeight="1">
      <c r="A941" s="11139"/>
      <c r="B941" s="11136"/>
      <c r="C941" s="11124"/>
      <c r="D941" s="11124"/>
      <c r="E941" s="11124"/>
      <c r="F941" s="11124"/>
      <c r="G941" s="11124"/>
      <c r="H941" s="11124"/>
      <c r="I941" s="11124"/>
      <c r="J941" s="11124"/>
      <c r="K941" s="11124"/>
      <c r="L941" s="11131"/>
      <c r="M941" s="11131"/>
      <c r="N941" s="11131"/>
      <c r="O941" s="11124"/>
      <c r="P941" s="11124"/>
      <c r="Q941" s="11127"/>
      <c r="R941" s="5446"/>
      <c r="S941" s="3579"/>
      <c r="T941" s="3579"/>
      <c r="U941" s="3578"/>
      <c r="V941" s="4315"/>
      <c r="W941" s="3579"/>
      <c r="X941" s="5552"/>
      <c r="Y941" s="5552"/>
      <c r="Z941" s="5552"/>
      <c r="AA941" s="5553"/>
      <c r="AB941" s="5581"/>
      <c r="AC941" s="4316"/>
      <c r="AD941" s="3496"/>
      <c r="AE941" s="5610"/>
      <c r="AF941" s="5610"/>
      <c r="AG941" s="11115"/>
    </row>
    <row r="942" spans="1:33" ht="18" customHeight="1">
      <c r="A942" s="11139"/>
      <c r="B942" s="11138"/>
      <c r="C942" s="11126"/>
      <c r="D942" s="11126"/>
      <c r="E942" s="11126"/>
      <c r="F942" s="11126"/>
      <c r="G942" s="11126"/>
      <c r="H942" s="11126"/>
      <c r="I942" s="11126"/>
      <c r="J942" s="11126"/>
      <c r="K942" s="11126"/>
      <c r="L942" s="11132"/>
      <c r="M942" s="11132"/>
      <c r="N942" s="11132"/>
      <c r="O942" s="11126"/>
      <c r="P942" s="11126"/>
      <c r="Q942" s="11128"/>
      <c r="R942" s="5450"/>
      <c r="S942" s="3606"/>
      <c r="T942" s="3606"/>
      <c r="U942" s="3605"/>
      <c r="V942" s="4317"/>
      <c r="W942" s="3606"/>
      <c r="X942" s="5558"/>
      <c r="Y942" s="5558"/>
      <c r="Z942" s="5558"/>
      <c r="AA942" s="5559"/>
      <c r="AB942" s="5585"/>
      <c r="AC942" s="4318"/>
      <c r="AD942" s="3545"/>
      <c r="AE942" s="5625"/>
      <c r="AF942" s="5625"/>
      <c r="AG942" s="11116"/>
    </row>
    <row r="943" spans="1:33" ht="18" customHeight="1">
      <c r="A943" s="11139"/>
      <c r="B943" s="10512" t="s">
        <v>127</v>
      </c>
      <c r="C943" s="10444" t="s">
        <v>128</v>
      </c>
      <c r="D943" s="10444" t="s">
        <v>129</v>
      </c>
      <c r="E943" s="10444" t="s">
        <v>157</v>
      </c>
      <c r="F943" s="10451" t="s">
        <v>131</v>
      </c>
      <c r="G943" s="10444" t="s">
        <v>132</v>
      </c>
      <c r="H943" s="10444" t="s">
        <v>159</v>
      </c>
      <c r="I943" s="10444" t="s">
        <v>6020</v>
      </c>
      <c r="J943" s="10444" t="s">
        <v>6021</v>
      </c>
      <c r="K943" s="10444" t="s">
        <v>6022</v>
      </c>
      <c r="L943" s="11133">
        <v>0</v>
      </c>
      <c r="M943" s="11133">
        <v>1</v>
      </c>
      <c r="N943" s="11133">
        <v>0</v>
      </c>
      <c r="O943" s="10444" t="s">
        <v>6023</v>
      </c>
      <c r="P943" s="10444" t="s">
        <v>6024</v>
      </c>
      <c r="Q943" s="10449" t="s">
        <v>6169</v>
      </c>
      <c r="R943" s="5458"/>
      <c r="S943" s="3623"/>
      <c r="T943" s="3623"/>
      <c r="U943" s="4312"/>
      <c r="V943" s="4313"/>
      <c r="W943" s="3623"/>
      <c r="X943" s="5560"/>
      <c r="Y943" s="5560"/>
      <c r="Z943" s="5560"/>
      <c r="AA943" s="5561"/>
      <c r="AB943" s="5586"/>
      <c r="AC943" s="4314"/>
      <c r="AD943" s="3658"/>
      <c r="AE943" s="5623"/>
      <c r="AF943" s="5623"/>
      <c r="AG943" s="10525"/>
    </row>
    <row r="944" spans="1:33" ht="18" customHeight="1">
      <c r="A944" s="11139"/>
      <c r="B944" s="11136"/>
      <c r="C944" s="11124"/>
      <c r="D944" s="11124"/>
      <c r="E944" s="11124"/>
      <c r="F944" s="11124"/>
      <c r="G944" s="11124"/>
      <c r="H944" s="11124"/>
      <c r="I944" s="11124"/>
      <c r="J944" s="11124"/>
      <c r="K944" s="11124"/>
      <c r="L944" s="11131"/>
      <c r="M944" s="11131"/>
      <c r="N944" s="11131"/>
      <c r="O944" s="11124"/>
      <c r="P944" s="11124"/>
      <c r="Q944" s="11127"/>
      <c r="R944" s="5446"/>
      <c r="S944" s="3579"/>
      <c r="T944" s="3579"/>
      <c r="U944" s="3578"/>
      <c r="V944" s="4315"/>
      <c r="W944" s="3579"/>
      <c r="X944" s="5552"/>
      <c r="Y944" s="5552"/>
      <c r="Z944" s="5552"/>
      <c r="AA944" s="5553"/>
      <c r="AB944" s="5581"/>
      <c r="AC944" s="4316"/>
      <c r="AD944" s="3496"/>
      <c r="AE944" s="5610"/>
      <c r="AF944" s="5610"/>
      <c r="AG944" s="11115"/>
    </row>
    <row r="945" spans="1:33" ht="18" customHeight="1">
      <c r="A945" s="11139"/>
      <c r="B945" s="11136"/>
      <c r="C945" s="11124"/>
      <c r="D945" s="11124"/>
      <c r="E945" s="11124"/>
      <c r="F945" s="11124"/>
      <c r="G945" s="11124"/>
      <c r="H945" s="11124"/>
      <c r="I945" s="11124"/>
      <c r="J945" s="11124"/>
      <c r="K945" s="11124"/>
      <c r="L945" s="11131"/>
      <c r="M945" s="11131"/>
      <c r="N945" s="11131"/>
      <c r="O945" s="11124"/>
      <c r="P945" s="11124"/>
      <c r="Q945" s="11127"/>
      <c r="R945" s="5446"/>
      <c r="S945" s="3579"/>
      <c r="T945" s="3579"/>
      <c r="U945" s="3578"/>
      <c r="V945" s="4315"/>
      <c r="W945" s="3579"/>
      <c r="X945" s="5552"/>
      <c r="Y945" s="5552"/>
      <c r="Z945" s="5552"/>
      <c r="AA945" s="5553"/>
      <c r="AB945" s="5581"/>
      <c r="AC945" s="4316"/>
      <c r="AD945" s="3496"/>
      <c r="AE945" s="5610"/>
      <c r="AF945" s="5610"/>
      <c r="AG945" s="11115"/>
    </row>
    <row r="946" spans="1:33" ht="18" customHeight="1">
      <c r="A946" s="11139"/>
      <c r="B946" s="11136"/>
      <c r="C946" s="11124"/>
      <c r="D946" s="11124"/>
      <c r="E946" s="11124"/>
      <c r="F946" s="11124"/>
      <c r="G946" s="11124"/>
      <c r="H946" s="11124"/>
      <c r="I946" s="11124"/>
      <c r="J946" s="11124"/>
      <c r="K946" s="11124"/>
      <c r="L946" s="11131"/>
      <c r="M946" s="11131"/>
      <c r="N946" s="11131"/>
      <c r="O946" s="11124"/>
      <c r="P946" s="11124"/>
      <c r="Q946" s="11127"/>
      <c r="R946" s="5446"/>
      <c r="S946" s="3579"/>
      <c r="T946" s="3579"/>
      <c r="U946" s="3578"/>
      <c r="V946" s="4315"/>
      <c r="W946" s="3579"/>
      <c r="X946" s="5552"/>
      <c r="Y946" s="5552"/>
      <c r="Z946" s="5552"/>
      <c r="AA946" s="5553"/>
      <c r="AB946" s="5581"/>
      <c r="AC946" s="4316"/>
      <c r="AD946" s="3496"/>
      <c r="AE946" s="5610"/>
      <c r="AF946" s="5610"/>
      <c r="AG946" s="11115"/>
    </row>
    <row r="947" spans="1:33" ht="18" customHeight="1">
      <c r="A947" s="11139"/>
      <c r="B947" s="11137"/>
      <c r="C947" s="11125"/>
      <c r="D947" s="11125"/>
      <c r="E947" s="11125"/>
      <c r="F947" s="11125"/>
      <c r="G947" s="11125"/>
      <c r="H947" s="11125"/>
      <c r="I947" s="11125"/>
      <c r="J947" s="11125"/>
      <c r="K947" s="11125"/>
      <c r="L947" s="11134"/>
      <c r="M947" s="11134"/>
      <c r="N947" s="11134"/>
      <c r="O947" s="11125"/>
      <c r="P947" s="11125"/>
      <c r="Q947" s="11135"/>
      <c r="R947" s="5448"/>
      <c r="S947" s="3617"/>
      <c r="T947" s="3617"/>
      <c r="U947" s="3616"/>
      <c r="V947" s="4319"/>
      <c r="W947" s="3617"/>
      <c r="X947" s="5554"/>
      <c r="Y947" s="5554"/>
      <c r="Z947" s="5554"/>
      <c r="AA947" s="5555"/>
      <c r="AB947" s="5592"/>
      <c r="AC947" s="4320"/>
      <c r="AD947" s="3714"/>
      <c r="AE947" s="5624"/>
      <c r="AF947" s="5624"/>
      <c r="AG947" s="11116"/>
    </row>
    <row r="948" spans="1:33" ht="18" customHeight="1">
      <c r="A948" s="11139"/>
      <c r="B948" s="10516" t="s">
        <v>183</v>
      </c>
      <c r="C948" s="10433" t="s">
        <v>227</v>
      </c>
      <c r="D948" s="10433" t="s">
        <v>228</v>
      </c>
      <c r="E948" s="10433" t="s">
        <v>229</v>
      </c>
      <c r="F948" s="10442" t="s">
        <v>230</v>
      </c>
      <c r="G948" s="10433" t="s">
        <v>132</v>
      </c>
      <c r="H948" s="10433" t="s">
        <v>159</v>
      </c>
      <c r="I948" s="10433" t="s">
        <v>6026</v>
      </c>
      <c r="J948" s="10433" t="s">
        <v>6027</v>
      </c>
      <c r="K948" s="10433" t="s">
        <v>6022</v>
      </c>
      <c r="L948" s="11130">
        <v>0</v>
      </c>
      <c r="M948" s="11130">
        <v>1</v>
      </c>
      <c r="N948" s="11130">
        <v>1</v>
      </c>
      <c r="O948" s="10433" t="s">
        <v>6028</v>
      </c>
      <c r="P948" s="10433" t="s">
        <v>6029</v>
      </c>
      <c r="Q948" s="10439" t="s">
        <v>6169</v>
      </c>
      <c r="R948" s="5452"/>
      <c r="S948" s="3598"/>
      <c r="T948" s="3598"/>
      <c r="U948" s="4344"/>
      <c r="V948" s="4337"/>
      <c r="W948" s="3598"/>
      <c r="X948" s="5556"/>
      <c r="Y948" s="5556"/>
      <c r="Z948" s="5556"/>
      <c r="AA948" s="5557"/>
      <c r="AB948" s="5584"/>
      <c r="AC948" s="4338"/>
      <c r="AD948" s="3709"/>
      <c r="AE948" s="5626"/>
      <c r="AF948" s="5626"/>
      <c r="AG948" s="10525"/>
    </row>
    <row r="949" spans="1:33" ht="18" customHeight="1">
      <c r="A949" s="11139"/>
      <c r="B949" s="11136"/>
      <c r="C949" s="11124"/>
      <c r="D949" s="11124"/>
      <c r="E949" s="11124"/>
      <c r="F949" s="11124"/>
      <c r="G949" s="11124"/>
      <c r="H949" s="11124"/>
      <c r="I949" s="11124"/>
      <c r="J949" s="11124"/>
      <c r="K949" s="11124"/>
      <c r="L949" s="11131"/>
      <c r="M949" s="11131"/>
      <c r="N949" s="11131"/>
      <c r="O949" s="11124"/>
      <c r="P949" s="11124"/>
      <c r="Q949" s="11127"/>
      <c r="R949" s="5446"/>
      <c r="S949" s="3579"/>
      <c r="T949" s="3579"/>
      <c r="U949" s="3578"/>
      <c r="V949" s="4315"/>
      <c r="W949" s="3579"/>
      <c r="X949" s="5552"/>
      <c r="Y949" s="5552"/>
      <c r="Z949" s="5552"/>
      <c r="AA949" s="5553"/>
      <c r="AB949" s="5581"/>
      <c r="AC949" s="4316"/>
      <c r="AD949" s="3496"/>
      <c r="AE949" s="5610"/>
      <c r="AF949" s="5610"/>
      <c r="AG949" s="11115"/>
    </row>
    <row r="950" spans="1:33" ht="18" customHeight="1">
      <c r="A950" s="11139"/>
      <c r="B950" s="11136"/>
      <c r="C950" s="11124"/>
      <c r="D950" s="11124"/>
      <c r="E950" s="11124"/>
      <c r="F950" s="11124"/>
      <c r="G950" s="11124"/>
      <c r="H950" s="11124"/>
      <c r="I950" s="11124"/>
      <c r="J950" s="11124"/>
      <c r="K950" s="11124"/>
      <c r="L950" s="11131"/>
      <c r="M950" s="11131"/>
      <c r="N950" s="11131"/>
      <c r="O950" s="11124"/>
      <c r="P950" s="11124"/>
      <c r="Q950" s="11127"/>
      <c r="R950" s="5446"/>
      <c r="S950" s="3579"/>
      <c r="T950" s="3579"/>
      <c r="U950" s="3578"/>
      <c r="V950" s="4315"/>
      <c r="W950" s="3579"/>
      <c r="X950" s="5552"/>
      <c r="Y950" s="5552"/>
      <c r="Z950" s="5552"/>
      <c r="AA950" s="5553"/>
      <c r="AB950" s="5581"/>
      <c r="AC950" s="4316"/>
      <c r="AD950" s="3496"/>
      <c r="AE950" s="5610"/>
      <c r="AF950" s="5610"/>
      <c r="AG950" s="11115"/>
    </row>
    <row r="951" spans="1:33" ht="18" customHeight="1">
      <c r="A951" s="11139"/>
      <c r="B951" s="11136"/>
      <c r="C951" s="11124"/>
      <c r="D951" s="11124"/>
      <c r="E951" s="11124"/>
      <c r="F951" s="11124"/>
      <c r="G951" s="11124"/>
      <c r="H951" s="11124"/>
      <c r="I951" s="11124"/>
      <c r="J951" s="11124"/>
      <c r="K951" s="11124"/>
      <c r="L951" s="11131"/>
      <c r="M951" s="11131"/>
      <c r="N951" s="11131"/>
      <c r="O951" s="11124"/>
      <c r="P951" s="11124"/>
      <c r="Q951" s="11127"/>
      <c r="R951" s="5446"/>
      <c r="S951" s="3579"/>
      <c r="T951" s="3579"/>
      <c r="U951" s="3578"/>
      <c r="V951" s="4315"/>
      <c r="W951" s="3579"/>
      <c r="X951" s="5552"/>
      <c r="Y951" s="5552"/>
      <c r="Z951" s="5552"/>
      <c r="AA951" s="5553"/>
      <c r="AB951" s="5581"/>
      <c r="AC951" s="4316"/>
      <c r="AD951" s="3496"/>
      <c r="AE951" s="5610"/>
      <c r="AF951" s="5610"/>
      <c r="AG951" s="11115"/>
    </row>
    <row r="952" spans="1:33" ht="18" customHeight="1">
      <c r="A952" s="11139"/>
      <c r="B952" s="11138"/>
      <c r="C952" s="11126"/>
      <c r="D952" s="11126"/>
      <c r="E952" s="11126"/>
      <c r="F952" s="11126"/>
      <c r="G952" s="11126"/>
      <c r="H952" s="11126"/>
      <c r="I952" s="11126"/>
      <c r="J952" s="11126"/>
      <c r="K952" s="11126"/>
      <c r="L952" s="11132"/>
      <c r="M952" s="11132"/>
      <c r="N952" s="11132"/>
      <c r="O952" s="11126"/>
      <c r="P952" s="11126"/>
      <c r="Q952" s="11128"/>
      <c r="R952" s="5450"/>
      <c r="S952" s="3606"/>
      <c r="T952" s="3606"/>
      <c r="U952" s="3605"/>
      <c r="V952" s="4317"/>
      <c r="W952" s="3606"/>
      <c r="X952" s="5558"/>
      <c r="Y952" s="5558"/>
      <c r="Z952" s="5558"/>
      <c r="AA952" s="5559"/>
      <c r="AB952" s="5585"/>
      <c r="AC952" s="4318"/>
      <c r="AD952" s="3545"/>
      <c r="AE952" s="5625"/>
      <c r="AF952" s="5625"/>
      <c r="AG952" s="11116"/>
    </row>
    <row r="953" spans="1:33" ht="18" customHeight="1">
      <c r="A953" s="11139"/>
      <c r="B953" s="10512" t="s">
        <v>183</v>
      </c>
      <c r="C953" s="10444" t="s">
        <v>227</v>
      </c>
      <c r="D953" s="10444" t="s">
        <v>185</v>
      </c>
      <c r="E953" s="10444" t="s">
        <v>1938</v>
      </c>
      <c r="F953" s="10451" t="s">
        <v>230</v>
      </c>
      <c r="G953" s="10444" t="s">
        <v>171</v>
      </c>
      <c r="H953" s="10444" t="s">
        <v>133</v>
      </c>
      <c r="I953" s="10444" t="s">
        <v>6030</v>
      </c>
      <c r="J953" s="10444" t="s">
        <v>6031</v>
      </c>
      <c r="K953" s="10444" t="s">
        <v>5900</v>
      </c>
      <c r="L953" s="11133">
        <v>1</v>
      </c>
      <c r="M953" s="11133">
        <v>0</v>
      </c>
      <c r="N953" s="11133">
        <v>1</v>
      </c>
      <c r="O953" s="10444" t="s">
        <v>6032</v>
      </c>
      <c r="P953" s="10444" t="s">
        <v>5902</v>
      </c>
      <c r="Q953" s="10449" t="s">
        <v>6170</v>
      </c>
      <c r="R953" s="5458"/>
      <c r="S953" s="3623"/>
      <c r="T953" s="3623"/>
      <c r="U953" s="4312"/>
      <c r="V953" s="4313"/>
      <c r="W953" s="3623"/>
      <c r="X953" s="5560"/>
      <c r="Y953" s="5560"/>
      <c r="Z953" s="5560"/>
      <c r="AA953" s="5561"/>
      <c r="AB953" s="5586"/>
      <c r="AC953" s="4314"/>
      <c r="AD953" s="3658"/>
      <c r="AE953" s="5623"/>
      <c r="AF953" s="5623"/>
      <c r="AG953" s="10525"/>
    </row>
    <row r="954" spans="1:33" ht="18" customHeight="1">
      <c r="A954" s="11139"/>
      <c r="B954" s="11136"/>
      <c r="C954" s="11124"/>
      <c r="D954" s="11124"/>
      <c r="E954" s="11124"/>
      <c r="F954" s="11124"/>
      <c r="G954" s="11124"/>
      <c r="H954" s="11124"/>
      <c r="I954" s="11124"/>
      <c r="J954" s="11124"/>
      <c r="K954" s="11124"/>
      <c r="L954" s="11131"/>
      <c r="M954" s="11131"/>
      <c r="N954" s="11131"/>
      <c r="O954" s="11124"/>
      <c r="P954" s="11124"/>
      <c r="Q954" s="11127"/>
      <c r="R954" s="5446"/>
      <c r="S954" s="3579"/>
      <c r="T954" s="3579"/>
      <c r="U954" s="3578"/>
      <c r="V954" s="4315"/>
      <c r="W954" s="3579"/>
      <c r="X954" s="5552"/>
      <c r="Y954" s="5552"/>
      <c r="Z954" s="5552"/>
      <c r="AA954" s="5553"/>
      <c r="AB954" s="5581"/>
      <c r="AC954" s="4316"/>
      <c r="AD954" s="3496"/>
      <c r="AE954" s="5610"/>
      <c r="AF954" s="5610"/>
      <c r="AG954" s="11115"/>
    </row>
    <row r="955" spans="1:33" ht="18" customHeight="1">
      <c r="A955" s="11139"/>
      <c r="B955" s="11136"/>
      <c r="C955" s="11124"/>
      <c r="D955" s="11124"/>
      <c r="E955" s="11124"/>
      <c r="F955" s="11124"/>
      <c r="G955" s="11124"/>
      <c r="H955" s="11124"/>
      <c r="I955" s="11124"/>
      <c r="J955" s="11124"/>
      <c r="K955" s="11124"/>
      <c r="L955" s="11131"/>
      <c r="M955" s="11131"/>
      <c r="N955" s="11131"/>
      <c r="O955" s="11124"/>
      <c r="P955" s="11124"/>
      <c r="Q955" s="11127"/>
      <c r="R955" s="5446"/>
      <c r="S955" s="3579"/>
      <c r="T955" s="3579"/>
      <c r="U955" s="3578"/>
      <c r="V955" s="4315"/>
      <c r="W955" s="3579"/>
      <c r="X955" s="5552"/>
      <c r="Y955" s="5552"/>
      <c r="Z955" s="5552"/>
      <c r="AA955" s="5553"/>
      <c r="AB955" s="5581"/>
      <c r="AC955" s="4316"/>
      <c r="AD955" s="3496"/>
      <c r="AE955" s="5610"/>
      <c r="AF955" s="5610"/>
      <c r="AG955" s="11115"/>
    </row>
    <row r="956" spans="1:33" ht="18" customHeight="1">
      <c r="A956" s="11139"/>
      <c r="B956" s="11136"/>
      <c r="C956" s="11124"/>
      <c r="D956" s="11124"/>
      <c r="E956" s="11124"/>
      <c r="F956" s="11124"/>
      <c r="G956" s="11124"/>
      <c r="H956" s="11124"/>
      <c r="I956" s="11124"/>
      <c r="J956" s="11124"/>
      <c r="K956" s="11124"/>
      <c r="L956" s="11131"/>
      <c r="M956" s="11131"/>
      <c r="N956" s="11131"/>
      <c r="O956" s="11124"/>
      <c r="P956" s="11124"/>
      <c r="Q956" s="11127"/>
      <c r="R956" s="5446"/>
      <c r="S956" s="3579"/>
      <c r="T956" s="3579"/>
      <c r="U956" s="3578"/>
      <c r="V956" s="4315"/>
      <c r="W956" s="3579"/>
      <c r="X956" s="5552"/>
      <c r="Y956" s="5552"/>
      <c r="Z956" s="5552"/>
      <c r="AA956" s="5553"/>
      <c r="AB956" s="5581"/>
      <c r="AC956" s="4316"/>
      <c r="AD956" s="3496"/>
      <c r="AE956" s="5610"/>
      <c r="AF956" s="5610"/>
      <c r="AG956" s="11115"/>
    </row>
    <row r="957" spans="1:33" ht="18" customHeight="1">
      <c r="A957" s="11139"/>
      <c r="B957" s="11137"/>
      <c r="C957" s="11125"/>
      <c r="D957" s="11125"/>
      <c r="E957" s="11125"/>
      <c r="F957" s="11125"/>
      <c r="G957" s="11125"/>
      <c r="H957" s="11125"/>
      <c r="I957" s="11125"/>
      <c r="J957" s="11125"/>
      <c r="K957" s="11125"/>
      <c r="L957" s="11134"/>
      <c r="M957" s="11134"/>
      <c r="N957" s="11134"/>
      <c r="O957" s="11125"/>
      <c r="P957" s="11125"/>
      <c r="Q957" s="11135"/>
      <c r="R957" s="5448"/>
      <c r="S957" s="3617"/>
      <c r="T957" s="3617"/>
      <c r="U957" s="3616"/>
      <c r="V957" s="4319"/>
      <c r="W957" s="3617"/>
      <c r="X957" s="5554"/>
      <c r="Y957" s="5554"/>
      <c r="Z957" s="5554"/>
      <c r="AA957" s="5555"/>
      <c r="AB957" s="5592"/>
      <c r="AC957" s="4320"/>
      <c r="AD957" s="3714"/>
      <c r="AE957" s="5624"/>
      <c r="AF957" s="5624"/>
      <c r="AG957" s="11116"/>
    </row>
    <row r="958" spans="1:33" ht="18" customHeight="1">
      <c r="A958" s="11139"/>
      <c r="B958" s="10516" t="s">
        <v>127</v>
      </c>
      <c r="C958" s="10433" t="s">
        <v>128</v>
      </c>
      <c r="D958" s="10433" t="s">
        <v>129</v>
      </c>
      <c r="E958" s="10433" t="s">
        <v>157</v>
      </c>
      <c r="F958" s="10442" t="s">
        <v>131</v>
      </c>
      <c r="G958" s="10433" t="s">
        <v>132</v>
      </c>
      <c r="H958" s="10433" t="s">
        <v>159</v>
      </c>
      <c r="I958" s="10433" t="s">
        <v>6034</v>
      </c>
      <c r="J958" s="10433" t="s">
        <v>6035</v>
      </c>
      <c r="K958" s="10433" t="s">
        <v>6036</v>
      </c>
      <c r="L958" s="11130">
        <v>1</v>
      </c>
      <c r="M958" s="11130">
        <v>2</v>
      </c>
      <c r="N958" s="11130">
        <v>2</v>
      </c>
      <c r="O958" s="10433" t="s">
        <v>6037</v>
      </c>
      <c r="P958" s="10433" t="s">
        <v>6038</v>
      </c>
      <c r="Q958" s="10439" t="s">
        <v>6169</v>
      </c>
      <c r="R958" s="5452"/>
      <c r="S958" s="3598"/>
      <c r="T958" s="3598"/>
      <c r="U958" s="4344"/>
      <c r="V958" s="4337"/>
      <c r="W958" s="3598"/>
      <c r="X958" s="5556"/>
      <c r="Y958" s="5556"/>
      <c r="Z958" s="5556"/>
      <c r="AA958" s="5557"/>
      <c r="AB958" s="5584"/>
      <c r="AC958" s="4338"/>
      <c r="AD958" s="3709"/>
      <c r="AE958" s="5626"/>
      <c r="AF958" s="5626"/>
      <c r="AG958" s="10525"/>
    </row>
    <row r="959" spans="1:33" ht="18" customHeight="1">
      <c r="A959" s="11139"/>
      <c r="B959" s="11136"/>
      <c r="C959" s="11124"/>
      <c r="D959" s="11124"/>
      <c r="E959" s="11124"/>
      <c r="F959" s="11124"/>
      <c r="G959" s="11124"/>
      <c r="H959" s="11124"/>
      <c r="I959" s="11124"/>
      <c r="J959" s="11124"/>
      <c r="K959" s="11124"/>
      <c r="L959" s="11131"/>
      <c r="M959" s="11131"/>
      <c r="N959" s="11131"/>
      <c r="O959" s="11124"/>
      <c r="P959" s="11124"/>
      <c r="Q959" s="11127"/>
      <c r="R959" s="5446"/>
      <c r="S959" s="3579"/>
      <c r="T959" s="3579"/>
      <c r="U959" s="3578"/>
      <c r="V959" s="4315"/>
      <c r="W959" s="3579"/>
      <c r="X959" s="5552"/>
      <c r="Y959" s="5552"/>
      <c r="Z959" s="5552"/>
      <c r="AA959" s="5553"/>
      <c r="AB959" s="5581"/>
      <c r="AC959" s="4316"/>
      <c r="AD959" s="3496"/>
      <c r="AE959" s="5610"/>
      <c r="AF959" s="5610"/>
      <c r="AG959" s="11115"/>
    </row>
    <row r="960" spans="1:33" ht="18" customHeight="1">
      <c r="A960" s="11139"/>
      <c r="B960" s="11136"/>
      <c r="C960" s="11124"/>
      <c r="D960" s="11124"/>
      <c r="E960" s="11124"/>
      <c r="F960" s="11124"/>
      <c r="G960" s="11124"/>
      <c r="H960" s="11124"/>
      <c r="I960" s="11124"/>
      <c r="J960" s="11124"/>
      <c r="K960" s="11124"/>
      <c r="L960" s="11131"/>
      <c r="M960" s="11131"/>
      <c r="N960" s="11131"/>
      <c r="O960" s="11124"/>
      <c r="P960" s="11124"/>
      <c r="Q960" s="11127"/>
      <c r="R960" s="5446"/>
      <c r="S960" s="3579"/>
      <c r="T960" s="3579"/>
      <c r="U960" s="3578"/>
      <c r="V960" s="4315"/>
      <c r="W960" s="3579"/>
      <c r="X960" s="5552"/>
      <c r="Y960" s="5552"/>
      <c r="Z960" s="5552"/>
      <c r="AA960" s="5553"/>
      <c r="AB960" s="5581"/>
      <c r="AC960" s="4316"/>
      <c r="AD960" s="3496"/>
      <c r="AE960" s="5610"/>
      <c r="AF960" s="5610"/>
      <c r="AG960" s="11115"/>
    </row>
    <row r="961" spans="1:33" ht="18" customHeight="1">
      <c r="A961" s="11139"/>
      <c r="B961" s="11136"/>
      <c r="C961" s="11124"/>
      <c r="D961" s="11124"/>
      <c r="E961" s="11124"/>
      <c r="F961" s="11124"/>
      <c r="G961" s="11124"/>
      <c r="H961" s="11124"/>
      <c r="I961" s="11124"/>
      <c r="J961" s="11124"/>
      <c r="K961" s="11124"/>
      <c r="L961" s="11131"/>
      <c r="M961" s="11131"/>
      <c r="N961" s="11131"/>
      <c r="O961" s="11124"/>
      <c r="P961" s="11124"/>
      <c r="Q961" s="11127"/>
      <c r="R961" s="5446"/>
      <c r="S961" s="3579"/>
      <c r="T961" s="3579"/>
      <c r="U961" s="3578"/>
      <c r="V961" s="4315"/>
      <c r="W961" s="3579"/>
      <c r="X961" s="5552"/>
      <c r="Y961" s="5552"/>
      <c r="Z961" s="5552"/>
      <c r="AA961" s="5553"/>
      <c r="AB961" s="5581"/>
      <c r="AC961" s="4316"/>
      <c r="AD961" s="3496"/>
      <c r="AE961" s="5610"/>
      <c r="AF961" s="5610"/>
      <c r="AG961" s="11115"/>
    </row>
    <row r="962" spans="1:33" ht="18" customHeight="1">
      <c r="A962" s="11139"/>
      <c r="B962" s="11138"/>
      <c r="C962" s="11126"/>
      <c r="D962" s="11126"/>
      <c r="E962" s="11126"/>
      <c r="F962" s="11126"/>
      <c r="G962" s="11126"/>
      <c r="H962" s="11126"/>
      <c r="I962" s="11126"/>
      <c r="J962" s="11126"/>
      <c r="K962" s="11126"/>
      <c r="L962" s="11132"/>
      <c r="M962" s="11132"/>
      <c r="N962" s="11132"/>
      <c r="O962" s="11126"/>
      <c r="P962" s="11126"/>
      <c r="Q962" s="11128"/>
      <c r="R962" s="5450"/>
      <c r="S962" s="3606"/>
      <c r="T962" s="3606"/>
      <c r="U962" s="3605"/>
      <c r="V962" s="4317"/>
      <c r="W962" s="3606"/>
      <c r="X962" s="5558"/>
      <c r="Y962" s="5558"/>
      <c r="Z962" s="5558"/>
      <c r="AA962" s="5559"/>
      <c r="AB962" s="5585"/>
      <c r="AC962" s="4318"/>
      <c r="AD962" s="3545"/>
      <c r="AE962" s="5625"/>
      <c r="AF962" s="5625"/>
      <c r="AG962" s="11116"/>
    </row>
    <row r="963" spans="1:33" ht="18" customHeight="1">
      <c r="A963" s="11139"/>
      <c r="B963" s="10512" t="s">
        <v>183</v>
      </c>
      <c r="C963" s="10444" t="s">
        <v>227</v>
      </c>
      <c r="D963" s="10444" t="s">
        <v>228</v>
      </c>
      <c r="E963" s="10444" t="s">
        <v>229</v>
      </c>
      <c r="F963" s="10451" t="s">
        <v>230</v>
      </c>
      <c r="G963" s="10444" t="s">
        <v>132</v>
      </c>
      <c r="H963" s="10444" t="s">
        <v>159</v>
      </c>
      <c r="I963" s="10444" t="s">
        <v>6039</v>
      </c>
      <c r="J963" s="10444" t="s">
        <v>6040</v>
      </c>
      <c r="K963" s="10444" t="s">
        <v>6022</v>
      </c>
      <c r="L963" s="11133">
        <v>0</v>
      </c>
      <c r="M963" s="11133">
        <v>1</v>
      </c>
      <c r="N963" s="11133">
        <v>0</v>
      </c>
      <c r="O963" s="10444" t="s">
        <v>6041</v>
      </c>
      <c r="P963" s="10444" t="s">
        <v>6042</v>
      </c>
      <c r="Q963" s="10449" t="s">
        <v>6169</v>
      </c>
      <c r="R963" s="5458"/>
      <c r="S963" s="3623"/>
      <c r="T963" s="3623"/>
      <c r="U963" s="4312"/>
      <c r="V963" s="4313"/>
      <c r="W963" s="3623"/>
      <c r="X963" s="5560"/>
      <c r="Y963" s="5560"/>
      <c r="Z963" s="5560"/>
      <c r="AA963" s="5561"/>
      <c r="AB963" s="5586"/>
      <c r="AC963" s="4314"/>
      <c r="AD963" s="3658"/>
      <c r="AE963" s="5623"/>
      <c r="AF963" s="5623"/>
      <c r="AG963" s="10525"/>
    </row>
    <row r="964" spans="1:33" ht="18" customHeight="1">
      <c r="A964" s="11139"/>
      <c r="B964" s="11136"/>
      <c r="C964" s="11124"/>
      <c r="D964" s="11124"/>
      <c r="E964" s="11124"/>
      <c r="F964" s="11124"/>
      <c r="G964" s="11124"/>
      <c r="H964" s="11124"/>
      <c r="I964" s="11124"/>
      <c r="J964" s="11124"/>
      <c r="K964" s="11124"/>
      <c r="L964" s="11131"/>
      <c r="M964" s="11131"/>
      <c r="N964" s="11131"/>
      <c r="O964" s="11124"/>
      <c r="P964" s="11124"/>
      <c r="Q964" s="11127"/>
      <c r="R964" s="5446"/>
      <c r="S964" s="3579"/>
      <c r="T964" s="3579"/>
      <c r="U964" s="3578"/>
      <c r="V964" s="4315"/>
      <c r="W964" s="3579"/>
      <c r="X964" s="5552"/>
      <c r="Y964" s="5552"/>
      <c r="Z964" s="5552"/>
      <c r="AA964" s="5553"/>
      <c r="AB964" s="5581"/>
      <c r="AC964" s="4316"/>
      <c r="AD964" s="3496"/>
      <c r="AE964" s="5610"/>
      <c r="AF964" s="5610"/>
      <c r="AG964" s="11115"/>
    </row>
    <row r="965" spans="1:33" ht="18" customHeight="1">
      <c r="A965" s="11139"/>
      <c r="B965" s="11136"/>
      <c r="C965" s="11124"/>
      <c r="D965" s="11124"/>
      <c r="E965" s="11124"/>
      <c r="F965" s="11124"/>
      <c r="G965" s="11124"/>
      <c r="H965" s="11124"/>
      <c r="I965" s="11124"/>
      <c r="J965" s="11124"/>
      <c r="K965" s="11124"/>
      <c r="L965" s="11131"/>
      <c r="M965" s="11131"/>
      <c r="N965" s="11131"/>
      <c r="O965" s="11124"/>
      <c r="P965" s="11124"/>
      <c r="Q965" s="11127"/>
      <c r="R965" s="5446"/>
      <c r="S965" s="3579"/>
      <c r="T965" s="3579"/>
      <c r="U965" s="3578"/>
      <c r="V965" s="4315"/>
      <c r="W965" s="3579"/>
      <c r="X965" s="5552"/>
      <c r="Y965" s="5552"/>
      <c r="Z965" s="5552"/>
      <c r="AA965" s="5553"/>
      <c r="AB965" s="5581"/>
      <c r="AC965" s="4316"/>
      <c r="AD965" s="3496"/>
      <c r="AE965" s="5610"/>
      <c r="AF965" s="5610"/>
      <c r="AG965" s="11115"/>
    </row>
    <row r="966" spans="1:33" ht="18" customHeight="1">
      <c r="A966" s="11139"/>
      <c r="B966" s="11136"/>
      <c r="C966" s="11124"/>
      <c r="D966" s="11124"/>
      <c r="E966" s="11124"/>
      <c r="F966" s="11124"/>
      <c r="G966" s="11124"/>
      <c r="H966" s="11124"/>
      <c r="I966" s="11124"/>
      <c r="J966" s="11124"/>
      <c r="K966" s="11124"/>
      <c r="L966" s="11131"/>
      <c r="M966" s="11131"/>
      <c r="N966" s="11131"/>
      <c r="O966" s="11124"/>
      <c r="P966" s="11124"/>
      <c r="Q966" s="11127"/>
      <c r="R966" s="5446"/>
      <c r="S966" s="3579"/>
      <c r="T966" s="3579"/>
      <c r="U966" s="3578"/>
      <c r="V966" s="4315"/>
      <c r="W966" s="3579"/>
      <c r="X966" s="5552"/>
      <c r="Y966" s="5552"/>
      <c r="Z966" s="5552"/>
      <c r="AA966" s="5553"/>
      <c r="AB966" s="5581"/>
      <c r="AC966" s="4316"/>
      <c r="AD966" s="3496"/>
      <c r="AE966" s="5610"/>
      <c r="AF966" s="5610"/>
      <c r="AG966" s="11115"/>
    </row>
    <row r="967" spans="1:33" ht="18" customHeight="1">
      <c r="A967" s="11139"/>
      <c r="B967" s="11137"/>
      <c r="C967" s="11125"/>
      <c r="D967" s="11125"/>
      <c r="E967" s="11125"/>
      <c r="F967" s="11125"/>
      <c r="G967" s="11125"/>
      <c r="H967" s="11125"/>
      <c r="I967" s="11125"/>
      <c r="J967" s="11125"/>
      <c r="K967" s="11125"/>
      <c r="L967" s="11134"/>
      <c r="M967" s="11134"/>
      <c r="N967" s="11134"/>
      <c r="O967" s="11125"/>
      <c r="P967" s="11125"/>
      <c r="Q967" s="11135"/>
      <c r="R967" s="5448"/>
      <c r="S967" s="3617"/>
      <c r="T967" s="3617"/>
      <c r="U967" s="3616"/>
      <c r="V967" s="4319"/>
      <c r="W967" s="3617"/>
      <c r="X967" s="5554"/>
      <c r="Y967" s="5554"/>
      <c r="Z967" s="5554"/>
      <c r="AA967" s="5555"/>
      <c r="AB967" s="5592"/>
      <c r="AC967" s="4320"/>
      <c r="AD967" s="3714"/>
      <c r="AE967" s="5624"/>
      <c r="AF967" s="5624"/>
      <c r="AG967" s="11116"/>
    </row>
    <row r="968" spans="1:33" ht="18" customHeight="1">
      <c r="A968" s="11139"/>
      <c r="B968" s="10516" t="s">
        <v>183</v>
      </c>
      <c r="C968" s="10433" t="s">
        <v>227</v>
      </c>
      <c r="D968" s="10433" t="s">
        <v>228</v>
      </c>
      <c r="E968" s="10433" t="s">
        <v>229</v>
      </c>
      <c r="F968" s="10442" t="s">
        <v>230</v>
      </c>
      <c r="G968" s="10433" t="s">
        <v>132</v>
      </c>
      <c r="H968" s="10433" t="s">
        <v>159</v>
      </c>
      <c r="I968" s="10433" t="s">
        <v>6043</v>
      </c>
      <c r="J968" s="10433" t="s">
        <v>6044</v>
      </c>
      <c r="K968" s="10433" t="s">
        <v>5882</v>
      </c>
      <c r="L968" s="11130">
        <v>2</v>
      </c>
      <c r="M968" s="11130">
        <v>0</v>
      </c>
      <c r="N968" s="11130">
        <v>2</v>
      </c>
      <c r="O968" s="10433" t="s">
        <v>6045</v>
      </c>
      <c r="P968" s="10433" t="s">
        <v>6046</v>
      </c>
      <c r="Q968" s="10439" t="s">
        <v>6169</v>
      </c>
      <c r="R968" s="5452"/>
      <c r="S968" s="3598"/>
      <c r="T968" s="3598"/>
      <c r="U968" s="4344"/>
      <c r="V968" s="4337"/>
      <c r="W968" s="3598"/>
      <c r="X968" s="5556"/>
      <c r="Y968" s="5556"/>
      <c r="Z968" s="5556"/>
      <c r="AA968" s="5557"/>
      <c r="AB968" s="5584"/>
      <c r="AC968" s="4338"/>
      <c r="AD968" s="3709"/>
      <c r="AE968" s="5626"/>
      <c r="AF968" s="5626"/>
      <c r="AG968" s="10525"/>
    </row>
    <row r="969" spans="1:33" ht="18" customHeight="1">
      <c r="A969" s="11139"/>
      <c r="B969" s="11136"/>
      <c r="C969" s="11124"/>
      <c r="D969" s="11124"/>
      <c r="E969" s="11124"/>
      <c r="F969" s="11124"/>
      <c r="G969" s="11124"/>
      <c r="H969" s="11124"/>
      <c r="I969" s="11124"/>
      <c r="J969" s="11124"/>
      <c r="K969" s="11124"/>
      <c r="L969" s="11131"/>
      <c r="M969" s="11131"/>
      <c r="N969" s="11131"/>
      <c r="O969" s="11124"/>
      <c r="P969" s="11124"/>
      <c r="Q969" s="11127"/>
      <c r="R969" s="5446"/>
      <c r="S969" s="3579"/>
      <c r="T969" s="3579"/>
      <c r="U969" s="3578"/>
      <c r="V969" s="4315"/>
      <c r="W969" s="3579"/>
      <c r="X969" s="5552"/>
      <c r="Y969" s="5552"/>
      <c r="Z969" s="5552"/>
      <c r="AA969" s="5553"/>
      <c r="AB969" s="5581"/>
      <c r="AC969" s="4316"/>
      <c r="AD969" s="3496"/>
      <c r="AE969" s="5610"/>
      <c r="AF969" s="5610"/>
      <c r="AG969" s="11115"/>
    </row>
    <row r="970" spans="1:33" ht="18" customHeight="1">
      <c r="A970" s="11139"/>
      <c r="B970" s="11136"/>
      <c r="C970" s="11124"/>
      <c r="D970" s="11124"/>
      <c r="E970" s="11124"/>
      <c r="F970" s="11124"/>
      <c r="G970" s="11124"/>
      <c r="H970" s="11124"/>
      <c r="I970" s="11124"/>
      <c r="J970" s="11124"/>
      <c r="K970" s="11124"/>
      <c r="L970" s="11131"/>
      <c r="M970" s="11131"/>
      <c r="N970" s="11131"/>
      <c r="O970" s="11124"/>
      <c r="P970" s="11124"/>
      <c r="Q970" s="11127"/>
      <c r="R970" s="5446"/>
      <c r="S970" s="3579"/>
      <c r="T970" s="3579"/>
      <c r="U970" s="3578"/>
      <c r="V970" s="4315"/>
      <c r="W970" s="3579"/>
      <c r="X970" s="5552"/>
      <c r="Y970" s="5552"/>
      <c r="Z970" s="5552"/>
      <c r="AA970" s="5553"/>
      <c r="AB970" s="5581"/>
      <c r="AC970" s="4316"/>
      <c r="AD970" s="3496"/>
      <c r="AE970" s="5610"/>
      <c r="AF970" s="5610"/>
      <c r="AG970" s="11115"/>
    </row>
    <row r="971" spans="1:33" ht="18" customHeight="1">
      <c r="A971" s="11139"/>
      <c r="B971" s="11136"/>
      <c r="C971" s="11124"/>
      <c r="D971" s="11124"/>
      <c r="E971" s="11124"/>
      <c r="F971" s="11124"/>
      <c r="G971" s="11124"/>
      <c r="H971" s="11124"/>
      <c r="I971" s="11124"/>
      <c r="J971" s="11124"/>
      <c r="K971" s="11124"/>
      <c r="L971" s="11131"/>
      <c r="M971" s="11131"/>
      <c r="N971" s="11131"/>
      <c r="O971" s="11124"/>
      <c r="P971" s="11124"/>
      <c r="Q971" s="11127"/>
      <c r="R971" s="5446"/>
      <c r="S971" s="3579"/>
      <c r="T971" s="3579"/>
      <c r="U971" s="3578"/>
      <c r="V971" s="4315"/>
      <c r="W971" s="3579"/>
      <c r="X971" s="5552"/>
      <c r="Y971" s="5552"/>
      <c r="Z971" s="5552"/>
      <c r="AA971" s="5553"/>
      <c r="AB971" s="5581"/>
      <c r="AC971" s="4316"/>
      <c r="AD971" s="3496"/>
      <c r="AE971" s="5610"/>
      <c r="AF971" s="5610"/>
      <c r="AG971" s="11115"/>
    </row>
    <row r="972" spans="1:33" ht="18" customHeight="1">
      <c r="A972" s="11139"/>
      <c r="B972" s="11138"/>
      <c r="C972" s="11126"/>
      <c r="D972" s="11126"/>
      <c r="E972" s="11126"/>
      <c r="F972" s="11126"/>
      <c r="G972" s="11126"/>
      <c r="H972" s="11126"/>
      <c r="I972" s="11126"/>
      <c r="J972" s="11126"/>
      <c r="K972" s="11126"/>
      <c r="L972" s="11132"/>
      <c r="M972" s="11132"/>
      <c r="N972" s="11132"/>
      <c r="O972" s="11126"/>
      <c r="P972" s="11126"/>
      <c r="Q972" s="11128"/>
      <c r="R972" s="5450"/>
      <c r="S972" s="3606"/>
      <c r="T972" s="3606"/>
      <c r="U972" s="3605"/>
      <c r="V972" s="4317"/>
      <c r="W972" s="3606"/>
      <c r="X972" s="5558"/>
      <c r="Y972" s="5558"/>
      <c r="Z972" s="5558"/>
      <c r="AA972" s="5559"/>
      <c r="AB972" s="5585"/>
      <c r="AC972" s="4318"/>
      <c r="AD972" s="3545"/>
      <c r="AE972" s="5625"/>
      <c r="AF972" s="5625"/>
      <c r="AG972" s="11116"/>
    </row>
    <row r="973" spans="1:33" ht="18" customHeight="1">
      <c r="A973" s="11139"/>
      <c r="B973" s="10512" t="s">
        <v>183</v>
      </c>
      <c r="C973" s="10444" t="s">
        <v>227</v>
      </c>
      <c r="D973" s="10444" t="s">
        <v>228</v>
      </c>
      <c r="E973" s="10444" t="s">
        <v>229</v>
      </c>
      <c r="F973" s="10451" t="s">
        <v>230</v>
      </c>
      <c r="G973" s="10444" t="s">
        <v>132</v>
      </c>
      <c r="H973" s="10444" t="s">
        <v>159</v>
      </c>
      <c r="I973" s="10444" t="s">
        <v>6047</v>
      </c>
      <c r="J973" s="10444" t="s">
        <v>6048</v>
      </c>
      <c r="K973" s="10444" t="s">
        <v>6049</v>
      </c>
      <c r="L973" s="11133">
        <v>4</v>
      </c>
      <c r="M973" s="11133">
        <v>4</v>
      </c>
      <c r="N973" s="11133">
        <v>4</v>
      </c>
      <c r="O973" s="10444" t="s">
        <v>6050</v>
      </c>
      <c r="P973" s="10444" t="s">
        <v>6051</v>
      </c>
      <c r="Q973" s="10449" t="s">
        <v>6171</v>
      </c>
      <c r="R973" s="5458"/>
      <c r="S973" s="3623"/>
      <c r="T973" s="3623"/>
      <c r="U973" s="4312"/>
      <c r="V973" s="4313"/>
      <c r="W973" s="3623"/>
      <c r="X973" s="5560"/>
      <c r="Y973" s="5560"/>
      <c r="Z973" s="5560"/>
      <c r="AA973" s="5561"/>
      <c r="AB973" s="5586"/>
      <c r="AC973" s="4314"/>
      <c r="AD973" s="3658"/>
      <c r="AE973" s="5623"/>
      <c r="AF973" s="5623"/>
      <c r="AG973" s="10525"/>
    </row>
    <row r="974" spans="1:33" ht="18" customHeight="1">
      <c r="A974" s="11139"/>
      <c r="B974" s="11136"/>
      <c r="C974" s="11124"/>
      <c r="D974" s="11124"/>
      <c r="E974" s="11124"/>
      <c r="F974" s="11124"/>
      <c r="G974" s="11124"/>
      <c r="H974" s="11124"/>
      <c r="I974" s="11124"/>
      <c r="J974" s="11124"/>
      <c r="K974" s="11124"/>
      <c r="L974" s="11131"/>
      <c r="M974" s="11131"/>
      <c r="N974" s="11131"/>
      <c r="O974" s="11124"/>
      <c r="P974" s="11124"/>
      <c r="Q974" s="11127"/>
      <c r="R974" s="5446"/>
      <c r="S974" s="3579"/>
      <c r="T974" s="3579"/>
      <c r="U974" s="3578"/>
      <c r="V974" s="4315"/>
      <c r="W974" s="3579"/>
      <c r="X974" s="5552"/>
      <c r="Y974" s="5552"/>
      <c r="Z974" s="5552"/>
      <c r="AA974" s="5553"/>
      <c r="AB974" s="5581"/>
      <c r="AC974" s="4316"/>
      <c r="AD974" s="3496"/>
      <c r="AE974" s="5610"/>
      <c r="AF974" s="5610"/>
      <c r="AG974" s="11115"/>
    </row>
    <row r="975" spans="1:33" ht="18" customHeight="1">
      <c r="A975" s="11139"/>
      <c r="B975" s="11136"/>
      <c r="C975" s="11124"/>
      <c r="D975" s="11124"/>
      <c r="E975" s="11124"/>
      <c r="F975" s="11124"/>
      <c r="G975" s="11124"/>
      <c r="H975" s="11124"/>
      <c r="I975" s="11124"/>
      <c r="J975" s="11124"/>
      <c r="K975" s="11124"/>
      <c r="L975" s="11131"/>
      <c r="M975" s="11131"/>
      <c r="N975" s="11131"/>
      <c r="O975" s="11124"/>
      <c r="P975" s="11124"/>
      <c r="Q975" s="11127"/>
      <c r="R975" s="5446"/>
      <c r="S975" s="3579"/>
      <c r="T975" s="3579"/>
      <c r="U975" s="3578"/>
      <c r="V975" s="4315"/>
      <c r="W975" s="3579"/>
      <c r="X975" s="5552"/>
      <c r="Y975" s="5552"/>
      <c r="Z975" s="5552"/>
      <c r="AA975" s="5553"/>
      <c r="AB975" s="5581"/>
      <c r="AC975" s="4316"/>
      <c r="AD975" s="3496"/>
      <c r="AE975" s="5610"/>
      <c r="AF975" s="5610"/>
      <c r="AG975" s="11115"/>
    </row>
    <row r="976" spans="1:33" ht="18" customHeight="1">
      <c r="A976" s="11139"/>
      <c r="B976" s="11136"/>
      <c r="C976" s="11124"/>
      <c r="D976" s="11124"/>
      <c r="E976" s="11124"/>
      <c r="F976" s="11124"/>
      <c r="G976" s="11124"/>
      <c r="H976" s="11124"/>
      <c r="I976" s="11124"/>
      <c r="J976" s="11124"/>
      <c r="K976" s="11124"/>
      <c r="L976" s="11131"/>
      <c r="M976" s="11131"/>
      <c r="N976" s="11131"/>
      <c r="O976" s="11124"/>
      <c r="P976" s="11124"/>
      <c r="Q976" s="11127"/>
      <c r="R976" s="5446"/>
      <c r="S976" s="3579"/>
      <c r="T976" s="3579"/>
      <c r="U976" s="3578"/>
      <c r="V976" s="4315"/>
      <c r="W976" s="3579"/>
      <c r="X976" s="5552"/>
      <c r="Y976" s="5552"/>
      <c r="Z976" s="5552"/>
      <c r="AA976" s="5553"/>
      <c r="AB976" s="5581"/>
      <c r="AC976" s="4316"/>
      <c r="AD976" s="3496"/>
      <c r="AE976" s="5610"/>
      <c r="AF976" s="5610"/>
      <c r="AG976" s="11115"/>
    </row>
    <row r="977" spans="1:33" ht="18" customHeight="1">
      <c r="A977" s="11139"/>
      <c r="B977" s="11137"/>
      <c r="C977" s="11125"/>
      <c r="D977" s="11125"/>
      <c r="E977" s="11125"/>
      <c r="F977" s="11125"/>
      <c r="G977" s="11125"/>
      <c r="H977" s="11125"/>
      <c r="I977" s="11125"/>
      <c r="J977" s="11125"/>
      <c r="K977" s="11125"/>
      <c r="L977" s="11134"/>
      <c r="M977" s="11134"/>
      <c r="N977" s="11134"/>
      <c r="O977" s="11125"/>
      <c r="P977" s="11125"/>
      <c r="Q977" s="11135"/>
      <c r="R977" s="5448"/>
      <c r="S977" s="3617"/>
      <c r="T977" s="3617"/>
      <c r="U977" s="3616"/>
      <c r="V977" s="4319"/>
      <c r="W977" s="3617"/>
      <c r="X977" s="5554"/>
      <c r="Y977" s="5554"/>
      <c r="Z977" s="5554"/>
      <c r="AA977" s="5555"/>
      <c r="AB977" s="5592"/>
      <c r="AC977" s="4320"/>
      <c r="AD977" s="3714"/>
      <c r="AE977" s="5624"/>
      <c r="AF977" s="5624"/>
      <c r="AG977" s="11116"/>
    </row>
    <row r="978" spans="1:33" ht="18" customHeight="1">
      <c r="A978" s="11139"/>
      <c r="B978" s="10516" t="s">
        <v>183</v>
      </c>
      <c r="C978" s="10433" t="s">
        <v>227</v>
      </c>
      <c r="D978" s="10433" t="s">
        <v>228</v>
      </c>
      <c r="E978" s="10433" t="s">
        <v>229</v>
      </c>
      <c r="F978" s="10442" t="s">
        <v>230</v>
      </c>
      <c r="G978" s="10433" t="s">
        <v>132</v>
      </c>
      <c r="H978" s="10433" t="s">
        <v>159</v>
      </c>
      <c r="I978" s="10433" t="s">
        <v>6053</v>
      </c>
      <c r="J978" s="10433" t="s">
        <v>6054</v>
      </c>
      <c r="K978" s="10433" t="s">
        <v>6022</v>
      </c>
      <c r="L978" s="11130">
        <v>1</v>
      </c>
      <c r="M978" s="11130">
        <v>1</v>
      </c>
      <c r="N978" s="11130">
        <v>1</v>
      </c>
      <c r="O978" s="10433" t="s">
        <v>6055</v>
      </c>
      <c r="P978" s="10433" t="s">
        <v>6056</v>
      </c>
      <c r="Q978" s="10439" t="s">
        <v>6171</v>
      </c>
      <c r="R978" s="5452"/>
      <c r="S978" s="3598"/>
      <c r="T978" s="3598"/>
      <c r="U978" s="4344"/>
      <c r="V978" s="4337"/>
      <c r="W978" s="3598"/>
      <c r="X978" s="5556"/>
      <c r="Y978" s="5556"/>
      <c r="Z978" s="5556"/>
      <c r="AA978" s="5557"/>
      <c r="AB978" s="5584"/>
      <c r="AC978" s="4338"/>
      <c r="AD978" s="3709"/>
      <c r="AE978" s="5626"/>
      <c r="AF978" s="5626"/>
      <c r="AG978" s="10525"/>
    </row>
    <row r="979" spans="1:33" ht="18" customHeight="1">
      <c r="A979" s="11139"/>
      <c r="B979" s="11136"/>
      <c r="C979" s="11124"/>
      <c r="D979" s="11124"/>
      <c r="E979" s="11124"/>
      <c r="F979" s="11124"/>
      <c r="G979" s="11124"/>
      <c r="H979" s="11124"/>
      <c r="I979" s="11124"/>
      <c r="J979" s="11124"/>
      <c r="K979" s="11124"/>
      <c r="L979" s="11131"/>
      <c r="M979" s="11131"/>
      <c r="N979" s="11131"/>
      <c r="O979" s="11124"/>
      <c r="P979" s="11124"/>
      <c r="Q979" s="11127"/>
      <c r="R979" s="5446"/>
      <c r="S979" s="3579"/>
      <c r="T979" s="3579"/>
      <c r="U979" s="3578"/>
      <c r="V979" s="4315"/>
      <c r="W979" s="3579"/>
      <c r="X979" s="5552"/>
      <c r="Y979" s="5552"/>
      <c r="Z979" s="5552"/>
      <c r="AA979" s="5553"/>
      <c r="AB979" s="5581"/>
      <c r="AC979" s="4316"/>
      <c r="AD979" s="3496"/>
      <c r="AE979" s="5610"/>
      <c r="AF979" s="5610"/>
      <c r="AG979" s="11115"/>
    </row>
    <row r="980" spans="1:33" ht="18" customHeight="1">
      <c r="A980" s="11139"/>
      <c r="B980" s="11136"/>
      <c r="C980" s="11124"/>
      <c r="D980" s="11124"/>
      <c r="E980" s="11124"/>
      <c r="F980" s="11124"/>
      <c r="G980" s="11124"/>
      <c r="H980" s="11124"/>
      <c r="I980" s="11124"/>
      <c r="J980" s="11124"/>
      <c r="K980" s="11124"/>
      <c r="L980" s="11131"/>
      <c r="M980" s="11131"/>
      <c r="N980" s="11131"/>
      <c r="O980" s="11124"/>
      <c r="P980" s="11124"/>
      <c r="Q980" s="11127"/>
      <c r="R980" s="5446"/>
      <c r="S980" s="3579"/>
      <c r="T980" s="3579"/>
      <c r="U980" s="3578"/>
      <c r="V980" s="4315"/>
      <c r="W980" s="3579"/>
      <c r="X980" s="5552"/>
      <c r="Y980" s="5552"/>
      <c r="Z980" s="5552"/>
      <c r="AA980" s="5553"/>
      <c r="AB980" s="5581"/>
      <c r="AC980" s="4316"/>
      <c r="AD980" s="3496"/>
      <c r="AE980" s="5610"/>
      <c r="AF980" s="5610"/>
      <c r="AG980" s="11115"/>
    </row>
    <row r="981" spans="1:33" ht="18" customHeight="1">
      <c r="A981" s="11139"/>
      <c r="B981" s="11136"/>
      <c r="C981" s="11124"/>
      <c r="D981" s="11124"/>
      <c r="E981" s="11124"/>
      <c r="F981" s="11124"/>
      <c r="G981" s="11124"/>
      <c r="H981" s="11124"/>
      <c r="I981" s="11124"/>
      <c r="J981" s="11124"/>
      <c r="K981" s="11124"/>
      <c r="L981" s="11131"/>
      <c r="M981" s="11131"/>
      <c r="N981" s="11131"/>
      <c r="O981" s="11124"/>
      <c r="P981" s="11124"/>
      <c r="Q981" s="11127"/>
      <c r="R981" s="5446"/>
      <c r="S981" s="3579"/>
      <c r="T981" s="3579"/>
      <c r="U981" s="3578"/>
      <c r="V981" s="4315"/>
      <c r="W981" s="3579"/>
      <c r="X981" s="5552"/>
      <c r="Y981" s="5552"/>
      <c r="Z981" s="5552"/>
      <c r="AA981" s="5553"/>
      <c r="AB981" s="5581"/>
      <c r="AC981" s="4316"/>
      <c r="AD981" s="3496"/>
      <c r="AE981" s="5610"/>
      <c r="AF981" s="5610"/>
      <c r="AG981" s="11115"/>
    </row>
    <row r="982" spans="1:33" ht="18" customHeight="1">
      <c r="A982" s="11139"/>
      <c r="B982" s="11138"/>
      <c r="C982" s="11126"/>
      <c r="D982" s="11126"/>
      <c r="E982" s="11126"/>
      <c r="F982" s="11126"/>
      <c r="G982" s="11126"/>
      <c r="H982" s="11126"/>
      <c r="I982" s="11126"/>
      <c r="J982" s="11126"/>
      <c r="K982" s="11126"/>
      <c r="L982" s="11132"/>
      <c r="M982" s="11132"/>
      <c r="N982" s="11132"/>
      <c r="O982" s="11126"/>
      <c r="P982" s="11126"/>
      <c r="Q982" s="11128"/>
      <c r="R982" s="5450"/>
      <c r="S982" s="3606"/>
      <c r="T982" s="3606"/>
      <c r="U982" s="3605"/>
      <c r="V982" s="4317"/>
      <c r="W982" s="3606"/>
      <c r="X982" s="5558"/>
      <c r="Y982" s="5558"/>
      <c r="Z982" s="5558"/>
      <c r="AA982" s="5559"/>
      <c r="AB982" s="5585"/>
      <c r="AC982" s="4318"/>
      <c r="AD982" s="3545"/>
      <c r="AE982" s="5625"/>
      <c r="AF982" s="5625"/>
      <c r="AG982" s="11116"/>
    </row>
    <row r="983" spans="1:33" ht="18" customHeight="1">
      <c r="A983" s="11139"/>
      <c r="B983" s="10512" t="s">
        <v>183</v>
      </c>
      <c r="C983" s="10444" t="s">
        <v>227</v>
      </c>
      <c r="D983" s="10444" t="s">
        <v>228</v>
      </c>
      <c r="E983" s="10444" t="s">
        <v>229</v>
      </c>
      <c r="F983" s="10451" t="s">
        <v>230</v>
      </c>
      <c r="G983" s="10444" t="s">
        <v>132</v>
      </c>
      <c r="H983" s="10444" t="s">
        <v>159</v>
      </c>
      <c r="I983" s="10444" t="s">
        <v>6057</v>
      </c>
      <c r="J983" s="10444" t="s">
        <v>6058</v>
      </c>
      <c r="K983" s="10444" t="s">
        <v>6049</v>
      </c>
      <c r="L983" s="11133">
        <v>0</v>
      </c>
      <c r="M983" s="11133">
        <v>1</v>
      </c>
      <c r="N983" s="11133">
        <v>1</v>
      </c>
      <c r="O983" s="10444" t="s">
        <v>6059</v>
      </c>
      <c r="P983" s="10444" t="s">
        <v>6060</v>
      </c>
      <c r="Q983" s="10449" t="s">
        <v>6171</v>
      </c>
      <c r="R983" s="5458"/>
      <c r="S983" s="3623"/>
      <c r="T983" s="3623"/>
      <c r="U983" s="4312"/>
      <c r="V983" s="4313"/>
      <c r="W983" s="3623"/>
      <c r="X983" s="5560"/>
      <c r="Y983" s="5560"/>
      <c r="Z983" s="5560"/>
      <c r="AA983" s="5561"/>
      <c r="AB983" s="5586"/>
      <c r="AC983" s="4314"/>
      <c r="AD983" s="3658"/>
      <c r="AE983" s="5623"/>
      <c r="AF983" s="5623"/>
      <c r="AG983" s="10525"/>
    </row>
    <row r="984" spans="1:33" ht="18" customHeight="1">
      <c r="A984" s="11139"/>
      <c r="B984" s="11136"/>
      <c r="C984" s="11124"/>
      <c r="D984" s="11124"/>
      <c r="E984" s="11124"/>
      <c r="F984" s="11124"/>
      <c r="G984" s="11124"/>
      <c r="H984" s="11124"/>
      <c r="I984" s="11124"/>
      <c r="J984" s="11124"/>
      <c r="K984" s="11124"/>
      <c r="L984" s="11131"/>
      <c r="M984" s="11131"/>
      <c r="N984" s="11131"/>
      <c r="O984" s="11124"/>
      <c r="P984" s="11124"/>
      <c r="Q984" s="11127"/>
      <c r="R984" s="5446"/>
      <c r="S984" s="3579"/>
      <c r="T984" s="3579"/>
      <c r="U984" s="3578"/>
      <c r="V984" s="4315"/>
      <c r="W984" s="3579"/>
      <c r="X984" s="5552"/>
      <c r="Y984" s="5552"/>
      <c r="Z984" s="5552"/>
      <c r="AA984" s="5553"/>
      <c r="AB984" s="5581"/>
      <c r="AC984" s="4316"/>
      <c r="AD984" s="3496"/>
      <c r="AE984" s="5610"/>
      <c r="AF984" s="5610"/>
      <c r="AG984" s="11115"/>
    </row>
    <row r="985" spans="1:33" ht="18" customHeight="1">
      <c r="A985" s="11139"/>
      <c r="B985" s="11136"/>
      <c r="C985" s="11124"/>
      <c r="D985" s="11124"/>
      <c r="E985" s="11124"/>
      <c r="F985" s="11124"/>
      <c r="G985" s="11124"/>
      <c r="H985" s="11124"/>
      <c r="I985" s="11124"/>
      <c r="J985" s="11124"/>
      <c r="K985" s="11124"/>
      <c r="L985" s="11131"/>
      <c r="M985" s="11131"/>
      <c r="N985" s="11131"/>
      <c r="O985" s="11124"/>
      <c r="P985" s="11124"/>
      <c r="Q985" s="11127"/>
      <c r="R985" s="5446"/>
      <c r="S985" s="3579"/>
      <c r="T985" s="3579"/>
      <c r="U985" s="3578"/>
      <c r="V985" s="4315"/>
      <c r="W985" s="3579"/>
      <c r="X985" s="5552"/>
      <c r="Y985" s="5552"/>
      <c r="Z985" s="5552"/>
      <c r="AA985" s="5553"/>
      <c r="AB985" s="5581"/>
      <c r="AC985" s="4316"/>
      <c r="AD985" s="3496"/>
      <c r="AE985" s="5610"/>
      <c r="AF985" s="5610"/>
      <c r="AG985" s="11115"/>
    </row>
    <row r="986" spans="1:33" ht="18" customHeight="1">
      <c r="A986" s="11139"/>
      <c r="B986" s="11136"/>
      <c r="C986" s="11124"/>
      <c r="D986" s="11124"/>
      <c r="E986" s="11124"/>
      <c r="F986" s="11124"/>
      <c r="G986" s="11124"/>
      <c r="H986" s="11124"/>
      <c r="I986" s="11124"/>
      <c r="J986" s="11124"/>
      <c r="K986" s="11124"/>
      <c r="L986" s="11131"/>
      <c r="M986" s="11131"/>
      <c r="N986" s="11131"/>
      <c r="O986" s="11124"/>
      <c r="P986" s="11124"/>
      <c r="Q986" s="11127"/>
      <c r="R986" s="5446"/>
      <c r="S986" s="3579"/>
      <c r="T986" s="3579"/>
      <c r="U986" s="3578"/>
      <c r="V986" s="4315"/>
      <c r="W986" s="3579"/>
      <c r="X986" s="5552"/>
      <c r="Y986" s="5552"/>
      <c r="Z986" s="5552"/>
      <c r="AA986" s="5553"/>
      <c r="AB986" s="5581"/>
      <c r="AC986" s="4316"/>
      <c r="AD986" s="3496"/>
      <c r="AE986" s="5610"/>
      <c r="AF986" s="5610"/>
      <c r="AG986" s="11115"/>
    </row>
    <row r="987" spans="1:33" ht="18" customHeight="1">
      <c r="A987" s="11139"/>
      <c r="B987" s="11137"/>
      <c r="C987" s="11125"/>
      <c r="D987" s="11125"/>
      <c r="E987" s="11125"/>
      <c r="F987" s="11125"/>
      <c r="G987" s="11125"/>
      <c r="H987" s="11125"/>
      <c r="I987" s="11125"/>
      <c r="J987" s="11125"/>
      <c r="K987" s="11125"/>
      <c r="L987" s="11134"/>
      <c r="M987" s="11134"/>
      <c r="N987" s="11134"/>
      <c r="O987" s="11125"/>
      <c r="P987" s="11125"/>
      <c r="Q987" s="11135"/>
      <c r="R987" s="5448"/>
      <c r="S987" s="3617"/>
      <c r="T987" s="3617"/>
      <c r="U987" s="3616"/>
      <c r="V987" s="4319"/>
      <c r="W987" s="3617"/>
      <c r="X987" s="5554"/>
      <c r="Y987" s="5554"/>
      <c r="Z987" s="5554"/>
      <c r="AA987" s="5555"/>
      <c r="AB987" s="5592"/>
      <c r="AC987" s="4320"/>
      <c r="AD987" s="3714"/>
      <c r="AE987" s="5624"/>
      <c r="AF987" s="5624"/>
      <c r="AG987" s="11116"/>
    </row>
    <row r="988" spans="1:33" ht="18" customHeight="1">
      <c r="A988" s="11139"/>
      <c r="B988" s="10516" t="s">
        <v>127</v>
      </c>
      <c r="C988" s="10433" t="s">
        <v>128</v>
      </c>
      <c r="D988" s="10433" t="s">
        <v>129</v>
      </c>
      <c r="E988" s="10433" t="s">
        <v>157</v>
      </c>
      <c r="F988" s="10442" t="s">
        <v>131</v>
      </c>
      <c r="G988" s="10433" t="s">
        <v>132</v>
      </c>
      <c r="H988" s="10433" t="s">
        <v>159</v>
      </c>
      <c r="I988" s="10433" t="s">
        <v>6061</v>
      </c>
      <c r="J988" s="10433" t="s">
        <v>6062</v>
      </c>
      <c r="K988" s="10433" t="s">
        <v>6063</v>
      </c>
      <c r="L988" s="11130">
        <v>1</v>
      </c>
      <c r="M988" s="11130">
        <v>1</v>
      </c>
      <c r="N988" s="11130">
        <v>1</v>
      </c>
      <c r="O988" s="10433" t="s">
        <v>6064</v>
      </c>
      <c r="P988" s="10433" t="s">
        <v>6065</v>
      </c>
      <c r="Q988" s="10439" t="s">
        <v>6169</v>
      </c>
      <c r="R988" s="5452"/>
      <c r="S988" s="3598"/>
      <c r="T988" s="3598"/>
      <c r="U988" s="4344"/>
      <c r="V988" s="4337"/>
      <c r="W988" s="3598"/>
      <c r="X988" s="5556"/>
      <c r="Y988" s="5556"/>
      <c r="Z988" s="5556"/>
      <c r="AA988" s="5557"/>
      <c r="AB988" s="5584"/>
      <c r="AC988" s="4338"/>
      <c r="AD988" s="3709"/>
      <c r="AE988" s="5626"/>
      <c r="AF988" s="5626"/>
      <c r="AG988" s="10525"/>
    </row>
    <row r="989" spans="1:33" ht="18" customHeight="1">
      <c r="A989" s="11139"/>
      <c r="B989" s="11136"/>
      <c r="C989" s="11124"/>
      <c r="D989" s="11124"/>
      <c r="E989" s="11124"/>
      <c r="F989" s="11124"/>
      <c r="G989" s="11124"/>
      <c r="H989" s="11124"/>
      <c r="I989" s="11124"/>
      <c r="J989" s="11124"/>
      <c r="K989" s="11124"/>
      <c r="L989" s="11131"/>
      <c r="M989" s="11131"/>
      <c r="N989" s="11131"/>
      <c r="O989" s="11124"/>
      <c r="P989" s="11124"/>
      <c r="Q989" s="11127"/>
      <c r="R989" s="5446"/>
      <c r="S989" s="3579"/>
      <c r="T989" s="3579"/>
      <c r="U989" s="3578"/>
      <c r="V989" s="4315"/>
      <c r="W989" s="3579"/>
      <c r="X989" s="5552"/>
      <c r="Y989" s="5552"/>
      <c r="Z989" s="5552"/>
      <c r="AA989" s="5553"/>
      <c r="AB989" s="5581"/>
      <c r="AC989" s="4316"/>
      <c r="AD989" s="3496"/>
      <c r="AE989" s="5610"/>
      <c r="AF989" s="5610"/>
      <c r="AG989" s="11115"/>
    </row>
    <row r="990" spans="1:33" ht="18" customHeight="1">
      <c r="A990" s="11139"/>
      <c r="B990" s="11136"/>
      <c r="C990" s="11124"/>
      <c r="D990" s="11124"/>
      <c r="E990" s="11124"/>
      <c r="F990" s="11124"/>
      <c r="G990" s="11124"/>
      <c r="H990" s="11124"/>
      <c r="I990" s="11124"/>
      <c r="J990" s="11124"/>
      <c r="K990" s="11124"/>
      <c r="L990" s="11131"/>
      <c r="M990" s="11131"/>
      <c r="N990" s="11131"/>
      <c r="O990" s="11124"/>
      <c r="P990" s="11124"/>
      <c r="Q990" s="11127"/>
      <c r="R990" s="5446"/>
      <c r="S990" s="3579"/>
      <c r="T990" s="3579"/>
      <c r="U990" s="3578"/>
      <c r="V990" s="4315"/>
      <c r="W990" s="3579"/>
      <c r="X990" s="5552"/>
      <c r="Y990" s="5552"/>
      <c r="Z990" s="5552"/>
      <c r="AA990" s="5553"/>
      <c r="AB990" s="5581"/>
      <c r="AC990" s="4316"/>
      <c r="AD990" s="3496"/>
      <c r="AE990" s="5610"/>
      <c r="AF990" s="5610"/>
      <c r="AG990" s="11115"/>
    </row>
    <row r="991" spans="1:33" ht="18" customHeight="1">
      <c r="A991" s="11139"/>
      <c r="B991" s="11136"/>
      <c r="C991" s="11124"/>
      <c r="D991" s="11124"/>
      <c r="E991" s="11124"/>
      <c r="F991" s="11124"/>
      <c r="G991" s="11124"/>
      <c r="H991" s="11124"/>
      <c r="I991" s="11124"/>
      <c r="J991" s="11124"/>
      <c r="K991" s="11124"/>
      <c r="L991" s="11131"/>
      <c r="M991" s="11131"/>
      <c r="N991" s="11131"/>
      <c r="O991" s="11124"/>
      <c r="P991" s="11124"/>
      <c r="Q991" s="11127"/>
      <c r="R991" s="5446"/>
      <c r="S991" s="3579"/>
      <c r="T991" s="3579"/>
      <c r="U991" s="3578"/>
      <c r="V991" s="4315"/>
      <c r="W991" s="3579"/>
      <c r="X991" s="5552"/>
      <c r="Y991" s="5552"/>
      <c r="Z991" s="5552"/>
      <c r="AA991" s="5553"/>
      <c r="AB991" s="5581"/>
      <c r="AC991" s="4316"/>
      <c r="AD991" s="3496"/>
      <c r="AE991" s="5610"/>
      <c r="AF991" s="5610"/>
      <c r="AG991" s="11115"/>
    </row>
    <row r="992" spans="1:33" ht="18" customHeight="1">
      <c r="A992" s="11139"/>
      <c r="B992" s="11138"/>
      <c r="C992" s="11126"/>
      <c r="D992" s="11126"/>
      <c r="E992" s="11126"/>
      <c r="F992" s="11126"/>
      <c r="G992" s="11126"/>
      <c r="H992" s="11126"/>
      <c r="I992" s="11126"/>
      <c r="J992" s="11126"/>
      <c r="K992" s="11126"/>
      <c r="L992" s="11132"/>
      <c r="M992" s="11132"/>
      <c r="N992" s="11132"/>
      <c r="O992" s="11126"/>
      <c r="P992" s="11126"/>
      <c r="Q992" s="11128"/>
      <c r="R992" s="5450"/>
      <c r="S992" s="3606"/>
      <c r="T992" s="3606"/>
      <c r="U992" s="3605"/>
      <c r="V992" s="4317"/>
      <c r="W992" s="3606"/>
      <c r="X992" s="5558"/>
      <c r="Y992" s="5558"/>
      <c r="Z992" s="5558"/>
      <c r="AA992" s="5559"/>
      <c r="AB992" s="5585"/>
      <c r="AC992" s="4318"/>
      <c r="AD992" s="3545"/>
      <c r="AE992" s="5625"/>
      <c r="AF992" s="5625"/>
      <c r="AG992" s="11116"/>
    </row>
    <row r="993" spans="1:33" ht="18" customHeight="1">
      <c r="A993" s="11139"/>
      <c r="B993" s="10512" t="s">
        <v>183</v>
      </c>
      <c r="C993" s="10444" t="s">
        <v>227</v>
      </c>
      <c r="D993" s="10444" t="s">
        <v>228</v>
      </c>
      <c r="E993" s="10444" t="s">
        <v>229</v>
      </c>
      <c r="F993" s="10451" t="s">
        <v>230</v>
      </c>
      <c r="G993" s="10444" t="s">
        <v>132</v>
      </c>
      <c r="H993" s="10444" t="s">
        <v>159</v>
      </c>
      <c r="I993" s="10444" t="s">
        <v>6066</v>
      </c>
      <c r="J993" s="10444" t="s">
        <v>6067</v>
      </c>
      <c r="K993" s="10444" t="s">
        <v>5871</v>
      </c>
      <c r="L993" s="11133">
        <v>0</v>
      </c>
      <c r="M993" s="11133">
        <v>1</v>
      </c>
      <c r="N993" s="11133">
        <v>0</v>
      </c>
      <c r="O993" s="10444" t="s">
        <v>5872</v>
      </c>
      <c r="P993" s="10444" t="s">
        <v>5873</v>
      </c>
      <c r="Q993" s="10449" t="s">
        <v>6171</v>
      </c>
      <c r="R993" s="5458"/>
      <c r="S993" s="3623"/>
      <c r="T993" s="3623"/>
      <c r="U993" s="4312"/>
      <c r="V993" s="4313"/>
      <c r="W993" s="3623"/>
      <c r="X993" s="5560"/>
      <c r="Y993" s="5560"/>
      <c r="Z993" s="5560"/>
      <c r="AA993" s="5561"/>
      <c r="AB993" s="5586"/>
      <c r="AC993" s="4314"/>
      <c r="AD993" s="3658"/>
      <c r="AE993" s="5623"/>
      <c r="AF993" s="5623"/>
      <c r="AG993" s="10525"/>
    </row>
    <row r="994" spans="1:33" ht="18" customHeight="1">
      <c r="A994" s="11139"/>
      <c r="B994" s="11136"/>
      <c r="C994" s="11124"/>
      <c r="D994" s="11124"/>
      <c r="E994" s="11124"/>
      <c r="F994" s="11124"/>
      <c r="G994" s="11124"/>
      <c r="H994" s="11124"/>
      <c r="I994" s="11124"/>
      <c r="J994" s="11124"/>
      <c r="K994" s="11124"/>
      <c r="L994" s="11131"/>
      <c r="M994" s="11131"/>
      <c r="N994" s="11131"/>
      <c r="O994" s="11124"/>
      <c r="P994" s="11124"/>
      <c r="Q994" s="11127"/>
      <c r="R994" s="5446"/>
      <c r="S994" s="3579"/>
      <c r="T994" s="3579"/>
      <c r="U994" s="3578"/>
      <c r="V994" s="4315"/>
      <c r="W994" s="3579"/>
      <c r="X994" s="5552"/>
      <c r="Y994" s="5552"/>
      <c r="Z994" s="5552"/>
      <c r="AA994" s="5553"/>
      <c r="AB994" s="5581"/>
      <c r="AC994" s="4316"/>
      <c r="AD994" s="3496"/>
      <c r="AE994" s="5610"/>
      <c r="AF994" s="5610"/>
      <c r="AG994" s="11115"/>
    </row>
    <row r="995" spans="1:33" ht="18" customHeight="1">
      <c r="A995" s="11139"/>
      <c r="B995" s="11136"/>
      <c r="C995" s="11124"/>
      <c r="D995" s="11124"/>
      <c r="E995" s="11124"/>
      <c r="F995" s="11124"/>
      <c r="G995" s="11124"/>
      <c r="H995" s="11124"/>
      <c r="I995" s="11124"/>
      <c r="J995" s="11124"/>
      <c r="K995" s="11124"/>
      <c r="L995" s="11131"/>
      <c r="M995" s="11131"/>
      <c r="N995" s="11131"/>
      <c r="O995" s="11124"/>
      <c r="P995" s="11124"/>
      <c r="Q995" s="11127"/>
      <c r="R995" s="5446"/>
      <c r="S995" s="3579"/>
      <c r="T995" s="3579"/>
      <c r="U995" s="3578"/>
      <c r="V995" s="4315"/>
      <c r="W995" s="3579"/>
      <c r="X995" s="5552"/>
      <c r="Y995" s="5552"/>
      <c r="Z995" s="5552"/>
      <c r="AA995" s="5553"/>
      <c r="AB995" s="5581"/>
      <c r="AC995" s="4316"/>
      <c r="AD995" s="3496"/>
      <c r="AE995" s="5610"/>
      <c r="AF995" s="5610"/>
      <c r="AG995" s="11115"/>
    </row>
    <row r="996" spans="1:33" ht="18" customHeight="1">
      <c r="A996" s="11139"/>
      <c r="B996" s="11136"/>
      <c r="C996" s="11124"/>
      <c r="D996" s="11124"/>
      <c r="E996" s="11124"/>
      <c r="F996" s="11124"/>
      <c r="G996" s="11124"/>
      <c r="H996" s="11124"/>
      <c r="I996" s="11124"/>
      <c r="J996" s="11124"/>
      <c r="K996" s="11124"/>
      <c r="L996" s="11131"/>
      <c r="M996" s="11131"/>
      <c r="N996" s="11131"/>
      <c r="O996" s="11124"/>
      <c r="P996" s="11124"/>
      <c r="Q996" s="11127"/>
      <c r="R996" s="5446"/>
      <c r="S996" s="3579"/>
      <c r="T996" s="3579"/>
      <c r="U996" s="3578"/>
      <c r="V996" s="4315"/>
      <c r="W996" s="3579"/>
      <c r="X996" s="5552"/>
      <c r="Y996" s="5552"/>
      <c r="Z996" s="5552"/>
      <c r="AA996" s="5553"/>
      <c r="AB996" s="5581"/>
      <c r="AC996" s="4316"/>
      <c r="AD996" s="3496"/>
      <c r="AE996" s="5610"/>
      <c r="AF996" s="5610"/>
      <c r="AG996" s="11115"/>
    </row>
    <row r="997" spans="1:33" ht="18" customHeight="1">
      <c r="A997" s="11139"/>
      <c r="B997" s="11137"/>
      <c r="C997" s="11125"/>
      <c r="D997" s="11125"/>
      <c r="E997" s="11125"/>
      <c r="F997" s="11125"/>
      <c r="G997" s="11125"/>
      <c r="H997" s="11125"/>
      <c r="I997" s="11125"/>
      <c r="J997" s="11125"/>
      <c r="K997" s="11125"/>
      <c r="L997" s="11134"/>
      <c r="M997" s="11134"/>
      <c r="N997" s="11134"/>
      <c r="O997" s="11125"/>
      <c r="P997" s="11125"/>
      <c r="Q997" s="11135"/>
      <c r="R997" s="5448"/>
      <c r="S997" s="3617"/>
      <c r="T997" s="3617"/>
      <c r="U997" s="3616"/>
      <c r="V997" s="4319"/>
      <c r="W997" s="3617"/>
      <c r="X997" s="5554"/>
      <c r="Y997" s="5554"/>
      <c r="Z997" s="5554"/>
      <c r="AA997" s="5555"/>
      <c r="AB997" s="5592"/>
      <c r="AC997" s="4320"/>
      <c r="AD997" s="3714"/>
      <c r="AE997" s="5624"/>
      <c r="AF997" s="5624"/>
      <c r="AG997" s="11116"/>
    </row>
    <row r="998" spans="1:33" ht="18" customHeight="1">
      <c r="A998" s="11139"/>
      <c r="B998" s="10516" t="s">
        <v>183</v>
      </c>
      <c r="C998" s="10433" t="s">
        <v>227</v>
      </c>
      <c r="D998" s="10433" t="s">
        <v>228</v>
      </c>
      <c r="E998" s="10433" t="s">
        <v>229</v>
      </c>
      <c r="F998" s="10442" t="s">
        <v>230</v>
      </c>
      <c r="G998" s="10433" t="s">
        <v>171</v>
      </c>
      <c r="H998" s="10433" t="s">
        <v>133</v>
      </c>
      <c r="I998" s="10433" t="s">
        <v>6068</v>
      </c>
      <c r="J998" s="10433" t="s">
        <v>6069</v>
      </c>
      <c r="K998" s="10433" t="s">
        <v>6022</v>
      </c>
      <c r="L998" s="10470">
        <v>1</v>
      </c>
      <c r="M998" s="10470">
        <v>1</v>
      </c>
      <c r="N998" s="10470">
        <v>1</v>
      </c>
      <c r="O998" s="10433" t="s">
        <v>6070</v>
      </c>
      <c r="P998" s="10433" t="s">
        <v>6071</v>
      </c>
      <c r="Q998" s="10439" t="s">
        <v>6172</v>
      </c>
      <c r="R998" s="5452"/>
      <c r="S998" s="3598"/>
      <c r="T998" s="3598"/>
      <c r="U998" s="4344"/>
      <c r="V998" s="4337"/>
      <c r="W998" s="3598"/>
      <c r="X998" s="5556"/>
      <c r="Y998" s="5556"/>
      <c r="Z998" s="5556"/>
      <c r="AA998" s="5557"/>
      <c r="AB998" s="5584"/>
      <c r="AC998" s="4338"/>
      <c r="AD998" s="3709"/>
      <c r="AE998" s="5626"/>
      <c r="AF998" s="5626"/>
      <c r="AG998" s="10525"/>
    </row>
    <row r="999" spans="1:33" ht="18" customHeight="1">
      <c r="A999" s="11139"/>
      <c r="B999" s="11136"/>
      <c r="C999" s="11124"/>
      <c r="D999" s="11124"/>
      <c r="E999" s="11124"/>
      <c r="F999" s="11124"/>
      <c r="G999" s="11124"/>
      <c r="H999" s="11124"/>
      <c r="I999" s="11124"/>
      <c r="J999" s="11124"/>
      <c r="K999" s="11124"/>
      <c r="L999" s="11131"/>
      <c r="M999" s="11131"/>
      <c r="N999" s="11131"/>
      <c r="O999" s="11124"/>
      <c r="P999" s="11124"/>
      <c r="Q999" s="11127"/>
      <c r="R999" s="5446"/>
      <c r="S999" s="3579"/>
      <c r="T999" s="3579"/>
      <c r="U999" s="3578"/>
      <c r="V999" s="4315"/>
      <c r="W999" s="3579"/>
      <c r="X999" s="5552"/>
      <c r="Y999" s="5552"/>
      <c r="Z999" s="5552"/>
      <c r="AA999" s="5553"/>
      <c r="AB999" s="5581"/>
      <c r="AC999" s="4316"/>
      <c r="AD999" s="3496"/>
      <c r="AE999" s="5610"/>
      <c r="AF999" s="5610"/>
      <c r="AG999" s="11115"/>
    </row>
    <row r="1000" spans="1:33" ht="18" customHeight="1">
      <c r="A1000" s="11139"/>
      <c r="B1000" s="11136"/>
      <c r="C1000" s="11124"/>
      <c r="D1000" s="11124"/>
      <c r="E1000" s="11124"/>
      <c r="F1000" s="11124"/>
      <c r="G1000" s="11124"/>
      <c r="H1000" s="11124"/>
      <c r="I1000" s="11124"/>
      <c r="J1000" s="11124"/>
      <c r="K1000" s="11124"/>
      <c r="L1000" s="11131"/>
      <c r="M1000" s="11131"/>
      <c r="N1000" s="11131"/>
      <c r="O1000" s="11124"/>
      <c r="P1000" s="11124"/>
      <c r="Q1000" s="11127"/>
      <c r="R1000" s="5446"/>
      <c r="S1000" s="3579"/>
      <c r="T1000" s="3579"/>
      <c r="U1000" s="3578"/>
      <c r="V1000" s="4315"/>
      <c r="W1000" s="3579"/>
      <c r="X1000" s="5552"/>
      <c r="Y1000" s="5552"/>
      <c r="Z1000" s="5552"/>
      <c r="AA1000" s="5553"/>
      <c r="AB1000" s="5581"/>
      <c r="AC1000" s="4316"/>
      <c r="AD1000" s="3496"/>
      <c r="AE1000" s="5610"/>
      <c r="AF1000" s="5610"/>
      <c r="AG1000" s="11115"/>
    </row>
    <row r="1001" spans="1:33" ht="18" customHeight="1">
      <c r="A1001" s="11139"/>
      <c r="B1001" s="11136"/>
      <c r="C1001" s="11124"/>
      <c r="D1001" s="11124"/>
      <c r="E1001" s="11124"/>
      <c r="F1001" s="11124"/>
      <c r="G1001" s="11124"/>
      <c r="H1001" s="11124"/>
      <c r="I1001" s="11124"/>
      <c r="J1001" s="11124"/>
      <c r="K1001" s="11124"/>
      <c r="L1001" s="11131"/>
      <c r="M1001" s="11131"/>
      <c r="N1001" s="11131"/>
      <c r="O1001" s="11124"/>
      <c r="P1001" s="11124"/>
      <c r="Q1001" s="11127"/>
      <c r="R1001" s="5446"/>
      <c r="S1001" s="3579"/>
      <c r="T1001" s="3579"/>
      <c r="U1001" s="3578"/>
      <c r="V1001" s="4315"/>
      <c r="W1001" s="3579"/>
      <c r="X1001" s="5552"/>
      <c r="Y1001" s="5552"/>
      <c r="Z1001" s="5552"/>
      <c r="AA1001" s="5553"/>
      <c r="AB1001" s="5581"/>
      <c r="AC1001" s="4316"/>
      <c r="AD1001" s="3496"/>
      <c r="AE1001" s="5610"/>
      <c r="AF1001" s="5610"/>
      <c r="AG1001" s="11115"/>
    </row>
    <row r="1002" spans="1:33" ht="18" customHeight="1">
      <c r="A1002" s="11139"/>
      <c r="B1002" s="11138"/>
      <c r="C1002" s="11126"/>
      <c r="D1002" s="11126"/>
      <c r="E1002" s="11126"/>
      <c r="F1002" s="11126"/>
      <c r="G1002" s="11126"/>
      <c r="H1002" s="11126"/>
      <c r="I1002" s="11126"/>
      <c r="J1002" s="11126"/>
      <c r="K1002" s="11126"/>
      <c r="L1002" s="11132"/>
      <c r="M1002" s="11132"/>
      <c r="N1002" s="11132"/>
      <c r="O1002" s="11126"/>
      <c r="P1002" s="11126"/>
      <c r="Q1002" s="11128"/>
      <c r="R1002" s="5450"/>
      <c r="S1002" s="3606"/>
      <c r="T1002" s="3606"/>
      <c r="U1002" s="3605"/>
      <c r="V1002" s="4317"/>
      <c r="W1002" s="3606"/>
      <c r="X1002" s="5558"/>
      <c r="Y1002" s="5558"/>
      <c r="Z1002" s="5558"/>
      <c r="AA1002" s="5559"/>
      <c r="AB1002" s="5585"/>
      <c r="AC1002" s="4318"/>
      <c r="AD1002" s="3545"/>
      <c r="AE1002" s="5625"/>
      <c r="AF1002" s="5625"/>
      <c r="AG1002" s="11116"/>
    </row>
    <row r="1003" spans="1:33" ht="18" customHeight="1">
      <c r="A1003" s="11139"/>
      <c r="B1003" s="10512" t="s">
        <v>127</v>
      </c>
      <c r="C1003" s="10444" t="s">
        <v>128</v>
      </c>
      <c r="D1003" s="10444" t="s">
        <v>129</v>
      </c>
      <c r="E1003" s="10444" t="s">
        <v>157</v>
      </c>
      <c r="F1003" s="10451" t="s">
        <v>131</v>
      </c>
      <c r="G1003" s="10444" t="s">
        <v>132</v>
      </c>
      <c r="H1003" s="10444" t="s">
        <v>159</v>
      </c>
      <c r="I1003" s="10444" t="s">
        <v>6073</v>
      </c>
      <c r="J1003" s="10444" t="s">
        <v>6074</v>
      </c>
      <c r="K1003" s="10444" t="s">
        <v>5888</v>
      </c>
      <c r="L1003" s="10455">
        <v>3</v>
      </c>
      <c r="M1003" s="10455">
        <v>4</v>
      </c>
      <c r="N1003" s="10455">
        <v>3</v>
      </c>
      <c r="O1003" s="10444" t="s">
        <v>6075</v>
      </c>
      <c r="P1003" s="10444" t="s">
        <v>6076</v>
      </c>
      <c r="Q1003" s="10449" t="s">
        <v>6169</v>
      </c>
      <c r="R1003" s="5458"/>
      <c r="S1003" s="3623"/>
      <c r="T1003" s="3623"/>
      <c r="U1003" s="4312"/>
      <c r="V1003" s="4313"/>
      <c r="W1003" s="3623"/>
      <c r="X1003" s="5560"/>
      <c r="Y1003" s="5560"/>
      <c r="Z1003" s="5560"/>
      <c r="AA1003" s="5561"/>
      <c r="AB1003" s="5586"/>
      <c r="AC1003" s="4314"/>
      <c r="AD1003" s="3658"/>
      <c r="AE1003" s="5623"/>
      <c r="AF1003" s="5623"/>
      <c r="AG1003" s="10464"/>
    </row>
    <row r="1004" spans="1:33" ht="18" customHeight="1">
      <c r="A1004" s="11139"/>
      <c r="B1004" s="11136"/>
      <c r="C1004" s="11124"/>
      <c r="D1004" s="11124"/>
      <c r="E1004" s="11124"/>
      <c r="F1004" s="11124"/>
      <c r="G1004" s="11124"/>
      <c r="H1004" s="11124"/>
      <c r="I1004" s="11124"/>
      <c r="J1004" s="11124"/>
      <c r="K1004" s="11124"/>
      <c r="L1004" s="11131"/>
      <c r="M1004" s="11131"/>
      <c r="N1004" s="11131"/>
      <c r="O1004" s="11124"/>
      <c r="P1004" s="11124"/>
      <c r="Q1004" s="11127"/>
      <c r="R1004" s="5446"/>
      <c r="S1004" s="3579"/>
      <c r="T1004" s="3579"/>
      <c r="U1004" s="3578"/>
      <c r="V1004" s="4315"/>
      <c r="W1004" s="3579"/>
      <c r="X1004" s="5552"/>
      <c r="Y1004" s="5552"/>
      <c r="Z1004" s="5552"/>
      <c r="AA1004" s="5553"/>
      <c r="AB1004" s="5581"/>
      <c r="AC1004" s="4316"/>
      <c r="AD1004" s="3496"/>
      <c r="AE1004" s="5610"/>
      <c r="AF1004" s="5610"/>
      <c r="AG1004" s="11115"/>
    </row>
    <row r="1005" spans="1:33" ht="18" customHeight="1">
      <c r="A1005" s="11139"/>
      <c r="B1005" s="11136"/>
      <c r="C1005" s="11124"/>
      <c r="D1005" s="11124"/>
      <c r="E1005" s="11124"/>
      <c r="F1005" s="11124"/>
      <c r="G1005" s="11124"/>
      <c r="H1005" s="11124"/>
      <c r="I1005" s="11124"/>
      <c r="J1005" s="11124"/>
      <c r="K1005" s="11124"/>
      <c r="L1005" s="11131"/>
      <c r="M1005" s="11131"/>
      <c r="N1005" s="11131"/>
      <c r="O1005" s="11124"/>
      <c r="P1005" s="11124"/>
      <c r="Q1005" s="11127"/>
      <c r="R1005" s="5446"/>
      <c r="S1005" s="3579"/>
      <c r="T1005" s="3579"/>
      <c r="U1005" s="3578"/>
      <c r="V1005" s="4315"/>
      <c r="W1005" s="3579"/>
      <c r="X1005" s="5552"/>
      <c r="Y1005" s="5552"/>
      <c r="Z1005" s="5552"/>
      <c r="AA1005" s="5553"/>
      <c r="AB1005" s="5581"/>
      <c r="AC1005" s="4316"/>
      <c r="AD1005" s="3496"/>
      <c r="AE1005" s="5610"/>
      <c r="AF1005" s="5610"/>
      <c r="AG1005" s="11115"/>
    </row>
    <row r="1006" spans="1:33" ht="18" customHeight="1">
      <c r="A1006" s="11139"/>
      <c r="B1006" s="11136"/>
      <c r="C1006" s="11124"/>
      <c r="D1006" s="11124"/>
      <c r="E1006" s="11124"/>
      <c r="F1006" s="11124"/>
      <c r="G1006" s="11124"/>
      <c r="H1006" s="11124"/>
      <c r="I1006" s="11124"/>
      <c r="J1006" s="11124"/>
      <c r="K1006" s="11124"/>
      <c r="L1006" s="11131"/>
      <c r="M1006" s="11131"/>
      <c r="N1006" s="11131"/>
      <c r="O1006" s="11124"/>
      <c r="P1006" s="11124"/>
      <c r="Q1006" s="11127"/>
      <c r="R1006" s="5446"/>
      <c r="S1006" s="3579"/>
      <c r="T1006" s="3579"/>
      <c r="U1006" s="3578"/>
      <c r="V1006" s="4315"/>
      <c r="W1006" s="3579"/>
      <c r="X1006" s="5552"/>
      <c r="Y1006" s="5552"/>
      <c r="Z1006" s="5552"/>
      <c r="AA1006" s="5553"/>
      <c r="AB1006" s="5581"/>
      <c r="AC1006" s="4316"/>
      <c r="AD1006" s="3496"/>
      <c r="AE1006" s="5610"/>
      <c r="AF1006" s="5610"/>
      <c r="AG1006" s="11115"/>
    </row>
    <row r="1007" spans="1:33" ht="18" customHeight="1">
      <c r="A1007" s="11139"/>
      <c r="B1007" s="11138"/>
      <c r="C1007" s="11126"/>
      <c r="D1007" s="11126"/>
      <c r="E1007" s="11126"/>
      <c r="F1007" s="11126"/>
      <c r="G1007" s="11126"/>
      <c r="H1007" s="11126"/>
      <c r="I1007" s="11126"/>
      <c r="J1007" s="11126"/>
      <c r="K1007" s="11126"/>
      <c r="L1007" s="11132"/>
      <c r="M1007" s="11132"/>
      <c r="N1007" s="11132"/>
      <c r="O1007" s="11126"/>
      <c r="P1007" s="11126"/>
      <c r="Q1007" s="11128"/>
      <c r="R1007" s="5450"/>
      <c r="S1007" s="3606"/>
      <c r="T1007" s="3606"/>
      <c r="U1007" s="3605"/>
      <c r="V1007" s="4317"/>
      <c r="W1007" s="3606"/>
      <c r="X1007" s="5558"/>
      <c r="Y1007" s="5558"/>
      <c r="Z1007" s="5558"/>
      <c r="AA1007" s="5559"/>
      <c r="AB1007" s="5585"/>
      <c r="AC1007" s="4318"/>
      <c r="AD1007" s="3545"/>
      <c r="AE1007" s="5625"/>
      <c r="AF1007" s="5625"/>
      <c r="AG1007" s="11116"/>
    </row>
    <row r="1008" spans="1:33" s="6169" customFormat="1" ht="22.5" customHeight="1" thickBot="1">
      <c r="A1008" s="6236"/>
      <c r="B1008" s="6250"/>
      <c r="C1008" s="6250"/>
      <c r="D1008" s="6250"/>
      <c r="E1008" s="6250"/>
      <c r="F1008" s="6250"/>
      <c r="G1008" s="6250"/>
      <c r="H1008" s="6250"/>
      <c r="I1008" s="6250"/>
      <c r="J1008" s="6250"/>
      <c r="K1008" s="6250"/>
      <c r="L1008" s="6164"/>
      <c r="M1008" s="6164"/>
      <c r="N1008" s="6164"/>
      <c r="O1008" s="6166"/>
      <c r="P1008" s="6166"/>
      <c r="Q1008" s="6167"/>
      <c r="R1008" s="11144" t="s">
        <v>6173</v>
      </c>
      <c r="S1008" s="11145"/>
      <c r="T1008" s="11145"/>
      <c r="U1008" s="11145"/>
      <c r="V1008" s="11145"/>
      <c r="W1008" s="11145"/>
      <c r="X1008" s="11145"/>
      <c r="Y1008" s="11145"/>
      <c r="Z1008" s="5321" t="s">
        <v>292</v>
      </c>
      <c r="AA1008" s="6153">
        <f>SUM(AA933:AA1007)</f>
        <v>0</v>
      </c>
      <c r="AB1008" s="6165"/>
      <c r="AC1008" s="6168"/>
      <c r="AD1008" s="11146"/>
      <c r="AE1008" s="11147"/>
      <c r="AF1008" s="11147"/>
      <c r="AG1008" s="11148"/>
    </row>
    <row r="1009" spans="1:33" ht="18" customHeight="1">
      <c r="A1009" s="9599" t="s">
        <v>6174</v>
      </c>
      <c r="B1009" s="10518" t="s">
        <v>183</v>
      </c>
      <c r="C1009" s="10452" t="s">
        <v>227</v>
      </c>
      <c r="D1009" s="10452" t="s">
        <v>228</v>
      </c>
      <c r="E1009" s="10452" t="s">
        <v>229</v>
      </c>
      <c r="F1009" s="10454" t="s">
        <v>230</v>
      </c>
      <c r="G1009" s="10452" t="s">
        <v>132</v>
      </c>
      <c r="H1009" s="10452" t="s">
        <v>159</v>
      </c>
      <c r="I1009" s="10433" t="s">
        <v>6010</v>
      </c>
      <c r="J1009" s="10452" t="s">
        <v>6011</v>
      </c>
      <c r="K1009" s="10452" t="s">
        <v>5761</v>
      </c>
      <c r="L1009" s="10488">
        <v>2</v>
      </c>
      <c r="M1009" s="10488">
        <v>1</v>
      </c>
      <c r="N1009" s="10488">
        <v>2</v>
      </c>
      <c r="O1009" s="10452" t="s">
        <v>6012</v>
      </c>
      <c r="P1009" s="10452" t="s">
        <v>6013</v>
      </c>
      <c r="Q1009" s="10453" t="s">
        <v>6014</v>
      </c>
      <c r="R1009" s="5445"/>
      <c r="S1009" s="4321"/>
      <c r="T1009" s="4321"/>
      <c r="U1009" s="3573"/>
      <c r="V1009" s="4322"/>
      <c r="W1009" s="3574"/>
      <c r="X1009" s="5550"/>
      <c r="Y1009" s="5550"/>
      <c r="Z1009" s="5550"/>
      <c r="AA1009" s="5551"/>
      <c r="AB1009" s="5580"/>
      <c r="AC1009" s="4323"/>
      <c r="AD1009" s="3683"/>
      <c r="AE1009" s="5609"/>
      <c r="AF1009" s="5609"/>
      <c r="AG1009" s="10466"/>
    </row>
    <row r="1010" spans="1:33" ht="18" customHeight="1">
      <c r="A1010" s="11139"/>
      <c r="B1010" s="11136"/>
      <c r="C1010" s="11124"/>
      <c r="D1010" s="11124"/>
      <c r="E1010" s="11124"/>
      <c r="F1010" s="11124"/>
      <c r="G1010" s="11124"/>
      <c r="H1010" s="11124"/>
      <c r="I1010" s="11124"/>
      <c r="J1010" s="11124"/>
      <c r="K1010" s="11124"/>
      <c r="L1010" s="11131"/>
      <c r="M1010" s="11131"/>
      <c r="N1010" s="11131"/>
      <c r="O1010" s="11124"/>
      <c r="P1010" s="11124"/>
      <c r="Q1010" s="11127"/>
      <c r="R1010" s="5446"/>
      <c r="S1010" s="3579"/>
      <c r="T1010" s="3579"/>
      <c r="U1010" s="3578"/>
      <c r="V1010" s="4315"/>
      <c r="W1010" s="3579"/>
      <c r="X1010" s="5552"/>
      <c r="Y1010" s="5552"/>
      <c r="Z1010" s="5552"/>
      <c r="AA1010" s="5553"/>
      <c r="AB1010" s="5581"/>
      <c r="AC1010" s="4316"/>
      <c r="AD1010" s="3496"/>
      <c r="AE1010" s="5610"/>
      <c r="AF1010" s="5610"/>
      <c r="AG1010" s="11115"/>
    </row>
    <row r="1011" spans="1:33" ht="18" customHeight="1">
      <c r="A1011" s="11139"/>
      <c r="B1011" s="11136"/>
      <c r="C1011" s="11124"/>
      <c r="D1011" s="11124"/>
      <c r="E1011" s="11124"/>
      <c r="F1011" s="11124"/>
      <c r="G1011" s="11124"/>
      <c r="H1011" s="11124"/>
      <c r="I1011" s="11124"/>
      <c r="J1011" s="11124"/>
      <c r="K1011" s="11124"/>
      <c r="L1011" s="11131"/>
      <c r="M1011" s="11131"/>
      <c r="N1011" s="11131"/>
      <c r="O1011" s="11124"/>
      <c r="P1011" s="11124"/>
      <c r="Q1011" s="11127"/>
      <c r="R1011" s="5446"/>
      <c r="S1011" s="3579"/>
      <c r="T1011" s="3579"/>
      <c r="U1011" s="3578"/>
      <c r="V1011" s="4315"/>
      <c r="W1011" s="3579"/>
      <c r="X1011" s="5552"/>
      <c r="Y1011" s="5552"/>
      <c r="Z1011" s="5552"/>
      <c r="AA1011" s="5553"/>
      <c r="AB1011" s="5581"/>
      <c r="AC1011" s="4316"/>
      <c r="AD1011" s="3496"/>
      <c r="AE1011" s="5610"/>
      <c r="AF1011" s="5610"/>
      <c r="AG1011" s="11115"/>
    </row>
    <row r="1012" spans="1:33" ht="18" customHeight="1">
      <c r="A1012" s="11139"/>
      <c r="B1012" s="11136"/>
      <c r="C1012" s="11124"/>
      <c r="D1012" s="11124"/>
      <c r="E1012" s="11124"/>
      <c r="F1012" s="11124"/>
      <c r="G1012" s="11124"/>
      <c r="H1012" s="11124"/>
      <c r="I1012" s="11124"/>
      <c r="J1012" s="11124"/>
      <c r="K1012" s="11124"/>
      <c r="L1012" s="11131"/>
      <c r="M1012" s="11131"/>
      <c r="N1012" s="11131"/>
      <c r="O1012" s="11124"/>
      <c r="P1012" s="11124"/>
      <c r="Q1012" s="11127"/>
      <c r="R1012" s="5447"/>
      <c r="S1012" s="4325"/>
      <c r="T1012" s="4325"/>
      <c r="U1012" s="3578"/>
      <c r="V1012" s="4315"/>
      <c r="W1012" s="3579"/>
      <c r="X1012" s="5552"/>
      <c r="Y1012" s="5552"/>
      <c r="Z1012" s="5552"/>
      <c r="AA1012" s="5553"/>
      <c r="AB1012" s="5581"/>
      <c r="AC1012" s="4316"/>
      <c r="AD1012" s="3496"/>
      <c r="AE1012" s="5610"/>
      <c r="AF1012" s="5610"/>
      <c r="AG1012" s="11115"/>
    </row>
    <row r="1013" spans="1:33" ht="18" customHeight="1">
      <c r="A1013" s="11139"/>
      <c r="B1013" s="11137"/>
      <c r="C1013" s="11125"/>
      <c r="D1013" s="11125"/>
      <c r="E1013" s="11125"/>
      <c r="F1013" s="11125"/>
      <c r="G1013" s="11125"/>
      <c r="H1013" s="11125"/>
      <c r="I1013" s="11125"/>
      <c r="J1013" s="11125"/>
      <c r="K1013" s="11125"/>
      <c r="L1013" s="11134"/>
      <c r="M1013" s="11134"/>
      <c r="N1013" s="11134"/>
      <c r="O1013" s="11125"/>
      <c r="P1013" s="11125"/>
      <c r="Q1013" s="11135"/>
      <c r="R1013" s="5448"/>
      <c r="S1013" s="3617"/>
      <c r="T1013" s="3617"/>
      <c r="U1013" s="3616"/>
      <c r="V1013" s="4319"/>
      <c r="W1013" s="3617"/>
      <c r="X1013" s="5554"/>
      <c r="Y1013" s="5554"/>
      <c r="Z1013" s="5554"/>
      <c r="AA1013" s="5555"/>
      <c r="AB1013" s="5592"/>
      <c r="AC1013" s="4320"/>
      <c r="AD1013" s="3714"/>
      <c r="AE1013" s="5624"/>
      <c r="AF1013" s="5624"/>
      <c r="AG1013" s="11116"/>
    </row>
    <row r="1014" spans="1:33" ht="18" customHeight="1">
      <c r="A1014" s="11139"/>
      <c r="B1014" s="10516" t="s">
        <v>127</v>
      </c>
      <c r="C1014" s="10433" t="s">
        <v>128</v>
      </c>
      <c r="D1014" s="10433" t="s">
        <v>129</v>
      </c>
      <c r="E1014" s="10433" t="s">
        <v>157</v>
      </c>
      <c r="F1014" s="10442" t="s">
        <v>131</v>
      </c>
      <c r="G1014" s="10433" t="s">
        <v>132</v>
      </c>
      <c r="H1014" s="10433" t="s">
        <v>159</v>
      </c>
      <c r="I1014" s="10433" t="s">
        <v>6015</v>
      </c>
      <c r="J1014" s="10433" t="s">
        <v>6016</v>
      </c>
      <c r="K1014" s="10433" t="s">
        <v>5761</v>
      </c>
      <c r="L1014" s="11130">
        <v>2</v>
      </c>
      <c r="M1014" s="11130">
        <v>0</v>
      </c>
      <c r="N1014" s="11130">
        <v>2</v>
      </c>
      <c r="O1014" s="10433" t="s">
        <v>6017</v>
      </c>
      <c r="P1014" s="10433" t="s">
        <v>6018</v>
      </c>
      <c r="Q1014" s="10439" t="s">
        <v>6175</v>
      </c>
      <c r="R1014" s="5452"/>
      <c r="S1014" s="3598"/>
      <c r="T1014" s="3598"/>
      <c r="U1014" s="4344"/>
      <c r="V1014" s="4337"/>
      <c r="W1014" s="3598"/>
      <c r="X1014" s="5556"/>
      <c r="Y1014" s="5556"/>
      <c r="Z1014" s="5556"/>
      <c r="AA1014" s="5557"/>
      <c r="AB1014" s="5584"/>
      <c r="AC1014" s="4338"/>
      <c r="AD1014" s="3709"/>
      <c r="AE1014" s="5626"/>
      <c r="AF1014" s="5626"/>
      <c r="AG1014" s="10525"/>
    </row>
    <row r="1015" spans="1:33" ht="18" customHeight="1">
      <c r="A1015" s="11139"/>
      <c r="B1015" s="11136"/>
      <c r="C1015" s="11124"/>
      <c r="D1015" s="11124"/>
      <c r="E1015" s="11124"/>
      <c r="F1015" s="11124"/>
      <c r="G1015" s="11124"/>
      <c r="H1015" s="11124"/>
      <c r="I1015" s="11124"/>
      <c r="J1015" s="11124"/>
      <c r="K1015" s="11124"/>
      <c r="L1015" s="11131"/>
      <c r="M1015" s="11131"/>
      <c r="N1015" s="11131"/>
      <c r="O1015" s="11124"/>
      <c r="P1015" s="11124"/>
      <c r="Q1015" s="11127"/>
      <c r="R1015" s="5446"/>
      <c r="S1015" s="3579"/>
      <c r="T1015" s="3579"/>
      <c r="U1015" s="3578"/>
      <c r="V1015" s="4315"/>
      <c r="W1015" s="3579"/>
      <c r="X1015" s="5552"/>
      <c r="Y1015" s="5552"/>
      <c r="Z1015" s="5552"/>
      <c r="AA1015" s="5553"/>
      <c r="AB1015" s="5581"/>
      <c r="AC1015" s="4316"/>
      <c r="AD1015" s="3496"/>
      <c r="AE1015" s="5610"/>
      <c r="AF1015" s="5610"/>
      <c r="AG1015" s="11115"/>
    </row>
    <row r="1016" spans="1:33" ht="18" customHeight="1">
      <c r="A1016" s="11139"/>
      <c r="B1016" s="11136"/>
      <c r="C1016" s="11124"/>
      <c r="D1016" s="11124"/>
      <c r="E1016" s="11124"/>
      <c r="F1016" s="11124"/>
      <c r="G1016" s="11124"/>
      <c r="H1016" s="11124"/>
      <c r="I1016" s="11124"/>
      <c r="J1016" s="11124"/>
      <c r="K1016" s="11124"/>
      <c r="L1016" s="11131"/>
      <c r="M1016" s="11131"/>
      <c r="N1016" s="11131"/>
      <c r="O1016" s="11124"/>
      <c r="P1016" s="11124"/>
      <c r="Q1016" s="11127"/>
      <c r="R1016" s="5446"/>
      <c r="S1016" s="3579"/>
      <c r="T1016" s="3579"/>
      <c r="U1016" s="3578"/>
      <c r="V1016" s="4315"/>
      <c r="W1016" s="3579"/>
      <c r="X1016" s="5552"/>
      <c r="Y1016" s="5552"/>
      <c r="Z1016" s="5552"/>
      <c r="AA1016" s="5553"/>
      <c r="AB1016" s="5581"/>
      <c r="AC1016" s="4316"/>
      <c r="AD1016" s="3496"/>
      <c r="AE1016" s="5610"/>
      <c r="AF1016" s="5610"/>
      <c r="AG1016" s="11115"/>
    </row>
    <row r="1017" spans="1:33" ht="18" customHeight="1">
      <c r="A1017" s="11139"/>
      <c r="B1017" s="11136"/>
      <c r="C1017" s="11124"/>
      <c r="D1017" s="11124"/>
      <c r="E1017" s="11124"/>
      <c r="F1017" s="11124"/>
      <c r="G1017" s="11124"/>
      <c r="H1017" s="11124"/>
      <c r="I1017" s="11124"/>
      <c r="J1017" s="11124"/>
      <c r="K1017" s="11124"/>
      <c r="L1017" s="11131"/>
      <c r="M1017" s="11131"/>
      <c r="N1017" s="11131"/>
      <c r="O1017" s="11124"/>
      <c r="P1017" s="11124"/>
      <c r="Q1017" s="11127"/>
      <c r="R1017" s="5446"/>
      <c r="S1017" s="3579"/>
      <c r="T1017" s="3579"/>
      <c r="U1017" s="3578"/>
      <c r="V1017" s="4315"/>
      <c r="W1017" s="3579"/>
      <c r="X1017" s="5552"/>
      <c r="Y1017" s="5552"/>
      <c r="Z1017" s="5552"/>
      <c r="AA1017" s="5553"/>
      <c r="AB1017" s="5581"/>
      <c r="AC1017" s="4316"/>
      <c r="AD1017" s="3496"/>
      <c r="AE1017" s="5610"/>
      <c r="AF1017" s="5610"/>
      <c r="AG1017" s="11115"/>
    </row>
    <row r="1018" spans="1:33" ht="18" customHeight="1">
      <c r="A1018" s="11139"/>
      <c r="B1018" s="11138"/>
      <c r="C1018" s="11126"/>
      <c r="D1018" s="11126"/>
      <c r="E1018" s="11126"/>
      <c r="F1018" s="11126"/>
      <c r="G1018" s="11126"/>
      <c r="H1018" s="11126"/>
      <c r="I1018" s="11126"/>
      <c r="J1018" s="11126"/>
      <c r="K1018" s="11126"/>
      <c r="L1018" s="11132"/>
      <c r="M1018" s="11132"/>
      <c r="N1018" s="11132"/>
      <c r="O1018" s="11126"/>
      <c r="P1018" s="11126"/>
      <c r="Q1018" s="11128"/>
      <c r="R1018" s="5450"/>
      <c r="S1018" s="3606"/>
      <c r="T1018" s="3606"/>
      <c r="U1018" s="3605"/>
      <c r="V1018" s="4317"/>
      <c r="W1018" s="3606"/>
      <c r="X1018" s="5558"/>
      <c r="Y1018" s="5558"/>
      <c r="Z1018" s="5558"/>
      <c r="AA1018" s="5559"/>
      <c r="AB1018" s="5585"/>
      <c r="AC1018" s="4318"/>
      <c r="AD1018" s="3545"/>
      <c r="AE1018" s="5625"/>
      <c r="AF1018" s="5625"/>
      <c r="AG1018" s="11116"/>
    </row>
    <row r="1019" spans="1:33" ht="18" customHeight="1">
      <c r="A1019" s="11139"/>
      <c r="B1019" s="10512" t="s">
        <v>127</v>
      </c>
      <c r="C1019" s="10444" t="s">
        <v>128</v>
      </c>
      <c r="D1019" s="10444" t="s">
        <v>129</v>
      </c>
      <c r="E1019" s="10444" t="s">
        <v>157</v>
      </c>
      <c r="F1019" s="10451" t="s">
        <v>131</v>
      </c>
      <c r="G1019" s="10444" t="s">
        <v>132</v>
      </c>
      <c r="H1019" s="10444" t="s">
        <v>159</v>
      </c>
      <c r="I1019" s="10444" t="s">
        <v>6020</v>
      </c>
      <c r="J1019" s="10444" t="s">
        <v>6021</v>
      </c>
      <c r="K1019" s="10444" t="s">
        <v>6022</v>
      </c>
      <c r="L1019" s="11133">
        <v>0</v>
      </c>
      <c r="M1019" s="11133">
        <v>1</v>
      </c>
      <c r="N1019" s="11133">
        <v>0</v>
      </c>
      <c r="O1019" s="10444" t="s">
        <v>6023</v>
      </c>
      <c r="P1019" s="10444" t="s">
        <v>6024</v>
      </c>
      <c r="Q1019" s="10449" t="s">
        <v>6176</v>
      </c>
      <c r="R1019" s="5458"/>
      <c r="S1019" s="3623"/>
      <c r="T1019" s="3623"/>
      <c r="U1019" s="4312"/>
      <c r="V1019" s="4313"/>
      <c r="W1019" s="3623"/>
      <c r="X1019" s="5560"/>
      <c r="Y1019" s="5560"/>
      <c r="Z1019" s="5560"/>
      <c r="AA1019" s="5561"/>
      <c r="AB1019" s="5586"/>
      <c r="AC1019" s="4314"/>
      <c r="AD1019" s="3658"/>
      <c r="AE1019" s="5623"/>
      <c r="AF1019" s="5623"/>
      <c r="AG1019" s="10525"/>
    </row>
    <row r="1020" spans="1:33" ht="18" customHeight="1">
      <c r="A1020" s="11139"/>
      <c r="B1020" s="11136"/>
      <c r="C1020" s="11124"/>
      <c r="D1020" s="11124"/>
      <c r="E1020" s="11124"/>
      <c r="F1020" s="11124"/>
      <c r="G1020" s="11124"/>
      <c r="H1020" s="11124"/>
      <c r="I1020" s="11124"/>
      <c r="J1020" s="11124"/>
      <c r="K1020" s="11124"/>
      <c r="L1020" s="11131"/>
      <c r="M1020" s="11131"/>
      <c r="N1020" s="11131"/>
      <c r="O1020" s="11124"/>
      <c r="P1020" s="11124"/>
      <c r="Q1020" s="11127"/>
      <c r="R1020" s="5446"/>
      <c r="S1020" s="3579"/>
      <c r="T1020" s="3579"/>
      <c r="U1020" s="3578"/>
      <c r="V1020" s="4315"/>
      <c r="W1020" s="3579"/>
      <c r="X1020" s="5552"/>
      <c r="Y1020" s="5552"/>
      <c r="Z1020" s="5552"/>
      <c r="AA1020" s="5553"/>
      <c r="AB1020" s="5581"/>
      <c r="AC1020" s="4316"/>
      <c r="AD1020" s="3496"/>
      <c r="AE1020" s="5610"/>
      <c r="AF1020" s="5610"/>
      <c r="AG1020" s="11115"/>
    </row>
    <row r="1021" spans="1:33" ht="18" customHeight="1">
      <c r="A1021" s="11139"/>
      <c r="B1021" s="11136"/>
      <c r="C1021" s="11124"/>
      <c r="D1021" s="11124"/>
      <c r="E1021" s="11124"/>
      <c r="F1021" s="11124"/>
      <c r="G1021" s="11124"/>
      <c r="H1021" s="11124"/>
      <c r="I1021" s="11124"/>
      <c r="J1021" s="11124"/>
      <c r="K1021" s="11124"/>
      <c r="L1021" s="11131"/>
      <c r="M1021" s="11131"/>
      <c r="N1021" s="11131"/>
      <c r="O1021" s="11124"/>
      <c r="P1021" s="11124"/>
      <c r="Q1021" s="11127"/>
      <c r="R1021" s="5446"/>
      <c r="S1021" s="3579"/>
      <c r="T1021" s="3579"/>
      <c r="U1021" s="3578"/>
      <c r="V1021" s="4315"/>
      <c r="W1021" s="3579"/>
      <c r="X1021" s="5552"/>
      <c r="Y1021" s="5552"/>
      <c r="Z1021" s="5552"/>
      <c r="AA1021" s="5553"/>
      <c r="AB1021" s="5581"/>
      <c r="AC1021" s="4316"/>
      <c r="AD1021" s="3496"/>
      <c r="AE1021" s="5610"/>
      <c r="AF1021" s="5610"/>
      <c r="AG1021" s="11115"/>
    </row>
    <row r="1022" spans="1:33" ht="18" customHeight="1">
      <c r="A1022" s="11139"/>
      <c r="B1022" s="11136"/>
      <c r="C1022" s="11124"/>
      <c r="D1022" s="11124"/>
      <c r="E1022" s="11124"/>
      <c r="F1022" s="11124"/>
      <c r="G1022" s="11124"/>
      <c r="H1022" s="11124"/>
      <c r="I1022" s="11124"/>
      <c r="J1022" s="11124"/>
      <c r="K1022" s="11124"/>
      <c r="L1022" s="11131"/>
      <c r="M1022" s="11131"/>
      <c r="N1022" s="11131"/>
      <c r="O1022" s="11124"/>
      <c r="P1022" s="11124"/>
      <c r="Q1022" s="11127"/>
      <c r="R1022" s="5446"/>
      <c r="S1022" s="3579"/>
      <c r="T1022" s="3579"/>
      <c r="U1022" s="3578"/>
      <c r="V1022" s="4315"/>
      <c r="W1022" s="3579"/>
      <c r="X1022" s="5552"/>
      <c r="Y1022" s="5552"/>
      <c r="Z1022" s="5552"/>
      <c r="AA1022" s="5553"/>
      <c r="AB1022" s="5581"/>
      <c r="AC1022" s="4316"/>
      <c r="AD1022" s="3496"/>
      <c r="AE1022" s="5610"/>
      <c r="AF1022" s="5610"/>
      <c r="AG1022" s="11115"/>
    </row>
    <row r="1023" spans="1:33" ht="18" customHeight="1">
      <c r="A1023" s="11139"/>
      <c r="B1023" s="11137"/>
      <c r="C1023" s="11125"/>
      <c r="D1023" s="11125"/>
      <c r="E1023" s="11125"/>
      <c r="F1023" s="11125"/>
      <c r="G1023" s="11125"/>
      <c r="H1023" s="11125"/>
      <c r="I1023" s="11125"/>
      <c r="J1023" s="11125"/>
      <c r="K1023" s="11125"/>
      <c r="L1023" s="11134"/>
      <c r="M1023" s="11134"/>
      <c r="N1023" s="11134"/>
      <c r="O1023" s="11125"/>
      <c r="P1023" s="11125"/>
      <c r="Q1023" s="11135"/>
      <c r="R1023" s="5448"/>
      <c r="S1023" s="3617"/>
      <c r="T1023" s="3617"/>
      <c r="U1023" s="3616"/>
      <c r="V1023" s="4319"/>
      <c r="W1023" s="3617"/>
      <c r="X1023" s="5554"/>
      <c r="Y1023" s="5554"/>
      <c r="Z1023" s="5554"/>
      <c r="AA1023" s="5555"/>
      <c r="AB1023" s="5592"/>
      <c r="AC1023" s="4320"/>
      <c r="AD1023" s="3714"/>
      <c r="AE1023" s="5624"/>
      <c r="AF1023" s="5624"/>
      <c r="AG1023" s="11116"/>
    </row>
    <row r="1024" spans="1:33" ht="18" customHeight="1">
      <c r="A1024" s="11139"/>
      <c r="B1024" s="10516" t="s">
        <v>183</v>
      </c>
      <c r="C1024" s="10433" t="s">
        <v>227</v>
      </c>
      <c r="D1024" s="10433" t="s">
        <v>228</v>
      </c>
      <c r="E1024" s="10433" t="s">
        <v>229</v>
      </c>
      <c r="F1024" s="10442" t="s">
        <v>230</v>
      </c>
      <c r="G1024" s="10433" t="s">
        <v>132</v>
      </c>
      <c r="H1024" s="10433" t="s">
        <v>159</v>
      </c>
      <c r="I1024" s="10433" t="s">
        <v>6026</v>
      </c>
      <c r="J1024" s="10433" t="s">
        <v>6027</v>
      </c>
      <c r="K1024" s="10433" t="s">
        <v>6022</v>
      </c>
      <c r="L1024" s="11130">
        <v>0</v>
      </c>
      <c r="M1024" s="11130">
        <v>1</v>
      </c>
      <c r="N1024" s="11130">
        <v>1</v>
      </c>
      <c r="O1024" s="10433" t="s">
        <v>6028</v>
      </c>
      <c r="P1024" s="10433" t="s">
        <v>6029</v>
      </c>
      <c r="Q1024" s="10439" t="s">
        <v>6176</v>
      </c>
      <c r="R1024" s="5452"/>
      <c r="S1024" s="3598"/>
      <c r="T1024" s="3598"/>
      <c r="U1024" s="4344"/>
      <c r="V1024" s="4337"/>
      <c r="W1024" s="3598"/>
      <c r="X1024" s="5556"/>
      <c r="Y1024" s="5556"/>
      <c r="Z1024" s="5556"/>
      <c r="AA1024" s="5557"/>
      <c r="AB1024" s="5584"/>
      <c r="AC1024" s="4338"/>
      <c r="AD1024" s="3709"/>
      <c r="AE1024" s="5626"/>
      <c r="AF1024" s="5626"/>
      <c r="AG1024" s="10525"/>
    </row>
    <row r="1025" spans="1:33" ht="18" customHeight="1">
      <c r="A1025" s="11139"/>
      <c r="B1025" s="11136"/>
      <c r="C1025" s="11124"/>
      <c r="D1025" s="11124"/>
      <c r="E1025" s="11124"/>
      <c r="F1025" s="11124"/>
      <c r="G1025" s="11124"/>
      <c r="H1025" s="11124"/>
      <c r="I1025" s="11124"/>
      <c r="J1025" s="11124"/>
      <c r="K1025" s="11124"/>
      <c r="L1025" s="11131"/>
      <c r="M1025" s="11131"/>
      <c r="N1025" s="11131"/>
      <c r="O1025" s="11124"/>
      <c r="P1025" s="11124"/>
      <c r="Q1025" s="11127"/>
      <c r="R1025" s="5446"/>
      <c r="S1025" s="3579"/>
      <c r="T1025" s="3579"/>
      <c r="U1025" s="3578"/>
      <c r="V1025" s="4315"/>
      <c r="W1025" s="3579"/>
      <c r="X1025" s="5552"/>
      <c r="Y1025" s="5552"/>
      <c r="Z1025" s="5552"/>
      <c r="AA1025" s="5553"/>
      <c r="AB1025" s="5581"/>
      <c r="AC1025" s="4316"/>
      <c r="AD1025" s="3496"/>
      <c r="AE1025" s="5610"/>
      <c r="AF1025" s="5610"/>
      <c r="AG1025" s="11115"/>
    </row>
    <row r="1026" spans="1:33" ht="18" customHeight="1">
      <c r="A1026" s="11139"/>
      <c r="B1026" s="11136"/>
      <c r="C1026" s="11124"/>
      <c r="D1026" s="11124"/>
      <c r="E1026" s="11124"/>
      <c r="F1026" s="11124"/>
      <c r="G1026" s="11124"/>
      <c r="H1026" s="11124"/>
      <c r="I1026" s="11124"/>
      <c r="J1026" s="11124"/>
      <c r="K1026" s="11124"/>
      <c r="L1026" s="11131"/>
      <c r="M1026" s="11131"/>
      <c r="N1026" s="11131"/>
      <c r="O1026" s="11124"/>
      <c r="P1026" s="11124"/>
      <c r="Q1026" s="11127"/>
      <c r="R1026" s="5446"/>
      <c r="S1026" s="3579"/>
      <c r="T1026" s="3579"/>
      <c r="U1026" s="3578"/>
      <c r="V1026" s="4315"/>
      <c r="W1026" s="3579"/>
      <c r="X1026" s="5552"/>
      <c r="Y1026" s="5552"/>
      <c r="Z1026" s="5552"/>
      <c r="AA1026" s="5553"/>
      <c r="AB1026" s="5581"/>
      <c r="AC1026" s="4316"/>
      <c r="AD1026" s="3496"/>
      <c r="AE1026" s="5610"/>
      <c r="AF1026" s="5610"/>
      <c r="AG1026" s="11115"/>
    </row>
    <row r="1027" spans="1:33" ht="18" customHeight="1">
      <c r="A1027" s="11139"/>
      <c r="B1027" s="11136"/>
      <c r="C1027" s="11124"/>
      <c r="D1027" s="11124"/>
      <c r="E1027" s="11124"/>
      <c r="F1027" s="11124"/>
      <c r="G1027" s="11124"/>
      <c r="H1027" s="11124"/>
      <c r="I1027" s="11124"/>
      <c r="J1027" s="11124"/>
      <c r="K1027" s="11124"/>
      <c r="L1027" s="11131"/>
      <c r="M1027" s="11131"/>
      <c r="N1027" s="11131"/>
      <c r="O1027" s="11124"/>
      <c r="P1027" s="11124"/>
      <c r="Q1027" s="11127"/>
      <c r="R1027" s="5446"/>
      <c r="S1027" s="3579"/>
      <c r="T1027" s="3579"/>
      <c r="U1027" s="3578"/>
      <c r="V1027" s="4315"/>
      <c r="W1027" s="3579"/>
      <c r="X1027" s="5552"/>
      <c r="Y1027" s="5552"/>
      <c r="Z1027" s="5552"/>
      <c r="AA1027" s="5553"/>
      <c r="AB1027" s="5581"/>
      <c r="AC1027" s="4316"/>
      <c r="AD1027" s="3496"/>
      <c r="AE1027" s="5610"/>
      <c r="AF1027" s="5610"/>
      <c r="AG1027" s="11115"/>
    </row>
    <row r="1028" spans="1:33" ht="18" customHeight="1">
      <c r="A1028" s="11139"/>
      <c r="B1028" s="11138"/>
      <c r="C1028" s="11126"/>
      <c r="D1028" s="11126"/>
      <c r="E1028" s="11126"/>
      <c r="F1028" s="11126"/>
      <c r="G1028" s="11126"/>
      <c r="H1028" s="11126"/>
      <c r="I1028" s="11126"/>
      <c r="J1028" s="11126"/>
      <c r="K1028" s="11126"/>
      <c r="L1028" s="11132"/>
      <c r="M1028" s="11132"/>
      <c r="N1028" s="11132"/>
      <c r="O1028" s="11126"/>
      <c r="P1028" s="11126"/>
      <c r="Q1028" s="11128"/>
      <c r="R1028" s="5450"/>
      <c r="S1028" s="3606"/>
      <c r="T1028" s="3606"/>
      <c r="U1028" s="3605"/>
      <c r="V1028" s="4317"/>
      <c r="W1028" s="3606"/>
      <c r="X1028" s="5558"/>
      <c r="Y1028" s="5558"/>
      <c r="Z1028" s="5558"/>
      <c r="AA1028" s="5559"/>
      <c r="AB1028" s="5585"/>
      <c r="AC1028" s="4318"/>
      <c r="AD1028" s="3545"/>
      <c r="AE1028" s="5625"/>
      <c r="AF1028" s="5625"/>
      <c r="AG1028" s="11116"/>
    </row>
    <row r="1029" spans="1:33" ht="18" customHeight="1">
      <c r="A1029" s="11139"/>
      <c r="B1029" s="10512" t="s">
        <v>183</v>
      </c>
      <c r="C1029" s="10444" t="s">
        <v>227</v>
      </c>
      <c r="D1029" s="10444" t="s">
        <v>185</v>
      </c>
      <c r="E1029" s="10444" t="s">
        <v>1938</v>
      </c>
      <c r="F1029" s="10451" t="s">
        <v>230</v>
      </c>
      <c r="G1029" s="10444" t="s">
        <v>171</v>
      </c>
      <c r="H1029" s="10444" t="s">
        <v>133</v>
      </c>
      <c r="I1029" s="10444" t="s">
        <v>6030</v>
      </c>
      <c r="J1029" s="10444" t="s">
        <v>6031</v>
      </c>
      <c r="K1029" s="10444" t="s">
        <v>5900</v>
      </c>
      <c r="L1029" s="11133">
        <v>1</v>
      </c>
      <c r="M1029" s="11133">
        <v>0</v>
      </c>
      <c r="N1029" s="11133">
        <v>1</v>
      </c>
      <c r="O1029" s="10444" t="s">
        <v>6032</v>
      </c>
      <c r="P1029" s="10444" t="s">
        <v>5902</v>
      </c>
      <c r="Q1029" s="10449" t="s">
        <v>6177</v>
      </c>
      <c r="R1029" s="5458"/>
      <c r="S1029" s="3623"/>
      <c r="T1029" s="3623"/>
      <c r="U1029" s="4312"/>
      <c r="V1029" s="4313"/>
      <c r="W1029" s="3623"/>
      <c r="X1029" s="5560"/>
      <c r="Y1029" s="5560"/>
      <c r="Z1029" s="5560"/>
      <c r="AA1029" s="5561"/>
      <c r="AB1029" s="5586"/>
      <c r="AC1029" s="4314"/>
      <c r="AD1029" s="3658"/>
      <c r="AE1029" s="5623"/>
      <c r="AF1029" s="5623"/>
      <c r="AG1029" s="10525"/>
    </row>
    <row r="1030" spans="1:33" ht="18" customHeight="1">
      <c r="A1030" s="11139"/>
      <c r="B1030" s="11136"/>
      <c r="C1030" s="11124"/>
      <c r="D1030" s="11124"/>
      <c r="E1030" s="11124"/>
      <c r="F1030" s="11124"/>
      <c r="G1030" s="11124"/>
      <c r="H1030" s="11124"/>
      <c r="I1030" s="11124"/>
      <c r="J1030" s="11124"/>
      <c r="K1030" s="11124"/>
      <c r="L1030" s="11131"/>
      <c r="M1030" s="11131"/>
      <c r="N1030" s="11131"/>
      <c r="O1030" s="11124"/>
      <c r="P1030" s="11124"/>
      <c r="Q1030" s="11127"/>
      <c r="R1030" s="5446"/>
      <c r="S1030" s="3579"/>
      <c r="T1030" s="3579"/>
      <c r="U1030" s="3578"/>
      <c r="V1030" s="4315"/>
      <c r="W1030" s="3579"/>
      <c r="X1030" s="5552"/>
      <c r="Y1030" s="5552"/>
      <c r="Z1030" s="5552"/>
      <c r="AA1030" s="5553"/>
      <c r="AB1030" s="5581"/>
      <c r="AC1030" s="4316"/>
      <c r="AD1030" s="3496"/>
      <c r="AE1030" s="5610"/>
      <c r="AF1030" s="5610"/>
      <c r="AG1030" s="11115"/>
    </row>
    <row r="1031" spans="1:33" ht="18" customHeight="1">
      <c r="A1031" s="11139"/>
      <c r="B1031" s="11136"/>
      <c r="C1031" s="11124"/>
      <c r="D1031" s="11124"/>
      <c r="E1031" s="11124"/>
      <c r="F1031" s="11124"/>
      <c r="G1031" s="11124"/>
      <c r="H1031" s="11124"/>
      <c r="I1031" s="11124"/>
      <c r="J1031" s="11124"/>
      <c r="K1031" s="11124"/>
      <c r="L1031" s="11131"/>
      <c r="M1031" s="11131"/>
      <c r="N1031" s="11131"/>
      <c r="O1031" s="11124"/>
      <c r="P1031" s="11124"/>
      <c r="Q1031" s="11127"/>
      <c r="R1031" s="5446"/>
      <c r="S1031" s="3579"/>
      <c r="T1031" s="3579"/>
      <c r="U1031" s="3578"/>
      <c r="V1031" s="4315"/>
      <c r="W1031" s="3579"/>
      <c r="X1031" s="5552"/>
      <c r="Y1031" s="5552"/>
      <c r="Z1031" s="5552"/>
      <c r="AA1031" s="5553"/>
      <c r="AB1031" s="5581"/>
      <c r="AC1031" s="4316"/>
      <c r="AD1031" s="3496"/>
      <c r="AE1031" s="5610"/>
      <c r="AF1031" s="5610"/>
      <c r="AG1031" s="11115"/>
    </row>
    <row r="1032" spans="1:33" ht="18" customHeight="1">
      <c r="A1032" s="11139"/>
      <c r="B1032" s="11136"/>
      <c r="C1032" s="11124"/>
      <c r="D1032" s="11124"/>
      <c r="E1032" s="11124"/>
      <c r="F1032" s="11124"/>
      <c r="G1032" s="11124"/>
      <c r="H1032" s="11124"/>
      <c r="I1032" s="11124"/>
      <c r="J1032" s="11124"/>
      <c r="K1032" s="11124"/>
      <c r="L1032" s="11131"/>
      <c r="M1032" s="11131"/>
      <c r="N1032" s="11131"/>
      <c r="O1032" s="11124"/>
      <c r="P1032" s="11124"/>
      <c r="Q1032" s="11127"/>
      <c r="R1032" s="5446"/>
      <c r="S1032" s="3579"/>
      <c r="T1032" s="3579"/>
      <c r="U1032" s="3578"/>
      <c r="V1032" s="4315"/>
      <c r="W1032" s="3579"/>
      <c r="X1032" s="5552"/>
      <c r="Y1032" s="5552"/>
      <c r="Z1032" s="5552"/>
      <c r="AA1032" s="5553"/>
      <c r="AB1032" s="5581"/>
      <c r="AC1032" s="4316"/>
      <c r="AD1032" s="3496"/>
      <c r="AE1032" s="5610"/>
      <c r="AF1032" s="5610"/>
      <c r="AG1032" s="11115"/>
    </row>
    <row r="1033" spans="1:33" ht="18" customHeight="1">
      <c r="A1033" s="11139"/>
      <c r="B1033" s="11137"/>
      <c r="C1033" s="11125"/>
      <c r="D1033" s="11125"/>
      <c r="E1033" s="11125"/>
      <c r="F1033" s="11125"/>
      <c r="G1033" s="11125"/>
      <c r="H1033" s="11125"/>
      <c r="I1033" s="11125"/>
      <c r="J1033" s="11125"/>
      <c r="K1033" s="11125"/>
      <c r="L1033" s="11134"/>
      <c r="M1033" s="11134"/>
      <c r="N1033" s="11134"/>
      <c r="O1033" s="11125"/>
      <c r="P1033" s="11125"/>
      <c r="Q1033" s="11135"/>
      <c r="R1033" s="5448"/>
      <c r="S1033" s="3617"/>
      <c r="T1033" s="3617"/>
      <c r="U1033" s="3616"/>
      <c r="V1033" s="4319"/>
      <c r="W1033" s="3617"/>
      <c r="X1033" s="5554"/>
      <c r="Y1033" s="5554"/>
      <c r="Z1033" s="5554"/>
      <c r="AA1033" s="5555"/>
      <c r="AB1033" s="5592"/>
      <c r="AC1033" s="4320"/>
      <c r="AD1033" s="3714"/>
      <c r="AE1033" s="5624"/>
      <c r="AF1033" s="5624"/>
      <c r="AG1033" s="11116"/>
    </row>
    <row r="1034" spans="1:33" ht="18" customHeight="1">
      <c r="A1034" s="11139"/>
      <c r="B1034" s="10516" t="s">
        <v>127</v>
      </c>
      <c r="C1034" s="10433" t="s">
        <v>128</v>
      </c>
      <c r="D1034" s="10433" t="s">
        <v>129</v>
      </c>
      <c r="E1034" s="10433" t="s">
        <v>157</v>
      </c>
      <c r="F1034" s="10442" t="s">
        <v>131</v>
      </c>
      <c r="G1034" s="10433" t="s">
        <v>132</v>
      </c>
      <c r="H1034" s="10433" t="s">
        <v>159</v>
      </c>
      <c r="I1034" s="10433" t="s">
        <v>6034</v>
      </c>
      <c r="J1034" s="10433" t="s">
        <v>6035</v>
      </c>
      <c r="K1034" s="10433" t="s">
        <v>6036</v>
      </c>
      <c r="L1034" s="11130">
        <v>1</v>
      </c>
      <c r="M1034" s="11130">
        <v>2</v>
      </c>
      <c r="N1034" s="11130">
        <v>2</v>
      </c>
      <c r="O1034" s="10433" t="s">
        <v>6037</v>
      </c>
      <c r="P1034" s="10433" t="s">
        <v>6038</v>
      </c>
      <c r="Q1034" s="10439" t="s">
        <v>6176</v>
      </c>
      <c r="R1034" s="5452"/>
      <c r="S1034" s="3598"/>
      <c r="T1034" s="3598"/>
      <c r="U1034" s="4344"/>
      <c r="V1034" s="4337"/>
      <c r="W1034" s="3598"/>
      <c r="X1034" s="5556"/>
      <c r="Y1034" s="5556"/>
      <c r="Z1034" s="5556"/>
      <c r="AA1034" s="5557"/>
      <c r="AB1034" s="5584"/>
      <c r="AC1034" s="4338"/>
      <c r="AD1034" s="3709"/>
      <c r="AE1034" s="5626"/>
      <c r="AF1034" s="5626"/>
      <c r="AG1034" s="10525"/>
    </row>
    <row r="1035" spans="1:33" ht="18" customHeight="1">
      <c r="A1035" s="11139"/>
      <c r="B1035" s="11136"/>
      <c r="C1035" s="11124"/>
      <c r="D1035" s="11124"/>
      <c r="E1035" s="11124"/>
      <c r="F1035" s="11124"/>
      <c r="G1035" s="11124"/>
      <c r="H1035" s="11124"/>
      <c r="I1035" s="11124"/>
      <c r="J1035" s="11124"/>
      <c r="K1035" s="11124"/>
      <c r="L1035" s="11131"/>
      <c r="M1035" s="11131"/>
      <c r="N1035" s="11131"/>
      <c r="O1035" s="11124"/>
      <c r="P1035" s="11124"/>
      <c r="Q1035" s="11127"/>
      <c r="R1035" s="5446"/>
      <c r="S1035" s="3579"/>
      <c r="T1035" s="3579"/>
      <c r="U1035" s="3578"/>
      <c r="V1035" s="4315"/>
      <c r="W1035" s="3579"/>
      <c r="X1035" s="5552"/>
      <c r="Y1035" s="5552"/>
      <c r="Z1035" s="5552"/>
      <c r="AA1035" s="5553"/>
      <c r="AB1035" s="5581"/>
      <c r="AC1035" s="4316"/>
      <c r="AD1035" s="3496"/>
      <c r="AE1035" s="5610"/>
      <c r="AF1035" s="5610"/>
      <c r="AG1035" s="11115"/>
    </row>
    <row r="1036" spans="1:33" ht="18" customHeight="1">
      <c r="A1036" s="11139"/>
      <c r="B1036" s="11136"/>
      <c r="C1036" s="11124"/>
      <c r="D1036" s="11124"/>
      <c r="E1036" s="11124"/>
      <c r="F1036" s="11124"/>
      <c r="G1036" s="11124"/>
      <c r="H1036" s="11124"/>
      <c r="I1036" s="11124"/>
      <c r="J1036" s="11124"/>
      <c r="K1036" s="11124"/>
      <c r="L1036" s="11131"/>
      <c r="M1036" s="11131"/>
      <c r="N1036" s="11131"/>
      <c r="O1036" s="11124"/>
      <c r="P1036" s="11124"/>
      <c r="Q1036" s="11127"/>
      <c r="R1036" s="5446"/>
      <c r="S1036" s="3579"/>
      <c r="T1036" s="3579"/>
      <c r="U1036" s="3578"/>
      <c r="V1036" s="4315"/>
      <c r="W1036" s="3579"/>
      <c r="X1036" s="5552"/>
      <c r="Y1036" s="5552"/>
      <c r="Z1036" s="5552"/>
      <c r="AA1036" s="5553"/>
      <c r="AB1036" s="5581"/>
      <c r="AC1036" s="4316"/>
      <c r="AD1036" s="3496"/>
      <c r="AE1036" s="5610"/>
      <c r="AF1036" s="5610"/>
      <c r="AG1036" s="11115"/>
    </row>
    <row r="1037" spans="1:33" ht="18" customHeight="1">
      <c r="A1037" s="11139"/>
      <c r="B1037" s="11136"/>
      <c r="C1037" s="11124"/>
      <c r="D1037" s="11124"/>
      <c r="E1037" s="11124"/>
      <c r="F1037" s="11124"/>
      <c r="G1037" s="11124"/>
      <c r="H1037" s="11124"/>
      <c r="I1037" s="11124"/>
      <c r="J1037" s="11124"/>
      <c r="K1037" s="11124"/>
      <c r="L1037" s="11131"/>
      <c r="M1037" s="11131"/>
      <c r="N1037" s="11131"/>
      <c r="O1037" s="11124"/>
      <c r="P1037" s="11124"/>
      <c r="Q1037" s="11127"/>
      <c r="R1037" s="5446"/>
      <c r="S1037" s="3579"/>
      <c r="T1037" s="3579"/>
      <c r="U1037" s="3578"/>
      <c r="V1037" s="4315"/>
      <c r="W1037" s="3579"/>
      <c r="X1037" s="5552"/>
      <c r="Y1037" s="5552"/>
      <c r="Z1037" s="5552"/>
      <c r="AA1037" s="5553"/>
      <c r="AB1037" s="5581"/>
      <c r="AC1037" s="4316"/>
      <c r="AD1037" s="3496"/>
      <c r="AE1037" s="5610"/>
      <c r="AF1037" s="5610"/>
      <c r="AG1037" s="11115"/>
    </row>
    <row r="1038" spans="1:33" ht="18" customHeight="1">
      <c r="A1038" s="11139"/>
      <c r="B1038" s="11138"/>
      <c r="C1038" s="11126"/>
      <c r="D1038" s="11126"/>
      <c r="E1038" s="11126"/>
      <c r="F1038" s="11126"/>
      <c r="G1038" s="11126"/>
      <c r="H1038" s="11126"/>
      <c r="I1038" s="11126"/>
      <c r="J1038" s="11126"/>
      <c r="K1038" s="11126"/>
      <c r="L1038" s="11132"/>
      <c r="M1038" s="11132"/>
      <c r="N1038" s="11132"/>
      <c r="O1038" s="11126"/>
      <c r="P1038" s="11126"/>
      <c r="Q1038" s="11128"/>
      <c r="R1038" s="5450"/>
      <c r="S1038" s="3606"/>
      <c r="T1038" s="3606"/>
      <c r="U1038" s="3605"/>
      <c r="V1038" s="4317"/>
      <c r="W1038" s="3606"/>
      <c r="X1038" s="5558"/>
      <c r="Y1038" s="5558"/>
      <c r="Z1038" s="5558"/>
      <c r="AA1038" s="5559"/>
      <c r="AB1038" s="5585"/>
      <c r="AC1038" s="4318"/>
      <c r="AD1038" s="3545"/>
      <c r="AE1038" s="5625"/>
      <c r="AF1038" s="5625"/>
      <c r="AG1038" s="11116"/>
    </row>
    <row r="1039" spans="1:33" ht="18" customHeight="1">
      <c r="A1039" s="11139"/>
      <c r="B1039" s="10512" t="s">
        <v>183</v>
      </c>
      <c r="C1039" s="10444" t="s">
        <v>227</v>
      </c>
      <c r="D1039" s="10444" t="s">
        <v>228</v>
      </c>
      <c r="E1039" s="10444" t="s">
        <v>229</v>
      </c>
      <c r="F1039" s="10451" t="s">
        <v>230</v>
      </c>
      <c r="G1039" s="10444" t="s">
        <v>132</v>
      </c>
      <c r="H1039" s="10444" t="s">
        <v>159</v>
      </c>
      <c r="I1039" s="10444" t="s">
        <v>6039</v>
      </c>
      <c r="J1039" s="10444" t="s">
        <v>6040</v>
      </c>
      <c r="K1039" s="10444" t="s">
        <v>6022</v>
      </c>
      <c r="L1039" s="11133">
        <v>0</v>
      </c>
      <c r="M1039" s="11133">
        <v>1</v>
      </c>
      <c r="N1039" s="11133">
        <v>0</v>
      </c>
      <c r="O1039" s="10444" t="s">
        <v>6041</v>
      </c>
      <c r="P1039" s="10444" t="s">
        <v>6042</v>
      </c>
      <c r="Q1039" s="10449" t="s">
        <v>6176</v>
      </c>
      <c r="R1039" s="5458"/>
      <c r="S1039" s="3623"/>
      <c r="T1039" s="3623"/>
      <c r="U1039" s="4312"/>
      <c r="V1039" s="4313"/>
      <c r="W1039" s="3623"/>
      <c r="X1039" s="5560"/>
      <c r="Y1039" s="5560"/>
      <c r="Z1039" s="5560"/>
      <c r="AA1039" s="5561"/>
      <c r="AB1039" s="5586"/>
      <c r="AC1039" s="4314"/>
      <c r="AD1039" s="3658"/>
      <c r="AE1039" s="5623"/>
      <c r="AF1039" s="5623"/>
      <c r="AG1039" s="10525"/>
    </row>
    <row r="1040" spans="1:33" ht="18" customHeight="1">
      <c r="A1040" s="11139"/>
      <c r="B1040" s="11136"/>
      <c r="C1040" s="11124"/>
      <c r="D1040" s="11124"/>
      <c r="E1040" s="11124"/>
      <c r="F1040" s="11124"/>
      <c r="G1040" s="11124"/>
      <c r="H1040" s="11124"/>
      <c r="I1040" s="11124"/>
      <c r="J1040" s="11124"/>
      <c r="K1040" s="11124"/>
      <c r="L1040" s="11131"/>
      <c r="M1040" s="11131"/>
      <c r="N1040" s="11131"/>
      <c r="O1040" s="11124"/>
      <c r="P1040" s="11124"/>
      <c r="Q1040" s="11127"/>
      <c r="R1040" s="5446"/>
      <c r="S1040" s="3579"/>
      <c r="T1040" s="3579"/>
      <c r="U1040" s="3578"/>
      <c r="V1040" s="4315"/>
      <c r="W1040" s="3579"/>
      <c r="X1040" s="5552"/>
      <c r="Y1040" s="5552"/>
      <c r="Z1040" s="5552"/>
      <c r="AA1040" s="5553"/>
      <c r="AB1040" s="5581"/>
      <c r="AC1040" s="4316"/>
      <c r="AD1040" s="3496"/>
      <c r="AE1040" s="5610"/>
      <c r="AF1040" s="5610"/>
      <c r="AG1040" s="11115"/>
    </row>
    <row r="1041" spans="1:33" ht="18" customHeight="1">
      <c r="A1041" s="11139"/>
      <c r="B1041" s="11136"/>
      <c r="C1041" s="11124"/>
      <c r="D1041" s="11124"/>
      <c r="E1041" s="11124"/>
      <c r="F1041" s="11124"/>
      <c r="G1041" s="11124"/>
      <c r="H1041" s="11124"/>
      <c r="I1041" s="11124"/>
      <c r="J1041" s="11124"/>
      <c r="K1041" s="11124"/>
      <c r="L1041" s="11131"/>
      <c r="M1041" s="11131"/>
      <c r="N1041" s="11131"/>
      <c r="O1041" s="11124"/>
      <c r="P1041" s="11124"/>
      <c r="Q1041" s="11127"/>
      <c r="R1041" s="5446"/>
      <c r="S1041" s="3579"/>
      <c r="T1041" s="3579"/>
      <c r="U1041" s="3578"/>
      <c r="V1041" s="4315"/>
      <c r="W1041" s="3579"/>
      <c r="X1041" s="5552"/>
      <c r="Y1041" s="5552"/>
      <c r="Z1041" s="5552"/>
      <c r="AA1041" s="5553"/>
      <c r="AB1041" s="5581"/>
      <c r="AC1041" s="4316"/>
      <c r="AD1041" s="3496"/>
      <c r="AE1041" s="5610"/>
      <c r="AF1041" s="5610"/>
      <c r="AG1041" s="11115"/>
    </row>
    <row r="1042" spans="1:33" ht="18" customHeight="1">
      <c r="A1042" s="11139"/>
      <c r="B1042" s="11136"/>
      <c r="C1042" s="11124"/>
      <c r="D1042" s="11124"/>
      <c r="E1042" s="11124"/>
      <c r="F1042" s="11124"/>
      <c r="G1042" s="11124"/>
      <c r="H1042" s="11124"/>
      <c r="I1042" s="11124"/>
      <c r="J1042" s="11124"/>
      <c r="K1042" s="11124"/>
      <c r="L1042" s="11131"/>
      <c r="M1042" s="11131"/>
      <c r="N1042" s="11131"/>
      <c r="O1042" s="11124"/>
      <c r="P1042" s="11124"/>
      <c r="Q1042" s="11127"/>
      <c r="R1042" s="5446"/>
      <c r="S1042" s="3579"/>
      <c r="T1042" s="3579"/>
      <c r="U1042" s="3578"/>
      <c r="V1042" s="4315"/>
      <c r="W1042" s="3579"/>
      <c r="X1042" s="5552"/>
      <c r="Y1042" s="5552"/>
      <c r="Z1042" s="5552"/>
      <c r="AA1042" s="5553"/>
      <c r="AB1042" s="5581"/>
      <c r="AC1042" s="4316"/>
      <c r="AD1042" s="3496"/>
      <c r="AE1042" s="5610"/>
      <c r="AF1042" s="5610"/>
      <c r="AG1042" s="11115"/>
    </row>
    <row r="1043" spans="1:33" ht="18" customHeight="1">
      <c r="A1043" s="11139"/>
      <c r="B1043" s="11137"/>
      <c r="C1043" s="11125"/>
      <c r="D1043" s="11125"/>
      <c r="E1043" s="11125"/>
      <c r="F1043" s="11125"/>
      <c r="G1043" s="11125"/>
      <c r="H1043" s="11125"/>
      <c r="I1043" s="11125"/>
      <c r="J1043" s="11125"/>
      <c r="K1043" s="11125"/>
      <c r="L1043" s="11134"/>
      <c r="M1043" s="11134"/>
      <c r="N1043" s="11134"/>
      <c r="O1043" s="11125"/>
      <c r="P1043" s="11125"/>
      <c r="Q1043" s="11135"/>
      <c r="R1043" s="5448"/>
      <c r="S1043" s="3617"/>
      <c r="T1043" s="3617"/>
      <c r="U1043" s="3616"/>
      <c r="V1043" s="4319"/>
      <c r="W1043" s="3617"/>
      <c r="X1043" s="5554"/>
      <c r="Y1043" s="5554"/>
      <c r="Z1043" s="5554"/>
      <c r="AA1043" s="5555"/>
      <c r="AB1043" s="5592"/>
      <c r="AC1043" s="4320"/>
      <c r="AD1043" s="3714"/>
      <c r="AE1043" s="5624"/>
      <c r="AF1043" s="5624"/>
      <c r="AG1043" s="11116"/>
    </row>
    <row r="1044" spans="1:33" ht="18" customHeight="1">
      <c r="A1044" s="11139"/>
      <c r="B1044" s="10516" t="s">
        <v>183</v>
      </c>
      <c r="C1044" s="10433" t="s">
        <v>227</v>
      </c>
      <c r="D1044" s="10433" t="s">
        <v>228</v>
      </c>
      <c r="E1044" s="10433" t="s">
        <v>229</v>
      </c>
      <c r="F1044" s="10442" t="s">
        <v>230</v>
      </c>
      <c r="G1044" s="10433" t="s">
        <v>132</v>
      </c>
      <c r="H1044" s="10433" t="s">
        <v>159</v>
      </c>
      <c r="I1044" s="10433" t="s">
        <v>6043</v>
      </c>
      <c r="J1044" s="10433" t="s">
        <v>6044</v>
      </c>
      <c r="K1044" s="10433" t="s">
        <v>5882</v>
      </c>
      <c r="L1044" s="11130">
        <v>2</v>
      </c>
      <c r="M1044" s="11130">
        <v>0</v>
      </c>
      <c r="N1044" s="11130">
        <v>2</v>
      </c>
      <c r="O1044" s="10433" t="s">
        <v>6045</v>
      </c>
      <c r="P1044" s="10433" t="s">
        <v>6046</v>
      </c>
      <c r="Q1044" s="10439" t="s">
        <v>6176</v>
      </c>
      <c r="R1044" s="5452"/>
      <c r="S1044" s="3598"/>
      <c r="T1044" s="3598"/>
      <c r="U1044" s="4344"/>
      <c r="V1044" s="4337"/>
      <c r="W1044" s="3598"/>
      <c r="X1044" s="5556"/>
      <c r="Y1044" s="5556"/>
      <c r="Z1044" s="5556"/>
      <c r="AA1044" s="5557"/>
      <c r="AB1044" s="5584"/>
      <c r="AC1044" s="4338"/>
      <c r="AD1044" s="3709"/>
      <c r="AE1044" s="5626"/>
      <c r="AF1044" s="5626"/>
      <c r="AG1044" s="10525"/>
    </row>
    <row r="1045" spans="1:33" ht="18" customHeight="1">
      <c r="A1045" s="11139"/>
      <c r="B1045" s="11136"/>
      <c r="C1045" s="11124"/>
      <c r="D1045" s="11124"/>
      <c r="E1045" s="11124"/>
      <c r="F1045" s="11124"/>
      <c r="G1045" s="11124"/>
      <c r="H1045" s="11124"/>
      <c r="I1045" s="11124"/>
      <c r="J1045" s="11124"/>
      <c r="K1045" s="11124"/>
      <c r="L1045" s="11131"/>
      <c r="M1045" s="11131"/>
      <c r="N1045" s="11131"/>
      <c r="O1045" s="11124"/>
      <c r="P1045" s="11124"/>
      <c r="Q1045" s="11127"/>
      <c r="R1045" s="5446"/>
      <c r="S1045" s="3579"/>
      <c r="T1045" s="3579"/>
      <c r="U1045" s="3578"/>
      <c r="V1045" s="4315"/>
      <c r="W1045" s="3579"/>
      <c r="X1045" s="5552"/>
      <c r="Y1045" s="5552"/>
      <c r="Z1045" s="5552"/>
      <c r="AA1045" s="5553"/>
      <c r="AB1045" s="5581"/>
      <c r="AC1045" s="4316"/>
      <c r="AD1045" s="3496"/>
      <c r="AE1045" s="5610"/>
      <c r="AF1045" s="5610"/>
      <c r="AG1045" s="11115"/>
    </row>
    <row r="1046" spans="1:33" ht="18" customHeight="1">
      <c r="A1046" s="11139"/>
      <c r="B1046" s="11136"/>
      <c r="C1046" s="11124"/>
      <c r="D1046" s="11124"/>
      <c r="E1046" s="11124"/>
      <c r="F1046" s="11124"/>
      <c r="G1046" s="11124"/>
      <c r="H1046" s="11124"/>
      <c r="I1046" s="11124"/>
      <c r="J1046" s="11124"/>
      <c r="K1046" s="11124"/>
      <c r="L1046" s="11131"/>
      <c r="M1046" s="11131"/>
      <c r="N1046" s="11131"/>
      <c r="O1046" s="11124"/>
      <c r="P1046" s="11124"/>
      <c r="Q1046" s="11127"/>
      <c r="R1046" s="5446"/>
      <c r="S1046" s="3579"/>
      <c r="T1046" s="3579"/>
      <c r="U1046" s="3578"/>
      <c r="V1046" s="4315"/>
      <c r="W1046" s="3579"/>
      <c r="X1046" s="5552"/>
      <c r="Y1046" s="5552"/>
      <c r="Z1046" s="5552"/>
      <c r="AA1046" s="5553"/>
      <c r="AB1046" s="5581"/>
      <c r="AC1046" s="4316"/>
      <c r="AD1046" s="3496"/>
      <c r="AE1046" s="5610"/>
      <c r="AF1046" s="5610"/>
      <c r="AG1046" s="11115"/>
    </row>
    <row r="1047" spans="1:33" ht="18" customHeight="1">
      <c r="A1047" s="11139"/>
      <c r="B1047" s="11136"/>
      <c r="C1047" s="11124"/>
      <c r="D1047" s="11124"/>
      <c r="E1047" s="11124"/>
      <c r="F1047" s="11124"/>
      <c r="G1047" s="11124"/>
      <c r="H1047" s="11124"/>
      <c r="I1047" s="11124"/>
      <c r="J1047" s="11124"/>
      <c r="K1047" s="11124"/>
      <c r="L1047" s="11131"/>
      <c r="M1047" s="11131"/>
      <c r="N1047" s="11131"/>
      <c r="O1047" s="11124"/>
      <c r="P1047" s="11124"/>
      <c r="Q1047" s="11127"/>
      <c r="R1047" s="5446"/>
      <c r="S1047" s="3579"/>
      <c r="T1047" s="3579"/>
      <c r="U1047" s="3578"/>
      <c r="V1047" s="4315"/>
      <c r="W1047" s="3579"/>
      <c r="X1047" s="5552"/>
      <c r="Y1047" s="5552"/>
      <c r="Z1047" s="5552"/>
      <c r="AA1047" s="5553"/>
      <c r="AB1047" s="5581"/>
      <c r="AC1047" s="4316"/>
      <c r="AD1047" s="3496"/>
      <c r="AE1047" s="5610"/>
      <c r="AF1047" s="5610"/>
      <c r="AG1047" s="11115"/>
    </row>
    <row r="1048" spans="1:33" ht="18" customHeight="1">
      <c r="A1048" s="11139"/>
      <c r="B1048" s="11138"/>
      <c r="C1048" s="11126"/>
      <c r="D1048" s="11126"/>
      <c r="E1048" s="11126"/>
      <c r="F1048" s="11126"/>
      <c r="G1048" s="11126"/>
      <c r="H1048" s="11126"/>
      <c r="I1048" s="11126"/>
      <c r="J1048" s="11126"/>
      <c r="K1048" s="11126"/>
      <c r="L1048" s="11132"/>
      <c r="M1048" s="11132"/>
      <c r="N1048" s="11132"/>
      <c r="O1048" s="11126"/>
      <c r="P1048" s="11126"/>
      <c r="Q1048" s="11128"/>
      <c r="R1048" s="5450"/>
      <c r="S1048" s="3606"/>
      <c r="T1048" s="3606"/>
      <c r="U1048" s="3605"/>
      <c r="V1048" s="4317"/>
      <c r="W1048" s="3606"/>
      <c r="X1048" s="5558"/>
      <c r="Y1048" s="5558"/>
      <c r="Z1048" s="5558"/>
      <c r="AA1048" s="5559"/>
      <c r="AB1048" s="5585"/>
      <c r="AC1048" s="4318"/>
      <c r="AD1048" s="3545"/>
      <c r="AE1048" s="5625"/>
      <c r="AF1048" s="5625"/>
      <c r="AG1048" s="11116"/>
    </row>
    <row r="1049" spans="1:33" ht="18" customHeight="1">
      <c r="A1049" s="11139"/>
      <c r="B1049" s="10512" t="s">
        <v>183</v>
      </c>
      <c r="C1049" s="10444" t="s">
        <v>227</v>
      </c>
      <c r="D1049" s="10444" t="s">
        <v>228</v>
      </c>
      <c r="E1049" s="10444" t="s">
        <v>229</v>
      </c>
      <c r="F1049" s="10451" t="s">
        <v>230</v>
      </c>
      <c r="G1049" s="10444" t="s">
        <v>132</v>
      </c>
      <c r="H1049" s="10444" t="s">
        <v>159</v>
      </c>
      <c r="I1049" s="10444" t="s">
        <v>6047</v>
      </c>
      <c r="J1049" s="10444" t="s">
        <v>6048</v>
      </c>
      <c r="K1049" s="10444" t="s">
        <v>6049</v>
      </c>
      <c r="L1049" s="11133">
        <v>4</v>
      </c>
      <c r="M1049" s="11133">
        <v>4</v>
      </c>
      <c r="N1049" s="11133">
        <v>4</v>
      </c>
      <c r="O1049" s="10444" t="s">
        <v>6050</v>
      </c>
      <c r="P1049" s="10444" t="s">
        <v>6051</v>
      </c>
      <c r="Q1049" s="10449" t="s">
        <v>6178</v>
      </c>
      <c r="R1049" s="5458"/>
      <c r="S1049" s="3623"/>
      <c r="T1049" s="3623"/>
      <c r="U1049" s="4312"/>
      <c r="V1049" s="4313"/>
      <c r="W1049" s="3623"/>
      <c r="X1049" s="5560"/>
      <c r="Y1049" s="5560"/>
      <c r="Z1049" s="5560"/>
      <c r="AA1049" s="5561"/>
      <c r="AB1049" s="5586"/>
      <c r="AC1049" s="4314"/>
      <c r="AD1049" s="3658"/>
      <c r="AE1049" s="5623"/>
      <c r="AF1049" s="5623"/>
      <c r="AG1049" s="10525"/>
    </row>
    <row r="1050" spans="1:33" ht="18" customHeight="1">
      <c r="A1050" s="11139"/>
      <c r="B1050" s="11136"/>
      <c r="C1050" s="11124"/>
      <c r="D1050" s="11124"/>
      <c r="E1050" s="11124"/>
      <c r="F1050" s="11124"/>
      <c r="G1050" s="11124"/>
      <c r="H1050" s="11124"/>
      <c r="I1050" s="11124"/>
      <c r="J1050" s="11124"/>
      <c r="K1050" s="11124"/>
      <c r="L1050" s="11131"/>
      <c r="M1050" s="11131"/>
      <c r="N1050" s="11131"/>
      <c r="O1050" s="11124"/>
      <c r="P1050" s="11124"/>
      <c r="Q1050" s="11127"/>
      <c r="R1050" s="5446"/>
      <c r="S1050" s="3579"/>
      <c r="T1050" s="3579"/>
      <c r="U1050" s="3578"/>
      <c r="V1050" s="4315"/>
      <c r="W1050" s="3579"/>
      <c r="X1050" s="5552"/>
      <c r="Y1050" s="5552"/>
      <c r="Z1050" s="5552"/>
      <c r="AA1050" s="5553"/>
      <c r="AB1050" s="5581"/>
      <c r="AC1050" s="4316"/>
      <c r="AD1050" s="3496"/>
      <c r="AE1050" s="5610"/>
      <c r="AF1050" s="5610"/>
      <c r="AG1050" s="11115"/>
    </row>
    <row r="1051" spans="1:33" ht="18" customHeight="1">
      <c r="A1051" s="11139"/>
      <c r="B1051" s="11136"/>
      <c r="C1051" s="11124"/>
      <c r="D1051" s="11124"/>
      <c r="E1051" s="11124"/>
      <c r="F1051" s="11124"/>
      <c r="G1051" s="11124"/>
      <c r="H1051" s="11124"/>
      <c r="I1051" s="11124"/>
      <c r="J1051" s="11124"/>
      <c r="K1051" s="11124"/>
      <c r="L1051" s="11131"/>
      <c r="M1051" s="11131"/>
      <c r="N1051" s="11131"/>
      <c r="O1051" s="11124"/>
      <c r="P1051" s="11124"/>
      <c r="Q1051" s="11127"/>
      <c r="R1051" s="5446"/>
      <c r="S1051" s="3579"/>
      <c r="T1051" s="3579"/>
      <c r="U1051" s="3578"/>
      <c r="V1051" s="4315"/>
      <c r="W1051" s="3579"/>
      <c r="X1051" s="5552"/>
      <c r="Y1051" s="5552"/>
      <c r="Z1051" s="5552"/>
      <c r="AA1051" s="5553"/>
      <c r="AB1051" s="5581"/>
      <c r="AC1051" s="4316"/>
      <c r="AD1051" s="3496"/>
      <c r="AE1051" s="5610"/>
      <c r="AF1051" s="5610"/>
      <c r="AG1051" s="11115"/>
    </row>
    <row r="1052" spans="1:33" ht="18" customHeight="1">
      <c r="A1052" s="11139"/>
      <c r="B1052" s="11136"/>
      <c r="C1052" s="11124"/>
      <c r="D1052" s="11124"/>
      <c r="E1052" s="11124"/>
      <c r="F1052" s="11124"/>
      <c r="G1052" s="11124"/>
      <c r="H1052" s="11124"/>
      <c r="I1052" s="11124"/>
      <c r="J1052" s="11124"/>
      <c r="K1052" s="11124"/>
      <c r="L1052" s="11131"/>
      <c r="M1052" s="11131"/>
      <c r="N1052" s="11131"/>
      <c r="O1052" s="11124"/>
      <c r="P1052" s="11124"/>
      <c r="Q1052" s="11127"/>
      <c r="R1052" s="5446"/>
      <c r="S1052" s="3579"/>
      <c r="T1052" s="3579"/>
      <c r="U1052" s="3578"/>
      <c r="V1052" s="4315"/>
      <c r="W1052" s="3579"/>
      <c r="X1052" s="5552"/>
      <c r="Y1052" s="5552"/>
      <c r="Z1052" s="5552"/>
      <c r="AA1052" s="5553"/>
      <c r="AB1052" s="5581"/>
      <c r="AC1052" s="4316"/>
      <c r="AD1052" s="3496"/>
      <c r="AE1052" s="5610"/>
      <c r="AF1052" s="5610"/>
      <c r="AG1052" s="11115"/>
    </row>
    <row r="1053" spans="1:33" ht="18" customHeight="1">
      <c r="A1053" s="11139"/>
      <c r="B1053" s="11137"/>
      <c r="C1053" s="11125"/>
      <c r="D1053" s="11125"/>
      <c r="E1053" s="11125"/>
      <c r="F1053" s="11125"/>
      <c r="G1053" s="11125"/>
      <c r="H1053" s="11125"/>
      <c r="I1053" s="11125"/>
      <c r="J1053" s="11125"/>
      <c r="K1053" s="11125"/>
      <c r="L1053" s="11134"/>
      <c r="M1053" s="11134"/>
      <c r="N1053" s="11134"/>
      <c r="O1053" s="11125"/>
      <c r="P1053" s="11125"/>
      <c r="Q1053" s="11135"/>
      <c r="R1053" s="5448"/>
      <c r="S1053" s="3617"/>
      <c r="T1053" s="3617"/>
      <c r="U1053" s="3616"/>
      <c r="V1053" s="4319"/>
      <c r="W1053" s="3617"/>
      <c r="X1053" s="5554"/>
      <c r="Y1053" s="5554"/>
      <c r="Z1053" s="5554"/>
      <c r="AA1053" s="5555"/>
      <c r="AB1053" s="5592"/>
      <c r="AC1053" s="4320"/>
      <c r="AD1053" s="3714"/>
      <c r="AE1053" s="5624"/>
      <c r="AF1053" s="5624"/>
      <c r="AG1053" s="11116"/>
    </row>
    <row r="1054" spans="1:33" ht="18" customHeight="1">
      <c r="A1054" s="11139"/>
      <c r="B1054" s="10516" t="s">
        <v>183</v>
      </c>
      <c r="C1054" s="10433" t="s">
        <v>227</v>
      </c>
      <c r="D1054" s="10433" t="s">
        <v>228</v>
      </c>
      <c r="E1054" s="10433" t="s">
        <v>229</v>
      </c>
      <c r="F1054" s="10442" t="s">
        <v>230</v>
      </c>
      <c r="G1054" s="10433" t="s">
        <v>132</v>
      </c>
      <c r="H1054" s="10433" t="s">
        <v>159</v>
      </c>
      <c r="I1054" s="10433" t="s">
        <v>6053</v>
      </c>
      <c r="J1054" s="10433" t="s">
        <v>6054</v>
      </c>
      <c r="K1054" s="10433" t="s">
        <v>6022</v>
      </c>
      <c r="L1054" s="11130">
        <v>1</v>
      </c>
      <c r="M1054" s="11130">
        <v>1</v>
      </c>
      <c r="N1054" s="11130">
        <v>1</v>
      </c>
      <c r="O1054" s="10433" t="s">
        <v>6055</v>
      </c>
      <c r="P1054" s="10433" t="s">
        <v>6056</v>
      </c>
      <c r="Q1054" s="10439" t="s">
        <v>6178</v>
      </c>
      <c r="R1054" s="5452"/>
      <c r="S1054" s="3598"/>
      <c r="T1054" s="3598"/>
      <c r="U1054" s="4344"/>
      <c r="V1054" s="4337"/>
      <c r="W1054" s="3598"/>
      <c r="X1054" s="5556"/>
      <c r="Y1054" s="5556"/>
      <c r="Z1054" s="5556"/>
      <c r="AA1054" s="5557"/>
      <c r="AB1054" s="5584"/>
      <c r="AC1054" s="4338"/>
      <c r="AD1054" s="3709"/>
      <c r="AE1054" s="5626"/>
      <c r="AF1054" s="5626"/>
      <c r="AG1054" s="10525"/>
    </row>
    <row r="1055" spans="1:33" ht="18" customHeight="1">
      <c r="A1055" s="11139"/>
      <c r="B1055" s="11136"/>
      <c r="C1055" s="11124"/>
      <c r="D1055" s="11124"/>
      <c r="E1055" s="11124"/>
      <c r="F1055" s="11124"/>
      <c r="G1055" s="11124"/>
      <c r="H1055" s="11124"/>
      <c r="I1055" s="11124"/>
      <c r="J1055" s="11124"/>
      <c r="K1055" s="11124"/>
      <c r="L1055" s="11131"/>
      <c r="M1055" s="11131"/>
      <c r="N1055" s="11131"/>
      <c r="O1055" s="11124"/>
      <c r="P1055" s="11124"/>
      <c r="Q1055" s="11127"/>
      <c r="R1055" s="5446"/>
      <c r="S1055" s="3579"/>
      <c r="T1055" s="3579"/>
      <c r="U1055" s="3578"/>
      <c r="V1055" s="4315"/>
      <c r="W1055" s="3579"/>
      <c r="X1055" s="5552"/>
      <c r="Y1055" s="5552"/>
      <c r="Z1055" s="5552"/>
      <c r="AA1055" s="5553"/>
      <c r="AB1055" s="5581"/>
      <c r="AC1055" s="4316"/>
      <c r="AD1055" s="3496"/>
      <c r="AE1055" s="5610"/>
      <c r="AF1055" s="5610"/>
      <c r="AG1055" s="11115"/>
    </row>
    <row r="1056" spans="1:33" ht="18" customHeight="1">
      <c r="A1056" s="11139"/>
      <c r="B1056" s="11136"/>
      <c r="C1056" s="11124"/>
      <c r="D1056" s="11124"/>
      <c r="E1056" s="11124"/>
      <c r="F1056" s="11124"/>
      <c r="G1056" s="11124"/>
      <c r="H1056" s="11124"/>
      <c r="I1056" s="11124"/>
      <c r="J1056" s="11124"/>
      <c r="K1056" s="11124"/>
      <c r="L1056" s="11131"/>
      <c r="M1056" s="11131"/>
      <c r="N1056" s="11131"/>
      <c r="O1056" s="11124"/>
      <c r="P1056" s="11124"/>
      <c r="Q1056" s="11127"/>
      <c r="R1056" s="5446"/>
      <c r="S1056" s="3579"/>
      <c r="T1056" s="3579"/>
      <c r="U1056" s="3578"/>
      <c r="V1056" s="4315"/>
      <c r="W1056" s="3579"/>
      <c r="X1056" s="5552"/>
      <c r="Y1056" s="5552"/>
      <c r="Z1056" s="5552"/>
      <c r="AA1056" s="5553"/>
      <c r="AB1056" s="5581"/>
      <c r="AC1056" s="4316"/>
      <c r="AD1056" s="3496"/>
      <c r="AE1056" s="5610"/>
      <c r="AF1056" s="5610"/>
      <c r="AG1056" s="11115"/>
    </row>
    <row r="1057" spans="1:33" ht="18" customHeight="1">
      <c r="A1057" s="11139"/>
      <c r="B1057" s="11136"/>
      <c r="C1057" s="11124"/>
      <c r="D1057" s="11124"/>
      <c r="E1057" s="11124"/>
      <c r="F1057" s="11124"/>
      <c r="G1057" s="11124"/>
      <c r="H1057" s="11124"/>
      <c r="I1057" s="11124"/>
      <c r="J1057" s="11124"/>
      <c r="K1057" s="11124"/>
      <c r="L1057" s="11131"/>
      <c r="M1057" s="11131"/>
      <c r="N1057" s="11131"/>
      <c r="O1057" s="11124"/>
      <c r="P1057" s="11124"/>
      <c r="Q1057" s="11127"/>
      <c r="R1057" s="5446"/>
      <c r="S1057" s="3579"/>
      <c r="T1057" s="3579"/>
      <c r="U1057" s="3578"/>
      <c r="V1057" s="4315"/>
      <c r="W1057" s="3579"/>
      <c r="X1057" s="5552"/>
      <c r="Y1057" s="5552"/>
      <c r="Z1057" s="5552"/>
      <c r="AA1057" s="5553"/>
      <c r="AB1057" s="5581"/>
      <c r="AC1057" s="4316"/>
      <c r="AD1057" s="3496"/>
      <c r="AE1057" s="5610"/>
      <c r="AF1057" s="5610"/>
      <c r="AG1057" s="11115"/>
    </row>
    <row r="1058" spans="1:33" ht="18" customHeight="1">
      <c r="A1058" s="11139"/>
      <c r="B1058" s="11138"/>
      <c r="C1058" s="11126"/>
      <c r="D1058" s="11126"/>
      <c r="E1058" s="11126"/>
      <c r="F1058" s="11126"/>
      <c r="G1058" s="11126"/>
      <c r="H1058" s="11126"/>
      <c r="I1058" s="11126"/>
      <c r="J1058" s="11126"/>
      <c r="K1058" s="11126"/>
      <c r="L1058" s="11132"/>
      <c r="M1058" s="11132"/>
      <c r="N1058" s="11132"/>
      <c r="O1058" s="11126"/>
      <c r="P1058" s="11126"/>
      <c r="Q1058" s="11128"/>
      <c r="R1058" s="5450"/>
      <c r="S1058" s="3606"/>
      <c r="T1058" s="3606"/>
      <c r="U1058" s="3605"/>
      <c r="V1058" s="4317"/>
      <c r="W1058" s="3606"/>
      <c r="X1058" s="5558"/>
      <c r="Y1058" s="5558"/>
      <c r="Z1058" s="5558"/>
      <c r="AA1058" s="5559"/>
      <c r="AB1058" s="5585"/>
      <c r="AC1058" s="4318"/>
      <c r="AD1058" s="3545"/>
      <c r="AE1058" s="5625"/>
      <c r="AF1058" s="5625"/>
      <c r="AG1058" s="11116"/>
    </row>
    <row r="1059" spans="1:33" ht="18" customHeight="1">
      <c r="A1059" s="11139"/>
      <c r="B1059" s="10512" t="s">
        <v>183</v>
      </c>
      <c r="C1059" s="10444" t="s">
        <v>227</v>
      </c>
      <c r="D1059" s="10444" t="s">
        <v>228</v>
      </c>
      <c r="E1059" s="10444" t="s">
        <v>229</v>
      </c>
      <c r="F1059" s="10451" t="s">
        <v>230</v>
      </c>
      <c r="G1059" s="10444" t="s">
        <v>132</v>
      </c>
      <c r="H1059" s="10444" t="s">
        <v>159</v>
      </c>
      <c r="I1059" s="10444" t="s">
        <v>6057</v>
      </c>
      <c r="J1059" s="10444" t="s">
        <v>6058</v>
      </c>
      <c r="K1059" s="10444" t="s">
        <v>6049</v>
      </c>
      <c r="L1059" s="11133">
        <v>0</v>
      </c>
      <c r="M1059" s="11133">
        <v>1</v>
      </c>
      <c r="N1059" s="11133">
        <v>1</v>
      </c>
      <c r="O1059" s="10444" t="s">
        <v>6059</v>
      </c>
      <c r="P1059" s="10444" t="s">
        <v>6060</v>
      </c>
      <c r="Q1059" s="10449" t="s">
        <v>6178</v>
      </c>
      <c r="R1059" s="5458"/>
      <c r="S1059" s="3623"/>
      <c r="T1059" s="3623"/>
      <c r="U1059" s="4312"/>
      <c r="V1059" s="4313"/>
      <c r="W1059" s="3623"/>
      <c r="X1059" s="5560"/>
      <c r="Y1059" s="5560"/>
      <c r="Z1059" s="5560"/>
      <c r="AA1059" s="5561"/>
      <c r="AB1059" s="5586"/>
      <c r="AC1059" s="4314"/>
      <c r="AD1059" s="3658"/>
      <c r="AE1059" s="5623"/>
      <c r="AF1059" s="5623"/>
      <c r="AG1059" s="10525"/>
    </row>
    <row r="1060" spans="1:33" ht="18" customHeight="1">
      <c r="A1060" s="11139"/>
      <c r="B1060" s="11136"/>
      <c r="C1060" s="11124"/>
      <c r="D1060" s="11124"/>
      <c r="E1060" s="11124"/>
      <c r="F1060" s="11124"/>
      <c r="G1060" s="11124"/>
      <c r="H1060" s="11124"/>
      <c r="I1060" s="11124"/>
      <c r="J1060" s="11124"/>
      <c r="K1060" s="11124"/>
      <c r="L1060" s="11131"/>
      <c r="M1060" s="11131"/>
      <c r="N1060" s="11131"/>
      <c r="O1060" s="11124"/>
      <c r="P1060" s="11124"/>
      <c r="Q1060" s="11127"/>
      <c r="R1060" s="5446"/>
      <c r="S1060" s="3579"/>
      <c r="T1060" s="3579"/>
      <c r="U1060" s="3578"/>
      <c r="V1060" s="4315"/>
      <c r="W1060" s="3579"/>
      <c r="X1060" s="5552"/>
      <c r="Y1060" s="5552"/>
      <c r="Z1060" s="5552"/>
      <c r="AA1060" s="5553"/>
      <c r="AB1060" s="5581"/>
      <c r="AC1060" s="4316"/>
      <c r="AD1060" s="3496"/>
      <c r="AE1060" s="5610"/>
      <c r="AF1060" s="5610"/>
      <c r="AG1060" s="11115"/>
    </row>
    <row r="1061" spans="1:33" ht="18" customHeight="1">
      <c r="A1061" s="11139"/>
      <c r="B1061" s="11136"/>
      <c r="C1061" s="11124"/>
      <c r="D1061" s="11124"/>
      <c r="E1061" s="11124"/>
      <c r="F1061" s="11124"/>
      <c r="G1061" s="11124"/>
      <c r="H1061" s="11124"/>
      <c r="I1061" s="11124"/>
      <c r="J1061" s="11124"/>
      <c r="K1061" s="11124"/>
      <c r="L1061" s="11131"/>
      <c r="M1061" s="11131"/>
      <c r="N1061" s="11131"/>
      <c r="O1061" s="11124"/>
      <c r="P1061" s="11124"/>
      <c r="Q1061" s="11127"/>
      <c r="R1061" s="5446"/>
      <c r="S1061" s="3579"/>
      <c r="T1061" s="3579"/>
      <c r="U1061" s="3578"/>
      <c r="V1061" s="4315"/>
      <c r="W1061" s="3579"/>
      <c r="X1061" s="5552"/>
      <c r="Y1061" s="5552"/>
      <c r="Z1061" s="5552"/>
      <c r="AA1061" s="5553"/>
      <c r="AB1061" s="5581"/>
      <c r="AC1061" s="4316"/>
      <c r="AD1061" s="3496"/>
      <c r="AE1061" s="5610"/>
      <c r="AF1061" s="5610"/>
      <c r="AG1061" s="11115"/>
    </row>
    <row r="1062" spans="1:33" ht="18" customHeight="1">
      <c r="A1062" s="11139"/>
      <c r="B1062" s="11136"/>
      <c r="C1062" s="11124"/>
      <c r="D1062" s="11124"/>
      <c r="E1062" s="11124"/>
      <c r="F1062" s="11124"/>
      <c r="G1062" s="11124"/>
      <c r="H1062" s="11124"/>
      <c r="I1062" s="11124"/>
      <c r="J1062" s="11124"/>
      <c r="K1062" s="11124"/>
      <c r="L1062" s="11131"/>
      <c r="M1062" s="11131"/>
      <c r="N1062" s="11131"/>
      <c r="O1062" s="11124"/>
      <c r="P1062" s="11124"/>
      <c r="Q1062" s="11127"/>
      <c r="R1062" s="5446"/>
      <c r="S1062" s="3579"/>
      <c r="T1062" s="3579"/>
      <c r="U1062" s="3578"/>
      <c r="V1062" s="4315"/>
      <c r="W1062" s="3579"/>
      <c r="X1062" s="5552"/>
      <c r="Y1062" s="5552"/>
      <c r="Z1062" s="5552"/>
      <c r="AA1062" s="5553"/>
      <c r="AB1062" s="5581"/>
      <c r="AC1062" s="4316"/>
      <c r="AD1062" s="3496"/>
      <c r="AE1062" s="5610"/>
      <c r="AF1062" s="5610"/>
      <c r="AG1062" s="11115"/>
    </row>
    <row r="1063" spans="1:33" ht="18" customHeight="1">
      <c r="A1063" s="11139"/>
      <c r="B1063" s="11137"/>
      <c r="C1063" s="11125"/>
      <c r="D1063" s="11125"/>
      <c r="E1063" s="11125"/>
      <c r="F1063" s="11125"/>
      <c r="G1063" s="11125"/>
      <c r="H1063" s="11125"/>
      <c r="I1063" s="11125"/>
      <c r="J1063" s="11125"/>
      <c r="K1063" s="11125"/>
      <c r="L1063" s="11134"/>
      <c r="M1063" s="11134"/>
      <c r="N1063" s="11134"/>
      <c r="O1063" s="11125"/>
      <c r="P1063" s="11125"/>
      <c r="Q1063" s="11135"/>
      <c r="R1063" s="5448"/>
      <c r="S1063" s="3617"/>
      <c r="T1063" s="3617"/>
      <c r="U1063" s="3616"/>
      <c r="V1063" s="4319"/>
      <c r="W1063" s="3617"/>
      <c r="X1063" s="5554"/>
      <c r="Y1063" s="5554"/>
      <c r="Z1063" s="5554"/>
      <c r="AA1063" s="5555"/>
      <c r="AB1063" s="5592"/>
      <c r="AC1063" s="4320"/>
      <c r="AD1063" s="3714"/>
      <c r="AE1063" s="5624"/>
      <c r="AF1063" s="5624"/>
      <c r="AG1063" s="11116"/>
    </row>
    <row r="1064" spans="1:33" ht="18" customHeight="1">
      <c r="A1064" s="11139"/>
      <c r="B1064" s="10516" t="s">
        <v>127</v>
      </c>
      <c r="C1064" s="10433" t="s">
        <v>128</v>
      </c>
      <c r="D1064" s="10433" t="s">
        <v>129</v>
      </c>
      <c r="E1064" s="10433" t="s">
        <v>157</v>
      </c>
      <c r="F1064" s="10442" t="s">
        <v>131</v>
      </c>
      <c r="G1064" s="10433" t="s">
        <v>132</v>
      </c>
      <c r="H1064" s="10433" t="s">
        <v>159</v>
      </c>
      <c r="I1064" s="10433" t="s">
        <v>6061</v>
      </c>
      <c r="J1064" s="10433" t="s">
        <v>6062</v>
      </c>
      <c r="K1064" s="10433" t="s">
        <v>6063</v>
      </c>
      <c r="L1064" s="11130">
        <v>1</v>
      </c>
      <c r="M1064" s="11130">
        <v>1</v>
      </c>
      <c r="N1064" s="11130">
        <v>1</v>
      </c>
      <c r="O1064" s="10433" t="s">
        <v>6064</v>
      </c>
      <c r="P1064" s="10433" t="s">
        <v>6065</v>
      </c>
      <c r="Q1064" s="10439" t="s">
        <v>6176</v>
      </c>
      <c r="R1064" s="5452"/>
      <c r="S1064" s="3598"/>
      <c r="T1064" s="3598"/>
      <c r="U1064" s="4344"/>
      <c r="V1064" s="4337"/>
      <c r="W1064" s="3598"/>
      <c r="X1064" s="5556"/>
      <c r="Y1064" s="5556"/>
      <c r="Z1064" s="5556"/>
      <c r="AA1064" s="5557"/>
      <c r="AB1064" s="5584"/>
      <c r="AC1064" s="4338"/>
      <c r="AD1064" s="3709"/>
      <c r="AE1064" s="5626"/>
      <c r="AF1064" s="5626"/>
      <c r="AG1064" s="10525"/>
    </row>
    <row r="1065" spans="1:33" ht="18" customHeight="1">
      <c r="A1065" s="11139"/>
      <c r="B1065" s="11136"/>
      <c r="C1065" s="11124"/>
      <c r="D1065" s="11124"/>
      <c r="E1065" s="11124"/>
      <c r="F1065" s="11124"/>
      <c r="G1065" s="11124"/>
      <c r="H1065" s="11124"/>
      <c r="I1065" s="11124"/>
      <c r="J1065" s="11124"/>
      <c r="K1065" s="11124"/>
      <c r="L1065" s="11131"/>
      <c r="M1065" s="11131"/>
      <c r="N1065" s="11131"/>
      <c r="O1065" s="11124"/>
      <c r="P1065" s="11124"/>
      <c r="Q1065" s="11127"/>
      <c r="R1065" s="5446"/>
      <c r="S1065" s="3579"/>
      <c r="T1065" s="3579"/>
      <c r="U1065" s="3578"/>
      <c r="V1065" s="4315"/>
      <c r="W1065" s="3579"/>
      <c r="X1065" s="5552"/>
      <c r="Y1065" s="5552"/>
      <c r="Z1065" s="5552"/>
      <c r="AA1065" s="5553"/>
      <c r="AB1065" s="5581"/>
      <c r="AC1065" s="4316"/>
      <c r="AD1065" s="3496"/>
      <c r="AE1065" s="5610"/>
      <c r="AF1065" s="5610"/>
      <c r="AG1065" s="11115"/>
    </row>
    <row r="1066" spans="1:33" ht="18" customHeight="1">
      <c r="A1066" s="11139"/>
      <c r="B1066" s="11136"/>
      <c r="C1066" s="11124"/>
      <c r="D1066" s="11124"/>
      <c r="E1066" s="11124"/>
      <c r="F1066" s="11124"/>
      <c r="G1066" s="11124"/>
      <c r="H1066" s="11124"/>
      <c r="I1066" s="11124"/>
      <c r="J1066" s="11124"/>
      <c r="K1066" s="11124"/>
      <c r="L1066" s="11131"/>
      <c r="M1066" s="11131"/>
      <c r="N1066" s="11131"/>
      <c r="O1066" s="11124"/>
      <c r="P1066" s="11124"/>
      <c r="Q1066" s="11127"/>
      <c r="R1066" s="5446"/>
      <c r="S1066" s="3579"/>
      <c r="T1066" s="3579"/>
      <c r="U1066" s="3578"/>
      <c r="V1066" s="4315"/>
      <c r="W1066" s="3579"/>
      <c r="X1066" s="5552"/>
      <c r="Y1066" s="5552"/>
      <c r="Z1066" s="5552"/>
      <c r="AA1066" s="5553"/>
      <c r="AB1066" s="5581"/>
      <c r="AC1066" s="4316"/>
      <c r="AD1066" s="3496"/>
      <c r="AE1066" s="5610"/>
      <c r="AF1066" s="5610"/>
      <c r="AG1066" s="11115"/>
    </row>
    <row r="1067" spans="1:33" ht="18" customHeight="1">
      <c r="A1067" s="11139"/>
      <c r="B1067" s="11136"/>
      <c r="C1067" s="11124"/>
      <c r="D1067" s="11124"/>
      <c r="E1067" s="11124"/>
      <c r="F1067" s="11124"/>
      <c r="G1067" s="11124"/>
      <c r="H1067" s="11124"/>
      <c r="I1067" s="11124"/>
      <c r="J1067" s="11124"/>
      <c r="K1067" s="11124"/>
      <c r="L1067" s="11131"/>
      <c r="M1067" s="11131"/>
      <c r="N1067" s="11131"/>
      <c r="O1067" s="11124"/>
      <c r="P1067" s="11124"/>
      <c r="Q1067" s="11127"/>
      <c r="R1067" s="5446"/>
      <c r="S1067" s="3579"/>
      <c r="T1067" s="3579"/>
      <c r="U1067" s="3578"/>
      <c r="V1067" s="4315"/>
      <c r="W1067" s="3579"/>
      <c r="X1067" s="5552"/>
      <c r="Y1067" s="5552"/>
      <c r="Z1067" s="5552"/>
      <c r="AA1067" s="5553"/>
      <c r="AB1067" s="5581"/>
      <c r="AC1067" s="4316"/>
      <c r="AD1067" s="3496"/>
      <c r="AE1067" s="5610"/>
      <c r="AF1067" s="5610"/>
      <c r="AG1067" s="11115"/>
    </row>
    <row r="1068" spans="1:33" ht="18" customHeight="1">
      <c r="A1068" s="11139"/>
      <c r="B1068" s="11138"/>
      <c r="C1068" s="11126"/>
      <c r="D1068" s="11126"/>
      <c r="E1068" s="11126"/>
      <c r="F1068" s="11126"/>
      <c r="G1068" s="11126"/>
      <c r="H1068" s="11126"/>
      <c r="I1068" s="11126"/>
      <c r="J1068" s="11126"/>
      <c r="K1068" s="11126"/>
      <c r="L1068" s="11132"/>
      <c r="M1068" s="11132"/>
      <c r="N1068" s="11132"/>
      <c r="O1068" s="11126"/>
      <c r="P1068" s="11126"/>
      <c r="Q1068" s="11128"/>
      <c r="R1068" s="5450"/>
      <c r="S1068" s="3606"/>
      <c r="T1068" s="3606"/>
      <c r="U1068" s="3605"/>
      <c r="V1068" s="4317"/>
      <c r="W1068" s="3606"/>
      <c r="X1068" s="5558"/>
      <c r="Y1068" s="5558"/>
      <c r="Z1068" s="5558"/>
      <c r="AA1068" s="5559"/>
      <c r="AB1068" s="5585"/>
      <c r="AC1068" s="4318"/>
      <c r="AD1068" s="3545"/>
      <c r="AE1068" s="5625"/>
      <c r="AF1068" s="5625"/>
      <c r="AG1068" s="11116"/>
    </row>
    <row r="1069" spans="1:33" ht="18" customHeight="1">
      <c r="A1069" s="11139"/>
      <c r="B1069" s="10512" t="s">
        <v>183</v>
      </c>
      <c r="C1069" s="10444" t="s">
        <v>227</v>
      </c>
      <c r="D1069" s="10444" t="s">
        <v>228</v>
      </c>
      <c r="E1069" s="10444" t="s">
        <v>229</v>
      </c>
      <c r="F1069" s="10451" t="s">
        <v>230</v>
      </c>
      <c r="G1069" s="10444" t="s">
        <v>132</v>
      </c>
      <c r="H1069" s="10444" t="s">
        <v>159</v>
      </c>
      <c r="I1069" s="10444" t="s">
        <v>6066</v>
      </c>
      <c r="J1069" s="10444" t="s">
        <v>6067</v>
      </c>
      <c r="K1069" s="10444" t="s">
        <v>5871</v>
      </c>
      <c r="L1069" s="11133">
        <v>0</v>
      </c>
      <c r="M1069" s="11133">
        <v>1</v>
      </c>
      <c r="N1069" s="11133">
        <v>0</v>
      </c>
      <c r="O1069" s="10444" t="s">
        <v>5872</v>
      </c>
      <c r="P1069" s="10444" t="s">
        <v>5873</v>
      </c>
      <c r="Q1069" s="10449" t="s">
        <v>6178</v>
      </c>
      <c r="R1069" s="5458"/>
      <c r="S1069" s="3623"/>
      <c r="T1069" s="3623"/>
      <c r="U1069" s="4312"/>
      <c r="V1069" s="4313"/>
      <c r="W1069" s="3623"/>
      <c r="X1069" s="5560"/>
      <c r="Y1069" s="5560"/>
      <c r="Z1069" s="5560"/>
      <c r="AA1069" s="5561"/>
      <c r="AB1069" s="5586"/>
      <c r="AC1069" s="4314"/>
      <c r="AD1069" s="3658"/>
      <c r="AE1069" s="5623"/>
      <c r="AF1069" s="5623"/>
      <c r="AG1069" s="10525"/>
    </row>
    <row r="1070" spans="1:33" ht="18" customHeight="1">
      <c r="A1070" s="11139"/>
      <c r="B1070" s="11136"/>
      <c r="C1070" s="11124"/>
      <c r="D1070" s="11124"/>
      <c r="E1070" s="11124"/>
      <c r="F1070" s="11124"/>
      <c r="G1070" s="11124"/>
      <c r="H1070" s="11124"/>
      <c r="I1070" s="11124"/>
      <c r="J1070" s="11124"/>
      <c r="K1070" s="11124"/>
      <c r="L1070" s="11131"/>
      <c r="M1070" s="11131"/>
      <c r="N1070" s="11131"/>
      <c r="O1070" s="11124"/>
      <c r="P1070" s="11124"/>
      <c r="Q1070" s="11127"/>
      <c r="R1070" s="5446"/>
      <c r="S1070" s="3579"/>
      <c r="T1070" s="3579"/>
      <c r="U1070" s="3578"/>
      <c r="V1070" s="4315"/>
      <c r="W1070" s="3579"/>
      <c r="X1070" s="5552"/>
      <c r="Y1070" s="5552"/>
      <c r="Z1070" s="5552"/>
      <c r="AA1070" s="5553"/>
      <c r="AB1070" s="5581"/>
      <c r="AC1070" s="4316"/>
      <c r="AD1070" s="3496"/>
      <c r="AE1070" s="5610"/>
      <c r="AF1070" s="5610"/>
      <c r="AG1070" s="11115"/>
    </row>
    <row r="1071" spans="1:33" ht="18" customHeight="1">
      <c r="A1071" s="11139"/>
      <c r="B1071" s="11136"/>
      <c r="C1071" s="11124"/>
      <c r="D1071" s="11124"/>
      <c r="E1071" s="11124"/>
      <c r="F1071" s="11124"/>
      <c r="G1071" s="11124"/>
      <c r="H1071" s="11124"/>
      <c r="I1071" s="11124"/>
      <c r="J1071" s="11124"/>
      <c r="K1071" s="11124"/>
      <c r="L1071" s="11131"/>
      <c r="M1071" s="11131"/>
      <c r="N1071" s="11131"/>
      <c r="O1071" s="11124"/>
      <c r="P1071" s="11124"/>
      <c r="Q1071" s="11127"/>
      <c r="R1071" s="5446"/>
      <c r="S1071" s="3579"/>
      <c r="T1071" s="3579"/>
      <c r="U1071" s="3578"/>
      <c r="V1071" s="4315"/>
      <c r="W1071" s="3579"/>
      <c r="X1071" s="5552"/>
      <c r="Y1071" s="5552"/>
      <c r="Z1071" s="5552"/>
      <c r="AA1071" s="5553"/>
      <c r="AB1071" s="5581"/>
      <c r="AC1071" s="4316"/>
      <c r="AD1071" s="3496"/>
      <c r="AE1071" s="5610"/>
      <c r="AF1071" s="5610"/>
      <c r="AG1071" s="11115"/>
    </row>
    <row r="1072" spans="1:33" ht="18" customHeight="1">
      <c r="A1072" s="11139"/>
      <c r="B1072" s="11136"/>
      <c r="C1072" s="11124"/>
      <c r="D1072" s="11124"/>
      <c r="E1072" s="11124"/>
      <c r="F1072" s="11124"/>
      <c r="G1072" s="11124"/>
      <c r="H1072" s="11124"/>
      <c r="I1072" s="11124"/>
      <c r="J1072" s="11124"/>
      <c r="K1072" s="11124"/>
      <c r="L1072" s="11131"/>
      <c r="M1072" s="11131"/>
      <c r="N1072" s="11131"/>
      <c r="O1072" s="11124"/>
      <c r="P1072" s="11124"/>
      <c r="Q1072" s="11127"/>
      <c r="R1072" s="5446"/>
      <c r="S1072" s="3579"/>
      <c r="T1072" s="3579"/>
      <c r="U1072" s="3578"/>
      <c r="V1072" s="4315"/>
      <c r="W1072" s="3579"/>
      <c r="X1072" s="5552"/>
      <c r="Y1072" s="5552"/>
      <c r="Z1072" s="5552"/>
      <c r="AA1072" s="5553"/>
      <c r="AB1072" s="5581"/>
      <c r="AC1072" s="4316"/>
      <c r="AD1072" s="3496"/>
      <c r="AE1072" s="5610"/>
      <c r="AF1072" s="5610"/>
      <c r="AG1072" s="11115"/>
    </row>
    <row r="1073" spans="1:33" ht="18" customHeight="1">
      <c r="A1073" s="11139"/>
      <c r="B1073" s="11137"/>
      <c r="C1073" s="11125"/>
      <c r="D1073" s="11125"/>
      <c r="E1073" s="11125"/>
      <c r="F1073" s="11125"/>
      <c r="G1073" s="11125"/>
      <c r="H1073" s="11125"/>
      <c r="I1073" s="11125"/>
      <c r="J1073" s="11125"/>
      <c r="K1073" s="11125"/>
      <c r="L1073" s="11134"/>
      <c r="M1073" s="11134"/>
      <c r="N1073" s="11134"/>
      <c r="O1073" s="11125"/>
      <c r="P1073" s="11125"/>
      <c r="Q1073" s="11135"/>
      <c r="R1073" s="5448"/>
      <c r="S1073" s="3617"/>
      <c r="T1073" s="3617"/>
      <c r="U1073" s="3616"/>
      <c r="V1073" s="4319"/>
      <c r="W1073" s="3617"/>
      <c r="X1073" s="5554"/>
      <c r="Y1073" s="5554"/>
      <c r="Z1073" s="5554"/>
      <c r="AA1073" s="5555"/>
      <c r="AB1073" s="5592"/>
      <c r="AC1073" s="4320"/>
      <c r="AD1073" s="3714"/>
      <c r="AE1073" s="5624"/>
      <c r="AF1073" s="5624"/>
      <c r="AG1073" s="11116"/>
    </row>
    <row r="1074" spans="1:33" ht="18" customHeight="1">
      <c r="A1074" s="11139"/>
      <c r="B1074" s="10516" t="s">
        <v>183</v>
      </c>
      <c r="C1074" s="10433" t="s">
        <v>227</v>
      </c>
      <c r="D1074" s="10433" t="s">
        <v>228</v>
      </c>
      <c r="E1074" s="10433" t="s">
        <v>229</v>
      </c>
      <c r="F1074" s="10442" t="s">
        <v>230</v>
      </c>
      <c r="G1074" s="10433" t="s">
        <v>171</v>
      </c>
      <c r="H1074" s="10433" t="s">
        <v>133</v>
      </c>
      <c r="I1074" s="10433" t="s">
        <v>6068</v>
      </c>
      <c r="J1074" s="10433" t="s">
        <v>6069</v>
      </c>
      <c r="K1074" s="10433" t="s">
        <v>6022</v>
      </c>
      <c r="L1074" s="10470">
        <v>1</v>
      </c>
      <c r="M1074" s="10470">
        <v>1</v>
      </c>
      <c r="N1074" s="10470">
        <v>1</v>
      </c>
      <c r="O1074" s="10433" t="s">
        <v>6070</v>
      </c>
      <c r="P1074" s="10433" t="s">
        <v>6071</v>
      </c>
      <c r="Q1074" s="10439" t="s">
        <v>6179</v>
      </c>
      <c r="R1074" s="5449"/>
      <c r="S1074" s="4336"/>
      <c r="T1074" s="4336"/>
      <c r="U1074" s="3597"/>
      <c r="V1074" s="4337"/>
      <c r="W1074" s="3598"/>
      <c r="X1074" s="5556"/>
      <c r="Y1074" s="5556"/>
      <c r="Z1074" s="5556"/>
      <c r="AA1074" s="5557"/>
      <c r="AB1074" s="5584"/>
      <c r="AC1074" s="4338"/>
      <c r="AD1074" s="3709"/>
      <c r="AE1074" s="5626"/>
      <c r="AF1074" s="5626"/>
      <c r="AG1074" s="10525"/>
    </row>
    <row r="1075" spans="1:33" ht="18" customHeight="1">
      <c r="A1075" s="11139"/>
      <c r="B1075" s="11136"/>
      <c r="C1075" s="11124"/>
      <c r="D1075" s="11124"/>
      <c r="E1075" s="11124"/>
      <c r="F1075" s="11124"/>
      <c r="G1075" s="11124"/>
      <c r="H1075" s="11124"/>
      <c r="I1075" s="11124"/>
      <c r="J1075" s="11124"/>
      <c r="K1075" s="11124"/>
      <c r="L1075" s="11131"/>
      <c r="M1075" s="11131"/>
      <c r="N1075" s="11131"/>
      <c r="O1075" s="11124"/>
      <c r="P1075" s="11124"/>
      <c r="Q1075" s="11127"/>
      <c r="R1075" s="5446"/>
      <c r="S1075" s="3579"/>
      <c r="T1075" s="3579"/>
      <c r="U1075" s="3578"/>
      <c r="V1075" s="4315"/>
      <c r="W1075" s="3579"/>
      <c r="X1075" s="5552"/>
      <c r="Y1075" s="5552"/>
      <c r="Z1075" s="5552"/>
      <c r="AA1075" s="5553"/>
      <c r="AB1075" s="5581"/>
      <c r="AC1075" s="4316"/>
      <c r="AD1075" s="3496"/>
      <c r="AE1075" s="5610"/>
      <c r="AF1075" s="5610"/>
      <c r="AG1075" s="11115"/>
    </row>
    <row r="1076" spans="1:33" ht="18" customHeight="1">
      <c r="A1076" s="11139"/>
      <c r="B1076" s="11136"/>
      <c r="C1076" s="11124"/>
      <c r="D1076" s="11124"/>
      <c r="E1076" s="11124"/>
      <c r="F1076" s="11124"/>
      <c r="G1076" s="11124"/>
      <c r="H1076" s="11124"/>
      <c r="I1076" s="11124"/>
      <c r="J1076" s="11124"/>
      <c r="K1076" s="11124"/>
      <c r="L1076" s="11131"/>
      <c r="M1076" s="11131"/>
      <c r="N1076" s="11131"/>
      <c r="O1076" s="11124"/>
      <c r="P1076" s="11124"/>
      <c r="Q1076" s="11127"/>
      <c r="R1076" s="5446"/>
      <c r="S1076" s="3579"/>
      <c r="T1076" s="3579"/>
      <c r="U1076" s="3578"/>
      <c r="V1076" s="4315"/>
      <c r="W1076" s="3579"/>
      <c r="X1076" s="5552"/>
      <c r="Y1076" s="5552"/>
      <c r="Z1076" s="5552"/>
      <c r="AA1076" s="5553"/>
      <c r="AB1076" s="5581"/>
      <c r="AC1076" s="4316"/>
      <c r="AD1076" s="3496"/>
      <c r="AE1076" s="5610"/>
      <c r="AF1076" s="5610"/>
      <c r="AG1076" s="11115"/>
    </row>
    <row r="1077" spans="1:33" ht="18" customHeight="1">
      <c r="A1077" s="11139"/>
      <c r="B1077" s="11136"/>
      <c r="C1077" s="11124"/>
      <c r="D1077" s="11124"/>
      <c r="E1077" s="11124"/>
      <c r="F1077" s="11124"/>
      <c r="G1077" s="11124"/>
      <c r="H1077" s="11124"/>
      <c r="I1077" s="11124"/>
      <c r="J1077" s="11124"/>
      <c r="K1077" s="11124"/>
      <c r="L1077" s="11131"/>
      <c r="M1077" s="11131"/>
      <c r="N1077" s="11131"/>
      <c r="O1077" s="11124"/>
      <c r="P1077" s="11124"/>
      <c r="Q1077" s="11127"/>
      <c r="R1077" s="5447"/>
      <c r="S1077" s="4325"/>
      <c r="T1077" s="4325"/>
      <c r="U1077" s="3578"/>
      <c r="V1077" s="4315"/>
      <c r="W1077" s="3579"/>
      <c r="X1077" s="5552"/>
      <c r="Y1077" s="5552"/>
      <c r="Z1077" s="5552"/>
      <c r="AA1077" s="5553"/>
      <c r="AB1077" s="5581"/>
      <c r="AC1077" s="4316"/>
      <c r="AD1077" s="3496"/>
      <c r="AE1077" s="5610"/>
      <c r="AF1077" s="5610"/>
      <c r="AG1077" s="11115"/>
    </row>
    <row r="1078" spans="1:33" ht="18" customHeight="1">
      <c r="A1078" s="11139"/>
      <c r="B1078" s="11138"/>
      <c r="C1078" s="11126"/>
      <c r="D1078" s="11126"/>
      <c r="E1078" s="11126"/>
      <c r="F1078" s="11126"/>
      <c r="G1078" s="11126"/>
      <c r="H1078" s="11126"/>
      <c r="I1078" s="11126"/>
      <c r="J1078" s="11126"/>
      <c r="K1078" s="11126"/>
      <c r="L1078" s="11132"/>
      <c r="M1078" s="11132"/>
      <c r="N1078" s="11132"/>
      <c r="O1078" s="11126"/>
      <c r="P1078" s="11126"/>
      <c r="Q1078" s="11128"/>
      <c r="R1078" s="5450"/>
      <c r="S1078" s="3606"/>
      <c r="T1078" s="3606"/>
      <c r="U1078" s="3605"/>
      <c r="V1078" s="4317"/>
      <c r="W1078" s="3606"/>
      <c r="X1078" s="5558"/>
      <c r="Y1078" s="5558"/>
      <c r="Z1078" s="5558"/>
      <c r="AA1078" s="5559"/>
      <c r="AB1078" s="5585"/>
      <c r="AC1078" s="4318"/>
      <c r="AD1078" s="3545"/>
      <c r="AE1078" s="5625"/>
      <c r="AF1078" s="5625"/>
      <c r="AG1078" s="11116"/>
    </row>
    <row r="1079" spans="1:33" ht="18" customHeight="1">
      <c r="A1079" s="11139"/>
      <c r="B1079" s="10512" t="s">
        <v>127</v>
      </c>
      <c r="C1079" s="10444" t="s">
        <v>128</v>
      </c>
      <c r="D1079" s="10444" t="s">
        <v>129</v>
      </c>
      <c r="E1079" s="10444" t="s">
        <v>157</v>
      </c>
      <c r="F1079" s="10451" t="s">
        <v>131</v>
      </c>
      <c r="G1079" s="10444" t="s">
        <v>132</v>
      </c>
      <c r="H1079" s="10444" t="s">
        <v>159</v>
      </c>
      <c r="I1079" s="10444" t="s">
        <v>6073</v>
      </c>
      <c r="J1079" s="10444" t="s">
        <v>6074</v>
      </c>
      <c r="K1079" s="10444" t="s">
        <v>5888</v>
      </c>
      <c r="L1079" s="10455">
        <v>3</v>
      </c>
      <c r="M1079" s="10455">
        <v>4</v>
      </c>
      <c r="N1079" s="10455">
        <v>3</v>
      </c>
      <c r="O1079" s="10444" t="s">
        <v>6075</v>
      </c>
      <c r="P1079" s="10444" t="s">
        <v>6076</v>
      </c>
      <c r="Q1079" s="10449" t="s">
        <v>6176</v>
      </c>
      <c r="R1079" s="5451"/>
      <c r="S1079" s="3650"/>
      <c r="T1079" s="3650"/>
      <c r="U1079" s="3622"/>
      <c r="V1079" s="4313"/>
      <c r="W1079" s="3623"/>
      <c r="X1079" s="5560"/>
      <c r="Y1079" s="5560"/>
      <c r="Z1079" s="5560"/>
      <c r="AA1079" s="5561"/>
      <c r="AB1079" s="5586"/>
      <c r="AC1079" s="4314"/>
      <c r="AD1079" s="3658"/>
      <c r="AE1079" s="5623"/>
      <c r="AF1079" s="5623"/>
      <c r="AG1079" s="10464"/>
    </row>
    <row r="1080" spans="1:33" ht="18" customHeight="1">
      <c r="A1080" s="11139"/>
      <c r="B1080" s="11136"/>
      <c r="C1080" s="11124"/>
      <c r="D1080" s="11124"/>
      <c r="E1080" s="11124"/>
      <c r="F1080" s="11124"/>
      <c r="G1080" s="11124"/>
      <c r="H1080" s="11124"/>
      <c r="I1080" s="11124"/>
      <c r="J1080" s="11124"/>
      <c r="K1080" s="11124"/>
      <c r="L1080" s="11131"/>
      <c r="M1080" s="11131"/>
      <c r="N1080" s="11131"/>
      <c r="O1080" s="11124"/>
      <c r="P1080" s="11124"/>
      <c r="Q1080" s="11127"/>
      <c r="R1080" s="5446"/>
      <c r="S1080" s="3579"/>
      <c r="T1080" s="3579"/>
      <c r="U1080" s="3578"/>
      <c r="V1080" s="4315"/>
      <c r="W1080" s="3579"/>
      <c r="X1080" s="5552"/>
      <c r="Y1080" s="5552"/>
      <c r="Z1080" s="5552"/>
      <c r="AA1080" s="5553"/>
      <c r="AB1080" s="5581"/>
      <c r="AC1080" s="4316"/>
      <c r="AD1080" s="3496"/>
      <c r="AE1080" s="5610"/>
      <c r="AF1080" s="5610"/>
      <c r="AG1080" s="11115"/>
    </row>
    <row r="1081" spans="1:33" ht="18" customHeight="1">
      <c r="A1081" s="11139"/>
      <c r="B1081" s="11136"/>
      <c r="C1081" s="11124"/>
      <c r="D1081" s="11124"/>
      <c r="E1081" s="11124"/>
      <c r="F1081" s="11124"/>
      <c r="G1081" s="11124"/>
      <c r="H1081" s="11124"/>
      <c r="I1081" s="11124"/>
      <c r="J1081" s="11124"/>
      <c r="K1081" s="11124"/>
      <c r="L1081" s="11131"/>
      <c r="M1081" s="11131"/>
      <c r="N1081" s="11131"/>
      <c r="O1081" s="11124"/>
      <c r="P1081" s="11124"/>
      <c r="Q1081" s="11127"/>
      <c r="R1081" s="5446"/>
      <c r="S1081" s="3579"/>
      <c r="T1081" s="3579"/>
      <c r="U1081" s="3578"/>
      <c r="V1081" s="4315"/>
      <c r="W1081" s="3579"/>
      <c r="X1081" s="5552"/>
      <c r="Y1081" s="5552"/>
      <c r="Z1081" s="5552"/>
      <c r="AA1081" s="5553"/>
      <c r="AB1081" s="5581"/>
      <c r="AC1081" s="4316"/>
      <c r="AD1081" s="3496"/>
      <c r="AE1081" s="5610"/>
      <c r="AF1081" s="5610"/>
      <c r="AG1081" s="11115"/>
    </row>
    <row r="1082" spans="1:33" ht="18" customHeight="1">
      <c r="A1082" s="11139"/>
      <c r="B1082" s="11136"/>
      <c r="C1082" s="11124"/>
      <c r="D1082" s="11124"/>
      <c r="E1082" s="11124"/>
      <c r="F1082" s="11124"/>
      <c r="G1082" s="11124"/>
      <c r="H1082" s="11124"/>
      <c r="I1082" s="11124"/>
      <c r="J1082" s="11124"/>
      <c r="K1082" s="11124"/>
      <c r="L1082" s="11131"/>
      <c r="M1082" s="11131"/>
      <c r="N1082" s="11131"/>
      <c r="O1082" s="11124"/>
      <c r="P1082" s="11124"/>
      <c r="Q1082" s="11127"/>
      <c r="R1082" s="5447"/>
      <c r="S1082" s="4325"/>
      <c r="T1082" s="4325"/>
      <c r="U1082" s="3578"/>
      <c r="V1082" s="4315"/>
      <c r="W1082" s="3579"/>
      <c r="X1082" s="5552"/>
      <c r="Y1082" s="5552"/>
      <c r="Z1082" s="5552"/>
      <c r="AA1082" s="5553"/>
      <c r="AB1082" s="5581"/>
      <c r="AC1082" s="4316"/>
      <c r="AD1082" s="3496"/>
      <c r="AE1082" s="5610"/>
      <c r="AF1082" s="5610"/>
      <c r="AG1082" s="11115"/>
    </row>
    <row r="1083" spans="1:33" ht="18" customHeight="1">
      <c r="A1083" s="11139"/>
      <c r="B1083" s="11138"/>
      <c r="C1083" s="11126"/>
      <c r="D1083" s="11126"/>
      <c r="E1083" s="11126"/>
      <c r="F1083" s="11126"/>
      <c r="G1083" s="11126"/>
      <c r="H1083" s="11126"/>
      <c r="I1083" s="11126"/>
      <c r="J1083" s="11126"/>
      <c r="K1083" s="11126"/>
      <c r="L1083" s="11132"/>
      <c r="M1083" s="11132"/>
      <c r="N1083" s="11132"/>
      <c r="O1083" s="11126"/>
      <c r="P1083" s="11126"/>
      <c r="Q1083" s="11128"/>
      <c r="R1083" s="5450"/>
      <c r="S1083" s="3606"/>
      <c r="T1083" s="3606"/>
      <c r="U1083" s="3605"/>
      <c r="V1083" s="4317"/>
      <c r="W1083" s="3606"/>
      <c r="X1083" s="5558"/>
      <c r="Y1083" s="5558"/>
      <c r="Z1083" s="5558"/>
      <c r="AA1083" s="5559"/>
      <c r="AB1083" s="5585"/>
      <c r="AC1083" s="4318"/>
      <c r="AD1083" s="3545"/>
      <c r="AE1083" s="5625"/>
      <c r="AF1083" s="5625"/>
      <c r="AG1083" s="11116"/>
    </row>
    <row r="1084" spans="1:33" s="6169" customFormat="1" ht="22.5" customHeight="1" thickBot="1">
      <c r="A1084" s="6236"/>
      <c r="B1084" s="6250"/>
      <c r="C1084" s="6250"/>
      <c r="D1084" s="6250"/>
      <c r="E1084" s="6250"/>
      <c r="F1084" s="6250"/>
      <c r="G1084" s="6250"/>
      <c r="H1084" s="6250"/>
      <c r="I1084" s="6250"/>
      <c r="J1084" s="6250"/>
      <c r="K1084" s="6250"/>
      <c r="L1084" s="6164"/>
      <c r="M1084" s="6164"/>
      <c r="N1084" s="6164"/>
      <c r="O1084" s="6166"/>
      <c r="P1084" s="6166"/>
      <c r="Q1084" s="6167"/>
      <c r="R1084" s="11144" t="s">
        <v>6180</v>
      </c>
      <c r="S1084" s="11145"/>
      <c r="T1084" s="11145"/>
      <c r="U1084" s="11145"/>
      <c r="V1084" s="11145"/>
      <c r="W1084" s="11145"/>
      <c r="X1084" s="11145"/>
      <c r="Y1084" s="11145"/>
      <c r="Z1084" s="5321" t="s">
        <v>292</v>
      </c>
      <c r="AA1084" s="6153">
        <f>SUM(AA1009:AA1083)</f>
        <v>0</v>
      </c>
      <c r="AB1084" s="6165"/>
      <c r="AC1084" s="6168"/>
      <c r="AD1084" s="11146"/>
      <c r="AE1084" s="11147"/>
      <c r="AF1084" s="11147"/>
      <c r="AG1084" s="11148"/>
    </row>
    <row r="1085" spans="1:33" ht="18" customHeight="1">
      <c r="A1085" s="9599" t="s">
        <v>6181</v>
      </c>
      <c r="B1085" s="10518" t="s">
        <v>183</v>
      </c>
      <c r="C1085" s="10452" t="s">
        <v>227</v>
      </c>
      <c r="D1085" s="10452" t="s">
        <v>228</v>
      </c>
      <c r="E1085" s="10452" t="s">
        <v>229</v>
      </c>
      <c r="F1085" s="10454" t="s">
        <v>230</v>
      </c>
      <c r="G1085" s="10452" t="s">
        <v>132</v>
      </c>
      <c r="H1085" s="10452" t="s">
        <v>159</v>
      </c>
      <c r="I1085" s="10433" t="s">
        <v>6010</v>
      </c>
      <c r="J1085" s="10452" t="s">
        <v>6011</v>
      </c>
      <c r="K1085" s="10452" t="s">
        <v>5761</v>
      </c>
      <c r="L1085" s="10488">
        <v>2</v>
      </c>
      <c r="M1085" s="10488">
        <v>1</v>
      </c>
      <c r="N1085" s="10488">
        <v>2</v>
      </c>
      <c r="O1085" s="10452" t="s">
        <v>6012</v>
      </c>
      <c r="P1085" s="10452" t="s">
        <v>6013</v>
      </c>
      <c r="Q1085" s="10453" t="s">
        <v>6014</v>
      </c>
      <c r="R1085" s="5445"/>
      <c r="S1085" s="4321"/>
      <c r="T1085" s="4321"/>
      <c r="U1085" s="3573"/>
      <c r="V1085" s="4322"/>
      <c r="W1085" s="3574"/>
      <c r="X1085" s="5550"/>
      <c r="Y1085" s="5550"/>
      <c r="Z1085" s="5550"/>
      <c r="AA1085" s="5551"/>
      <c r="AB1085" s="5580"/>
      <c r="AC1085" s="4323"/>
      <c r="AD1085" s="3683"/>
      <c r="AE1085" s="5609"/>
      <c r="AF1085" s="5609"/>
      <c r="AG1085" s="10466"/>
    </row>
    <row r="1086" spans="1:33" ht="18" customHeight="1">
      <c r="A1086" s="11139"/>
      <c r="B1086" s="11136"/>
      <c r="C1086" s="11124"/>
      <c r="D1086" s="11124"/>
      <c r="E1086" s="11124"/>
      <c r="F1086" s="11124"/>
      <c r="G1086" s="11124"/>
      <c r="H1086" s="11124"/>
      <c r="I1086" s="11124"/>
      <c r="J1086" s="11124"/>
      <c r="K1086" s="11124"/>
      <c r="L1086" s="11131"/>
      <c r="M1086" s="11131"/>
      <c r="N1086" s="11131"/>
      <c r="O1086" s="11124"/>
      <c r="P1086" s="11124"/>
      <c r="Q1086" s="11127"/>
      <c r="R1086" s="5446"/>
      <c r="S1086" s="3579"/>
      <c r="T1086" s="3579"/>
      <c r="U1086" s="3578"/>
      <c r="V1086" s="4315"/>
      <c r="W1086" s="3579"/>
      <c r="X1086" s="5552"/>
      <c r="Y1086" s="5552"/>
      <c r="Z1086" s="5552"/>
      <c r="AA1086" s="5553"/>
      <c r="AB1086" s="5581"/>
      <c r="AC1086" s="4316"/>
      <c r="AD1086" s="3496"/>
      <c r="AE1086" s="5610"/>
      <c r="AF1086" s="5610"/>
      <c r="AG1086" s="11115"/>
    </row>
    <row r="1087" spans="1:33" ht="18" customHeight="1">
      <c r="A1087" s="11139"/>
      <c r="B1087" s="11136"/>
      <c r="C1087" s="11124"/>
      <c r="D1087" s="11124"/>
      <c r="E1087" s="11124"/>
      <c r="F1087" s="11124"/>
      <c r="G1087" s="11124"/>
      <c r="H1087" s="11124"/>
      <c r="I1087" s="11124"/>
      <c r="J1087" s="11124"/>
      <c r="K1087" s="11124"/>
      <c r="L1087" s="11131"/>
      <c r="M1087" s="11131"/>
      <c r="N1087" s="11131"/>
      <c r="O1087" s="11124"/>
      <c r="P1087" s="11124"/>
      <c r="Q1087" s="11127"/>
      <c r="R1087" s="5446"/>
      <c r="S1087" s="3579"/>
      <c r="T1087" s="3579"/>
      <c r="U1087" s="3578"/>
      <c r="V1087" s="4315"/>
      <c r="W1087" s="3579"/>
      <c r="X1087" s="5552"/>
      <c r="Y1087" s="5552"/>
      <c r="Z1087" s="5552"/>
      <c r="AA1087" s="5553"/>
      <c r="AB1087" s="5581"/>
      <c r="AC1087" s="4316"/>
      <c r="AD1087" s="3496"/>
      <c r="AE1087" s="5610"/>
      <c r="AF1087" s="5610"/>
      <c r="AG1087" s="11115"/>
    </row>
    <row r="1088" spans="1:33" ht="18" customHeight="1">
      <c r="A1088" s="11139"/>
      <c r="B1088" s="11136"/>
      <c r="C1088" s="11124"/>
      <c r="D1088" s="11124"/>
      <c r="E1088" s="11124"/>
      <c r="F1088" s="11124"/>
      <c r="G1088" s="11124"/>
      <c r="H1088" s="11124"/>
      <c r="I1088" s="11124"/>
      <c r="J1088" s="11124"/>
      <c r="K1088" s="11124"/>
      <c r="L1088" s="11131"/>
      <c r="M1088" s="11131"/>
      <c r="N1088" s="11131"/>
      <c r="O1088" s="11124"/>
      <c r="P1088" s="11124"/>
      <c r="Q1088" s="11127"/>
      <c r="R1088" s="5447"/>
      <c r="S1088" s="4325"/>
      <c r="T1088" s="4325"/>
      <c r="U1088" s="3578"/>
      <c r="V1088" s="4315"/>
      <c r="W1088" s="3579"/>
      <c r="X1088" s="5552"/>
      <c r="Y1088" s="5552"/>
      <c r="Z1088" s="5552"/>
      <c r="AA1088" s="5553"/>
      <c r="AB1088" s="5581"/>
      <c r="AC1088" s="4316"/>
      <c r="AD1088" s="3496"/>
      <c r="AE1088" s="5610"/>
      <c r="AF1088" s="5610"/>
      <c r="AG1088" s="11115"/>
    </row>
    <row r="1089" spans="1:33" ht="18" customHeight="1">
      <c r="A1089" s="11139"/>
      <c r="B1089" s="11137"/>
      <c r="C1089" s="11125"/>
      <c r="D1089" s="11125"/>
      <c r="E1089" s="11125"/>
      <c r="F1089" s="11125"/>
      <c r="G1089" s="11125"/>
      <c r="H1089" s="11125"/>
      <c r="I1089" s="11125"/>
      <c r="J1089" s="11125"/>
      <c r="K1089" s="11125"/>
      <c r="L1089" s="11134"/>
      <c r="M1089" s="11134"/>
      <c r="N1089" s="11134"/>
      <c r="O1089" s="11125"/>
      <c r="P1089" s="11125"/>
      <c r="Q1089" s="11135"/>
      <c r="R1089" s="5448"/>
      <c r="S1089" s="3617"/>
      <c r="T1089" s="3617"/>
      <c r="U1089" s="3616"/>
      <c r="V1089" s="4319"/>
      <c r="W1089" s="3617"/>
      <c r="X1089" s="5554"/>
      <c r="Y1089" s="5554"/>
      <c r="Z1089" s="5554"/>
      <c r="AA1089" s="5555"/>
      <c r="AB1089" s="5592"/>
      <c r="AC1089" s="4320"/>
      <c r="AD1089" s="3714"/>
      <c r="AE1089" s="5624"/>
      <c r="AF1089" s="5624"/>
      <c r="AG1089" s="11116"/>
    </row>
    <row r="1090" spans="1:33" ht="18" customHeight="1">
      <c r="A1090" s="11139"/>
      <c r="B1090" s="10516" t="s">
        <v>127</v>
      </c>
      <c r="C1090" s="10433" t="s">
        <v>128</v>
      </c>
      <c r="D1090" s="10433" t="s">
        <v>129</v>
      </c>
      <c r="E1090" s="10433" t="s">
        <v>157</v>
      </c>
      <c r="F1090" s="10442" t="s">
        <v>131</v>
      </c>
      <c r="G1090" s="10433" t="s">
        <v>132</v>
      </c>
      <c r="H1090" s="10433" t="s">
        <v>159</v>
      </c>
      <c r="I1090" s="10433" t="s">
        <v>6015</v>
      </c>
      <c r="J1090" s="10433" t="s">
        <v>6016</v>
      </c>
      <c r="K1090" s="10433" t="s">
        <v>5761</v>
      </c>
      <c r="L1090" s="11130">
        <v>2</v>
      </c>
      <c r="M1090" s="11130">
        <v>0</v>
      </c>
      <c r="N1090" s="11130">
        <v>2</v>
      </c>
      <c r="O1090" s="10433" t="s">
        <v>6017</v>
      </c>
      <c r="P1090" s="10433" t="s">
        <v>6018</v>
      </c>
      <c r="Q1090" s="10439" t="s">
        <v>6182</v>
      </c>
      <c r="R1090" s="5452"/>
      <c r="S1090" s="3598"/>
      <c r="T1090" s="3598"/>
      <c r="U1090" s="4344"/>
      <c r="V1090" s="4337"/>
      <c r="W1090" s="3598"/>
      <c r="X1090" s="5556"/>
      <c r="Y1090" s="5556"/>
      <c r="Z1090" s="5556"/>
      <c r="AA1090" s="5557"/>
      <c r="AB1090" s="5584"/>
      <c r="AC1090" s="4338"/>
      <c r="AD1090" s="3709"/>
      <c r="AE1090" s="5626"/>
      <c r="AF1090" s="5626"/>
      <c r="AG1090" s="10525"/>
    </row>
    <row r="1091" spans="1:33" ht="18" customHeight="1">
      <c r="A1091" s="11139"/>
      <c r="B1091" s="11136"/>
      <c r="C1091" s="11124"/>
      <c r="D1091" s="11124"/>
      <c r="E1091" s="11124"/>
      <c r="F1091" s="11124"/>
      <c r="G1091" s="11124"/>
      <c r="H1091" s="11124"/>
      <c r="I1091" s="11124"/>
      <c r="J1091" s="11124"/>
      <c r="K1091" s="11124"/>
      <c r="L1091" s="11131"/>
      <c r="M1091" s="11131"/>
      <c r="N1091" s="11131"/>
      <c r="O1091" s="11124"/>
      <c r="P1091" s="11124"/>
      <c r="Q1091" s="11127"/>
      <c r="R1091" s="5446"/>
      <c r="S1091" s="3579"/>
      <c r="T1091" s="3579"/>
      <c r="U1091" s="3578"/>
      <c r="V1091" s="4315"/>
      <c r="W1091" s="3579"/>
      <c r="X1091" s="5552"/>
      <c r="Y1091" s="5552"/>
      <c r="Z1091" s="5552"/>
      <c r="AA1091" s="5553"/>
      <c r="AB1091" s="5581"/>
      <c r="AC1091" s="4316"/>
      <c r="AD1091" s="3496"/>
      <c r="AE1091" s="5610"/>
      <c r="AF1091" s="5610"/>
      <c r="AG1091" s="11115"/>
    </row>
    <row r="1092" spans="1:33" ht="18" customHeight="1">
      <c r="A1092" s="11139"/>
      <c r="B1092" s="11136"/>
      <c r="C1092" s="11124"/>
      <c r="D1092" s="11124"/>
      <c r="E1092" s="11124"/>
      <c r="F1092" s="11124"/>
      <c r="G1092" s="11124"/>
      <c r="H1092" s="11124"/>
      <c r="I1092" s="11124"/>
      <c r="J1092" s="11124"/>
      <c r="K1092" s="11124"/>
      <c r="L1092" s="11131"/>
      <c r="M1092" s="11131"/>
      <c r="N1092" s="11131"/>
      <c r="O1092" s="11124"/>
      <c r="P1092" s="11124"/>
      <c r="Q1092" s="11127"/>
      <c r="R1092" s="5446"/>
      <c r="S1092" s="3579"/>
      <c r="T1092" s="3579"/>
      <c r="U1092" s="3578"/>
      <c r="V1092" s="4315"/>
      <c r="W1092" s="3579"/>
      <c r="X1092" s="5552"/>
      <c r="Y1092" s="5552"/>
      <c r="Z1092" s="5552"/>
      <c r="AA1092" s="5553"/>
      <c r="AB1092" s="5581"/>
      <c r="AC1092" s="4316"/>
      <c r="AD1092" s="3496"/>
      <c r="AE1092" s="5610"/>
      <c r="AF1092" s="5610"/>
      <c r="AG1092" s="11115"/>
    </row>
    <row r="1093" spans="1:33" ht="18" customHeight="1">
      <c r="A1093" s="11139"/>
      <c r="B1093" s="11136"/>
      <c r="C1093" s="11124"/>
      <c r="D1093" s="11124"/>
      <c r="E1093" s="11124"/>
      <c r="F1093" s="11124"/>
      <c r="G1093" s="11124"/>
      <c r="H1093" s="11124"/>
      <c r="I1093" s="11124"/>
      <c r="J1093" s="11124"/>
      <c r="K1093" s="11124"/>
      <c r="L1093" s="11131"/>
      <c r="M1093" s="11131"/>
      <c r="N1093" s="11131"/>
      <c r="O1093" s="11124"/>
      <c r="P1093" s="11124"/>
      <c r="Q1093" s="11127"/>
      <c r="R1093" s="5446"/>
      <c r="S1093" s="3579"/>
      <c r="T1093" s="3579"/>
      <c r="U1093" s="3578"/>
      <c r="V1093" s="4315"/>
      <c r="W1093" s="3579"/>
      <c r="X1093" s="5552"/>
      <c r="Y1093" s="5552"/>
      <c r="Z1093" s="5552"/>
      <c r="AA1093" s="5553"/>
      <c r="AB1093" s="5581"/>
      <c r="AC1093" s="4316"/>
      <c r="AD1093" s="3496"/>
      <c r="AE1093" s="5610"/>
      <c r="AF1093" s="5610"/>
      <c r="AG1093" s="11115"/>
    </row>
    <row r="1094" spans="1:33" ht="18" customHeight="1">
      <c r="A1094" s="11139"/>
      <c r="B1094" s="11138"/>
      <c r="C1094" s="11126"/>
      <c r="D1094" s="11126"/>
      <c r="E1094" s="11126"/>
      <c r="F1094" s="11126"/>
      <c r="G1094" s="11126"/>
      <c r="H1094" s="11126"/>
      <c r="I1094" s="11126"/>
      <c r="J1094" s="11126"/>
      <c r="K1094" s="11126"/>
      <c r="L1094" s="11132"/>
      <c r="M1094" s="11132"/>
      <c r="N1094" s="11132"/>
      <c r="O1094" s="11126"/>
      <c r="P1094" s="11126"/>
      <c r="Q1094" s="11128"/>
      <c r="R1094" s="5450"/>
      <c r="S1094" s="3606"/>
      <c r="T1094" s="3606"/>
      <c r="U1094" s="3605"/>
      <c r="V1094" s="4317"/>
      <c r="W1094" s="3606"/>
      <c r="X1094" s="5558"/>
      <c r="Y1094" s="5558"/>
      <c r="Z1094" s="5558"/>
      <c r="AA1094" s="5559"/>
      <c r="AB1094" s="5585"/>
      <c r="AC1094" s="4318"/>
      <c r="AD1094" s="3545"/>
      <c r="AE1094" s="5625"/>
      <c r="AF1094" s="5625"/>
      <c r="AG1094" s="11116"/>
    </row>
    <row r="1095" spans="1:33" ht="18" customHeight="1">
      <c r="A1095" s="11139"/>
      <c r="B1095" s="10512" t="s">
        <v>127</v>
      </c>
      <c r="C1095" s="10444" t="s">
        <v>128</v>
      </c>
      <c r="D1095" s="10444" t="s">
        <v>129</v>
      </c>
      <c r="E1095" s="10444" t="s">
        <v>157</v>
      </c>
      <c r="F1095" s="10451" t="s">
        <v>131</v>
      </c>
      <c r="G1095" s="10444" t="s">
        <v>132</v>
      </c>
      <c r="H1095" s="10444" t="s">
        <v>159</v>
      </c>
      <c r="I1095" s="10444" t="s">
        <v>6020</v>
      </c>
      <c r="J1095" s="10444" t="s">
        <v>6021</v>
      </c>
      <c r="K1095" s="10444" t="s">
        <v>6022</v>
      </c>
      <c r="L1095" s="11133">
        <v>0</v>
      </c>
      <c r="M1095" s="11133">
        <v>1</v>
      </c>
      <c r="N1095" s="11133">
        <v>0</v>
      </c>
      <c r="O1095" s="10444" t="s">
        <v>6023</v>
      </c>
      <c r="P1095" s="10444" t="s">
        <v>6024</v>
      </c>
      <c r="Q1095" s="10449" t="s">
        <v>6183</v>
      </c>
      <c r="R1095" s="5458"/>
      <c r="S1095" s="3623"/>
      <c r="T1095" s="3623"/>
      <c r="U1095" s="4312"/>
      <c r="V1095" s="4313"/>
      <c r="W1095" s="3623"/>
      <c r="X1095" s="5560"/>
      <c r="Y1095" s="5560"/>
      <c r="Z1095" s="5560"/>
      <c r="AA1095" s="5561"/>
      <c r="AB1095" s="5586"/>
      <c r="AC1095" s="4314"/>
      <c r="AD1095" s="3658"/>
      <c r="AE1095" s="5623"/>
      <c r="AF1095" s="5623"/>
      <c r="AG1095" s="10525"/>
    </row>
    <row r="1096" spans="1:33" ht="18" customHeight="1">
      <c r="A1096" s="11139"/>
      <c r="B1096" s="11136"/>
      <c r="C1096" s="11124"/>
      <c r="D1096" s="11124"/>
      <c r="E1096" s="11124"/>
      <c r="F1096" s="11124"/>
      <c r="G1096" s="11124"/>
      <c r="H1096" s="11124"/>
      <c r="I1096" s="11124"/>
      <c r="J1096" s="11124"/>
      <c r="K1096" s="11124"/>
      <c r="L1096" s="11131"/>
      <c r="M1096" s="11131"/>
      <c r="N1096" s="11131"/>
      <c r="O1096" s="11124"/>
      <c r="P1096" s="11124"/>
      <c r="Q1096" s="11127"/>
      <c r="R1096" s="5446"/>
      <c r="S1096" s="3579"/>
      <c r="T1096" s="3579"/>
      <c r="U1096" s="3578"/>
      <c r="V1096" s="4315"/>
      <c r="W1096" s="3579"/>
      <c r="X1096" s="5552"/>
      <c r="Y1096" s="5552"/>
      <c r="Z1096" s="5552"/>
      <c r="AA1096" s="5553"/>
      <c r="AB1096" s="5581"/>
      <c r="AC1096" s="4316"/>
      <c r="AD1096" s="3496"/>
      <c r="AE1096" s="5610"/>
      <c r="AF1096" s="5610"/>
      <c r="AG1096" s="11115"/>
    </row>
    <row r="1097" spans="1:33" ht="18" customHeight="1">
      <c r="A1097" s="11139"/>
      <c r="B1097" s="11136"/>
      <c r="C1097" s="11124"/>
      <c r="D1097" s="11124"/>
      <c r="E1097" s="11124"/>
      <c r="F1097" s="11124"/>
      <c r="G1097" s="11124"/>
      <c r="H1097" s="11124"/>
      <c r="I1097" s="11124"/>
      <c r="J1097" s="11124"/>
      <c r="K1097" s="11124"/>
      <c r="L1097" s="11131"/>
      <c r="M1097" s="11131"/>
      <c r="N1097" s="11131"/>
      <c r="O1097" s="11124"/>
      <c r="P1097" s="11124"/>
      <c r="Q1097" s="11127"/>
      <c r="R1097" s="5446"/>
      <c r="S1097" s="3579"/>
      <c r="T1097" s="3579"/>
      <c r="U1097" s="3578"/>
      <c r="V1097" s="4315"/>
      <c r="W1097" s="3579"/>
      <c r="X1097" s="5552"/>
      <c r="Y1097" s="5552"/>
      <c r="Z1097" s="5552"/>
      <c r="AA1097" s="5553"/>
      <c r="AB1097" s="5581"/>
      <c r="AC1097" s="4316"/>
      <c r="AD1097" s="3496"/>
      <c r="AE1097" s="5610"/>
      <c r="AF1097" s="5610"/>
      <c r="AG1097" s="11115"/>
    </row>
    <row r="1098" spans="1:33" ht="18" customHeight="1">
      <c r="A1098" s="11139"/>
      <c r="B1098" s="11136"/>
      <c r="C1098" s="11124"/>
      <c r="D1098" s="11124"/>
      <c r="E1098" s="11124"/>
      <c r="F1098" s="11124"/>
      <c r="G1098" s="11124"/>
      <c r="H1098" s="11124"/>
      <c r="I1098" s="11124"/>
      <c r="J1098" s="11124"/>
      <c r="K1098" s="11124"/>
      <c r="L1098" s="11131"/>
      <c r="M1098" s="11131"/>
      <c r="N1098" s="11131"/>
      <c r="O1098" s="11124"/>
      <c r="P1098" s="11124"/>
      <c r="Q1098" s="11127"/>
      <c r="R1098" s="5446"/>
      <c r="S1098" s="3579"/>
      <c r="T1098" s="3579"/>
      <c r="U1098" s="3578"/>
      <c r="V1098" s="4315"/>
      <c r="W1098" s="3579"/>
      <c r="X1098" s="5552"/>
      <c r="Y1098" s="5552"/>
      <c r="Z1098" s="5552"/>
      <c r="AA1098" s="5553"/>
      <c r="AB1098" s="5581"/>
      <c r="AC1098" s="4316"/>
      <c r="AD1098" s="3496"/>
      <c r="AE1098" s="5610"/>
      <c r="AF1098" s="5610"/>
      <c r="AG1098" s="11115"/>
    </row>
    <row r="1099" spans="1:33" ht="18" customHeight="1">
      <c r="A1099" s="11139"/>
      <c r="B1099" s="11137"/>
      <c r="C1099" s="11125"/>
      <c r="D1099" s="11125"/>
      <c r="E1099" s="11125"/>
      <c r="F1099" s="11125"/>
      <c r="G1099" s="11125"/>
      <c r="H1099" s="11125"/>
      <c r="I1099" s="11125"/>
      <c r="J1099" s="11125"/>
      <c r="K1099" s="11125"/>
      <c r="L1099" s="11134"/>
      <c r="M1099" s="11134"/>
      <c r="N1099" s="11134"/>
      <c r="O1099" s="11125"/>
      <c r="P1099" s="11125"/>
      <c r="Q1099" s="11135"/>
      <c r="R1099" s="5448"/>
      <c r="S1099" s="3617"/>
      <c r="T1099" s="3617"/>
      <c r="U1099" s="3616"/>
      <c r="V1099" s="4319"/>
      <c r="W1099" s="3617"/>
      <c r="X1099" s="5554"/>
      <c r="Y1099" s="5554"/>
      <c r="Z1099" s="5554"/>
      <c r="AA1099" s="5555"/>
      <c r="AB1099" s="5592"/>
      <c r="AC1099" s="4320"/>
      <c r="AD1099" s="3714"/>
      <c r="AE1099" s="5624"/>
      <c r="AF1099" s="5624"/>
      <c r="AG1099" s="11116"/>
    </row>
    <row r="1100" spans="1:33" ht="18" customHeight="1">
      <c r="A1100" s="11139"/>
      <c r="B1100" s="10516" t="s">
        <v>183</v>
      </c>
      <c r="C1100" s="10433" t="s">
        <v>227</v>
      </c>
      <c r="D1100" s="10433" t="s">
        <v>228</v>
      </c>
      <c r="E1100" s="10433" t="s">
        <v>229</v>
      </c>
      <c r="F1100" s="10442" t="s">
        <v>230</v>
      </c>
      <c r="G1100" s="10433" t="s">
        <v>132</v>
      </c>
      <c r="H1100" s="10433" t="s">
        <v>159</v>
      </c>
      <c r="I1100" s="10433" t="s">
        <v>6026</v>
      </c>
      <c r="J1100" s="10433" t="s">
        <v>6027</v>
      </c>
      <c r="K1100" s="10433" t="s">
        <v>6022</v>
      </c>
      <c r="L1100" s="11130">
        <v>0</v>
      </c>
      <c r="M1100" s="11130">
        <v>1</v>
      </c>
      <c r="N1100" s="11130">
        <v>1</v>
      </c>
      <c r="O1100" s="10433" t="s">
        <v>6028</v>
      </c>
      <c r="P1100" s="10433" t="s">
        <v>6029</v>
      </c>
      <c r="Q1100" s="10439" t="s">
        <v>6183</v>
      </c>
      <c r="R1100" s="5452"/>
      <c r="S1100" s="3598"/>
      <c r="T1100" s="3598"/>
      <c r="U1100" s="4344"/>
      <c r="V1100" s="4337"/>
      <c r="W1100" s="3598"/>
      <c r="X1100" s="5556"/>
      <c r="Y1100" s="5556"/>
      <c r="Z1100" s="5556"/>
      <c r="AA1100" s="5557"/>
      <c r="AB1100" s="5584"/>
      <c r="AC1100" s="4338"/>
      <c r="AD1100" s="3709"/>
      <c r="AE1100" s="5626"/>
      <c r="AF1100" s="5626"/>
      <c r="AG1100" s="10525"/>
    </row>
    <row r="1101" spans="1:33" ht="18" customHeight="1">
      <c r="A1101" s="11139"/>
      <c r="B1101" s="11136"/>
      <c r="C1101" s="11124"/>
      <c r="D1101" s="11124"/>
      <c r="E1101" s="11124"/>
      <c r="F1101" s="11124"/>
      <c r="G1101" s="11124"/>
      <c r="H1101" s="11124"/>
      <c r="I1101" s="11124"/>
      <c r="J1101" s="11124"/>
      <c r="K1101" s="11124"/>
      <c r="L1101" s="11131"/>
      <c r="M1101" s="11131"/>
      <c r="N1101" s="11131"/>
      <c r="O1101" s="11124"/>
      <c r="P1101" s="11124"/>
      <c r="Q1101" s="11127"/>
      <c r="R1101" s="5446"/>
      <c r="S1101" s="3579"/>
      <c r="T1101" s="3579"/>
      <c r="U1101" s="3578"/>
      <c r="V1101" s="4315"/>
      <c r="W1101" s="3579"/>
      <c r="X1101" s="5552"/>
      <c r="Y1101" s="5552"/>
      <c r="Z1101" s="5552"/>
      <c r="AA1101" s="5553"/>
      <c r="AB1101" s="5581"/>
      <c r="AC1101" s="4316"/>
      <c r="AD1101" s="3496"/>
      <c r="AE1101" s="5610"/>
      <c r="AF1101" s="5610"/>
      <c r="AG1101" s="11115"/>
    </row>
    <row r="1102" spans="1:33" ht="18" customHeight="1">
      <c r="A1102" s="11139"/>
      <c r="B1102" s="11136"/>
      <c r="C1102" s="11124"/>
      <c r="D1102" s="11124"/>
      <c r="E1102" s="11124"/>
      <c r="F1102" s="11124"/>
      <c r="G1102" s="11124"/>
      <c r="H1102" s="11124"/>
      <c r="I1102" s="11124"/>
      <c r="J1102" s="11124"/>
      <c r="K1102" s="11124"/>
      <c r="L1102" s="11131"/>
      <c r="M1102" s="11131"/>
      <c r="N1102" s="11131"/>
      <c r="O1102" s="11124"/>
      <c r="P1102" s="11124"/>
      <c r="Q1102" s="11127"/>
      <c r="R1102" s="5446"/>
      <c r="S1102" s="3579"/>
      <c r="T1102" s="3579"/>
      <c r="U1102" s="3578"/>
      <c r="V1102" s="4315"/>
      <c r="W1102" s="3579"/>
      <c r="X1102" s="5552"/>
      <c r="Y1102" s="5552"/>
      <c r="Z1102" s="5552"/>
      <c r="AA1102" s="5553"/>
      <c r="AB1102" s="5581"/>
      <c r="AC1102" s="4316"/>
      <c r="AD1102" s="3496"/>
      <c r="AE1102" s="5610"/>
      <c r="AF1102" s="5610"/>
      <c r="AG1102" s="11115"/>
    </row>
    <row r="1103" spans="1:33" ht="18" customHeight="1">
      <c r="A1103" s="11139"/>
      <c r="B1103" s="11136"/>
      <c r="C1103" s="11124"/>
      <c r="D1103" s="11124"/>
      <c r="E1103" s="11124"/>
      <c r="F1103" s="11124"/>
      <c r="G1103" s="11124"/>
      <c r="H1103" s="11124"/>
      <c r="I1103" s="11124"/>
      <c r="J1103" s="11124"/>
      <c r="K1103" s="11124"/>
      <c r="L1103" s="11131"/>
      <c r="M1103" s="11131"/>
      <c r="N1103" s="11131"/>
      <c r="O1103" s="11124"/>
      <c r="P1103" s="11124"/>
      <c r="Q1103" s="11127"/>
      <c r="R1103" s="5446"/>
      <c r="S1103" s="3579"/>
      <c r="T1103" s="3579"/>
      <c r="U1103" s="3578"/>
      <c r="V1103" s="4315"/>
      <c r="W1103" s="3579"/>
      <c r="X1103" s="5552"/>
      <c r="Y1103" s="5552"/>
      <c r="Z1103" s="5552"/>
      <c r="AA1103" s="5553"/>
      <c r="AB1103" s="5581"/>
      <c r="AC1103" s="4316"/>
      <c r="AD1103" s="3496"/>
      <c r="AE1103" s="5610"/>
      <c r="AF1103" s="5610"/>
      <c r="AG1103" s="11115"/>
    </row>
    <row r="1104" spans="1:33" ht="18" customHeight="1">
      <c r="A1104" s="11139"/>
      <c r="B1104" s="11138"/>
      <c r="C1104" s="11126"/>
      <c r="D1104" s="11126"/>
      <c r="E1104" s="11126"/>
      <c r="F1104" s="11126"/>
      <c r="G1104" s="11126"/>
      <c r="H1104" s="11126"/>
      <c r="I1104" s="11126"/>
      <c r="J1104" s="11126"/>
      <c r="K1104" s="11126"/>
      <c r="L1104" s="11132"/>
      <c r="M1104" s="11132"/>
      <c r="N1104" s="11132"/>
      <c r="O1104" s="11126"/>
      <c r="P1104" s="11126"/>
      <c r="Q1104" s="11128"/>
      <c r="R1104" s="5450"/>
      <c r="S1104" s="3606"/>
      <c r="T1104" s="3606"/>
      <c r="U1104" s="3605"/>
      <c r="V1104" s="4317"/>
      <c r="W1104" s="3606"/>
      <c r="X1104" s="5558"/>
      <c r="Y1104" s="5558"/>
      <c r="Z1104" s="5558"/>
      <c r="AA1104" s="5559"/>
      <c r="AB1104" s="5585"/>
      <c r="AC1104" s="4318"/>
      <c r="AD1104" s="3545"/>
      <c r="AE1104" s="5625"/>
      <c r="AF1104" s="5625"/>
      <c r="AG1104" s="11116"/>
    </row>
    <row r="1105" spans="1:33" ht="18" customHeight="1">
      <c r="A1105" s="11139"/>
      <c r="B1105" s="10512" t="s">
        <v>183</v>
      </c>
      <c r="C1105" s="10444" t="s">
        <v>227</v>
      </c>
      <c r="D1105" s="10444" t="s">
        <v>185</v>
      </c>
      <c r="E1105" s="10444" t="s">
        <v>1938</v>
      </c>
      <c r="F1105" s="10451" t="s">
        <v>230</v>
      </c>
      <c r="G1105" s="10444" t="s">
        <v>171</v>
      </c>
      <c r="H1105" s="10444" t="s">
        <v>133</v>
      </c>
      <c r="I1105" s="10444" t="s">
        <v>6030</v>
      </c>
      <c r="J1105" s="10444" t="s">
        <v>6031</v>
      </c>
      <c r="K1105" s="10444" t="s">
        <v>5900</v>
      </c>
      <c r="L1105" s="11133">
        <v>1</v>
      </c>
      <c r="M1105" s="11133">
        <v>0</v>
      </c>
      <c r="N1105" s="11133">
        <v>1</v>
      </c>
      <c r="O1105" s="10444" t="s">
        <v>6032</v>
      </c>
      <c r="P1105" s="10444" t="s">
        <v>5902</v>
      </c>
      <c r="Q1105" s="10449" t="s">
        <v>6184</v>
      </c>
      <c r="R1105" s="5458"/>
      <c r="S1105" s="3623"/>
      <c r="T1105" s="3623"/>
      <c r="U1105" s="4312"/>
      <c r="V1105" s="4313"/>
      <c r="W1105" s="3623"/>
      <c r="X1105" s="5560"/>
      <c r="Y1105" s="5560"/>
      <c r="Z1105" s="5560"/>
      <c r="AA1105" s="5561"/>
      <c r="AB1105" s="5586"/>
      <c r="AC1105" s="4314"/>
      <c r="AD1105" s="3658"/>
      <c r="AE1105" s="5623"/>
      <c r="AF1105" s="5623"/>
      <c r="AG1105" s="10525"/>
    </row>
    <row r="1106" spans="1:33" ht="18" customHeight="1">
      <c r="A1106" s="11139"/>
      <c r="B1106" s="11136"/>
      <c r="C1106" s="11124"/>
      <c r="D1106" s="11124"/>
      <c r="E1106" s="11124"/>
      <c r="F1106" s="11124"/>
      <c r="G1106" s="11124"/>
      <c r="H1106" s="11124"/>
      <c r="I1106" s="11124"/>
      <c r="J1106" s="11124"/>
      <c r="K1106" s="11124"/>
      <c r="L1106" s="11131"/>
      <c r="M1106" s="11131"/>
      <c r="N1106" s="11131"/>
      <c r="O1106" s="11124"/>
      <c r="P1106" s="11124"/>
      <c r="Q1106" s="11127"/>
      <c r="R1106" s="5446"/>
      <c r="S1106" s="3579"/>
      <c r="T1106" s="3579"/>
      <c r="U1106" s="3578"/>
      <c r="V1106" s="4315"/>
      <c r="W1106" s="3579"/>
      <c r="X1106" s="5552"/>
      <c r="Y1106" s="5552"/>
      <c r="Z1106" s="5552"/>
      <c r="AA1106" s="5553"/>
      <c r="AB1106" s="5581"/>
      <c r="AC1106" s="4316"/>
      <c r="AD1106" s="3496"/>
      <c r="AE1106" s="5610"/>
      <c r="AF1106" s="5610"/>
      <c r="AG1106" s="11115"/>
    </row>
    <row r="1107" spans="1:33" ht="18" customHeight="1">
      <c r="A1107" s="11139"/>
      <c r="B1107" s="11136"/>
      <c r="C1107" s="11124"/>
      <c r="D1107" s="11124"/>
      <c r="E1107" s="11124"/>
      <c r="F1107" s="11124"/>
      <c r="G1107" s="11124"/>
      <c r="H1107" s="11124"/>
      <c r="I1107" s="11124"/>
      <c r="J1107" s="11124"/>
      <c r="K1107" s="11124"/>
      <c r="L1107" s="11131"/>
      <c r="M1107" s="11131"/>
      <c r="N1107" s="11131"/>
      <c r="O1107" s="11124"/>
      <c r="P1107" s="11124"/>
      <c r="Q1107" s="11127"/>
      <c r="R1107" s="5446"/>
      <c r="S1107" s="3579"/>
      <c r="T1107" s="3579"/>
      <c r="U1107" s="3578"/>
      <c r="V1107" s="4315"/>
      <c r="W1107" s="3579"/>
      <c r="X1107" s="5552"/>
      <c r="Y1107" s="5552"/>
      <c r="Z1107" s="5552"/>
      <c r="AA1107" s="5553"/>
      <c r="AB1107" s="5581"/>
      <c r="AC1107" s="4316"/>
      <c r="AD1107" s="3496"/>
      <c r="AE1107" s="5610"/>
      <c r="AF1107" s="5610"/>
      <c r="AG1107" s="11115"/>
    </row>
    <row r="1108" spans="1:33" ht="18" customHeight="1">
      <c r="A1108" s="11139"/>
      <c r="B1108" s="11136"/>
      <c r="C1108" s="11124"/>
      <c r="D1108" s="11124"/>
      <c r="E1108" s="11124"/>
      <c r="F1108" s="11124"/>
      <c r="G1108" s="11124"/>
      <c r="H1108" s="11124"/>
      <c r="I1108" s="11124"/>
      <c r="J1108" s="11124"/>
      <c r="K1108" s="11124"/>
      <c r="L1108" s="11131"/>
      <c r="M1108" s="11131"/>
      <c r="N1108" s="11131"/>
      <c r="O1108" s="11124"/>
      <c r="P1108" s="11124"/>
      <c r="Q1108" s="11127"/>
      <c r="R1108" s="5446"/>
      <c r="S1108" s="3579"/>
      <c r="T1108" s="3579"/>
      <c r="U1108" s="3578"/>
      <c r="V1108" s="4315"/>
      <c r="W1108" s="3579"/>
      <c r="X1108" s="5552"/>
      <c r="Y1108" s="5552"/>
      <c r="Z1108" s="5552"/>
      <c r="AA1108" s="5553"/>
      <c r="AB1108" s="5581"/>
      <c r="AC1108" s="4316"/>
      <c r="AD1108" s="3496"/>
      <c r="AE1108" s="5610"/>
      <c r="AF1108" s="5610"/>
      <c r="AG1108" s="11115"/>
    </row>
    <row r="1109" spans="1:33" ht="18" customHeight="1">
      <c r="A1109" s="11139"/>
      <c r="B1109" s="11137"/>
      <c r="C1109" s="11125"/>
      <c r="D1109" s="11125"/>
      <c r="E1109" s="11125"/>
      <c r="F1109" s="11125"/>
      <c r="G1109" s="11125"/>
      <c r="H1109" s="11125"/>
      <c r="I1109" s="11125"/>
      <c r="J1109" s="11125"/>
      <c r="K1109" s="11125"/>
      <c r="L1109" s="11134"/>
      <c r="M1109" s="11134"/>
      <c r="N1109" s="11134"/>
      <c r="O1109" s="11125"/>
      <c r="P1109" s="11125"/>
      <c r="Q1109" s="11135"/>
      <c r="R1109" s="5448"/>
      <c r="S1109" s="3617"/>
      <c r="T1109" s="3617"/>
      <c r="U1109" s="3616"/>
      <c r="V1109" s="4319"/>
      <c r="W1109" s="3617"/>
      <c r="X1109" s="5554"/>
      <c r="Y1109" s="5554"/>
      <c r="Z1109" s="5554"/>
      <c r="AA1109" s="5555"/>
      <c r="AB1109" s="5592"/>
      <c r="AC1109" s="4320"/>
      <c r="AD1109" s="3714"/>
      <c r="AE1109" s="5624"/>
      <c r="AF1109" s="5624"/>
      <c r="AG1109" s="11116"/>
    </row>
    <row r="1110" spans="1:33" ht="18" customHeight="1">
      <c r="A1110" s="11139"/>
      <c r="B1110" s="10516" t="s">
        <v>127</v>
      </c>
      <c r="C1110" s="10433" t="s">
        <v>128</v>
      </c>
      <c r="D1110" s="10433" t="s">
        <v>129</v>
      </c>
      <c r="E1110" s="10433" t="s">
        <v>157</v>
      </c>
      <c r="F1110" s="10442" t="s">
        <v>131</v>
      </c>
      <c r="G1110" s="10433" t="s">
        <v>132</v>
      </c>
      <c r="H1110" s="10433" t="s">
        <v>159</v>
      </c>
      <c r="I1110" s="10433" t="s">
        <v>6034</v>
      </c>
      <c r="J1110" s="10433" t="s">
        <v>6035</v>
      </c>
      <c r="K1110" s="10433" t="s">
        <v>6036</v>
      </c>
      <c r="L1110" s="11130">
        <v>1</v>
      </c>
      <c r="M1110" s="11130">
        <v>2</v>
      </c>
      <c r="N1110" s="11130">
        <v>2</v>
      </c>
      <c r="O1110" s="10433" t="s">
        <v>6037</v>
      </c>
      <c r="P1110" s="10433" t="s">
        <v>6038</v>
      </c>
      <c r="Q1110" s="10439" t="s">
        <v>6183</v>
      </c>
      <c r="R1110" s="5452"/>
      <c r="S1110" s="3598"/>
      <c r="T1110" s="3598"/>
      <c r="U1110" s="4344"/>
      <c r="V1110" s="4337"/>
      <c r="W1110" s="3598"/>
      <c r="X1110" s="5556"/>
      <c r="Y1110" s="5556"/>
      <c r="Z1110" s="5556"/>
      <c r="AA1110" s="5557"/>
      <c r="AB1110" s="5584"/>
      <c r="AC1110" s="4338"/>
      <c r="AD1110" s="3709"/>
      <c r="AE1110" s="5626"/>
      <c r="AF1110" s="5626"/>
      <c r="AG1110" s="10525"/>
    </row>
    <row r="1111" spans="1:33" ht="18" customHeight="1">
      <c r="A1111" s="11139"/>
      <c r="B1111" s="11136"/>
      <c r="C1111" s="11124"/>
      <c r="D1111" s="11124"/>
      <c r="E1111" s="11124"/>
      <c r="F1111" s="11124"/>
      <c r="G1111" s="11124"/>
      <c r="H1111" s="11124"/>
      <c r="I1111" s="11124"/>
      <c r="J1111" s="11124"/>
      <c r="K1111" s="11124"/>
      <c r="L1111" s="11131"/>
      <c r="M1111" s="11131"/>
      <c r="N1111" s="11131"/>
      <c r="O1111" s="11124"/>
      <c r="P1111" s="11124"/>
      <c r="Q1111" s="11127"/>
      <c r="R1111" s="5446"/>
      <c r="S1111" s="3579"/>
      <c r="T1111" s="3579"/>
      <c r="U1111" s="3578"/>
      <c r="V1111" s="4315"/>
      <c r="W1111" s="3579"/>
      <c r="X1111" s="5552"/>
      <c r="Y1111" s="5552"/>
      <c r="Z1111" s="5552"/>
      <c r="AA1111" s="5553"/>
      <c r="AB1111" s="5581"/>
      <c r="AC1111" s="4316"/>
      <c r="AD1111" s="3496"/>
      <c r="AE1111" s="5610"/>
      <c r="AF1111" s="5610"/>
      <c r="AG1111" s="11115"/>
    </row>
    <row r="1112" spans="1:33" ht="18" customHeight="1">
      <c r="A1112" s="11139"/>
      <c r="B1112" s="11136"/>
      <c r="C1112" s="11124"/>
      <c r="D1112" s="11124"/>
      <c r="E1112" s="11124"/>
      <c r="F1112" s="11124"/>
      <c r="G1112" s="11124"/>
      <c r="H1112" s="11124"/>
      <c r="I1112" s="11124"/>
      <c r="J1112" s="11124"/>
      <c r="K1112" s="11124"/>
      <c r="L1112" s="11131"/>
      <c r="M1112" s="11131"/>
      <c r="N1112" s="11131"/>
      <c r="O1112" s="11124"/>
      <c r="P1112" s="11124"/>
      <c r="Q1112" s="11127"/>
      <c r="R1112" s="5446"/>
      <c r="S1112" s="3579"/>
      <c r="T1112" s="3579"/>
      <c r="U1112" s="3578"/>
      <c r="V1112" s="4315"/>
      <c r="W1112" s="3579"/>
      <c r="X1112" s="5552"/>
      <c r="Y1112" s="5552"/>
      <c r="Z1112" s="5552"/>
      <c r="AA1112" s="5553"/>
      <c r="AB1112" s="5581"/>
      <c r="AC1112" s="4316"/>
      <c r="AD1112" s="3496"/>
      <c r="AE1112" s="5610"/>
      <c r="AF1112" s="5610"/>
      <c r="AG1112" s="11115"/>
    </row>
    <row r="1113" spans="1:33" ht="18" customHeight="1">
      <c r="A1113" s="11139"/>
      <c r="B1113" s="11136"/>
      <c r="C1113" s="11124"/>
      <c r="D1113" s="11124"/>
      <c r="E1113" s="11124"/>
      <c r="F1113" s="11124"/>
      <c r="G1113" s="11124"/>
      <c r="H1113" s="11124"/>
      <c r="I1113" s="11124"/>
      <c r="J1113" s="11124"/>
      <c r="K1113" s="11124"/>
      <c r="L1113" s="11131"/>
      <c r="M1113" s="11131"/>
      <c r="N1113" s="11131"/>
      <c r="O1113" s="11124"/>
      <c r="P1113" s="11124"/>
      <c r="Q1113" s="11127"/>
      <c r="R1113" s="5446"/>
      <c r="S1113" s="3579"/>
      <c r="T1113" s="3579"/>
      <c r="U1113" s="3578"/>
      <c r="V1113" s="4315"/>
      <c r="W1113" s="3579"/>
      <c r="X1113" s="5552"/>
      <c r="Y1113" s="5552"/>
      <c r="Z1113" s="5552"/>
      <c r="AA1113" s="5553"/>
      <c r="AB1113" s="5581"/>
      <c r="AC1113" s="4316"/>
      <c r="AD1113" s="3496"/>
      <c r="AE1113" s="5610"/>
      <c r="AF1113" s="5610"/>
      <c r="AG1113" s="11115"/>
    </row>
    <row r="1114" spans="1:33" ht="18" customHeight="1">
      <c r="A1114" s="11139"/>
      <c r="B1114" s="11138"/>
      <c r="C1114" s="11126"/>
      <c r="D1114" s="11126"/>
      <c r="E1114" s="11126"/>
      <c r="F1114" s="11126"/>
      <c r="G1114" s="11126"/>
      <c r="H1114" s="11126"/>
      <c r="I1114" s="11126"/>
      <c r="J1114" s="11126"/>
      <c r="K1114" s="11126"/>
      <c r="L1114" s="11132"/>
      <c r="M1114" s="11132"/>
      <c r="N1114" s="11132"/>
      <c r="O1114" s="11126"/>
      <c r="P1114" s="11126"/>
      <c r="Q1114" s="11128"/>
      <c r="R1114" s="5450"/>
      <c r="S1114" s="3606"/>
      <c r="T1114" s="3606"/>
      <c r="U1114" s="3605"/>
      <c r="V1114" s="4317"/>
      <c r="W1114" s="3606"/>
      <c r="X1114" s="5558"/>
      <c r="Y1114" s="5558"/>
      <c r="Z1114" s="5558"/>
      <c r="AA1114" s="5559"/>
      <c r="AB1114" s="5585"/>
      <c r="AC1114" s="4318"/>
      <c r="AD1114" s="3545"/>
      <c r="AE1114" s="5625"/>
      <c r="AF1114" s="5625"/>
      <c r="AG1114" s="11116"/>
    </row>
    <row r="1115" spans="1:33" ht="18" customHeight="1">
      <c r="A1115" s="11139"/>
      <c r="B1115" s="10512" t="s">
        <v>183</v>
      </c>
      <c r="C1115" s="10444" t="s">
        <v>227</v>
      </c>
      <c r="D1115" s="10444" t="s">
        <v>228</v>
      </c>
      <c r="E1115" s="10444" t="s">
        <v>229</v>
      </c>
      <c r="F1115" s="10451" t="s">
        <v>230</v>
      </c>
      <c r="G1115" s="10444" t="s">
        <v>132</v>
      </c>
      <c r="H1115" s="10444" t="s">
        <v>159</v>
      </c>
      <c r="I1115" s="10444" t="s">
        <v>6039</v>
      </c>
      <c r="J1115" s="10444" t="s">
        <v>6040</v>
      </c>
      <c r="K1115" s="10444" t="s">
        <v>6022</v>
      </c>
      <c r="L1115" s="11133">
        <v>0</v>
      </c>
      <c r="M1115" s="11133">
        <v>1</v>
      </c>
      <c r="N1115" s="11133">
        <v>0</v>
      </c>
      <c r="O1115" s="10444" t="s">
        <v>6041</v>
      </c>
      <c r="P1115" s="10444" t="s">
        <v>6042</v>
      </c>
      <c r="Q1115" s="10449" t="s">
        <v>6183</v>
      </c>
      <c r="R1115" s="5458"/>
      <c r="S1115" s="3623"/>
      <c r="T1115" s="3623"/>
      <c r="U1115" s="4312"/>
      <c r="V1115" s="4313"/>
      <c r="W1115" s="3623"/>
      <c r="X1115" s="5560"/>
      <c r="Y1115" s="5560"/>
      <c r="Z1115" s="5560"/>
      <c r="AA1115" s="5561"/>
      <c r="AB1115" s="5586"/>
      <c r="AC1115" s="4314"/>
      <c r="AD1115" s="3658"/>
      <c r="AE1115" s="5623"/>
      <c r="AF1115" s="5623"/>
      <c r="AG1115" s="10525"/>
    </row>
    <row r="1116" spans="1:33" ht="18" customHeight="1">
      <c r="A1116" s="11139"/>
      <c r="B1116" s="11136"/>
      <c r="C1116" s="11124"/>
      <c r="D1116" s="11124"/>
      <c r="E1116" s="11124"/>
      <c r="F1116" s="11124"/>
      <c r="G1116" s="11124"/>
      <c r="H1116" s="11124"/>
      <c r="I1116" s="11124"/>
      <c r="J1116" s="11124"/>
      <c r="K1116" s="11124"/>
      <c r="L1116" s="11131"/>
      <c r="M1116" s="11131"/>
      <c r="N1116" s="11131"/>
      <c r="O1116" s="11124"/>
      <c r="P1116" s="11124"/>
      <c r="Q1116" s="11127"/>
      <c r="R1116" s="5446"/>
      <c r="S1116" s="3579"/>
      <c r="T1116" s="3579"/>
      <c r="U1116" s="3578"/>
      <c r="V1116" s="4315"/>
      <c r="W1116" s="3579"/>
      <c r="X1116" s="5552"/>
      <c r="Y1116" s="5552"/>
      <c r="Z1116" s="5552"/>
      <c r="AA1116" s="5553"/>
      <c r="AB1116" s="5581"/>
      <c r="AC1116" s="4316"/>
      <c r="AD1116" s="3496"/>
      <c r="AE1116" s="5610"/>
      <c r="AF1116" s="5610"/>
      <c r="AG1116" s="11115"/>
    </row>
    <row r="1117" spans="1:33" ht="18" customHeight="1">
      <c r="A1117" s="11139"/>
      <c r="B1117" s="11136"/>
      <c r="C1117" s="11124"/>
      <c r="D1117" s="11124"/>
      <c r="E1117" s="11124"/>
      <c r="F1117" s="11124"/>
      <c r="G1117" s="11124"/>
      <c r="H1117" s="11124"/>
      <c r="I1117" s="11124"/>
      <c r="J1117" s="11124"/>
      <c r="K1117" s="11124"/>
      <c r="L1117" s="11131"/>
      <c r="M1117" s="11131"/>
      <c r="N1117" s="11131"/>
      <c r="O1117" s="11124"/>
      <c r="P1117" s="11124"/>
      <c r="Q1117" s="11127"/>
      <c r="R1117" s="5446"/>
      <c r="S1117" s="3579"/>
      <c r="T1117" s="3579"/>
      <c r="U1117" s="3578"/>
      <c r="V1117" s="4315"/>
      <c r="W1117" s="3579"/>
      <c r="X1117" s="5552"/>
      <c r="Y1117" s="5552"/>
      <c r="Z1117" s="5552"/>
      <c r="AA1117" s="5553"/>
      <c r="AB1117" s="5581"/>
      <c r="AC1117" s="4316"/>
      <c r="AD1117" s="3496"/>
      <c r="AE1117" s="5610"/>
      <c r="AF1117" s="5610"/>
      <c r="AG1117" s="11115"/>
    </row>
    <row r="1118" spans="1:33" ht="18" customHeight="1">
      <c r="A1118" s="11139"/>
      <c r="B1118" s="11136"/>
      <c r="C1118" s="11124"/>
      <c r="D1118" s="11124"/>
      <c r="E1118" s="11124"/>
      <c r="F1118" s="11124"/>
      <c r="G1118" s="11124"/>
      <c r="H1118" s="11124"/>
      <c r="I1118" s="11124"/>
      <c r="J1118" s="11124"/>
      <c r="K1118" s="11124"/>
      <c r="L1118" s="11131"/>
      <c r="M1118" s="11131"/>
      <c r="N1118" s="11131"/>
      <c r="O1118" s="11124"/>
      <c r="P1118" s="11124"/>
      <c r="Q1118" s="11127"/>
      <c r="R1118" s="5446"/>
      <c r="S1118" s="3579"/>
      <c r="T1118" s="3579"/>
      <c r="U1118" s="3578"/>
      <c r="V1118" s="4315"/>
      <c r="W1118" s="3579"/>
      <c r="X1118" s="5552"/>
      <c r="Y1118" s="5552"/>
      <c r="Z1118" s="5552"/>
      <c r="AA1118" s="5553"/>
      <c r="AB1118" s="5581"/>
      <c r="AC1118" s="4316"/>
      <c r="AD1118" s="3496"/>
      <c r="AE1118" s="5610"/>
      <c r="AF1118" s="5610"/>
      <c r="AG1118" s="11115"/>
    </row>
    <row r="1119" spans="1:33" ht="18" customHeight="1">
      <c r="A1119" s="11139"/>
      <c r="B1119" s="11137"/>
      <c r="C1119" s="11125"/>
      <c r="D1119" s="11125"/>
      <c r="E1119" s="11125"/>
      <c r="F1119" s="11125"/>
      <c r="G1119" s="11125"/>
      <c r="H1119" s="11125"/>
      <c r="I1119" s="11125"/>
      <c r="J1119" s="11125"/>
      <c r="K1119" s="11125"/>
      <c r="L1119" s="11134"/>
      <c r="M1119" s="11134"/>
      <c r="N1119" s="11134"/>
      <c r="O1119" s="11125"/>
      <c r="P1119" s="11125"/>
      <c r="Q1119" s="11135"/>
      <c r="R1119" s="5448"/>
      <c r="S1119" s="3617"/>
      <c r="T1119" s="3617"/>
      <c r="U1119" s="3616"/>
      <c r="V1119" s="4319"/>
      <c r="W1119" s="3617"/>
      <c r="X1119" s="5554"/>
      <c r="Y1119" s="5554"/>
      <c r="Z1119" s="5554"/>
      <c r="AA1119" s="5555"/>
      <c r="AB1119" s="5592"/>
      <c r="AC1119" s="4320"/>
      <c r="AD1119" s="3714"/>
      <c r="AE1119" s="5624"/>
      <c r="AF1119" s="5624"/>
      <c r="AG1119" s="11116"/>
    </row>
    <row r="1120" spans="1:33" ht="18" customHeight="1">
      <c r="A1120" s="11139"/>
      <c r="B1120" s="10516" t="s">
        <v>183</v>
      </c>
      <c r="C1120" s="10433" t="s">
        <v>227</v>
      </c>
      <c r="D1120" s="10433" t="s">
        <v>228</v>
      </c>
      <c r="E1120" s="10433" t="s">
        <v>229</v>
      </c>
      <c r="F1120" s="10442" t="s">
        <v>230</v>
      </c>
      <c r="G1120" s="10433" t="s">
        <v>132</v>
      </c>
      <c r="H1120" s="10433" t="s">
        <v>159</v>
      </c>
      <c r="I1120" s="10433" t="s">
        <v>6043</v>
      </c>
      <c r="J1120" s="10433" t="s">
        <v>6044</v>
      </c>
      <c r="K1120" s="10433" t="s">
        <v>5882</v>
      </c>
      <c r="L1120" s="11130">
        <v>2</v>
      </c>
      <c r="M1120" s="11130">
        <v>0</v>
      </c>
      <c r="N1120" s="11130">
        <v>2</v>
      </c>
      <c r="O1120" s="10433" t="s">
        <v>6045</v>
      </c>
      <c r="P1120" s="10433" t="s">
        <v>6046</v>
      </c>
      <c r="Q1120" s="10439" t="s">
        <v>6183</v>
      </c>
      <c r="R1120" s="5452"/>
      <c r="S1120" s="3598"/>
      <c r="T1120" s="3598"/>
      <c r="U1120" s="4344"/>
      <c r="V1120" s="4337"/>
      <c r="W1120" s="3598"/>
      <c r="X1120" s="5556"/>
      <c r="Y1120" s="5556"/>
      <c r="Z1120" s="5556"/>
      <c r="AA1120" s="5557"/>
      <c r="AB1120" s="5584"/>
      <c r="AC1120" s="4338"/>
      <c r="AD1120" s="3709"/>
      <c r="AE1120" s="5626"/>
      <c r="AF1120" s="5626"/>
      <c r="AG1120" s="10525"/>
    </row>
    <row r="1121" spans="1:33" ht="18" customHeight="1">
      <c r="A1121" s="11139"/>
      <c r="B1121" s="11136"/>
      <c r="C1121" s="11124"/>
      <c r="D1121" s="11124"/>
      <c r="E1121" s="11124"/>
      <c r="F1121" s="11124"/>
      <c r="G1121" s="11124"/>
      <c r="H1121" s="11124"/>
      <c r="I1121" s="11124"/>
      <c r="J1121" s="11124"/>
      <c r="K1121" s="11124"/>
      <c r="L1121" s="11131"/>
      <c r="M1121" s="11131"/>
      <c r="N1121" s="11131"/>
      <c r="O1121" s="11124"/>
      <c r="P1121" s="11124"/>
      <c r="Q1121" s="11127"/>
      <c r="R1121" s="5446"/>
      <c r="S1121" s="3579"/>
      <c r="T1121" s="3579"/>
      <c r="U1121" s="3578"/>
      <c r="V1121" s="4315"/>
      <c r="W1121" s="3579"/>
      <c r="X1121" s="5552"/>
      <c r="Y1121" s="5552"/>
      <c r="Z1121" s="5552"/>
      <c r="AA1121" s="5553"/>
      <c r="AB1121" s="5581"/>
      <c r="AC1121" s="4316"/>
      <c r="AD1121" s="3496"/>
      <c r="AE1121" s="5610"/>
      <c r="AF1121" s="5610"/>
      <c r="AG1121" s="11115"/>
    </row>
    <row r="1122" spans="1:33" ht="18" customHeight="1">
      <c r="A1122" s="11139"/>
      <c r="B1122" s="11136"/>
      <c r="C1122" s="11124"/>
      <c r="D1122" s="11124"/>
      <c r="E1122" s="11124"/>
      <c r="F1122" s="11124"/>
      <c r="G1122" s="11124"/>
      <c r="H1122" s="11124"/>
      <c r="I1122" s="11124"/>
      <c r="J1122" s="11124"/>
      <c r="K1122" s="11124"/>
      <c r="L1122" s="11131"/>
      <c r="M1122" s="11131"/>
      <c r="N1122" s="11131"/>
      <c r="O1122" s="11124"/>
      <c r="P1122" s="11124"/>
      <c r="Q1122" s="11127"/>
      <c r="R1122" s="5446"/>
      <c r="S1122" s="3579"/>
      <c r="T1122" s="3579"/>
      <c r="U1122" s="3578"/>
      <c r="V1122" s="4315"/>
      <c r="W1122" s="3579"/>
      <c r="X1122" s="5552"/>
      <c r="Y1122" s="5552"/>
      <c r="Z1122" s="5552"/>
      <c r="AA1122" s="5553"/>
      <c r="AB1122" s="5581"/>
      <c r="AC1122" s="4316"/>
      <c r="AD1122" s="3496"/>
      <c r="AE1122" s="5610"/>
      <c r="AF1122" s="5610"/>
      <c r="AG1122" s="11115"/>
    </row>
    <row r="1123" spans="1:33" ht="18" customHeight="1">
      <c r="A1123" s="11139"/>
      <c r="B1123" s="11136"/>
      <c r="C1123" s="11124"/>
      <c r="D1123" s="11124"/>
      <c r="E1123" s="11124"/>
      <c r="F1123" s="11124"/>
      <c r="G1123" s="11124"/>
      <c r="H1123" s="11124"/>
      <c r="I1123" s="11124"/>
      <c r="J1123" s="11124"/>
      <c r="K1123" s="11124"/>
      <c r="L1123" s="11131"/>
      <c r="M1123" s="11131"/>
      <c r="N1123" s="11131"/>
      <c r="O1123" s="11124"/>
      <c r="P1123" s="11124"/>
      <c r="Q1123" s="11127"/>
      <c r="R1123" s="5446"/>
      <c r="S1123" s="3579"/>
      <c r="T1123" s="3579"/>
      <c r="U1123" s="3578"/>
      <c r="V1123" s="4315"/>
      <c r="W1123" s="3579"/>
      <c r="X1123" s="5552"/>
      <c r="Y1123" s="5552"/>
      <c r="Z1123" s="5552"/>
      <c r="AA1123" s="5553"/>
      <c r="AB1123" s="5581"/>
      <c r="AC1123" s="4316"/>
      <c r="AD1123" s="3496"/>
      <c r="AE1123" s="5610"/>
      <c r="AF1123" s="5610"/>
      <c r="AG1123" s="11115"/>
    </row>
    <row r="1124" spans="1:33" ht="18" customHeight="1">
      <c r="A1124" s="11139"/>
      <c r="B1124" s="11138"/>
      <c r="C1124" s="11126"/>
      <c r="D1124" s="11126"/>
      <c r="E1124" s="11126"/>
      <c r="F1124" s="11126"/>
      <c r="G1124" s="11126"/>
      <c r="H1124" s="11126"/>
      <c r="I1124" s="11126"/>
      <c r="J1124" s="11126"/>
      <c r="K1124" s="11126"/>
      <c r="L1124" s="11132"/>
      <c r="M1124" s="11132"/>
      <c r="N1124" s="11132"/>
      <c r="O1124" s="11126"/>
      <c r="P1124" s="11126"/>
      <c r="Q1124" s="11128"/>
      <c r="R1124" s="5450"/>
      <c r="S1124" s="3606"/>
      <c r="T1124" s="3606"/>
      <c r="U1124" s="3605"/>
      <c r="V1124" s="4317"/>
      <c r="W1124" s="3606"/>
      <c r="X1124" s="5558"/>
      <c r="Y1124" s="5558"/>
      <c r="Z1124" s="5558"/>
      <c r="AA1124" s="5559"/>
      <c r="AB1124" s="5585"/>
      <c r="AC1124" s="4318"/>
      <c r="AD1124" s="3545"/>
      <c r="AE1124" s="5625"/>
      <c r="AF1124" s="5625"/>
      <c r="AG1124" s="11116"/>
    </row>
    <row r="1125" spans="1:33" ht="18" customHeight="1">
      <c r="A1125" s="11139"/>
      <c r="B1125" s="10512" t="s">
        <v>183</v>
      </c>
      <c r="C1125" s="10444" t="s">
        <v>227</v>
      </c>
      <c r="D1125" s="10444" t="s">
        <v>228</v>
      </c>
      <c r="E1125" s="10444" t="s">
        <v>229</v>
      </c>
      <c r="F1125" s="10451" t="s">
        <v>230</v>
      </c>
      <c r="G1125" s="10444" t="s">
        <v>132</v>
      </c>
      <c r="H1125" s="10444" t="s">
        <v>159</v>
      </c>
      <c r="I1125" s="10444" t="s">
        <v>6047</v>
      </c>
      <c r="J1125" s="10444" t="s">
        <v>6048</v>
      </c>
      <c r="K1125" s="10444" t="s">
        <v>6049</v>
      </c>
      <c r="L1125" s="11133">
        <v>4</v>
      </c>
      <c r="M1125" s="11133">
        <v>4</v>
      </c>
      <c r="N1125" s="11133">
        <v>4</v>
      </c>
      <c r="O1125" s="10444" t="s">
        <v>6050</v>
      </c>
      <c r="P1125" s="10444" t="s">
        <v>6051</v>
      </c>
      <c r="Q1125" s="10449" t="s">
        <v>6185</v>
      </c>
      <c r="R1125" s="5458"/>
      <c r="S1125" s="3623"/>
      <c r="T1125" s="3623"/>
      <c r="U1125" s="4312"/>
      <c r="V1125" s="4313"/>
      <c r="W1125" s="3623"/>
      <c r="X1125" s="5560"/>
      <c r="Y1125" s="5560"/>
      <c r="Z1125" s="5560"/>
      <c r="AA1125" s="5561"/>
      <c r="AB1125" s="5586"/>
      <c r="AC1125" s="4314"/>
      <c r="AD1125" s="3658"/>
      <c r="AE1125" s="5623"/>
      <c r="AF1125" s="5623"/>
      <c r="AG1125" s="10525"/>
    </row>
    <row r="1126" spans="1:33" ht="18" customHeight="1">
      <c r="A1126" s="11139"/>
      <c r="B1126" s="11136"/>
      <c r="C1126" s="11124"/>
      <c r="D1126" s="11124"/>
      <c r="E1126" s="11124"/>
      <c r="F1126" s="11124"/>
      <c r="G1126" s="11124"/>
      <c r="H1126" s="11124"/>
      <c r="I1126" s="11124"/>
      <c r="J1126" s="11124"/>
      <c r="K1126" s="11124"/>
      <c r="L1126" s="11131"/>
      <c r="M1126" s="11131"/>
      <c r="N1126" s="11131"/>
      <c r="O1126" s="11124"/>
      <c r="P1126" s="11124"/>
      <c r="Q1126" s="11127"/>
      <c r="R1126" s="5446"/>
      <c r="S1126" s="3579"/>
      <c r="T1126" s="3579"/>
      <c r="U1126" s="3578"/>
      <c r="V1126" s="4315"/>
      <c r="W1126" s="3579"/>
      <c r="X1126" s="5552"/>
      <c r="Y1126" s="5552"/>
      <c r="Z1126" s="5552"/>
      <c r="AA1126" s="5553"/>
      <c r="AB1126" s="5581"/>
      <c r="AC1126" s="4316"/>
      <c r="AD1126" s="3496"/>
      <c r="AE1126" s="5610"/>
      <c r="AF1126" s="5610"/>
      <c r="AG1126" s="11115"/>
    </row>
    <row r="1127" spans="1:33" ht="18" customHeight="1">
      <c r="A1127" s="11139"/>
      <c r="B1127" s="11136"/>
      <c r="C1127" s="11124"/>
      <c r="D1127" s="11124"/>
      <c r="E1127" s="11124"/>
      <c r="F1127" s="11124"/>
      <c r="G1127" s="11124"/>
      <c r="H1127" s="11124"/>
      <c r="I1127" s="11124"/>
      <c r="J1127" s="11124"/>
      <c r="K1127" s="11124"/>
      <c r="L1127" s="11131"/>
      <c r="M1127" s="11131"/>
      <c r="N1127" s="11131"/>
      <c r="O1127" s="11124"/>
      <c r="P1127" s="11124"/>
      <c r="Q1127" s="11127"/>
      <c r="R1127" s="5446"/>
      <c r="S1127" s="3579"/>
      <c r="T1127" s="3579"/>
      <c r="U1127" s="3578"/>
      <c r="V1127" s="4315"/>
      <c r="W1127" s="3579"/>
      <c r="X1127" s="5552"/>
      <c r="Y1127" s="5552"/>
      <c r="Z1127" s="5552"/>
      <c r="AA1127" s="5553"/>
      <c r="AB1127" s="5581"/>
      <c r="AC1127" s="4316"/>
      <c r="AD1127" s="3496"/>
      <c r="AE1127" s="5610"/>
      <c r="AF1127" s="5610"/>
      <c r="AG1127" s="11115"/>
    </row>
    <row r="1128" spans="1:33" ht="18" customHeight="1">
      <c r="A1128" s="11139"/>
      <c r="B1128" s="11136"/>
      <c r="C1128" s="11124"/>
      <c r="D1128" s="11124"/>
      <c r="E1128" s="11124"/>
      <c r="F1128" s="11124"/>
      <c r="G1128" s="11124"/>
      <c r="H1128" s="11124"/>
      <c r="I1128" s="11124"/>
      <c r="J1128" s="11124"/>
      <c r="K1128" s="11124"/>
      <c r="L1128" s="11131"/>
      <c r="M1128" s="11131"/>
      <c r="N1128" s="11131"/>
      <c r="O1128" s="11124"/>
      <c r="P1128" s="11124"/>
      <c r="Q1128" s="11127"/>
      <c r="R1128" s="5446"/>
      <c r="S1128" s="3579"/>
      <c r="T1128" s="3579"/>
      <c r="U1128" s="3578"/>
      <c r="V1128" s="4315"/>
      <c r="W1128" s="3579"/>
      <c r="X1128" s="5552"/>
      <c r="Y1128" s="5552"/>
      <c r="Z1128" s="5552"/>
      <c r="AA1128" s="5553"/>
      <c r="AB1128" s="5581"/>
      <c r="AC1128" s="4316"/>
      <c r="AD1128" s="3496"/>
      <c r="AE1128" s="5610"/>
      <c r="AF1128" s="5610"/>
      <c r="AG1128" s="11115"/>
    </row>
    <row r="1129" spans="1:33" ht="18" customHeight="1">
      <c r="A1129" s="11139"/>
      <c r="B1129" s="11137"/>
      <c r="C1129" s="11125"/>
      <c r="D1129" s="11125"/>
      <c r="E1129" s="11125"/>
      <c r="F1129" s="11125"/>
      <c r="G1129" s="11125"/>
      <c r="H1129" s="11125"/>
      <c r="I1129" s="11125"/>
      <c r="J1129" s="11125"/>
      <c r="K1129" s="11125"/>
      <c r="L1129" s="11134"/>
      <c r="M1129" s="11134"/>
      <c r="N1129" s="11134"/>
      <c r="O1129" s="11125"/>
      <c r="P1129" s="11125"/>
      <c r="Q1129" s="11135"/>
      <c r="R1129" s="5448"/>
      <c r="S1129" s="3617"/>
      <c r="T1129" s="3617"/>
      <c r="U1129" s="3616"/>
      <c r="V1129" s="4319"/>
      <c r="W1129" s="3617"/>
      <c r="X1129" s="5554"/>
      <c r="Y1129" s="5554"/>
      <c r="Z1129" s="5554"/>
      <c r="AA1129" s="5555"/>
      <c r="AB1129" s="5592"/>
      <c r="AC1129" s="4320"/>
      <c r="AD1129" s="3714"/>
      <c r="AE1129" s="5624"/>
      <c r="AF1129" s="5624"/>
      <c r="AG1129" s="11116"/>
    </row>
    <row r="1130" spans="1:33" ht="18" customHeight="1">
      <c r="A1130" s="11139"/>
      <c r="B1130" s="10516" t="s">
        <v>183</v>
      </c>
      <c r="C1130" s="10433" t="s">
        <v>227</v>
      </c>
      <c r="D1130" s="10433" t="s">
        <v>228</v>
      </c>
      <c r="E1130" s="10433" t="s">
        <v>229</v>
      </c>
      <c r="F1130" s="10442" t="s">
        <v>230</v>
      </c>
      <c r="G1130" s="10433" t="s">
        <v>132</v>
      </c>
      <c r="H1130" s="10433" t="s">
        <v>159</v>
      </c>
      <c r="I1130" s="10433" t="s">
        <v>6053</v>
      </c>
      <c r="J1130" s="10433" t="s">
        <v>6054</v>
      </c>
      <c r="K1130" s="10433" t="s">
        <v>6022</v>
      </c>
      <c r="L1130" s="11130">
        <v>1</v>
      </c>
      <c r="M1130" s="11130">
        <v>1</v>
      </c>
      <c r="N1130" s="11130">
        <v>1</v>
      </c>
      <c r="O1130" s="10433" t="s">
        <v>6055</v>
      </c>
      <c r="P1130" s="10433" t="s">
        <v>6056</v>
      </c>
      <c r="Q1130" s="10439" t="s">
        <v>6185</v>
      </c>
      <c r="R1130" s="5452"/>
      <c r="S1130" s="3598"/>
      <c r="T1130" s="3598"/>
      <c r="U1130" s="4344"/>
      <c r="V1130" s="4337"/>
      <c r="W1130" s="3598"/>
      <c r="X1130" s="5556"/>
      <c r="Y1130" s="5556"/>
      <c r="Z1130" s="5556"/>
      <c r="AA1130" s="5557"/>
      <c r="AB1130" s="5584"/>
      <c r="AC1130" s="4338"/>
      <c r="AD1130" s="3709"/>
      <c r="AE1130" s="5626"/>
      <c r="AF1130" s="5626"/>
      <c r="AG1130" s="10525"/>
    </row>
    <row r="1131" spans="1:33" ht="18" customHeight="1">
      <c r="A1131" s="11139"/>
      <c r="B1131" s="11136"/>
      <c r="C1131" s="11124"/>
      <c r="D1131" s="11124"/>
      <c r="E1131" s="11124"/>
      <c r="F1131" s="11124"/>
      <c r="G1131" s="11124"/>
      <c r="H1131" s="11124"/>
      <c r="I1131" s="11124"/>
      <c r="J1131" s="11124"/>
      <c r="K1131" s="11124"/>
      <c r="L1131" s="11131"/>
      <c r="M1131" s="11131"/>
      <c r="N1131" s="11131"/>
      <c r="O1131" s="11124"/>
      <c r="P1131" s="11124"/>
      <c r="Q1131" s="11127"/>
      <c r="R1131" s="5446"/>
      <c r="S1131" s="3579"/>
      <c r="T1131" s="3579"/>
      <c r="U1131" s="3578"/>
      <c r="V1131" s="4315"/>
      <c r="W1131" s="3579"/>
      <c r="X1131" s="5552"/>
      <c r="Y1131" s="5552"/>
      <c r="Z1131" s="5552"/>
      <c r="AA1131" s="5553"/>
      <c r="AB1131" s="5581"/>
      <c r="AC1131" s="4316"/>
      <c r="AD1131" s="3496"/>
      <c r="AE1131" s="5610"/>
      <c r="AF1131" s="5610"/>
      <c r="AG1131" s="11115"/>
    </row>
    <row r="1132" spans="1:33" ht="18" customHeight="1">
      <c r="A1132" s="11139"/>
      <c r="B1132" s="11136"/>
      <c r="C1132" s="11124"/>
      <c r="D1132" s="11124"/>
      <c r="E1132" s="11124"/>
      <c r="F1132" s="11124"/>
      <c r="G1132" s="11124"/>
      <c r="H1132" s="11124"/>
      <c r="I1132" s="11124"/>
      <c r="J1132" s="11124"/>
      <c r="K1132" s="11124"/>
      <c r="L1132" s="11131"/>
      <c r="M1132" s="11131"/>
      <c r="N1132" s="11131"/>
      <c r="O1132" s="11124"/>
      <c r="P1132" s="11124"/>
      <c r="Q1132" s="11127"/>
      <c r="R1132" s="5446"/>
      <c r="S1132" s="3579"/>
      <c r="T1132" s="3579"/>
      <c r="U1132" s="3578"/>
      <c r="V1132" s="4315"/>
      <c r="W1132" s="3579"/>
      <c r="X1132" s="5552"/>
      <c r="Y1132" s="5552"/>
      <c r="Z1132" s="5552"/>
      <c r="AA1132" s="5553"/>
      <c r="AB1132" s="5581"/>
      <c r="AC1132" s="4316"/>
      <c r="AD1132" s="3496"/>
      <c r="AE1132" s="5610"/>
      <c r="AF1132" s="5610"/>
      <c r="AG1132" s="11115"/>
    </row>
    <row r="1133" spans="1:33" ht="18" customHeight="1">
      <c r="A1133" s="11139"/>
      <c r="B1133" s="11136"/>
      <c r="C1133" s="11124"/>
      <c r="D1133" s="11124"/>
      <c r="E1133" s="11124"/>
      <c r="F1133" s="11124"/>
      <c r="G1133" s="11124"/>
      <c r="H1133" s="11124"/>
      <c r="I1133" s="11124"/>
      <c r="J1133" s="11124"/>
      <c r="K1133" s="11124"/>
      <c r="L1133" s="11131"/>
      <c r="M1133" s="11131"/>
      <c r="N1133" s="11131"/>
      <c r="O1133" s="11124"/>
      <c r="P1133" s="11124"/>
      <c r="Q1133" s="11127"/>
      <c r="R1133" s="5446"/>
      <c r="S1133" s="3579"/>
      <c r="T1133" s="3579"/>
      <c r="U1133" s="3578"/>
      <c r="V1133" s="4315"/>
      <c r="W1133" s="3579"/>
      <c r="X1133" s="5552"/>
      <c r="Y1133" s="5552"/>
      <c r="Z1133" s="5552"/>
      <c r="AA1133" s="5553"/>
      <c r="AB1133" s="5581"/>
      <c r="AC1133" s="4316"/>
      <c r="AD1133" s="3496"/>
      <c r="AE1133" s="5610"/>
      <c r="AF1133" s="5610"/>
      <c r="AG1133" s="11115"/>
    </row>
    <row r="1134" spans="1:33" ht="18" customHeight="1">
      <c r="A1134" s="11139"/>
      <c r="B1134" s="11138"/>
      <c r="C1134" s="11126"/>
      <c r="D1134" s="11126"/>
      <c r="E1134" s="11126"/>
      <c r="F1134" s="11126"/>
      <c r="G1134" s="11126"/>
      <c r="H1134" s="11126"/>
      <c r="I1134" s="11126"/>
      <c r="J1134" s="11126"/>
      <c r="K1134" s="11126"/>
      <c r="L1134" s="11132"/>
      <c r="M1134" s="11132"/>
      <c r="N1134" s="11132"/>
      <c r="O1134" s="11126"/>
      <c r="P1134" s="11126"/>
      <c r="Q1134" s="11128"/>
      <c r="R1134" s="5450"/>
      <c r="S1134" s="3606"/>
      <c r="T1134" s="3606"/>
      <c r="U1134" s="3605"/>
      <c r="V1134" s="4317"/>
      <c r="W1134" s="3606"/>
      <c r="X1134" s="5558"/>
      <c r="Y1134" s="5558"/>
      <c r="Z1134" s="5558"/>
      <c r="AA1134" s="5559"/>
      <c r="AB1134" s="5585"/>
      <c r="AC1134" s="4318"/>
      <c r="AD1134" s="3545"/>
      <c r="AE1134" s="5625"/>
      <c r="AF1134" s="5625"/>
      <c r="AG1134" s="11116"/>
    </row>
    <row r="1135" spans="1:33" ht="18" customHeight="1">
      <c r="A1135" s="11139"/>
      <c r="B1135" s="10512" t="s">
        <v>183</v>
      </c>
      <c r="C1135" s="10444" t="s">
        <v>227</v>
      </c>
      <c r="D1135" s="10444" t="s">
        <v>228</v>
      </c>
      <c r="E1135" s="10444" t="s">
        <v>229</v>
      </c>
      <c r="F1135" s="10451" t="s">
        <v>230</v>
      </c>
      <c r="G1135" s="10444" t="s">
        <v>132</v>
      </c>
      <c r="H1135" s="10444" t="s">
        <v>159</v>
      </c>
      <c r="I1135" s="10444" t="s">
        <v>6057</v>
      </c>
      <c r="J1135" s="10444" t="s">
        <v>6058</v>
      </c>
      <c r="K1135" s="10444" t="s">
        <v>6049</v>
      </c>
      <c r="L1135" s="11133">
        <v>0</v>
      </c>
      <c r="M1135" s="11133">
        <v>1</v>
      </c>
      <c r="N1135" s="11133">
        <v>1</v>
      </c>
      <c r="O1135" s="10444" t="s">
        <v>6059</v>
      </c>
      <c r="P1135" s="10444" t="s">
        <v>6060</v>
      </c>
      <c r="Q1135" s="10449" t="s">
        <v>6185</v>
      </c>
      <c r="R1135" s="5458"/>
      <c r="S1135" s="3623"/>
      <c r="T1135" s="3623"/>
      <c r="U1135" s="4312"/>
      <c r="V1135" s="4313"/>
      <c r="W1135" s="3623"/>
      <c r="X1135" s="5560"/>
      <c r="Y1135" s="5560"/>
      <c r="Z1135" s="5560"/>
      <c r="AA1135" s="5561"/>
      <c r="AB1135" s="5586"/>
      <c r="AC1135" s="4314"/>
      <c r="AD1135" s="3658"/>
      <c r="AE1135" s="5623"/>
      <c r="AF1135" s="5623"/>
      <c r="AG1135" s="10525"/>
    </row>
    <row r="1136" spans="1:33" ht="18" customHeight="1">
      <c r="A1136" s="11139"/>
      <c r="B1136" s="11136"/>
      <c r="C1136" s="11124"/>
      <c r="D1136" s="11124"/>
      <c r="E1136" s="11124"/>
      <c r="F1136" s="11124"/>
      <c r="G1136" s="11124"/>
      <c r="H1136" s="11124"/>
      <c r="I1136" s="11124"/>
      <c r="J1136" s="11124"/>
      <c r="K1136" s="11124"/>
      <c r="L1136" s="11131"/>
      <c r="M1136" s="11131"/>
      <c r="N1136" s="11131"/>
      <c r="O1136" s="11124"/>
      <c r="P1136" s="11124"/>
      <c r="Q1136" s="11127"/>
      <c r="R1136" s="5446"/>
      <c r="S1136" s="3579"/>
      <c r="T1136" s="3579"/>
      <c r="U1136" s="3578"/>
      <c r="V1136" s="4315"/>
      <c r="W1136" s="3579"/>
      <c r="X1136" s="5552"/>
      <c r="Y1136" s="5552"/>
      <c r="Z1136" s="5552"/>
      <c r="AA1136" s="5553"/>
      <c r="AB1136" s="5581"/>
      <c r="AC1136" s="4316"/>
      <c r="AD1136" s="3496"/>
      <c r="AE1136" s="5610"/>
      <c r="AF1136" s="5610"/>
      <c r="AG1136" s="11115"/>
    </row>
    <row r="1137" spans="1:33" ht="18" customHeight="1">
      <c r="A1137" s="11139"/>
      <c r="B1137" s="11136"/>
      <c r="C1137" s="11124"/>
      <c r="D1137" s="11124"/>
      <c r="E1137" s="11124"/>
      <c r="F1137" s="11124"/>
      <c r="G1137" s="11124"/>
      <c r="H1137" s="11124"/>
      <c r="I1137" s="11124"/>
      <c r="J1137" s="11124"/>
      <c r="K1137" s="11124"/>
      <c r="L1137" s="11131"/>
      <c r="M1137" s="11131"/>
      <c r="N1137" s="11131"/>
      <c r="O1137" s="11124"/>
      <c r="P1137" s="11124"/>
      <c r="Q1137" s="11127"/>
      <c r="R1137" s="5446"/>
      <c r="S1137" s="3579"/>
      <c r="T1137" s="3579"/>
      <c r="U1137" s="3578"/>
      <c r="V1137" s="4315"/>
      <c r="W1137" s="3579"/>
      <c r="X1137" s="5552"/>
      <c r="Y1137" s="5552"/>
      <c r="Z1137" s="5552"/>
      <c r="AA1137" s="5553"/>
      <c r="AB1137" s="5581"/>
      <c r="AC1137" s="4316"/>
      <c r="AD1137" s="3496"/>
      <c r="AE1137" s="5610"/>
      <c r="AF1137" s="5610"/>
      <c r="AG1137" s="11115"/>
    </row>
    <row r="1138" spans="1:33" ht="18" customHeight="1">
      <c r="A1138" s="11139"/>
      <c r="B1138" s="11136"/>
      <c r="C1138" s="11124"/>
      <c r="D1138" s="11124"/>
      <c r="E1138" s="11124"/>
      <c r="F1138" s="11124"/>
      <c r="G1138" s="11124"/>
      <c r="H1138" s="11124"/>
      <c r="I1138" s="11124"/>
      <c r="J1138" s="11124"/>
      <c r="K1138" s="11124"/>
      <c r="L1138" s="11131"/>
      <c r="M1138" s="11131"/>
      <c r="N1138" s="11131"/>
      <c r="O1138" s="11124"/>
      <c r="P1138" s="11124"/>
      <c r="Q1138" s="11127"/>
      <c r="R1138" s="5446"/>
      <c r="S1138" s="3579"/>
      <c r="T1138" s="3579"/>
      <c r="U1138" s="3578"/>
      <c r="V1138" s="4315"/>
      <c r="W1138" s="3579"/>
      <c r="X1138" s="5552"/>
      <c r="Y1138" s="5552"/>
      <c r="Z1138" s="5552"/>
      <c r="AA1138" s="5553"/>
      <c r="AB1138" s="5581"/>
      <c r="AC1138" s="4316"/>
      <c r="AD1138" s="3496"/>
      <c r="AE1138" s="5610"/>
      <c r="AF1138" s="5610"/>
      <c r="AG1138" s="11115"/>
    </row>
    <row r="1139" spans="1:33" ht="18" customHeight="1">
      <c r="A1139" s="11139"/>
      <c r="B1139" s="11137"/>
      <c r="C1139" s="11125"/>
      <c r="D1139" s="11125"/>
      <c r="E1139" s="11125"/>
      <c r="F1139" s="11125"/>
      <c r="G1139" s="11125"/>
      <c r="H1139" s="11125"/>
      <c r="I1139" s="11125"/>
      <c r="J1139" s="11125"/>
      <c r="K1139" s="11125"/>
      <c r="L1139" s="11134"/>
      <c r="M1139" s="11134"/>
      <c r="N1139" s="11134"/>
      <c r="O1139" s="11125"/>
      <c r="P1139" s="11125"/>
      <c r="Q1139" s="11135"/>
      <c r="R1139" s="5448"/>
      <c r="S1139" s="3617"/>
      <c r="T1139" s="3617"/>
      <c r="U1139" s="3616"/>
      <c r="V1139" s="4319"/>
      <c r="W1139" s="3617"/>
      <c r="X1139" s="5554"/>
      <c r="Y1139" s="5554"/>
      <c r="Z1139" s="5554"/>
      <c r="AA1139" s="5555"/>
      <c r="AB1139" s="5592"/>
      <c r="AC1139" s="4320"/>
      <c r="AD1139" s="3714"/>
      <c r="AE1139" s="5624"/>
      <c r="AF1139" s="5624"/>
      <c r="AG1139" s="11116"/>
    </row>
    <row r="1140" spans="1:33" ht="18" customHeight="1">
      <c r="A1140" s="11139"/>
      <c r="B1140" s="10516" t="s">
        <v>127</v>
      </c>
      <c r="C1140" s="10433" t="s">
        <v>128</v>
      </c>
      <c r="D1140" s="10433" t="s">
        <v>129</v>
      </c>
      <c r="E1140" s="10433" t="s">
        <v>157</v>
      </c>
      <c r="F1140" s="10442" t="s">
        <v>131</v>
      </c>
      <c r="G1140" s="10433" t="s">
        <v>132</v>
      </c>
      <c r="H1140" s="10433" t="s">
        <v>159</v>
      </c>
      <c r="I1140" s="10433" t="s">
        <v>6061</v>
      </c>
      <c r="J1140" s="10433" t="s">
        <v>6062</v>
      </c>
      <c r="K1140" s="10433" t="s">
        <v>6063</v>
      </c>
      <c r="L1140" s="11130">
        <v>1</v>
      </c>
      <c r="M1140" s="11130">
        <v>1</v>
      </c>
      <c r="N1140" s="11130">
        <v>1</v>
      </c>
      <c r="O1140" s="10433" t="s">
        <v>6064</v>
      </c>
      <c r="P1140" s="10433" t="s">
        <v>6065</v>
      </c>
      <c r="Q1140" s="10439" t="s">
        <v>6183</v>
      </c>
      <c r="R1140" s="5452"/>
      <c r="S1140" s="3598"/>
      <c r="T1140" s="3598"/>
      <c r="U1140" s="4344"/>
      <c r="V1140" s="4337"/>
      <c r="W1140" s="3598"/>
      <c r="X1140" s="5556"/>
      <c r="Y1140" s="5556"/>
      <c r="Z1140" s="5556"/>
      <c r="AA1140" s="5557"/>
      <c r="AB1140" s="5584"/>
      <c r="AC1140" s="4338"/>
      <c r="AD1140" s="3709"/>
      <c r="AE1140" s="5626"/>
      <c r="AF1140" s="5626"/>
      <c r="AG1140" s="10525"/>
    </row>
    <row r="1141" spans="1:33" ht="18" customHeight="1">
      <c r="A1141" s="11139"/>
      <c r="B1141" s="11136"/>
      <c r="C1141" s="11124"/>
      <c r="D1141" s="11124"/>
      <c r="E1141" s="11124"/>
      <c r="F1141" s="11124"/>
      <c r="G1141" s="11124"/>
      <c r="H1141" s="11124"/>
      <c r="I1141" s="11124"/>
      <c r="J1141" s="11124"/>
      <c r="K1141" s="11124"/>
      <c r="L1141" s="11131"/>
      <c r="M1141" s="11131"/>
      <c r="N1141" s="11131"/>
      <c r="O1141" s="11124"/>
      <c r="P1141" s="11124"/>
      <c r="Q1141" s="11127"/>
      <c r="R1141" s="5446"/>
      <c r="S1141" s="3579"/>
      <c r="T1141" s="3579"/>
      <c r="U1141" s="3578"/>
      <c r="V1141" s="4315"/>
      <c r="W1141" s="3579"/>
      <c r="X1141" s="5552"/>
      <c r="Y1141" s="5552"/>
      <c r="Z1141" s="5552"/>
      <c r="AA1141" s="5553"/>
      <c r="AB1141" s="5581"/>
      <c r="AC1141" s="4316"/>
      <c r="AD1141" s="3496"/>
      <c r="AE1141" s="5610"/>
      <c r="AF1141" s="5610"/>
      <c r="AG1141" s="11115"/>
    </row>
    <row r="1142" spans="1:33" ht="18" customHeight="1">
      <c r="A1142" s="11139"/>
      <c r="B1142" s="11136"/>
      <c r="C1142" s="11124"/>
      <c r="D1142" s="11124"/>
      <c r="E1142" s="11124"/>
      <c r="F1142" s="11124"/>
      <c r="G1142" s="11124"/>
      <c r="H1142" s="11124"/>
      <c r="I1142" s="11124"/>
      <c r="J1142" s="11124"/>
      <c r="K1142" s="11124"/>
      <c r="L1142" s="11131"/>
      <c r="M1142" s="11131"/>
      <c r="N1142" s="11131"/>
      <c r="O1142" s="11124"/>
      <c r="P1142" s="11124"/>
      <c r="Q1142" s="11127"/>
      <c r="R1142" s="5446"/>
      <c r="S1142" s="3579"/>
      <c r="T1142" s="3579"/>
      <c r="U1142" s="3578"/>
      <c r="V1142" s="4315"/>
      <c r="W1142" s="3579"/>
      <c r="X1142" s="5552"/>
      <c r="Y1142" s="5552"/>
      <c r="Z1142" s="5552"/>
      <c r="AA1142" s="5553"/>
      <c r="AB1142" s="5581"/>
      <c r="AC1142" s="4316"/>
      <c r="AD1142" s="3496"/>
      <c r="AE1142" s="5610"/>
      <c r="AF1142" s="5610"/>
      <c r="AG1142" s="11115"/>
    </row>
    <row r="1143" spans="1:33" ht="18" customHeight="1">
      <c r="A1143" s="11139"/>
      <c r="B1143" s="11136"/>
      <c r="C1143" s="11124"/>
      <c r="D1143" s="11124"/>
      <c r="E1143" s="11124"/>
      <c r="F1143" s="11124"/>
      <c r="G1143" s="11124"/>
      <c r="H1143" s="11124"/>
      <c r="I1143" s="11124"/>
      <c r="J1143" s="11124"/>
      <c r="K1143" s="11124"/>
      <c r="L1143" s="11131"/>
      <c r="M1143" s="11131"/>
      <c r="N1143" s="11131"/>
      <c r="O1143" s="11124"/>
      <c r="P1143" s="11124"/>
      <c r="Q1143" s="11127"/>
      <c r="R1143" s="5446"/>
      <c r="S1143" s="3579"/>
      <c r="T1143" s="3579"/>
      <c r="U1143" s="3578"/>
      <c r="V1143" s="4315"/>
      <c r="W1143" s="3579"/>
      <c r="X1143" s="5552"/>
      <c r="Y1143" s="5552"/>
      <c r="Z1143" s="5552"/>
      <c r="AA1143" s="5553"/>
      <c r="AB1143" s="5581"/>
      <c r="AC1143" s="4316"/>
      <c r="AD1143" s="3496"/>
      <c r="AE1143" s="5610"/>
      <c r="AF1143" s="5610"/>
      <c r="AG1143" s="11115"/>
    </row>
    <row r="1144" spans="1:33" ht="18" customHeight="1">
      <c r="A1144" s="11139"/>
      <c r="B1144" s="11138"/>
      <c r="C1144" s="11126"/>
      <c r="D1144" s="11126"/>
      <c r="E1144" s="11126"/>
      <c r="F1144" s="11126"/>
      <c r="G1144" s="11126"/>
      <c r="H1144" s="11126"/>
      <c r="I1144" s="11126"/>
      <c r="J1144" s="11126"/>
      <c r="K1144" s="11126"/>
      <c r="L1144" s="11132"/>
      <c r="M1144" s="11132"/>
      <c r="N1144" s="11132"/>
      <c r="O1144" s="11126"/>
      <c r="P1144" s="11126"/>
      <c r="Q1144" s="11128"/>
      <c r="R1144" s="5450"/>
      <c r="S1144" s="3606"/>
      <c r="T1144" s="3606"/>
      <c r="U1144" s="3605"/>
      <c r="V1144" s="4317"/>
      <c r="W1144" s="3606"/>
      <c r="X1144" s="5558"/>
      <c r="Y1144" s="5558"/>
      <c r="Z1144" s="5558"/>
      <c r="AA1144" s="5559"/>
      <c r="AB1144" s="5585"/>
      <c r="AC1144" s="4318"/>
      <c r="AD1144" s="3545"/>
      <c r="AE1144" s="5625"/>
      <c r="AF1144" s="5625"/>
      <c r="AG1144" s="11116"/>
    </row>
    <row r="1145" spans="1:33" ht="18" customHeight="1">
      <c r="A1145" s="11139"/>
      <c r="B1145" s="10512" t="s">
        <v>183</v>
      </c>
      <c r="C1145" s="10444" t="s">
        <v>227</v>
      </c>
      <c r="D1145" s="10444" t="s">
        <v>228</v>
      </c>
      <c r="E1145" s="10444" t="s">
        <v>229</v>
      </c>
      <c r="F1145" s="10451" t="s">
        <v>230</v>
      </c>
      <c r="G1145" s="10444" t="s">
        <v>132</v>
      </c>
      <c r="H1145" s="10444" t="s">
        <v>159</v>
      </c>
      <c r="I1145" s="10444" t="s">
        <v>6066</v>
      </c>
      <c r="J1145" s="10444" t="s">
        <v>6067</v>
      </c>
      <c r="K1145" s="10444" t="s">
        <v>5871</v>
      </c>
      <c r="L1145" s="11133">
        <v>0</v>
      </c>
      <c r="M1145" s="11133">
        <v>1</v>
      </c>
      <c r="N1145" s="11133">
        <v>0</v>
      </c>
      <c r="O1145" s="10444" t="s">
        <v>5872</v>
      </c>
      <c r="P1145" s="10444" t="s">
        <v>5873</v>
      </c>
      <c r="Q1145" s="10449" t="s">
        <v>6185</v>
      </c>
      <c r="R1145" s="5458"/>
      <c r="S1145" s="3623"/>
      <c r="T1145" s="3623"/>
      <c r="U1145" s="4312"/>
      <c r="V1145" s="4313"/>
      <c r="W1145" s="3623"/>
      <c r="X1145" s="5560"/>
      <c r="Y1145" s="5560"/>
      <c r="Z1145" s="5560"/>
      <c r="AA1145" s="5561"/>
      <c r="AB1145" s="5586"/>
      <c r="AC1145" s="4314"/>
      <c r="AD1145" s="3658"/>
      <c r="AE1145" s="5623"/>
      <c r="AF1145" s="5623"/>
      <c r="AG1145" s="10525"/>
    </row>
    <row r="1146" spans="1:33" ht="18" customHeight="1">
      <c r="A1146" s="11139"/>
      <c r="B1146" s="11136"/>
      <c r="C1146" s="11124"/>
      <c r="D1146" s="11124"/>
      <c r="E1146" s="11124"/>
      <c r="F1146" s="11124"/>
      <c r="G1146" s="11124"/>
      <c r="H1146" s="11124"/>
      <c r="I1146" s="11124"/>
      <c r="J1146" s="11124"/>
      <c r="K1146" s="11124"/>
      <c r="L1146" s="11131"/>
      <c r="M1146" s="11131"/>
      <c r="N1146" s="11131"/>
      <c r="O1146" s="11124"/>
      <c r="P1146" s="11124"/>
      <c r="Q1146" s="11127"/>
      <c r="R1146" s="5446"/>
      <c r="S1146" s="3579"/>
      <c r="T1146" s="3579"/>
      <c r="U1146" s="3578"/>
      <c r="V1146" s="4315"/>
      <c r="W1146" s="3579"/>
      <c r="X1146" s="5552"/>
      <c r="Y1146" s="5552"/>
      <c r="Z1146" s="5552"/>
      <c r="AA1146" s="5553"/>
      <c r="AB1146" s="5581"/>
      <c r="AC1146" s="4316"/>
      <c r="AD1146" s="3496"/>
      <c r="AE1146" s="5610"/>
      <c r="AF1146" s="5610"/>
      <c r="AG1146" s="11115"/>
    </row>
    <row r="1147" spans="1:33" ht="18" customHeight="1">
      <c r="A1147" s="11139"/>
      <c r="B1147" s="11136"/>
      <c r="C1147" s="11124"/>
      <c r="D1147" s="11124"/>
      <c r="E1147" s="11124"/>
      <c r="F1147" s="11124"/>
      <c r="G1147" s="11124"/>
      <c r="H1147" s="11124"/>
      <c r="I1147" s="11124"/>
      <c r="J1147" s="11124"/>
      <c r="K1147" s="11124"/>
      <c r="L1147" s="11131"/>
      <c r="M1147" s="11131"/>
      <c r="N1147" s="11131"/>
      <c r="O1147" s="11124"/>
      <c r="P1147" s="11124"/>
      <c r="Q1147" s="11127"/>
      <c r="R1147" s="5446"/>
      <c r="S1147" s="3579"/>
      <c r="T1147" s="3579"/>
      <c r="U1147" s="3578"/>
      <c r="V1147" s="4315"/>
      <c r="W1147" s="3579"/>
      <c r="X1147" s="5552"/>
      <c r="Y1147" s="5552"/>
      <c r="Z1147" s="5552"/>
      <c r="AA1147" s="5553"/>
      <c r="AB1147" s="5581"/>
      <c r="AC1147" s="4316"/>
      <c r="AD1147" s="3496"/>
      <c r="AE1147" s="5610"/>
      <c r="AF1147" s="5610"/>
      <c r="AG1147" s="11115"/>
    </row>
    <row r="1148" spans="1:33" ht="18" customHeight="1">
      <c r="A1148" s="11139"/>
      <c r="B1148" s="11136"/>
      <c r="C1148" s="11124"/>
      <c r="D1148" s="11124"/>
      <c r="E1148" s="11124"/>
      <c r="F1148" s="11124"/>
      <c r="G1148" s="11124"/>
      <c r="H1148" s="11124"/>
      <c r="I1148" s="11124"/>
      <c r="J1148" s="11124"/>
      <c r="K1148" s="11124"/>
      <c r="L1148" s="11131"/>
      <c r="M1148" s="11131"/>
      <c r="N1148" s="11131"/>
      <c r="O1148" s="11124"/>
      <c r="P1148" s="11124"/>
      <c r="Q1148" s="11127"/>
      <c r="R1148" s="5446"/>
      <c r="S1148" s="3579"/>
      <c r="T1148" s="3579"/>
      <c r="U1148" s="3578"/>
      <c r="V1148" s="4315"/>
      <c r="W1148" s="3579"/>
      <c r="X1148" s="5552"/>
      <c r="Y1148" s="5552"/>
      <c r="Z1148" s="5552"/>
      <c r="AA1148" s="5553"/>
      <c r="AB1148" s="5581"/>
      <c r="AC1148" s="4316"/>
      <c r="AD1148" s="3496"/>
      <c r="AE1148" s="5610"/>
      <c r="AF1148" s="5610"/>
      <c r="AG1148" s="11115"/>
    </row>
    <row r="1149" spans="1:33" ht="18" customHeight="1">
      <c r="A1149" s="11139"/>
      <c r="B1149" s="11137"/>
      <c r="C1149" s="11125"/>
      <c r="D1149" s="11125"/>
      <c r="E1149" s="11125"/>
      <c r="F1149" s="11125"/>
      <c r="G1149" s="11125"/>
      <c r="H1149" s="11125"/>
      <c r="I1149" s="11125"/>
      <c r="J1149" s="11125"/>
      <c r="K1149" s="11125"/>
      <c r="L1149" s="11134"/>
      <c r="M1149" s="11134"/>
      <c r="N1149" s="11134"/>
      <c r="O1149" s="11125"/>
      <c r="P1149" s="11125"/>
      <c r="Q1149" s="11135"/>
      <c r="R1149" s="5448"/>
      <c r="S1149" s="3617"/>
      <c r="T1149" s="3617"/>
      <c r="U1149" s="3616"/>
      <c r="V1149" s="4319"/>
      <c r="W1149" s="3617"/>
      <c r="X1149" s="5554"/>
      <c r="Y1149" s="5554"/>
      <c r="Z1149" s="5554"/>
      <c r="AA1149" s="5555"/>
      <c r="AB1149" s="5592"/>
      <c r="AC1149" s="4320"/>
      <c r="AD1149" s="3714"/>
      <c r="AE1149" s="5624"/>
      <c r="AF1149" s="5624"/>
      <c r="AG1149" s="11116"/>
    </row>
    <row r="1150" spans="1:33" ht="18" customHeight="1">
      <c r="A1150" s="11139"/>
      <c r="B1150" s="10516" t="s">
        <v>183</v>
      </c>
      <c r="C1150" s="10433" t="s">
        <v>227</v>
      </c>
      <c r="D1150" s="10433" t="s">
        <v>228</v>
      </c>
      <c r="E1150" s="10433" t="s">
        <v>229</v>
      </c>
      <c r="F1150" s="10442" t="s">
        <v>230</v>
      </c>
      <c r="G1150" s="10433" t="s">
        <v>171</v>
      </c>
      <c r="H1150" s="10433" t="s">
        <v>133</v>
      </c>
      <c r="I1150" s="10433" t="s">
        <v>6068</v>
      </c>
      <c r="J1150" s="10433" t="s">
        <v>6069</v>
      </c>
      <c r="K1150" s="10433" t="s">
        <v>6022</v>
      </c>
      <c r="L1150" s="10470">
        <v>1</v>
      </c>
      <c r="M1150" s="10470">
        <v>1</v>
      </c>
      <c r="N1150" s="10470">
        <v>1</v>
      </c>
      <c r="O1150" s="10433" t="s">
        <v>6070</v>
      </c>
      <c r="P1150" s="10433" t="s">
        <v>6071</v>
      </c>
      <c r="Q1150" s="10439" t="s">
        <v>6186</v>
      </c>
      <c r="R1150" s="5449"/>
      <c r="S1150" s="4336"/>
      <c r="T1150" s="4336"/>
      <c r="U1150" s="3597"/>
      <c r="V1150" s="4337"/>
      <c r="W1150" s="3598"/>
      <c r="X1150" s="5556"/>
      <c r="Y1150" s="5556"/>
      <c r="Z1150" s="5556"/>
      <c r="AA1150" s="5557"/>
      <c r="AB1150" s="5584"/>
      <c r="AC1150" s="4338"/>
      <c r="AD1150" s="3709"/>
      <c r="AE1150" s="5626"/>
      <c r="AF1150" s="5626"/>
      <c r="AG1150" s="10525"/>
    </row>
    <row r="1151" spans="1:33" ht="18" customHeight="1">
      <c r="A1151" s="11139"/>
      <c r="B1151" s="11136"/>
      <c r="C1151" s="11124"/>
      <c r="D1151" s="11124"/>
      <c r="E1151" s="11124"/>
      <c r="F1151" s="11124"/>
      <c r="G1151" s="11124"/>
      <c r="H1151" s="11124"/>
      <c r="I1151" s="11124"/>
      <c r="J1151" s="11124"/>
      <c r="K1151" s="11124"/>
      <c r="L1151" s="11131"/>
      <c r="M1151" s="11131"/>
      <c r="N1151" s="11131"/>
      <c r="O1151" s="11124"/>
      <c r="P1151" s="11124"/>
      <c r="Q1151" s="11127"/>
      <c r="R1151" s="5446"/>
      <c r="S1151" s="3579"/>
      <c r="T1151" s="3579"/>
      <c r="U1151" s="3578"/>
      <c r="V1151" s="4315"/>
      <c r="W1151" s="3579"/>
      <c r="X1151" s="5552"/>
      <c r="Y1151" s="5552"/>
      <c r="Z1151" s="5552"/>
      <c r="AA1151" s="5553"/>
      <c r="AB1151" s="5581"/>
      <c r="AC1151" s="4316"/>
      <c r="AD1151" s="3496"/>
      <c r="AE1151" s="5610"/>
      <c r="AF1151" s="5610"/>
      <c r="AG1151" s="11115"/>
    </row>
    <row r="1152" spans="1:33" ht="18" customHeight="1">
      <c r="A1152" s="11139"/>
      <c r="B1152" s="11136"/>
      <c r="C1152" s="11124"/>
      <c r="D1152" s="11124"/>
      <c r="E1152" s="11124"/>
      <c r="F1152" s="11124"/>
      <c r="G1152" s="11124"/>
      <c r="H1152" s="11124"/>
      <c r="I1152" s="11124"/>
      <c r="J1152" s="11124"/>
      <c r="K1152" s="11124"/>
      <c r="L1152" s="11131"/>
      <c r="M1152" s="11131"/>
      <c r="N1152" s="11131"/>
      <c r="O1152" s="11124"/>
      <c r="P1152" s="11124"/>
      <c r="Q1152" s="11127"/>
      <c r="R1152" s="5446"/>
      <c r="S1152" s="3579"/>
      <c r="T1152" s="3579"/>
      <c r="U1152" s="3578"/>
      <c r="V1152" s="4315"/>
      <c r="W1152" s="3579"/>
      <c r="X1152" s="5552"/>
      <c r="Y1152" s="5552"/>
      <c r="Z1152" s="5552"/>
      <c r="AA1152" s="5553"/>
      <c r="AB1152" s="5581"/>
      <c r="AC1152" s="4316"/>
      <c r="AD1152" s="3496"/>
      <c r="AE1152" s="5610"/>
      <c r="AF1152" s="5610"/>
      <c r="AG1152" s="11115"/>
    </row>
    <row r="1153" spans="1:33" ht="18" customHeight="1">
      <c r="A1153" s="11139"/>
      <c r="B1153" s="11136"/>
      <c r="C1153" s="11124"/>
      <c r="D1153" s="11124"/>
      <c r="E1153" s="11124"/>
      <c r="F1153" s="11124"/>
      <c r="G1153" s="11124"/>
      <c r="H1153" s="11124"/>
      <c r="I1153" s="11124"/>
      <c r="J1153" s="11124"/>
      <c r="K1153" s="11124"/>
      <c r="L1153" s="11131"/>
      <c r="M1153" s="11131"/>
      <c r="N1153" s="11131"/>
      <c r="O1153" s="11124"/>
      <c r="P1153" s="11124"/>
      <c r="Q1153" s="11127"/>
      <c r="R1153" s="5447"/>
      <c r="S1153" s="4325"/>
      <c r="T1153" s="4325"/>
      <c r="U1153" s="3578"/>
      <c r="V1153" s="4315"/>
      <c r="W1153" s="3579"/>
      <c r="X1153" s="5552"/>
      <c r="Y1153" s="5552"/>
      <c r="Z1153" s="5552"/>
      <c r="AA1153" s="5553"/>
      <c r="AB1153" s="5581"/>
      <c r="AC1153" s="4316"/>
      <c r="AD1153" s="3496"/>
      <c r="AE1153" s="5610"/>
      <c r="AF1153" s="5610"/>
      <c r="AG1153" s="11115"/>
    </row>
    <row r="1154" spans="1:33" ht="18" customHeight="1">
      <c r="A1154" s="11139"/>
      <c r="B1154" s="11138"/>
      <c r="C1154" s="11126"/>
      <c r="D1154" s="11126"/>
      <c r="E1154" s="11126"/>
      <c r="F1154" s="11126"/>
      <c r="G1154" s="11126"/>
      <c r="H1154" s="11126"/>
      <c r="I1154" s="11126"/>
      <c r="J1154" s="11126"/>
      <c r="K1154" s="11126"/>
      <c r="L1154" s="11132"/>
      <c r="M1154" s="11132"/>
      <c r="N1154" s="11132"/>
      <c r="O1154" s="11126"/>
      <c r="P1154" s="11126"/>
      <c r="Q1154" s="11128"/>
      <c r="R1154" s="5450"/>
      <c r="S1154" s="3606"/>
      <c r="T1154" s="3606"/>
      <c r="U1154" s="3605"/>
      <c r="V1154" s="4317"/>
      <c r="W1154" s="3606"/>
      <c r="X1154" s="5558"/>
      <c r="Y1154" s="5558"/>
      <c r="Z1154" s="5558"/>
      <c r="AA1154" s="5559"/>
      <c r="AB1154" s="5585"/>
      <c r="AC1154" s="4318"/>
      <c r="AD1154" s="3545"/>
      <c r="AE1154" s="5625"/>
      <c r="AF1154" s="5625"/>
      <c r="AG1154" s="11116"/>
    </row>
    <row r="1155" spans="1:33" ht="18" customHeight="1">
      <c r="A1155" s="11139"/>
      <c r="B1155" s="10512" t="s">
        <v>127</v>
      </c>
      <c r="C1155" s="10444" t="s">
        <v>128</v>
      </c>
      <c r="D1155" s="10444" t="s">
        <v>129</v>
      </c>
      <c r="E1155" s="10444" t="s">
        <v>157</v>
      </c>
      <c r="F1155" s="10451" t="s">
        <v>131</v>
      </c>
      <c r="G1155" s="10444" t="s">
        <v>132</v>
      </c>
      <c r="H1155" s="10444" t="s">
        <v>159</v>
      </c>
      <c r="I1155" s="10444" t="s">
        <v>6073</v>
      </c>
      <c r="J1155" s="10444" t="s">
        <v>6074</v>
      </c>
      <c r="K1155" s="10444" t="s">
        <v>5888</v>
      </c>
      <c r="L1155" s="10455">
        <v>3</v>
      </c>
      <c r="M1155" s="10455">
        <v>4</v>
      </c>
      <c r="N1155" s="10455">
        <v>3</v>
      </c>
      <c r="O1155" s="10444" t="s">
        <v>6075</v>
      </c>
      <c r="P1155" s="10444" t="s">
        <v>6076</v>
      </c>
      <c r="Q1155" s="10449" t="s">
        <v>6183</v>
      </c>
      <c r="R1155" s="5451"/>
      <c r="S1155" s="3650"/>
      <c r="T1155" s="3650"/>
      <c r="U1155" s="3622"/>
      <c r="V1155" s="4313"/>
      <c r="W1155" s="3623"/>
      <c r="X1155" s="5560"/>
      <c r="Y1155" s="5560"/>
      <c r="Z1155" s="5560"/>
      <c r="AA1155" s="5561"/>
      <c r="AB1155" s="5586"/>
      <c r="AC1155" s="4314"/>
      <c r="AD1155" s="3658"/>
      <c r="AE1155" s="5623"/>
      <c r="AF1155" s="5623"/>
      <c r="AG1155" s="10464"/>
    </row>
    <row r="1156" spans="1:33" ht="18" customHeight="1">
      <c r="A1156" s="11139"/>
      <c r="B1156" s="11136"/>
      <c r="C1156" s="11124"/>
      <c r="D1156" s="11124"/>
      <c r="E1156" s="11124"/>
      <c r="F1156" s="11124"/>
      <c r="G1156" s="11124"/>
      <c r="H1156" s="11124"/>
      <c r="I1156" s="11124"/>
      <c r="J1156" s="11124"/>
      <c r="K1156" s="11124"/>
      <c r="L1156" s="11131"/>
      <c r="M1156" s="11131"/>
      <c r="N1156" s="11131"/>
      <c r="O1156" s="11124"/>
      <c r="P1156" s="11124"/>
      <c r="Q1156" s="11127"/>
      <c r="R1156" s="5446"/>
      <c r="S1156" s="3579"/>
      <c r="T1156" s="3579"/>
      <c r="U1156" s="3578"/>
      <c r="V1156" s="4315"/>
      <c r="W1156" s="3579"/>
      <c r="X1156" s="5552"/>
      <c r="Y1156" s="5552"/>
      <c r="Z1156" s="5552"/>
      <c r="AA1156" s="5553"/>
      <c r="AB1156" s="5581"/>
      <c r="AC1156" s="4316"/>
      <c r="AD1156" s="3496"/>
      <c r="AE1156" s="5610"/>
      <c r="AF1156" s="5610"/>
      <c r="AG1156" s="11115"/>
    </row>
    <row r="1157" spans="1:33" ht="18" customHeight="1">
      <c r="A1157" s="11139"/>
      <c r="B1157" s="11136"/>
      <c r="C1157" s="11124"/>
      <c r="D1157" s="11124"/>
      <c r="E1157" s="11124"/>
      <c r="F1157" s="11124"/>
      <c r="G1157" s="11124"/>
      <c r="H1157" s="11124"/>
      <c r="I1157" s="11124"/>
      <c r="J1157" s="11124"/>
      <c r="K1157" s="11124"/>
      <c r="L1157" s="11131"/>
      <c r="M1157" s="11131"/>
      <c r="N1157" s="11131"/>
      <c r="O1157" s="11124"/>
      <c r="P1157" s="11124"/>
      <c r="Q1157" s="11127"/>
      <c r="R1157" s="5446"/>
      <c r="S1157" s="3579"/>
      <c r="T1157" s="3579"/>
      <c r="U1157" s="3578"/>
      <c r="V1157" s="4315"/>
      <c r="W1157" s="3579"/>
      <c r="X1157" s="5552"/>
      <c r="Y1157" s="5552"/>
      <c r="Z1157" s="5552"/>
      <c r="AA1157" s="5553"/>
      <c r="AB1157" s="5581"/>
      <c r="AC1157" s="4316"/>
      <c r="AD1157" s="3496"/>
      <c r="AE1157" s="5610"/>
      <c r="AF1157" s="5610"/>
      <c r="AG1157" s="11115"/>
    </row>
    <row r="1158" spans="1:33" ht="18" customHeight="1">
      <c r="A1158" s="11139"/>
      <c r="B1158" s="11136"/>
      <c r="C1158" s="11124"/>
      <c r="D1158" s="11124"/>
      <c r="E1158" s="11124"/>
      <c r="F1158" s="11124"/>
      <c r="G1158" s="11124"/>
      <c r="H1158" s="11124"/>
      <c r="I1158" s="11124"/>
      <c r="J1158" s="11124"/>
      <c r="K1158" s="11124"/>
      <c r="L1158" s="11131"/>
      <c r="M1158" s="11131"/>
      <c r="N1158" s="11131"/>
      <c r="O1158" s="11124"/>
      <c r="P1158" s="11124"/>
      <c r="Q1158" s="11127"/>
      <c r="R1158" s="5447"/>
      <c r="S1158" s="4325"/>
      <c r="T1158" s="4325"/>
      <c r="U1158" s="3578"/>
      <c r="V1158" s="4315"/>
      <c r="W1158" s="3579"/>
      <c r="X1158" s="5552"/>
      <c r="Y1158" s="5552"/>
      <c r="Z1158" s="5552"/>
      <c r="AA1158" s="5553"/>
      <c r="AB1158" s="5581"/>
      <c r="AC1158" s="4316"/>
      <c r="AD1158" s="3496"/>
      <c r="AE1158" s="5610"/>
      <c r="AF1158" s="5610"/>
      <c r="AG1158" s="11115"/>
    </row>
    <row r="1159" spans="1:33" ht="18" customHeight="1">
      <c r="A1159" s="11139"/>
      <c r="B1159" s="11138"/>
      <c r="C1159" s="11126"/>
      <c r="D1159" s="11126"/>
      <c r="E1159" s="11126"/>
      <c r="F1159" s="11126"/>
      <c r="G1159" s="11126"/>
      <c r="H1159" s="11126"/>
      <c r="I1159" s="11126"/>
      <c r="J1159" s="11126"/>
      <c r="K1159" s="11126"/>
      <c r="L1159" s="11132"/>
      <c r="M1159" s="11132"/>
      <c r="N1159" s="11132"/>
      <c r="O1159" s="11126"/>
      <c r="P1159" s="11126"/>
      <c r="Q1159" s="11128"/>
      <c r="R1159" s="5450"/>
      <c r="S1159" s="3606"/>
      <c r="T1159" s="3606"/>
      <c r="U1159" s="3605"/>
      <c r="V1159" s="4317"/>
      <c r="W1159" s="3606"/>
      <c r="X1159" s="5558"/>
      <c r="Y1159" s="5558"/>
      <c r="Z1159" s="5558"/>
      <c r="AA1159" s="5559"/>
      <c r="AB1159" s="5585"/>
      <c r="AC1159" s="4318"/>
      <c r="AD1159" s="3545"/>
      <c r="AE1159" s="5625"/>
      <c r="AF1159" s="5625"/>
      <c r="AG1159" s="11116"/>
    </row>
    <row r="1160" spans="1:33" s="6156" customFormat="1" ht="22.5" customHeight="1" thickBot="1">
      <c r="A1160" s="6208"/>
      <c r="B1160" s="6250"/>
      <c r="C1160" s="6250"/>
      <c r="D1160" s="6250"/>
      <c r="E1160" s="6250"/>
      <c r="F1160" s="6250"/>
      <c r="G1160" s="6250"/>
      <c r="H1160" s="6250"/>
      <c r="I1160" s="6250"/>
      <c r="J1160" s="6250"/>
      <c r="K1160" s="6250"/>
      <c r="L1160" s="5444"/>
      <c r="M1160" s="5444"/>
      <c r="N1160" s="5444"/>
      <c r="O1160" s="6161"/>
      <c r="P1160" s="6161"/>
      <c r="Q1160" s="6162"/>
      <c r="R1160" s="11144" t="s">
        <v>6187</v>
      </c>
      <c r="S1160" s="11145"/>
      <c r="T1160" s="11145"/>
      <c r="U1160" s="11145"/>
      <c r="V1160" s="11145"/>
      <c r="W1160" s="11145"/>
      <c r="X1160" s="11145"/>
      <c r="Y1160" s="11145"/>
      <c r="Z1160" s="5321" t="s">
        <v>292</v>
      </c>
      <c r="AA1160" s="6153">
        <v>0</v>
      </c>
      <c r="AB1160" s="5595"/>
      <c r="AC1160" s="6163"/>
      <c r="AD1160" s="11178"/>
      <c r="AE1160" s="11179"/>
      <c r="AF1160" s="11179"/>
      <c r="AG1160" s="11180"/>
    </row>
    <row r="1161" spans="1:33" ht="18" customHeight="1">
      <c r="A1161" s="9599" t="s">
        <v>6188</v>
      </c>
      <c r="B1161" s="10518" t="s">
        <v>183</v>
      </c>
      <c r="C1161" s="10452" t="s">
        <v>227</v>
      </c>
      <c r="D1161" s="10452" t="s">
        <v>228</v>
      </c>
      <c r="E1161" s="10452" t="s">
        <v>229</v>
      </c>
      <c r="F1161" s="10454" t="s">
        <v>230</v>
      </c>
      <c r="G1161" s="10452" t="s">
        <v>132</v>
      </c>
      <c r="H1161" s="10452" t="s">
        <v>159</v>
      </c>
      <c r="I1161" s="10433" t="s">
        <v>6010</v>
      </c>
      <c r="J1161" s="10452" t="s">
        <v>6011</v>
      </c>
      <c r="K1161" s="10452" t="s">
        <v>5761</v>
      </c>
      <c r="L1161" s="10488">
        <v>2</v>
      </c>
      <c r="M1161" s="10488">
        <v>1</v>
      </c>
      <c r="N1161" s="10488">
        <v>2</v>
      </c>
      <c r="O1161" s="10452" t="s">
        <v>6012</v>
      </c>
      <c r="P1161" s="10452" t="s">
        <v>6013</v>
      </c>
      <c r="Q1161" s="10453" t="s">
        <v>6014</v>
      </c>
      <c r="R1161" s="5445"/>
      <c r="S1161" s="4321"/>
      <c r="T1161" s="4321"/>
      <c r="U1161" s="3573"/>
      <c r="V1161" s="4322"/>
      <c r="W1161" s="3574"/>
      <c r="X1161" s="5550"/>
      <c r="Y1161" s="5550"/>
      <c r="Z1161" s="5550"/>
      <c r="AA1161" s="5551"/>
      <c r="AB1161" s="5580"/>
      <c r="AC1161" s="4323"/>
      <c r="AD1161" s="3683"/>
      <c r="AE1161" s="5609"/>
      <c r="AF1161" s="5609"/>
      <c r="AG1161" s="10466"/>
    </row>
    <row r="1162" spans="1:33" ht="18" customHeight="1">
      <c r="A1162" s="11139"/>
      <c r="B1162" s="11136"/>
      <c r="C1162" s="11124"/>
      <c r="D1162" s="11124"/>
      <c r="E1162" s="11124"/>
      <c r="F1162" s="11124"/>
      <c r="G1162" s="11124"/>
      <c r="H1162" s="11124"/>
      <c r="I1162" s="11124"/>
      <c r="J1162" s="11124"/>
      <c r="K1162" s="11124"/>
      <c r="L1162" s="11131"/>
      <c r="M1162" s="11131"/>
      <c r="N1162" s="11131"/>
      <c r="O1162" s="11124"/>
      <c r="P1162" s="11124"/>
      <c r="Q1162" s="11127"/>
      <c r="R1162" s="5447"/>
      <c r="S1162" s="4325"/>
      <c r="T1162" s="4325"/>
      <c r="U1162" s="4326"/>
      <c r="V1162" s="4315"/>
      <c r="W1162" s="3579"/>
      <c r="X1162" s="5552"/>
      <c r="Y1162" s="5552"/>
      <c r="Z1162" s="5552"/>
      <c r="AA1162" s="5553"/>
      <c r="AB1162" s="5581"/>
      <c r="AC1162" s="4316"/>
      <c r="AD1162" s="3496"/>
      <c r="AE1162" s="5610"/>
      <c r="AF1162" s="5610"/>
      <c r="AG1162" s="11115"/>
    </row>
    <row r="1163" spans="1:33" ht="18" customHeight="1">
      <c r="A1163" s="11139"/>
      <c r="B1163" s="11136"/>
      <c r="C1163" s="11124"/>
      <c r="D1163" s="11124"/>
      <c r="E1163" s="11124"/>
      <c r="F1163" s="11124"/>
      <c r="G1163" s="11124"/>
      <c r="H1163" s="11124"/>
      <c r="I1163" s="11124"/>
      <c r="J1163" s="11124"/>
      <c r="K1163" s="11124"/>
      <c r="L1163" s="11131"/>
      <c r="M1163" s="11131"/>
      <c r="N1163" s="11131"/>
      <c r="O1163" s="11124"/>
      <c r="P1163" s="11124"/>
      <c r="Q1163" s="11127"/>
      <c r="R1163" s="5446"/>
      <c r="S1163" s="3579"/>
      <c r="T1163" s="3579"/>
      <c r="U1163" s="3578"/>
      <c r="V1163" s="4315"/>
      <c r="W1163" s="3579"/>
      <c r="X1163" s="5552"/>
      <c r="Y1163" s="5552"/>
      <c r="Z1163" s="5552"/>
      <c r="AA1163" s="5553"/>
      <c r="AB1163" s="5581"/>
      <c r="AC1163" s="4316"/>
      <c r="AD1163" s="3496"/>
      <c r="AE1163" s="5610"/>
      <c r="AF1163" s="5610"/>
      <c r="AG1163" s="11115"/>
    </row>
    <row r="1164" spans="1:33" ht="18" customHeight="1">
      <c r="A1164" s="11139"/>
      <c r="B1164" s="11136"/>
      <c r="C1164" s="11124"/>
      <c r="D1164" s="11124"/>
      <c r="E1164" s="11124"/>
      <c r="F1164" s="11124"/>
      <c r="G1164" s="11124"/>
      <c r="H1164" s="11124"/>
      <c r="I1164" s="11124"/>
      <c r="J1164" s="11124"/>
      <c r="K1164" s="11124"/>
      <c r="L1164" s="11131"/>
      <c r="M1164" s="11131"/>
      <c r="N1164" s="11131"/>
      <c r="O1164" s="11124"/>
      <c r="P1164" s="11124"/>
      <c r="Q1164" s="11127"/>
      <c r="R1164" s="5447"/>
      <c r="S1164" s="4325"/>
      <c r="T1164" s="4325"/>
      <c r="U1164" s="3578"/>
      <c r="V1164" s="4315"/>
      <c r="W1164" s="3579"/>
      <c r="X1164" s="5552"/>
      <c r="Y1164" s="5552"/>
      <c r="Z1164" s="5552"/>
      <c r="AA1164" s="5553"/>
      <c r="AB1164" s="5581"/>
      <c r="AC1164" s="4316"/>
      <c r="AD1164" s="3496"/>
      <c r="AE1164" s="5610"/>
      <c r="AF1164" s="5610"/>
      <c r="AG1164" s="11115"/>
    </row>
    <row r="1165" spans="1:33" ht="18" customHeight="1">
      <c r="A1165" s="11139"/>
      <c r="B1165" s="11137"/>
      <c r="C1165" s="11125"/>
      <c r="D1165" s="11125"/>
      <c r="E1165" s="11125"/>
      <c r="F1165" s="11125"/>
      <c r="G1165" s="11125"/>
      <c r="H1165" s="11125"/>
      <c r="I1165" s="11125"/>
      <c r="J1165" s="11125"/>
      <c r="K1165" s="11125"/>
      <c r="L1165" s="11134"/>
      <c r="M1165" s="11134"/>
      <c r="N1165" s="11134"/>
      <c r="O1165" s="11125"/>
      <c r="P1165" s="11125"/>
      <c r="Q1165" s="11135"/>
      <c r="R1165" s="5448"/>
      <c r="S1165" s="3617"/>
      <c r="T1165" s="3617"/>
      <c r="U1165" s="3616"/>
      <c r="V1165" s="4319"/>
      <c r="W1165" s="3617"/>
      <c r="X1165" s="5554"/>
      <c r="Y1165" s="5554"/>
      <c r="Z1165" s="5554"/>
      <c r="AA1165" s="5555"/>
      <c r="AB1165" s="5592"/>
      <c r="AC1165" s="4320"/>
      <c r="AD1165" s="3714"/>
      <c r="AE1165" s="5624"/>
      <c r="AF1165" s="5624"/>
      <c r="AG1165" s="11116"/>
    </row>
    <row r="1166" spans="1:33" ht="18" customHeight="1">
      <c r="A1166" s="11139"/>
      <c r="B1166" s="10516" t="s">
        <v>127</v>
      </c>
      <c r="C1166" s="10433" t="s">
        <v>128</v>
      </c>
      <c r="D1166" s="10433" t="s">
        <v>129</v>
      </c>
      <c r="E1166" s="10433" t="s">
        <v>157</v>
      </c>
      <c r="F1166" s="10442" t="s">
        <v>131</v>
      </c>
      <c r="G1166" s="10433" t="s">
        <v>132</v>
      </c>
      <c r="H1166" s="10433" t="s">
        <v>159</v>
      </c>
      <c r="I1166" s="10433" t="s">
        <v>6015</v>
      </c>
      <c r="J1166" s="10433" t="s">
        <v>6016</v>
      </c>
      <c r="K1166" s="10433" t="s">
        <v>5761</v>
      </c>
      <c r="L1166" s="11130">
        <v>2</v>
      </c>
      <c r="M1166" s="11130">
        <v>0</v>
      </c>
      <c r="N1166" s="11130">
        <v>2</v>
      </c>
      <c r="O1166" s="10433" t="s">
        <v>6017</v>
      </c>
      <c r="P1166" s="10433" t="s">
        <v>6018</v>
      </c>
      <c r="Q1166" s="10439" t="s">
        <v>6189</v>
      </c>
      <c r="R1166" s="5452"/>
      <c r="S1166" s="3598"/>
      <c r="T1166" s="3598"/>
      <c r="U1166" s="4344"/>
      <c r="V1166" s="4337"/>
      <c r="W1166" s="3598"/>
      <c r="X1166" s="5556"/>
      <c r="Y1166" s="5556"/>
      <c r="Z1166" s="5556"/>
      <c r="AA1166" s="5557"/>
      <c r="AB1166" s="5584"/>
      <c r="AC1166" s="4338"/>
      <c r="AD1166" s="3709"/>
      <c r="AE1166" s="5626"/>
      <c r="AF1166" s="5626"/>
      <c r="AG1166" s="10525"/>
    </row>
    <row r="1167" spans="1:33" ht="18" customHeight="1">
      <c r="A1167" s="11139"/>
      <c r="B1167" s="11136"/>
      <c r="C1167" s="11124"/>
      <c r="D1167" s="11124"/>
      <c r="E1167" s="11124"/>
      <c r="F1167" s="11124"/>
      <c r="G1167" s="11124"/>
      <c r="H1167" s="11124"/>
      <c r="I1167" s="11124"/>
      <c r="J1167" s="11124"/>
      <c r="K1167" s="11124"/>
      <c r="L1167" s="11131"/>
      <c r="M1167" s="11131"/>
      <c r="N1167" s="11131"/>
      <c r="O1167" s="11124"/>
      <c r="P1167" s="11124"/>
      <c r="Q1167" s="11127"/>
      <c r="R1167" s="5446"/>
      <c r="S1167" s="3579"/>
      <c r="T1167" s="3579"/>
      <c r="U1167" s="3578"/>
      <c r="V1167" s="4315"/>
      <c r="W1167" s="3579"/>
      <c r="X1167" s="5552"/>
      <c r="Y1167" s="5552"/>
      <c r="Z1167" s="5552"/>
      <c r="AA1167" s="5553"/>
      <c r="AB1167" s="5581"/>
      <c r="AC1167" s="4316"/>
      <c r="AD1167" s="3496"/>
      <c r="AE1167" s="5610"/>
      <c r="AF1167" s="5610"/>
      <c r="AG1167" s="11115"/>
    </row>
    <row r="1168" spans="1:33" ht="18" customHeight="1">
      <c r="A1168" s="11139"/>
      <c r="B1168" s="11136"/>
      <c r="C1168" s="11124"/>
      <c r="D1168" s="11124"/>
      <c r="E1168" s="11124"/>
      <c r="F1168" s="11124"/>
      <c r="G1168" s="11124"/>
      <c r="H1168" s="11124"/>
      <c r="I1168" s="11124"/>
      <c r="J1168" s="11124"/>
      <c r="K1168" s="11124"/>
      <c r="L1168" s="11131"/>
      <c r="M1168" s="11131"/>
      <c r="N1168" s="11131"/>
      <c r="O1168" s="11124"/>
      <c r="P1168" s="11124"/>
      <c r="Q1168" s="11127"/>
      <c r="R1168" s="5446"/>
      <c r="S1168" s="3579"/>
      <c r="T1168" s="3579"/>
      <c r="U1168" s="3578"/>
      <c r="V1168" s="4315"/>
      <c r="W1168" s="3579"/>
      <c r="X1168" s="5552"/>
      <c r="Y1168" s="5552"/>
      <c r="Z1168" s="5552"/>
      <c r="AA1168" s="5553"/>
      <c r="AB1168" s="5581"/>
      <c r="AC1168" s="4316"/>
      <c r="AD1168" s="3496"/>
      <c r="AE1168" s="5610"/>
      <c r="AF1168" s="5610"/>
      <c r="AG1168" s="11115"/>
    </row>
    <row r="1169" spans="1:33" ht="18" customHeight="1">
      <c r="A1169" s="11139"/>
      <c r="B1169" s="11136"/>
      <c r="C1169" s="11124"/>
      <c r="D1169" s="11124"/>
      <c r="E1169" s="11124"/>
      <c r="F1169" s="11124"/>
      <c r="G1169" s="11124"/>
      <c r="H1169" s="11124"/>
      <c r="I1169" s="11124"/>
      <c r="J1169" s="11124"/>
      <c r="K1169" s="11124"/>
      <c r="L1169" s="11131"/>
      <c r="M1169" s="11131"/>
      <c r="N1169" s="11131"/>
      <c r="O1169" s="11124"/>
      <c r="P1169" s="11124"/>
      <c r="Q1169" s="11127"/>
      <c r="R1169" s="5446"/>
      <c r="S1169" s="3579"/>
      <c r="T1169" s="3579"/>
      <c r="U1169" s="3578"/>
      <c r="V1169" s="4315"/>
      <c r="W1169" s="3579"/>
      <c r="X1169" s="5552"/>
      <c r="Y1169" s="5552"/>
      <c r="Z1169" s="5552"/>
      <c r="AA1169" s="5553"/>
      <c r="AB1169" s="5581"/>
      <c r="AC1169" s="4316"/>
      <c r="AD1169" s="3496"/>
      <c r="AE1169" s="5610"/>
      <c r="AF1169" s="5610"/>
      <c r="AG1169" s="11115"/>
    </row>
    <row r="1170" spans="1:33" ht="18" customHeight="1">
      <c r="A1170" s="11139"/>
      <c r="B1170" s="11138"/>
      <c r="C1170" s="11126"/>
      <c r="D1170" s="11126"/>
      <c r="E1170" s="11126"/>
      <c r="F1170" s="11126"/>
      <c r="G1170" s="11126"/>
      <c r="H1170" s="11126"/>
      <c r="I1170" s="11126"/>
      <c r="J1170" s="11126"/>
      <c r="K1170" s="11126"/>
      <c r="L1170" s="11132"/>
      <c r="M1170" s="11132"/>
      <c r="N1170" s="11132"/>
      <c r="O1170" s="11126"/>
      <c r="P1170" s="11126"/>
      <c r="Q1170" s="11128"/>
      <c r="R1170" s="5450"/>
      <c r="S1170" s="3606"/>
      <c r="T1170" s="3606"/>
      <c r="U1170" s="3605"/>
      <c r="V1170" s="4317"/>
      <c r="W1170" s="3606"/>
      <c r="X1170" s="5558"/>
      <c r="Y1170" s="5558"/>
      <c r="Z1170" s="5558"/>
      <c r="AA1170" s="5559"/>
      <c r="AB1170" s="5585"/>
      <c r="AC1170" s="4318"/>
      <c r="AD1170" s="3545"/>
      <c r="AE1170" s="5625"/>
      <c r="AF1170" s="5625"/>
      <c r="AG1170" s="11116"/>
    </row>
    <row r="1171" spans="1:33" ht="18" customHeight="1">
      <c r="A1171" s="11139"/>
      <c r="B1171" s="10512" t="s">
        <v>127</v>
      </c>
      <c r="C1171" s="10444" t="s">
        <v>128</v>
      </c>
      <c r="D1171" s="10444" t="s">
        <v>129</v>
      </c>
      <c r="E1171" s="10444" t="s">
        <v>157</v>
      </c>
      <c r="F1171" s="10451" t="s">
        <v>131</v>
      </c>
      <c r="G1171" s="10444" t="s">
        <v>132</v>
      </c>
      <c r="H1171" s="10444" t="s">
        <v>159</v>
      </c>
      <c r="I1171" s="10444" t="s">
        <v>6020</v>
      </c>
      <c r="J1171" s="10444" t="s">
        <v>6021</v>
      </c>
      <c r="K1171" s="10444" t="s">
        <v>6022</v>
      </c>
      <c r="L1171" s="11133">
        <v>0</v>
      </c>
      <c r="M1171" s="11133">
        <v>1</v>
      </c>
      <c r="N1171" s="11133">
        <v>0</v>
      </c>
      <c r="O1171" s="10444" t="s">
        <v>6023</v>
      </c>
      <c r="P1171" s="10444" t="s">
        <v>6024</v>
      </c>
      <c r="Q1171" s="10449" t="s">
        <v>6190</v>
      </c>
      <c r="R1171" s="5458"/>
      <c r="S1171" s="3623"/>
      <c r="T1171" s="3623"/>
      <c r="U1171" s="4312"/>
      <c r="V1171" s="4313"/>
      <c r="W1171" s="3623"/>
      <c r="X1171" s="5560"/>
      <c r="Y1171" s="5560"/>
      <c r="Z1171" s="5560"/>
      <c r="AA1171" s="5561"/>
      <c r="AB1171" s="5586"/>
      <c r="AC1171" s="4314"/>
      <c r="AD1171" s="3658"/>
      <c r="AE1171" s="5623"/>
      <c r="AF1171" s="5623"/>
      <c r="AG1171" s="10525"/>
    </row>
    <row r="1172" spans="1:33" ht="18" customHeight="1">
      <c r="A1172" s="11139"/>
      <c r="B1172" s="11136"/>
      <c r="C1172" s="11124"/>
      <c r="D1172" s="11124"/>
      <c r="E1172" s="11124"/>
      <c r="F1172" s="11124"/>
      <c r="G1172" s="11124"/>
      <c r="H1172" s="11124"/>
      <c r="I1172" s="11124"/>
      <c r="J1172" s="11124"/>
      <c r="K1172" s="11124"/>
      <c r="L1172" s="11131"/>
      <c r="M1172" s="11131"/>
      <c r="N1172" s="11131"/>
      <c r="O1172" s="11124"/>
      <c r="P1172" s="11124"/>
      <c r="Q1172" s="11127"/>
      <c r="R1172" s="5446"/>
      <c r="S1172" s="3579"/>
      <c r="T1172" s="3579"/>
      <c r="U1172" s="3578"/>
      <c r="V1172" s="4315"/>
      <c r="W1172" s="3579"/>
      <c r="X1172" s="5552"/>
      <c r="Y1172" s="5552"/>
      <c r="Z1172" s="5552"/>
      <c r="AA1172" s="5553"/>
      <c r="AB1172" s="5581"/>
      <c r="AC1172" s="4316"/>
      <c r="AD1172" s="3496"/>
      <c r="AE1172" s="5610"/>
      <c r="AF1172" s="5610"/>
      <c r="AG1172" s="11115"/>
    </row>
    <row r="1173" spans="1:33" ht="18" customHeight="1">
      <c r="A1173" s="11139"/>
      <c r="B1173" s="11136"/>
      <c r="C1173" s="11124"/>
      <c r="D1173" s="11124"/>
      <c r="E1173" s="11124"/>
      <c r="F1173" s="11124"/>
      <c r="G1173" s="11124"/>
      <c r="H1173" s="11124"/>
      <c r="I1173" s="11124"/>
      <c r="J1173" s="11124"/>
      <c r="K1173" s="11124"/>
      <c r="L1173" s="11131"/>
      <c r="M1173" s="11131"/>
      <c r="N1173" s="11131"/>
      <c r="O1173" s="11124"/>
      <c r="P1173" s="11124"/>
      <c r="Q1173" s="11127"/>
      <c r="R1173" s="5446"/>
      <c r="S1173" s="3579"/>
      <c r="T1173" s="3579"/>
      <c r="U1173" s="3578"/>
      <c r="V1173" s="4315"/>
      <c r="W1173" s="3579"/>
      <c r="X1173" s="5552"/>
      <c r="Y1173" s="5552"/>
      <c r="Z1173" s="5552"/>
      <c r="AA1173" s="5553"/>
      <c r="AB1173" s="5581"/>
      <c r="AC1173" s="4316"/>
      <c r="AD1173" s="3496"/>
      <c r="AE1173" s="5610"/>
      <c r="AF1173" s="5610"/>
      <c r="AG1173" s="11115"/>
    </row>
    <row r="1174" spans="1:33" ht="18" customHeight="1">
      <c r="A1174" s="11139"/>
      <c r="B1174" s="11136"/>
      <c r="C1174" s="11124"/>
      <c r="D1174" s="11124"/>
      <c r="E1174" s="11124"/>
      <c r="F1174" s="11124"/>
      <c r="G1174" s="11124"/>
      <c r="H1174" s="11124"/>
      <c r="I1174" s="11124"/>
      <c r="J1174" s="11124"/>
      <c r="K1174" s="11124"/>
      <c r="L1174" s="11131"/>
      <c r="M1174" s="11131"/>
      <c r="N1174" s="11131"/>
      <c r="O1174" s="11124"/>
      <c r="P1174" s="11124"/>
      <c r="Q1174" s="11127"/>
      <c r="R1174" s="5446"/>
      <c r="S1174" s="3579"/>
      <c r="T1174" s="3579"/>
      <c r="U1174" s="3578"/>
      <c r="V1174" s="4315"/>
      <c r="W1174" s="3579"/>
      <c r="X1174" s="5552"/>
      <c r="Y1174" s="5552"/>
      <c r="Z1174" s="5552"/>
      <c r="AA1174" s="5553"/>
      <c r="AB1174" s="5581"/>
      <c r="AC1174" s="4316"/>
      <c r="AD1174" s="3496"/>
      <c r="AE1174" s="5610"/>
      <c r="AF1174" s="5610"/>
      <c r="AG1174" s="11115"/>
    </row>
    <row r="1175" spans="1:33" ht="18" customHeight="1">
      <c r="A1175" s="11139"/>
      <c r="B1175" s="11137"/>
      <c r="C1175" s="11125"/>
      <c r="D1175" s="11125"/>
      <c r="E1175" s="11125"/>
      <c r="F1175" s="11125"/>
      <c r="G1175" s="11125"/>
      <c r="H1175" s="11125"/>
      <c r="I1175" s="11125"/>
      <c r="J1175" s="11125"/>
      <c r="K1175" s="11125"/>
      <c r="L1175" s="11134"/>
      <c r="M1175" s="11134"/>
      <c r="N1175" s="11134"/>
      <c r="O1175" s="11125"/>
      <c r="P1175" s="11125"/>
      <c r="Q1175" s="11135"/>
      <c r="R1175" s="5448"/>
      <c r="S1175" s="3617"/>
      <c r="T1175" s="3617"/>
      <c r="U1175" s="3616"/>
      <c r="V1175" s="4319"/>
      <c r="W1175" s="3617"/>
      <c r="X1175" s="5554"/>
      <c r="Y1175" s="5554"/>
      <c r="Z1175" s="5554"/>
      <c r="AA1175" s="5555"/>
      <c r="AB1175" s="5592"/>
      <c r="AC1175" s="4320"/>
      <c r="AD1175" s="3714"/>
      <c r="AE1175" s="5624"/>
      <c r="AF1175" s="5624"/>
      <c r="AG1175" s="11116"/>
    </row>
    <row r="1176" spans="1:33" ht="18" customHeight="1">
      <c r="A1176" s="11139"/>
      <c r="B1176" s="10516" t="s">
        <v>183</v>
      </c>
      <c r="C1176" s="10433" t="s">
        <v>227</v>
      </c>
      <c r="D1176" s="10433" t="s">
        <v>228</v>
      </c>
      <c r="E1176" s="10433" t="s">
        <v>229</v>
      </c>
      <c r="F1176" s="10442" t="s">
        <v>230</v>
      </c>
      <c r="G1176" s="10433" t="s">
        <v>132</v>
      </c>
      <c r="H1176" s="10433" t="s">
        <v>159</v>
      </c>
      <c r="I1176" s="10433" t="s">
        <v>6026</v>
      </c>
      <c r="J1176" s="10433" t="s">
        <v>6027</v>
      </c>
      <c r="K1176" s="10433" t="s">
        <v>6022</v>
      </c>
      <c r="L1176" s="11130">
        <v>0</v>
      </c>
      <c r="M1176" s="11130">
        <v>1</v>
      </c>
      <c r="N1176" s="11130">
        <v>1</v>
      </c>
      <c r="O1176" s="10433" t="s">
        <v>6028</v>
      </c>
      <c r="P1176" s="10433" t="s">
        <v>6029</v>
      </c>
      <c r="Q1176" s="10439" t="s">
        <v>6190</v>
      </c>
      <c r="R1176" s="5452"/>
      <c r="S1176" s="3598"/>
      <c r="T1176" s="3598"/>
      <c r="U1176" s="4344"/>
      <c r="V1176" s="4337"/>
      <c r="W1176" s="3598"/>
      <c r="X1176" s="5556"/>
      <c r="Y1176" s="5556"/>
      <c r="Z1176" s="5556"/>
      <c r="AA1176" s="5557"/>
      <c r="AB1176" s="5584"/>
      <c r="AC1176" s="4338"/>
      <c r="AD1176" s="3709"/>
      <c r="AE1176" s="5626"/>
      <c r="AF1176" s="5626"/>
      <c r="AG1176" s="10525"/>
    </row>
    <row r="1177" spans="1:33" ht="18" customHeight="1">
      <c r="A1177" s="11139"/>
      <c r="B1177" s="11136"/>
      <c r="C1177" s="11124"/>
      <c r="D1177" s="11124"/>
      <c r="E1177" s="11124"/>
      <c r="F1177" s="11124"/>
      <c r="G1177" s="11124"/>
      <c r="H1177" s="11124"/>
      <c r="I1177" s="11124"/>
      <c r="J1177" s="11124"/>
      <c r="K1177" s="11124"/>
      <c r="L1177" s="11131"/>
      <c r="M1177" s="11131"/>
      <c r="N1177" s="11131"/>
      <c r="O1177" s="11124"/>
      <c r="P1177" s="11124"/>
      <c r="Q1177" s="11127"/>
      <c r="R1177" s="5446"/>
      <c r="S1177" s="3579"/>
      <c r="T1177" s="3579"/>
      <c r="U1177" s="3578"/>
      <c r="V1177" s="4315"/>
      <c r="W1177" s="3579"/>
      <c r="X1177" s="5552"/>
      <c r="Y1177" s="5552"/>
      <c r="Z1177" s="5552"/>
      <c r="AA1177" s="5553"/>
      <c r="AB1177" s="5581"/>
      <c r="AC1177" s="4316"/>
      <c r="AD1177" s="3496"/>
      <c r="AE1177" s="5610"/>
      <c r="AF1177" s="5610"/>
      <c r="AG1177" s="11115"/>
    </row>
    <row r="1178" spans="1:33" ht="18" customHeight="1">
      <c r="A1178" s="11139"/>
      <c r="B1178" s="11136"/>
      <c r="C1178" s="11124"/>
      <c r="D1178" s="11124"/>
      <c r="E1178" s="11124"/>
      <c r="F1178" s="11124"/>
      <c r="G1178" s="11124"/>
      <c r="H1178" s="11124"/>
      <c r="I1178" s="11124"/>
      <c r="J1178" s="11124"/>
      <c r="K1178" s="11124"/>
      <c r="L1178" s="11131"/>
      <c r="M1178" s="11131"/>
      <c r="N1178" s="11131"/>
      <c r="O1178" s="11124"/>
      <c r="P1178" s="11124"/>
      <c r="Q1178" s="11127"/>
      <c r="R1178" s="5446"/>
      <c r="S1178" s="3579"/>
      <c r="T1178" s="3579"/>
      <c r="U1178" s="3578"/>
      <c r="V1178" s="4315"/>
      <c r="W1178" s="3579"/>
      <c r="X1178" s="5552"/>
      <c r="Y1178" s="5552"/>
      <c r="Z1178" s="5552"/>
      <c r="AA1178" s="5553"/>
      <c r="AB1178" s="5581"/>
      <c r="AC1178" s="4316"/>
      <c r="AD1178" s="3496"/>
      <c r="AE1178" s="5610"/>
      <c r="AF1178" s="5610"/>
      <c r="AG1178" s="11115"/>
    </row>
    <row r="1179" spans="1:33" ht="18" customHeight="1">
      <c r="A1179" s="11139"/>
      <c r="B1179" s="11136"/>
      <c r="C1179" s="11124"/>
      <c r="D1179" s="11124"/>
      <c r="E1179" s="11124"/>
      <c r="F1179" s="11124"/>
      <c r="G1179" s="11124"/>
      <c r="H1179" s="11124"/>
      <c r="I1179" s="11124"/>
      <c r="J1179" s="11124"/>
      <c r="K1179" s="11124"/>
      <c r="L1179" s="11131"/>
      <c r="M1179" s="11131"/>
      <c r="N1179" s="11131"/>
      <c r="O1179" s="11124"/>
      <c r="P1179" s="11124"/>
      <c r="Q1179" s="11127"/>
      <c r="R1179" s="5446"/>
      <c r="S1179" s="3579"/>
      <c r="T1179" s="3579"/>
      <c r="U1179" s="3578"/>
      <c r="V1179" s="4315"/>
      <c r="W1179" s="3579"/>
      <c r="X1179" s="5552"/>
      <c r="Y1179" s="5552"/>
      <c r="Z1179" s="5552"/>
      <c r="AA1179" s="5553"/>
      <c r="AB1179" s="5581"/>
      <c r="AC1179" s="4316"/>
      <c r="AD1179" s="3496"/>
      <c r="AE1179" s="5610"/>
      <c r="AF1179" s="5610"/>
      <c r="AG1179" s="11115"/>
    </row>
    <row r="1180" spans="1:33" ht="18" customHeight="1">
      <c r="A1180" s="11139"/>
      <c r="B1180" s="11138"/>
      <c r="C1180" s="11126"/>
      <c r="D1180" s="11126"/>
      <c r="E1180" s="11126"/>
      <c r="F1180" s="11126"/>
      <c r="G1180" s="11126"/>
      <c r="H1180" s="11126"/>
      <c r="I1180" s="11126"/>
      <c r="J1180" s="11126"/>
      <c r="K1180" s="11126"/>
      <c r="L1180" s="11132"/>
      <c r="M1180" s="11132"/>
      <c r="N1180" s="11132"/>
      <c r="O1180" s="11126"/>
      <c r="P1180" s="11126"/>
      <c r="Q1180" s="11128"/>
      <c r="R1180" s="5450"/>
      <c r="S1180" s="3606"/>
      <c r="T1180" s="3606"/>
      <c r="U1180" s="3605"/>
      <c r="V1180" s="4317"/>
      <c r="W1180" s="3606"/>
      <c r="X1180" s="5558"/>
      <c r="Y1180" s="5558"/>
      <c r="Z1180" s="5558"/>
      <c r="AA1180" s="5559"/>
      <c r="AB1180" s="5585"/>
      <c r="AC1180" s="4318"/>
      <c r="AD1180" s="3545"/>
      <c r="AE1180" s="5625"/>
      <c r="AF1180" s="5625"/>
      <c r="AG1180" s="11116"/>
    </row>
    <row r="1181" spans="1:33" ht="18" customHeight="1">
      <c r="A1181" s="11139"/>
      <c r="B1181" s="10512" t="s">
        <v>183</v>
      </c>
      <c r="C1181" s="10444" t="s">
        <v>227</v>
      </c>
      <c r="D1181" s="10444" t="s">
        <v>185</v>
      </c>
      <c r="E1181" s="10444" t="s">
        <v>1938</v>
      </c>
      <c r="F1181" s="10451" t="s">
        <v>230</v>
      </c>
      <c r="G1181" s="10444" t="s">
        <v>171</v>
      </c>
      <c r="H1181" s="10444" t="s">
        <v>133</v>
      </c>
      <c r="I1181" s="10444" t="s">
        <v>6030</v>
      </c>
      <c r="J1181" s="10444" t="s">
        <v>6031</v>
      </c>
      <c r="K1181" s="10444" t="s">
        <v>5900</v>
      </c>
      <c r="L1181" s="11133">
        <v>1</v>
      </c>
      <c r="M1181" s="11133">
        <v>0</v>
      </c>
      <c r="N1181" s="11133">
        <v>1</v>
      </c>
      <c r="O1181" s="10444" t="s">
        <v>6032</v>
      </c>
      <c r="P1181" s="10444" t="s">
        <v>5902</v>
      </c>
      <c r="Q1181" s="10449" t="s">
        <v>6191</v>
      </c>
      <c r="R1181" s="5458"/>
      <c r="S1181" s="3623"/>
      <c r="T1181" s="3623"/>
      <c r="U1181" s="4312"/>
      <c r="V1181" s="4313"/>
      <c r="W1181" s="3623"/>
      <c r="X1181" s="5560"/>
      <c r="Y1181" s="5560"/>
      <c r="Z1181" s="5560"/>
      <c r="AA1181" s="5561"/>
      <c r="AB1181" s="5586"/>
      <c r="AC1181" s="4314"/>
      <c r="AD1181" s="3658"/>
      <c r="AE1181" s="5623"/>
      <c r="AF1181" s="5623"/>
      <c r="AG1181" s="10525"/>
    </row>
    <row r="1182" spans="1:33" ht="26.25" customHeight="1">
      <c r="A1182" s="11139"/>
      <c r="B1182" s="11136"/>
      <c r="C1182" s="11124"/>
      <c r="D1182" s="11124"/>
      <c r="E1182" s="11124"/>
      <c r="F1182" s="11124"/>
      <c r="G1182" s="11124"/>
      <c r="H1182" s="11124"/>
      <c r="I1182" s="11124"/>
      <c r="J1182" s="11124"/>
      <c r="K1182" s="11124"/>
      <c r="L1182" s="11131"/>
      <c r="M1182" s="11131"/>
      <c r="N1182" s="11131"/>
      <c r="O1182" s="11124"/>
      <c r="P1182" s="11124"/>
      <c r="Q1182" s="11127"/>
      <c r="R1182" s="5446"/>
      <c r="S1182" s="3579"/>
      <c r="T1182" s="3579"/>
      <c r="U1182" s="3578"/>
      <c r="V1182" s="4315"/>
      <c r="W1182" s="3579"/>
      <c r="X1182" s="5552"/>
      <c r="Y1182" s="5552"/>
      <c r="Z1182" s="5552"/>
      <c r="AA1182" s="5553"/>
      <c r="AB1182" s="5581"/>
      <c r="AC1182" s="4316"/>
      <c r="AD1182" s="3496"/>
      <c r="AE1182" s="5610"/>
      <c r="AF1182" s="5610"/>
      <c r="AG1182" s="11115"/>
    </row>
    <row r="1183" spans="1:33" ht="18" customHeight="1">
      <c r="A1183" s="11139"/>
      <c r="B1183" s="11136"/>
      <c r="C1183" s="11124"/>
      <c r="D1183" s="11124"/>
      <c r="E1183" s="11124"/>
      <c r="F1183" s="11124"/>
      <c r="G1183" s="11124"/>
      <c r="H1183" s="11124"/>
      <c r="I1183" s="11124"/>
      <c r="J1183" s="11124"/>
      <c r="K1183" s="11124"/>
      <c r="L1183" s="11131"/>
      <c r="M1183" s="11131"/>
      <c r="N1183" s="11131"/>
      <c r="O1183" s="11124"/>
      <c r="P1183" s="11124"/>
      <c r="Q1183" s="11127"/>
      <c r="R1183" s="5446"/>
      <c r="S1183" s="3579"/>
      <c r="T1183" s="3579"/>
      <c r="U1183" s="3578"/>
      <c r="V1183" s="4315"/>
      <c r="W1183" s="3579"/>
      <c r="X1183" s="5552"/>
      <c r="Y1183" s="5552"/>
      <c r="Z1183" s="5552"/>
      <c r="AA1183" s="5553"/>
      <c r="AB1183" s="5581"/>
      <c r="AC1183" s="4316"/>
      <c r="AD1183" s="3496"/>
      <c r="AE1183" s="5610"/>
      <c r="AF1183" s="5610"/>
      <c r="AG1183" s="11115"/>
    </row>
    <row r="1184" spans="1:33" ht="18" customHeight="1">
      <c r="A1184" s="11139"/>
      <c r="B1184" s="11136"/>
      <c r="C1184" s="11124"/>
      <c r="D1184" s="11124"/>
      <c r="E1184" s="11124"/>
      <c r="F1184" s="11124"/>
      <c r="G1184" s="11124"/>
      <c r="H1184" s="11124"/>
      <c r="I1184" s="11124"/>
      <c r="J1184" s="11124"/>
      <c r="K1184" s="11124"/>
      <c r="L1184" s="11131"/>
      <c r="M1184" s="11131"/>
      <c r="N1184" s="11131"/>
      <c r="O1184" s="11124"/>
      <c r="P1184" s="11124"/>
      <c r="Q1184" s="11127"/>
      <c r="R1184" s="5446"/>
      <c r="S1184" s="3579"/>
      <c r="T1184" s="3579"/>
      <c r="U1184" s="3578"/>
      <c r="V1184" s="4315"/>
      <c r="W1184" s="3579"/>
      <c r="X1184" s="5552"/>
      <c r="Y1184" s="5552"/>
      <c r="Z1184" s="5552"/>
      <c r="AA1184" s="5553"/>
      <c r="AB1184" s="5581"/>
      <c r="AC1184" s="4316"/>
      <c r="AD1184" s="3496"/>
      <c r="AE1184" s="5610"/>
      <c r="AF1184" s="5610"/>
      <c r="AG1184" s="11115"/>
    </row>
    <row r="1185" spans="1:33" ht="18" customHeight="1">
      <c r="A1185" s="11139"/>
      <c r="B1185" s="11137"/>
      <c r="C1185" s="11125"/>
      <c r="D1185" s="11125"/>
      <c r="E1185" s="11125"/>
      <c r="F1185" s="11125"/>
      <c r="G1185" s="11125"/>
      <c r="H1185" s="11125"/>
      <c r="I1185" s="11125"/>
      <c r="J1185" s="11125"/>
      <c r="K1185" s="11125"/>
      <c r="L1185" s="11134"/>
      <c r="M1185" s="11134"/>
      <c r="N1185" s="11134"/>
      <c r="O1185" s="11125"/>
      <c r="P1185" s="11125"/>
      <c r="Q1185" s="11135"/>
      <c r="R1185" s="5448"/>
      <c r="S1185" s="3617"/>
      <c r="T1185" s="3617"/>
      <c r="U1185" s="3616"/>
      <c r="V1185" s="4319"/>
      <c r="W1185" s="3617"/>
      <c r="X1185" s="5554"/>
      <c r="Y1185" s="5554"/>
      <c r="Z1185" s="5554"/>
      <c r="AA1185" s="5555"/>
      <c r="AB1185" s="5592"/>
      <c r="AC1185" s="4320"/>
      <c r="AD1185" s="3714"/>
      <c r="AE1185" s="5624"/>
      <c r="AF1185" s="5624"/>
      <c r="AG1185" s="11116"/>
    </row>
    <row r="1186" spans="1:33" ht="18" customHeight="1">
      <c r="A1186" s="11139"/>
      <c r="B1186" s="10516" t="s">
        <v>127</v>
      </c>
      <c r="C1186" s="10433" t="s">
        <v>128</v>
      </c>
      <c r="D1186" s="10433" t="s">
        <v>129</v>
      </c>
      <c r="E1186" s="10433" t="s">
        <v>157</v>
      </c>
      <c r="F1186" s="10442" t="s">
        <v>131</v>
      </c>
      <c r="G1186" s="10433" t="s">
        <v>132</v>
      </c>
      <c r="H1186" s="10433" t="s">
        <v>159</v>
      </c>
      <c r="I1186" s="10433" t="s">
        <v>6034</v>
      </c>
      <c r="J1186" s="10433" t="s">
        <v>6035</v>
      </c>
      <c r="K1186" s="10433" t="s">
        <v>6036</v>
      </c>
      <c r="L1186" s="11130">
        <v>1</v>
      </c>
      <c r="M1186" s="11130">
        <v>2</v>
      </c>
      <c r="N1186" s="11130">
        <v>2</v>
      </c>
      <c r="O1186" s="10433" t="s">
        <v>6037</v>
      </c>
      <c r="P1186" s="10433" t="s">
        <v>6038</v>
      </c>
      <c r="Q1186" s="10439" t="s">
        <v>6190</v>
      </c>
      <c r="R1186" s="5452"/>
      <c r="S1186" s="3598"/>
      <c r="T1186" s="3598"/>
      <c r="U1186" s="4344"/>
      <c r="V1186" s="4337"/>
      <c r="W1186" s="3598"/>
      <c r="X1186" s="5556"/>
      <c r="Y1186" s="5556"/>
      <c r="Z1186" s="5556"/>
      <c r="AA1186" s="5557"/>
      <c r="AB1186" s="5584"/>
      <c r="AC1186" s="4338"/>
      <c r="AD1186" s="3709"/>
      <c r="AE1186" s="5626"/>
      <c r="AF1186" s="5626"/>
      <c r="AG1186" s="10525"/>
    </row>
    <row r="1187" spans="1:33" ht="18" customHeight="1">
      <c r="A1187" s="11139"/>
      <c r="B1187" s="11136"/>
      <c r="C1187" s="11124"/>
      <c r="D1187" s="11124"/>
      <c r="E1187" s="11124"/>
      <c r="F1187" s="11124"/>
      <c r="G1187" s="11124"/>
      <c r="H1187" s="11124"/>
      <c r="I1187" s="11124"/>
      <c r="J1187" s="11124"/>
      <c r="K1187" s="11124"/>
      <c r="L1187" s="11131"/>
      <c r="M1187" s="11131"/>
      <c r="N1187" s="11131"/>
      <c r="O1187" s="11124"/>
      <c r="P1187" s="11124"/>
      <c r="Q1187" s="11127"/>
      <c r="R1187" s="5446"/>
      <c r="S1187" s="3579"/>
      <c r="T1187" s="3579"/>
      <c r="U1187" s="3578"/>
      <c r="V1187" s="4315"/>
      <c r="W1187" s="3579"/>
      <c r="X1187" s="5552"/>
      <c r="Y1187" s="5552"/>
      <c r="Z1187" s="5552"/>
      <c r="AA1187" s="5553"/>
      <c r="AB1187" s="5581"/>
      <c r="AC1187" s="4316"/>
      <c r="AD1187" s="3496"/>
      <c r="AE1187" s="5610"/>
      <c r="AF1187" s="5610"/>
      <c r="AG1187" s="11115"/>
    </row>
    <row r="1188" spans="1:33" ht="18" customHeight="1">
      <c r="A1188" s="11139"/>
      <c r="B1188" s="11136"/>
      <c r="C1188" s="11124"/>
      <c r="D1188" s="11124"/>
      <c r="E1188" s="11124"/>
      <c r="F1188" s="11124"/>
      <c r="G1188" s="11124"/>
      <c r="H1188" s="11124"/>
      <c r="I1188" s="11124"/>
      <c r="J1188" s="11124"/>
      <c r="K1188" s="11124"/>
      <c r="L1188" s="11131"/>
      <c r="M1188" s="11131"/>
      <c r="N1188" s="11131"/>
      <c r="O1188" s="11124"/>
      <c r="P1188" s="11124"/>
      <c r="Q1188" s="11127"/>
      <c r="R1188" s="5446"/>
      <c r="S1188" s="3579"/>
      <c r="T1188" s="3579"/>
      <c r="U1188" s="3578"/>
      <c r="V1188" s="4315"/>
      <c r="W1188" s="3579"/>
      <c r="X1188" s="5552"/>
      <c r="Y1188" s="5552"/>
      <c r="Z1188" s="5552"/>
      <c r="AA1188" s="5553"/>
      <c r="AB1188" s="5581"/>
      <c r="AC1188" s="4316"/>
      <c r="AD1188" s="3496"/>
      <c r="AE1188" s="5610"/>
      <c r="AF1188" s="5610"/>
      <c r="AG1188" s="11115"/>
    </row>
    <row r="1189" spans="1:33" ht="18" customHeight="1">
      <c r="A1189" s="11139"/>
      <c r="B1189" s="11136"/>
      <c r="C1189" s="11124"/>
      <c r="D1189" s="11124"/>
      <c r="E1189" s="11124"/>
      <c r="F1189" s="11124"/>
      <c r="G1189" s="11124"/>
      <c r="H1189" s="11124"/>
      <c r="I1189" s="11124"/>
      <c r="J1189" s="11124"/>
      <c r="K1189" s="11124"/>
      <c r="L1189" s="11131"/>
      <c r="M1189" s="11131"/>
      <c r="N1189" s="11131"/>
      <c r="O1189" s="11124"/>
      <c r="P1189" s="11124"/>
      <c r="Q1189" s="11127"/>
      <c r="R1189" s="5446"/>
      <c r="S1189" s="3579"/>
      <c r="T1189" s="3579"/>
      <c r="U1189" s="3578"/>
      <c r="V1189" s="4315"/>
      <c r="W1189" s="3579"/>
      <c r="X1189" s="5552"/>
      <c r="Y1189" s="5552"/>
      <c r="Z1189" s="5552"/>
      <c r="AA1189" s="5553"/>
      <c r="AB1189" s="5581"/>
      <c r="AC1189" s="4316"/>
      <c r="AD1189" s="3496"/>
      <c r="AE1189" s="5610"/>
      <c r="AF1189" s="5610"/>
      <c r="AG1189" s="11115"/>
    </row>
    <row r="1190" spans="1:33" ht="18" customHeight="1">
      <c r="A1190" s="11139"/>
      <c r="B1190" s="11138"/>
      <c r="C1190" s="11126"/>
      <c r="D1190" s="11126"/>
      <c r="E1190" s="11126"/>
      <c r="F1190" s="11126"/>
      <c r="G1190" s="11126"/>
      <c r="H1190" s="11126"/>
      <c r="I1190" s="11126"/>
      <c r="J1190" s="11126"/>
      <c r="K1190" s="11126"/>
      <c r="L1190" s="11132"/>
      <c r="M1190" s="11132"/>
      <c r="N1190" s="11132"/>
      <c r="O1190" s="11126"/>
      <c r="P1190" s="11126"/>
      <c r="Q1190" s="11128"/>
      <c r="R1190" s="5450"/>
      <c r="S1190" s="3606"/>
      <c r="T1190" s="3606"/>
      <c r="U1190" s="3605"/>
      <c r="V1190" s="4317"/>
      <c r="W1190" s="3606"/>
      <c r="X1190" s="5558"/>
      <c r="Y1190" s="5558"/>
      <c r="Z1190" s="5558"/>
      <c r="AA1190" s="5559"/>
      <c r="AB1190" s="5585"/>
      <c r="AC1190" s="4318"/>
      <c r="AD1190" s="3545"/>
      <c r="AE1190" s="5625"/>
      <c r="AF1190" s="5625"/>
      <c r="AG1190" s="11116"/>
    </row>
    <row r="1191" spans="1:33" ht="18" customHeight="1">
      <c r="A1191" s="11139"/>
      <c r="B1191" s="10512" t="s">
        <v>183</v>
      </c>
      <c r="C1191" s="10444" t="s">
        <v>227</v>
      </c>
      <c r="D1191" s="10444" t="s">
        <v>228</v>
      </c>
      <c r="E1191" s="10444" t="s">
        <v>229</v>
      </c>
      <c r="F1191" s="10451" t="s">
        <v>230</v>
      </c>
      <c r="G1191" s="10444" t="s">
        <v>132</v>
      </c>
      <c r="H1191" s="10444" t="s">
        <v>159</v>
      </c>
      <c r="I1191" s="10444" t="s">
        <v>6039</v>
      </c>
      <c r="J1191" s="10444" t="s">
        <v>6040</v>
      </c>
      <c r="K1191" s="10444" t="s">
        <v>6022</v>
      </c>
      <c r="L1191" s="11133">
        <v>0</v>
      </c>
      <c r="M1191" s="11133">
        <v>1</v>
      </c>
      <c r="N1191" s="11133">
        <v>0</v>
      </c>
      <c r="O1191" s="10444" t="s">
        <v>6041</v>
      </c>
      <c r="P1191" s="10444" t="s">
        <v>6042</v>
      </c>
      <c r="Q1191" s="10449" t="s">
        <v>6190</v>
      </c>
      <c r="R1191" s="5458"/>
      <c r="S1191" s="3623"/>
      <c r="T1191" s="3623"/>
      <c r="U1191" s="4312"/>
      <c r="V1191" s="4313"/>
      <c r="W1191" s="3623"/>
      <c r="X1191" s="5560"/>
      <c r="Y1191" s="5560"/>
      <c r="Z1191" s="5560"/>
      <c r="AA1191" s="5561"/>
      <c r="AB1191" s="5586"/>
      <c r="AC1191" s="4314"/>
      <c r="AD1191" s="3658"/>
      <c r="AE1191" s="5623"/>
      <c r="AF1191" s="5623"/>
      <c r="AG1191" s="10525"/>
    </row>
    <row r="1192" spans="1:33" ht="18" customHeight="1">
      <c r="A1192" s="11139"/>
      <c r="B1192" s="11136"/>
      <c r="C1192" s="11124"/>
      <c r="D1192" s="11124"/>
      <c r="E1192" s="11124"/>
      <c r="F1192" s="11124"/>
      <c r="G1192" s="11124"/>
      <c r="H1192" s="11124"/>
      <c r="I1192" s="11124"/>
      <c r="J1192" s="11124"/>
      <c r="K1192" s="11124"/>
      <c r="L1192" s="11131"/>
      <c r="M1192" s="11131"/>
      <c r="N1192" s="11131"/>
      <c r="O1192" s="11124"/>
      <c r="P1192" s="11124"/>
      <c r="Q1192" s="11127"/>
      <c r="R1192" s="5446"/>
      <c r="S1192" s="3579"/>
      <c r="T1192" s="3579"/>
      <c r="U1192" s="3578"/>
      <c r="V1192" s="4315"/>
      <c r="W1192" s="3579"/>
      <c r="X1192" s="5552"/>
      <c r="Y1192" s="5552"/>
      <c r="Z1192" s="5552"/>
      <c r="AA1192" s="5553"/>
      <c r="AB1192" s="5581"/>
      <c r="AC1192" s="4316"/>
      <c r="AD1192" s="3496"/>
      <c r="AE1192" s="5610"/>
      <c r="AF1192" s="5610"/>
      <c r="AG1192" s="11115"/>
    </row>
    <row r="1193" spans="1:33" ht="18" customHeight="1">
      <c r="A1193" s="11139"/>
      <c r="B1193" s="11136"/>
      <c r="C1193" s="11124"/>
      <c r="D1193" s="11124"/>
      <c r="E1193" s="11124"/>
      <c r="F1193" s="11124"/>
      <c r="G1193" s="11124"/>
      <c r="H1193" s="11124"/>
      <c r="I1193" s="11124"/>
      <c r="J1193" s="11124"/>
      <c r="K1193" s="11124"/>
      <c r="L1193" s="11131"/>
      <c r="M1193" s="11131"/>
      <c r="N1193" s="11131"/>
      <c r="O1193" s="11124"/>
      <c r="P1193" s="11124"/>
      <c r="Q1193" s="11127"/>
      <c r="R1193" s="5446"/>
      <c r="S1193" s="3579"/>
      <c r="T1193" s="3579"/>
      <c r="U1193" s="3578"/>
      <c r="V1193" s="4315"/>
      <c r="W1193" s="3579"/>
      <c r="X1193" s="5552"/>
      <c r="Y1193" s="5552"/>
      <c r="Z1193" s="5552"/>
      <c r="AA1193" s="5553"/>
      <c r="AB1193" s="5581"/>
      <c r="AC1193" s="4316"/>
      <c r="AD1193" s="3496"/>
      <c r="AE1193" s="5610"/>
      <c r="AF1193" s="5610"/>
      <c r="AG1193" s="11115"/>
    </row>
    <row r="1194" spans="1:33" ht="18" customHeight="1">
      <c r="A1194" s="11139"/>
      <c r="B1194" s="11136"/>
      <c r="C1194" s="11124"/>
      <c r="D1194" s="11124"/>
      <c r="E1194" s="11124"/>
      <c r="F1194" s="11124"/>
      <c r="G1194" s="11124"/>
      <c r="H1194" s="11124"/>
      <c r="I1194" s="11124"/>
      <c r="J1194" s="11124"/>
      <c r="K1194" s="11124"/>
      <c r="L1194" s="11131"/>
      <c r="M1194" s="11131"/>
      <c r="N1194" s="11131"/>
      <c r="O1194" s="11124"/>
      <c r="P1194" s="11124"/>
      <c r="Q1194" s="11127"/>
      <c r="R1194" s="5446"/>
      <c r="S1194" s="3579"/>
      <c r="T1194" s="3579"/>
      <c r="U1194" s="3578"/>
      <c r="V1194" s="4315"/>
      <c r="W1194" s="3579"/>
      <c r="X1194" s="5552"/>
      <c r="Y1194" s="5552"/>
      <c r="Z1194" s="5552"/>
      <c r="AA1194" s="5553"/>
      <c r="AB1194" s="5581"/>
      <c r="AC1194" s="4316"/>
      <c r="AD1194" s="3496"/>
      <c r="AE1194" s="5610"/>
      <c r="AF1194" s="5610"/>
      <c r="AG1194" s="11115"/>
    </row>
    <row r="1195" spans="1:33" ht="18" customHeight="1">
      <c r="A1195" s="11139"/>
      <c r="B1195" s="11137"/>
      <c r="C1195" s="11125"/>
      <c r="D1195" s="11125"/>
      <c r="E1195" s="11125"/>
      <c r="F1195" s="11125"/>
      <c r="G1195" s="11125"/>
      <c r="H1195" s="11125"/>
      <c r="I1195" s="11125"/>
      <c r="J1195" s="11125"/>
      <c r="K1195" s="11125"/>
      <c r="L1195" s="11134"/>
      <c r="M1195" s="11134"/>
      <c r="N1195" s="11134"/>
      <c r="O1195" s="11125"/>
      <c r="P1195" s="11125"/>
      <c r="Q1195" s="11135"/>
      <c r="R1195" s="5448"/>
      <c r="S1195" s="3617"/>
      <c r="T1195" s="3617"/>
      <c r="U1195" s="3616"/>
      <c r="V1195" s="4319"/>
      <c r="W1195" s="3617"/>
      <c r="X1195" s="5554"/>
      <c r="Y1195" s="5554"/>
      <c r="Z1195" s="5554"/>
      <c r="AA1195" s="5555"/>
      <c r="AB1195" s="5592"/>
      <c r="AC1195" s="4320"/>
      <c r="AD1195" s="3714"/>
      <c r="AE1195" s="5624"/>
      <c r="AF1195" s="5624"/>
      <c r="AG1195" s="11116"/>
    </row>
    <row r="1196" spans="1:33" ht="18" customHeight="1">
      <c r="A1196" s="11139"/>
      <c r="B1196" s="10516" t="s">
        <v>183</v>
      </c>
      <c r="C1196" s="10433" t="s">
        <v>227</v>
      </c>
      <c r="D1196" s="10433" t="s">
        <v>228</v>
      </c>
      <c r="E1196" s="10433" t="s">
        <v>229</v>
      </c>
      <c r="F1196" s="10442" t="s">
        <v>230</v>
      </c>
      <c r="G1196" s="10433" t="s">
        <v>132</v>
      </c>
      <c r="H1196" s="10433" t="s">
        <v>159</v>
      </c>
      <c r="I1196" s="10433" t="s">
        <v>6043</v>
      </c>
      <c r="J1196" s="10433" t="s">
        <v>6044</v>
      </c>
      <c r="K1196" s="10433" t="s">
        <v>5882</v>
      </c>
      <c r="L1196" s="11130">
        <v>2</v>
      </c>
      <c r="M1196" s="11130">
        <v>0</v>
      </c>
      <c r="N1196" s="11130">
        <v>2</v>
      </c>
      <c r="O1196" s="10433" t="s">
        <v>6045</v>
      </c>
      <c r="P1196" s="10433" t="s">
        <v>6046</v>
      </c>
      <c r="Q1196" s="10439" t="s">
        <v>6190</v>
      </c>
      <c r="R1196" s="5452"/>
      <c r="S1196" s="3598"/>
      <c r="T1196" s="3598"/>
      <c r="U1196" s="4344"/>
      <c r="V1196" s="4337"/>
      <c r="W1196" s="3598"/>
      <c r="X1196" s="5556"/>
      <c r="Y1196" s="5556"/>
      <c r="Z1196" s="5556"/>
      <c r="AA1196" s="5557"/>
      <c r="AB1196" s="5584"/>
      <c r="AC1196" s="4338"/>
      <c r="AD1196" s="3709"/>
      <c r="AE1196" s="5626"/>
      <c r="AF1196" s="5626"/>
      <c r="AG1196" s="10525"/>
    </row>
    <row r="1197" spans="1:33" ht="18" customHeight="1">
      <c r="A1197" s="11139"/>
      <c r="B1197" s="11136"/>
      <c r="C1197" s="11124"/>
      <c r="D1197" s="11124"/>
      <c r="E1197" s="11124"/>
      <c r="F1197" s="11124"/>
      <c r="G1197" s="11124"/>
      <c r="H1197" s="11124"/>
      <c r="I1197" s="11124"/>
      <c r="J1197" s="11124"/>
      <c r="K1197" s="11124"/>
      <c r="L1197" s="11131"/>
      <c r="M1197" s="11131"/>
      <c r="N1197" s="11131"/>
      <c r="O1197" s="11124"/>
      <c r="P1197" s="11124"/>
      <c r="Q1197" s="11127"/>
      <c r="R1197" s="5446"/>
      <c r="S1197" s="3579"/>
      <c r="T1197" s="3579"/>
      <c r="U1197" s="3578"/>
      <c r="V1197" s="4315"/>
      <c r="W1197" s="3579"/>
      <c r="X1197" s="5552"/>
      <c r="Y1197" s="5552"/>
      <c r="Z1197" s="5552"/>
      <c r="AA1197" s="5553"/>
      <c r="AB1197" s="5581"/>
      <c r="AC1197" s="4316"/>
      <c r="AD1197" s="3496"/>
      <c r="AE1197" s="5610"/>
      <c r="AF1197" s="5610"/>
      <c r="AG1197" s="11115"/>
    </row>
    <row r="1198" spans="1:33" ht="18" customHeight="1">
      <c r="A1198" s="11139"/>
      <c r="B1198" s="11136"/>
      <c r="C1198" s="11124"/>
      <c r="D1198" s="11124"/>
      <c r="E1198" s="11124"/>
      <c r="F1198" s="11124"/>
      <c r="G1198" s="11124"/>
      <c r="H1198" s="11124"/>
      <c r="I1198" s="11124"/>
      <c r="J1198" s="11124"/>
      <c r="K1198" s="11124"/>
      <c r="L1198" s="11131"/>
      <c r="M1198" s="11131"/>
      <c r="N1198" s="11131"/>
      <c r="O1198" s="11124"/>
      <c r="P1198" s="11124"/>
      <c r="Q1198" s="11127"/>
      <c r="R1198" s="5446"/>
      <c r="S1198" s="3579"/>
      <c r="T1198" s="3579"/>
      <c r="U1198" s="3578"/>
      <c r="V1198" s="4315"/>
      <c r="W1198" s="3579"/>
      <c r="X1198" s="5552"/>
      <c r="Y1198" s="5552"/>
      <c r="Z1198" s="5552"/>
      <c r="AA1198" s="5553"/>
      <c r="AB1198" s="5581"/>
      <c r="AC1198" s="4316"/>
      <c r="AD1198" s="3496"/>
      <c r="AE1198" s="5610"/>
      <c r="AF1198" s="5610"/>
      <c r="AG1198" s="11115"/>
    </row>
    <row r="1199" spans="1:33" ht="18" customHeight="1">
      <c r="A1199" s="11139"/>
      <c r="B1199" s="11136"/>
      <c r="C1199" s="11124"/>
      <c r="D1199" s="11124"/>
      <c r="E1199" s="11124"/>
      <c r="F1199" s="11124"/>
      <c r="G1199" s="11124"/>
      <c r="H1199" s="11124"/>
      <c r="I1199" s="11124"/>
      <c r="J1199" s="11124"/>
      <c r="K1199" s="11124"/>
      <c r="L1199" s="11131"/>
      <c r="M1199" s="11131"/>
      <c r="N1199" s="11131"/>
      <c r="O1199" s="11124"/>
      <c r="P1199" s="11124"/>
      <c r="Q1199" s="11127"/>
      <c r="R1199" s="5446"/>
      <c r="S1199" s="3579"/>
      <c r="T1199" s="3579"/>
      <c r="U1199" s="3578"/>
      <c r="V1199" s="4315"/>
      <c r="W1199" s="3579"/>
      <c r="X1199" s="5552"/>
      <c r="Y1199" s="5552"/>
      <c r="Z1199" s="5552"/>
      <c r="AA1199" s="5553"/>
      <c r="AB1199" s="5581"/>
      <c r="AC1199" s="4316"/>
      <c r="AD1199" s="3496"/>
      <c r="AE1199" s="5610"/>
      <c r="AF1199" s="5610"/>
      <c r="AG1199" s="11115"/>
    </row>
    <row r="1200" spans="1:33" ht="18" customHeight="1">
      <c r="A1200" s="11139"/>
      <c r="B1200" s="11138"/>
      <c r="C1200" s="11126"/>
      <c r="D1200" s="11126"/>
      <c r="E1200" s="11126"/>
      <c r="F1200" s="11126"/>
      <c r="G1200" s="11126"/>
      <c r="H1200" s="11126"/>
      <c r="I1200" s="11126"/>
      <c r="J1200" s="11126"/>
      <c r="K1200" s="11126"/>
      <c r="L1200" s="11132"/>
      <c r="M1200" s="11132"/>
      <c r="N1200" s="11132"/>
      <c r="O1200" s="11126"/>
      <c r="P1200" s="11126"/>
      <c r="Q1200" s="11128"/>
      <c r="R1200" s="5450"/>
      <c r="S1200" s="3606"/>
      <c r="T1200" s="3606"/>
      <c r="U1200" s="3605"/>
      <c r="V1200" s="4317"/>
      <c r="W1200" s="3606"/>
      <c r="X1200" s="5558"/>
      <c r="Y1200" s="5558"/>
      <c r="Z1200" s="5558"/>
      <c r="AA1200" s="5559"/>
      <c r="AB1200" s="5585"/>
      <c r="AC1200" s="4318"/>
      <c r="AD1200" s="3545"/>
      <c r="AE1200" s="5625"/>
      <c r="AF1200" s="5625"/>
      <c r="AG1200" s="11116"/>
    </row>
    <row r="1201" spans="1:33" ht="18" customHeight="1">
      <c r="A1201" s="11139"/>
      <c r="B1201" s="10512" t="s">
        <v>183</v>
      </c>
      <c r="C1201" s="10444" t="s">
        <v>227</v>
      </c>
      <c r="D1201" s="10444" t="s">
        <v>228</v>
      </c>
      <c r="E1201" s="10444" t="s">
        <v>229</v>
      </c>
      <c r="F1201" s="10451" t="s">
        <v>230</v>
      </c>
      <c r="G1201" s="10444" t="s">
        <v>132</v>
      </c>
      <c r="H1201" s="10444" t="s">
        <v>159</v>
      </c>
      <c r="I1201" s="10444" t="s">
        <v>6047</v>
      </c>
      <c r="J1201" s="10444" t="s">
        <v>6048</v>
      </c>
      <c r="K1201" s="10444" t="s">
        <v>6049</v>
      </c>
      <c r="L1201" s="11133">
        <v>4</v>
      </c>
      <c r="M1201" s="11133">
        <v>4</v>
      </c>
      <c r="N1201" s="11133">
        <v>4</v>
      </c>
      <c r="O1201" s="10444" t="s">
        <v>6050</v>
      </c>
      <c r="P1201" s="10444" t="s">
        <v>6051</v>
      </c>
      <c r="Q1201" s="10449" t="s">
        <v>6192</v>
      </c>
      <c r="R1201" s="5458"/>
      <c r="S1201" s="3623"/>
      <c r="T1201" s="3623"/>
      <c r="U1201" s="4312"/>
      <c r="V1201" s="4313"/>
      <c r="W1201" s="3623"/>
      <c r="X1201" s="5560"/>
      <c r="Y1201" s="5560"/>
      <c r="Z1201" s="5560"/>
      <c r="AA1201" s="5561"/>
      <c r="AB1201" s="5586"/>
      <c r="AC1201" s="4314"/>
      <c r="AD1201" s="3658"/>
      <c r="AE1201" s="5623"/>
      <c r="AF1201" s="5623"/>
      <c r="AG1201" s="10525"/>
    </row>
    <row r="1202" spans="1:33" ht="18" customHeight="1">
      <c r="A1202" s="11139"/>
      <c r="B1202" s="11136"/>
      <c r="C1202" s="11124"/>
      <c r="D1202" s="11124"/>
      <c r="E1202" s="11124"/>
      <c r="F1202" s="11124"/>
      <c r="G1202" s="11124"/>
      <c r="H1202" s="11124"/>
      <c r="I1202" s="11124"/>
      <c r="J1202" s="11124"/>
      <c r="K1202" s="11124"/>
      <c r="L1202" s="11131"/>
      <c r="M1202" s="11131"/>
      <c r="N1202" s="11131"/>
      <c r="O1202" s="11124"/>
      <c r="P1202" s="11124"/>
      <c r="Q1202" s="11127"/>
      <c r="R1202" s="5446"/>
      <c r="S1202" s="3579"/>
      <c r="T1202" s="3579"/>
      <c r="U1202" s="3578"/>
      <c r="V1202" s="4315"/>
      <c r="W1202" s="3579"/>
      <c r="X1202" s="5552"/>
      <c r="Y1202" s="5552"/>
      <c r="Z1202" s="5552"/>
      <c r="AA1202" s="5553"/>
      <c r="AB1202" s="5581"/>
      <c r="AC1202" s="4316"/>
      <c r="AD1202" s="3496"/>
      <c r="AE1202" s="5610"/>
      <c r="AF1202" s="5610"/>
      <c r="AG1202" s="11115"/>
    </row>
    <row r="1203" spans="1:33" ht="18" customHeight="1">
      <c r="A1203" s="11139"/>
      <c r="B1203" s="11136"/>
      <c r="C1203" s="11124"/>
      <c r="D1203" s="11124"/>
      <c r="E1203" s="11124"/>
      <c r="F1203" s="11124"/>
      <c r="G1203" s="11124"/>
      <c r="H1203" s="11124"/>
      <c r="I1203" s="11124"/>
      <c r="J1203" s="11124"/>
      <c r="K1203" s="11124"/>
      <c r="L1203" s="11131"/>
      <c r="M1203" s="11131"/>
      <c r="N1203" s="11131"/>
      <c r="O1203" s="11124"/>
      <c r="P1203" s="11124"/>
      <c r="Q1203" s="11127"/>
      <c r="R1203" s="5446"/>
      <c r="S1203" s="3579"/>
      <c r="T1203" s="3579"/>
      <c r="U1203" s="3578"/>
      <c r="V1203" s="4315"/>
      <c r="W1203" s="3579"/>
      <c r="X1203" s="5552"/>
      <c r="Y1203" s="5552"/>
      <c r="Z1203" s="5552"/>
      <c r="AA1203" s="5553"/>
      <c r="AB1203" s="5581"/>
      <c r="AC1203" s="4316"/>
      <c r="AD1203" s="3496"/>
      <c r="AE1203" s="5610"/>
      <c r="AF1203" s="5610"/>
      <c r="AG1203" s="11115"/>
    </row>
    <row r="1204" spans="1:33" ht="18" customHeight="1">
      <c r="A1204" s="11139"/>
      <c r="B1204" s="11136"/>
      <c r="C1204" s="11124"/>
      <c r="D1204" s="11124"/>
      <c r="E1204" s="11124"/>
      <c r="F1204" s="11124"/>
      <c r="G1204" s="11124"/>
      <c r="H1204" s="11124"/>
      <c r="I1204" s="11124"/>
      <c r="J1204" s="11124"/>
      <c r="K1204" s="11124"/>
      <c r="L1204" s="11131"/>
      <c r="M1204" s="11131"/>
      <c r="N1204" s="11131"/>
      <c r="O1204" s="11124"/>
      <c r="P1204" s="11124"/>
      <c r="Q1204" s="11127"/>
      <c r="R1204" s="5446"/>
      <c r="S1204" s="3579"/>
      <c r="T1204" s="3579"/>
      <c r="U1204" s="3578"/>
      <c r="V1204" s="4315"/>
      <c r="W1204" s="3579"/>
      <c r="X1204" s="5552"/>
      <c r="Y1204" s="5552"/>
      <c r="Z1204" s="5552"/>
      <c r="AA1204" s="5553"/>
      <c r="AB1204" s="5581"/>
      <c r="AC1204" s="4316"/>
      <c r="AD1204" s="3496"/>
      <c r="AE1204" s="5610"/>
      <c r="AF1204" s="5610"/>
      <c r="AG1204" s="11115"/>
    </row>
    <row r="1205" spans="1:33" ht="18" customHeight="1">
      <c r="A1205" s="11139"/>
      <c r="B1205" s="11137"/>
      <c r="C1205" s="11125"/>
      <c r="D1205" s="11125"/>
      <c r="E1205" s="11125"/>
      <c r="F1205" s="11125"/>
      <c r="G1205" s="11125"/>
      <c r="H1205" s="11125"/>
      <c r="I1205" s="11125"/>
      <c r="J1205" s="11125"/>
      <c r="K1205" s="11125"/>
      <c r="L1205" s="11134"/>
      <c r="M1205" s="11134"/>
      <c r="N1205" s="11134"/>
      <c r="O1205" s="11125"/>
      <c r="P1205" s="11125"/>
      <c r="Q1205" s="11135"/>
      <c r="R1205" s="5448"/>
      <c r="S1205" s="3617"/>
      <c r="T1205" s="3617"/>
      <c r="U1205" s="3616"/>
      <c r="V1205" s="4319"/>
      <c r="W1205" s="3617"/>
      <c r="X1205" s="5554"/>
      <c r="Y1205" s="5554"/>
      <c r="Z1205" s="5554"/>
      <c r="AA1205" s="5555"/>
      <c r="AB1205" s="5592"/>
      <c r="AC1205" s="4320"/>
      <c r="AD1205" s="3714"/>
      <c r="AE1205" s="5624"/>
      <c r="AF1205" s="5624"/>
      <c r="AG1205" s="11116"/>
    </row>
    <row r="1206" spans="1:33" ht="18" customHeight="1">
      <c r="A1206" s="11139"/>
      <c r="B1206" s="10516" t="s">
        <v>183</v>
      </c>
      <c r="C1206" s="10433" t="s">
        <v>227</v>
      </c>
      <c r="D1206" s="10433" t="s">
        <v>228</v>
      </c>
      <c r="E1206" s="10433" t="s">
        <v>229</v>
      </c>
      <c r="F1206" s="10442" t="s">
        <v>230</v>
      </c>
      <c r="G1206" s="10433" t="s">
        <v>132</v>
      </c>
      <c r="H1206" s="10433" t="s">
        <v>159</v>
      </c>
      <c r="I1206" s="10433" t="s">
        <v>6053</v>
      </c>
      <c r="J1206" s="10433" t="s">
        <v>6054</v>
      </c>
      <c r="K1206" s="10433" t="s">
        <v>6022</v>
      </c>
      <c r="L1206" s="11130">
        <v>1</v>
      </c>
      <c r="M1206" s="11130">
        <v>1</v>
      </c>
      <c r="N1206" s="11130">
        <v>1</v>
      </c>
      <c r="O1206" s="10433" t="s">
        <v>6055</v>
      </c>
      <c r="P1206" s="10433" t="s">
        <v>6056</v>
      </c>
      <c r="Q1206" s="10439" t="s">
        <v>6192</v>
      </c>
      <c r="R1206" s="5452"/>
      <c r="S1206" s="3598"/>
      <c r="T1206" s="3598"/>
      <c r="U1206" s="4344"/>
      <c r="V1206" s="4337"/>
      <c r="W1206" s="3598"/>
      <c r="X1206" s="5556"/>
      <c r="Y1206" s="5556"/>
      <c r="Z1206" s="5556"/>
      <c r="AA1206" s="5557"/>
      <c r="AB1206" s="5584"/>
      <c r="AC1206" s="4338"/>
      <c r="AD1206" s="3709"/>
      <c r="AE1206" s="5626"/>
      <c r="AF1206" s="5626"/>
      <c r="AG1206" s="10525"/>
    </row>
    <row r="1207" spans="1:33" ht="18" customHeight="1">
      <c r="A1207" s="11139"/>
      <c r="B1207" s="11136"/>
      <c r="C1207" s="11124"/>
      <c r="D1207" s="11124"/>
      <c r="E1207" s="11124"/>
      <c r="F1207" s="11124"/>
      <c r="G1207" s="11124"/>
      <c r="H1207" s="11124"/>
      <c r="I1207" s="11124"/>
      <c r="J1207" s="11124"/>
      <c r="K1207" s="11124"/>
      <c r="L1207" s="11131"/>
      <c r="M1207" s="11131"/>
      <c r="N1207" s="11131"/>
      <c r="O1207" s="11124"/>
      <c r="P1207" s="11124"/>
      <c r="Q1207" s="11127"/>
      <c r="R1207" s="5446"/>
      <c r="S1207" s="3579"/>
      <c r="T1207" s="3579"/>
      <c r="U1207" s="3578"/>
      <c r="V1207" s="4315"/>
      <c r="W1207" s="3579"/>
      <c r="X1207" s="5552"/>
      <c r="Y1207" s="5552"/>
      <c r="Z1207" s="5552"/>
      <c r="AA1207" s="5553"/>
      <c r="AB1207" s="5581"/>
      <c r="AC1207" s="4316"/>
      <c r="AD1207" s="3496"/>
      <c r="AE1207" s="5610"/>
      <c r="AF1207" s="5610"/>
      <c r="AG1207" s="11115"/>
    </row>
    <row r="1208" spans="1:33" ht="18" customHeight="1">
      <c r="A1208" s="11139"/>
      <c r="B1208" s="11136"/>
      <c r="C1208" s="11124"/>
      <c r="D1208" s="11124"/>
      <c r="E1208" s="11124"/>
      <c r="F1208" s="11124"/>
      <c r="G1208" s="11124"/>
      <c r="H1208" s="11124"/>
      <c r="I1208" s="11124"/>
      <c r="J1208" s="11124"/>
      <c r="K1208" s="11124"/>
      <c r="L1208" s="11131"/>
      <c r="M1208" s="11131"/>
      <c r="N1208" s="11131"/>
      <c r="O1208" s="11124"/>
      <c r="P1208" s="11124"/>
      <c r="Q1208" s="11127"/>
      <c r="R1208" s="5446"/>
      <c r="S1208" s="3579"/>
      <c r="T1208" s="3579"/>
      <c r="U1208" s="3578"/>
      <c r="V1208" s="4315"/>
      <c r="W1208" s="3579"/>
      <c r="X1208" s="5552"/>
      <c r="Y1208" s="5552"/>
      <c r="Z1208" s="5552"/>
      <c r="AA1208" s="5553"/>
      <c r="AB1208" s="5581"/>
      <c r="AC1208" s="4316"/>
      <c r="AD1208" s="3496"/>
      <c r="AE1208" s="5610"/>
      <c r="AF1208" s="5610"/>
      <c r="AG1208" s="11115"/>
    </row>
    <row r="1209" spans="1:33" ht="18" customHeight="1">
      <c r="A1209" s="11139"/>
      <c r="B1209" s="11136"/>
      <c r="C1209" s="11124"/>
      <c r="D1209" s="11124"/>
      <c r="E1209" s="11124"/>
      <c r="F1209" s="11124"/>
      <c r="G1209" s="11124"/>
      <c r="H1209" s="11124"/>
      <c r="I1209" s="11124"/>
      <c r="J1209" s="11124"/>
      <c r="K1209" s="11124"/>
      <c r="L1209" s="11131"/>
      <c r="M1209" s="11131"/>
      <c r="N1209" s="11131"/>
      <c r="O1209" s="11124"/>
      <c r="P1209" s="11124"/>
      <c r="Q1209" s="11127"/>
      <c r="R1209" s="5446"/>
      <c r="S1209" s="3579"/>
      <c r="T1209" s="3579"/>
      <c r="U1209" s="3578"/>
      <c r="V1209" s="4315"/>
      <c r="W1209" s="3579"/>
      <c r="X1209" s="5552"/>
      <c r="Y1209" s="5552"/>
      <c r="Z1209" s="5552"/>
      <c r="AA1209" s="5553"/>
      <c r="AB1209" s="5581"/>
      <c r="AC1209" s="4316"/>
      <c r="AD1209" s="3496"/>
      <c r="AE1209" s="5610"/>
      <c r="AF1209" s="5610"/>
      <c r="AG1209" s="11115"/>
    </row>
    <row r="1210" spans="1:33" ht="18" customHeight="1">
      <c r="A1210" s="11139"/>
      <c r="B1210" s="11138"/>
      <c r="C1210" s="11126"/>
      <c r="D1210" s="11126"/>
      <c r="E1210" s="11126"/>
      <c r="F1210" s="11126"/>
      <c r="G1210" s="11126"/>
      <c r="H1210" s="11126"/>
      <c r="I1210" s="11126"/>
      <c r="J1210" s="11126"/>
      <c r="K1210" s="11126"/>
      <c r="L1210" s="11132"/>
      <c r="M1210" s="11132"/>
      <c r="N1210" s="11132"/>
      <c r="O1210" s="11126"/>
      <c r="P1210" s="11126"/>
      <c r="Q1210" s="11128"/>
      <c r="R1210" s="5450"/>
      <c r="S1210" s="3606"/>
      <c r="T1210" s="3606"/>
      <c r="U1210" s="3605"/>
      <c r="V1210" s="4317"/>
      <c r="W1210" s="3606"/>
      <c r="X1210" s="5558"/>
      <c r="Y1210" s="5558"/>
      <c r="Z1210" s="5558"/>
      <c r="AA1210" s="5559"/>
      <c r="AB1210" s="5585"/>
      <c r="AC1210" s="4318"/>
      <c r="AD1210" s="3545"/>
      <c r="AE1210" s="5625"/>
      <c r="AF1210" s="5625"/>
      <c r="AG1210" s="11116"/>
    </row>
    <row r="1211" spans="1:33" ht="18" customHeight="1">
      <c r="A1211" s="11139"/>
      <c r="B1211" s="10512" t="s">
        <v>183</v>
      </c>
      <c r="C1211" s="10444" t="s">
        <v>227</v>
      </c>
      <c r="D1211" s="10444" t="s">
        <v>228</v>
      </c>
      <c r="E1211" s="10444" t="s">
        <v>229</v>
      </c>
      <c r="F1211" s="10451" t="s">
        <v>230</v>
      </c>
      <c r="G1211" s="10444" t="s">
        <v>132</v>
      </c>
      <c r="H1211" s="10444" t="s">
        <v>159</v>
      </c>
      <c r="I1211" s="10444" t="s">
        <v>6057</v>
      </c>
      <c r="J1211" s="10444" t="s">
        <v>6058</v>
      </c>
      <c r="K1211" s="10444" t="s">
        <v>6049</v>
      </c>
      <c r="L1211" s="11133">
        <v>0</v>
      </c>
      <c r="M1211" s="11133">
        <v>1</v>
      </c>
      <c r="N1211" s="11133">
        <v>1</v>
      </c>
      <c r="O1211" s="10444" t="s">
        <v>6059</v>
      </c>
      <c r="P1211" s="10444" t="s">
        <v>6060</v>
      </c>
      <c r="Q1211" s="10449" t="s">
        <v>6192</v>
      </c>
      <c r="R1211" s="5458"/>
      <c r="S1211" s="3623"/>
      <c r="T1211" s="3623"/>
      <c r="U1211" s="4312"/>
      <c r="V1211" s="4313"/>
      <c r="W1211" s="3623"/>
      <c r="X1211" s="5560"/>
      <c r="Y1211" s="5560"/>
      <c r="Z1211" s="5560"/>
      <c r="AA1211" s="5561"/>
      <c r="AB1211" s="5586"/>
      <c r="AC1211" s="4314"/>
      <c r="AD1211" s="3658"/>
      <c r="AE1211" s="5623"/>
      <c r="AF1211" s="5623"/>
      <c r="AG1211" s="10525"/>
    </row>
    <row r="1212" spans="1:33" ht="18" customHeight="1">
      <c r="A1212" s="11139"/>
      <c r="B1212" s="11136"/>
      <c r="C1212" s="11124"/>
      <c r="D1212" s="11124"/>
      <c r="E1212" s="11124"/>
      <c r="F1212" s="11124"/>
      <c r="G1212" s="11124"/>
      <c r="H1212" s="11124"/>
      <c r="I1212" s="11124"/>
      <c r="J1212" s="11124"/>
      <c r="K1212" s="11124"/>
      <c r="L1212" s="11131"/>
      <c r="M1212" s="11131"/>
      <c r="N1212" s="11131"/>
      <c r="O1212" s="11124"/>
      <c r="P1212" s="11124"/>
      <c r="Q1212" s="11127"/>
      <c r="R1212" s="5446"/>
      <c r="S1212" s="3579"/>
      <c r="T1212" s="3579"/>
      <c r="U1212" s="3578"/>
      <c r="V1212" s="4315"/>
      <c r="W1212" s="3579"/>
      <c r="X1212" s="5552"/>
      <c r="Y1212" s="5552"/>
      <c r="Z1212" s="5552"/>
      <c r="AA1212" s="5553"/>
      <c r="AB1212" s="5581"/>
      <c r="AC1212" s="4316"/>
      <c r="AD1212" s="3496"/>
      <c r="AE1212" s="5610"/>
      <c r="AF1212" s="5610"/>
      <c r="AG1212" s="11115"/>
    </row>
    <row r="1213" spans="1:33" ht="18" customHeight="1">
      <c r="A1213" s="11139"/>
      <c r="B1213" s="11136"/>
      <c r="C1213" s="11124"/>
      <c r="D1213" s="11124"/>
      <c r="E1213" s="11124"/>
      <c r="F1213" s="11124"/>
      <c r="G1213" s="11124"/>
      <c r="H1213" s="11124"/>
      <c r="I1213" s="11124"/>
      <c r="J1213" s="11124"/>
      <c r="K1213" s="11124"/>
      <c r="L1213" s="11131"/>
      <c r="M1213" s="11131"/>
      <c r="N1213" s="11131"/>
      <c r="O1213" s="11124"/>
      <c r="P1213" s="11124"/>
      <c r="Q1213" s="11127"/>
      <c r="R1213" s="5446"/>
      <c r="S1213" s="3579"/>
      <c r="T1213" s="3579"/>
      <c r="U1213" s="3578"/>
      <c r="V1213" s="4315"/>
      <c r="W1213" s="3579"/>
      <c r="X1213" s="5552"/>
      <c r="Y1213" s="5552"/>
      <c r="Z1213" s="5552"/>
      <c r="AA1213" s="5553"/>
      <c r="AB1213" s="5581"/>
      <c r="AC1213" s="4316"/>
      <c r="AD1213" s="3496"/>
      <c r="AE1213" s="5610"/>
      <c r="AF1213" s="5610"/>
      <c r="AG1213" s="11115"/>
    </row>
    <row r="1214" spans="1:33" ht="18" customHeight="1">
      <c r="A1214" s="11139"/>
      <c r="B1214" s="11136"/>
      <c r="C1214" s="11124"/>
      <c r="D1214" s="11124"/>
      <c r="E1214" s="11124"/>
      <c r="F1214" s="11124"/>
      <c r="G1214" s="11124"/>
      <c r="H1214" s="11124"/>
      <c r="I1214" s="11124"/>
      <c r="J1214" s="11124"/>
      <c r="K1214" s="11124"/>
      <c r="L1214" s="11131"/>
      <c r="M1214" s="11131"/>
      <c r="N1214" s="11131"/>
      <c r="O1214" s="11124"/>
      <c r="P1214" s="11124"/>
      <c r="Q1214" s="11127"/>
      <c r="R1214" s="5446"/>
      <c r="S1214" s="3579"/>
      <c r="T1214" s="3579"/>
      <c r="U1214" s="3578"/>
      <c r="V1214" s="4315"/>
      <c r="W1214" s="3579"/>
      <c r="X1214" s="5552"/>
      <c r="Y1214" s="5552"/>
      <c r="Z1214" s="5552"/>
      <c r="AA1214" s="5553"/>
      <c r="AB1214" s="5581"/>
      <c r="AC1214" s="4316"/>
      <c r="AD1214" s="3496"/>
      <c r="AE1214" s="5610"/>
      <c r="AF1214" s="5610"/>
      <c r="AG1214" s="11115"/>
    </row>
    <row r="1215" spans="1:33" ht="18" customHeight="1">
      <c r="A1215" s="11139"/>
      <c r="B1215" s="11137"/>
      <c r="C1215" s="11125"/>
      <c r="D1215" s="11125"/>
      <c r="E1215" s="11125"/>
      <c r="F1215" s="11125"/>
      <c r="G1215" s="11125"/>
      <c r="H1215" s="11125"/>
      <c r="I1215" s="11125"/>
      <c r="J1215" s="11125"/>
      <c r="K1215" s="11125"/>
      <c r="L1215" s="11134"/>
      <c r="M1215" s="11134"/>
      <c r="N1215" s="11134"/>
      <c r="O1215" s="11125"/>
      <c r="P1215" s="11125"/>
      <c r="Q1215" s="11135"/>
      <c r="R1215" s="5448"/>
      <c r="S1215" s="3617"/>
      <c r="T1215" s="3617"/>
      <c r="U1215" s="3616"/>
      <c r="V1215" s="4319"/>
      <c r="W1215" s="3617"/>
      <c r="X1215" s="5554"/>
      <c r="Y1215" s="5554"/>
      <c r="Z1215" s="5554"/>
      <c r="AA1215" s="5555"/>
      <c r="AB1215" s="5592"/>
      <c r="AC1215" s="4320"/>
      <c r="AD1215" s="3714"/>
      <c r="AE1215" s="5624"/>
      <c r="AF1215" s="5624"/>
      <c r="AG1215" s="11116"/>
    </row>
    <row r="1216" spans="1:33" ht="18" customHeight="1">
      <c r="A1216" s="11139"/>
      <c r="B1216" s="10516" t="s">
        <v>127</v>
      </c>
      <c r="C1216" s="10433" t="s">
        <v>128</v>
      </c>
      <c r="D1216" s="10433" t="s">
        <v>129</v>
      </c>
      <c r="E1216" s="10433" t="s">
        <v>157</v>
      </c>
      <c r="F1216" s="10442" t="s">
        <v>131</v>
      </c>
      <c r="G1216" s="10433" t="s">
        <v>132</v>
      </c>
      <c r="H1216" s="10433" t="s">
        <v>159</v>
      </c>
      <c r="I1216" s="10433" t="s">
        <v>6061</v>
      </c>
      <c r="J1216" s="10433" t="s">
        <v>6062</v>
      </c>
      <c r="K1216" s="10433" t="s">
        <v>6063</v>
      </c>
      <c r="L1216" s="11130">
        <v>1</v>
      </c>
      <c r="M1216" s="11130">
        <v>1</v>
      </c>
      <c r="N1216" s="11130">
        <v>1</v>
      </c>
      <c r="O1216" s="10433" t="s">
        <v>6064</v>
      </c>
      <c r="P1216" s="10433" t="s">
        <v>6065</v>
      </c>
      <c r="Q1216" s="10439" t="s">
        <v>6190</v>
      </c>
      <c r="R1216" s="5452"/>
      <c r="S1216" s="3598"/>
      <c r="T1216" s="3598"/>
      <c r="U1216" s="4344"/>
      <c r="V1216" s="4337"/>
      <c r="W1216" s="3598"/>
      <c r="X1216" s="5556"/>
      <c r="Y1216" s="5556"/>
      <c r="Z1216" s="5556"/>
      <c r="AA1216" s="5557"/>
      <c r="AB1216" s="5584"/>
      <c r="AC1216" s="4338"/>
      <c r="AD1216" s="3709"/>
      <c r="AE1216" s="5626"/>
      <c r="AF1216" s="5626"/>
      <c r="AG1216" s="10525"/>
    </row>
    <row r="1217" spans="1:33" ht="18" customHeight="1">
      <c r="A1217" s="11139"/>
      <c r="B1217" s="11136"/>
      <c r="C1217" s="11124"/>
      <c r="D1217" s="11124"/>
      <c r="E1217" s="11124"/>
      <c r="F1217" s="11124"/>
      <c r="G1217" s="11124"/>
      <c r="H1217" s="11124"/>
      <c r="I1217" s="11124"/>
      <c r="J1217" s="11124"/>
      <c r="K1217" s="11124"/>
      <c r="L1217" s="11131"/>
      <c r="M1217" s="11131"/>
      <c r="N1217" s="11131"/>
      <c r="O1217" s="11124"/>
      <c r="P1217" s="11124"/>
      <c r="Q1217" s="11127"/>
      <c r="R1217" s="5446"/>
      <c r="S1217" s="3579"/>
      <c r="T1217" s="3579"/>
      <c r="U1217" s="3578"/>
      <c r="V1217" s="4315"/>
      <c r="W1217" s="3579"/>
      <c r="X1217" s="5552"/>
      <c r="Y1217" s="5552"/>
      <c r="Z1217" s="5552"/>
      <c r="AA1217" s="5553"/>
      <c r="AB1217" s="5581"/>
      <c r="AC1217" s="4316"/>
      <c r="AD1217" s="3496"/>
      <c r="AE1217" s="5610"/>
      <c r="AF1217" s="5610"/>
      <c r="AG1217" s="11115"/>
    </row>
    <row r="1218" spans="1:33" ht="18" customHeight="1">
      <c r="A1218" s="11139"/>
      <c r="B1218" s="11136"/>
      <c r="C1218" s="11124"/>
      <c r="D1218" s="11124"/>
      <c r="E1218" s="11124"/>
      <c r="F1218" s="11124"/>
      <c r="G1218" s="11124"/>
      <c r="H1218" s="11124"/>
      <c r="I1218" s="11124"/>
      <c r="J1218" s="11124"/>
      <c r="K1218" s="11124"/>
      <c r="L1218" s="11131"/>
      <c r="M1218" s="11131"/>
      <c r="N1218" s="11131"/>
      <c r="O1218" s="11124"/>
      <c r="P1218" s="11124"/>
      <c r="Q1218" s="11127"/>
      <c r="R1218" s="5446"/>
      <c r="S1218" s="3579"/>
      <c r="T1218" s="3579"/>
      <c r="U1218" s="3578"/>
      <c r="V1218" s="4315"/>
      <c r="W1218" s="3579"/>
      <c r="X1218" s="5552"/>
      <c r="Y1218" s="5552"/>
      <c r="Z1218" s="5552"/>
      <c r="AA1218" s="5553"/>
      <c r="AB1218" s="5581"/>
      <c r="AC1218" s="4316"/>
      <c r="AD1218" s="3496"/>
      <c r="AE1218" s="5610"/>
      <c r="AF1218" s="5610"/>
      <c r="AG1218" s="11115"/>
    </row>
    <row r="1219" spans="1:33" ht="18" customHeight="1">
      <c r="A1219" s="11139"/>
      <c r="B1219" s="11136"/>
      <c r="C1219" s="11124"/>
      <c r="D1219" s="11124"/>
      <c r="E1219" s="11124"/>
      <c r="F1219" s="11124"/>
      <c r="G1219" s="11124"/>
      <c r="H1219" s="11124"/>
      <c r="I1219" s="11124"/>
      <c r="J1219" s="11124"/>
      <c r="K1219" s="11124"/>
      <c r="L1219" s="11131"/>
      <c r="M1219" s="11131"/>
      <c r="N1219" s="11131"/>
      <c r="O1219" s="11124"/>
      <c r="P1219" s="11124"/>
      <c r="Q1219" s="11127"/>
      <c r="R1219" s="5446"/>
      <c r="S1219" s="3579"/>
      <c r="T1219" s="3579"/>
      <c r="U1219" s="3578"/>
      <c r="V1219" s="4315"/>
      <c r="W1219" s="3579"/>
      <c r="X1219" s="5552"/>
      <c r="Y1219" s="5552"/>
      <c r="Z1219" s="5552"/>
      <c r="AA1219" s="5553"/>
      <c r="AB1219" s="5581"/>
      <c r="AC1219" s="4316"/>
      <c r="AD1219" s="3496"/>
      <c r="AE1219" s="5610"/>
      <c r="AF1219" s="5610"/>
      <c r="AG1219" s="11115"/>
    </row>
    <row r="1220" spans="1:33" ht="18" customHeight="1">
      <c r="A1220" s="11139"/>
      <c r="B1220" s="11138"/>
      <c r="C1220" s="11126"/>
      <c r="D1220" s="11126"/>
      <c r="E1220" s="11126"/>
      <c r="F1220" s="11126"/>
      <c r="G1220" s="11126"/>
      <c r="H1220" s="11126"/>
      <c r="I1220" s="11126"/>
      <c r="J1220" s="11126"/>
      <c r="K1220" s="11126"/>
      <c r="L1220" s="11132"/>
      <c r="M1220" s="11132"/>
      <c r="N1220" s="11132"/>
      <c r="O1220" s="11126"/>
      <c r="P1220" s="11126"/>
      <c r="Q1220" s="11128"/>
      <c r="R1220" s="5450"/>
      <c r="S1220" s="3606"/>
      <c r="T1220" s="3606"/>
      <c r="U1220" s="3605"/>
      <c r="V1220" s="4317"/>
      <c r="W1220" s="3606"/>
      <c r="X1220" s="5558"/>
      <c r="Y1220" s="5558"/>
      <c r="Z1220" s="5558"/>
      <c r="AA1220" s="5559"/>
      <c r="AB1220" s="5585"/>
      <c r="AC1220" s="4318"/>
      <c r="AD1220" s="3545"/>
      <c r="AE1220" s="5625"/>
      <c r="AF1220" s="5625"/>
      <c r="AG1220" s="11116"/>
    </row>
    <row r="1221" spans="1:33" ht="18" customHeight="1">
      <c r="A1221" s="11139"/>
      <c r="B1221" s="10512" t="s">
        <v>183</v>
      </c>
      <c r="C1221" s="10444" t="s">
        <v>227</v>
      </c>
      <c r="D1221" s="10444" t="s">
        <v>228</v>
      </c>
      <c r="E1221" s="10444" t="s">
        <v>229</v>
      </c>
      <c r="F1221" s="10451" t="s">
        <v>230</v>
      </c>
      <c r="G1221" s="10444" t="s">
        <v>132</v>
      </c>
      <c r="H1221" s="10444" t="s">
        <v>159</v>
      </c>
      <c r="I1221" s="10444" t="s">
        <v>6066</v>
      </c>
      <c r="J1221" s="10444" t="s">
        <v>6067</v>
      </c>
      <c r="K1221" s="10444" t="s">
        <v>5871</v>
      </c>
      <c r="L1221" s="11133">
        <v>0</v>
      </c>
      <c r="M1221" s="11133">
        <v>1</v>
      </c>
      <c r="N1221" s="11133">
        <v>0</v>
      </c>
      <c r="O1221" s="10444" t="s">
        <v>5872</v>
      </c>
      <c r="P1221" s="10444" t="s">
        <v>5873</v>
      </c>
      <c r="Q1221" s="10449" t="s">
        <v>6192</v>
      </c>
      <c r="R1221" s="5458"/>
      <c r="S1221" s="3623"/>
      <c r="T1221" s="3623"/>
      <c r="U1221" s="4312"/>
      <c r="V1221" s="4313"/>
      <c r="W1221" s="3623"/>
      <c r="X1221" s="5560"/>
      <c r="Y1221" s="5560"/>
      <c r="Z1221" s="5560"/>
      <c r="AA1221" s="5561"/>
      <c r="AB1221" s="5586"/>
      <c r="AC1221" s="4314"/>
      <c r="AD1221" s="3658"/>
      <c r="AE1221" s="5623"/>
      <c r="AF1221" s="5623"/>
      <c r="AG1221" s="10525"/>
    </row>
    <row r="1222" spans="1:33" ht="18" customHeight="1">
      <c r="A1222" s="11139"/>
      <c r="B1222" s="11136"/>
      <c r="C1222" s="11124"/>
      <c r="D1222" s="11124"/>
      <c r="E1222" s="11124"/>
      <c r="F1222" s="11124"/>
      <c r="G1222" s="11124"/>
      <c r="H1222" s="11124"/>
      <c r="I1222" s="11124"/>
      <c r="J1222" s="11124"/>
      <c r="K1222" s="11124"/>
      <c r="L1222" s="11131"/>
      <c r="M1222" s="11131"/>
      <c r="N1222" s="11131"/>
      <c r="O1222" s="11124"/>
      <c r="P1222" s="11124"/>
      <c r="Q1222" s="11127"/>
      <c r="R1222" s="5446"/>
      <c r="S1222" s="3579"/>
      <c r="T1222" s="3579"/>
      <c r="U1222" s="3578"/>
      <c r="V1222" s="4315"/>
      <c r="W1222" s="3579"/>
      <c r="X1222" s="5552"/>
      <c r="Y1222" s="5552"/>
      <c r="Z1222" s="5552"/>
      <c r="AA1222" s="5553"/>
      <c r="AB1222" s="5581"/>
      <c r="AC1222" s="4316"/>
      <c r="AD1222" s="3496"/>
      <c r="AE1222" s="5610"/>
      <c r="AF1222" s="5610"/>
      <c r="AG1222" s="11115"/>
    </row>
    <row r="1223" spans="1:33" ht="18" customHeight="1">
      <c r="A1223" s="11139"/>
      <c r="B1223" s="11136"/>
      <c r="C1223" s="11124"/>
      <c r="D1223" s="11124"/>
      <c r="E1223" s="11124"/>
      <c r="F1223" s="11124"/>
      <c r="G1223" s="11124"/>
      <c r="H1223" s="11124"/>
      <c r="I1223" s="11124"/>
      <c r="J1223" s="11124"/>
      <c r="K1223" s="11124"/>
      <c r="L1223" s="11131"/>
      <c r="M1223" s="11131"/>
      <c r="N1223" s="11131"/>
      <c r="O1223" s="11124"/>
      <c r="P1223" s="11124"/>
      <c r="Q1223" s="11127"/>
      <c r="R1223" s="5446"/>
      <c r="S1223" s="3579"/>
      <c r="T1223" s="3579"/>
      <c r="U1223" s="3578"/>
      <c r="V1223" s="4315"/>
      <c r="W1223" s="3579"/>
      <c r="X1223" s="5552"/>
      <c r="Y1223" s="5552"/>
      <c r="Z1223" s="5552"/>
      <c r="AA1223" s="5553"/>
      <c r="AB1223" s="5581"/>
      <c r="AC1223" s="4316"/>
      <c r="AD1223" s="3496"/>
      <c r="AE1223" s="5610"/>
      <c r="AF1223" s="5610"/>
      <c r="AG1223" s="11115"/>
    </row>
    <row r="1224" spans="1:33" ht="18" customHeight="1">
      <c r="A1224" s="11139"/>
      <c r="B1224" s="11136"/>
      <c r="C1224" s="11124"/>
      <c r="D1224" s="11124"/>
      <c r="E1224" s="11124"/>
      <c r="F1224" s="11124"/>
      <c r="G1224" s="11124"/>
      <c r="H1224" s="11124"/>
      <c r="I1224" s="11124"/>
      <c r="J1224" s="11124"/>
      <c r="K1224" s="11124"/>
      <c r="L1224" s="11131"/>
      <c r="M1224" s="11131"/>
      <c r="N1224" s="11131"/>
      <c r="O1224" s="11124"/>
      <c r="P1224" s="11124"/>
      <c r="Q1224" s="11127"/>
      <c r="R1224" s="5446"/>
      <c r="S1224" s="3579"/>
      <c r="T1224" s="3579"/>
      <c r="U1224" s="3578"/>
      <c r="V1224" s="4315"/>
      <c r="W1224" s="3579"/>
      <c r="X1224" s="5552"/>
      <c r="Y1224" s="5552"/>
      <c r="Z1224" s="5552"/>
      <c r="AA1224" s="5553"/>
      <c r="AB1224" s="5581"/>
      <c r="AC1224" s="4316"/>
      <c r="AD1224" s="3496"/>
      <c r="AE1224" s="5610"/>
      <c r="AF1224" s="5610"/>
      <c r="AG1224" s="11115"/>
    </row>
    <row r="1225" spans="1:33" ht="18" customHeight="1">
      <c r="A1225" s="11139"/>
      <c r="B1225" s="11137"/>
      <c r="C1225" s="11125"/>
      <c r="D1225" s="11125"/>
      <c r="E1225" s="11125"/>
      <c r="F1225" s="11125"/>
      <c r="G1225" s="11125"/>
      <c r="H1225" s="11125"/>
      <c r="I1225" s="11125"/>
      <c r="J1225" s="11125"/>
      <c r="K1225" s="11125"/>
      <c r="L1225" s="11134"/>
      <c r="M1225" s="11134"/>
      <c r="N1225" s="11134"/>
      <c r="O1225" s="11125"/>
      <c r="P1225" s="11125"/>
      <c r="Q1225" s="11135"/>
      <c r="R1225" s="5448"/>
      <c r="S1225" s="3617"/>
      <c r="T1225" s="3617"/>
      <c r="U1225" s="3616"/>
      <c r="V1225" s="4319"/>
      <c r="W1225" s="3617"/>
      <c r="X1225" s="5554"/>
      <c r="Y1225" s="5554"/>
      <c r="Z1225" s="5554"/>
      <c r="AA1225" s="5555"/>
      <c r="AB1225" s="5592"/>
      <c r="AC1225" s="4320"/>
      <c r="AD1225" s="3714"/>
      <c r="AE1225" s="5624"/>
      <c r="AF1225" s="5624"/>
      <c r="AG1225" s="11116"/>
    </row>
    <row r="1226" spans="1:33" ht="18" customHeight="1">
      <c r="A1226" s="11139"/>
      <c r="B1226" s="10516" t="s">
        <v>183</v>
      </c>
      <c r="C1226" s="10433" t="s">
        <v>227</v>
      </c>
      <c r="D1226" s="10433" t="s">
        <v>228</v>
      </c>
      <c r="E1226" s="10433" t="s">
        <v>229</v>
      </c>
      <c r="F1226" s="10442" t="s">
        <v>230</v>
      </c>
      <c r="G1226" s="10433" t="s">
        <v>171</v>
      </c>
      <c r="H1226" s="10433" t="s">
        <v>133</v>
      </c>
      <c r="I1226" s="10433" t="s">
        <v>6068</v>
      </c>
      <c r="J1226" s="10433" t="s">
        <v>6069</v>
      </c>
      <c r="K1226" s="10433" t="s">
        <v>6022</v>
      </c>
      <c r="L1226" s="10470">
        <v>1</v>
      </c>
      <c r="M1226" s="10470">
        <v>1</v>
      </c>
      <c r="N1226" s="10470">
        <v>1</v>
      </c>
      <c r="O1226" s="10433" t="s">
        <v>6070</v>
      </c>
      <c r="P1226" s="10433" t="s">
        <v>6071</v>
      </c>
      <c r="Q1226" s="10439" t="s">
        <v>6193</v>
      </c>
      <c r="R1226" s="5449"/>
      <c r="S1226" s="4336"/>
      <c r="T1226" s="4336"/>
      <c r="U1226" s="3597"/>
      <c r="V1226" s="4337"/>
      <c r="W1226" s="3598"/>
      <c r="X1226" s="5556"/>
      <c r="Y1226" s="5556"/>
      <c r="Z1226" s="5556"/>
      <c r="AA1226" s="5557"/>
      <c r="AB1226" s="5584"/>
      <c r="AC1226" s="4338"/>
      <c r="AD1226" s="3709"/>
      <c r="AE1226" s="5626"/>
      <c r="AF1226" s="5626"/>
      <c r="AG1226" s="10525"/>
    </row>
    <row r="1227" spans="1:33" ht="18" customHeight="1">
      <c r="A1227" s="11139"/>
      <c r="B1227" s="11136"/>
      <c r="C1227" s="11124"/>
      <c r="D1227" s="11124"/>
      <c r="E1227" s="11124"/>
      <c r="F1227" s="11124"/>
      <c r="G1227" s="11124"/>
      <c r="H1227" s="11124"/>
      <c r="I1227" s="11124"/>
      <c r="J1227" s="11124"/>
      <c r="K1227" s="11124"/>
      <c r="L1227" s="11131"/>
      <c r="M1227" s="11131"/>
      <c r="N1227" s="11131"/>
      <c r="O1227" s="11124"/>
      <c r="P1227" s="11124"/>
      <c r="Q1227" s="11127"/>
      <c r="R1227" s="5447"/>
      <c r="S1227" s="4325"/>
      <c r="T1227" s="4325"/>
      <c r="U1227" s="4326"/>
      <c r="V1227" s="4315"/>
      <c r="W1227" s="3579"/>
      <c r="X1227" s="5552"/>
      <c r="Y1227" s="5552"/>
      <c r="Z1227" s="5552"/>
      <c r="AA1227" s="5553"/>
      <c r="AB1227" s="5581"/>
      <c r="AC1227" s="4316"/>
      <c r="AD1227" s="3496"/>
      <c r="AE1227" s="5610"/>
      <c r="AF1227" s="5610"/>
      <c r="AG1227" s="11115"/>
    </row>
    <row r="1228" spans="1:33" ht="18" customHeight="1">
      <c r="A1228" s="11139"/>
      <c r="B1228" s="11136"/>
      <c r="C1228" s="11124"/>
      <c r="D1228" s="11124"/>
      <c r="E1228" s="11124"/>
      <c r="F1228" s="11124"/>
      <c r="G1228" s="11124"/>
      <c r="H1228" s="11124"/>
      <c r="I1228" s="11124"/>
      <c r="J1228" s="11124"/>
      <c r="K1228" s="11124"/>
      <c r="L1228" s="11131"/>
      <c r="M1228" s="11131"/>
      <c r="N1228" s="11131"/>
      <c r="O1228" s="11124"/>
      <c r="P1228" s="11124"/>
      <c r="Q1228" s="11127"/>
      <c r="R1228" s="5446"/>
      <c r="S1228" s="3579"/>
      <c r="T1228" s="3579"/>
      <c r="U1228" s="3578"/>
      <c r="V1228" s="4315"/>
      <c r="W1228" s="3579"/>
      <c r="X1228" s="5552"/>
      <c r="Y1228" s="5552"/>
      <c r="Z1228" s="5552"/>
      <c r="AA1228" s="5553"/>
      <c r="AB1228" s="5581"/>
      <c r="AC1228" s="4316"/>
      <c r="AD1228" s="3496"/>
      <c r="AE1228" s="5610"/>
      <c r="AF1228" s="5610"/>
      <c r="AG1228" s="11115"/>
    </row>
    <row r="1229" spans="1:33" ht="18" customHeight="1">
      <c r="A1229" s="11139"/>
      <c r="B1229" s="11136"/>
      <c r="C1229" s="11124"/>
      <c r="D1229" s="11124"/>
      <c r="E1229" s="11124"/>
      <c r="F1229" s="11124"/>
      <c r="G1229" s="11124"/>
      <c r="H1229" s="11124"/>
      <c r="I1229" s="11124"/>
      <c r="J1229" s="11124"/>
      <c r="K1229" s="11124"/>
      <c r="L1229" s="11131"/>
      <c r="M1229" s="11131"/>
      <c r="N1229" s="11131"/>
      <c r="O1229" s="11124"/>
      <c r="P1229" s="11124"/>
      <c r="Q1229" s="11127"/>
      <c r="R1229" s="5447"/>
      <c r="S1229" s="4325"/>
      <c r="T1229" s="4325"/>
      <c r="U1229" s="3578"/>
      <c r="V1229" s="4315"/>
      <c r="W1229" s="3579"/>
      <c r="X1229" s="5552"/>
      <c r="Y1229" s="5552"/>
      <c r="Z1229" s="5552"/>
      <c r="AA1229" s="5553"/>
      <c r="AB1229" s="5581"/>
      <c r="AC1229" s="4316"/>
      <c r="AD1229" s="3496"/>
      <c r="AE1229" s="5610"/>
      <c r="AF1229" s="5610"/>
      <c r="AG1229" s="11115"/>
    </row>
    <row r="1230" spans="1:33" ht="18" customHeight="1">
      <c r="A1230" s="11139"/>
      <c r="B1230" s="11138"/>
      <c r="C1230" s="11126"/>
      <c r="D1230" s="11126"/>
      <c r="E1230" s="11126"/>
      <c r="F1230" s="11126"/>
      <c r="G1230" s="11126"/>
      <c r="H1230" s="11126"/>
      <c r="I1230" s="11126"/>
      <c r="J1230" s="11126"/>
      <c r="K1230" s="11126"/>
      <c r="L1230" s="11132"/>
      <c r="M1230" s="11132"/>
      <c r="N1230" s="11132"/>
      <c r="O1230" s="11126"/>
      <c r="P1230" s="11126"/>
      <c r="Q1230" s="11128"/>
      <c r="R1230" s="5450"/>
      <c r="S1230" s="3606"/>
      <c r="T1230" s="3606"/>
      <c r="U1230" s="3605"/>
      <c r="V1230" s="4317"/>
      <c r="W1230" s="3606"/>
      <c r="X1230" s="5558"/>
      <c r="Y1230" s="5558"/>
      <c r="Z1230" s="5558"/>
      <c r="AA1230" s="5559"/>
      <c r="AB1230" s="5585"/>
      <c r="AC1230" s="4318"/>
      <c r="AD1230" s="3545"/>
      <c r="AE1230" s="5625"/>
      <c r="AF1230" s="5625"/>
      <c r="AG1230" s="11116"/>
    </row>
    <row r="1231" spans="1:33" ht="18" customHeight="1">
      <c r="A1231" s="11139"/>
      <c r="B1231" s="10512" t="s">
        <v>127</v>
      </c>
      <c r="C1231" s="10444" t="s">
        <v>128</v>
      </c>
      <c r="D1231" s="10444" t="s">
        <v>129</v>
      </c>
      <c r="E1231" s="10444" t="s">
        <v>157</v>
      </c>
      <c r="F1231" s="10451" t="s">
        <v>131</v>
      </c>
      <c r="G1231" s="10444" t="s">
        <v>132</v>
      </c>
      <c r="H1231" s="10444" t="s">
        <v>159</v>
      </c>
      <c r="I1231" s="10444" t="s">
        <v>6073</v>
      </c>
      <c r="J1231" s="10444" t="s">
        <v>6074</v>
      </c>
      <c r="K1231" s="10444" t="s">
        <v>5888</v>
      </c>
      <c r="L1231" s="10455">
        <v>3</v>
      </c>
      <c r="M1231" s="10455">
        <v>4</v>
      </c>
      <c r="N1231" s="10455">
        <v>3</v>
      </c>
      <c r="O1231" s="10444" t="s">
        <v>6075</v>
      </c>
      <c r="P1231" s="10444" t="s">
        <v>6076</v>
      </c>
      <c r="Q1231" s="10449" t="s">
        <v>6190</v>
      </c>
      <c r="R1231" s="5451"/>
      <c r="S1231" s="3650"/>
      <c r="T1231" s="3650"/>
      <c r="U1231" s="3622"/>
      <c r="V1231" s="4313"/>
      <c r="W1231" s="3623"/>
      <c r="X1231" s="5560"/>
      <c r="Y1231" s="5560"/>
      <c r="Z1231" s="5560"/>
      <c r="AA1231" s="5561"/>
      <c r="AB1231" s="5586"/>
      <c r="AC1231" s="4314"/>
      <c r="AD1231" s="3658"/>
      <c r="AE1231" s="5623"/>
      <c r="AF1231" s="5623"/>
      <c r="AG1231" s="10464"/>
    </row>
    <row r="1232" spans="1:33" ht="18" customHeight="1">
      <c r="A1232" s="11139"/>
      <c r="B1232" s="11136"/>
      <c r="C1232" s="11124"/>
      <c r="D1232" s="11124"/>
      <c r="E1232" s="11124"/>
      <c r="F1232" s="11124"/>
      <c r="G1232" s="11124"/>
      <c r="H1232" s="11124"/>
      <c r="I1232" s="11124"/>
      <c r="J1232" s="11124"/>
      <c r="K1232" s="11124"/>
      <c r="L1232" s="11131"/>
      <c r="M1232" s="11131"/>
      <c r="N1232" s="11131"/>
      <c r="O1232" s="11124"/>
      <c r="P1232" s="11124"/>
      <c r="Q1232" s="11127"/>
      <c r="R1232" s="5447"/>
      <c r="S1232" s="4325"/>
      <c r="T1232" s="4325"/>
      <c r="U1232" s="4326"/>
      <c r="V1232" s="4315"/>
      <c r="W1232" s="3579"/>
      <c r="X1232" s="5552"/>
      <c r="Y1232" s="5552"/>
      <c r="Z1232" s="5552"/>
      <c r="AA1232" s="5553"/>
      <c r="AB1232" s="5581"/>
      <c r="AC1232" s="4316"/>
      <c r="AD1232" s="3496"/>
      <c r="AE1232" s="5610"/>
      <c r="AF1232" s="5610"/>
      <c r="AG1232" s="11115"/>
    </row>
    <row r="1233" spans="1:33" ht="18" customHeight="1">
      <c r="A1233" s="11139"/>
      <c r="B1233" s="11136"/>
      <c r="C1233" s="11124"/>
      <c r="D1233" s="11124"/>
      <c r="E1233" s="11124"/>
      <c r="F1233" s="11124"/>
      <c r="G1233" s="11124"/>
      <c r="H1233" s="11124"/>
      <c r="I1233" s="11124"/>
      <c r="J1233" s="11124"/>
      <c r="K1233" s="11124"/>
      <c r="L1233" s="11131"/>
      <c r="M1233" s="11131"/>
      <c r="N1233" s="11131"/>
      <c r="O1233" s="11124"/>
      <c r="P1233" s="11124"/>
      <c r="Q1233" s="11127"/>
      <c r="R1233" s="5446"/>
      <c r="S1233" s="3579"/>
      <c r="T1233" s="3579"/>
      <c r="U1233" s="3578"/>
      <c r="V1233" s="4315"/>
      <c r="W1233" s="3579"/>
      <c r="X1233" s="5552"/>
      <c r="Y1233" s="5552"/>
      <c r="Z1233" s="5552"/>
      <c r="AA1233" s="5553"/>
      <c r="AB1233" s="5581"/>
      <c r="AC1233" s="4316"/>
      <c r="AD1233" s="3496"/>
      <c r="AE1233" s="5610"/>
      <c r="AF1233" s="5610"/>
      <c r="AG1233" s="11115"/>
    </row>
    <row r="1234" spans="1:33" ht="18" customHeight="1">
      <c r="A1234" s="11139"/>
      <c r="B1234" s="11136"/>
      <c r="C1234" s="11124"/>
      <c r="D1234" s="11124"/>
      <c r="E1234" s="11124"/>
      <c r="F1234" s="11124"/>
      <c r="G1234" s="11124"/>
      <c r="H1234" s="11124"/>
      <c r="I1234" s="11124"/>
      <c r="J1234" s="11124"/>
      <c r="K1234" s="11124"/>
      <c r="L1234" s="11131"/>
      <c r="M1234" s="11131"/>
      <c r="N1234" s="11131"/>
      <c r="O1234" s="11124"/>
      <c r="P1234" s="11124"/>
      <c r="Q1234" s="11127"/>
      <c r="R1234" s="5447"/>
      <c r="S1234" s="4325"/>
      <c r="T1234" s="4325"/>
      <c r="U1234" s="3578"/>
      <c r="V1234" s="4315"/>
      <c r="W1234" s="3579"/>
      <c r="X1234" s="5552"/>
      <c r="Y1234" s="5552"/>
      <c r="Z1234" s="5552"/>
      <c r="AA1234" s="5553"/>
      <c r="AB1234" s="5581"/>
      <c r="AC1234" s="4316"/>
      <c r="AD1234" s="3496"/>
      <c r="AE1234" s="5610"/>
      <c r="AF1234" s="5610"/>
      <c r="AG1234" s="11115"/>
    </row>
    <row r="1235" spans="1:33" ht="18" customHeight="1">
      <c r="A1235" s="11139"/>
      <c r="B1235" s="11138"/>
      <c r="C1235" s="11126"/>
      <c r="D1235" s="11126"/>
      <c r="E1235" s="11126"/>
      <c r="F1235" s="11126"/>
      <c r="G1235" s="11126"/>
      <c r="H1235" s="11126"/>
      <c r="I1235" s="11126"/>
      <c r="J1235" s="11126"/>
      <c r="K1235" s="11126"/>
      <c r="L1235" s="11132"/>
      <c r="M1235" s="11132"/>
      <c r="N1235" s="11132"/>
      <c r="O1235" s="11126"/>
      <c r="P1235" s="11126"/>
      <c r="Q1235" s="11128"/>
      <c r="R1235" s="5450"/>
      <c r="S1235" s="3606"/>
      <c r="T1235" s="3606"/>
      <c r="U1235" s="3605"/>
      <c r="V1235" s="4317"/>
      <c r="W1235" s="3606"/>
      <c r="X1235" s="5558"/>
      <c r="Y1235" s="5558"/>
      <c r="Z1235" s="5558"/>
      <c r="AA1235" s="5559"/>
      <c r="AB1235" s="5585"/>
      <c r="AC1235" s="4318"/>
      <c r="AD1235" s="3545"/>
      <c r="AE1235" s="5625"/>
      <c r="AF1235" s="5625"/>
      <c r="AG1235" s="11116"/>
    </row>
    <row r="1236" spans="1:33" s="6155" customFormat="1" ht="22.5" customHeight="1" thickBot="1">
      <c r="A1236" s="6150"/>
      <c r="B1236" s="6151"/>
      <c r="C1236" s="6151"/>
      <c r="D1236" s="6151"/>
      <c r="E1236" s="6151"/>
      <c r="F1236" s="6151"/>
      <c r="G1236" s="6151"/>
      <c r="H1236" s="6151"/>
      <c r="I1236" s="6151"/>
      <c r="J1236" s="6151"/>
      <c r="K1236" s="6151"/>
      <c r="L1236" s="6151"/>
      <c r="M1236" s="6151"/>
      <c r="N1236" s="6151"/>
      <c r="O1236" s="6151"/>
      <c r="P1236" s="6151"/>
      <c r="Q1236" s="6152"/>
      <c r="R1236" s="11162" t="s">
        <v>6194</v>
      </c>
      <c r="S1236" s="11145"/>
      <c r="T1236" s="11145"/>
      <c r="U1236" s="11145"/>
      <c r="V1236" s="11145"/>
      <c r="W1236" s="11145"/>
      <c r="X1236" s="11145"/>
      <c r="Y1236" s="11145"/>
      <c r="Z1236" s="5321" t="s">
        <v>292</v>
      </c>
      <c r="AA1236" s="7469">
        <f>SUM(AA1161:AA1235)</f>
        <v>0</v>
      </c>
      <c r="AB1236" s="6154"/>
      <c r="AC1236" s="6154"/>
      <c r="AD1236" s="11163"/>
      <c r="AE1236" s="11164"/>
      <c r="AF1236" s="11164"/>
      <c r="AG1236" s="11165"/>
    </row>
    <row r="1237" spans="1:33" s="6160" customFormat="1" ht="30" customHeight="1" thickBot="1">
      <c r="A1237" s="6157"/>
      <c r="B1237" s="500"/>
      <c r="C1237" s="500"/>
      <c r="D1237" s="500"/>
      <c r="E1237" s="500"/>
      <c r="F1237" s="500"/>
      <c r="G1237" s="500"/>
      <c r="H1237" s="500"/>
      <c r="I1237" s="500"/>
      <c r="J1237" s="500"/>
      <c r="K1237" s="500"/>
      <c r="L1237" s="500"/>
      <c r="M1237" s="500"/>
      <c r="N1237" s="500"/>
      <c r="O1237" s="500"/>
      <c r="P1237" s="500"/>
      <c r="Q1237" s="6158"/>
      <c r="R1237" s="9189" t="s">
        <v>6195</v>
      </c>
      <c r="S1237" s="11166"/>
      <c r="T1237" s="11166"/>
      <c r="U1237" s="11166"/>
      <c r="V1237" s="11166"/>
      <c r="W1237" s="11166"/>
      <c r="X1237" s="11166"/>
      <c r="Y1237" s="11166"/>
      <c r="Z1237" s="502" t="s">
        <v>292</v>
      </c>
      <c r="AA1237" s="503">
        <f>SUM(AA1236,AA1160,AA1084,AA1008,AA932,AA856,AA780,AA704,AA628,AA552,AA471,AA382,AA306,AA265,AA204,AA123)</f>
        <v>407014.76</v>
      </c>
      <c r="AB1237" s="6159"/>
      <c r="AC1237" s="6159"/>
      <c r="AD1237" s="9972"/>
      <c r="AE1237" s="11167"/>
      <c r="AF1237" s="11167"/>
      <c r="AG1237" s="11168"/>
    </row>
    <row r="1238" spans="1:33" ht="32.25" customHeight="1" thickTop="1">
      <c r="A1238" s="1773"/>
      <c r="B1238" s="1774" t="s">
        <v>656</v>
      </c>
      <c r="C1238" s="1773"/>
      <c r="D1238" s="1773"/>
      <c r="E1238" s="1773"/>
      <c r="F1238" s="1773"/>
      <c r="G1238" s="1773"/>
      <c r="H1238" s="1773"/>
      <c r="I1238" s="1773"/>
      <c r="J1238" s="1773"/>
      <c r="K1238" s="1773"/>
      <c r="L1238" s="1773"/>
      <c r="M1238" s="1773"/>
      <c r="N1238" s="1773"/>
      <c r="O1238" s="1773"/>
      <c r="P1238" s="1773"/>
      <c r="Q1238" s="1773"/>
      <c r="R1238" s="11169" t="s">
        <v>6196</v>
      </c>
      <c r="S1238" s="11170"/>
      <c r="T1238" s="11170"/>
      <c r="U1238" s="11170"/>
      <c r="V1238" s="11170"/>
      <c r="W1238" s="11170"/>
      <c r="X1238" s="11170"/>
      <c r="Y1238" s="11170"/>
      <c r="Z1238" s="11170"/>
      <c r="AA1238" s="11170"/>
      <c r="AB1238" s="11170"/>
      <c r="AC1238" s="11170"/>
      <c r="AD1238" s="11170"/>
      <c r="AE1238" s="11170"/>
      <c r="AF1238" s="11170"/>
      <c r="AG1238" s="11170"/>
    </row>
    <row r="1239" spans="1:33" ht="15">
      <c r="A1239" s="1773"/>
      <c r="B1239" s="1774" t="s">
        <v>658</v>
      </c>
      <c r="C1239" s="1773"/>
      <c r="D1239" s="1773"/>
      <c r="E1239" s="1773"/>
      <c r="F1239" s="1773"/>
      <c r="G1239" s="1773"/>
      <c r="H1239" s="1773"/>
      <c r="I1239" s="1773"/>
      <c r="J1239" s="1773"/>
      <c r="K1239" s="1773"/>
      <c r="L1239" s="1773"/>
      <c r="M1239" s="1773"/>
      <c r="N1239" s="1773"/>
      <c r="O1239" s="1773"/>
      <c r="P1239" s="1773"/>
      <c r="Q1239" s="1773"/>
      <c r="R1239" s="1728"/>
      <c r="S1239" s="1474"/>
      <c r="T1239" s="1474"/>
      <c r="U1239" s="1474"/>
      <c r="V1239" s="1474"/>
      <c r="W1239" s="1474"/>
      <c r="X1239" s="1474"/>
      <c r="Y1239" s="1474"/>
      <c r="Z1239" s="1474"/>
      <c r="AA1239" s="1474"/>
      <c r="AB1239" s="1474"/>
      <c r="AC1239" s="1474"/>
      <c r="AD1239" s="1474"/>
      <c r="AE1239" s="1474"/>
      <c r="AF1239" s="1474"/>
      <c r="AG1239" s="1474"/>
    </row>
    <row r="1240" spans="1:33" ht="16.5" customHeight="1">
      <c r="A1240" s="1773"/>
      <c r="C1240" s="1773"/>
      <c r="D1240" s="1773"/>
      <c r="E1240" s="1773"/>
      <c r="F1240" s="1773"/>
      <c r="G1240" s="1773"/>
      <c r="H1240" s="1773"/>
      <c r="I1240" s="1773"/>
      <c r="J1240" s="1773"/>
      <c r="K1240" s="1773"/>
      <c r="L1240" s="1773"/>
      <c r="M1240" s="1773"/>
      <c r="N1240" s="1773"/>
      <c r="O1240" s="1773"/>
      <c r="P1240" s="1773"/>
      <c r="Q1240" s="1773"/>
      <c r="R1240" s="1775"/>
      <c r="S1240" s="1775"/>
      <c r="T1240" s="11171" t="s">
        <v>3415</v>
      </c>
      <c r="U1240" s="11172"/>
      <c r="V1240" s="11172"/>
      <c r="W1240" s="11172"/>
      <c r="X1240" s="11172"/>
      <c r="Y1240" s="11172"/>
      <c r="Z1240" s="2200"/>
      <c r="AA1240" s="2201"/>
      <c r="AB1240" s="2201"/>
      <c r="AC1240" s="11173"/>
      <c r="AD1240" s="11170"/>
      <c r="AE1240" s="1773"/>
      <c r="AF1240" s="1773"/>
      <c r="AG1240" s="1474"/>
    </row>
    <row r="1241" spans="1:33" ht="18">
      <c r="A1241" s="1773"/>
      <c r="B1241" s="1773"/>
      <c r="C1241" s="1773"/>
      <c r="D1241" s="1773"/>
      <c r="E1241" s="1773"/>
      <c r="F1241" s="1773"/>
      <c r="G1241" s="1773"/>
      <c r="H1241" s="1773"/>
      <c r="I1241" s="1773"/>
      <c r="J1241" s="1773"/>
      <c r="K1241" s="1773"/>
      <c r="L1241" s="1773"/>
      <c r="M1241" s="1773"/>
      <c r="N1241" s="1773"/>
      <c r="O1241" s="1773"/>
      <c r="P1241" s="1773"/>
      <c r="Q1241" s="1773"/>
      <c r="R1241" s="1775"/>
      <c r="S1241" s="1428"/>
      <c r="T1241" s="2021"/>
      <c r="U1241" s="2021"/>
      <c r="V1241" s="2242"/>
      <c r="W1241" s="2243"/>
      <c r="X1241" s="2021"/>
      <c r="Y1241" s="2021"/>
      <c r="Z1241" s="1775"/>
      <c r="AA1241" s="2202"/>
      <c r="AB1241" s="2202"/>
      <c r="AC1241" s="1773"/>
      <c r="AD1241" s="2203"/>
      <c r="AE1241" s="1773"/>
      <c r="AF1241" s="1773"/>
      <c r="AG1241" s="1474"/>
    </row>
    <row r="1242" spans="1:33" ht="18" customHeight="1">
      <c r="A1242" s="1773"/>
      <c r="B1242" s="1773"/>
      <c r="C1242" s="1773"/>
      <c r="D1242" s="1773"/>
      <c r="E1242" s="1773"/>
      <c r="F1242" s="1773"/>
      <c r="G1242" s="1773"/>
      <c r="H1242" s="1773"/>
      <c r="I1242" s="1773"/>
      <c r="J1242" s="1773"/>
      <c r="K1242" s="1773"/>
      <c r="L1242" s="1773"/>
      <c r="M1242" s="1773"/>
      <c r="N1242" s="1773"/>
      <c r="O1242" s="1773"/>
      <c r="P1242" s="1773"/>
      <c r="Q1242" s="1773"/>
      <c r="R1242" s="1775"/>
      <c r="S1242" s="1775"/>
      <c r="T1242" s="5919" t="s">
        <v>5</v>
      </c>
      <c r="U1242" s="5906" t="s">
        <v>6</v>
      </c>
      <c r="V1242" s="5920" t="s">
        <v>7</v>
      </c>
      <c r="W1242" s="5921" t="s">
        <v>352</v>
      </c>
      <c r="X1242" s="5921" t="s">
        <v>9</v>
      </c>
      <c r="Y1242" s="5922" t="s">
        <v>353</v>
      </c>
      <c r="Z1242" s="1776"/>
      <c r="AA1242" s="2719"/>
      <c r="AB1242" s="2202"/>
      <c r="AC1242" s="2204"/>
      <c r="AD1242" s="2205"/>
      <c r="AE1242" s="1773"/>
      <c r="AF1242" s="1773"/>
      <c r="AG1242" s="1474"/>
    </row>
    <row r="1243" spans="1:33" ht="49.5">
      <c r="A1243" s="1773"/>
      <c r="B1243" s="1773"/>
      <c r="C1243" s="1773"/>
      <c r="D1243" s="1773"/>
      <c r="E1243" s="1773"/>
      <c r="F1243" s="1773"/>
      <c r="G1243" s="1773"/>
      <c r="H1243" s="1773"/>
      <c r="I1243" s="1773"/>
      <c r="J1243" s="1773"/>
      <c r="K1243" s="1773"/>
      <c r="L1243" s="1773"/>
      <c r="M1243" s="1773"/>
      <c r="N1243" s="1773"/>
      <c r="O1243" s="1775"/>
      <c r="P1243" s="1775"/>
      <c r="Q1243" s="1775"/>
      <c r="R1243" s="1775"/>
      <c r="S1243" s="1775"/>
      <c r="T1243" s="761" t="s">
        <v>79</v>
      </c>
      <c r="U1243" s="946" t="s">
        <v>281</v>
      </c>
      <c r="V1243" s="2675">
        <v>530402</v>
      </c>
      <c r="W1243" s="2676" t="s">
        <v>17</v>
      </c>
      <c r="X1243" s="2676" t="s">
        <v>26</v>
      </c>
      <c r="Y1243" s="2827">
        <f>Z80</f>
        <v>0</v>
      </c>
      <c r="Z1243" s="1776"/>
      <c r="AA1243" s="2202"/>
      <c r="AB1243" s="2202"/>
      <c r="AC1243" s="2207"/>
      <c r="AD1243" s="2208"/>
      <c r="AE1243" s="1773"/>
      <c r="AF1243" s="1773"/>
      <c r="AG1243" s="1474"/>
    </row>
    <row r="1244" spans="1:33" ht="33">
      <c r="A1244" s="1773"/>
      <c r="B1244" s="1773"/>
      <c r="C1244" s="1773"/>
      <c r="D1244" s="1773"/>
      <c r="E1244" s="1773"/>
      <c r="F1244" s="1773"/>
      <c r="G1244" s="1773"/>
      <c r="H1244" s="1773"/>
      <c r="I1244" s="1773"/>
      <c r="J1244" s="1773"/>
      <c r="K1244" s="1773"/>
      <c r="L1244" s="1773"/>
      <c r="M1244" s="1773"/>
      <c r="N1244" s="1773"/>
      <c r="O1244" s="1775"/>
      <c r="P1244" s="1775"/>
      <c r="Q1244" s="1775"/>
      <c r="R1244" s="1775"/>
      <c r="S1244" s="1775"/>
      <c r="T1244" s="761" t="s">
        <v>79</v>
      </c>
      <c r="U1244" s="946" t="s">
        <v>671</v>
      </c>
      <c r="V1244" s="2675">
        <v>531403</v>
      </c>
      <c r="W1244" s="2676" t="s">
        <v>17</v>
      </c>
      <c r="X1244" s="2676" t="s">
        <v>18</v>
      </c>
      <c r="Y1244" s="2827">
        <f>+AA81</f>
        <v>868.55</v>
      </c>
      <c r="Z1244" s="1776"/>
      <c r="AA1244" s="2202"/>
      <c r="AB1244" s="2202"/>
      <c r="AC1244" s="2207"/>
      <c r="AD1244" s="2208"/>
      <c r="AE1244" s="1773"/>
      <c r="AF1244" s="1773"/>
      <c r="AG1244" s="1474"/>
    </row>
    <row r="1245" spans="1:33" ht="33">
      <c r="A1245" s="1773"/>
      <c r="B1245" s="1773"/>
      <c r="C1245" s="1773"/>
      <c r="D1245" s="1773"/>
      <c r="E1245" s="1773"/>
      <c r="F1245" s="1773"/>
      <c r="G1245" s="1773"/>
      <c r="H1245" s="1773"/>
      <c r="I1245" s="1773"/>
      <c r="J1245" s="1773"/>
      <c r="K1245" s="1773"/>
      <c r="L1245" s="1773"/>
      <c r="M1245" s="1773"/>
      <c r="N1245" s="1773"/>
      <c r="O1245" s="1775"/>
      <c r="P1245" s="1775"/>
      <c r="Q1245" s="1775"/>
      <c r="R1245" s="1775"/>
      <c r="S1245" s="1775"/>
      <c r="T1245" s="761" t="s">
        <v>79</v>
      </c>
      <c r="U1245" s="946" t="s">
        <v>903</v>
      </c>
      <c r="V1245" s="2675">
        <v>531408</v>
      </c>
      <c r="W1245" s="2676" t="s">
        <v>17</v>
      </c>
      <c r="X1245" s="2676" t="s">
        <v>25</v>
      </c>
      <c r="Y1245" s="2827">
        <f>+AA705</f>
        <v>1179.75</v>
      </c>
      <c r="Z1245" s="1776"/>
      <c r="AA1245" s="2202"/>
      <c r="AB1245" s="2202"/>
      <c r="AC1245" s="2207"/>
      <c r="AD1245" s="2208"/>
      <c r="AE1245" s="1773"/>
      <c r="AF1245" s="1773"/>
      <c r="AG1245" s="1474"/>
    </row>
    <row r="1246" spans="1:33" ht="33">
      <c r="A1246" s="1773"/>
      <c r="B1246" s="1773"/>
      <c r="C1246" s="1773"/>
      <c r="D1246" s="1773"/>
      <c r="E1246" s="1773"/>
      <c r="F1246" s="1773"/>
      <c r="G1246" s="1773"/>
      <c r="H1246" s="1773"/>
      <c r="I1246" s="1773"/>
      <c r="J1246" s="1773"/>
      <c r="K1246" s="1773"/>
      <c r="L1246" s="1773"/>
      <c r="M1246" s="1773"/>
      <c r="N1246" s="1773"/>
      <c r="O1246" s="1775"/>
      <c r="P1246" s="1775"/>
      <c r="Q1246" s="1775"/>
      <c r="R1246" s="1775"/>
      <c r="S1246" s="1775"/>
      <c r="T1246" s="639" t="s">
        <v>79</v>
      </c>
      <c r="U1246" s="946" t="s">
        <v>591</v>
      </c>
      <c r="V1246" s="2675">
        <v>840103</v>
      </c>
      <c r="W1246" s="2676" t="s">
        <v>17</v>
      </c>
      <c r="X1246" s="2676" t="s">
        <v>25</v>
      </c>
      <c r="Y1246" s="2827">
        <f>+AA707</f>
        <v>860</v>
      </c>
      <c r="Z1246" s="1776"/>
      <c r="AA1246" s="2202"/>
      <c r="AB1246" s="2202"/>
      <c r="AC1246" s="2207"/>
      <c r="AD1246" s="2208"/>
      <c r="AE1246" s="1773"/>
      <c r="AF1246" s="1773"/>
      <c r="AG1246" s="1474"/>
    </row>
    <row r="1247" spans="1:33" ht="33">
      <c r="A1247" s="1773"/>
      <c r="B1247" s="1773"/>
      <c r="C1247" s="1773"/>
      <c r="D1247" s="1773"/>
      <c r="E1247" s="1773"/>
      <c r="F1247" s="1773"/>
      <c r="G1247" s="1773"/>
      <c r="H1247" s="1773"/>
      <c r="I1247" s="1773"/>
      <c r="J1247" s="1773"/>
      <c r="K1247" s="1773"/>
      <c r="L1247" s="1773"/>
      <c r="M1247" s="1773"/>
      <c r="N1247" s="1773"/>
      <c r="O1247" s="1775"/>
      <c r="P1247" s="1775"/>
      <c r="Q1247" s="1775"/>
      <c r="R1247" s="1775"/>
      <c r="S1247" s="1775"/>
      <c r="T1247" s="639" t="s">
        <v>79</v>
      </c>
      <c r="U1247" s="946" t="s">
        <v>591</v>
      </c>
      <c r="V1247" s="2675">
        <v>840103</v>
      </c>
      <c r="W1247" s="2676" t="s">
        <v>17</v>
      </c>
      <c r="X1247" s="2676" t="s">
        <v>18</v>
      </c>
      <c r="Y1247" s="2827">
        <f>+AA55</f>
        <v>12958.62</v>
      </c>
      <c r="Z1247" s="1776"/>
      <c r="AA1247" s="2202"/>
      <c r="AB1247" s="2202"/>
      <c r="AC1247" s="2207"/>
      <c r="AD1247" s="2208"/>
      <c r="AE1247" s="1773"/>
      <c r="AF1247" s="1773"/>
      <c r="AG1247" s="1474"/>
    </row>
    <row r="1248" spans="1:33" ht="33">
      <c r="A1248" s="1773"/>
      <c r="B1248" s="1773"/>
      <c r="C1248" s="1773"/>
      <c r="D1248" s="1773"/>
      <c r="E1248" s="1773"/>
      <c r="F1248" s="1773"/>
      <c r="G1248" s="1773"/>
      <c r="H1248" s="1773"/>
      <c r="I1248" s="1773"/>
      <c r="J1248" s="1773"/>
      <c r="K1248" s="1773"/>
      <c r="L1248" s="1773"/>
      <c r="M1248" s="1773"/>
      <c r="N1248" s="1773"/>
      <c r="O1248" s="1775"/>
      <c r="P1248" s="1775"/>
      <c r="Q1248" s="1775"/>
      <c r="R1248" s="1775"/>
      <c r="S1248" s="1775"/>
      <c r="T1248" s="639" t="s">
        <v>79</v>
      </c>
      <c r="U1248" s="946" t="s">
        <v>39</v>
      </c>
      <c r="V1248" s="2675">
        <v>840104</v>
      </c>
      <c r="W1248" s="2676" t="s">
        <v>17</v>
      </c>
      <c r="X1248" s="2676" t="s">
        <v>18</v>
      </c>
      <c r="Y1248" s="2827">
        <f>+AA17</f>
        <v>1325</v>
      </c>
      <c r="Z1248" s="1776"/>
      <c r="AA1248" s="2202"/>
      <c r="AB1248" s="2202"/>
      <c r="AC1248" s="2207"/>
      <c r="AD1248" s="2209"/>
      <c r="AE1248" s="1773"/>
      <c r="AF1248" s="1773"/>
      <c r="AG1248" s="1474"/>
    </row>
    <row r="1249" spans="1:33" ht="33">
      <c r="A1249" s="1773"/>
      <c r="B1249" s="1773"/>
      <c r="C1249" s="1773"/>
      <c r="D1249" s="1773"/>
      <c r="E1249" s="1773"/>
      <c r="F1249" s="1773"/>
      <c r="G1249" s="1773"/>
      <c r="H1249" s="1773"/>
      <c r="I1249" s="1773"/>
      <c r="J1249" s="1773"/>
      <c r="K1249" s="1773"/>
      <c r="L1249" s="1773"/>
      <c r="M1249" s="1773"/>
      <c r="N1249" s="1773"/>
      <c r="O1249" s="1775"/>
      <c r="P1249" s="1775"/>
      <c r="Q1249" s="1775"/>
      <c r="R1249" s="1775"/>
      <c r="S1249" s="1775"/>
      <c r="T1249" s="639" t="s">
        <v>79</v>
      </c>
      <c r="U1249" s="946" t="s">
        <v>5812</v>
      </c>
      <c r="V1249" s="2675">
        <v>840203</v>
      </c>
      <c r="W1249" s="2676" t="s">
        <v>17</v>
      </c>
      <c r="X1249" s="2676" t="s">
        <v>25</v>
      </c>
      <c r="Y1249" s="2827">
        <f>+AA66</f>
        <v>329688.40999999997</v>
      </c>
      <c r="Z1249" s="1776"/>
      <c r="AA1249" s="2202"/>
      <c r="AB1249" s="2202"/>
      <c r="AC1249" s="2207"/>
      <c r="AD1249" s="2209"/>
      <c r="AE1249" s="1773"/>
      <c r="AF1249" s="1773"/>
      <c r="AG1249" s="1474"/>
    </row>
    <row r="1250" spans="1:33" ht="33">
      <c r="A1250" s="1773"/>
      <c r="B1250" s="1773"/>
      <c r="C1250" s="1773"/>
      <c r="D1250" s="1773"/>
      <c r="E1250" s="1773"/>
      <c r="F1250" s="1773"/>
      <c r="G1250" s="1773"/>
      <c r="H1250" s="1773"/>
      <c r="I1250" s="1773"/>
      <c r="J1250" s="1773"/>
      <c r="K1250" s="1773"/>
      <c r="L1250" s="1773"/>
      <c r="M1250" s="1773"/>
      <c r="N1250" s="1773"/>
      <c r="O1250" s="1775"/>
      <c r="P1250" s="1775"/>
      <c r="Q1250" s="1775"/>
      <c r="R1250" s="1775"/>
      <c r="S1250" s="1775"/>
      <c r="T1250" s="761" t="s">
        <v>80</v>
      </c>
      <c r="U1250" s="946" t="s">
        <v>6118</v>
      </c>
      <c r="V1250" s="2675">
        <v>530204</v>
      </c>
      <c r="W1250" s="2676" t="s">
        <v>17</v>
      </c>
      <c r="X1250" s="2676" t="s">
        <v>25</v>
      </c>
      <c r="Y1250" s="2827">
        <f>+AA495</f>
        <v>2000</v>
      </c>
      <c r="Z1250" s="1776"/>
      <c r="AA1250" s="2202"/>
      <c r="AB1250" s="2202"/>
      <c r="AC1250" s="2207"/>
      <c r="AD1250" s="2209"/>
      <c r="AE1250" s="1773"/>
      <c r="AF1250" s="1773"/>
      <c r="AG1250" s="1474"/>
    </row>
    <row r="1251" spans="1:33" ht="33">
      <c r="A1251" s="1773"/>
      <c r="B1251" s="1773"/>
      <c r="C1251" s="1773"/>
      <c r="D1251" s="1773"/>
      <c r="E1251" s="1773"/>
      <c r="F1251" s="1773"/>
      <c r="G1251" s="1773"/>
      <c r="H1251" s="1773"/>
      <c r="I1251" s="1773"/>
      <c r="J1251" s="1773"/>
      <c r="K1251" s="1773"/>
      <c r="L1251" s="1773"/>
      <c r="M1251" s="1773"/>
      <c r="N1251" s="1773"/>
      <c r="O1251" s="1775"/>
      <c r="P1251" s="1775"/>
      <c r="Q1251" s="1775"/>
      <c r="R1251" s="1775"/>
      <c r="S1251" s="1775"/>
      <c r="T1251" s="761" t="s">
        <v>80</v>
      </c>
      <c r="U1251" s="946" t="s">
        <v>1089</v>
      </c>
      <c r="V1251" s="2675">
        <v>530812</v>
      </c>
      <c r="W1251" s="2676" t="s">
        <v>17</v>
      </c>
      <c r="X1251" s="2676" t="s">
        <v>18</v>
      </c>
      <c r="Y1251" s="2827">
        <f>+AA29</f>
        <v>2477.5000000000005</v>
      </c>
      <c r="Z1251" s="1776"/>
      <c r="AA1251" s="2202"/>
      <c r="AB1251" s="2202"/>
      <c r="AC1251" s="2207"/>
      <c r="AD1251" s="2208"/>
      <c r="AE1251" s="1773"/>
      <c r="AF1251" s="1773"/>
      <c r="AG1251" s="1474"/>
    </row>
    <row r="1252" spans="1:33" ht="33">
      <c r="A1252" s="1773"/>
      <c r="B1252" s="1773"/>
      <c r="C1252" s="1773"/>
      <c r="D1252" s="1773"/>
      <c r="E1252" s="1773"/>
      <c r="F1252" s="1773"/>
      <c r="G1252" s="1773"/>
      <c r="H1252" s="1773"/>
      <c r="I1252" s="1773"/>
      <c r="J1252" s="1773"/>
      <c r="K1252" s="1773"/>
      <c r="L1252" s="1773"/>
      <c r="M1252" s="1773"/>
      <c r="N1252" s="1773"/>
      <c r="O1252" s="1775"/>
      <c r="P1252" s="1775"/>
      <c r="Q1252" s="1775"/>
      <c r="R1252" s="1775"/>
      <c r="S1252" s="1775"/>
      <c r="T1252" s="639" t="s">
        <v>80</v>
      </c>
      <c r="U1252" s="946" t="s">
        <v>39</v>
      </c>
      <c r="V1252" s="2675">
        <v>840104</v>
      </c>
      <c r="W1252" s="2676" t="s">
        <v>17</v>
      </c>
      <c r="X1252" s="2676" t="s">
        <v>26</v>
      </c>
      <c r="Y1252" s="2827">
        <f>+AA383</f>
        <v>28605.919999999998</v>
      </c>
      <c r="Z1252" s="1776"/>
      <c r="AA1252" s="2202"/>
      <c r="AB1252" s="2202"/>
      <c r="AC1252" s="2207"/>
      <c r="AD1252" s="2208"/>
      <c r="AE1252" s="1773"/>
      <c r="AF1252" s="1773"/>
      <c r="AG1252" s="1474"/>
    </row>
    <row r="1253" spans="1:33" ht="33">
      <c r="A1253" s="1773"/>
      <c r="B1253" s="1773"/>
      <c r="C1253" s="1773"/>
      <c r="D1253" s="1773"/>
      <c r="E1253" s="1773"/>
      <c r="F1253" s="1773"/>
      <c r="G1253" s="1773"/>
      <c r="H1253" s="1773"/>
      <c r="I1253" s="1773"/>
      <c r="J1253" s="1773"/>
      <c r="K1253" s="1773"/>
      <c r="L1253" s="1773"/>
      <c r="M1253" s="1773"/>
      <c r="N1253" s="1773"/>
      <c r="O1253" s="1775"/>
      <c r="P1253" s="1775"/>
      <c r="Q1253" s="1775"/>
      <c r="R1253" s="1775"/>
      <c r="S1253" s="1775"/>
      <c r="T1253" s="639" t="s">
        <v>80</v>
      </c>
      <c r="U1253" s="946" t="s">
        <v>39</v>
      </c>
      <c r="V1253" s="2675">
        <v>840104</v>
      </c>
      <c r="W1253" s="2676" t="s">
        <v>17</v>
      </c>
      <c r="X1253" s="2676" t="s">
        <v>18</v>
      </c>
      <c r="Y1253" s="2827">
        <f>+AA75</f>
        <v>0</v>
      </c>
      <c r="Z1253" s="2210"/>
      <c r="AA1253" s="2202"/>
      <c r="AB1253" s="2202"/>
      <c r="AC1253" s="2207"/>
      <c r="AD1253" s="2209"/>
      <c r="AE1253" s="1773"/>
      <c r="AF1253" s="1773"/>
      <c r="AG1253" s="1474"/>
    </row>
    <row r="1254" spans="1:33" ht="33">
      <c r="A1254" s="1773"/>
      <c r="B1254" s="1773"/>
      <c r="C1254" s="1773"/>
      <c r="D1254" s="1773"/>
      <c r="E1254" s="1773"/>
      <c r="F1254" s="1773"/>
      <c r="G1254" s="1773"/>
      <c r="H1254" s="1773"/>
      <c r="I1254" s="1773"/>
      <c r="J1254" s="1773"/>
      <c r="K1254" s="1773"/>
      <c r="L1254" s="1773"/>
      <c r="M1254" s="1773"/>
      <c r="N1254" s="1773"/>
      <c r="O1254" s="1775"/>
      <c r="P1254" s="1775"/>
      <c r="Q1254" s="1775"/>
      <c r="R1254" s="1775"/>
      <c r="S1254" s="1775"/>
      <c r="T1254" s="2674" t="s">
        <v>80</v>
      </c>
      <c r="U1254" s="963" t="s">
        <v>40</v>
      </c>
      <c r="V1254" s="2677" t="s">
        <v>1129</v>
      </c>
      <c r="W1254" s="2677" t="s">
        <v>17</v>
      </c>
      <c r="X1254" s="2677" t="s">
        <v>18</v>
      </c>
      <c r="Y1254" s="2828">
        <f>+AA70+AA416+AA573</f>
        <v>9820</v>
      </c>
      <c r="Z1254" s="2211"/>
      <c r="AA1254" s="2212"/>
      <c r="AB1254" s="2212"/>
      <c r="AC1254" s="2213"/>
      <c r="AD1254" s="2209"/>
      <c r="AE1254" s="1773"/>
      <c r="AF1254" s="1773"/>
      <c r="AG1254" s="1474"/>
    </row>
    <row r="1255" spans="1:33" ht="49.5">
      <c r="A1255" s="1773"/>
      <c r="B1255" s="1773"/>
      <c r="C1255" s="1773"/>
      <c r="D1255" s="1773"/>
      <c r="E1255" s="1773"/>
      <c r="F1255" s="1773"/>
      <c r="G1255" s="1773"/>
      <c r="H1255" s="1773"/>
      <c r="I1255" s="1773"/>
      <c r="J1255" s="1773"/>
      <c r="K1255" s="1773"/>
      <c r="L1255" s="1773"/>
      <c r="M1255" s="1773"/>
      <c r="N1255" s="1773"/>
      <c r="O1255" s="1775"/>
      <c r="P1255" s="1775"/>
      <c r="Q1255" s="1775"/>
      <c r="R1255" s="1775"/>
      <c r="S1255" s="1775"/>
      <c r="T1255" s="761" t="s">
        <v>81</v>
      </c>
      <c r="U1255" s="946" t="s">
        <v>281</v>
      </c>
      <c r="V1255" s="2675">
        <v>530402</v>
      </c>
      <c r="W1255" s="2676" t="s">
        <v>17</v>
      </c>
      <c r="X1255" s="2676" t="s">
        <v>26</v>
      </c>
      <c r="Y1255" s="2827">
        <f>$AA$77</f>
        <v>4961.1499999999996</v>
      </c>
      <c r="Z1255" s="2206"/>
      <c r="AA1255" s="2202"/>
      <c r="AB1255" s="2202"/>
      <c r="AC1255" s="2207"/>
      <c r="AD1255" s="2208"/>
      <c r="AE1255" s="1773"/>
      <c r="AF1255" s="1773"/>
      <c r="AG1255" s="1474"/>
    </row>
    <row r="1256" spans="1:33" ht="49.5">
      <c r="A1256" s="1773"/>
      <c r="B1256" s="1773"/>
      <c r="C1256" s="1773"/>
      <c r="D1256" s="1773"/>
      <c r="E1256" s="1773"/>
      <c r="F1256" s="1773"/>
      <c r="G1256" s="1773"/>
      <c r="H1256" s="1773"/>
      <c r="I1256" s="1773"/>
      <c r="J1256" s="1773"/>
      <c r="K1256" s="1773"/>
      <c r="L1256" s="1773"/>
      <c r="M1256" s="1773"/>
      <c r="N1256" s="1773"/>
      <c r="O1256" s="1775"/>
      <c r="P1256" s="1775"/>
      <c r="Q1256" s="1775"/>
      <c r="R1256" s="1775"/>
      <c r="S1256" s="1775"/>
      <c r="T1256" s="761" t="s">
        <v>81</v>
      </c>
      <c r="U1256" s="946" t="s">
        <v>2003</v>
      </c>
      <c r="V1256" s="2675">
        <v>530804</v>
      </c>
      <c r="W1256" s="2676" t="s">
        <v>17</v>
      </c>
      <c r="X1256" s="2676" t="s">
        <v>26</v>
      </c>
      <c r="Y1256" s="2827">
        <f>AA64</f>
        <v>275.31</v>
      </c>
      <c r="Z1256" s="2206"/>
      <c r="AA1256" s="2202"/>
      <c r="AB1256" s="2202"/>
      <c r="AC1256" s="2207"/>
      <c r="AD1256" s="2208"/>
      <c r="AE1256" s="1773"/>
      <c r="AF1256" s="1773"/>
      <c r="AG1256" s="1474"/>
    </row>
    <row r="1257" spans="1:33" ht="49.5">
      <c r="A1257" s="1773"/>
      <c r="B1257" s="1773"/>
      <c r="C1257" s="1773"/>
      <c r="D1257" s="1773"/>
      <c r="E1257" s="1773"/>
      <c r="F1257" s="1773"/>
      <c r="G1257" s="1773"/>
      <c r="H1257" s="1773"/>
      <c r="I1257" s="1773"/>
      <c r="J1257" s="1773"/>
      <c r="K1257" s="1773"/>
      <c r="L1257" s="1773"/>
      <c r="M1257" s="1773"/>
      <c r="N1257" s="1773"/>
      <c r="O1257" s="1775"/>
      <c r="P1257" s="1775"/>
      <c r="Q1257" s="1775"/>
      <c r="R1257" s="1775"/>
      <c r="S1257" s="1775"/>
      <c r="T1257" s="761" t="s">
        <v>81</v>
      </c>
      <c r="U1257" s="946" t="s">
        <v>1006</v>
      </c>
      <c r="V1257" s="2675">
        <v>530807</v>
      </c>
      <c r="W1257" s="2676" t="s">
        <v>17</v>
      </c>
      <c r="X1257" s="2676" t="s">
        <v>26</v>
      </c>
      <c r="Y1257" s="2827">
        <f>+AA497</f>
        <v>332.64000000000004</v>
      </c>
      <c r="Z1257" s="1776"/>
      <c r="AA1257" s="2202"/>
      <c r="AB1257" s="2202"/>
      <c r="AC1257" s="2207"/>
      <c r="AD1257" s="2208"/>
      <c r="AE1257" s="1773"/>
      <c r="AF1257" s="1773"/>
      <c r="AG1257" s="1474"/>
    </row>
    <row r="1258" spans="1:33" ht="49.5">
      <c r="A1258" s="1773"/>
      <c r="B1258" s="1773"/>
      <c r="C1258" s="1773"/>
      <c r="D1258" s="1773"/>
      <c r="E1258" s="1773"/>
      <c r="F1258" s="1773"/>
      <c r="G1258" s="1773"/>
      <c r="H1258" s="1773"/>
      <c r="I1258" s="1773"/>
      <c r="J1258" s="1773"/>
      <c r="K1258" s="1773"/>
      <c r="L1258" s="1773"/>
      <c r="M1258" s="1773"/>
      <c r="N1258" s="1773"/>
      <c r="O1258" s="1775"/>
      <c r="P1258" s="1775"/>
      <c r="Q1258" s="1775"/>
      <c r="R1258" s="1775"/>
      <c r="S1258" s="1775"/>
      <c r="T1258" s="761" t="s">
        <v>81</v>
      </c>
      <c r="U1258" s="946" t="s">
        <v>591</v>
      </c>
      <c r="V1258" s="2675">
        <v>531403</v>
      </c>
      <c r="W1258" s="2676" t="s">
        <v>17</v>
      </c>
      <c r="X1258" s="2676" t="s">
        <v>26</v>
      </c>
      <c r="Y1258" s="2827">
        <f>+AA57</f>
        <v>158.88</v>
      </c>
      <c r="Z1258" s="1776"/>
      <c r="AA1258" s="2202"/>
      <c r="AB1258" s="2202"/>
      <c r="AC1258" s="2207"/>
      <c r="AD1258" s="2208"/>
      <c r="AE1258" s="1773"/>
      <c r="AF1258" s="1773"/>
      <c r="AG1258" s="1474"/>
    </row>
    <row r="1259" spans="1:33" ht="49.5">
      <c r="A1259" s="1773"/>
      <c r="B1259" s="1773"/>
      <c r="C1259" s="1773"/>
      <c r="D1259" s="1773"/>
      <c r="E1259" s="1773"/>
      <c r="F1259" s="1773"/>
      <c r="G1259" s="1773"/>
      <c r="H1259" s="1773"/>
      <c r="I1259" s="1773"/>
      <c r="J1259" s="1773"/>
      <c r="K1259" s="1773"/>
      <c r="L1259" s="1773"/>
      <c r="M1259" s="1773"/>
      <c r="N1259" s="1773"/>
      <c r="O1259" s="1775"/>
      <c r="P1259" s="1775"/>
      <c r="Q1259" s="1775"/>
      <c r="R1259" s="1775"/>
      <c r="S1259" s="1775"/>
      <c r="T1259" s="639" t="s">
        <v>81</v>
      </c>
      <c r="U1259" s="946" t="s">
        <v>591</v>
      </c>
      <c r="V1259" s="2675">
        <v>840103</v>
      </c>
      <c r="W1259" s="2676" t="s">
        <v>17</v>
      </c>
      <c r="X1259" s="2676" t="s">
        <v>26</v>
      </c>
      <c r="Y1259" s="2827">
        <f>+AA59</f>
        <v>718.03</v>
      </c>
      <c r="Z1259" s="1776"/>
      <c r="AA1259" s="2202"/>
      <c r="AB1259" s="2202"/>
      <c r="AC1259" s="2207"/>
      <c r="AD1259" s="2208"/>
      <c r="AE1259" s="1773"/>
      <c r="AF1259" s="1773"/>
      <c r="AG1259" s="1474"/>
    </row>
    <row r="1260" spans="1:33" ht="49.5">
      <c r="A1260" s="1773"/>
      <c r="B1260" s="1773"/>
      <c r="C1260" s="1773"/>
      <c r="D1260" s="1773"/>
      <c r="E1260" s="1773"/>
      <c r="F1260" s="1773"/>
      <c r="G1260" s="1773"/>
      <c r="H1260" s="1773"/>
      <c r="I1260" s="1773"/>
      <c r="J1260" s="1773"/>
      <c r="K1260" s="1773"/>
      <c r="L1260" s="1773"/>
      <c r="M1260" s="1773"/>
      <c r="N1260" s="1773"/>
      <c r="O1260" s="1775"/>
      <c r="P1260" s="1775"/>
      <c r="Q1260" s="1775"/>
      <c r="R1260" s="1775"/>
      <c r="S1260" s="1775"/>
      <c r="T1260" s="639" t="s">
        <v>81</v>
      </c>
      <c r="U1260" s="946" t="s">
        <v>591</v>
      </c>
      <c r="V1260" s="2675">
        <v>840103</v>
      </c>
      <c r="W1260" s="2676" t="s">
        <v>17</v>
      </c>
      <c r="X1260" s="2676" t="s">
        <v>18</v>
      </c>
      <c r="Y1260" s="2827">
        <f>+AA53</f>
        <v>1200</v>
      </c>
      <c r="Z1260" s="1776"/>
      <c r="AA1260" s="2202"/>
      <c r="AB1260" s="2202"/>
      <c r="AC1260" s="2207"/>
      <c r="AD1260" s="2209"/>
      <c r="AE1260" s="1773"/>
      <c r="AF1260" s="1773"/>
      <c r="AG1260" s="1474"/>
    </row>
    <row r="1261" spans="1:33" ht="49.5">
      <c r="A1261" s="1773"/>
      <c r="B1261" s="1773"/>
      <c r="C1261" s="1773"/>
      <c r="D1261" s="1773"/>
      <c r="E1261" s="1773"/>
      <c r="F1261" s="1773"/>
      <c r="G1261" s="1773"/>
      <c r="H1261" s="1773"/>
      <c r="I1261" s="1773"/>
      <c r="J1261" s="1773"/>
      <c r="K1261" s="1773"/>
      <c r="L1261" s="1773"/>
      <c r="M1261" s="1773"/>
      <c r="N1261" s="1773"/>
      <c r="O1261" s="1775"/>
      <c r="P1261" s="1775"/>
      <c r="Q1261" s="1775"/>
      <c r="R1261" s="1775"/>
      <c r="S1261" s="1775"/>
      <c r="T1261" s="639" t="s">
        <v>81</v>
      </c>
      <c r="U1261" s="946" t="s">
        <v>39</v>
      </c>
      <c r="V1261" s="2675">
        <v>840104</v>
      </c>
      <c r="W1261" s="2676" t="s">
        <v>17</v>
      </c>
      <c r="X1261" s="2676" t="s">
        <v>18</v>
      </c>
      <c r="Y1261" s="2827">
        <f>+AA72</f>
        <v>3351</v>
      </c>
      <c r="Z1261" s="1776"/>
      <c r="AA1261" s="2202"/>
      <c r="AB1261" s="2202"/>
      <c r="AC1261" s="2207"/>
      <c r="AD1261" s="2209"/>
      <c r="AE1261" s="1773"/>
      <c r="AF1261" s="1773"/>
      <c r="AG1261" s="1474"/>
    </row>
    <row r="1262" spans="1:33" ht="49.5">
      <c r="A1262" s="1773"/>
      <c r="B1262" s="1773"/>
      <c r="C1262" s="1773"/>
      <c r="D1262" s="1773"/>
      <c r="E1262" s="1773"/>
      <c r="F1262" s="1773"/>
      <c r="G1262" s="1773"/>
      <c r="H1262" s="1773"/>
      <c r="I1262" s="1773"/>
      <c r="J1262" s="1773"/>
      <c r="K1262" s="1773"/>
      <c r="L1262" s="1773"/>
      <c r="M1262" s="1773"/>
      <c r="N1262" s="1773"/>
      <c r="O1262" s="1775"/>
      <c r="P1262" s="1775"/>
      <c r="Q1262" s="1775"/>
      <c r="R1262" s="1775"/>
      <c r="S1262" s="1775"/>
      <c r="T1262" s="639" t="s">
        <v>81</v>
      </c>
      <c r="U1262" s="946" t="s">
        <v>40</v>
      </c>
      <c r="V1262" s="2676" t="s">
        <v>1129</v>
      </c>
      <c r="W1262" s="2676" t="s">
        <v>17</v>
      </c>
      <c r="X1262" s="2676" t="s">
        <v>18</v>
      </c>
      <c r="Y1262" s="2827">
        <f>+AA68+AA492</f>
        <v>6234</v>
      </c>
      <c r="Z1262" s="2214"/>
      <c r="AA1262" s="2202"/>
      <c r="AB1262" s="2202"/>
      <c r="AC1262" s="2207"/>
      <c r="AD1262" s="2209"/>
      <c r="AE1262" s="1773"/>
      <c r="AF1262" s="1773"/>
      <c r="AG1262" s="1474"/>
    </row>
    <row r="1263" spans="1:33" ht="18" customHeight="1" thickBot="1">
      <c r="A1263" s="1773"/>
      <c r="B1263" s="1773"/>
      <c r="C1263" s="1773"/>
      <c r="D1263" s="1773"/>
      <c r="E1263" s="1773"/>
      <c r="F1263" s="1773"/>
      <c r="G1263" s="1773"/>
      <c r="H1263" s="1773"/>
      <c r="I1263" s="1773"/>
      <c r="J1263" s="1773"/>
      <c r="K1263" s="1773"/>
      <c r="L1263" s="1773"/>
      <c r="M1263" s="1773"/>
      <c r="N1263" s="1773"/>
      <c r="O1263" s="1775"/>
      <c r="P1263" s="1775"/>
      <c r="Q1263" s="1775"/>
      <c r="R1263" s="1775"/>
      <c r="S1263" s="1775"/>
      <c r="T1263" s="5924"/>
      <c r="U1263" s="5928" t="s">
        <v>67</v>
      </c>
      <c r="V1263" s="5925"/>
      <c r="W1263" s="5925"/>
      <c r="X1263" s="5927" t="s">
        <v>292</v>
      </c>
      <c r="Y1263" s="2678">
        <f>SUM(Y1244:Y1262)</f>
        <v>407014.76</v>
      </c>
      <c r="Z1263" s="2211"/>
      <c r="AA1263" s="2212"/>
      <c r="AB1263" s="2212"/>
      <c r="AC1263" s="2215"/>
      <c r="AD1263" s="2203"/>
      <c r="AE1263" s="1773"/>
      <c r="AF1263" s="1773"/>
      <c r="AG1263" s="1474"/>
    </row>
    <row r="1264" spans="1:33" ht="15" thickTop="1">
      <c r="A1264" s="1773"/>
      <c r="B1264" s="1773"/>
      <c r="C1264" s="1773"/>
      <c r="D1264" s="1773"/>
      <c r="E1264" s="1773"/>
      <c r="F1264" s="1773"/>
      <c r="G1264" s="1773"/>
      <c r="H1264" s="1773"/>
      <c r="I1264" s="1773"/>
      <c r="J1264" s="1773"/>
      <c r="K1264" s="1773"/>
      <c r="L1264" s="1773"/>
      <c r="M1264" s="1773"/>
      <c r="N1264" s="1773"/>
      <c r="O1264" s="1775"/>
      <c r="P1264" s="1775"/>
      <c r="Q1264" s="1775"/>
      <c r="R1264" s="1775"/>
      <c r="S1264" s="1775"/>
      <c r="T1264" s="2218"/>
      <c r="U1264" s="2218"/>
      <c r="V1264" s="1474"/>
      <c r="W1264" s="2219"/>
      <c r="X1264" s="2220"/>
      <c r="Y1264" s="2218"/>
      <c r="Z1264" s="2215"/>
      <c r="AA1264" s="2216"/>
      <c r="AB1264" s="2216"/>
      <c r="AC1264" s="2215"/>
      <c r="AD1264" s="2217"/>
      <c r="AE1264" s="1773"/>
      <c r="AF1264" s="1773"/>
      <c r="AG1264" s="1474"/>
    </row>
    <row r="1265" spans="1:33" ht="14.25">
      <c r="A1265" s="1773"/>
      <c r="B1265" s="1773"/>
      <c r="C1265" s="1773"/>
      <c r="D1265" s="1773"/>
      <c r="E1265" s="1773"/>
      <c r="F1265" s="1773"/>
      <c r="G1265" s="1773"/>
      <c r="H1265" s="1773"/>
      <c r="I1265" s="1773"/>
      <c r="J1265" s="1773"/>
      <c r="K1265" s="1773"/>
      <c r="L1265" s="1773"/>
      <c r="M1265" s="1773"/>
      <c r="N1265" s="1773"/>
      <c r="O1265" s="1775"/>
      <c r="P1265" s="1775"/>
      <c r="Q1265" s="1775"/>
      <c r="R1265" s="1775"/>
      <c r="S1265" s="1775"/>
      <c r="T1265" s="2218"/>
      <c r="U1265" s="2218"/>
      <c r="V1265" s="2218"/>
      <c r="W1265" s="2218"/>
      <c r="X1265" s="2213"/>
      <c r="Y1265" s="2215"/>
      <c r="Z1265" s="2215"/>
      <c r="AA1265" s="2216"/>
      <c r="AB1265" s="2216"/>
      <c r="AC1265" s="2215"/>
      <c r="AD1265" s="2217"/>
      <c r="AE1265" s="1773"/>
      <c r="AF1265" s="1773"/>
      <c r="AG1265" s="1474"/>
    </row>
    <row r="1266" spans="1:33" ht="16.5" customHeight="1">
      <c r="A1266" s="1773"/>
      <c r="B1266" s="1773"/>
      <c r="C1266" s="1773"/>
      <c r="D1266" s="1773"/>
      <c r="E1266" s="1773"/>
      <c r="F1266" s="1773"/>
      <c r="G1266" s="1773"/>
      <c r="H1266" s="1773"/>
      <c r="I1266" s="1773"/>
      <c r="J1266" s="1773"/>
      <c r="K1266" s="1773"/>
      <c r="L1266" s="1773"/>
      <c r="M1266" s="1773"/>
      <c r="N1266" s="1773"/>
      <c r="O1266" s="1775"/>
      <c r="P1266" s="1775"/>
      <c r="Q1266" s="1775"/>
      <c r="R1266" s="1775"/>
      <c r="S1266" s="1775"/>
      <c r="T1266" s="11174" t="s">
        <v>356</v>
      </c>
      <c r="U1266" s="11175"/>
      <c r="V1266" s="11176"/>
      <c r="W1266" s="2219"/>
      <c r="X1266" s="2221" t="s">
        <v>357</v>
      </c>
      <c r="Y1266" s="2213" t="str">
        <f>IF(Y1263=AA1237,"OK","NO")</f>
        <v>OK</v>
      </c>
      <c r="Z1266" s="2215"/>
      <c r="AA1266" s="2216"/>
      <c r="AB1266" s="2216"/>
      <c r="AC1266" s="2022"/>
      <c r="AD1266" s="2203"/>
      <c r="AE1266" s="1773"/>
      <c r="AF1266" s="1773"/>
      <c r="AG1266" s="1474"/>
    </row>
    <row r="1267" spans="1:33" ht="16.5">
      <c r="A1267" s="1773"/>
      <c r="B1267" s="1773"/>
      <c r="C1267" s="1773"/>
      <c r="D1267" s="1773"/>
      <c r="E1267" s="1773"/>
      <c r="F1267" s="1773"/>
      <c r="G1267" s="1773"/>
      <c r="H1267" s="1773"/>
      <c r="I1267" s="1773"/>
      <c r="J1267" s="1773"/>
      <c r="K1267" s="1773"/>
      <c r="L1267" s="1773"/>
      <c r="M1267" s="1773"/>
      <c r="N1267" s="1773"/>
      <c r="O1267" s="1775"/>
      <c r="P1267" s="1775"/>
      <c r="Q1267" s="1775"/>
      <c r="R1267" s="1775"/>
      <c r="S1267" s="1775"/>
      <c r="T1267" s="11177" t="s">
        <v>5739</v>
      </c>
      <c r="U1267" s="11161"/>
      <c r="V1267" s="2668">
        <f>+Y1245+Y1246+Y1249+Y1250</f>
        <v>333728.15999999997</v>
      </c>
      <c r="W1267" s="2219"/>
      <c r="X1267" s="2213"/>
      <c r="Y1267" s="2213" t="str">
        <f>IF(V1271=AA1237,"OK","NO")</f>
        <v>OK</v>
      </c>
      <c r="Z1267" s="2215"/>
      <c r="AA1267" s="2216"/>
      <c r="AB1267" s="2216"/>
      <c r="AC1267" s="2022"/>
      <c r="AD1267" s="2203"/>
      <c r="AE1267" s="1773"/>
      <c r="AF1267" s="1773"/>
      <c r="AG1267" s="1474"/>
    </row>
    <row r="1268" spans="1:33" ht="16.5" customHeight="1">
      <c r="A1268" s="1773"/>
      <c r="B1268" s="1773"/>
      <c r="C1268" s="1773"/>
      <c r="D1268" s="1773"/>
      <c r="E1268" s="1773"/>
      <c r="F1268" s="1773"/>
      <c r="G1268" s="1773"/>
      <c r="H1268" s="1773"/>
      <c r="I1268" s="1773"/>
      <c r="J1268" s="1773"/>
      <c r="K1268" s="1773"/>
      <c r="L1268" s="1773"/>
      <c r="M1268" s="1773"/>
      <c r="N1268" s="1773"/>
      <c r="O1268" s="1775"/>
      <c r="P1268" s="1775"/>
      <c r="Q1268" s="1775"/>
      <c r="R1268" s="1775"/>
      <c r="S1268" s="1775"/>
      <c r="T1268" s="11154" t="s">
        <v>5740</v>
      </c>
      <c r="U1268" s="11151"/>
      <c r="V1268" s="2668">
        <f>+Y1252+Y1255+Y1256+Y1257+Y1258+Y1259</f>
        <v>35051.929999999993</v>
      </c>
      <c r="W1268" s="2219"/>
      <c r="X1268" s="2213"/>
      <c r="Y1268" s="2213" t="str">
        <f>IF(V1281=AA1237,"OK","NO")</f>
        <v>OK</v>
      </c>
      <c r="Z1268" s="2215"/>
      <c r="AA1268" s="2216"/>
      <c r="AB1268" s="2216"/>
      <c r="AC1268" s="2022"/>
      <c r="AD1268" s="2203"/>
      <c r="AE1268" s="1773"/>
      <c r="AF1268" s="1773"/>
      <c r="AG1268" s="1474"/>
    </row>
    <row r="1269" spans="1:33" ht="16.5" customHeight="1">
      <c r="A1269" s="1773"/>
      <c r="B1269" s="1773"/>
      <c r="C1269" s="1773"/>
      <c r="D1269" s="1773"/>
      <c r="E1269" s="1773"/>
      <c r="F1269" s="1773"/>
      <c r="G1269" s="1773"/>
      <c r="H1269" s="1773"/>
      <c r="I1269" s="1773"/>
      <c r="J1269" s="1773"/>
      <c r="K1269" s="1773"/>
      <c r="L1269" s="1773"/>
      <c r="M1269" s="1773"/>
      <c r="N1269" s="1773"/>
      <c r="O1269" s="1775"/>
      <c r="P1269" s="1775"/>
      <c r="Q1269" s="1775"/>
      <c r="R1269" s="1775"/>
      <c r="S1269" s="1775"/>
      <c r="T1269" s="11154" t="s">
        <v>5741</v>
      </c>
      <c r="U1269" s="11151"/>
      <c r="V1269" s="2668">
        <f>+Y1244+Y1247+Y1248+Y1251+Y1253+Y1254+Y1260+Y1261+Y1262</f>
        <v>38234.67</v>
      </c>
      <c r="W1269" s="2219"/>
      <c r="X1269" s="2222"/>
      <c r="Y1269" s="2213" t="str">
        <f>IF(Resumen!C424=AA1237,"OK","NO")</f>
        <v>OK</v>
      </c>
      <c r="Z1269" s="2215"/>
      <c r="AA1269" s="2216"/>
      <c r="AB1269" s="2216"/>
      <c r="AC1269" s="2022"/>
      <c r="AD1269" s="2203"/>
      <c r="AE1269" s="1773"/>
      <c r="AF1269" s="1773"/>
      <c r="AG1269" s="1474"/>
    </row>
    <row r="1270" spans="1:33" ht="16.5" customHeight="1">
      <c r="A1270" s="1773"/>
      <c r="B1270" s="1773"/>
      <c r="C1270" s="1773"/>
      <c r="D1270" s="1773"/>
      <c r="E1270" s="1773"/>
      <c r="F1270" s="1773"/>
      <c r="G1270" s="1773"/>
      <c r="H1270" s="1773"/>
      <c r="I1270" s="1773"/>
      <c r="J1270" s="1773"/>
      <c r="K1270" s="1773"/>
      <c r="L1270" s="1773"/>
      <c r="M1270" s="1773"/>
      <c r="N1270" s="1773"/>
      <c r="O1270" s="1773"/>
      <c r="P1270" s="1773"/>
      <c r="Q1270" s="1773"/>
      <c r="R1270" s="1775"/>
      <c r="S1270" s="1775"/>
      <c r="T1270" s="11154" t="s">
        <v>5742</v>
      </c>
      <c r="U1270" s="11151"/>
      <c r="V1270" s="2669">
        <v>0</v>
      </c>
      <c r="W1270" s="2219"/>
      <c r="X1270" s="2222"/>
      <c r="Y1270" s="2215"/>
      <c r="Z1270" s="2215"/>
      <c r="AA1270" s="2216"/>
      <c r="AB1270" s="2216"/>
      <c r="AC1270" s="2022"/>
      <c r="AD1270" s="2203"/>
      <c r="AE1270" s="1773"/>
      <c r="AF1270" s="1773"/>
      <c r="AG1270" s="1474"/>
    </row>
    <row r="1271" spans="1:33" ht="16.5" customHeight="1">
      <c r="A1271" s="1773"/>
      <c r="B1271" s="1773"/>
      <c r="C1271" s="1773"/>
      <c r="D1271" s="1773"/>
      <c r="E1271" s="1773"/>
      <c r="F1271" s="1773"/>
      <c r="G1271" s="1773"/>
      <c r="H1271" s="1773"/>
      <c r="I1271" s="1773"/>
      <c r="J1271" s="1773"/>
      <c r="K1271" s="1773"/>
      <c r="L1271" s="1773"/>
      <c r="M1271" s="1773"/>
      <c r="N1271" s="1773"/>
      <c r="O1271" s="1773"/>
      <c r="P1271" s="1773"/>
      <c r="Q1271" s="1773"/>
      <c r="R1271" s="1775"/>
      <c r="S1271" s="1775"/>
      <c r="T1271" s="11155" t="s">
        <v>67</v>
      </c>
      <c r="U1271" s="11156"/>
      <c r="V1271" s="2670">
        <f>SUM(V1267:V1270)</f>
        <v>407014.75999999995</v>
      </c>
      <c r="W1271" s="2219"/>
      <c r="X1271" s="2222"/>
      <c r="Y1271" s="2215"/>
      <c r="Z1271" s="2215"/>
      <c r="AA1271" s="2216"/>
      <c r="AB1271" s="2216"/>
      <c r="AC1271" s="2022"/>
      <c r="AD1271" s="2203"/>
      <c r="AE1271" s="1773"/>
      <c r="AF1271" s="1773"/>
      <c r="AG1271" s="1474"/>
    </row>
    <row r="1272" spans="1:33" ht="16.5" customHeight="1">
      <c r="A1272" s="1773"/>
      <c r="B1272" s="1773"/>
      <c r="C1272" s="1773"/>
      <c r="D1272" s="1773"/>
      <c r="E1272" s="1773"/>
      <c r="F1272" s="1773"/>
      <c r="G1272" s="1773"/>
      <c r="H1272" s="1773"/>
      <c r="I1272" s="1773"/>
      <c r="J1272" s="1773"/>
      <c r="K1272" s="1773"/>
      <c r="L1272" s="1773"/>
      <c r="M1272" s="1773"/>
      <c r="N1272" s="1773"/>
      <c r="O1272" s="1773"/>
      <c r="P1272" s="1773"/>
      <c r="Q1272" s="1773"/>
      <c r="R1272" s="1775"/>
      <c r="S1272" s="1776"/>
      <c r="T1272" s="11157" t="s">
        <v>5744</v>
      </c>
      <c r="U1272" s="11158"/>
      <c r="V1272" s="11159"/>
      <c r="W1272" s="2219"/>
      <c r="X1272" s="2223"/>
      <c r="Y1272" s="2215"/>
      <c r="Z1272" s="2215"/>
      <c r="AA1272" s="2216"/>
      <c r="AB1272" s="2216"/>
      <c r="AC1272" s="2022"/>
      <c r="AD1272" s="2203"/>
      <c r="AE1272" s="1773"/>
      <c r="AF1272" s="1773"/>
      <c r="AG1272" s="1474"/>
    </row>
    <row r="1273" spans="1:33" ht="16.5" customHeight="1">
      <c r="A1273" s="1773"/>
      <c r="B1273" s="1773"/>
      <c r="C1273" s="1773"/>
      <c r="D1273" s="1773"/>
      <c r="E1273" s="1773"/>
      <c r="F1273" s="1773"/>
      <c r="G1273" s="1773"/>
      <c r="H1273" s="1773"/>
      <c r="I1273" s="1773"/>
      <c r="J1273" s="1773"/>
      <c r="K1273" s="1773"/>
      <c r="L1273" s="1773"/>
      <c r="M1273" s="1773"/>
      <c r="N1273" s="1773"/>
      <c r="O1273" s="1773"/>
      <c r="P1273" s="1773"/>
      <c r="Q1273" s="1773"/>
      <c r="R1273" s="1775"/>
      <c r="S1273" s="1775"/>
      <c r="T1273" s="11160" t="s">
        <v>6197</v>
      </c>
      <c r="U1273" s="11161"/>
      <c r="V1273" s="2671">
        <v>0</v>
      </c>
      <c r="W1273" s="2219"/>
      <c r="X1273" s="2223"/>
      <c r="Y1273" s="2215"/>
      <c r="Z1273" s="2215"/>
      <c r="AA1273" s="2216"/>
      <c r="AB1273" s="2216"/>
      <c r="AC1273" s="2022"/>
      <c r="AD1273" s="2203"/>
      <c r="AE1273" s="1773"/>
      <c r="AF1273" s="1773"/>
      <c r="AG1273" s="1474"/>
    </row>
    <row r="1274" spans="1:33" ht="16.5" customHeight="1">
      <c r="A1274" s="1773"/>
      <c r="B1274" s="1773"/>
      <c r="C1274" s="1773"/>
      <c r="D1274" s="1773"/>
      <c r="E1274" s="1773"/>
      <c r="F1274" s="1773"/>
      <c r="G1274" s="1773"/>
      <c r="H1274" s="1773"/>
      <c r="I1274" s="1773"/>
      <c r="J1274" s="1773"/>
      <c r="K1274" s="1773"/>
      <c r="L1274" s="1773"/>
      <c r="M1274" s="1773"/>
      <c r="N1274" s="1773"/>
      <c r="O1274" s="1773"/>
      <c r="P1274" s="1773"/>
      <c r="Q1274" s="1773"/>
      <c r="R1274" s="1773"/>
      <c r="S1274" s="1773"/>
      <c r="T1274" s="11150" t="s">
        <v>6198</v>
      </c>
      <c r="U1274" s="11151"/>
      <c r="V1274" s="2671">
        <f>+Y1244+Y1245+Y1250+Y1251+Y1255+Y1256+Y1257+Y1258</f>
        <v>12253.779999999999</v>
      </c>
      <c r="W1274" s="2219"/>
      <c r="X1274" s="2223"/>
      <c r="Y1274" s="2215"/>
      <c r="Z1274" s="2215"/>
      <c r="AA1274" s="2216"/>
      <c r="AB1274" s="2216"/>
      <c r="AC1274" s="2022"/>
      <c r="AD1274" s="2203"/>
      <c r="AE1274" s="1773"/>
      <c r="AF1274" s="1773"/>
      <c r="AG1274" s="1474"/>
    </row>
    <row r="1275" spans="1:33" ht="16.5" customHeight="1">
      <c r="A1275" s="1773"/>
      <c r="B1275" s="1773"/>
      <c r="C1275" s="1773"/>
      <c r="D1275" s="1773"/>
      <c r="E1275" s="1773"/>
      <c r="F1275" s="1773"/>
      <c r="G1275" s="1773"/>
      <c r="H1275" s="1773"/>
      <c r="I1275" s="1773"/>
      <c r="J1275" s="1773"/>
      <c r="K1275" s="1773"/>
      <c r="L1275" s="1773"/>
      <c r="M1275" s="1773"/>
      <c r="N1275" s="1773"/>
      <c r="O1275" s="1773"/>
      <c r="P1275" s="1773"/>
      <c r="Q1275" s="1773"/>
      <c r="R1275" s="1773"/>
      <c r="S1275" s="1773"/>
      <c r="T1275" s="11150" t="s">
        <v>6199</v>
      </c>
      <c r="U1275" s="11151"/>
      <c r="V1275" s="2671">
        <v>0</v>
      </c>
      <c r="W1275" s="2219"/>
      <c r="X1275" s="2224"/>
      <c r="Y1275" s="2215"/>
      <c r="Z1275" s="2215"/>
      <c r="AA1275" s="2216"/>
      <c r="AB1275" s="2216"/>
      <c r="AC1275" s="2022"/>
      <c r="AD1275" s="2203"/>
      <c r="AE1275" s="1773"/>
      <c r="AF1275" s="1773"/>
      <c r="AG1275" s="1474"/>
    </row>
    <row r="1276" spans="1:33" ht="16.5" customHeight="1">
      <c r="A1276" s="1773"/>
      <c r="B1276" s="1773"/>
      <c r="C1276" s="1773"/>
      <c r="D1276" s="1773"/>
      <c r="E1276" s="1773"/>
      <c r="F1276" s="1773"/>
      <c r="G1276" s="1773"/>
      <c r="H1276" s="1773"/>
      <c r="I1276" s="1773"/>
      <c r="J1276" s="1773"/>
      <c r="K1276" s="1773"/>
      <c r="L1276" s="1773"/>
      <c r="M1276" s="1773"/>
      <c r="N1276" s="1773"/>
      <c r="O1276" s="1773"/>
      <c r="P1276" s="1773"/>
      <c r="Q1276" s="1773"/>
      <c r="R1276" s="1773"/>
      <c r="S1276" s="1773"/>
      <c r="T1276" s="11150" t="s">
        <v>6200</v>
      </c>
      <c r="U1276" s="11151"/>
      <c r="V1276" s="2671">
        <v>0</v>
      </c>
      <c r="W1276" s="2219"/>
      <c r="X1276" s="2222"/>
      <c r="Y1276" s="2215"/>
      <c r="Z1276" s="2215"/>
      <c r="AA1276" s="2216"/>
      <c r="AB1276" s="2216"/>
      <c r="AC1276" s="2022"/>
      <c r="AD1276" s="2203"/>
      <c r="AE1276" s="1773"/>
      <c r="AF1276" s="1773"/>
      <c r="AG1276" s="1474"/>
    </row>
    <row r="1277" spans="1:33" ht="16.5" customHeight="1">
      <c r="A1277" s="1773"/>
      <c r="B1277" s="1773"/>
      <c r="C1277" s="1773"/>
      <c r="D1277" s="1773"/>
      <c r="E1277" s="1773"/>
      <c r="F1277" s="1773"/>
      <c r="G1277" s="1773"/>
      <c r="H1277" s="1773"/>
      <c r="I1277" s="1773"/>
      <c r="J1277" s="1773"/>
      <c r="K1277" s="1773"/>
      <c r="L1277" s="1773"/>
      <c r="M1277" s="1773"/>
      <c r="N1277" s="1773"/>
      <c r="O1277" s="1773"/>
      <c r="P1277" s="1773"/>
      <c r="Q1277" s="1773"/>
      <c r="R1277" s="1773"/>
      <c r="S1277" s="1773"/>
      <c r="T1277" s="11150" t="s">
        <v>6201</v>
      </c>
      <c r="U1277" s="11151"/>
      <c r="V1277" s="2671">
        <v>0</v>
      </c>
      <c r="W1277" s="2219"/>
      <c r="X1277" s="2225"/>
      <c r="Y1277" s="2244"/>
      <c r="Z1277" s="1474"/>
      <c r="AA1277" s="1474"/>
      <c r="AB1277" s="1474"/>
      <c r="AC1277" s="1474"/>
      <c r="AD1277" s="2203"/>
      <c r="AE1277" s="1773"/>
      <c r="AF1277" s="1773"/>
      <c r="AG1277" s="1474"/>
    </row>
    <row r="1278" spans="1:33" ht="16.5" customHeight="1">
      <c r="A1278" s="1773"/>
      <c r="B1278" s="1773"/>
      <c r="C1278" s="1773"/>
      <c r="D1278" s="1773"/>
      <c r="E1278" s="1773"/>
      <c r="F1278" s="1773"/>
      <c r="G1278" s="1773"/>
      <c r="H1278" s="1773"/>
      <c r="I1278" s="1773"/>
      <c r="J1278" s="1773"/>
      <c r="K1278" s="1773"/>
      <c r="L1278" s="1773"/>
      <c r="M1278" s="1773"/>
      <c r="N1278" s="1773"/>
      <c r="O1278" s="1773"/>
      <c r="P1278" s="1773"/>
      <c r="Q1278" s="1773"/>
      <c r="R1278" s="1773"/>
      <c r="S1278" s="1773"/>
      <c r="T1278" s="11150" t="s">
        <v>6202</v>
      </c>
      <c r="U1278" s="11151"/>
      <c r="V1278" s="2671">
        <v>0</v>
      </c>
      <c r="W1278" s="2219"/>
      <c r="X1278" s="2225"/>
      <c r="Y1278" s="2221"/>
      <c r="Z1278" s="2221"/>
      <c r="AA1278" s="2226"/>
      <c r="AB1278" s="2226"/>
      <c r="AC1278" s="2221"/>
      <c r="AD1278" s="2203"/>
      <c r="AE1278" s="1773"/>
      <c r="AF1278" s="1773"/>
      <c r="AG1278" s="1474"/>
    </row>
    <row r="1279" spans="1:33" ht="16.5" customHeight="1">
      <c r="A1279" s="1773"/>
      <c r="B1279" s="1773"/>
      <c r="C1279" s="1773"/>
      <c r="D1279" s="1773"/>
      <c r="E1279" s="1773"/>
      <c r="F1279" s="1773"/>
      <c r="G1279" s="1773"/>
      <c r="H1279" s="1773"/>
      <c r="I1279" s="1773"/>
      <c r="J1279" s="1773"/>
      <c r="K1279" s="1773"/>
      <c r="L1279" s="1773"/>
      <c r="M1279" s="1773"/>
      <c r="N1279" s="1773"/>
      <c r="O1279" s="1773"/>
      <c r="P1279" s="1773"/>
      <c r="Q1279" s="1773"/>
      <c r="R1279" s="1773"/>
      <c r="S1279" s="1773"/>
      <c r="T1279" s="11150" t="s">
        <v>6203</v>
      </c>
      <c r="U1279" s="11151"/>
      <c r="V1279" s="2671">
        <f>+SUM(Y1246:Y1249)+SUM(Y1252:Y1254)+SUM(Y1259:Y1262)</f>
        <v>394760.98</v>
      </c>
      <c r="W1279" s="2219"/>
      <c r="X1279" s="2225"/>
      <c r="Y1279" s="2227"/>
      <c r="Z1279" s="2213"/>
      <c r="AA1279" s="2228"/>
      <c r="AB1279" s="2228"/>
      <c r="AC1279" s="2229"/>
      <c r="AD1279" s="2203"/>
      <c r="AE1279" s="1773"/>
      <c r="AF1279" s="1773"/>
      <c r="AG1279" s="1474"/>
    </row>
    <row r="1280" spans="1:33" ht="16.5" customHeight="1">
      <c r="A1280" s="7"/>
      <c r="B1280" s="125"/>
      <c r="C1280" s="125"/>
      <c r="D1280" s="125"/>
      <c r="E1280" s="125"/>
      <c r="F1280" s="125"/>
      <c r="G1280" s="125"/>
      <c r="H1280" s="125"/>
      <c r="I1280" s="125"/>
      <c r="J1280" s="125"/>
      <c r="K1280" s="125"/>
      <c r="L1280" s="125"/>
      <c r="M1280" s="125"/>
      <c r="N1280" s="125"/>
      <c r="O1280" s="125"/>
      <c r="P1280" s="125"/>
      <c r="Q1280" s="125"/>
      <c r="R1280" s="7"/>
      <c r="S1280" s="7"/>
      <c r="T1280" s="11150" t="s">
        <v>6204</v>
      </c>
      <c r="U1280" s="11151"/>
      <c r="V1280" s="2672">
        <v>0</v>
      </c>
      <c r="W1280" s="2219"/>
      <c r="X1280" s="2230"/>
      <c r="Y1280" s="2231"/>
      <c r="Z1280" s="2231"/>
      <c r="AA1280" s="2232"/>
      <c r="AB1280" s="2232"/>
      <c r="AC1280" s="2200"/>
      <c r="AD1280" s="2168"/>
      <c r="AE1280" s="7"/>
      <c r="AF1280" s="7"/>
    </row>
    <row r="1281" spans="1:32" ht="16.5" customHeight="1">
      <c r="A1281" s="7"/>
      <c r="B1281" s="125"/>
      <c r="C1281" s="125"/>
      <c r="D1281" s="125"/>
      <c r="E1281" s="125"/>
      <c r="F1281" s="125"/>
      <c r="G1281" s="125"/>
      <c r="H1281" s="125"/>
      <c r="I1281" s="125"/>
      <c r="J1281" s="125"/>
      <c r="K1281" s="125"/>
      <c r="L1281" s="125"/>
      <c r="M1281" s="125"/>
      <c r="N1281" s="125"/>
      <c r="O1281" s="125"/>
      <c r="P1281" s="125"/>
      <c r="Q1281" s="125"/>
      <c r="R1281" s="7"/>
      <c r="S1281" s="7"/>
      <c r="T1281" s="11152" t="s">
        <v>67</v>
      </c>
      <c r="U1281" s="11153"/>
      <c r="V1281" s="2673">
        <f>SUM(V1273:V1280)</f>
        <v>407014.76</v>
      </c>
      <c r="W1281" s="2219"/>
      <c r="X1281" s="2233"/>
      <c r="Y1281" s="2203"/>
      <c r="Z1281" s="2203"/>
      <c r="AA1281" s="2234"/>
      <c r="AB1281" s="2234"/>
      <c r="AC1281" s="2200"/>
      <c r="AD1281" s="2168"/>
      <c r="AE1281" s="7"/>
      <c r="AF1281" s="7"/>
    </row>
    <row r="1282" spans="1:32" ht="16.5" customHeight="1">
      <c r="A1282" s="7"/>
      <c r="B1282" s="125"/>
      <c r="C1282" s="125"/>
      <c r="D1282" s="125"/>
      <c r="E1282" s="125"/>
      <c r="F1282" s="125"/>
      <c r="G1282" s="125"/>
      <c r="H1282" s="125"/>
      <c r="I1282" s="125"/>
      <c r="J1282" s="125"/>
      <c r="K1282" s="125"/>
      <c r="L1282" s="125"/>
      <c r="M1282" s="125"/>
      <c r="N1282" s="125"/>
      <c r="O1282" s="125"/>
      <c r="P1282" s="125"/>
      <c r="Q1282" s="125"/>
      <c r="R1282" s="7"/>
      <c r="S1282" s="7"/>
      <c r="T1282" s="2218"/>
      <c r="U1282" s="2218"/>
      <c r="V1282" s="2240"/>
      <c r="W1282" s="2235"/>
      <c r="X1282" s="2236"/>
      <c r="Y1282" s="2203"/>
      <c r="Z1282" s="2203"/>
      <c r="AA1282" s="2234"/>
      <c r="AB1282" s="2234"/>
      <c r="AC1282" s="2200"/>
      <c r="AD1282" s="2168"/>
      <c r="AE1282" s="7"/>
      <c r="AF1282" s="7"/>
    </row>
    <row r="1283" spans="1:32" ht="16.5" customHeight="1">
      <c r="A1283" s="7"/>
      <c r="B1283" s="125"/>
      <c r="C1283" s="125"/>
      <c r="D1283" s="125"/>
      <c r="E1283" s="125"/>
      <c r="F1283" s="125"/>
      <c r="G1283" s="125"/>
      <c r="H1283" s="125"/>
      <c r="I1283" s="125"/>
      <c r="J1283" s="125"/>
      <c r="K1283" s="125"/>
      <c r="L1283" s="125"/>
      <c r="M1283" s="125"/>
      <c r="N1283" s="125"/>
      <c r="O1283" s="125"/>
      <c r="P1283" s="125"/>
      <c r="Q1283" s="125"/>
      <c r="R1283" s="7"/>
      <c r="S1283" s="7"/>
      <c r="T1283" s="2215"/>
      <c r="U1283" s="2215"/>
      <c r="V1283" s="2241"/>
      <c r="W1283" s="2235"/>
      <c r="X1283" s="2236"/>
      <c r="Y1283" s="2203"/>
      <c r="Z1283" s="2203"/>
      <c r="AA1283" s="2234"/>
      <c r="AB1283" s="2234"/>
      <c r="AC1283" s="2200"/>
      <c r="AD1283" s="2168"/>
      <c r="AE1283" s="7"/>
      <c r="AF1283" s="7"/>
    </row>
    <row r="1284" spans="1:32" ht="16.5" customHeight="1">
      <c r="A1284" s="7"/>
      <c r="B1284" s="125"/>
      <c r="C1284" s="125"/>
      <c r="D1284" s="125"/>
      <c r="E1284" s="125"/>
      <c r="F1284" s="125"/>
      <c r="G1284" s="125"/>
      <c r="H1284" s="125"/>
      <c r="I1284" s="125"/>
      <c r="J1284" s="125"/>
      <c r="K1284" s="125"/>
      <c r="L1284" s="125"/>
      <c r="M1284" s="125"/>
      <c r="N1284" s="125"/>
      <c r="O1284" s="125"/>
      <c r="P1284" s="125"/>
      <c r="Q1284" s="125"/>
      <c r="R1284" s="7"/>
      <c r="S1284" s="7"/>
      <c r="T1284" s="2169"/>
      <c r="U1284" s="2169"/>
      <c r="V1284" s="2169"/>
      <c r="W1284" s="2169"/>
      <c r="X1284" s="2237"/>
      <c r="Y1284" s="2237"/>
      <c r="Z1284" s="2237"/>
      <c r="AA1284" s="2238"/>
      <c r="AB1284" s="2238"/>
      <c r="AC1284" s="2237"/>
      <c r="AD1284" s="2239"/>
      <c r="AE1284" s="7"/>
      <c r="AF1284" s="7"/>
    </row>
  </sheetData>
  <mergeCells count="3993">
    <mergeCell ref="I6:Q6"/>
    <mergeCell ref="R6:AG6"/>
    <mergeCell ref="R7:X7"/>
    <mergeCell ref="AD7:AF7"/>
    <mergeCell ref="AG7:AG8"/>
    <mergeCell ref="AG9:AG13"/>
    <mergeCell ref="AG14:AG18"/>
    <mergeCell ref="A1:AG1"/>
    <mergeCell ref="A2:AG2"/>
    <mergeCell ref="A3:AG3"/>
    <mergeCell ref="A4:AG4"/>
    <mergeCell ref="A6:A8"/>
    <mergeCell ref="B6:C6"/>
    <mergeCell ref="D6:H6"/>
    <mergeCell ref="F7:F8"/>
    <mergeCell ref="G7:G8"/>
    <mergeCell ref="D7:D8"/>
    <mergeCell ref="E7:E8"/>
    <mergeCell ref="D9:D13"/>
    <mergeCell ref="E9:E13"/>
    <mergeCell ref="F9:F13"/>
    <mergeCell ref="G9:G13"/>
    <mergeCell ref="H9:H13"/>
    <mergeCell ref="E14:E18"/>
    <mergeCell ref="F14:F18"/>
    <mergeCell ref="G14:G18"/>
    <mergeCell ref="H14:H18"/>
    <mergeCell ref="I14:I18"/>
    <mergeCell ref="J14:J18"/>
    <mergeCell ref="Y7:AC7"/>
    <mergeCell ref="M9:M13"/>
    <mergeCell ref="L19:L23"/>
    <mergeCell ref="N19:N23"/>
    <mergeCell ref="O19:O23"/>
    <mergeCell ref="P19:P23"/>
    <mergeCell ref="Q19:Q23"/>
    <mergeCell ref="AG19:AG23"/>
    <mergeCell ref="AG24:AG28"/>
    <mergeCell ref="D19:D23"/>
    <mergeCell ref="E19:E23"/>
    <mergeCell ref="F19:F23"/>
    <mergeCell ref="G19:G23"/>
    <mergeCell ref="H19:H23"/>
    <mergeCell ref="I19:I23"/>
    <mergeCell ref="J19:J23"/>
    <mergeCell ref="H7:H8"/>
    <mergeCell ref="I7:I8"/>
    <mergeCell ref="J7:J8"/>
    <mergeCell ref="K7:K8"/>
    <mergeCell ref="L7:N7"/>
    <mergeCell ref="O7:O8"/>
    <mergeCell ref="P7:P8"/>
    <mergeCell ref="Q7:Q8"/>
    <mergeCell ref="I9:I13"/>
    <mergeCell ref="J9:J13"/>
    <mergeCell ref="K9:K13"/>
    <mergeCell ref="L9:L13"/>
    <mergeCell ref="N9:N13"/>
    <mergeCell ref="O9:O13"/>
    <mergeCell ref="P9:P13"/>
    <mergeCell ref="Q9:Q13"/>
    <mergeCell ref="D14:D18"/>
    <mergeCell ref="N24:N28"/>
    <mergeCell ref="O24:O28"/>
    <mergeCell ref="P24:P28"/>
    <mergeCell ref="Q24:Q28"/>
    <mergeCell ref="K14:K18"/>
    <mergeCell ref="L14:L18"/>
    <mergeCell ref="M14:M18"/>
    <mergeCell ref="N14:N18"/>
    <mergeCell ref="O14:O18"/>
    <mergeCell ref="P14:P18"/>
    <mergeCell ref="Q14:Q18"/>
    <mergeCell ref="B19:B23"/>
    <mergeCell ref="C19:C23"/>
    <mergeCell ref="B7:B8"/>
    <mergeCell ref="C7:C8"/>
    <mergeCell ref="A9:A82"/>
    <mergeCell ref="B9:B13"/>
    <mergeCell ref="C9:C13"/>
    <mergeCell ref="B14:B18"/>
    <mergeCell ref="C14:C18"/>
    <mergeCell ref="I24:I28"/>
    <mergeCell ref="J24:J28"/>
    <mergeCell ref="K24:K28"/>
    <mergeCell ref="L24:L28"/>
    <mergeCell ref="B24:B28"/>
    <mergeCell ref="C24:C28"/>
    <mergeCell ref="D24:D28"/>
    <mergeCell ref="E24:E28"/>
    <mergeCell ref="F24:F28"/>
    <mergeCell ref="G24:G28"/>
    <mergeCell ref="H24:H28"/>
    <mergeCell ref="K19:K23"/>
    <mergeCell ref="B29:B82"/>
    <mergeCell ref="AG88:AG92"/>
    <mergeCell ref="I88:I92"/>
    <mergeCell ref="J88:J92"/>
    <mergeCell ref="K88:K92"/>
    <mergeCell ref="L88:L92"/>
    <mergeCell ref="N88:N92"/>
    <mergeCell ref="O88:O92"/>
    <mergeCell ref="P88:P92"/>
    <mergeCell ref="J93:J97"/>
    <mergeCell ref="K93:K97"/>
    <mergeCell ref="N108:N112"/>
    <mergeCell ref="C93:C97"/>
    <mergeCell ref="D93:D97"/>
    <mergeCell ref="E93:E97"/>
    <mergeCell ref="F93:F97"/>
    <mergeCell ref="G93:G97"/>
    <mergeCell ref="H93:H97"/>
    <mergeCell ref="I93:I97"/>
    <mergeCell ref="C88:C92"/>
    <mergeCell ref="D88:D92"/>
    <mergeCell ref="E88:E92"/>
    <mergeCell ref="F88:F92"/>
    <mergeCell ref="G88:G92"/>
    <mergeCell ref="H88:H92"/>
    <mergeCell ref="P93:P97"/>
    <mergeCell ref="Q93:Q97"/>
    <mergeCell ref="AG93:AG97"/>
    <mergeCell ref="P98:P102"/>
    <mergeCell ref="Q98:Q102"/>
    <mergeCell ref="E98:E102"/>
    <mergeCell ref="C108:C112"/>
    <mergeCell ref="D108:D112"/>
    <mergeCell ref="E113:E117"/>
    <mergeCell ref="F113:F117"/>
    <mergeCell ref="K118:K122"/>
    <mergeCell ref="L118:L122"/>
    <mergeCell ref="J118:J122"/>
    <mergeCell ref="N118:N122"/>
    <mergeCell ref="F98:F102"/>
    <mergeCell ref="G98:G102"/>
    <mergeCell ref="H98:H102"/>
    <mergeCell ref="I98:I102"/>
    <mergeCell ref="J98:J102"/>
    <mergeCell ref="K98:K102"/>
    <mergeCell ref="J103:J107"/>
    <mergeCell ref="K103:K107"/>
    <mergeCell ref="L103:L107"/>
    <mergeCell ref="N103:N107"/>
    <mergeCell ref="I113:I117"/>
    <mergeCell ref="J113:J117"/>
    <mergeCell ref="K113:K117"/>
    <mergeCell ref="L113:L117"/>
    <mergeCell ref="N113:N117"/>
    <mergeCell ref="I118:I122"/>
    <mergeCell ref="O129:O133"/>
    <mergeCell ref="P129:P133"/>
    <mergeCell ref="Q129:Q133"/>
    <mergeCell ref="O149:O153"/>
    <mergeCell ref="P144:P148"/>
    <mergeCell ref="Q144:Q148"/>
    <mergeCell ref="I144:I148"/>
    <mergeCell ref="J144:J148"/>
    <mergeCell ref="K144:K148"/>
    <mergeCell ref="L144:L148"/>
    <mergeCell ref="M144:M148"/>
    <mergeCell ref="N144:N148"/>
    <mergeCell ref="O144:O148"/>
    <mergeCell ref="M149:M153"/>
    <mergeCell ref="N149:N153"/>
    <mergeCell ref="K129:K133"/>
    <mergeCell ref="L129:L133"/>
    <mergeCell ref="M129:M133"/>
    <mergeCell ref="N129:N133"/>
    <mergeCell ref="K139:K143"/>
    <mergeCell ref="K149:K153"/>
    <mergeCell ref="L124:L128"/>
    <mergeCell ref="M124:M128"/>
    <mergeCell ref="I124:I128"/>
    <mergeCell ref="P154:P158"/>
    <mergeCell ref="Q154:Q158"/>
    <mergeCell ref="I154:I158"/>
    <mergeCell ref="J154:J158"/>
    <mergeCell ref="K154:K158"/>
    <mergeCell ref="L154:L158"/>
    <mergeCell ref="M154:M158"/>
    <mergeCell ref="N154:N158"/>
    <mergeCell ref="O154:O158"/>
    <mergeCell ref="F149:F153"/>
    <mergeCell ref="G149:G153"/>
    <mergeCell ref="L139:L143"/>
    <mergeCell ref="M139:M143"/>
    <mergeCell ref="N139:N143"/>
    <mergeCell ref="O139:O143"/>
    <mergeCell ref="P139:P143"/>
    <mergeCell ref="Q139:Q143"/>
    <mergeCell ref="L149:L153"/>
    <mergeCell ref="P149:P153"/>
    <mergeCell ref="Q149:Q153"/>
    <mergeCell ref="H149:H153"/>
    <mergeCell ref="I149:I153"/>
    <mergeCell ref="J149:J153"/>
    <mergeCell ref="P124:P128"/>
    <mergeCell ref="Q124:Q128"/>
    <mergeCell ref="I129:I133"/>
    <mergeCell ref="J129:J133"/>
    <mergeCell ref="P134:P138"/>
    <mergeCell ref="Q134:Q138"/>
    <mergeCell ref="A153:A203"/>
    <mergeCell ref="B144:B148"/>
    <mergeCell ref="B154:B158"/>
    <mergeCell ref="C144:C148"/>
    <mergeCell ref="B164:B168"/>
    <mergeCell ref="C164:C168"/>
    <mergeCell ref="N124:N128"/>
    <mergeCell ref="O124:O128"/>
    <mergeCell ref="F124:F128"/>
    <mergeCell ref="G124:G128"/>
    <mergeCell ref="E144:E148"/>
    <mergeCell ref="F144:F148"/>
    <mergeCell ref="G144:G148"/>
    <mergeCell ref="H144:H148"/>
    <mergeCell ref="B139:B143"/>
    <mergeCell ref="C139:C143"/>
    <mergeCell ref="D139:D143"/>
    <mergeCell ref="E139:E143"/>
    <mergeCell ref="F139:F143"/>
    <mergeCell ref="G139:G143"/>
    <mergeCell ref="H139:H143"/>
    <mergeCell ref="B134:B138"/>
    <mergeCell ref="C134:C138"/>
    <mergeCell ref="D134:D138"/>
    <mergeCell ref="E134:E138"/>
    <mergeCell ref="F134:F138"/>
    <mergeCell ref="G134:G138"/>
    <mergeCell ref="H134:H138"/>
    <mergeCell ref="I164:I168"/>
    <mergeCell ref="J164:J168"/>
    <mergeCell ref="K164:K168"/>
    <mergeCell ref="D164:D168"/>
    <mergeCell ref="A83:A117"/>
    <mergeCell ref="A118:A122"/>
    <mergeCell ref="A124:A152"/>
    <mergeCell ref="B149:B153"/>
    <mergeCell ref="C149:C153"/>
    <mergeCell ref="D149:D153"/>
    <mergeCell ref="E149:E153"/>
    <mergeCell ref="C118:C122"/>
    <mergeCell ref="D118:D122"/>
    <mergeCell ref="E118:E122"/>
    <mergeCell ref="F118:F122"/>
    <mergeCell ref="G118:G122"/>
    <mergeCell ref="H118:H122"/>
    <mergeCell ref="B113:B117"/>
    <mergeCell ref="C113:C117"/>
    <mergeCell ref="B159:B163"/>
    <mergeCell ref="C159:C163"/>
    <mergeCell ref="D159:D163"/>
    <mergeCell ref="E159:E163"/>
    <mergeCell ref="D144:D148"/>
    <mergeCell ref="H159:H163"/>
    <mergeCell ref="H154:H158"/>
    <mergeCell ref="B103:B107"/>
    <mergeCell ref="C103:C107"/>
    <mergeCell ref="E108:E112"/>
    <mergeCell ref="F108:F112"/>
    <mergeCell ref="G108:G112"/>
    <mergeCell ref="H108:H112"/>
    <mergeCell ref="B83:B87"/>
    <mergeCell ref="B88:B92"/>
    <mergeCell ref="B93:B97"/>
    <mergeCell ref="C98:C102"/>
    <mergeCell ref="C154:C158"/>
    <mergeCell ref="D154:D158"/>
    <mergeCell ref="E154:E158"/>
    <mergeCell ref="F154:F158"/>
    <mergeCell ref="G154:G158"/>
    <mergeCell ref="M215:M219"/>
    <mergeCell ref="N215:N219"/>
    <mergeCell ref="O215:O219"/>
    <mergeCell ref="P215:P219"/>
    <mergeCell ref="Q215:Q219"/>
    <mergeCell ref="L215:L219"/>
    <mergeCell ref="B184:B188"/>
    <mergeCell ref="B205:B209"/>
    <mergeCell ref="C210:C214"/>
    <mergeCell ref="B215:B219"/>
    <mergeCell ref="C215:C219"/>
    <mergeCell ref="D215:D219"/>
    <mergeCell ref="E215:E219"/>
    <mergeCell ref="L184:L188"/>
    <mergeCell ref="M184:M188"/>
    <mergeCell ref="N184:N188"/>
    <mergeCell ref="O184:O188"/>
    <mergeCell ref="P184:P188"/>
    <mergeCell ref="Q184:Q188"/>
    <mergeCell ref="F164:F168"/>
    <mergeCell ref="G164:G168"/>
    <mergeCell ref="D174:D178"/>
    <mergeCell ref="E174:E178"/>
    <mergeCell ref="H164:H168"/>
    <mergeCell ref="C169:C173"/>
    <mergeCell ref="D169:D173"/>
    <mergeCell ref="C174:C178"/>
    <mergeCell ref="C179:C183"/>
    <mergeCell ref="D179:D183"/>
    <mergeCell ref="L179:L183"/>
    <mergeCell ref="M179:M183"/>
    <mergeCell ref="N179:N183"/>
    <mergeCell ref="O179:O183"/>
    <mergeCell ref="P179:P183"/>
    <mergeCell ref="Q179:Q183"/>
    <mergeCell ref="E179:E183"/>
    <mergeCell ref="F179:F183"/>
    <mergeCell ref="G179:G183"/>
    <mergeCell ref="H179:H183"/>
    <mergeCell ref="I179:I183"/>
    <mergeCell ref="L189:L193"/>
    <mergeCell ref="M189:M193"/>
    <mergeCell ref="B169:B173"/>
    <mergeCell ref="B174:B178"/>
    <mergeCell ref="B179:B183"/>
    <mergeCell ref="P189:P193"/>
    <mergeCell ref="Q189:Q193"/>
    <mergeCell ref="H189:H193"/>
    <mergeCell ref="I189:I193"/>
    <mergeCell ref="J189:J193"/>
    <mergeCell ref="Q255:Q259"/>
    <mergeCell ref="H255:H259"/>
    <mergeCell ref="O220:O224"/>
    <mergeCell ref="P220:P224"/>
    <mergeCell ref="Q220:Q224"/>
    <mergeCell ref="F215:F219"/>
    <mergeCell ref="G215:G219"/>
    <mergeCell ref="H215:H219"/>
    <mergeCell ref="I215:I219"/>
    <mergeCell ref="J215:J219"/>
    <mergeCell ref="K215:K219"/>
    <mergeCell ref="F220:F224"/>
    <mergeCell ref="G220:G224"/>
    <mergeCell ref="H220:H224"/>
    <mergeCell ref="I220:I224"/>
    <mergeCell ref="J220:J224"/>
    <mergeCell ref="K220:K224"/>
    <mergeCell ref="L220:L224"/>
    <mergeCell ref="Q230:Q234"/>
    <mergeCell ref="F230:F234"/>
    <mergeCell ref="G230:G234"/>
    <mergeCell ref="H230:H234"/>
    <mergeCell ref="I230:I234"/>
    <mergeCell ref="J230:J234"/>
    <mergeCell ref="K230:K234"/>
    <mergeCell ref="L230:L234"/>
    <mergeCell ref="M250:M254"/>
    <mergeCell ref="N250:N254"/>
    <mergeCell ref="O250:O254"/>
    <mergeCell ref="P250:P254"/>
    <mergeCell ref="D250:D254"/>
    <mergeCell ref="E250:E254"/>
    <mergeCell ref="C240:C244"/>
    <mergeCell ref="D240:D244"/>
    <mergeCell ref="E240:E244"/>
    <mergeCell ref="C245:C249"/>
    <mergeCell ref="D245:D249"/>
    <mergeCell ref="E245:E249"/>
    <mergeCell ref="C250:C254"/>
    <mergeCell ref="D266:D270"/>
    <mergeCell ref="E266:E270"/>
    <mergeCell ref="B230:B234"/>
    <mergeCell ref="B235:B239"/>
    <mergeCell ref="B240:B244"/>
    <mergeCell ref="B245:B249"/>
    <mergeCell ref="B250:B254"/>
    <mergeCell ref="B255:B259"/>
    <mergeCell ref="B260:B264"/>
    <mergeCell ref="C266:C270"/>
    <mergeCell ref="B337:B341"/>
    <mergeCell ref="B342:B346"/>
    <mergeCell ref="B347:B351"/>
    <mergeCell ref="B352:B356"/>
    <mergeCell ref="C276:C280"/>
    <mergeCell ref="C281:C285"/>
    <mergeCell ref="D281:D285"/>
    <mergeCell ref="E281:E285"/>
    <mergeCell ref="C286:C290"/>
    <mergeCell ref="D286:D290"/>
    <mergeCell ref="E286:E290"/>
    <mergeCell ref="C301:C305"/>
    <mergeCell ref="D301:D305"/>
    <mergeCell ref="E301:E305"/>
    <mergeCell ref="C291:C295"/>
    <mergeCell ref="D291:D295"/>
    <mergeCell ref="E291:E295"/>
    <mergeCell ref="D296:D300"/>
    <mergeCell ref="E296:E300"/>
    <mergeCell ref="B276:B280"/>
    <mergeCell ref="B281:B285"/>
    <mergeCell ref="D352:D356"/>
    <mergeCell ref="E352:E356"/>
    <mergeCell ref="C342:C346"/>
    <mergeCell ref="D342:D346"/>
    <mergeCell ref="E342:E346"/>
    <mergeCell ref="C347:C351"/>
    <mergeCell ref="D347:D351"/>
    <mergeCell ref="E347:E351"/>
    <mergeCell ref="C352:C356"/>
    <mergeCell ref="B220:B224"/>
    <mergeCell ref="C220:C224"/>
    <mergeCell ref="D220:D224"/>
    <mergeCell ref="E220:E224"/>
    <mergeCell ref="C184:C188"/>
    <mergeCell ref="C189:C193"/>
    <mergeCell ref="B199:B203"/>
    <mergeCell ref="C199:C203"/>
    <mergeCell ref="D199:D203"/>
    <mergeCell ref="E199:E203"/>
    <mergeCell ref="K179:K183"/>
    <mergeCell ref="J179:J183"/>
    <mergeCell ref="B301:B305"/>
    <mergeCell ref="B327:B331"/>
    <mergeCell ref="B332:B336"/>
    <mergeCell ref="E332:E336"/>
    <mergeCell ref="B286:B290"/>
    <mergeCell ref="B291:B295"/>
    <mergeCell ref="B296:B300"/>
    <mergeCell ref="C296:C300"/>
    <mergeCell ref="C307:C311"/>
    <mergeCell ref="D307:D311"/>
    <mergeCell ref="E307:E311"/>
    <mergeCell ref="E235:E239"/>
    <mergeCell ref="C255:C259"/>
    <mergeCell ref="H276:H280"/>
    <mergeCell ref="I276:I280"/>
    <mergeCell ref="J276:J280"/>
    <mergeCell ref="K276:K280"/>
    <mergeCell ref="G327:G331"/>
    <mergeCell ref="H327:H331"/>
    <mergeCell ref="G255:G259"/>
    <mergeCell ref="A205:A227"/>
    <mergeCell ref="B225:B229"/>
    <mergeCell ref="C225:C229"/>
    <mergeCell ref="D225:D229"/>
    <mergeCell ref="E225:E229"/>
    <mergeCell ref="C230:C234"/>
    <mergeCell ref="D230:D234"/>
    <mergeCell ref="E230:E234"/>
    <mergeCell ref="A228:A264"/>
    <mergeCell ref="K184:K188"/>
    <mergeCell ref="D184:D188"/>
    <mergeCell ref="E184:E188"/>
    <mergeCell ref="F184:F188"/>
    <mergeCell ref="G184:G188"/>
    <mergeCell ref="H184:H188"/>
    <mergeCell ref="I184:I188"/>
    <mergeCell ref="J184:J188"/>
    <mergeCell ref="K189:K193"/>
    <mergeCell ref="F199:F203"/>
    <mergeCell ref="G199:G203"/>
    <mergeCell ref="D205:D209"/>
    <mergeCell ref="D210:D214"/>
    <mergeCell ref="E210:E214"/>
    <mergeCell ref="F210:F214"/>
    <mergeCell ref="G210:G214"/>
    <mergeCell ref="H210:H214"/>
    <mergeCell ref="D255:D259"/>
    <mergeCell ref="E255:E259"/>
    <mergeCell ref="C260:C264"/>
    <mergeCell ref="D260:D264"/>
    <mergeCell ref="E260:E264"/>
    <mergeCell ref="F255:F259"/>
    <mergeCell ref="A266:A305"/>
    <mergeCell ref="C312:C316"/>
    <mergeCell ref="C317:C321"/>
    <mergeCell ref="D317:D321"/>
    <mergeCell ref="E317:E321"/>
    <mergeCell ref="C322:C326"/>
    <mergeCell ref="D322:D326"/>
    <mergeCell ref="E322:E326"/>
    <mergeCell ref="A307:A381"/>
    <mergeCell ref="B307:B311"/>
    <mergeCell ref="B312:B316"/>
    <mergeCell ref="B317:B321"/>
    <mergeCell ref="B322:B326"/>
    <mergeCell ref="B377:B381"/>
    <mergeCell ref="B266:B270"/>
    <mergeCell ref="B271:B275"/>
    <mergeCell ref="C271:C275"/>
    <mergeCell ref="D271:D275"/>
    <mergeCell ref="E271:E275"/>
    <mergeCell ref="D276:D280"/>
    <mergeCell ref="E276:E280"/>
    <mergeCell ref="D367:D371"/>
    <mergeCell ref="E367:E371"/>
    <mergeCell ref="D312:D316"/>
    <mergeCell ref="E312:E316"/>
    <mergeCell ref="D337:D341"/>
    <mergeCell ref="E337:E341"/>
    <mergeCell ref="C327:C331"/>
    <mergeCell ref="D327:D331"/>
    <mergeCell ref="E327:E331"/>
    <mergeCell ref="C332:C336"/>
    <mergeCell ref="D332:D336"/>
    <mergeCell ref="E164:E168"/>
    <mergeCell ref="N169:N173"/>
    <mergeCell ref="O169:O173"/>
    <mergeCell ref="E169:E173"/>
    <mergeCell ref="F169:F173"/>
    <mergeCell ref="G169:G173"/>
    <mergeCell ref="H169:H173"/>
    <mergeCell ref="I169:I173"/>
    <mergeCell ref="J169:J173"/>
    <mergeCell ref="P174:P178"/>
    <mergeCell ref="Q174:Q178"/>
    <mergeCell ref="N164:N168"/>
    <mergeCell ref="O164:O168"/>
    <mergeCell ref="P164:P168"/>
    <mergeCell ref="Q164:Q168"/>
    <mergeCell ref="M174:M178"/>
    <mergeCell ref="N174:N178"/>
    <mergeCell ref="O174:O178"/>
    <mergeCell ref="L164:L168"/>
    <mergeCell ref="F159:F163"/>
    <mergeCell ref="G159:G163"/>
    <mergeCell ref="I159:I163"/>
    <mergeCell ref="J159:J163"/>
    <mergeCell ref="K159:K163"/>
    <mergeCell ref="L159:L163"/>
    <mergeCell ref="M159:M163"/>
    <mergeCell ref="K174:K178"/>
    <mergeCell ref="L174:L178"/>
    <mergeCell ref="F174:F178"/>
    <mergeCell ref="G174:G178"/>
    <mergeCell ref="H174:H178"/>
    <mergeCell ref="I174:I178"/>
    <mergeCell ref="J174:J178"/>
    <mergeCell ref="N159:N163"/>
    <mergeCell ref="O159:O163"/>
    <mergeCell ref="P169:P173"/>
    <mergeCell ref="K169:K173"/>
    <mergeCell ref="L169:L173"/>
    <mergeCell ref="M164:M168"/>
    <mergeCell ref="M169:M173"/>
    <mergeCell ref="H194:H198"/>
    <mergeCell ref="P194:P198"/>
    <mergeCell ref="Q194:Q198"/>
    <mergeCell ref="I194:I198"/>
    <mergeCell ref="J194:J198"/>
    <mergeCell ref="K194:K198"/>
    <mergeCell ref="L194:L198"/>
    <mergeCell ref="M194:M198"/>
    <mergeCell ref="N194:N198"/>
    <mergeCell ref="O194:O198"/>
    <mergeCell ref="P159:P163"/>
    <mergeCell ref="Q159:Q163"/>
    <mergeCell ref="Q169:Q173"/>
    <mergeCell ref="Q240:Q244"/>
    <mergeCell ref="I240:I244"/>
    <mergeCell ref="P240:P244"/>
    <mergeCell ref="F250:F254"/>
    <mergeCell ref="Q199:Q203"/>
    <mergeCell ref="H199:H203"/>
    <mergeCell ref="I199:I203"/>
    <mergeCell ref="J199:J203"/>
    <mergeCell ref="K199:K203"/>
    <mergeCell ref="L199:L203"/>
    <mergeCell ref="M199:M203"/>
    <mergeCell ref="N199:N203"/>
    <mergeCell ref="K205:K209"/>
    <mergeCell ref="L205:L209"/>
    <mergeCell ref="M205:M209"/>
    <mergeCell ref="N205:N209"/>
    <mergeCell ref="O205:O209"/>
    <mergeCell ref="P205:P209"/>
    <mergeCell ref="P230:P234"/>
    <mergeCell ref="Q205:Q209"/>
    <mergeCell ref="M225:M229"/>
    <mergeCell ref="N225:N229"/>
    <mergeCell ref="O225:O229"/>
    <mergeCell ref="P225:P229"/>
    <mergeCell ref="Q225:Q229"/>
    <mergeCell ref="F225:F229"/>
    <mergeCell ref="G225:G229"/>
    <mergeCell ref="H225:H229"/>
    <mergeCell ref="I225:I229"/>
    <mergeCell ref="J225:J229"/>
    <mergeCell ref="K225:K229"/>
    <mergeCell ref="L225:L229"/>
    <mergeCell ref="M220:M224"/>
    <mergeCell ref="N220:N224"/>
    <mergeCell ref="Q210:Q214"/>
    <mergeCell ref="I210:I214"/>
    <mergeCell ref="J210:J214"/>
    <mergeCell ref="AG618:AG622"/>
    <mergeCell ref="AG629:AG633"/>
    <mergeCell ref="AG694:AG698"/>
    <mergeCell ref="AG699:AG703"/>
    <mergeCell ref="R704:Y704"/>
    <mergeCell ref="AD704:AG704"/>
    <mergeCell ref="M291:M295"/>
    <mergeCell ref="N291:N295"/>
    <mergeCell ref="P260:P264"/>
    <mergeCell ref="Q260:Q264"/>
    <mergeCell ref="F260:F264"/>
    <mergeCell ref="G260:G264"/>
    <mergeCell ref="H260:H264"/>
    <mergeCell ref="I260:I264"/>
    <mergeCell ref="J260:J264"/>
    <mergeCell ref="K260:K264"/>
    <mergeCell ref="L260:L264"/>
    <mergeCell ref="M266:M270"/>
    <mergeCell ref="N266:N270"/>
    <mergeCell ref="O266:O270"/>
    <mergeCell ref="P266:P270"/>
    <mergeCell ref="Q266:Q270"/>
    <mergeCell ref="F266:F270"/>
    <mergeCell ref="G266:G270"/>
    <mergeCell ref="H266:H270"/>
    <mergeCell ref="L266:L270"/>
    <mergeCell ref="N312:N316"/>
    <mergeCell ref="O312:O316"/>
    <mergeCell ref="P312:P316"/>
    <mergeCell ref="Q312:Q316"/>
    <mergeCell ref="F312:F316"/>
    <mergeCell ref="O291:O295"/>
    <mergeCell ref="AG836:AG840"/>
    <mergeCell ref="AG841:AG845"/>
    <mergeCell ref="AG862:AG866"/>
    <mergeCell ref="AG867:AG871"/>
    <mergeCell ref="AG872:AG876"/>
    <mergeCell ref="AG877:AG881"/>
    <mergeCell ref="AG882:AG886"/>
    <mergeCell ref="AG887:AG891"/>
    <mergeCell ref="AG892:AG896"/>
    <mergeCell ref="AG705:AG709"/>
    <mergeCell ref="AG770:AG774"/>
    <mergeCell ref="AG775:AG779"/>
    <mergeCell ref="R780:Y780"/>
    <mergeCell ref="AD780:AG780"/>
    <mergeCell ref="F286:F290"/>
    <mergeCell ref="G286:G290"/>
    <mergeCell ref="H286:H290"/>
    <mergeCell ref="I286:I290"/>
    <mergeCell ref="J286:J290"/>
    <mergeCell ref="K286:K290"/>
    <mergeCell ref="L286:L290"/>
    <mergeCell ref="F377:F381"/>
    <mergeCell ref="G377:G381"/>
    <mergeCell ref="H377:H381"/>
    <mergeCell ref="I377:I381"/>
    <mergeCell ref="J377:J381"/>
    <mergeCell ref="K377:K381"/>
    <mergeCell ref="L377:L381"/>
    <mergeCell ref="AG492:AG501"/>
    <mergeCell ref="R552:Y552"/>
    <mergeCell ref="AD552:AG552"/>
    <mergeCell ref="AG553:AG557"/>
    <mergeCell ref="AG846:AG850"/>
    <mergeCell ref="R1008:Y1008"/>
    <mergeCell ref="AD1008:AG1008"/>
    <mergeCell ref="AG1009:AG1013"/>
    <mergeCell ref="R1084:Y1084"/>
    <mergeCell ref="AD1084:AG1084"/>
    <mergeCell ref="R1160:Y1160"/>
    <mergeCell ref="AD1160:AG1160"/>
    <mergeCell ref="AG851:AG855"/>
    <mergeCell ref="R856:Y856"/>
    <mergeCell ref="AD856:AG856"/>
    <mergeCell ref="AG857:AG861"/>
    <mergeCell ref="AG922:AG926"/>
    <mergeCell ref="R932:Y932"/>
    <mergeCell ref="AD932:AG932"/>
    <mergeCell ref="AG927:AG931"/>
    <mergeCell ref="AG933:AG937"/>
    <mergeCell ref="AG1074:AG1078"/>
    <mergeCell ref="AG1079:AG1083"/>
    <mergeCell ref="AG1085:AG1089"/>
    <mergeCell ref="AG1150:AG1154"/>
    <mergeCell ref="AG1155:AG1159"/>
    <mergeCell ref="AG897:AG901"/>
    <mergeCell ref="AG902:AG906"/>
    <mergeCell ref="AG907:AG911"/>
    <mergeCell ref="AG912:AG916"/>
    <mergeCell ref="AG917:AG921"/>
    <mergeCell ref="AG938:AG942"/>
    <mergeCell ref="AG943:AG947"/>
    <mergeCell ref="AG948:AG952"/>
    <mergeCell ref="AG953:AG957"/>
    <mergeCell ref="AG958:AG962"/>
    <mergeCell ref="AG1226:AG1230"/>
    <mergeCell ref="AG1231:AG1235"/>
    <mergeCell ref="R1236:Y1236"/>
    <mergeCell ref="AD1236:AG1236"/>
    <mergeCell ref="R1237:Y1237"/>
    <mergeCell ref="AD1237:AG1237"/>
    <mergeCell ref="R1238:AG1238"/>
    <mergeCell ref="T1240:Y1240"/>
    <mergeCell ref="AC1240:AD1240"/>
    <mergeCell ref="T1266:V1266"/>
    <mergeCell ref="T1267:U1267"/>
    <mergeCell ref="T1268:U1268"/>
    <mergeCell ref="T1276:U1276"/>
    <mergeCell ref="T1277:U1277"/>
    <mergeCell ref="T1278:U1278"/>
    <mergeCell ref="AG1206:AG1210"/>
    <mergeCell ref="AG1211:AG1215"/>
    <mergeCell ref="AG1216:AG1220"/>
    <mergeCell ref="AG1221:AG1225"/>
    <mergeCell ref="T1279:U1279"/>
    <mergeCell ref="T1280:U1280"/>
    <mergeCell ref="T1281:U1281"/>
    <mergeCell ref="T1269:U1269"/>
    <mergeCell ref="T1270:U1270"/>
    <mergeCell ref="T1271:U1271"/>
    <mergeCell ref="T1272:V1272"/>
    <mergeCell ref="T1273:U1273"/>
    <mergeCell ref="T1274:U1274"/>
    <mergeCell ref="T1275:U1275"/>
    <mergeCell ref="M286:M290"/>
    <mergeCell ref="N286:N290"/>
    <mergeCell ref="O286:O290"/>
    <mergeCell ref="P286:P290"/>
    <mergeCell ref="Q286:Q290"/>
    <mergeCell ref="AG307:AG311"/>
    <mergeCell ref="AG372:AG376"/>
    <mergeCell ref="M377:M381"/>
    <mergeCell ref="N377:N381"/>
    <mergeCell ref="O377:O381"/>
    <mergeCell ref="P377:P381"/>
    <mergeCell ref="Q377:Q381"/>
    <mergeCell ref="R382:Y382"/>
    <mergeCell ref="AD382:AG382"/>
    <mergeCell ref="AG377:AG381"/>
    <mergeCell ref="AG411:AG415"/>
    <mergeCell ref="AG416:AG420"/>
    <mergeCell ref="AG466:AG470"/>
    <mergeCell ref="R471:Y471"/>
    <mergeCell ref="AD471:AG471"/>
    <mergeCell ref="M312:M316"/>
    <mergeCell ref="AG1161:AG1165"/>
    <mergeCell ref="P291:P295"/>
    <mergeCell ref="Q291:Q295"/>
    <mergeCell ref="M307:M311"/>
    <mergeCell ref="N307:N311"/>
    <mergeCell ref="O307:O311"/>
    <mergeCell ref="P307:P311"/>
    <mergeCell ref="Q307:Q311"/>
    <mergeCell ref="M317:M321"/>
    <mergeCell ref="N317:N321"/>
    <mergeCell ref="O317:O321"/>
    <mergeCell ref="P317:P321"/>
    <mergeCell ref="Q317:Q321"/>
    <mergeCell ref="Q296:Q300"/>
    <mergeCell ref="F296:F300"/>
    <mergeCell ref="G296:G300"/>
    <mergeCell ref="H296:H300"/>
    <mergeCell ref="F301:F305"/>
    <mergeCell ref="K301:K305"/>
    <mergeCell ref="L301:L305"/>
    <mergeCell ref="L317:L321"/>
    <mergeCell ref="F317:F321"/>
    <mergeCell ref="I317:I321"/>
    <mergeCell ref="J317:J321"/>
    <mergeCell ref="K317:K321"/>
    <mergeCell ref="J307:J311"/>
    <mergeCell ref="I296:I300"/>
    <mergeCell ref="J296:J300"/>
    <mergeCell ref="K296:K300"/>
    <mergeCell ref="L296:L300"/>
    <mergeCell ref="J312:J316"/>
    <mergeCell ref="K312:K316"/>
    <mergeCell ref="L312:L316"/>
    <mergeCell ref="B357:B361"/>
    <mergeCell ref="B362:B366"/>
    <mergeCell ref="B367:B371"/>
    <mergeCell ref="B372:B376"/>
    <mergeCell ref="O362:O366"/>
    <mergeCell ref="M357:M361"/>
    <mergeCell ref="M583:M587"/>
    <mergeCell ref="N583:N587"/>
    <mergeCell ref="O583:O587"/>
    <mergeCell ref="Q659:Q663"/>
    <mergeCell ref="P583:P587"/>
    <mergeCell ref="Q583:Q587"/>
    <mergeCell ref="R306:Y306"/>
    <mergeCell ref="AD306:AG306"/>
    <mergeCell ref="AG623:AG627"/>
    <mergeCell ref="R628:Y628"/>
    <mergeCell ref="AD628:AG628"/>
    <mergeCell ref="O322:O326"/>
    <mergeCell ref="P322:P326"/>
    <mergeCell ref="Q322:Q326"/>
    <mergeCell ref="F322:F326"/>
    <mergeCell ref="G322:G326"/>
    <mergeCell ref="H322:H326"/>
    <mergeCell ref="I322:I326"/>
    <mergeCell ref="J322:J326"/>
    <mergeCell ref="K322:K326"/>
    <mergeCell ref="L322:L326"/>
    <mergeCell ref="F307:F311"/>
    <mergeCell ref="G307:G311"/>
    <mergeCell ref="H307:H311"/>
    <mergeCell ref="I307:I311"/>
    <mergeCell ref="L307:L311"/>
    <mergeCell ref="C372:C376"/>
    <mergeCell ref="P352:P356"/>
    <mergeCell ref="Q352:Q356"/>
    <mergeCell ref="F352:F356"/>
    <mergeCell ref="G352:G356"/>
    <mergeCell ref="D372:D376"/>
    <mergeCell ref="E372:E376"/>
    <mergeCell ref="Q332:Q336"/>
    <mergeCell ref="F332:F336"/>
    <mergeCell ref="G332:G336"/>
    <mergeCell ref="H332:H336"/>
    <mergeCell ref="I332:I336"/>
    <mergeCell ref="J332:J336"/>
    <mergeCell ref="K332:K336"/>
    <mergeCell ref="M327:M331"/>
    <mergeCell ref="N327:N331"/>
    <mergeCell ref="O327:O331"/>
    <mergeCell ref="P327:P331"/>
    <mergeCell ref="C337:C341"/>
    <mergeCell ref="C362:C366"/>
    <mergeCell ref="D362:D366"/>
    <mergeCell ref="E362:E366"/>
    <mergeCell ref="C367:C371"/>
    <mergeCell ref="K347:K351"/>
    <mergeCell ref="N352:N356"/>
    <mergeCell ref="C357:C361"/>
    <mergeCell ref="D357:D361"/>
    <mergeCell ref="E357:E361"/>
    <mergeCell ref="H352:H356"/>
    <mergeCell ref="I352:I356"/>
    <mergeCell ref="J342:J346"/>
    <mergeCell ref="K342:K346"/>
    <mergeCell ref="A472:A551"/>
    <mergeCell ref="B472:B476"/>
    <mergeCell ref="C472:C476"/>
    <mergeCell ref="B477:B481"/>
    <mergeCell ref="C477:C481"/>
    <mergeCell ref="F436:F440"/>
    <mergeCell ref="F461:F465"/>
    <mergeCell ref="G461:G465"/>
    <mergeCell ref="H461:H465"/>
    <mergeCell ref="I461:I465"/>
    <mergeCell ref="J461:J465"/>
    <mergeCell ref="K461:K465"/>
    <mergeCell ref="L461:L465"/>
    <mergeCell ref="B383:B400"/>
    <mergeCell ref="B466:B470"/>
    <mergeCell ref="B441:B445"/>
    <mergeCell ref="C441:C445"/>
    <mergeCell ref="B482:B486"/>
    <mergeCell ref="C482:C486"/>
    <mergeCell ref="B487:B491"/>
    <mergeCell ref="C487:C491"/>
    <mergeCell ref="H406:H410"/>
    <mergeCell ref="I406:I410"/>
    <mergeCell ref="J406:J410"/>
    <mergeCell ref="K406:K410"/>
    <mergeCell ref="L406:L410"/>
    <mergeCell ref="B416:B420"/>
    <mergeCell ref="C416:C420"/>
    <mergeCell ref="D416:D420"/>
    <mergeCell ref="E416:E420"/>
    <mergeCell ref="G436:G440"/>
    <mergeCell ref="B401:B405"/>
    <mergeCell ref="F347:F351"/>
    <mergeCell ref="G347:G351"/>
    <mergeCell ref="J357:J361"/>
    <mergeCell ref="K357:K361"/>
    <mergeCell ref="L357:L361"/>
    <mergeCell ref="M362:M366"/>
    <mergeCell ref="N362:N366"/>
    <mergeCell ref="H347:H351"/>
    <mergeCell ref="I347:I351"/>
    <mergeCell ref="J347:J351"/>
    <mergeCell ref="F362:F366"/>
    <mergeCell ref="F357:F361"/>
    <mergeCell ref="L347:L351"/>
    <mergeCell ref="G362:G366"/>
    <mergeCell ref="H362:H366"/>
    <mergeCell ref="M347:M351"/>
    <mergeCell ref="N347:N351"/>
    <mergeCell ref="G357:G361"/>
    <mergeCell ref="I357:I361"/>
    <mergeCell ref="N542:N546"/>
    <mergeCell ref="O542:O546"/>
    <mergeCell ref="E537:E541"/>
    <mergeCell ref="C377:C381"/>
    <mergeCell ref="D377:D381"/>
    <mergeCell ref="E377:E381"/>
    <mergeCell ref="E472:E476"/>
    <mergeCell ref="D441:D445"/>
    <mergeCell ref="E441:E445"/>
    <mergeCell ref="C446:C450"/>
    <mergeCell ref="F446:F450"/>
    <mergeCell ref="G446:G450"/>
    <mergeCell ref="F421:F425"/>
    <mergeCell ref="G421:G425"/>
    <mergeCell ref="H421:H425"/>
    <mergeCell ref="C401:C405"/>
    <mergeCell ref="D401:D405"/>
    <mergeCell ref="D383:D400"/>
    <mergeCell ref="E401:E405"/>
    <mergeCell ref="E436:E440"/>
    <mergeCell ref="D406:D410"/>
    <mergeCell ref="F416:F420"/>
    <mergeCell ref="G416:G420"/>
    <mergeCell ref="C383:C400"/>
    <mergeCell ref="J401:J405"/>
    <mergeCell ref="K401:K405"/>
    <mergeCell ref="L401:L405"/>
    <mergeCell ref="O416:O420"/>
    <mergeCell ref="N446:N450"/>
    <mergeCell ref="O446:O450"/>
    <mergeCell ref="M477:M481"/>
    <mergeCell ref="N477:N481"/>
    <mergeCell ref="I573:I577"/>
    <mergeCell ref="K568:K572"/>
    <mergeCell ref="L568:L572"/>
    <mergeCell ref="I568:I572"/>
    <mergeCell ref="J568:J572"/>
    <mergeCell ref="P578:P582"/>
    <mergeCell ref="I517:I521"/>
    <mergeCell ref="J517:J521"/>
    <mergeCell ref="K517:K521"/>
    <mergeCell ref="L517:L521"/>
    <mergeCell ref="M517:M521"/>
    <mergeCell ref="N517:N521"/>
    <mergeCell ref="O517:O521"/>
    <mergeCell ref="O563:O567"/>
    <mergeCell ref="P563:P567"/>
    <mergeCell ref="Q563:Q567"/>
    <mergeCell ref="D563:D567"/>
    <mergeCell ref="E563:E567"/>
    <mergeCell ref="F563:F567"/>
    <mergeCell ref="G563:G567"/>
    <mergeCell ref="H563:H567"/>
    <mergeCell ref="P527:P531"/>
    <mergeCell ref="I527:I531"/>
    <mergeCell ref="K532:K536"/>
    <mergeCell ref="L532:L536"/>
    <mergeCell ref="M532:M536"/>
    <mergeCell ref="N532:N536"/>
    <mergeCell ref="O532:O536"/>
    <mergeCell ref="P532:P536"/>
    <mergeCell ref="Q532:Q536"/>
    <mergeCell ref="P542:P546"/>
    <mergeCell ref="Q542:Q546"/>
    <mergeCell ref="J578:J582"/>
    <mergeCell ref="K578:K582"/>
    <mergeCell ref="L578:L582"/>
    <mergeCell ref="M578:M582"/>
    <mergeCell ref="N578:N582"/>
    <mergeCell ref="O578:O582"/>
    <mergeCell ref="M568:M572"/>
    <mergeCell ref="N568:N572"/>
    <mergeCell ref="O568:O572"/>
    <mergeCell ref="P568:P572"/>
    <mergeCell ref="Q568:Q572"/>
    <mergeCell ref="K573:K577"/>
    <mergeCell ref="L573:L577"/>
    <mergeCell ref="M573:M577"/>
    <mergeCell ref="N573:N577"/>
    <mergeCell ref="O573:O577"/>
    <mergeCell ref="P573:P577"/>
    <mergeCell ref="Q573:Q577"/>
    <mergeCell ref="B644:B648"/>
    <mergeCell ref="C644:C648"/>
    <mergeCell ref="B649:B653"/>
    <mergeCell ref="C649:C653"/>
    <mergeCell ref="B654:B658"/>
    <mergeCell ref="C654:C658"/>
    <mergeCell ref="J563:J567"/>
    <mergeCell ref="B578:B582"/>
    <mergeCell ref="C578:C582"/>
    <mergeCell ref="D578:D582"/>
    <mergeCell ref="E578:E582"/>
    <mergeCell ref="F578:F582"/>
    <mergeCell ref="G578:G582"/>
    <mergeCell ref="H578:H582"/>
    <mergeCell ref="G573:G577"/>
    <mergeCell ref="H573:H577"/>
    <mergeCell ref="D573:D577"/>
    <mergeCell ref="E573:E577"/>
    <mergeCell ref="F573:F577"/>
    <mergeCell ref="C568:C572"/>
    <mergeCell ref="J654:J658"/>
    <mergeCell ref="C623:C627"/>
    <mergeCell ref="I588:I592"/>
    <mergeCell ref="J588:J592"/>
    <mergeCell ref="B588:B592"/>
    <mergeCell ref="C588:C592"/>
    <mergeCell ref="D568:D572"/>
    <mergeCell ref="E568:E572"/>
    <mergeCell ref="F568:F572"/>
    <mergeCell ref="G568:G572"/>
    <mergeCell ref="H568:H572"/>
    <mergeCell ref="C563:C567"/>
    <mergeCell ref="B583:B587"/>
    <mergeCell ref="C583:C587"/>
    <mergeCell ref="D583:D587"/>
    <mergeCell ref="E583:E587"/>
    <mergeCell ref="F583:F587"/>
    <mergeCell ref="G583:G587"/>
    <mergeCell ref="H583:H587"/>
    <mergeCell ref="E634:E638"/>
    <mergeCell ref="F634:F638"/>
    <mergeCell ref="G634:G638"/>
    <mergeCell ref="H634:H638"/>
    <mergeCell ref="I634:I638"/>
    <mergeCell ref="J634:J638"/>
    <mergeCell ref="B639:B643"/>
    <mergeCell ref="C639:C643"/>
    <mergeCell ref="I583:I587"/>
    <mergeCell ref="J583:J587"/>
    <mergeCell ref="C603:C607"/>
    <mergeCell ref="D603:D607"/>
    <mergeCell ref="E603:E607"/>
    <mergeCell ref="F603:F607"/>
    <mergeCell ref="G603:G607"/>
    <mergeCell ref="H603:H607"/>
    <mergeCell ref="B613:B617"/>
    <mergeCell ref="C613:C617"/>
    <mergeCell ref="D613:D617"/>
    <mergeCell ref="E613:E617"/>
    <mergeCell ref="F613:F617"/>
    <mergeCell ref="B598:B602"/>
    <mergeCell ref="C598:C602"/>
    <mergeCell ref="D588:D592"/>
    <mergeCell ref="E588:E592"/>
    <mergeCell ref="Q882:Q886"/>
    <mergeCell ref="D882:D886"/>
    <mergeCell ref="E882:E886"/>
    <mergeCell ref="F882:F886"/>
    <mergeCell ref="G882:G886"/>
    <mergeCell ref="H882:H886"/>
    <mergeCell ref="I882:I886"/>
    <mergeCell ref="J882:J886"/>
    <mergeCell ref="K867:K871"/>
    <mergeCell ref="L867:L871"/>
    <mergeCell ref="M867:M871"/>
    <mergeCell ref="N867:N871"/>
    <mergeCell ref="K634:K638"/>
    <mergeCell ref="L634:L638"/>
    <mergeCell ref="M634:M638"/>
    <mergeCell ref="N634:N638"/>
    <mergeCell ref="O634:O638"/>
    <mergeCell ref="P634:P638"/>
    <mergeCell ref="Q634:Q638"/>
    <mergeCell ref="G659:G663"/>
    <mergeCell ref="H659:H663"/>
    <mergeCell ref="I659:I663"/>
    <mergeCell ref="J659:J663"/>
    <mergeCell ref="O664:O668"/>
    <mergeCell ref="P664:P668"/>
    <mergeCell ref="G639:G643"/>
    <mergeCell ref="H639:H643"/>
    <mergeCell ref="I639:I643"/>
    <mergeCell ref="J639:J643"/>
    <mergeCell ref="D872:D876"/>
    <mergeCell ref="O882:O886"/>
    <mergeCell ref="P882:P886"/>
    <mergeCell ref="O811:O815"/>
    <mergeCell ref="K770:K774"/>
    <mergeCell ref="L770:L774"/>
    <mergeCell ref="M770:M774"/>
    <mergeCell ref="N770:N774"/>
    <mergeCell ref="O770:O774"/>
    <mergeCell ref="N613:N617"/>
    <mergeCell ref="O613:O617"/>
    <mergeCell ref="K639:K643"/>
    <mergeCell ref="L639:L643"/>
    <mergeCell ref="M639:M643"/>
    <mergeCell ref="N639:N643"/>
    <mergeCell ref="O639:O643"/>
    <mergeCell ref="N654:N658"/>
    <mergeCell ref="O654:O658"/>
    <mergeCell ref="K705:K709"/>
    <mergeCell ref="M679:M683"/>
    <mergeCell ref="N679:N683"/>
    <mergeCell ref="O679:O683"/>
    <mergeCell ref="N806:N810"/>
    <mergeCell ref="O806:O810"/>
    <mergeCell ref="L659:L663"/>
    <mergeCell ref="M659:M663"/>
    <mergeCell ref="N659:N663"/>
    <mergeCell ref="O659:O663"/>
    <mergeCell ref="K674:K678"/>
    <mergeCell ref="L674:L678"/>
    <mergeCell ref="N618:N622"/>
    <mergeCell ref="O618:O622"/>
    <mergeCell ref="M715:M719"/>
    <mergeCell ref="N715:N719"/>
    <mergeCell ref="O715:O719"/>
    <mergeCell ref="N877:N881"/>
    <mergeCell ref="O877:O881"/>
    <mergeCell ref="P877:P881"/>
    <mergeCell ref="Q877:Q881"/>
    <mergeCell ref="D877:D881"/>
    <mergeCell ref="E877:E881"/>
    <mergeCell ref="F877:F881"/>
    <mergeCell ref="G877:G881"/>
    <mergeCell ref="H877:H881"/>
    <mergeCell ref="I877:I881"/>
    <mergeCell ref="J877:J881"/>
    <mergeCell ref="L816:L820"/>
    <mergeCell ref="M816:M820"/>
    <mergeCell ref="F816:F820"/>
    <mergeCell ref="G816:G820"/>
    <mergeCell ref="H816:H820"/>
    <mergeCell ref="I816:I820"/>
    <mergeCell ref="J816:J820"/>
    <mergeCell ref="P862:P866"/>
    <mergeCell ref="F872:F876"/>
    <mergeCell ref="G872:G876"/>
    <mergeCell ref="H872:H876"/>
    <mergeCell ref="I872:I876"/>
    <mergeCell ref="J872:J876"/>
    <mergeCell ref="K872:K876"/>
    <mergeCell ref="L872:L876"/>
    <mergeCell ref="D862:D866"/>
    <mergeCell ref="E862:E866"/>
    <mergeCell ref="F862:F866"/>
    <mergeCell ref="D816:D820"/>
    <mergeCell ref="E816:E820"/>
    <mergeCell ref="M841:M845"/>
    <mergeCell ref="B750:B754"/>
    <mergeCell ref="C750:C754"/>
    <mergeCell ref="B755:B759"/>
    <mergeCell ref="C755:C759"/>
    <mergeCell ref="B760:B764"/>
    <mergeCell ref="C760:C764"/>
    <mergeCell ref="B765:B769"/>
    <mergeCell ref="B836:B840"/>
    <mergeCell ref="B775:B779"/>
    <mergeCell ref="C765:C769"/>
    <mergeCell ref="B770:B774"/>
    <mergeCell ref="C770:C774"/>
    <mergeCell ref="C775:C779"/>
    <mergeCell ref="B659:B663"/>
    <mergeCell ref="C659:C663"/>
    <mergeCell ref="B664:B668"/>
    <mergeCell ref="C664:C668"/>
    <mergeCell ref="B669:B673"/>
    <mergeCell ref="C669:C673"/>
    <mergeCell ref="B674:B678"/>
    <mergeCell ref="C674:C678"/>
    <mergeCell ref="B679:B683"/>
    <mergeCell ref="C679:C683"/>
    <mergeCell ref="B684:B688"/>
    <mergeCell ref="C684:C688"/>
    <mergeCell ref="B689:B693"/>
    <mergeCell ref="C689:C693"/>
    <mergeCell ref="B694:B698"/>
    <mergeCell ref="C694:C698"/>
    <mergeCell ref="B699:B703"/>
    <mergeCell ref="C699:C703"/>
    <mergeCell ref="N841:N845"/>
    <mergeCell ref="O841:O845"/>
    <mergeCell ref="P841:P845"/>
    <mergeCell ref="Q841:Q845"/>
    <mergeCell ref="D841:D845"/>
    <mergeCell ref="E841:E845"/>
    <mergeCell ref="F841:F845"/>
    <mergeCell ref="G841:G845"/>
    <mergeCell ref="H841:H845"/>
    <mergeCell ref="I841:I845"/>
    <mergeCell ref="J841:J845"/>
    <mergeCell ref="F831:F835"/>
    <mergeCell ref="G831:G835"/>
    <mergeCell ref="O831:O835"/>
    <mergeCell ref="H831:H835"/>
    <mergeCell ref="D836:D840"/>
    <mergeCell ref="E836:E840"/>
    <mergeCell ref="F836:F840"/>
    <mergeCell ref="P831:P835"/>
    <mergeCell ref="Q831:Q835"/>
    <mergeCell ref="O836:O840"/>
    <mergeCell ref="P836:P840"/>
    <mergeCell ref="Q836:Q840"/>
    <mergeCell ref="G836:G840"/>
    <mergeCell ref="H836:H840"/>
    <mergeCell ref="I836:I840"/>
    <mergeCell ref="J821:J825"/>
    <mergeCell ref="K821:K825"/>
    <mergeCell ref="L821:L825"/>
    <mergeCell ref="M821:M825"/>
    <mergeCell ref="N821:N825"/>
    <mergeCell ref="I826:I830"/>
    <mergeCell ref="J826:J830"/>
    <mergeCell ref="K826:K830"/>
    <mergeCell ref="L826:L830"/>
    <mergeCell ref="M826:M830"/>
    <mergeCell ref="Q791:Q795"/>
    <mergeCell ref="P801:P805"/>
    <mergeCell ref="Q801:Q805"/>
    <mergeCell ref="P811:P815"/>
    <mergeCell ref="Q811:Q815"/>
    <mergeCell ref="P770:P774"/>
    <mergeCell ref="Q770:Q774"/>
    <mergeCell ref="P821:P825"/>
    <mergeCell ref="Q821:Q825"/>
    <mergeCell ref="K816:K820"/>
    <mergeCell ref="P796:P800"/>
    <mergeCell ref="Q796:Q800"/>
    <mergeCell ref="O775:O779"/>
    <mergeCell ref="P775:P779"/>
    <mergeCell ref="Q775:Q779"/>
    <mergeCell ref="P826:P830"/>
    <mergeCell ref="Q826:Q830"/>
    <mergeCell ref="N816:N820"/>
    <mergeCell ref="O816:O820"/>
    <mergeCell ref="P816:P820"/>
    <mergeCell ref="Q816:Q820"/>
    <mergeCell ref="M806:M810"/>
    <mergeCell ref="P806:P810"/>
    <mergeCell ref="Q806:Q810"/>
    <mergeCell ref="A781:A855"/>
    <mergeCell ref="B781:B785"/>
    <mergeCell ref="B786:B790"/>
    <mergeCell ref="B791:B795"/>
    <mergeCell ref="B796:B800"/>
    <mergeCell ref="B801:B805"/>
    <mergeCell ref="B806:B810"/>
    <mergeCell ref="B851:B855"/>
    <mergeCell ref="B618:B622"/>
    <mergeCell ref="C618:C622"/>
    <mergeCell ref="B831:B835"/>
    <mergeCell ref="B841:B845"/>
    <mergeCell ref="B846:B850"/>
    <mergeCell ref="D821:D825"/>
    <mergeCell ref="E821:E825"/>
    <mergeCell ref="F821:F825"/>
    <mergeCell ref="G821:G825"/>
    <mergeCell ref="H821:H825"/>
    <mergeCell ref="D618:D622"/>
    <mergeCell ref="E618:E622"/>
    <mergeCell ref="F618:F622"/>
    <mergeCell ref="G618:G622"/>
    <mergeCell ref="H618:H622"/>
    <mergeCell ref="O649:O653"/>
    <mergeCell ref="P649:P653"/>
    <mergeCell ref="Q649:Q653"/>
    <mergeCell ref="I821:I825"/>
    <mergeCell ref="Q639:Q643"/>
    <mergeCell ref="D639:D643"/>
    <mergeCell ref="E639:E643"/>
    <mergeCell ref="B603:B607"/>
    <mergeCell ref="B623:B627"/>
    <mergeCell ref="C851:C855"/>
    <mergeCell ref="C705:C709"/>
    <mergeCell ref="B710:B714"/>
    <mergeCell ref="C710:C714"/>
    <mergeCell ref="B715:B719"/>
    <mergeCell ref="C715:C719"/>
    <mergeCell ref="B720:B724"/>
    <mergeCell ref="C720:C724"/>
    <mergeCell ref="B725:B729"/>
    <mergeCell ref="C725:C729"/>
    <mergeCell ref="B821:B825"/>
    <mergeCell ref="B826:B830"/>
    <mergeCell ref="C826:C830"/>
    <mergeCell ref="C831:C835"/>
    <mergeCell ref="C836:C840"/>
    <mergeCell ref="B634:B638"/>
    <mergeCell ref="B705:B709"/>
    <mergeCell ref="B608:B612"/>
    <mergeCell ref="C608:C612"/>
    <mergeCell ref="C821:C825"/>
    <mergeCell ref="C841:C845"/>
    <mergeCell ref="C846:C850"/>
    <mergeCell ref="B730:B734"/>
    <mergeCell ref="C730:C734"/>
    <mergeCell ref="B735:B739"/>
    <mergeCell ref="C735:C739"/>
    <mergeCell ref="B740:B744"/>
    <mergeCell ref="C740:C744"/>
    <mergeCell ref="B745:B749"/>
    <mergeCell ref="C745:C749"/>
    <mergeCell ref="L862:L866"/>
    <mergeCell ref="M862:M866"/>
    <mergeCell ref="N862:N866"/>
    <mergeCell ref="A629:A703"/>
    <mergeCell ref="B629:B633"/>
    <mergeCell ref="C629:C633"/>
    <mergeCell ref="C634:C638"/>
    <mergeCell ref="A705:A779"/>
    <mergeCell ref="B811:B815"/>
    <mergeCell ref="B816:B820"/>
    <mergeCell ref="C781:C785"/>
    <mergeCell ref="C786:C790"/>
    <mergeCell ref="C791:C795"/>
    <mergeCell ref="C796:C800"/>
    <mergeCell ref="C801:C805"/>
    <mergeCell ref="C806:C810"/>
    <mergeCell ref="C811:C815"/>
    <mergeCell ref="C816:C820"/>
    <mergeCell ref="K811:K815"/>
    <mergeCell ref="K649:K653"/>
    <mergeCell ref="L649:L653"/>
    <mergeCell ref="M649:M653"/>
    <mergeCell ref="N649:N653"/>
    <mergeCell ref="D781:D785"/>
    <mergeCell ref="E781:E785"/>
    <mergeCell ref="F781:F785"/>
    <mergeCell ref="D649:D653"/>
    <mergeCell ref="D664:D668"/>
    <mergeCell ref="E664:E668"/>
    <mergeCell ref="F664:F668"/>
    <mergeCell ref="G664:G668"/>
    <mergeCell ref="L806:L810"/>
    <mergeCell ref="C867:C871"/>
    <mergeCell ref="C872:C876"/>
    <mergeCell ref="C877:C881"/>
    <mergeCell ref="C882:C886"/>
    <mergeCell ref="O902:O906"/>
    <mergeCell ref="P902:P906"/>
    <mergeCell ref="Q902:Q906"/>
    <mergeCell ref="H902:H906"/>
    <mergeCell ref="I902:I906"/>
    <mergeCell ref="J902:J906"/>
    <mergeCell ref="K902:K906"/>
    <mergeCell ref="L902:L906"/>
    <mergeCell ref="M902:M906"/>
    <mergeCell ref="N902:N906"/>
    <mergeCell ref="K877:K881"/>
    <mergeCell ref="L877:L881"/>
    <mergeCell ref="K887:K891"/>
    <mergeCell ref="L887:L891"/>
    <mergeCell ref="M887:M891"/>
    <mergeCell ref="N887:N891"/>
    <mergeCell ref="O887:O891"/>
    <mergeCell ref="P887:P891"/>
    <mergeCell ref="Q887:Q891"/>
    <mergeCell ref="D887:D891"/>
    <mergeCell ref="E887:E891"/>
    <mergeCell ref="F887:F891"/>
    <mergeCell ref="G887:G891"/>
    <mergeCell ref="H887:H891"/>
    <mergeCell ref="I887:I891"/>
    <mergeCell ref="J887:J891"/>
    <mergeCell ref="K882:K886"/>
    <mergeCell ref="M877:M881"/>
    <mergeCell ref="F938:F942"/>
    <mergeCell ref="G938:G942"/>
    <mergeCell ref="K912:K916"/>
    <mergeCell ref="Q912:Q916"/>
    <mergeCell ref="C912:C916"/>
    <mergeCell ref="D912:D916"/>
    <mergeCell ref="E912:E916"/>
    <mergeCell ref="F912:F916"/>
    <mergeCell ref="G912:G916"/>
    <mergeCell ref="H912:H916"/>
    <mergeCell ref="I912:I916"/>
    <mergeCell ref="J917:J921"/>
    <mergeCell ref="K917:K921"/>
    <mergeCell ref="D917:D921"/>
    <mergeCell ref="E917:E921"/>
    <mergeCell ref="F917:F921"/>
    <mergeCell ref="C927:C931"/>
    <mergeCell ref="D927:D931"/>
    <mergeCell ref="E927:E931"/>
    <mergeCell ref="F927:F931"/>
    <mergeCell ref="C922:C926"/>
    <mergeCell ref="D922:D926"/>
    <mergeCell ref="E922:E926"/>
    <mergeCell ref="F922:F926"/>
    <mergeCell ref="M917:M921"/>
    <mergeCell ref="N917:N921"/>
    <mergeCell ref="O917:O921"/>
    <mergeCell ref="P917:P921"/>
    <mergeCell ref="G922:G926"/>
    <mergeCell ref="Q907:Q911"/>
    <mergeCell ref="M907:M911"/>
    <mergeCell ref="N907:N911"/>
    <mergeCell ref="Q943:Q947"/>
    <mergeCell ref="K948:K952"/>
    <mergeCell ref="L948:L952"/>
    <mergeCell ref="M948:M952"/>
    <mergeCell ref="H948:H952"/>
    <mergeCell ref="I948:I952"/>
    <mergeCell ref="G933:G937"/>
    <mergeCell ref="H933:H937"/>
    <mergeCell ref="I933:I937"/>
    <mergeCell ref="K943:K947"/>
    <mergeCell ref="L943:L947"/>
    <mergeCell ref="M943:M947"/>
    <mergeCell ref="J938:J942"/>
    <mergeCell ref="K938:K942"/>
    <mergeCell ref="L938:L942"/>
    <mergeCell ref="M938:M942"/>
    <mergeCell ref="N938:N942"/>
    <mergeCell ref="P938:P942"/>
    <mergeCell ref="Q938:Q942"/>
    <mergeCell ref="H897:H901"/>
    <mergeCell ref="I897:I901"/>
    <mergeCell ref="J933:J937"/>
    <mergeCell ref="K933:K937"/>
    <mergeCell ref="L933:L937"/>
    <mergeCell ref="M933:M937"/>
    <mergeCell ref="N933:N937"/>
    <mergeCell ref="O933:O937"/>
    <mergeCell ref="P933:P937"/>
    <mergeCell ref="L907:L911"/>
    <mergeCell ref="O907:O911"/>
    <mergeCell ref="P907:P911"/>
    <mergeCell ref="L912:L916"/>
    <mergeCell ref="M912:M916"/>
    <mergeCell ref="N912:N916"/>
    <mergeCell ref="O912:O916"/>
    <mergeCell ref="P912:P916"/>
    <mergeCell ref="L917:L921"/>
    <mergeCell ref="H917:H921"/>
    <mergeCell ref="I917:I921"/>
    <mergeCell ref="J922:J926"/>
    <mergeCell ref="H907:H911"/>
    <mergeCell ref="I907:I911"/>
    <mergeCell ref="J907:J911"/>
    <mergeCell ref="K907:K911"/>
    <mergeCell ref="N927:N931"/>
    <mergeCell ref="O927:O931"/>
    <mergeCell ref="P927:P931"/>
    <mergeCell ref="P922:P926"/>
    <mergeCell ref="G958:G962"/>
    <mergeCell ref="E933:E937"/>
    <mergeCell ref="F933:F937"/>
    <mergeCell ref="O938:O942"/>
    <mergeCell ref="J948:J952"/>
    <mergeCell ref="C933:C937"/>
    <mergeCell ref="D933:D937"/>
    <mergeCell ref="C917:C921"/>
    <mergeCell ref="F948:F952"/>
    <mergeCell ref="G948:G952"/>
    <mergeCell ref="H953:H957"/>
    <mergeCell ref="P953:P957"/>
    <mergeCell ref="Q953:Q957"/>
    <mergeCell ref="C943:C947"/>
    <mergeCell ref="D943:D947"/>
    <mergeCell ref="E943:E947"/>
    <mergeCell ref="F943:F947"/>
    <mergeCell ref="G943:G947"/>
    <mergeCell ref="H943:H947"/>
    <mergeCell ref="I943:I947"/>
    <mergeCell ref="Q933:Q937"/>
    <mergeCell ref="N948:N952"/>
    <mergeCell ref="O948:O952"/>
    <mergeCell ref="P948:P952"/>
    <mergeCell ref="Q948:Q952"/>
    <mergeCell ref="Q917:Q921"/>
    <mergeCell ref="G917:G921"/>
    <mergeCell ref="Q922:Q926"/>
    <mergeCell ref="Q927:Q931"/>
    <mergeCell ref="C938:C942"/>
    <mergeCell ref="D938:D942"/>
    <mergeCell ref="E938:E942"/>
    <mergeCell ref="E1039:E1043"/>
    <mergeCell ref="C998:C1002"/>
    <mergeCell ref="D998:D1002"/>
    <mergeCell ref="E963:E967"/>
    <mergeCell ref="B978:B982"/>
    <mergeCell ref="B902:B906"/>
    <mergeCell ref="C902:C906"/>
    <mergeCell ref="D902:D906"/>
    <mergeCell ref="E902:E906"/>
    <mergeCell ref="F902:F906"/>
    <mergeCell ref="G902:G906"/>
    <mergeCell ref="J927:J931"/>
    <mergeCell ref="K927:K931"/>
    <mergeCell ref="L927:L931"/>
    <mergeCell ref="M927:M931"/>
    <mergeCell ref="K958:K962"/>
    <mergeCell ref="L958:L962"/>
    <mergeCell ref="M958:M962"/>
    <mergeCell ref="D963:D967"/>
    <mergeCell ref="E968:E972"/>
    <mergeCell ref="E953:E957"/>
    <mergeCell ref="B907:B911"/>
    <mergeCell ref="B912:B916"/>
    <mergeCell ref="D1034:D1038"/>
    <mergeCell ref="B922:B926"/>
    <mergeCell ref="C973:C977"/>
    <mergeCell ref="D973:D977"/>
    <mergeCell ref="E973:E977"/>
    <mergeCell ref="F973:F977"/>
    <mergeCell ref="G973:G977"/>
    <mergeCell ref="B973:B977"/>
    <mergeCell ref="I922:I926"/>
    <mergeCell ref="C1171:C1175"/>
    <mergeCell ref="D1171:D1175"/>
    <mergeCell ref="E1171:E1175"/>
    <mergeCell ref="C1176:C1180"/>
    <mergeCell ref="D1176:D1180"/>
    <mergeCell ref="B988:B992"/>
    <mergeCell ref="B1003:B1007"/>
    <mergeCell ref="D1024:D1028"/>
    <mergeCell ref="E1024:E1028"/>
    <mergeCell ref="B1029:B1033"/>
    <mergeCell ref="B1034:B1038"/>
    <mergeCell ref="C1034:C1038"/>
    <mergeCell ref="D953:D957"/>
    <mergeCell ref="B948:B952"/>
    <mergeCell ref="B953:B957"/>
    <mergeCell ref="B958:B962"/>
    <mergeCell ref="C953:C957"/>
    <mergeCell ref="C958:C962"/>
    <mergeCell ref="B993:B997"/>
    <mergeCell ref="B998:B1002"/>
    <mergeCell ref="D1074:D1078"/>
    <mergeCell ref="E1074:E1078"/>
    <mergeCell ref="C1064:C1068"/>
    <mergeCell ref="D1064:D1068"/>
    <mergeCell ref="E1064:E1068"/>
    <mergeCell ref="C1069:C1073"/>
    <mergeCell ref="D1069:D1073"/>
    <mergeCell ref="E1069:E1073"/>
    <mergeCell ref="C1074:C1078"/>
    <mergeCell ref="C948:C952"/>
    <mergeCell ref="D948:D952"/>
    <mergeCell ref="E948:E952"/>
    <mergeCell ref="B1135:B1139"/>
    <mergeCell ref="B1145:B1149"/>
    <mergeCell ref="B1150:B1154"/>
    <mergeCell ref="B1191:B1195"/>
    <mergeCell ref="B1196:B1200"/>
    <mergeCell ref="B1155:B1159"/>
    <mergeCell ref="B1161:B1165"/>
    <mergeCell ref="B1166:B1170"/>
    <mergeCell ref="B1171:B1175"/>
    <mergeCell ref="B1176:B1180"/>
    <mergeCell ref="B1181:B1185"/>
    <mergeCell ref="B1186:B1190"/>
    <mergeCell ref="B1049:B1053"/>
    <mergeCell ref="B1054:B1058"/>
    <mergeCell ref="B1059:B1063"/>
    <mergeCell ref="B1064:B1068"/>
    <mergeCell ref="B1069:B1073"/>
    <mergeCell ref="B1074:B1078"/>
    <mergeCell ref="B1140:B1144"/>
    <mergeCell ref="E1216:E1220"/>
    <mergeCell ref="C1221:C1225"/>
    <mergeCell ref="D1221:D1225"/>
    <mergeCell ref="E1221:E1225"/>
    <mergeCell ref="C1226:C1230"/>
    <mergeCell ref="D1226:D1230"/>
    <mergeCell ref="E1226:E1230"/>
    <mergeCell ref="A1009:A1083"/>
    <mergeCell ref="A1085:A1159"/>
    <mergeCell ref="A1161:A1235"/>
    <mergeCell ref="B1009:B1013"/>
    <mergeCell ref="B1014:B1018"/>
    <mergeCell ref="B1019:B1023"/>
    <mergeCell ref="B1024:B1028"/>
    <mergeCell ref="B1079:B1083"/>
    <mergeCell ref="B1085:B1089"/>
    <mergeCell ref="B1090:B1094"/>
    <mergeCell ref="B1095:B1099"/>
    <mergeCell ref="B1100:B1104"/>
    <mergeCell ref="B1105:B1109"/>
    <mergeCell ref="B1110:B1114"/>
    <mergeCell ref="B1115:B1119"/>
    <mergeCell ref="B1201:B1205"/>
    <mergeCell ref="B1206:B1210"/>
    <mergeCell ref="B1211:B1215"/>
    <mergeCell ref="B1216:B1220"/>
    <mergeCell ref="B1221:B1225"/>
    <mergeCell ref="B1226:B1230"/>
    <mergeCell ref="B1231:B1235"/>
    <mergeCell ref="B1120:B1124"/>
    <mergeCell ref="B1125:B1129"/>
    <mergeCell ref="B1130:B1134"/>
    <mergeCell ref="C1231:C1235"/>
    <mergeCell ref="I1186:I1190"/>
    <mergeCell ref="J1186:J1190"/>
    <mergeCell ref="K1186:K1190"/>
    <mergeCell ref="E1079:E1083"/>
    <mergeCell ref="C1085:C1089"/>
    <mergeCell ref="D1085:D1089"/>
    <mergeCell ref="E1085:E1089"/>
    <mergeCell ref="C1090:C1094"/>
    <mergeCell ref="D1120:D1124"/>
    <mergeCell ref="E1120:E1124"/>
    <mergeCell ref="F1135:F1139"/>
    <mergeCell ref="G1135:G1139"/>
    <mergeCell ref="H1135:H1139"/>
    <mergeCell ref="I1135:I1139"/>
    <mergeCell ref="J1135:J1139"/>
    <mergeCell ref="D1090:D1094"/>
    <mergeCell ref="E1090:E1094"/>
    <mergeCell ref="C1079:C1083"/>
    <mergeCell ref="D1079:D1083"/>
    <mergeCell ref="E1176:E1180"/>
    <mergeCell ref="C1181:C1185"/>
    <mergeCell ref="C1216:C1220"/>
    <mergeCell ref="D1216:D1220"/>
    <mergeCell ref="D1211:D1215"/>
    <mergeCell ref="E1211:E1215"/>
    <mergeCell ref="C1201:C1205"/>
    <mergeCell ref="D1201:D1205"/>
    <mergeCell ref="E1201:E1205"/>
    <mergeCell ref="C1206:C1210"/>
    <mergeCell ref="D1206:D1210"/>
    <mergeCell ref="E1206:E1210"/>
    <mergeCell ref="F1186:F1190"/>
    <mergeCell ref="G1186:G1190"/>
    <mergeCell ref="H1186:H1190"/>
    <mergeCell ref="K1196:K1200"/>
    <mergeCell ref="A857:A931"/>
    <mergeCell ref="A933:A1007"/>
    <mergeCell ref="C988:C992"/>
    <mergeCell ref="D988:D992"/>
    <mergeCell ref="E988:E992"/>
    <mergeCell ref="E993:E997"/>
    <mergeCell ref="E998:E1002"/>
    <mergeCell ref="E1003:E1007"/>
    <mergeCell ref="C1003:C1007"/>
    <mergeCell ref="D1003:D1007"/>
    <mergeCell ref="C1009:C1013"/>
    <mergeCell ref="D1009:D1013"/>
    <mergeCell ref="E1009:E1013"/>
    <mergeCell ref="D1014:D1018"/>
    <mergeCell ref="E1014:E1018"/>
    <mergeCell ref="C1029:C1033"/>
    <mergeCell ref="D1029:D1033"/>
    <mergeCell ref="E1029:E1033"/>
    <mergeCell ref="C1014:C1018"/>
    <mergeCell ref="C1019:C1023"/>
    <mergeCell ref="D1019:D1023"/>
    <mergeCell ref="E1019:E1023"/>
    <mergeCell ref="C1024:C1028"/>
    <mergeCell ref="B963:B967"/>
    <mergeCell ref="C963:C967"/>
    <mergeCell ref="C978:C982"/>
    <mergeCell ref="D978:D982"/>
    <mergeCell ref="E978:E982"/>
    <mergeCell ref="G1206:G1210"/>
    <mergeCell ref="H1206:H1210"/>
    <mergeCell ref="I1206:I1210"/>
    <mergeCell ref="J1206:J1210"/>
    <mergeCell ref="K1206:K1210"/>
    <mergeCell ref="L1206:L1210"/>
    <mergeCell ref="C1211:C1215"/>
    <mergeCell ref="E1034:E1038"/>
    <mergeCell ref="C1039:C1043"/>
    <mergeCell ref="D1039:D1043"/>
    <mergeCell ref="M1211:M1215"/>
    <mergeCell ref="N1211:N1215"/>
    <mergeCell ref="O1211:O1215"/>
    <mergeCell ref="P1211:P1215"/>
    <mergeCell ref="D1196:D1200"/>
    <mergeCell ref="E1196:E1200"/>
    <mergeCell ref="D1181:D1185"/>
    <mergeCell ref="C1186:C1190"/>
    <mergeCell ref="D1186:D1190"/>
    <mergeCell ref="E1186:E1190"/>
    <mergeCell ref="C1191:C1195"/>
    <mergeCell ref="D1191:D1195"/>
    <mergeCell ref="E1191:E1195"/>
    <mergeCell ref="C1196:C1200"/>
    <mergeCell ref="C1125:C1129"/>
    <mergeCell ref="D1125:D1129"/>
    <mergeCell ref="E1125:E1129"/>
    <mergeCell ref="C1130:C1134"/>
    <mergeCell ref="E1181:E1185"/>
    <mergeCell ref="M1039:M1043"/>
    <mergeCell ref="N1039:N1043"/>
    <mergeCell ref="O1039:O1043"/>
    <mergeCell ref="F1196:F1200"/>
    <mergeCell ref="G1196:G1200"/>
    <mergeCell ref="H1196:H1200"/>
    <mergeCell ref="N1054:N1058"/>
    <mergeCell ref="I1196:I1200"/>
    <mergeCell ref="J1196:J1200"/>
    <mergeCell ref="D1231:D1235"/>
    <mergeCell ref="E1231:E1235"/>
    <mergeCell ref="M1201:M1205"/>
    <mergeCell ref="N1201:N1205"/>
    <mergeCell ref="O1201:O1205"/>
    <mergeCell ref="P1201:P1205"/>
    <mergeCell ref="Q1201:Q1205"/>
    <mergeCell ref="F1201:F1205"/>
    <mergeCell ref="G1201:G1205"/>
    <mergeCell ref="H1201:H1205"/>
    <mergeCell ref="I1201:I1205"/>
    <mergeCell ref="J1201:J1205"/>
    <mergeCell ref="K1201:K1205"/>
    <mergeCell ref="L1201:L1205"/>
    <mergeCell ref="M1206:M1210"/>
    <mergeCell ref="N1206:N1210"/>
    <mergeCell ref="O1206:O1210"/>
    <mergeCell ref="P1206:P1210"/>
    <mergeCell ref="I1221:I1225"/>
    <mergeCell ref="Q1226:Q1230"/>
    <mergeCell ref="F1226:F1230"/>
    <mergeCell ref="G1226:G1230"/>
    <mergeCell ref="H1226:H1230"/>
    <mergeCell ref="I1226:I1230"/>
    <mergeCell ref="Q1206:Q1210"/>
    <mergeCell ref="F1206:F1210"/>
    <mergeCell ref="Q1211:Q1215"/>
    <mergeCell ref="F1211:F1215"/>
    <mergeCell ref="G1211:G1215"/>
    <mergeCell ref="H1211:H1215"/>
    <mergeCell ref="I1211:I1215"/>
    <mergeCell ref="J1211:J1215"/>
    <mergeCell ref="K1211:K1215"/>
    <mergeCell ref="L1211:L1215"/>
    <mergeCell ref="M1216:M1220"/>
    <mergeCell ref="N1216:N1220"/>
    <mergeCell ref="O1216:O1220"/>
    <mergeCell ref="P1216:P1220"/>
    <mergeCell ref="Q1216:Q1220"/>
    <mergeCell ref="F1216:F1220"/>
    <mergeCell ref="G1216:G1220"/>
    <mergeCell ref="H1216:H1220"/>
    <mergeCell ref="I1216:I1220"/>
    <mergeCell ref="J1216:J1220"/>
    <mergeCell ref="K1216:K1220"/>
    <mergeCell ref="L1216:L1220"/>
    <mergeCell ref="G317:G321"/>
    <mergeCell ref="H317:H321"/>
    <mergeCell ref="L1186:L1190"/>
    <mergeCell ref="M1191:M1195"/>
    <mergeCell ref="N1191:N1195"/>
    <mergeCell ref="O1191:O1195"/>
    <mergeCell ref="P1191:P1195"/>
    <mergeCell ref="G1191:G1195"/>
    <mergeCell ref="H1191:H1195"/>
    <mergeCell ref="I1191:I1195"/>
    <mergeCell ref="J1191:J1195"/>
    <mergeCell ref="K1191:K1195"/>
    <mergeCell ref="L1191:L1195"/>
    <mergeCell ref="I968:I972"/>
    <mergeCell ref="J968:J972"/>
    <mergeCell ref="G963:G967"/>
    <mergeCell ref="H963:H967"/>
    <mergeCell ref="P958:P962"/>
    <mergeCell ref="I342:I346"/>
    <mergeCell ref="I362:I366"/>
    <mergeCell ref="J362:J366"/>
    <mergeCell ref="K362:K366"/>
    <mergeCell ref="L362:L366"/>
    <mergeCell ref="N357:N361"/>
    <mergeCell ref="H357:H361"/>
    <mergeCell ref="L411:L415"/>
    <mergeCell ref="M406:M410"/>
    <mergeCell ref="N406:N410"/>
    <mergeCell ref="H416:H420"/>
    <mergeCell ref="I416:I420"/>
    <mergeCell ref="J416:J420"/>
    <mergeCell ref="K416:K420"/>
    <mergeCell ref="O1125:O1129"/>
    <mergeCell ref="P1125:P1129"/>
    <mergeCell ref="Q1186:Q1190"/>
    <mergeCell ref="Q367:Q371"/>
    <mergeCell ref="P1039:P1043"/>
    <mergeCell ref="M1125:M1129"/>
    <mergeCell ref="K1226:K1230"/>
    <mergeCell ref="O1054:O1058"/>
    <mergeCell ref="F1191:F1195"/>
    <mergeCell ref="F271:F275"/>
    <mergeCell ref="G271:G275"/>
    <mergeCell ref="H271:H275"/>
    <mergeCell ref="AG281:AG285"/>
    <mergeCell ref="AG286:AG290"/>
    <mergeCell ref="AG291:AG295"/>
    <mergeCell ref="AD265:AG265"/>
    <mergeCell ref="M1186:M1190"/>
    <mergeCell ref="N1186:N1190"/>
    <mergeCell ref="O1186:O1190"/>
    <mergeCell ref="P1186:P1190"/>
    <mergeCell ref="P271:P275"/>
    <mergeCell ref="Q271:Q275"/>
    <mergeCell ref="H301:H305"/>
    <mergeCell ref="M271:M275"/>
    <mergeCell ref="M322:M326"/>
    <mergeCell ref="Q958:Q962"/>
    <mergeCell ref="H958:H962"/>
    <mergeCell ref="I958:I962"/>
    <mergeCell ref="AG271:AG275"/>
    <mergeCell ref="J291:J295"/>
    <mergeCell ref="K291:K295"/>
    <mergeCell ref="L291:L295"/>
    <mergeCell ref="M296:M300"/>
    <mergeCell ref="Q1191:Q1195"/>
    <mergeCell ref="M1196:M1200"/>
    <mergeCell ref="N1196:N1200"/>
    <mergeCell ref="O1196:O1200"/>
    <mergeCell ref="P1196:P1200"/>
    <mergeCell ref="Q1196:Q1200"/>
    <mergeCell ref="O372:O376"/>
    <mergeCell ref="O406:O410"/>
    <mergeCell ref="P406:P410"/>
    <mergeCell ref="J436:J440"/>
    <mergeCell ref="K436:K440"/>
    <mergeCell ref="O958:O962"/>
    <mergeCell ref="J958:J962"/>
    <mergeCell ref="N943:N947"/>
    <mergeCell ref="O943:O947"/>
    <mergeCell ref="P943:P947"/>
    <mergeCell ref="J372:J376"/>
    <mergeCell ref="K372:K376"/>
    <mergeCell ref="L372:L376"/>
    <mergeCell ref="L1196:L1200"/>
    <mergeCell ref="N1125:N1129"/>
    <mergeCell ref="O922:O926"/>
    <mergeCell ref="K953:K957"/>
    <mergeCell ref="L953:L957"/>
    <mergeCell ref="M953:M957"/>
    <mergeCell ref="N953:N957"/>
    <mergeCell ref="O953:O957"/>
    <mergeCell ref="P416:P420"/>
    <mergeCell ref="Q416:Q420"/>
    <mergeCell ref="M416:M420"/>
    <mergeCell ref="N416:N420"/>
    <mergeCell ref="M1231:M1235"/>
    <mergeCell ref="N1231:N1235"/>
    <mergeCell ref="O1231:O1235"/>
    <mergeCell ref="P1231:P1235"/>
    <mergeCell ref="Q1231:Q1235"/>
    <mergeCell ref="F1231:F1235"/>
    <mergeCell ref="G1231:G1235"/>
    <mergeCell ref="H1231:H1235"/>
    <mergeCell ref="I1231:I1235"/>
    <mergeCell ref="J1231:J1235"/>
    <mergeCell ref="K1231:K1235"/>
    <mergeCell ref="L1231:L1235"/>
    <mergeCell ref="M1221:M1225"/>
    <mergeCell ref="N1221:N1225"/>
    <mergeCell ref="O1221:O1225"/>
    <mergeCell ref="P1221:P1225"/>
    <mergeCell ref="Q1221:Q1225"/>
    <mergeCell ref="F1221:F1225"/>
    <mergeCell ref="G1221:G1225"/>
    <mergeCell ref="H1221:H1225"/>
    <mergeCell ref="J1226:J1230"/>
    <mergeCell ref="J1221:J1225"/>
    <mergeCell ref="K1221:K1225"/>
    <mergeCell ref="L1221:L1225"/>
    <mergeCell ref="M1226:M1230"/>
    <mergeCell ref="N1226:N1230"/>
    <mergeCell ref="O1226:O1230"/>
    <mergeCell ref="P1226:P1230"/>
    <mergeCell ref="L1226:L1230"/>
    <mergeCell ref="C29:C82"/>
    <mergeCell ref="D29:D82"/>
    <mergeCell ref="E29:E82"/>
    <mergeCell ref="F29:F82"/>
    <mergeCell ref="G29:G82"/>
    <mergeCell ref="H29:H82"/>
    <mergeCell ref="P29:P82"/>
    <mergeCell ref="Q29:Q82"/>
    <mergeCell ref="AG29:AG76"/>
    <mergeCell ref="K83:K87"/>
    <mergeCell ref="L83:L87"/>
    <mergeCell ref="N83:N87"/>
    <mergeCell ref="O83:O87"/>
    <mergeCell ref="P83:P87"/>
    <mergeCell ref="Q83:Q87"/>
    <mergeCell ref="AG83:AG87"/>
    <mergeCell ref="D83:D87"/>
    <mergeCell ref="E83:E87"/>
    <mergeCell ref="F83:F87"/>
    <mergeCell ref="G83:G87"/>
    <mergeCell ref="H83:H87"/>
    <mergeCell ref="I83:I87"/>
    <mergeCell ref="J83:J87"/>
    <mergeCell ref="C83:C87"/>
    <mergeCell ref="I29:I82"/>
    <mergeCell ref="J29:J82"/>
    <mergeCell ref="K29:K82"/>
    <mergeCell ref="L29:L82"/>
    <mergeCell ref="M29:M82"/>
    <mergeCell ref="N29:N82"/>
    <mergeCell ref="O29:O82"/>
    <mergeCell ref="Q88:Q92"/>
    <mergeCell ref="AG129:AG133"/>
    <mergeCell ref="B129:B133"/>
    <mergeCell ref="C129:C133"/>
    <mergeCell ref="D129:D133"/>
    <mergeCell ref="E129:E133"/>
    <mergeCell ref="F129:F133"/>
    <mergeCell ref="G129:G133"/>
    <mergeCell ref="H129:H133"/>
    <mergeCell ref="P245:P249"/>
    <mergeCell ref="Q245:Q249"/>
    <mergeCell ref="F245:F249"/>
    <mergeCell ref="G245:G249"/>
    <mergeCell ref="H245:H249"/>
    <mergeCell ref="I245:I249"/>
    <mergeCell ref="J245:J249"/>
    <mergeCell ref="G235:G239"/>
    <mergeCell ref="N245:N249"/>
    <mergeCell ref="I139:I143"/>
    <mergeCell ref="J139:J143"/>
    <mergeCell ref="AG205:AG209"/>
    <mergeCell ref="AG210:AG214"/>
    <mergeCell ref="AG215:AG219"/>
    <mergeCell ref="P235:P239"/>
    <mergeCell ref="Q235:Q239"/>
    <mergeCell ref="C235:C239"/>
    <mergeCell ref="D235:D239"/>
    <mergeCell ref="AG139:AG143"/>
    <mergeCell ref="AG144:AG148"/>
    <mergeCell ref="AG149:AG153"/>
    <mergeCell ref="AG124:AG128"/>
    <mergeCell ref="L93:L97"/>
    <mergeCell ref="N93:N97"/>
    <mergeCell ref="O93:O97"/>
    <mergeCell ref="AG103:AG107"/>
    <mergeCell ref="AG108:AG112"/>
    <mergeCell ref="AG113:AG117"/>
    <mergeCell ref="AG118:AG122"/>
    <mergeCell ref="R123:Y123"/>
    <mergeCell ref="J124:J128"/>
    <mergeCell ref="E103:E107"/>
    <mergeCell ref="F103:F107"/>
    <mergeCell ref="G103:G107"/>
    <mergeCell ref="H103:H107"/>
    <mergeCell ref="I103:I107"/>
    <mergeCell ref="J108:J112"/>
    <mergeCell ref="K108:K112"/>
    <mergeCell ref="L108:L112"/>
    <mergeCell ref="O103:O107"/>
    <mergeCell ref="P103:P107"/>
    <mergeCell ref="Q103:Q107"/>
    <mergeCell ref="O113:O117"/>
    <mergeCell ref="P113:P117"/>
    <mergeCell ref="Q113:Q117"/>
    <mergeCell ref="O108:O112"/>
    <mergeCell ref="P118:P122"/>
    <mergeCell ref="Q118:Q122"/>
    <mergeCell ref="AG98:AG102"/>
    <mergeCell ref="G113:G117"/>
    <mergeCell ref="H113:H117"/>
    <mergeCell ref="I108:I112"/>
    <mergeCell ref="K124:K128"/>
    <mergeCell ref="O118:O122"/>
    <mergeCell ref="H124:H128"/>
    <mergeCell ref="D98:D102"/>
    <mergeCell ref="D103:D107"/>
    <mergeCell ref="D113:D117"/>
    <mergeCell ref="B98:B102"/>
    <mergeCell ref="B108:B112"/>
    <mergeCell ref="B118:B122"/>
    <mergeCell ref="B124:B128"/>
    <mergeCell ref="C124:C128"/>
    <mergeCell ref="D124:D128"/>
    <mergeCell ref="E124:E128"/>
    <mergeCell ref="N240:N244"/>
    <mergeCell ref="O240:O244"/>
    <mergeCell ref="J235:J239"/>
    <mergeCell ref="K235:K239"/>
    <mergeCell ref="K210:K214"/>
    <mergeCell ref="L210:L214"/>
    <mergeCell ref="M210:M214"/>
    <mergeCell ref="N210:N214"/>
    <mergeCell ref="O210:O214"/>
    <mergeCell ref="O199:O203"/>
    <mergeCell ref="D189:D193"/>
    <mergeCell ref="E189:E193"/>
    <mergeCell ref="F189:F193"/>
    <mergeCell ref="G189:G193"/>
    <mergeCell ref="B189:B193"/>
    <mergeCell ref="B194:B198"/>
    <mergeCell ref="D194:D198"/>
    <mergeCell ref="E194:E198"/>
    <mergeCell ref="E205:E209"/>
    <mergeCell ref="F205:F209"/>
    <mergeCell ref="G205:G209"/>
    <mergeCell ref="H205:H209"/>
    <mergeCell ref="C205:C209"/>
    <mergeCell ref="B210:B214"/>
    <mergeCell ref="P210:P214"/>
    <mergeCell ref="N189:N193"/>
    <mergeCell ref="M255:M259"/>
    <mergeCell ref="F235:F239"/>
    <mergeCell ref="H235:H239"/>
    <mergeCell ref="F240:F244"/>
    <mergeCell ref="G240:G244"/>
    <mergeCell ref="H240:H244"/>
    <mergeCell ref="J240:J244"/>
    <mergeCell ref="K240:K244"/>
    <mergeCell ref="L240:L244"/>
    <mergeCell ref="M245:M249"/>
    <mergeCell ref="O245:O249"/>
    <mergeCell ref="N255:N259"/>
    <mergeCell ref="O255:O259"/>
    <mergeCell ref="P255:P259"/>
    <mergeCell ref="P199:P203"/>
    <mergeCell ref="F194:F198"/>
    <mergeCell ref="G194:G198"/>
    <mergeCell ref="C194:C198"/>
    <mergeCell ref="M230:M234"/>
    <mergeCell ref="N230:N234"/>
    <mergeCell ref="O230:O234"/>
    <mergeCell ref="I255:I259"/>
    <mergeCell ref="J255:J259"/>
    <mergeCell ref="K255:K259"/>
    <mergeCell ref="L255:L259"/>
    <mergeCell ref="I205:I209"/>
    <mergeCell ref="J205:J209"/>
    <mergeCell ref="O189:O193"/>
    <mergeCell ref="F281:F285"/>
    <mergeCell ref="G281:G285"/>
    <mergeCell ref="H281:H285"/>
    <mergeCell ref="I281:I285"/>
    <mergeCell ref="M281:M285"/>
    <mergeCell ref="N281:N285"/>
    <mergeCell ref="O281:O285"/>
    <mergeCell ref="F276:F280"/>
    <mergeCell ref="G276:G280"/>
    <mergeCell ref="F291:F295"/>
    <mergeCell ref="G291:G295"/>
    <mergeCell ref="H291:H295"/>
    <mergeCell ref="K245:K249"/>
    <mergeCell ref="L245:L249"/>
    <mergeCell ref="J271:J275"/>
    <mergeCell ref="L276:L280"/>
    <mergeCell ref="M260:M264"/>
    <mergeCell ref="N260:N264"/>
    <mergeCell ref="O260:O264"/>
    <mergeCell ref="K271:K275"/>
    <mergeCell ref="N271:N275"/>
    <mergeCell ref="O271:O275"/>
    <mergeCell ref="G250:G254"/>
    <mergeCell ref="H250:H254"/>
    <mergeCell ref="J250:J254"/>
    <mergeCell ref="K250:K254"/>
    <mergeCell ref="L250:L254"/>
    <mergeCell ref="I271:I275"/>
    <mergeCell ref="J281:J285"/>
    <mergeCell ref="K281:K285"/>
    <mergeCell ref="L281:L285"/>
    <mergeCell ref="M276:M280"/>
    <mergeCell ref="P108:P112"/>
    <mergeCell ref="Q108:Q112"/>
    <mergeCell ref="L98:L102"/>
    <mergeCell ref="N98:N102"/>
    <mergeCell ref="O98:O102"/>
    <mergeCell ref="AD123:AG123"/>
    <mergeCell ref="AG276:AG280"/>
    <mergeCell ref="P281:P285"/>
    <mergeCell ref="O301:O305"/>
    <mergeCell ref="P301:P305"/>
    <mergeCell ref="N296:N300"/>
    <mergeCell ref="O296:O300"/>
    <mergeCell ref="P296:P300"/>
    <mergeCell ref="I291:I295"/>
    <mergeCell ref="L235:L239"/>
    <mergeCell ref="M235:M239"/>
    <mergeCell ref="N235:N239"/>
    <mergeCell ref="O235:O239"/>
    <mergeCell ref="L271:L275"/>
    <mergeCell ref="I266:I270"/>
    <mergeCell ref="J266:J270"/>
    <mergeCell ref="K266:K270"/>
    <mergeCell ref="AG154:AG158"/>
    <mergeCell ref="AG159:AG163"/>
    <mergeCell ref="AG199:AG203"/>
    <mergeCell ref="R204:Y204"/>
    <mergeCell ref="AD204:AG204"/>
    <mergeCell ref="AG164:AG168"/>
    <mergeCell ref="AG169:AG173"/>
    <mergeCell ref="AG174:AG178"/>
    <mergeCell ref="AG179:AG183"/>
    <mergeCell ref="AG184:AG188"/>
    <mergeCell ref="AG134:AG138"/>
    <mergeCell ref="I134:I138"/>
    <mergeCell ref="J134:J138"/>
    <mergeCell ref="K134:K138"/>
    <mergeCell ref="L134:L138"/>
    <mergeCell ref="M134:M138"/>
    <mergeCell ref="N134:N138"/>
    <mergeCell ref="O134:O138"/>
    <mergeCell ref="I301:I305"/>
    <mergeCell ref="J301:J305"/>
    <mergeCell ref="AG189:AG193"/>
    <mergeCell ref="AG194:AG198"/>
    <mergeCell ref="AG240:AG244"/>
    <mergeCell ref="AG245:AG249"/>
    <mergeCell ref="Q281:Q285"/>
    <mergeCell ref="I235:I239"/>
    <mergeCell ref="M240:M244"/>
    <mergeCell ref="AG220:AG224"/>
    <mergeCell ref="AG225:AG229"/>
    <mergeCell ref="AG230:AG234"/>
    <mergeCell ref="AG235:AG239"/>
    <mergeCell ref="N276:N280"/>
    <mergeCell ref="O276:O280"/>
    <mergeCell ref="P276:P280"/>
    <mergeCell ref="Q276:Q280"/>
    <mergeCell ref="Q250:Q254"/>
    <mergeCell ref="I250:I254"/>
    <mergeCell ref="AG250:AG254"/>
    <mergeCell ref="AG255:AG259"/>
    <mergeCell ref="AG260:AG264"/>
    <mergeCell ref="R265:Y265"/>
    <mergeCell ref="AG266:AG270"/>
    <mergeCell ref="L332:L336"/>
    <mergeCell ref="M332:M336"/>
    <mergeCell ref="O367:O371"/>
    <mergeCell ref="P367:P371"/>
    <mergeCell ref="Q372:Q376"/>
    <mergeCell ref="L416:L420"/>
    <mergeCell ref="M383:M400"/>
    <mergeCell ref="N383:N400"/>
    <mergeCell ref="Q401:Q405"/>
    <mergeCell ref="L383:L400"/>
    <mergeCell ref="P357:P361"/>
    <mergeCell ref="Q357:Q361"/>
    <mergeCell ref="Q406:Q410"/>
    <mergeCell ref="P372:P376"/>
    <mergeCell ref="P362:P366"/>
    <mergeCell ref="Q362:Q366"/>
    <mergeCell ref="L342:L346"/>
    <mergeCell ref="N367:N371"/>
    <mergeCell ref="M352:M356"/>
    <mergeCell ref="M372:M376"/>
    <mergeCell ref="N372:N376"/>
    <mergeCell ref="N337:N341"/>
    <mergeCell ref="O357:O361"/>
    <mergeCell ref="O352:O356"/>
    <mergeCell ref="N332:N336"/>
    <mergeCell ref="O332:O336"/>
    <mergeCell ref="P332:P336"/>
    <mergeCell ref="G372:G376"/>
    <mergeCell ref="H372:H376"/>
    <mergeCell ref="I372:I376"/>
    <mergeCell ref="I441:I445"/>
    <mergeCell ref="I421:I425"/>
    <mergeCell ref="G406:G410"/>
    <mergeCell ref="M401:M405"/>
    <mergeCell ref="K307:K311"/>
    <mergeCell ref="J352:J356"/>
    <mergeCell ref="K352:K356"/>
    <mergeCell ref="L352:L356"/>
    <mergeCell ref="Q337:Q341"/>
    <mergeCell ref="Q342:Q346"/>
    <mergeCell ref="K421:K425"/>
    <mergeCell ref="L421:L425"/>
    <mergeCell ref="H441:H445"/>
    <mergeCell ref="F367:F371"/>
    <mergeCell ref="G367:G371"/>
    <mergeCell ref="H367:H371"/>
    <mergeCell ref="I367:I371"/>
    <mergeCell ref="J367:J371"/>
    <mergeCell ref="K367:K371"/>
    <mergeCell ref="L367:L371"/>
    <mergeCell ref="M367:M371"/>
    <mergeCell ref="N401:N405"/>
    <mergeCell ref="F401:F405"/>
    <mergeCell ref="G401:G405"/>
    <mergeCell ref="H401:H405"/>
    <mergeCell ref="O347:O351"/>
    <mergeCell ref="P347:P351"/>
    <mergeCell ref="Q347:Q351"/>
    <mergeCell ref="M337:M341"/>
    <mergeCell ref="B421:B425"/>
    <mergeCell ref="Q301:Q305"/>
    <mergeCell ref="P337:P341"/>
    <mergeCell ref="F337:F341"/>
    <mergeCell ref="G337:G341"/>
    <mergeCell ref="H337:H341"/>
    <mergeCell ref="I337:I341"/>
    <mergeCell ref="J337:J341"/>
    <mergeCell ref="K337:K341"/>
    <mergeCell ref="L337:L341"/>
    <mergeCell ref="M342:M346"/>
    <mergeCell ref="N342:N346"/>
    <mergeCell ref="O342:O346"/>
    <mergeCell ref="P342:P346"/>
    <mergeCell ref="F342:F346"/>
    <mergeCell ref="G342:G346"/>
    <mergeCell ref="H342:H346"/>
    <mergeCell ref="O337:O341"/>
    <mergeCell ref="G312:G316"/>
    <mergeCell ref="H312:H316"/>
    <mergeCell ref="I312:I316"/>
    <mergeCell ref="Q327:Q331"/>
    <mergeCell ref="F327:F331"/>
    <mergeCell ref="N322:N326"/>
    <mergeCell ref="M301:M305"/>
    <mergeCell ref="N301:N305"/>
    <mergeCell ref="G301:G305"/>
    <mergeCell ref="I327:I331"/>
    <mergeCell ref="J327:J331"/>
    <mergeCell ref="K327:K331"/>
    <mergeCell ref="L327:L331"/>
    <mergeCell ref="F372:F376"/>
    <mergeCell ref="B406:B410"/>
    <mergeCell ref="C406:C410"/>
    <mergeCell ref="O383:O400"/>
    <mergeCell ref="P383:P400"/>
    <mergeCell ref="Q383:Q400"/>
    <mergeCell ref="O401:O405"/>
    <mergeCell ref="P401:P405"/>
    <mergeCell ref="B411:B415"/>
    <mergeCell ref="C411:C415"/>
    <mergeCell ref="D411:D415"/>
    <mergeCell ref="E411:E415"/>
    <mergeCell ref="M411:M415"/>
    <mergeCell ref="N411:N415"/>
    <mergeCell ref="O411:O415"/>
    <mergeCell ref="P411:P415"/>
    <mergeCell ref="Q411:Q415"/>
    <mergeCell ref="F411:F415"/>
    <mergeCell ref="G411:G415"/>
    <mergeCell ref="H411:H415"/>
    <mergeCell ref="I411:I415"/>
    <mergeCell ref="J411:J415"/>
    <mergeCell ref="K411:K415"/>
    <mergeCell ref="E406:E410"/>
    <mergeCell ref="F406:F410"/>
    <mergeCell ref="H383:H400"/>
    <mergeCell ref="I383:I400"/>
    <mergeCell ref="J383:J400"/>
    <mergeCell ref="K383:K400"/>
    <mergeCell ref="E383:E400"/>
    <mergeCell ref="F383:F400"/>
    <mergeCell ref="G383:G400"/>
    <mergeCell ref="I401:I405"/>
    <mergeCell ref="B431:B435"/>
    <mergeCell ref="C431:C435"/>
    <mergeCell ref="D431:D435"/>
    <mergeCell ref="E431:E435"/>
    <mergeCell ref="M431:M435"/>
    <mergeCell ref="N431:N435"/>
    <mergeCell ref="O431:O435"/>
    <mergeCell ref="P431:P435"/>
    <mergeCell ref="Q431:Q435"/>
    <mergeCell ref="F431:F435"/>
    <mergeCell ref="G431:G435"/>
    <mergeCell ref="H431:H435"/>
    <mergeCell ref="I431:I435"/>
    <mergeCell ref="J431:J435"/>
    <mergeCell ref="K431:K435"/>
    <mergeCell ref="L431:L435"/>
    <mergeCell ref="F451:F455"/>
    <mergeCell ref="G451:G455"/>
    <mergeCell ref="B451:B455"/>
    <mergeCell ref="B436:B440"/>
    <mergeCell ref="C436:C440"/>
    <mergeCell ref="M436:M440"/>
    <mergeCell ref="Q436:Q440"/>
    <mergeCell ref="D436:D440"/>
    <mergeCell ref="L436:L440"/>
    <mergeCell ref="H436:H440"/>
    <mergeCell ref="I436:I440"/>
    <mergeCell ref="Q446:Q450"/>
    <mergeCell ref="D446:D450"/>
    <mergeCell ref="B446:B450"/>
    <mergeCell ref="K451:K455"/>
    <mergeCell ref="L451:L455"/>
    <mergeCell ref="P446:P450"/>
    <mergeCell ref="E446:E450"/>
    <mergeCell ref="H446:H450"/>
    <mergeCell ref="Q456:Q460"/>
    <mergeCell ref="I456:I460"/>
    <mergeCell ref="J456:J460"/>
    <mergeCell ref="M441:M445"/>
    <mergeCell ref="N441:N445"/>
    <mergeCell ref="O441:O445"/>
    <mergeCell ref="P441:P445"/>
    <mergeCell ref="L446:L450"/>
    <mergeCell ref="J441:J445"/>
    <mergeCell ref="K441:K445"/>
    <mergeCell ref="L441:L445"/>
    <mergeCell ref="Q451:Q455"/>
    <mergeCell ref="B461:B465"/>
    <mergeCell ref="C461:C465"/>
    <mergeCell ref="D456:D460"/>
    <mergeCell ref="E456:E460"/>
    <mergeCell ref="F456:F460"/>
    <mergeCell ref="G456:G460"/>
    <mergeCell ref="H456:H460"/>
    <mergeCell ref="P466:P470"/>
    <mergeCell ref="I466:I470"/>
    <mergeCell ref="J466:J470"/>
    <mergeCell ref="K472:K476"/>
    <mergeCell ref="L472:L476"/>
    <mergeCell ref="M461:M465"/>
    <mergeCell ref="N461:N465"/>
    <mergeCell ref="O461:O465"/>
    <mergeCell ref="B456:B460"/>
    <mergeCell ref="C456:C460"/>
    <mergeCell ref="K456:K460"/>
    <mergeCell ref="L456:L460"/>
    <mergeCell ref="M456:M460"/>
    <mergeCell ref="N456:N460"/>
    <mergeCell ref="O456:O460"/>
    <mergeCell ref="P456:P460"/>
    <mergeCell ref="C466:C470"/>
    <mergeCell ref="D466:D470"/>
    <mergeCell ref="E466:E470"/>
    <mergeCell ref="F466:F470"/>
    <mergeCell ref="G466:G470"/>
    <mergeCell ref="H466:H470"/>
    <mergeCell ref="E461:E465"/>
    <mergeCell ref="B492:B501"/>
    <mergeCell ref="C492:C501"/>
    <mergeCell ref="D492:D501"/>
    <mergeCell ref="E492:E501"/>
    <mergeCell ref="F492:F501"/>
    <mergeCell ref="G492:G501"/>
    <mergeCell ref="H492:H501"/>
    <mergeCell ref="P492:P501"/>
    <mergeCell ref="Q492:Q501"/>
    <mergeCell ref="I492:I501"/>
    <mergeCell ref="J492:J501"/>
    <mergeCell ref="K492:K501"/>
    <mergeCell ref="L492:L501"/>
    <mergeCell ref="M492:M501"/>
    <mergeCell ref="N492:N501"/>
    <mergeCell ref="O492:O501"/>
    <mergeCell ref="K507:K511"/>
    <mergeCell ref="L507:L511"/>
    <mergeCell ref="M507:M511"/>
    <mergeCell ref="N507:N511"/>
    <mergeCell ref="O507:O511"/>
    <mergeCell ref="P507:P511"/>
    <mergeCell ref="Q507:Q511"/>
    <mergeCell ref="B502:B506"/>
    <mergeCell ref="C502:C506"/>
    <mergeCell ref="D502:D506"/>
    <mergeCell ref="E502:E506"/>
    <mergeCell ref="F502:F506"/>
    <mergeCell ref="G502:G506"/>
    <mergeCell ref="H502:H506"/>
    <mergeCell ref="I507:I511"/>
    <mergeCell ref="J507:J511"/>
    <mergeCell ref="P502:P506"/>
    <mergeCell ref="Q502:Q506"/>
    <mergeCell ref="I502:I506"/>
    <mergeCell ref="J502:J506"/>
    <mergeCell ref="K502:K506"/>
    <mergeCell ref="L502:L506"/>
    <mergeCell ref="M502:M506"/>
    <mergeCell ref="N502:N506"/>
    <mergeCell ref="O502:O506"/>
    <mergeCell ref="K512:K516"/>
    <mergeCell ref="L512:L516"/>
    <mergeCell ref="M512:M516"/>
    <mergeCell ref="N512:N516"/>
    <mergeCell ref="O512:O516"/>
    <mergeCell ref="P512:P516"/>
    <mergeCell ref="Q512:Q516"/>
    <mergeCell ref="D512:D516"/>
    <mergeCell ref="E512:E516"/>
    <mergeCell ref="F512:F516"/>
    <mergeCell ref="G512:G516"/>
    <mergeCell ref="H512:H516"/>
    <mergeCell ref="I512:I516"/>
    <mergeCell ref="J512:J516"/>
    <mergeCell ref="F537:F541"/>
    <mergeCell ref="G537:G541"/>
    <mergeCell ref="H537:H541"/>
    <mergeCell ref="B507:B511"/>
    <mergeCell ref="C507:C511"/>
    <mergeCell ref="D507:D511"/>
    <mergeCell ref="E507:E511"/>
    <mergeCell ref="F507:F511"/>
    <mergeCell ref="G507:G511"/>
    <mergeCell ref="H507:H511"/>
    <mergeCell ref="B512:B516"/>
    <mergeCell ref="C512:C516"/>
    <mergeCell ref="H527:H531"/>
    <mergeCell ref="B542:B546"/>
    <mergeCell ref="C542:C546"/>
    <mergeCell ref="D542:D546"/>
    <mergeCell ref="E542:E546"/>
    <mergeCell ref="F542:F546"/>
    <mergeCell ref="G542:G546"/>
    <mergeCell ref="D532:D536"/>
    <mergeCell ref="E532:E536"/>
    <mergeCell ref="F532:F536"/>
    <mergeCell ref="G527:G531"/>
    <mergeCell ref="H542:H546"/>
    <mergeCell ref="P517:P521"/>
    <mergeCell ref="Q517:Q521"/>
    <mergeCell ref="K558:K562"/>
    <mergeCell ref="L558:L562"/>
    <mergeCell ref="M558:M562"/>
    <mergeCell ref="N558:N562"/>
    <mergeCell ref="O558:O562"/>
    <mergeCell ref="O547:O551"/>
    <mergeCell ref="H553:H557"/>
    <mergeCell ref="I553:I557"/>
    <mergeCell ref="K583:K587"/>
    <mergeCell ref="L583:L587"/>
    <mergeCell ref="I563:I567"/>
    <mergeCell ref="L547:L551"/>
    <mergeCell ref="M547:M551"/>
    <mergeCell ref="N547:N551"/>
    <mergeCell ref="J547:J551"/>
    <mergeCell ref="N537:N541"/>
    <mergeCell ref="O537:O541"/>
    <mergeCell ref="L537:L541"/>
    <mergeCell ref="M537:M541"/>
    <mergeCell ref="Q547:Q551"/>
    <mergeCell ref="K547:K551"/>
    <mergeCell ref="J527:J531"/>
    <mergeCell ref="Q522:Q526"/>
    <mergeCell ref="I522:I526"/>
    <mergeCell ref="J522:J526"/>
    <mergeCell ref="H522:H526"/>
    <mergeCell ref="L522:L526"/>
    <mergeCell ref="M522:M526"/>
    <mergeCell ref="Q578:Q582"/>
    <mergeCell ref="I578:I582"/>
    <mergeCell ref="P618:P622"/>
    <mergeCell ref="I618:I622"/>
    <mergeCell ref="J618:J622"/>
    <mergeCell ref="K563:K567"/>
    <mergeCell ref="L563:L567"/>
    <mergeCell ref="M563:M567"/>
    <mergeCell ref="N563:N567"/>
    <mergeCell ref="D593:D597"/>
    <mergeCell ref="E593:E597"/>
    <mergeCell ref="F593:F597"/>
    <mergeCell ref="G593:G597"/>
    <mergeCell ref="H593:H597"/>
    <mergeCell ref="I593:I597"/>
    <mergeCell ref="B593:B597"/>
    <mergeCell ref="C593:C597"/>
    <mergeCell ref="D598:D602"/>
    <mergeCell ref="E598:E602"/>
    <mergeCell ref="F598:F602"/>
    <mergeCell ref="G598:G602"/>
    <mergeCell ref="H598:H602"/>
    <mergeCell ref="P598:P602"/>
    <mergeCell ref="I598:I602"/>
    <mergeCell ref="J598:J602"/>
    <mergeCell ref="K598:K602"/>
    <mergeCell ref="L598:L602"/>
    <mergeCell ref="M598:M602"/>
    <mergeCell ref="N598:N602"/>
    <mergeCell ref="O598:O602"/>
    <mergeCell ref="K588:K592"/>
    <mergeCell ref="L588:L592"/>
    <mergeCell ref="F588:F592"/>
    <mergeCell ref="J593:J597"/>
    <mergeCell ref="F639:F643"/>
    <mergeCell ref="D623:D627"/>
    <mergeCell ref="E623:E627"/>
    <mergeCell ref="F623:F627"/>
    <mergeCell ref="G623:G627"/>
    <mergeCell ref="H623:H627"/>
    <mergeCell ref="D634:D638"/>
    <mergeCell ref="K629:K633"/>
    <mergeCell ref="L629:L633"/>
    <mergeCell ref="M629:M633"/>
    <mergeCell ref="N629:N633"/>
    <mergeCell ref="O629:O633"/>
    <mergeCell ref="P629:P633"/>
    <mergeCell ref="H613:H617"/>
    <mergeCell ref="P613:P617"/>
    <mergeCell ref="C553:C557"/>
    <mergeCell ref="D553:D557"/>
    <mergeCell ref="E553:E557"/>
    <mergeCell ref="F553:F557"/>
    <mergeCell ref="G553:G557"/>
    <mergeCell ref="J573:J577"/>
    <mergeCell ref="M593:M597"/>
    <mergeCell ref="N593:N597"/>
    <mergeCell ref="D608:D612"/>
    <mergeCell ref="E608:E612"/>
    <mergeCell ref="F608:F612"/>
    <mergeCell ref="G608:G612"/>
    <mergeCell ref="H608:H612"/>
    <mergeCell ref="P608:P612"/>
    <mergeCell ref="K618:K622"/>
    <mergeCell ref="L618:L622"/>
    <mergeCell ref="M618:M622"/>
    <mergeCell ref="Q629:Q633"/>
    <mergeCell ref="D629:D633"/>
    <mergeCell ref="E629:E633"/>
    <mergeCell ref="F629:F633"/>
    <mergeCell ref="G629:G633"/>
    <mergeCell ref="H629:H633"/>
    <mergeCell ref="I629:I633"/>
    <mergeCell ref="J629:J633"/>
    <mergeCell ref="P639:P643"/>
    <mergeCell ref="P659:P663"/>
    <mergeCell ref="K664:K668"/>
    <mergeCell ref="I649:I653"/>
    <mergeCell ref="J649:J653"/>
    <mergeCell ref="K654:K658"/>
    <mergeCell ref="L654:L658"/>
    <mergeCell ref="M654:M658"/>
    <mergeCell ref="Q654:Q658"/>
    <mergeCell ref="D654:D658"/>
    <mergeCell ref="K659:K663"/>
    <mergeCell ref="D659:D663"/>
    <mergeCell ref="E659:E663"/>
    <mergeCell ref="F659:F663"/>
    <mergeCell ref="L664:L668"/>
    <mergeCell ref="M664:M668"/>
    <mergeCell ref="N664:N668"/>
    <mergeCell ref="P654:P658"/>
    <mergeCell ref="P644:P648"/>
    <mergeCell ref="Q644:Q648"/>
    <mergeCell ref="D644:D648"/>
    <mergeCell ref="E644:E648"/>
    <mergeCell ref="F644:F648"/>
    <mergeCell ref="G644:G648"/>
    <mergeCell ref="Q674:Q678"/>
    <mergeCell ref="D674:D678"/>
    <mergeCell ref="E674:E678"/>
    <mergeCell ref="F674:F678"/>
    <mergeCell ref="Q664:Q668"/>
    <mergeCell ref="G674:G678"/>
    <mergeCell ref="H674:H678"/>
    <mergeCell ref="I674:I678"/>
    <mergeCell ref="J674:J678"/>
    <mergeCell ref="P679:P683"/>
    <mergeCell ref="Q679:Q683"/>
    <mergeCell ref="D679:D683"/>
    <mergeCell ref="E679:E683"/>
    <mergeCell ref="F679:F683"/>
    <mergeCell ref="K679:K683"/>
    <mergeCell ref="L679:L683"/>
    <mergeCell ref="H664:H668"/>
    <mergeCell ref="I664:I668"/>
    <mergeCell ref="J664:J668"/>
    <mergeCell ref="G781:G785"/>
    <mergeCell ref="H781:H785"/>
    <mergeCell ref="I781:I785"/>
    <mergeCell ref="J781:J785"/>
    <mergeCell ref="K786:K790"/>
    <mergeCell ref="L786:L790"/>
    <mergeCell ref="M786:M790"/>
    <mergeCell ref="N786:N790"/>
    <mergeCell ref="O786:O790"/>
    <mergeCell ref="P786:P790"/>
    <mergeCell ref="Q786:Q790"/>
    <mergeCell ref="D786:D790"/>
    <mergeCell ref="E786:E790"/>
    <mergeCell ref="F786:F790"/>
    <mergeCell ref="G786:G790"/>
    <mergeCell ref="H786:H790"/>
    <mergeCell ref="I786:I790"/>
    <mergeCell ref="J786:J790"/>
    <mergeCell ref="O781:O785"/>
    <mergeCell ref="P781:P785"/>
    <mergeCell ref="K781:K785"/>
    <mergeCell ref="L781:L785"/>
    <mergeCell ref="M781:M785"/>
    <mergeCell ref="N781:N785"/>
    <mergeCell ref="Q781:Q785"/>
    <mergeCell ref="E791:E795"/>
    <mergeCell ref="F791:F795"/>
    <mergeCell ref="G791:G795"/>
    <mergeCell ref="H791:H795"/>
    <mergeCell ref="I791:I795"/>
    <mergeCell ref="J791:J795"/>
    <mergeCell ref="K796:K800"/>
    <mergeCell ref="L796:L800"/>
    <mergeCell ref="M796:M800"/>
    <mergeCell ref="N796:N800"/>
    <mergeCell ref="O796:O800"/>
    <mergeCell ref="G679:G683"/>
    <mergeCell ref="H679:H683"/>
    <mergeCell ref="I679:I683"/>
    <mergeCell ref="J679:J683"/>
    <mergeCell ref="K684:K688"/>
    <mergeCell ref="L684:L688"/>
    <mergeCell ref="M684:M688"/>
    <mergeCell ref="N684:N688"/>
    <mergeCell ref="O684:O688"/>
    <mergeCell ref="K694:K698"/>
    <mergeCell ref="L694:L698"/>
    <mergeCell ref="M694:M698"/>
    <mergeCell ref="N694:N698"/>
    <mergeCell ref="O694:O698"/>
    <mergeCell ref="K710:K714"/>
    <mergeCell ref="L710:L714"/>
    <mergeCell ref="M710:M714"/>
    <mergeCell ref="N710:N714"/>
    <mergeCell ref="O710:O714"/>
    <mergeCell ref="K715:K719"/>
    <mergeCell ref="L715:L719"/>
    <mergeCell ref="H796:H800"/>
    <mergeCell ref="I796:I800"/>
    <mergeCell ref="J796:J800"/>
    <mergeCell ref="K791:K795"/>
    <mergeCell ref="L791:L795"/>
    <mergeCell ref="M791:M795"/>
    <mergeCell ref="N791:N795"/>
    <mergeCell ref="O791:O795"/>
    <mergeCell ref="P791:P795"/>
    <mergeCell ref="J487:J491"/>
    <mergeCell ref="M426:M430"/>
    <mergeCell ref="N426:N430"/>
    <mergeCell ref="O426:O430"/>
    <mergeCell ref="P426:P430"/>
    <mergeCell ref="M472:M476"/>
    <mergeCell ref="N472:N476"/>
    <mergeCell ref="O472:O476"/>
    <mergeCell ref="K477:K481"/>
    <mergeCell ref="L477:L481"/>
    <mergeCell ref="K466:K470"/>
    <mergeCell ref="L466:L470"/>
    <mergeCell ref="M466:M470"/>
    <mergeCell ref="N466:N470"/>
    <mergeCell ref="O466:O470"/>
    <mergeCell ref="J446:J450"/>
    <mergeCell ref="K446:K450"/>
    <mergeCell ref="I451:I455"/>
    <mergeCell ref="J451:J455"/>
    <mergeCell ref="M674:M678"/>
    <mergeCell ref="N674:N678"/>
    <mergeCell ref="O674:O678"/>
    <mergeCell ref="P674:P678"/>
    <mergeCell ref="B547:B551"/>
    <mergeCell ref="C547:C551"/>
    <mergeCell ref="D547:D551"/>
    <mergeCell ref="E547:E551"/>
    <mergeCell ref="F547:F551"/>
    <mergeCell ref="G547:G551"/>
    <mergeCell ref="H547:H551"/>
    <mergeCell ref="B517:B521"/>
    <mergeCell ref="C517:C521"/>
    <mergeCell ref="B522:B526"/>
    <mergeCell ref="C522:C526"/>
    <mergeCell ref="B527:B531"/>
    <mergeCell ref="C527:C531"/>
    <mergeCell ref="B532:B536"/>
    <mergeCell ref="C532:C536"/>
    <mergeCell ref="B537:B541"/>
    <mergeCell ref="C537:C541"/>
    <mergeCell ref="D537:D541"/>
    <mergeCell ref="G532:G536"/>
    <mergeCell ref="H532:H536"/>
    <mergeCell ref="D517:D521"/>
    <mergeCell ref="E517:E521"/>
    <mergeCell ref="F517:F521"/>
    <mergeCell ref="G517:G521"/>
    <mergeCell ref="H517:H521"/>
    <mergeCell ref="D527:D531"/>
    <mergeCell ref="D522:D526"/>
    <mergeCell ref="E522:E526"/>
    <mergeCell ref="F522:F526"/>
    <mergeCell ref="G522:G526"/>
    <mergeCell ref="E527:E531"/>
    <mergeCell ref="F527:F531"/>
    <mergeCell ref="P477:P481"/>
    <mergeCell ref="Q472:Q476"/>
    <mergeCell ref="I472:I476"/>
    <mergeCell ref="J472:J476"/>
    <mergeCell ref="Q466:Q470"/>
    <mergeCell ref="Q441:Q445"/>
    <mergeCell ref="F441:F445"/>
    <mergeCell ref="G441:G445"/>
    <mergeCell ref="C421:C425"/>
    <mergeCell ref="D421:D425"/>
    <mergeCell ref="E421:E425"/>
    <mergeCell ref="M421:M425"/>
    <mergeCell ref="N421:N425"/>
    <mergeCell ref="H451:H455"/>
    <mergeCell ref="N436:N440"/>
    <mergeCell ref="J421:J425"/>
    <mergeCell ref="P461:P465"/>
    <mergeCell ref="F472:F476"/>
    <mergeCell ref="G472:G476"/>
    <mergeCell ref="H472:H476"/>
    <mergeCell ref="C451:C455"/>
    <mergeCell ref="D451:D455"/>
    <mergeCell ref="E451:E455"/>
    <mergeCell ref="M451:M455"/>
    <mergeCell ref="N451:N455"/>
    <mergeCell ref="O451:O455"/>
    <mergeCell ref="P451:P455"/>
    <mergeCell ref="I446:I450"/>
    <mergeCell ref="Q461:Q465"/>
    <mergeCell ref="D461:D465"/>
    <mergeCell ref="D472:D476"/>
    <mergeCell ref="M446:M450"/>
    <mergeCell ref="B426:B430"/>
    <mergeCell ref="C426:C430"/>
    <mergeCell ref="Q426:Q430"/>
    <mergeCell ref="D426:D430"/>
    <mergeCell ref="Q477:Q481"/>
    <mergeCell ref="O482:O486"/>
    <mergeCell ref="P482:P486"/>
    <mergeCell ref="E426:E430"/>
    <mergeCell ref="H426:H430"/>
    <mergeCell ref="I426:I430"/>
    <mergeCell ref="J426:J430"/>
    <mergeCell ref="K426:K430"/>
    <mergeCell ref="L426:L430"/>
    <mergeCell ref="F426:F430"/>
    <mergeCell ref="G426:G430"/>
    <mergeCell ref="E477:E481"/>
    <mergeCell ref="F477:F481"/>
    <mergeCell ref="G477:G481"/>
    <mergeCell ref="H477:H481"/>
    <mergeCell ref="I477:I481"/>
    <mergeCell ref="Q482:Q486"/>
    <mergeCell ref="D482:D486"/>
    <mergeCell ref="E482:E486"/>
    <mergeCell ref="F482:F486"/>
    <mergeCell ref="G482:G486"/>
    <mergeCell ref="H482:H486"/>
    <mergeCell ref="I482:I486"/>
    <mergeCell ref="J482:J486"/>
    <mergeCell ref="J477:J481"/>
    <mergeCell ref="P472:P476"/>
    <mergeCell ref="D477:D481"/>
    <mergeCell ref="O477:O481"/>
    <mergeCell ref="K487:K491"/>
    <mergeCell ref="L487:L491"/>
    <mergeCell ref="M487:M491"/>
    <mergeCell ref="N487:N491"/>
    <mergeCell ref="O487:O491"/>
    <mergeCell ref="P487:P491"/>
    <mergeCell ref="Q487:Q491"/>
    <mergeCell ref="D487:D491"/>
    <mergeCell ref="E487:E491"/>
    <mergeCell ref="F487:F491"/>
    <mergeCell ref="G487:G491"/>
    <mergeCell ref="H487:H491"/>
    <mergeCell ref="I487:I491"/>
    <mergeCell ref="L482:L486"/>
    <mergeCell ref="M482:M486"/>
    <mergeCell ref="N482:N486"/>
    <mergeCell ref="K482:K486"/>
    <mergeCell ref="P522:P526"/>
    <mergeCell ref="I532:I536"/>
    <mergeCell ref="J532:J536"/>
    <mergeCell ref="P537:P541"/>
    <mergeCell ref="Q537:Q541"/>
    <mergeCell ref="I537:I541"/>
    <mergeCell ref="K553:K557"/>
    <mergeCell ref="L553:L557"/>
    <mergeCell ref="M553:M557"/>
    <mergeCell ref="N553:N557"/>
    <mergeCell ref="O553:O557"/>
    <mergeCell ref="P553:P557"/>
    <mergeCell ref="Q553:Q557"/>
    <mergeCell ref="J553:J557"/>
    <mergeCell ref="K527:K531"/>
    <mergeCell ref="L527:L531"/>
    <mergeCell ref="M527:M531"/>
    <mergeCell ref="N527:N531"/>
    <mergeCell ref="O527:O531"/>
    <mergeCell ref="I542:I546"/>
    <mergeCell ref="J542:J546"/>
    <mergeCell ref="K542:K546"/>
    <mergeCell ref="L542:L546"/>
    <mergeCell ref="M542:M546"/>
    <mergeCell ref="P547:P551"/>
    <mergeCell ref="Q527:Q531"/>
    <mergeCell ref="K522:K526"/>
    <mergeCell ref="I547:I551"/>
    <mergeCell ref="N522:N526"/>
    <mergeCell ref="O522:O526"/>
    <mergeCell ref="J537:J541"/>
    <mergeCell ref="K537:K541"/>
    <mergeCell ref="A553:A627"/>
    <mergeCell ref="B553:B557"/>
    <mergeCell ref="B558:B562"/>
    <mergeCell ref="B563:B567"/>
    <mergeCell ref="B568:B572"/>
    <mergeCell ref="B573:B577"/>
    <mergeCell ref="C573:C577"/>
    <mergeCell ref="P623:P627"/>
    <mergeCell ref="Q623:Q627"/>
    <mergeCell ref="I623:I627"/>
    <mergeCell ref="J623:J627"/>
    <mergeCell ref="K623:K627"/>
    <mergeCell ref="L623:L627"/>
    <mergeCell ref="M623:M627"/>
    <mergeCell ref="N623:N627"/>
    <mergeCell ref="O623:O627"/>
    <mergeCell ref="C558:C562"/>
    <mergeCell ref="D558:D562"/>
    <mergeCell ref="E558:E562"/>
    <mergeCell ref="F558:F562"/>
    <mergeCell ref="G558:G562"/>
    <mergeCell ref="Q618:Q622"/>
    <mergeCell ref="I613:I617"/>
    <mergeCell ref="J613:J617"/>
    <mergeCell ref="Q603:Q607"/>
    <mergeCell ref="I603:I607"/>
    <mergeCell ref="H558:H562"/>
    <mergeCell ref="P558:P562"/>
    <mergeCell ref="Q558:Q562"/>
    <mergeCell ref="I558:I562"/>
    <mergeCell ref="J558:J562"/>
    <mergeCell ref="G613:G617"/>
    <mergeCell ref="Q613:Q617"/>
    <mergeCell ref="K613:K617"/>
    <mergeCell ref="L613:L617"/>
    <mergeCell ref="M613:M617"/>
    <mergeCell ref="J603:J607"/>
    <mergeCell ref="K603:K607"/>
    <mergeCell ref="L603:L607"/>
    <mergeCell ref="M603:M607"/>
    <mergeCell ref="N603:N607"/>
    <mergeCell ref="O603:O607"/>
    <mergeCell ref="Q608:Q612"/>
    <mergeCell ref="I608:I612"/>
    <mergeCell ref="J608:J612"/>
    <mergeCell ref="Q593:Q597"/>
    <mergeCell ref="G588:G592"/>
    <mergeCell ref="H588:H592"/>
    <mergeCell ref="K593:K597"/>
    <mergeCell ref="L593:L597"/>
    <mergeCell ref="N588:N592"/>
    <mergeCell ref="O588:O592"/>
    <mergeCell ref="P588:P592"/>
    <mergeCell ref="P593:P597"/>
    <mergeCell ref="O608:O612"/>
    <mergeCell ref="O593:O597"/>
    <mergeCell ref="P603:P607"/>
    <mergeCell ref="K608:K612"/>
    <mergeCell ref="L608:L612"/>
    <mergeCell ref="M608:M612"/>
    <mergeCell ref="N608:N612"/>
    <mergeCell ref="Q588:Q592"/>
    <mergeCell ref="Q598:Q602"/>
    <mergeCell ref="M588:M592"/>
    <mergeCell ref="H644:H648"/>
    <mergeCell ref="I644:I648"/>
    <mergeCell ref="J644:J648"/>
    <mergeCell ref="K669:K673"/>
    <mergeCell ref="L669:L673"/>
    <mergeCell ref="M669:M673"/>
    <mergeCell ref="N669:N673"/>
    <mergeCell ref="O669:O673"/>
    <mergeCell ref="P669:P673"/>
    <mergeCell ref="Q669:Q673"/>
    <mergeCell ref="D669:D673"/>
    <mergeCell ref="E669:E673"/>
    <mergeCell ref="F669:F673"/>
    <mergeCell ref="G669:G673"/>
    <mergeCell ref="H669:H673"/>
    <mergeCell ref="I669:I673"/>
    <mergeCell ref="J669:J673"/>
    <mergeCell ref="E649:E653"/>
    <mergeCell ref="F649:F653"/>
    <mergeCell ref="G649:G653"/>
    <mergeCell ref="H649:H653"/>
    <mergeCell ref="E654:E658"/>
    <mergeCell ref="F654:F658"/>
    <mergeCell ref="G654:G658"/>
    <mergeCell ref="H654:H658"/>
    <mergeCell ref="I654:I658"/>
    <mergeCell ref="K644:K648"/>
    <mergeCell ref="L644:L648"/>
    <mergeCell ref="M644:M648"/>
    <mergeCell ref="N644:N648"/>
    <mergeCell ref="O644:O648"/>
    <mergeCell ref="P684:P688"/>
    <mergeCell ref="Q684:Q688"/>
    <mergeCell ref="D684:D688"/>
    <mergeCell ref="E684:E688"/>
    <mergeCell ref="F684:F688"/>
    <mergeCell ref="G684:G688"/>
    <mergeCell ref="H684:H688"/>
    <mergeCell ref="I684:I688"/>
    <mergeCell ref="J684:J688"/>
    <mergeCell ref="K689:K693"/>
    <mergeCell ref="L689:L693"/>
    <mergeCell ref="M689:M693"/>
    <mergeCell ref="N689:N693"/>
    <mergeCell ref="O689:O693"/>
    <mergeCell ref="P689:P693"/>
    <mergeCell ref="Q689:Q693"/>
    <mergeCell ref="D689:D693"/>
    <mergeCell ref="E689:E693"/>
    <mergeCell ref="F689:F693"/>
    <mergeCell ref="G689:G693"/>
    <mergeCell ref="H689:H693"/>
    <mergeCell ref="I689:I693"/>
    <mergeCell ref="J689:J693"/>
    <mergeCell ref="P694:P698"/>
    <mergeCell ref="Q694:Q698"/>
    <mergeCell ref="D694:D698"/>
    <mergeCell ref="E694:E698"/>
    <mergeCell ref="F694:F698"/>
    <mergeCell ref="G694:G698"/>
    <mergeCell ref="H694:H698"/>
    <mergeCell ref="I694:I698"/>
    <mergeCell ref="J694:J698"/>
    <mergeCell ref="K699:K703"/>
    <mergeCell ref="L699:L703"/>
    <mergeCell ref="M699:M703"/>
    <mergeCell ref="N699:N703"/>
    <mergeCell ref="O699:O703"/>
    <mergeCell ref="P699:P703"/>
    <mergeCell ref="Q699:Q703"/>
    <mergeCell ref="D699:D703"/>
    <mergeCell ref="E699:E703"/>
    <mergeCell ref="F699:F703"/>
    <mergeCell ref="G699:G703"/>
    <mergeCell ref="H699:H703"/>
    <mergeCell ref="I699:I703"/>
    <mergeCell ref="J699:J703"/>
    <mergeCell ref="P710:P714"/>
    <mergeCell ref="Q710:Q714"/>
    <mergeCell ref="D710:D714"/>
    <mergeCell ref="E710:E714"/>
    <mergeCell ref="F710:F714"/>
    <mergeCell ref="G710:G714"/>
    <mergeCell ref="H710:H714"/>
    <mergeCell ref="I710:I714"/>
    <mergeCell ref="J710:J714"/>
    <mergeCell ref="L705:L709"/>
    <mergeCell ref="M705:M709"/>
    <mergeCell ref="N705:N709"/>
    <mergeCell ref="O705:O709"/>
    <mergeCell ref="P705:P709"/>
    <mergeCell ref="Q705:Q709"/>
    <mergeCell ref="D705:D709"/>
    <mergeCell ref="E705:E709"/>
    <mergeCell ref="F705:F709"/>
    <mergeCell ref="G705:G709"/>
    <mergeCell ref="H705:H709"/>
    <mergeCell ref="I705:I709"/>
    <mergeCell ref="J705:J709"/>
    <mergeCell ref="P715:P719"/>
    <mergeCell ref="Q715:Q719"/>
    <mergeCell ref="D715:D719"/>
    <mergeCell ref="E715:E719"/>
    <mergeCell ref="F715:F719"/>
    <mergeCell ref="G715:G719"/>
    <mergeCell ref="H715:H719"/>
    <mergeCell ref="I715:I719"/>
    <mergeCell ref="J715:J719"/>
    <mergeCell ref="K720:K724"/>
    <mergeCell ref="L720:L724"/>
    <mergeCell ref="M720:M724"/>
    <mergeCell ref="N720:N724"/>
    <mergeCell ref="O720:O724"/>
    <mergeCell ref="P720:P724"/>
    <mergeCell ref="Q720:Q724"/>
    <mergeCell ref="D720:D724"/>
    <mergeCell ref="E720:E724"/>
    <mergeCell ref="F720:F724"/>
    <mergeCell ref="G720:G724"/>
    <mergeCell ref="H720:H724"/>
    <mergeCell ref="I720:I724"/>
    <mergeCell ref="J720:J724"/>
    <mergeCell ref="G740:G744"/>
    <mergeCell ref="H740:H744"/>
    <mergeCell ref="I740:I744"/>
    <mergeCell ref="J740:J744"/>
    <mergeCell ref="K725:K729"/>
    <mergeCell ref="L725:L729"/>
    <mergeCell ref="M725:M729"/>
    <mergeCell ref="N725:N729"/>
    <mergeCell ref="O725:O729"/>
    <mergeCell ref="P725:P729"/>
    <mergeCell ref="Q725:Q729"/>
    <mergeCell ref="D725:D729"/>
    <mergeCell ref="E725:E729"/>
    <mergeCell ref="F725:F729"/>
    <mergeCell ref="G725:G729"/>
    <mergeCell ref="H725:H729"/>
    <mergeCell ref="I725:I729"/>
    <mergeCell ref="J725:J729"/>
    <mergeCell ref="K730:K734"/>
    <mergeCell ref="L730:L734"/>
    <mergeCell ref="M730:M734"/>
    <mergeCell ref="N730:N734"/>
    <mergeCell ref="O730:O734"/>
    <mergeCell ref="P730:P734"/>
    <mergeCell ref="Q730:Q734"/>
    <mergeCell ref="D730:D734"/>
    <mergeCell ref="E730:E734"/>
    <mergeCell ref="F730:F734"/>
    <mergeCell ref="G730:G734"/>
    <mergeCell ref="H730:H734"/>
    <mergeCell ref="I730:I734"/>
    <mergeCell ref="J730:J734"/>
    <mergeCell ref="Q750:Q754"/>
    <mergeCell ref="D750:D754"/>
    <mergeCell ref="E750:E754"/>
    <mergeCell ref="F750:F754"/>
    <mergeCell ref="G750:G754"/>
    <mergeCell ref="H750:H754"/>
    <mergeCell ref="I750:I754"/>
    <mergeCell ref="J750:J754"/>
    <mergeCell ref="K735:K739"/>
    <mergeCell ref="L735:L739"/>
    <mergeCell ref="M735:M739"/>
    <mergeCell ref="N735:N739"/>
    <mergeCell ref="O735:O739"/>
    <mergeCell ref="P735:P739"/>
    <mergeCell ref="Q735:Q739"/>
    <mergeCell ref="D735:D739"/>
    <mergeCell ref="E735:E739"/>
    <mergeCell ref="F735:F739"/>
    <mergeCell ref="G735:G739"/>
    <mergeCell ref="H735:H739"/>
    <mergeCell ref="I735:I739"/>
    <mergeCell ref="J735:J739"/>
    <mergeCell ref="K740:K744"/>
    <mergeCell ref="L740:L744"/>
    <mergeCell ref="M740:M744"/>
    <mergeCell ref="N740:N744"/>
    <mergeCell ref="O740:O744"/>
    <mergeCell ref="P740:P744"/>
    <mergeCell ref="Q740:Q744"/>
    <mergeCell ref="D740:D744"/>
    <mergeCell ref="E740:E744"/>
    <mergeCell ref="F740:F744"/>
    <mergeCell ref="M760:M764"/>
    <mergeCell ref="N760:N764"/>
    <mergeCell ref="O760:O764"/>
    <mergeCell ref="P760:P764"/>
    <mergeCell ref="Q760:Q764"/>
    <mergeCell ref="D760:D764"/>
    <mergeCell ref="E760:E764"/>
    <mergeCell ref="F760:F764"/>
    <mergeCell ref="G760:G764"/>
    <mergeCell ref="H760:H764"/>
    <mergeCell ref="I760:I764"/>
    <mergeCell ref="J760:J764"/>
    <mergeCell ref="K745:K749"/>
    <mergeCell ref="L745:L749"/>
    <mergeCell ref="M745:M749"/>
    <mergeCell ref="N745:N749"/>
    <mergeCell ref="O745:O749"/>
    <mergeCell ref="P745:P749"/>
    <mergeCell ref="Q745:Q749"/>
    <mergeCell ref="D745:D749"/>
    <mergeCell ref="E745:E749"/>
    <mergeCell ref="F745:F749"/>
    <mergeCell ref="G745:G749"/>
    <mergeCell ref="H745:H749"/>
    <mergeCell ref="I745:I749"/>
    <mergeCell ref="J745:J749"/>
    <mergeCell ref="K750:K754"/>
    <mergeCell ref="L750:L754"/>
    <mergeCell ref="M750:M754"/>
    <mergeCell ref="N750:N754"/>
    <mergeCell ref="O750:O754"/>
    <mergeCell ref="P750:P754"/>
    <mergeCell ref="P765:P769"/>
    <mergeCell ref="Q765:Q769"/>
    <mergeCell ref="D765:D769"/>
    <mergeCell ref="E765:E769"/>
    <mergeCell ref="F765:F769"/>
    <mergeCell ref="G765:G769"/>
    <mergeCell ref="H765:H769"/>
    <mergeCell ref="I765:I769"/>
    <mergeCell ref="J765:J769"/>
    <mergeCell ref="D770:D774"/>
    <mergeCell ref="E770:E774"/>
    <mergeCell ref="F770:F774"/>
    <mergeCell ref="G770:G774"/>
    <mergeCell ref="H770:H774"/>
    <mergeCell ref="I770:I774"/>
    <mergeCell ref="J770:J774"/>
    <mergeCell ref="K755:K759"/>
    <mergeCell ref="L755:L759"/>
    <mergeCell ref="M755:M759"/>
    <mergeCell ref="N755:N759"/>
    <mergeCell ref="O755:O759"/>
    <mergeCell ref="P755:P759"/>
    <mergeCell ref="Q755:Q759"/>
    <mergeCell ref="D755:D759"/>
    <mergeCell ref="E755:E759"/>
    <mergeCell ref="F755:F759"/>
    <mergeCell ref="G755:G759"/>
    <mergeCell ref="H755:H759"/>
    <mergeCell ref="I755:I759"/>
    <mergeCell ref="J755:J759"/>
    <mergeCell ref="K760:K764"/>
    <mergeCell ref="L760:L764"/>
    <mergeCell ref="O821:O825"/>
    <mergeCell ref="O826:O830"/>
    <mergeCell ref="D811:D815"/>
    <mergeCell ref="E811:E815"/>
    <mergeCell ref="F811:F815"/>
    <mergeCell ref="G811:G815"/>
    <mergeCell ref="H811:H815"/>
    <mergeCell ref="I811:I815"/>
    <mergeCell ref="J811:J815"/>
    <mergeCell ref="O801:O805"/>
    <mergeCell ref="D791:D795"/>
    <mergeCell ref="D801:D805"/>
    <mergeCell ref="E801:E805"/>
    <mergeCell ref="F801:F805"/>
    <mergeCell ref="G801:G805"/>
    <mergeCell ref="H801:H805"/>
    <mergeCell ref="K765:K769"/>
    <mergeCell ref="L765:L769"/>
    <mergeCell ref="M765:M769"/>
    <mergeCell ref="N765:N769"/>
    <mergeCell ref="O765:O769"/>
    <mergeCell ref="D806:D810"/>
    <mergeCell ref="E806:E810"/>
    <mergeCell ref="F806:F810"/>
    <mergeCell ref="G806:G810"/>
    <mergeCell ref="H806:H810"/>
    <mergeCell ref="I806:I810"/>
    <mergeCell ref="J806:J810"/>
    <mergeCell ref="K801:K805"/>
    <mergeCell ref="L801:L805"/>
    <mergeCell ref="M801:M805"/>
    <mergeCell ref="N801:N805"/>
    <mergeCell ref="K775:K779"/>
    <mergeCell ref="L775:L779"/>
    <mergeCell ref="M775:M779"/>
    <mergeCell ref="N775:N779"/>
    <mergeCell ref="N958:N962"/>
    <mergeCell ref="L811:L815"/>
    <mergeCell ref="M811:M815"/>
    <mergeCell ref="N811:N815"/>
    <mergeCell ref="L882:L886"/>
    <mergeCell ref="M882:M886"/>
    <mergeCell ref="N882:N886"/>
    <mergeCell ref="N836:N840"/>
    <mergeCell ref="D775:D779"/>
    <mergeCell ref="E775:E779"/>
    <mergeCell ref="F775:F779"/>
    <mergeCell ref="G775:G779"/>
    <mergeCell ref="H775:H779"/>
    <mergeCell ref="I775:I779"/>
    <mergeCell ref="J775:J779"/>
    <mergeCell ref="M831:M835"/>
    <mergeCell ref="N831:N835"/>
    <mergeCell ref="D826:D830"/>
    <mergeCell ref="E826:E830"/>
    <mergeCell ref="F826:F830"/>
    <mergeCell ref="G826:G830"/>
    <mergeCell ref="H826:H830"/>
    <mergeCell ref="D831:D835"/>
    <mergeCell ref="E831:E835"/>
    <mergeCell ref="D796:D800"/>
    <mergeCell ref="E796:E800"/>
    <mergeCell ref="F796:F800"/>
    <mergeCell ref="G796:G800"/>
    <mergeCell ref="G862:G866"/>
    <mergeCell ref="H938:H942"/>
    <mergeCell ref="I938:I942"/>
    <mergeCell ref="J943:J947"/>
    <mergeCell ref="G927:G931"/>
    <mergeCell ref="H927:H931"/>
    <mergeCell ref="I927:I931"/>
    <mergeCell ref="I801:I805"/>
    <mergeCell ref="J801:J805"/>
    <mergeCell ref="K806:K810"/>
    <mergeCell ref="D851:D855"/>
    <mergeCell ref="O867:O871"/>
    <mergeCell ref="P867:P871"/>
    <mergeCell ref="Q867:Q871"/>
    <mergeCell ref="D867:D871"/>
    <mergeCell ref="E867:E871"/>
    <mergeCell ref="F867:F871"/>
    <mergeCell ref="G867:G871"/>
    <mergeCell ref="H867:H871"/>
    <mergeCell ref="I867:I871"/>
    <mergeCell ref="J867:J871"/>
    <mergeCell ref="E851:E855"/>
    <mergeCell ref="F851:F855"/>
    <mergeCell ref="G851:G855"/>
    <mergeCell ref="N826:N830"/>
    <mergeCell ref="I831:I835"/>
    <mergeCell ref="J831:J835"/>
    <mergeCell ref="K831:K835"/>
    <mergeCell ref="L831:L835"/>
    <mergeCell ref="K836:K840"/>
    <mergeCell ref="L836:L840"/>
    <mergeCell ref="M836:M840"/>
    <mergeCell ref="I846:I850"/>
    <mergeCell ref="J846:J850"/>
    <mergeCell ref="O846:O850"/>
    <mergeCell ref="P846:P850"/>
    <mergeCell ref="O857:O861"/>
    <mergeCell ref="J836:J840"/>
    <mergeCell ref="O872:O876"/>
    <mergeCell ref="P872:P876"/>
    <mergeCell ref="Q872:Q876"/>
    <mergeCell ref="H862:H866"/>
    <mergeCell ref="I862:I866"/>
    <mergeCell ref="J862:J866"/>
    <mergeCell ref="P851:P855"/>
    <mergeCell ref="Q851:Q855"/>
    <mergeCell ref="I851:I855"/>
    <mergeCell ref="J851:J855"/>
    <mergeCell ref="K851:K855"/>
    <mergeCell ref="L851:L855"/>
    <mergeCell ref="M851:M855"/>
    <mergeCell ref="N851:N855"/>
    <mergeCell ref="O851:O855"/>
    <mergeCell ref="Q846:Q850"/>
    <mergeCell ref="M872:M876"/>
    <mergeCell ref="N872:N876"/>
    <mergeCell ref="Q862:Q866"/>
    <mergeCell ref="P857:P861"/>
    <mergeCell ref="Q857:Q861"/>
    <mergeCell ref="K846:K850"/>
    <mergeCell ref="L846:L850"/>
    <mergeCell ref="M846:M850"/>
    <mergeCell ref="N846:N850"/>
    <mergeCell ref="K862:K866"/>
    <mergeCell ref="O862:O866"/>
    <mergeCell ref="H851:H855"/>
    <mergeCell ref="K857:K861"/>
    <mergeCell ref="L857:L861"/>
    <mergeCell ref="K841:K845"/>
    <mergeCell ref="L841:L845"/>
    <mergeCell ref="B857:B861"/>
    <mergeCell ref="B862:B866"/>
    <mergeCell ref="B867:B871"/>
    <mergeCell ref="B872:B876"/>
    <mergeCell ref="B927:B931"/>
    <mergeCell ref="D857:D861"/>
    <mergeCell ref="E857:E861"/>
    <mergeCell ref="F857:F861"/>
    <mergeCell ref="G857:G861"/>
    <mergeCell ref="H857:H861"/>
    <mergeCell ref="I857:I861"/>
    <mergeCell ref="J857:J861"/>
    <mergeCell ref="C857:C861"/>
    <mergeCell ref="C862:C866"/>
    <mergeCell ref="E872:E876"/>
    <mergeCell ref="M857:M861"/>
    <mergeCell ref="N857:N861"/>
    <mergeCell ref="K922:K926"/>
    <mergeCell ref="L922:L926"/>
    <mergeCell ref="M922:M926"/>
    <mergeCell ref="N922:N926"/>
    <mergeCell ref="D846:D850"/>
    <mergeCell ref="E846:E850"/>
    <mergeCell ref="F846:F850"/>
    <mergeCell ref="G846:G850"/>
    <mergeCell ref="H846:H850"/>
    <mergeCell ref="B877:B881"/>
    <mergeCell ref="B882:B886"/>
    <mergeCell ref="C907:C911"/>
    <mergeCell ref="D907:D911"/>
    <mergeCell ref="E907:E911"/>
    <mergeCell ref="F907:F911"/>
    <mergeCell ref="G907:G911"/>
    <mergeCell ref="H973:H977"/>
    <mergeCell ref="I973:I977"/>
    <mergeCell ref="J973:J977"/>
    <mergeCell ref="K973:K977"/>
    <mergeCell ref="K968:K972"/>
    <mergeCell ref="D968:D972"/>
    <mergeCell ref="J912:J916"/>
    <mergeCell ref="F963:F967"/>
    <mergeCell ref="B968:B972"/>
    <mergeCell ref="C968:C972"/>
    <mergeCell ref="B933:B937"/>
    <mergeCell ref="B938:B942"/>
    <mergeCell ref="H968:H972"/>
    <mergeCell ref="B943:B947"/>
    <mergeCell ref="I963:I967"/>
    <mergeCell ref="J963:J967"/>
    <mergeCell ref="J953:J957"/>
    <mergeCell ref="H922:H926"/>
    <mergeCell ref="I953:I957"/>
    <mergeCell ref="F953:F957"/>
    <mergeCell ref="G953:G957"/>
    <mergeCell ref="B917:B921"/>
    <mergeCell ref="D958:D962"/>
    <mergeCell ref="E958:E962"/>
    <mergeCell ref="F958:F962"/>
    <mergeCell ref="F983:F987"/>
    <mergeCell ref="G983:G987"/>
    <mergeCell ref="H983:H987"/>
    <mergeCell ref="I983:I987"/>
    <mergeCell ref="J983:J987"/>
    <mergeCell ref="K983:K987"/>
    <mergeCell ref="L983:L987"/>
    <mergeCell ref="M983:M987"/>
    <mergeCell ref="N983:N987"/>
    <mergeCell ref="O983:O987"/>
    <mergeCell ref="P983:P987"/>
    <mergeCell ref="L978:L982"/>
    <mergeCell ref="M978:M982"/>
    <mergeCell ref="N978:N982"/>
    <mergeCell ref="O978:O982"/>
    <mergeCell ref="P978:P982"/>
    <mergeCell ref="M968:M972"/>
    <mergeCell ref="N968:N972"/>
    <mergeCell ref="O968:O972"/>
    <mergeCell ref="P968:P972"/>
    <mergeCell ref="J978:J982"/>
    <mergeCell ref="K978:K982"/>
    <mergeCell ref="F968:F972"/>
    <mergeCell ref="G968:G972"/>
    <mergeCell ref="F978:F982"/>
    <mergeCell ref="G978:G982"/>
    <mergeCell ref="H978:H982"/>
    <mergeCell ref="I978:I982"/>
    <mergeCell ref="P892:P896"/>
    <mergeCell ref="Q892:Q896"/>
    <mergeCell ref="I892:I896"/>
    <mergeCell ref="J892:J896"/>
    <mergeCell ref="K892:K896"/>
    <mergeCell ref="L892:L896"/>
    <mergeCell ref="M892:M896"/>
    <mergeCell ref="N892:N896"/>
    <mergeCell ref="O892:O896"/>
    <mergeCell ref="B887:B891"/>
    <mergeCell ref="B892:B896"/>
    <mergeCell ref="D892:D896"/>
    <mergeCell ref="E892:E896"/>
    <mergeCell ref="F892:F896"/>
    <mergeCell ref="G892:G896"/>
    <mergeCell ref="H892:H896"/>
    <mergeCell ref="J897:J901"/>
    <mergeCell ref="K897:K901"/>
    <mergeCell ref="L897:L901"/>
    <mergeCell ref="M897:M901"/>
    <mergeCell ref="N897:N901"/>
    <mergeCell ref="O897:O901"/>
    <mergeCell ref="P897:P901"/>
    <mergeCell ref="Q897:Q901"/>
    <mergeCell ref="B897:B901"/>
    <mergeCell ref="C887:C891"/>
    <mergeCell ref="C892:C896"/>
    <mergeCell ref="C897:C901"/>
    <mergeCell ref="D897:D901"/>
    <mergeCell ref="E897:E901"/>
    <mergeCell ref="F897:F901"/>
    <mergeCell ref="G897:G901"/>
    <mergeCell ref="Q968:Q972"/>
    <mergeCell ref="K963:K967"/>
    <mergeCell ref="L963:L967"/>
    <mergeCell ref="M963:M967"/>
    <mergeCell ref="N963:N967"/>
    <mergeCell ref="O963:O967"/>
    <mergeCell ref="P963:P967"/>
    <mergeCell ref="M973:M977"/>
    <mergeCell ref="N973:N977"/>
    <mergeCell ref="N993:N997"/>
    <mergeCell ref="O993:O997"/>
    <mergeCell ref="K998:K1002"/>
    <mergeCell ref="L998:L1002"/>
    <mergeCell ref="M998:M1002"/>
    <mergeCell ref="N998:N1002"/>
    <mergeCell ref="O998:O1002"/>
    <mergeCell ref="P998:P1002"/>
    <mergeCell ref="Q998:Q1002"/>
    <mergeCell ref="K988:K992"/>
    <mergeCell ref="L988:L992"/>
    <mergeCell ref="K993:K997"/>
    <mergeCell ref="L993:L997"/>
    <mergeCell ref="P993:P997"/>
    <mergeCell ref="Q993:Q997"/>
    <mergeCell ref="L968:L972"/>
    <mergeCell ref="Q963:Q967"/>
    <mergeCell ref="L973:L977"/>
    <mergeCell ref="F998:F1002"/>
    <mergeCell ref="G998:G1002"/>
    <mergeCell ref="H998:H1002"/>
    <mergeCell ref="I998:I1002"/>
    <mergeCell ref="J998:J1002"/>
    <mergeCell ref="O973:O977"/>
    <mergeCell ref="P973:P977"/>
    <mergeCell ref="Q973:Q977"/>
    <mergeCell ref="O988:O992"/>
    <mergeCell ref="P988:P992"/>
    <mergeCell ref="Q988:Q992"/>
    <mergeCell ref="M993:M997"/>
    <mergeCell ref="Q978:Q982"/>
    <mergeCell ref="B983:B987"/>
    <mergeCell ref="Q983:Q987"/>
    <mergeCell ref="M988:M992"/>
    <mergeCell ref="N988:N992"/>
    <mergeCell ref="F988:F992"/>
    <mergeCell ref="G988:G992"/>
    <mergeCell ref="H988:H992"/>
    <mergeCell ref="I988:I992"/>
    <mergeCell ref="J988:J992"/>
    <mergeCell ref="C993:C997"/>
    <mergeCell ref="D993:D997"/>
    <mergeCell ref="F993:F997"/>
    <mergeCell ref="G993:G997"/>
    <mergeCell ref="H993:H997"/>
    <mergeCell ref="I993:I997"/>
    <mergeCell ref="J993:J997"/>
    <mergeCell ref="C983:C987"/>
    <mergeCell ref="D983:D987"/>
    <mergeCell ref="E983:E987"/>
    <mergeCell ref="M1003:M1007"/>
    <mergeCell ref="N1003:N1007"/>
    <mergeCell ref="O1003:O1007"/>
    <mergeCell ref="P1003:P1007"/>
    <mergeCell ref="Q1003:Q1007"/>
    <mergeCell ref="F1003:F1007"/>
    <mergeCell ref="G1003:G1007"/>
    <mergeCell ref="H1003:H1007"/>
    <mergeCell ref="I1003:I1007"/>
    <mergeCell ref="J1003:J1007"/>
    <mergeCell ref="K1003:K1007"/>
    <mergeCell ref="L1003:L1007"/>
    <mergeCell ref="M1009:M1013"/>
    <mergeCell ref="N1009:N1013"/>
    <mergeCell ref="O1009:O1013"/>
    <mergeCell ref="P1009:P1013"/>
    <mergeCell ref="Q1009:Q1013"/>
    <mergeCell ref="F1009:F1013"/>
    <mergeCell ref="G1009:G1013"/>
    <mergeCell ref="H1009:H1013"/>
    <mergeCell ref="I1009:I1013"/>
    <mergeCell ref="J1009:J1013"/>
    <mergeCell ref="K1009:K1013"/>
    <mergeCell ref="L1009:L1013"/>
    <mergeCell ref="M1014:M1018"/>
    <mergeCell ref="N1014:N1018"/>
    <mergeCell ref="O1014:O1018"/>
    <mergeCell ref="P1014:P1018"/>
    <mergeCell ref="Q1014:Q1018"/>
    <mergeCell ref="F1014:F1018"/>
    <mergeCell ref="G1014:G1018"/>
    <mergeCell ref="H1014:H1018"/>
    <mergeCell ref="I1014:I1018"/>
    <mergeCell ref="J1014:J1018"/>
    <mergeCell ref="K1014:K1018"/>
    <mergeCell ref="L1014:L1018"/>
    <mergeCell ref="M1034:M1038"/>
    <mergeCell ref="N1034:N1038"/>
    <mergeCell ref="O1034:O1038"/>
    <mergeCell ref="P1034:P1038"/>
    <mergeCell ref="Q1034:Q1038"/>
    <mergeCell ref="F1034:F1038"/>
    <mergeCell ref="G1034:G1038"/>
    <mergeCell ref="H1034:H1038"/>
    <mergeCell ref="I1034:I1038"/>
    <mergeCell ref="J1034:J1038"/>
    <mergeCell ref="K1034:K1038"/>
    <mergeCell ref="L1034:L1038"/>
    <mergeCell ref="I1024:I1028"/>
    <mergeCell ref="J1024:J1028"/>
    <mergeCell ref="K1024:K1028"/>
    <mergeCell ref="L1024:L1028"/>
    <mergeCell ref="M1029:M1033"/>
    <mergeCell ref="N1029:N1033"/>
    <mergeCell ref="O1029:O1033"/>
    <mergeCell ref="P1029:P1033"/>
    <mergeCell ref="Q1054:Q1058"/>
    <mergeCell ref="F1054:F1058"/>
    <mergeCell ref="G1054:G1058"/>
    <mergeCell ref="H1054:H1058"/>
    <mergeCell ref="I1054:I1058"/>
    <mergeCell ref="J1054:J1058"/>
    <mergeCell ref="K1054:K1058"/>
    <mergeCell ref="L1054:L1058"/>
    <mergeCell ref="G1044:G1048"/>
    <mergeCell ref="H1044:H1048"/>
    <mergeCell ref="I1044:I1048"/>
    <mergeCell ref="J1044:J1048"/>
    <mergeCell ref="K1044:K1048"/>
    <mergeCell ref="L1044:L1048"/>
    <mergeCell ref="M1049:M1053"/>
    <mergeCell ref="N1049:N1053"/>
    <mergeCell ref="N1044:N1048"/>
    <mergeCell ref="O1044:O1048"/>
    <mergeCell ref="P1044:P1048"/>
    <mergeCell ref="Q1044:Q1048"/>
    <mergeCell ref="F1044:F1048"/>
    <mergeCell ref="Q1049:Q1053"/>
    <mergeCell ref="F1049:F1053"/>
    <mergeCell ref="G1049:G1053"/>
    <mergeCell ref="H1049:H1053"/>
    <mergeCell ref="I1049:I1053"/>
    <mergeCell ref="J1049:J1053"/>
    <mergeCell ref="K1049:K1053"/>
    <mergeCell ref="L1049:L1053"/>
    <mergeCell ref="P1054:P1058"/>
    <mergeCell ref="Q1029:Q1033"/>
    <mergeCell ref="F1029:F1033"/>
    <mergeCell ref="G1029:G1033"/>
    <mergeCell ref="H1029:H1033"/>
    <mergeCell ref="Q1039:Q1043"/>
    <mergeCell ref="F1039:F1043"/>
    <mergeCell ref="G1039:G1043"/>
    <mergeCell ref="H1039:H1043"/>
    <mergeCell ref="I1039:I1043"/>
    <mergeCell ref="J1039:J1043"/>
    <mergeCell ref="K1039:K1043"/>
    <mergeCell ref="L1039:L1043"/>
    <mergeCell ref="K1059:K1063"/>
    <mergeCell ref="L1059:L1063"/>
    <mergeCell ref="B1039:B1043"/>
    <mergeCell ref="B1044:B1048"/>
    <mergeCell ref="C1044:C1048"/>
    <mergeCell ref="D1044:D1048"/>
    <mergeCell ref="E1044:E1048"/>
    <mergeCell ref="D1049:D1053"/>
    <mergeCell ref="E1049:E1053"/>
    <mergeCell ref="C1049:C1053"/>
    <mergeCell ref="C1054:C1058"/>
    <mergeCell ref="D1054:D1058"/>
    <mergeCell ref="E1054:E1058"/>
    <mergeCell ref="C1059:C1063"/>
    <mergeCell ref="D1059:D1063"/>
    <mergeCell ref="E1059:E1063"/>
    <mergeCell ref="M1044:M1048"/>
    <mergeCell ref="M1054:M1058"/>
    <mergeCell ref="O1049:O1053"/>
    <mergeCell ref="P1049:P1053"/>
    <mergeCell ref="N1019:N1023"/>
    <mergeCell ref="O1019:O1023"/>
    <mergeCell ref="P1019:P1023"/>
    <mergeCell ref="Q1019:Q1023"/>
    <mergeCell ref="F1019:F1023"/>
    <mergeCell ref="G1019:G1023"/>
    <mergeCell ref="H1019:H1023"/>
    <mergeCell ref="I1019:I1023"/>
    <mergeCell ref="J1019:J1023"/>
    <mergeCell ref="K1019:K1023"/>
    <mergeCell ref="L1019:L1023"/>
    <mergeCell ref="M1024:M1028"/>
    <mergeCell ref="N1024:N1028"/>
    <mergeCell ref="O1024:O1028"/>
    <mergeCell ref="P1024:P1028"/>
    <mergeCell ref="Q1024:Q1028"/>
    <mergeCell ref="F1024:F1028"/>
    <mergeCell ref="G1024:G1028"/>
    <mergeCell ref="H1024:H1028"/>
    <mergeCell ref="N1130:N1134"/>
    <mergeCell ref="O1130:O1134"/>
    <mergeCell ref="P1130:P1134"/>
    <mergeCell ref="Q1130:Q1134"/>
    <mergeCell ref="F1130:F1134"/>
    <mergeCell ref="G1130:G1134"/>
    <mergeCell ref="H1130:H1134"/>
    <mergeCell ref="I1130:I1134"/>
    <mergeCell ref="J1130:J1134"/>
    <mergeCell ref="K1130:K1134"/>
    <mergeCell ref="L1130:L1134"/>
    <mergeCell ref="M1090:M1094"/>
    <mergeCell ref="N1090:N1094"/>
    <mergeCell ref="O1090:O1094"/>
    <mergeCell ref="P1090:P1094"/>
    <mergeCell ref="Q1090:Q1094"/>
    <mergeCell ref="F1090:F1094"/>
    <mergeCell ref="G1090:G1094"/>
    <mergeCell ref="H1090:H1094"/>
    <mergeCell ref="I1090:I1094"/>
    <mergeCell ref="J1090:J1094"/>
    <mergeCell ref="K1090:K1094"/>
    <mergeCell ref="L1090:L1094"/>
    <mergeCell ref="M1095:M1099"/>
    <mergeCell ref="N1095:N1099"/>
    <mergeCell ref="O1095:O1099"/>
    <mergeCell ref="P1095:P1099"/>
    <mergeCell ref="Q1125:Q1129"/>
    <mergeCell ref="F1125:F1129"/>
    <mergeCell ref="G1125:G1129"/>
    <mergeCell ref="H1125:H1129"/>
    <mergeCell ref="I1125:I1129"/>
    <mergeCell ref="Q1095:Q1099"/>
    <mergeCell ref="F1095:F1099"/>
    <mergeCell ref="G1095:G1099"/>
    <mergeCell ref="H1095:H1099"/>
    <mergeCell ref="I1095:I1099"/>
    <mergeCell ref="J1095:J1099"/>
    <mergeCell ref="K1095:K1099"/>
    <mergeCell ref="L1095:L1099"/>
    <mergeCell ref="M1100:M1104"/>
    <mergeCell ref="N1100:N1104"/>
    <mergeCell ref="O1100:O1104"/>
    <mergeCell ref="P1100:P1104"/>
    <mergeCell ref="Q1100:Q1104"/>
    <mergeCell ref="F1100:F1104"/>
    <mergeCell ref="G1100:G1104"/>
    <mergeCell ref="H1100:H1104"/>
    <mergeCell ref="I1100:I1104"/>
    <mergeCell ref="J1100:J1104"/>
    <mergeCell ref="K1100:K1104"/>
    <mergeCell ref="L1100:L1104"/>
    <mergeCell ref="N1105:N1109"/>
    <mergeCell ref="O1105:O1109"/>
    <mergeCell ref="P1105:P1109"/>
    <mergeCell ref="Q1105:Q1109"/>
    <mergeCell ref="F1105:F1109"/>
    <mergeCell ref="G1105:G1109"/>
    <mergeCell ref="H1105:H1109"/>
    <mergeCell ref="I1105:I1109"/>
    <mergeCell ref="J1105:J1109"/>
    <mergeCell ref="K1105:K1109"/>
    <mergeCell ref="L1105:L1109"/>
    <mergeCell ref="M1110:M1114"/>
    <mergeCell ref="N1110:N1114"/>
    <mergeCell ref="O1110:O1114"/>
    <mergeCell ref="P1110:P1114"/>
    <mergeCell ref="Q1110:Q1114"/>
    <mergeCell ref="F1110:F1114"/>
    <mergeCell ref="G1110:G1114"/>
    <mergeCell ref="H1110:H1114"/>
    <mergeCell ref="I1110:I1114"/>
    <mergeCell ref="J1110:J1114"/>
    <mergeCell ref="K1110:K1114"/>
    <mergeCell ref="L1110:L1114"/>
    <mergeCell ref="F1115:F1119"/>
    <mergeCell ref="G1115:G1119"/>
    <mergeCell ref="H1115:H1119"/>
    <mergeCell ref="I1115:I1119"/>
    <mergeCell ref="J1115:J1119"/>
    <mergeCell ref="K1115:K1119"/>
    <mergeCell ref="L1115:L1119"/>
    <mergeCell ref="M1120:M1124"/>
    <mergeCell ref="N1120:N1124"/>
    <mergeCell ref="O1120:O1124"/>
    <mergeCell ref="P1120:P1124"/>
    <mergeCell ref="Q1120:Q1124"/>
    <mergeCell ref="F1120:F1124"/>
    <mergeCell ref="G1120:G1124"/>
    <mergeCell ref="H1120:H1124"/>
    <mergeCell ref="I1120:I1124"/>
    <mergeCell ref="J1120:J1124"/>
    <mergeCell ref="K1120:K1124"/>
    <mergeCell ref="L1120:L1124"/>
    <mergeCell ref="N1064:N1068"/>
    <mergeCell ref="O1064:O1068"/>
    <mergeCell ref="P1064:P1068"/>
    <mergeCell ref="Q1064:Q1068"/>
    <mergeCell ref="F1064:F1068"/>
    <mergeCell ref="G1064:G1068"/>
    <mergeCell ref="H1064:H1068"/>
    <mergeCell ref="I1064:I1068"/>
    <mergeCell ref="J1064:J1068"/>
    <mergeCell ref="K1064:K1068"/>
    <mergeCell ref="L1064:L1068"/>
    <mergeCell ref="M1059:M1063"/>
    <mergeCell ref="N1059:N1063"/>
    <mergeCell ref="O1059:O1063"/>
    <mergeCell ref="P1059:P1063"/>
    <mergeCell ref="Q1059:Q1063"/>
    <mergeCell ref="F1059:F1063"/>
    <mergeCell ref="G1059:G1063"/>
    <mergeCell ref="H1059:H1063"/>
    <mergeCell ref="I1059:I1063"/>
    <mergeCell ref="J1059:J1063"/>
    <mergeCell ref="N1069:N1073"/>
    <mergeCell ref="O1069:O1073"/>
    <mergeCell ref="P1069:P1073"/>
    <mergeCell ref="Q1069:Q1073"/>
    <mergeCell ref="F1069:F1073"/>
    <mergeCell ref="G1069:G1073"/>
    <mergeCell ref="H1069:H1073"/>
    <mergeCell ref="I1069:I1073"/>
    <mergeCell ref="J1069:J1073"/>
    <mergeCell ref="K1069:K1073"/>
    <mergeCell ref="L1069:L1073"/>
    <mergeCell ref="M1074:M1078"/>
    <mergeCell ref="N1074:N1078"/>
    <mergeCell ref="O1074:O1078"/>
    <mergeCell ref="P1074:P1078"/>
    <mergeCell ref="Q1074:Q1078"/>
    <mergeCell ref="F1074:F1078"/>
    <mergeCell ref="G1074:G1078"/>
    <mergeCell ref="H1074:H1078"/>
    <mergeCell ref="I1074:I1078"/>
    <mergeCell ref="J1074:J1078"/>
    <mergeCell ref="K1074:K1078"/>
    <mergeCell ref="L1074:L1078"/>
    <mergeCell ref="N1079:N1083"/>
    <mergeCell ref="O1079:O1083"/>
    <mergeCell ref="P1079:P1083"/>
    <mergeCell ref="Q1079:Q1083"/>
    <mergeCell ref="F1079:F1083"/>
    <mergeCell ref="G1079:G1083"/>
    <mergeCell ref="H1079:H1083"/>
    <mergeCell ref="I1079:I1083"/>
    <mergeCell ref="J1079:J1083"/>
    <mergeCell ref="K1079:K1083"/>
    <mergeCell ref="L1079:L1083"/>
    <mergeCell ref="M1085:M1089"/>
    <mergeCell ref="N1085:N1089"/>
    <mergeCell ref="O1085:O1089"/>
    <mergeCell ref="P1085:P1089"/>
    <mergeCell ref="Q1085:Q1089"/>
    <mergeCell ref="F1085:F1089"/>
    <mergeCell ref="G1085:G1089"/>
    <mergeCell ref="H1085:H1089"/>
    <mergeCell ref="I1085:I1089"/>
    <mergeCell ref="J1085:J1089"/>
    <mergeCell ref="K1085:K1089"/>
    <mergeCell ref="L1085:L1089"/>
    <mergeCell ref="P1145:P1149"/>
    <mergeCell ref="Q1145:Q1149"/>
    <mergeCell ref="F1145:F1149"/>
    <mergeCell ref="G1145:G1149"/>
    <mergeCell ref="H1145:H1149"/>
    <mergeCell ref="I1145:I1149"/>
    <mergeCell ref="J1145:J1149"/>
    <mergeCell ref="K1145:K1149"/>
    <mergeCell ref="L1145:L1149"/>
    <mergeCell ref="D1130:D1134"/>
    <mergeCell ref="E1130:E1134"/>
    <mergeCell ref="C1135:C1139"/>
    <mergeCell ref="D1105:D1109"/>
    <mergeCell ref="E1105:E1109"/>
    <mergeCell ref="C1095:C1099"/>
    <mergeCell ref="D1095:D1099"/>
    <mergeCell ref="E1095:E1099"/>
    <mergeCell ref="C1100:C1104"/>
    <mergeCell ref="D1100:D1104"/>
    <mergeCell ref="E1100:E1104"/>
    <mergeCell ref="C1105:C1109"/>
    <mergeCell ref="C1110:C1114"/>
    <mergeCell ref="D1110:D1114"/>
    <mergeCell ref="E1110:E1114"/>
    <mergeCell ref="C1115:C1119"/>
    <mergeCell ref="D1115:D1119"/>
    <mergeCell ref="E1115:E1119"/>
    <mergeCell ref="C1120:C1124"/>
    <mergeCell ref="D1135:D1139"/>
    <mergeCell ref="E1135:E1139"/>
    <mergeCell ref="P1115:P1119"/>
    <mergeCell ref="Q1115:Q1119"/>
    <mergeCell ref="N1135:N1139"/>
    <mergeCell ref="O1135:O1139"/>
    <mergeCell ref="P1135:P1139"/>
    <mergeCell ref="Q1135:Q1139"/>
    <mergeCell ref="K1135:K1139"/>
    <mergeCell ref="M1115:M1119"/>
    <mergeCell ref="N1115:N1119"/>
    <mergeCell ref="O1115:O1119"/>
    <mergeCell ref="C1140:C1144"/>
    <mergeCell ref="D1140:D1144"/>
    <mergeCell ref="E1140:E1144"/>
    <mergeCell ref="C1145:C1149"/>
    <mergeCell ref="D1145:D1149"/>
    <mergeCell ref="E1145:E1149"/>
    <mergeCell ref="C1150:C1154"/>
    <mergeCell ref="K1140:K1144"/>
    <mergeCell ref="L1140:L1144"/>
    <mergeCell ref="M1140:M1144"/>
    <mergeCell ref="N1140:N1144"/>
    <mergeCell ref="O1140:O1144"/>
    <mergeCell ref="P1140:P1144"/>
    <mergeCell ref="Q1140:Q1144"/>
    <mergeCell ref="K1150:K1154"/>
    <mergeCell ref="L1150:L1154"/>
    <mergeCell ref="F1140:F1144"/>
    <mergeCell ref="G1140:G1144"/>
    <mergeCell ref="H1140:H1144"/>
    <mergeCell ref="I1140:I1144"/>
    <mergeCell ref="J1140:J1144"/>
    <mergeCell ref="M1145:M1149"/>
    <mergeCell ref="N1145:N1149"/>
    <mergeCell ref="O1145:O1149"/>
    <mergeCell ref="C1155:C1159"/>
    <mergeCell ref="D1155:D1159"/>
    <mergeCell ref="E1155:E1159"/>
    <mergeCell ref="D1150:D1154"/>
    <mergeCell ref="E1150:E1154"/>
    <mergeCell ref="F1155:F1159"/>
    <mergeCell ref="G1155:G1159"/>
    <mergeCell ref="H1155:H1159"/>
    <mergeCell ref="I1155:I1159"/>
    <mergeCell ref="J1155:J1159"/>
    <mergeCell ref="M1161:M1165"/>
    <mergeCell ref="N1161:N1165"/>
    <mergeCell ref="O1161:O1165"/>
    <mergeCell ref="P1161:P1165"/>
    <mergeCell ref="Q1161:Q1165"/>
    <mergeCell ref="F1161:F1165"/>
    <mergeCell ref="G1161:G1165"/>
    <mergeCell ref="H1161:H1165"/>
    <mergeCell ref="I1161:I1165"/>
    <mergeCell ref="J1161:J1165"/>
    <mergeCell ref="K1161:K1165"/>
    <mergeCell ref="L1161:L1165"/>
    <mergeCell ref="M1150:M1154"/>
    <mergeCell ref="N1150:N1154"/>
    <mergeCell ref="O1150:O1154"/>
    <mergeCell ref="P1150:P1154"/>
    <mergeCell ref="Q1150:Q1154"/>
    <mergeCell ref="F1150:F1154"/>
    <mergeCell ref="G1150:G1154"/>
    <mergeCell ref="H1150:H1154"/>
    <mergeCell ref="I1150:I1154"/>
    <mergeCell ref="J1150:J1154"/>
    <mergeCell ref="D1161:D1165"/>
    <mergeCell ref="J1171:J1175"/>
    <mergeCell ref="M1176:M1180"/>
    <mergeCell ref="N1176:N1180"/>
    <mergeCell ref="O1176:O1180"/>
    <mergeCell ref="P1176:P1180"/>
    <mergeCell ref="Q1176:Q1180"/>
    <mergeCell ref="F1176:F1180"/>
    <mergeCell ref="G1176:G1180"/>
    <mergeCell ref="H1176:H1180"/>
    <mergeCell ref="I1176:I1180"/>
    <mergeCell ref="J1176:J1180"/>
    <mergeCell ref="K1176:K1180"/>
    <mergeCell ref="L1176:L1180"/>
    <mergeCell ref="E1161:E1165"/>
    <mergeCell ref="C1166:C1170"/>
    <mergeCell ref="K1155:K1159"/>
    <mergeCell ref="L1155:L1159"/>
    <mergeCell ref="M1155:M1159"/>
    <mergeCell ref="N1155:N1159"/>
    <mergeCell ref="O1155:O1159"/>
    <mergeCell ref="P1155:P1159"/>
    <mergeCell ref="Q1155:Q1159"/>
    <mergeCell ref="D1166:D1170"/>
    <mergeCell ref="E1166:E1170"/>
    <mergeCell ref="M1166:M1170"/>
    <mergeCell ref="N1166:N1170"/>
    <mergeCell ref="O1166:O1170"/>
    <mergeCell ref="C1161:C1165"/>
    <mergeCell ref="P1166:P1170"/>
    <mergeCell ref="Q1166:Q1170"/>
    <mergeCell ref="F1166:F1170"/>
    <mergeCell ref="N1181:N1185"/>
    <mergeCell ref="O1181:O1185"/>
    <mergeCell ref="P1181:P1185"/>
    <mergeCell ref="Q1181:Q1185"/>
    <mergeCell ref="F1181:F1185"/>
    <mergeCell ref="G1181:G1185"/>
    <mergeCell ref="H1181:H1185"/>
    <mergeCell ref="I1181:I1185"/>
    <mergeCell ref="J1181:J1185"/>
    <mergeCell ref="K1181:K1185"/>
    <mergeCell ref="L1181:L1185"/>
    <mergeCell ref="K1171:K1175"/>
    <mergeCell ref="L1171:L1175"/>
    <mergeCell ref="M1171:M1175"/>
    <mergeCell ref="N1171:N1175"/>
    <mergeCell ref="O1171:O1175"/>
    <mergeCell ref="P1171:P1175"/>
    <mergeCell ref="Q1171:Q1175"/>
    <mergeCell ref="F1171:F1175"/>
    <mergeCell ref="G1171:G1175"/>
    <mergeCell ref="H1171:H1175"/>
    <mergeCell ref="I1171:I1175"/>
    <mergeCell ref="M19:M23"/>
    <mergeCell ref="M24:M28"/>
    <mergeCell ref="M83:M87"/>
    <mergeCell ref="M88:M92"/>
    <mergeCell ref="M93:M97"/>
    <mergeCell ref="M98:M102"/>
    <mergeCell ref="M103:M107"/>
    <mergeCell ref="M108:M112"/>
    <mergeCell ref="M113:M117"/>
    <mergeCell ref="M118:M122"/>
    <mergeCell ref="G1166:G1170"/>
    <mergeCell ref="H1166:H1170"/>
    <mergeCell ref="I1166:I1170"/>
    <mergeCell ref="J1166:J1170"/>
    <mergeCell ref="K1166:K1170"/>
    <mergeCell ref="L1166:L1170"/>
    <mergeCell ref="M1181:M1185"/>
    <mergeCell ref="L1135:L1139"/>
    <mergeCell ref="M1135:M1139"/>
    <mergeCell ref="M1079:M1083"/>
    <mergeCell ref="M1069:M1073"/>
    <mergeCell ref="M1064:M1068"/>
    <mergeCell ref="M1105:M1109"/>
    <mergeCell ref="I1029:I1033"/>
    <mergeCell ref="J1029:J1033"/>
    <mergeCell ref="K1029:K1033"/>
    <mergeCell ref="L1029:L1033"/>
    <mergeCell ref="M1130:M1134"/>
    <mergeCell ref="J1125:J1129"/>
    <mergeCell ref="K1125:K1129"/>
    <mergeCell ref="L1125:L1129"/>
    <mergeCell ref="M1019:M1023"/>
    <mergeCell ref="AG296:AG300"/>
    <mergeCell ref="AG301:AG305"/>
    <mergeCell ref="AG367:AG371"/>
    <mergeCell ref="AG362:AG366"/>
    <mergeCell ref="AG357:AG361"/>
    <mergeCell ref="AG352:AG356"/>
    <mergeCell ref="AG347:AG351"/>
    <mergeCell ref="AG342:AG346"/>
    <mergeCell ref="AG337:AG341"/>
    <mergeCell ref="AG332:AG336"/>
    <mergeCell ref="AG327:AG331"/>
    <mergeCell ref="AG322:AG326"/>
    <mergeCell ref="AG317:AG321"/>
    <mergeCell ref="AG312:AG316"/>
    <mergeCell ref="A383:A470"/>
    <mergeCell ref="AG406:AG410"/>
    <mergeCell ref="AG401:AG405"/>
    <mergeCell ref="AG421:AG425"/>
    <mergeCell ref="AG426:AG430"/>
    <mergeCell ref="AG431:AG435"/>
    <mergeCell ref="AG436:AG440"/>
    <mergeCell ref="AG441:AG445"/>
    <mergeCell ref="AG446:AG450"/>
    <mergeCell ref="AG451:AG455"/>
    <mergeCell ref="AG456:AG460"/>
    <mergeCell ref="AG461:AG465"/>
    <mergeCell ref="AG383:AG400"/>
    <mergeCell ref="O436:O440"/>
    <mergeCell ref="P436:P440"/>
    <mergeCell ref="O421:O425"/>
    <mergeCell ref="P421:P425"/>
    <mergeCell ref="Q421:Q425"/>
    <mergeCell ref="AG472:AG476"/>
    <mergeCell ref="AG477:AG481"/>
    <mergeCell ref="AG482:AG486"/>
    <mergeCell ref="AG487:AG491"/>
    <mergeCell ref="AG502:AG506"/>
    <mergeCell ref="AG507:AG511"/>
    <mergeCell ref="AG512:AG516"/>
    <mergeCell ref="AG517:AG521"/>
    <mergeCell ref="AG522:AG526"/>
    <mergeCell ref="AG527:AG531"/>
    <mergeCell ref="AG532:AG536"/>
    <mergeCell ref="AG537:AG541"/>
    <mergeCell ref="AG542:AG546"/>
    <mergeCell ref="AG547:AG551"/>
    <mergeCell ref="AG613:AG617"/>
    <mergeCell ref="AG608:AG612"/>
    <mergeCell ref="AG603:AG607"/>
    <mergeCell ref="AG598:AG602"/>
    <mergeCell ref="AG593:AG597"/>
    <mergeCell ref="AG588:AG592"/>
    <mergeCell ref="AG583:AG587"/>
    <mergeCell ref="AG578:AG582"/>
    <mergeCell ref="AG573:AG577"/>
    <mergeCell ref="AG568:AG572"/>
    <mergeCell ref="AG563:AG567"/>
    <mergeCell ref="AG558:AG562"/>
    <mergeCell ref="AG689:AG693"/>
    <mergeCell ref="AG684:AG688"/>
    <mergeCell ref="AG679:AG683"/>
    <mergeCell ref="AG674:AG678"/>
    <mergeCell ref="AG669:AG673"/>
    <mergeCell ref="AG664:AG668"/>
    <mergeCell ref="AG659:AG663"/>
    <mergeCell ref="AG654:AG658"/>
    <mergeCell ref="AG649:AG653"/>
    <mergeCell ref="AG644:AG648"/>
    <mergeCell ref="AG639:AG643"/>
    <mergeCell ref="AG634:AG638"/>
    <mergeCell ref="AG710:AG714"/>
    <mergeCell ref="AG715:AG719"/>
    <mergeCell ref="AG720:AG724"/>
    <mergeCell ref="AG725:AG729"/>
    <mergeCell ref="AG730:AG734"/>
    <mergeCell ref="AG735:AG739"/>
    <mergeCell ref="AG740:AG744"/>
    <mergeCell ref="AG745:AG749"/>
    <mergeCell ref="AG750:AG754"/>
    <mergeCell ref="AG755:AG759"/>
    <mergeCell ref="AG760:AG764"/>
    <mergeCell ref="AG765:AG769"/>
    <mergeCell ref="AG786:AG790"/>
    <mergeCell ref="AG791:AG795"/>
    <mergeCell ref="AG796:AG800"/>
    <mergeCell ref="AG801:AG805"/>
    <mergeCell ref="AG806:AG810"/>
    <mergeCell ref="AG811:AG815"/>
    <mergeCell ref="AG816:AG820"/>
    <mergeCell ref="AG821:AG825"/>
    <mergeCell ref="AG826:AG830"/>
    <mergeCell ref="AG831:AG835"/>
    <mergeCell ref="AG781:AG785"/>
    <mergeCell ref="AG963:AG967"/>
    <mergeCell ref="AG968:AG972"/>
    <mergeCell ref="AG973:AG977"/>
    <mergeCell ref="AG978:AG982"/>
    <mergeCell ref="AG983:AG987"/>
    <mergeCell ref="AG988:AG992"/>
    <mergeCell ref="AG993:AG997"/>
    <mergeCell ref="AG998:AG1002"/>
    <mergeCell ref="AG1003:AG1007"/>
    <mergeCell ref="AG1014:AG1018"/>
    <mergeCell ref="AG1019:AG1023"/>
    <mergeCell ref="AG1024:AG1028"/>
    <mergeCell ref="AG1029:AG1033"/>
    <mergeCell ref="AG1034:AG1038"/>
    <mergeCell ref="AG1039:AG1043"/>
    <mergeCell ref="AG1044:AG1048"/>
    <mergeCell ref="AG1049:AG1053"/>
    <mergeCell ref="AG1171:AG1175"/>
    <mergeCell ref="AG1176:AG1180"/>
    <mergeCell ref="AG1181:AG1185"/>
    <mergeCell ref="AG1186:AG1190"/>
    <mergeCell ref="AG1191:AG1195"/>
    <mergeCell ref="AG1196:AG1200"/>
    <mergeCell ref="AG1201:AG1205"/>
    <mergeCell ref="AG1054:AG1058"/>
    <mergeCell ref="AG1059:AG1063"/>
    <mergeCell ref="AG1064:AG1068"/>
    <mergeCell ref="AG1069:AG1073"/>
    <mergeCell ref="AG1090:AG1094"/>
    <mergeCell ref="AG1095:AG1099"/>
    <mergeCell ref="AG1100:AG1104"/>
    <mergeCell ref="AG1105:AG1109"/>
    <mergeCell ref="AG1110:AG1114"/>
    <mergeCell ref="AG1115:AG1119"/>
    <mergeCell ref="AG1120:AG1124"/>
    <mergeCell ref="AG1125:AG1129"/>
    <mergeCell ref="AG1130:AG1134"/>
    <mergeCell ref="AG1135:AG1139"/>
    <mergeCell ref="AG1140:AG1144"/>
    <mergeCell ref="AG1145:AG1149"/>
    <mergeCell ref="AG1166:AG1170"/>
  </mergeCells>
  <dataValidations count="5">
    <dataValidation type="list" allowBlank="1" showErrorMessage="1" sqref="E14 E19 E24 E29 E83 E88 E93 E98 E103 E108 E113 E118 E129 E134 E139 E144 E149 E154 E159 E164 E169 E174 E179 E184 E189 E194 E199 E210 E215 E220 E225 E230 E235 E240 E245 E250 E255 E260 E271 E276 E281 E286 E291 E296 E312 E317 E327 E332 E362 E377 E401 E406 E416 E421 E451 E466 E477 E482 E502 E532 E547 E558 E563 E573 E578 E608 E623 E634 E639 E649 E654 E684 E699 E710 E715 E725 E730 E760 E775 E786 E791 E801 E806 E836 E851 E862 E867 E877 E882 E912 E927 E938 E943 E953 E958 E988 E1003 E1014 E1019 E1029 E1034 E1064 E1079 E1090 E1095 E1105 E1110 E1140 E1155 E1166 E1171 E1181 E1186 E1216 E1231" xr:uid="{00000000-0002-0000-1800-000000000000}">
      <formula1>INDIRECT($D14)</formula1>
    </dataValidation>
    <dataValidation type="list" allowBlank="1" showInputMessage="1" showErrorMessage="1" prompt="Orientación: - Escoja un Lineamiento Estratégico de la lista despegable." sqref="E9 E124 E205 E266 E307 E322 E337 E342 E347 E352 E357 E367 E372 E383 E411 E426 E431 E436 E441 E446 E456 E461 E472 E487 E492 E507 E512 E517 E522 E527 E537 E542 E553 E568 E583 E588 E593 E598 E603 E613 E618 E629 E644 E659 E664 E669 E674 E679 E689 E694 E705 E720 E735 E740 E745 E750 E755 E765 E770 E781 E796 E811 E816 E821 E826 E831 E841 E846 E857 E872 E887 E892 E897 E902 E907 E917 E922 E933 E948 E963 E968 E973 E978 E983 E993 E998 E1009 E1024 E1039 E1044 E1049 E1054 E1059 E1069 E1074 E1085 E1100 E1115 E1120 E1125 E1130 E1135 E1145 E1150 E1161 E1176 E1191 E1196 E1201 E1206 E1211 E1221 E1226" xr:uid="{00000000-0002-0000-1800-000001000000}">
      <formula1>INDIRECT($D9)</formula1>
    </dataValidation>
    <dataValidation type="list" allowBlank="1" showInputMessage="1" showErrorMessage="1" prompt="Orientación: - Escoja un Eje Estratégico de la lista despegable." sqref="D9 D124 D205 D266 D307 D322 D337 D342 D347 D352 D357 D367 D372 D383 D411 D426 D431 D436 D441 D446 D456 D461 D472 D487 D492 D507 D512 D517 D522 D527 D537 D542 D553 D568 D583 D588 D593 D598 D603 D613 D618 D629 D644 D659 D664 D669 D674 D679 D689 D694 D705 D720 D735 D740 D745 D750 D755 D765 D770 D781 D796 D811 D816 D821 D826 D831 D841 D846 D857 D872 D887 D892 D897 D902 D907 D917 D922 D933 D948 D963 D968 D973 D978 D983 D993 D998 D1009 D1024 D1039 D1044 D1049 D1054 D1059 D1069 D1074 D1085 D1100 D1115 D1120 D1125 D1130 D1135 D1145 D1150 D1161 D1176 D1191 D1196 D1201 D1206 D1211 D1221 D1226" xr:uid="{00000000-0002-0000-1800-000002000000}">
      <formula1>INDIRECT($F9)</formula1>
    </dataValidation>
    <dataValidation type="list" allowBlank="1" showErrorMessage="1" sqref="D14 D19 D24 D29 D83 D88 D93 D98 D103 D108 D113 D118 D129 D134 D139 D144 D149 D154 D159 D164 D169 D174 D179 D184 D189 D194 D199 D210 D215 D220 D225 D230 D235 D240 D245 D250 D255 D260 D271 D276 D281 D286 D291 D296 D301 D312 D317 D327 D332 D362 D377 D401 D406 D416 D421 D451 D466 D477 D482 D502 D532 D547 D558 D563 D573 D578 D608 D623 D634 D639 D649 D654 D684 D699 D710 D715 D725 D730 D760 D775 D786 D791 D801 D806 D836 D851 D862 D867 D877 D882 D912 D927 D938 D943 D953 D958 D988 D1003 D1014 D1019 D1029 D1034 D1064 D1079 D1090 D1095 D1105 D1110 D1140 D1155 D1166 D1171 D1181 D1186 D1216 D1231" xr:uid="{00000000-0002-0000-1800-000003000000}">
      <formula1>INDIRECT($F14)</formula1>
    </dataValidation>
    <dataValidation type="decimal" allowBlank="1" showInputMessage="1" showErrorMessage="1" prompt="DPLAN - Sólo debe ingresar valores, NO porcentajes." sqref="L1161:N1161 L29:N29 L124:N124 L144:N144 L149:N149 L154:N154 L164:N164 L169:N169 L179:N179 L184:N184 L189:N189 L194:N194 L199:N199 L205:N205 L225:N225 L230:N230 L240:N240 L255:N255 L260:N260 L286:N286 L291:N291 L307:N307 L383:N383 L472:N472 L492:N492 L553:N553 L629:N629 L705:N705 L781:N781 L857:N857 L933:N933 L1009:N1009 L1085:N1085 L9:N9 L83:N83 L93:N93 L98:N98 L108:N108 L113:N113 L118:N118" xr:uid="{00000000-0002-0000-18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&amp;LFacultad de Ciencias Sociales&amp;C&amp;P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r:uid="{00000000-0002-0000-1800-000005000000}">
          <x14:formula1>
            <xm:f>'https://utmachalaeduec-my.sharepoint.com/personal/planificacion_utmachala_edu_ec/Documents/Gestión 2023/G.06 EMISION DE INSUMOS PARA ELAB. DE LA PROF, PRESUPUESTARIA Y SUS REFORMAS/REFORMA N° 002-2023/[PEDI]PEDI'!#REF!</xm:f>
          </x14:formula1>
          <xm:sqref>F9 F124 F205 F266 F307 F322 F337 F342 F347 F352 F357 F367 F372 F383 F411 F426 F431 F436 F441 F446 F456 F461 F472 F487 F492 F507 F512 F517 F522 F527 F537 F542 F553 F568 F583 F588 F593 F598 F603 F613 F618 F629 F644 F659 F664 F669 F674 F679 F689 F694 F705 F720 F735 F740 F745 F750 F755 F765 F770 F781 F796 F811 F816 F821 F826 F831 F841 F846 F857 F872 F887 F892 F897 F902 F907 F917 F922 F933 F948 F963 F968 F973 F978 F983 F993 F998 F1009 F1024 F1039 F1044 F1049 F1054 F1059 F1069 F1074 F1085 F1100 F1115 F1120 F1125 F1130 F1135 F1145 F1150 F1161 F1176 F1191 F1196 F1201 F1206 F1211 F1221 F1226</xm:sqref>
        </x14:dataValidation>
        <x14:dataValidation type="list" allowBlank="1" showInputMessage="1" showErrorMessage="1" prompt="Orientación: - Escoja una Estrategia DAFO de la lista despegable." xr:uid="{00000000-0002-0000-18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H9 H124 H205 H266 H307 H322 H337 H342 H347 H352 H357 H367 H383 H411 H426 H431 H436 H441 H446 H456 H472 H487 H492 H507 H512 H517 H522 H527 H537 H553 H568 H583 H588 H593 H598 H603 H613 H629 H644 H659 H664 H669 H674 H679 H689 H705 H720 H735 H740 H745 H750 H755 H765 H781 H796 H811 H816 H821 H826 H831 H841 H857 H872 H887 H892 H897 H902 H907 H917 H933 H948 H963 H968 H973 H978 H983 H993 H1009 H1024 H1039 H1044 H1049 H1054 H1059 H1069 H1085 H1100 H1115 H1120 H1125 H1130 H1135 H1145 H1161 H1176 H1191 H1196 H1201 H1206 H1211 H1221</xm:sqref>
        </x14:dataValidation>
        <x14:dataValidation type="list" allowBlank="1" showInputMessage="1" showErrorMessage="1" prompt="Orientación: - Escoja una Política Pública/Meta Nacional de la lista despegable." xr:uid="{00000000-0002-0000-1800-000007000000}">
          <x14:formula1>
            <xm:f>'https://utmachalaeduec-my.sharepoint.com/personal/planificacion_utmachala_edu_ec/Documents/Gestión 2023/G.06 EMISION DE INSUMOS PARA ELAB. DE LA PROF, PRESUPUESTARIA Y SUS REFORMAS/REFORMA N° 002-2023/[PND]PND'!#REF!</xm:f>
          </x14:formula1>
          <xm:sqref>C9 C124 C205 C266 C307 C322 C337 C342 C347 C352 C357 C367 C372 C383 C411 C426 C431 C436 C441 C446 C456 C461 C472 C487 C492 C507 C512 C517 C522 C527 C537 C542 C553 C568 C583 C588 C593 C598 C603 C613 C618 C629 C644 C659 C664 C669 C674 C679 C689 C694 C705 C720 C735 C740 C745 C750 C755 C765 C770 C781 C796 C811 C816 C821 C826 C831 C841 C846 C857 C872 C887 C892 C897 C902 C907 C917 C922 C933 C948 C963 C968 C973 C978 C983 C993 C998 C1009 C1024 C1039 C1044 C1049 C1054 C1059 C1069 C1074 C1085 C1100 C1115 C1120 C1125 C1130 C1135 C1145 C1150 C1161 C1176 C1191 C1196 C1201 C1206 C1211 C1221 C1226</xm:sqref>
        </x14:dataValidation>
        <x14:dataValidation type="list" allowBlank="1" showErrorMessage="1" xr:uid="{00000000-0002-0000-18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H14 H19 H24 H29 H83 H88 H93 H98 H103 H108 H113 H118 H129 H134 H139 H144 H149 H154 H159 H164 H169 H174 H179 H184 H189 H194 H199 H210 H215 H220 H225 H230 H235 H240 H245 H250 H255 H260 H271 H276 H281 H286 H291 H296 H301 H312 H317 H327 H332 H362 H372 H377 H401 H406 H416 H421 H451 H461 H466 H477 H482 H502 H532 H542 H547 H558 H563 H573 H578 H608 H618 H623 H634 H639 H649 H654 H684 H694 H699 H710 H715 H725 H730 H760 H770 H775 H786 H791 H801 H806 H836 H846 H851 H862 H867 H877 H882 H912 H922 H927 H938 H943 H953 H958 H988 H998 H1003 H1014 H1019 H1029 H1034 H1064 H1074 H1079 H1090 H1095 H1105 H1110 H1140 H1150 H1155 H1166 H1171 H1181 H1186 H1216 H1226 H1231</xm:sqref>
        </x14:dataValidation>
        <x14:dataValidation type="list" allowBlank="1" showErrorMessage="1" xr:uid="{00000000-0002-0000-1800-000009000000}">
          <x14:formula1>
            <xm:f>'https://utmachalaeduec-my.sharepoint.com/personal/planificacion_utmachala_edu_ec/Documents/Gestión 2023/G.06 EMISION DE INSUMOS PARA ELAB. DE LA PROF, PRESUPUESTARIA Y SUS REFORMAS/REFORMA N° 002-2023/[PND]PND'!#REF!</xm:f>
          </x14:formula1>
          <xm:sqref>B14:C14 B19:C19 B24:C24 B29:C29 B83:C83 B88:C88 B93:C93 B98:C98 B103:C103 B108:C108 B113:C113 B118:C118 B129:C129 B134:C134 B139:C139 B144:C144 B149:C149 B154:C154 B159:C159 B164:C164 B169:C169 B174:C174 B179:C179 B184:C184 B189:C189 B194:C194 B199:C199 B210:C210 B215:C215 B220:C220 B225:C225 B230:C230 B235:C235 B240:C240 B245:C245 B250:C250 B255:C255 B260:C260 B271:C271 B276:C276 B281:C281 B286:C286 B291:C291 B296:C296 B301:C301 B312:C312 B317:C317 B327:C327 B332:C332 B362:C362 B377:C377 B401:C401 B406:C406 B416:C416 B421:C421 B451:C451 B466:C466 B477:C477 B482:C482 B502:C502 B532:C532 B547:C547 B558:C558 B563:C563 B573:C573 B578:C578 B608:C608 B623:C623 B634:C634 B639:C639 B649:C649 B654:C654 B684:C684 B699:C699 B710:C710 B715:C715 B725:C725 B730:C730 B760:C760 B775:C775 B786:C786 B791:C791 B801:C801 B806:C806 B836:C836 B851:C851 B862:C862 B867:C867 B877:C877 B882:C882 B912:C912 B927:C927 B938:C938 B943:C943 B953:C953 B958:C958 B988:C988 B1003:C1003 B1014:C1014 B1019:C1019 B1029:C1029 B1034:C1034 B1064:C1064 B1079:C1079 B1090:C1090 B1095:C1095 B1105:C1105 B1110:C1110 B1140:C1140 B1155:C1155 B1166:C1166 B1171:C1171 B1181:C1181 B1186:C1186 B1216:C1216 B1231:C1231</xm:sqref>
        </x14:dataValidation>
        <x14:dataValidation type="list" allowBlank="1" showErrorMessage="1" xr:uid="{00000000-0002-0000-1800-00000A000000}">
          <x14:formula1>
            <xm:f>('https://utmachalaeduec-my.sharepoint.com/personal/planificacion_utmachala_edu_ec/Documents/Gestión 2023/G.06 EMISION DE INSUMOS PARA ELAB. DE LA PROF, PRESUPUESTARIA Y SUS REFORMAS/REFORMA N° 002-2023/[PEDI]PEDI'!#REF!)</xm:f>
          </x14:formula1>
          <xm:sqref>G14 G19 G24 G29 G83 G88 G93 G98 G103 G108 G113 G118 G129 G134 G139 G144 G149 G154 G159 G164 G169 G174 G179 G184 G189 G194 G199 G210 G215 G220 G225 G230 G235 G240 G245 G250 G255 G260 G271 G276 G281 G286 G291 G296 G301 G312 G317 G327 G332 G362 G372 G377 G401 G406 G416 G421 G451 G461 G466 G477 G482 G502 G532 G542 G547 G558 G563 G573 G578 G608 G618 G623 G634 G639 G649 G654 G684 G694 G699 G710 G715 G725 G730 G760 G770 G775 G786 G791 G801 G806 G836 G846 G851 G862 G867 G877 G882 G912 G922 G927 G938 G943 G953 G958 G988 G998 G1003 G1014 G1019 G1029 G1034 G1064 G1074 G1079 G1090 G1095 G1105 G1110 G1140 G1150 G1155 G1166 G1171 G1181 G1186 G1216 G1226 G1231</xm:sqref>
        </x14:dataValidation>
        <x14:dataValidation type="list" allowBlank="1" showInputMessage="1" showErrorMessage="1" prompt="Orientación: - Escoja un Objetivo Nacional de la lista despegable." xr:uid="{00000000-0002-0000-1800-00000B000000}">
          <x14:formula1>
            <xm:f>'https://utmachalaeduec-my.sharepoint.com/personal/planificacion_utmachala_edu_ec/Documents/Gestión 2023/G.06 EMISION DE INSUMOS PARA ELAB. DE LA PROF, PRESUPUESTARIA Y SUS REFORMAS/REFORMA N° 002-2023/[PND]PND'!#REF!</xm:f>
          </x14:formula1>
          <xm:sqref>B9 B124 B205 B266 B307 B322 B337 B342 B347 B352 B357 B367 B372 B383 B411 B426 B431 B436 B441 B446 B456 B461 B472 B487 B492 B507 B512 B517 B522 B527 B537 B542 B553 B568 B583 B588 B593 B598 B603 B613 B618 B629 B644 B659 B664 B669 B674 B679 B689 B694 B705 B720 B735 B740 B745 B750 B755 B765 B770 B781 B796 B811 B816 B821 B826 B831 B841 B846 B857 B872 B887 B892 B897 B902 B907 B917 B922 B933 B948 B963 B968 B973 B978 B983 B993 B998 B1009 B1024 B1039 B1044 B1049 B1054 B1059 B1069 B1074 B1085 B1100 B1115 B1120 B1125 B1130 B1135 B1145 B1150 B1161 B1176 B1191 B1196 B1201 B1206 B1211 B1221 B1226</xm:sqref>
        </x14:dataValidation>
        <x14:dataValidation type="list" allowBlank="1" showErrorMessage="1" xr:uid="{00000000-0002-0000-1800-00000C000000}">
          <x14:formula1>
            <xm:f>'https://utmachalaeduec-my.sharepoint.com/personal/planificacion_utmachala_edu_ec/Documents/Gestión 2023/G.06 EMISION DE INSUMOS PARA ELAB. DE LA PROF, PRESUPUESTARIA Y SUS REFORMAS/REFORMA N° 002-2023/[PEDI]PEDI'!#REF!</xm:f>
          </x14:formula1>
          <xm:sqref>F14 F19 F24 F29 F83 F88 F93 F98 F103 F108 F113 F118 F129 F134 F139 F144 F149 F154 F159 F164 F169 F174 F179 F184 F189 F194 F199 F210 F215 F220 F225 F230 F235 F240 F245 F250 F255 F260 F271 F276 F281 F286 F291 F296 F301 F312 F317 F327 F332 F362 F377 F401 F406 F416 F421 F451 F466 F477 F482 F502 F532 F547 F558 F563 F573 F578 F608 F623 F634 F639 F649 F654 F684 F699 F710 F715 F725 F730 F760 F775 F786 F791 F801 F806 F836 F851 F862 F867 F877 F882 F912 F927 F938 F943 F953 F958 F988 F1003 F1014 F1019 F1029 F1034 F1064 F1079 F1090 F1095 F1105 F1110 F1140 F1155 F1166 F1171 F1181 F1186 F1216 F1231</xm:sqref>
        </x14:dataValidation>
        <x14:dataValidation type="list" allowBlank="1" showInputMessage="1" showErrorMessage="1" prompt="Orientación: - Escoja un Producto Institucional de la lista despegable." xr:uid="{00000000-0002-0000-1800-00000D000000}">
          <x14:formula1>
            <xm:f>('https://utmachalaeduec-my.sharepoint.com/personal/planificacion_utmachala_edu_ec/Documents/Gestión 2023/G.06 EMISION DE INSUMOS PARA ELAB. DE LA PROF, PRESUPUESTARIA Y SUS REFORMAS/REFORMA N° 002-2023/[PEDI]PEDI'!#REF!)</xm:f>
          </x14:formula1>
          <xm:sqref>G9 G124 G205 G266 G307 G322 G337 G342 G347 G352 G357 G367 G383 G411 G426 G431 G436 G441 G446 G456 G472 G487 G492 G507 G512 G517 G522 G527 G537 G553 G568 G583 G588 G593 G598 G603 G613 G629 G644 G659 G664 G669 G674 G679 G689 G705 G720 G735 G740 G745 G750 G755 G765 G781 G796 G811 G816 G821 G826 G831 G841 G857 G872 G887 G892 G897 G902 G907 G917 G933 G948 G963 G968 G973 G978 G983 G993 G1009 G1024 G1039 G1044 G1049 G1054 G1059 G1069 G1085 G1100 G1115 G1120 G1125 G1130 G1135 G1145 G1161 G1176 G1191 G1196 G1201 G1206 G1211 G1221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E36C09"/>
  </sheetPr>
  <dimension ref="A1:AG419"/>
  <sheetViews>
    <sheetView showGridLines="0" topLeftCell="R388" zoomScaleNormal="100" workbookViewId="0">
      <selection activeCell="Y398" sqref="Y398"/>
    </sheetView>
  </sheetViews>
  <sheetFormatPr baseColWidth="10" defaultColWidth="12.7109375" defaultRowHeight="15.75" customHeight="1"/>
  <cols>
    <col min="1" max="1" width="4.85546875" style="1429" customWidth="1"/>
    <col min="2" max="5" width="25.7109375" style="1429" customWidth="1"/>
    <col min="6" max="6" width="26.7109375" style="1429" customWidth="1"/>
    <col min="7" max="11" width="25.7109375" style="1429" customWidth="1"/>
    <col min="12" max="14" width="8.7109375" style="1429" customWidth="1"/>
    <col min="15" max="17" width="25.7109375" style="1429" customWidth="1"/>
    <col min="18" max="18" width="22.7109375" style="1429" customWidth="1"/>
    <col min="19" max="20" width="18.7109375" style="1429" customWidth="1"/>
    <col min="21" max="21" width="40.7109375" style="1429" customWidth="1"/>
    <col min="22" max="22" width="17.28515625" style="1429" customWidth="1"/>
    <col min="23" max="24" width="12.7109375" style="1429" customWidth="1"/>
    <col min="25" max="25" width="17.7109375" style="1429" bestFit="1" customWidth="1"/>
    <col min="26" max="26" width="16.7109375" style="1429" bestFit="1" customWidth="1"/>
    <col min="27" max="27" width="18.42578125" style="1429" bestFit="1" customWidth="1"/>
    <col min="28" max="28" width="12.140625" style="1473" customWidth="1"/>
    <col min="29" max="29" width="10.28515625" style="1473" customWidth="1"/>
    <col min="30" max="32" width="8.7109375" style="1429" customWidth="1"/>
    <col min="33" max="33" width="19.7109375" style="1429" customWidth="1"/>
    <col min="34" max="16384" width="12.7109375" style="1429"/>
  </cols>
  <sheetData>
    <row r="1" spans="1:33" ht="39.75" customHeight="1">
      <c r="A1" s="11197" t="s">
        <v>0</v>
      </c>
      <c r="B1" s="11198"/>
      <c r="C1" s="11198"/>
      <c r="D1" s="11198"/>
      <c r="E1" s="11198"/>
      <c r="F1" s="11198"/>
      <c r="G1" s="11198"/>
      <c r="H1" s="11198"/>
      <c r="I1" s="11198"/>
      <c r="J1" s="11198"/>
      <c r="K1" s="11198"/>
      <c r="L1" s="11198"/>
      <c r="M1" s="11198"/>
      <c r="N1" s="11198"/>
      <c r="O1" s="11198"/>
      <c r="P1" s="11198"/>
      <c r="Q1" s="11198"/>
      <c r="R1" s="11198"/>
      <c r="S1" s="11198"/>
      <c r="T1" s="11198"/>
      <c r="U1" s="11198"/>
      <c r="V1" s="11198"/>
      <c r="W1" s="11198"/>
      <c r="X1" s="11198"/>
      <c r="Y1" s="11198"/>
      <c r="Z1" s="11198"/>
      <c r="AA1" s="11198"/>
      <c r="AB1" s="11198"/>
      <c r="AC1" s="11198"/>
      <c r="AD1" s="11198"/>
      <c r="AE1" s="11198"/>
      <c r="AF1" s="11198"/>
      <c r="AG1" s="11198"/>
    </row>
    <row r="2" spans="1:33" ht="30" customHeight="1">
      <c r="A2" s="11199" t="s">
        <v>1</v>
      </c>
      <c r="B2" s="11200"/>
      <c r="C2" s="11200"/>
      <c r="D2" s="11200"/>
      <c r="E2" s="11200"/>
      <c r="F2" s="11200"/>
      <c r="G2" s="11200"/>
      <c r="H2" s="11200"/>
      <c r="I2" s="11200"/>
      <c r="J2" s="11200"/>
      <c r="K2" s="11200"/>
      <c r="L2" s="11200"/>
      <c r="M2" s="11200"/>
      <c r="N2" s="11200"/>
      <c r="O2" s="11200"/>
      <c r="P2" s="11200"/>
      <c r="Q2" s="11200"/>
      <c r="R2" s="11200"/>
      <c r="S2" s="11200"/>
      <c r="T2" s="11200"/>
      <c r="U2" s="11200"/>
      <c r="V2" s="11200"/>
      <c r="W2" s="11200"/>
      <c r="X2" s="11200"/>
      <c r="Y2" s="11200"/>
      <c r="Z2" s="11200"/>
      <c r="AA2" s="11200"/>
      <c r="AB2" s="11200"/>
      <c r="AC2" s="11200"/>
      <c r="AD2" s="11200"/>
      <c r="AE2" s="11200"/>
      <c r="AF2" s="11200"/>
      <c r="AG2" s="11200"/>
    </row>
    <row r="3" spans="1:33" ht="30.75" customHeight="1">
      <c r="A3" s="11201" t="s">
        <v>6205</v>
      </c>
      <c r="B3" s="11198"/>
      <c r="C3" s="11198"/>
      <c r="D3" s="11198"/>
      <c r="E3" s="11198"/>
      <c r="F3" s="11198"/>
      <c r="G3" s="11198"/>
      <c r="H3" s="11198"/>
      <c r="I3" s="11198"/>
      <c r="J3" s="11198"/>
      <c r="K3" s="11198"/>
      <c r="L3" s="11198"/>
      <c r="M3" s="11198"/>
      <c r="N3" s="11198"/>
      <c r="O3" s="11198"/>
      <c r="P3" s="11198"/>
      <c r="Q3" s="11198"/>
      <c r="R3" s="11198"/>
      <c r="S3" s="11198"/>
      <c r="T3" s="11198"/>
      <c r="U3" s="11198"/>
      <c r="V3" s="11198"/>
      <c r="W3" s="11198"/>
      <c r="X3" s="11198"/>
      <c r="Y3" s="11198"/>
      <c r="Z3" s="11198"/>
      <c r="AA3" s="11198"/>
      <c r="AB3" s="11198"/>
      <c r="AC3" s="11198"/>
      <c r="AD3" s="11198"/>
      <c r="AE3" s="11198"/>
      <c r="AF3" s="11198"/>
      <c r="AG3" s="11198"/>
    </row>
    <row r="4" spans="1:33" ht="27" customHeight="1">
      <c r="A4" s="11202" t="s">
        <v>88</v>
      </c>
      <c r="B4" s="11198"/>
      <c r="C4" s="11198"/>
      <c r="D4" s="11198"/>
      <c r="E4" s="11198"/>
      <c r="F4" s="11198"/>
      <c r="G4" s="11198"/>
      <c r="H4" s="11198"/>
      <c r="I4" s="11198"/>
      <c r="J4" s="11198"/>
      <c r="K4" s="11198"/>
      <c r="L4" s="11198"/>
      <c r="M4" s="11198"/>
      <c r="N4" s="11198"/>
      <c r="O4" s="11198"/>
      <c r="P4" s="11198"/>
      <c r="Q4" s="11198"/>
      <c r="R4" s="11198"/>
      <c r="S4" s="11198"/>
      <c r="T4" s="11198"/>
      <c r="U4" s="11198"/>
      <c r="V4" s="11198"/>
      <c r="W4" s="11198"/>
      <c r="X4" s="11198"/>
      <c r="Y4" s="11198"/>
      <c r="Z4" s="11198"/>
      <c r="AA4" s="11198"/>
      <c r="AB4" s="11198"/>
      <c r="AC4" s="11198"/>
      <c r="AD4" s="11198"/>
      <c r="AE4" s="11198"/>
      <c r="AF4" s="11198"/>
      <c r="AG4" s="11198"/>
    </row>
    <row r="5" spans="1:33" ht="16.5" customHeight="1" thickBot="1">
      <c r="A5" s="762"/>
      <c r="B5" s="762"/>
      <c r="C5" s="762"/>
      <c r="D5" s="762"/>
      <c r="E5" s="762"/>
      <c r="F5" s="762"/>
      <c r="G5" s="762"/>
      <c r="H5" s="762"/>
      <c r="I5" s="763"/>
      <c r="J5" s="763"/>
      <c r="K5" s="763"/>
      <c r="L5" s="764"/>
      <c r="M5" s="764"/>
      <c r="N5" s="764"/>
      <c r="O5" s="763"/>
      <c r="P5" s="763"/>
      <c r="Q5" s="763"/>
      <c r="R5" s="762"/>
      <c r="S5" s="762"/>
      <c r="T5" s="762"/>
      <c r="U5" s="762"/>
      <c r="V5" s="762"/>
      <c r="W5" s="762"/>
      <c r="X5" s="762"/>
      <c r="Y5" s="762"/>
      <c r="Z5" s="762"/>
      <c r="AA5" s="762"/>
      <c r="AB5" s="765"/>
      <c r="AC5" s="765"/>
      <c r="AD5" s="762"/>
      <c r="AE5" s="762"/>
      <c r="AF5" s="762"/>
      <c r="AG5" s="762"/>
    </row>
    <row r="6" spans="1:33" ht="24.75" customHeight="1" thickTop="1">
      <c r="A6" s="11203" t="s">
        <v>89</v>
      </c>
      <c r="B6" s="8832" t="s">
        <v>90</v>
      </c>
      <c r="C6" s="11206"/>
      <c r="D6" s="9010" t="s">
        <v>91</v>
      </c>
      <c r="E6" s="11207"/>
      <c r="F6" s="11207"/>
      <c r="G6" s="11207"/>
      <c r="H6" s="11207"/>
      <c r="I6" s="8988" t="s">
        <v>92</v>
      </c>
      <c r="J6" s="11190"/>
      <c r="K6" s="11190"/>
      <c r="L6" s="11190"/>
      <c r="M6" s="11190"/>
      <c r="N6" s="11190"/>
      <c r="O6" s="11190"/>
      <c r="P6" s="11190"/>
      <c r="Q6" s="11191"/>
      <c r="R6" s="9150" t="s">
        <v>93</v>
      </c>
      <c r="S6" s="11192"/>
      <c r="T6" s="11192"/>
      <c r="U6" s="11192"/>
      <c r="V6" s="11192"/>
      <c r="W6" s="11192"/>
      <c r="X6" s="11192"/>
      <c r="Y6" s="11192"/>
      <c r="Z6" s="11192"/>
      <c r="AA6" s="11192"/>
      <c r="AB6" s="11192"/>
      <c r="AC6" s="11192"/>
      <c r="AD6" s="11192"/>
      <c r="AE6" s="11192"/>
      <c r="AF6" s="11192"/>
      <c r="AG6" s="11193"/>
    </row>
    <row r="7" spans="1:33" ht="39.75" customHeight="1">
      <c r="A7" s="11204"/>
      <c r="B7" s="9146" t="s">
        <v>94</v>
      </c>
      <c r="C7" s="9147" t="s">
        <v>95</v>
      </c>
      <c r="D7" s="9012" t="s">
        <v>96</v>
      </c>
      <c r="E7" s="9012" t="s">
        <v>97</v>
      </c>
      <c r="F7" s="9012" t="s">
        <v>98</v>
      </c>
      <c r="G7" s="9012" t="s">
        <v>99</v>
      </c>
      <c r="H7" s="9012" t="s">
        <v>100</v>
      </c>
      <c r="I7" s="9014" t="s">
        <v>101</v>
      </c>
      <c r="J7" s="9016" t="s">
        <v>102</v>
      </c>
      <c r="K7" s="9016" t="s">
        <v>103</v>
      </c>
      <c r="L7" s="11336" t="s">
        <v>104</v>
      </c>
      <c r="M7" s="11188"/>
      <c r="N7" s="11188"/>
      <c r="O7" s="9016" t="s">
        <v>105</v>
      </c>
      <c r="P7" s="9016" t="s">
        <v>106</v>
      </c>
      <c r="Q7" s="9815" t="s">
        <v>107</v>
      </c>
      <c r="R7" s="9153" t="s">
        <v>108</v>
      </c>
      <c r="S7" s="11194"/>
      <c r="T7" s="11194"/>
      <c r="U7" s="11194"/>
      <c r="V7" s="11194"/>
      <c r="W7" s="11194"/>
      <c r="X7" s="11195"/>
      <c r="Y7" s="9156" t="s">
        <v>109</v>
      </c>
      <c r="Z7" s="9812"/>
      <c r="AA7" s="9812"/>
      <c r="AB7" s="9812"/>
      <c r="AC7" s="9813"/>
      <c r="AD7" s="9156" t="s">
        <v>110</v>
      </c>
      <c r="AE7" s="11194"/>
      <c r="AF7" s="11195"/>
      <c r="AG7" s="9157" t="s">
        <v>111</v>
      </c>
    </row>
    <row r="8" spans="1:33" ht="51.75" customHeight="1" thickBot="1">
      <c r="A8" s="11205"/>
      <c r="B8" s="11183"/>
      <c r="C8" s="11184"/>
      <c r="D8" s="11185"/>
      <c r="E8" s="11185"/>
      <c r="F8" s="11185"/>
      <c r="G8" s="11185"/>
      <c r="H8" s="11185"/>
      <c r="I8" s="11186"/>
      <c r="J8" s="11187"/>
      <c r="K8" s="11187"/>
      <c r="L8" s="5151" t="s">
        <v>112</v>
      </c>
      <c r="M8" s="5151" t="s">
        <v>113</v>
      </c>
      <c r="N8" s="5151" t="s">
        <v>114</v>
      </c>
      <c r="O8" s="11187"/>
      <c r="P8" s="11187"/>
      <c r="Q8" s="11189"/>
      <c r="R8" s="5087" t="s">
        <v>115</v>
      </c>
      <c r="S8" s="5088" t="s">
        <v>116</v>
      </c>
      <c r="T8" s="5088" t="s">
        <v>117</v>
      </c>
      <c r="U8" s="5088" t="s">
        <v>118</v>
      </c>
      <c r="V8" s="5088" t="s">
        <v>119</v>
      </c>
      <c r="W8" s="5088" t="s">
        <v>372</v>
      </c>
      <c r="X8" s="5090" t="s">
        <v>121</v>
      </c>
      <c r="Y8" s="5088" t="s">
        <v>122</v>
      </c>
      <c r="Z8" s="5088" t="s">
        <v>123</v>
      </c>
      <c r="AA8" s="5088" t="s">
        <v>124</v>
      </c>
      <c r="AB8" s="5090" t="s">
        <v>125</v>
      </c>
      <c r="AC8" s="5090" t="s">
        <v>1100</v>
      </c>
      <c r="AD8" s="5088" t="s">
        <v>112</v>
      </c>
      <c r="AE8" s="5088" t="s">
        <v>113</v>
      </c>
      <c r="AF8" s="5088" t="s">
        <v>114</v>
      </c>
      <c r="AG8" s="11196"/>
    </row>
    <row r="9" spans="1:33" ht="22.5" customHeight="1">
      <c r="A9" s="9599" t="s">
        <v>4188</v>
      </c>
      <c r="B9" s="10176" t="s">
        <v>127</v>
      </c>
      <c r="C9" s="8835" t="s">
        <v>128</v>
      </c>
      <c r="D9" s="8835" t="s">
        <v>129</v>
      </c>
      <c r="E9" s="8835" t="s">
        <v>268</v>
      </c>
      <c r="F9" s="9164" t="s">
        <v>131</v>
      </c>
      <c r="G9" s="8835" t="s">
        <v>132</v>
      </c>
      <c r="H9" s="8835" t="s">
        <v>159</v>
      </c>
      <c r="I9" s="9472" t="s">
        <v>6206</v>
      </c>
      <c r="J9" s="8835" t="s">
        <v>4730</v>
      </c>
      <c r="K9" s="8835" t="s">
        <v>6207</v>
      </c>
      <c r="L9" s="9264">
        <v>1</v>
      </c>
      <c r="M9" s="9264">
        <v>0</v>
      </c>
      <c r="N9" s="9264">
        <v>1</v>
      </c>
      <c r="O9" s="8835" t="s">
        <v>6208</v>
      </c>
      <c r="P9" s="8835" t="s">
        <v>5165</v>
      </c>
      <c r="Q9" s="9472" t="s">
        <v>6209</v>
      </c>
      <c r="R9" s="2836"/>
      <c r="S9" s="1430"/>
      <c r="T9" s="1430"/>
      <c r="U9" s="1380"/>
      <c r="V9" s="1381"/>
      <c r="W9" s="1382"/>
      <c r="X9" s="7636"/>
      <c r="Y9" s="7636"/>
      <c r="Z9" s="7636"/>
      <c r="AA9" s="7637"/>
      <c r="AB9" s="1431"/>
      <c r="AC9" s="1431"/>
      <c r="AD9" s="1382"/>
      <c r="AE9" s="1432"/>
      <c r="AF9" s="1432"/>
      <c r="AG9" s="11330"/>
    </row>
    <row r="10" spans="1:33" ht="22.5" customHeight="1">
      <c r="A10" s="9244"/>
      <c r="B10" s="11337"/>
      <c r="C10" s="11208"/>
      <c r="D10" s="11208"/>
      <c r="E10" s="11208"/>
      <c r="F10" s="11208"/>
      <c r="G10" s="11208"/>
      <c r="H10" s="11208"/>
      <c r="I10" s="11253"/>
      <c r="J10" s="11208"/>
      <c r="K10" s="11208"/>
      <c r="L10" s="11251"/>
      <c r="M10" s="11251"/>
      <c r="N10" s="11251"/>
      <c r="O10" s="11208"/>
      <c r="P10" s="11208"/>
      <c r="Q10" s="11253"/>
      <c r="R10" s="2837"/>
      <c r="S10" s="923"/>
      <c r="T10" s="923"/>
      <c r="U10" s="1383"/>
      <c r="V10" s="923"/>
      <c r="W10" s="924"/>
      <c r="X10" s="7046"/>
      <c r="Y10" s="7046"/>
      <c r="Z10" s="7046"/>
      <c r="AA10" s="7145"/>
      <c r="AB10" s="1433"/>
      <c r="AC10" s="1433"/>
      <c r="AD10" s="924"/>
      <c r="AE10" s="1434"/>
      <c r="AF10" s="1434"/>
      <c r="AG10" s="11331"/>
    </row>
    <row r="11" spans="1:33" ht="22.5" customHeight="1">
      <c r="A11" s="9244"/>
      <c r="B11" s="11337"/>
      <c r="C11" s="11208"/>
      <c r="D11" s="11208"/>
      <c r="E11" s="11208"/>
      <c r="F11" s="11208"/>
      <c r="G11" s="11208"/>
      <c r="H11" s="11208"/>
      <c r="I11" s="11253"/>
      <c r="J11" s="11208"/>
      <c r="K11" s="11208"/>
      <c r="L11" s="11251"/>
      <c r="M11" s="11251"/>
      <c r="N11" s="11251"/>
      <c r="O11" s="11208"/>
      <c r="P11" s="11208"/>
      <c r="Q11" s="11253"/>
      <c r="R11" s="2837"/>
      <c r="S11" s="923"/>
      <c r="T11" s="923"/>
      <c r="U11" s="1383"/>
      <c r="V11" s="923"/>
      <c r="W11" s="924"/>
      <c r="X11" s="7046"/>
      <c r="Y11" s="7046"/>
      <c r="Z11" s="7046"/>
      <c r="AA11" s="7145"/>
      <c r="AB11" s="1433"/>
      <c r="AC11" s="1433"/>
      <c r="AD11" s="924"/>
      <c r="AE11" s="1434"/>
      <c r="AF11" s="1434"/>
      <c r="AG11" s="11331"/>
    </row>
    <row r="12" spans="1:33" ht="22.5" customHeight="1">
      <c r="A12" s="9244"/>
      <c r="B12" s="11337"/>
      <c r="C12" s="11208"/>
      <c r="D12" s="11208"/>
      <c r="E12" s="11208"/>
      <c r="F12" s="11208"/>
      <c r="G12" s="11208"/>
      <c r="H12" s="11208"/>
      <c r="I12" s="11253"/>
      <c r="J12" s="11208"/>
      <c r="K12" s="11208"/>
      <c r="L12" s="11251"/>
      <c r="M12" s="11251"/>
      <c r="N12" s="11251"/>
      <c r="O12" s="11208"/>
      <c r="P12" s="11208"/>
      <c r="Q12" s="11253"/>
      <c r="R12" s="2838"/>
      <c r="S12" s="1391"/>
      <c r="T12" s="1391"/>
      <c r="U12" s="1383"/>
      <c r="V12" s="923"/>
      <c r="W12" s="924"/>
      <c r="X12" s="7046"/>
      <c r="Y12" s="7046"/>
      <c r="Z12" s="7046"/>
      <c r="AA12" s="7145"/>
      <c r="AB12" s="1433"/>
      <c r="AC12" s="1433"/>
      <c r="AD12" s="924"/>
      <c r="AE12" s="1434"/>
      <c r="AF12" s="1434"/>
      <c r="AG12" s="11331"/>
    </row>
    <row r="13" spans="1:33" ht="22.5" customHeight="1">
      <c r="A13" s="9244"/>
      <c r="B13" s="11338"/>
      <c r="C13" s="11209"/>
      <c r="D13" s="11209"/>
      <c r="E13" s="11209"/>
      <c r="F13" s="11209"/>
      <c r="G13" s="11209"/>
      <c r="H13" s="11209"/>
      <c r="I13" s="11254"/>
      <c r="J13" s="11209"/>
      <c r="K13" s="11209"/>
      <c r="L13" s="11252"/>
      <c r="M13" s="11252"/>
      <c r="N13" s="11252"/>
      <c r="O13" s="11209"/>
      <c r="P13" s="11209"/>
      <c r="Q13" s="11254"/>
      <c r="R13" s="2839"/>
      <c r="S13" s="966"/>
      <c r="T13" s="966"/>
      <c r="U13" s="1384"/>
      <c r="V13" s="966"/>
      <c r="W13" s="967"/>
      <c r="X13" s="7048"/>
      <c r="Y13" s="7048"/>
      <c r="Z13" s="7048"/>
      <c r="AA13" s="7146"/>
      <c r="AB13" s="1435"/>
      <c r="AC13" s="1435"/>
      <c r="AD13" s="967"/>
      <c r="AE13" s="1436"/>
      <c r="AF13" s="1436"/>
      <c r="AG13" s="11332"/>
    </row>
    <row r="14" spans="1:33" ht="22.5" customHeight="1">
      <c r="A14" s="9244"/>
      <c r="B14" s="10177" t="s">
        <v>127</v>
      </c>
      <c r="C14" s="8834" t="s">
        <v>128</v>
      </c>
      <c r="D14" s="8834" t="s">
        <v>129</v>
      </c>
      <c r="E14" s="8834" t="s">
        <v>268</v>
      </c>
      <c r="F14" s="8974" t="s">
        <v>131</v>
      </c>
      <c r="G14" s="8834" t="s">
        <v>132</v>
      </c>
      <c r="H14" s="8834" t="s">
        <v>159</v>
      </c>
      <c r="I14" s="8834" t="s">
        <v>6210</v>
      </c>
      <c r="J14" s="8834" t="s">
        <v>4196</v>
      </c>
      <c r="K14" s="8834" t="s">
        <v>5213</v>
      </c>
      <c r="L14" s="9256">
        <v>0</v>
      </c>
      <c r="M14" s="9256">
        <v>0</v>
      </c>
      <c r="N14" s="9256">
        <v>3</v>
      </c>
      <c r="O14" s="8834" t="s">
        <v>5214</v>
      </c>
      <c r="P14" s="8834" t="s">
        <v>5215</v>
      </c>
      <c r="Q14" s="9205" t="s">
        <v>6209</v>
      </c>
      <c r="R14" s="2840"/>
      <c r="S14" s="1386"/>
      <c r="T14" s="1386"/>
      <c r="U14" s="1385"/>
      <c r="V14" s="921"/>
      <c r="W14" s="922"/>
      <c r="X14" s="7050"/>
      <c r="Y14" s="7050"/>
      <c r="Z14" s="7050"/>
      <c r="AA14" s="7147"/>
      <c r="AB14" s="1437"/>
      <c r="AC14" s="1437"/>
      <c r="AD14" s="922"/>
      <c r="AE14" s="1438"/>
      <c r="AF14" s="1438"/>
      <c r="AG14" s="9800"/>
    </row>
    <row r="15" spans="1:33" ht="22.5" customHeight="1">
      <c r="A15" s="9244"/>
      <c r="B15" s="11337"/>
      <c r="C15" s="11208"/>
      <c r="D15" s="11208"/>
      <c r="E15" s="11208"/>
      <c r="F15" s="11208"/>
      <c r="G15" s="11208"/>
      <c r="H15" s="11208"/>
      <c r="I15" s="11208"/>
      <c r="J15" s="11208"/>
      <c r="K15" s="11208"/>
      <c r="L15" s="11251"/>
      <c r="M15" s="11251"/>
      <c r="N15" s="11251"/>
      <c r="O15" s="11208"/>
      <c r="P15" s="11208"/>
      <c r="Q15" s="11253"/>
      <c r="R15" s="2837"/>
      <c r="S15" s="923"/>
      <c r="T15" s="923"/>
      <c r="U15" s="1383"/>
      <c r="V15" s="923"/>
      <c r="W15" s="924"/>
      <c r="X15" s="7046"/>
      <c r="Y15" s="7046"/>
      <c r="Z15" s="7046"/>
      <c r="AA15" s="7145"/>
      <c r="AB15" s="1433"/>
      <c r="AC15" s="1433"/>
      <c r="AD15" s="924"/>
      <c r="AE15" s="1434"/>
      <c r="AF15" s="1434"/>
      <c r="AG15" s="11334"/>
    </row>
    <row r="16" spans="1:33" ht="22.5" customHeight="1">
      <c r="A16" s="9244"/>
      <c r="B16" s="11337"/>
      <c r="C16" s="11208"/>
      <c r="D16" s="11208"/>
      <c r="E16" s="11208"/>
      <c r="F16" s="11208"/>
      <c r="G16" s="11208"/>
      <c r="H16" s="11208"/>
      <c r="I16" s="11208"/>
      <c r="J16" s="11208"/>
      <c r="K16" s="11208"/>
      <c r="L16" s="11251"/>
      <c r="M16" s="11251"/>
      <c r="N16" s="11251"/>
      <c r="O16" s="11208"/>
      <c r="P16" s="11208"/>
      <c r="Q16" s="11253"/>
      <c r="R16" s="2837"/>
      <c r="S16" s="923"/>
      <c r="T16" s="923"/>
      <c r="U16" s="1383"/>
      <c r="V16" s="923"/>
      <c r="W16" s="924"/>
      <c r="X16" s="7046"/>
      <c r="Y16" s="7046"/>
      <c r="Z16" s="7046"/>
      <c r="AA16" s="7145"/>
      <c r="AB16" s="1433"/>
      <c r="AC16" s="1433"/>
      <c r="AD16" s="924"/>
      <c r="AE16" s="1434"/>
      <c r="AF16" s="1434"/>
      <c r="AG16" s="11334"/>
    </row>
    <row r="17" spans="1:33" ht="22.5" customHeight="1">
      <c r="A17" s="9244"/>
      <c r="B17" s="11337"/>
      <c r="C17" s="11208"/>
      <c r="D17" s="11208"/>
      <c r="E17" s="11208"/>
      <c r="F17" s="11208"/>
      <c r="G17" s="11208"/>
      <c r="H17" s="11208"/>
      <c r="I17" s="11208"/>
      <c r="J17" s="11208"/>
      <c r="K17" s="11208"/>
      <c r="L17" s="11251"/>
      <c r="M17" s="11251"/>
      <c r="N17" s="11251"/>
      <c r="O17" s="11208"/>
      <c r="P17" s="11208"/>
      <c r="Q17" s="11253"/>
      <c r="R17" s="2838"/>
      <c r="S17" s="1391"/>
      <c r="T17" s="1391"/>
      <c r="U17" s="1383"/>
      <c r="V17" s="923"/>
      <c r="W17" s="924"/>
      <c r="X17" s="7046"/>
      <c r="Y17" s="7046"/>
      <c r="Z17" s="7046"/>
      <c r="AA17" s="7145"/>
      <c r="AB17" s="1433"/>
      <c r="AC17" s="1433"/>
      <c r="AD17" s="924"/>
      <c r="AE17" s="1434"/>
      <c r="AF17" s="1434"/>
      <c r="AG17" s="11334"/>
    </row>
    <row r="18" spans="1:33" ht="22.5" customHeight="1">
      <c r="A18" s="9244"/>
      <c r="B18" s="11338"/>
      <c r="C18" s="11209"/>
      <c r="D18" s="11209"/>
      <c r="E18" s="11209"/>
      <c r="F18" s="11209"/>
      <c r="G18" s="11209"/>
      <c r="H18" s="11209"/>
      <c r="I18" s="11209"/>
      <c r="J18" s="11209"/>
      <c r="K18" s="11209"/>
      <c r="L18" s="11252"/>
      <c r="M18" s="11252"/>
      <c r="N18" s="11252"/>
      <c r="O18" s="11209"/>
      <c r="P18" s="11209"/>
      <c r="Q18" s="11254"/>
      <c r="R18" s="2839"/>
      <c r="S18" s="966"/>
      <c r="T18" s="966"/>
      <c r="U18" s="1384"/>
      <c r="V18" s="966"/>
      <c r="W18" s="967"/>
      <c r="X18" s="7048"/>
      <c r="Y18" s="7048"/>
      <c r="Z18" s="7048"/>
      <c r="AA18" s="7146"/>
      <c r="AB18" s="1435"/>
      <c r="AC18" s="1435"/>
      <c r="AD18" s="967"/>
      <c r="AE18" s="1436"/>
      <c r="AF18" s="1436"/>
      <c r="AG18" s="11335"/>
    </row>
    <row r="19" spans="1:33" ht="30" customHeight="1">
      <c r="A19" s="9244"/>
      <c r="B19" s="10177" t="s">
        <v>183</v>
      </c>
      <c r="C19" s="8834" t="s">
        <v>227</v>
      </c>
      <c r="D19" s="8834" t="s">
        <v>490</v>
      </c>
      <c r="E19" s="8834" t="s">
        <v>2210</v>
      </c>
      <c r="F19" s="8974" t="s">
        <v>230</v>
      </c>
      <c r="G19" s="8834" t="s">
        <v>132</v>
      </c>
      <c r="H19" s="8834" t="s">
        <v>133</v>
      </c>
      <c r="I19" s="8834" t="s">
        <v>6211</v>
      </c>
      <c r="J19" s="8834" t="s">
        <v>4213</v>
      </c>
      <c r="K19" s="8834" t="s">
        <v>6212</v>
      </c>
      <c r="L19" s="9256">
        <v>1</v>
      </c>
      <c r="M19" s="9256">
        <v>0</v>
      </c>
      <c r="N19" s="9256">
        <v>1</v>
      </c>
      <c r="O19" s="11333" t="s">
        <v>6213</v>
      </c>
      <c r="P19" s="8834" t="s">
        <v>6214</v>
      </c>
      <c r="Q19" s="9205" t="s">
        <v>6215</v>
      </c>
      <c r="R19" s="2840"/>
      <c r="S19" s="1386"/>
      <c r="T19" s="1386"/>
      <c r="U19" s="1385"/>
      <c r="V19" s="921"/>
      <c r="W19" s="922"/>
      <c r="X19" s="7050"/>
      <c r="Y19" s="7050"/>
      <c r="Z19" s="7050"/>
      <c r="AA19" s="7147"/>
      <c r="AB19" s="1437"/>
      <c r="AC19" s="1437"/>
      <c r="AD19" s="922"/>
      <c r="AE19" s="1438"/>
      <c r="AF19" s="1438"/>
      <c r="AG19" s="9800"/>
    </row>
    <row r="20" spans="1:33" ht="30" customHeight="1">
      <c r="A20" s="9244"/>
      <c r="B20" s="11337"/>
      <c r="C20" s="11208"/>
      <c r="D20" s="11208"/>
      <c r="E20" s="11208"/>
      <c r="F20" s="11208"/>
      <c r="G20" s="11208"/>
      <c r="H20" s="11208"/>
      <c r="I20" s="11208"/>
      <c r="J20" s="11208"/>
      <c r="K20" s="11208"/>
      <c r="L20" s="11251"/>
      <c r="M20" s="11251"/>
      <c r="N20" s="11251"/>
      <c r="O20" s="11208"/>
      <c r="P20" s="11208"/>
      <c r="Q20" s="11253"/>
      <c r="R20" s="2837"/>
      <c r="S20" s="923"/>
      <c r="T20" s="923"/>
      <c r="U20" s="1383"/>
      <c r="V20" s="923"/>
      <c r="W20" s="924"/>
      <c r="X20" s="7046"/>
      <c r="Y20" s="7046"/>
      <c r="Z20" s="7046"/>
      <c r="AA20" s="7145"/>
      <c r="AB20" s="1433"/>
      <c r="AC20" s="1433"/>
      <c r="AD20" s="924"/>
      <c r="AE20" s="1434"/>
      <c r="AF20" s="1434"/>
      <c r="AG20" s="11334"/>
    </row>
    <row r="21" spans="1:33" ht="30" customHeight="1">
      <c r="A21" s="9244"/>
      <c r="B21" s="11337"/>
      <c r="C21" s="11208"/>
      <c r="D21" s="11208"/>
      <c r="E21" s="11208"/>
      <c r="F21" s="11208"/>
      <c r="G21" s="11208"/>
      <c r="H21" s="11208"/>
      <c r="I21" s="11208"/>
      <c r="J21" s="11208"/>
      <c r="K21" s="11208"/>
      <c r="L21" s="11251"/>
      <c r="M21" s="11251"/>
      <c r="N21" s="11251"/>
      <c r="O21" s="11208"/>
      <c r="P21" s="11208"/>
      <c r="Q21" s="11253"/>
      <c r="R21" s="2837"/>
      <c r="S21" s="923"/>
      <c r="T21" s="923"/>
      <c r="U21" s="1383"/>
      <c r="V21" s="923"/>
      <c r="W21" s="924"/>
      <c r="X21" s="7046"/>
      <c r="Y21" s="7046"/>
      <c r="Z21" s="7046"/>
      <c r="AA21" s="7145"/>
      <c r="AB21" s="1433"/>
      <c r="AC21" s="1433"/>
      <c r="AD21" s="924"/>
      <c r="AE21" s="1434"/>
      <c r="AF21" s="1434"/>
      <c r="AG21" s="11334"/>
    </row>
    <row r="22" spans="1:33" ht="30" customHeight="1">
      <c r="A22" s="9244"/>
      <c r="B22" s="11337"/>
      <c r="C22" s="11208"/>
      <c r="D22" s="11208"/>
      <c r="E22" s="11208"/>
      <c r="F22" s="11208"/>
      <c r="G22" s="11208"/>
      <c r="H22" s="11208"/>
      <c r="I22" s="11208"/>
      <c r="J22" s="11208"/>
      <c r="K22" s="11208"/>
      <c r="L22" s="11251"/>
      <c r="M22" s="11251"/>
      <c r="N22" s="11251"/>
      <c r="O22" s="11208"/>
      <c r="P22" s="11208"/>
      <c r="Q22" s="11253"/>
      <c r="R22" s="2838"/>
      <c r="S22" s="1391"/>
      <c r="T22" s="1391"/>
      <c r="U22" s="1383"/>
      <c r="V22" s="923"/>
      <c r="W22" s="924"/>
      <c r="X22" s="7046"/>
      <c r="Y22" s="7046"/>
      <c r="Z22" s="7046"/>
      <c r="AA22" s="7145"/>
      <c r="AB22" s="1433"/>
      <c r="AC22" s="1433"/>
      <c r="AD22" s="924"/>
      <c r="AE22" s="1434"/>
      <c r="AF22" s="1434"/>
      <c r="AG22" s="11334"/>
    </row>
    <row r="23" spans="1:33" ht="30" customHeight="1">
      <c r="A23" s="9244"/>
      <c r="B23" s="11338"/>
      <c r="C23" s="11209"/>
      <c r="D23" s="11209"/>
      <c r="E23" s="11209"/>
      <c r="F23" s="11209"/>
      <c r="G23" s="11209"/>
      <c r="H23" s="11209"/>
      <c r="I23" s="11209"/>
      <c r="J23" s="11209"/>
      <c r="K23" s="11209"/>
      <c r="L23" s="11252"/>
      <c r="M23" s="11252"/>
      <c r="N23" s="11252"/>
      <c r="O23" s="11209"/>
      <c r="P23" s="11209"/>
      <c r="Q23" s="11254"/>
      <c r="R23" s="2839"/>
      <c r="S23" s="966"/>
      <c r="T23" s="966"/>
      <c r="U23" s="1384"/>
      <c r="V23" s="966"/>
      <c r="W23" s="967"/>
      <c r="X23" s="7048"/>
      <c r="Y23" s="7048"/>
      <c r="Z23" s="7048"/>
      <c r="AA23" s="7146"/>
      <c r="AB23" s="1435"/>
      <c r="AC23" s="1435"/>
      <c r="AD23" s="967"/>
      <c r="AE23" s="1436"/>
      <c r="AF23" s="1436"/>
      <c r="AG23" s="11335"/>
    </row>
    <row r="24" spans="1:33" ht="24" customHeight="1">
      <c r="A24" s="9244"/>
      <c r="B24" s="10177" t="s">
        <v>127</v>
      </c>
      <c r="C24" s="8834" t="s">
        <v>128</v>
      </c>
      <c r="D24" s="8834" t="s">
        <v>140</v>
      </c>
      <c r="E24" s="8834" t="s">
        <v>238</v>
      </c>
      <c r="F24" s="8974" t="s">
        <v>131</v>
      </c>
      <c r="G24" s="8834" t="s">
        <v>132</v>
      </c>
      <c r="H24" s="8834" t="s">
        <v>159</v>
      </c>
      <c r="I24" s="8834" t="s">
        <v>6216</v>
      </c>
      <c r="J24" s="8834" t="s">
        <v>4222</v>
      </c>
      <c r="K24" s="8834" t="s">
        <v>6217</v>
      </c>
      <c r="L24" s="9256">
        <v>0</v>
      </c>
      <c r="M24" s="9256">
        <v>0</v>
      </c>
      <c r="N24" s="9256">
        <v>1</v>
      </c>
      <c r="O24" s="8834" t="s">
        <v>6218</v>
      </c>
      <c r="P24" s="8834" t="s">
        <v>6219</v>
      </c>
      <c r="Q24" s="9205" t="s">
        <v>6209</v>
      </c>
      <c r="R24" s="2840"/>
      <c r="S24" s="1386"/>
      <c r="T24" s="1386"/>
      <c r="U24" s="1385"/>
      <c r="V24" s="921"/>
      <c r="W24" s="922"/>
      <c r="X24" s="7050"/>
      <c r="Y24" s="7050"/>
      <c r="Z24" s="7050"/>
      <c r="AA24" s="7147"/>
      <c r="AB24" s="1437"/>
      <c r="AC24" s="1437"/>
      <c r="AD24" s="922"/>
      <c r="AE24" s="1438"/>
      <c r="AF24" s="1438"/>
      <c r="AG24" s="9800"/>
    </row>
    <row r="25" spans="1:33" ht="24" customHeight="1">
      <c r="A25" s="9244"/>
      <c r="B25" s="11337"/>
      <c r="C25" s="11208"/>
      <c r="D25" s="11208"/>
      <c r="E25" s="11208"/>
      <c r="F25" s="11208"/>
      <c r="G25" s="11208"/>
      <c r="H25" s="11208"/>
      <c r="I25" s="11208"/>
      <c r="J25" s="11208"/>
      <c r="K25" s="11208"/>
      <c r="L25" s="11251"/>
      <c r="M25" s="11251"/>
      <c r="N25" s="11251"/>
      <c r="O25" s="11208"/>
      <c r="P25" s="11208"/>
      <c r="Q25" s="11253"/>
      <c r="R25" s="2837"/>
      <c r="S25" s="923"/>
      <c r="T25" s="923"/>
      <c r="U25" s="1383"/>
      <c r="V25" s="923"/>
      <c r="W25" s="924"/>
      <c r="X25" s="7046"/>
      <c r="Y25" s="7046"/>
      <c r="Z25" s="7046"/>
      <c r="AA25" s="7145"/>
      <c r="AB25" s="1433"/>
      <c r="AC25" s="1433"/>
      <c r="AD25" s="924"/>
      <c r="AE25" s="1434"/>
      <c r="AF25" s="1434"/>
      <c r="AG25" s="11334"/>
    </row>
    <row r="26" spans="1:33" ht="24" customHeight="1">
      <c r="A26" s="9244"/>
      <c r="B26" s="11337"/>
      <c r="C26" s="11208"/>
      <c r="D26" s="11208"/>
      <c r="E26" s="11208"/>
      <c r="F26" s="11208"/>
      <c r="G26" s="11208"/>
      <c r="H26" s="11208"/>
      <c r="I26" s="11208"/>
      <c r="J26" s="11208"/>
      <c r="K26" s="11208"/>
      <c r="L26" s="11251"/>
      <c r="M26" s="11251"/>
      <c r="N26" s="11251"/>
      <c r="O26" s="11208"/>
      <c r="P26" s="11208"/>
      <c r="Q26" s="11253"/>
      <c r="R26" s="2837"/>
      <c r="S26" s="923"/>
      <c r="T26" s="923"/>
      <c r="U26" s="1383"/>
      <c r="V26" s="923"/>
      <c r="W26" s="924"/>
      <c r="X26" s="7046"/>
      <c r="Y26" s="7046"/>
      <c r="Z26" s="7046"/>
      <c r="AA26" s="7145"/>
      <c r="AB26" s="1433"/>
      <c r="AC26" s="1433"/>
      <c r="AD26" s="924"/>
      <c r="AE26" s="1434"/>
      <c r="AF26" s="1434"/>
      <c r="AG26" s="11334"/>
    </row>
    <row r="27" spans="1:33" ht="24" customHeight="1">
      <c r="A27" s="9244"/>
      <c r="B27" s="11337"/>
      <c r="C27" s="11208"/>
      <c r="D27" s="11208"/>
      <c r="E27" s="11208"/>
      <c r="F27" s="11208"/>
      <c r="G27" s="11208"/>
      <c r="H27" s="11208"/>
      <c r="I27" s="11208"/>
      <c r="J27" s="11208"/>
      <c r="K27" s="11208"/>
      <c r="L27" s="11251"/>
      <c r="M27" s="11251"/>
      <c r="N27" s="11251"/>
      <c r="O27" s="11208"/>
      <c r="P27" s="11208"/>
      <c r="Q27" s="11253"/>
      <c r="R27" s="2838"/>
      <c r="S27" s="1391"/>
      <c r="T27" s="1391"/>
      <c r="U27" s="1383"/>
      <c r="V27" s="923"/>
      <c r="W27" s="924"/>
      <c r="X27" s="7046"/>
      <c r="Y27" s="7046"/>
      <c r="Z27" s="7046"/>
      <c r="AA27" s="7145"/>
      <c r="AB27" s="1433"/>
      <c r="AC27" s="1433"/>
      <c r="AD27" s="924"/>
      <c r="AE27" s="1434"/>
      <c r="AF27" s="1434"/>
      <c r="AG27" s="11334"/>
    </row>
    <row r="28" spans="1:33" ht="24" customHeight="1">
      <c r="A28" s="9244"/>
      <c r="B28" s="11338"/>
      <c r="C28" s="11209"/>
      <c r="D28" s="11209"/>
      <c r="E28" s="11209"/>
      <c r="F28" s="11209"/>
      <c r="G28" s="11209"/>
      <c r="H28" s="11209"/>
      <c r="I28" s="11209"/>
      <c r="J28" s="11209"/>
      <c r="K28" s="11209"/>
      <c r="L28" s="11252"/>
      <c r="M28" s="11252"/>
      <c r="N28" s="11252"/>
      <c r="O28" s="11209"/>
      <c r="P28" s="11209"/>
      <c r="Q28" s="11254"/>
      <c r="R28" s="2839"/>
      <c r="S28" s="966"/>
      <c r="T28" s="966"/>
      <c r="U28" s="1384"/>
      <c r="V28" s="966"/>
      <c r="W28" s="967"/>
      <c r="X28" s="7048"/>
      <c r="Y28" s="7048"/>
      <c r="Z28" s="7048"/>
      <c r="AA28" s="7146"/>
      <c r="AB28" s="1435"/>
      <c r="AC28" s="1435"/>
      <c r="AD28" s="967"/>
      <c r="AE28" s="1436"/>
      <c r="AF28" s="1436"/>
      <c r="AG28" s="11335"/>
    </row>
    <row r="29" spans="1:33" ht="67.5" customHeight="1">
      <c r="A29" s="9244"/>
      <c r="B29" s="11228" t="s">
        <v>183</v>
      </c>
      <c r="C29" s="11210" t="s">
        <v>227</v>
      </c>
      <c r="D29" s="11210" t="s">
        <v>228</v>
      </c>
      <c r="E29" s="11210" t="s">
        <v>255</v>
      </c>
      <c r="F29" s="11216" t="s">
        <v>230</v>
      </c>
      <c r="G29" s="11210" t="s">
        <v>171</v>
      </c>
      <c r="H29" s="11210" t="s">
        <v>159</v>
      </c>
      <c r="I29" s="11210" t="s">
        <v>6220</v>
      </c>
      <c r="J29" s="11210" t="s">
        <v>4228</v>
      </c>
      <c r="K29" s="11210" t="s">
        <v>6221</v>
      </c>
      <c r="L29" s="11218">
        <v>0</v>
      </c>
      <c r="M29" s="11218">
        <v>0</v>
      </c>
      <c r="N29" s="11218">
        <v>3</v>
      </c>
      <c r="O29" s="11210" t="s">
        <v>5189</v>
      </c>
      <c r="P29" s="11210" t="s">
        <v>5190</v>
      </c>
      <c r="Q29" s="9705" t="s">
        <v>6209</v>
      </c>
      <c r="R29" s="4394" t="s">
        <v>80</v>
      </c>
      <c r="S29" s="3362">
        <v>530204</v>
      </c>
      <c r="T29" s="4397"/>
      <c r="U29" s="1987" t="s">
        <v>16</v>
      </c>
      <c r="V29" s="4404"/>
      <c r="W29" s="1996"/>
      <c r="X29" s="7045"/>
      <c r="Y29" s="7045"/>
      <c r="Z29" s="7045"/>
      <c r="AA29" s="7144">
        <f>SUM(Z30:Z30)</f>
        <v>0</v>
      </c>
      <c r="AB29" s="4392" t="s">
        <v>25</v>
      </c>
      <c r="AC29" s="1439"/>
      <c r="AD29" s="487"/>
      <c r="AE29" s="1387"/>
      <c r="AF29" s="1388"/>
      <c r="AG29" s="9801" t="s">
        <v>6222</v>
      </c>
    </row>
    <row r="30" spans="1:33" ht="22.5" customHeight="1">
      <c r="A30" s="9244"/>
      <c r="B30" s="11240"/>
      <c r="C30" s="11211"/>
      <c r="D30" s="11211"/>
      <c r="E30" s="11211"/>
      <c r="F30" s="11211"/>
      <c r="G30" s="11211"/>
      <c r="H30" s="11211"/>
      <c r="I30" s="11211"/>
      <c r="J30" s="11211"/>
      <c r="K30" s="11211"/>
      <c r="L30" s="11219"/>
      <c r="M30" s="11219"/>
      <c r="N30" s="11219"/>
      <c r="O30" s="11211"/>
      <c r="P30" s="11211"/>
      <c r="Q30" s="11213"/>
      <c r="R30" s="4371"/>
      <c r="S30" s="3361"/>
      <c r="T30" s="3361"/>
      <c r="U30" s="1982" t="s">
        <v>6223</v>
      </c>
      <c r="V30" s="4385"/>
      <c r="W30" s="247" t="s">
        <v>180</v>
      </c>
      <c r="X30" s="7020">
        <v>1000</v>
      </c>
      <c r="Y30" s="7020">
        <f>+V30*X30</f>
        <v>0</v>
      </c>
      <c r="Z30" s="7020">
        <f>+Y30*1.12</f>
        <v>0</v>
      </c>
      <c r="AA30" s="7142"/>
      <c r="AB30" s="4389"/>
      <c r="AC30" s="1441"/>
      <c r="AD30" s="348" t="s">
        <v>153</v>
      </c>
      <c r="AE30" s="1389" t="s">
        <v>153</v>
      </c>
      <c r="AF30" s="1390" t="s">
        <v>153</v>
      </c>
      <c r="AG30" s="11341"/>
    </row>
    <row r="31" spans="1:33" ht="49.5">
      <c r="A31" s="9244"/>
      <c r="B31" s="11240"/>
      <c r="C31" s="11211"/>
      <c r="D31" s="11211"/>
      <c r="E31" s="11211"/>
      <c r="F31" s="11211"/>
      <c r="G31" s="11211"/>
      <c r="H31" s="11211"/>
      <c r="I31" s="11211"/>
      <c r="J31" s="11211"/>
      <c r="K31" s="11211"/>
      <c r="L31" s="11219"/>
      <c r="M31" s="11219"/>
      <c r="N31" s="11219"/>
      <c r="O31" s="11211"/>
      <c r="P31" s="11211"/>
      <c r="Q31" s="11213"/>
      <c r="R31" s="4394" t="s">
        <v>80</v>
      </c>
      <c r="S31" s="3349">
        <v>530402</v>
      </c>
      <c r="T31" s="4398"/>
      <c r="U31" s="3351" t="s">
        <v>281</v>
      </c>
      <c r="V31" s="4405"/>
      <c r="W31" s="487"/>
      <c r="X31" s="7045"/>
      <c r="Y31" s="7045"/>
      <c r="Z31" s="7045"/>
      <c r="AA31" s="7638">
        <f>SUM(Z32:Z32)</f>
        <v>5428.57</v>
      </c>
      <c r="AB31" s="4392" t="s">
        <v>18</v>
      </c>
      <c r="AC31" s="1437"/>
      <c r="AD31" s="487"/>
      <c r="AE31" s="1440"/>
      <c r="AF31" s="922"/>
      <c r="AG31" s="11341"/>
    </row>
    <row r="32" spans="1:33" ht="54.75" customHeight="1">
      <c r="A32" s="9244"/>
      <c r="B32" s="11240"/>
      <c r="C32" s="11211"/>
      <c r="D32" s="11211"/>
      <c r="E32" s="11211"/>
      <c r="F32" s="11211"/>
      <c r="G32" s="11211"/>
      <c r="H32" s="11211"/>
      <c r="I32" s="11211"/>
      <c r="J32" s="11211"/>
      <c r="K32" s="11211"/>
      <c r="L32" s="11219"/>
      <c r="M32" s="11219"/>
      <c r="N32" s="11219"/>
      <c r="O32" s="11211"/>
      <c r="P32" s="11211"/>
      <c r="Q32" s="11213"/>
      <c r="R32" s="4371"/>
      <c r="S32" s="4399"/>
      <c r="T32" s="4400" t="s">
        <v>6224</v>
      </c>
      <c r="U32" s="3352" t="s">
        <v>6225</v>
      </c>
      <c r="V32" s="4406">
        <v>1</v>
      </c>
      <c r="W32" s="3353" t="s">
        <v>152</v>
      </c>
      <c r="X32" s="7397">
        <f>5428.57</f>
        <v>5428.57</v>
      </c>
      <c r="Y32" s="7397">
        <f>+V32*X32</f>
        <v>5428.57</v>
      </c>
      <c r="Z32" s="7397">
        <f>Y32</f>
        <v>5428.57</v>
      </c>
      <c r="AA32" s="7043"/>
      <c r="AB32" s="4407"/>
      <c r="AC32" s="925"/>
      <c r="AD32" s="247"/>
      <c r="AE32" s="1449" t="s">
        <v>153</v>
      </c>
      <c r="AF32" s="3350"/>
      <c r="AG32" s="11341"/>
    </row>
    <row r="33" spans="1:33" ht="54.75" customHeight="1">
      <c r="A33" s="9244"/>
      <c r="B33" s="11240"/>
      <c r="C33" s="11211"/>
      <c r="D33" s="11211"/>
      <c r="E33" s="11211"/>
      <c r="F33" s="11211"/>
      <c r="G33" s="11211"/>
      <c r="H33" s="11211"/>
      <c r="I33" s="11211"/>
      <c r="J33" s="11211"/>
      <c r="K33" s="11211"/>
      <c r="L33" s="11219"/>
      <c r="M33" s="11219"/>
      <c r="N33" s="11219"/>
      <c r="O33" s="11211"/>
      <c r="P33" s="11211"/>
      <c r="Q33" s="11213"/>
      <c r="R33" s="4372" t="s">
        <v>80</v>
      </c>
      <c r="S33" s="3362">
        <v>840107</v>
      </c>
      <c r="T33" s="3362"/>
      <c r="U33" s="1987" t="s">
        <v>6226</v>
      </c>
      <c r="V33" s="4405"/>
      <c r="W33" s="487"/>
      <c r="X33" s="7045"/>
      <c r="Y33" s="7045"/>
      <c r="Z33" s="7045"/>
      <c r="AA33" s="7638">
        <f>SUM(Z34)</f>
        <v>4000</v>
      </c>
      <c r="AB33" s="4392" t="s">
        <v>18</v>
      </c>
      <c r="AC33" s="1439"/>
      <c r="AD33" s="922"/>
      <c r="AE33" s="922"/>
      <c r="AF33" s="2864"/>
      <c r="AG33" s="11341"/>
    </row>
    <row r="34" spans="1:33" ht="54.75" customHeight="1">
      <c r="A34" s="9244"/>
      <c r="B34" s="11240"/>
      <c r="C34" s="11211"/>
      <c r="D34" s="11211"/>
      <c r="E34" s="11211"/>
      <c r="F34" s="11211"/>
      <c r="G34" s="11211"/>
      <c r="H34" s="11211"/>
      <c r="I34" s="11211"/>
      <c r="J34" s="11211"/>
      <c r="K34" s="11211"/>
      <c r="L34" s="11219"/>
      <c r="M34" s="11219"/>
      <c r="N34" s="11219"/>
      <c r="O34" s="11211"/>
      <c r="P34" s="11211"/>
      <c r="Q34" s="11213"/>
      <c r="R34" s="655"/>
      <c r="S34" s="3361"/>
      <c r="T34" s="4401"/>
      <c r="U34" s="1982" t="s">
        <v>6227</v>
      </c>
      <c r="V34" s="4385">
        <v>1</v>
      </c>
      <c r="W34" s="247" t="s">
        <v>180</v>
      </c>
      <c r="X34" s="7397">
        <f>4000/1.12</f>
        <v>3571.4285714285711</v>
      </c>
      <c r="Y34" s="7397">
        <f>+V34*X34</f>
        <v>3571.4285714285711</v>
      </c>
      <c r="Z34" s="7397">
        <f>+Y34*1.12</f>
        <v>4000</v>
      </c>
      <c r="AA34" s="7142"/>
      <c r="AB34" s="4390"/>
      <c r="AC34" s="1441"/>
      <c r="AD34" s="924"/>
      <c r="AE34" s="924" t="s">
        <v>153</v>
      </c>
      <c r="AF34" s="2864"/>
      <c r="AG34" s="11341"/>
    </row>
    <row r="35" spans="1:33" ht="30" customHeight="1">
      <c r="A35" s="9244"/>
      <c r="B35" s="11240"/>
      <c r="C35" s="11211"/>
      <c r="D35" s="11211"/>
      <c r="E35" s="11211"/>
      <c r="F35" s="11211"/>
      <c r="G35" s="11211"/>
      <c r="H35" s="11211"/>
      <c r="I35" s="11211"/>
      <c r="J35" s="11211"/>
      <c r="K35" s="11211"/>
      <c r="L35" s="11219"/>
      <c r="M35" s="11219"/>
      <c r="N35" s="11219"/>
      <c r="O35" s="11211"/>
      <c r="P35" s="11211"/>
      <c r="Q35" s="11213"/>
      <c r="R35" s="4372" t="s">
        <v>80</v>
      </c>
      <c r="S35" s="3362">
        <v>840104</v>
      </c>
      <c r="T35" s="3362"/>
      <c r="U35" s="1987" t="s">
        <v>39</v>
      </c>
      <c r="V35" s="4405"/>
      <c r="W35" s="487"/>
      <c r="X35" s="7045"/>
      <c r="Y35" s="7045"/>
      <c r="Z35" s="7045"/>
      <c r="AA35" s="7144">
        <f>SUM(Z36:Z40)</f>
        <v>7018.25</v>
      </c>
      <c r="AB35" s="4392" t="s">
        <v>18</v>
      </c>
      <c r="AC35" s="1439"/>
      <c r="AD35" s="922"/>
      <c r="AE35" s="922"/>
      <c r="AF35" s="1388"/>
      <c r="AG35" s="11341"/>
    </row>
    <row r="36" spans="1:33" ht="38.25">
      <c r="A36" s="9244"/>
      <c r="B36" s="11240"/>
      <c r="C36" s="11211"/>
      <c r="D36" s="11211"/>
      <c r="E36" s="11211"/>
      <c r="F36" s="11211"/>
      <c r="G36" s="11211"/>
      <c r="H36" s="11211"/>
      <c r="I36" s="11211"/>
      <c r="J36" s="11211"/>
      <c r="K36" s="11211"/>
      <c r="L36" s="11219"/>
      <c r="M36" s="11219"/>
      <c r="N36" s="11219"/>
      <c r="O36" s="11211"/>
      <c r="P36" s="11211"/>
      <c r="Q36" s="11213"/>
      <c r="R36" s="655"/>
      <c r="S36" s="3361"/>
      <c r="T36" s="4401"/>
      <c r="U36" s="1982" t="s">
        <v>6228</v>
      </c>
      <c r="V36" s="4385">
        <v>20</v>
      </c>
      <c r="W36" s="247" t="s">
        <v>180</v>
      </c>
      <c r="X36" s="7020">
        <f>250/1.12</f>
        <v>223.21428571428569</v>
      </c>
      <c r="Y36" s="7020">
        <f>+V36*X36</f>
        <v>4464.2857142857138</v>
      </c>
      <c r="Z36" s="7020">
        <f>+Y36*1.12</f>
        <v>5000</v>
      </c>
      <c r="AA36" s="7142"/>
      <c r="AB36" s="4390"/>
      <c r="AC36" s="1441"/>
      <c r="AD36" s="924"/>
      <c r="AE36" s="924" t="s">
        <v>153</v>
      </c>
      <c r="AF36" s="1434"/>
      <c r="AG36" s="11341"/>
    </row>
    <row r="37" spans="1:33" ht="18" customHeight="1">
      <c r="A37" s="9244"/>
      <c r="B37" s="11240"/>
      <c r="C37" s="11211"/>
      <c r="D37" s="11211"/>
      <c r="E37" s="11211"/>
      <c r="F37" s="11211"/>
      <c r="G37" s="11211"/>
      <c r="H37" s="11211"/>
      <c r="I37" s="11211"/>
      <c r="J37" s="11211"/>
      <c r="K37" s="11211"/>
      <c r="L37" s="11219"/>
      <c r="M37" s="11219"/>
      <c r="N37" s="11219"/>
      <c r="O37" s="11211"/>
      <c r="P37" s="11211"/>
      <c r="Q37" s="11213"/>
      <c r="R37" s="655"/>
      <c r="S37" s="3361"/>
      <c r="T37" s="4401"/>
      <c r="U37" s="1982" t="s">
        <v>6229</v>
      </c>
      <c r="V37" s="4385">
        <v>13</v>
      </c>
      <c r="W37" s="247" t="s">
        <v>180</v>
      </c>
      <c r="X37" s="7020">
        <f>155.25/1.12</f>
        <v>138.61607142857142</v>
      </c>
      <c r="Y37" s="7020">
        <f t="shared" ref="Y37" si="0">+V37*X37</f>
        <v>1802.0089285714284</v>
      </c>
      <c r="Z37" s="7020">
        <f t="shared" ref="Z37" si="1">+Y37*1.12</f>
        <v>2018.25</v>
      </c>
      <c r="AA37" s="7142"/>
      <c r="AB37" s="4390"/>
      <c r="AC37" s="1441"/>
      <c r="AD37" s="924"/>
      <c r="AE37" s="924" t="s">
        <v>153</v>
      </c>
      <c r="AF37" s="1434"/>
      <c r="AG37" s="11341"/>
    </row>
    <row r="38" spans="1:33" ht="18" customHeight="1">
      <c r="A38" s="9244"/>
      <c r="B38" s="11240"/>
      <c r="C38" s="11211"/>
      <c r="D38" s="11211"/>
      <c r="E38" s="11211"/>
      <c r="F38" s="11211"/>
      <c r="G38" s="11211"/>
      <c r="H38" s="11211"/>
      <c r="I38" s="11211"/>
      <c r="J38" s="11211"/>
      <c r="K38" s="11211"/>
      <c r="L38" s="11219"/>
      <c r="M38" s="11219"/>
      <c r="N38" s="11219"/>
      <c r="O38" s="11211"/>
      <c r="P38" s="11211"/>
      <c r="Q38" s="11213"/>
      <c r="R38" s="4395"/>
      <c r="S38" s="4402"/>
      <c r="T38" s="3363"/>
      <c r="U38" s="4462" t="s">
        <v>3781</v>
      </c>
      <c r="V38" s="4406">
        <v>1</v>
      </c>
      <c r="W38" s="3353" t="s">
        <v>180</v>
      </c>
      <c r="X38" s="7397">
        <f>630.95/1.12</f>
        <v>563.34821428571422</v>
      </c>
      <c r="Y38" s="7397">
        <f>+V38*X38</f>
        <v>563.34821428571422</v>
      </c>
      <c r="Z38" s="7397">
        <v>0</v>
      </c>
      <c r="AA38" s="7639"/>
      <c r="AB38" s="4408"/>
      <c r="AC38" s="1450"/>
      <c r="AD38" s="2862"/>
      <c r="AE38" s="2862"/>
      <c r="AF38" s="2863"/>
      <c r="AG38" s="11341"/>
    </row>
    <row r="39" spans="1:33" ht="18" customHeight="1">
      <c r="A39" s="9244"/>
      <c r="B39" s="11240"/>
      <c r="C39" s="11211"/>
      <c r="D39" s="11211"/>
      <c r="E39" s="11211"/>
      <c r="F39" s="11211"/>
      <c r="G39" s="11211"/>
      <c r="H39" s="11211"/>
      <c r="I39" s="11211"/>
      <c r="J39" s="11211"/>
      <c r="K39" s="11211"/>
      <c r="L39" s="11219"/>
      <c r="M39" s="11219"/>
      <c r="N39" s="11219"/>
      <c r="O39" s="11211"/>
      <c r="P39" s="11211"/>
      <c r="Q39" s="11213"/>
      <c r="R39" s="4395"/>
      <c r="S39" s="4402"/>
      <c r="T39" s="3363"/>
      <c r="U39" s="4462" t="s">
        <v>3782</v>
      </c>
      <c r="V39" s="4406">
        <v>1</v>
      </c>
      <c r="W39" s="3353" t="s">
        <v>180</v>
      </c>
      <c r="X39" s="7397">
        <f>800.8/1.12</f>
        <v>714.99999999999989</v>
      </c>
      <c r="Y39" s="7397">
        <f>+V39*X39</f>
        <v>714.99999999999989</v>
      </c>
      <c r="Z39" s="7397">
        <v>0</v>
      </c>
      <c r="AA39" s="7639"/>
      <c r="AB39" s="4408"/>
      <c r="AC39" s="1450"/>
      <c r="AD39" s="2862"/>
      <c r="AE39" s="2862"/>
      <c r="AF39" s="2863"/>
      <c r="AG39" s="11341"/>
    </row>
    <row r="40" spans="1:33" ht="19.5" customHeight="1">
      <c r="A40" s="9244"/>
      <c r="B40" s="11241"/>
      <c r="C40" s="11212"/>
      <c r="D40" s="11212"/>
      <c r="E40" s="11212"/>
      <c r="F40" s="11212"/>
      <c r="G40" s="11212"/>
      <c r="H40" s="11212"/>
      <c r="I40" s="11212"/>
      <c r="J40" s="11212"/>
      <c r="K40" s="11212"/>
      <c r="L40" s="11220"/>
      <c r="M40" s="11220"/>
      <c r="N40" s="11220"/>
      <c r="O40" s="11212"/>
      <c r="P40" s="11212"/>
      <c r="Q40" s="11214"/>
      <c r="R40" s="4396"/>
      <c r="S40" s="4403"/>
      <c r="T40" s="4403"/>
      <c r="U40" s="4463" t="s">
        <v>3783</v>
      </c>
      <c r="V40" s="4464">
        <v>2</v>
      </c>
      <c r="W40" s="4465" t="s">
        <v>180</v>
      </c>
      <c r="X40" s="7640">
        <f>1600/1.12</f>
        <v>1428.5714285714284</v>
      </c>
      <c r="Y40" s="7640">
        <f>+V40*X40</f>
        <v>2857.1428571428569</v>
      </c>
      <c r="Z40" s="7640">
        <v>0</v>
      </c>
      <c r="AA40" s="7146"/>
      <c r="AB40" s="4391"/>
      <c r="AC40" s="1442"/>
      <c r="AD40" s="967"/>
      <c r="AE40" s="967" t="s">
        <v>153</v>
      </c>
      <c r="AF40" s="1436"/>
      <c r="AG40" s="11342"/>
    </row>
    <row r="41" spans="1:33" ht="24" customHeight="1">
      <c r="A41" s="9244"/>
      <c r="B41" s="11228" t="s">
        <v>127</v>
      </c>
      <c r="C41" s="11210" t="s">
        <v>128</v>
      </c>
      <c r="D41" s="11210" t="s">
        <v>140</v>
      </c>
      <c r="E41" s="11210" t="s">
        <v>141</v>
      </c>
      <c r="F41" s="11216" t="s">
        <v>131</v>
      </c>
      <c r="G41" s="11210" t="s">
        <v>132</v>
      </c>
      <c r="H41" s="11210" t="s">
        <v>189</v>
      </c>
      <c r="I41" s="11210" t="s">
        <v>4758</v>
      </c>
      <c r="J41" s="11210" t="s">
        <v>4243</v>
      </c>
      <c r="K41" s="11210" t="s">
        <v>6230</v>
      </c>
      <c r="L41" s="11218">
        <v>0</v>
      </c>
      <c r="M41" s="11218">
        <v>0</v>
      </c>
      <c r="N41" s="11218">
        <v>1</v>
      </c>
      <c r="O41" s="11210" t="s">
        <v>6231</v>
      </c>
      <c r="P41" s="11210" t="s">
        <v>5195</v>
      </c>
      <c r="Q41" s="9705" t="s">
        <v>6209</v>
      </c>
      <c r="R41" s="2840"/>
      <c r="S41" s="1386"/>
      <c r="T41" s="1386"/>
      <c r="U41" s="1385"/>
      <c r="V41" s="921"/>
      <c r="W41" s="922"/>
      <c r="X41" s="7050"/>
      <c r="Y41" s="7050"/>
      <c r="Z41" s="7050"/>
      <c r="AA41" s="7147"/>
      <c r="AB41" s="1437"/>
      <c r="AC41" s="1437"/>
      <c r="AD41" s="922"/>
      <c r="AE41" s="1438"/>
      <c r="AF41" s="1438"/>
      <c r="AG41" s="9800"/>
    </row>
    <row r="42" spans="1:33" ht="24" customHeight="1">
      <c r="A42" s="9244"/>
      <c r="B42" s="11240"/>
      <c r="C42" s="11211"/>
      <c r="D42" s="11211"/>
      <c r="E42" s="11211"/>
      <c r="F42" s="11211"/>
      <c r="G42" s="11211"/>
      <c r="H42" s="11211"/>
      <c r="I42" s="11211"/>
      <c r="J42" s="11211"/>
      <c r="K42" s="11211"/>
      <c r="L42" s="11219"/>
      <c r="M42" s="11219"/>
      <c r="N42" s="11219"/>
      <c r="O42" s="11211"/>
      <c r="P42" s="11211"/>
      <c r="Q42" s="11213"/>
      <c r="R42" s="2837"/>
      <c r="S42" s="923"/>
      <c r="T42" s="923"/>
      <c r="U42" s="1383"/>
      <c r="V42" s="923"/>
      <c r="W42" s="924"/>
      <c r="X42" s="7046"/>
      <c r="Y42" s="7046"/>
      <c r="Z42" s="7046"/>
      <c r="AA42" s="7145"/>
      <c r="AB42" s="1433"/>
      <c r="AC42" s="1433"/>
      <c r="AD42" s="924"/>
      <c r="AE42" s="1434"/>
      <c r="AF42" s="1434"/>
      <c r="AG42" s="11334"/>
    </row>
    <row r="43" spans="1:33" ht="24" customHeight="1">
      <c r="A43" s="9244"/>
      <c r="B43" s="11240"/>
      <c r="C43" s="11211"/>
      <c r="D43" s="11211"/>
      <c r="E43" s="11211"/>
      <c r="F43" s="11211"/>
      <c r="G43" s="11211"/>
      <c r="H43" s="11211"/>
      <c r="I43" s="11211"/>
      <c r="J43" s="11211"/>
      <c r="K43" s="11211"/>
      <c r="L43" s="11219"/>
      <c r="M43" s="11219"/>
      <c r="N43" s="11219"/>
      <c r="O43" s="11211"/>
      <c r="P43" s="11211"/>
      <c r="Q43" s="11213"/>
      <c r="R43" s="2837"/>
      <c r="S43" s="923"/>
      <c r="T43" s="923"/>
      <c r="U43" s="1383"/>
      <c r="V43" s="923"/>
      <c r="W43" s="924"/>
      <c r="X43" s="7046"/>
      <c r="Y43" s="7046"/>
      <c r="Z43" s="7046"/>
      <c r="AA43" s="7145"/>
      <c r="AB43" s="1433"/>
      <c r="AC43" s="1433"/>
      <c r="AD43" s="924"/>
      <c r="AE43" s="1434"/>
      <c r="AF43" s="1434"/>
      <c r="AG43" s="11334"/>
    </row>
    <row r="44" spans="1:33" ht="24" customHeight="1">
      <c r="A44" s="9244"/>
      <c r="B44" s="11240"/>
      <c r="C44" s="11211"/>
      <c r="D44" s="11211"/>
      <c r="E44" s="11211"/>
      <c r="F44" s="11211"/>
      <c r="G44" s="11211"/>
      <c r="H44" s="11211"/>
      <c r="I44" s="11211"/>
      <c r="J44" s="11211"/>
      <c r="K44" s="11211"/>
      <c r="L44" s="11219"/>
      <c r="M44" s="11219"/>
      <c r="N44" s="11219"/>
      <c r="O44" s="11211"/>
      <c r="P44" s="11211"/>
      <c r="Q44" s="11213"/>
      <c r="R44" s="2837"/>
      <c r="S44" s="923"/>
      <c r="T44" s="923"/>
      <c r="U44" s="1383"/>
      <c r="V44" s="923"/>
      <c r="W44" s="924"/>
      <c r="X44" s="7046"/>
      <c r="Y44" s="7046"/>
      <c r="Z44" s="7046"/>
      <c r="AA44" s="7145"/>
      <c r="AB44" s="1433"/>
      <c r="AC44" s="1433"/>
      <c r="AD44" s="924"/>
      <c r="AE44" s="1434"/>
      <c r="AF44" s="1434"/>
      <c r="AG44" s="11334"/>
    </row>
    <row r="45" spans="1:33" ht="24" customHeight="1">
      <c r="A45" s="9244"/>
      <c r="B45" s="11241"/>
      <c r="C45" s="11212"/>
      <c r="D45" s="11212"/>
      <c r="E45" s="11212"/>
      <c r="F45" s="11212"/>
      <c r="G45" s="11212"/>
      <c r="H45" s="11212"/>
      <c r="I45" s="11212"/>
      <c r="J45" s="11212"/>
      <c r="K45" s="11212"/>
      <c r="L45" s="11220"/>
      <c r="M45" s="11220"/>
      <c r="N45" s="11220"/>
      <c r="O45" s="11212"/>
      <c r="P45" s="11212"/>
      <c r="Q45" s="11214"/>
      <c r="R45" s="2839"/>
      <c r="S45" s="966"/>
      <c r="T45" s="966"/>
      <c r="U45" s="1384"/>
      <c r="V45" s="966"/>
      <c r="W45" s="967"/>
      <c r="X45" s="7048"/>
      <c r="Y45" s="7048"/>
      <c r="Z45" s="7048"/>
      <c r="AA45" s="7146"/>
      <c r="AB45" s="1435"/>
      <c r="AC45" s="1435"/>
      <c r="AD45" s="967"/>
      <c r="AE45" s="1436"/>
      <c r="AF45" s="1436"/>
      <c r="AG45" s="11335"/>
    </row>
    <row r="46" spans="1:33" ht="24" customHeight="1">
      <c r="A46" s="9244" t="s">
        <v>4188</v>
      </c>
      <c r="B46" s="11228" t="s">
        <v>127</v>
      </c>
      <c r="C46" s="11210" t="s">
        <v>128</v>
      </c>
      <c r="D46" s="11210" t="s">
        <v>129</v>
      </c>
      <c r="E46" s="11210" t="s">
        <v>268</v>
      </c>
      <c r="F46" s="11216" t="s">
        <v>131</v>
      </c>
      <c r="G46" s="11210" t="s">
        <v>132</v>
      </c>
      <c r="H46" s="11210" t="s">
        <v>159</v>
      </c>
      <c r="I46" s="11210" t="s">
        <v>6232</v>
      </c>
      <c r="J46" s="11210" t="s">
        <v>4249</v>
      </c>
      <c r="K46" s="11210" t="s">
        <v>6233</v>
      </c>
      <c r="L46" s="11218">
        <v>1</v>
      </c>
      <c r="M46" s="11218">
        <v>1</v>
      </c>
      <c r="N46" s="11218">
        <v>1</v>
      </c>
      <c r="O46" s="11210" t="s">
        <v>5198</v>
      </c>
      <c r="P46" s="11210" t="s">
        <v>5199</v>
      </c>
      <c r="Q46" s="9705" t="s">
        <v>6209</v>
      </c>
      <c r="R46" s="2840"/>
      <c r="S46" s="1386"/>
      <c r="T46" s="1386"/>
      <c r="U46" s="1385"/>
      <c r="V46" s="921"/>
      <c r="W46" s="922"/>
      <c r="X46" s="7050"/>
      <c r="Y46" s="7050"/>
      <c r="Z46" s="7050"/>
      <c r="AA46" s="7147"/>
      <c r="AB46" s="1437"/>
      <c r="AC46" s="1437"/>
      <c r="AD46" s="922"/>
      <c r="AE46" s="1438"/>
      <c r="AF46" s="1438"/>
      <c r="AG46" s="9800"/>
    </row>
    <row r="47" spans="1:33" ht="24" customHeight="1">
      <c r="A47" s="9244"/>
      <c r="B47" s="11240"/>
      <c r="C47" s="11211"/>
      <c r="D47" s="11211"/>
      <c r="E47" s="11211"/>
      <c r="F47" s="11211"/>
      <c r="G47" s="11211"/>
      <c r="H47" s="11211"/>
      <c r="I47" s="11211"/>
      <c r="J47" s="11211"/>
      <c r="K47" s="11211"/>
      <c r="L47" s="11219"/>
      <c r="M47" s="11219"/>
      <c r="N47" s="11219"/>
      <c r="O47" s="11211"/>
      <c r="P47" s="11211"/>
      <c r="Q47" s="11213"/>
      <c r="R47" s="2837"/>
      <c r="S47" s="923"/>
      <c r="T47" s="923"/>
      <c r="U47" s="1383"/>
      <c r="V47" s="923"/>
      <c r="W47" s="924"/>
      <c r="X47" s="7046"/>
      <c r="Y47" s="7046"/>
      <c r="Z47" s="7046"/>
      <c r="AA47" s="7145"/>
      <c r="AB47" s="1433"/>
      <c r="AC47" s="1433"/>
      <c r="AD47" s="924"/>
      <c r="AE47" s="1434"/>
      <c r="AF47" s="1434"/>
      <c r="AG47" s="11334"/>
    </row>
    <row r="48" spans="1:33" ht="24" customHeight="1">
      <c r="A48" s="9244"/>
      <c r="B48" s="11240"/>
      <c r="C48" s="11211"/>
      <c r="D48" s="11211"/>
      <c r="E48" s="11211"/>
      <c r="F48" s="11211"/>
      <c r="G48" s="11211"/>
      <c r="H48" s="11211"/>
      <c r="I48" s="11211"/>
      <c r="J48" s="11211"/>
      <c r="K48" s="11211"/>
      <c r="L48" s="11219"/>
      <c r="M48" s="11219"/>
      <c r="N48" s="11219"/>
      <c r="O48" s="11211"/>
      <c r="P48" s="11211"/>
      <c r="Q48" s="11213"/>
      <c r="R48" s="2837"/>
      <c r="S48" s="923"/>
      <c r="T48" s="923"/>
      <c r="U48" s="1383"/>
      <c r="V48" s="923"/>
      <c r="W48" s="924"/>
      <c r="X48" s="7046"/>
      <c r="Y48" s="7046"/>
      <c r="Z48" s="7046"/>
      <c r="AA48" s="7145"/>
      <c r="AB48" s="1433"/>
      <c r="AC48" s="1433"/>
      <c r="AD48" s="924"/>
      <c r="AE48" s="1434"/>
      <c r="AF48" s="1434"/>
      <c r="AG48" s="11334"/>
    </row>
    <row r="49" spans="1:33" ht="24" customHeight="1">
      <c r="A49" s="9244"/>
      <c r="B49" s="11240"/>
      <c r="C49" s="11211"/>
      <c r="D49" s="11211"/>
      <c r="E49" s="11211"/>
      <c r="F49" s="11211"/>
      <c r="G49" s="11211"/>
      <c r="H49" s="11211"/>
      <c r="I49" s="11211"/>
      <c r="J49" s="11211"/>
      <c r="K49" s="11211"/>
      <c r="L49" s="11219"/>
      <c r="M49" s="11219"/>
      <c r="N49" s="11219"/>
      <c r="O49" s="11211"/>
      <c r="P49" s="11211"/>
      <c r="Q49" s="11213"/>
      <c r="R49" s="2838"/>
      <c r="S49" s="1391"/>
      <c r="T49" s="1391"/>
      <c r="U49" s="1383"/>
      <c r="V49" s="923"/>
      <c r="W49" s="924"/>
      <c r="X49" s="7046"/>
      <c r="Y49" s="7046"/>
      <c r="Z49" s="7046"/>
      <c r="AA49" s="7145"/>
      <c r="AB49" s="1433"/>
      <c r="AC49" s="1433"/>
      <c r="AD49" s="924"/>
      <c r="AE49" s="1434"/>
      <c r="AF49" s="1434"/>
      <c r="AG49" s="11334"/>
    </row>
    <row r="50" spans="1:33" ht="24" customHeight="1">
      <c r="A50" s="9244"/>
      <c r="B50" s="11241"/>
      <c r="C50" s="11212"/>
      <c r="D50" s="11212"/>
      <c r="E50" s="11212"/>
      <c r="F50" s="11212"/>
      <c r="G50" s="11212"/>
      <c r="H50" s="11212"/>
      <c r="I50" s="11212"/>
      <c r="J50" s="11212"/>
      <c r="K50" s="11212"/>
      <c r="L50" s="11220"/>
      <c r="M50" s="11220"/>
      <c r="N50" s="11220"/>
      <c r="O50" s="11212"/>
      <c r="P50" s="11212"/>
      <c r="Q50" s="11214"/>
      <c r="R50" s="2839"/>
      <c r="S50" s="966"/>
      <c r="T50" s="966"/>
      <c r="U50" s="1384"/>
      <c r="V50" s="966"/>
      <c r="W50" s="967"/>
      <c r="X50" s="7048"/>
      <c r="Y50" s="7048"/>
      <c r="Z50" s="7048"/>
      <c r="AA50" s="7146"/>
      <c r="AB50" s="1435"/>
      <c r="AC50" s="1435"/>
      <c r="AD50" s="967"/>
      <c r="AE50" s="1436"/>
      <c r="AF50" s="1436"/>
      <c r="AG50" s="11335"/>
    </row>
    <row r="51" spans="1:33" ht="24" customHeight="1">
      <c r="A51" s="9244"/>
      <c r="B51" s="11228" t="s">
        <v>127</v>
      </c>
      <c r="C51" s="11210" t="s">
        <v>128</v>
      </c>
      <c r="D51" s="11210" t="s">
        <v>140</v>
      </c>
      <c r="E51" s="11210" t="s">
        <v>1691</v>
      </c>
      <c r="F51" s="11216" t="s">
        <v>131</v>
      </c>
      <c r="G51" s="11210" t="s">
        <v>132</v>
      </c>
      <c r="H51" s="11210" t="s">
        <v>133</v>
      </c>
      <c r="I51" s="11210" t="s">
        <v>6234</v>
      </c>
      <c r="J51" s="11210" t="s">
        <v>6235</v>
      </c>
      <c r="K51" s="11210" t="s">
        <v>6236</v>
      </c>
      <c r="L51" s="11218">
        <v>0</v>
      </c>
      <c r="M51" s="11218">
        <v>1</v>
      </c>
      <c r="N51" s="11218">
        <v>2</v>
      </c>
      <c r="O51" s="11210" t="s">
        <v>6237</v>
      </c>
      <c r="P51" s="11210" t="s">
        <v>6238</v>
      </c>
      <c r="Q51" s="9705" t="s">
        <v>6239</v>
      </c>
      <c r="R51" s="2840"/>
      <c r="S51" s="1386"/>
      <c r="T51" s="1386"/>
      <c r="U51" s="1385"/>
      <c r="V51" s="921"/>
      <c r="W51" s="922"/>
      <c r="X51" s="7050"/>
      <c r="Y51" s="7050"/>
      <c r="Z51" s="7050"/>
      <c r="AA51" s="7147"/>
      <c r="AB51" s="1437"/>
      <c r="AC51" s="1437"/>
      <c r="AD51" s="922"/>
      <c r="AE51" s="1438"/>
      <c r="AF51" s="1438"/>
      <c r="AG51" s="9800"/>
    </row>
    <row r="52" spans="1:33" ht="24" customHeight="1">
      <c r="A52" s="9244"/>
      <c r="B52" s="11240"/>
      <c r="C52" s="11211"/>
      <c r="D52" s="11211"/>
      <c r="E52" s="11211"/>
      <c r="F52" s="11211"/>
      <c r="G52" s="11211"/>
      <c r="H52" s="11211"/>
      <c r="I52" s="11211"/>
      <c r="J52" s="11211"/>
      <c r="K52" s="11211"/>
      <c r="L52" s="11219"/>
      <c r="M52" s="11219"/>
      <c r="N52" s="11219"/>
      <c r="O52" s="11211"/>
      <c r="P52" s="11211"/>
      <c r="Q52" s="11213"/>
      <c r="R52" s="2837"/>
      <c r="S52" s="923"/>
      <c r="T52" s="923"/>
      <c r="U52" s="1383"/>
      <c r="V52" s="923"/>
      <c r="W52" s="924"/>
      <c r="X52" s="7046"/>
      <c r="Y52" s="7046"/>
      <c r="Z52" s="7046"/>
      <c r="AA52" s="7145"/>
      <c r="AB52" s="1433"/>
      <c r="AC52" s="1433"/>
      <c r="AD52" s="924"/>
      <c r="AE52" s="1434"/>
      <c r="AF52" s="1434"/>
      <c r="AG52" s="11334"/>
    </row>
    <row r="53" spans="1:33" ht="24" customHeight="1">
      <c r="A53" s="9244"/>
      <c r="B53" s="11240"/>
      <c r="C53" s="11211"/>
      <c r="D53" s="11211"/>
      <c r="E53" s="11211"/>
      <c r="F53" s="11211"/>
      <c r="G53" s="11211"/>
      <c r="H53" s="11211"/>
      <c r="I53" s="11211"/>
      <c r="J53" s="11211"/>
      <c r="K53" s="11211"/>
      <c r="L53" s="11219"/>
      <c r="M53" s="11219"/>
      <c r="N53" s="11219"/>
      <c r="O53" s="11211"/>
      <c r="P53" s="11211"/>
      <c r="Q53" s="11213"/>
      <c r="R53" s="2837"/>
      <c r="S53" s="923"/>
      <c r="T53" s="923"/>
      <c r="U53" s="1383"/>
      <c r="V53" s="923"/>
      <c r="W53" s="924"/>
      <c r="X53" s="7046"/>
      <c r="Y53" s="7046"/>
      <c r="Z53" s="7046"/>
      <c r="AA53" s="7145"/>
      <c r="AB53" s="1433"/>
      <c r="AC53" s="1433"/>
      <c r="AD53" s="924"/>
      <c r="AE53" s="1434"/>
      <c r="AF53" s="1434"/>
      <c r="AG53" s="11334"/>
    </row>
    <row r="54" spans="1:33" ht="24" customHeight="1">
      <c r="A54" s="9244"/>
      <c r="B54" s="11240"/>
      <c r="C54" s="11211"/>
      <c r="D54" s="11211"/>
      <c r="E54" s="11211"/>
      <c r="F54" s="11211"/>
      <c r="G54" s="11211"/>
      <c r="H54" s="11211"/>
      <c r="I54" s="11211"/>
      <c r="J54" s="11211"/>
      <c r="K54" s="11211"/>
      <c r="L54" s="11219"/>
      <c r="M54" s="11219"/>
      <c r="N54" s="11219"/>
      <c r="O54" s="11211"/>
      <c r="P54" s="11211"/>
      <c r="Q54" s="11213"/>
      <c r="R54" s="2838"/>
      <c r="S54" s="1391"/>
      <c r="T54" s="1391"/>
      <c r="U54" s="1383"/>
      <c r="V54" s="923"/>
      <c r="W54" s="924"/>
      <c r="X54" s="7046"/>
      <c r="Y54" s="7046"/>
      <c r="Z54" s="7046"/>
      <c r="AA54" s="7145"/>
      <c r="AB54" s="1433"/>
      <c r="AC54" s="1433"/>
      <c r="AD54" s="924"/>
      <c r="AE54" s="1434"/>
      <c r="AF54" s="1434"/>
      <c r="AG54" s="11334"/>
    </row>
    <row r="55" spans="1:33" ht="24" customHeight="1">
      <c r="A55" s="9244"/>
      <c r="B55" s="11241"/>
      <c r="C55" s="11212"/>
      <c r="D55" s="11212"/>
      <c r="E55" s="11212"/>
      <c r="F55" s="11212"/>
      <c r="G55" s="11212"/>
      <c r="H55" s="11212"/>
      <c r="I55" s="11212"/>
      <c r="J55" s="11212"/>
      <c r="K55" s="11212"/>
      <c r="L55" s="11220"/>
      <c r="M55" s="11220"/>
      <c r="N55" s="11220"/>
      <c r="O55" s="11212"/>
      <c r="P55" s="11212"/>
      <c r="Q55" s="11214"/>
      <c r="R55" s="2839"/>
      <c r="S55" s="966"/>
      <c r="T55" s="966"/>
      <c r="U55" s="1384"/>
      <c r="V55" s="966"/>
      <c r="W55" s="967"/>
      <c r="X55" s="7048"/>
      <c r="Y55" s="7048"/>
      <c r="Z55" s="7048"/>
      <c r="AA55" s="7146"/>
      <c r="AB55" s="1435"/>
      <c r="AC55" s="1435"/>
      <c r="AD55" s="967"/>
      <c r="AE55" s="1436"/>
      <c r="AF55" s="1436"/>
      <c r="AG55" s="11335"/>
    </row>
    <row r="56" spans="1:33" ht="18" customHeight="1">
      <c r="A56" s="9244"/>
      <c r="B56" s="11228" t="s">
        <v>183</v>
      </c>
      <c r="C56" s="11210" t="s">
        <v>227</v>
      </c>
      <c r="D56" s="11210" t="s">
        <v>228</v>
      </c>
      <c r="E56" s="11210" t="s">
        <v>2272</v>
      </c>
      <c r="F56" s="11216" t="s">
        <v>230</v>
      </c>
      <c r="G56" s="11210" t="s">
        <v>231</v>
      </c>
      <c r="H56" s="11210" t="s">
        <v>189</v>
      </c>
      <c r="I56" s="11210" t="s">
        <v>4775</v>
      </c>
      <c r="J56" s="11210" t="s">
        <v>4261</v>
      </c>
      <c r="K56" s="11210" t="s">
        <v>6240</v>
      </c>
      <c r="L56" s="11218">
        <v>1</v>
      </c>
      <c r="M56" s="11218">
        <v>0</v>
      </c>
      <c r="N56" s="11218">
        <v>1</v>
      </c>
      <c r="O56" s="11210" t="s">
        <v>5205</v>
      </c>
      <c r="P56" s="11210" t="s">
        <v>5206</v>
      </c>
      <c r="Q56" s="9705" t="s">
        <v>6209</v>
      </c>
      <c r="R56" s="2840"/>
      <c r="S56" s="1386"/>
      <c r="T56" s="1386"/>
      <c r="U56" s="1385"/>
      <c r="V56" s="921"/>
      <c r="W56" s="922"/>
      <c r="X56" s="7050"/>
      <c r="Y56" s="7050"/>
      <c r="Z56" s="7050"/>
      <c r="AA56" s="7147"/>
      <c r="AB56" s="1437"/>
      <c r="AC56" s="1437"/>
      <c r="AD56" s="922"/>
      <c r="AE56" s="1438"/>
      <c r="AF56" s="1438"/>
      <c r="AG56" s="9800"/>
    </row>
    <row r="57" spans="1:33" ht="18" customHeight="1">
      <c r="A57" s="9244"/>
      <c r="B57" s="11240"/>
      <c r="C57" s="11211"/>
      <c r="D57" s="11211"/>
      <c r="E57" s="11211"/>
      <c r="F57" s="11211"/>
      <c r="G57" s="11211"/>
      <c r="H57" s="11211"/>
      <c r="I57" s="11211"/>
      <c r="J57" s="11211"/>
      <c r="K57" s="11211"/>
      <c r="L57" s="11219"/>
      <c r="M57" s="11219"/>
      <c r="N57" s="11219"/>
      <c r="O57" s="11211"/>
      <c r="P57" s="11211"/>
      <c r="Q57" s="11213"/>
      <c r="R57" s="2837"/>
      <c r="S57" s="923"/>
      <c r="T57" s="923"/>
      <c r="U57" s="1383"/>
      <c r="V57" s="923"/>
      <c r="W57" s="924"/>
      <c r="X57" s="7046"/>
      <c r="Y57" s="7046"/>
      <c r="Z57" s="7046"/>
      <c r="AA57" s="7145"/>
      <c r="AB57" s="1433"/>
      <c r="AC57" s="1433"/>
      <c r="AD57" s="924"/>
      <c r="AE57" s="1434"/>
      <c r="AF57" s="1434"/>
      <c r="AG57" s="11334"/>
    </row>
    <row r="58" spans="1:33" ht="18" customHeight="1">
      <c r="A58" s="9244"/>
      <c r="B58" s="11240"/>
      <c r="C58" s="11211"/>
      <c r="D58" s="11211"/>
      <c r="E58" s="11211"/>
      <c r="F58" s="11211"/>
      <c r="G58" s="11211"/>
      <c r="H58" s="11211"/>
      <c r="I58" s="11211"/>
      <c r="J58" s="11211"/>
      <c r="K58" s="11211"/>
      <c r="L58" s="11219"/>
      <c r="M58" s="11219"/>
      <c r="N58" s="11219"/>
      <c r="O58" s="11211"/>
      <c r="P58" s="11211"/>
      <c r="Q58" s="11213"/>
      <c r="R58" s="2837"/>
      <c r="S58" s="923"/>
      <c r="T58" s="923"/>
      <c r="U58" s="1383"/>
      <c r="V58" s="923"/>
      <c r="W58" s="924"/>
      <c r="X58" s="7046"/>
      <c r="Y58" s="7046"/>
      <c r="Z58" s="7046"/>
      <c r="AA58" s="7145"/>
      <c r="AB58" s="1433"/>
      <c r="AC58" s="1433"/>
      <c r="AD58" s="924"/>
      <c r="AE58" s="1434"/>
      <c r="AF58" s="1434"/>
      <c r="AG58" s="11334"/>
    </row>
    <row r="59" spans="1:33" ht="18" customHeight="1">
      <c r="A59" s="9244"/>
      <c r="B59" s="11240"/>
      <c r="C59" s="11211"/>
      <c r="D59" s="11211"/>
      <c r="E59" s="11211"/>
      <c r="F59" s="11211"/>
      <c r="G59" s="11211"/>
      <c r="H59" s="11211"/>
      <c r="I59" s="11211"/>
      <c r="J59" s="11211"/>
      <c r="K59" s="11211"/>
      <c r="L59" s="11219"/>
      <c r="M59" s="11219"/>
      <c r="N59" s="11219"/>
      <c r="O59" s="11211"/>
      <c r="P59" s="11211"/>
      <c r="Q59" s="11213"/>
      <c r="R59" s="2838"/>
      <c r="S59" s="1391"/>
      <c r="T59" s="1391"/>
      <c r="U59" s="1383"/>
      <c r="V59" s="923"/>
      <c r="W59" s="924"/>
      <c r="X59" s="7046"/>
      <c r="Y59" s="7046"/>
      <c r="Z59" s="7046"/>
      <c r="AA59" s="7145"/>
      <c r="AB59" s="1433"/>
      <c r="AC59" s="1433"/>
      <c r="AD59" s="924"/>
      <c r="AE59" s="1434"/>
      <c r="AF59" s="1434"/>
      <c r="AG59" s="11334"/>
    </row>
    <row r="60" spans="1:33" ht="18" customHeight="1">
      <c r="A60" s="9244"/>
      <c r="B60" s="11241"/>
      <c r="C60" s="11212"/>
      <c r="D60" s="11212"/>
      <c r="E60" s="11212"/>
      <c r="F60" s="11212"/>
      <c r="G60" s="11212"/>
      <c r="H60" s="11212"/>
      <c r="I60" s="11212"/>
      <c r="J60" s="11212"/>
      <c r="K60" s="11212"/>
      <c r="L60" s="11220"/>
      <c r="M60" s="11220"/>
      <c r="N60" s="11220"/>
      <c r="O60" s="11212"/>
      <c r="P60" s="11212"/>
      <c r="Q60" s="11214"/>
      <c r="R60" s="2839"/>
      <c r="S60" s="966"/>
      <c r="T60" s="966"/>
      <c r="U60" s="1384"/>
      <c r="V60" s="966"/>
      <c r="W60" s="967"/>
      <c r="X60" s="7048"/>
      <c r="Y60" s="7048"/>
      <c r="Z60" s="7048"/>
      <c r="AA60" s="7146"/>
      <c r="AB60" s="1435"/>
      <c r="AC60" s="1435"/>
      <c r="AD60" s="967"/>
      <c r="AE60" s="1436"/>
      <c r="AF60" s="1436"/>
      <c r="AG60" s="11335"/>
    </row>
    <row r="61" spans="1:33" ht="24" customHeight="1">
      <c r="A61" s="9244"/>
      <c r="B61" s="11228" t="s">
        <v>127</v>
      </c>
      <c r="C61" s="11210" t="s">
        <v>128</v>
      </c>
      <c r="D61" s="11210" t="s">
        <v>129</v>
      </c>
      <c r="E61" s="11210" t="s">
        <v>268</v>
      </c>
      <c r="F61" s="11216" t="s">
        <v>131</v>
      </c>
      <c r="G61" s="11210" t="s">
        <v>132</v>
      </c>
      <c r="H61" s="11210" t="s">
        <v>189</v>
      </c>
      <c r="I61" s="11210" t="s">
        <v>6241</v>
      </c>
      <c r="J61" s="11210" t="s">
        <v>6242</v>
      </c>
      <c r="K61" s="11210" t="s">
        <v>5208</v>
      </c>
      <c r="L61" s="11218">
        <v>0</v>
      </c>
      <c r="M61" s="11218">
        <v>0</v>
      </c>
      <c r="N61" s="11218">
        <v>1</v>
      </c>
      <c r="O61" s="11210" t="s">
        <v>6243</v>
      </c>
      <c r="P61" s="11210" t="s">
        <v>5210</v>
      </c>
      <c r="Q61" s="9705" t="s">
        <v>6209</v>
      </c>
      <c r="R61" s="2843"/>
      <c r="S61" s="517"/>
      <c r="T61" s="517"/>
      <c r="U61" s="515"/>
      <c r="V61" s="516"/>
      <c r="W61" s="487"/>
      <c r="X61" s="7045"/>
      <c r="Y61" s="7045"/>
      <c r="Z61" s="7045"/>
      <c r="AA61" s="7144"/>
      <c r="AB61" s="1439"/>
      <c r="AC61" s="1439"/>
      <c r="AD61" s="487"/>
      <c r="AE61" s="1440"/>
      <c r="AF61" s="1440"/>
      <c r="AG61" s="9825"/>
    </row>
    <row r="62" spans="1:33" ht="24" customHeight="1">
      <c r="A62" s="9244"/>
      <c r="B62" s="11240"/>
      <c r="C62" s="11211"/>
      <c r="D62" s="11211"/>
      <c r="E62" s="11211"/>
      <c r="F62" s="11211"/>
      <c r="G62" s="11211"/>
      <c r="H62" s="11211"/>
      <c r="I62" s="11211"/>
      <c r="J62" s="11211"/>
      <c r="K62" s="11211"/>
      <c r="L62" s="11219"/>
      <c r="M62" s="11219"/>
      <c r="N62" s="11219"/>
      <c r="O62" s="11211"/>
      <c r="P62" s="11211"/>
      <c r="Q62" s="11213"/>
      <c r="R62" s="2841"/>
      <c r="S62" s="513"/>
      <c r="T62" s="513"/>
      <c r="U62" s="246"/>
      <c r="V62" s="513"/>
      <c r="W62" s="247"/>
      <c r="X62" s="7020"/>
      <c r="Y62" s="7020"/>
      <c r="Z62" s="7020"/>
      <c r="AA62" s="7142"/>
      <c r="AB62" s="1441"/>
      <c r="AC62" s="1441"/>
      <c r="AD62" s="247"/>
      <c r="AE62" s="413"/>
      <c r="AF62" s="413"/>
      <c r="AG62" s="11264"/>
    </row>
    <row r="63" spans="1:33" ht="24" customHeight="1">
      <c r="A63" s="9244"/>
      <c r="B63" s="11240"/>
      <c r="C63" s="11211"/>
      <c r="D63" s="11211"/>
      <c r="E63" s="11211"/>
      <c r="F63" s="11211"/>
      <c r="G63" s="11211"/>
      <c r="H63" s="11211"/>
      <c r="I63" s="11211"/>
      <c r="J63" s="11211"/>
      <c r="K63" s="11211"/>
      <c r="L63" s="11219"/>
      <c r="M63" s="11219"/>
      <c r="N63" s="11219"/>
      <c r="O63" s="11211"/>
      <c r="P63" s="11211"/>
      <c r="Q63" s="11213"/>
      <c r="R63" s="2841"/>
      <c r="S63" s="513"/>
      <c r="T63" s="513"/>
      <c r="U63" s="246"/>
      <c r="V63" s="513"/>
      <c r="W63" s="247"/>
      <c r="X63" s="7020"/>
      <c r="Y63" s="7020"/>
      <c r="Z63" s="7020"/>
      <c r="AA63" s="7142"/>
      <c r="AB63" s="1441"/>
      <c r="AC63" s="1441"/>
      <c r="AD63" s="247"/>
      <c r="AE63" s="413"/>
      <c r="AF63" s="413"/>
      <c r="AG63" s="11264"/>
    </row>
    <row r="64" spans="1:33" ht="24" customHeight="1">
      <c r="A64" s="9244"/>
      <c r="B64" s="11240"/>
      <c r="C64" s="11211"/>
      <c r="D64" s="11211"/>
      <c r="E64" s="11211"/>
      <c r="F64" s="11211"/>
      <c r="G64" s="11211"/>
      <c r="H64" s="11211"/>
      <c r="I64" s="11211"/>
      <c r="J64" s="11211"/>
      <c r="K64" s="11211"/>
      <c r="L64" s="11219"/>
      <c r="M64" s="11219"/>
      <c r="N64" s="11219"/>
      <c r="O64" s="11211"/>
      <c r="P64" s="11211"/>
      <c r="Q64" s="11213"/>
      <c r="R64" s="2841"/>
      <c r="S64" s="513"/>
      <c r="T64" s="513"/>
      <c r="U64" s="246"/>
      <c r="V64" s="513"/>
      <c r="W64" s="247"/>
      <c r="X64" s="7020"/>
      <c r="Y64" s="7020"/>
      <c r="Z64" s="7020"/>
      <c r="AA64" s="7142"/>
      <c r="AB64" s="1441"/>
      <c r="AC64" s="1441"/>
      <c r="AD64" s="247"/>
      <c r="AE64" s="413"/>
      <c r="AF64" s="413"/>
      <c r="AG64" s="11264"/>
    </row>
    <row r="65" spans="1:33" ht="24" customHeight="1">
      <c r="A65" s="9244"/>
      <c r="B65" s="11241"/>
      <c r="C65" s="11212"/>
      <c r="D65" s="11212"/>
      <c r="E65" s="11212"/>
      <c r="F65" s="11212"/>
      <c r="G65" s="11212"/>
      <c r="H65" s="11212"/>
      <c r="I65" s="11212"/>
      <c r="J65" s="11212"/>
      <c r="K65" s="11212"/>
      <c r="L65" s="11220"/>
      <c r="M65" s="11220"/>
      <c r="N65" s="11220"/>
      <c r="O65" s="11212"/>
      <c r="P65" s="11212"/>
      <c r="Q65" s="11214"/>
      <c r="R65" s="2842"/>
      <c r="S65" s="514"/>
      <c r="T65" s="514"/>
      <c r="U65" s="260"/>
      <c r="V65" s="514"/>
      <c r="W65" s="252"/>
      <c r="X65" s="7021"/>
      <c r="Y65" s="7021"/>
      <c r="Z65" s="7021"/>
      <c r="AA65" s="7143"/>
      <c r="AB65" s="1442"/>
      <c r="AC65" s="1442"/>
      <c r="AD65" s="252"/>
      <c r="AE65" s="414"/>
      <c r="AF65" s="414"/>
      <c r="AG65" s="11265"/>
    </row>
    <row r="66" spans="1:33" ht="18" customHeight="1">
      <c r="A66" s="9244"/>
      <c r="B66" s="11228" t="s">
        <v>183</v>
      </c>
      <c r="C66" s="11210" t="s">
        <v>227</v>
      </c>
      <c r="D66" s="11210" t="s">
        <v>228</v>
      </c>
      <c r="E66" s="11210" t="s">
        <v>255</v>
      </c>
      <c r="F66" s="11216" t="s">
        <v>230</v>
      </c>
      <c r="G66" s="11210" t="s">
        <v>132</v>
      </c>
      <c r="H66" s="11210" t="s">
        <v>214</v>
      </c>
      <c r="I66" s="11210" t="s">
        <v>6244</v>
      </c>
      <c r="J66" s="11210" t="s">
        <v>4784</v>
      </c>
      <c r="K66" s="11210" t="s">
        <v>5213</v>
      </c>
      <c r="L66" s="11218">
        <v>0</v>
      </c>
      <c r="M66" s="11218">
        <v>0</v>
      </c>
      <c r="N66" s="11218">
        <v>1</v>
      </c>
      <c r="O66" s="11210" t="s">
        <v>5214</v>
      </c>
      <c r="P66" s="11210" t="s">
        <v>5215</v>
      </c>
      <c r="Q66" s="9705" t="s">
        <v>6245</v>
      </c>
      <c r="R66" s="2843"/>
      <c r="S66" s="517"/>
      <c r="T66" s="517"/>
      <c r="U66" s="515"/>
      <c r="V66" s="516"/>
      <c r="W66" s="487"/>
      <c r="X66" s="7045"/>
      <c r="Y66" s="7045"/>
      <c r="Z66" s="7045"/>
      <c r="AA66" s="7144"/>
      <c r="AB66" s="1439"/>
      <c r="AC66" s="1439"/>
      <c r="AD66" s="487"/>
      <c r="AE66" s="1440"/>
      <c r="AF66" s="1440"/>
      <c r="AG66" s="9825"/>
    </row>
    <row r="67" spans="1:33" ht="18" customHeight="1">
      <c r="A67" s="9244"/>
      <c r="B67" s="11240"/>
      <c r="C67" s="11211"/>
      <c r="D67" s="11211"/>
      <c r="E67" s="11211"/>
      <c r="F67" s="11211"/>
      <c r="G67" s="11211"/>
      <c r="H67" s="11211"/>
      <c r="I67" s="11211"/>
      <c r="J67" s="11211"/>
      <c r="K67" s="11211"/>
      <c r="L67" s="11219"/>
      <c r="M67" s="11219"/>
      <c r="N67" s="11219"/>
      <c r="O67" s="11211"/>
      <c r="P67" s="11211"/>
      <c r="Q67" s="11213"/>
      <c r="R67" s="2841"/>
      <c r="S67" s="513"/>
      <c r="T67" s="513"/>
      <c r="U67" s="246"/>
      <c r="V67" s="513"/>
      <c r="W67" s="247"/>
      <c r="X67" s="7020"/>
      <c r="Y67" s="7020"/>
      <c r="Z67" s="7020"/>
      <c r="AA67" s="7142"/>
      <c r="AB67" s="1441"/>
      <c r="AC67" s="1441"/>
      <c r="AD67" s="247"/>
      <c r="AE67" s="413"/>
      <c r="AF67" s="413"/>
      <c r="AG67" s="11264"/>
    </row>
    <row r="68" spans="1:33" ht="18" customHeight="1">
      <c r="A68" s="9244"/>
      <c r="B68" s="11240"/>
      <c r="C68" s="11211"/>
      <c r="D68" s="11211"/>
      <c r="E68" s="11211"/>
      <c r="F68" s="11211"/>
      <c r="G68" s="11211"/>
      <c r="H68" s="11211"/>
      <c r="I68" s="11211"/>
      <c r="J68" s="11211"/>
      <c r="K68" s="11211"/>
      <c r="L68" s="11219"/>
      <c r="M68" s="11219"/>
      <c r="N68" s="11219"/>
      <c r="O68" s="11211"/>
      <c r="P68" s="11211"/>
      <c r="Q68" s="11213"/>
      <c r="R68" s="2841"/>
      <c r="S68" s="513"/>
      <c r="T68" s="513"/>
      <c r="U68" s="246"/>
      <c r="V68" s="513"/>
      <c r="W68" s="247"/>
      <c r="X68" s="7020"/>
      <c r="Y68" s="7020"/>
      <c r="Z68" s="7020"/>
      <c r="AA68" s="7142"/>
      <c r="AB68" s="1441"/>
      <c r="AC68" s="1441"/>
      <c r="AD68" s="247"/>
      <c r="AE68" s="413"/>
      <c r="AF68" s="413"/>
      <c r="AG68" s="11264"/>
    </row>
    <row r="69" spans="1:33" ht="18" customHeight="1">
      <c r="A69" s="9244"/>
      <c r="B69" s="11240"/>
      <c r="C69" s="11211"/>
      <c r="D69" s="11211"/>
      <c r="E69" s="11211"/>
      <c r="F69" s="11211"/>
      <c r="G69" s="11211"/>
      <c r="H69" s="11211"/>
      <c r="I69" s="11211"/>
      <c r="J69" s="11211"/>
      <c r="K69" s="11211"/>
      <c r="L69" s="11219"/>
      <c r="M69" s="11219"/>
      <c r="N69" s="11219"/>
      <c r="O69" s="11211"/>
      <c r="P69" s="11211"/>
      <c r="Q69" s="11213"/>
      <c r="R69" s="2844"/>
      <c r="S69" s="350"/>
      <c r="T69" s="350"/>
      <c r="U69" s="246"/>
      <c r="V69" s="513"/>
      <c r="W69" s="247"/>
      <c r="X69" s="7020"/>
      <c r="Y69" s="7020"/>
      <c r="Z69" s="7020"/>
      <c r="AA69" s="7142"/>
      <c r="AB69" s="1441"/>
      <c r="AC69" s="1441"/>
      <c r="AD69" s="247"/>
      <c r="AE69" s="413"/>
      <c r="AF69" s="413"/>
      <c r="AG69" s="11264"/>
    </row>
    <row r="70" spans="1:33" ht="18" customHeight="1">
      <c r="A70" s="9244"/>
      <c r="B70" s="11241"/>
      <c r="C70" s="11212"/>
      <c r="D70" s="11212"/>
      <c r="E70" s="11212"/>
      <c r="F70" s="11212"/>
      <c r="G70" s="11212"/>
      <c r="H70" s="11212"/>
      <c r="I70" s="11212"/>
      <c r="J70" s="11212"/>
      <c r="K70" s="11212"/>
      <c r="L70" s="11220"/>
      <c r="M70" s="11220"/>
      <c r="N70" s="11220"/>
      <c r="O70" s="11212"/>
      <c r="P70" s="11212"/>
      <c r="Q70" s="11214"/>
      <c r="R70" s="2842"/>
      <c r="S70" s="514"/>
      <c r="T70" s="514"/>
      <c r="U70" s="260"/>
      <c r="V70" s="514"/>
      <c r="W70" s="252"/>
      <c r="X70" s="7021"/>
      <c r="Y70" s="7021"/>
      <c r="Z70" s="7021"/>
      <c r="AA70" s="7143"/>
      <c r="AB70" s="1442"/>
      <c r="AC70" s="1442"/>
      <c r="AD70" s="252"/>
      <c r="AE70" s="414"/>
      <c r="AF70" s="414"/>
      <c r="AG70" s="11265"/>
    </row>
    <row r="71" spans="1:33" ht="24" customHeight="1">
      <c r="A71" s="9244"/>
      <c r="B71" s="11228" t="s">
        <v>127</v>
      </c>
      <c r="C71" s="11210" t="s">
        <v>128</v>
      </c>
      <c r="D71" s="11210" t="s">
        <v>129</v>
      </c>
      <c r="E71" s="11210" t="s">
        <v>268</v>
      </c>
      <c r="F71" s="11216" t="s">
        <v>131</v>
      </c>
      <c r="G71" s="11210" t="s">
        <v>132</v>
      </c>
      <c r="H71" s="11210" t="s">
        <v>189</v>
      </c>
      <c r="I71" s="11210" t="s">
        <v>4788</v>
      </c>
      <c r="J71" s="11210" t="s">
        <v>286</v>
      </c>
      <c r="K71" s="11210" t="s">
        <v>6246</v>
      </c>
      <c r="L71" s="11218">
        <v>0</v>
      </c>
      <c r="M71" s="11218">
        <v>1</v>
      </c>
      <c r="N71" s="11218">
        <v>1</v>
      </c>
      <c r="O71" s="11210" t="s">
        <v>6247</v>
      </c>
      <c r="P71" s="11210" t="s">
        <v>6248</v>
      </c>
      <c r="Q71" s="9705" t="s">
        <v>6249</v>
      </c>
      <c r="R71" s="2843"/>
      <c r="S71" s="517"/>
      <c r="T71" s="517"/>
      <c r="U71" s="515"/>
      <c r="V71" s="516"/>
      <c r="W71" s="487"/>
      <c r="X71" s="7045"/>
      <c r="Y71" s="7045"/>
      <c r="Z71" s="7045"/>
      <c r="AA71" s="7144"/>
      <c r="AB71" s="1439"/>
      <c r="AC71" s="1439"/>
      <c r="AD71" s="487"/>
      <c r="AE71" s="1440"/>
      <c r="AF71" s="1440"/>
      <c r="AG71" s="9825"/>
    </row>
    <row r="72" spans="1:33" ht="24" customHeight="1">
      <c r="A72" s="9244"/>
      <c r="B72" s="11240"/>
      <c r="C72" s="11211"/>
      <c r="D72" s="11211"/>
      <c r="E72" s="11211"/>
      <c r="F72" s="11211"/>
      <c r="G72" s="11211"/>
      <c r="H72" s="11211"/>
      <c r="I72" s="11211"/>
      <c r="J72" s="11211"/>
      <c r="K72" s="11211"/>
      <c r="L72" s="11219"/>
      <c r="M72" s="11219"/>
      <c r="N72" s="11219"/>
      <c r="O72" s="11211"/>
      <c r="P72" s="11211"/>
      <c r="Q72" s="11213"/>
      <c r="R72" s="2841"/>
      <c r="S72" s="513"/>
      <c r="T72" s="513"/>
      <c r="U72" s="246"/>
      <c r="V72" s="513"/>
      <c r="W72" s="247"/>
      <c r="X72" s="7020"/>
      <c r="Y72" s="7020"/>
      <c r="Z72" s="7020"/>
      <c r="AA72" s="7142"/>
      <c r="AB72" s="1441"/>
      <c r="AC72" s="1441"/>
      <c r="AD72" s="247"/>
      <c r="AE72" s="413"/>
      <c r="AF72" s="413"/>
      <c r="AG72" s="11264"/>
    </row>
    <row r="73" spans="1:33" ht="24" customHeight="1">
      <c r="A73" s="9244"/>
      <c r="B73" s="11240"/>
      <c r="C73" s="11211"/>
      <c r="D73" s="11211"/>
      <c r="E73" s="11211"/>
      <c r="F73" s="11211"/>
      <c r="G73" s="11211"/>
      <c r="H73" s="11211"/>
      <c r="I73" s="11211"/>
      <c r="J73" s="11211"/>
      <c r="K73" s="11211"/>
      <c r="L73" s="11219"/>
      <c r="M73" s="11219"/>
      <c r="N73" s="11219"/>
      <c r="O73" s="11211"/>
      <c r="P73" s="11211"/>
      <c r="Q73" s="11213"/>
      <c r="R73" s="2841"/>
      <c r="S73" s="513"/>
      <c r="T73" s="513"/>
      <c r="U73" s="246"/>
      <c r="V73" s="513"/>
      <c r="W73" s="247"/>
      <c r="X73" s="7020"/>
      <c r="Y73" s="7020"/>
      <c r="Z73" s="7020"/>
      <c r="AA73" s="7142"/>
      <c r="AB73" s="1441"/>
      <c r="AC73" s="1441"/>
      <c r="AD73" s="247"/>
      <c r="AE73" s="413"/>
      <c r="AF73" s="413"/>
      <c r="AG73" s="11264"/>
    </row>
    <row r="74" spans="1:33" ht="24" customHeight="1">
      <c r="A74" s="9244"/>
      <c r="B74" s="11240"/>
      <c r="C74" s="11211"/>
      <c r="D74" s="11211"/>
      <c r="E74" s="11211"/>
      <c r="F74" s="11211"/>
      <c r="G74" s="11211"/>
      <c r="H74" s="11211"/>
      <c r="I74" s="11211"/>
      <c r="J74" s="11211"/>
      <c r="K74" s="11211"/>
      <c r="L74" s="11219"/>
      <c r="M74" s="11219"/>
      <c r="N74" s="11219"/>
      <c r="O74" s="11211"/>
      <c r="P74" s="11211"/>
      <c r="Q74" s="11213"/>
      <c r="R74" s="2841"/>
      <c r="S74" s="513"/>
      <c r="T74" s="513"/>
      <c r="U74" s="246"/>
      <c r="V74" s="513"/>
      <c r="W74" s="247"/>
      <c r="X74" s="7020"/>
      <c r="Y74" s="7020"/>
      <c r="Z74" s="7020"/>
      <c r="AA74" s="7142"/>
      <c r="AB74" s="1441"/>
      <c r="AC74" s="1441"/>
      <c r="AD74" s="247"/>
      <c r="AE74" s="413"/>
      <c r="AF74" s="413"/>
      <c r="AG74" s="11264"/>
    </row>
    <row r="75" spans="1:33" ht="24" customHeight="1">
      <c r="A75" s="9244"/>
      <c r="B75" s="11241"/>
      <c r="C75" s="11212"/>
      <c r="D75" s="11212"/>
      <c r="E75" s="11212"/>
      <c r="F75" s="11212"/>
      <c r="G75" s="11212"/>
      <c r="H75" s="11212"/>
      <c r="I75" s="11212"/>
      <c r="J75" s="11212"/>
      <c r="K75" s="11212"/>
      <c r="L75" s="11220"/>
      <c r="M75" s="11220"/>
      <c r="N75" s="11220"/>
      <c r="O75" s="11212"/>
      <c r="P75" s="11212"/>
      <c r="Q75" s="11214"/>
      <c r="R75" s="2842"/>
      <c r="S75" s="514"/>
      <c r="T75" s="514"/>
      <c r="U75" s="260"/>
      <c r="V75" s="514"/>
      <c r="W75" s="252"/>
      <c r="X75" s="7021"/>
      <c r="Y75" s="7021"/>
      <c r="Z75" s="7021"/>
      <c r="AA75" s="7143"/>
      <c r="AB75" s="1442"/>
      <c r="AC75" s="1442"/>
      <c r="AD75" s="252"/>
      <c r="AE75" s="414"/>
      <c r="AF75" s="414"/>
      <c r="AG75" s="11265"/>
    </row>
    <row r="76" spans="1:33" ht="25.5" customHeight="1">
      <c r="A76" s="9244"/>
      <c r="B76" s="11228" t="s">
        <v>127</v>
      </c>
      <c r="C76" s="11210" t="s">
        <v>128</v>
      </c>
      <c r="D76" s="11210" t="s">
        <v>129</v>
      </c>
      <c r="E76" s="11210" t="s">
        <v>268</v>
      </c>
      <c r="F76" s="11216" t="s">
        <v>131</v>
      </c>
      <c r="G76" s="11210" t="s">
        <v>132</v>
      </c>
      <c r="H76" s="11210" t="s">
        <v>189</v>
      </c>
      <c r="I76" s="11210" t="s">
        <v>1721</v>
      </c>
      <c r="J76" s="11210" t="s">
        <v>1378</v>
      </c>
      <c r="K76" s="11210" t="s">
        <v>6250</v>
      </c>
      <c r="L76" s="11218">
        <v>0</v>
      </c>
      <c r="M76" s="11218">
        <v>0</v>
      </c>
      <c r="N76" s="11218">
        <v>1</v>
      </c>
      <c r="O76" s="11210" t="s">
        <v>5858</v>
      </c>
      <c r="P76" s="11210" t="s">
        <v>1381</v>
      </c>
      <c r="Q76" s="9705" t="s">
        <v>6251</v>
      </c>
      <c r="R76" s="2843"/>
      <c r="S76" s="517"/>
      <c r="T76" s="517"/>
      <c r="U76" s="515"/>
      <c r="V76" s="516"/>
      <c r="W76" s="487"/>
      <c r="X76" s="7045"/>
      <c r="Y76" s="7045"/>
      <c r="Z76" s="7045"/>
      <c r="AA76" s="7144"/>
      <c r="AB76" s="1439"/>
      <c r="AC76" s="1439"/>
      <c r="AD76" s="487"/>
      <c r="AE76" s="1440"/>
      <c r="AF76" s="1440"/>
      <c r="AG76" s="9825"/>
    </row>
    <row r="77" spans="1:33" ht="25.5" customHeight="1">
      <c r="A77" s="9244"/>
      <c r="B77" s="11240"/>
      <c r="C77" s="11211"/>
      <c r="D77" s="11211"/>
      <c r="E77" s="11211"/>
      <c r="F77" s="11211"/>
      <c r="G77" s="11211"/>
      <c r="H77" s="11211"/>
      <c r="I77" s="11211"/>
      <c r="J77" s="11211"/>
      <c r="K77" s="11211"/>
      <c r="L77" s="11219"/>
      <c r="M77" s="11219"/>
      <c r="N77" s="11219"/>
      <c r="O77" s="11211"/>
      <c r="P77" s="11211"/>
      <c r="Q77" s="11213"/>
      <c r="R77" s="2841"/>
      <c r="S77" s="513"/>
      <c r="T77" s="513"/>
      <c r="U77" s="246"/>
      <c r="V77" s="513"/>
      <c r="W77" s="247"/>
      <c r="X77" s="7020"/>
      <c r="Y77" s="7020"/>
      <c r="Z77" s="7020"/>
      <c r="AA77" s="7142"/>
      <c r="AB77" s="1441"/>
      <c r="AC77" s="1441"/>
      <c r="AD77" s="247"/>
      <c r="AE77" s="413"/>
      <c r="AF77" s="413"/>
      <c r="AG77" s="11264"/>
    </row>
    <row r="78" spans="1:33" ht="25.5" customHeight="1">
      <c r="A78" s="9244"/>
      <c r="B78" s="11240"/>
      <c r="C78" s="11211"/>
      <c r="D78" s="11211"/>
      <c r="E78" s="11211"/>
      <c r="F78" s="11211"/>
      <c r="G78" s="11211"/>
      <c r="H78" s="11211"/>
      <c r="I78" s="11211"/>
      <c r="J78" s="11211"/>
      <c r="K78" s="11211"/>
      <c r="L78" s="11219"/>
      <c r="M78" s="11219"/>
      <c r="N78" s="11219"/>
      <c r="O78" s="11211"/>
      <c r="P78" s="11211"/>
      <c r="Q78" s="11213"/>
      <c r="R78" s="2841"/>
      <c r="S78" s="513"/>
      <c r="T78" s="513"/>
      <c r="U78" s="246"/>
      <c r="V78" s="513"/>
      <c r="W78" s="247"/>
      <c r="X78" s="7020"/>
      <c r="Y78" s="7020"/>
      <c r="Z78" s="7020"/>
      <c r="AA78" s="7142"/>
      <c r="AB78" s="1441"/>
      <c r="AC78" s="1441"/>
      <c r="AD78" s="247"/>
      <c r="AE78" s="413"/>
      <c r="AF78" s="413"/>
      <c r="AG78" s="11264"/>
    </row>
    <row r="79" spans="1:33" ht="25.5" customHeight="1">
      <c r="A79" s="9244"/>
      <c r="B79" s="11240"/>
      <c r="C79" s="11211"/>
      <c r="D79" s="11211"/>
      <c r="E79" s="11211"/>
      <c r="F79" s="11211"/>
      <c r="G79" s="11211"/>
      <c r="H79" s="11211"/>
      <c r="I79" s="11211"/>
      <c r="J79" s="11211"/>
      <c r="K79" s="11211"/>
      <c r="L79" s="11219"/>
      <c r="M79" s="11219"/>
      <c r="N79" s="11219"/>
      <c r="O79" s="11211"/>
      <c r="P79" s="11211"/>
      <c r="Q79" s="11213"/>
      <c r="R79" s="2841"/>
      <c r="S79" s="513"/>
      <c r="T79" s="513"/>
      <c r="U79" s="246"/>
      <c r="V79" s="513"/>
      <c r="W79" s="247"/>
      <c r="X79" s="7020"/>
      <c r="Y79" s="7020"/>
      <c r="Z79" s="7020"/>
      <c r="AA79" s="7142"/>
      <c r="AB79" s="1441"/>
      <c r="AC79" s="1441"/>
      <c r="AD79" s="247"/>
      <c r="AE79" s="413"/>
      <c r="AF79" s="413"/>
      <c r="AG79" s="11264"/>
    </row>
    <row r="80" spans="1:33" ht="25.5" customHeight="1">
      <c r="A80" s="9244"/>
      <c r="B80" s="11243"/>
      <c r="C80" s="11221"/>
      <c r="D80" s="11221"/>
      <c r="E80" s="11221"/>
      <c r="F80" s="11221"/>
      <c r="G80" s="11221"/>
      <c r="H80" s="11221"/>
      <c r="I80" s="11221"/>
      <c r="J80" s="11221"/>
      <c r="K80" s="11221"/>
      <c r="L80" s="11232"/>
      <c r="M80" s="11232"/>
      <c r="N80" s="11232"/>
      <c r="O80" s="11221"/>
      <c r="P80" s="11221"/>
      <c r="Q80" s="11237"/>
      <c r="R80" s="5159"/>
      <c r="S80" s="5155"/>
      <c r="T80" s="5155"/>
      <c r="U80" s="5154"/>
      <c r="V80" s="5155"/>
      <c r="W80" s="5156"/>
      <c r="X80" s="7641"/>
      <c r="Y80" s="7641"/>
      <c r="Z80" s="7641"/>
      <c r="AA80" s="7642"/>
      <c r="AB80" s="5157"/>
      <c r="AC80" s="5157"/>
      <c r="AD80" s="5156"/>
      <c r="AE80" s="5158"/>
      <c r="AF80" s="5158"/>
      <c r="AG80" s="11343"/>
    </row>
    <row r="81" spans="1:33" s="6169" customFormat="1" ht="22.5" customHeight="1" thickBot="1">
      <c r="A81" s="11352"/>
      <c r="B81" s="11339"/>
      <c r="C81" s="11311"/>
      <c r="D81" s="11311"/>
      <c r="E81" s="11311"/>
      <c r="F81" s="11311"/>
      <c r="G81" s="11311"/>
      <c r="H81" s="11311"/>
      <c r="I81" s="11311"/>
      <c r="J81" s="11311"/>
      <c r="K81" s="11311"/>
      <c r="L81" s="11244"/>
      <c r="M81" s="11244"/>
      <c r="N81" s="11244"/>
      <c r="O81" s="11311"/>
      <c r="P81" s="11311"/>
      <c r="Q81" s="11312"/>
      <c r="R81" s="11292" t="s">
        <v>4289</v>
      </c>
      <c r="S81" s="11340"/>
      <c r="T81" s="11340"/>
      <c r="U81" s="11340"/>
      <c r="V81" s="11340"/>
      <c r="W81" s="11340"/>
      <c r="X81" s="11340"/>
      <c r="Y81" s="11340"/>
      <c r="Z81" s="6170" t="s">
        <v>292</v>
      </c>
      <c r="AA81" s="7643">
        <f>SUM(AA9:AA80)</f>
        <v>16446.82</v>
      </c>
      <c r="AB81" s="6171"/>
      <c r="AC81" s="6171"/>
      <c r="AD81" s="11344"/>
      <c r="AE81" s="11345"/>
      <c r="AF81" s="11345"/>
      <c r="AG81" s="11346"/>
    </row>
    <row r="82" spans="1:33" ht="18" customHeight="1">
      <c r="A82" s="9599" t="s">
        <v>4290</v>
      </c>
      <c r="B82" s="10176" t="s">
        <v>183</v>
      </c>
      <c r="C82" s="8835" t="s">
        <v>227</v>
      </c>
      <c r="D82" s="8835" t="s">
        <v>228</v>
      </c>
      <c r="E82" s="8835" t="s">
        <v>229</v>
      </c>
      <c r="F82" s="9164" t="s">
        <v>230</v>
      </c>
      <c r="G82" s="8835" t="s">
        <v>132</v>
      </c>
      <c r="H82" s="8835" t="s">
        <v>133</v>
      </c>
      <c r="I82" s="8835" t="s">
        <v>6252</v>
      </c>
      <c r="J82" s="8835" t="s">
        <v>4292</v>
      </c>
      <c r="K82" s="8835" t="s">
        <v>6253</v>
      </c>
      <c r="L82" s="9264">
        <v>2</v>
      </c>
      <c r="M82" s="9264">
        <v>0</v>
      </c>
      <c r="N82" s="9264">
        <v>2</v>
      </c>
      <c r="O82" s="8835" t="s">
        <v>6254</v>
      </c>
      <c r="P82" s="8835" t="s">
        <v>5226</v>
      </c>
      <c r="Q82" s="9472" t="s">
        <v>6255</v>
      </c>
      <c r="R82" s="2845"/>
      <c r="S82" s="1443"/>
      <c r="T82" s="1443"/>
      <c r="U82" s="346"/>
      <c r="V82" s="512"/>
      <c r="W82" s="347"/>
      <c r="X82" s="7644"/>
      <c r="Y82" s="7644"/>
      <c r="Z82" s="7644"/>
      <c r="AA82" s="7645"/>
      <c r="AB82" s="1444"/>
      <c r="AC82" s="1444"/>
      <c r="AD82" s="347"/>
      <c r="AE82" s="1445"/>
      <c r="AF82" s="1445"/>
      <c r="AG82" s="11297"/>
    </row>
    <row r="83" spans="1:33" ht="18" customHeight="1">
      <c r="A83" s="9244"/>
      <c r="B83" s="11337"/>
      <c r="C83" s="11208"/>
      <c r="D83" s="11208"/>
      <c r="E83" s="11208"/>
      <c r="F83" s="11208"/>
      <c r="G83" s="11208"/>
      <c r="H83" s="11208"/>
      <c r="I83" s="11208"/>
      <c r="J83" s="11208"/>
      <c r="K83" s="11208"/>
      <c r="L83" s="11251"/>
      <c r="M83" s="11251"/>
      <c r="N83" s="11251"/>
      <c r="O83" s="11208"/>
      <c r="P83" s="11208"/>
      <c r="Q83" s="11253"/>
      <c r="R83" s="2841"/>
      <c r="S83" s="513"/>
      <c r="T83" s="513"/>
      <c r="U83" s="246"/>
      <c r="V83" s="513"/>
      <c r="W83" s="247"/>
      <c r="X83" s="7020"/>
      <c r="Y83" s="7020"/>
      <c r="Z83" s="7020"/>
      <c r="AA83" s="7142"/>
      <c r="AB83" s="1441"/>
      <c r="AC83" s="1441"/>
      <c r="AD83" s="247"/>
      <c r="AE83" s="413"/>
      <c r="AF83" s="413"/>
      <c r="AG83" s="11319"/>
    </row>
    <row r="84" spans="1:33" ht="18" customHeight="1">
      <c r="A84" s="9244"/>
      <c r="B84" s="11337"/>
      <c r="C84" s="11208"/>
      <c r="D84" s="11208"/>
      <c r="E84" s="11208"/>
      <c r="F84" s="11208"/>
      <c r="G84" s="11208"/>
      <c r="H84" s="11208"/>
      <c r="I84" s="11208"/>
      <c r="J84" s="11208"/>
      <c r="K84" s="11208"/>
      <c r="L84" s="11251"/>
      <c r="M84" s="11251"/>
      <c r="N84" s="11251"/>
      <c r="O84" s="11208"/>
      <c r="P84" s="11208"/>
      <c r="Q84" s="11253"/>
      <c r="R84" s="2841"/>
      <c r="S84" s="513"/>
      <c r="T84" s="513"/>
      <c r="U84" s="246"/>
      <c r="V84" s="513"/>
      <c r="W84" s="247"/>
      <c r="X84" s="7020"/>
      <c r="Y84" s="7020"/>
      <c r="Z84" s="7020"/>
      <c r="AA84" s="7142"/>
      <c r="AB84" s="1441"/>
      <c r="AC84" s="1441"/>
      <c r="AD84" s="247"/>
      <c r="AE84" s="413"/>
      <c r="AF84" s="413"/>
      <c r="AG84" s="11319"/>
    </row>
    <row r="85" spans="1:33" ht="18" customHeight="1">
      <c r="A85" s="9244"/>
      <c r="B85" s="11337"/>
      <c r="C85" s="11208"/>
      <c r="D85" s="11208"/>
      <c r="E85" s="11208"/>
      <c r="F85" s="11208"/>
      <c r="G85" s="11208"/>
      <c r="H85" s="11208"/>
      <c r="I85" s="11208"/>
      <c r="J85" s="11208"/>
      <c r="K85" s="11208"/>
      <c r="L85" s="11251"/>
      <c r="M85" s="11251"/>
      <c r="N85" s="11251"/>
      <c r="O85" s="11208"/>
      <c r="P85" s="11208"/>
      <c r="Q85" s="11253"/>
      <c r="R85" s="2844"/>
      <c r="S85" s="350"/>
      <c r="T85" s="350"/>
      <c r="U85" s="246"/>
      <c r="V85" s="513"/>
      <c r="W85" s="247"/>
      <c r="X85" s="7020"/>
      <c r="Y85" s="7020"/>
      <c r="Z85" s="7020"/>
      <c r="AA85" s="7142"/>
      <c r="AB85" s="1441"/>
      <c r="AC85" s="1441"/>
      <c r="AD85" s="247"/>
      <c r="AE85" s="413"/>
      <c r="AF85" s="413"/>
      <c r="AG85" s="11319"/>
    </row>
    <row r="86" spans="1:33" ht="18" customHeight="1">
      <c r="A86" s="9244"/>
      <c r="B86" s="11338"/>
      <c r="C86" s="11209"/>
      <c r="D86" s="11209"/>
      <c r="E86" s="11209"/>
      <c r="F86" s="11209"/>
      <c r="G86" s="11209"/>
      <c r="H86" s="11209"/>
      <c r="I86" s="11209"/>
      <c r="J86" s="11209"/>
      <c r="K86" s="11209"/>
      <c r="L86" s="11252"/>
      <c r="M86" s="11252"/>
      <c r="N86" s="11252"/>
      <c r="O86" s="11209"/>
      <c r="P86" s="11209"/>
      <c r="Q86" s="11254"/>
      <c r="R86" s="2842"/>
      <c r="S86" s="514"/>
      <c r="T86" s="514"/>
      <c r="U86" s="260"/>
      <c r="V86" s="514"/>
      <c r="W86" s="252"/>
      <c r="X86" s="7021"/>
      <c r="Y86" s="7021"/>
      <c r="Z86" s="7021"/>
      <c r="AA86" s="7143"/>
      <c r="AB86" s="1442"/>
      <c r="AC86" s="1442"/>
      <c r="AD86" s="252"/>
      <c r="AE86" s="414"/>
      <c r="AF86" s="414"/>
      <c r="AG86" s="11320"/>
    </row>
    <row r="87" spans="1:33" ht="18" customHeight="1">
      <c r="A87" s="9244"/>
      <c r="B87" s="10177" t="s">
        <v>183</v>
      </c>
      <c r="C87" s="8834" t="s">
        <v>227</v>
      </c>
      <c r="D87" s="8834" t="s">
        <v>228</v>
      </c>
      <c r="E87" s="8834" t="s">
        <v>229</v>
      </c>
      <c r="F87" s="8974" t="s">
        <v>230</v>
      </c>
      <c r="G87" s="8834" t="s">
        <v>132</v>
      </c>
      <c r="H87" s="8834" t="s">
        <v>133</v>
      </c>
      <c r="I87" s="8834" t="s">
        <v>6256</v>
      </c>
      <c r="J87" s="8834" t="s">
        <v>4299</v>
      </c>
      <c r="K87" s="8834" t="s">
        <v>5230</v>
      </c>
      <c r="L87" s="9256">
        <v>3</v>
      </c>
      <c r="M87" s="9256">
        <v>3</v>
      </c>
      <c r="N87" s="9256">
        <v>3</v>
      </c>
      <c r="O87" s="8834" t="s">
        <v>4301</v>
      </c>
      <c r="P87" s="8834" t="s">
        <v>4302</v>
      </c>
      <c r="Q87" s="9205" t="s">
        <v>6255</v>
      </c>
      <c r="R87" s="2843"/>
      <c r="S87" s="517"/>
      <c r="T87" s="517"/>
      <c r="U87" s="515"/>
      <c r="V87" s="516"/>
      <c r="W87" s="487"/>
      <c r="X87" s="7045"/>
      <c r="Y87" s="7045"/>
      <c r="Z87" s="7045"/>
      <c r="AA87" s="7144"/>
      <c r="AB87" s="1439"/>
      <c r="AC87" s="1439"/>
      <c r="AD87" s="487"/>
      <c r="AE87" s="1440"/>
      <c r="AF87" s="1440"/>
      <c r="AG87" s="9825"/>
    </row>
    <row r="88" spans="1:33" ht="18" customHeight="1">
      <c r="A88" s="9244"/>
      <c r="B88" s="11337"/>
      <c r="C88" s="11208"/>
      <c r="D88" s="11208"/>
      <c r="E88" s="11208"/>
      <c r="F88" s="11208"/>
      <c r="G88" s="11208"/>
      <c r="H88" s="11208"/>
      <c r="I88" s="11208"/>
      <c r="J88" s="11208"/>
      <c r="K88" s="11208"/>
      <c r="L88" s="11251"/>
      <c r="M88" s="11251"/>
      <c r="N88" s="11251"/>
      <c r="O88" s="11208"/>
      <c r="P88" s="11208"/>
      <c r="Q88" s="11253"/>
      <c r="R88" s="2841"/>
      <c r="S88" s="513"/>
      <c r="T88" s="513"/>
      <c r="U88" s="246"/>
      <c r="V88" s="513"/>
      <c r="W88" s="247"/>
      <c r="X88" s="7020"/>
      <c r="Y88" s="7020"/>
      <c r="Z88" s="7020"/>
      <c r="AA88" s="7142"/>
      <c r="AB88" s="1441"/>
      <c r="AC88" s="1441"/>
      <c r="AD88" s="247"/>
      <c r="AE88" s="413"/>
      <c r="AF88" s="413"/>
      <c r="AG88" s="11264"/>
    </row>
    <row r="89" spans="1:33" ht="18" customHeight="1">
      <c r="A89" s="9244"/>
      <c r="B89" s="11337"/>
      <c r="C89" s="11208"/>
      <c r="D89" s="11208"/>
      <c r="E89" s="11208"/>
      <c r="F89" s="11208"/>
      <c r="G89" s="11208"/>
      <c r="H89" s="11208"/>
      <c r="I89" s="11208"/>
      <c r="J89" s="11208"/>
      <c r="K89" s="11208"/>
      <c r="L89" s="11251"/>
      <c r="M89" s="11251"/>
      <c r="N89" s="11251"/>
      <c r="O89" s="11208"/>
      <c r="P89" s="11208"/>
      <c r="Q89" s="11253"/>
      <c r="R89" s="2841"/>
      <c r="S89" s="513"/>
      <c r="T89" s="513"/>
      <c r="U89" s="246"/>
      <c r="V89" s="513"/>
      <c r="W89" s="247"/>
      <c r="X89" s="7020"/>
      <c r="Y89" s="7020"/>
      <c r="Z89" s="7020"/>
      <c r="AA89" s="7142"/>
      <c r="AB89" s="1441"/>
      <c r="AC89" s="1441"/>
      <c r="AD89" s="247"/>
      <c r="AE89" s="413"/>
      <c r="AF89" s="413"/>
      <c r="AG89" s="11264"/>
    </row>
    <row r="90" spans="1:33" ht="18" customHeight="1">
      <c r="A90" s="9244"/>
      <c r="B90" s="11337"/>
      <c r="C90" s="11208"/>
      <c r="D90" s="11208"/>
      <c r="E90" s="11208"/>
      <c r="F90" s="11208"/>
      <c r="G90" s="11208"/>
      <c r="H90" s="11208"/>
      <c r="I90" s="11208"/>
      <c r="J90" s="11208"/>
      <c r="K90" s="11208"/>
      <c r="L90" s="11251"/>
      <c r="M90" s="11251"/>
      <c r="N90" s="11251"/>
      <c r="O90" s="11208"/>
      <c r="P90" s="11208"/>
      <c r="Q90" s="11253"/>
      <c r="R90" s="2844"/>
      <c r="S90" s="350"/>
      <c r="T90" s="350"/>
      <c r="U90" s="246"/>
      <c r="V90" s="513"/>
      <c r="W90" s="247"/>
      <c r="X90" s="7020"/>
      <c r="Y90" s="7020"/>
      <c r="Z90" s="7020"/>
      <c r="AA90" s="7142"/>
      <c r="AB90" s="1441"/>
      <c r="AC90" s="1441"/>
      <c r="AD90" s="247"/>
      <c r="AE90" s="413"/>
      <c r="AF90" s="413"/>
      <c r="AG90" s="11264"/>
    </row>
    <row r="91" spans="1:33" ht="18" customHeight="1">
      <c r="A91" s="9244"/>
      <c r="B91" s="11338"/>
      <c r="C91" s="11209"/>
      <c r="D91" s="11209"/>
      <c r="E91" s="11209"/>
      <c r="F91" s="11209"/>
      <c r="G91" s="11209"/>
      <c r="H91" s="11209"/>
      <c r="I91" s="11209"/>
      <c r="J91" s="11209"/>
      <c r="K91" s="11209"/>
      <c r="L91" s="11252"/>
      <c r="M91" s="11252"/>
      <c r="N91" s="11252"/>
      <c r="O91" s="11209"/>
      <c r="P91" s="11209"/>
      <c r="Q91" s="11254"/>
      <c r="R91" s="2842"/>
      <c r="S91" s="514"/>
      <c r="T91" s="514"/>
      <c r="U91" s="260"/>
      <c r="V91" s="514"/>
      <c r="W91" s="252"/>
      <c r="X91" s="7021"/>
      <c r="Y91" s="7021"/>
      <c r="Z91" s="7021"/>
      <c r="AA91" s="7143"/>
      <c r="AB91" s="1442"/>
      <c r="AC91" s="1442"/>
      <c r="AD91" s="252"/>
      <c r="AE91" s="414"/>
      <c r="AF91" s="414"/>
      <c r="AG91" s="11265"/>
    </row>
    <row r="92" spans="1:33" ht="18" customHeight="1">
      <c r="A92" s="9244"/>
      <c r="B92" s="10177" t="s">
        <v>183</v>
      </c>
      <c r="C92" s="8834" t="s">
        <v>227</v>
      </c>
      <c r="D92" s="8834" t="s">
        <v>490</v>
      </c>
      <c r="E92" s="8834" t="s">
        <v>1484</v>
      </c>
      <c r="F92" s="8974" t="s">
        <v>230</v>
      </c>
      <c r="G92" s="8834" t="s">
        <v>231</v>
      </c>
      <c r="H92" s="8834" t="s">
        <v>159</v>
      </c>
      <c r="I92" s="8834" t="s">
        <v>6257</v>
      </c>
      <c r="J92" s="8834" t="s">
        <v>4305</v>
      </c>
      <c r="K92" s="8834" t="s">
        <v>6258</v>
      </c>
      <c r="L92" s="9256">
        <v>0</v>
      </c>
      <c r="M92" s="9256">
        <v>0</v>
      </c>
      <c r="N92" s="9256">
        <v>0</v>
      </c>
      <c r="O92" s="8834"/>
      <c r="P92" s="8834"/>
      <c r="Q92" s="9205"/>
      <c r="R92" s="2843"/>
      <c r="S92" s="517"/>
      <c r="T92" s="517"/>
      <c r="U92" s="515"/>
      <c r="V92" s="516"/>
      <c r="W92" s="487"/>
      <c r="X92" s="7045"/>
      <c r="Y92" s="7045"/>
      <c r="Z92" s="7045"/>
      <c r="AA92" s="7144"/>
      <c r="AB92" s="1439"/>
      <c r="AC92" s="1439"/>
      <c r="AD92" s="487"/>
      <c r="AE92" s="1440"/>
      <c r="AF92" s="1440"/>
      <c r="AG92" s="11261" t="s">
        <v>4808</v>
      </c>
    </row>
    <row r="93" spans="1:33" ht="18" customHeight="1">
      <c r="A93" s="9244"/>
      <c r="B93" s="11337"/>
      <c r="C93" s="11208"/>
      <c r="D93" s="11208"/>
      <c r="E93" s="11208"/>
      <c r="F93" s="11208"/>
      <c r="G93" s="11208"/>
      <c r="H93" s="11208"/>
      <c r="I93" s="11208"/>
      <c r="J93" s="11208"/>
      <c r="K93" s="11208"/>
      <c r="L93" s="11251"/>
      <c r="M93" s="11251"/>
      <c r="N93" s="11251"/>
      <c r="O93" s="11208"/>
      <c r="P93" s="11208"/>
      <c r="Q93" s="11253"/>
      <c r="R93" s="2841"/>
      <c r="S93" s="513"/>
      <c r="T93" s="513"/>
      <c r="U93" s="246"/>
      <c r="V93" s="513"/>
      <c r="W93" s="247"/>
      <c r="X93" s="7020"/>
      <c r="Y93" s="7020"/>
      <c r="Z93" s="7020"/>
      <c r="AA93" s="7142"/>
      <c r="AB93" s="1441"/>
      <c r="AC93" s="1441"/>
      <c r="AD93" s="247"/>
      <c r="AE93" s="413"/>
      <c r="AF93" s="413"/>
      <c r="AG93" s="11321"/>
    </row>
    <row r="94" spans="1:33" ht="18" customHeight="1">
      <c r="A94" s="9244"/>
      <c r="B94" s="11337"/>
      <c r="C94" s="11208"/>
      <c r="D94" s="11208"/>
      <c r="E94" s="11208"/>
      <c r="F94" s="11208"/>
      <c r="G94" s="11208"/>
      <c r="H94" s="11208"/>
      <c r="I94" s="11208"/>
      <c r="J94" s="11208"/>
      <c r="K94" s="11208"/>
      <c r="L94" s="11251"/>
      <c r="M94" s="11251"/>
      <c r="N94" s="11251"/>
      <c r="O94" s="11208"/>
      <c r="P94" s="11208"/>
      <c r="Q94" s="11253"/>
      <c r="R94" s="2841"/>
      <c r="S94" s="513"/>
      <c r="T94" s="513"/>
      <c r="U94" s="246"/>
      <c r="V94" s="513"/>
      <c r="W94" s="247"/>
      <c r="X94" s="7020"/>
      <c r="Y94" s="7020"/>
      <c r="Z94" s="7020"/>
      <c r="AA94" s="7142"/>
      <c r="AB94" s="1441"/>
      <c r="AC94" s="1441"/>
      <c r="AD94" s="247"/>
      <c r="AE94" s="413"/>
      <c r="AF94" s="413"/>
      <c r="AG94" s="11321"/>
    </row>
    <row r="95" spans="1:33" ht="18" customHeight="1">
      <c r="A95" s="9244"/>
      <c r="B95" s="11337"/>
      <c r="C95" s="11208"/>
      <c r="D95" s="11208"/>
      <c r="E95" s="11208"/>
      <c r="F95" s="11208"/>
      <c r="G95" s="11208"/>
      <c r="H95" s="11208"/>
      <c r="I95" s="11208"/>
      <c r="J95" s="11208"/>
      <c r="K95" s="11208"/>
      <c r="L95" s="11251"/>
      <c r="M95" s="11251"/>
      <c r="N95" s="11251"/>
      <c r="O95" s="11208"/>
      <c r="P95" s="11208"/>
      <c r="Q95" s="11253"/>
      <c r="R95" s="2844"/>
      <c r="S95" s="350"/>
      <c r="T95" s="350"/>
      <c r="U95" s="246"/>
      <c r="V95" s="513"/>
      <c r="W95" s="247"/>
      <c r="X95" s="7020"/>
      <c r="Y95" s="7020"/>
      <c r="Z95" s="7020"/>
      <c r="AA95" s="7142"/>
      <c r="AB95" s="1441"/>
      <c r="AC95" s="1441"/>
      <c r="AD95" s="247"/>
      <c r="AE95" s="413"/>
      <c r="AF95" s="413"/>
      <c r="AG95" s="11321"/>
    </row>
    <row r="96" spans="1:33" ht="18" customHeight="1">
      <c r="A96" s="9244"/>
      <c r="B96" s="11338"/>
      <c r="C96" s="11209"/>
      <c r="D96" s="11209"/>
      <c r="E96" s="11209"/>
      <c r="F96" s="11209"/>
      <c r="G96" s="11209"/>
      <c r="H96" s="11209"/>
      <c r="I96" s="11209"/>
      <c r="J96" s="11209"/>
      <c r="K96" s="11209"/>
      <c r="L96" s="11252"/>
      <c r="M96" s="11252"/>
      <c r="N96" s="11252"/>
      <c r="O96" s="11209"/>
      <c r="P96" s="11209"/>
      <c r="Q96" s="11254"/>
      <c r="R96" s="2842"/>
      <c r="S96" s="514"/>
      <c r="T96" s="514"/>
      <c r="U96" s="260"/>
      <c r="V96" s="514"/>
      <c r="W96" s="252"/>
      <c r="X96" s="7021"/>
      <c r="Y96" s="7021"/>
      <c r="Z96" s="7021"/>
      <c r="AA96" s="7143"/>
      <c r="AB96" s="1442"/>
      <c r="AC96" s="1442"/>
      <c r="AD96" s="252"/>
      <c r="AE96" s="414"/>
      <c r="AF96" s="414"/>
      <c r="AG96" s="11322"/>
    </row>
    <row r="97" spans="1:33" ht="18" customHeight="1">
      <c r="A97" s="9244"/>
      <c r="B97" s="10158" t="s">
        <v>183</v>
      </c>
      <c r="C97" s="8782" t="s">
        <v>227</v>
      </c>
      <c r="D97" s="8782" t="s">
        <v>228</v>
      </c>
      <c r="E97" s="8782" t="s">
        <v>229</v>
      </c>
      <c r="F97" s="8977" t="s">
        <v>230</v>
      </c>
      <c r="G97" s="8782" t="s">
        <v>132</v>
      </c>
      <c r="H97" s="8782" t="s">
        <v>159</v>
      </c>
      <c r="I97" s="8782" t="s">
        <v>6259</v>
      </c>
      <c r="J97" s="8782" t="s">
        <v>4312</v>
      </c>
      <c r="K97" s="8782" t="s">
        <v>6260</v>
      </c>
      <c r="L97" s="9252">
        <v>1</v>
      </c>
      <c r="M97" s="9252">
        <v>0</v>
      </c>
      <c r="N97" s="9252">
        <v>1</v>
      </c>
      <c r="O97" s="8782" t="s">
        <v>6261</v>
      </c>
      <c r="P97" s="8782" t="s">
        <v>5239</v>
      </c>
      <c r="Q97" s="9217" t="s">
        <v>6255</v>
      </c>
      <c r="R97" s="2846"/>
      <c r="S97" s="1446"/>
      <c r="T97" s="1446"/>
      <c r="U97" s="262"/>
      <c r="V97" s="519"/>
      <c r="W97" s="263"/>
      <c r="X97" s="7022"/>
      <c r="Y97" s="7022"/>
      <c r="Z97" s="7022"/>
      <c r="AA97" s="7141"/>
      <c r="AB97" s="1447"/>
      <c r="AC97" s="1447"/>
      <c r="AD97" s="263"/>
      <c r="AE97" s="412"/>
      <c r="AF97" s="412"/>
      <c r="AG97" s="9825"/>
    </row>
    <row r="98" spans="1:33" ht="18" customHeight="1">
      <c r="A98" s="9244"/>
      <c r="B98" s="11337"/>
      <c r="C98" s="11208"/>
      <c r="D98" s="11208"/>
      <c r="E98" s="11208"/>
      <c r="F98" s="11208"/>
      <c r="G98" s="11208"/>
      <c r="H98" s="11208"/>
      <c r="I98" s="11208"/>
      <c r="J98" s="11208"/>
      <c r="K98" s="11208"/>
      <c r="L98" s="11251"/>
      <c r="M98" s="11251"/>
      <c r="N98" s="11251"/>
      <c r="O98" s="11208"/>
      <c r="P98" s="11208"/>
      <c r="Q98" s="11253"/>
      <c r="R98" s="2841"/>
      <c r="S98" s="513"/>
      <c r="T98" s="513"/>
      <c r="U98" s="246"/>
      <c r="V98" s="513"/>
      <c r="W98" s="247"/>
      <c r="X98" s="7020"/>
      <c r="Y98" s="7020"/>
      <c r="Z98" s="7020"/>
      <c r="AA98" s="7142"/>
      <c r="AB98" s="1441"/>
      <c r="AC98" s="1441"/>
      <c r="AD98" s="247"/>
      <c r="AE98" s="413"/>
      <c r="AF98" s="413"/>
      <c r="AG98" s="11264"/>
    </row>
    <row r="99" spans="1:33" ht="18" customHeight="1">
      <c r="A99" s="9244"/>
      <c r="B99" s="11337"/>
      <c r="C99" s="11208"/>
      <c r="D99" s="11208"/>
      <c r="E99" s="11208"/>
      <c r="F99" s="11208"/>
      <c r="G99" s="11208"/>
      <c r="H99" s="11208"/>
      <c r="I99" s="11208"/>
      <c r="J99" s="11208"/>
      <c r="K99" s="11208"/>
      <c r="L99" s="11251"/>
      <c r="M99" s="11251"/>
      <c r="N99" s="11251"/>
      <c r="O99" s="11208"/>
      <c r="P99" s="11208"/>
      <c r="Q99" s="11253"/>
      <c r="R99" s="2841"/>
      <c r="S99" s="513"/>
      <c r="T99" s="513"/>
      <c r="U99" s="246"/>
      <c r="V99" s="513"/>
      <c r="W99" s="247"/>
      <c r="X99" s="7020"/>
      <c r="Y99" s="7020"/>
      <c r="Z99" s="7020"/>
      <c r="AA99" s="7142"/>
      <c r="AB99" s="1441"/>
      <c r="AC99" s="1441"/>
      <c r="AD99" s="247"/>
      <c r="AE99" s="413"/>
      <c r="AF99" s="413"/>
      <c r="AG99" s="11264"/>
    </row>
    <row r="100" spans="1:33" ht="18" customHeight="1">
      <c r="A100" s="9244"/>
      <c r="B100" s="11337"/>
      <c r="C100" s="11208"/>
      <c r="D100" s="11208"/>
      <c r="E100" s="11208"/>
      <c r="F100" s="11208"/>
      <c r="G100" s="11208"/>
      <c r="H100" s="11208"/>
      <c r="I100" s="11208"/>
      <c r="J100" s="11208"/>
      <c r="K100" s="11208"/>
      <c r="L100" s="11251"/>
      <c r="M100" s="11251"/>
      <c r="N100" s="11251"/>
      <c r="O100" s="11208"/>
      <c r="P100" s="11208"/>
      <c r="Q100" s="11253"/>
      <c r="R100" s="2844"/>
      <c r="S100" s="350"/>
      <c r="T100" s="350"/>
      <c r="U100" s="246"/>
      <c r="V100" s="513"/>
      <c r="W100" s="247"/>
      <c r="X100" s="7020"/>
      <c r="Y100" s="7020"/>
      <c r="Z100" s="7020"/>
      <c r="AA100" s="7142"/>
      <c r="AB100" s="1441"/>
      <c r="AC100" s="1441"/>
      <c r="AD100" s="247"/>
      <c r="AE100" s="413"/>
      <c r="AF100" s="413"/>
      <c r="AG100" s="11264"/>
    </row>
    <row r="101" spans="1:33" ht="18" customHeight="1">
      <c r="A101" s="9244"/>
      <c r="B101" s="11338"/>
      <c r="C101" s="11209"/>
      <c r="D101" s="11209"/>
      <c r="E101" s="11209"/>
      <c r="F101" s="11209"/>
      <c r="G101" s="11209"/>
      <c r="H101" s="11209"/>
      <c r="I101" s="11209"/>
      <c r="J101" s="11209"/>
      <c r="K101" s="11209"/>
      <c r="L101" s="11252"/>
      <c r="M101" s="11252"/>
      <c r="N101" s="11252"/>
      <c r="O101" s="11209"/>
      <c r="P101" s="11209"/>
      <c r="Q101" s="11254"/>
      <c r="R101" s="2842"/>
      <c r="S101" s="514"/>
      <c r="T101" s="514"/>
      <c r="U101" s="260"/>
      <c r="V101" s="514"/>
      <c r="W101" s="252"/>
      <c r="X101" s="7021"/>
      <c r="Y101" s="7021"/>
      <c r="Z101" s="7021"/>
      <c r="AA101" s="7143"/>
      <c r="AB101" s="1442"/>
      <c r="AC101" s="1442"/>
      <c r="AD101" s="252"/>
      <c r="AE101" s="414"/>
      <c r="AF101" s="414"/>
      <c r="AG101" s="11265"/>
    </row>
    <row r="102" spans="1:33" ht="40.5" customHeight="1">
      <c r="A102" s="9244"/>
      <c r="B102" s="10177" t="s">
        <v>183</v>
      </c>
      <c r="C102" s="8834" t="s">
        <v>227</v>
      </c>
      <c r="D102" s="8834" t="s">
        <v>228</v>
      </c>
      <c r="E102" s="8834" t="s">
        <v>255</v>
      </c>
      <c r="F102" s="8974" t="s">
        <v>230</v>
      </c>
      <c r="G102" s="8834" t="s">
        <v>132</v>
      </c>
      <c r="H102" s="8834" t="s">
        <v>133</v>
      </c>
      <c r="I102" s="8834" t="s">
        <v>6262</v>
      </c>
      <c r="J102" s="8834" t="s">
        <v>4326</v>
      </c>
      <c r="K102" s="8834" t="s">
        <v>6263</v>
      </c>
      <c r="L102" s="9256">
        <v>1</v>
      </c>
      <c r="M102" s="9256">
        <v>0</v>
      </c>
      <c r="N102" s="9256">
        <v>1</v>
      </c>
      <c r="O102" s="8834" t="s">
        <v>6264</v>
      </c>
      <c r="P102" s="8834" t="s">
        <v>6265</v>
      </c>
      <c r="Q102" s="11329" t="s">
        <v>6266</v>
      </c>
      <c r="R102" s="2843"/>
      <c r="S102" s="517"/>
      <c r="T102" s="517"/>
      <c r="U102" s="515"/>
      <c r="V102" s="516"/>
      <c r="W102" s="487"/>
      <c r="X102" s="7045"/>
      <c r="Y102" s="7045"/>
      <c r="Z102" s="7045"/>
      <c r="AA102" s="7144"/>
      <c r="AB102" s="1439"/>
      <c r="AC102" s="1439"/>
      <c r="AD102" s="487"/>
      <c r="AE102" s="518"/>
      <c r="AF102" s="518"/>
      <c r="AG102" s="9825"/>
    </row>
    <row r="103" spans="1:33" ht="40.5" customHeight="1">
      <c r="A103" s="9244"/>
      <c r="B103" s="11337"/>
      <c r="C103" s="11208"/>
      <c r="D103" s="11208"/>
      <c r="E103" s="11208"/>
      <c r="F103" s="11208"/>
      <c r="G103" s="11208"/>
      <c r="H103" s="11208"/>
      <c r="I103" s="11208"/>
      <c r="J103" s="11208"/>
      <c r="K103" s="11208"/>
      <c r="L103" s="11251"/>
      <c r="M103" s="11251"/>
      <c r="N103" s="11251"/>
      <c r="O103" s="11208"/>
      <c r="P103" s="11208"/>
      <c r="Q103" s="11253"/>
      <c r="R103" s="2841"/>
      <c r="S103" s="513"/>
      <c r="T103" s="513"/>
      <c r="U103" s="246"/>
      <c r="V103" s="513"/>
      <c r="W103" s="247"/>
      <c r="X103" s="7020"/>
      <c r="Y103" s="7020"/>
      <c r="Z103" s="7020"/>
      <c r="AA103" s="7142"/>
      <c r="AB103" s="1441"/>
      <c r="AC103" s="1441"/>
      <c r="AD103" s="247"/>
      <c r="AE103" s="247"/>
      <c r="AF103" s="349"/>
      <c r="AG103" s="11264"/>
    </row>
    <row r="104" spans="1:33" ht="40.5" customHeight="1">
      <c r="A104" s="9244"/>
      <c r="B104" s="11337"/>
      <c r="C104" s="11208"/>
      <c r="D104" s="11208"/>
      <c r="E104" s="11208"/>
      <c r="F104" s="11208"/>
      <c r="G104" s="11208"/>
      <c r="H104" s="11208"/>
      <c r="I104" s="11208"/>
      <c r="J104" s="11208"/>
      <c r="K104" s="11208"/>
      <c r="L104" s="11251"/>
      <c r="M104" s="11251"/>
      <c r="N104" s="11251"/>
      <c r="O104" s="11208"/>
      <c r="P104" s="11208"/>
      <c r="Q104" s="11253"/>
      <c r="R104" s="2841"/>
      <c r="S104" s="513"/>
      <c r="T104" s="513"/>
      <c r="U104" s="246"/>
      <c r="V104" s="513"/>
      <c r="W104" s="247"/>
      <c r="X104" s="7020"/>
      <c r="Y104" s="7020"/>
      <c r="Z104" s="7020"/>
      <c r="AA104" s="7142"/>
      <c r="AB104" s="1441"/>
      <c r="AC104" s="1441"/>
      <c r="AD104" s="247"/>
      <c r="AE104" s="247"/>
      <c r="AF104" s="413"/>
      <c r="AG104" s="11264"/>
    </row>
    <row r="105" spans="1:33" ht="40.5" customHeight="1">
      <c r="A105" s="9244"/>
      <c r="B105" s="11337"/>
      <c r="C105" s="11208"/>
      <c r="D105" s="11208"/>
      <c r="E105" s="11208"/>
      <c r="F105" s="11208"/>
      <c r="G105" s="11208"/>
      <c r="H105" s="11208"/>
      <c r="I105" s="11208"/>
      <c r="J105" s="11208"/>
      <c r="K105" s="11208"/>
      <c r="L105" s="11251"/>
      <c r="M105" s="11251"/>
      <c r="N105" s="11251"/>
      <c r="O105" s="11208"/>
      <c r="P105" s="11208"/>
      <c r="Q105" s="11253"/>
      <c r="R105" s="2841"/>
      <c r="S105" s="513"/>
      <c r="T105" s="513"/>
      <c r="U105" s="246"/>
      <c r="V105" s="513"/>
      <c r="W105" s="247"/>
      <c r="X105" s="7020"/>
      <c r="Y105" s="7020"/>
      <c r="Z105" s="7020"/>
      <c r="AA105" s="7142"/>
      <c r="AB105" s="1441"/>
      <c r="AC105" s="1441"/>
      <c r="AD105" s="247"/>
      <c r="AE105" s="247"/>
      <c r="AF105" s="413"/>
      <c r="AG105" s="11264"/>
    </row>
    <row r="106" spans="1:33" ht="40.5" customHeight="1">
      <c r="A106" s="9244"/>
      <c r="B106" s="11338"/>
      <c r="C106" s="11209"/>
      <c r="D106" s="11209"/>
      <c r="E106" s="11209"/>
      <c r="F106" s="11209"/>
      <c r="G106" s="11209"/>
      <c r="H106" s="11209"/>
      <c r="I106" s="11209"/>
      <c r="J106" s="11209"/>
      <c r="K106" s="11209"/>
      <c r="L106" s="11252"/>
      <c r="M106" s="11252"/>
      <c r="N106" s="11252"/>
      <c r="O106" s="11209"/>
      <c r="P106" s="11209"/>
      <c r="Q106" s="11254"/>
      <c r="R106" s="2842"/>
      <c r="S106" s="514"/>
      <c r="T106" s="514"/>
      <c r="U106" s="260"/>
      <c r="V106" s="514"/>
      <c r="W106" s="252"/>
      <c r="X106" s="7021"/>
      <c r="Y106" s="7021"/>
      <c r="Z106" s="7021"/>
      <c r="AA106" s="7143"/>
      <c r="AB106" s="1442"/>
      <c r="AC106" s="1442"/>
      <c r="AD106" s="252"/>
      <c r="AE106" s="252"/>
      <c r="AF106" s="414"/>
      <c r="AG106" s="11265"/>
    </row>
    <row r="107" spans="1:33" ht="96" customHeight="1">
      <c r="A107" s="9244"/>
      <c r="B107" s="11227" t="s">
        <v>183</v>
      </c>
      <c r="C107" s="11222" t="s">
        <v>227</v>
      </c>
      <c r="D107" s="11222" t="s">
        <v>228</v>
      </c>
      <c r="E107" s="11222" t="s">
        <v>229</v>
      </c>
      <c r="F107" s="11255" t="s">
        <v>230</v>
      </c>
      <c r="G107" s="11222" t="s">
        <v>132</v>
      </c>
      <c r="H107" s="11222" t="s">
        <v>159</v>
      </c>
      <c r="I107" s="11222" t="s">
        <v>6267</v>
      </c>
      <c r="J107" s="11222" t="s">
        <v>5247</v>
      </c>
      <c r="K107" s="618" t="s">
        <v>6268</v>
      </c>
      <c r="L107" s="352">
        <v>0</v>
      </c>
      <c r="M107" s="352">
        <v>2</v>
      </c>
      <c r="N107" s="352">
        <v>2</v>
      </c>
      <c r="O107" s="618" t="s">
        <v>6269</v>
      </c>
      <c r="P107" s="618" t="s">
        <v>6270</v>
      </c>
      <c r="Q107" s="4367" t="s">
        <v>6271</v>
      </c>
      <c r="R107" s="2846"/>
      <c r="S107" s="1448"/>
      <c r="T107" s="1446"/>
      <c r="U107" s="353"/>
      <c r="V107" s="519"/>
      <c r="W107" s="263"/>
      <c r="X107" s="7022"/>
      <c r="Y107" s="7022"/>
      <c r="Z107" s="7022"/>
      <c r="AA107" s="7141"/>
      <c r="AB107" s="1447"/>
      <c r="AC107" s="1447"/>
      <c r="AD107" s="263"/>
      <c r="AE107" s="412"/>
      <c r="AF107" s="412"/>
      <c r="AG107" s="2829"/>
    </row>
    <row r="108" spans="1:33" ht="58.5" customHeight="1">
      <c r="A108" s="9244"/>
      <c r="B108" s="11228"/>
      <c r="C108" s="11210"/>
      <c r="D108" s="11210"/>
      <c r="E108" s="11210"/>
      <c r="F108" s="11216"/>
      <c r="G108" s="11210"/>
      <c r="H108" s="11210"/>
      <c r="I108" s="11210"/>
      <c r="J108" s="11210"/>
      <c r="K108" s="4366" t="s">
        <v>6272</v>
      </c>
      <c r="L108" s="352">
        <v>0</v>
      </c>
      <c r="M108" s="352">
        <v>1</v>
      </c>
      <c r="N108" s="352">
        <v>1</v>
      </c>
      <c r="O108" s="618" t="s">
        <v>6273</v>
      </c>
      <c r="P108" s="618" t="s">
        <v>6270</v>
      </c>
      <c r="Q108" s="4367" t="s">
        <v>6271</v>
      </c>
      <c r="R108" s="2844"/>
      <c r="S108" s="350"/>
      <c r="T108" s="350"/>
      <c r="U108" s="351"/>
      <c r="V108" s="513"/>
      <c r="W108" s="247"/>
      <c r="X108" s="7020"/>
      <c r="Y108" s="7020"/>
      <c r="Z108" s="7020"/>
      <c r="AA108" s="7142"/>
      <c r="AB108" s="1441"/>
      <c r="AC108" s="1441"/>
      <c r="AD108" s="247"/>
      <c r="AE108" s="413"/>
      <c r="AF108" s="413"/>
      <c r="AG108" s="4679"/>
    </row>
    <row r="109" spans="1:33" ht="58.5" customHeight="1">
      <c r="A109" s="9244"/>
      <c r="B109" s="11228"/>
      <c r="C109" s="11210"/>
      <c r="D109" s="11210"/>
      <c r="E109" s="11210"/>
      <c r="F109" s="11216"/>
      <c r="G109" s="11210"/>
      <c r="H109" s="11210"/>
      <c r="I109" s="11210"/>
      <c r="J109" s="11210"/>
      <c r="K109" s="4366" t="s">
        <v>6274</v>
      </c>
      <c r="L109" s="352">
        <v>0</v>
      </c>
      <c r="M109" s="352">
        <v>1</v>
      </c>
      <c r="N109" s="352">
        <v>1</v>
      </c>
      <c r="O109" s="618" t="s">
        <v>6273</v>
      </c>
      <c r="P109" s="618" t="s">
        <v>6270</v>
      </c>
      <c r="Q109" s="4367" t="s">
        <v>6271</v>
      </c>
      <c r="R109" s="2844"/>
      <c r="S109" s="350"/>
      <c r="T109" s="350"/>
      <c r="U109" s="351"/>
      <c r="V109" s="513"/>
      <c r="W109" s="247"/>
      <c r="X109" s="7020"/>
      <c r="Y109" s="7020"/>
      <c r="Z109" s="7020"/>
      <c r="AA109" s="7142"/>
      <c r="AB109" s="1441"/>
      <c r="AC109" s="1441"/>
      <c r="AD109" s="247"/>
      <c r="AE109" s="413"/>
      <c r="AF109" s="413"/>
      <c r="AG109" s="4679"/>
    </row>
    <row r="110" spans="1:33" ht="58.5" customHeight="1">
      <c r="A110" s="9244"/>
      <c r="B110" s="11228"/>
      <c r="C110" s="11210"/>
      <c r="D110" s="11210"/>
      <c r="E110" s="11210"/>
      <c r="F110" s="11216"/>
      <c r="G110" s="11210"/>
      <c r="H110" s="11210"/>
      <c r="I110" s="11210"/>
      <c r="J110" s="11210"/>
      <c r="K110" s="4366" t="s">
        <v>6275</v>
      </c>
      <c r="L110" s="352">
        <v>0</v>
      </c>
      <c r="M110" s="352">
        <v>2</v>
      </c>
      <c r="N110" s="352">
        <v>2</v>
      </c>
      <c r="O110" s="618" t="s">
        <v>6273</v>
      </c>
      <c r="P110" s="618" t="s">
        <v>6270</v>
      </c>
      <c r="Q110" s="4367" t="s">
        <v>6276</v>
      </c>
      <c r="R110" s="2844"/>
      <c r="S110" s="350"/>
      <c r="T110" s="350"/>
      <c r="U110" s="351"/>
      <c r="V110" s="513"/>
      <c r="W110" s="247"/>
      <c r="X110" s="7020"/>
      <c r="Y110" s="7020"/>
      <c r="Z110" s="7020"/>
      <c r="AA110" s="7142"/>
      <c r="AB110" s="1441"/>
      <c r="AC110" s="1441"/>
      <c r="AD110" s="247"/>
      <c r="AE110" s="413"/>
      <c r="AF110" s="413"/>
      <c r="AG110" s="4679"/>
    </row>
    <row r="111" spans="1:33" ht="58.5" customHeight="1">
      <c r="A111" s="9244"/>
      <c r="B111" s="11228"/>
      <c r="C111" s="11210"/>
      <c r="D111" s="11210"/>
      <c r="E111" s="11210"/>
      <c r="F111" s="11216"/>
      <c r="G111" s="11210"/>
      <c r="H111" s="11210"/>
      <c r="I111" s="11210"/>
      <c r="J111" s="11210"/>
      <c r="K111" s="4366" t="s">
        <v>6277</v>
      </c>
      <c r="L111" s="352">
        <v>0</v>
      </c>
      <c r="M111" s="352">
        <v>2</v>
      </c>
      <c r="N111" s="352">
        <v>2</v>
      </c>
      <c r="O111" s="618" t="s">
        <v>6273</v>
      </c>
      <c r="P111" s="618" t="s">
        <v>6270</v>
      </c>
      <c r="Q111" s="4367" t="s">
        <v>6271</v>
      </c>
      <c r="R111" s="2844"/>
      <c r="S111" s="350"/>
      <c r="T111" s="350"/>
      <c r="U111" s="351"/>
      <c r="V111" s="513"/>
      <c r="W111" s="247"/>
      <c r="X111" s="7020"/>
      <c r="Y111" s="7020"/>
      <c r="Z111" s="7020"/>
      <c r="AA111" s="7142"/>
      <c r="AB111" s="1441"/>
      <c r="AC111" s="1441"/>
      <c r="AD111" s="247"/>
      <c r="AE111" s="413"/>
      <c r="AF111" s="413"/>
      <c r="AG111" s="4679"/>
    </row>
    <row r="112" spans="1:33" ht="58.5" customHeight="1">
      <c r="A112" s="9244"/>
      <c r="B112" s="11228"/>
      <c r="C112" s="11210"/>
      <c r="D112" s="11210"/>
      <c r="E112" s="11210"/>
      <c r="F112" s="11216"/>
      <c r="G112" s="11210"/>
      <c r="H112" s="11210"/>
      <c r="I112" s="11210"/>
      <c r="J112" s="11210"/>
      <c r="K112" s="4366" t="s">
        <v>6278</v>
      </c>
      <c r="L112" s="352">
        <v>0</v>
      </c>
      <c r="M112" s="352">
        <v>0</v>
      </c>
      <c r="N112" s="352">
        <v>0</v>
      </c>
      <c r="O112" s="618" t="s">
        <v>6273</v>
      </c>
      <c r="P112" s="618" t="s">
        <v>6270</v>
      </c>
      <c r="Q112" s="4367" t="s">
        <v>6271</v>
      </c>
      <c r="R112" s="2844"/>
      <c r="S112" s="350"/>
      <c r="T112" s="350"/>
      <c r="U112" s="351"/>
      <c r="V112" s="513"/>
      <c r="W112" s="247"/>
      <c r="X112" s="7020"/>
      <c r="Y112" s="7020"/>
      <c r="Z112" s="7020"/>
      <c r="AA112" s="7142"/>
      <c r="AB112" s="1441"/>
      <c r="AC112" s="1441"/>
      <c r="AD112" s="247"/>
      <c r="AE112" s="413"/>
      <c r="AF112" s="413"/>
      <c r="AG112" s="4679"/>
    </row>
    <row r="113" spans="1:33" ht="58.5" customHeight="1">
      <c r="A113" s="9244"/>
      <c r="B113" s="11228"/>
      <c r="C113" s="11210"/>
      <c r="D113" s="11210"/>
      <c r="E113" s="11210"/>
      <c r="F113" s="11216"/>
      <c r="G113" s="11210"/>
      <c r="H113" s="11210"/>
      <c r="I113" s="11210"/>
      <c r="J113" s="11210"/>
      <c r="K113" s="4366" t="s">
        <v>6279</v>
      </c>
      <c r="L113" s="352">
        <v>0</v>
      </c>
      <c r="M113" s="352">
        <v>2</v>
      </c>
      <c r="N113" s="352">
        <v>2</v>
      </c>
      <c r="O113" s="618" t="s">
        <v>6273</v>
      </c>
      <c r="P113" s="618" t="s">
        <v>6270</v>
      </c>
      <c r="Q113" s="4367" t="s">
        <v>6271</v>
      </c>
      <c r="R113" s="2844"/>
      <c r="S113" s="350"/>
      <c r="T113" s="350"/>
      <c r="U113" s="351"/>
      <c r="V113" s="513"/>
      <c r="W113" s="247"/>
      <c r="X113" s="7020"/>
      <c r="Y113" s="7020"/>
      <c r="Z113" s="7020"/>
      <c r="AA113" s="7142"/>
      <c r="AB113" s="1441"/>
      <c r="AC113" s="1441"/>
      <c r="AD113" s="247"/>
      <c r="AE113" s="413"/>
      <c r="AF113" s="413"/>
      <c r="AG113" s="4679"/>
    </row>
    <row r="114" spans="1:33" ht="58.5" customHeight="1">
      <c r="A114" s="9244"/>
      <c r="B114" s="11228"/>
      <c r="C114" s="11210"/>
      <c r="D114" s="11210"/>
      <c r="E114" s="11210"/>
      <c r="F114" s="11216"/>
      <c r="G114" s="11210"/>
      <c r="H114" s="11210"/>
      <c r="I114" s="11210"/>
      <c r="J114" s="11210"/>
      <c r="K114" s="4366" t="s">
        <v>6280</v>
      </c>
      <c r="L114" s="352">
        <v>0</v>
      </c>
      <c r="M114" s="352">
        <v>2</v>
      </c>
      <c r="N114" s="352">
        <v>2</v>
      </c>
      <c r="O114" s="618" t="s">
        <v>6273</v>
      </c>
      <c r="P114" s="618" t="s">
        <v>6270</v>
      </c>
      <c r="Q114" s="4367" t="s">
        <v>6271</v>
      </c>
      <c r="R114" s="2844"/>
      <c r="S114" s="350"/>
      <c r="T114" s="350"/>
      <c r="U114" s="351"/>
      <c r="V114" s="513"/>
      <c r="W114" s="247"/>
      <c r="X114" s="7020"/>
      <c r="Y114" s="7020"/>
      <c r="Z114" s="7020"/>
      <c r="AA114" s="7142"/>
      <c r="AB114" s="1441"/>
      <c r="AC114" s="1441"/>
      <c r="AD114" s="247"/>
      <c r="AE114" s="413"/>
      <c r="AF114" s="413"/>
      <c r="AG114" s="4679"/>
    </row>
    <row r="115" spans="1:33" ht="58.5" customHeight="1">
      <c r="A115" s="9244" t="s">
        <v>4290</v>
      </c>
      <c r="B115" s="11228"/>
      <c r="C115" s="11210"/>
      <c r="D115" s="11210"/>
      <c r="E115" s="11210"/>
      <c r="F115" s="11216"/>
      <c r="G115" s="11210"/>
      <c r="H115" s="11210"/>
      <c r="I115" s="11210"/>
      <c r="J115" s="11210"/>
      <c r="K115" s="4366" t="s">
        <v>6281</v>
      </c>
      <c r="L115" s="352">
        <v>0</v>
      </c>
      <c r="M115" s="352">
        <v>2</v>
      </c>
      <c r="N115" s="352">
        <v>2</v>
      </c>
      <c r="O115" s="618" t="s">
        <v>6273</v>
      </c>
      <c r="P115" s="618" t="s">
        <v>6270</v>
      </c>
      <c r="Q115" s="4367" t="s">
        <v>6271</v>
      </c>
      <c r="R115" s="2844"/>
      <c r="S115" s="513"/>
      <c r="T115" s="350"/>
      <c r="U115" s="351"/>
      <c r="V115" s="513"/>
      <c r="W115" s="247"/>
      <c r="X115" s="7020"/>
      <c r="Y115" s="7020"/>
      <c r="Z115" s="7020"/>
      <c r="AA115" s="7142"/>
      <c r="AB115" s="1441"/>
      <c r="AC115" s="1441"/>
      <c r="AD115" s="247"/>
      <c r="AE115" s="413"/>
      <c r="AF115" s="413"/>
      <c r="AG115" s="4679"/>
    </row>
    <row r="116" spans="1:33" ht="54" customHeight="1">
      <c r="A116" s="9244"/>
      <c r="B116" s="11228"/>
      <c r="C116" s="11210"/>
      <c r="D116" s="11210"/>
      <c r="E116" s="11210"/>
      <c r="F116" s="11216"/>
      <c r="G116" s="11210"/>
      <c r="H116" s="11210"/>
      <c r="I116" s="11210"/>
      <c r="J116" s="11210"/>
      <c r="K116" s="4366" t="s">
        <v>6282</v>
      </c>
      <c r="L116" s="352">
        <v>0</v>
      </c>
      <c r="M116" s="352">
        <v>2</v>
      </c>
      <c r="N116" s="352">
        <v>2</v>
      </c>
      <c r="O116" s="618" t="s">
        <v>6273</v>
      </c>
      <c r="P116" s="618" t="s">
        <v>6270</v>
      </c>
      <c r="Q116" s="4367" t="s">
        <v>6271</v>
      </c>
      <c r="R116" s="2847"/>
      <c r="S116" s="968"/>
      <c r="T116" s="966"/>
      <c r="U116" s="969"/>
      <c r="V116" s="966"/>
      <c r="W116" s="967"/>
      <c r="X116" s="7048"/>
      <c r="Y116" s="7048"/>
      <c r="Z116" s="7048"/>
      <c r="AA116" s="7146"/>
      <c r="AB116" s="1435"/>
      <c r="AC116" s="1435"/>
      <c r="AD116" s="252"/>
      <c r="AE116" s="414"/>
      <c r="AF116" s="414"/>
      <c r="AG116" s="4679"/>
    </row>
    <row r="117" spans="1:33" ht="45.95" customHeight="1">
      <c r="A117" s="9244"/>
      <c r="B117" s="11228"/>
      <c r="C117" s="11210"/>
      <c r="D117" s="11210"/>
      <c r="E117" s="11210"/>
      <c r="F117" s="11216"/>
      <c r="G117" s="11210"/>
      <c r="H117" s="11210"/>
      <c r="I117" s="11210"/>
      <c r="J117" s="11210"/>
      <c r="K117" s="11273" t="s">
        <v>6283</v>
      </c>
      <c r="L117" s="11231">
        <v>0</v>
      </c>
      <c r="M117" s="11231">
        <v>2</v>
      </c>
      <c r="N117" s="11231">
        <v>2</v>
      </c>
      <c r="O117" s="11269" t="s">
        <v>6273</v>
      </c>
      <c r="P117" s="11269" t="s">
        <v>6284</v>
      </c>
      <c r="Q117" s="11266" t="s">
        <v>6285</v>
      </c>
      <c r="R117" s="4368" t="s">
        <v>79</v>
      </c>
      <c r="S117" s="3354">
        <v>530402</v>
      </c>
      <c r="T117" s="3355"/>
      <c r="U117" s="4377" t="s">
        <v>281</v>
      </c>
      <c r="V117" s="3355"/>
      <c r="W117" s="3356"/>
      <c r="X117" s="8060"/>
      <c r="Y117" s="8060"/>
      <c r="Z117" s="8060"/>
      <c r="AA117" s="8061">
        <f>Z118</f>
        <v>2878.96</v>
      </c>
      <c r="AB117" s="4388" t="s">
        <v>18</v>
      </c>
      <c r="AC117" s="3357"/>
      <c r="AD117" s="487"/>
      <c r="AE117" s="487"/>
      <c r="AF117" s="1440"/>
      <c r="AG117" s="4680"/>
    </row>
    <row r="118" spans="1:33" ht="66">
      <c r="A118" s="9244"/>
      <c r="B118" s="11228"/>
      <c r="C118" s="11210"/>
      <c r="D118" s="11210"/>
      <c r="E118" s="11210"/>
      <c r="F118" s="11216"/>
      <c r="G118" s="11210"/>
      <c r="H118" s="11210"/>
      <c r="I118" s="11210"/>
      <c r="J118" s="11210"/>
      <c r="K118" s="11274"/>
      <c r="L118" s="11218"/>
      <c r="M118" s="11218"/>
      <c r="N118" s="11218"/>
      <c r="O118" s="11270"/>
      <c r="P118" s="11270"/>
      <c r="Q118" s="11267"/>
      <c r="R118" s="4369"/>
      <c r="S118" s="3358"/>
      <c r="T118" s="3358">
        <v>53290</v>
      </c>
      <c r="U118" s="4378" t="s">
        <v>6286</v>
      </c>
      <c r="V118" s="4384">
        <v>1</v>
      </c>
      <c r="W118" s="3359" t="s">
        <v>152</v>
      </c>
      <c r="X118" s="8062">
        <v>2878.96</v>
      </c>
      <c r="Y118" s="8062">
        <f>X118*V118</f>
        <v>2878.96</v>
      </c>
      <c r="Z118" s="8062">
        <f>Y118</f>
        <v>2878.96</v>
      </c>
      <c r="AA118" s="8062"/>
      <c r="AB118" s="4384"/>
      <c r="AC118" s="3360"/>
      <c r="AD118" s="247"/>
      <c r="AE118" s="348" t="s">
        <v>153</v>
      </c>
      <c r="AF118" s="413"/>
      <c r="AG118" s="4680"/>
    </row>
    <row r="119" spans="1:33" ht="19.5" customHeight="1">
      <c r="A119" s="9244"/>
      <c r="B119" s="11228"/>
      <c r="C119" s="11210"/>
      <c r="D119" s="11210"/>
      <c r="E119" s="11210"/>
      <c r="F119" s="11216"/>
      <c r="G119" s="11210"/>
      <c r="H119" s="11210"/>
      <c r="I119" s="11210"/>
      <c r="J119" s="11210"/>
      <c r="K119" s="11274"/>
      <c r="L119" s="11218"/>
      <c r="M119" s="11218"/>
      <c r="N119" s="11218"/>
      <c r="O119" s="11270"/>
      <c r="P119" s="11270"/>
      <c r="Q119" s="11267"/>
      <c r="R119" s="4370" t="s">
        <v>80</v>
      </c>
      <c r="S119" s="3361" t="s">
        <v>6287</v>
      </c>
      <c r="T119" s="350"/>
      <c r="U119" s="4379" t="s">
        <v>39</v>
      </c>
      <c r="V119" s="11323" t="s">
        <v>6288</v>
      </c>
      <c r="W119" s="11324"/>
      <c r="X119" s="11324"/>
      <c r="Y119" s="11324"/>
      <c r="Z119" s="11325"/>
      <c r="AA119" s="7859">
        <f>SUM(Z120:Z155)</f>
        <v>899035.4017857142</v>
      </c>
      <c r="AB119" s="4389" t="s">
        <v>25</v>
      </c>
      <c r="AC119" s="1433"/>
      <c r="AD119" s="247"/>
      <c r="AE119" s="413"/>
      <c r="AF119" s="413"/>
      <c r="AG119" s="4680"/>
    </row>
    <row r="120" spans="1:33" ht="33">
      <c r="A120" s="9244"/>
      <c r="B120" s="11228"/>
      <c r="C120" s="11210"/>
      <c r="D120" s="11210"/>
      <c r="E120" s="11210"/>
      <c r="F120" s="11216"/>
      <c r="G120" s="11210"/>
      <c r="H120" s="11210"/>
      <c r="I120" s="11210"/>
      <c r="J120" s="11210"/>
      <c r="K120" s="11274"/>
      <c r="L120" s="11218"/>
      <c r="M120" s="11218"/>
      <c r="N120" s="11218"/>
      <c r="O120" s="11270"/>
      <c r="P120" s="11270"/>
      <c r="Q120" s="11267"/>
      <c r="R120" s="4371"/>
      <c r="S120" s="513"/>
      <c r="T120" s="513"/>
      <c r="U120" s="4380" t="s">
        <v>6289</v>
      </c>
      <c r="V120" s="4385">
        <v>5</v>
      </c>
      <c r="W120" s="247" t="s">
        <v>180</v>
      </c>
      <c r="X120" s="7857">
        <v>7211.45</v>
      </c>
      <c r="Y120" s="7857">
        <f>+V120*X120</f>
        <v>36057.25</v>
      </c>
      <c r="Z120" s="7857">
        <f t="shared" ref="Z120:Z155" si="2">Y120</f>
        <v>36057.25</v>
      </c>
      <c r="AA120" s="7858"/>
      <c r="AB120" s="4390"/>
      <c r="AC120" s="1433"/>
      <c r="AD120" s="1449"/>
      <c r="AE120" s="1449" t="s">
        <v>153</v>
      </c>
      <c r="AF120" s="413"/>
      <c r="AG120" s="4680"/>
    </row>
    <row r="121" spans="1:33" ht="33">
      <c r="A121" s="9244"/>
      <c r="B121" s="11228"/>
      <c r="C121" s="11210"/>
      <c r="D121" s="11210"/>
      <c r="E121" s="11210"/>
      <c r="F121" s="11216"/>
      <c r="G121" s="11210"/>
      <c r="H121" s="11210"/>
      <c r="I121" s="11210"/>
      <c r="J121" s="11210"/>
      <c r="K121" s="11274"/>
      <c r="L121" s="11218"/>
      <c r="M121" s="11218"/>
      <c r="N121" s="11218"/>
      <c r="O121" s="11270"/>
      <c r="P121" s="11270"/>
      <c r="Q121" s="11267"/>
      <c r="R121" s="4371"/>
      <c r="S121" s="513"/>
      <c r="T121" s="513"/>
      <c r="U121" s="4380" t="s">
        <v>6290</v>
      </c>
      <c r="V121" s="4385">
        <v>5</v>
      </c>
      <c r="W121" s="247" t="s">
        <v>180</v>
      </c>
      <c r="X121" s="7857">
        <v>2532.0500000000002</v>
      </c>
      <c r="Y121" s="7857">
        <f t="shared" ref="Y121:Y155" si="3">+V121*X121</f>
        <v>12660.25</v>
      </c>
      <c r="Z121" s="7857">
        <f t="shared" si="2"/>
        <v>12660.25</v>
      </c>
      <c r="AA121" s="7858"/>
      <c r="AB121" s="4390"/>
      <c r="AC121" s="1433"/>
      <c r="AD121" s="1449"/>
      <c r="AE121" s="1449" t="s">
        <v>153</v>
      </c>
      <c r="AF121" s="413"/>
      <c r="AG121" s="4680"/>
    </row>
    <row r="122" spans="1:33" ht="33">
      <c r="A122" s="9244"/>
      <c r="B122" s="11228"/>
      <c r="C122" s="11210"/>
      <c r="D122" s="11210"/>
      <c r="E122" s="11210"/>
      <c r="F122" s="11216"/>
      <c r="G122" s="11210"/>
      <c r="H122" s="11210"/>
      <c r="I122" s="11210"/>
      <c r="J122" s="11210"/>
      <c r="K122" s="11274"/>
      <c r="L122" s="11218"/>
      <c r="M122" s="11218"/>
      <c r="N122" s="11218"/>
      <c r="O122" s="11270"/>
      <c r="P122" s="11270"/>
      <c r="Q122" s="11267"/>
      <c r="R122" s="4371"/>
      <c r="S122" s="513"/>
      <c r="T122" s="513"/>
      <c r="U122" s="4380" t="s">
        <v>6291</v>
      </c>
      <c r="V122" s="4385">
        <v>1</v>
      </c>
      <c r="W122" s="247" t="s">
        <v>180</v>
      </c>
      <c r="X122" s="7857">
        <v>15921.160714285714</v>
      </c>
      <c r="Y122" s="7857">
        <f t="shared" si="3"/>
        <v>15921.160714285714</v>
      </c>
      <c r="Z122" s="7857">
        <f t="shared" si="2"/>
        <v>15921.160714285714</v>
      </c>
      <c r="AA122" s="7858"/>
      <c r="AB122" s="4390"/>
      <c r="AC122" s="1433"/>
      <c r="AD122" s="1449"/>
      <c r="AE122" s="1449" t="s">
        <v>153</v>
      </c>
      <c r="AF122" s="413"/>
      <c r="AG122" s="4680"/>
    </row>
    <row r="123" spans="1:33" ht="16.5">
      <c r="A123" s="9244"/>
      <c r="B123" s="11228"/>
      <c r="C123" s="11210"/>
      <c r="D123" s="11210"/>
      <c r="E123" s="11210"/>
      <c r="F123" s="11216"/>
      <c r="G123" s="11210"/>
      <c r="H123" s="11210"/>
      <c r="I123" s="11210"/>
      <c r="J123" s="11210"/>
      <c r="K123" s="11274"/>
      <c r="L123" s="11218"/>
      <c r="M123" s="11218"/>
      <c r="N123" s="11218"/>
      <c r="O123" s="11270"/>
      <c r="P123" s="11270"/>
      <c r="Q123" s="11267"/>
      <c r="R123" s="4371"/>
      <c r="S123" s="513"/>
      <c r="T123" s="513"/>
      <c r="U123" s="4380" t="s">
        <v>6292</v>
      </c>
      <c r="V123" s="4385">
        <v>1</v>
      </c>
      <c r="W123" s="247" t="s">
        <v>180</v>
      </c>
      <c r="X123" s="7857">
        <v>107554.05357142855</v>
      </c>
      <c r="Y123" s="7857">
        <f t="shared" si="3"/>
        <v>107554.05357142855</v>
      </c>
      <c r="Z123" s="7857">
        <f t="shared" si="2"/>
        <v>107554.05357142855</v>
      </c>
      <c r="AA123" s="7142"/>
      <c r="AB123" s="4390"/>
      <c r="AC123" s="1433"/>
      <c r="AD123" s="1449"/>
      <c r="AE123" s="1449" t="s">
        <v>153</v>
      </c>
      <c r="AF123" s="413"/>
      <c r="AG123" s="4680"/>
    </row>
    <row r="124" spans="1:33" ht="16.5">
      <c r="A124" s="9244"/>
      <c r="B124" s="11228"/>
      <c r="C124" s="11210"/>
      <c r="D124" s="11210"/>
      <c r="E124" s="11210"/>
      <c r="F124" s="11216"/>
      <c r="G124" s="11210"/>
      <c r="H124" s="11210"/>
      <c r="I124" s="11210"/>
      <c r="J124" s="11210"/>
      <c r="K124" s="11274"/>
      <c r="L124" s="11218"/>
      <c r="M124" s="11218"/>
      <c r="N124" s="11218"/>
      <c r="O124" s="11270"/>
      <c r="P124" s="11270"/>
      <c r="Q124" s="11267"/>
      <c r="R124" s="4371"/>
      <c r="S124" s="513"/>
      <c r="T124" s="513"/>
      <c r="U124" s="4380" t="s">
        <v>6293</v>
      </c>
      <c r="V124" s="4385">
        <v>6</v>
      </c>
      <c r="W124" s="247" t="s">
        <v>180</v>
      </c>
      <c r="X124" s="7857">
        <v>659.57142857142867</v>
      </c>
      <c r="Y124" s="7857">
        <f>+V124*X124</f>
        <v>3957.428571428572</v>
      </c>
      <c r="Z124" s="7857">
        <f t="shared" si="2"/>
        <v>3957.428571428572</v>
      </c>
      <c r="AA124" s="7142"/>
      <c r="AB124" s="4390"/>
      <c r="AC124" s="1433"/>
      <c r="AD124" s="1449"/>
      <c r="AE124" s="1449" t="s">
        <v>153</v>
      </c>
      <c r="AF124" s="413"/>
      <c r="AG124" s="4680"/>
    </row>
    <row r="125" spans="1:33" ht="49.5">
      <c r="A125" s="9244"/>
      <c r="B125" s="11228"/>
      <c r="C125" s="11210"/>
      <c r="D125" s="11210"/>
      <c r="E125" s="11210"/>
      <c r="F125" s="11216"/>
      <c r="G125" s="11210"/>
      <c r="H125" s="11210"/>
      <c r="I125" s="11210"/>
      <c r="J125" s="11210"/>
      <c r="K125" s="11274"/>
      <c r="L125" s="11218"/>
      <c r="M125" s="11218"/>
      <c r="N125" s="11218"/>
      <c r="O125" s="11270"/>
      <c r="P125" s="11270"/>
      <c r="Q125" s="11267"/>
      <c r="R125" s="4371"/>
      <c r="S125" s="513"/>
      <c r="T125" s="513"/>
      <c r="U125" s="4380" t="s">
        <v>6294</v>
      </c>
      <c r="V125" s="4385">
        <v>3</v>
      </c>
      <c r="W125" s="247" t="s">
        <v>180</v>
      </c>
      <c r="X125" s="7857">
        <v>2435.7142857142849</v>
      </c>
      <c r="Y125" s="7857">
        <f>+V125*X125</f>
        <v>7307.1428571428551</v>
      </c>
      <c r="Z125" s="7857">
        <f t="shared" si="2"/>
        <v>7307.1428571428551</v>
      </c>
      <c r="AA125" s="7142"/>
      <c r="AB125" s="4390"/>
      <c r="AC125" s="1433"/>
      <c r="AD125" s="1449"/>
      <c r="AE125" s="1449" t="s">
        <v>153</v>
      </c>
      <c r="AF125" s="413"/>
      <c r="AG125" s="4680"/>
    </row>
    <row r="126" spans="1:33" ht="33">
      <c r="A126" s="9244"/>
      <c r="B126" s="11228"/>
      <c r="C126" s="11210"/>
      <c r="D126" s="11210"/>
      <c r="E126" s="11210"/>
      <c r="F126" s="11216"/>
      <c r="G126" s="11210"/>
      <c r="H126" s="11210"/>
      <c r="I126" s="11210"/>
      <c r="J126" s="11210"/>
      <c r="K126" s="11274"/>
      <c r="L126" s="11218"/>
      <c r="M126" s="11218"/>
      <c r="N126" s="11218"/>
      <c r="O126" s="11270"/>
      <c r="P126" s="11270"/>
      <c r="Q126" s="11267"/>
      <c r="R126" s="4371"/>
      <c r="S126" s="513"/>
      <c r="T126" s="513"/>
      <c r="U126" s="4380" t="s">
        <v>6295</v>
      </c>
      <c r="V126" s="4385">
        <v>1</v>
      </c>
      <c r="W126" s="247" t="s">
        <v>180</v>
      </c>
      <c r="X126" s="7857">
        <v>2304.6249999999995</v>
      </c>
      <c r="Y126" s="7857">
        <f>+V126*X126</f>
        <v>2304.6249999999995</v>
      </c>
      <c r="Z126" s="7857">
        <f t="shared" si="2"/>
        <v>2304.6249999999995</v>
      </c>
      <c r="AA126" s="7142"/>
      <c r="AB126" s="4390"/>
      <c r="AC126" s="1433"/>
      <c r="AD126" s="1449"/>
      <c r="AE126" s="1449" t="s">
        <v>153</v>
      </c>
      <c r="AF126" s="413"/>
      <c r="AG126" s="4680"/>
    </row>
    <row r="127" spans="1:33" ht="33">
      <c r="A127" s="9244"/>
      <c r="B127" s="11228"/>
      <c r="C127" s="11210"/>
      <c r="D127" s="11210"/>
      <c r="E127" s="11210"/>
      <c r="F127" s="11216"/>
      <c r="G127" s="11210"/>
      <c r="H127" s="11210"/>
      <c r="I127" s="11210"/>
      <c r="J127" s="11210"/>
      <c r="K127" s="11274"/>
      <c r="L127" s="11218"/>
      <c r="M127" s="11218"/>
      <c r="N127" s="11218"/>
      <c r="O127" s="11270"/>
      <c r="P127" s="11270"/>
      <c r="Q127" s="11267"/>
      <c r="R127" s="4371"/>
      <c r="S127" s="513"/>
      <c r="T127" s="513"/>
      <c r="U127" s="4380" t="s">
        <v>6296</v>
      </c>
      <c r="V127" s="4385">
        <v>1</v>
      </c>
      <c r="W127" s="247" t="s">
        <v>180</v>
      </c>
      <c r="X127" s="7857">
        <v>4050.1964285714284</v>
      </c>
      <c r="Y127" s="7857">
        <f t="shared" si="3"/>
        <v>4050.1964285714284</v>
      </c>
      <c r="Z127" s="7857">
        <f t="shared" si="2"/>
        <v>4050.1964285714284</v>
      </c>
      <c r="AA127" s="7142"/>
      <c r="AB127" s="4390"/>
      <c r="AC127" s="1433"/>
      <c r="AD127" s="1449"/>
      <c r="AE127" s="1449" t="s">
        <v>153</v>
      </c>
      <c r="AF127" s="413"/>
      <c r="AG127" s="4680"/>
    </row>
    <row r="128" spans="1:33" ht="33">
      <c r="A128" s="9244"/>
      <c r="B128" s="11228"/>
      <c r="C128" s="11210"/>
      <c r="D128" s="11210"/>
      <c r="E128" s="11210"/>
      <c r="F128" s="11216"/>
      <c r="G128" s="11210"/>
      <c r="H128" s="11210"/>
      <c r="I128" s="11210"/>
      <c r="J128" s="11210"/>
      <c r="K128" s="11274"/>
      <c r="L128" s="11218"/>
      <c r="M128" s="11218"/>
      <c r="N128" s="11218"/>
      <c r="O128" s="11270"/>
      <c r="P128" s="11270"/>
      <c r="Q128" s="11267"/>
      <c r="R128" s="4371"/>
      <c r="S128" s="513"/>
      <c r="T128" s="513"/>
      <c r="U128" s="4380" t="s">
        <v>6297</v>
      </c>
      <c r="V128" s="4385">
        <v>1</v>
      </c>
      <c r="W128" s="247" t="s">
        <v>180</v>
      </c>
      <c r="X128" s="7857">
        <v>3301.0892857142853</v>
      </c>
      <c r="Y128" s="7857">
        <f t="shared" si="3"/>
        <v>3301.0892857142853</v>
      </c>
      <c r="Z128" s="7857">
        <f t="shared" si="2"/>
        <v>3301.0892857142853</v>
      </c>
      <c r="AA128" s="7142"/>
      <c r="AB128" s="4390"/>
      <c r="AC128" s="1433"/>
      <c r="AD128" s="1449"/>
      <c r="AE128" s="1449" t="s">
        <v>153</v>
      </c>
      <c r="AF128" s="413"/>
      <c r="AG128" s="4680"/>
    </row>
    <row r="129" spans="1:33" ht="16.5">
      <c r="A129" s="9244"/>
      <c r="B129" s="11228"/>
      <c r="C129" s="11210"/>
      <c r="D129" s="11210"/>
      <c r="E129" s="11210"/>
      <c r="F129" s="11216"/>
      <c r="G129" s="11210"/>
      <c r="H129" s="11210"/>
      <c r="I129" s="11210"/>
      <c r="J129" s="11210"/>
      <c r="K129" s="11274"/>
      <c r="L129" s="11218"/>
      <c r="M129" s="11218"/>
      <c r="N129" s="11218"/>
      <c r="O129" s="11270"/>
      <c r="P129" s="11270"/>
      <c r="Q129" s="11267"/>
      <c r="R129" s="4371"/>
      <c r="S129" s="513"/>
      <c r="T129" s="513"/>
      <c r="U129" s="4380" t="s">
        <v>6298</v>
      </c>
      <c r="V129" s="4385">
        <v>1</v>
      </c>
      <c r="W129" s="247" t="s">
        <v>180</v>
      </c>
      <c r="X129" s="7857">
        <v>33039.125</v>
      </c>
      <c r="Y129" s="7857">
        <f t="shared" si="3"/>
        <v>33039.125</v>
      </c>
      <c r="Z129" s="7857">
        <f t="shared" si="2"/>
        <v>33039.125</v>
      </c>
      <c r="AA129" s="7142"/>
      <c r="AB129" s="4390"/>
      <c r="AC129" s="1433"/>
      <c r="AD129" s="1449"/>
      <c r="AE129" s="1449" t="s">
        <v>153</v>
      </c>
      <c r="AF129" s="413"/>
      <c r="AG129" s="4680"/>
    </row>
    <row r="130" spans="1:33" ht="33">
      <c r="A130" s="9244"/>
      <c r="B130" s="11228"/>
      <c r="C130" s="11210"/>
      <c r="D130" s="11210"/>
      <c r="E130" s="11210"/>
      <c r="F130" s="11216"/>
      <c r="G130" s="11210"/>
      <c r="H130" s="11210"/>
      <c r="I130" s="11210"/>
      <c r="J130" s="11210"/>
      <c r="K130" s="11274"/>
      <c r="L130" s="11218"/>
      <c r="M130" s="11218"/>
      <c r="N130" s="11218"/>
      <c r="O130" s="11270"/>
      <c r="P130" s="11270"/>
      <c r="Q130" s="11267"/>
      <c r="R130" s="4371"/>
      <c r="S130" s="513"/>
      <c r="T130" s="513"/>
      <c r="U130" s="4380" t="s">
        <v>6299</v>
      </c>
      <c r="V130" s="4385">
        <v>1</v>
      </c>
      <c r="W130" s="247" t="s">
        <v>180</v>
      </c>
      <c r="X130" s="7857">
        <v>13934.116071428569</v>
      </c>
      <c r="Y130" s="7857">
        <f t="shared" si="3"/>
        <v>13934.116071428569</v>
      </c>
      <c r="Z130" s="7857">
        <f t="shared" si="2"/>
        <v>13934.116071428569</v>
      </c>
      <c r="AA130" s="7142"/>
      <c r="AB130" s="4390"/>
      <c r="AC130" s="1433"/>
      <c r="AD130" s="1449"/>
      <c r="AE130" s="1449" t="s">
        <v>153</v>
      </c>
      <c r="AF130" s="413"/>
      <c r="AG130" s="4680"/>
    </row>
    <row r="131" spans="1:33" ht="33">
      <c r="A131" s="9244" t="s">
        <v>4290</v>
      </c>
      <c r="B131" s="11228"/>
      <c r="C131" s="11210"/>
      <c r="D131" s="11210"/>
      <c r="E131" s="11210"/>
      <c r="F131" s="11216"/>
      <c r="G131" s="11210"/>
      <c r="H131" s="11210"/>
      <c r="I131" s="11210"/>
      <c r="J131" s="11210"/>
      <c r="K131" s="11274"/>
      <c r="L131" s="11218"/>
      <c r="M131" s="11218"/>
      <c r="N131" s="11218"/>
      <c r="O131" s="11270"/>
      <c r="P131" s="11270"/>
      <c r="Q131" s="11267"/>
      <c r="R131" s="4371"/>
      <c r="S131" s="513"/>
      <c r="T131" s="513"/>
      <c r="U131" s="4380" t="s">
        <v>6300</v>
      </c>
      <c r="V131" s="4385">
        <v>5</v>
      </c>
      <c r="W131" s="247" t="s">
        <v>180</v>
      </c>
      <c r="X131" s="7857">
        <v>808.330357142857</v>
      </c>
      <c r="Y131" s="7857">
        <f t="shared" si="3"/>
        <v>4041.6517857142849</v>
      </c>
      <c r="Z131" s="7857">
        <f t="shared" si="2"/>
        <v>4041.6517857142849</v>
      </c>
      <c r="AA131" s="7142"/>
      <c r="AB131" s="4390"/>
      <c r="AC131" s="1433"/>
      <c r="AD131" s="1449"/>
      <c r="AE131" s="1449" t="s">
        <v>153</v>
      </c>
      <c r="AF131" s="413"/>
      <c r="AG131" s="4680"/>
    </row>
    <row r="132" spans="1:33" ht="33">
      <c r="A132" s="9244"/>
      <c r="B132" s="11228"/>
      <c r="C132" s="11210"/>
      <c r="D132" s="11210"/>
      <c r="E132" s="11210"/>
      <c r="F132" s="11216"/>
      <c r="G132" s="11210"/>
      <c r="H132" s="11210"/>
      <c r="I132" s="11210"/>
      <c r="J132" s="11210"/>
      <c r="K132" s="11274"/>
      <c r="L132" s="11218"/>
      <c r="M132" s="11218"/>
      <c r="N132" s="11218"/>
      <c r="O132" s="11270"/>
      <c r="P132" s="11270"/>
      <c r="Q132" s="11267"/>
      <c r="R132" s="4371"/>
      <c r="S132" s="513"/>
      <c r="T132" s="513"/>
      <c r="U132" s="4380" t="s">
        <v>6301</v>
      </c>
      <c r="V132" s="4385">
        <v>1</v>
      </c>
      <c r="W132" s="247" t="s">
        <v>180</v>
      </c>
      <c r="X132" s="7857">
        <v>76130.98214285713</v>
      </c>
      <c r="Y132" s="7857">
        <f t="shared" si="3"/>
        <v>76130.98214285713</v>
      </c>
      <c r="Z132" s="7857">
        <f t="shared" si="2"/>
        <v>76130.98214285713</v>
      </c>
      <c r="AA132" s="7142"/>
      <c r="AB132" s="4390"/>
      <c r="AC132" s="1433"/>
      <c r="AD132" s="1449"/>
      <c r="AE132" s="1449" t="s">
        <v>153</v>
      </c>
      <c r="AF132" s="413"/>
      <c r="AG132" s="4680"/>
    </row>
    <row r="133" spans="1:33" ht="16.5">
      <c r="A133" s="9244"/>
      <c r="B133" s="11228"/>
      <c r="C133" s="11210"/>
      <c r="D133" s="11210"/>
      <c r="E133" s="11210"/>
      <c r="F133" s="11216"/>
      <c r="G133" s="11210"/>
      <c r="H133" s="11210"/>
      <c r="I133" s="11210"/>
      <c r="J133" s="11210"/>
      <c r="K133" s="11274"/>
      <c r="L133" s="11218"/>
      <c r="M133" s="11218"/>
      <c r="N133" s="11218"/>
      <c r="O133" s="11270"/>
      <c r="P133" s="11270"/>
      <c r="Q133" s="11267"/>
      <c r="R133" s="4371"/>
      <c r="S133" s="513"/>
      <c r="T133" s="513"/>
      <c r="U133" s="4380" t="s">
        <v>6302</v>
      </c>
      <c r="V133" s="4385">
        <v>1</v>
      </c>
      <c r="W133" s="247" t="s">
        <v>180</v>
      </c>
      <c r="X133" s="7857">
        <v>5016.3839285714284</v>
      </c>
      <c r="Y133" s="7857">
        <f t="shared" si="3"/>
        <v>5016.3839285714284</v>
      </c>
      <c r="Z133" s="7857">
        <f t="shared" si="2"/>
        <v>5016.3839285714284</v>
      </c>
      <c r="AA133" s="7142"/>
      <c r="AB133" s="4390"/>
      <c r="AC133" s="1433"/>
      <c r="AD133" s="1449"/>
      <c r="AE133" s="1449" t="s">
        <v>153</v>
      </c>
      <c r="AF133" s="413"/>
      <c r="AG133" s="4680"/>
    </row>
    <row r="134" spans="1:33" ht="33">
      <c r="A134" s="9244"/>
      <c r="B134" s="11228"/>
      <c r="C134" s="11210"/>
      <c r="D134" s="11210"/>
      <c r="E134" s="11210"/>
      <c r="F134" s="11216"/>
      <c r="G134" s="11210"/>
      <c r="H134" s="11210"/>
      <c r="I134" s="11210"/>
      <c r="J134" s="11210"/>
      <c r="K134" s="11274"/>
      <c r="L134" s="11218"/>
      <c r="M134" s="11218"/>
      <c r="N134" s="11218"/>
      <c r="O134" s="11270"/>
      <c r="P134" s="11270"/>
      <c r="Q134" s="11267"/>
      <c r="R134" s="4372"/>
      <c r="S134" s="513"/>
      <c r="T134" s="513"/>
      <c r="U134" s="4380" t="s">
        <v>6303</v>
      </c>
      <c r="V134" s="4385">
        <v>1</v>
      </c>
      <c r="W134" s="247" t="s">
        <v>180</v>
      </c>
      <c r="X134" s="7857">
        <v>2423.8392857142853</v>
      </c>
      <c r="Y134" s="7857">
        <f t="shared" si="3"/>
        <v>2423.8392857142853</v>
      </c>
      <c r="Z134" s="7857">
        <f t="shared" si="2"/>
        <v>2423.8392857142853</v>
      </c>
      <c r="AA134" s="7142"/>
      <c r="AB134" s="4390"/>
      <c r="AC134" s="1433"/>
      <c r="AD134" s="1449"/>
      <c r="AE134" s="1449" t="s">
        <v>153</v>
      </c>
      <c r="AF134" s="413"/>
      <c r="AG134" s="4680"/>
    </row>
    <row r="135" spans="1:33" ht="33">
      <c r="A135" s="9244"/>
      <c r="B135" s="11228"/>
      <c r="C135" s="11210"/>
      <c r="D135" s="11210"/>
      <c r="E135" s="11210"/>
      <c r="F135" s="11216"/>
      <c r="G135" s="11210"/>
      <c r="H135" s="11210"/>
      <c r="I135" s="11210"/>
      <c r="J135" s="11210"/>
      <c r="K135" s="11274"/>
      <c r="L135" s="11218"/>
      <c r="M135" s="11218"/>
      <c r="N135" s="11218"/>
      <c r="O135" s="11270"/>
      <c r="P135" s="11270"/>
      <c r="Q135" s="11267"/>
      <c r="R135" s="4372"/>
      <c r="S135" s="513"/>
      <c r="T135" s="513"/>
      <c r="U135" s="4380" t="s">
        <v>6304</v>
      </c>
      <c r="V135" s="4385">
        <v>1</v>
      </c>
      <c r="W135" s="247" t="s">
        <v>180</v>
      </c>
      <c r="X135" s="7857">
        <v>16067.008928571426</v>
      </c>
      <c r="Y135" s="7857">
        <f t="shared" si="3"/>
        <v>16067.008928571426</v>
      </c>
      <c r="Z135" s="7857">
        <f t="shared" si="2"/>
        <v>16067.008928571426</v>
      </c>
      <c r="AA135" s="7142"/>
      <c r="AB135" s="4390"/>
      <c r="AC135" s="1433"/>
      <c r="AD135" s="1449"/>
      <c r="AE135" s="1449" t="s">
        <v>153</v>
      </c>
      <c r="AF135" s="413"/>
      <c r="AG135" s="4680"/>
    </row>
    <row r="136" spans="1:33" ht="16.5">
      <c r="A136" s="9244"/>
      <c r="B136" s="11228"/>
      <c r="C136" s="11210"/>
      <c r="D136" s="11210"/>
      <c r="E136" s="11210"/>
      <c r="F136" s="11216"/>
      <c r="G136" s="11210"/>
      <c r="H136" s="11210"/>
      <c r="I136" s="11210"/>
      <c r="J136" s="11210"/>
      <c r="K136" s="11274"/>
      <c r="L136" s="11218"/>
      <c r="M136" s="11218"/>
      <c r="N136" s="11218"/>
      <c r="O136" s="11270"/>
      <c r="P136" s="11270"/>
      <c r="Q136" s="11267"/>
      <c r="R136" s="4372"/>
      <c r="S136" s="513"/>
      <c r="T136" s="513"/>
      <c r="U136" s="4380" t="s">
        <v>6305</v>
      </c>
      <c r="V136" s="4385">
        <v>5</v>
      </c>
      <c r="W136" s="247" t="s">
        <v>180</v>
      </c>
      <c r="X136" s="7857">
        <v>978.83928571428532</v>
      </c>
      <c r="Y136" s="7857">
        <f t="shared" si="3"/>
        <v>4894.1964285714266</v>
      </c>
      <c r="Z136" s="7857">
        <f t="shared" si="2"/>
        <v>4894.1964285714266</v>
      </c>
      <c r="AA136" s="7142"/>
      <c r="AB136" s="4390"/>
      <c r="AC136" s="1433"/>
      <c r="AD136" s="1449"/>
      <c r="AE136" s="1449" t="s">
        <v>153</v>
      </c>
      <c r="AF136" s="413"/>
      <c r="AG136" s="4680"/>
    </row>
    <row r="137" spans="1:33" ht="16.5">
      <c r="A137" s="9244"/>
      <c r="B137" s="11228"/>
      <c r="C137" s="11210"/>
      <c r="D137" s="11210"/>
      <c r="E137" s="11210"/>
      <c r="F137" s="11216"/>
      <c r="G137" s="11210"/>
      <c r="H137" s="11210"/>
      <c r="I137" s="11210"/>
      <c r="J137" s="11210"/>
      <c r="K137" s="11274"/>
      <c r="L137" s="11218"/>
      <c r="M137" s="11218"/>
      <c r="N137" s="11218"/>
      <c r="O137" s="11270"/>
      <c r="P137" s="11270"/>
      <c r="Q137" s="11267"/>
      <c r="R137" s="4372"/>
      <c r="S137" s="513"/>
      <c r="T137" s="513"/>
      <c r="U137" s="4380" t="s">
        <v>6306</v>
      </c>
      <c r="V137" s="4385">
        <v>7</v>
      </c>
      <c r="W137" s="247" t="s">
        <v>180</v>
      </c>
      <c r="X137" s="7857">
        <v>1075.8035714285711</v>
      </c>
      <c r="Y137" s="7857">
        <f t="shared" si="3"/>
        <v>7530.6249999999982</v>
      </c>
      <c r="Z137" s="7857">
        <f t="shared" si="2"/>
        <v>7530.6249999999982</v>
      </c>
      <c r="AA137" s="7142"/>
      <c r="AB137" s="4390"/>
      <c r="AC137" s="1433"/>
      <c r="AD137" s="1449"/>
      <c r="AE137" s="1449" t="s">
        <v>153</v>
      </c>
      <c r="AF137" s="413"/>
      <c r="AG137" s="4680"/>
    </row>
    <row r="138" spans="1:33" ht="16.5">
      <c r="A138" s="9244"/>
      <c r="B138" s="11228"/>
      <c r="C138" s="11210"/>
      <c r="D138" s="11210"/>
      <c r="E138" s="11210"/>
      <c r="F138" s="11216"/>
      <c r="G138" s="11210"/>
      <c r="H138" s="11210"/>
      <c r="I138" s="11210"/>
      <c r="J138" s="11210"/>
      <c r="K138" s="11274"/>
      <c r="L138" s="11218"/>
      <c r="M138" s="11218"/>
      <c r="N138" s="11218"/>
      <c r="O138" s="11270"/>
      <c r="P138" s="11270"/>
      <c r="Q138" s="11267"/>
      <c r="R138" s="4372"/>
      <c r="S138" s="513"/>
      <c r="T138" s="513"/>
      <c r="U138" s="4380" t="s">
        <v>6307</v>
      </c>
      <c r="V138" s="4385">
        <v>5</v>
      </c>
      <c r="W138" s="247" t="s">
        <v>180</v>
      </c>
      <c r="X138" s="7857">
        <v>1639.223214285714</v>
      </c>
      <c r="Y138" s="7857">
        <f t="shared" si="3"/>
        <v>8196.1160714285706</v>
      </c>
      <c r="Z138" s="7857">
        <f t="shared" si="2"/>
        <v>8196.1160714285706</v>
      </c>
      <c r="AA138" s="7142"/>
      <c r="AB138" s="4390"/>
      <c r="AC138" s="1433"/>
      <c r="AD138" s="1449"/>
      <c r="AE138" s="1449" t="s">
        <v>153</v>
      </c>
      <c r="AF138" s="413"/>
      <c r="AG138" s="4680"/>
    </row>
    <row r="139" spans="1:33" ht="16.5">
      <c r="A139" s="9244"/>
      <c r="B139" s="11228"/>
      <c r="C139" s="11210"/>
      <c r="D139" s="11210"/>
      <c r="E139" s="11210"/>
      <c r="F139" s="11216"/>
      <c r="G139" s="11210"/>
      <c r="H139" s="11210"/>
      <c r="I139" s="11210"/>
      <c r="J139" s="11210"/>
      <c r="K139" s="11274"/>
      <c r="L139" s="11218"/>
      <c r="M139" s="11218"/>
      <c r="N139" s="11218"/>
      <c r="O139" s="11270"/>
      <c r="P139" s="11270"/>
      <c r="Q139" s="11267"/>
      <c r="R139" s="4372"/>
      <c r="S139" s="513"/>
      <c r="T139" s="513"/>
      <c r="U139" s="4380" t="s">
        <v>6308</v>
      </c>
      <c r="V139" s="4385">
        <v>2</v>
      </c>
      <c r="W139" s="247" t="s">
        <v>180</v>
      </c>
      <c r="X139" s="7857">
        <v>4963.2857142857138</v>
      </c>
      <c r="Y139" s="7857">
        <f t="shared" si="3"/>
        <v>9926.5714285714275</v>
      </c>
      <c r="Z139" s="7857">
        <f t="shared" si="2"/>
        <v>9926.5714285714275</v>
      </c>
      <c r="AA139" s="7142"/>
      <c r="AB139" s="4390"/>
      <c r="AC139" s="1433"/>
      <c r="AD139" s="1449"/>
      <c r="AE139" s="1449" t="s">
        <v>153</v>
      </c>
      <c r="AF139" s="413"/>
      <c r="AG139" s="4680"/>
    </row>
    <row r="140" spans="1:33" ht="16.5">
      <c r="A140" s="9244"/>
      <c r="B140" s="11228"/>
      <c r="C140" s="11210"/>
      <c r="D140" s="11210"/>
      <c r="E140" s="11210"/>
      <c r="F140" s="11216"/>
      <c r="G140" s="11210"/>
      <c r="H140" s="11210"/>
      <c r="I140" s="11210"/>
      <c r="J140" s="11210"/>
      <c r="K140" s="11274"/>
      <c r="L140" s="11218"/>
      <c r="M140" s="11218"/>
      <c r="N140" s="11218"/>
      <c r="O140" s="11270"/>
      <c r="P140" s="11270"/>
      <c r="Q140" s="11267"/>
      <c r="R140" s="4372"/>
      <c r="S140" s="513"/>
      <c r="T140" s="513"/>
      <c r="U140" s="4380" t="s">
        <v>6309</v>
      </c>
      <c r="V140" s="4385">
        <v>2</v>
      </c>
      <c r="W140" s="247" t="s">
        <v>180</v>
      </c>
      <c r="X140" s="7857">
        <v>3073.9017857142853</v>
      </c>
      <c r="Y140" s="7857">
        <f t="shared" si="3"/>
        <v>6147.8035714285706</v>
      </c>
      <c r="Z140" s="7857">
        <f t="shared" si="2"/>
        <v>6147.8035714285706</v>
      </c>
      <c r="AA140" s="7142"/>
      <c r="AB140" s="4390"/>
      <c r="AC140" s="1441"/>
      <c r="AD140" s="1449"/>
      <c r="AE140" s="1449" t="s">
        <v>153</v>
      </c>
      <c r="AF140" s="413"/>
      <c r="AG140" s="4680"/>
    </row>
    <row r="141" spans="1:33" ht="33">
      <c r="A141" s="9244"/>
      <c r="B141" s="11228"/>
      <c r="C141" s="11210"/>
      <c r="D141" s="11210"/>
      <c r="E141" s="11210"/>
      <c r="F141" s="11216"/>
      <c r="G141" s="11210"/>
      <c r="H141" s="11210"/>
      <c r="I141" s="11210"/>
      <c r="J141" s="11210"/>
      <c r="K141" s="11274"/>
      <c r="L141" s="11218"/>
      <c r="M141" s="11218"/>
      <c r="N141" s="11218"/>
      <c r="O141" s="11270"/>
      <c r="P141" s="11270"/>
      <c r="Q141" s="11267"/>
      <c r="R141" s="4372"/>
      <c r="S141" s="513"/>
      <c r="T141" s="513"/>
      <c r="U141" s="4380" t="s">
        <v>6310</v>
      </c>
      <c r="V141" s="4385">
        <v>1</v>
      </c>
      <c r="W141" s="247" t="s">
        <v>180</v>
      </c>
      <c r="X141" s="7857">
        <v>152.42857142857142</v>
      </c>
      <c r="Y141" s="7857">
        <f t="shared" si="3"/>
        <v>152.42857142857142</v>
      </c>
      <c r="Z141" s="7857">
        <f t="shared" si="2"/>
        <v>152.42857142857142</v>
      </c>
      <c r="AA141" s="7142"/>
      <c r="AB141" s="4390"/>
      <c r="AC141" s="1441"/>
      <c r="AD141" s="1449"/>
      <c r="AE141" s="1449" t="s">
        <v>153</v>
      </c>
      <c r="AF141" s="413"/>
      <c r="AG141" s="4680"/>
    </row>
    <row r="142" spans="1:33" ht="16.5">
      <c r="A142" s="9244"/>
      <c r="B142" s="11228"/>
      <c r="C142" s="11210"/>
      <c r="D142" s="11210"/>
      <c r="E142" s="11210"/>
      <c r="F142" s="11216"/>
      <c r="G142" s="11210"/>
      <c r="H142" s="11210"/>
      <c r="I142" s="11210"/>
      <c r="J142" s="11210"/>
      <c r="K142" s="11274"/>
      <c r="L142" s="11218"/>
      <c r="M142" s="11218"/>
      <c r="N142" s="11218"/>
      <c r="O142" s="11270"/>
      <c r="P142" s="11270"/>
      <c r="Q142" s="11267"/>
      <c r="R142" s="4372"/>
      <c r="S142" s="513"/>
      <c r="T142" s="513"/>
      <c r="U142" s="4380" t="s">
        <v>6311</v>
      </c>
      <c r="V142" s="4385">
        <v>1</v>
      </c>
      <c r="W142" s="247" t="s">
        <v>180</v>
      </c>
      <c r="X142" s="7857">
        <v>338.04464285714283</v>
      </c>
      <c r="Y142" s="7857">
        <f t="shared" si="3"/>
        <v>338.04464285714283</v>
      </c>
      <c r="Z142" s="7857">
        <f t="shared" si="2"/>
        <v>338.04464285714283</v>
      </c>
      <c r="AA142" s="7142"/>
      <c r="AB142" s="4390"/>
      <c r="AC142" s="1441"/>
      <c r="AD142" s="1449"/>
      <c r="AE142" s="1449" t="s">
        <v>153</v>
      </c>
      <c r="AF142" s="413"/>
      <c r="AG142" s="4680"/>
    </row>
    <row r="143" spans="1:33" ht="33">
      <c r="A143" s="9244"/>
      <c r="B143" s="11228"/>
      <c r="C143" s="11210"/>
      <c r="D143" s="11210"/>
      <c r="E143" s="11210"/>
      <c r="F143" s="11216"/>
      <c r="G143" s="11210"/>
      <c r="H143" s="11210"/>
      <c r="I143" s="11210"/>
      <c r="J143" s="11210"/>
      <c r="K143" s="11274"/>
      <c r="L143" s="11218"/>
      <c r="M143" s="11218"/>
      <c r="N143" s="11218"/>
      <c r="O143" s="11270"/>
      <c r="P143" s="11270"/>
      <c r="Q143" s="11267"/>
      <c r="R143" s="4372"/>
      <c r="S143" s="513"/>
      <c r="T143" s="513"/>
      <c r="U143" s="4380" t="s">
        <v>6312</v>
      </c>
      <c r="V143" s="4385">
        <v>1</v>
      </c>
      <c r="W143" s="247" t="s">
        <v>180</v>
      </c>
      <c r="X143" s="7857">
        <v>9717.2857142857138</v>
      </c>
      <c r="Y143" s="7857">
        <f t="shared" si="3"/>
        <v>9717.2857142857138</v>
      </c>
      <c r="Z143" s="7857">
        <f t="shared" si="2"/>
        <v>9717.2857142857138</v>
      </c>
      <c r="AA143" s="7142"/>
      <c r="AB143" s="4390"/>
      <c r="AC143" s="1441"/>
      <c r="AD143" s="1449"/>
      <c r="AE143" s="1449" t="s">
        <v>153</v>
      </c>
      <c r="AF143" s="413"/>
      <c r="AG143" s="4680"/>
    </row>
    <row r="144" spans="1:33" ht="16.5">
      <c r="A144" s="9244"/>
      <c r="B144" s="11228"/>
      <c r="C144" s="11210"/>
      <c r="D144" s="11210"/>
      <c r="E144" s="11210"/>
      <c r="F144" s="11216"/>
      <c r="G144" s="11210"/>
      <c r="H144" s="11210"/>
      <c r="I144" s="11210"/>
      <c r="J144" s="11210"/>
      <c r="K144" s="11274"/>
      <c r="L144" s="11218"/>
      <c r="M144" s="11218"/>
      <c r="N144" s="11218"/>
      <c r="O144" s="11270"/>
      <c r="P144" s="11270"/>
      <c r="Q144" s="11267"/>
      <c r="R144" s="4372"/>
      <c r="S144" s="513"/>
      <c r="T144" s="513"/>
      <c r="U144" s="4380" t="s">
        <v>6313</v>
      </c>
      <c r="V144" s="4385">
        <v>1</v>
      </c>
      <c r="W144" s="247" t="s">
        <v>180</v>
      </c>
      <c r="X144" s="7857">
        <v>6973.7321428571422</v>
      </c>
      <c r="Y144" s="7857">
        <f t="shared" si="3"/>
        <v>6973.7321428571422</v>
      </c>
      <c r="Z144" s="7857">
        <f t="shared" si="2"/>
        <v>6973.7321428571422</v>
      </c>
      <c r="AA144" s="7142"/>
      <c r="AB144" s="4390"/>
      <c r="AC144" s="1441"/>
      <c r="AD144" s="1449"/>
      <c r="AE144" s="1449" t="s">
        <v>153</v>
      </c>
      <c r="AF144" s="413"/>
      <c r="AG144" s="4680"/>
    </row>
    <row r="145" spans="1:33" ht="16.5">
      <c r="A145" s="9244"/>
      <c r="B145" s="11228"/>
      <c r="C145" s="11210"/>
      <c r="D145" s="11210"/>
      <c r="E145" s="11210"/>
      <c r="F145" s="11216"/>
      <c r="G145" s="11210"/>
      <c r="H145" s="11210"/>
      <c r="I145" s="11210"/>
      <c r="J145" s="11210"/>
      <c r="K145" s="11274"/>
      <c r="L145" s="11218"/>
      <c r="M145" s="11218"/>
      <c r="N145" s="11218"/>
      <c r="O145" s="11270"/>
      <c r="P145" s="11270"/>
      <c r="Q145" s="11267"/>
      <c r="R145" s="4372"/>
      <c r="S145" s="513"/>
      <c r="T145" s="513"/>
      <c r="U145" s="4380" t="s">
        <v>6314</v>
      </c>
      <c r="V145" s="4385">
        <v>1</v>
      </c>
      <c r="W145" s="247" t="s">
        <v>180</v>
      </c>
      <c r="X145" s="7857">
        <v>12501.732142857141</v>
      </c>
      <c r="Y145" s="7857">
        <f t="shared" si="3"/>
        <v>12501.732142857141</v>
      </c>
      <c r="Z145" s="7857">
        <f t="shared" si="2"/>
        <v>12501.732142857141</v>
      </c>
      <c r="AA145" s="7142"/>
      <c r="AB145" s="4390"/>
      <c r="AC145" s="1441"/>
      <c r="AD145" s="1449"/>
      <c r="AE145" s="1449" t="s">
        <v>153</v>
      </c>
      <c r="AF145" s="413"/>
      <c r="AG145" s="4680"/>
    </row>
    <row r="146" spans="1:33" ht="16.5">
      <c r="A146" s="9244"/>
      <c r="B146" s="11228"/>
      <c r="C146" s="11210"/>
      <c r="D146" s="11210"/>
      <c r="E146" s="11210"/>
      <c r="F146" s="11216"/>
      <c r="G146" s="11210"/>
      <c r="H146" s="11210"/>
      <c r="I146" s="11210"/>
      <c r="J146" s="11210"/>
      <c r="K146" s="11274"/>
      <c r="L146" s="11218"/>
      <c r="M146" s="11218"/>
      <c r="N146" s="11218"/>
      <c r="O146" s="11270"/>
      <c r="P146" s="11270"/>
      <c r="Q146" s="11267"/>
      <c r="R146" s="4372"/>
      <c r="S146" s="513"/>
      <c r="T146" s="513"/>
      <c r="U146" s="4380" t="s">
        <v>6315</v>
      </c>
      <c r="V146" s="4385">
        <v>18</v>
      </c>
      <c r="W146" s="247" t="s">
        <v>180</v>
      </c>
      <c r="X146" s="7857">
        <v>173.38392857142853</v>
      </c>
      <c r="Y146" s="7857">
        <f t="shared" si="3"/>
        <v>3120.9107142857133</v>
      </c>
      <c r="Z146" s="7857">
        <f t="shared" si="2"/>
        <v>3120.9107142857133</v>
      </c>
      <c r="AA146" s="7142"/>
      <c r="AB146" s="4390"/>
      <c r="AC146" s="1441"/>
      <c r="AD146" s="1449"/>
      <c r="AE146" s="1449" t="s">
        <v>153</v>
      </c>
      <c r="AF146" s="413"/>
      <c r="AG146" s="4680"/>
    </row>
    <row r="147" spans="1:33" ht="16.5">
      <c r="A147" s="9244"/>
      <c r="B147" s="11228"/>
      <c r="C147" s="11210"/>
      <c r="D147" s="11210"/>
      <c r="E147" s="11210"/>
      <c r="F147" s="11216"/>
      <c r="G147" s="11210"/>
      <c r="H147" s="11210"/>
      <c r="I147" s="11210"/>
      <c r="J147" s="11210"/>
      <c r="K147" s="11274"/>
      <c r="L147" s="11218"/>
      <c r="M147" s="11218"/>
      <c r="N147" s="11218"/>
      <c r="O147" s="11270"/>
      <c r="P147" s="11270"/>
      <c r="Q147" s="11267"/>
      <c r="R147" s="4372"/>
      <c r="S147" s="513"/>
      <c r="T147" s="513"/>
      <c r="U147" s="4380" t="s">
        <v>6316</v>
      </c>
      <c r="V147" s="4385">
        <v>1</v>
      </c>
      <c r="W147" s="247" t="s">
        <v>180</v>
      </c>
      <c r="X147" s="7857">
        <v>10640.125</v>
      </c>
      <c r="Y147" s="7857">
        <f t="shared" si="3"/>
        <v>10640.125</v>
      </c>
      <c r="Z147" s="7857">
        <f t="shared" si="2"/>
        <v>10640.125</v>
      </c>
      <c r="AA147" s="7142"/>
      <c r="AB147" s="4390"/>
      <c r="AC147" s="1441"/>
      <c r="AD147" s="1449"/>
      <c r="AE147" s="1449" t="s">
        <v>153</v>
      </c>
      <c r="AF147" s="413"/>
      <c r="AG147" s="4680"/>
    </row>
    <row r="148" spans="1:33" ht="16.5">
      <c r="A148" s="9244"/>
      <c r="B148" s="11228"/>
      <c r="C148" s="11210"/>
      <c r="D148" s="11210"/>
      <c r="E148" s="11210"/>
      <c r="F148" s="11216"/>
      <c r="G148" s="11210"/>
      <c r="H148" s="11210"/>
      <c r="I148" s="11210"/>
      <c r="J148" s="11210"/>
      <c r="K148" s="11274"/>
      <c r="L148" s="11218"/>
      <c r="M148" s="11218"/>
      <c r="N148" s="11218"/>
      <c r="O148" s="11270"/>
      <c r="P148" s="11270"/>
      <c r="Q148" s="11267"/>
      <c r="R148" s="4372"/>
      <c r="S148" s="513"/>
      <c r="T148" s="513"/>
      <c r="U148" s="4380" t="s">
        <v>6317</v>
      </c>
      <c r="V148" s="4385">
        <v>1</v>
      </c>
      <c r="W148" s="247" t="s">
        <v>180</v>
      </c>
      <c r="X148" s="7857">
        <v>3310.5803571428569</v>
      </c>
      <c r="Y148" s="7857">
        <f t="shared" si="3"/>
        <v>3310.5803571428569</v>
      </c>
      <c r="Z148" s="7857">
        <f t="shared" si="2"/>
        <v>3310.5803571428569</v>
      </c>
      <c r="AA148" s="7142"/>
      <c r="AB148" s="4390"/>
      <c r="AC148" s="1441"/>
      <c r="AD148" s="1449"/>
      <c r="AE148" s="1449" t="s">
        <v>153</v>
      </c>
      <c r="AF148" s="413"/>
      <c r="AG148" s="4680"/>
    </row>
    <row r="149" spans="1:33" ht="16.5">
      <c r="A149" s="9244"/>
      <c r="B149" s="11228"/>
      <c r="C149" s="11210"/>
      <c r="D149" s="11210"/>
      <c r="E149" s="11210"/>
      <c r="F149" s="11216"/>
      <c r="G149" s="11210"/>
      <c r="H149" s="11210"/>
      <c r="I149" s="11210"/>
      <c r="J149" s="11210"/>
      <c r="K149" s="11274"/>
      <c r="L149" s="11218"/>
      <c r="M149" s="11218"/>
      <c r="N149" s="11218"/>
      <c r="O149" s="11270"/>
      <c r="P149" s="11270"/>
      <c r="Q149" s="11267"/>
      <c r="R149" s="4372"/>
      <c r="S149" s="513"/>
      <c r="T149" s="513"/>
      <c r="U149" s="4380" t="s">
        <v>6318</v>
      </c>
      <c r="V149" s="4385">
        <v>2</v>
      </c>
      <c r="W149" s="247" t="s">
        <v>180</v>
      </c>
      <c r="X149" s="7857">
        <v>111.60714285714285</v>
      </c>
      <c r="Y149" s="7857">
        <f t="shared" si="3"/>
        <v>223.21428571428569</v>
      </c>
      <c r="Z149" s="7857">
        <f t="shared" si="2"/>
        <v>223.21428571428569</v>
      </c>
      <c r="AA149" s="7142"/>
      <c r="AB149" s="4390"/>
      <c r="AC149" s="1441"/>
      <c r="AD149" s="1449"/>
      <c r="AE149" s="1449" t="s">
        <v>153</v>
      </c>
      <c r="AF149" s="413"/>
      <c r="AG149" s="4680"/>
    </row>
    <row r="150" spans="1:33" ht="33">
      <c r="A150" s="9244"/>
      <c r="B150" s="11228"/>
      <c r="C150" s="11210"/>
      <c r="D150" s="11210"/>
      <c r="E150" s="11210"/>
      <c r="F150" s="11216"/>
      <c r="G150" s="11210"/>
      <c r="H150" s="11210"/>
      <c r="I150" s="11210"/>
      <c r="J150" s="11210"/>
      <c r="K150" s="11274"/>
      <c r="L150" s="11218"/>
      <c r="M150" s="11218"/>
      <c r="N150" s="11218"/>
      <c r="O150" s="11270"/>
      <c r="P150" s="11270"/>
      <c r="Q150" s="11267"/>
      <c r="R150" s="4372"/>
      <c r="S150" s="513"/>
      <c r="T150" s="513"/>
      <c r="U150" s="4380" t="s">
        <v>6319</v>
      </c>
      <c r="V150" s="4385">
        <v>1</v>
      </c>
      <c r="W150" s="247" t="s">
        <v>180</v>
      </c>
      <c r="X150" s="7857">
        <v>17732.999999999996</v>
      </c>
      <c r="Y150" s="7857">
        <f t="shared" si="3"/>
        <v>17732.999999999996</v>
      </c>
      <c r="Z150" s="7857">
        <f t="shared" si="2"/>
        <v>17732.999999999996</v>
      </c>
      <c r="AA150" s="7142"/>
      <c r="AB150" s="4390"/>
      <c r="AC150" s="1441"/>
      <c r="AD150" s="1449"/>
      <c r="AE150" s="1449" t="s">
        <v>153</v>
      </c>
      <c r="AF150" s="413"/>
      <c r="AG150" s="4680"/>
    </row>
    <row r="151" spans="1:33" ht="16.5">
      <c r="A151" s="9244"/>
      <c r="B151" s="11228"/>
      <c r="C151" s="11210"/>
      <c r="D151" s="11210"/>
      <c r="E151" s="11210"/>
      <c r="F151" s="11216"/>
      <c r="G151" s="11210"/>
      <c r="H151" s="11210"/>
      <c r="I151" s="11210"/>
      <c r="J151" s="11210"/>
      <c r="K151" s="11274"/>
      <c r="L151" s="11218"/>
      <c r="M151" s="11218"/>
      <c r="N151" s="11218"/>
      <c r="O151" s="11270"/>
      <c r="P151" s="11270"/>
      <c r="Q151" s="11267"/>
      <c r="R151" s="4372"/>
      <c r="S151" s="513"/>
      <c r="T151" s="513"/>
      <c r="U151" s="4380" t="s">
        <v>6320</v>
      </c>
      <c r="V151" s="4385">
        <v>1</v>
      </c>
      <c r="W151" s="247" t="s">
        <v>180</v>
      </c>
      <c r="X151" s="7857">
        <v>7364.3392857142844</v>
      </c>
      <c r="Y151" s="7857">
        <f t="shared" si="3"/>
        <v>7364.3392857142844</v>
      </c>
      <c r="Z151" s="7857">
        <f t="shared" si="2"/>
        <v>7364.3392857142844</v>
      </c>
      <c r="AA151" s="7142"/>
      <c r="AB151" s="4390"/>
      <c r="AC151" s="1441"/>
      <c r="AD151" s="1449"/>
      <c r="AE151" s="1449" t="s">
        <v>153</v>
      </c>
      <c r="AF151" s="413"/>
      <c r="AG151" s="4680"/>
    </row>
    <row r="152" spans="1:33" ht="16.5">
      <c r="A152" s="9244"/>
      <c r="B152" s="11228"/>
      <c r="C152" s="11210"/>
      <c r="D152" s="11210"/>
      <c r="E152" s="11210"/>
      <c r="F152" s="11216"/>
      <c r="G152" s="11210"/>
      <c r="H152" s="11210"/>
      <c r="I152" s="11210"/>
      <c r="J152" s="11210"/>
      <c r="K152" s="11274"/>
      <c r="L152" s="11218"/>
      <c r="M152" s="11218"/>
      <c r="N152" s="11218"/>
      <c r="O152" s="11270"/>
      <c r="P152" s="11270"/>
      <c r="Q152" s="11267"/>
      <c r="R152" s="4372"/>
      <c r="S152" s="513"/>
      <c r="T152" s="513"/>
      <c r="U152" s="4380" t="s">
        <v>6321</v>
      </c>
      <c r="V152" s="4385">
        <v>1</v>
      </c>
      <c r="W152" s="247" t="s">
        <v>180</v>
      </c>
      <c r="X152" s="7857">
        <v>7639.6696428571422</v>
      </c>
      <c r="Y152" s="7857">
        <f t="shared" si="3"/>
        <v>7639.6696428571422</v>
      </c>
      <c r="Z152" s="7857">
        <f t="shared" si="2"/>
        <v>7639.6696428571422</v>
      </c>
      <c r="AA152" s="7142"/>
      <c r="AB152" s="4390"/>
      <c r="AC152" s="1441"/>
      <c r="AD152" s="1449"/>
      <c r="AE152" s="1449" t="s">
        <v>153</v>
      </c>
      <c r="AF152" s="413"/>
      <c r="AG152" s="4680"/>
    </row>
    <row r="153" spans="1:33" ht="16.5">
      <c r="A153" s="9244"/>
      <c r="B153" s="11228"/>
      <c r="C153" s="11210"/>
      <c r="D153" s="11210"/>
      <c r="E153" s="11210"/>
      <c r="F153" s="11216"/>
      <c r="G153" s="11210"/>
      <c r="H153" s="11210"/>
      <c r="I153" s="11210"/>
      <c r="J153" s="11210"/>
      <c r="K153" s="11274"/>
      <c r="L153" s="11218"/>
      <c r="M153" s="11218"/>
      <c r="N153" s="11218"/>
      <c r="O153" s="11270"/>
      <c r="P153" s="11270"/>
      <c r="Q153" s="11267"/>
      <c r="R153" s="4372"/>
      <c r="S153" s="513"/>
      <c r="T153" s="513"/>
      <c r="U153" s="7786" t="s">
        <v>6322</v>
      </c>
      <c r="V153" s="7787">
        <v>1</v>
      </c>
      <c r="W153" s="349" t="s">
        <v>180</v>
      </c>
      <c r="X153" s="7857">
        <v>189195.32142857142</v>
      </c>
      <c r="Y153" s="7857">
        <f t="shared" si="3"/>
        <v>189195.32142857142</v>
      </c>
      <c r="Z153" s="7857">
        <f t="shared" si="2"/>
        <v>189195.32142857142</v>
      </c>
      <c r="AA153" s="7142"/>
      <c r="AB153" s="4390"/>
      <c r="AC153" s="1441"/>
      <c r="AD153" s="1449"/>
      <c r="AE153" s="1449" t="s">
        <v>153</v>
      </c>
      <c r="AF153" s="413"/>
      <c r="AG153" s="4680"/>
    </row>
    <row r="154" spans="1:33" ht="33">
      <c r="A154" s="9244"/>
      <c r="B154" s="11228"/>
      <c r="C154" s="11210"/>
      <c r="D154" s="11210"/>
      <c r="E154" s="11210"/>
      <c r="F154" s="11216"/>
      <c r="G154" s="11210"/>
      <c r="H154" s="11210"/>
      <c r="I154" s="11210"/>
      <c r="J154" s="11210"/>
      <c r="K154" s="11274"/>
      <c r="L154" s="11218"/>
      <c r="M154" s="11218"/>
      <c r="N154" s="11218"/>
      <c r="O154" s="11270"/>
      <c r="P154" s="11270"/>
      <c r="Q154" s="11267"/>
      <c r="R154" s="4372"/>
      <c r="S154" s="513"/>
      <c r="T154" s="513"/>
      <c r="U154" s="7786" t="s">
        <v>6323</v>
      </c>
      <c r="V154" s="7787">
        <v>1</v>
      </c>
      <c r="W154" s="349" t="s">
        <v>180</v>
      </c>
      <c r="X154" s="7857">
        <v>183072.24107142855</v>
      </c>
      <c r="Y154" s="7857">
        <f t="shared" si="3"/>
        <v>183072.24107142855</v>
      </c>
      <c r="Z154" s="7857">
        <f t="shared" si="2"/>
        <v>183072.24107142855</v>
      </c>
      <c r="AA154" s="7142"/>
      <c r="AB154" s="4390"/>
      <c r="AC154" s="1441"/>
      <c r="AD154" s="1449"/>
      <c r="AE154" s="1449" t="s">
        <v>153</v>
      </c>
      <c r="AF154" s="413"/>
      <c r="AG154" s="4680"/>
    </row>
    <row r="155" spans="1:33" ht="33">
      <c r="A155" s="9244"/>
      <c r="B155" s="11228"/>
      <c r="C155" s="11210"/>
      <c r="D155" s="11210"/>
      <c r="E155" s="11210"/>
      <c r="F155" s="11216"/>
      <c r="G155" s="11210"/>
      <c r="H155" s="11210"/>
      <c r="I155" s="11210"/>
      <c r="J155" s="11210"/>
      <c r="K155" s="11274"/>
      <c r="L155" s="11218"/>
      <c r="M155" s="11218"/>
      <c r="N155" s="11218"/>
      <c r="O155" s="11270"/>
      <c r="P155" s="11270"/>
      <c r="Q155" s="11267"/>
      <c r="R155" s="7742"/>
      <c r="S155" s="513"/>
      <c r="T155" s="513"/>
      <c r="U155" s="4380" t="s">
        <v>6324</v>
      </c>
      <c r="V155" s="4385">
        <v>1</v>
      </c>
      <c r="W155" s="247" t="s">
        <v>180</v>
      </c>
      <c r="X155" s="7857">
        <v>66591.16071428571</v>
      </c>
      <c r="Y155" s="7857">
        <f t="shared" si="3"/>
        <v>66591.16071428571</v>
      </c>
      <c r="Z155" s="7857">
        <f t="shared" si="2"/>
        <v>66591.16071428571</v>
      </c>
      <c r="AA155" s="7142"/>
      <c r="AB155" s="4390"/>
      <c r="AC155" s="1441"/>
      <c r="AD155" s="1449"/>
      <c r="AE155" s="1449" t="s">
        <v>153</v>
      </c>
      <c r="AF155" s="413"/>
      <c r="AG155" s="4680"/>
    </row>
    <row r="156" spans="1:33" ht="33">
      <c r="A156" s="7649"/>
      <c r="B156" s="11228"/>
      <c r="C156" s="11210"/>
      <c r="D156" s="11210"/>
      <c r="E156" s="11210"/>
      <c r="F156" s="11216"/>
      <c r="G156" s="11210"/>
      <c r="H156" s="11210"/>
      <c r="I156" s="11210"/>
      <c r="J156" s="11210"/>
      <c r="K156" s="11274"/>
      <c r="L156" s="11218"/>
      <c r="M156" s="11218"/>
      <c r="N156" s="11218"/>
      <c r="O156" s="11270"/>
      <c r="P156" s="11270"/>
      <c r="Q156" s="11267"/>
      <c r="R156" s="7861" t="s">
        <v>79</v>
      </c>
      <c r="S156" s="7860">
        <v>840104</v>
      </c>
      <c r="T156" s="7744"/>
      <c r="U156" s="7745" t="s">
        <v>39</v>
      </c>
      <c r="V156" s="7746"/>
      <c r="W156" s="7747"/>
      <c r="X156" s="7748"/>
      <c r="Y156" s="7748"/>
      <c r="Z156" s="7748"/>
      <c r="AA156" s="7749">
        <f>SUM(Z157:Z158)</f>
        <v>714.29</v>
      </c>
      <c r="AB156" s="7750" t="s">
        <v>25</v>
      </c>
      <c r="AC156" s="1450"/>
      <c r="AD156" s="2182"/>
      <c r="AE156" s="2182"/>
      <c r="AF156" s="1451"/>
      <c r="AG156" s="4680"/>
    </row>
    <row r="157" spans="1:33" ht="33">
      <c r="A157" s="7649"/>
      <c r="B157" s="11228"/>
      <c r="C157" s="11210"/>
      <c r="D157" s="11210"/>
      <c r="E157" s="11210"/>
      <c r="F157" s="11216"/>
      <c r="G157" s="11210"/>
      <c r="H157" s="11210"/>
      <c r="I157" s="11210"/>
      <c r="J157" s="11210"/>
      <c r="K157" s="11274"/>
      <c r="L157" s="11218"/>
      <c r="M157" s="11218"/>
      <c r="N157" s="11218"/>
      <c r="O157" s="11270"/>
      <c r="P157" s="11270"/>
      <c r="Q157" s="11267"/>
      <c r="R157" s="7751"/>
      <c r="S157" s="7744"/>
      <c r="T157" s="7744"/>
      <c r="U157" s="7752" t="s">
        <v>6325</v>
      </c>
      <c r="V157" s="7746">
        <v>1</v>
      </c>
      <c r="W157" s="7747" t="s">
        <v>180</v>
      </c>
      <c r="X157" s="7748">
        <v>314.29000000000002</v>
      </c>
      <c r="Y157" s="7748">
        <f>X157</f>
        <v>314.29000000000002</v>
      </c>
      <c r="Z157" s="7748">
        <f>Y157</f>
        <v>314.29000000000002</v>
      </c>
      <c r="AA157" s="7749"/>
      <c r="AB157" s="7750"/>
      <c r="AC157" s="1450"/>
      <c r="AD157" s="2182"/>
      <c r="AE157" s="2182" t="s">
        <v>153</v>
      </c>
      <c r="AF157" s="1451"/>
      <c r="AG157" s="4680"/>
    </row>
    <row r="158" spans="1:33" ht="16.5">
      <c r="A158" s="7649"/>
      <c r="B158" s="11228"/>
      <c r="C158" s="11210"/>
      <c r="D158" s="11210"/>
      <c r="E158" s="11210"/>
      <c r="F158" s="11216"/>
      <c r="G158" s="11210"/>
      <c r="H158" s="11210"/>
      <c r="I158" s="11210"/>
      <c r="J158" s="11210"/>
      <c r="K158" s="11274"/>
      <c r="L158" s="11218"/>
      <c r="M158" s="11218"/>
      <c r="N158" s="11218"/>
      <c r="O158" s="11270"/>
      <c r="P158" s="11270"/>
      <c r="Q158" s="11267"/>
      <c r="R158" s="7743"/>
      <c r="S158" s="7744"/>
      <c r="T158" s="7744"/>
      <c r="U158" s="7752" t="s">
        <v>6326</v>
      </c>
      <c r="V158" s="7746">
        <v>1</v>
      </c>
      <c r="W158" s="7747" t="s">
        <v>180</v>
      </c>
      <c r="X158" s="7748">
        <v>400</v>
      </c>
      <c r="Y158" s="7748">
        <f>X158</f>
        <v>400</v>
      </c>
      <c r="Z158" s="7748">
        <f>Y158</f>
        <v>400</v>
      </c>
      <c r="AA158" s="7749"/>
      <c r="AB158" s="7750"/>
      <c r="AC158" s="1450"/>
      <c r="AD158" s="2182"/>
      <c r="AE158" s="2182" t="s">
        <v>153</v>
      </c>
      <c r="AF158" s="1451"/>
      <c r="AG158" s="4680"/>
    </row>
    <row r="159" spans="1:33" ht="19.5" customHeight="1">
      <c r="A159" s="9244" t="s">
        <v>4290</v>
      </c>
      <c r="B159" s="11228"/>
      <c r="C159" s="11210"/>
      <c r="D159" s="11210"/>
      <c r="E159" s="11210"/>
      <c r="F159" s="11216"/>
      <c r="G159" s="11210"/>
      <c r="H159" s="11210"/>
      <c r="I159" s="11210"/>
      <c r="J159" s="11210"/>
      <c r="K159" s="11274"/>
      <c r="L159" s="11218"/>
      <c r="M159" s="11218"/>
      <c r="N159" s="11218"/>
      <c r="O159" s="11270"/>
      <c r="P159" s="11270"/>
      <c r="Q159" s="11267"/>
      <c r="R159" s="4373"/>
      <c r="S159" s="514"/>
      <c r="T159" s="514"/>
      <c r="U159" s="1983"/>
      <c r="V159" s="4386"/>
      <c r="W159" s="252"/>
      <c r="X159" s="7044"/>
      <c r="Y159" s="7044"/>
      <c r="Z159" s="7044"/>
      <c r="AA159" s="7143"/>
      <c r="AB159" s="4391"/>
      <c r="AC159" s="1442"/>
      <c r="AD159" s="252"/>
      <c r="AE159" s="414"/>
      <c r="AF159" s="414"/>
      <c r="AG159" s="4681"/>
    </row>
    <row r="160" spans="1:33" ht="33">
      <c r="A160" s="9244"/>
      <c r="B160" s="11228"/>
      <c r="C160" s="11210"/>
      <c r="D160" s="11210"/>
      <c r="E160" s="11210"/>
      <c r="F160" s="11216"/>
      <c r="G160" s="11210"/>
      <c r="H160" s="11210"/>
      <c r="I160" s="11210"/>
      <c r="J160" s="11210"/>
      <c r="K160" s="11274"/>
      <c r="L160" s="11218"/>
      <c r="M160" s="11218"/>
      <c r="N160" s="11218"/>
      <c r="O160" s="11270"/>
      <c r="P160" s="11270"/>
      <c r="Q160" s="11267"/>
      <c r="R160" s="4374" t="s">
        <v>80</v>
      </c>
      <c r="S160" s="3362" t="s">
        <v>6327</v>
      </c>
      <c r="T160" s="517"/>
      <c r="U160" s="4381" t="s">
        <v>40</v>
      </c>
      <c r="V160" s="11326" t="s">
        <v>6288</v>
      </c>
      <c r="W160" s="11327"/>
      <c r="X160" s="11327"/>
      <c r="Y160" s="11327"/>
      <c r="Z160" s="11328"/>
      <c r="AA160" s="7862">
        <f>SUM(Z161:Z161)</f>
        <v>132888</v>
      </c>
      <c r="AB160" s="4392" t="s">
        <v>25</v>
      </c>
      <c r="AC160" s="1439"/>
      <c r="AD160" s="487"/>
      <c r="AE160" s="1440"/>
      <c r="AF160" s="1440"/>
      <c r="AG160" s="4680"/>
    </row>
    <row r="161" spans="1:33" ht="16.5">
      <c r="A161" s="9244"/>
      <c r="B161" s="11228"/>
      <c r="C161" s="11210"/>
      <c r="D161" s="11210"/>
      <c r="E161" s="11210"/>
      <c r="F161" s="11216"/>
      <c r="G161" s="11210"/>
      <c r="H161" s="11210"/>
      <c r="I161" s="11210"/>
      <c r="J161" s="11210"/>
      <c r="K161" s="11274"/>
      <c r="L161" s="11218"/>
      <c r="M161" s="11218"/>
      <c r="N161" s="11218"/>
      <c r="O161" s="11270"/>
      <c r="P161" s="11270"/>
      <c r="Q161" s="11267"/>
      <c r="R161" s="4371"/>
      <c r="S161" s="513"/>
      <c r="T161" s="513"/>
      <c r="U161" s="4380" t="s">
        <v>6328</v>
      </c>
      <c r="V161" s="4385">
        <v>1</v>
      </c>
      <c r="W161" s="247" t="s">
        <v>479</v>
      </c>
      <c r="X161" s="7857">
        <v>132888</v>
      </c>
      <c r="Y161" s="7857">
        <f>X161</f>
        <v>132888</v>
      </c>
      <c r="Z161" s="7857">
        <f>Y161</f>
        <v>132888</v>
      </c>
      <c r="AA161" s="7646"/>
      <c r="AB161" s="4389"/>
      <c r="AC161" s="1441"/>
      <c r="AD161" s="1449"/>
      <c r="AE161" s="1449" t="s">
        <v>153</v>
      </c>
      <c r="AF161" s="413"/>
      <c r="AG161" s="4680"/>
    </row>
    <row r="162" spans="1:33" ht="16.5">
      <c r="A162" s="9244"/>
      <c r="B162" s="11228"/>
      <c r="C162" s="11210"/>
      <c r="D162" s="11210"/>
      <c r="E162" s="11210"/>
      <c r="F162" s="11216"/>
      <c r="G162" s="11210"/>
      <c r="H162" s="11210"/>
      <c r="I162" s="11210"/>
      <c r="J162" s="11210"/>
      <c r="K162" s="11274"/>
      <c r="L162" s="11218"/>
      <c r="M162" s="11218"/>
      <c r="N162" s="11218"/>
      <c r="O162" s="11270"/>
      <c r="P162" s="11270"/>
      <c r="Q162" s="11267"/>
      <c r="R162" s="4375"/>
      <c r="S162" s="520"/>
      <c r="T162" s="520"/>
      <c r="U162" s="4382"/>
      <c r="V162" s="3363"/>
      <c r="W162" s="268"/>
      <c r="X162" s="7054"/>
      <c r="Y162" s="7054"/>
      <c r="Z162" s="7054"/>
      <c r="AA162" s="7647"/>
      <c r="AB162" s="4393"/>
      <c r="AC162" s="1450"/>
      <c r="AD162" s="2182"/>
      <c r="AE162" s="2182"/>
      <c r="AF162" s="1451"/>
      <c r="AG162" s="4680"/>
    </row>
    <row r="163" spans="1:33" ht="16.5">
      <c r="A163" s="9244"/>
      <c r="B163" s="11228"/>
      <c r="C163" s="11210"/>
      <c r="D163" s="11210"/>
      <c r="E163" s="11210"/>
      <c r="F163" s="11216"/>
      <c r="G163" s="11210"/>
      <c r="H163" s="11210"/>
      <c r="I163" s="11210"/>
      <c r="J163" s="11210"/>
      <c r="K163" s="11274"/>
      <c r="L163" s="11218"/>
      <c r="M163" s="11218"/>
      <c r="N163" s="11218"/>
      <c r="O163" s="11270"/>
      <c r="P163" s="11270"/>
      <c r="Q163" s="11267"/>
      <c r="R163" s="4376"/>
      <c r="S163" s="2861"/>
      <c r="T163" s="520"/>
      <c r="U163" s="4383"/>
      <c r="V163" s="3363"/>
      <c r="W163" s="268"/>
      <c r="X163" s="7054"/>
      <c r="Y163" s="7054"/>
      <c r="Z163" s="7054"/>
      <c r="AA163" s="7647"/>
      <c r="AB163" s="4393"/>
      <c r="AC163" s="1450"/>
      <c r="AD163" s="2182"/>
      <c r="AE163" s="2182"/>
      <c r="AF163" s="1451"/>
      <c r="AG163" s="4680"/>
    </row>
    <row r="164" spans="1:33" ht="24" customHeight="1">
      <c r="A164" s="9244"/>
      <c r="B164" s="11228"/>
      <c r="C164" s="11210"/>
      <c r="D164" s="11210"/>
      <c r="E164" s="11210"/>
      <c r="F164" s="11216"/>
      <c r="G164" s="11210"/>
      <c r="H164" s="11210"/>
      <c r="I164" s="11210"/>
      <c r="J164" s="11210"/>
      <c r="K164" s="11274"/>
      <c r="L164" s="11218"/>
      <c r="M164" s="11218"/>
      <c r="N164" s="11218"/>
      <c r="O164" s="11270"/>
      <c r="P164" s="11270"/>
      <c r="Q164" s="11267"/>
      <c r="R164" s="4376"/>
      <c r="S164" s="2861"/>
      <c r="T164" s="520"/>
      <c r="U164" s="4382"/>
      <c r="V164" s="4387"/>
      <c r="W164" s="247"/>
      <c r="X164" s="7054"/>
      <c r="Y164" s="7054"/>
      <c r="Z164" s="7054"/>
      <c r="AA164" s="7647"/>
      <c r="AB164" s="4393"/>
      <c r="AC164" s="1450"/>
      <c r="AD164" s="2182"/>
      <c r="AE164" s="2182"/>
      <c r="AF164" s="1451"/>
      <c r="AG164" s="4680"/>
    </row>
    <row r="165" spans="1:33" ht="16.5">
      <c r="A165" s="9244"/>
      <c r="B165" s="11229"/>
      <c r="C165" s="11276"/>
      <c r="D165" s="11276"/>
      <c r="E165" s="11276"/>
      <c r="F165" s="11256"/>
      <c r="G165" s="11276"/>
      <c r="H165" s="11276"/>
      <c r="I165" s="11276"/>
      <c r="J165" s="11276"/>
      <c r="K165" s="11275"/>
      <c r="L165" s="11272"/>
      <c r="M165" s="11272"/>
      <c r="N165" s="11272"/>
      <c r="O165" s="11271"/>
      <c r="P165" s="11271"/>
      <c r="Q165" s="11268"/>
      <c r="R165" s="4376"/>
      <c r="S165" s="2861"/>
      <c r="T165" s="520"/>
      <c r="U165" s="4382"/>
      <c r="V165" s="4387"/>
      <c r="W165" s="247"/>
      <c r="X165" s="7054"/>
      <c r="Y165" s="7054"/>
      <c r="Z165" s="7054"/>
      <c r="AA165" s="7647"/>
      <c r="AB165" s="4393"/>
      <c r="AC165" s="1450"/>
      <c r="AD165" s="2182"/>
      <c r="AE165" s="2182"/>
      <c r="AF165" s="1451"/>
      <c r="AG165" s="4680"/>
    </row>
    <row r="166" spans="1:33" ht="28.5" customHeight="1">
      <c r="A166" s="9244"/>
      <c r="B166" s="11227" t="s">
        <v>183</v>
      </c>
      <c r="C166" s="11222" t="s">
        <v>227</v>
      </c>
      <c r="D166" s="11222" t="s">
        <v>185</v>
      </c>
      <c r="E166" s="11222" t="s">
        <v>1938</v>
      </c>
      <c r="F166" s="11255" t="s">
        <v>230</v>
      </c>
      <c r="G166" s="11222" t="s">
        <v>171</v>
      </c>
      <c r="H166" s="11222" t="s">
        <v>133</v>
      </c>
      <c r="I166" s="11222" t="s">
        <v>6329</v>
      </c>
      <c r="J166" s="11222" t="s">
        <v>4338</v>
      </c>
      <c r="K166" s="11222" t="s">
        <v>6330</v>
      </c>
      <c r="L166" s="11231">
        <v>1</v>
      </c>
      <c r="M166" s="11231">
        <v>1</v>
      </c>
      <c r="N166" s="11231">
        <v>0</v>
      </c>
      <c r="O166" s="11222" t="s">
        <v>5901</v>
      </c>
      <c r="P166" s="11222" t="s">
        <v>6331</v>
      </c>
      <c r="Q166" s="11277" t="s">
        <v>6332</v>
      </c>
      <c r="R166" s="2848"/>
      <c r="S166" s="1446"/>
      <c r="T166" s="1446"/>
      <c r="U166" s="262"/>
      <c r="V166" s="519"/>
      <c r="W166" s="263"/>
      <c r="X166" s="7022"/>
      <c r="Y166" s="7022"/>
      <c r="Z166" s="7022"/>
      <c r="AA166" s="7141"/>
      <c r="AB166" s="1447"/>
      <c r="AC166" s="1447"/>
      <c r="AD166" s="263"/>
      <c r="AE166" s="412"/>
      <c r="AF166" s="412"/>
      <c r="AG166" s="9792"/>
    </row>
    <row r="167" spans="1:33" ht="28.5" customHeight="1">
      <c r="A167" s="9244"/>
      <c r="B167" s="11240"/>
      <c r="C167" s="11211"/>
      <c r="D167" s="11211"/>
      <c r="E167" s="11211"/>
      <c r="F167" s="11211"/>
      <c r="G167" s="11211"/>
      <c r="H167" s="11211"/>
      <c r="I167" s="11211"/>
      <c r="J167" s="11211"/>
      <c r="K167" s="11211"/>
      <c r="L167" s="11219"/>
      <c r="M167" s="11219"/>
      <c r="N167" s="11219"/>
      <c r="O167" s="11211"/>
      <c r="P167" s="11211"/>
      <c r="Q167" s="11213"/>
      <c r="R167" s="2849"/>
      <c r="S167" s="513"/>
      <c r="T167" s="513"/>
      <c r="U167" s="246"/>
      <c r="V167" s="513"/>
      <c r="W167" s="247"/>
      <c r="X167" s="7020"/>
      <c r="Y167" s="7020"/>
      <c r="Z167" s="7020"/>
      <c r="AA167" s="7142"/>
      <c r="AB167" s="1441"/>
      <c r="AC167" s="1441"/>
      <c r="AD167" s="247"/>
      <c r="AE167" s="413"/>
      <c r="AF167" s="413"/>
      <c r="AG167" s="11249"/>
    </row>
    <row r="168" spans="1:33" ht="28.5" customHeight="1">
      <c r="A168" s="9244"/>
      <c r="B168" s="11240"/>
      <c r="C168" s="11211"/>
      <c r="D168" s="11211"/>
      <c r="E168" s="11211"/>
      <c r="F168" s="11211"/>
      <c r="G168" s="11211"/>
      <c r="H168" s="11211"/>
      <c r="I168" s="11211"/>
      <c r="J168" s="11211"/>
      <c r="K168" s="11211"/>
      <c r="L168" s="11219"/>
      <c r="M168" s="11219"/>
      <c r="N168" s="11219"/>
      <c r="O168" s="11211"/>
      <c r="P168" s="11211"/>
      <c r="Q168" s="11213"/>
      <c r="R168" s="2849"/>
      <c r="S168" s="513"/>
      <c r="T168" s="513"/>
      <c r="U168" s="246"/>
      <c r="V168" s="513"/>
      <c r="W168" s="247"/>
      <c r="X168" s="7020"/>
      <c r="Y168" s="7020"/>
      <c r="Z168" s="7020"/>
      <c r="AA168" s="7142"/>
      <c r="AB168" s="1441"/>
      <c r="AC168" s="1441"/>
      <c r="AD168" s="247"/>
      <c r="AE168" s="413"/>
      <c r="AF168" s="413"/>
      <c r="AG168" s="11249"/>
    </row>
    <row r="169" spans="1:33" ht="28.5" customHeight="1">
      <c r="A169" s="9244"/>
      <c r="B169" s="11240"/>
      <c r="C169" s="11211"/>
      <c r="D169" s="11211"/>
      <c r="E169" s="11211"/>
      <c r="F169" s="11211"/>
      <c r="G169" s="11211"/>
      <c r="H169" s="11211"/>
      <c r="I169" s="11211"/>
      <c r="J169" s="11211"/>
      <c r="K169" s="11211"/>
      <c r="L169" s="11219"/>
      <c r="M169" s="11219"/>
      <c r="N169" s="11219"/>
      <c r="O169" s="11211"/>
      <c r="P169" s="11211"/>
      <c r="Q169" s="11213"/>
      <c r="R169" s="2850"/>
      <c r="S169" s="350"/>
      <c r="T169" s="350"/>
      <c r="U169" s="246"/>
      <c r="V169" s="513"/>
      <c r="W169" s="247"/>
      <c r="X169" s="7020"/>
      <c r="Y169" s="7020"/>
      <c r="Z169" s="7020"/>
      <c r="AA169" s="7142"/>
      <c r="AB169" s="1441"/>
      <c r="AC169" s="1441"/>
      <c r="AD169" s="247"/>
      <c r="AE169" s="413"/>
      <c r="AF169" s="413"/>
      <c r="AG169" s="11249"/>
    </row>
    <row r="170" spans="1:33" ht="28.5" customHeight="1">
      <c r="A170" s="9244"/>
      <c r="B170" s="11241"/>
      <c r="C170" s="11212"/>
      <c r="D170" s="11212"/>
      <c r="E170" s="11212"/>
      <c r="F170" s="11212"/>
      <c r="G170" s="11212"/>
      <c r="H170" s="11212"/>
      <c r="I170" s="11212"/>
      <c r="J170" s="11212"/>
      <c r="K170" s="11212"/>
      <c r="L170" s="11220"/>
      <c r="M170" s="11220"/>
      <c r="N170" s="11220"/>
      <c r="O170" s="11212"/>
      <c r="P170" s="11212"/>
      <c r="Q170" s="11214"/>
      <c r="R170" s="2851"/>
      <c r="S170" s="514"/>
      <c r="T170" s="514"/>
      <c r="U170" s="260"/>
      <c r="V170" s="514"/>
      <c r="W170" s="252"/>
      <c r="X170" s="7021"/>
      <c r="Y170" s="7021"/>
      <c r="Z170" s="7021"/>
      <c r="AA170" s="7143"/>
      <c r="AB170" s="1442"/>
      <c r="AC170" s="1442"/>
      <c r="AD170" s="252"/>
      <c r="AE170" s="414"/>
      <c r="AF170" s="414"/>
      <c r="AG170" s="11259"/>
    </row>
    <row r="171" spans="1:33" ht="24" customHeight="1">
      <c r="A171" s="9244"/>
      <c r="B171" s="11228" t="s">
        <v>127</v>
      </c>
      <c r="C171" s="11210" t="s">
        <v>128</v>
      </c>
      <c r="D171" s="11210" t="s">
        <v>129</v>
      </c>
      <c r="E171" s="11210" t="s">
        <v>157</v>
      </c>
      <c r="F171" s="11216" t="s">
        <v>131</v>
      </c>
      <c r="G171" s="11210" t="s">
        <v>158</v>
      </c>
      <c r="H171" s="11210" t="s">
        <v>133</v>
      </c>
      <c r="I171" s="11210" t="s">
        <v>6333</v>
      </c>
      <c r="J171" s="11210" t="s">
        <v>4348</v>
      </c>
      <c r="K171" s="11210" t="s">
        <v>5457</v>
      </c>
      <c r="L171" s="11218">
        <v>0</v>
      </c>
      <c r="M171" s="11218">
        <v>0</v>
      </c>
      <c r="N171" s="11218">
        <v>4</v>
      </c>
      <c r="O171" s="11210" t="s">
        <v>6334</v>
      </c>
      <c r="P171" s="11210" t="s">
        <v>6335</v>
      </c>
      <c r="Q171" s="9705" t="s">
        <v>6336</v>
      </c>
      <c r="R171" s="2852"/>
      <c r="S171" s="517"/>
      <c r="T171" s="517"/>
      <c r="U171" s="515"/>
      <c r="V171" s="516"/>
      <c r="W171" s="487"/>
      <c r="X171" s="7045"/>
      <c r="Y171" s="7045"/>
      <c r="Z171" s="7045"/>
      <c r="AA171" s="7144"/>
      <c r="AB171" s="1439"/>
      <c r="AC171" s="1439"/>
      <c r="AD171" s="487"/>
      <c r="AE171" s="487"/>
      <c r="AF171" s="487"/>
      <c r="AG171" s="9825"/>
    </row>
    <row r="172" spans="1:33" ht="24" customHeight="1">
      <c r="A172" s="9244"/>
      <c r="B172" s="11240"/>
      <c r="C172" s="11211"/>
      <c r="D172" s="11211"/>
      <c r="E172" s="11211"/>
      <c r="F172" s="11211"/>
      <c r="G172" s="11211"/>
      <c r="H172" s="11211"/>
      <c r="I172" s="11211"/>
      <c r="J172" s="11211"/>
      <c r="K172" s="11211"/>
      <c r="L172" s="11219"/>
      <c r="M172" s="11219"/>
      <c r="N172" s="11219"/>
      <c r="O172" s="11211"/>
      <c r="P172" s="11211"/>
      <c r="Q172" s="11213"/>
      <c r="R172" s="2849"/>
      <c r="S172" s="513"/>
      <c r="T172" s="513"/>
      <c r="U172" s="246"/>
      <c r="V172" s="513"/>
      <c r="W172" s="247"/>
      <c r="X172" s="7020"/>
      <c r="Y172" s="7020"/>
      <c r="Z172" s="7020"/>
      <c r="AA172" s="7142"/>
      <c r="AB172" s="1441"/>
      <c r="AC172" s="1441"/>
      <c r="AD172" s="247"/>
      <c r="AE172" s="247"/>
      <c r="AF172" s="247"/>
      <c r="AG172" s="11249"/>
    </row>
    <row r="173" spans="1:33" ht="24" customHeight="1">
      <c r="A173" s="9244"/>
      <c r="B173" s="11240"/>
      <c r="C173" s="11211"/>
      <c r="D173" s="11211"/>
      <c r="E173" s="11211"/>
      <c r="F173" s="11211"/>
      <c r="G173" s="11211"/>
      <c r="H173" s="11211"/>
      <c r="I173" s="11211"/>
      <c r="J173" s="11211"/>
      <c r="K173" s="11211"/>
      <c r="L173" s="11219"/>
      <c r="M173" s="11219"/>
      <c r="N173" s="11219"/>
      <c r="O173" s="11211"/>
      <c r="P173" s="11211"/>
      <c r="Q173" s="11213"/>
      <c r="R173" s="2849"/>
      <c r="S173" s="513"/>
      <c r="T173" s="513"/>
      <c r="U173" s="246"/>
      <c r="V173" s="513"/>
      <c r="W173" s="247"/>
      <c r="X173" s="7020"/>
      <c r="Y173" s="7020"/>
      <c r="Z173" s="7020"/>
      <c r="AA173" s="7142"/>
      <c r="AB173" s="1441"/>
      <c r="AC173" s="1441"/>
      <c r="AD173" s="247"/>
      <c r="AE173" s="247"/>
      <c r="AF173" s="413"/>
      <c r="AG173" s="11249"/>
    </row>
    <row r="174" spans="1:33" ht="24" customHeight="1">
      <c r="A174" s="9244"/>
      <c r="B174" s="11240"/>
      <c r="C174" s="11211"/>
      <c r="D174" s="11211"/>
      <c r="E174" s="11211"/>
      <c r="F174" s="11211"/>
      <c r="G174" s="11211"/>
      <c r="H174" s="11211"/>
      <c r="I174" s="11211"/>
      <c r="J174" s="11211"/>
      <c r="K174" s="11211"/>
      <c r="L174" s="11219"/>
      <c r="M174" s="11219"/>
      <c r="N174" s="11219"/>
      <c r="O174" s="11211"/>
      <c r="P174" s="11211"/>
      <c r="Q174" s="11213"/>
      <c r="R174" s="2849"/>
      <c r="S174" s="513"/>
      <c r="T174" s="513"/>
      <c r="U174" s="246"/>
      <c r="V174" s="513"/>
      <c r="W174" s="247"/>
      <c r="X174" s="7020"/>
      <c r="Y174" s="7020"/>
      <c r="Z174" s="7020"/>
      <c r="AA174" s="7142"/>
      <c r="AB174" s="1441"/>
      <c r="AC174" s="1441"/>
      <c r="AD174" s="247"/>
      <c r="AE174" s="247"/>
      <c r="AF174" s="413"/>
      <c r="AG174" s="11249"/>
    </row>
    <row r="175" spans="1:33" ht="24" customHeight="1">
      <c r="A175" s="9244"/>
      <c r="B175" s="11241"/>
      <c r="C175" s="11212"/>
      <c r="D175" s="11212"/>
      <c r="E175" s="11212"/>
      <c r="F175" s="11212"/>
      <c r="G175" s="11212"/>
      <c r="H175" s="11212"/>
      <c r="I175" s="11212"/>
      <c r="J175" s="11212"/>
      <c r="K175" s="11212"/>
      <c r="L175" s="11220"/>
      <c r="M175" s="11220"/>
      <c r="N175" s="11220"/>
      <c r="O175" s="11212"/>
      <c r="P175" s="11212"/>
      <c r="Q175" s="11214"/>
      <c r="R175" s="2851"/>
      <c r="S175" s="514"/>
      <c r="T175" s="514"/>
      <c r="U175" s="267"/>
      <c r="V175" s="520"/>
      <c r="W175" s="268"/>
      <c r="X175" s="7029"/>
      <c r="Y175" s="7029"/>
      <c r="Z175" s="7029"/>
      <c r="AA175" s="7639"/>
      <c r="AB175" s="1450"/>
      <c r="AC175" s="1450"/>
      <c r="AD175" s="268"/>
      <c r="AE175" s="268"/>
      <c r="AF175" s="1451"/>
      <c r="AG175" s="11259"/>
    </row>
    <row r="176" spans="1:33" ht="43.5" customHeight="1">
      <c r="A176" s="9244"/>
      <c r="B176" s="10177" t="s">
        <v>183</v>
      </c>
      <c r="C176" s="8782" t="s">
        <v>227</v>
      </c>
      <c r="D176" s="8782" t="s">
        <v>228</v>
      </c>
      <c r="E176" s="8782" t="s">
        <v>229</v>
      </c>
      <c r="F176" s="8977" t="s">
        <v>230</v>
      </c>
      <c r="G176" s="8782" t="s">
        <v>171</v>
      </c>
      <c r="H176" s="8782" t="s">
        <v>159</v>
      </c>
      <c r="I176" s="8782" t="s">
        <v>4852</v>
      </c>
      <c r="J176" s="8782" t="s">
        <v>4355</v>
      </c>
      <c r="K176" s="8782" t="s">
        <v>6337</v>
      </c>
      <c r="L176" s="9252">
        <v>1</v>
      </c>
      <c r="M176" s="9252">
        <v>0</v>
      </c>
      <c r="N176" s="9252">
        <v>0</v>
      </c>
      <c r="O176" s="8782" t="s">
        <v>6338</v>
      </c>
      <c r="P176" s="8782" t="s">
        <v>6339</v>
      </c>
      <c r="Q176" s="9217" t="s">
        <v>6340</v>
      </c>
      <c r="R176" s="2848"/>
      <c r="S176" s="519"/>
      <c r="T176" s="519"/>
      <c r="U176" s="1999"/>
      <c r="V176" s="2000"/>
      <c r="W176" s="1999"/>
      <c r="X176" s="7022"/>
      <c r="Y176" s="7022"/>
      <c r="Z176" s="7022"/>
      <c r="AA176" s="7141"/>
      <c r="AB176" s="1447"/>
      <c r="AC176" s="1447"/>
      <c r="AD176" s="263"/>
      <c r="AE176" s="412"/>
      <c r="AF176" s="412"/>
      <c r="AG176" s="9792"/>
    </row>
    <row r="177" spans="1:33" ht="43.5" customHeight="1">
      <c r="A177" s="9244"/>
      <c r="B177" s="11337"/>
      <c r="C177" s="11208"/>
      <c r="D177" s="11208"/>
      <c r="E177" s="11208"/>
      <c r="F177" s="11208"/>
      <c r="G177" s="11208"/>
      <c r="H177" s="11208"/>
      <c r="I177" s="11208"/>
      <c r="J177" s="11208"/>
      <c r="K177" s="11208"/>
      <c r="L177" s="11251"/>
      <c r="M177" s="11251"/>
      <c r="N177" s="11251"/>
      <c r="O177" s="11208"/>
      <c r="P177" s="11208"/>
      <c r="Q177" s="11253"/>
      <c r="R177" s="2849"/>
      <c r="S177" s="513"/>
      <c r="T177" s="513"/>
      <c r="U177" s="1997"/>
      <c r="V177" s="2001"/>
      <c r="W177" s="1997"/>
      <c r="X177" s="7020"/>
      <c r="Y177" s="7020"/>
      <c r="Z177" s="7020"/>
      <c r="AA177" s="7142"/>
      <c r="AB177" s="1441"/>
      <c r="AC177" s="1441"/>
      <c r="AD177" s="247"/>
      <c r="AE177" s="413"/>
      <c r="AF177" s="413"/>
      <c r="AG177" s="11249"/>
    </row>
    <row r="178" spans="1:33" ht="43.5" customHeight="1">
      <c r="A178" s="9244"/>
      <c r="B178" s="11337"/>
      <c r="C178" s="11208"/>
      <c r="D178" s="11208"/>
      <c r="E178" s="11208"/>
      <c r="F178" s="11208"/>
      <c r="G178" s="11208"/>
      <c r="H178" s="11208"/>
      <c r="I178" s="11208"/>
      <c r="J178" s="11208"/>
      <c r="K178" s="11208"/>
      <c r="L178" s="11251"/>
      <c r="M178" s="11251"/>
      <c r="N178" s="11251"/>
      <c r="O178" s="11208"/>
      <c r="P178" s="11208"/>
      <c r="Q178" s="11253"/>
      <c r="R178" s="2849"/>
      <c r="S178" s="513"/>
      <c r="T178" s="513"/>
      <c r="U178" s="1997"/>
      <c r="V178" s="2001"/>
      <c r="W178" s="1997"/>
      <c r="X178" s="7020"/>
      <c r="Y178" s="7020"/>
      <c r="Z178" s="7020"/>
      <c r="AA178" s="7142"/>
      <c r="AB178" s="1441"/>
      <c r="AC178" s="1441"/>
      <c r="AD178" s="247"/>
      <c r="AE178" s="413"/>
      <c r="AF178" s="413"/>
      <c r="AG178" s="11249"/>
    </row>
    <row r="179" spans="1:33" ht="43.5" customHeight="1">
      <c r="A179" s="9244"/>
      <c r="B179" s="11337"/>
      <c r="C179" s="11208"/>
      <c r="D179" s="11208"/>
      <c r="E179" s="11208"/>
      <c r="F179" s="11208"/>
      <c r="G179" s="11208"/>
      <c r="H179" s="11208"/>
      <c r="I179" s="11208"/>
      <c r="J179" s="11208"/>
      <c r="K179" s="11208"/>
      <c r="L179" s="11251"/>
      <c r="M179" s="11251"/>
      <c r="N179" s="11251"/>
      <c r="O179" s="11208"/>
      <c r="P179" s="11208"/>
      <c r="Q179" s="11253"/>
      <c r="R179" s="2849"/>
      <c r="S179" s="513"/>
      <c r="T179" s="513"/>
      <c r="U179" s="1997"/>
      <c r="V179" s="2001"/>
      <c r="W179" s="1997"/>
      <c r="X179" s="7020"/>
      <c r="Y179" s="7020"/>
      <c r="Z179" s="7020"/>
      <c r="AA179" s="7142"/>
      <c r="AB179" s="1441"/>
      <c r="AC179" s="1441"/>
      <c r="AD179" s="247"/>
      <c r="AE179" s="413"/>
      <c r="AF179" s="413"/>
      <c r="AG179" s="11249"/>
    </row>
    <row r="180" spans="1:33" ht="43.5" customHeight="1">
      <c r="A180" s="9244"/>
      <c r="B180" s="11338"/>
      <c r="C180" s="11209"/>
      <c r="D180" s="11209"/>
      <c r="E180" s="11209"/>
      <c r="F180" s="11209"/>
      <c r="G180" s="11209"/>
      <c r="H180" s="11209"/>
      <c r="I180" s="11209"/>
      <c r="J180" s="11209"/>
      <c r="K180" s="11209"/>
      <c r="L180" s="11252"/>
      <c r="M180" s="11252"/>
      <c r="N180" s="11252"/>
      <c r="O180" s="11209"/>
      <c r="P180" s="11209"/>
      <c r="Q180" s="11254"/>
      <c r="R180" s="2851"/>
      <c r="S180" s="514"/>
      <c r="T180" s="514"/>
      <c r="U180" s="1998"/>
      <c r="V180" s="2002"/>
      <c r="W180" s="1998"/>
      <c r="X180" s="7021"/>
      <c r="Y180" s="7021"/>
      <c r="Z180" s="7021"/>
      <c r="AA180" s="7143"/>
      <c r="AB180" s="1442"/>
      <c r="AC180" s="1442"/>
      <c r="AD180" s="252"/>
      <c r="AE180" s="414"/>
      <c r="AF180" s="414"/>
      <c r="AG180" s="11259"/>
    </row>
    <row r="181" spans="1:33" ht="39" customHeight="1">
      <c r="A181" s="9244" t="s">
        <v>4290</v>
      </c>
      <c r="B181" s="10177" t="s">
        <v>183</v>
      </c>
      <c r="C181" s="8834" t="s">
        <v>227</v>
      </c>
      <c r="D181" s="8834" t="s">
        <v>228</v>
      </c>
      <c r="E181" s="8834" t="s">
        <v>229</v>
      </c>
      <c r="F181" s="8974" t="s">
        <v>230</v>
      </c>
      <c r="G181" s="8834" t="s">
        <v>132</v>
      </c>
      <c r="H181" s="8834" t="s">
        <v>159</v>
      </c>
      <c r="I181" s="8834" t="s">
        <v>6341</v>
      </c>
      <c r="J181" s="8834" t="s">
        <v>4362</v>
      </c>
      <c r="K181" s="8834" t="s">
        <v>6342</v>
      </c>
      <c r="L181" s="9256">
        <v>0</v>
      </c>
      <c r="M181" s="9256">
        <v>1</v>
      </c>
      <c r="N181" s="9256">
        <v>1</v>
      </c>
      <c r="O181" s="8834" t="s">
        <v>6343</v>
      </c>
      <c r="P181" s="8834" t="s">
        <v>6344</v>
      </c>
      <c r="Q181" s="9205" t="s">
        <v>6345</v>
      </c>
      <c r="R181" s="2852"/>
      <c r="S181" s="517"/>
      <c r="T181" s="517"/>
      <c r="U181" s="515"/>
      <c r="V181" s="516"/>
      <c r="W181" s="487"/>
      <c r="X181" s="7045"/>
      <c r="Y181" s="7045"/>
      <c r="Z181" s="7045"/>
      <c r="AA181" s="7144"/>
      <c r="AB181" s="1439"/>
      <c r="AC181" s="1439"/>
      <c r="AD181" s="487"/>
      <c r="AE181" s="1440"/>
      <c r="AF181" s="1440"/>
      <c r="AG181" s="9825"/>
    </row>
    <row r="182" spans="1:33" ht="39" customHeight="1">
      <c r="A182" s="9244"/>
      <c r="B182" s="11337"/>
      <c r="C182" s="11208"/>
      <c r="D182" s="11208"/>
      <c r="E182" s="11208"/>
      <c r="F182" s="11208"/>
      <c r="G182" s="11208"/>
      <c r="H182" s="11208"/>
      <c r="I182" s="11208"/>
      <c r="J182" s="11208"/>
      <c r="K182" s="11208"/>
      <c r="L182" s="11251"/>
      <c r="M182" s="11251"/>
      <c r="N182" s="11251"/>
      <c r="O182" s="11208"/>
      <c r="P182" s="11208"/>
      <c r="Q182" s="11253"/>
      <c r="R182" s="2849"/>
      <c r="S182" s="513"/>
      <c r="T182" s="513"/>
      <c r="U182" s="246"/>
      <c r="V182" s="513"/>
      <c r="W182" s="247"/>
      <c r="X182" s="7020"/>
      <c r="Y182" s="7020"/>
      <c r="Z182" s="7020"/>
      <c r="AA182" s="7142"/>
      <c r="AB182" s="1441"/>
      <c r="AC182" s="1441"/>
      <c r="AD182" s="247"/>
      <c r="AE182" s="413"/>
      <c r="AF182" s="413"/>
      <c r="AG182" s="11249"/>
    </row>
    <row r="183" spans="1:33" ht="39" customHeight="1">
      <c r="A183" s="9244"/>
      <c r="B183" s="11337"/>
      <c r="C183" s="11208"/>
      <c r="D183" s="11208"/>
      <c r="E183" s="11208"/>
      <c r="F183" s="11208"/>
      <c r="G183" s="11208"/>
      <c r="H183" s="11208"/>
      <c r="I183" s="11208"/>
      <c r="J183" s="11208"/>
      <c r="K183" s="11208"/>
      <c r="L183" s="11251"/>
      <c r="M183" s="11251"/>
      <c r="N183" s="11251"/>
      <c r="O183" s="11208"/>
      <c r="P183" s="11208"/>
      <c r="Q183" s="11253"/>
      <c r="R183" s="2849"/>
      <c r="S183" s="513"/>
      <c r="T183" s="513"/>
      <c r="U183" s="246"/>
      <c r="V183" s="513"/>
      <c r="W183" s="247"/>
      <c r="X183" s="7020"/>
      <c r="Y183" s="7020"/>
      <c r="Z183" s="7020"/>
      <c r="AA183" s="7142"/>
      <c r="AB183" s="1441"/>
      <c r="AC183" s="1441"/>
      <c r="AD183" s="247"/>
      <c r="AE183" s="413"/>
      <c r="AF183" s="413"/>
      <c r="AG183" s="11249"/>
    </row>
    <row r="184" spans="1:33" ht="39" customHeight="1">
      <c r="A184" s="9244"/>
      <c r="B184" s="11337"/>
      <c r="C184" s="11208"/>
      <c r="D184" s="11208"/>
      <c r="E184" s="11208"/>
      <c r="F184" s="11208"/>
      <c r="G184" s="11208"/>
      <c r="H184" s="11208"/>
      <c r="I184" s="11208"/>
      <c r="J184" s="11208"/>
      <c r="K184" s="11208"/>
      <c r="L184" s="11251"/>
      <c r="M184" s="11251"/>
      <c r="N184" s="11251"/>
      <c r="O184" s="11208"/>
      <c r="P184" s="11208"/>
      <c r="Q184" s="11253"/>
      <c r="R184" s="2850"/>
      <c r="S184" s="350"/>
      <c r="T184" s="350"/>
      <c r="U184" s="246"/>
      <c r="V184" s="513"/>
      <c r="W184" s="247"/>
      <c r="X184" s="7020"/>
      <c r="Y184" s="7020"/>
      <c r="Z184" s="7020"/>
      <c r="AA184" s="7142"/>
      <c r="AB184" s="1441"/>
      <c r="AC184" s="1441"/>
      <c r="AD184" s="247"/>
      <c r="AE184" s="413"/>
      <c r="AF184" s="413"/>
      <c r="AG184" s="11249"/>
    </row>
    <row r="185" spans="1:33" ht="39" customHeight="1">
      <c r="A185" s="9244"/>
      <c r="B185" s="11338"/>
      <c r="C185" s="11209"/>
      <c r="D185" s="11209"/>
      <c r="E185" s="11209"/>
      <c r="F185" s="11209"/>
      <c r="G185" s="11209"/>
      <c r="H185" s="11209"/>
      <c r="I185" s="11209"/>
      <c r="J185" s="11209"/>
      <c r="K185" s="11209"/>
      <c r="L185" s="11252"/>
      <c r="M185" s="11252"/>
      <c r="N185" s="11252"/>
      <c r="O185" s="11209"/>
      <c r="P185" s="11209"/>
      <c r="Q185" s="11254"/>
      <c r="R185" s="2851"/>
      <c r="S185" s="514"/>
      <c r="T185" s="514"/>
      <c r="U185" s="260"/>
      <c r="V185" s="514"/>
      <c r="W185" s="252"/>
      <c r="X185" s="7021"/>
      <c r="Y185" s="7021"/>
      <c r="Z185" s="7021"/>
      <c r="AA185" s="7143"/>
      <c r="AB185" s="1442"/>
      <c r="AC185" s="1442"/>
      <c r="AD185" s="252"/>
      <c r="AE185" s="414"/>
      <c r="AF185" s="414"/>
      <c r="AG185" s="11259"/>
    </row>
    <row r="186" spans="1:33" ht="34.5" customHeight="1">
      <c r="A186" s="9244"/>
      <c r="B186" s="10177" t="s">
        <v>183</v>
      </c>
      <c r="C186" s="8834" t="s">
        <v>227</v>
      </c>
      <c r="D186" s="8834" t="s">
        <v>228</v>
      </c>
      <c r="E186" s="8834" t="s">
        <v>2272</v>
      </c>
      <c r="F186" s="8974" t="s">
        <v>230</v>
      </c>
      <c r="G186" s="8834" t="s">
        <v>158</v>
      </c>
      <c r="H186" s="8834" t="s">
        <v>133</v>
      </c>
      <c r="I186" s="8834" t="s">
        <v>6346</v>
      </c>
      <c r="J186" s="8834" t="s">
        <v>4368</v>
      </c>
      <c r="K186" s="8834" t="s">
        <v>4369</v>
      </c>
      <c r="L186" s="9256">
        <v>1</v>
      </c>
      <c r="M186" s="9256">
        <v>1</v>
      </c>
      <c r="N186" s="9256">
        <v>0</v>
      </c>
      <c r="O186" s="8834" t="s">
        <v>6347</v>
      </c>
      <c r="P186" s="8834" t="s">
        <v>6348</v>
      </c>
      <c r="Q186" s="9205" t="s">
        <v>6340</v>
      </c>
      <c r="R186" s="2852"/>
      <c r="S186" s="517"/>
      <c r="T186" s="517"/>
      <c r="U186" s="515"/>
      <c r="V186" s="516"/>
      <c r="W186" s="487"/>
      <c r="X186" s="7045"/>
      <c r="Y186" s="7045"/>
      <c r="Z186" s="7045"/>
      <c r="AA186" s="7144"/>
      <c r="AB186" s="1439"/>
      <c r="AC186" s="1439"/>
      <c r="AD186" s="487"/>
      <c r="AE186" s="487"/>
      <c r="AF186" s="487"/>
      <c r="AG186" s="9825"/>
    </row>
    <row r="187" spans="1:33" ht="34.5" customHeight="1">
      <c r="A187" s="9244"/>
      <c r="B187" s="11337"/>
      <c r="C187" s="11208"/>
      <c r="D187" s="11208"/>
      <c r="E187" s="11208"/>
      <c r="F187" s="11208"/>
      <c r="G187" s="11208"/>
      <c r="H187" s="11208"/>
      <c r="I187" s="11208"/>
      <c r="J187" s="11208"/>
      <c r="K187" s="11208"/>
      <c r="L187" s="11251"/>
      <c r="M187" s="11251"/>
      <c r="N187" s="11251"/>
      <c r="O187" s="11208"/>
      <c r="P187" s="11208"/>
      <c r="Q187" s="11253"/>
      <c r="R187" s="2849"/>
      <c r="S187" s="513"/>
      <c r="T187" s="513"/>
      <c r="U187" s="246"/>
      <c r="V187" s="513"/>
      <c r="W187" s="247"/>
      <c r="X187" s="7020"/>
      <c r="Y187" s="7020"/>
      <c r="Z187" s="7020"/>
      <c r="AA187" s="7142"/>
      <c r="AB187" s="1441"/>
      <c r="AC187" s="1441"/>
      <c r="AD187" s="247"/>
      <c r="AE187" s="247"/>
      <c r="AF187" s="247"/>
      <c r="AG187" s="11249"/>
    </row>
    <row r="188" spans="1:33" ht="34.5" customHeight="1">
      <c r="A188" s="9244"/>
      <c r="B188" s="11337"/>
      <c r="C188" s="11208"/>
      <c r="D188" s="11208"/>
      <c r="E188" s="11208"/>
      <c r="F188" s="11208"/>
      <c r="G188" s="11208"/>
      <c r="H188" s="11208"/>
      <c r="I188" s="11208"/>
      <c r="J188" s="11208"/>
      <c r="K188" s="11208"/>
      <c r="L188" s="11251"/>
      <c r="M188" s="11251"/>
      <c r="N188" s="11251"/>
      <c r="O188" s="11208"/>
      <c r="P188" s="11208"/>
      <c r="Q188" s="11253"/>
      <c r="R188" s="2849"/>
      <c r="S188" s="513"/>
      <c r="T188" s="513"/>
      <c r="U188" s="246"/>
      <c r="V188" s="513"/>
      <c r="W188" s="247"/>
      <c r="X188" s="7020"/>
      <c r="Y188" s="7020"/>
      <c r="Z188" s="7020"/>
      <c r="AA188" s="7142"/>
      <c r="AB188" s="1441"/>
      <c r="AC188" s="1441"/>
      <c r="AD188" s="247"/>
      <c r="AE188" s="247"/>
      <c r="AF188" s="413"/>
      <c r="AG188" s="11249"/>
    </row>
    <row r="189" spans="1:33" ht="34.5" customHeight="1">
      <c r="A189" s="9244"/>
      <c r="B189" s="11337"/>
      <c r="C189" s="11208"/>
      <c r="D189" s="11208"/>
      <c r="E189" s="11208"/>
      <c r="F189" s="11208"/>
      <c r="G189" s="11208"/>
      <c r="H189" s="11208"/>
      <c r="I189" s="11208"/>
      <c r="J189" s="11208"/>
      <c r="K189" s="11208"/>
      <c r="L189" s="11251"/>
      <c r="M189" s="11251"/>
      <c r="N189" s="11251"/>
      <c r="O189" s="11208"/>
      <c r="P189" s="11208"/>
      <c r="Q189" s="11253"/>
      <c r="R189" s="2849"/>
      <c r="S189" s="513"/>
      <c r="T189" s="513"/>
      <c r="U189" s="246"/>
      <c r="V189" s="513"/>
      <c r="W189" s="247"/>
      <c r="X189" s="7020"/>
      <c r="Y189" s="7020"/>
      <c r="Z189" s="7020"/>
      <c r="AA189" s="7142"/>
      <c r="AB189" s="1441"/>
      <c r="AC189" s="1441"/>
      <c r="AD189" s="247"/>
      <c r="AE189" s="247"/>
      <c r="AF189" s="413"/>
      <c r="AG189" s="11249"/>
    </row>
    <row r="190" spans="1:33" ht="34.5" customHeight="1">
      <c r="A190" s="9244"/>
      <c r="B190" s="11338"/>
      <c r="C190" s="11209"/>
      <c r="D190" s="11209"/>
      <c r="E190" s="11209"/>
      <c r="F190" s="11209"/>
      <c r="G190" s="11209"/>
      <c r="H190" s="11209"/>
      <c r="I190" s="11209"/>
      <c r="J190" s="11209"/>
      <c r="K190" s="11209"/>
      <c r="L190" s="11252"/>
      <c r="M190" s="11252"/>
      <c r="N190" s="11252"/>
      <c r="O190" s="11209"/>
      <c r="P190" s="11209"/>
      <c r="Q190" s="11254"/>
      <c r="R190" s="2851"/>
      <c r="S190" s="514"/>
      <c r="T190" s="514"/>
      <c r="U190" s="260"/>
      <c r="V190" s="514"/>
      <c r="W190" s="252"/>
      <c r="X190" s="7021"/>
      <c r="Y190" s="7021"/>
      <c r="Z190" s="7021"/>
      <c r="AA190" s="7143"/>
      <c r="AB190" s="1442"/>
      <c r="AC190" s="1442"/>
      <c r="AD190" s="252"/>
      <c r="AE190" s="252"/>
      <c r="AF190" s="414"/>
      <c r="AG190" s="11259"/>
    </row>
    <row r="191" spans="1:33" ht="18" customHeight="1">
      <c r="A191" s="9244"/>
      <c r="B191" s="10177" t="s">
        <v>183</v>
      </c>
      <c r="C191" s="8834" t="s">
        <v>227</v>
      </c>
      <c r="D191" s="8834" t="s">
        <v>228</v>
      </c>
      <c r="E191" s="8834" t="s">
        <v>229</v>
      </c>
      <c r="F191" s="8974" t="s">
        <v>230</v>
      </c>
      <c r="G191" s="8834" t="s">
        <v>132</v>
      </c>
      <c r="H191" s="8834" t="s">
        <v>159</v>
      </c>
      <c r="I191" s="8834" t="s">
        <v>6349</v>
      </c>
      <c r="J191" s="8834" t="s">
        <v>4375</v>
      </c>
      <c r="K191" s="8834" t="s">
        <v>6350</v>
      </c>
      <c r="L191" s="9256"/>
      <c r="M191" s="9256"/>
      <c r="N191" s="9256"/>
      <c r="O191" s="8834" t="s">
        <v>6350</v>
      </c>
      <c r="P191" s="8834" t="s">
        <v>6350</v>
      </c>
      <c r="Q191" s="9205" t="s">
        <v>6350</v>
      </c>
      <c r="R191" s="2852"/>
      <c r="S191" s="517"/>
      <c r="T191" s="517"/>
      <c r="U191" s="515"/>
      <c r="V191" s="516"/>
      <c r="W191" s="487"/>
      <c r="X191" s="7045"/>
      <c r="Y191" s="7045"/>
      <c r="Z191" s="7045"/>
      <c r="AA191" s="7144"/>
      <c r="AB191" s="1439"/>
      <c r="AC191" s="1439"/>
      <c r="AD191" s="487"/>
      <c r="AE191" s="1440"/>
      <c r="AF191" s="1440"/>
      <c r="AG191" s="11261" t="s">
        <v>6351</v>
      </c>
    </row>
    <row r="192" spans="1:33" ht="18" customHeight="1">
      <c r="A192" s="9244"/>
      <c r="B192" s="11337"/>
      <c r="C192" s="11208"/>
      <c r="D192" s="11208"/>
      <c r="E192" s="11208"/>
      <c r="F192" s="11208"/>
      <c r="G192" s="11208"/>
      <c r="H192" s="11208"/>
      <c r="I192" s="11208"/>
      <c r="J192" s="11208"/>
      <c r="K192" s="11208"/>
      <c r="L192" s="11251"/>
      <c r="M192" s="11251"/>
      <c r="N192" s="11251"/>
      <c r="O192" s="11208"/>
      <c r="P192" s="11208"/>
      <c r="Q192" s="11253"/>
      <c r="R192" s="2849"/>
      <c r="S192" s="513"/>
      <c r="T192" s="513"/>
      <c r="U192" s="246"/>
      <c r="V192" s="513"/>
      <c r="W192" s="247"/>
      <c r="X192" s="7020"/>
      <c r="Y192" s="7020"/>
      <c r="Z192" s="7020"/>
      <c r="AA192" s="7142"/>
      <c r="AB192" s="1441"/>
      <c r="AC192" s="1441"/>
      <c r="AD192" s="247"/>
      <c r="AE192" s="413"/>
      <c r="AF192" s="413"/>
      <c r="AG192" s="11262"/>
    </row>
    <row r="193" spans="1:33" ht="18" customHeight="1">
      <c r="A193" s="9244"/>
      <c r="B193" s="11337"/>
      <c r="C193" s="11208"/>
      <c r="D193" s="11208"/>
      <c r="E193" s="11208"/>
      <c r="F193" s="11208"/>
      <c r="G193" s="11208"/>
      <c r="H193" s="11208"/>
      <c r="I193" s="11208"/>
      <c r="J193" s="11208"/>
      <c r="K193" s="11208"/>
      <c r="L193" s="11251"/>
      <c r="M193" s="11251"/>
      <c r="N193" s="11251"/>
      <c r="O193" s="11208"/>
      <c r="P193" s="11208"/>
      <c r="Q193" s="11253"/>
      <c r="R193" s="2849"/>
      <c r="S193" s="513"/>
      <c r="T193" s="513"/>
      <c r="U193" s="246"/>
      <c r="V193" s="513"/>
      <c r="W193" s="247"/>
      <c r="X193" s="7020"/>
      <c r="Y193" s="7020"/>
      <c r="Z193" s="7020"/>
      <c r="AA193" s="7142"/>
      <c r="AB193" s="1441"/>
      <c r="AC193" s="1441"/>
      <c r="AD193" s="247"/>
      <c r="AE193" s="413"/>
      <c r="AF193" s="413"/>
      <c r="AG193" s="11262"/>
    </row>
    <row r="194" spans="1:33" ht="18" customHeight="1">
      <c r="A194" s="9244"/>
      <c r="B194" s="11337"/>
      <c r="C194" s="11208"/>
      <c r="D194" s="11208"/>
      <c r="E194" s="11208"/>
      <c r="F194" s="11208"/>
      <c r="G194" s="11208"/>
      <c r="H194" s="11208"/>
      <c r="I194" s="11208"/>
      <c r="J194" s="11208"/>
      <c r="K194" s="11208"/>
      <c r="L194" s="11251"/>
      <c r="M194" s="11251"/>
      <c r="N194" s="11251"/>
      <c r="O194" s="11208"/>
      <c r="P194" s="11208"/>
      <c r="Q194" s="11253"/>
      <c r="R194" s="2849"/>
      <c r="S194" s="513"/>
      <c r="T194" s="513"/>
      <c r="U194" s="246"/>
      <c r="V194" s="513"/>
      <c r="W194" s="247"/>
      <c r="X194" s="7020"/>
      <c r="Y194" s="7020"/>
      <c r="Z194" s="7020"/>
      <c r="AA194" s="7142"/>
      <c r="AB194" s="1441"/>
      <c r="AC194" s="1441"/>
      <c r="AD194" s="247"/>
      <c r="AE194" s="413"/>
      <c r="AF194" s="413"/>
      <c r="AG194" s="11262"/>
    </row>
    <row r="195" spans="1:33" ht="18" customHeight="1">
      <c r="A195" s="9244"/>
      <c r="B195" s="11338"/>
      <c r="C195" s="11209"/>
      <c r="D195" s="11209"/>
      <c r="E195" s="11209"/>
      <c r="F195" s="11209"/>
      <c r="G195" s="11209"/>
      <c r="H195" s="11209"/>
      <c r="I195" s="11209"/>
      <c r="J195" s="11209"/>
      <c r="K195" s="11209"/>
      <c r="L195" s="11252"/>
      <c r="M195" s="11252"/>
      <c r="N195" s="11252"/>
      <c r="O195" s="11209"/>
      <c r="P195" s="11209"/>
      <c r="Q195" s="11254"/>
      <c r="R195" s="2851"/>
      <c r="S195" s="514"/>
      <c r="T195" s="514"/>
      <c r="U195" s="260"/>
      <c r="V195" s="514"/>
      <c r="W195" s="252"/>
      <c r="X195" s="7021"/>
      <c r="Y195" s="7021"/>
      <c r="Z195" s="7021"/>
      <c r="AA195" s="7143"/>
      <c r="AB195" s="1442"/>
      <c r="AC195" s="1442"/>
      <c r="AD195" s="252"/>
      <c r="AE195" s="414"/>
      <c r="AF195" s="414"/>
      <c r="AG195" s="11263"/>
    </row>
    <row r="196" spans="1:33" ht="34.5" customHeight="1">
      <c r="A196" s="9244"/>
      <c r="B196" s="10177" t="s">
        <v>127</v>
      </c>
      <c r="C196" s="8834" t="s">
        <v>128</v>
      </c>
      <c r="D196" s="8834" t="s">
        <v>140</v>
      </c>
      <c r="E196" s="8834" t="s">
        <v>1691</v>
      </c>
      <c r="F196" s="8974" t="s">
        <v>131</v>
      </c>
      <c r="G196" s="8834" t="s">
        <v>132</v>
      </c>
      <c r="H196" s="8834" t="s">
        <v>133</v>
      </c>
      <c r="I196" s="8834" t="s">
        <v>6352</v>
      </c>
      <c r="J196" s="8834" t="s">
        <v>6353</v>
      </c>
      <c r="K196" s="8834" t="s">
        <v>4471</v>
      </c>
      <c r="L196" s="9256">
        <v>0</v>
      </c>
      <c r="M196" s="9256">
        <v>1</v>
      </c>
      <c r="N196" s="9256">
        <v>1</v>
      </c>
      <c r="O196" s="8834" t="s">
        <v>6354</v>
      </c>
      <c r="P196" s="8834" t="s">
        <v>6355</v>
      </c>
      <c r="Q196" s="9205" t="s">
        <v>6340</v>
      </c>
      <c r="R196" s="2853"/>
      <c r="S196" s="516"/>
      <c r="T196" s="516"/>
      <c r="U196" s="521"/>
      <c r="V196" s="516"/>
      <c r="W196" s="487"/>
      <c r="X196" s="7045"/>
      <c r="Y196" s="7045"/>
      <c r="Z196" s="7045"/>
      <c r="AA196" s="7144"/>
      <c r="AB196" s="1439"/>
      <c r="AC196" s="1439"/>
      <c r="AD196" s="487"/>
      <c r="AE196" s="1440"/>
      <c r="AF196" s="1440"/>
      <c r="AG196" s="11260"/>
    </row>
    <row r="197" spans="1:33" ht="34.5" customHeight="1">
      <c r="A197" s="9244"/>
      <c r="B197" s="11337"/>
      <c r="C197" s="11208"/>
      <c r="D197" s="11208"/>
      <c r="E197" s="11208"/>
      <c r="F197" s="11208"/>
      <c r="G197" s="11208"/>
      <c r="H197" s="11208"/>
      <c r="I197" s="11208"/>
      <c r="J197" s="11208"/>
      <c r="K197" s="11208"/>
      <c r="L197" s="11251"/>
      <c r="M197" s="11251"/>
      <c r="N197" s="11251"/>
      <c r="O197" s="11208"/>
      <c r="P197" s="11208"/>
      <c r="Q197" s="11253"/>
      <c r="R197" s="2849"/>
      <c r="S197" s="513"/>
      <c r="T197" s="513"/>
      <c r="U197" s="246"/>
      <c r="V197" s="513"/>
      <c r="W197" s="247"/>
      <c r="X197" s="7020"/>
      <c r="Y197" s="7020"/>
      <c r="Z197" s="7020"/>
      <c r="AA197" s="7142"/>
      <c r="AB197" s="1441"/>
      <c r="AC197" s="1441"/>
      <c r="AD197" s="247"/>
      <c r="AE197" s="413"/>
      <c r="AF197" s="413"/>
      <c r="AG197" s="11249"/>
    </row>
    <row r="198" spans="1:33" ht="34.5" customHeight="1">
      <c r="A198" s="9244"/>
      <c r="B198" s="11337"/>
      <c r="C198" s="11208"/>
      <c r="D198" s="11208"/>
      <c r="E198" s="11208"/>
      <c r="F198" s="11208"/>
      <c r="G198" s="11208"/>
      <c r="H198" s="11208"/>
      <c r="I198" s="11208"/>
      <c r="J198" s="11208"/>
      <c r="K198" s="11208"/>
      <c r="L198" s="11251"/>
      <c r="M198" s="11251"/>
      <c r="N198" s="11251"/>
      <c r="O198" s="11208"/>
      <c r="P198" s="11208"/>
      <c r="Q198" s="11253"/>
      <c r="R198" s="2849"/>
      <c r="S198" s="513"/>
      <c r="T198" s="513"/>
      <c r="U198" s="246"/>
      <c r="V198" s="513"/>
      <c r="W198" s="247"/>
      <c r="X198" s="7020"/>
      <c r="Y198" s="7020"/>
      <c r="Z198" s="7020"/>
      <c r="AA198" s="7142"/>
      <c r="AB198" s="1441"/>
      <c r="AC198" s="1441"/>
      <c r="AD198" s="247"/>
      <c r="AE198" s="413"/>
      <c r="AF198" s="413"/>
      <c r="AG198" s="11249"/>
    </row>
    <row r="199" spans="1:33" ht="34.5" customHeight="1">
      <c r="A199" s="9244"/>
      <c r="B199" s="11337"/>
      <c r="C199" s="11208"/>
      <c r="D199" s="11208"/>
      <c r="E199" s="11208"/>
      <c r="F199" s="11208"/>
      <c r="G199" s="11208"/>
      <c r="H199" s="11208"/>
      <c r="I199" s="11208"/>
      <c r="J199" s="11208"/>
      <c r="K199" s="11208"/>
      <c r="L199" s="11251"/>
      <c r="M199" s="11251"/>
      <c r="N199" s="11251"/>
      <c r="O199" s="11208"/>
      <c r="P199" s="11208"/>
      <c r="Q199" s="11253"/>
      <c r="R199" s="2849"/>
      <c r="S199" s="513"/>
      <c r="T199" s="513"/>
      <c r="U199" s="246"/>
      <c r="V199" s="513"/>
      <c r="W199" s="247"/>
      <c r="X199" s="7020"/>
      <c r="Y199" s="7020"/>
      <c r="Z199" s="7020"/>
      <c r="AA199" s="7142"/>
      <c r="AB199" s="1441"/>
      <c r="AC199" s="1441"/>
      <c r="AD199" s="247"/>
      <c r="AE199" s="413"/>
      <c r="AF199" s="413"/>
      <c r="AG199" s="11249"/>
    </row>
    <row r="200" spans="1:33" ht="34.5" customHeight="1" thickBot="1">
      <c r="A200" s="9244"/>
      <c r="B200" s="11348"/>
      <c r="C200" s="11209"/>
      <c r="D200" s="11209"/>
      <c r="E200" s="11209"/>
      <c r="F200" s="11209"/>
      <c r="G200" s="11209"/>
      <c r="H200" s="11209"/>
      <c r="I200" s="11209"/>
      <c r="J200" s="11209"/>
      <c r="K200" s="11209"/>
      <c r="L200" s="11252"/>
      <c r="M200" s="11252"/>
      <c r="N200" s="11252"/>
      <c r="O200" s="11209"/>
      <c r="P200" s="11209"/>
      <c r="Q200" s="11254"/>
      <c r="R200" s="2851"/>
      <c r="S200" s="514"/>
      <c r="T200" s="514"/>
      <c r="U200" s="260"/>
      <c r="V200" s="514"/>
      <c r="W200" s="252"/>
      <c r="X200" s="7021"/>
      <c r="Y200" s="7021"/>
      <c r="Z200" s="7021"/>
      <c r="AA200" s="7143"/>
      <c r="AB200" s="1442"/>
      <c r="AC200" s="1442"/>
      <c r="AD200" s="252"/>
      <c r="AE200" s="414"/>
      <c r="AF200" s="414"/>
      <c r="AG200" s="11259"/>
    </row>
    <row r="201" spans="1:33" ht="33" customHeight="1">
      <c r="A201" s="9244" t="s">
        <v>4290</v>
      </c>
      <c r="B201" s="10176" t="s">
        <v>127</v>
      </c>
      <c r="C201" s="8834" t="s">
        <v>128</v>
      </c>
      <c r="D201" s="8834" t="s">
        <v>140</v>
      </c>
      <c r="E201" s="8834" t="s">
        <v>1691</v>
      </c>
      <c r="F201" s="8974" t="s">
        <v>131</v>
      </c>
      <c r="G201" s="8834" t="s">
        <v>132</v>
      </c>
      <c r="H201" s="8834" t="s">
        <v>133</v>
      </c>
      <c r="I201" s="8834" t="s">
        <v>4872</v>
      </c>
      <c r="J201" s="8834" t="s">
        <v>4476</v>
      </c>
      <c r="K201" s="8834" t="s">
        <v>5479</v>
      </c>
      <c r="L201" s="9256">
        <v>0</v>
      </c>
      <c r="M201" s="9256">
        <v>5</v>
      </c>
      <c r="N201" s="9256">
        <v>5</v>
      </c>
      <c r="O201" s="8834" t="s">
        <v>5480</v>
      </c>
      <c r="P201" s="8834" t="s">
        <v>6356</v>
      </c>
      <c r="Q201" s="9205" t="s">
        <v>6340</v>
      </c>
      <c r="R201" s="2852"/>
      <c r="S201" s="517"/>
      <c r="T201" s="517"/>
      <c r="U201" s="515"/>
      <c r="V201" s="516"/>
      <c r="W201" s="487"/>
      <c r="X201" s="7045"/>
      <c r="Y201" s="7045"/>
      <c r="Z201" s="7045"/>
      <c r="AA201" s="7144"/>
      <c r="AB201" s="1439"/>
      <c r="AC201" s="1439"/>
      <c r="AD201" s="487"/>
      <c r="AE201" s="1440"/>
      <c r="AF201" s="1440"/>
      <c r="AG201" s="9825"/>
    </row>
    <row r="202" spans="1:33" ht="33" customHeight="1">
      <c r="A202" s="9244"/>
      <c r="B202" s="11337"/>
      <c r="C202" s="11208"/>
      <c r="D202" s="11208"/>
      <c r="E202" s="11208"/>
      <c r="F202" s="11208"/>
      <c r="G202" s="11208"/>
      <c r="H202" s="11208"/>
      <c r="I202" s="11208"/>
      <c r="J202" s="11208"/>
      <c r="K202" s="11208"/>
      <c r="L202" s="11251"/>
      <c r="M202" s="11251"/>
      <c r="N202" s="11251"/>
      <c r="O202" s="11208"/>
      <c r="P202" s="11208"/>
      <c r="Q202" s="11253"/>
      <c r="R202" s="2849"/>
      <c r="S202" s="513"/>
      <c r="T202" s="513"/>
      <c r="U202" s="246"/>
      <c r="V202" s="513"/>
      <c r="W202" s="247"/>
      <c r="X202" s="7020"/>
      <c r="Y202" s="7020"/>
      <c r="Z202" s="7020"/>
      <c r="AA202" s="7142"/>
      <c r="AB202" s="1441"/>
      <c r="AC202" s="1441"/>
      <c r="AD202" s="247"/>
      <c r="AE202" s="413"/>
      <c r="AF202" s="413"/>
      <c r="AG202" s="11249"/>
    </row>
    <row r="203" spans="1:33" ht="33" customHeight="1">
      <c r="A203" s="9244"/>
      <c r="B203" s="11337"/>
      <c r="C203" s="11208"/>
      <c r="D203" s="11208"/>
      <c r="E203" s="11208"/>
      <c r="F203" s="11208"/>
      <c r="G203" s="11208"/>
      <c r="H203" s="11208"/>
      <c r="I203" s="11208"/>
      <c r="J203" s="11208"/>
      <c r="K203" s="11208"/>
      <c r="L203" s="11251"/>
      <c r="M203" s="11251"/>
      <c r="N203" s="11251"/>
      <c r="O203" s="11208"/>
      <c r="P203" s="11208"/>
      <c r="Q203" s="11253"/>
      <c r="R203" s="2849"/>
      <c r="S203" s="513"/>
      <c r="T203" s="513"/>
      <c r="U203" s="246"/>
      <c r="V203" s="513"/>
      <c r="W203" s="247"/>
      <c r="X203" s="7020"/>
      <c r="Y203" s="7020"/>
      <c r="Z203" s="7020"/>
      <c r="AA203" s="7142"/>
      <c r="AB203" s="1441"/>
      <c r="AC203" s="1441"/>
      <c r="AD203" s="247"/>
      <c r="AE203" s="413"/>
      <c r="AF203" s="413"/>
      <c r="AG203" s="11249"/>
    </row>
    <row r="204" spans="1:33" ht="33" customHeight="1">
      <c r="A204" s="9244"/>
      <c r="B204" s="11337"/>
      <c r="C204" s="11208"/>
      <c r="D204" s="11208"/>
      <c r="E204" s="11208"/>
      <c r="F204" s="11208"/>
      <c r="G204" s="11208"/>
      <c r="H204" s="11208"/>
      <c r="I204" s="11208"/>
      <c r="J204" s="11208"/>
      <c r="K204" s="11208"/>
      <c r="L204" s="11251"/>
      <c r="M204" s="11251"/>
      <c r="N204" s="11251"/>
      <c r="O204" s="11208"/>
      <c r="P204" s="11208"/>
      <c r="Q204" s="11253"/>
      <c r="R204" s="2849"/>
      <c r="S204" s="513"/>
      <c r="T204" s="513"/>
      <c r="U204" s="246"/>
      <c r="V204" s="513"/>
      <c r="W204" s="247"/>
      <c r="X204" s="7020"/>
      <c r="Y204" s="7020"/>
      <c r="Z204" s="7020"/>
      <c r="AA204" s="7142"/>
      <c r="AB204" s="1441"/>
      <c r="AC204" s="1441"/>
      <c r="AD204" s="247"/>
      <c r="AE204" s="413"/>
      <c r="AF204" s="413"/>
      <c r="AG204" s="11249"/>
    </row>
    <row r="205" spans="1:33" ht="33" customHeight="1">
      <c r="A205" s="9244"/>
      <c r="B205" s="11338"/>
      <c r="C205" s="11209"/>
      <c r="D205" s="11209"/>
      <c r="E205" s="11209"/>
      <c r="F205" s="11209"/>
      <c r="G205" s="11209"/>
      <c r="H205" s="11209"/>
      <c r="I205" s="11209"/>
      <c r="J205" s="11209"/>
      <c r="K205" s="11209"/>
      <c r="L205" s="11252"/>
      <c r="M205" s="11252"/>
      <c r="N205" s="11252"/>
      <c r="O205" s="11209"/>
      <c r="P205" s="11209"/>
      <c r="Q205" s="11254"/>
      <c r="R205" s="2851"/>
      <c r="S205" s="514"/>
      <c r="T205" s="514"/>
      <c r="U205" s="260"/>
      <c r="V205" s="514"/>
      <c r="W205" s="252"/>
      <c r="X205" s="7021"/>
      <c r="Y205" s="7021"/>
      <c r="Z205" s="7021"/>
      <c r="AA205" s="7143"/>
      <c r="AB205" s="1442"/>
      <c r="AC205" s="1442"/>
      <c r="AD205" s="252"/>
      <c r="AE205" s="414"/>
      <c r="AF205" s="414"/>
      <c r="AG205" s="11259"/>
    </row>
    <row r="206" spans="1:33" ht="24" customHeight="1">
      <c r="A206" s="9244"/>
      <c r="B206" s="10177" t="s">
        <v>127</v>
      </c>
      <c r="C206" s="8834" t="s">
        <v>128</v>
      </c>
      <c r="D206" s="8834" t="s">
        <v>129</v>
      </c>
      <c r="E206" s="8834" t="s">
        <v>157</v>
      </c>
      <c r="F206" s="8974" t="s">
        <v>131</v>
      </c>
      <c r="G206" s="8834" t="s">
        <v>132</v>
      </c>
      <c r="H206" s="8834" t="s">
        <v>159</v>
      </c>
      <c r="I206" s="8834" t="s">
        <v>4876</v>
      </c>
      <c r="J206" s="8834" t="s">
        <v>286</v>
      </c>
      <c r="K206" s="8834" t="s">
        <v>6357</v>
      </c>
      <c r="L206" s="9256">
        <v>0</v>
      </c>
      <c r="M206" s="9256">
        <v>1</v>
      </c>
      <c r="N206" s="9256">
        <v>1</v>
      </c>
      <c r="O206" s="8834" t="s">
        <v>6358</v>
      </c>
      <c r="P206" s="8834" t="s">
        <v>6359</v>
      </c>
      <c r="Q206" s="9205" t="s">
        <v>6360</v>
      </c>
      <c r="R206" s="2852"/>
      <c r="S206" s="517"/>
      <c r="T206" s="517"/>
      <c r="U206" s="515"/>
      <c r="V206" s="516"/>
      <c r="W206" s="487"/>
      <c r="X206" s="7045"/>
      <c r="Y206" s="7045"/>
      <c r="Z206" s="7045"/>
      <c r="AA206" s="7144"/>
      <c r="AB206" s="1439"/>
      <c r="AC206" s="1439"/>
      <c r="AD206" s="487"/>
      <c r="AE206" s="1440"/>
      <c r="AF206" s="1440"/>
      <c r="AG206" s="9825"/>
    </row>
    <row r="207" spans="1:33" ht="24" customHeight="1">
      <c r="A207" s="9244"/>
      <c r="B207" s="11337"/>
      <c r="C207" s="11208"/>
      <c r="D207" s="11208"/>
      <c r="E207" s="11208"/>
      <c r="F207" s="11208"/>
      <c r="G207" s="11208"/>
      <c r="H207" s="11208"/>
      <c r="I207" s="11208"/>
      <c r="J207" s="11208"/>
      <c r="K207" s="11208"/>
      <c r="L207" s="11251"/>
      <c r="M207" s="11251"/>
      <c r="N207" s="11251"/>
      <c r="O207" s="11208"/>
      <c r="P207" s="11208"/>
      <c r="Q207" s="11253"/>
      <c r="R207" s="2849"/>
      <c r="S207" s="513"/>
      <c r="T207" s="513"/>
      <c r="U207" s="246"/>
      <c r="V207" s="513"/>
      <c r="W207" s="247"/>
      <c r="X207" s="7020"/>
      <c r="Y207" s="7020"/>
      <c r="Z207" s="7020"/>
      <c r="AA207" s="7142"/>
      <c r="AB207" s="1441"/>
      <c r="AC207" s="1441"/>
      <c r="AD207" s="247"/>
      <c r="AE207" s="413"/>
      <c r="AF207" s="413"/>
      <c r="AG207" s="11249"/>
    </row>
    <row r="208" spans="1:33" ht="24" customHeight="1">
      <c r="A208" s="9244"/>
      <c r="B208" s="11337"/>
      <c r="C208" s="11208"/>
      <c r="D208" s="11208"/>
      <c r="E208" s="11208"/>
      <c r="F208" s="11208"/>
      <c r="G208" s="11208"/>
      <c r="H208" s="11208"/>
      <c r="I208" s="11208"/>
      <c r="J208" s="11208"/>
      <c r="K208" s="11208"/>
      <c r="L208" s="11251"/>
      <c r="M208" s="11251"/>
      <c r="N208" s="11251"/>
      <c r="O208" s="11208"/>
      <c r="P208" s="11208"/>
      <c r="Q208" s="11253"/>
      <c r="R208" s="2849"/>
      <c r="S208" s="513"/>
      <c r="T208" s="513"/>
      <c r="U208" s="246"/>
      <c r="V208" s="513"/>
      <c r="W208" s="247"/>
      <c r="X208" s="7020"/>
      <c r="Y208" s="7020"/>
      <c r="Z208" s="7020"/>
      <c r="AA208" s="7142"/>
      <c r="AB208" s="1441"/>
      <c r="AC208" s="1441"/>
      <c r="AD208" s="247"/>
      <c r="AE208" s="413"/>
      <c r="AF208" s="413"/>
      <c r="AG208" s="11249"/>
    </row>
    <row r="209" spans="1:33" ht="24" customHeight="1">
      <c r="A209" s="9244"/>
      <c r="B209" s="11337"/>
      <c r="C209" s="11208"/>
      <c r="D209" s="11208"/>
      <c r="E209" s="11208"/>
      <c r="F209" s="11208"/>
      <c r="G209" s="11208"/>
      <c r="H209" s="11208"/>
      <c r="I209" s="11208"/>
      <c r="J209" s="11208"/>
      <c r="K209" s="11208"/>
      <c r="L209" s="11251"/>
      <c r="M209" s="11251"/>
      <c r="N209" s="11251"/>
      <c r="O209" s="11208"/>
      <c r="P209" s="11208"/>
      <c r="Q209" s="11253"/>
      <c r="R209" s="2849"/>
      <c r="S209" s="513"/>
      <c r="T209" s="513"/>
      <c r="U209" s="246"/>
      <c r="V209" s="513"/>
      <c r="W209" s="247"/>
      <c r="X209" s="7020"/>
      <c r="Y209" s="7020"/>
      <c r="Z209" s="7020"/>
      <c r="AA209" s="7142"/>
      <c r="AB209" s="1441"/>
      <c r="AC209" s="1441"/>
      <c r="AD209" s="247"/>
      <c r="AE209" s="413"/>
      <c r="AF209" s="413"/>
      <c r="AG209" s="11249"/>
    </row>
    <row r="210" spans="1:33" ht="24" customHeight="1">
      <c r="A210" s="9244"/>
      <c r="B210" s="11338"/>
      <c r="C210" s="11209"/>
      <c r="D210" s="11209"/>
      <c r="E210" s="11209"/>
      <c r="F210" s="11209"/>
      <c r="G210" s="11209"/>
      <c r="H210" s="11209"/>
      <c r="I210" s="11209"/>
      <c r="J210" s="11209"/>
      <c r="K210" s="11209"/>
      <c r="L210" s="11252"/>
      <c r="M210" s="11252"/>
      <c r="N210" s="11252"/>
      <c r="O210" s="11209"/>
      <c r="P210" s="11209"/>
      <c r="Q210" s="11254"/>
      <c r="R210" s="2851"/>
      <c r="S210" s="514"/>
      <c r="T210" s="514"/>
      <c r="U210" s="260"/>
      <c r="V210" s="514"/>
      <c r="W210" s="252"/>
      <c r="X210" s="7021"/>
      <c r="Y210" s="7021"/>
      <c r="Z210" s="7021"/>
      <c r="AA210" s="7143"/>
      <c r="AB210" s="1442"/>
      <c r="AC210" s="1442"/>
      <c r="AD210" s="252"/>
      <c r="AE210" s="414"/>
      <c r="AF210" s="414"/>
      <c r="AG210" s="11259"/>
    </row>
    <row r="211" spans="1:33" ht="24" customHeight="1">
      <c r="A211" s="9244"/>
      <c r="B211" s="10177" t="s">
        <v>127</v>
      </c>
      <c r="C211" s="8834" t="s">
        <v>128</v>
      </c>
      <c r="D211" s="8834" t="s">
        <v>129</v>
      </c>
      <c r="E211" s="8834" t="s">
        <v>157</v>
      </c>
      <c r="F211" s="8974" t="s">
        <v>131</v>
      </c>
      <c r="G211" s="8834" t="s">
        <v>132</v>
      </c>
      <c r="H211" s="8834" t="s">
        <v>159</v>
      </c>
      <c r="I211" s="8834" t="s">
        <v>4880</v>
      </c>
      <c r="J211" s="8834" t="s">
        <v>1378</v>
      </c>
      <c r="K211" s="8834" t="s">
        <v>6361</v>
      </c>
      <c r="L211" s="9256">
        <v>0</v>
      </c>
      <c r="M211" s="9256">
        <v>0</v>
      </c>
      <c r="N211" s="9256">
        <v>1</v>
      </c>
      <c r="O211" s="8834" t="s">
        <v>4489</v>
      </c>
      <c r="P211" s="8834" t="s">
        <v>6362</v>
      </c>
      <c r="Q211" s="9205" t="s">
        <v>6363</v>
      </c>
      <c r="R211" s="2852"/>
      <c r="S211" s="517"/>
      <c r="T211" s="517"/>
      <c r="U211" s="515"/>
      <c r="V211" s="516"/>
      <c r="W211" s="487"/>
      <c r="X211" s="7045"/>
      <c r="Y211" s="7045"/>
      <c r="Z211" s="7045"/>
      <c r="AA211" s="7144"/>
      <c r="AB211" s="1439"/>
      <c r="AC211" s="1439"/>
      <c r="AD211" s="487"/>
      <c r="AE211" s="1440"/>
      <c r="AF211" s="1440"/>
      <c r="AG211" s="9825"/>
    </row>
    <row r="212" spans="1:33" ht="24" customHeight="1">
      <c r="A212" s="9244"/>
      <c r="B212" s="11337"/>
      <c r="C212" s="11208"/>
      <c r="D212" s="11208"/>
      <c r="E212" s="11208"/>
      <c r="F212" s="11208"/>
      <c r="G212" s="11208"/>
      <c r="H212" s="11208"/>
      <c r="I212" s="11208"/>
      <c r="J212" s="11208"/>
      <c r="K212" s="11208"/>
      <c r="L212" s="11251"/>
      <c r="M212" s="11251"/>
      <c r="N212" s="11251"/>
      <c r="O212" s="11208"/>
      <c r="P212" s="11208"/>
      <c r="Q212" s="11253"/>
      <c r="R212" s="2849"/>
      <c r="S212" s="513"/>
      <c r="T212" s="513"/>
      <c r="U212" s="246"/>
      <c r="V212" s="513"/>
      <c r="W212" s="247"/>
      <c r="X212" s="7020"/>
      <c r="Y212" s="7020"/>
      <c r="Z212" s="7020"/>
      <c r="AA212" s="7142"/>
      <c r="AB212" s="1441"/>
      <c r="AC212" s="1441"/>
      <c r="AD212" s="247"/>
      <c r="AE212" s="413"/>
      <c r="AF212" s="413"/>
      <c r="AG212" s="11249"/>
    </row>
    <row r="213" spans="1:33" ht="24" customHeight="1">
      <c r="A213" s="9244"/>
      <c r="B213" s="11337"/>
      <c r="C213" s="11208"/>
      <c r="D213" s="11208"/>
      <c r="E213" s="11208"/>
      <c r="F213" s="11208"/>
      <c r="G213" s="11208"/>
      <c r="H213" s="11208"/>
      <c r="I213" s="11208"/>
      <c r="J213" s="11208"/>
      <c r="K213" s="11208"/>
      <c r="L213" s="11251"/>
      <c r="M213" s="11251"/>
      <c r="N213" s="11251"/>
      <c r="O213" s="11208"/>
      <c r="P213" s="11208"/>
      <c r="Q213" s="11253"/>
      <c r="R213" s="2849"/>
      <c r="S213" s="513"/>
      <c r="T213" s="513"/>
      <c r="U213" s="246"/>
      <c r="V213" s="513"/>
      <c r="W213" s="247"/>
      <c r="X213" s="7020"/>
      <c r="Y213" s="7020"/>
      <c r="Z213" s="7020"/>
      <c r="AA213" s="7142"/>
      <c r="AB213" s="1441"/>
      <c r="AC213" s="1441"/>
      <c r="AD213" s="247"/>
      <c r="AE213" s="413"/>
      <c r="AF213" s="413"/>
      <c r="AG213" s="11249"/>
    </row>
    <row r="214" spans="1:33" ht="24" customHeight="1">
      <c r="A214" s="9244"/>
      <c r="B214" s="11337"/>
      <c r="C214" s="11208"/>
      <c r="D214" s="11208"/>
      <c r="E214" s="11208"/>
      <c r="F214" s="11208"/>
      <c r="G214" s="11208"/>
      <c r="H214" s="11208"/>
      <c r="I214" s="11208"/>
      <c r="J214" s="11208"/>
      <c r="K214" s="11208"/>
      <c r="L214" s="11251"/>
      <c r="M214" s="11251"/>
      <c r="N214" s="11251"/>
      <c r="O214" s="11208"/>
      <c r="P214" s="11208"/>
      <c r="Q214" s="11253"/>
      <c r="R214" s="2849"/>
      <c r="S214" s="513"/>
      <c r="T214" s="513"/>
      <c r="U214" s="246"/>
      <c r="V214" s="513"/>
      <c r="W214" s="247"/>
      <c r="X214" s="7020"/>
      <c r="Y214" s="7020"/>
      <c r="Z214" s="7020"/>
      <c r="AA214" s="7142"/>
      <c r="AB214" s="1441"/>
      <c r="AC214" s="1441"/>
      <c r="AD214" s="247"/>
      <c r="AE214" s="413"/>
      <c r="AF214" s="413"/>
      <c r="AG214" s="11249"/>
    </row>
    <row r="215" spans="1:33" ht="24" customHeight="1">
      <c r="A215" s="9244"/>
      <c r="B215" s="11347"/>
      <c r="C215" s="11217"/>
      <c r="D215" s="11217"/>
      <c r="E215" s="11217"/>
      <c r="F215" s="11217"/>
      <c r="G215" s="11217"/>
      <c r="H215" s="11217"/>
      <c r="I215" s="11217"/>
      <c r="J215" s="11217"/>
      <c r="K215" s="11217"/>
      <c r="L215" s="11310"/>
      <c r="M215" s="11310"/>
      <c r="N215" s="11310"/>
      <c r="O215" s="11217"/>
      <c r="P215" s="11217"/>
      <c r="Q215" s="11257"/>
      <c r="R215" s="5152"/>
      <c r="S215" s="5155"/>
      <c r="T215" s="5155"/>
      <c r="U215" s="5154"/>
      <c r="V215" s="5155"/>
      <c r="W215" s="5156"/>
      <c r="X215" s="7641"/>
      <c r="Y215" s="7641"/>
      <c r="Z215" s="7641"/>
      <c r="AA215" s="7642"/>
      <c r="AB215" s="5157"/>
      <c r="AC215" s="5157"/>
      <c r="AD215" s="5156"/>
      <c r="AE215" s="5158"/>
      <c r="AF215" s="5158"/>
      <c r="AG215" s="11250"/>
    </row>
    <row r="216" spans="1:33" s="6169" customFormat="1" ht="22.5" customHeight="1" thickBot="1">
      <c r="A216" s="11351"/>
      <c r="B216" s="11234"/>
      <c r="C216" s="11244"/>
      <c r="D216" s="11244"/>
      <c r="E216" s="11244"/>
      <c r="F216" s="11244"/>
      <c r="G216" s="11244"/>
      <c r="H216" s="11244"/>
      <c r="I216" s="11244"/>
      <c r="J216" s="11244"/>
      <c r="K216" s="11244"/>
      <c r="L216" s="11244"/>
      <c r="M216" s="11244"/>
      <c r="N216" s="11244"/>
      <c r="O216" s="11311"/>
      <c r="P216" s="11311"/>
      <c r="Q216" s="11312"/>
      <c r="R216" s="11292" t="s">
        <v>4491</v>
      </c>
      <c r="S216" s="11299"/>
      <c r="T216" s="11299"/>
      <c r="U216" s="11299"/>
      <c r="V216" s="11299"/>
      <c r="W216" s="11299"/>
      <c r="X216" s="11299"/>
      <c r="Y216" s="11299"/>
      <c r="Z216" s="6170" t="s">
        <v>292</v>
      </c>
      <c r="AA216" s="7643">
        <f>SUM(AA82:AA215)</f>
        <v>1035516.6517857142</v>
      </c>
      <c r="AB216" s="6172"/>
      <c r="AC216" s="6172"/>
      <c r="AD216" s="11288"/>
      <c r="AE216" s="11295"/>
      <c r="AF216" s="11295"/>
      <c r="AG216" s="11296"/>
    </row>
    <row r="217" spans="1:33" ht="87" customHeight="1">
      <c r="A217" s="9244" t="s">
        <v>4492</v>
      </c>
      <c r="B217" s="11309" t="s">
        <v>127</v>
      </c>
      <c r="C217" s="11215" t="s">
        <v>128</v>
      </c>
      <c r="D217" s="11215" t="s">
        <v>129</v>
      </c>
      <c r="E217" s="11215" t="s">
        <v>268</v>
      </c>
      <c r="F217" s="11247" t="s">
        <v>131</v>
      </c>
      <c r="G217" s="11215" t="s">
        <v>798</v>
      </c>
      <c r="H217" s="11215" t="s">
        <v>159</v>
      </c>
      <c r="I217" s="11215" t="s">
        <v>4884</v>
      </c>
      <c r="J217" s="11215" t="s">
        <v>4494</v>
      </c>
      <c r="K217" s="11215" t="s">
        <v>5492</v>
      </c>
      <c r="L217" s="11233">
        <v>0</v>
      </c>
      <c r="M217" s="11233">
        <v>1</v>
      </c>
      <c r="N217" s="11233">
        <v>1</v>
      </c>
      <c r="O217" s="11215" t="s">
        <v>6364</v>
      </c>
      <c r="P217" s="11215" t="s">
        <v>6365</v>
      </c>
      <c r="Q217" s="11248" t="s">
        <v>6366</v>
      </c>
      <c r="R217" s="2854"/>
      <c r="S217" s="1452"/>
      <c r="T217" s="1452"/>
      <c r="U217" s="346"/>
      <c r="V217" s="512"/>
      <c r="W217" s="347"/>
      <c r="X217" s="7644"/>
      <c r="Y217" s="7644"/>
      <c r="Z217" s="7644"/>
      <c r="AA217" s="7645"/>
      <c r="AB217" s="1444"/>
      <c r="AC217" s="1444"/>
      <c r="AD217" s="347"/>
      <c r="AE217" s="1445"/>
      <c r="AF217" s="1445"/>
      <c r="AG217" s="11258"/>
    </row>
    <row r="218" spans="1:33" ht="87" customHeight="1">
      <c r="A218" s="9244"/>
      <c r="B218" s="11240"/>
      <c r="C218" s="11211"/>
      <c r="D218" s="11211"/>
      <c r="E218" s="11211"/>
      <c r="F218" s="11211"/>
      <c r="G218" s="11211"/>
      <c r="H218" s="11211"/>
      <c r="I218" s="11211"/>
      <c r="J218" s="11211"/>
      <c r="K218" s="11211"/>
      <c r="L218" s="11219"/>
      <c r="M218" s="11219"/>
      <c r="N218" s="11219"/>
      <c r="O218" s="11211"/>
      <c r="P218" s="11211"/>
      <c r="Q218" s="11213"/>
      <c r="R218" s="2849"/>
      <c r="S218" s="1453"/>
      <c r="T218" s="1453"/>
      <c r="U218" s="246"/>
      <c r="V218" s="513"/>
      <c r="W218" s="247"/>
      <c r="X218" s="7020"/>
      <c r="Y218" s="7020"/>
      <c r="Z218" s="7020"/>
      <c r="AA218" s="7142"/>
      <c r="AB218" s="1441"/>
      <c r="AC218" s="1441"/>
      <c r="AD218" s="247"/>
      <c r="AE218" s="413"/>
      <c r="AF218" s="413"/>
      <c r="AG218" s="11249"/>
    </row>
    <row r="219" spans="1:33" ht="87" customHeight="1">
      <c r="A219" s="9244"/>
      <c r="B219" s="11240"/>
      <c r="C219" s="11211"/>
      <c r="D219" s="11211"/>
      <c r="E219" s="11211"/>
      <c r="F219" s="11211"/>
      <c r="G219" s="11211"/>
      <c r="H219" s="11211"/>
      <c r="I219" s="11211"/>
      <c r="J219" s="11211"/>
      <c r="K219" s="11211"/>
      <c r="L219" s="11219"/>
      <c r="M219" s="11219"/>
      <c r="N219" s="11219"/>
      <c r="O219" s="11211"/>
      <c r="P219" s="11211"/>
      <c r="Q219" s="11213"/>
      <c r="R219" s="2849"/>
      <c r="S219" s="1453"/>
      <c r="T219" s="1453"/>
      <c r="U219" s="246"/>
      <c r="V219" s="513"/>
      <c r="W219" s="247"/>
      <c r="X219" s="7020"/>
      <c r="Y219" s="7020"/>
      <c r="Z219" s="7020"/>
      <c r="AA219" s="7142"/>
      <c r="AB219" s="1441"/>
      <c r="AC219" s="1441"/>
      <c r="AD219" s="247"/>
      <c r="AE219" s="413"/>
      <c r="AF219" s="413"/>
      <c r="AG219" s="11249"/>
    </row>
    <row r="220" spans="1:33" ht="87" customHeight="1">
      <c r="A220" s="9244"/>
      <c r="B220" s="11240"/>
      <c r="C220" s="11211"/>
      <c r="D220" s="11211"/>
      <c r="E220" s="11211"/>
      <c r="F220" s="11211"/>
      <c r="G220" s="11211"/>
      <c r="H220" s="11211"/>
      <c r="I220" s="11211"/>
      <c r="J220" s="11211"/>
      <c r="K220" s="11211"/>
      <c r="L220" s="11219"/>
      <c r="M220" s="11219"/>
      <c r="N220" s="11219"/>
      <c r="O220" s="11211"/>
      <c r="P220" s="11211"/>
      <c r="Q220" s="11213"/>
      <c r="R220" s="2850"/>
      <c r="S220" s="1454"/>
      <c r="T220" s="1454"/>
      <c r="U220" s="246"/>
      <c r="V220" s="513"/>
      <c r="W220" s="247"/>
      <c r="X220" s="7020"/>
      <c r="Y220" s="7020"/>
      <c r="Z220" s="7020"/>
      <c r="AA220" s="7142"/>
      <c r="AB220" s="1441"/>
      <c r="AC220" s="1441"/>
      <c r="AD220" s="247"/>
      <c r="AE220" s="413"/>
      <c r="AF220" s="413"/>
      <c r="AG220" s="11249"/>
    </row>
    <row r="221" spans="1:33" ht="87" customHeight="1">
      <c r="A221" s="9244"/>
      <c r="B221" s="11241"/>
      <c r="C221" s="11212"/>
      <c r="D221" s="11212"/>
      <c r="E221" s="11212"/>
      <c r="F221" s="11212"/>
      <c r="G221" s="11212"/>
      <c r="H221" s="11212"/>
      <c r="I221" s="11212"/>
      <c r="J221" s="11212"/>
      <c r="K221" s="11212"/>
      <c r="L221" s="11220"/>
      <c r="M221" s="11220"/>
      <c r="N221" s="11220"/>
      <c r="O221" s="11212"/>
      <c r="P221" s="11212"/>
      <c r="Q221" s="11214"/>
      <c r="R221" s="2855"/>
      <c r="S221" s="1455"/>
      <c r="T221" s="1455"/>
      <c r="U221" s="267"/>
      <c r="V221" s="520"/>
      <c r="W221" s="268"/>
      <c r="X221" s="7029"/>
      <c r="Y221" s="7029"/>
      <c r="Z221" s="7029"/>
      <c r="AA221" s="7639"/>
      <c r="AB221" s="1450"/>
      <c r="AC221" s="1450"/>
      <c r="AD221" s="268"/>
      <c r="AE221" s="1451"/>
      <c r="AF221" s="1451"/>
      <c r="AG221" s="11259"/>
    </row>
    <row r="222" spans="1:33" ht="27" customHeight="1">
      <c r="A222" s="9244"/>
      <c r="B222" s="11227" t="s">
        <v>127</v>
      </c>
      <c r="C222" s="11222" t="s">
        <v>128</v>
      </c>
      <c r="D222" s="11222" t="s">
        <v>129</v>
      </c>
      <c r="E222" s="11222" t="s">
        <v>268</v>
      </c>
      <c r="F222" s="11255" t="s">
        <v>131</v>
      </c>
      <c r="G222" s="11222" t="s">
        <v>132</v>
      </c>
      <c r="H222" s="11222" t="s">
        <v>159</v>
      </c>
      <c r="I222" s="11222" t="s">
        <v>4890</v>
      </c>
      <c r="J222" s="11222" t="s">
        <v>4500</v>
      </c>
      <c r="K222" s="11222" t="s">
        <v>6367</v>
      </c>
      <c r="L222" s="11231">
        <v>0</v>
      </c>
      <c r="M222" s="11231">
        <v>3</v>
      </c>
      <c r="N222" s="11231">
        <v>3</v>
      </c>
      <c r="O222" s="11222" t="s">
        <v>6368</v>
      </c>
      <c r="P222" s="11222" t="s">
        <v>6369</v>
      </c>
      <c r="Q222" s="11277" t="s">
        <v>6366</v>
      </c>
      <c r="R222" s="2848"/>
      <c r="S222" s="1456"/>
      <c r="T222" s="1456"/>
      <c r="U222" s="262"/>
      <c r="V222" s="519"/>
      <c r="W222" s="263"/>
      <c r="X222" s="7022"/>
      <c r="Y222" s="7022"/>
      <c r="Z222" s="7022"/>
      <c r="AA222" s="7141"/>
      <c r="AB222" s="1447"/>
      <c r="AC222" s="1447"/>
      <c r="AD222" s="263"/>
      <c r="AE222" s="412"/>
      <c r="AF222" s="412"/>
      <c r="AG222" s="9792"/>
    </row>
    <row r="223" spans="1:33" ht="27" customHeight="1">
      <c r="A223" s="9244"/>
      <c r="B223" s="11240"/>
      <c r="C223" s="11211"/>
      <c r="D223" s="11211"/>
      <c r="E223" s="11211"/>
      <c r="F223" s="11211"/>
      <c r="G223" s="11211"/>
      <c r="H223" s="11211"/>
      <c r="I223" s="11211"/>
      <c r="J223" s="11211"/>
      <c r="K223" s="11211"/>
      <c r="L223" s="11219"/>
      <c r="M223" s="11219"/>
      <c r="N223" s="11219"/>
      <c r="O223" s="11211"/>
      <c r="P223" s="11211"/>
      <c r="Q223" s="11213"/>
      <c r="R223" s="2849"/>
      <c r="S223" s="1453"/>
      <c r="T223" s="1453"/>
      <c r="U223" s="246"/>
      <c r="V223" s="513"/>
      <c r="W223" s="247"/>
      <c r="X223" s="7020"/>
      <c r="Y223" s="7020"/>
      <c r="Z223" s="7020"/>
      <c r="AA223" s="7142"/>
      <c r="AB223" s="1441"/>
      <c r="AC223" s="1441"/>
      <c r="AD223" s="247"/>
      <c r="AE223" s="413"/>
      <c r="AF223" s="413"/>
      <c r="AG223" s="11249"/>
    </row>
    <row r="224" spans="1:33" ht="27" customHeight="1">
      <c r="A224" s="9244"/>
      <c r="B224" s="11240"/>
      <c r="C224" s="11211"/>
      <c r="D224" s="11211"/>
      <c r="E224" s="11211"/>
      <c r="F224" s="11211"/>
      <c r="G224" s="11211"/>
      <c r="H224" s="11211"/>
      <c r="I224" s="11211"/>
      <c r="J224" s="11211"/>
      <c r="K224" s="11211"/>
      <c r="L224" s="11219"/>
      <c r="M224" s="11219"/>
      <c r="N224" s="11219"/>
      <c r="O224" s="11211"/>
      <c r="P224" s="11211"/>
      <c r="Q224" s="11213"/>
      <c r="R224" s="2849"/>
      <c r="S224" s="1453"/>
      <c r="T224" s="1453"/>
      <c r="U224" s="246"/>
      <c r="V224" s="513"/>
      <c r="W224" s="247"/>
      <c r="X224" s="7020"/>
      <c r="Y224" s="7020"/>
      <c r="Z224" s="7020"/>
      <c r="AA224" s="7142"/>
      <c r="AB224" s="1441"/>
      <c r="AC224" s="1441"/>
      <c r="AD224" s="247"/>
      <c r="AE224" s="413"/>
      <c r="AF224" s="413"/>
      <c r="AG224" s="11249"/>
    </row>
    <row r="225" spans="1:33" ht="27" customHeight="1">
      <c r="A225" s="9244"/>
      <c r="B225" s="11240"/>
      <c r="C225" s="11211"/>
      <c r="D225" s="11211"/>
      <c r="E225" s="11211"/>
      <c r="F225" s="11211"/>
      <c r="G225" s="11211"/>
      <c r="H225" s="11211"/>
      <c r="I225" s="11211"/>
      <c r="J225" s="11211"/>
      <c r="K225" s="11211"/>
      <c r="L225" s="11219"/>
      <c r="M225" s="11219"/>
      <c r="N225" s="11219"/>
      <c r="O225" s="11211"/>
      <c r="P225" s="11211"/>
      <c r="Q225" s="11213"/>
      <c r="R225" s="2850"/>
      <c r="S225" s="1454"/>
      <c r="T225" s="1454"/>
      <c r="U225" s="246"/>
      <c r="V225" s="513"/>
      <c r="W225" s="247"/>
      <c r="X225" s="7020"/>
      <c r="Y225" s="7020"/>
      <c r="Z225" s="7020"/>
      <c r="AA225" s="7142"/>
      <c r="AB225" s="1441"/>
      <c r="AC225" s="1441"/>
      <c r="AD225" s="247"/>
      <c r="AE225" s="413"/>
      <c r="AF225" s="413"/>
      <c r="AG225" s="11249"/>
    </row>
    <row r="226" spans="1:33" ht="27" customHeight="1">
      <c r="A226" s="9244"/>
      <c r="B226" s="11241"/>
      <c r="C226" s="11212"/>
      <c r="D226" s="11212"/>
      <c r="E226" s="11212"/>
      <c r="F226" s="11212"/>
      <c r="G226" s="11212"/>
      <c r="H226" s="11212"/>
      <c r="I226" s="11212"/>
      <c r="J226" s="11212"/>
      <c r="K226" s="11212"/>
      <c r="L226" s="11220"/>
      <c r="M226" s="11220"/>
      <c r="N226" s="11220"/>
      <c r="O226" s="11212"/>
      <c r="P226" s="11212"/>
      <c r="Q226" s="11214"/>
      <c r="R226" s="2851"/>
      <c r="S226" s="1457"/>
      <c r="T226" s="1457"/>
      <c r="U226" s="260"/>
      <c r="V226" s="514"/>
      <c r="W226" s="252"/>
      <c r="X226" s="7021"/>
      <c r="Y226" s="7021"/>
      <c r="Z226" s="7021"/>
      <c r="AA226" s="7143"/>
      <c r="AB226" s="1442"/>
      <c r="AC226" s="1442"/>
      <c r="AD226" s="252"/>
      <c r="AE226" s="414"/>
      <c r="AF226" s="414"/>
      <c r="AG226" s="11259"/>
    </row>
    <row r="227" spans="1:33" ht="39" customHeight="1">
      <c r="A227" s="9244"/>
      <c r="B227" s="11228" t="s">
        <v>127</v>
      </c>
      <c r="C227" s="11210" t="s">
        <v>128</v>
      </c>
      <c r="D227" s="11210" t="s">
        <v>129</v>
      </c>
      <c r="E227" s="11210" t="s">
        <v>268</v>
      </c>
      <c r="F227" s="11216" t="s">
        <v>131</v>
      </c>
      <c r="G227" s="11210" t="s">
        <v>132</v>
      </c>
      <c r="H227" s="11210" t="s">
        <v>159</v>
      </c>
      <c r="I227" s="11210" t="s">
        <v>4896</v>
      </c>
      <c r="J227" s="11210" t="s">
        <v>4505</v>
      </c>
      <c r="K227" s="11210" t="s">
        <v>6370</v>
      </c>
      <c r="L227" s="11218" t="s">
        <v>6371</v>
      </c>
      <c r="M227" s="11218" t="s">
        <v>6371</v>
      </c>
      <c r="N227" s="11218" t="s">
        <v>6371</v>
      </c>
      <c r="O227" s="11210" t="s">
        <v>6372</v>
      </c>
      <c r="P227" s="11210" t="s">
        <v>6373</v>
      </c>
      <c r="Q227" s="9705" t="s">
        <v>6374</v>
      </c>
      <c r="R227" s="2852"/>
      <c r="S227" s="1458"/>
      <c r="T227" s="1458"/>
      <c r="U227" s="515"/>
      <c r="V227" s="516"/>
      <c r="W227" s="487"/>
      <c r="X227" s="7045"/>
      <c r="Y227" s="7045"/>
      <c r="Z227" s="7045"/>
      <c r="AA227" s="7144"/>
      <c r="AB227" s="1439"/>
      <c r="AC227" s="1439"/>
      <c r="AD227" s="487"/>
      <c r="AE227" s="1440"/>
      <c r="AF227" s="1440"/>
      <c r="AG227" s="9825"/>
    </row>
    <row r="228" spans="1:33" ht="39" customHeight="1">
      <c r="A228" s="9244"/>
      <c r="B228" s="11240"/>
      <c r="C228" s="11211"/>
      <c r="D228" s="11211"/>
      <c r="E228" s="11211"/>
      <c r="F228" s="11211"/>
      <c r="G228" s="11211"/>
      <c r="H228" s="11211"/>
      <c r="I228" s="11211"/>
      <c r="J228" s="11211"/>
      <c r="K228" s="11211"/>
      <c r="L228" s="11219"/>
      <c r="M228" s="11219"/>
      <c r="N228" s="11219"/>
      <c r="O228" s="11211"/>
      <c r="P228" s="11211"/>
      <c r="Q228" s="11213"/>
      <c r="R228" s="2849"/>
      <c r="S228" s="1453"/>
      <c r="T228" s="1453"/>
      <c r="U228" s="246"/>
      <c r="V228" s="513"/>
      <c r="W228" s="247"/>
      <c r="X228" s="7020"/>
      <c r="Y228" s="7020"/>
      <c r="Z228" s="7020"/>
      <c r="AA228" s="7142"/>
      <c r="AB228" s="1441"/>
      <c r="AC228" s="1441"/>
      <c r="AD228" s="247"/>
      <c r="AE228" s="413"/>
      <c r="AF228" s="413"/>
      <c r="AG228" s="11249"/>
    </row>
    <row r="229" spans="1:33" ht="39" customHeight="1">
      <c r="A229" s="9244"/>
      <c r="B229" s="11240"/>
      <c r="C229" s="11211"/>
      <c r="D229" s="11211"/>
      <c r="E229" s="11211"/>
      <c r="F229" s="11211"/>
      <c r="G229" s="11211"/>
      <c r="H229" s="11211"/>
      <c r="I229" s="11211"/>
      <c r="J229" s="11211"/>
      <c r="K229" s="11211"/>
      <c r="L229" s="11219"/>
      <c r="M229" s="11219"/>
      <c r="N229" s="11219"/>
      <c r="O229" s="11211"/>
      <c r="P229" s="11211"/>
      <c r="Q229" s="11213"/>
      <c r="R229" s="2849"/>
      <c r="S229" s="1453"/>
      <c r="T229" s="1453"/>
      <c r="U229" s="246"/>
      <c r="V229" s="513"/>
      <c r="W229" s="247"/>
      <c r="X229" s="7020"/>
      <c r="Y229" s="7020"/>
      <c r="Z229" s="7020"/>
      <c r="AA229" s="7142"/>
      <c r="AB229" s="1441"/>
      <c r="AC229" s="1441"/>
      <c r="AD229" s="247"/>
      <c r="AE229" s="413"/>
      <c r="AF229" s="413"/>
      <c r="AG229" s="11249"/>
    </row>
    <row r="230" spans="1:33" ht="39" customHeight="1">
      <c r="A230" s="9244"/>
      <c r="B230" s="11240"/>
      <c r="C230" s="11211"/>
      <c r="D230" s="11211"/>
      <c r="E230" s="11211"/>
      <c r="F230" s="11211"/>
      <c r="G230" s="11211"/>
      <c r="H230" s="11211"/>
      <c r="I230" s="11211"/>
      <c r="J230" s="11211"/>
      <c r="K230" s="11211"/>
      <c r="L230" s="11219"/>
      <c r="M230" s="11219"/>
      <c r="N230" s="11219"/>
      <c r="O230" s="11211"/>
      <c r="P230" s="11211"/>
      <c r="Q230" s="11213"/>
      <c r="R230" s="2850"/>
      <c r="S230" s="1454"/>
      <c r="T230" s="1454"/>
      <c r="U230" s="246"/>
      <c r="V230" s="513"/>
      <c r="W230" s="247"/>
      <c r="X230" s="7020"/>
      <c r="Y230" s="7020"/>
      <c r="Z230" s="7020"/>
      <c r="AA230" s="7142"/>
      <c r="AB230" s="1441"/>
      <c r="AC230" s="1441"/>
      <c r="AD230" s="247"/>
      <c r="AE230" s="413"/>
      <c r="AF230" s="413"/>
      <c r="AG230" s="11249"/>
    </row>
    <row r="231" spans="1:33" ht="39" customHeight="1">
      <c r="A231" s="9244"/>
      <c r="B231" s="11241"/>
      <c r="C231" s="11212"/>
      <c r="D231" s="11212"/>
      <c r="E231" s="11212"/>
      <c r="F231" s="11212"/>
      <c r="G231" s="11212"/>
      <c r="H231" s="11212"/>
      <c r="I231" s="11212"/>
      <c r="J231" s="11212"/>
      <c r="K231" s="11212"/>
      <c r="L231" s="11220"/>
      <c r="M231" s="11220"/>
      <c r="N231" s="11220"/>
      <c r="O231" s="11212"/>
      <c r="P231" s="11212"/>
      <c r="Q231" s="11214"/>
      <c r="R231" s="2851"/>
      <c r="S231" s="1457"/>
      <c r="T231" s="1457"/>
      <c r="U231" s="260"/>
      <c r="V231" s="514"/>
      <c r="W231" s="252"/>
      <c r="X231" s="7021"/>
      <c r="Y231" s="7021"/>
      <c r="Z231" s="7021"/>
      <c r="AA231" s="7143"/>
      <c r="AB231" s="1442"/>
      <c r="AC231" s="1442"/>
      <c r="AD231" s="252"/>
      <c r="AE231" s="414"/>
      <c r="AF231" s="414"/>
      <c r="AG231" s="11259"/>
    </row>
    <row r="232" spans="1:33" ht="25.5" customHeight="1">
      <c r="A232" s="9244" t="s">
        <v>4492</v>
      </c>
      <c r="B232" s="11228" t="s">
        <v>127</v>
      </c>
      <c r="C232" s="11210" t="s">
        <v>128</v>
      </c>
      <c r="D232" s="11210" t="s">
        <v>129</v>
      </c>
      <c r="E232" s="11210" t="s">
        <v>268</v>
      </c>
      <c r="F232" s="11216" t="s">
        <v>131</v>
      </c>
      <c r="G232" s="11210" t="s">
        <v>132</v>
      </c>
      <c r="H232" s="11210" t="s">
        <v>159</v>
      </c>
      <c r="I232" s="11210" t="s">
        <v>6375</v>
      </c>
      <c r="J232" s="11210" t="s">
        <v>4511</v>
      </c>
      <c r="K232" s="11210" t="s">
        <v>4901</v>
      </c>
      <c r="L232" s="11218" t="s">
        <v>4901</v>
      </c>
      <c r="M232" s="11218" t="s">
        <v>4901</v>
      </c>
      <c r="N232" s="11218" t="s">
        <v>4901</v>
      </c>
      <c r="O232" s="11210" t="s">
        <v>4901</v>
      </c>
      <c r="P232" s="11210" t="s">
        <v>4901</v>
      </c>
      <c r="Q232" s="9705" t="s">
        <v>4901</v>
      </c>
      <c r="R232" s="2852"/>
      <c r="S232" s="1458"/>
      <c r="T232" s="1458"/>
      <c r="U232" s="515"/>
      <c r="V232" s="516"/>
      <c r="W232" s="487"/>
      <c r="X232" s="7045"/>
      <c r="Y232" s="7045"/>
      <c r="Z232" s="7045"/>
      <c r="AA232" s="7144"/>
      <c r="AB232" s="1439"/>
      <c r="AC232" s="1439"/>
      <c r="AD232" s="487"/>
      <c r="AE232" s="1440"/>
      <c r="AF232" s="1440"/>
      <c r="AG232" s="11261" t="s">
        <v>6376</v>
      </c>
    </row>
    <row r="233" spans="1:33" ht="25.5" customHeight="1">
      <c r="A233" s="9244"/>
      <c r="B233" s="11240"/>
      <c r="C233" s="11211"/>
      <c r="D233" s="11211"/>
      <c r="E233" s="11211"/>
      <c r="F233" s="11211"/>
      <c r="G233" s="11211"/>
      <c r="H233" s="11211"/>
      <c r="I233" s="11211"/>
      <c r="J233" s="11211"/>
      <c r="K233" s="11211"/>
      <c r="L233" s="11219"/>
      <c r="M233" s="11219"/>
      <c r="N233" s="11219"/>
      <c r="O233" s="11211"/>
      <c r="P233" s="11211"/>
      <c r="Q233" s="11213"/>
      <c r="R233" s="2849"/>
      <c r="S233" s="1453"/>
      <c r="T233" s="1453"/>
      <c r="U233" s="246"/>
      <c r="V233" s="513"/>
      <c r="W233" s="247"/>
      <c r="X233" s="7020"/>
      <c r="Y233" s="7020"/>
      <c r="Z233" s="7020"/>
      <c r="AA233" s="7142"/>
      <c r="AB233" s="1441"/>
      <c r="AC233" s="1441"/>
      <c r="AD233" s="247"/>
      <c r="AE233" s="413"/>
      <c r="AF233" s="413"/>
      <c r="AG233" s="11262"/>
    </row>
    <row r="234" spans="1:33" ht="25.5" customHeight="1">
      <c r="A234" s="9244"/>
      <c r="B234" s="11240"/>
      <c r="C234" s="11211"/>
      <c r="D234" s="11211"/>
      <c r="E234" s="11211"/>
      <c r="F234" s="11211"/>
      <c r="G234" s="11211"/>
      <c r="H234" s="11211"/>
      <c r="I234" s="11211"/>
      <c r="J234" s="11211"/>
      <c r="K234" s="11211"/>
      <c r="L234" s="11219"/>
      <c r="M234" s="11219"/>
      <c r="N234" s="11219"/>
      <c r="O234" s="11211"/>
      <c r="P234" s="11211"/>
      <c r="Q234" s="11213"/>
      <c r="R234" s="2849"/>
      <c r="S234" s="1453"/>
      <c r="T234" s="1453"/>
      <c r="U234" s="246"/>
      <c r="V234" s="513"/>
      <c r="W234" s="247"/>
      <c r="X234" s="7020"/>
      <c r="Y234" s="7020"/>
      <c r="Z234" s="7020"/>
      <c r="AA234" s="7142"/>
      <c r="AB234" s="1441"/>
      <c r="AC234" s="1441"/>
      <c r="AD234" s="247"/>
      <c r="AE234" s="413"/>
      <c r="AF234" s="413"/>
      <c r="AG234" s="11262"/>
    </row>
    <row r="235" spans="1:33" ht="25.5" customHeight="1">
      <c r="A235" s="9244"/>
      <c r="B235" s="11240"/>
      <c r="C235" s="11211"/>
      <c r="D235" s="11211"/>
      <c r="E235" s="11211"/>
      <c r="F235" s="11211"/>
      <c r="G235" s="11211"/>
      <c r="H235" s="11211"/>
      <c r="I235" s="11211"/>
      <c r="J235" s="11211"/>
      <c r="K235" s="11211"/>
      <c r="L235" s="11219"/>
      <c r="M235" s="11219"/>
      <c r="N235" s="11219"/>
      <c r="O235" s="11211"/>
      <c r="P235" s="11211"/>
      <c r="Q235" s="11213"/>
      <c r="R235" s="2850"/>
      <c r="S235" s="1454"/>
      <c r="T235" s="1454"/>
      <c r="U235" s="246"/>
      <c r="V235" s="513"/>
      <c r="W235" s="247"/>
      <c r="X235" s="7020"/>
      <c r="Y235" s="7020"/>
      <c r="Z235" s="7020"/>
      <c r="AA235" s="7142"/>
      <c r="AB235" s="1441"/>
      <c r="AC235" s="1441"/>
      <c r="AD235" s="247"/>
      <c r="AE235" s="413"/>
      <c r="AF235" s="413"/>
      <c r="AG235" s="11262"/>
    </row>
    <row r="236" spans="1:33" ht="25.5" customHeight="1">
      <c r="A236" s="9244"/>
      <c r="B236" s="11241"/>
      <c r="C236" s="11212"/>
      <c r="D236" s="11212"/>
      <c r="E236" s="11212"/>
      <c r="F236" s="11212"/>
      <c r="G236" s="11212"/>
      <c r="H236" s="11212"/>
      <c r="I236" s="11212"/>
      <c r="J236" s="11212"/>
      <c r="K236" s="11212"/>
      <c r="L236" s="11220"/>
      <c r="M236" s="11220"/>
      <c r="N236" s="11220"/>
      <c r="O236" s="11212"/>
      <c r="P236" s="11212"/>
      <c r="Q236" s="11214"/>
      <c r="R236" s="2851"/>
      <c r="S236" s="1457"/>
      <c r="T236" s="1457"/>
      <c r="U236" s="260"/>
      <c r="V236" s="514"/>
      <c r="W236" s="252"/>
      <c r="X236" s="7021"/>
      <c r="Y236" s="7021"/>
      <c r="Z236" s="7021"/>
      <c r="AA236" s="7143"/>
      <c r="AB236" s="1442"/>
      <c r="AC236" s="1442"/>
      <c r="AD236" s="252"/>
      <c r="AE236" s="414"/>
      <c r="AF236" s="414"/>
      <c r="AG236" s="11263"/>
    </row>
    <row r="237" spans="1:33" ht="105" customHeight="1">
      <c r="A237" s="9244"/>
      <c r="B237" s="11228" t="s">
        <v>127</v>
      </c>
      <c r="C237" s="11210" t="s">
        <v>128</v>
      </c>
      <c r="D237" s="11210" t="s">
        <v>129</v>
      </c>
      <c r="E237" s="11210" t="s">
        <v>268</v>
      </c>
      <c r="F237" s="11216" t="s">
        <v>131</v>
      </c>
      <c r="G237" s="11210" t="s">
        <v>132</v>
      </c>
      <c r="H237" s="11210" t="s">
        <v>159</v>
      </c>
      <c r="I237" s="11210" t="s">
        <v>6377</v>
      </c>
      <c r="J237" s="11210" t="s">
        <v>4517</v>
      </c>
      <c r="K237" s="11210" t="s">
        <v>6378</v>
      </c>
      <c r="L237" s="11218">
        <v>0</v>
      </c>
      <c r="M237" s="11231">
        <v>1</v>
      </c>
      <c r="N237" s="11218">
        <v>1</v>
      </c>
      <c r="O237" s="11210" t="s">
        <v>6379</v>
      </c>
      <c r="P237" s="11210" t="s">
        <v>6380</v>
      </c>
      <c r="Q237" s="9705" t="s">
        <v>6381</v>
      </c>
      <c r="R237" s="2852"/>
      <c r="S237" s="1458"/>
      <c r="T237" s="1458"/>
      <c r="U237" s="515"/>
      <c r="V237" s="516"/>
      <c r="W237" s="487"/>
      <c r="X237" s="7045"/>
      <c r="Y237" s="7045"/>
      <c r="Z237" s="7045"/>
      <c r="AA237" s="7144"/>
      <c r="AB237" s="1439"/>
      <c r="AC237" s="1439"/>
      <c r="AD237" s="487"/>
      <c r="AE237" s="487"/>
      <c r="AF237" s="487"/>
      <c r="AG237" s="11261" t="s">
        <v>6382</v>
      </c>
    </row>
    <row r="238" spans="1:33" ht="105" customHeight="1">
      <c r="A238" s="9244"/>
      <c r="B238" s="11240"/>
      <c r="C238" s="11211"/>
      <c r="D238" s="11211"/>
      <c r="E238" s="11211"/>
      <c r="F238" s="11211"/>
      <c r="G238" s="11211"/>
      <c r="H238" s="11211"/>
      <c r="I238" s="11211"/>
      <c r="J238" s="11211"/>
      <c r="K238" s="11211"/>
      <c r="L238" s="11219"/>
      <c r="M238" s="11219"/>
      <c r="N238" s="11219"/>
      <c r="O238" s="11211"/>
      <c r="P238" s="11211"/>
      <c r="Q238" s="11213"/>
      <c r="R238" s="2849"/>
      <c r="S238" s="1453"/>
      <c r="T238" s="1453"/>
      <c r="U238" s="246"/>
      <c r="V238" s="513"/>
      <c r="W238" s="247"/>
      <c r="X238" s="7020"/>
      <c r="Y238" s="7020"/>
      <c r="Z238" s="7020"/>
      <c r="AA238" s="7142"/>
      <c r="AB238" s="1441"/>
      <c r="AC238" s="1441"/>
      <c r="AD238" s="247"/>
      <c r="AE238" s="247"/>
      <c r="AF238" s="247"/>
      <c r="AG238" s="11262"/>
    </row>
    <row r="239" spans="1:33" ht="105" customHeight="1">
      <c r="A239" s="9244"/>
      <c r="B239" s="11240"/>
      <c r="C239" s="11211"/>
      <c r="D239" s="11211"/>
      <c r="E239" s="11211"/>
      <c r="F239" s="11211"/>
      <c r="G239" s="11211"/>
      <c r="H239" s="11211"/>
      <c r="I239" s="11211"/>
      <c r="J239" s="11211"/>
      <c r="K239" s="11211"/>
      <c r="L239" s="11219"/>
      <c r="M239" s="11219"/>
      <c r="N239" s="11219"/>
      <c r="O239" s="11211"/>
      <c r="P239" s="11211"/>
      <c r="Q239" s="11213"/>
      <c r="R239" s="2849"/>
      <c r="S239" s="1453"/>
      <c r="T239" s="1453"/>
      <c r="U239" s="246"/>
      <c r="V239" s="513"/>
      <c r="W239" s="247"/>
      <c r="X239" s="7020"/>
      <c r="Y239" s="7020"/>
      <c r="Z239" s="7020"/>
      <c r="AA239" s="7142"/>
      <c r="AB239" s="1441"/>
      <c r="AC239" s="1441"/>
      <c r="AD239" s="247"/>
      <c r="AE239" s="247"/>
      <c r="AF239" s="413"/>
      <c r="AG239" s="11262"/>
    </row>
    <row r="240" spans="1:33" ht="105" customHeight="1">
      <c r="A240" s="9244"/>
      <c r="B240" s="11240"/>
      <c r="C240" s="11211"/>
      <c r="D240" s="11211"/>
      <c r="E240" s="11211"/>
      <c r="F240" s="11211"/>
      <c r="G240" s="11211"/>
      <c r="H240" s="11211"/>
      <c r="I240" s="11211"/>
      <c r="J240" s="11211"/>
      <c r="K240" s="11211"/>
      <c r="L240" s="11219"/>
      <c r="M240" s="11219"/>
      <c r="N240" s="11219"/>
      <c r="O240" s="11211"/>
      <c r="P240" s="11211"/>
      <c r="Q240" s="11213"/>
      <c r="R240" s="2849"/>
      <c r="S240" s="1453"/>
      <c r="T240" s="1453"/>
      <c r="U240" s="246"/>
      <c r="V240" s="513"/>
      <c r="W240" s="247"/>
      <c r="X240" s="7020"/>
      <c r="Y240" s="7020"/>
      <c r="Z240" s="7020"/>
      <c r="AA240" s="7142"/>
      <c r="AB240" s="1441"/>
      <c r="AC240" s="1441"/>
      <c r="AD240" s="247"/>
      <c r="AE240" s="247"/>
      <c r="AF240" s="413"/>
      <c r="AG240" s="11262"/>
    </row>
    <row r="241" spans="1:33" ht="105" customHeight="1">
      <c r="A241" s="9244"/>
      <c r="B241" s="11241"/>
      <c r="C241" s="11212"/>
      <c r="D241" s="11212"/>
      <c r="E241" s="11212"/>
      <c r="F241" s="11212"/>
      <c r="G241" s="11212"/>
      <c r="H241" s="11212"/>
      <c r="I241" s="11212"/>
      <c r="J241" s="11212"/>
      <c r="K241" s="11212"/>
      <c r="L241" s="11220"/>
      <c r="M241" s="11220"/>
      <c r="N241" s="11220"/>
      <c r="O241" s="11212"/>
      <c r="P241" s="11212"/>
      <c r="Q241" s="11214"/>
      <c r="R241" s="2851"/>
      <c r="S241" s="1457"/>
      <c r="T241" s="1457"/>
      <c r="U241" s="260"/>
      <c r="V241" s="514"/>
      <c r="W241" s="252"/>
      <c r="X241" s="7021"/>
      <c r="Y241" s="7021"/>
      <c r="Z241" s="7021"/>
      <c r="AA241" s="7143"/>
      <c r="AB241" s="1442"/>
      <c r="AC241" s="1442"/>
      <c r="AD241" s="252"/>
      <c r="AE241" s="252"/>
      <c r="AF241" s="414"/>
      <c r="AG241" s="11263"/>
    </row>
    <row r="242" spans="1:33" ht="189" customHeight="1">
      <c r="A242" s="9244" t="s">
        <v>4492</v>
      </c>
      <c r="B242" s="11228" t="s">
        <v>127</v>
      </c>
      <c r="C242" s="11210" t="s">
        <v>128</v>
      </c>
      <c r="D242" s="11210" t="s">
        <v>129</v>
      </c>
      <c r="E242" s="11210" t="s">
        <v>268</v>
      </c>
      <c r="F242" s="11216" t="s">
        <v>131</v>
      </c>
      <c r="G242" s="11210" t="s">
        <v>132</v>
      </c>
      <c r="H242" s="11210" t="s">
        <v>159</v>
      </c>
      <c r="I242" s="11210" t="s">
        <v>4909</v>
      </c>
      <c r="J242" s="11210" t="s">
        <v>4523</v>
      </c>
      <c r="K242" s="11210" t="s">
        <v>4910</v>
      </c>
      <c r="L242" s="11218">
        <v>1</v>
      </c>
      <c r="M242" s="11231">
        <v>0</v>
      </c>
      <c r="N242" s="11218">
        <v>1</v>
      </c>
      <c r="O242" s="11210" t="s">
        <v>6383</v>
      </c>
      <c r="P242" s="11210" t="s">
        <v>6384</v>
      </c>
      <c r="Q242" s="9705" t="s">
        <v>6385</v>
      </c>
      <c r="R242" s="2852"/>
      <c r="S242" s="1458"/>
      <c r="T242" s="1458"/>
      <c r="U242" s="515"/>
      <c r="V242" s="516"/>
      <c r="W242" s="487"/>
      <c r="X242" s="7045"/>
      <c r="Y242" s="7045"/>
      <c r="Z242" s="7045"/>
      <c r="AA242" s="7144"/>
      <c r="AB242" s="1439"/>
      <c r="AC242" s="1439"/>
      <c r="AD242" s="487"/>
      <c r="AE242" s="1440"/>
      <c r="AF242" s="1440"/>
      <c r="AG242" s="9825"/>
    </row>
    <row r="243" spans="1:33" ht="189" customHeight="1">
      <c r="A243" s="9244"/>
      <c r="B243" s="11240"/>
      <c r="C243" s="11211"/>
      <c r="D243" s="11211"/>
      <c r="E243" s="11211"/>
      <c r="F243" s="11211"/>
      <c r="G243" s="11211"/>
      <c r="H243" s="11211"/>
      <c r="I243" s="11211"/>
      <c r="J243" s="11211"/>
      <c r="K243" s="11211"/>
      <c r="L243" s="11219"/>
      <c r="M243" s="11219"/>
      <c r="N243" s="11219"/>
      <c r="O243" s="11211"/>
      <c r="P243" s="11211"/>
      <c r="Q243" s="11213"/>
      <c r="R243" s="2849"/>
      <c r="S243" s="1453"/>
      <c r="T243" s="1453"/>
      <c r="U243" s="246"/>
      <c r="V243" s="513"/>
      <c r="W243" s="247"/>
      <c r="X243" s="7020"/>
      <c r="Y243" s="7020"/>
      <c r="Z243" s="7020"/>
      <c r="AA243" s="7142"/>
      <c r="AB243" s="1441"/>
      <c r="AC243" s="1441"/>
      <c r="AD243" s="247"/>
      <c r="AE243" s="413"/>
      <c r="AF243" s="413"/>
      <c r="AG243" s="11249"/>
    </row>
    <row r="244" spans="1:33" ht="189" customHeight="1">
      <c r="A244" s="9244"/>
      <c r="B244" s="11240"/>
      <c r="C244" s="11211"/>
      <c r="D244" s="11211"/>
      <c r="E244" s="11211"/>
      <c r="F244" s="11211"/>
      <c r="G244" s="11211"/>
      <c r="H244" s="11211"/>
      <c r="I244" s="11211"/>
      <c r="J244" s="11211"/>
      <c r="K244" s="11211"/>
      <c r="L244" s="11219"/>
      <c r="M244" s="11219"/>
      <c r="N244" s="11219"/>
      <c r="O244" s="11211"/>
      <c r="P244" s="11211"/>
      <c r="Q244" s="11213"/>
      <c r="R244" s="2849"/>
      <c r="S244" s="1453"/>
      <c r="T244" s="1453"/>
      <c r="U244" s="246"/>
      <c r="V244" s="513"/>
      <c r="W244" s="247"/>
      <c r="X244" s="7020"/>
      <c r="Y244" s="7020"/>
      <c r="Z244" s="7020"/>
      <c r="AA244" s="7142"/>
      <c r="AB244" s="1441"/>
      <c r="AC244" s="1441"/>
      <c r="AD244" s="247"/>
      <c r="AE244" s="413"/>
      <c r="AF244" s="413"/>
      <c r="AG244" s="11249"/>
    </row>
    <row r="245" spans="1:33" ht="189" customHeight="1">
      <c r="A245" s="9244" t="s">
        <v>4492</v>
      </c>
      <c r="B245" s="11240"/>
      <c r="C245" s="11211"/>
      <c r="D245" s="11211"/>
      <c r="E245" s="11211"/>
      <c r="F245" s="11211"/>
      <c r="G245" s="11211"/>
      <c r="H245" s="11211"/>
      <c r="I245" s="11211"/>
      <c r="J245" s="11211"/>
      <c r="K245" s="11211"/>
      <c r="L245" s="11219"/>
      <c r="M245" s="11219"/>
      <c r="N245" s="11219"/>
      <c r="O245" s="11211"/>
      <c r="P245" s="11211"/>
      <c r="Q245" s="11213"/>
      <c r="R245" s="2849"/>
      <c r="S245" s="1453"/>
      <c r="T245" s="1453"/>
      <c r="U245" s="246"/>
      <c r="V245" s="513"/>
      <c r="W245" s="247"/>
      <c r="X245" s="7020"/>
      <c r="Y245" s="7020"/>
      <c r="Z245" s="7020"/>
      <c r="AA245" s="7142"/>
      <c r="AB245" s="1441"/>
      <c r="AC245" s="1441"/>
      <c r="AD245" s="247"/>
      <c r="AE245" s="413"/>
      <c r="AF245" s="413"/>
      <c r="AG245" s="11249"/>
    </row>
    <row r="246" spans="1:33" ht="189" customHeight="1">
      <c r="A246" s="9244"/>
      <c r="B246" s="11241"/>
      <c r="C246" s="11212"/>
      <c r="D246" s="11212"/>
      <c r="E246" s="11212"/>
      <c r="F246" s="11212"/>
      <c r="G246" s="11212"/>
      <c r="H246" s="11212"/>
      <c r="I246" s="11212"/>
      <c r="J246" s="11212"/>
      <c r="K246" s="11212"/>
      <c r="L246" s="11220"/>
      <c r="M246" s="11220"/>
      <c r="N246" s="11220"/>
      <c r="O246" s="11212"/>
      <c r="P246" s="11212"/>
      <c r="Q246" s="11214"/>
      <c r="R246" s="2851"/>
      <c r="S246" s="1457"/>
      <c r="T246" s="1457"/>
      <c r="U246" s="260"/>
      <c r="V246" s="514"/>
      <c r="W246" s="252"/>
      <c r="X246" s="7021"/>
      <c r="Y246" s="7021"/>
      <c r="Z246" s="7021"/>
      <c r="AA246" s="7143"/>
      <c r="AB246" s="1442"/>
      <c r="AC246" s="1442"/>
      <c r="AD246" s="252"/>
      <c r="AE246" s="414"/>
      <c r="AF246" s="414"/>
      <c r="AG246" s="11259"/>
    </row>
    <row r="247" spans="1:33" ht="33" customHeight="1">
      <c r="A247" s="9244"/>
      <c r="B247" s="11228" t="s">
        <v>127</v>
      </c>
      <c r="C247" s="11210" t="s">
        <v>128</v>
      </c>
      <c r="D247" s="11210" t="s">
        <v>129</v>
      </c>
      <c r="E247" s="11210" t="s">
        <v>268</v>
      </c>
      <c r="F247" s="11216" t="s">
        <v>131</v>
      </c>
      <c r="G247" s="11210" t="s">
        <v>132</v>
      </c>
      <c r="H247" s="11210" t="s">
        <v>159</v>
      </c>
      <c r="I247" s="11210" t="s">
        <v>4915</v>
      </c>
      <c r="J247" s="11210" t="s">
        <v>4529</v>
      </c>
      <c r="K247" s="11210" t="s">
        <v>6386</v>
      </c>
      <c r="L247" s="11218" t="s">
        <v>4307</v>
      </c>
      <c r="M247" s="11218" t="s">
        <v>6387</v>
      </c>
      <c r="N247" s="11218" t="s">
        <v>4307</v>
      </c>
      <c r="O247" s="11210" t="s">
        <v>6388</v>
      </c>
      <c r="P247" s="11210" t="s">
        <v>6389</v>
      </c>
      <c r="Q247" s="9705" t="s">
        <v>6390</v>
      </c>
      <c r="R247" s="2852"/>
      <c r="S247" s="1458"/>
      <c r="T247" s="1458"/>
      <c r="U247" s="515"/>
      <c r="V247" s="516"/>
      <c r="W247" s="487"/>
      <c r="X247" s="7045"/>
      <c r="Y247" s="7045"/>
      <c r="Z247" s="7045"/>
      <c r="AA247" s="7144"/>
      <c r="AB247" s="1439"/>
      <c r="AC247" s="1439"/>
      <c r="AD247" s="487"/>
      <c r="AE247" s="1440"/>
      <c r="AF247" s="1440"/>
      <c r="AG247" s="9825"/>
    </row>
    <row r="248" spans="1:33" ht="33" customHeight="1">
      <c r="A248" s="9244"/>
      <c r="B248" s="11240"/>
      <c r="C248" s="11211"/>
      <c r="D248" s="11211"/>
      <c r="E248" s="11211"/>
      <c r="F248" s="11211"/>
      <c r="G248" s="11211"/>
      <c r="H248" s="11211"/>
      <c r="I248" s="11211"/>
      <c r="J248" s="11211"/>
      <c r="K248" s="11211"/>
      <c r="L248" s="11219"/>
      <c r="M248" s="11219"/>
      <c r="N248" s="11219"/>
      <c r="O248" s="11211"/>
      <c r="P248" s="11211"/>
      <c r="Q248" s="11213"/>
      <c r="R248" s="2849"/>
      <c r="S248" s="1453"/>
      <c r="T248" s="1453"/>
      <c r="U248" s="246"/>
      <c r="V248" s="513"/>
      <c r="W248" s="247"/>
      <c r="X248" s="7020"/>
      <c r="Y248" s="7020"/>
      <c r="Z248" s="7020"/>
      <c r="AA248" s="7142"/>
      <c r="AB248" s="1441"/>
      <c r="AC248" s="1441"/>
      <c r="AD248" s="247"/>
      <c r="AE248" s="413"/>
      <c r="AF248" s="413"/>
      <c r="AG248" s="11249"/>
    </row>
    <row r="249" spans="1:33" ht="33" customHeight="1">
      <c r="A249" s="9244"/>
      <c r="B249" s="11240"/>
      <c r="C249" s="11211"/>
      <c r="D249" s="11211"/>
      <c r="E249" s="11211"/>
      <c r="F249" s="11211"/>
      <c r="G249" s="11211"/>
      <c r="H249" s="11211"/>
      <c r="I249" s="11211"/>
      <c r="J249" s="11211"/>
      <c r="K249" s="11211"/>
      <c r="L249" s="11219"/>
      <c r="M249" s="11219"/>
      <c r="N249" s="11219"/>
      <c r="O249" s="11211"/>
      <c r="P249" s="11211"/>
      <c r="Q249" s="11213"/>
      <c r="R249" s="2849"/>
      <c r="S249" s="1453"/>
      <c r="T249" s="1453"/>
      <c r="U249" s="246"/>
      <c r="V249" s="513"/>
      <c r="W249" s="247"/>
      <c r="X249" s="7020"/>
      <c r="Y249" s="7020"/>
      <c r="Z249" s="7020"/>
      <c r="AA249" s="7142"/>
      <c r="AB249" s="1441"/>
      <c r="AC249" s="1441"/>
      <c r="AD249" s="247"/>
      <c r="AE249" s="413"/>
      <c r="AF249" s="413"/>
      <c r="AG249" s="11249"/>
    </row>
    <row r="250" spans="1:33" ht="33" customHeight="1">
      <c r="A250" s="9244"/>
      <c r="B250" s="11240"/>
      <c r="C250" s="11211"/>
      <c r="D250" s="11211"/>
      <c r="E250" s="11211"/>
      <c r="F250" s="11211"/>
      <c r="G250" s="11211"/>
      <c r="H250" s="11211"/>
      <c r="I250" s="11211"/>
      <c r="J250" s="11211"/>
      <c r="K250" s="11211"/>
      <c r="L250" s="11219"/>
      <c r="M250" s="11219"/>
      <c r="N250" s="11219"/>
      <c r="O250" s="11211"/>
      <c r="P250" s="11211"/>
      <c r="Q250" s="11213"/>
      <c r="R250" s="2850"/>
      <c r="S250" s="1454"/>
      <c r="T250" s="1454"/>
      <c r="U250" s="246"/>
      <c r="V250" s="513"/>
      <c r="W250" s="247"/>
      <c r="X250" s="7020"/>
      <c r="Y250" s="7020"/>
      <c r="Z250" s="7020"/>
      <c r="AA250" s="7142"/>
      <c r="AB250" s="1441"/>
      <c r="AC250" s="1441"/>
      <c r="AD250" s="247"/>
      <c r="AE250" s="413"/>
      <c r="AF250" s="413"/>
      <c r="AG250" s="11249"/>
    </row>
    <row r="251" spans="1:33" ht="33" customHeight="1">
      <c r="A251" s="9244"/>
      <c r="B251" s="11241"/>
      <c r="C251" s="11212"/>
      <c r="D251" s="11212"/>
      <c r="E251" s="11212"/>
      <c r="F251" s="11212"/>
      <c r="G251" s="11212"/>
      <c r="H251" s="11212"/>
      <c r="I251" s="11212"/>
      <c r="J251" s="11212"/>
      <c r="K251" s="11212"/>
      <c r="L251" s="11220"/>
      <c r="M251" s="11220"/>
      <c r="N251" s="11220"/>
      <c r="O251" s="11212"/>
      <c r="P251" s="11212"/>
      <c r="Q251" s="11214"/>
      <c r="R251" s="2851"/>
      <c r="S251" s="1457"/>
      <c r="T251" s="1457"/>
      <c r="U251" s="260"/>
      <c r="V251" s="514"/>
      <c r="W251" s="252"/>
      <c r="X251" s="7021"/>
      <c r="Y251" s="7021"/>
      <c r="Z251" s="7021"/>
      <c r="AA251" s="7143"/>
      <c r="AB251" s="1442"/>
      <c r="AC251" s="1442"/>
      <c r="AD251" s="252"/>
      <c r="AE251" s="414"/>
      <c r="AF251" s="414"/>
      <c r="AG251" s="11259"/>
    </row>
    <row r="252" spans="1:33" ht="38.25" customHeight="1">
      <c r="A252" s="9244"/>
      <c r="B252" s="11228" t="s">
        <v>127</v>
      </c>
      <c r="C252" s="11210" t="s">
        <v>128</v>
      </c>
      <c r="D252" s="11210" t="s">
        <v>129</v>
      </c>
      <c r="E252" s="11210" t="s">
        <v>268</v>
      </c>
      <c r="F252" s="11216" t="s">
        <v>131</v>
      </c>
      <c r="G252" s="11210" t="s">
        <v>132</v>
      </c>
      <c r="H252" s="11210" t="s">
        <v>159</v>
      </c>
      <c r="I252" s="11210" t="s">
        <v>6391</v>
      </c>
      <c r="J252" s="11210" t="s">
        <v>4535</v>
      </c>
      <c r="K252" s="11210" t="s">
        <v>6392</v>
      </c>
      <c r="L252" s="11218">
        <v>40</v>
      </c>
      <c r="M252" s="11218">
        <v>0</v>
      </c>
      <c r="N252" s="11218">
        <v>40</v>
      </c>
      <c r="O252" s="11210" t="s">
        <v>6393</v>
      </c>
      <c r="P252" s="11210" t="s">
        <v>6394</v>
      </c>
      <c r="Q252" s="9705" t="s">
        <v>6395</v>
      </c>
      <c r="R252" s="2852"/>
      <c r="S252" s="1458"/>
      <c r="T252" s="1458"/>
      <c r="U252" s="515"/>
      <c r="V252" s="516"/>
      <c r="W252" s="487"/>
      <c r="X252" s="7045"/>
      <c r="Y252" s="7045"/>
      <c r="Z252" s="7045"/>
      <c r="AA252" s="7144"/>
      <c r="AB252" s="1439"/>
      <c r="AC252" s="1439"/>
      <c r="AD252" s="487"/>
      <c r="AE252" s="487"/>
      <c r="AF252" s="487"/>
      <c r="AG252" s="9825"/>
    </row>
    <row r="253" spans="1:33" ht="38.25" customHeight="1">
      <c r="A253" s="9244"/>
      <c r="B253" s="11240"/>
      <c r="C253" s="11211"/>
      <c r="D253" s="11211"/>
      <c r="E253" s="11211"/>
      <c r="F253" s="11211"/>
      <c r="G253" s="11211"/>
      <c r="H253" s="11211"/>
      <c r="I253" s="11211"/>
      <c r="J253" s="11211"/>
      <c r="K253" s="11211"/>
      <c r="L253" s="11219"/>
      <c r="M253" s="11219"/>
      <c r="N253" s="11219"/>
      <c r="O253" s="11211"/>
      <c r="P253" s="11211"/>
      <c r="Q253" s="11213"/>
      <c r="R253" s="2849"/>
      <c r="S253" s="1453"/>
      <c r="T253" s="1453"/>
      <c r="U253" s="246"/>
      <c r="V253" s="513"/>
      <c r="W253" s="247"/>
      <c r="X253" s="7020"/>
      <c r="Y253" s="7020"/>
      <c r="Z253" s="7020"/>
      <c r="AA253" s="7142"/>
      <c r="AB253" s="1441"/>
      <c r="AC253" s="1441"/>
      <c r="AD253" s="247"/>
      <c r="AE253" s="247"/>
      <c r="AF253" s="247"/>
      <c r="AG253" s="11249"/>
    </row>
    <row r="254" spans="1:33" ht="38.25" customHeight="1">
      <c r="A254" s="9244" t="s">
        <v>4492</v>
      </c>
      <c r="B254" s="11240"/>
      <c r="C254" s="11211"/>
      <c r="D254" s="11211"/>
      <c r="E254" s="11211"/>
      <c r="F254" s="11211"/>
      <c r="G254" s="11211"/>
      <c r="H254" s="11211"/>
      <c r="I254" s="11211"/>
      <c r="J254" s="11211"/>
      <c r="K254" s="11211"/>
      <c r="L254" s="11219"/>
      <c r="M254" s="11219"/>
      <c r="N254" s="11219"/>
      <c r="O254" s="11211"/>
      <c r="P254" s="11211"/>
      <c r="Q254" s="11213"/>
      <c r="R254" s="2849"/>
      <c r="S254" s="1453"/>
      <c r="T254" s="1453"/>
      <c r="U254" s="246"/>
      <c r="V254" s="513"/>
      <c r="W254" s="247"/>
      <c r="X254" s="7020"/>
      <c r="Y254" s="7020"/>
      <c r="Z254" s="7020"/>
      <c r="AA254" s="7142"/>
      <c r="AB254" s="1441"/>
      <c r="AC254" s="1441"/>
      <c r="AD254" s="247"/>
      <c r="AE254" s="247"/>
      <c r="AF254" s="413"/>
      <c r="AG254" s="11249"/>
    </row>
    <row r="255" spans="1:33" ht="38.25" customHeight="1">
      <c r="A255" s="9244"/>
      <c r="B255" s="11240"/>
      <c r="C255" s="11211"/>
      <c r="D255" s="11211"/>
      <c r="E255" s="11211"/>
      <c r="F255" s="11211"/>
      <c r="G255" s="11211"/>
      <c r="H255" s="11211"/>
      <c r="I255" s="11211"/>
      <c r="J255" s="11211"/>
      <c r="K255" s="11211"/>
      <c r="L255" s="11219"/>
      <c r="M255" s="11219"/>
      <c r="N255" s="11219"/>
      <c r="O255" s="11211"/>
      <c r="P255" s="11211"/>
      <c r="Q255" s="11213"/>
      <c r="R255" s="2849"/>
      <c r="S255" s="1453"/>
      <c r="T255" s="1453"/>
      <c r="U255" s="246"/>
      <c r="V255" s="513"/>
      <c r="W255" s="247"/>
      <c r="X255" s="7020"/>
      <c r="Y255" s="7020"/>
      <c r="Z255" s="7020"/>
      <c r="AA255" s="7142"/>
      <c r="AB255" s="1441"/>
      <c r="AC255" s="1441"/>
      <c r="AD255" s="247"/>
      <c r="AE255" s="247"/>
      <c r="AF255" s="413"/>
      <c r="AG255" s="11249"/>
    </row>
    <row r="256" spans="1:33" ht="38.25" customHeight="1">
      <c r="A256" s="9244"/>
      <c r="B256" s="11241"/>
      <c r="C256" s="11212"/>
      <c r="D256" s="11212"/>
      <c r="E256" s="11212"/>
      <c r="F256" s="11212"/>
      <c r="G256" s="11212"/>
      <c r="H256" s="11212"/>
      <c r="I256" s="11212"/>
      <c r="J256" s="11212"/>
      <c r="K256" s="11212"/>
      <c r="L256" s="11220"/>
      <c r="M256" s="11220"/>
      <c r="N256" s="11220"/>
      <c r="O256" s="11212"/>
      <c r="P256" s="11212"/>
      <c r="Q256" s="11214"/>
      <c r="R256" s="2851"/>
      <c r="S256" s="1457"/>
      <c r="T256" s="1457"/>
      <c r="U256" s="260"/>
      <c r="V256" s="514"/>
      <c r="W256" s="252"/>
      <c r="X256" s="7021"/>
      <c r="Y256" s="7021"/>
      <c r="Z256" s="7021"/>
      <c r="AA256" s="7143"/>
      <c r="AB256" s="1442"/>
      <c r="AC256" s="1442"/>
      <c r="AD256" s="252"/>
      <c r="AE256" s="252"/>
      <c r="AF256" s="414"/>
      <c r="AG256" s="11259"/>
    </row>
    <row r="257" spans="1:33" ht="36" customHeight="1">
      <c r="A257" s="9244"/>
      <c r="B257" s="11228" t="s">
        <v>127</v>
      </c>
      <c r="C257" s="11210" t="s">
        <v>128</v>
      </c>
      <c r="D257" s="11210" t="s">
        <v>129</v>
      </c>
      <c r="E257" s="11210" t="s">
        <v>268</v>
      </c>
      <c r="F257" s="11216" t="s">
        <v>131</v>
      </c>
      <c r="G257" s="11210" t="s">
        <v>132</v>
      </c>
      <c r="H257" s="11210" t="s">
        <v>159</v>
      </c>
      <c r="I257" s="11210" t="s">
        <v>4926</v>
      </c>
      <c r="J257" s="11210" t="s">
        <v>4541</v>
      </c>
      <c r="K257" s="11210" t="s">
        <v>6396</v>
      </c>
      <c r="L257" s="11218">
        <v>1</v>
      </c>
      <c r="M257" s="11218">
        <v>1</v>
      </c>
      <c r="N257" s="11218">
        <v>1</v>
      </c>
      <c r="O257" s="11210" t="s">
        <v>6397</v>
      </c>
      <c r="P257" s="11210" t="s">
        <v>6398</v>
      </c>
      <c r="Q257" s="9705" t="s">
        <v>6385</v>
      </c>
      <c r="R257" s="2852"/>
      <c r="S257" s="1458"/>
      <c r="T257" s="1458"/>
      <c r="U257" s="515"/>
      <c r="V257" s="516"/>
      <c r="W257" s="487"/>
      <c r="X257" s="7045"/>
      <c r="Y257" s="7045"/>
      <c r="Z257" s="7045"/>
      <c r="AA257" s="7144"/>
      <c r="AB257" s="1439"/>
      <c r="AC257" s="1439"/>
      <c r="AD257" s="487"/>
      <c r="AE257" s="1440"/>
      <c r="AF257" s="1440"/>
      <c r="AG257" s="9825"/>
    </row>
    <row r="258" spans="1:33" ht="36" customHeight="1">
      <c r="A258" s="9244"/>
      <c r="B258" s="11240"/>
      <c r="C258" s="11211"/>
      <c r="D258" s="11211"/>
      <c r="E258" s="11211"/>
      <c r="F258" s="11211"/>
      <c r="G258" s="11211"/>
      <c r="H258" s="11211"/>
      <c r="I258" s="11211"/>
      <c r="J258" s="11211"/>
      <c r="K258" s="11211"/>
      <c r="L258" s="11219"/>
      <c r="M258" s="11219"/>
      <c r="N258" s="11219"/>
      <c r="O258" s="11211"/>
      <c r="P258" s="11211"/>
      <c r="Q258" s="11213"/>
      <c r="R258" s="2849"/>
      <c r="S258" s="1453"/>
      <c r="T258" s="1453"/>
      <c r="U258" s="246"/>
      <c r="V258" s="513"/>
      <c r="W258" s="247"/>
      <c r="X258" s="7020"/>
      <c r="Y258" s="7020"/>
      <c r="Z258" s="7020"/>
      <c r="AA258" s="7142"/>
      <c r="AB258" s="1441"/>
      <c r="AC258" s="1441"/>
      <c r="AD258" s="247"/>
      <c r="AE258" s="413"/>
      <c r="AF258" s="413"/>
      <c r="AG258" s="11249"/>
    </row>
    <row r="259" spans="1:33" ht="36" customHeight="1">
      <c r="A259" s="9244"/>
      <c r="B259" s="11240"/>
      <c r="C259" s="11211"/>
      <c r="D259" s="11211"/>
      <c r="E259" s="11211"/>
      <c r="F259" s="11211"/>
      <c r="G259" s="11211"/>
      <c r="H259" s="11211"/>
      <c r="I259" s="11211"/>
      <c r="J259" s="11211"/>
      <c r="K259" s="11211"/>
      <c r="L259" s="11219"/>
      <c r="M259" s="11219"/>
      <c r="N259" s="11219"/>
      <c r="O259" s="11211"/>
      <c r="P259" s="11211"/>
      <c r="Q259" s="11213"/>
      <c r="R259" s="2849"/>
      <c r="S259" s="1453"/>
      <c r="T259" s="1453"/>
      <c r="U259" s="246"/>
      <c r="V259" s="513"/>
      <c r="W259" s="247"/>
      <c r="X259" s="7020"/>
      <c r="Y259" s="7020"/>
      <c r="Z259" s="7020"/>
      <c r="AA259" s="7142"/>
      <c r="AB259" s="1441"/>
      <c r="AC259" s="1441"/>
      <c r="AD259" s="247"/>
      <c r="AE259" s="413"/>
      <c r="AF259" s="413"/>
      <c r="AG259" s="11249"/>
    </row>
    <row r="260" spans="1:33" ht="36" customHeight="1">
      <c r="A260" s="9244"/>
      <c r="B260" s="11240"/>
      <c r="C260" s="11211"/>
      <c r="D260" s="11211"/>
      <c r="E260" s="11211"/>
      <c r="F260" s="11211"/>
      <c r="G260" s="11211"/>
      <c r="H260" s="11211"/>
      <c r="I260" s="11211"/>
      <c r="J260" s="11211"/>
      <c r="K260" s="11211"/>
      <c r="L260" s="11219"/>
      <c r="M260" s="11219"/>
      <c r="N260" s="11219"/>
      <c r="O260" s="11211"/>
      <c r="P260" s="11211"/>
      <c r="Q260" s="11213"/>
      <c r="R260" s="2849"/>
      <c r="S260" s="1453"/>
      <c r="T260" s="1453"/>
      <c r="U260" s="246"/>
      <c r="V260" s="513"/>
      <c r="W260" s="247"/>
      <c r="X260" s="7020"/>
      <c r="Y260" s="7020"/>
      <c r="Z260" s="7020"/>
      <c r="AA260" s="7142"/>
      <c r="AB260" s="1441"/>
      <c r="AC260" s="1441"/>
      <c r="AD260" s="247"/>
      <c r="AE260" s="413"/>
      <c r="AF260" s="413"/>
      <c r="AG260" s="11249"/>
    </row>
    <row r="261" spans="1:33" ht="36" customHeight="1" thickBot="1">
      <c r="A261" s="9244"/>
      <c r="B261" s="11349"/>
      <c r="C261" s="11212"/>
      <c r="D261" s="11212"/>
      <c r="E261" s="11212"/>
      <c r="F261" s="11212"/>
      <c r="G261" s="11212"/>
      <c r="H261" s="11212"/>
      <c r="I261" s="11212"/>
      <c r="J261" s="11212"/>
      <c r="K261" s="11212"/>
      <c r="L261" s="11220"/>
      <c r="M261" s="11220"/>
      <c r="N261" s="11220"/>
      <c r="O261" s="11212"/>
      <c r="P261" s="11212"/>
      <c r="Q261" s="11214"/>
      <c r="R261" s="2851"/>
      <c r="S261" s="1457"/>
      <c r="T261" s="1457"/>
      <c r="U261" s="260"/>
      <c r="V261" s="514"/>
      <c r="W261" s="252"/>
      <c r="X261" s="7021"/>
      <c r="Y261" s="7021"/>
      <c r="Z261" s="7021"/>
      <c r="AA261" s="7143"/>
      <c r="AB261" s="1442"/>
      <c r="AC261" s="1442"/>
      <c r="AD261" s="252"/>
      <c r="AE261" s="414"/>
      <c r="AF261" s="414"/>
      <c r="AG261" s="11259"/>
    </row>
    <row r="262" spans="1:33" ht="36" customHeight="1">
      <c r="A262" s="9244"/>
      <c r="B262" s="11309" t="s">
        <v>127</v>
      </c>
      <c r="C262" s="11210" t="s">
        <v>128</v>
      </c>
      <c r="D262" s="11210" t="s">
        <v>129</v>
      </c>
      <c r="E262" s="11210" t="s">
        <v>268</v>
      </c>
      <c r="F262" s="11216" t="s">
        <v>131</v>
      </c>
      <c r="G262" s="11210" t="s">
        <v>132</v>
      </c>
      <c r="H262" s="11210" t="s">
        <v>159</v>
      </c>
      <c r="I262" s="11210" t="s">
        <v>4931</v>
      </c>
      <c r="J262" s="11210" t="s">
        <v>4547</v>
      </c>
      <c r="K262" s="11210" t="s">
        <v>6399</v>
      </c>
      <c r="L262" s="11218" t="s">
        <v>3046</v>
      </c>
      <c r="M262" s="11218" t="s">
        <v>3046</v>
      </c>
      <c r="N262" s="11218" t="s">
        <v>3046</v>
      </c>
      <c r="O262" s="11301" t="s">
        <v>6400</v>
      </c>
      <c r="P262" s="11210" t="s">
        <v>6401</v>
      </c>
      <c r="Q262" s="9705" t="s">
        <v>6385</v>
      </c>
      <c r="R262" s="2852"/>
      <c r="S262" s="1458"/>
      <c r="T262" s="1458"/>
      <c r="U262" s="515"/>
      <c r="V262" s="516"/>
      <c r="W262" s="487"/>
      <c r="X262" s="7045"/>
      <c r="Y262" s="7045"/>
      <c r="Z262" s="7045"/>
      <c r="AA262" s="7144"/>
      <c r="AB262" s="1439"/>
      <c r="AC262" s="1439"/>
      <c r="AD262" s="487"/>
      <c r="AE262" s="1440"/>
      <c r="AF262" s="1440"/>
      <c r="AG262" s="9825"/>
    </row>
    <row r="263" spans="1:33" ht="36" customHeight="1">
      <c r="A263" s="9244"/>
      <c r="B263" s="11240"/>
      <c r="C263" s="11211"/>
      <c r="D263" s="11211"/>
      <c r="E263" s="11211"/>
      <c r="F263" s="11211"/>
      <c r="G263" s="11211"/>
      <c r="H263" s="11211"/>
      <c r="I263" s="11211"/>
      <c r="J263" s="11211"/>
      <c r="K263" s="11211"/>
      <c r="L263" s="11219"/>
      <c r="M263" s="11219"/>
      <c r="N263" s="11219"/>
      <c r="O263" s="11211"/>
      <c r="P263" s="11211"/>
      <c r="Q263" s="11213"/>
      <c r="R263" s="2849"/>
      <c r="S263" s="1453"/>
      <c r="T263" s="1453"/>
      <c r="U263" s="246"/>
      <c r="V263" s="513"/>
      <c r="W263" s="247"/>
      <c r="X263" s="7020"/>
      <c r="Y263" s="7020"/>
      <c r="Z263" s="7020"/>
      <c r="AA263" s="7142"/>
      <c r="AB263" s="1441"/>
      <c r="AC263" s="1441"/>
      <c r="AD263" s="247"/>
      <c r="AE263" s="413"/>
      <c r="AF263" s="413"/>
      <c r="AG263" s="11249"/>
    </row>
    <row r="264" spans="1:33" ht="36" customHeight="1">
      <c r="A264" s="9244"/>
      <c r="B264" s="11240"/>
      <c r="C264" s="11211"/>
      <c r="D264" s="11211"/>
      <c r="E264" s="11211"/>
      <c r="F264" s="11211"/>
      <c r="G264" s="11211"/>
      <c r="H264" s="11211"/>
      <c r="I264" s="11211"/>
      <c r="J264" s="11211"/>
      <c r="K264" s="11211"/>
      <c r="L264" s="11219"/>
      <c r="M264" s="11219"/>
      <c r="N264" s="11219"/>
      <c r="O264" s="11211"/>
      <c r="P264" s="11211"/>
      <c r="Q264" s="11213"/>
      <c r="R264" s="2849"/>
      <c r="S264" s="1453"/>
      <c r="T264" s="1453"/>
      <c r="U264" s="246"/>
      <c r="V264" s="513"/>
      <c r="W264" s="247"/>
      <c r="X264" s="7020"/>
      <c r="Y264" s="7020"/>
      <c r="Z264" s="7020"/>
      <c r="AA264" s="7142"/>
      <c r="AB264" s="1441"/>
      <c r="AC264" s="1441"/>
      <c r="AD264" s="247"/>
      <c r="AE264" s="413"/>
      <c r="AF264" s="413"/>
      <c r="AG264" s="11249"/>
    </row>
    <row r="265" spans="1:33" ht="36" customHeight="1">
      <c r="A265" s="9244"/>
      <c r="B265" s="11240"/>
      <c r="C265" s="11211"/>
      <c r="D265" s="11211"/>
      <c r="E265" s="11211"/>
      <c r="F265" s="11211"/>
      <c r="G265" s="11211"/>
      <c r="H265" s="11211"/>
      <c r="I265" s="11211"/>
      <c r="J265" s="11211"/>
      <c r="K265" s="11211"/>
      <c r="L265" s="11219"/>
      <c r="M265" s="11219"/>
      <c r="N265" s="11219"/>
      <c r="O265" s="11211"/>
      <c r="P265" s="11211"/>
      <c r="Q265" s="11213"/>
      <c r="R265" s="2850"/>
      <c r="S265" s="1454"/>
      <c r="T265" s="1454"/>
      <c r="U265" s="246"/>
      <c r="V265" s="513"/>
      <c r="W265" s="247"/>
      <c r="X265" s="7020"/>
      <c r="Y265" s="7020"/>
      <c r="Z265" s="7020"/>
      <c r="AA265" s="7142"/>
      <c r="AB265" s="1441"/>
      <c r="AC265" s="1441"/>
      <c r="AD265" s="247"/>
      <c r="AE265" s="413"/>
      <c r="AF265" s="413"/>
      <c r="AG265" s="11249"/>
    </row>
    <row r="266" spans="1:33" ht="36" customHeight="1">
      <c r="A266" s="9244"/>
      <c r="B266" s="11241"/>
      <c r="C266" s="11212"/>
      <c r="D266" s="11212"/>
      <c r="E266" s="11212"/>
      <c r="F266" s="11212"/>
      <c r="G266" s="11212"/>
      <c r="H266" s="11212"/>
      <c r="I266" s="11212"/>
      <c r="J266" s="11212"/>
      <c r="K266" s="11212"/>
      <c r="L266" s="11220"/>
      <c r="M266" s="11220"/>
      <c r="N266" s="11220"/>
      <c r="O266" s="11212"/>
      <c r="P266" s="11212"/>
      <c r="Q266" s="11214"/>
      <c r="R266" s="2851"/>
      <c r="S266" s="1457"/>
      <c r="T266" s="1457"/>
      <c r="U266" s="260"/>
      <c r="V266" s="514"/>
      <c r="W266" s="252"/>
      <c r="X266" s="7021"/>
      <c r="Y266" s="7021"/>
      <c r="Z266" s="7021"/>
      <c r="AA266" s="7143"/>
      <c r="AB266" s="1442"/>
      <c r="AC266" s="1442"/>
      <c r="AD266" s="252"/>
      <c r="AE266" s="414"/>
      <c r="AF266" s="414"/>
      <c r="AG266" s="11259"/>
    </row>
    <row r="267" spans="1:33" ht="24" customHeight="1">
      <c r="A267" s="9244"/>
      <c r="B267" s="11228" t="s">
        <v>127</v>
      </c>
      <c r="C267" s="11210" t="s">
        <v>128</v>
      </c>
      <c r="D267" s="11210" t="s">
        <v>140</v>
      </c>
      <c r="E267" s="11210" t="s">
        <v>212</v>
      </c>
      <c r="F267" s="11216" t="s">
        <v>131</v>
      </c>
      <c r="G267" s="11210" t="s">
        <v>132</v>
      </c>
      <c r="H267" s="11210" t="s">
        <v>159</v>
      </c>
      <c r="I267" s="11210" t="s">
        <v>4935</v>
      </c>
      <c r="J267" s="11210" t="s">
        <v>286</v>
      </c>
      <c r="K267" s="11210" t="s">
        <v>6402</v>
      </c>
      <c r="L267" s="11218">
        <v>0</v>
      </c>
      <c r="M267" s="11218">
        <v>1</v>
      </c>
      <c r="N267" s="11218">
        <v>1</v>
      </c>
      <c r="O267" s="11210" t="s">
        <v>6403</v>
      </c>
      <c r="P267" s="11210" t="s">
        <v>6248</v>
      </c>
      <c r="Q267" s="9705" t="s">
        <v>6385</v>
      </c>
      <c r="R267" s="2852"/>
      <c r="S267" s="1458"/>
      <c r="T267" s="1458"/>
      <c r="U267" s="515"/>
      <c r="V267" s="516"/>
      <c r="W267" s="487"/>
      <c r="X267" s="7045"/>
      <c r="Y267" s="7045"/>
      <c r="Z267" s="7045"/>
      <c r="AA267" s="7144"/>
      <c r="AB267" s="1439"/>
      <c r="AC267" s="1439"/>
      <c r="AD267" s="487"/>
      <c r="AE267" s="487"/>
      <c r="AF267" s="487"/>
      <c r="AG267" s="9825"/>
    </row>
    <row r="268" spans="1:33" ht="24" customHeight="1">
      <c r="A268" s="9244"/>
      <c r="B268" s="11240"/>
      <c r="C268" s="11211"/>
      <c r="D268" s="11211"/>
      <c r="E268" s="11211"/>
      <c r="F268" s="11211"/>
      <c r="G268" s="11211"/>
      <c r="H268" s="11211"/>
      <c r="I268" s="11211"/>
      <c r="J268" s="11211"/>
      <c r="K268" s="11211"/>
      <c r="L268" s="11219"/>
      <c r="M268" s="11219"/>
      <c r="N268" s="11219"/>
      <c r="O268" s="11211"/>
      <c r="P268" s="11211"/>
      <c r="Q268" s="11213"/>
      <c r="R268" s="2849"/>
      <c r="S268" s="1453"/>
      <c r="T268" s="1453"/>
      <c r="U268" s="246"/>
      <c r="V268" s="513"/>
      <c r="W268" s="247"/>
      <c r="X268" s="7020"/>
      <c r="Y268" s="7020"/>
      <c r="Z268" s="7020"/>
      <c r="AA268" s="7142"/>
      <c r="AB268" s="1441"/>
      <c r="AC268" s="1441"/>
      <c r="AD268" s="247"/>
      <c r="AE268" s="247"/>
      <c r="AF268" s="247"/>
      <c r="AG268" s="11249"/>
    </row>
    <row r="269" spans="1:33" ht="24" customHeight="1">
      <c r="A269" s="9244"/>
      <c r="B269" s="11240"/>
      <c r="C269" s="11211"/>
      <c r="D269" s="11211"/>
      <c r="E269" s="11211"/>
      <c r="F269" s="11211"/>
      <c r="G269" s="11211"/>
      <c r="H269" s="11211"/>
      <c r="I269" s="11211"/>
      <c r="J269" s="11211"/>
      <c r="K269" s="11211"/>
      <c r="L269" s="11219"/>
      <c r="M269" s="11219"/>
      <c r="N269" s="11219"/>
      <c r="O269" s="11211"/>
      <c r="P269" s="11211"/>
      <c r="Q269" s="11213"/>
      <c r="R269" s="2849"/>
      <c r="S269" s="1453"/>
      <c r="T269" s="1453"/>
      <c r="U269" s="246"/>
      <c r="V269" s="513"/>
      <c r="W269" s="247"/>
      <c r="X269" s="7020"/>
      <c r="Y269" s="7020"/>
      <c r="Z269" s="7020"/>
      <c r="AA269" s="7142"/>
      <c r="AB269" s="1441"/>
      <c r="AC269" s="1441"/>
      <c r="AD269" s="247"/>
      <c r="AE269" s="247"/>
      <c r="AF269" s="413"/>
      <c r="AG269" s="11249"/>
    </row>
    <row r="270" spans="1:33" ht="24" customHeight="1">
      <c r="A270" s="9244"/>
      <c r="B270" s="11240"/>
      <c r="C270" s="11211"/>
      <c r="D270" s="11211"/>
      <c r="E270" s="11211"/>
      <c r="F270" s="11211"/>
      <c r="G270" s="11211"/>
      <c r="H270" s="11211"/>
      <c r="I270" s="11211"/>
      <c r="J270" s="11211"/>
      <c r="K270" s="11211"/>
      <c r="L270" s="11219"/>
      <c r="M270" s="11219"/>
      <c r="N270" s="11219"/>
      <c r="O270" s="11211"/>
      <c r="P270" s="11211"/>
      <c r="Q270" s="11213"/>
      <c r="R270" s="2849"/>
      <c r="S270" s="1453"/>
      <c r="T270" s="1453"/>
      <c r="U270" s="246"/>
      <c r="V270" s="513"/>
      <c r="W270" s="247"/>
      <c r="X270" s="7020"/>
      <c r="Y270" s="7020"/>
      <c r="Z270" s="7020"/>
      <c r="AA270" s="7142"/>
      <c r="AB270" s="1441"/>
      <c r="AC270" s="1441"/>
      <c r="AD270" s="247"/>
      <c r="AE270" s="247"/>
      <c r="AF270" s="413"/>
      <c r="AG270" s="11249"/>
    </row>
    <row r="271" spans="1:33" ht="24" customHeight="1">
      <c r="A271" s="9244"/>
      <c r="B271" s="11241"/>
      <c r="C271" s="11212"/>
      <c r="D271" s="11212"/>
      <c r="E271" s="11212"/>
      <c r="F271" s="11212"/>
      <c r="G271" s="11212"/>
      <c r="H271" s="11212"/>
      <c r="I271" s="11212"/>
      <c r="J271" s="11212"/>
      <c r="K271" s="11212"/>
      <c r="L271" s="11220"/>
      <c r="M271" s="11220"/>
      <c r="N271" s="11220"/>
      <c r="O271" s="11212"/>
      <c r="P271" s="11212"/>
      <c r="Q271" s="11214"/>
      <c r="R271" s="2851"/>
      <c r="S271" s="1457"/>
      <c r="T271" s="1457"/>
      <c r="U271" s="260"/>
      <c r="V271" s="514"/>
      <c r="W271" s="252"/>
      <c r="X271" s="7021"/>
      <c r="Y271" s="7021"/>
      <c r="Z271" s="7021"/>
      <c r="AA271" s="7143"/>
      <c r="AB271" s="1442"/>
      <c r="AC271" s="1442"/>
      <c r="AD271" s="252"/>
      <c r="AE271" s="252"/>
      <c r="AF271" s="414"/>
      <c r="AG271" s="11259"/>
    </row>
    <row r="272" spans="1:33" ht="39" customHeight="1">
      <c r="A272" s="9244"/>
      <c r="B272" s="11228" t="s">
        <v>127</v>
      </c>
      <c r="C272" s="11210" t="s">
        <v>128</v>
      </c>
      <c r="D272" s="11210" t="s">
        <v>129</v>
      </c>
      <c r="E272" s="11210" t="s">
        <v>268</v>
      </c>
      <c r="F272" s="11216" t="s">
        <v>131</v>
      </c>
      <c r="G272" s="11210" t="s">
        <v>132</v>
      </c>
      <c r="H272" s="11210" t="s">
        <v>159</v>
      </c>
      <c r="I272" s="11210" t="s">
        <v>4940</v>
      </c>
      <c r="J272" s="11210" t="s">
        <v>1378</v>
      </c>
      <c r="K272" s="11210" t="s">
        <v>6404</v>
      </c>
      <c r="L272" s="11218">
        <v>3</v>
      </c>
      <c r="M272" s="11218">
        <v>3</v>
      </c>
      <c r="N272" s="11218">
        <v>3</v>
      </c>
      <c r="O272" s="11210" t="s">
        <v>6405</v>
      </c>
      <c r="P272" s="11210" t="s">
        <v>6406</v>
      </c>
      <c r="Q272" s="9705" t="s">
        <v>6385</v>
      </c>
      <c r="R272" s="2852"/>
      <c r="S272" s="1458"/>
      <c r="T272" s="1458"/>
      <c r="U272" s="515"/>
      <c r="V272" s="516"/>
      <c r="W272" s="487"/>
      <c r="X272" s="7045"/>
      <c r="Y272" s="7045"/>
      <c r="Z272" s="7045"/>
      <c r="AA272" s="7144"/>
      <c r="AB272" s="1439"/>
      <c r="AC272" s="1439"/>
      <c r="AD272" s="487"/>
      <c r="AE272" s="1440"/>
      <c r="AF272" s="1440"/>
      <c r="AG272" s="9825"/>
    </row>
    <row r="273" spans="1:33" ht="39" customHeight="1">
      <c r="A273" s="9244"/>
      <c r="B273" s="11240"/>
      <c r="C273" s="11211"/>
      <c r="D273" s="11211"/>
      <c r="E273" s="11211"/>
      <c r="F273" s="11211"/>
      <c r="G273" s="11211"/>
      <c r="H273" s="11211"/>
      <c r="I273" s="11211"/>
      <c r="J273" s="11211"/>
      <c r="K273" s="11211"/>
      <c r="L273" s="11219"/>
      <c r="M273" s="11219"/>
      <c r="N273" s="11219"/>
      <c r="O273" s="11211"/>
      <c r="P273" s="11211"/>
      <c r="Q273" s="11213"/>
      <c r="R273" s="2849"/>
      <c r="S273" s="1453"/>
      <c r="T273" s="1453"/>
      <c r="U273" s="246"/>
      <c r="V273" s="513"/>
      <c r="W273" s="247"/>
      <c r="X273" s="7020"/>
      <c r="Y273" s="7020"/>
      <c r="Z273" s="7020"/>
      <c r="AA273" s="7142"/>
      <c r="AB273" s="1441"/>
      <c r="AC273" s="1441"/>
      <c r="AD273" s="247"/>
      <c r="AE273" s="413"/>
      <c r="AF273" s="413"/>
      <c r="AG273" s="11249"/>
    </row>
    <row r="274" spans="1:33" ht="39" customHeight="1">
      <c r="A274" s="9244"/>
      <c r="B274" s="11240"/>
      <c r="C274" s="11211"/>
      <c r="D274" s="11211"/>
      <c r="E274" s="11211"/>
      <c r="F274" s="11211"/>
      <c r="G274" s="11211"/>
      <c r="H274" s="11211"/>
      <c r="I274" s="11211"/>
      <c r="J274" s="11211"/>
      <c r="K274" s="11211"/>
      <c r="L274" s="11219"/>
      <c r="M274" s="11219"/>
      <c r="N274" s="11219"/>
      <c r="O274" s="11211"/>
      <c r="P274" s="11211"/>
      <c r="Q274" s="11213"/>
      <c r="R274" s="2849"/>
      <c r="S274" s="1453"/>
      <c r="T274" s="1453"/>
      <c r="U274" s="246"/>
      <c r="V274" s="513"/>
      <c r="W274" s="247"/>
      <c r="X274" s="7020"/>
      <c r="Y274" s="7020"/>
      <c r="Z274" s="7020"/>
      <c r="AA274" s="7142"/>
      <c r="AB274" s="1441"/>
      <c r="AC274" s="1441"/>
      <c r="AD274" s="247"/>
      <c r="AE274" s="413"/>
      <c r="AF274" s="413"/>
      <c r="AG274" s="11249"/>
    </row>
    <row r="275" spans="1:33" ht="39" customHeight="1">
      <c r="A275" s="9244"/>
      <c r="B275" s="11240"/>
      <c r="C275" s="11211"/>
      <c r="D275" s="11211"/>
      <c r="E275" s="11211"/>
      <c r="F275" s="11211"/>
      <c r="G275" s="11211"/>
      <c r="H275" s="11211"/>
      <c r="I275" s="11211"/>
      <c r="J275" s="11211"/>
      <c r="K275" s="11211"/>
      <c r="L275" s="11219"/>
      <c r="M275" s="11219"/>
      <c r="N275" s="11219"/>
      <c r="O275" s="11211"/>
      <c r="P275" s="11211"/>
      <c r="Q275" s="11213"/>
      <c r="R275" s="2849"/>
      <c r="S275" s="1453"/>
      <c r="T275" s="1453"/>
      <c r="U275" s="246"/>
      <c r="V275" s="513"/>
      <c r="W275" s="247"/>
      <c r="X275" s="7020"/>
      <c r="Y275" s="7020"/>
      <c r="Z275" s="7020"/>
      <c r="AA275" s="7142"/>
      <c r="AB275" s="1441"/>
      <c r="AC275" s="1441"/>
      <c r="AD275" s="247"/>
      <c r="AE275" s="413"/>
      <c r="AF275" s="413"/>
      <c r="AG275" s="11249"/>
    </row>
    <row r="276" spans="1:33" ht="39" customHeight="1">
      <c r="A276" s="9244"/>
      <c r="B276" s="11243"/>
      <c r="C276" s="11221"/>
      <c r="D276" s="11221"/>
      <c r="E276" s="11221"/>
      <c r="F276" s="11221"/>
      <c r="G276" s="11221"/>
      <c r="H276" s="11221"/>
      <c r="I276" s="11221"/>
      <c r="J276" s="11221"/>
      <c r="K276" s="11221"/>
      <c r="L276" s="11232"/>
      <c r="M276" s="11232"/>
      <c r="N276" s="11232"/>
      <c r="O276" s="11221"/>
      <c r="P276" s="11221"/>
      <c r="Q276" s="11237"/>
      <c r="R276" s="5152"/>
      <c r="S276" s="5153"/>
      <c r="T276" s="5153"/>
      <c r="U276" s="5154"/>
      <c r="V276" s="5155"/>
      <c r="W276" s="5156"/>
      <c r="X276" s="7641"/>
      <c r="Y276" s="7641"/>
      <c r="Z276" s="7641"/>
      <c r="AA276" s="7642"/>
      <c r="AB276" s="5157"/>
      <c r="AC276" s="5157"/>
      <c r="AD276" s="5156"/>
      <c r="AE276" s="5158"/>
      <c r="AF276" s="5158"/>
      <c r="AG276" s="11250"/>
    </row>
    <row r="277" spans="1:33" s="6169" customFormat="1" ht="25.5" customHeight="1" thickBot="1">
      <c r="A277" s="11351"/>
      <c r="B277" s="11234"/>
      <c r="C277" s="11244"/>
      <c r="D277" s="11244"/>
      <c r="E277" s="11244"/>
      <c r="F277" s="11244"/>
      <c r="G277" s="11244"/>
      <c r="H277" s="11244"/>
      <c r="I277" s="11244"/>
      <c r="J277" s="11244"/>
      <c r="K277" s="11244"/>
      <c r="L277" s="11244"/>
      <c r="M277" s="11244"/>
      <c r="N277" s="11244"/>
      <c r="O277" s="11244"/>
      <c r="P277" s="11244"/>
      <c r="Q277" s="11245"/>
      <c r="R277" s="11292" t="s">
        <v>4561</v>
      </c>
      <c r="S277" s="11299"/>
      <c r="T277" s="11299"/>
      <c r="U277" s="11299"/>
      <c r="V277" s="11299"/>
      <c r="W277" s="11299"/>
      <c r="X277" s="11299"/>
      <c r="Y277" s="11300"/>
      <c r="Z277" s="6170" t="s">
        <v>292</v>
      </c>
      <c r="AA277" s="7643">
        <f>SUM(AA217:AA276)</f>
        <v>0</v>
      </c>
      <c r="AB277" s="6172"/>
      <c r="AC277" s="6172"/>
      <c r="AD277" s="11288"/>
      <c r="AE277" s="11295"/>
      <c r="AF277" s="11295"/>
      <c r="AG277" s="11296"/>
    </row>
    <row r="278" spans="1:33" ht="28.5" customHeight="1">
      <c r="A278" s="9244" t="s">
        <v>4562</v>
      </c>
      <c r="B278" s="11309" t="s">
        <v>127</v>
      </c>
      <c r="C278" s="11215" t="s">
        <v>128</v>
      </c>
      <c r="D278" s="11215" t="s">
        <v>129</v>
      </c>
      <c r="E278" s="11215" t="s">
        <v>268</v>
      </c>
      <c r="F278" s="11247" t="s">
        <v>131</v>
      </c>
      <c r="G278" s="11215" t="s">
        <v>132</v>
      </c>
      <c r="H278" s="11215" t="s">
        <v>159</v>
      </c>
      <c r="I278" s="11215" t="s">
        <v>6407</v>
      </c>
      <c r="J278" s="11215" t="s">
        <v>4564</v>
      </c>
      <c r="K278" s="11215" t="s">
        <v>6408</v>
      </c>
      <c r="L278" s="11233">
        <v>200</v>
      </c>
      <c r="M278" s="11233">
        <v>200</v>
      </c>
      <c r="N278" s="11233">
        <v>200</v>
      </c>
      <c r="O278" s="11215" t="s">
        <v>6409</v>
      </c>
      <c r="P278" s="11215" t="s">
        <v>6410</v>
      </c>
      <c r="Q278" s="11246" t="s">
        <v>6411</v>
      </c>
      <c r="R278" s="2854"/>
      <c r="S278" s="1452"/>
      <c r="T278" s="1452"/>
      <c r="U278" s="346"/>
      <c r="V278" s="512"/>
      <c r="W278" s="347"/>
      <c r="X278" s="7644"/>
      <c r="Y278" s="7644"/>
      <c r="Z278" s="7644"/>
      <c r="AA278" s="7645"/>
      <c r="AB278" s="1444"/>
      <c r="AC278" s="1444"/>
      <c r="AD278" s="347"/>
      <c r="AE278" s="1445"/>
      <c r="AF278" s="1445"/>
      <c r="AG278" s="11297"/>
    </row>
    <row r="279" spans="1:33" ht="28.5" customHeight="1">
      <c r="A279" s="9244"/>
      <c r="B279" s="11240"/>
      <c r="C279" s="11211"/>
      <c r="D279" s="11211"/>
      <c r="E279" s="11211"/>
      <c r="F279" s="11211"/>
      <c r="G279" s="11211"/>
      <c r="H279" s="11211"/>
      <c r="I279" s="11211"/>
      <c r="J279" s="11211"/>
      <c r="K279" s="11211"/>
      <c r="L279" s="11219"/>
      <c r="M279" s="11219"/>
      <c r="N279" s="11219"/>
      <c r="O279" s="11211"/>
      <c r="P279" s="11211"/>
      <c r="Q279" s="11213"/>
      <c r="R279" s="2849"/>
      <c r="S279" s="1453"/>
      <c r="T279" s="1453"/>
      <c r="U279" s="246"/>
      <c r="V279" s="513"/>
      <c r="W279" s="247"/>
      <c r="X279" s="7020"/>
      <c r="Y279" s="7020"/>
      <c r="Z279" s="7020"/>
      <c r="AA279" s="7142"/>
      <c r="AB279" s="1441"/>
      <c r="AC279" s="1441"/>
      <c r="AD279" s="247"/>
      <c r="AE279" s="413"/>
      <c r="AF279" s="413"/>
      <c r="AG279" s="11279"/>
    </row>
    <row r="280" spans="1:33" ht="28.5" customHeight="1">
      <c r="A280" s="9244"/>
      <c r="B280" s="11240"/>
      <c r="C280" s="11211"/>
      <c r="D280" s="11211"/>
      <c r="E280" s="11211"/>
      <c r="F280" s="11211"/>
      <c r="G280" s="11211"/>
      <c r="H280" s="11211"/>
      <c r="I280" s="11211"/>
      <c r="J280" s="11211"/>
      <c r="K280" s="11211"/>
      <c r="L280" s="11219"/>
      <c r="M280" s="11219"/>
      <c r="N280" s="11219"/>
      <c r="O280" s="11211"/>
      <c r="P280" s="11211"/>
      <c r="Q280" s="11213"/>
      <c r="R280" s="2849"/>
      <c r="S280" s="1453"/>
      <c r="T280" s="1453"/>
      <c r="U280" s="246"/>
      <c r="V280" s="513"/>
      <c r="W280" s="247"/>
      <c r="X280" s="7020"/>
      <c r="Y280" s="7020"/>
      <c r="Z280" s="7020"/>
      <c r="AA280" s="7142"/>
      <c r="AB280" s="1441"/>
      <c r="AC280" s="1441"/>
      <c r="AD280" s="247"/>
      <c r="AE280" s="413"/>
      <c r="AF280" s="413"/>
      <c r="AG280" s="11279"/>
    </row>
    <row r="281" spans="1:33" ht="28.5" customHeight="1">
      <c r="A281" s="9244"/>
      <c r="B281" s="11240"/>
      <c r="C281" s="11211"/>
      <c r="D281" s="11211"/>
      <c r="E281" s="11211"/>
      <c r="F281" s="11211"/>
      <c r="G281" s="11211"/>
      <c r="H281" s="11211"/>
      <c r="I281" s="11211"/>
      <c r="J281" s="11211"/>
      <c r="K281" s="11211"/>
      <c r="L281" s="11219"/>
      <c r="M281" s="11219"/>
      <c r="N281" s="11219"/>
      <c r="O281" s="11211"/>
      <c r="P281" s="11211"/>
      <c r="Q281" s="11213"/>
      <c r="R281" s="2850"/>
      <c r="S281" s="1454"/>
      <c r="T281" s="1454"/>
      <c r="U281" s="246"/>
      <c r="V281" s="513"/>
      <c r="W281" s="247"/>
      <c r="X281" s="7020"/>
      <c r="Y281" s="7020"/>
      <c r="Z281" s="7020"/>
      <c r="AA281" s="7142"/>
      <c r="AB281" s="1441"/>
      <c r="AC281" s="1441"/>
      <c r="AD281" s="247"/>
      <c r="AE281" s="413"/>
      <c r="AF281" s="413"/>
      <c r="AG281" s="11279"/>
    </row>
    <row r="282" spans="1:33" ht="28.5" customHeight="1">
      <c r="A282" s="9244"/>
      <c r="B282" s="11241"/>
      <c r="C282" s="11212"/>
      <c r="D282" s="11212"/>
      <c r="E282" s="11212"/>
      <c r="F282" s="11212"/>
      <c r="G282" s="11212"/>
      <c r="H282" s="11212"/>
      <c r="I282" s="11212"/>
      <c r="J282" s="11212"/>
      <c r="K282" s="11212"/>
      <c r="L282" s="11220"/>
      <c r="M282" s="11220"/>
      <c r="N282" s="11220"/>
      <c r="O282" s="11212"/>
      <c r="P282" s="11212"/>
      <c r="Q282" s="11214"/>
      <c r="R282" s="2851"/>
      <c r="S282" s="1457"/>
      <c r="T282" s="1457"/>
      <c r="U282" s="260"/>
      <c r="V282" s="514"/>
      <c r="W282" s="252"/>
      <c r="X282" s="7021"/>
      <c r="Y282" s="7021"/>
      <c r="Z282" s="7021"/>
      <c r="AA282" s="7143"/>
      <c r="AB282" s="1442"/>
      <c r="AC282" s="1442"/>
      <c r="AD282" s="252"/>
      <c r="AE282" s="414"/>
      <c r="AF282" s="414"/>
      <c r="AG282" s="11280"/>
    </row>
    <row r="283" spans="1:33" ht="22.5" customHeight="1">
      <c r="A283" s="9244"/>
      <c r="B283" s="11228" t="s">
        <v>127</v>
      </c>
      <c r="C283" s="11210" t="s">
        <v>128</v>
      </c>
      <c r="D283" s="11210" t="s">
        <v>129</v>
      </c>
      <c r="E283" s="11210" t="s">
        <v>268</v>
      </c>
      <c r="F283" s="11216" t="s">
        <v>131</v>
      </c>
      <c r="G283" s="11210" t="s">
        <v>132</v>
      </c>
      <c r="H283" s="11210" t="s">
        <v>159</v>
      </c>
      <c r="I283" s="11210" t="s">
        <v>6412</v>
      </c>
      <c r="J283" s="11210" t="s">
        <v>4570</v>
      </c>
      <c r="K283" s="11210" t="s">
        <v>6413</v>
      </c>
      <c r="L283" s="11224">
        <v>280</v>
      </c>
      <c r="M283" s="11224">
        <v>280</v>
      </c>
      <c r="N283" s="11224">
        <v>290</v>
      </c>
      <c r="O283" s="11210" t="s">
        <v>6414</v>
      </c>
      <c r="P283" s="11210" t="s">
        <v>5549</v>
      </c>
      <c r="Q283" s="9705" t="s">
        <v>6415</v>
      </c>
      <c r="R283" s="2852"/>
      <c r="S283" s="1458"/>
      <c r="T283" s="1458"/>
      <c r="U283" s="515"/>
      <c r="V283" s="516"/>
      <c r="W283" s="487"/>
      <c r="X283" s="7045"/>
      <c r="Y283" s="7045"/>
      <c r="Z283" s="7045"/>
      <c r="AA283" s="7144"/>
      <c r="AB283" s="1439"/>
      <c r="AC283" s="1439"/>
      <c r="AD283" s="487"/>
      <c r="AE283" s="1440"/>
      <c r="AF283" s="1440"/>
      <c r="AG283" s="11278"/>
    </row>
    <row r="284" spans="1:33" ht="22.5" customHeight="1">
      <c r="A284" s="9244"/>
      <c r="B284" s="11240"/>
      <c r="C284" s="11211"/>
      <c r="D284" s="11211"/>
      <c r="E284" s="11211"/>
      <c r="F284" s="11211"/>
      <c r="G284" s="11211"/>
      <c r="H284" s="11211"/>
      <c r="I284" s="11211"/>
      <c r="J284" s="11211"/>
      <c r="K284" s="11211"/>
      <c r="L284" s="11219"/>
      <c r="M284" s="11219"/>
      <c r="N284" s="11219"/>
      <c r="O284" s="11211"/>
      <c r="P284" s="11211"/>
      <c r="Q284" s="11213"/>
      <c r="R284" s="2849"/>
      <c r="S284" s="1453"/>
      <c r="T284" s="1453"/>
      <c r="U284" s="246"/>
      <c r="V284" s="513"/>
      <c r="W284" s="247"/>
      <c r="X284" s="7020"/>
      <c r="Y284" s="7020"/>
      <c r="Z284" s="7020"/>
      <c r="AA284" s="7142"/>
      <c r="AB284" s="1441"/>
      <c r="AC284" s="1441"/>
      <c r="AD284" s="247"/>
      <c r="AE284" s="413"/>
      <c r="AF284" s="413"/>
      <c r="AG284" s="11279"/>
    </row>
    <row r="285" spans="1:33" ht="22.5" customHeight="1">
      <c r="A285" s="9244"/>
      <c r="B285" s="11240"/>
      <c r="C285" s="11211"/>
      <c r="D285" s="11211"/>
      <c r="E285" s="11211"/>
      <c r="F285" s="11211"/>
      <c r="G285" s="11211"/>
      <c r="H285" s="11211"/>
      <c r="I285" s="11211"/>
      <c r="J285" s="11211"/>
      <c r="K285" s="11211"/>
      <c r="L285" s="11219"/>
      <c r="M285" s="11219"/>
      <c r="N285" s="11219"/>
      <c r="O285" s="11211"/>
      <c r="P285" s="11211"/>
      <c r="Q285" s="11213"/>
      <c r="R285" s="2849"/>
      <c r="S285" s="1453"/>
      <c r="T285" s="1453"/>
      <c r="U285" s="246"/>
      <c r="V285" s="513"/>
      <c r="W285" s="247"/>
      <c r="X285" s="7020"/>
      <c r="Y285" s="7020"/>
      <c r="Z285" s="7020"/>
      <c r="AA285" s="7142"/>
      <c r="AB285" s="1441"/>
      <c r="AC285" s="1441"/>
      <c r="AD285" s="247"/>
      <c r="AE285" s="413"/>
      <c r="AF285" s="413"/>
      <c r="AG285" s="11279"/>
    </row>
    <row r="286" spans="1:33" ht="22.5" customHeight="1">
      <c r="A286" s="9244"/>
      <c r="B286" s="11240"/>
      <c r="C286" s="11211"/>
      <c r="D286" s="11211"/>
      <c r="E286" s="11211"/>
      <c r="F286" s="11211"/>
      <c r="G286" s="11211"/>
      <c r="H286" s="11211"/>
      <c r="I286" s="11211"/>
      <c r="J286" s="11211"/>
      <c r="K286" s="11211"/>
      <c r="L286" s="11219"/>
      <c r="M286" s="11219"/>
      <c r="N286" s="11219"/>
      <c r="O286" s="11211"/>
      <c r="P286" s="11211"/>
      <c r="Q286" s="11213"/>
      <c r="R286" s="2850"/>
      <c r="S286" s="1454"/>
      <c r="T286" s="1454"/>
      <c r="U286" s="246"/>
      <c r="V286" s="513"/>
      <c r="W286" s="247"/>
      <c r="X286" s="7020"/>
      <c r="Y286" s="7020"/>
      <c r="Z286" s="7020"/>
      <c r="AA286" s="7142"/>
      <c r="AB286" s="1441"/>
      <c r="AC286" s="1441"/>
      <c r="AD286" s="247"/>
      <c r="AE286" s="413"/>
      <c r="AF286" s="413"/>
      <c r="AG286" s="11279"/>
    </row>
    <row r="287" spans="1:33" ht="22.5" customHeight="1">
      <c r="A287" s="9244"/>
      <c r="B287" s="11241"/>
      <c r="C287" s="11212"/>
      <c r="D287" s="11212"/>
      <c r="E287" s="11212"/>
      <c r="F287" s="11212"/>
      <c r="G287" s="11212"/>
      <c r="H287" s="11212"/>
      <c r="I287" s="11212"/>
      <c r="J287" s="11212"/>
      <c r="K287" s="11212"/>
      <c r="L287" s="11220"/>
      <c r="M287" s="11220"/>
      <c r="N287" s="11220"/>
      <c r="O287" s="11212"/>
      <c r="P287" s="11212"/>
      <c r="Q287" s="11214"/>
      <c r="R287" s="2851"/>
      <c r="S287" s="1457"/>
      <c r="T287" s="1457"/>
      <c r="U287" s="260"/>
      <c r="V287" s="514"/>
      <c r="W287" s="252"/>
      <c r="X287" s="7021"/>
      <c r="Y287" s="7021"/>
      <c r="Z287" s="7021"/>
      <c r="AA287" s="7143"/>
      <c r="AB287" s="1442"/>
      <c r="AC287" s="1442"/>
      <c r="AD287" s="252"/>
      <c r="AE287" s="414"/>
      <c r="AF287" s="414"/>
      <c r="AG287" s="11280"/>
    </row>
    <row r="288" spans="1:33" ht="24" customHeight="1">
      <c r="A288" s="9244"/>
      <c r="B288" s="11228" t="s">
        <v>127</v>
      </c>
      <c r="C288" s="11210" t="s">
        <v>128</v>
      </c>
      <c r="D288" s="11210" t="s">
        <v>129</v>
      </c>
      <c r="E288" s="11210" t="s">
        <v>268</v>
      </c>
      <c r="F288" s="11216" t="s">
        <v>131</v>
      </c>
      <c r="G288" s="11210" t="s">
        <v>132</v>
      </c>
      <c r="H288" s="11210" t="s">
        <v>159</v>
      </c>
      <c r="I288" s="11210" t="s">
        <v>6416</v>
      </c>
      <c r="J288" s="11210" t="s">
        <v>4575</v>
      </c>
      <c r="K288" s="11223" t="s">
        <v>6417</v>
      </c>
      <c r="L288" s="11224">
        <v>300</v>
      </c>
      <c r="M288" s="11242">
        <v>300</v>
      </c>
      <c r="N288" s="11224">
        <v>300</v>
      </c>
      <c r="O288" s="11210" t="s">
        <v>6418</v>
      </c>
      <c r="P288" s="11210" t="s">
        <v>5554</v>
      </c>
      <c r="Q288" s="9705" t="s">
        <v>6415</v>
      </c>
      <c r="R288" s="2852"/>
      <c r="S288" s="1458"/>
      <c r="T288" s="1458"/>
      <c r="U288" s="515"/>
      <c r="V288" s="516"/>
      <c r="W288" s="487"/>
      <c r="X288" s="7045"/>
      <c r="Y288" s="7045"/>
      <c r="Z288" s="7045"/>
      <c r="AA288" s="7144"/>
      <c r="AB288" s="1439"/>
      <c r="AC288" s="1439"/>
      <c r="AD288" s="487"/>
      <c r="AE288" s="1440"/>
      <c r="AF288" s="1440"/>
      <c r="AG288" s="11278"/>
    </row>
    <row r="289" spans="1:33" ht="24" customHeight="1">
      <c r="A289" s="9244"/>
      <c r="B289" s="11240"/>
      <c r="C289" s="11211"/>
      <c r="D289" s="11211"/>
      <c r="E289" s="11211"/>
      <c r="F289" s="11211"/>
      <c r="G289" s="11211"/>
      <c r="H289" s="11211"/>
      <c r="I289" s="11211"/>
      <c r="J289" s="11211"/>
      <c r="K289" s="11211"/>
      <c r="L289" s="11219"/>
      <c r="M289" s="11219"/>
      <c r="N289" s="11219"/>
      <c r="O289" s="11211"/>
      <c r="P289" s="11211"/>
      <c r="Q289" s="11213"/>
      <c r="R289" s="2849"/>
      <c r="S289" s="1453"/>
      <c r="T289" s="1453"/>
      <c r="U289" s="246"/>
      <c r="V289" s="513"/>
      <c r="W289" s="247"/>
      <c r="X289" s="7020"/>
      <c r="Y289" s="7020"/>
      <c r="Z289" s="7020"/>
      <c r="AA289" s="7142"/>
      <c r="AB289" s="1441"/>
      <c r="AC289" s="1441"/>
      <c r="AD289" s="247"/>
      <c r="AE289" s="413"/>
      <c r="AF289" s="413"/>
      <c r="AG289" s="11279"/>
    </row>
    <row r="290" spans="1:33" ht="24" customHeight="1">
      <c r="A290" s="9244"/>
      <c r="B290" s="11240"/>
      <c r="C290" s="11211"/>
      <c r="D290" s="11211"/>
      <c r="E290" s="11211"/>
      <c r="F290" s="11211"/>
      <c r="G290" s="11211"/>
      <c r="H290" s="11211"/>
      <c r="I290" s="11211"/>
      <c r="J290" s="11211"/>
      <c r="K290" s="11211"/>
      <c r="L290" s="11219"/>
      <c r="M290" s="11219"/>
      <c r="N290" s="11219"/>
      <c r="O290" s="11211"/>
      <c r="P290" s="11211"/>
      <c r="Q290" s="11213"/>
      <c r="R290" s="2849"/>
      <c r="S290" s="1453"/>
      <c r="T290" s="1453"/>
      <c r="U290" s="246"/>
      <c r="V290" s="513"/>
      <c r="W290" s="247"/>
      <c r="X290" s="7020"/>
      <c r="Y290" s="7020"/>
      <c r="Z290" s="7020"/>
      <c r="AA290" s="7142"/>
      <c r="AB290" s="1441"/>
      <c r="AC290" s="1441"/>
      <c r="AD290" s="247"/>
      <c r="AE290" s="413"/>
      <c r="AF290" s="413"/>
      <c r="AG290" s="11279"/>
    </row>
    <row r="291" spans="1:33" ht="24" customHeight="1">
      <c r="A291" s="9244"/>
      <c r="B291" s="11240"/>
      <c r="C291" s="11211"/>
      <c r="D291" s="11211"/>
      <c r="E291" s="11211"/>
      <c r="F291" s="11211"/>
      <c r="G291" s="11211"/>
      <c r="H291" s="11211"/>
      <c r="I291" s="11211"/>
      <c r="J291" s="11211"/>
      <c r="K291" s="11211"/>
      <c r="L291" s="11219"/>
      <c r="M291" s="11219"/>
      <c r="N291" s="11219"/>
      <c r="O291" s="11211"/>
      <c r="P291" s="11211"/>
      <c r="Q291" s="11213"/>
      <c r="R291" s="2850"/>
      <c r="S291" s="1454"/>
      <c r="T291" s="1454"/>
      <c r="U291" s="246"/>
      <c r="V291" s="513"/>
      <c r="W291" s="247"/>
      <c r="X291" s="7020"/>
      <c r="Y291" s="7020"/>
      <c r="Z291" s="7020"/>
      <c r="AA291" s="7142"/>
      <c r="AB291" s="1441"/>
      <c r="AC291" s="1441"/>
      <c r="AD291" s="247"/>
      <c r="AE291" s="413"/>
      <c r="AF291" s="413"/>
      <c r="AG291" s="11279"/>
    </row>
    <row r="292" spans="1:33" ht="24" customHeight="1">
      <c r="A292" s="9244"/>
      <c r="B292" s="11241"/>
      <c r="C292" s="11212"/>
      <c r="D292" s="11212"/>
      <c r="E292" s="11212"/>
      <c r="F292" s="11212"/>
      <c r="G292" s="11212"/>
      <c r="H292" s="11212"/>
      <c r="I292" s="11212"/>
      <c r="J292" s="11212"/>
      <c r="K292" s="11212"/>
      <c r="L292" s="11220"/>
      <c r="M292" s="11220"/>
      <c r="N292" s="11220"/>
      <c r="O292" s="11212"/>
      <c r="P292" s="11212"/>
      <c r="Q292" s="11214"/>
      <c r="R292" s="2855"/>
      <c r="S292" s="1455"/>
      <c r="T292" s="1455"/>
      <c r="U292" s="267"/>
      <c r="V292" s="520"/>
      <c r="W292" s="268"/>
      <c r="X292" s="7029"/>
      <c r="Y292" s="7029"/>
      <c r="Z292" s="7029"/>
      <c r="AA292" s="7639"/>
      <c r="AB292" s="1450"/>
      <c r="AC292" s="1450"/>
      <c r="AD292" s="268"/>
      <c r="AE292" s="1451"/>
      <c r="AF292" s="1451"/>
      <c r="AG292" s="11291"/>
    </row>
    <row r="293" spans="1:33" ht="22.5" customHeight="1">
      <c r="A293" s="9244"/>
      <c r="B293" s="11227" t="s">
        <v>127</v>
      </c>
      <c r="C293" s="11222" t="s">
        <v>128</v>
      </c>
      <c r="D293" s="11222" t="s">
        <v>129</v>
      </c>
      <c r="E293" s="11222" t="s">
        <v>268</v>
      </c>
      <c r="F293" s="11255" t="s">
        <v>131</v>
      </c>
      <c r="G293" s="11222" t="s">
        <v>132</v>
      </c>
      <c r="H293" s="11222" t="s">
        <v>159</v>
      </c>
      <c r="I293" s="11222" t="s">
        <v>6419</v>
      </c>
      <c r="J293" s="11222" t="s">
        <v>4580</v>
      </c>
      <c r="K293" s="11222" t="s">
        <v>6420</v>
      </c>
      <c r="L293" s="11231">
        <v>2</v>
      </c>
      <c r="M293" s="11231">
        <v>2</v>
      </c>
      <c r="N293" s="11231">
        <v>2</v>
      </c>
      <c r="O293" s="11222" t="s">
        <v>6421</v>
      </c>
      <c r="P293" s="11222" t="s">
        <v>6422</v>
      </c>
      <c r="Q293" s="9696" t="s">
        <v>6423</v>
      </c>
      <c r="R293" s="2848"/>
      <c r="S293" s="1456"/>
      <c r="T293" s="1456"/>
      <c r="U293" s="262"/>
      <c r="V293" s="519"/>
      <c r="W293" s="263"/>
      <c r="X293" s="7022"/>
      <c r="Y293" s="7022"/>
      <c r="Z293" s="7022"/>
      <c r="AA293" s="7141"/>
      <c r="AB293" s="1447"/>
      <c r="AC293" s="1447"/>
      <c r="AD293" s="263"/>
      <c r="AE293" s="412"/>
      <c r="AF293" s="412"/>
      <c r="AG293" s="11318"/>
    </row>
    <row r="294" spans="1:33" ht="22.5" customHeight="1">
      <c r="A294" s="9244"/>
      <c r="B294" s="11240"/>
      <c r="C294" s="11211"/>
      <c r="D294" s="11211"/>
      <c r="E294" s="11211"/>
      <c r="F294" s="11211"/>
      <c r="G294" s="11211"/>
      <c r="H294" s="11211"/>
      <c r="I294" s="11211"/>
      <c r="J294" s="11211"/>
      <c r="K294" s="11211"/>
      <c r="L294" s="11219"/>
      <c r="M294" s="11219"/>
      <c r="N294" s="11219"/>
      <c r="O294" s="11211"/>
      <c r="P294" s="11211"/>
      <c r="Q294" s="11213"/>
      <c r="R294" s="2849"/>
      <c r="S294" s="1453"/>
      <c r="T294" s="1453"/>
      <c r="U294" s="246"/>
      <c r="V294" s="513"/>
      <c r="W294" s="247"/>
      <c r="X294" s="7020"/>
      <c r="Y294" s="7020"/>
      <c r="Z294" s="7020"/>
      <c r="AA294" s="7142"/>
      <c r="AB294" s="1441"/>
      <c r="AC294" s="1441"/>
      <c r="AD294" s="247"/>
      <c r="AE294" s="413"/>
      <c r="AF294" s="413"/>
      <c r="AG294" s="11279"/>
    </row>
    <row r="295" spans="1:33" ht="22.5" customHeight="1">
      <c r="A295" s="9244"/>
      <c r="B295" s="11240"/>
      <c r="C295" s="11211"/>
      <c r="D295" s="11211"/>
      <c r="E295" s="11211"/>
      <c r="F295" s="11211"/>
      <c r="G295" s="11211"/>
      <c r="H295" s="11211"/>
      <c r="I295" s="11211"/>
      <c r="J295" s="11211"/>
      <c r="K295" s="11211"/>
      <c r="L295" s="11219"/>
      <c r="M295" s="11219"/>
      <c r="N295" s="11219"/>
      <c r="O295" s="11211"/>
      <c r="P295" s="11211"/>
      <c r="Q295" s="11213"/>
      <c r="R295" s="2849"/>
      <c r="S295" s="1453"/>
      <c r="T295" s="1453"/>
      <c r="U295" s="246"/>
      <c r="V295" s="513"/>
      <c r="W295" s="247"/>
      <c r="X295" s="7020"/>
      <c r="Y295" s="7020"/>
      <c r="Z295" s="7020"/>
      <c r="AA295" s="7142"/>
      <c r="AB295" s="1441"/>
      <c r="AC295" s="1441"/>
      <c r="AD295" s="247"/>
      <c r="AE295" s="413"/>
      <c r="AF295" s="413"/>
      <c r="AG295" s="11279"/>
    </row>
    <row r="296" spans="1:33" ht="22.5" customHeight="1">
      <c r="A296" s="9244" t="s">
        <v>4562</v>
      </c>
      <c r="B296" s="11240"/>
      <c r="C296" s="11211"/>
      <c r="D296" s="11211"/>
      <c r="E296" s="11211"/>
      <c r="F296" s="11211"/>
      <c r="G296" s="11211"/>
      <c r="H296" s="11211"/>
      <c r="I296" s="11211"/>
      <c r="J296" s="11211"/>
      <c r="K296" s="11211"/>
      <c r="L296" s="11219"/>
      <c r="M296" s="11219"/>
      <c r="N296" s="11219"/>
      <c r="O296" s="11211"/>
      <c r="P296" s="11211"/>
      <c r="Q296" s="11213"/>
      <c r="R296" s="2850"/>
      <c r="S296" s="1454"/>
      <c r="T296" s="1454"/>
      <c r="U296" s="246"/>
      <c r="V296" s="513"/>
      <c r="W296" s="247"/>
      <c r="X296" s="7020"/>
      <c r="Y296" s="7020"/>
      <c r="Z296" s="7020"/>
      <c r="AA296" s="7142"/>
      <c r="AB296" s="1441"/>
      <c r="AC296" s="1441"/>
      <c r="AD296" s="247"/>
      <c r="AE296" s="413"/>
      <c r="AF296" s="413"/>
      <c r="AG296" s="11279"/>
    </row>
    <row r="297" spans="1:33" ht="22.5" customHeight="1">
      <c r="A297" s="9244"/>
      <c r="B297" s="11241"/>
      <c r="C297" s="11212"/>
      <c r="D297" s="11212"/>
      <c r="E297" s="11212"/>
      <c r="F297" s="11212"/>
      <c r="G297" s="11212"/>
      <c r="H297" s="11212"/>
      <c r="I297" s="11212"/>
      <c r="J297" s="11212"/>
      <c r="K297" s="11212"/>
      <c r="L297" s="11220"/>
      <c r="M297" s="11220"/>
      <c r="N297" s="11220"/>
      <c r="O297" s="11212"/>
      <c r="P297" s="11212"/>
      <c r="Q297" s="11214"/>
      <c r="R297" s="2851"/>
      <c r="S297" s="1457"/>
      <c r="T297" s="1457"/>
      <c r="U297" s="260"/>
      <c r="V297" s="514"/>
      <c r="W297" s="252"/>
      <c r="X297" s="7021"/>
      <c r="Y297" s="7021"/>
      <c r="Z297" s="7021"/>
      <c r="AA297" s="7143"/>
      <c r="AB297" s="1442"/>
      <c r="AC297" s="1442"/>
      <c r="AD297" s="252"/>
      <c r="AE297" s="414"/>
      <c r="AF297" s="414"/>
      <c r="AG297" s="11280"/>
    </row>
    <row r="298" spans="1:33" ht="22.5" customHeight="1">
      <c r="A298" s="9244"/>
      <c r="B298" s="11228" t="s">
        <v>127</v>
      </c>
      <c r="C298" s="11210" t="s">
        <v>128</v>
      </c>
      <c r="D298" s="11210" t="s">
        <v>129</v>
      </c>
      <c r="E298" s="11210" t="s">
        <v>268</v>
      </c>
      <c r="F298" s="11216" t="s">
        <v>131</v>
      </c>
      <c r="G298" s="11210" t="s">
        <v>132</v>
      </c>
      <c r="H298" s="11210" t="s">
        <v>159</v>
      </c>
      <c r="I298" s="11210" t="s">
        <v>6424</v>
      </c>
      <c r="J298" s="11210" t="s">
        <v>4586</v>
      </c>
      <c r="K298" s="11223" t="s">
        <v>6425</v>
      </c>
      <c r="L298" s="11218">
        <v>3</v>
      </c>
      <c r="M298" s="11218">
        <v>3</v>
      </c>
      <c r="N298" s="11218">
        <v>4</v>
      </c>
      <c r="O298" s="11210" t="s">
        <v>6426</v>
      </c>
      <c r="P298" s="11210" t="s">
        <v>6427</v>
      </c>
      <c r="Q298" s="9705" t="s">
        <v>6423</v>
      </c>
      <c r="R298" s="2852"/>
      <c r="S298" s="1458"/>
      <c r="T298" s="1458"/>
      <c r="U298" s="515"/>
      <c r="V298" s="516"/>
      <c r="W298" s="487"/>
      <c r="X298" s="7045"/>
      <c r="Y298" s="7045"/>
      <c r="Z298" s="7045"/>
      <c r="AA298" s="7144"/>
      <c r="AB298" s="1439"/>
      <c r="AC298" s="1439"/>
      <c r="AD298" s="487"/>
      <c r="AE298" s="487"/>
      <c r="AF298" s="487"/>
      <c r="AG298" s="11278"/>
    </row>
    <row r="299" spans="1:33" ht="22.5" customHeight="1">
      <c r="A299" s="9244"/>
      <c r="B299" s="11240"/>
      <c r="C299" s="11211"/>
      <c r="D299" s="11211"/>
      <c r="E299" s="11211"/>
      <c r="F299" s="11211"/>
      <c r="G299" s="11211"/>
      <c r="H299" s="11211"/>
      <c r="I299" s="11211"/>
      <c r="J299" s="11211"/>
      <c r="K299" s="11211"/>
      <c r="L299" s="11219"/>
      <c r="M299" s="11219"/>
      <c r="N299" s="11219"/>
      <c r="O299" s="11211"/>
      <c r="P299" s="11211"/>
      <c r="Q299" s="11213"/>
      <c r="R299" s="2849"/>
      <c r="S299" s="1453"/>
      <c r="T299" s="1453"/>
      <c r="U299" s="246"/>
      <c r="V299" s="513"/>
      <c r="W299" s="247"/>
      <c r="X299" s="7020"/>
      <c r="Y299" s="7020"/>
      <c r="Z299" s="7020"/>
      <c r="AA299" s="7142"/>
      <c r="AB299" s="1441"/>
      <c r="AC299" s="1441"/>
      <c r="AD299" s="247"/>
      <c r="AE299" s="247"/>
      <c r="AF299" s="247"/>
      <c r="AG299" s="11279"/>
    </row>
    <row r="300" spans="1:33" ht="22.5" customHeight="1">
      <c r="A300" s="9244"/>
      <c r="B300" s="11240"/>
      <c r="C300" s="11211"/>
      <c r="D300" s="11211"/>
      <c r="E300" s="11211"/>
      <c r="F300" s="11211"/>
      <c r="G300" s="11211"/>
      <c r="H300" s="11211"/>
      <c r="I300" s="11211"/>
      <c r="J300" s="11211"/>
      <c r="K300" s="11211"/>
      <c r="L300" s="11219"/>
      <c r="M300" s="11219"/>
      <c r="N300" s="11219"/>
      <c r="O300" s="11211"/>
      <c r="P300" s="11211"/>
      <c r="Q300" s="11213"/>
      <c r="R300" s="2849"/>
      <c r="S300" s="1453"/>
      <c r="T300" s="1453"/>
      <c r="U300" s="246"/>
      <c r="V300" s="513"/>
      <c r="W300" s="247"/>
      <c r="X300" s="7020"/>
      <c r="Y300" s="7020"/>
      <c r="Z300" s="7020"/>
      <c r="AA300" s="7142"/>
      <c r="AB300" s="1441"/>
      <c r="AC300" s="1441"/>
      <c r="AD300" s="247"/>
      <c r="AE300" s="247"/>
      <c r="AF300" s="413"/>
      <c r="AG300" s="11279"/>
    </row>
    <row r="301" spans="1:33" ht="22.5" customHeight="1">
      <c r="A301" s="9244"/>
      <c r="B301" s="11240"/>
      <c r="C301" s="11211"/>
      <c r="D301" s="11211"/>
      <c r="E301" s="11211"/>
      <c r="F301" s="11211"/>
      <c r="G301" s="11211"/>
      <c r="H301" s="11211"/>
      <c r="I301" s="11211"/>
      <c r="J301" s="11211"/>
      <c r="K301" s="11211"/>
      <c r="L301" s="11219"/>
      <c r="M301" s="11219"/>
      <c r="N301" s="11219"/>
      <c r="O301" s="11211"/>
      <c r="P301" s="11211"/>
      <c r="Q301" s="11213"/>
      <c r="R301" s="2849"/>
      <c r="S301" s="1453"/>
      <c r="T301" s="1453"/>
      <c r="U301" s="246"/>
      <c r="V301" s="513"/>
      <c r="W301" s="247"/>
      <c r="X301" s="7020"/>
      <c r="Y301" s="7020"/>
      <c r="Z301" s="7020"/>
      <c r="AA301" s="7142"/>
      <c r="AB301" s="1441"/>
      <c r="AC301" s="1441"/>
      <c r="AD301" s="247"/>
      <c r="AE301" s="247"/>
      <c r="AF301" s="413"/>
      <c r="AG301" s="11279"/>
    </row>
    <row r="302" spans="1:33" ht="22.5" customHeight="1">
      <c r="A302" s="9244"/>
      <c r="B302" s="11241"/>
      <c r="C302" s="11212"/>
      <c r="D302" s="11212"/>
      <c r="E302" s="11212"/>
      <c r="F302" s="11212"/>
      <c r="G302" s="11212"/>
      <c r="H302" s="11212"/>
      <c r="I302" s="11212"/>
      <c r="J302" s="11212"/>
      <c r="K302" s="11212"/>
      <c r="L302" s="11220"/>
      <c r="M302" s="11220"/>
      <c r="N302" s="11220"/>
      <c r="O302" s="11212"/>
      <c r="P302" s="11212"/>
      <c r="Q302" s="11214"/>
      <c r="R302" s="2851"/>
      <c r="S302" s="1457"/>
      <c r="T302" s="1457"/>
      <c r="U302" s="260"/>
      <c r="V302" s="514"/>
      <c r="W302" s="252"/>
      <c r="X302" s="7021"/>
      <c r="Y302" s="7021"/>
      <c r="Z302" s="7021"/>
      <c r="AA302" s="7143"/>
      <c r="AB302" s="1442"/>
      <c r="AC302" s="1442"/>
      <c r="AD302" s="252"/>
      <c r="AE302" s="252"/>
      <c r="AF302" s="414"/>
      <c r="AG302" s="11280"/>
    </row>
    <row r="303" spans="1:33" ht="22.5" customHeight="1">
      <c r="A303" s="9244"/>
      <c r="B303" s="11228" t="s">
        <v>127</v>
      </c>
      <c r="C303" s="11210" t="s">
        <v>128</v>
      </c>
      <c r="D303" s="11210" t="s">
        <v>129</v>
      </c>
      <c r="E303" s="11210" t="s">
        <v>268</v>
      </c>
      <c r="F303" s="11216" t="s">
        <v>131</v>
      </c>
      <c r="G303" s="11210" t="s">
        <v>132</v>
      </c>
      <c r="H303" s="11210" t="s">
        <v>159</v>
      </c>
      <c r="I303" s="11210" t="s">
        <v>6428</v>
      </c>
      <c r="J303" s="11223" t="s">
        <v>5566</v>
      </c>
      <c r="K303" s="11223" t="s">
        <v>6429</v>
      </c>
      <c r="L303" s="11230">
        <v>180</v>
      </c>
      <c r="M303" s="11230">
        <v>180</v>
      </c>
      <c r="N303" s="11230">
        <v>180</v>
      </c>
      <c r="O303" s="11223" t="s">
        <v>6430</v>
      </c>
      <c r="P303" s="11223" t="s">
        <v>6431</v>
      </c>
      <c r="Q303" s="9705" t="s">
        <v>6423</v>
      </c>
      <c r="R303" s="2852"/>
      <c r="S303" s="1458"/>
      <c r="T303" s="1458"/>
      <c r="U303" s="515"/>
      <c r="V303" s="516"/>
      <c r="W303" s="487"/>
      <c r="X303" s="7045"/>
      <c r="Y303" s="7045"/>
      <c r="Z303" s="7045"/>
      <c r="AA303" s="7144"/>
      <c r="AB303" s="1439"/>
      <c r="AC303" s="1439"/>
      <c r="AD303" s="487"/>
      <c r="AE303" s="1440"/>
      <c r="AF303" s="1440"/>
      <c r="AG303" s="11278"/>
    </row>
    <row r="304" spans="1:33" ht="22.5" customHeight="1">
      <c r="A304" s="9244"/>
      <c r="B304" s="11240"/>
      <c r="C304" s="11211"/>
      <c r="D304" s="11211"/>
      <c r="E304" s="11211"/>
      <c r="F304" s="11211"/>
      <c r="G304" s="11211"/>
      <c r="H304" s="11211"/>
      <c r="I304" s="11211"/>
      <c r="J304" s="11211"/>
      <c r="K304" s="11211"/>
      <c r="L304" s="11219"/>
      <c r="M304" s="11219"/>
      <c r="N304" s="11219"/>
      <c r="O304" s="11211"/>
      <c r="P304" s="11211"/>
      <c r="Q304" s="11213"/>
      <c r="R304" s="2849"/>
      <c r="S304" s="1453"/>
      <c r="T304" s="1453"/>
      <c r="U304" s="246"/>
      <c r="V304" s="513"/>
      <c r="W304" s="247"/>
      <c r="X304" s="7020"/>
      <c r="Y304" s="7020"/>
      <c r="Z304" s="7020"/>
      <c r="AA304" s="7142"/>
      <c r="AB304" s="1441"/>
      <c r="AC304" s="1441"/>
      <c r="AD304" s="247"/>
      <c r="AE304" s="413"/>
      <c r="AF304" s="413"/>
      <c r="AG304" s="11279"/>
    </row>
    <row r="305" spans="1:33" ht="22.5" customHeight="1">
      <c r="A305" s="9244"/>
      <c r="B305" s="11240"/>
      <c r="C305" s="11211"/>
      <c r="D305" s="11211"/>
      <c r="E305" s="11211"/>
      <c r="F305" s="11211"/>
      <c r="G305" s="11211"/>
      <c r="H305" s="11211"/>
      <c r="I305" s="11211"/>
      <c r="J305" s="11211"/>
      <c r="K305" s="11211"/>
      <c r="L305" s="11219"/>
      <c r="M305" s="11219"/>
      <c r="N305" s="11219"/>
      <c r="O305" s="11211"/>
      <c r="P305" s="11211"/>
      <c r="Q305" s="11213"/>
      <c r="R305" s="2849"/>
      <c r="S305" s="1453"/>
      <c r="T305" s="1453"/>
      <c r="U305" s="246"/>
      <c r="V305" s="513"/>
      <c r="W305" s="247"/>
      <c r="X305" s="7020"/>
      <c r="Y305" s="7020"/>
      <c r="Z305" s="7020"/>
      <c r="AA305" s="7142"/>
      <c r="AB305" s="1441"/>
      <c r="AC305" s="1441"/>
      <c r="AD305" s="247"/>
      <c r="AE305" s="413"/>
      <c r="AF305" s="413"/>
      <c r="AG305" s="11279"/>
    </row>
    <row r="306" spans="1:33" ht="22.5" customHeight="1">
      <c r="A306" s="9244"/>
      <c r="B306" s="11240"/>
      <c r="C306" s="11211"/>
      <c r="D306" s="11211"/>
      <c r="E306" s="11211"/>
      <c r="F306" s="11211"/>
      <c r="G306" s="11211"/>
      <c r="H306" s="11211"/>
      <c r="I306" s="11211"/>
      <c r="J306" s="11211"/>
      <c r="K306" s="11211"/>
      <c r="L306" s="11219"/>
      <c r="M306" s="11219"/>
      <c r="N306" s="11219"/>
      <c r="O306" s="11211"/>
      <c r="P306" s="11211"/>
      <c r="Q306" s="11213"/>
      <c r="R306" s="2849"/>
      <c r="S306" s="1453"/>
      <c r="T306" s="1453"/>
      <c r="U306" s="246"/>
      <c r="V306" s="513"/>
      <c r="W306" s="247"/>
      <c r="X306" s="7020"/>
      <c r="Y306" s="7020"/>
      <c r="Z306" s="7020"/>
      <c r="AA306" s="7142"/>
      <c r="AB306" s="1441"/>
      <c r="AC306" s="1441"/>
      <c r="AD306" s="247"/>
      <c r="AE306" s="413"/>
      <c r="AF306" s="413"/>
      <c r="AG306" s="11279"/>
    </row>
    <row r="307" spans="1:33" ht="22.5" customHeight="1">
      <c r="A307" s="9244"/>
      <c r="B307" s="11241"/>
      <c r="C307" s="11212"/>
      <c r="D307" s="11212"/>
      <c r="E307" s="11212"/>
      <c r="F307" s="11212"/>
      <c r="G307" s="11212"/>
      <c r="H307" s="11212"/>
      <c r="I307" s="11212"/>
      <c r="J307" s="11212"/>
      <c r="K307" s="11212"/>
      <c r="L307" s="11220"/>
      <c r="M307" s="11220"/>
      <c r="N307" s="11220"/>
      <c r="O307" s="11212"/>
      <c r="P307" s="11212"/>
      <c r="Q307" s="11214"/>
      <c r="R307" s="2851"/>
      <c r="S307" s="1457"/>
      <c r="T307" s="1457"/>
      <c r="U307" s="260"/>
      <c r="V307" s="514"/>
      <c r="W307" s="252"/>
      <c r="X307" s="7021"/>
      <c r="Y307" s="7021"/>
      <c r="Z307" s="7021"/>
      <c r="AA307" s="7143"/>
      <c r="AB307" s="1442"/>
      <c r="AC307" s="1442"/>
      <c r="AD307" s="252"/>
      <c r="AE307" s="414"/>
      <c r="AF307" s="414"/>
      <c r="AG307" s="11280"/>
    </row>
    <row r="308" spans="1:33" ht="22.5" customHeight="1">
      <c r="A308" s="9244"/>
      <c r="B308" s="11228" t="s">
        <v>127</v>
      </c>
      <c r="C308" s="11210" t="s">
        <v>128</v>
      </c>
      <c r="D308" s="11210" t="s">
        <v>129</v>
      </c>
      <c r="E308" s="11210" t="s">
        <v>268</v>
      </c>
      <c r="F308" s="11216" t="s">
        <v>131</v>
      </c>
      <c r="G308" s="11210" t="s">
        <v>132</v>
      </c>
      <c r="H308" s="11210" t="s">
        <v>159</v>
      </c>
      <c r="I308" s="11210" t="s">
        <v>4971</v>
      </c>
      <c r="J308" s="11210" t="s">
        <v>286</v>
      </c>
      <c r="K308" s="11223" t="s">
        <v>6432</v>
      </c>
      <c r="L308" s="11224">
        <v>0</v>
      </c>
      <c r="M308" s="11224">
        <v>1</v>
      </c>
      <c r="N308" s="11224">
        <v>1</v>
      </c>
      <c r="O308" s="11210" t="s">
        <v>6433</v>
      </c>
      <c r="P308" s="11210" t="s">
        <v>6434</v>
      </c>
      <c r="Q308" s="9705" t="s">
        <v>6435</v>
      </c>
      <c r="R308" s="2852"/>
      <c r="S308" s="1458"/>
      <c r="T308" s="1458"/>
      <c r="U308" s="515"/>
      <c r="V308" s="516"/>
      <c r="W308" s="487"/>
      <c r="X308" s="7045"/>
      <c r="Y308" s="7045"/>
      <c r="Z308" s="7045"/>
      <c r="AA308" s="7144"/>
      <c r="AB308" s="1439"/>
      <c r="AC308" s="1439"/>
      <c r="AD308" s="487"/>
      <c r="AE308" s="1440"/>
      <c r="AF308" s="1440"/>
      <c r="AG308" s="11278"/>
    </row>
    <row r="309" spans="1:33" ht="22.5" customHeight="1">
      <c r="A309" s="9244"/>
      <c r="B309" s="11240"/>
      <c r="C309" s="11211"/>
      <c r="D309" s="11211"/>
      <c r="E309" s="11211"/>
      <c r="F309" s="11211"/>
      <c r="G309" s="11211"/>
      <c r="H309" s="11211"/>
      <c r="I309" s="11211"/>
      <c r="J309" s="11211"/>
      <c r="K309" s="11211"/>
      <c r="L309" s="11219"/>
      <c r="M309" s="11219"/>
      <c r="N309" s="11219"/>
      <c r="O309" s="11211"/>
      <c r="P309" s="11211"/>
      <c r="Q309" s="11213"/>
      <c r="R309" s="2849"/>
      <c r="S309" s="1453"/>
      <c r="T309" s="1453"/>
      <c r="U309" s="246"/>
      <c r="V309" s="513"/>
      <c r="W309" s="247"/>
      <c r="X309" s="7020"/>
      <c r="Y309" s="7020"/>
      <c r="Z309" s="7020"/>
      <c r="AA309" s="7142"/>
      <c r="AB309" s="1441"/>
      <c r="AC309" s="1441"/>
      <c r="AD309" s="247"/>
      <c r="AE309" s="413"/>
      <c r="AF309" s="413"/>
      <c r="AG309" s="11279"/>
    </row>
    <row r="310" spans="1:33" ht="22.5" customHeight="1">
      <c r="A310" s="9244"/>
      <c r="B310" s="11240"/>
      <c r="C310" s="11211"/>
      <c r="D310" s="11211"/>
      <c r="E310" s="11211"/>
      <c r="F310" s="11211"/>
      <c r="G310" s="11211"/>
      <c r="H310" s="11211"/>
      <c r="I310" s="11211"/>
      <c r="J310" s="11211"/>
      <c r="K310" s="11211"/>
      <c r="L310" s="11219"/>
      <c r="M310" s="11219"/>
      <c r="N310" s="11219"/>
      <c r="O310" s="11211"/>
      <c r="P310" s="11211"/>
      <c r="Q310" s="11213"/>
      <c r="R310" s="2849"/>
      <c r="S310" s="1453"/>
      <c r="T310" s="1453"/>
      <c r="U310" s="246"/>
      <c r="V310" s="513"/>
      <c r="W310" s="247"/>
      <c r="X310" s="7020"/>
      <c r="Y310" s="7020"/>
      <c r="Z310" s="7020"/>
      <c r="AA310" s="7142"/>
      <c r="AB310" s="1441"/>
      <c r="AC310" s="1441"/>
      <c r="AD310" s="247"/>
      <c r="AE310" s="413"/>
      <c r="AF310" s="413"/>
      <c r="AG310" s="11279"/>
    </row>
    <row r="311" spans="1:33" ht="22.5" customHeight="1">
      <c r="A311" s="9244"/>
      <c r="B311" s="11240"/>
      <c r="C311" s="11211"/>
      <c r="D311" s="11211"/>
      <c r="E311" s="11211"/>
      <c r="F311" s="11211"/>
      <c r="G311" s="11211"/>
      <c r="H311" s="11211"/>
      <c r="I311" s="11211"/>
      <c r="J311" s="11211"/>
      <c r="K311" s="11211"/>
      <c r="L311" s="11219"/>
      <c r="M311" s="11219"/>
      <c r="N311" s="11219"/>
      <c r="O311" s="11211"/>
      <c r="P311" s="11211"/>
      <c r="Q311" s="11213"/>
      <c r="R311" s="2849"/>
      <c r="S311" s="1453"/>
      <c r="T311" s="1453"/>
      <c r="U311" s="246"/>
      <c r="V311" s="513"/>
      <c r="W311" s="247"/>
      <c r="X311" s="7020"/>
      <c r="Y311" s="7020"/>
      <c r="Z311" s="7020"/>
      <c r="AA311" s="7142"/>
      <c r="AB311" s="1441"/>
      <c r="AC311" s="1441"/>
      <c r="AD311" s="247"/>
      <c r="AE311" s="413"/>
      <c r="AF311" s="413"/>
      <c r="AG311" s="11279"/>
    </row>
    <row r="312" spans="1:33" ht="22.5" customHeight="1">
      <c r="A312" s="9244"/>
      <c r="B312" s="11241"/>
      <c r="C312" s="11212"/>
      <c r="D312" s="11212"/>
      <c r="E312" s="11212"/>
      <c r="F312" s="11212"/>
      <c r="G312" s="11212"/>
      <c r="H312" s="11212"/>
      <c r="I312" s="11212"/>
      <c r="J312" s="11212"/>
      <c r="K312" s="11212"/>
      <c r="L312" s="11220"/>
      <c r="M312" s="11220"/>
      <c r="N312" s="11220"/>
      <c r="O312" s="11212"/>
      <c r="P312" s="11212"/>
      <c r="Q312" s="11214"/>
      <c r="R312" s="2851"/>
      <c r="S312" s="1457"/>
      <c r="T312" s="1457"/>
      <c r="U312" s="260"/>
      <c r="V312" s="514"/>
      <c r="W312" s="252"/>
      <c r="X312" s="7021"/>
      <c r="Y312" s="7021"/>
      <c r="Z312" s="7021"/>
      <c r="AA312" s="7143"/>
      <c r="AB312" s="1442"/>
      <c r="AC312" s="1442"/>
      <c r="AD312" s="252"/>
      <c r="AE312" s="414"/>
      <c r="AF312" s="414"/>
      <c r="AG312" s="11280"/>
    </row>
    <row r="313" spans="1:33" ht="22.5" customHeight="1">
      <c r="A313" s="9244"/>
      <c r="B313" s="11228" t="s">
        <v>127</v>
      </c>
      <c r="C313" s="11210" t="s">
        <v>128</v>
      </c>
      <c r="D313" s="11210" t="s">
        <v>129</v>
      </c>
      <c r="E313" s="11210" t="s">
        <v>268</v>
      </c>
      <c r="F313" s="11216" t="s">
        <v>131</v>
      </c>
      <c r="G313" s="11210" t="s">
        <v>132</v>
      </c>
      <c r="H313" s="11210" t="s">
        <v>159</v>
      </c>
      <c r="I313" s="11210" t="s">
        <v>6436</v>
      </c>
      <c r="J313" s="11210" t="s">
        <v>4599</v>
      </c>
      <c r="K313" s="11210" t="s">
        <v>6437</v>
      </c>
      <c r="L313" s="11218">
        <v>1</v>
      </c>
      <c r="M313" s="11231">
        <v>1</v>
      </c>
      <c r="N313" s="11218">
        <v>2</v>
      </c>
      <c r="O313" s="11210" t="s">
        <v>6438</v>
      </c>
      <c r="P313" s="11210" t="s">
        <v>6362</v>
      </c>
      <c r="Q313" s="9705" t="s">
        <v>6439</v>
      </c>
      <c r="R313" s="2852"/>
      <c r="S313" s="1458"/>
      <c r="T313" s="1458"/>
      <c r="U313" s="515"/>
      <c r="V313" s="516"/>
      <c r="W313" s="487"/>
      <c r="X313" s="7045"/>
      <c r="Y313" s="7045"/>
      <c r="Z313" s="7045"/>
      <c r="AA313" s="7144"/>
      <c r="AB313" s="1439"/>
      <c r="AC313" s="1439"/>
      <c r="AD313" s="487"/>
      <c r="AE313" s="1440"/>
      <c r="AF313" s="1440"/>
      <c r="AG313" s="11278"/>
    </row>
    <row r="314" spans="1:33" ht="22.5" customHeight="1">
      <c r="A314" s="9244"/>
      <c r="B314" s="11240"/>
      <c r="C314" s="11211"/>
      <c r="D314" s="11211"/>
      <c r="E314" s="11211"/>
      <c r="F314" s="11211"/>
      <c r="G314" s="11211"/>
      <c r="H314" s="11211"/>
      <c r="I314" s="11211"/>
      <c r="J314" s="11211"/>
      <c r="K314" s="11211"/>
      <c r="L314" s="11219"/>
      <c r="M314" s="11219"/>
      <c r="N314" s="11219"/>
      <c r="O314" s="11211"/>
      <c r="P314" s="11211"/>
      <c r="Q314" s="11213"/>
      <c r="R314" s="2849"/>
      <c r="S314" s="1453"/>
      <c r="T314" s="1453"/>
      <c r="U314" s="246"/>
      <c r="V314" s="513"/>
      <c r="W314" s="247"/>
      <c r="X314" s="7020"/>
      <c r="Y314" s="7020"/>
      <c r="Z314" s="7020"/>
      <c r="AA314" s="7142"/>
      <c r="AB314" s="1441"/>
      <c r="AC314" s="1441"/>
      <c r="AD314" s="247"/>
      <c r="AE314" s="413"/>
      <c r="AF314" s="413"/>
      <c r="AG314" s="11279"/>
    </row>
    <row r="315" spans="1:33" ht="22.5" customHeight="1">
      <c r="A315" s="9244"/>
      <c r="B315" s="11240"/>
      <c r="C315" s="11211"/>
      <c r="D315" s="11211"/>
      <c r="E315" s="11211"/>
      <c r="F315" s="11211"/>
      <c r="G315" s="11211"/>
      <c r="H315" s="11211"/>
      <c r="I315" s="11211"/>
      <c r="J315" s="11211"/>
      <c r="K315" s="11211"/>
      <c r="L315" s="11219"/>
      <c r="M315" s="11219"/>
      <c r="N315" s="11219"/>
      <c r="O315" s="11211"/>
      <c r="P315" s="11211"/>
      <c r="Q315" s="11213"/>
      <c r="R315" s="2849"/>
      <c r="S315" s="1453"/>
      <c r="T315" s="1453"/>
      <c r="U315" s="246"/>
      <c r="V315" s="513"/>
      <c r="W315" s="247"/>
      <c r="X315" s="7020"/>
      <c r="Y315" s="7020"/>
      <c r="Z315" s="7020"/>
      <c r="AA315" s="7142"/>
      <c r="AB315" s="1441"/>
      <c r="AC315" s="1441"/>
      <c r="AD315" s="247"/>
      <c r="AE315" s="413"/>
      <c r="AF315" s="413"/>
      <c r="AG315" s="11279"/>
    </row>
    <row r="316" spans="1:33" ht="22.5" customHeight="1">
      <c r="A316" s="9244"/>
      <c r="B316" s="11240"/>
      <c r="C316" s="11211"/>
      <c r="D316" s="11211"/>
      <c r="E316" s="11211"/>
      <c r="F316" s="11211"/>
      <c r="G316" s="11211"/>
      <c r="H316" s="11211"/>
      <c r="I316" s="11211"/>
      <c r="J316" s="11211"/>
      <c r="K316" s="11211"/>
      <c r="L316" s="11219"/>
      <c r="M316" s="11219"/>
      <c r="N316" s="11219"/>
      <c r="O316" s="11211"/>
      <c r="P316" s="11211"/>
      <c r="Q316" s="11213"/>
      <c r="R316" s="2850"/>
      <c r="S316" s="1454"/>
      <c r="T316" s="1454"/>
      <c r="U316" s="246"/>
      <c r="V316" s="513"/>
      <c r="W316" s="247"/>
      <c r="X316" s="7020"/>
      <c r="Y316" s="7020"/>
      <c r="Z316" s="7020"/>
      <c r="AA316" s="7142"/>
      <c r="AB316" s="1441"/>
      <c r="AC316" s="1441"/>
      <c r="AD316" s="247"/>
      <c r="AE316" s="413"/>
      <c r="AF316" s="413"/>
      <c r="AG316" s="11279"/>
    </row>
    <row r="317" spans="1:33" ht="22.5" customHeight="1">
      <c r="A317" s="9244"/>
      <c r="B317" s="11243"/>
      <c r="C317" s="11221"/>
      <c r="D317" s="11221"/>
      <c r="E317" s="11221"/>
      <c r="F317" s="11221"/>
      <c r="G317" s="11221"/>
      <c r="H317" s="11221"/>
      <c r="I317" s="11221"/>
      <c r="J317" s="11221"/>
      <c r="K317" s="11221"/>
      <c r="L317" s="11232"/>
      <c r="M317" s="11232"/>
      <c r="N317" s="11232"/>
      <c r="O317" s="11221"/>
      <c r="P317" s="11221"/>
      <c r="Q317" s="11237"/>
      <c r="R317" s="5152"/>
      <c r="S317" s="5153"/>
      <c r="T317" s="5153"/>
      <c r="U317" s="5154"/>
      <c r="V317" s="5155"/>
      <c r="W317" s="5156"/>
      <c r="X317" s="7641"/>
      <c r="Y317" s="7641"/>
      <c r="Z317" s="7641"/>
      <c r="AA317" s="7642"/>
      <c r="AB317" s="5157"/>
      <c r="AC317" s="5157"/>
      <c r="AD317" s="5156"/>
      <c r="AE317" s="5158"/>
      <c r="AF317" s="5158"/>
      <c r="AG317" s="11286"/>
    </row>
    <row r="318" spans="1:33" s="6169" customFormat="1" ht="22.5" customHeight="1" thickBot="1">
      <c r="A318" s="11351"/>
      <c r="B318" s="11234"/>
      <c r="C318" s="11244"/>
      <c r="D318" s="11244"/>
      <c r="E318" s="11244"/>
      <c r="F318" s="11244"/>
      <c r="G318" s="11244"/>
      <c r="H318" s="11244"/>
      <c r="I318" s="11244"/>
      <c r="J318" s="11244"/>
      <c r="K318" s="11244"/>
      <c r="L318" s="11244"/>
      <c r="M318" s="11244"/>
      <c r="N318" s="11244"/>
      <c r="O318" s="11244"/>
      <c r="P318" s="11244"/>
      <c r="Q318" s="11245"/>
      <c r="R318" s="11292" t="s">
        <v>4606</v>
      </c>
      <c r="S318" s="11299"/>
      <c r="T318" s="11299"/>
      <c r="U318" s="11299"/>
      <c r="V318" s="11299"/>
      <c r="W318" s="11299"/>
      <c r="X318" s="11299"/>
      <c r="Y318" s="11300"/>
      <c r="Z318" s="6170" t="s">
        <v>292</v>
      </c>
      <c r="AA318" s="7643">
        <f>SUM(AA278:AA317)</f>
        <v>0</v>
      </c>
      <c r="AB318" s="6172"/>
      <c r="AC318" s="6172"/>
      <c r="AD318" s="11288"/>
      <c r="AE318" s="11295"/>
      <c r="AF318" s="11295"/>
      <c r="AG318" s="11296"/>
    </row>
    <row r="319" spans="1:33" ht="18" customHeight="1">
      <c r="A319" s="9244" t="s">
        <v>6440</v>
      </c>
      <c r="B319" s="11309" t="s">
        <v>183</v>
      </c>
      <c r="C319" s="11215" t="s">
        <v>227</v>
      </c>
      <c r="D319" s="11215" t="s">
        <v>228</v>
      </c>
      <c r="E319" s="11215" t="s">
        <v>255</v>
      </c>
      <c r="F319" s="11247" t="s">
        <v>230</v>
      </c>
      <c r="G319" s="11215" t="s">
        <v>132</v>
      </c>
      <c r="H319" s="11215" t="s">
        <v>133</v>
      </c>
      <c r="I319" s="11215" t="s">
        <v>6441</v>
      </c>
      <c r="J319" s="11239" t="s">
        <v>6442</v>
      </c>
      <c r="K319" s="11215" t="s">
        <v>6443</v>
      </c>
      <c r="L319" s="11233">
        <v>1</v>
      </c>
      <c r="M319" s="11233">
        <v>0</v>
      </c>
      <c r="N319" s="11233">
        <v>1</v>
      </c>
      <c r="O319" s="11215" t="s">
        <v>6444</v>
      </c>
      <c r="P319" s="11215" t="s">
        <v>6445</v>
      </c>
      <c r="Q319" s="11246" t="s">
        <v>6446</v>
      </c>
      <c r="R319" s="2854"/>
      <c r="S319" s="1452"/>
      <c r="T319" s="1452"/>
      <c r="U319" s="346"/>
      <c r="V319" s="512"/>
      <c r="W319" s="347"/>
      <c r="X319" s="7644"/>
      <c r="Y319" s="7644"/>
      <c r="Z319" s="7644"/>
      <c r="AA319" s="7645"/>
      <c r="AB319" s="1444"/>
      <c r="AC319" s="1444"/>
      <c r="AD319" s="347"/>
      <c r="AE319" s="1445"/>
      <c r="AF319" s="1445"/>
      <c r="AG319" s="11297"/>
    </row>
    <row r="320" spans="1:33" ht="18" customHeight="1">
      <c r="A320" s="9244"/>
      <c r="B320" s="11240"/>
      <c r="C320" s="11211"/>
      <c r="D320" s="11211"/>
      <c r="E320" s="11211"/>
      <c r="F320" s="11211"/>
      <c r="G320" s="11211"/>
      <c r="H320" s="11211"/>
      <c r="I320" s="11211"/>
      <c r="J320" s="11211"/>
      <c r="K320" s="11211"/>
      <c r="L320" s="11219"/>
      <c r="M320" s="11219"/>
      <c r="N320" s="11219"/>
      <c r="O320" s="11211"/>
      <c r="P320" s="11211"/>
      <c r="Q320" s="11213"/>
      <c r="R320" s="2849"/>
      <c r="S320" s="1453"/>
      <c r="T320" s="1453"/>
      <c r="U320" s="246"/>
      <c r="V320" s="513"/>
      <c r="W320" s="247"/>
      <c r="X320" s="7020"/>
      <c r="Y320" s="7020"/>
      <c r="Z320" s="7020"/>
      <c r="AA320" s="7142"/>
      <c r="AB320" s="1441"/>
      <c r="AC320" s="1441"/>
      <c r="AD320" s="247"/>
      <c r="AE320" s="413"/>
      <c r="AF320" s="413"/>
      <c r="AG320" s="11279"/>
    </row>
    <row r="321" spans="1:33" ht="18" customHeight="1">
      <c r="A321" s="9244"/>
      <c r="B321" s="11240"/>
      <c r="C321" s="11211"/>
      <c r="D321" s="11211"/>
      <c r="E321" s="11211"/>
      <c r="F321" s="11211"/>
      <c r="G321" s="11211"/>
      <c r="H321" s="11211"/>
      <c r="I321" s="11211"/>
      <c r="J321" s="11211"/>
      <c r="K321" s="11211"/>
      <c r="L321" s="11219"/>
      <c r="M321" s="11219"/>
      <c r="N321" s="11219"/>
      <c r="O321" s="11211"/>
      <c r="P321" s="11211"/>
      <c r="Q321" s="11213"/>
      <c r="R321" s="2849"/>
      <c r="S321" s="1453"/>
      <c r="T321" s="1453"/>
      <c r="U321" s="246"/>
      <c r="V321" s="513"/>
      <c r="W321" s="247"/>
      <c r="X321" s="7020"/>
      <c r="Y321" s="7020"/>
      <c r="Z321" s="7020"/>
      <c r="AA321" s="7142"/>
      <c r="AB321" s="1441"/>
      <c r="AC321" s="1441"/>
      <c r="AD321" s="247"/>
      <c r="AE321" s="413"/>
      <c r="AF321" s="413"/>
      <c r="AG321" s="11279"/>
    </row>
    <row r="322" spans="1:33" ht="18" customHeight="1">
      <c r="A322" s="9244"/>
      <c r="B322" s="11240"/>
      <c r="C322" s="11211"/>
      <c r="D322" s="11211"/>
      <c r="E322" s="11211"/>
      <c r="F322" s="11211"/>
      <c r="G322" s="11211"/>
      <c r="H322" s="11211"/>
      <c r="I322" s="11211"/>
      <c r="J322" s="11211"/>
      <c r="K322" s="11211"/>
      <c r="L322" s="11219"/>
      <c r="M322" s="11219"/>
      <c r="N322" s="11219"/>
      <c r="O322" s="11211"/>
      <c r="P322" s="11211"/>
      <c r="Q322" s="11213"/>
      <c r="R322" s="2850"/>
      <c r="S322" s="1454"/>
      <c r="T322" s="1454"/>
      <c r="U322" s="246"/>
      <c r="V322" s="513"/>
      <c r="W322" s="247"/>
      <c r="X322" s="7020"/>
      <c r="Y322" s="7020"/>
      <c r="Z322" s="7020"/>
      <c r="AA322" s="7142"/>
      <c r="AB322" s="1441"/>
      <c r="AC322" s="1441"/>
      <c r="AD322" s="247"/>
      <c r="AE322" s="413"/>
      <c r="AF322" s="413"/>
      <c r="AG322" s="11279"/>
    </row>
    <row r="323" spans="1:33" ht="26.25" customHeight="1">
      <c r="A323" s="9244"/>
      <c r="B323" s="11241"/>
      <c r="C323" s="11212"/>
      <c r="D323" s="11212"/>
      <c r="E323" s="11212"/>
      <c r="F323" s="11212"/>
      <c r="G323" s="11212"/>
      <c r="H323" s="11212"/>
      <c r="I323" s="11212"/>
      <c r="J323" s="11212"/>
      <c r="K323" s="11212"/>
      <c r="L323" s="11220"/>
      <c r="M323" s="11220"/>
      <c r="N323" s="11220"/>
      <c r="O323" s="11212"/>
      <c r="P323" s="11212"/>
      <c r="Q323" s="11214"/>
      <c r="R323" s="2851"/>
      <c r="S323" s="1457"/>
      <c r="T323" s="1457"/>
      <c r="U323" s="260"/>
      <c r="V323" s="514"/>
      <c r="W323" s="252"/>
      <c r="X323" s="7021"/>
      <c r="Y323" s="7021"/>
      <c r="Z323" s="7021"/>
      <c r="AA323" s="7143"/>
      <c r="AB323" s="1442"/>
      <c r="AC323" s="1442"/>
      <c r="AD323" s="252"/>
      <c r="AE323" s="414"/>
      <c r="AF323" s="414"/>
      <c r="AG323" s="11280"/>
    </row>
    <row r="324" spans="1:33" ht="24" customHeight="1">
      <c r="A324" s="9244"/>
      <c r="B324" s="11228" t="s">
        <v>183</v>
      </c>
      <c r="C324" s="11210" t="s">
        <v>227</v>
      </c>
      <c r="D324" s="11210" t="s">
        <v>185</v>
      </c>
      <c r="E324" s="11210" t="s">
        <v>1938</v>
      </c>
      <c r="F324" s="11216" t="s">
        <v>230</v>
      </c>
      <c r="G324" s="11210" t="s">
        <v>171</v>
      </c>
      <c r="H324" s="11210" t="s">
        <v>133</v>
      </c>
      <c r="I324" s="11210" t="s">
        <v>6447</v>
      </c>
      <c r="J324" s="11223" t="s">
        <v>6448</v>
      </c>
      <c r="K324" s="11210" t="s">
        <v>6449</v>
      </c>
      <c r="L324" s="11218">
        <v>1</v>
      </c>
      <c r="M324" s="11218">
        <v>0</v>
      </c>
      <c r="N324" s="11218">
        <v>1</v>
      </c>
      <c r="O324" s="11210" t="s">
        <v>5901</v>
      </c>
      <c r="P324" s="11210" t="s">
        <v>4341</v>
      </c>
      <c r="Q324" s="9705" t="s">
        <v>6450</v>
      </c>
      <c r="R324" s="2852"/>
      <c r="S324" s="1458"/>
      <c r="T324" s="1458"/>
      <c r="U324" s="515"/>
      <c r="V324" s="516"/>
      <c r="W324" s="487"/>
      <c r="X324" s="7045"/>
      <c r="Y324" s="7045"/>
      <c r="Z324" s="7045"/>
      <c r="AA324" s="7144"/>
      <c r="AB324" s="1439"/>
      <c r="AC324" s="1439"/>
      <c r="AD324" s="487"/>
      <c r="AE324" s="1440"/>
      <c r="AF324" s="1440"/>
      <c r="AG324" s="11278"/>
    </row>
    <row r="325" spans="1:33" ht="24" customHeight="1">
      <c r="A325" s="9244"/>
      <c r="B325" s="11240"/>
      <c r="C325" s="11211"/>
      <c r="D325" s="11211"/>
      <c r="E325" s="11211"/>
      <c r="F325" s="11211"/>
      <c r="G325" s="11211"/>
      <c r="H325" s="11211"/>
      <c r="I325" s="11211"/>
      <c r="J325" s="11211"/>
      <c r="K325" s="11211"/>
      <c r="L325" s="11219"/>
      <c r="M325" s="11219"/>
      <c r="N325" s="11219"/>
      <c r="O325" s="11211"/>
      <c r="P325" s="11211"/>
      <c r="Q325" s="11213"/>
      <c r="R325" s="2849"/>
      <c r="S325" s="1453"/>
      <c r="T325" s="1453"/>
      <c r="U325" s="246"/>
      <c r="V325" s="513"/>
      <c r="W325" s="247"/>
      <c r="X325" s="7020"/>
      <c r="Y325" s="7020"/>
      <c r="Z325" s="7020"/>
      <c r="AA325" s="7142"/>
      <c r="AB325" s="1441"/>
      <c r="AC325" s="1441"/>
      <c r="AD325" s="247"/>
      <c r="AE325" s="413"/>
      <c r="AF325" s="413"/>
      <c r="AG325" s="11279"/>
    </row>
    <row r="326" spans="1:33" ht="24" customHeight="1">
      <c r="A326" s="9244"/>
      <c r="B326" s="11240"/>
      <c r="C326" s="11211"/>
      <c r="D326" s="11211"/>
      <c r="E326" s="11211"/>
      <c r="F326" s="11211"/>
      <c r="G326" s="11211"/>
      <c r="H326" s="11211"/>
      <c r="I326" s="11211"/>
      <c r="J326" s="11211"/>
      <c r="K326" s="11211"/>
      <c r="L326" s="11219"/>
      <c r="M326" s="11219"/>
      <c r="N326" s="11219"/>
      <c r="O326" s="11211"/>
      <c r="P326" s="11211"/>
      <c r="Q326" s="11213"/>
      <c r="R326" s="2849"/>
      <c r="S326" s="1453"/>
      <c r="T326" s="1453"/>
      <c r="U326" s="246"/>
      <c r="V326" s="513"/>
      <c r="W326" s="247"/>
      <c r="X326" s="7020"/>
      <c r="Y326" s="7020"/>
      <c r="Z326" s="7020"/>
      <c r="AA326" s="7142"/>
      <c r="AB326" s="1441"/>
      <c r="AC326" s="1441"/>
      <c r="AD326" s="247"/>
      <c r="AE326" s="413"/>
      <c r="AF326" s="413"/>
      <c r="AG326" s="11279"/>
    </row>
    <row r="327" spans="1:33" ht="24" customHeight="1">
      <c r="A327" s="9244"/>
      <c r="B327" s="11240"/>
      <c r="C327" s="11211"/>
      <c r="D327" s="11211"/>
      <c r="E327" s="11211"/>
      <c r="F327" s="11211"/>
      <c r="G327" s="11211"/>
      <c r="H327" s="11211"/>
      <c r="I327" s="11211"/>
      <c r="J327" s="11211"/>
      <c r="K327" s="11211"/>
      <c r="L327" s="11219"/>
      <c r="M327" s="11219"/>
      <c r="N327" s="11219"/>
      <c r="O327" s="11211"/>
      <c r="P327" s="11211"/>
      <c r="Q327" s="11213"/>
      <c r="R327" s="2850"/>
      <c r="S327" s="1454"/>
      <c r="T327" s="1454"/>
      <c r="U327" s="246"/>
      <c r="V327" s="513"/>
      <c r="W327" s="247"/>
      <c r="X327" s="7020"/>
      <c r="Y327" s="7020"/>
      <c r="Z327" s="7020"/>
      <c r="AA327" s="7142"/>
      <c r="AB327" s="1441"/>
      <c r="AC327" s="1441"/>
      <c r="AD327" s="247"/>
      <c r="AE327" s="413"/>
      <c r="AF327" s="413"/>
      <c r="AG327" s="11279"/>
    </row>
    <row r="328" spans="1:33" ht="24" customHeight="1">
      <c r="A328" s="9244"/>
      <c r="B328" s="11241"/>
      <c r="C328" s="11212"/>
      <c r="D328" s="11212"/>
      <c r="E328" s="11212"/>
      <c r="F328" s="11212"/>
      <c r="G328" s="11212"/>
      <c r="H328" s="11212"/>
      <c r="I328" s="11212"/>
      <c r="J328" s="11212"/>
      <c r="K328" s="11212"/>
      <c r="L328" s="11220"/>
      <c r="M328" s="11220"/>
      <c r="N328" s="11220"/>
      <c r="O328" s="11212"/>
      <c r="P328" s="11212"/>
      <c r="Q328" s="11214"/>
      <c r="R328" s="2851"/>
      <c r="S328" s="1457"/>
      <c r="T328" s="1457"/>
      <c r="U328" s="260"/>
      <c r="V328" s="514"/>
      <c r="W328" s="252"/>
      <c r="X328" s="7021"/>
      <c r="Y328" s="7021"/>
      <c r="Z328" s="7021"/>
      <c r="AA328" s="7143"/>
      <c r="AB328" s="1442"/>
      <c r="AC328" s="1442"/>
      <c r="AD328" s="252"/>
      <c r="AE328" s="414"/>
      <c r="AF328" s="414"/>
      <c r="AG328" s="11280"/>
    </row>
    <row r="329" spans="1:33" ht="31.5" customHeight="1">
      <c r="A329" s="9244"/>
      <c r="B329" s="11228" t="s">
        <v>183</v>
      </c>
      <c r="C329" s="11210" t="s">
        <v>227</v>
      </c>
      <c r="D329" s="11210" t="s">
        <v>1292</v>
      </c>
      <c r="E329" s="11210" t="s">
        <v>1293</v>
      </c>
      <c r="F329" s="11216" t="s">
        <v>230</v>
      </c>
      <c r="G329" s="11210" t="s">
        <v>171</v>
      </c>
      <c r="H329" s="11210" t="s">
        <v>133</v>
      </c>
      <c r="I329" s="11210" t="s">
        <v>6451</v>
      </c>
      <c r="J329" s="11223" t="s">
        <v>6452</v>
      </c>
      <c r="K329" s="11210" t="s">
        <v>6453</v>
      </c>
      <c r="L329" s="11218">
        <v>1</v>
      </c>
      <c r="M329" s="11218">
        <v>0</v>
      </c>
      <c r="N329" s="11218">
        <v>1</v>
      </c>
      <c r="O329" s="11210" t="s">
        <v>6454</v>
      </c>
      <c r="P329" s="11210" t="s">
        <v>6455</v>
      </c>
      <c r="Q329" s="11238" t="s">
        <v>6456</v>
      </c>
      <c r="R329" s="2852"/>
      <c r="S329" s="1458"/>
      <c r="T329" s="1458"/>
      <c r="U329" s="515"/>
      <c r="V329" s="516"/>
      <c r="W329" s="487"/>
      <c r="X329" s="7045"/>
      <c r="Y329" s="7045"/>
      <c r="Z329" s="7045"/>
      <c r="AA329" s="7144"/>
      <c r="AB329" s="1439"/>
      <c r="AC329" s="1439"/>
      <c r="AD329" s="487"/>
      <c r="AE329" s="1440"/>
      <c r="AF329" s="1440"/>
      <c r="AG329" s="11278"/>
    </row>
    <row r="330" spans="1:33" ht="31.5" customHeight="1">
      <c r="A330" s="9244"/>
      <c r="B330" s="11240"/>
      <c r="C330" s="11211"/>
      <c r="D330" s="11211"/>
      <c r="E330" s="11211"/>
      <c r="F330" s="11211"/>
      <c r="G330" s="11211"/>
      <c r="H330" s="11211"/>
      <c r="I330" s="11211"/>
      <c r="J330" s="11211"/>
      <c r="K330" s="11211"/>
      <c r="L330" s="11219"/>
      <c r="M330" s="11219"/>
      <c r="N330" s="11219"/>
      <c r="O330" s="11211"/>
      <c r="P330" s="11211"/>
      <c r="Q330" s="11213"/>
      <c r="R330" s="2849"/>
      <c r="S330" s="1453"/>
      <c r="T330" s="1453"/>
      <c r="U330" s="246"/>
      <c r="V330" s="513"/>
      <c r="W330" s="247"/>
      <c r="X330" s="7020"/>
      <c r="Y330" s="7020"/>
      <c r="Z330" s="7020"/>
      <c r="AA330" s="7142"/>
      <c r="AB330" s="1441"/>
      <c r="AC330" s="1441"/>
      <c r="AD330" s="247"/>
      <c r="AE330" s="413"/>
      <c r="AF330" s="413"/>
      <c r="AG330" s="11279"/>
    </row>
    <row r="331" spans="1:33" ht="31.5" customHeight="1">
      <c r="A331" s="9244"/>
      <c r="B331" s="11240"/>
      <c r="C331" s="11211"/>
      <c r="D331" s="11211"/>
      <c r="E331" s="11211"/>
      <c r="F331" s="11211"/>
      <c r="G331" s="11211"/>
      <c r="H331" s="11211"/>
      <c r="I331" s="11211"/>
      <c r="J331" s="11211"/>
      <c r="K331" s="11211"/>
      <c r="L331" s="11219"/>
      <c r="M331" s="11219"/>
      <c r="N331" s="11219"/>
      <c r="O331" s="11211"/>
      <c r="P331" s="11211"/>
      <c r="Q331" s="11213"/>
      <c r="R331" s="2849"/>
      <c r="S331" s="1453"/>
      <c r="T331" s="1453"/>
      <c r="U331" s="246"/>
      <c r="V331" s="513"/>
      <c r="W331" s="247"/>
      <c r="X331" s="7020"/>
      <c r="Y331" s="7020"/>
      <c r="Z331" s="7020"/>
      <c r="AA331" s="7142"/>
      <c r="AB331" s="1441"/>
      <c r="AC331" s="1441"/>
      <c r="AD331" s="247"/>
      <c r="AE331" s="413"/>
      <c r="AF331" s="413"/>
      <c r="AG331" s="11279"/>
    </row>
    <row r="332" spans="1:33" ht="31.5" customHeight="1">
      <c r="A332" s="9244"/>
      <c r="B332" s="11240"/>
      <c r="C332" s="11211"/>
      <c r="D332" s="11211"/>
      <c r="E332" s="11211"/>
      <c r="F332" s="11211"/>
      <c r="G332" s="11211"/>
      <c r="H332" s="11211"/>
      <c r="I332" s="11211"/>
      <c r="J332" s="11211"/>
      <c r="K332" s="11211"/>
      <c r="L332" s="11219"/>
      <c r="M332" s="11219"/>
      <c r="N332" s="11219"/>
      <c r="O332" s="11211"/>
      <c r="P332" s="11211"/>
      <c r="Q332" s="11213"/>
      <c r="R332" s="2850"/>
      <c r="S332" s="1454"/>
      <c r="T332" s="1454"/>
      <c r="U332" s="246"/>
      <c r="V332" s="513"/>
      <c r="W332" s="247"/>
      <c r="X332" s="7020"/>
      <c r="Y332" s="7020"/>
      <c r="Z332" s="7020"/>
      <c r="AA332" s="7142"/>
      <c r="AB332" s="1441"/>
      <c r="AC332" s="1441"/>
      <c r="AD332" s="247"/>
      <c r="AE332" s="413"/>
      <c r="AF332" s="413"/>
      <c r="AG332" s="11279"/>
    </row>
    <row r="333" spans="1:33" ht="31.5" customHeight="1">
      <c r="A333" s="9244"/>
      <c r="B333" s="11241"/>
      <c r="C333" s="11212"/>
      <c r="D333" s="11212"/>
      <c r="E333" s="11212"/>
      <c r="F333" s="11212"/>
      <c r="G333" s="11212"/>
      <c r="H333" s="11212"/>
      <c r="I333" s="11212"/>
      <c r="J333" s="11212"/>
      <c r="K333" s="11212"/>
      <c r="L333" s="11220"/>
      <c r="M333" s="11220"/>
      <c r="N333" s="11220"/>
      <c r="O333" s="11212"/>
      <c r="P333" s="11212"/>
      <c r="Q333" s="11214"/>
      <c r="R333" s="2851"/>
      <c r="S333" s="1457"/>
      <c r="T333" s="1457"/>
      <c r="U333" s="260"/>
      <c r="V333" s="514"/>
      <c r="W333" s="252"/>
      <c r="X333" s="7021"/>
      <c r="Y333" s="7021"/>
      <c r="Z333" s="7021"/>
      <c r="AA333" s="7143"/>
      <c r="AB333" s="1442"/>
      <c r="AC333" s="1442"/>
      <c r="AD333" s="252"/>
      <c r="AE333" s="414"/>
      <c r="AF333" s="414"/>
      <c r="AG333" s="11280"/>
    </row>
    <row r="334" spans="1:33" ht="18" customHeight="1">
      <c r="A334" s="9244"/>
      <c r="B334" s="11228" t="s">
        <v>183</v>
      </c>
      <c r="C334" s="11210" t="s">
        <v>227</v>
      </c>
      <c r="D334" s="11210" t="s">
        <v>490</v>
      </c>
      <c r="E334" s="11210" t="s">
        <v>2210</v>
      </c>
      <c r="F334" s="11216" t="s">
        <v>230</v>
      </c>
      <c r="G334" s="11210" t="s">
        <v>171</v>
      </c>
      <c r="H334" s="11210" t="s">
        <v>133</v>
      </c>
      <c r="I334" s="11210" t="s">
        <v>6457</v>
      </c>
      <c r="J334" s="11223" t="s">
        <v>6458</v>
      </c>
      <c r="K334" s="11210" t="s">
        <v>6459</v>
      </c>
      <c r="L334" s="11218">
        <v>1</v>
      </c>
      <c r="M334" s="11218">
        <v>0</v>
      </c>
      <c r="N334" s="11218">
        <v>1</v>
      </c>
      <c r="O334" s="11210" t="s">
        <v>6460</v>
      </c>
      <c r="P334" s="11210" t="s">
        <v>6461</v>
      </c>
      <c r="Q334" s="9705" t="s">
        <v>6446</v>
      </c>
      <c r="R334" s="2852"/>
      <c r="S334" s="1458"/>
      <c r="T334" s="1458"/>
      <c r="U334" s="515"/>
      <c r="V334" s="516"/>
      <c r="W334" s="487"/>
      <c r="X334" s="7045"/>
      <c r="Y334" s="7045"/>
      <c r="Z334" s="7045"/>
      <c r="AA334" s="7144"/>
      <c r="AB334" s="1439"/>
      <c r="AC334" s="1439"/>
      <c r="AD334" s="487"/>
      <c r="AE334" s="1440"/>
      <c r="AF334" s="1440"/>
      <c r="AG334" s="11278"/>
    </row>
    <row r="335" spans="1:33" ht="18" customHeight="1">
      <c r="A335" s="9244"/>
      <c r="B335" s="11240"/>
      <c r="C335" s="11211"/>
      <c r="D335" s="11211"/>
      <c r="E335" s="11211"/>
      <c r="F335" s="11211"/>
      <c r="G335" s="11211"/>
      <c r="H335" s="11211"/>
      <c r="I335" s="11211"/>
      <c r="J335" s="11211"/>
      <c r="K335" s="11211"/>
      <c r="L335" s="11219"/>
      <c r="M335" s="11219"/>
      <c r="N335" s="11219"/>
      <c r="O335" s="11211"/>
      <c r="P335" s="11211"/>
      <c r="Q335" s="11213"/>
      <c r="R335" s="2849"/>
      <c r="S335" s="1453"/>
      <c r="T335" s="1453"/>
      <c r="U335" s="246"/>
      <c r="V335" s="513"/>
      <c r="W335" s="247"/>
      <c r="X335" s="7020"/>
      <c r="Y335" s="7020"/>
      <c r="Z335" s="7020"/>
      <c r="AA335" s="7142"/>
      <c r="AB335" s="1441"/>
      <c r="AC335" s="1441"/>
      <c r="AD335" s="247"/>
      <c r="AE335" s="413"/>
      <c r="AF335" s="413"/>
      <c r="AG335" s="11279"/>
    </row>
    <row r="336" spans="1:33" ht="18" customHeight="1">
      <c r="A336" s="9244"/>
      <c r="B336" s="11240"/>
      <c r="C336" s="11211"/>
      <c r="D336" s="11211"/>
      <c r="E336" s="11211"/>
      <c r="F336" s="11211"/>
      <c r="G336" s="11211"/>
      <c r="H336" s="11211"/>
      <c r="I336" s="11211"/>
      <c r="J336" s="11211"/>
      <c r="K336" s="11211"/>
      <c r="L336" s="11219"/>
      <c r="M336" s="11219"/>
      <c r="N336" s="11219"/>
      <c r="O336" s="11211"/>
      <c r="P336" s="11211"/>
      <c r="Q336" s="11213"/>
      <c r="R336" s="2849"/>
      <c r="S336" s="1453"/>
      <c r="T336" s="1453"/>
      <c r="U336" s="246"/>
      <c r="V336" s="513"/>
      <c r="W336" s="247"/>
      <c r="X336" s="7020"/>
      <c r="Y336" s="7020"/>
      <c r="Z336" s="7020"/>
      <c r="AA336" s="7142"/>
      <c r="AB336" s="1441"/>
      <c r="AC336" s="1441"/>
      <c r="AD336" s="247"/>
      <c r="AE336" s="413"/>
      <c r="AF336" s="413"/>
      <c r="AG336" s="11279"/>
    </row>
    <row r="337" spans="1:33" ht="18" customHeight="1">
      <c r="A337" s="9244"/>
      <c r="B337" s="11240"/>
      <c r="C337" s="11211"/>
      <c r="D337" s="11211"/>
      <c r="E337" s="11211"/>
      <c r="F337" s="11211"/>
      <c r="G337" s="11211"/>
      <c r="H337" s="11211"/>
      <c r="I337" s="11211"/>
      <c r="J337" s="11211"/>
      <c r="K337" s="11211"/>
      <c r="L337" s="11219"/>
      <c r="M337" s="11219"/>
      <c r="N337" s="11219"/>
      <c r="O337" s="11211"/>
      <c r="P337" s="11211"/>
      <c r="Q337" s="11213"/>
      <c r="R337" s="2850"/>
      <c r="S337" s="1454"/>
      <c r="T337" s="1454"/>
      <c r="U337" s="246"/>
      <c r="V337" s="513"/>
      <c r="W337" s="247"/>
      <c r="X337" s="7020"/>
      <c r="Y337" s="7020"/>
      <c r="Z337" s="7020"/>
      <c r="AA337" s="7142"/>
      <c r="AB337" s="1441"/>
      <c r="AC337" s="1441"/>
      <c r="AD337" s="247"/>
      <c r="AE337" s="413"/>
      <c r="AF337" s="413"/>
      <c r="AG337" s="11279"/>
    </row>
    <row r="338" spans="1:33" ht="18" customHeight="1">
      <c r="A338" s="9244"/>
      <c r="B338" s="11243"/>
      <c r="C338" s="11221"/>
      <c r="D338" s="11221"/>
      <c r="E338" s="11221"/>
      <c r="F338" s="11221"/>
      <c r="G338" s="11221"/>
      <c r="H338" s="11221"/>
      <c r="I338" s="11221"/>
      <c r="J338" s="11221"/>
      <c r="K338" s="11221"/>
      <c r="L338" s="11232"/>
      <c r="M338" s="11232"/>
      <c r="N338" s="11232"/>
      <c r="O338" s="11221"/>
      <c r="P338" s="11221"/>
      <c r="Q338" s="11237"/>
      <c r="R338" s="5152"/>
      <c r="S338" s="5153"/>
      <c r="T338" s="5153"/>
      <c r="U338" s="5154"/>
      <c r="V338" s="5155"/>
      <c r="W338" s="5156"/>
      <c r="X338" s="7641"/>
      <c r="Y338" s="7641"/>
      <c r="Z338" s="7641"/>
      <c r="AA338" s="7642"/>
      <c r="AB338" s="5157"/>
      <c r="AC338" s="5157"/>
      <c r="AD338" s="5156"/>
      <c r="AE338" s="5158"/>
      <c r="AF338" s="5158"/>
      <c r="AG338" s="11286"/>
    </row>
    <row r="339" spans="1:33" s="6156" customFormat="1" ht="22.5" customHeight="1" thickBot="1">
      <c r="A339" s="11351"/>
      <c r="B339" s="11234"/>
      <c r="C339" s="11235"/>
      <c r="D339" s="11235"/>
      <c r="E339" s="11235"/>
      <c r="F339" s="11235"/>
      <c r="G339" s="11235"/>
      <c r="H339" s="11235"/>
      <c r="I339" s="11235"/>
      <c r="J339" s="11235"/>
      <c r="K339" s="11235"/>
      <c r="L339" s="11235"/>
      <c r="M339" s="11235"/>
      <c r="N339" s="11235"/>
      <c r="O339" s="11235"/>
      <c r="P339" s="11235"/>
      <c r="Q339" s="11236"/>
      <c r="R339" s="11292" t="s">
        <v>6462</v>
      </c>
      <c r="S339" s="11293"/>
      <c r="T339" s="11293"/>
      <c r="U339" s="11293"/>
      <c r="V339" s="11293"/>
      <c r="W339" s="11293"/>
      <c r="X339" s="11293"/>
      <c r="Y339" s="11294"/>
      <c r="Z339" s="6170" t="s">
        <v>292</v>
      </c>
      <c r="AA339" s="7643">
        <f>SUM(AA319:AA338)</f>
        <v>0</v>
      </c>
      <c r="AB339" s="6172"/>
      <c r="AC339" s="6172"/>
      <c r="AD339" s="11288"/>
      <c r="AE339" s="11289"/>
      <c r="AF339" s="11289"/>
      <c r="AG339" s="11290"/>
    </row>
    <row r="340" spans="1:33" ht="18" customHeight="1">
      <c r="A340" s="9244" t="s">
        <v>6463</v>
      </c>
      <c r="B340" s="11309" t="s">
        <v>183</v>
      </c>
      <c r="C340" s="11215" t="s">
        <v>227</v>
      </c>
      <c r="D340" s="11215" t="s">
        <v>228</v>
      </c>
      <c r="E340" s="11215" t="s">
        <v>255</v>
      </c>
      <c r="F340" s="11247" t="s">
        <v>230</v>
      </c>
      <c r="G340" s="11215" t="s">
        <v>132</v>
      </c>
      <c r="H340" s="11215" t="s">
        <v>133</v>
      </c>
      <c r="I340" s="11215" t="s">
        <v>6441</v>
      </c>
      <c r="J340" s="11239" t="s">
        <v>6442</v>
      </c>
      <c r="K340" s="11215" t="s">
        <v>6443</v>
      </c>
      <c r="L340" s="11233">
        <v>1</v>
      </c>
      <c r="M340" s="11233">
        <v>0</v>
      </c>
      <c r="N340" s="11233">
        <v>1</v>
      </c>
      <c r="O340" s="11215" t="s">
        <v>6444</v>
      </c>
      <c r="P340" s="11215" t="s">
        <v>6445</v>
      </c>
      <c r="Q340" s="11246" t="s">
        <v>6464</v>
      </c>
      <c r="R340" s="2854"/>
      <c r="S340" s="1452"/>
      <c r="T340" s="1452"/>
      <c r="U340" s="346"/>
      <c r="V340" s="512"/>
      <c r="W340" s="347"/>
      <c r="X340" s="7644"/>
      <c r="Y340" s="7644"/>
      <c r="Z340" s="7644"/>
      <c r="AA340" s="7645"/>
      <c r="AB340" s="1444"/>
      <c r="AC340" s="1444"/>
      <c r="AD340" s="347"/>
      <c r="AE340" s="1445"/>
      <c r="AF340" s="1445"/>
      <c r="AG340" s="11287" t="s">
        <v>6465</v>
      </c>
    </row>
    <row r="341" spans="1:33" ht="18" customHeight="1">
      <c r="A341" s="9244"/>
      <c r="B341" s="11240"/>
      <c r="C341" s="11211"/>
      <c r="D341" s="11211"/>
      <c r="E341" s="11211"/>
      <c r="F341" s="11211"/>
      <c r="G341" s="11211"/>
      <c r="H341" s="11211"/>
      <c r="I341" s="11211"/>
      <c r="J341" s="11211"/>
      <c r="K341" s="11211"/>
      <c r="L341" s="11219"/>
      <c r="M341" s="11219"/>
      <c r="N341" s="11219"/>
      <c r="O341" s="11211"/>
      <c r="P341" s="11211"/>
      <c r="Q341" s="11213"/>
      <c r="R341" s="2849"/>
      <c r="S341" s="1453"/>
      <c r="T341" s="1453"/>
      <c r="U341" s="246"/>
      <c r="V341" s="513"/>
      <c r="W341" s="247"/>
      <c r="X341" s="7020"/>
      <c r="Y341" s="7020"/>
      <c r="Z341" s="7020"/>
      <c r="AA341" s="7142"/>
      <c r="AB341" s="1441"/>
      <c r="AC341" s="1441"/>
      <c r="AD341" s="247"/>
      <c r="AE341" s="413"/>
      <c r="AF341" s="413"/>
      <c r="AG341" s="11262"/>
    </row>
    <row r="342" spans="1:33" ht="18" customHeight="1">
      <c r="A342" s="9244"/>
      <c r="B342" s="11240"/>
      <c r="C342" s="11211"/>
      <c r="D342" s="11211"/>
      <c r="E342" s="11211"/>
      <c r="F342" s="11211"/>
      <c r="G342" s="11211"/>
      <c r="H342" s="11211"/>
      <c r="I342" s="11211"/>
      <c r="J342" s="11211"/>
      <c r="K342" s="11211"/>
      <c r="L342" s="11219"/>
      <c r="M342" s="11219"/>
      <c r="N342" s="11219"/>
      <c r="O342" s="11211"/>
      <c r="P342" s="11211"/>
      <c r="Q342" s="11213"/>
      <c r="R342" s="2849"/>
      <c r="S342" s="1453"/>
      <c r="T342" s="1453"/>
      <c r="U342" s="246"/>
      <c r="V342" s="513"/>
      <c r="W342" s="247"/>
      <c r="X342" s="7020"/>
      <c r="Y342" s="7020"/>
      <c r="Z342" s="7020"/>
      <c r="AA342" s="7142"/>
      <c r="AB342" s="1441"/>
      <c r="AC342" s="1441"/>
      <c r="AD342" s="247"/>
      <c r="AE342" s="413"/>
      <c r="AF342" s="413"/>
      <c r="AG342" s="11262"/>
    </row>
    <row r="343" spans="1:33" ht="18" customHeight="1">
      <c r="A343" s="9244"/>
      <c r="B343" s="11240"/>
      <c r="C343" s="11211"/>
      <c r="D343" s="11211"/>
      <c r="E343" s="11211"/>
      <c r="F343" s="11211"/>
      <c r="G343" s="11211"/>
      <c r="H343" s="11211"/>
      <c r="I343" s="11211"/>
      <c r="J343" s="11211"/>
      <c r="K343" s="11211"/>
      <c r="L343" s="11219"/>
      <c r="M343" s="11219"/>
      <c r="N343" s="11219"/>
      <c r="O343" s="11211"/>
      <c r="P343" s="11211"/>
      <c r="Q343" s="11213"/>
      <c r="R343" s="2850"/>
      <c r="S343" s="1454"/>
      <c r="T343" s="1454"/>
      <c r="U343" s="246"/>
      <c r="V343" s="513"/>
      <c r="W343" s="247"/>
      <c r="X343" s="7020"/>
      <c r="Y343" s="7020"/>
      <c r="Z343" s="7020"/>
      <c r="AA343" s="7142"/>
      <c r="AB343" s="1441"/>
      <c r="AC343" s="1441"/>
      <c r="AD343" s="247"/>
      <c r="AE343" s="413"/>
      <c r="AF343" s="413"/>
      <c r="AG343" s="11262"/>
    </row>
    <row r="344" spans="1:33" ht="18" customHeight="1">
      <c r="A344" s="9244"/>
      <c r="B344" s="11241"/>
      <c r="C344" s="11212"/>
      <c r="D344" s="11212"/>
      <c r="E344" s="11212"/>
      <c r="F344" s="11212"/>
      <c r="G344" s="11212"/>
      <c r="H344" s="11212"/>
      <c r="I344" s="11212"/>
      <c r="J344" s="11212"/>
      <c r="K344" s="11212"/>
      <c r="L344" s="11220"/>
      <c r="M344" s="11220"/>
      <c r="N344" s="11220"/>
      <c r="O344" s="11212"/>
      <c r="P344" s="11212"/>
      <c r="Q344" s="11214"/>
      <c r="R344" s="2851"/>
      <c r="S344" s="1457"/>
      <c r="T344" s="1457"/>
      <c r="U344" s="260"/>
      <c r="V344" s="514"/>
      <c r="W344" s="252"/>
      <c r="X344" s="7021"/>
      <c r="Y344" s="7021"/>
      <c r="Z344" s="7021"/>
      <c r="AA344" s="7143"/>
      <c r="AB344" s="1442"/>
      <c r="AC344" s="1442"/>
      <c r="AD344" s="252"/>
      <c r="AE344" s="414"/>
      <c r="AF344" s="414"/>
      <c r="AG344" s="11263"/>
    </row>
    <row r="345" spans="1:33" ht="24" customHeight="1">
      <c r="A345" s="9244"/>
      <c r="B345" s="11228" t="s">
        <v>183</v>
      </c>
      <c r="C345" s="11210" t="s">
        <v>227</v>
      </c>
      <c r="D345" s="11210" t="s">
        <v>185</v>
      </c>
      <c r="E345" s="11210" t="s">
        <v>1938</v>
      </c>
      <c r="F345" s="11216" t="s">
        <v>230</v>
      </c>
      <c r="G345" s="11210" t="s">
        <v>171</v>
      </c>
      <c r="H345" s="11210" t="s">
        <v>133</v>
      </c>
      <c r="I345" s="11210" t="s">
        <v>6447</v>
      </c>
      <c r="J345" s="11223" t="s">
        <v>6448</v>
      </c>
      <c r="K345" s="11210" t="s">
        <v>6449</v>
      </c>
      <c r="L345" s="11218">
        <v>1</v>
      </c>
      <c r="M345" s="11218">
        <v>0</v>
      </c>
      <c r="N345" s="11218">
        <v>1</v>
      </c>
      <c r="O345" s="11210" t="s">
        <v>5901</v>
      </c>
      <c r="P345" s="11210" t="s">
        <v>4341</v>
      </c>
      <c r="Q345" s="9705" t="s">
        <v>6466</v>
      </c>
      <c r="R345" s="2852"/>
      <c r="S345" s="1458"/>
      <c r="T345" s="1458"/>
      <c r="U345" s="515"/>
      <c r="V345" s="516"/>
      <c r="W345" s="487"/>
      <c r="X345" s="7045"/>
      <c r="Y345" s="7045"/>
      <c r="Z345" s="7045"/>
      <c r="AA345" s="7144"/>
      <c r="AB345" s="1439"/>
      <c r="AC345" s="1439"/>
      <c r="AD345" s="487"/>
      <c r="AE345" s="1440"/>
      <c r="AF345" s="1440"/>
      <c r="AG345" s="9825"/>
    </row>
    <row r="346" spans="1:33" ht="24" customHeight="1">
      <c r="A346" s="9244"/>
      <c r="B346" s="11240"/>
      <c r="C346" s="11211"/>
      <c r="D346" s="11211"/>
      <c r="E346" s="11211"/>
      <c r="F346" s="11211"/>
      <c r="G346" s="11211"/>
      <c r="H346" s="11211"/>
      <c r="I346" s="11211"/>
      <c r="J346" s="11211"/>
      <c r="K346" s="11211"/>
      <c r="L346" s="11219"/>
      <c r="M346" s="11219"/>
      <c r="N346" s="11219"/>
      <c r="O346" s="11211"/>
      <c r="P346" s="11211"/>
      <c r="Q346" s="11213"/>
      <c r="R346" s="2849"/>
      <c r="S346" s="1453"/>
      <c r="T346" s="1453"/>
      <c r="U346" s="246"/>
      <c r="V346" s="513"/>
      <c r="W346" s="247"/>
      <c r="X346" s="7020"/>
      <c r="Y346" s="7020"/>
      <c r="Z346" s="7020"/>
      <c r="AA346" s="7142"/>
      <c r="AB346" s="1441"/>
      <c r="AC346" s="1441"/>
      <c r="AD346" s="247"/>
      <c r="AE346" s="413"/>
      <c r="AF346" s="413"/>
      <c r="AG346" s="11249"/>
    </row>
    <row r="347" spans="1:33" ht="24" customHeight="1">
      <c r="A347" s="9244"/>
      <c r="B347" s="11240"/>
      <c r="C347" s="11211"/>
      <c r="D347" s="11211"/>
      <c r="E347" s="11211"/>
      <c r="F347" s="11211"/>
      <c r="G347" s="11211"/>
      <c r="H347" s="11211"/>
      <c r="I347" s="11211"/>
      <c r="J347" s="11211"/>
      <c r="K347" s="11211"/>
      <c r="L347" s="11219"/>
      <c r="M347" s="11219"/>
      <c r="N347" s="11219"/>
      <c r="O347" s="11211"/>
      <c r="P347" s="11211"/>
      <c r="Q347" s="11213"/>
      <c r="R347" s="2849"/>
      <c r="S347" s="1453"/>
      <c r="T347" s="1453"/>
      <c r="U347" s="246"/>
      <c r="V347" s="513"/>
      <c r="W347" s="247"/>
      <c r="X347" s="7020"/>
      <c r="Y347" s="7020"/>
      <c r="Z347" s="7020"/>
      <c r="AA347" s="7142"/>
      <c r="AB347" s="1441"/>
      <c r="AC347" s="1441"/>
      <c r="AD347" s="247"/>
      <c r="AE347" s="413"/>
      <c r="AF347" s="413"/>
      <c r="AG347" s="11249"/>
    </row>
    <row r="348" spans="1:33" ht="24" customHeight="1">
      <c r="A348" s="9244"/>
      <c r="B348" s="11240"/>
      <c r="C348" s="11211"/>
      <c r="D348" s="11211"/>
      <c r="E348" s="11211"/>
      <c r="F348" s="11211"/>
      <c r="G348" s="11211"/>
      <c r="H348" s="11211"/>
      <c r="I348" s="11211"/>
      <c r="J348" s="11211"/>
      <c r="K348" s="11211"/>
      <c r="L348" s="11219"/>
      <c r="M348" s="11219"/>
      <c r="N348" s="11219"/>
      <c r="O348" s="11211"/>
      <c r="P348" s="11211"/>
      <c r="Q348" s="11213"/>
      <c r="R348" s="2850"/>
      <c r="S348" s="1454"/>
      <c r="T348" s="1454"/>
      <c r="U348" s="246"/>
      <c r="V348" s="513"/>
      <c r="W348" s="247"/>
      <c r="X348" s="7020"/>
      <c r="Y348" s="7020"/>
      <c r="Z348" s="7020"/>
      <c r="AA348" s="7142"/>
      <c r="AB348" s="1441"/>
      <c r="AC348" s="1441"/>
      <c r="AD348" s="247"/>
      <c r="AE348" s="413"/>
      <c r="AF348" s="413"/>
      <c r="AG348" s="11249"/>
    </row>
    <row r="349" spans="1:33" ht="24" customHeight="1">
      <c r="A349" s="9244"/>
      <c r="B349" s="11241"/>
      <c r="C349" s="11212"/>
      <c r="D349" s="11212"/>
      <c r="E349" s="11212"/>
      <c r="F349" s="11212"/>
      <c r="G349" s="11212"/>
      <c r="H349" s="11212"/>
      <c r="I349" s="11212"/>
      <c r="J349" s="11212"/>
      <c r="K349" s="11212"/>
      <c r="L349" s="11220"/>
      <c r="M349" s="11220"/>
      <c r="N349" s="11220"/>
      <c r="O349" s="11212"/>
      <c r="P349" s="11212"/>
      <c r="Q349" s="11214"/>
      <c r="R349" s="2851"/>
      <c r="S349" s="1457"/>
      <c r="T349" s="1457"/>
      <c r="U349" s="260"/>
      <c r="V349" s="514"/>
      <c r="W349" s="252"/>
      <c r="X349" s="7021"/>
      <c r="Y349" s="7021"/>
      <c r="Z349" s="7021"/>
      <c r="AA349" s="7143"/>
      <c r="AB349" s="1442"/>
      <c r="AC349" s="1442"/>
      <c r="AD349" s="252"/>
      <c r="AE349" s="414"/>
      <c r="AF349" s="414"/>
      <c r="AG349" s="11259"/>
    </row>
    <row r="350" spans="1:33" ht="33" customHeight="1">
      <c r="A350" s="9244"/>
      <c r="B350" s="11228" t="s">
        <v>183</v>
      </c>
      <c r="C350" s="11210" t="s">
        <v>227</v>
      </c>
      <c r="D350" s="11210" t="s">
        <v>1292</v>
      </c>
      <c r="E350" s="11210" t="s">
        <v>1293</v>
      </c>
      <c r="F350" s="11216" t="s">
        <v>230</v>
      </c>
      <c r="G350" s="11210" t="s">
        <v>171</v>
      </c>
      <c r="H350" s="11210" t="s">
        <v>133</v>
      </c>
      <c r="I350" s="11210" t="s">
        <v>6451</v>
      </c>
      <c r="J350" s="11223" t="s">
        <v>6452</v>
      </c>
      <c r="K350" s="11210" t="s">
        <v>6453</v>
      </c>
      <c r="L350" s="11218">
        <v>1</v>
      </c>
      <c r="M350" s="11218">
        <v>0</v>
      </c>
      <c r="N350" s="11218">
        <v>1</v>
      </c>
      <c r="O350" s="11210" t="s">
        <v>6454</v>
      </c>
      <c r="P350" s="11210" t="s">
        <v>6455</v>
      </c>
      <c r="Q350" s="11238" t="s">
        <v>6467</v>
      </c>
      <c r="R350" s="2852"/>
      <c r="S350" s="1458"/>
      <c r="T350" s="1458"/>
      <c r="U350" s="515"/>
      <c r="V350" s="516"/>
      <c r="W350" s="487"/>
      <c r="X350" s="7045"/>
      <c r="Y350" s="7045"/>
      <c r="Z350" s="7045"/>
      <c r="AA350" s="7144"/>
      <c r="AB350" s="1439"/>
      <c r="AC350" s="1439"/>
      <c r="AD350" s="487"/>
      <c r="AE350" s="1440"/>
      <c r="AF350" s="1440"/>
      <c r="AG350" s="9825"/>
    </row>
    <row r="351" spans="1:33" ht="33" customHeight="1">
      <c r="A351" s="9244"/>
      <c r="B351" s="11240"/>
      <c r="C351" s="11211"/>
      <c r="D351" s="11211"/>
      <c r="E351" s="11211"/>
      <c r="F351" s="11211"/>
      <c r="G351" s="11211"/>
      <c r="H351" s="11211"/>
      <c r="I351" s="11211"/>
      <c r="J351" s="11211"/>
      <c r="K351" s="11211"/>
      <c r="L351" s="11219"/>
      <c r="M351" s="11219"/>
      <c r="N351" s="11219"/>
      <c r="O351" s="11211"/>
      <c r="P351" s="11211"/>
      <c r="Q351" s="11213"/>
      <c r="R351" s="2849"/>
      <c r="S351" s="1453"/>
      <c r="T351" s="1453"/>
      <c r="U351" s="246"/>
      <c r="V351" s="513"/>
      <c r="W351" s="247"/>
      <c r="X351" s="7020"/>
      <c r="Y351" s="7020"/>
      <c r="Z351" s="7020"/>
      <c r="AA351" s="7142"/>
      <c r="AB351" s="1441"/>
      <c r="AC351" s="1441"/>
      <c r="AD351" s="247"/>
      <c r="AE351" s="413"/>
      <c r="AF351" s="413"/>
      <c r="AG351" s="11249"/>
    </row>
    <row r="352" spans="1:33" ht="33" customHeight="1">
      <c r="A352" s="9244"/>
      <c r="B352" s="11240"/>
      <c r="C352" s="11211"/>
      <c r="D352" s="11211"/>
      <c r="E352" s="11211"/>
      <c r="F352" s="11211"/>
      <c r="G352" s="11211"/>
      <c r="H352" s="11211"/>
      <c r="I352" s="11211"/>
      <c r="J352" s="11211"/>
      <c r="K352" s="11211"/>
      <c r="L352" s="11219"/>
      <c r="M352" s="11219"/>
      <c r="N352" s="11219"/>
      <c r="O352" s="11211"/>
      <c r="P352" s="11211"/>
      <c r="Q352" s="11213"/>
      <c r="R352" s="2849"/>
      <c r="S352" s="1453"/>
      <c r="T352" s="1453"/>
      <c r="U352" s="246"/>
      <c r="V352" s="513"/>
      <c r="W352" s="247"/>
      <c r="X352" s="7020"/>
      <c r="Y352" s="7020"/>
      <c r="Z352" s="7020"/>
      <c r="AA352" s="7142"/>
      <c r="AB352" s="1441"/>
      <c r="AC352" s="1441"/>
      <c r="AD352" s="247"/>
      <c r="AE352" s="413"/>
      <c r="AF352" s="413"/>
      <c r="AG352" s="11249"/>
    </row>
    <row r="353" spans="1:33" ht="33" customHeight="1">
      <c r="A353" s="9244"/>
      <c r="B353" s="11240"/>
      <c r="C353" s="11211"/>
      <c r="D353" s="11211"/>
      <c r="E353" s="11211"/>
      <c r="F353" s="11211"/>
      <c r="G353" s="11211"/>
      <c r="H353" s="11211"/>
      <c r="I353" s="11211"/>
      <c r="J353" s="11211"/>
      <c r="K353" s="11211"/>
      <c r="L353" s="11219"/>
      <c r="M353" s="11219"/>
      <c r="N353" s="11219"/>
      <c r="O353" s="11211"/>
      <c r="P353" s="11211"/>
      <c r="Q353" s="11213"/>
      <c r="R353" s="2850"/>
      <c r="S353" s="1454"/>
      <c r="T353" s="1454"/>
      <c r="U353" s="246"/>
      <c r="V353" s="513"/>
      <c r="W353" s="247"/>
      <c r="X353" s="7020"/>
      <c r="Y353" s="7020"/>
      <c r="Z353" s="7020"/>
      <c r="AA353" s="7142"/>
      <c r="AB353" s="1441"/>
      <c r="AC353" s="1441"/>
      <c r="AD353" s="247"/>
      <c r="AE353" s="413"/>
      <c r="AF353" s="413"/>
      <c r="AG353" s="11249"/>
    </row>
    <row r="354" spans="1:33" ht="33" customHeight="1">
      <c r="A354" s="9244"/>
      <c r="B354" s="11241"/>
      <c r="C354" s="11212"/>
      <c r="D354" s="11212"/>
      <c r="E354" s="11212"/>
      <c r="F354" s="11212"/>
      <c r="G354" s="11212"/>
      <c r="H354" s="11212"/>
      <c r="I354" s="11212"/>
      <c r="J354" s="11212"/>
      <c r="K354" s="11212"/>
      <c r="L354" s="11220"/>
      <c r="M354" s="11220"/>
      <c r="N354" s="11220"/>
      <c r="O354" s="11212"/>
      <c r="P354" s="11212"/>
      <c r="Q354" s="11214"/>
      <c r="R354" s="2851"/>
      <c r="S354" s="1457"/>
      <c r="T354" s="1457"/>
      <c r="U354" s="260"/>
      <c r="V354" s="514"/>
      <c r="W354" s="252"/>
      <c r="X354" s="7021"/>
      <c r="Y354" s="7021"/>
      <c r="Z354" s="7021"/>
      <c r="AA354" s="7143"/>
      <c r="AB354" s="1442"/>
      <c r="AC354" s="1442"/>
      <c r="AD354" s="252"/>
      <c r="AE354" s="414"/>
      <c r="AF354" s="414"/>
      <c r="AG354" s="11259"/>
    </row>
    <row r="355" spans="1:33" ht="18" customHeight="1">
      <c r="A355" s="9244"/>
      <c r="B355" s="11228" t="s">
        <v>183</v>
      </c>
      <c r="C355" s="11210" t="s">
        <v>227</v>
      </c>
      <c r="D355" s="11210" t="s">
        <v>490</v>
      </c>
      <c r="E355" s="11210" t="s">
        <v>2210</v>
      </c>
      <c r="F355" s="11216" t="s">
        <v>230</v>
      </c>
      <c r="G355" s="11210" t="s">
        <v>171</v>
      </c>
      <c r="H355" s="11210" t="s">
        <v>133</v>
      </c>
      <c r="I355" s="11210" t="s">
        <v>6457</v>
      </c>
      <c r="J355" s="11223" t="s">
        <v>6458</v>
      </c>
      <c r="K355" s="11210" t="s">
        <v>6459</v>
      </c>
      <c r="L355" s="11218">
        <v>1</v>
      </c>
      <c r="M355" s="11218">
        <v>0</v>
      </c>
      <c r="N355" s="11218">
        <v>1</v>
      </c>
      <c r="O355" s="11210" t="s">
        <v>6460</v>
      </c>
      <c r="P355" s="11210" t="s">
        <v>6461</v>
      </c>
      <c r="Q355" s="9705" t="s">
        <v>6464</v>
      </c>
      <c r="R355" s="2852"/>
      <c r="S355" s="1458"/>
      <c r="T355" s="1458"/>
      <c r="U355" s="515"/>
      <c r="V355" s="516"/>
      <c r="W355" s="487"/>
      <c r="X355" s="7045"/>
      <c r="Y355" s="7045"/>
      <c r="Z355" s="7045"/>
      <c r="AA355" s="7144"/>
      <c r="AB355" s="1439"/>
      <c r="AC355" s="1439"/>
      <c r="AD355" s="487"/>
      <c r="AE355" s="1440"/>
      <c r="AF355" s="1440"/>
      <c r="AG355" s="9825"/>
    </row>
    <row r="356" spans="1:33" ht="18" customHeight="1">
      <c r="A356" s="9244"/>
      <c r="B356" s="11240"/>
      <c r="C356" s="11211"/>
      <c r="D356" s="11211"/>
      <c r="E356" s="11211"/>
      <c r="F356" s="11211"/>
      <c r="G356" s="11211"/>
      <c r="H356" s="11211"/>
      <c r="I356" s="11211"/>
      <c r="J356" s="11211"/>
      <c r="K356" s="11211"/>
      <c r="L356" s="11219"/>
      <c r="M356" s="11219"/>
      <c r="N356" s="11219"/>
      <c r="O356" s="11211"/>
      <c r="P356" s="11211"/>
      <c r="Q356" s="11213"/>
      <c r="R356" s="2849"/>
      <c r="S356" s="1453"/>
      <c r="T356" s="1453"/>
      <c r="U356" s="246"/>
      <c r="V356" s="513"/>
      <c r="W356" s="247"/>
      <c r="X356" s="7020"/>
      <c r="Y356" s="7020"/>
      <c r="Z356" s="7020"/>
      <c r="AA356" s="7142"/>
      <c r="AB356" s="1441"/>
      <c r="AC356" s="1441"/>
      <c r="AD356" s="247"/>
      <c r="AE356" s="413"/>
      <c r="AF356" s="413"/>
      <c r="AG356" s="11249"/>
    </row>
    <row r="357" spans="1:33" ht="18" customHeight="1">
      <c r="A357" s="9244"/>
      <c r="B357" s="11240"/>
      <c r="C357" s="11211"/>
      <c r="D357" s="11211"/>
      <c r="E357" s="11211"/>
      <c r="F357" s="11211"/>
      <c r="G357" s="11211"/>
      <c r="H357" s="11211"/>
      <c r="I357" s="11211"/>
      <c r="J357" s="11211"/>
      <c r="K357" s="11211"/>
      <c r="L357" s="11219"/>
      <c r="M357" s="11219"/>
      <c r="N357" s="11219"/>
      <c r="O357" s="11211"/>
      <c r="P357" s="11211"/>
      <c r="Q357" s="11213"/>
      <c r="R357" s="2849"/>
      <c r="S357" s="1453"/>
      <c r="T357" s="1453"/>
      <c r="U357" s="246"/>
      <c r="V357" s="513"/>
      <c r="W357" s="247"/>
      <c r="X357" s="7020"/>
      <c r="Y357" s="7020"/>
      <c r="Z357" s="7020"/>
      <c r="AA357" s="7142"/>
      <c r="AB357" s="1441"/>
      <c r="AC357" s="1441"/>
      <c r="AD357" s="247"/>
      <c r="AE357" s="413"/>
      <c r="AF357" s="413"/>
      <c r="AG357" s="11249"/>
    </row>
    <row r="358" spans="1:33" ht="18" customHeight="1">
      <c r="A358" s="9244"/>
      <c r="B358" s="11240"/>
      <c r="C358" s="11211"/>
      <c r="D358" s="11211"/>
      <c r="E358" s="11211"/>
      <c r="F358" s="11211"/>
      <c r="G358" s="11211"/>
      <c r="H358" s="11211"/>
      <c r="I358" s="11211"/>
      <c r="J358" s="11211"/>
      <c r="K358" s="11211"/>
      <c r="L358" s="11219"/>
      <c r="M358" s="11219"/>
      <c r="N358" s="11219"/>
      <c r="O358" s="11211"/>
      <c r="P358" s="11211"/>
      <c r="Q358" s="11213"/>
      <c r="R358" s="2850"/>
      <c r="S358" s="1454"/>
      <c r="T358" s="1454"/>
      <c r="U358" s="246"/>
      <c r="V358" s="513"/>
      <c r="W358" s="247"/>
      <c r="X358" s="7020"/>
      <c r="Y358" s="7020"/>
      <c r="Z358" s="7020"/>
      <c r="AA358" s="7142"/>
      <c r="AB358" s="1441"/>
      <c r="AC358" s="1441"/>
      <c r="AD358" s="247"/>
      <c r="AE358" s="413"/>
      <c r="AF358" s="413"/>
      <c r="AG358" s="11249"/>
    </row>
    <row r="359" spans="1:33" ht="18" customHeight="1">
      <c r="A359" s="9244"/>
      <c r="B359" s="11243"/>
      <c r="C359" s="11221"/>
      <c r="D359" s="11221"/>
      <c r="E359" s="11221"/>
      <c r="F359" s="11221"/>
      <c r="G359" s="11221"/>
      <c r="H359" s="11221"/>
      <c r="I359" s="11221"/>
      <c r="J359" s="11221"/>
      <c r="K359" s="11221"/>
      <c r="L359" s="11232"/>
      <c r="M359" s="11232"/>
      <c r="N359" s="11232"/>
      <c r="O359" s="11221"/>
      <c r="P359" s="11221"/>
      <c r="Q359" s="11237"/>
      <c r="R359" s="5152"/>
      <c r="S359" s="5153"/>
      <c r="T359" s="5153"/>
      <c r="U359" s="5154"/>
      <c r="V359" s="5155"/>
      <c r="W359" s="5156"/>
      <c r="X359" s="7641"/>
      <c r="Y359" s="7641"/>
      <c r="Z359" s="7641"/>
      <c r="AA359" s="7642"/>
      <c r="AB359" s="5157"/>
      <c r="AC359" s="5157"/>
      <c r="AD359" s="5156"/>
      <c r="AE359" s="5158"/>
      <c r="AF359" s="5158"/>
      <c r="AG359" s="11250"/>
    </row>
    <row r="360" spans="1:33" s="6156" customFormat="1" ht="22.5" customHeight="1" thickBot="1">
      <c r="A360" s="11351"/>
      <c r="B360" s="11234"/>
      <c r="C360" s="11235"/>
      <c r="D360" s="11235"/>
      <c r="E360" s="11235"/>
      <c r="F360" s="11235"/>
      <c r="G360" s="11235"/>
      <c r="H360" s="11235"/>
      <c r="I360" s="11235"/>
      <c r="J360" s="11235"/>
      <c r="K360" s="11235"/>
      <c r="L360" s="11235"/>
      <c r="M360" s="11235"/>
      <c r="N360" s="11235"/>
      <c r="O360" s="11235"/>
      <c r="P360" s="11235"/>
      <c r="Q360" s="11236"/>
      <c r="R360" s="11292" t="s">
        <v>6468</v>
      </c>
      <c r="S360" s="11293"/>
      <c r="T360" s="11293"/>
      <c r="U360" s="11293"/>
      <c r="V360" s="11293"/>
      <c r="W360" s="11293"/>
      <c r="X360" s="11293"/>
      <c r="Y360" s="11294"/>
      <c r="Z360" s="6170" t="s">
        <v>292</v>
      </c>
      <c r="AA360" s="7643">
        <f>SUM(AA340:AA359)</f>
        <v>0</v>
      </c>
      <c r="AB360" s="6172"/>
      <c r="AC360" s="6172"/>
      <c r="AD360" s="11288"/>
      <c r="AE360" s="11289"/>
      <c r="AF360" s="11289"/>
      <c r="AG360" s="11290"/>
    </row>
    <row r="361" spans="1:33" ht="25.5" customHeight="1">
      <c r="A361" s="9244" t="s">
        <v>6469</v>
      </c>
      <c r="B361" s="11309" t="s">
        <v>183</v>
      </c>
      <c r="C361" s="11215" t="s">
        <v>227</v>
      </c>
      <c r="D361" s="11215" t="s">
        <v>228</v>
      </c>
      <c r="E361" s="11215" t="s">
        <v>255</v>
      </c>
      <c r="F361" s="11247" t="s">
        <v>230</v>
      </c>
      <c r="G361" s="11215" t="s">
        <v>132</v>
      </c>
      <c r="H361" s="11215" t="s">
        <v>133</v>
      </c>
      <c r="I361" s="11215" t="s">
        <v>6441</v>
      </c>
      <c r="J361" s="11239" t="s">
        <v>6442</v>
      </c>
      <c r="K361" s="11215" t="s">
        <v>6443</v>
      </c>
      <c r="L361" s="11233">
        <v>1</v>
      </c>
      <c r="M361" s="11233">
        <v>0</v>
      </c>
      <c r="N361" s="11233">
        <v>1</v>
      </c>
      <c r="O361" s="11215" t="s">
        <v>6444</v>
      </c>
      <c r="P361" s="11215" t="s">
        <v>6445</v>
      </c>
      <c r="Q361" s="11246" t="s">
        <v>6470</v>
      </c>
      <c r="R361" s="2854"/>
      <c r="S361" s="1452"/>
      <c r="T361" s="1452"/>
      <c r="U361" s="346"/>
      <c r="V361" s="512"/>
      <c r="W361" s="347"/>
      <c r="X361" s="7644"/>
      <c r="Y361" s="7644"/>
      <c r="Z361" s="7644"/>
      <c r="AA361" s="7645"/>
      <c r="AB361" s="1444"/>
      <c r="AC361" s="1444"/>
      <c r="AD361" s="347"/>
      <c r="AE361" s="1445"/>
      <c r="AF361" s="1445"/>
      <c r="AG361" s="11298" t="s">
        <v>6471</v>
      </c>
    </row>
    <row r="362" spans="1:33" ht="25.5" customHeight="1">
      <c r="A362" s="9244"/>
      <c r="B362" s="11240"/>
      <c r="C362" s="11211"/>
      <c r="D362" s="11211"/>
      <c r="E362" s="11211"/>
      <c r="F362" s="11211"/>
      <c r="G362" s="11211"/>
      <c r="H362" s="11211"/>
      <c r="I362" s="11211"/>
      <c r="J362" s="11211"/>
      <c r="K362" s="11211"/>
      <c r="L362" s="11219"/>
      <c r="M362" s="11219"/>
      <c r="N362" s="11219"/>
      <c r="O362" s="11211"/>
      <c r="P362" s="11211"/>
      <c r="Q362" s="11213"/>
      <c r="R362" s="2849"/>
      <c r="S362" s="1453"/>
      <c r="T362" s="1453"/>
      <c r="U362" s="246"/>
      <c r="V362" s="513"/>
      <c r="W362" s="247"/>
      <c r="X362" s="7020"/>
      <c r="Y362" s="7020"/>
      <c r="Z362" s="7020"/>
      <c r="AA362" s="7142"/>
      <c r="AB362" s="1441"/>
      <c r="AC362" s="1441"/>
      <c r="AD362" s="247"/>
      <c r="AE362" s="413"/>
      <c r="AF362" s="413"/>
      <c r="AG362" s="11262"/>
    </row>
    <row r="363" spans="1:33" ht="25.5" customHeight="1">
      <c r="A363" s="9244"/>
      <c r="B363" s="11240"/>
      <c r="C363" s="11211"/>
      <c r="D363" s="11211"/>
      <c r="E363" s="11211"/>
      <c r="F363" s="11211"/>
      <c r="G363" s="11211"/>
      <c r="H363" s="11211"/>
      <c r="I363" s="11211"/>
      <c r="J363" s="11211"/>
      <c r="K363" s="11211"/>
      <c r="L363" s="11219"/>
      <c r="M363" s="11219"/>
      <c r="N363" s="11219"/>
      <c r="O363" s="11211"/>
      <c r="P363" s="11211"/>
      <c r="Q363" s="11213"/>
      <c r="R363" s="2849"/>
      <c r="S363" s="1453"/>
      <c r="T363" s="1453"/>
      <c r="U363" s="246"/>
      <c r="V363" s="513"/>
      <c r="W363" s="247"/>
      <c r="X363" s="7020"/>
      <c r="Y363" s="7020"/>
      <c r="Z363" s="7020"/>
      <c r="AA363" s="7142"/>
      <c r="AB363" s="1441"/>
      <c r="AC363" s="1441"/>
      <c r="AD363" s="247"/>
      <c r="AE363" s="413"/>
      <c r="AF363" s="413"/>
      <c r="AG363" s="11262"/>
    </row>
    <row r="364" spans="1:33" ht="25.5" customHeight="1">
      <c r="A364" s="9244"/>
      <c r="B364" s="11240"/>
      <c r="C364" s="11211"/>
      <c r="D364" s="11211"/>
      <c r="E364" s="11211"/>
      <c r="F364" s="11211"/>
      <c r="G364" s="11211"/>
      <c r="H364" s="11211"/>
      <c r="I364" s="11211"/>
      <c r="J364" s="11211"/>
      <c r="K364" s="11211"/>
      <c r="L364" s="11219"/>
      <c r="M364" s="11219"/>
      <c r="N364" s="11219"/>
      <c r="O364" s="11211"/>
      <c r="P364" s="11211"/>
      <c r="Q364" s="11213"/>
      <c r="R364" s="2850"/>
      <c r="S364" s="1454"/>
      <c r="T364" s="1454"/>
      <c r="U364" s="246"/>
      <c r="V364" s="513"/>
      <c r="W364" s="247"/>
      <c r="X364" s="7020"/>
      <c r="Y364" s="7020"/>
      <c r="Z364" s="7020"/>
      <c r="AA364" s="7142"/>
      <c r="AB364" s="1441"/>
      <c r="AC364" s="1441"/>
      <c r="AD364" s="247"/>
      <c r="AE364" s="413"/>
      <c r="AF364" s="413"/>
      <c r="AG364" s="11262"/>
    </row>
    <row r="365" spans="1:33" ht="25.5" customHeight="1">
      <c r="A365" s="9244"/>
      <c r="B365" s="11241"/>
      <c r="C365" s="11212"/>
      <c r="D365" s="11212"/>
      <c r="E365" s="11212"/>
      <c r="F365" s="11212"/>
      <c r="G365" s="11212"/>
      <c r="H365" s="11212"/>
      <c r="I365" s="11212"/>
      <c r="J365" s="11212"/>
      <c r="K365" s="11212"/>
      <c r="L365" s="11220"/>
      <c r="M365" s="11220"/>
      <c r="N365" s="11220"/>
      <c r="O365" s="11212"/>
      <c r="P365" s="11212"/>
      <c r="Q365" s="11214"/>
      <c r="R365" s="2851"/>
      <c r="S365" s="1457"/>
      <c r="T365" s="1457"/>
      <c r="U365" s="260"/>
      <c r="V365" s="514"/>
      <c r="W365" s="252"/>
      <c r="X365" s="7021"/>
      <c r="Y365" s="7021"/>
      <c r="Z365" s="7021"/>
      <c r="AA365" s="7143"/>
      <c r="AB365" s="1442"/>
      <c r="AC365" s="1442"/>
      <c r="AD365" s="252"/>
      <c r="AE365" s="414"/>
      <c r="AF365" s="414"/>
      <c r="AG365" s="11263"/>
    </row>
    <row r="366" spans="1:33" ht="31.5" customHeight="1">
      <c r="A366" s="9244"/>
      <c r="B366" s="11228" t="s">
        <v>183</v>
      </c>
      <c r="C366" s="11210" t="s">
        <v>227</v>
      </c>
      <c r="D366" s="11210" t="s">
        <v>185</v>
      </c>
      <c r="E366" s="11210" t="s">
        <v>1938</v>
      </c>
      <c r="F366" s="11216" t="s">
        <v>230</v>
      </c>
      <c r="G366" s="11210" t="s">
        <v>171</v>
      </c>
      <c r="H366" s="11210" t="s">
        <v>133</v>
      </c>
      <c r="I366" s="11210" t="s">
        <v>6447</v>
      </c>
      <c r="J366" s="11223" t="s">
        <v>6448</v>
      </c>
      <c r="K366" s="11210" t="s">
        <v>6449</v>
      </c>
      <c r="L366" s="11218">
        <v>1</v>
      </c>
      <c r="M366" s="11218">
        <v>0</v>
      </c>
      <c r="N366" s="11218">
        <v>1</v>
      </c>
      <c r="O366" s="11210" t="s">
        <v>5901</v>
      </c>
      <c r="P366" s="11210" t="s">
        <v>4341</v>
      </c>
      <c r="Q366" s="11238" t="s">
        <v>6467</v>
      </c>
      <c r="R366" s="2852"/>
      <c r="S366" s="1458"/>
      <c r="T366" s="1458"/>
      <c r="U366" s="515"/>
      <c r="V366" s="516"/>
      <c r="W366" s="487"/>
      <c r="X366" s="7045"/>
      <c r="Y366" s="7045"/>
      <c r="Z366" s="7045"/>
      <c r="AA366" s="7144"/>
      <c r="AB366" s="1439"/>
      <c r="AC366" s="1439"/>
      <c r="AD366" s="487"/>
      <c r="AE366" s="1440"/>
      <c r="AF366" s="1440"/>
      <c r="AG366" s="9825"/>
    </row>
    <row r="367" spans="1:33" ht="31.5" customHeight="1">
      <c r="A367" s="9244"/>
      <c r="B367" s="11240"/>
      <c r="C367" s="11211"/>
      <c r="D367" s="11211"/>
      <c r="E367" s="11211"/>
      <c r="F367" s="11211"/>
      <c r="G367" s="11211"/>
      <c r="H367" s="11211"/>
      <c r="I367" s="11211"/>
      <c r="J367" s="11211"/>
      <c r="K367" s="11211"/>
      <c r="L367" s="11219"/>
      <c r="M367" s="11219"/>
      <c r="N367" s="11219"/>
      <c r="O367" s="11211"/>
      <c r="P367" s="11211"/>
      <c r="Q367" s="11213"/>
      <c r="R367" s="2849"/>
      <c r="S367" s="1453"/>
      <c r="T367" s="1453"/>
      <c r="U367" s="246"/>
      <c r="V367" s="513"/>
      <c r="W367" s="247"/>
      <c r="X367" s="7020"/>
      <c r="Y367" s="7020"/>
      <c r="Z367" s="7020"/>
      <c r="AA367" s="7142"/>
      <c r="AB367" s="1441"/>
      <c r="AC367" s="1441"/>
      <c r="AD367" s="247"/>
      <c r="AE367" s="413"/>
      <c r="AF367" s="413"/>
      <c r="AG367" s="11249"/>
    </row>
    <row r="368" spans="1:33" ht="31.5" customHeight="1">
      <c r="A368" s="9244"/>
      <c r="B368" s="11240"/>
      <c r="C368" s="11211"/>
      <c r="D368" s="11211"/>
      <c r="E368" s="11211"/>
      <c r="F368" s="11211"/>
      <c r="G368" s="11211"/>
      <c r="H368" s="11211"/>
      <c r="I368" s="11211"/>
      <c r="J368" s="11211"/>
      <c r="K368" s="11211"/>
      <c r="L368" s="11219"/>
      <c r="M368" s="11219"/>
      <c r="N368" s="11219"/>
      <c r="O368" s="11211"/>
      <c r="P368" s="11211"/>
      <c r="Q368" s="11213"/>
      <c r="R368" s="2849"/>
      <c r="S368" s="1453"/>
      <c r="T368" s="1453"/>
      <c r="U368" s="246"/>
      <c r="V368" s="513"/>
      <c r="W368" s="247"/>
      <c r="X368" s="7020"/>
      <c r="Y368" s="7020"/>
      <c r="Z368" s="7020"/>
      <c r="AA368" s="7142"/>
      <c r="AB368" s="1441"/>
      <c r="AC368" s="1441"/>
      <c r="AD368" s="247"/>
      <c r="AE368" s="413"/>
      <c r="AF368" s="413"/>
      <c r="AG368" s="11249"/>
    </row>
    <row r="369" spans="1:33" ht="31.5" customHeight="1">
      <c r="A369" s="9244"/>
      <c r="B369" s="11240"/>
      <c r="C369" s="11211"/>
      <c r="D369" s="11211"/>
      <c r="E369" s="11211"/>
      <c r="F369" s="11211"/>
      <c r="G369" s="11211"/>
      <c r="H369" s="11211"/>
      <c r="I369" s="11211"/>
      <c r="J369" s="11211"/>
      <c r="K369" s="11211"/>
      <c r="L369" s="11219"/>
      <c r="M369" s="11219"/>
      <c r="N369" s="11219"/>
      <c r="O369" s="11211"/>
      <c r="P369" s="11211"/>
      <c r="Q369" s="11213"/>
      <c r="R369" s="2850"/>
      <c r="S369" s="1454"/>
      <c r="T369" s="1454"/>
      <c r="U369" s="246"/>
      <c r="V369" s="513"/>
      <c r="W369" s="247"/>
      <c r="X369" s="7020"/>
      <c r="Y369" s="7020"/>
      <c r="Z369" s="7020"/>
      <c r="AA369" s="7142"/>
      <c r="AB369" s="1441"/>
      <c r="AC369" s="1441"/>
      <c r="AD369" s="247"/>
      <c r="AE369" s="413"/>
      <c r="AF369" s="413"/>
      <c r="AG369" s="11249"/>
    </row>
    <row r="370" spans="1:33" ht="31.5" customHeight="1">
      <c r="A370" s="9244"/>
      <c r="B370" s="11241"/>
      <c r="C370" s="11212"/>
      <c r="D370" s="11212"/>
      <c r="E370" s="11212"/>
      <c r="F370" s="11212"/>
      <c r="G370" s="11212"/>
      <c r="H370" s="11212"/>
      <c r="I370" s="11212"/>
      <c r="J370" s="11212"/>
      <c r="K370" s="11212"/>
      <c r="L370" s="11220"/>
      <c r="M370" s="11220"/>
      <c r="N370" s="11220"/>
      <c r="O370" s="11212"/>
      <c r="P370" s="11212"/>
      <c r="Q370" s="11214"/>
      <c r="R370" s="2851"/>
      <c r="S370" s="1457"/>
      <c r="T370" s="1457"/>
      <c r="U370" s="260"/>
      <c r="V370" s="514"/>
      <c r="W370" s="252"/>
      <c r="X370" s="7021"/>
      <c r="Y370" s="7021"/>
      <c r="Z370" s="7021"/>
      <c r="AA370" s="7143"/>
      <c r="AB370" s="1442"/>
      <c r="AC370" s="1442"/>
      <c r="AD370" s="252"/>
      <c r="AE370" s="414"/>
      <c r="AF370" s="414"/>
      <c r="AG370" s="11259"/>
    </row>
    <row r="371" spans="1:33" ht="33" customHeight="1">
      <c r="A371" s="9244"/>
      <c r="B371" s="11228" t="s">
        <v>183</v>
      </c>
      <c r="C371" s="11210" t="s">
        <v>227</v>
      </c>
      <c r="D371" s="11210" t="s">
        <v>1292</v>
      </c>
      <c r="E371" s="11210" t="s">
        <v>1293</v>
      </c>
      <c r="F371" s="11216" t="s">
        <v>230</v>
      </c>
      <c r="G371" s="11210" t="s">
        <v>171</v>
      </c>
      <c r="H371" s="11210" t="s">
        <v>133</v>
      </c>
      <c r="I371" s="11210" t="s">
        <v>6451</v>
      </c>
      <c r="J371" s="11223" t="s">
        <v>6452</v>
      </c>
      <c r="K371" s="11210" t="s">
        <v>6453</v>
      </c>
      <c r="L371" s="11218">
        <v>1</v>
      </c>
      <c r="M371" s="11218">
        <v>0</v>
      </c>
      <c r="N371" s="11218">
        <v>1</v>
      </c>
      <c r="O371" s="11210" t="s">
        <v>6454</v>
      </c>
      <c r="P371" s="11210" t="s">
        <v>6455</v>
      </c>
      <c r="Q371" s="11238" t="s">
        <v>6467</v>
      </c>
      <c r="R371" s="2852"/>
      <c r="S371" s="1458"/>
      <c r="T371" s="1458"/>
      <c r="U371" s="515"/>
      <c r="V371" s="516"/>
      <c r="W371" s="487"/>
      <c r="X371" s="7045"/>
      <c r="Y371" s="7045"/>
      <c r="Z371" s="7045"/>
      <c r="AA371" s="7144"/>
      <c r="AB371" s="1439"/>
      <c r="AC371" s="1439"/>
      <c r="AD371" s="487"/>
      <c r="AE371" s="1440"/>
      <c r="AF371" s="1440"/>
      <c r="AG371" s="9825"/>
    </row>
    <row r="372" spans="1:33" ht="33" customHeight="1">
      <c r="A372" s="9244"/>
      <c r="B372" s="11240"/>
      <c r="C372" s="11211"/>
      <c r="D372" s="11211"/>
      <c r="E372" s="11211"/>
      <c r="F372" s="11211"/>
      <c r="G372" s="11211"/>
      <c r="H372" s="11211"/>
      <c r="I372" s="11211"/>
      <c r="J372" s="11211"/>
      <c r="K372" s="11211"/>
      <c r="L372" s="11219"/>
      <c r="M372" s="11219"/>
      <c r="N372" s="11219"/>
      <c r="O372" s="11211"/>
      <c r="P372" s="11211"/>
      <c r="Q372" s="11213"/>
      <c r="R372" s="2849"/>
      <c r="S372" s="1453"/>
      <c r="T372" s="1453"/>
      <c r="U372" s="246"/>
      <c r="V372" s="513"/>
      <c r="W372" s="247"/>
      <c r="X372" s="7020"/>
      <c r="Y372" s="7020"/>
      <c r="Z372" s="7020"/>
      <c r="AA372" s="7142"/>
      <c r="AB372" s="1441"/>
      <c r="AC372" s="1441"/>
      <c r="AD372" s="247"/>
      <c r="AE372" s="413"/>
      <c r="AF372" s="413"/>
      <c r="AG372" s="11249"/>
    </row>
    <row r="373" spans="1:33" ht="33" customHeight="1">
      <c r="A373" s="9244"/>
      <c r="B373" s="11240"/>
      <c r="C373" s="11211"/>
      <c r="D373" s="11211"/>
      <c r="E373" s="11211"/>
      <c r="F373" s="11211"/>
      <c r="G373" s="11211"/>
      <c r="H373" s="11211"/>
      <c r="I373" s="11211"/>
      <c r="J373" s="11211"/>
      <c r="K373" s="11211"/>
      <c r="L373" s="11219"/>
      <c r="M373" s="11219"/>
      <c r="N373" s="11219"/>
      <c r="O373" s="11211"/>
      <c r="P373" s="11211"/>
      <c r="Q373" s="11213"/>
      <c r="R373" s="2849"/>
      <c r="S373" s="1453"/>
      <c r="T373" s="1453"/>
      <c r="U373" s="246"/>
      <c r="V373" s="513"/>
      <c r="W373" s="247"/>
      <c r="X373" s="7020"/>
      <c r="Y373" s="7020"/>
      <c r="Z373" s="7020"/>
      <c r="AA373" s="7142"/>
      <c r="AB373" s="1441"/>
      <c r="AC373" s="1441"/>
      <c r="AD373" s="247"/>
      <c r="AE373" s="413"/>
      <c r="AF373" s="413"/>
      <c r="AG373" s="11249"/>
    </row>
    <row r="374" spans="1:33" ht="33" customHeight="1">
      <c r="A374" s="9244"/>
      <c r="B374" s="11240"/>
      <c r="C374" s="11211"/>
      <c r="D374" s="11211"/>
      <c r="E374" s="11211"/>
      <c r="F374" s="11211"/>
      <c r="G374" s="11211"/>
      <c r="H374" s="11211"/>
      <c r="I374" s="11211"/>
      <c r="J374" s="11211"/>
      <c r="K374" s="11211"/>
      <c r="L374" s="11219"/>
      <c r="M374" s="11219"/>
      <c r="N374" s="11219"/>
      <c r="O374" s="11211"/>
      <c r="P374" s="11211"/>
      <c r="Q374" s="11213"/>
      <c r="R374" s="2850"/>
      <c r="S374" s="1454"/>
      <c r="T374" s="1454"/>
      <c r="U374" s="246"/>
      <c r="V374" s="513"/>
      <c r="W374" s="247"/>
      <c r="X374" s="7020"/>
      <c r="Y374" s="7020"/>
      <c r="Z374" s="7020"/>
      <c r="AA374" s="7142"/>
      <c r="AB374" s="1441"/>
      <c r="AC374" s="1441"/>
      <c r="AD374" s="247"/>
      <c r="AE374" s="413"/>
      <c r="AF374" s="413"/>
      <c r="AG374" s="11249"/>
    </row>
    <row r="375" spans="1:33" ht="33" customHeight="1">
      <c r="A375" s="9244"/>
      <c r="B375" s="11241"/>
      <c r="C375" s="11212"/>
      <c r="D375" s="11212"/>
      <c r="E375" s="11212"/>
      <c r="F375" s="11212"/>
      <c r="G375" s="11212"/>
      <c r="H375" s="11212"/>
      <c r="I375" s="11212"/>
      <c r="J375" s="11212"/>
      <c r="K375" s="11212"/>
      <c r="L375" s="11220"/>
      <c r="M375" s="11220"/>
      <c r="N375" s="11220"/>
      <c r="O375" s="11212"/>
      <c r="P375" s="11212"/>
      <c r="Q375" s="11214"/>
      <c r="R375" s="2851"/>
      <c r="S375" s="1457"/>
      <c r="T375" s="1457"/>
      <c r="U375" s="260"/>
      <c r="V375" s="514"/>
      <c r="W375" s="252"/>
      <c r="X375" s="7021"/>
      <c r="Y375" s="7021"/>
      <c r="Z375" s="7021"/>
      <c r="AA375" s="7143"/>
      <c r="AB375" s="1442"/>
      <c r="AC375" s="1442"/>
      <c r="AD375" s="252"/>
      <c r="AE375" s="414"/>
      <c r="AF375" s="414"/>
      <c r="AG375" s="11259"/>
    </row>
    <row r="376" spans="1:33" ht="25.5" customHeight="1">
      <c r="A376" s="9244"/>
      <c r="B376" s="11350" t="s">
        <v>183</v>
      </c>
      <c r="C376" s="11210" t="s">
        <v>227</v>
      </c>
      <c r="D376" s="11210" t="s">
        <v>490</v>
      </c>
      <c r="E376" s="11210" t="s">
        <v>2210</v>
      </c>
      <c r="F376" s="11216" t="s">
        <v>230</v>
      </c>
      <c r="G376" s="11210" t="s">
        <v>171</v>
      </c>
      <c r="H376" s="11210" t="s">
        <v>133</v>
      </c>
      <c r="I376" s="11210" t="s">
        <v>6457</v>
      </c>
      <c r="J376" s="11223" t="s">
        <v>6458</v>
      </c>
      <c r="K376" s="11210" t="s">
        <v>6459</v>
      </c>
      <c r="L376" s="11218">
        <v>1</v>
      </c>
      <c r="M376" s="11218">
        <v>0</v>
      </c>
      <c r="N376" s="11218">
        <v>1</v>
      </c>
      <c r="O376" s="11210" t="s">
        <v>6460</v>
      </c>
      <c r="P376" s="11210" t="s">
        <v>6461</v>
      </c>
      <c r="Q376" s="9705" t="s">
        <v>6470</v>
      </c>
      <c r="R376" s="2852"/>
      <c r="S376" s="1458"/>
      <c r="T376" s="1458"/>
      <c r="U376" s="515"/>
      <c r="V376" s="516"/>
      <c r="W376" s="487"/>
      <c r="X376" s="7045"/>
      <c r="Y376" s="7045"/>
      <c r="Z376" s="7045"/>
      <c r="AA376" s="7144"/>
      <c r="AB376" s="1439"/>
      <c r="AC376" s="1439"/>
      <c r="AD376" s="487"/>
      <c r="AE376" s="1440"/>
      <c r="AF376" s="1440"/>
      <c r="AG376" s="9825"/>
    </row>
    <row r="377" spans="1:33" ht="25.5" customHeight="1">
      <c r="A377" s="9244"/>
      <c r="B377" s="11240"/>
      <c r="C377" s="11211"/>
      <c r="D377" s="11211"/>
      <c r="E377" s="11211"/>
      <c r="F377" s="11211"/>
      <c r="G377" s="11211"/>
      <c r="H377" s="11211"/>
      <c r="I377" s="11211"/>
      <c r="J377" s="11211"/>
      <c r="K377" s="11211"/>
      <c r="L377" s="11219"/>
      <c r="M377" s="11219"/>
      <c r="N377" s="11219"/>
      <c r="O377" s="11211"/>
      <c r="P377" s="11211"/>
      <c r="Q377" s="11213"/>
      <c r="R377" s="2849"/>
      <c r="S377" s="1453"/>
      <c r="T377" s="1453"/>
      <c r="U377" s="246"/>
      <c r="V377" s="513"/>
      <c r="W377" s="247"/>
      <c r="X377" s="7020"/>
      <c r="Y377" s="7020"/>
      <c r="Z377" s="7020"/>
      <c r="AA377" s="7142"/>
      <c r="AB377" s="1441"/>
      <c r="AC377" s="1441"/>
      <c r="AD377" s="247"/>
      <c r="AE377" s="413"/>
      <c r="AF377" s="413"/>
      <c r="AG377" s="11249"/>
    </row>
    <row r="378" spans="1:33" ht="25.5" customHeight="1">
      <c r="A378" s="9244"/>
      <c r="B378" s="11240"/>
      <c r="C378" s="11211"/>
      <c r="D378" s="11211"/>
      <c r="E378" s="11211"/>
      <c r="F378" s="11211"/>
      <c r="G378" s="11211"/>
      <c r="H378" s="11211"/>
      <c r="I378" s="11211"/>
      <c r="J378" s="11211"/>
      <c r="K378" s="11211"/>
      <c r="L378" s="11219"/>
      <c r="M378" s="11219"/>
      <c r="N378" s="11219"/>
      <c r="O378" s="11211"/>
      <c r="P378" s="11211"/>
      <c r="Q378" s="11213"/>
      <c r="R378" s="2849"/>
      <c r="S378" s="1453"/>
      <c r="T378" s="1453"/>
      <c r="U378" s="246"/>
      <c r="V378" s="513"/>
      <c r="W378" s="247"/>
      <c r="X378" s="7020"/>
      <c r="Y378" s="7020"/>
      <c r="Z378" s="7020"/>
      <c r="AA378" s="7142"/>
      <c r="AB378" s="1441"/>
      <c r="AC378" s="1441"/>
      <c r="AD378" s="247"/>
      <c r="AE378" s="413"/>
      <c r="AF378" s="413"/>
      <c r="AG378" s="11249"/>
    </row>
    <row r="379" spans="1:33" ht="25.5" customHeight="1">
      <c r="A379" s="9244"/>
      <c r="B379" s="11240"/>
      <c r="C379" s="11211"/>
      <c r="D379" s="11211"/>
      <c r="E379" s="11211"/>
      <c r="F379" s="11211"/>
      <c r="G379" s="11211"/>
      <c r="H379" s="11211"/>
      <c r="I379" s="11211"/>
      <c r="J379" s="11211"/>
      <c r="K379" s="11211"/>
      <c r="L379" s="11219"/>
      <c r="M379" s="11219"/>
      <c r="N379" s="11219"/>
      <c r="O379" s="11211"/>
      <c r="P379" s="11211"/>
      <c r="Q379" s="11213"/>
      <c r="R379" s="2850"/>
      <c r="S379" s="1454"/>
      <c r="T379" s="1454"/>
      <c r="U379" s="246"/>
      <c r="V379" s="513"/>
      <c r="W379" s="247"/>
      <c r="X379" s="7020"/>
      <c r="Y379" s="7020"/>
      <c r="Z379" s="7020"/>
      <c r="AA379" s="7142"/>
      <c r="AB379" s="1441"/>
      <c r="AC379" s="1441"/>
      <c r="AD379" s="247"/>
      <c r="AE379" s="413"/>
      <c r="AF379" s="413"/>
      <c r="AG379" s="11249"/>
    </row>
    <row r="380" spans="1:33" ht="25.5" customHeight="1">
      <c r="A380" s="9244"/>
      <c r="B380" s="11243"/>
      <c r="C380" s="11221"/>
      <c r="D380" s="11221"/>
      <c r="E380" s="11221"/>
      <c r="F380" s="11221"/>
      <c r="G380" s="11221"/>
      <c r="H380" s="11221"/>
      <c r="I380" s="11221"/>
      <c r="J380" s="11221"/>
      <c r="K380" s="11221"/>
      <c r="L380" s="11232"/>
      <c r="M380" s="11232"/>
      <c r="N380" s="11232"/>
      <c r="O380" s="11221"/>
      <c r="P380" s="11221"/>
      <c r="Q380" s="11237"/>
      <c r="R380" s="5152"/>
      <c r="S380" s="5153"/>
      <c r="T380" s="5153"/>
      <c r="U380" s="5154"/>
      <c r="V380" s="5155"/>
      <c r="W380" s="5156"/>
      <c r="X380" s="7641"/>
      <c r="Y380" s="7641"/>
      <c r="Z380" s="7641"/>
      <c r="AA380" s="7642"/>
      <c r="AB380" s="5157"/>
      <c r="AC380" s="5157"/>
      <c r="AD380" s="5156"/>
      <c r="AE380" s="5158"/>
      <c r="AF380" s="5158"/>
      <c r="AG380" s="11250"/>
    </row>
    <row r="381" spans="1:33" s="6149" customFormat="1" ht="25.5" customHeight="1" thickBot="1">
      <c r="A381" s="11351"/>
      <c r="B381" s="11306"/>
      <c r="C381" s="11307"/>
      <c r="D381" s="11307"/>
      <c r="E381" s="11307"/>
      <c r="F381" s="11307"/>
      <c r="G381" s="11307"/>
      <c r="H381" s="11307"/>
      <c r="I381" s="11307"/>
      <c r="J381" s="11307"/>
      <c r="K381" s="11307"/>
      <c r="L381" s="11307"/>
      <c r="M381" s="11307"/>
      <c r="N381" s="11307"/>
      <c r="O381" s="11307"/>
      <c r="P381" s="11307"/>
      <c r="Q381" s="11308"/>
      <c r="R381" s="11313" t="s">
        <v>6472</v>
      </c>
      <c r="S381" s="11314"/>
      <c r="T381" s="11314"/>
      <c r="U381" s="11314"/>
      <c r="V381" s="11314"/>
      <c r="W381" s="11314"/>
      <c r="X381" s="11314"/>
      <c r="Y381" s="11314"/>
      <c r="Z381" s="6173" t="s">
        <v>292</v>
      </c>
      <c r="AA381" s="7648">
        <f>SUM(AA361:AA380)</f>
        <v>0</v>
      </c>
      <c r="AB381" s="6174"/>
      <c r="AC381" s="6174"/>
      <c r="AD381" s="11281"/>
      <c r="AE381" s="11282"/>
      <c r="AF381" s="11282"/>
      <c r="AG381" s="11283"/>
    </row>
    <row r="382" spans="1:33" s="6149" customFormat="1" ht="30" customHeight="1" thickBot="1">
      <c r="A382" s="6238"/>
      <c r="B382" s="11225"/>
      <c r="C382" s="11225"/>
      <c r="D382" s="11225"/>
      <c r="E382" s="11225"/>
      <c r="F382" s="11225"/>
      <c r="G382" s="11225"/>
      <c r="H382" s="11225"/>
      <c r="I382" s="11225"/>
      <c r="J382" s="11225"/>
      <c r="K382" s="11225"/>
      <c r="L382" s="11225"/>
      <c r="M382" s="11225"/>
      <c r="N382" s="11225"/>
      <c r="O382" s="11225"/>
      <c r="P382" s="11225"/>
      <c r="Q382" s="11225"/>
      <c r="R382" s="11226" t="s">
        <v>6473</v>
      </c>
      <c r="S382" s="11226"/>
      <c r="T382" s="11226"/>
      <c r="U382" s="11226"/>
      <c r="V382" s="11226"/>
      <c r="W382" s="11226"/>
      <c r="X382" s="11226"/>
      <c r="Y382" s="11226"/>
      <c r="Z382" s="5881" t="s">
        <v>292</v>
      </c>
      <c r="AA382" s="5869">
        <f>SUM(AA81,AA216,AA277,AA318,AA339,AA360,AA381)</f>
        <v>1051963.4717857142</v>
      </c>
      <c r="AB382" s="2858"/>
      <c r="AC382" s="2858"/>
      <c r="AD382" s="9797"/>
      <c r="AE382" s="11284"/>
      <c r="AF382" s="11284"/>
      <c r="AG382" s="11285"/>
    </row>
    <row r="383" spans="1:33" ht="16.5" customHeight="1" thickTop="1">
      <c r="A383" s="822"/>
      <c r="B383" s="1459" t="s">
        <v>656</v>
      </c>
      <c r="C383" s="821" t="s">
        <v>6474</v>
      </c>
      <c r="D383" s="822"/>
      <c r="E383" s="822"/>
      <c r="F383" s="822"/>
      <c r="G383" s="822"/>
      <c r="H383" s="822"/>
      <c r="I383" s="822"/>
      <c r="J383" s="822"/>
      <c r="K383" s="822"/>
      <c r="L383" s="1460"/>
      <c r="M383" s="1460"/>
      <c r="N383" s="1460"/>
      <c r="O383" s="822"/>
      <c r="P383" s="822"/>
      <c r="Q383" s="822"/>
      <c r="R383" s="11315" t="s">
        <v>6475</v>
      </c>
      <c r="S383" s="11316"/>
      <c r="T383" s="11316"/>
      <c r="U383" s="11316"/>
      <c r="V383" s="11316"/>
      <c r="W383" s="11316"/>
      <c r="X383" s="11316"/>
      <c r="Y383" s="11316"/>
      <c r="Z383" s="11316"/>
      <c r="AA383" s="11316"/>
      <c r="AB383" s="11316"/>
      <c r="AC383" s="11316"/>
      <c r="AD383" s="11316"/>
      <c r="AE383" s="11316"/>
      <c r="AF383" s="11316"/>
      <c r="AG383" s="11316"/>
    </row>
    <row r="384" spans="1:33" ht="16.5">
      <c r="A384" s="822"/>
      <c r="B384" s="231" t="s">
        <v>658</v>
      </c>
      <c r="C384" s="2179">
        <v>44824</v>
      </c>
      <c r="D384" s="822"/>
      <c r="E384" s="822"/>
      <c r="F384" s="822"/>
      <c r="G384" s="822"/>
      <c r="H384" s="822"/>
      <c r="I384" s="822"/>
      <c r="J384" s="822"/>
      <c r="K384" s="822"/>
      <c r="L384" s="1460"/>
      <c r="M384" s="1460"/>
      <c r="N384" s="1460"/>
      <c r="O384" s="822"/>
      <c r="P384" s="822"/>
      <c r="Q384" s="822"/>
      <c r="R384" s="822"/>
      <c r="S384" s="2143"/>
      <c r="T384" s="2143"/>
      <c r="U384" s="2143"/>
      <c r="V384" s="2143"/>
      <c r="W384" s="2143"/>
      <c r="X384" s="2143"/>
      <c r="Y384" s="2143"/>
      <c r="Z384" s="2143"/>
      <c r="AA384" s="2143"/>
      <c r="AB384" s="2143"/>
      <c r="AC384" s="2143"/>
      <c r="AD384" s="2143"/>
      <c r="AE384" s="2143"/>
      <c r="AF384" s="2143"/>
      <c r="AG384" s="2143"/>
    </row>
    <row r="385" spans="1:33" ht="16.5" customHeight="1">
      <c r="A385" s="125"/>
      <c r="D385" s="125"/>
      <c r="E385" s="125"/>
      <c r="F385" s="125"/>
      <c r="G385" s="125"/>
      <c r="H385" s="125"/>
      <c r="I385" s="125"/>
      <c r="J385" s="125"/>
      <c r="K385" s="125"/>
      <c r="L385" s="1462"/>
      <c r="M385" s="1462"/>
      <c r="N385" s="1462"/>
      <c r="O385" s="125"/>
      <c r="P385" s="125"/>
      <c r="Q385" s="125"/>
      <c r="R385" s="125"/>
      <c r="S385" s="125"/>
      <c r="T385" s="8775" t="s">
        <v>3415</v>
      </c>
      <c r="U385" s="11317"/>
      <c r="V385" s="11317"/>
      <c r="W385" s="11317"/>
      <c r="X385" s="11317"/>
      <c r="Y385" s="11317"/>
      <c r="Z385" s="125"/>
      <c r="AA385" s="2856"/>
      <c r="AB385" s="2856"/>
      <c r="AC385" s="822"/>
      <c r="AD385" s="125"/>
      <c r="AE385" s="125"/>
      <c r="AF385" s="125"/>
      <c r="AG385" s="1461"/>
    </row>
    <row r="386" spans="1:33" ht="17.25" thickBot="1">
      <c r="A386" s="125"/>
      <c r="B386" s="125"/>
      <c r="C386" s="125"/>
      <c r="D386" s="125"/>
      <c r="E386" s="125"/>
      <c r="F386" s="125"/>
      <c r="G386" s="125"/>
      <c r="H386" s="125"/>
      <c r="I386" s="125"/>
      <c r="J386" s="125"/>
      <c r="K386" s="125"/>
      <c r="L386" s="1462"/>
      <c r="M386" s="1462"/>
      <c r="N386" s="1462"/>
      <c r="O386" s="125"/>
      <c r="P386" s="125"/>
      <c r="Q386" s="125"/>
      <c r="R386" s="125"/>
      <c r="S386" s="1464"/>
      <c r="T386" s="822"/>
      <c r="U386" s="822"/>
      <c r="V386" s="822"/>
      <c r="W386" s="822"/>
      <c r="X386" s="822"/>
      <c r="Y386" s="822"/>
      <c r="Z386" s="102"/>
      <c r="AA386" s="371"/>
      <c r="AB386" s="2857"/>
      <c r="AC386" s="125"/>
      <c r="AD386" s="125"/>
      <c r="AE386" s="125"/>
      <c r="AF386" s="125"/>
      <c r="AG386" s="1461"/>
    </row>
    <row r="387" spans="1:33" ht="18" customHeight="1" thickTop="1">
      <c r="A387" s="125"/>
      <c r="B387" s="125"/>
      <c r="C387" s="125"/>
      <c r="D387" s="125"/>
      <c r="E387" s="125"/>
      <c r="F387" s="125"/>
      <c r="G387" s="125"/>
      <c r="H387" s="125"/>
      <c r="I387" s="125"/>
      <c r="J387" s="125"/>
      <c r="K387" s="125"/>
      <c r="L387" s="1462"/>
      <c r="M387" s="1462"/>
      <c r="N387" s="1462"/>
      <c r="O387" s="125"/>
      <c r="P387" s="125"/>
      <c r="Q387" s="125"/>
      <c r="R387" s="125"/>
      <c r="S387" s="125"/>
      <c r="T387" s="5919" t="s">
        <v>5</v>
      </c>
      <c r="U387" s="5906" t="s">
        <v>6476</v>
      </c>
      <c r="V387" s="5906" t="s">
        <v>7</v>
      </c>
      <c r="W387" s="5921" t="s">
        <v>6477</v>
      </c>
      <c r="X387" s="5921" t="s">
        <v>9</v>
      </c>
      <c r="Y387" s="5923" t="s">
        <v>353</v>
      </c>
      <c r="Z387" s="822"/>
      <c r="AA387" s="1463"/>
      <c r="AB387" s="1465"/>
      <c r="AC387" s="125"/>
      <c r="AD387" s="125"/>
      <c r="AE387" s="125"/>
      <c r="AF387" s="125"/>
      <c r="AG387" s="1461"/>
    </row>
    <row r="388" spans="1:33" ht="49.5">
      <c r="A388" s="125"/>
      <c r="B388" s="125"/>
      <c r="C388" s="125"/>
      <c r="D388" s="125"/>
      <c r="E388" s="125"/>
      <c r="F388" s="125"/>
      <c r="G388" s="125"/>
      <c r="H388" s="125"/>
      <c r="I388" s="125"/>
      <c r="J388" s="125"/>
      <c r="K388" s="125"/>
      <c r="L388" s="1462"/>
      <c r="M388" s="1462"/>
      <c r="N388" s="1462"/>
      <c r="O388" s="125"/>
      <c r="P388" s="125"/>
      <c r="Q388" s="125"/>
      <c r="R388" s="125"/>
      <c r="S388" s="1464"/>
      <c r="T388" s="948" t="s">
        <v>79</v>
      </c>
      <c r="U388" s="953" t="s">
        <v>281</v>
      </c>
      <c r="V388" s="965">
        <v>530402</v>
      </c>
      <c r="W388" s="1466" t="s">
        <v>17</v>
      </c>
      <c r="X388" s="2907" t="s">
        <v>18</v>
      </c>
      <c r="Y388" s="2908">
        <f>+AA117</f>
        <v>2878.96</v>
      </c>
      <c r="Z388" s="822"/>
      <c r="AA388" s="1463"/>
      <c r="AB388" s="1463"/>
      <c r="AC388" s="125"/>
      <c r="AD388" s="125"/>
      <c r="AE388" s="125"/>
      <c r="AF388" s="125"/>
      <c r="AG388" s="1461"/>
    </row>
    <row r="389" spans="1:33" ht="33">
      <c r="A389" s="125"/>
      <c r="B389" s="125"/>
      <c r="C389" s="125"/>
      <c r="D389" s="125"/>
      <c r="E389" s="125"/>
      <c r="F389" s="125"/>
      <c r="G389" s="125"/>
      <c r="H389" s="125"/>
      <c r="I389" s="125"/>
      <c r="J389" s="125"/>
      <c r="K389" s="125"/>
      <c r="L389" s="1462"/>
      <c r="M389" s="1462"/>
      <c r="N389" s="1462"/>
      <c r="O389" s="125"/>
      <c r="P389" s="354"/>
      <c r="Q389" s="1464"/>
      <c r="R389" s="1464"/>
      <c r="S389" s="1464"/>
      <c r="T389" s="948" t="s">
        <v>79</v>
      </c>
      <c r="U389" s="952" t="s">
        <v>39</v>
      </c>
      <c r="V389" s="965">
        <v>840104</v>
      </c>
      <c r="W389" s="1466" t="s">
        <v>17</v>
      </c>
      <c r="X389" s="2907" t="s">
        <v>25</v>
      </c>
      <c r="Y389" s="2908">
        <f>AA156</f>
        <v>714.29</v>
      </c>
      <c r="Z389" s="822"/>
      <c r="AA389" s="1463"/>
      <c r="AB389" s="1463"/>
      <c r="AC389" s="125"/>
      <c r="AD389" s="125"/>
      <c r="AE389" s="125"/>
      <c r="AF389" s="125"/>
      <c r="AG389" s="1461"/>
    </row>
    <row r="390" spans="1:33" ht="49.5">
      <c r="A390" s="125"/>
      <c r="B390" s="125"/>
      <c r="C390" s="125"/>
      <c r="D390" s="125"/>
      <c r="E390" s="125"/>
      <c r="F390" s="125"/>
      <c r="G390" s="125"/>
      <c r="H390" s="125"/>
      <c r="I390" s="125"/>
      <c r="J390" s="125"/>
      <c r="K390" s="125"/>
      <c r="L390" s="1462"/>
      <c r="M390" s="1462"/>
      <c r="N390" s="1462"/>
      <c r="O390" s="125"/>
      <c r="P390" s="125"/>
      <c r="Q390" s="125"/>
      <c r="R390" s="125"/>
      <c r="S390" s="1464"/>
      <c r="T390" s="948" t="s">
        <v>80</v>
      </c>
      <c r="U390" s="953" t="s">
        <v>281</v>
      </c>
      <c r="V390" s="965">
        <v>530402</v>
      </c>
      <c r="W390" s="1466" t="s">
        <v>17</v>
      </c>
      <c r="X390" s="2907" t="s">
        <v>18</v>
      </c>
      <c r="Y390" s="2908">
        <f>+AA31</f>
        <v>5428.57</v>
      </c>
      <c r="Z390" s="822"/>
      <c r="AA390" s="1463"/>
      <c r="AB390" s="1463"/>
      <c r="AC390" s="125"/>
      <c r="AD390" s="125"/>
      <c r="AE390" s="125"/>
      <c r="AF390" s="125"/>
      <c r="AG390" s="1461"/>
    </row>
    <row r="391" spans="1:33" ht="33">
      <c r="A391" s="125"/>
      <c r="B391" s="125"/>
      <c r="C391" s="125"/>
      <c r="D391" s="125"/>
      <c r="E391" s="125"/>
      <c r="F391" s="125"/>
      <c r="G391" s="125"/>
      <c r="H391" s="125"/>
      <c r="I391" s="125"/>
      <c r="J391" s="125"/>
      <c r="K391" s="125"/>
      <c r="L391" s="1462"/>
      <c r="M391" s="1462"/>
      <c r="N391" s="1462"/>
      <c r="O391" s="125"/>
      <c r="P391" s="522"/>
      <c r="Q391" s="1464"/>
      <c r="R391" s="1464"/>
      <c r="S391" s="1464"/>
      <c r="T391" s="951" t="s">
        <v>80</v>
      </c>
      <c r="U391" s="953" t="s">
        <v>39</v>
      </c>
      <c r="V391" s="965">
        <v>840104</v>
      </c>
      <c r="W391" s="1466" t="s">
        <v>17</v>
      </c>
      <c r="X391" s="2907" t="s">
        <v>18</v>
      </c>
      <c r="Y391" s="2908">
        <f>+AA35</f>
        <v>7018.25</v>
      </c>
      <c r="Z391" s="822"/>
      <c r="AA391" s="1463"/>
      <c r="AB391" s="1463"/>
      <c r="AC391" s="125"/>
      <c r="AD391" s="125"/>
      <c r="AE391" s="125"/>
      <c r="AF391" s="125"/>
      <c r="AG391" s="1461"/>
    </row>
    <row r="392" spans="1:33" ht="33">
      <c r="A392" s="125"/>
      <c r="B392" s="125"/>
      <c r="C392" s="125"/>
      <c r="D392" s="125"/>
      <c r="E392" s="125"/>
      <c r="F392" s="125"/>
      <c r="G392" s="125"/>
      <c r="H392" s="125"/>
      <c r="I392" s="125"/>
      <c r="J392" s="125"/>
      <c r="K392" s="125"/>
      <c r="L392" s="1462"/>
      <c r="M392" s="1462"/>
      <c r="N392" s="1462"/>
      <c r="O392" s="125"/>
      <c r="P392" s="354"/>
      <c r="Q392" s="1464"/>
      <c r="R392" s="1464"/>
      <c r="S392" s="1464"/>
      <c r="T392" s="948" t="s">
        <v>80</v>
      </c>
      <c r="U392" s="952" t="s">
        <v>39</v>
      </c>
      <c r="V392" s="965" t="s">
        <v>6287</v>
      </c>
      <c r="W392" s="1466" t="s">
        <v>17</v>
      </c>
      <c r="X392" s="2907" t="s">
        <v>25</v>
      </c>
      <c r="Y392" s="2908">
        <f>+AA119</f>
        <v>899035.4017857142</v>
      </c>
      <c r="Z392" s="822"/>
      <c r="AA392" s="1463"/>
      <c r="AB392" s="1463"/>
      <c r="AC392" s="125"/>
      <c r="AD392" s="125"/>
      <c r="AE392" s="125"/>
      <c r="AF392" s="125"/>
      <c r="AG392" s="1461"/>
    </row>
    <row r="393" spans="1:33" ht="33">
      <c r="A393" s="125"/>
      <c r="B393" s="125"/>
      <c r="C393" s="125"/>
      <c r="D393" s="125"/>
      <c r="E393" s="125"/>
      <c r="F393" s="125"/>
      <c r="G393" s="125"/>
      <c r="H393" s="125"/>
      <c r="I393" s="125"/>
      <c r="J393" s="125"/>
      <c r="K393" s="125"/>
      <c r="L393" s="1462"/>
      <c r="M393" s="1462"/>
      <c r="N393" s="1462"/>
      <c r="O393" s="125"/>
      <c r="P393" s="354"/>
      <c r="Q393" s="1464"/>
      <c r="R393" s="1464"/>
      <c r="S393" s="1464"/>
      <c r="T393" s="948" t="s">
        <v>80</v>
      </c>
      <c r="U393" s="952" t="s">
        <v>40</v>
      </c>
      <c r="V393" s="965">
        <v>840107</v>
      </c>
      <c r="W393" s="1466" t="s">
        <v>17</v>
      </c>
      <c r="X393" s="2907" t="s">
        <v>18</v>
      </c>
      <c r="Y393" s="2908">
        <f>AA33</f>
        <v>4000</v>
      </c>
      <c r="Z393" s="822"/>
      <c r="AA393" s="1463"/>
      <c r="AB393" s="1463"/>
      <c r="AC393" s="125"/>
      <c r="AD393" s="125"/>
      <c r="AE393" s="125"/>
      <c r="AF393" s="125"/>
      <c r="AG393" s="1461"/>
    </row>
    <row r="394" spans="1:33" ht="33">
      <c r="A394" s="125"/>
      <c r="B394" s="125"/>
      <c r="C394" s="125"/>
      <c r="D394" s="125"/>
      <c r="E394" s="125"/>
      <c r="F394" s="125"/>
      <c r="G394" s="125"/>
      <c r="H394" s="125"/>
      <c r="I394" s="125"/>
      <c r="J394" s="125"/>
      <c r="K394" s="125"/>
      <c r="L394" s="1462"/>
      <c r="M394" s="1462"/>
      <c r="N394" s="1462"/>
      <c r="O394" s="125"/>
      <c r="P394" s="354"/>
      <c r="Q394" s="1464"/>
      <c r="R394" s="1464"/>
      <c r="S394" s="1464"/>
      <c r="T394" s="948" t="s">
        <v>80</v>
      </c>
      <c r="U394" s="952" t="s">
        <v>40</v>
      </c>
      <c r="V394" s="965" t="s">
        <v>6327</v>
      </c>
      <c r="W394" s="1466" t="s">
        <v>17</v>
      </c>
      <c r="X394" s="2907" t="s">
        <v>25</v>
      </c>
      <c r="Y394" s="2908">
        <f>+AA160</f>
        <v>132888</v>
      </c>
      <c r="Z394" s="822"/>
      <c r="AA394" s="1463"/>
      <c r="AB394" s="1463"/>
      <c r="AC394" s="125"/>
      <c r="AD394" s="125"/>
      <c r="AE394" s="125"/>
      <c r="AF394" s="125"/>
      <c r="AG394" s="1461"/>
    </row>
    <row r="395" spans="1:33" ht="18" customHeight="1" thickBot="1">
      <c r="A395" s="125"/>
      <c r="B395" s="125"/>
      <c r="C395" s="125"/>
      <c r="D395" s="125"/>
      <c r="E395" s="125"/>
      <c r="F395" s="125"/>
      <c r="G395" s="125"/>
      <c r="H395" s="125"/>
      <c r="I395" s="125"/>
      <c r="J395" s="125"/>
      <c r="K395" s="125"/>
      <c r="L395" s="1462"/>
      <c r="M395" s="1462"/>
      <c r="N395" s="1462"/>
      <c r="O395" s="125"/>
      <c r="P395" s="522"/>
      <c r="Q395" s="1464"/>
      <c r="R395" s="1464"/>
      <c r="S395" s="1464"/>
      <c r="T395" s="5924"/>
      <c r="U395" s="5928" t="s">
        <v>67</v>
      </c>
      <c r="V395" s="5925"/>
      <c r="W395" s="5925"/>
      <c r="X395" s="5927" t="s">
        <v>292</v>
      </c>
      <c r="Y395" s="1467">
        <f>+SUM(Y388:Y394)</f>
        <v>1051963.4717857142</v>
      </c>
      <c r="Z395" s="822"/>
      <c r="AA395" s="1463"/>
      <c r="AB395" s="1463"/>
      <c r="AC395" s="125"/>
      <c r="AD395" s="125"/>
      <c r="AE395" s="125"/>
      <c r="AF395" s="125"/>
      <c r="AG395" s="1461"/>
    </row>
    <row r="396" spans="1:33" ht="16.5" customHeight="1" thickTop="1">
      <c r="A396" s="125"/>
      <c r="B396" s="125"/>
      <c r="C396" s="125"/>
      <c r="D396" s="125"/>
      <c r="E396" s="125"/>
      <c r="F396" s="125"/>
      <c r="G396" s="125"/>
      <c r="H396" s="125"/>
      <c r="I396" s="125"/>
      <c r="J396" s="125"/>
      <c r="K396" s="125"/>
      <c r="L396" s="1462"/>
      <c r="M396" s="1462"/>
      <c r="N396" s="1462"/>
      <c r="O396" s="125"/>
      <c r="P396" s="1464"/>
      <c r="Q396" s="1464"/>
      <c r="R396" s="1464"/>
      <c r="S396" s="1464"/>
      <c r="T396" s="822"/>
      <c r="U396" s="822"/>
      <c r="V396" s="2172"/>
      <c r="W396" s="822"/>
      <c r="X396" s="2166"/>
      <c r="Y396" s="2166"/>
      <c r="Z396" s="1468"/>
      <c r="AA396" s="1463"/>
      <c r="AB396" s="1463"/>
      <c r="AC396" s="125"/>
      <c r="AD396" s="125"/>
      <c r="AE396" s="125"/>
      <c r="AF396" s="125"/>
      <c r="AG396" s="1461"/>
    </row>
    <row r="397" spans="1:33" ht="16.5" customHeight="1" thickBot="1">
      <c r="A397" s="125"/>
      <c r="B397" s="125"/>
      <c r="C397" s="125"/>
      <c r="D397" s="125"/>
      <c r="E397" s="125"/>
      <c r="F397" s="125"/>
      <c r="G397" s="125"/>
      <c r="H397" s="125"/>
      <c r="I397" s="125"/>
      <c r="J397" s="125"/>
      <c r="K397" s="125"/>
      <c r="L397" s="1462"/>
      <c r="M397" s="1462"/>
      <c r="N397" s="1462"/>
      <c r="O397" s="125"/>
      <c r="P397" s="125"/>
      <c r="Q397" s="125"/>
      <c r="R397" s="125"/>
      <c r="S397" s="125"/>
      <c r="T397" s="822"/>
      <c r="U397" s="822"/>
      <c r="V397" s="822"/>
      <c r="W397" s="125"/>
      <c r="X397" s="1468"/>
      <c r="Y397" s="1468"/>
      <c r="Z397" s="1468"/>
      <c r="AA397" s="1463"/>
      <c r="AB397" s="1463"/>
      <c r="AC397" s="125"/>
      <c r="AD397" s="125"/>
      <c r="AE397" s="125"/>
      <c r="AF397" s="125"/>
      <c r="AG397" s="1461"/>
    </row>
    <row r="398" spans="1:33" ht="16.5" customHeight="1" thickTop="1">
      <c r="A398" s="125"/>
      <c r="B398" s="125"/>
      <c r="C398" s="125"/>
      <c r="D398" s="125"/>
      <c r="E398" s="125"/>
      <c r="F398" s="125"/>
      <c r="G398" s="125"/>
      <c r="H398" s="125"/>
      <c r="I398" s="125"/>
      <c r="J398" s="125"/>
      <c r="K398" s="125"/>
      <c r="L398" s="1462"/>
      <c r="M398" s="1462"/>
      <c r="N398" s="1462"/>
      <c r="O398" s="125"/>
      <c r="P398" s="125"/>
      <c r="Q398" s="125"/>
      <c r="R398" s="125"/>
      <c r="S398" s="125"/>
      <c r="T398" s="11174" t="s">
        <v>356</v>
      </c>
      <c r="U398" s="11175"/>
      <c r="V398" s="11176"/>
      <c r="W398" s="822"/>
      <c r="X398" s="2170" t="s">
        <v>357</v>
      </c>
      <c r="Y398" s="2171" t="str">
        <f>IF(Y395=AA382,"OK","NO")</f>
        <v>OK</v>
      </c>
      <c r="Z398" s="1468"/>
      <c r="AA398" s="1463"/>
      <c r="AB398" s="1463"/>
      <c r="AC398" s="125"/>
      <c r="AD398" s="125"/>
      <c r="AE398" s="125"/>
      <c r="AF398" s="125"/>
      <c r="AG398" s="1461"/>
    </row>
    <row r="399" spans="1:33" ht="16.5" customHeight="1">
      <c r="A399" s="125"/>
      <c r="B399" s="125"/>
      <c r="C399" s="125"/>
      <c r="D399" s="125"/>
      <c r="E399" s="125"/>
      <c r="F399" s="125"/>
      <c r="G399" s="125"/>
      <c r="H399" s="125"/>
      <c r="I399" s="125"/>
      <c r="J399" s="125"/>
      <c r="K399" s="125"/>
      <c r="L399" s="1462"/>
      <c r="M399" s="1462"/>
      <c r="N399" s="1462"/>
      <c r="O399" s="125"/>
      <c r="P399" s="125"/>
      <c r="Q399" s="125"/>
      <c r="R399" s="125"/>
      <c r="S399" s="125"/>
      <c r="T399" s="11177" t="s">
        <v>5739</v>
      </c>
      <c r="U399" s="11161"/>
      <c r="V399" s="1469">
        <f>+Y389+Y392+Y394</f>
        <v>1032637.6917857142</v>
      </c>
      <c r="W399" s="822"/>
      <c r="X399" s="1468"/>
      <c r="Y399" s="2171" t="str">
        <f>IF(V403=AA382,"OK","NO")</f>
        <v>OK</v>
      </c>
      <c r="Z399" s="1468"/>
      <c r="AA399" s="1463"/>
      <c r="AB399" s="1463"/>
      <c r="AC399" s="125"/>
      <c r="AD399" s="125"/>
      <c r="AE399" s="125"/>
      <c r="AF399" s="125"/>
      <c r="AG399" s="1461"/>
    </row>
    <row r="400" spans="1:33" ht="16.5" customHeight="1">
      <c r="A400" s="125"/>
      <c r="B400" s="125"/>
      <c r="C400" s="125"/>
      <c r="D400" s="125"/>
      <c r="E400" s="125"/>
      <c r="F400" s="125"/>
      <c r="G400" s="125"/>
      <c r="H400" s="125"/>
      <c r="I400" s="125"/>
      <c r="J400" s="125"/>
      <c r="K400" s="125"/>
      <c r="L400" s="1462"/>
      <c r="M400" s="1462"/>
      <c r="N400" s="1462"/>
      <c r="O400" s="125"/>
      <c r="P400" s="125"/>
      <c r="Q400" s="125"/>
      <c r="R400" s="125"/>
      <c r="S400" s="125"/>
      <c r="T400" s="11154" t="s">
        <v>5740</v>
      </c>
      <c r="U400" s="11151"/>
      <c r="V400" s="1469">
        <v>0</v>
      </c>
      <c r="W400" s="822"/>
      <c r="X400" s="1468"/>
      <c r="Y400" s="2171" t="str">
        <f>IF(V413=AA382,"OK","NO")</f>
        <v>OK</v>
      </c>
      <c r="Z400" s="1468"/>
      <c r="AA400" s="1463"/>
      <c r="AB400" s="1463"/>
      <c r="AC400" s="125"/>
      <c r="AD400" s="125"/>
      <c r="AE400" s="125"/>
      <c r="AF400" s="125"/>
      <c r="AG400" s="1461"/>
    </row>
    <row r="401" spans="1:33" ht="16.5" customHeight="1">
      <c r="A401" s="125"/>
      <c r="B401" s="125"/>
      <c r="C401" s="125"/>
      <c r="D401" s="125"/>
      <c r="E401" s="125"/>
      <c r="F401" s="125"/>
      <c r="G401" s="125"/>
      <c r="H401" s="125"/>
      <c r="I401" s="125"/>
      <c r="J401" s="125"/>
      <c r="K401" s="125"/>
      <c r="L401" s="1462"/>
      <c r="M401" s="1462"/>
      <c r="N401" s="1462"/>
      <c r="O401" s="125"/>
      <c r="P401" s="125"/>
      <c r="Q401" s="125"/>
      <c r="R401" s="125"/>
      <c r="S401" s="125"/>
      <c r="T401" s="11154" t="s">
        <v>5741</v>
      </c>
      <c r="U401" s="11151"/>
      <c r="V401" s="1469">
        <f>+Y388+Y390+Y391+Y393</f>
        <v>19325.78</v>
      </c>
      <c r="W401" s="2172"/>
      <c r="X401" s="1468"/>
      <c r="Y401" s="2171" t="str">
        <f>IF(Resumen!C425=AA382,"OK","NO")</f>
        <v>OK</v>
      </c>
      <c r="Z401" s="1468"/>
      <c r="AA401" s="1463"/>
      <c r="AB401" s="1463"/>
      <c r="AC401" s="125"/>
      <c r="AD401" s="125"/>
      <c r="AE401" s="125"/>
      <c r="AF401" s="125"/>
      <c r="AG401" s="1461"/>
    </row>
    <row r="402" spans="1:33" ht="16.5" customHeight="1">
      <c r="A402" s="125"/>
      <c r="B402" s="125"/>
      <c r="C402" s="125"/>
      <c r="D402" s="125"/>
      <c r="E402" s="125"/>
      <c r="F402" s="125"/>
      <c r="G402" s="125"/>
      <c r="H402" s="125"/>
      <c r="I402" s="125"/>
      <c r="J402" s="125"/>
      <c r="K402" s="125"/>
      <c r="L402" s="1462"/>
      <c r="M402" s="1462"/>
      <c r="N402" s="1462"/>
      <c r="O402" s="125"/>
      <c r="P402" s="125"/>
      <c r="Q402" s="125"/>
      <c r="R402" s="125"/>
      <c r="S402" s="125"/>
      <c r="T402" s="11154" t="s">
        <v>5742</v>
      </c>
      <c r="U402" s="11151"/>
      <c r="V402" s="1470">
        <f>SUM(X391:X394,X395)</f>
        <v>0</v>
      </c>
      <c r="W402" s="2172"/>
      <c r="X402" s="1468"/>
      <c r="Y402" s="1468"/>
      <c r="Z402" s="1468"/>
      <c r="AA402" s="1463"/>
      <c r="AB402" s="1463"/>
      <c r="AC402" s="125"/>
      <c r="AD402" s="125"/>
      <c r="AE402" s="125"/>
      <c r="AF402" s="125"/>
      <c r="AG402" s="1461"/>
    </row>
    <row r="403" spans="1:33" ht="16.5" customHeight="1">
      <c r="A403" s="125"/>
      <c r="B403" s="125"/>
      <c r="C403" s="125"/>
      <c r="D403" s="125"/>
      <c r="E403" s="125"/>
      <c r="F403" s="125"/>
      <c r="G403" s="125"/>
      <c r="H403" s="125"/>
      <c r="I403" s="125"/>
      <c r="J403" s="125"/>
      <c r="K403" s="125"/>
      <c r="L403" s="1462"/>
      <c r="M403" s="1462"/>
      <c r="N403" s="1462"/>
      <c r="O403" s="125"/>
      <c r="P403" s="125"/>
      <c r="Q403" s="125"/>
      <c r="R403" s="125"/>
      <c r="S403" s="125"/>
      <c r="T403" s="11155" t="s">
        <v>67</v>
      </c>
      <c r="U403" s="11156"/>
      <c r="V403" s="1471">
        <f>SUM(V399:V402)</f>
        <v>1051963.4717857142</v>
      </c>
      <c r="W403" s="2172"/>
      <c r="X403" s="1468"/>
      <c r="Y403" s="1468"/>
      <c r="Z403" s="1468"/>
      <c r="AA403" s="1463"/>
      <c r="AB403" s="1463"/>
      <c r="AC403" s="125"/>
      <c r="AD403" s="125"/>
      <c r="AE403" s="125"/>
      <c r="AF403" s="125"/>
      <c r="AG403" s="1461"/>
    </row>
    <row r="404" spans="1:33" ht="16.5" customHeight="1">
      <c r="A404" s="125"/>
      <c r="B404" s="125"/>
      <c r="C404" s="125"/>
      <c r="D404" s="125"/>
      <c r="E404" s="125"/>
      <c r="F404" s="125"/>
      <c r="G404" s="125"/>
      <c r="H404" s="125"/>
      <c r="I404" s="125"/>
      <c r="J404" s="125"/>
      <c r="K404" s="125"/>
      <c r="L404" s="1462"/>
      <c r="M404" s="1462"/>
      <c r="N404" s="1462"/>
      <c r="O404" s="125"/>
      <c r="P404" s="125"/>
      <c r="Q404" s="125"/>
      <c r="R404" s="125"/>
      <c r="S404" s="125"/>
      <c r="T404" s="11157" t="s">
        <v>5744</v>
      </c>
      <c r="U404" s="11158"/>
      <c r="V404" s="11159"/>
      <c r="W404" s="2173"/>
      <c r="X404" s="125"/>
      <c r="Y404" s="125"/>
      <c r="Z404" s="125"/>
      <c r="AA404" s="1463"/>
      <c r="AB404" s="1463"/>
      <c r="AC404" s="125"/>
      <c r="AD404" s="125"/>
      <c r="AE404" s="125"/>
      <c r="AF404" s="125"/>
      <c r="AG404" s="1461"/>
    </row>
    <row r="405" spans="1:33" ht="16.5" customHeight="1">
      <c r="A405" s="125"/>
      <c r="B405" s="125"/>
      <c r="C405" s="125"/>
      <c r="D405" s="125"/>
      <c r="E405" s="125"/>
      <c r="F405" s="125"/>
      <c r="G405" s="125"/>
      <c r="H405" s="125"/>
      <c r="I405" s="125"/>
      <c r="J405" s="125"/>
      <c r="K405" s="125"/>
      <c r="L405" s="1462"/>
      <c r="M405" s="1462"/>
      <c r="N405" s="1462"/>
      <c r="O405" s="125"/>
      <c r="P405" s="125"/>
      <c r="Q405" s="125"/>
      <c r="R405" s="125"/>
      <c r="S405" s="125"/>
      <c r="T405" s="11302" t="s">
        <v>5745</v>
      </c>
      <c r="U405" s="11303"/>
      <c r="V405" s="2180">
        <v>0</v>
      </c>
      <c r="W405" s="2173"/>
      <c r="X405" s="125"/>
      <c r="Y405" s="125"/>
      <c r="Z405" s="125"/>
      <c r="AA405" s="1463"/>
      <c r="AB405" s="1463"/>
      <c r="AC405" s="125"/>
      <c r="AD405" s="125"/>
      <c r="AE405" s="125"/>
      <c r="AF405" s="125"/>
      <c r="AG405" s="1461"/>
    </row>
    <row r="406" spans="1:33" ht="16.5" customHeight="1">
      <c r="A406" s="125"/>
      <c r="B406" s="125"/>
      <c r="C406" s="125"/>
      <c r="D406" s="125"/>
      <c r="E406" s="125"/>
      <c r="F406" s="125"/>
      <c r="G406" s="125"/>
      <c r="H406" s="125"/>
      <c r="I406" s="125"/>
      <c r="J406" s="125"/>
      <c r="K406" s="125"/>
      <c r="L406" s="1462"/>
      <c r="M406" s="1462"/>
      <c r="N406" s="1462"/>
      <c r="O406" s="125"/>
      <c r="P406" s="125"/>
      <c r="Q406" s="125"/>
      <c r="R406" s="125"/>
      <c r="S406" s="125"/>
      <c r="T406" s="11304" t="s">
        <v>5746</v>
      </c>
      <c r="U406" s="11305"/>
      <c r="V406" s="2180">
        <f>+Y388+Y390</f>
        <v>8307.5299999999988</v>
      </c>
      <c r="W406" s="2173"/>
      <c r="X406" s="125"/>
      <c r="Y406" s="125"/>
      <c r="Z406" s="125"/>
      <c r="AA406" s="1463"/>
      <c r="AB406" s="1463"/>
      <c r="AC406" s="125"/>
      <c r="AD406" s="125"/>
      <c r="AE406" s="125"/>
      <c r="AF406" s="125"/>
      <c r="AG406" s="1461"/>
    </row>
    <row r="407" spans="1:33" ht="16.5" customHeight="1">
      <c r="A407" s="125"/>
      <c r="B407" s="125"/>
      <c r="C407" s="125"/>
      <c r="D407" s="125"/>
      <c r="E407" s="125"/>
      <c r="F407" s="125"/>
      <c r="G407" s="125"/>
      <c r="H407" s="125"/>
      <c r="I407" s="125"/>
      <c r="J407" s="125"/>
      <c r="K407" s="125"/>
      <c r="L407" s="1462"/>
      <c r="M407" s="1462"/>
      <c r="N407" s="1462"/>
      <c r="O407" s="125"/>
      <c r="P407" s="125"/>
      <c r="Q407" s="125"/>
      <c r="R407" s="125"/>
      <c r="S407" s="125"/>
      <c r="T407" s="11304" t="s">
        <v>5747</v>
      </c>
      <c r="U407" s="11305"/>
      <c r="V407" s="2180">
        <v>0</v>
      </c>
      <c r="W407" s="2174"/>
      <c r="X407" s="125"/>
      <c r="Y407" s="125"/>
      <c r="Z407" s="125"/>
      <c r="AA407" s="1463"/>
      <c r="AB407" s="1463"/>
      <c r="AC407" s="125"/>
      <c r="AD407" s="125"/>
      <c r="AE407" s="125"/>
      <c r="AF407" s="125"/>
      <c r="AG407" s="1461"/>
    </row>
    <row r="408" spans="1:33" ht="16.5" customHeight="1">
      <c r="A408" s="125"/>
      <c r="B408" s="125"/>
      <c r="C408" s="125"/>
      <c r="D408" s="125"/>
      <c r="E408" s="125"/>
      <c r="F408" s="125"/>
      <c r="G408" s="125"/>
      <c r="H408" s="125"/>
      <c r="I408" s="125"/>
      <c r="J408" s="125"/>
      <c r="K408" s="125"/>
      <c r="L408" s="1462"/>
      <c r="M408" s="1462"/>
      <c r="N408" s="1462"/>
      <c r="O408" s="125"/>
      <c r="P408" s="125"/>
      <c r="Q408" s="125"/>
      <c r="R408" s="125"/>
      <c r="S408" s="125"/>
      <c r="T408" s="11304" t="s">
        <v>5748</v>
      </c>
      <c r="U408" s="11305"/>
      <c r="V408" s="2180">
        <v>0</v>
      </c>
      <c r="W408" s="2175"/>
      <c r="X408" s="1468"/>
      <c r="Y408" s="125"/>
      <c r="Z408" s="125"/>
      <c r="AA408" s="1463"/>
      <c r="AB408" s="1463"/>
      <c r="AC408" s="125"/>
      <c r="AD408" s="125"/>
      <c r="AE408" s="2178"/>
      <c r="AF408" s="125"/>
      <c r="AG408" s="1461"/>
    </row>
    <row r="409" spans="1:33" ht="16.5" customHeight="1">
      <c r="A409" s="125"/>
      <c r="B409" s="125"/>
      <c r="C409" s="125"/>
      <c r="D409" s="125"/>
      <c r="E409" s="125"/>
      <c r="F409" s="125"/>
      <c r="G409" s="125"/>
      <c r="H409" s="125"/>
      <c r="I409" s="125"/>
      <c r="J409" s="125"/>
      <c r="K409" s="125"/>
      <c r="L409" s="1462"/>
      <c r="M409" s="1462"/>
      <c r="N409" s="1462"/>
      <c r="O409" s="125"/>
      <c r="P409" s="125"/>
      <c r="Q409" s="125"/>
      <c r="R409" s="125"/>
      <c r="S409" s="125"/>
      <c r="T409" s="11304" t="s">
        <v>5749</v>
      </c>
      <c r="U409" s="11305"/>
      <c r="V409" s="2180">
        <v>0</v>
      </c>
      <c r="W409" s="2176"/>
      <c r="X409" s="1468"/>
      <c r="Y409" s="125"/>
      <c r="Z409" s="125"/>
      <c r="AA409" s="1463"/>
      <c r="AB409" s="1463"/>
      <c r="AC409" s="125"/>
      <c r="AD409" s="125"/>
      <c r="AE409" s="125"/>
      <c r="AF409" s="125"/>
      <c r="AG409" s="1461"/>
    </row>
    <row r="410" spans="1:33" ht="16.5" customHeight="1">
      <c r="A410" s="125"/>
      <c r="B410" s="125"/>
      <c r="C410" s="125"/>
      <c r="D410" s="125"/>
      <c r="E410" s="125"/>
      <c r="F410" s="125"/>
      <c r="G410" s="125"/>
      <c r="H410" s="125"/>
      <c r="I410" s="125"/>
      <c r="J410" s="125"/>
      <c r="K410" s="125"/>
      <c r="L410" s="1462"/>
      <c r="M410" s="1462"/>
      <c r="N410" s="1462"/>
      <c r="O410" s="125"/>
      <c r="P410" s="125"/>
      <c r="Q410" s="125"/>
      <c r="R410" s="125"/>
      <c r="S410" s="125"/>
      <c r="T410" s="11304" t="s">
        <v>5750</v>
      </c>
      <c r="U410" s="11305"/>
      <c r="V410" s="2180">
        <v>0</v>
      </c>
      <c r="W410" s="2176"/>
      <c r="X410" s="1468"/>
      <c r="Y410" s="125"/>
      <c r="Z410" s="125"/>
      <c r="AA410" s="1463"/>
      <c r="AB410" s="1463"/>
      <c r="AC410" s="125"/>
      <c r="AD410" s="125"/>
      <c r="AE410" s="2178"/>
      <c r="AF410" s="125"/>
      <c r="AG410" s="1461"/>
    </row>
    <row r="411" spans="1:33" ht="16.5" customHeight="1">
      <c r="A411" s="125"/>
      <c r="B411" s="125"/>
      <c r="C411" s="125"/>
      <c r="D411" s="125"/>
      <c r="E411" s="125"/>
      <c r="F411" s="125"/>
      <c r="G411" s="125"/>
      <c r="H411" s="125"/>
      <c r="I411" s="125"/>
      <c r="J411" s="125"/>
      <c r="K411" s="125"/>
      <c r="L411" s="1462"/>
      <c r="M411" s="1462"/>
      <c r="N411" s="1462"/>
      <c r="O411" s="125"/>
      <c r="P411" s="125"/>
      <c r="Q411" s="125"/>
      <c r="R411" s="125"/>
      <c r="S411" s="125"/>
      <c r="T411" s="11304" t="s">
        <v>5751</v>
      </c>
      <c r="U411" s="11305"/>
      <c r="V411" s="2180">
        <f>+Y389+Y391+Y392+Y394+Y393</f>
        <v>1043655.9417857142</v>
      </c>
      <c r="W411" s="2176"/>
      <c r="X411" s="1468"/>
      <c r="Y411" s="125"/>
      <c r="Z411" s="125"/>
      <c r="AA411" s="1463"/>
      <c r="AB411" s="1463"/>
      <c r="AC411" s="125"/>
      <c r="AD411" s="125"/>
      <c r="AE411" s="125"/>
      <c r="AF411" s="125"/>
      <c r="AG411" s="1461"/>
    </row>
    <row r="412" spans="1:33" ht="16.5" customHeight="1">
      <c r="A412" s="125"/>
      <c r="B412" s="125"/>
      <c r="C412" s="125"/>
      <c r="D412" s="125"/>
      <c r="E412" s="125"/>
      <c r="F412" s="125"/>
      <c r="G412" s="125"/>
      <c r="H412" s="125"/>
      <c r="I412" s="125"/>
      <c r="J412" s="125"/>
      <c r="K412" s="125"/>
      <c r="L412" s="1462"/>
      <c r="M412" s="1462"/>
      <c r="N412" s="1462"/>
      <c r="O412" s="125"/>
      <c r="P412" s="125"/>
      <c r="Q412" s="125"/>
      <c r="R412" s="125"/>
      <c r="S412" s="125"/>
      <c r="T412" s="11304" t="s">
        <v>5752</v>
      </c>
      <c r="U412" s="11305"/>
      <c r="V412" s="2181">
        <v>0</v>
      </c>
      <c r="W412" s="2177"/>
      <c r="X412" s="1468"/>
      <c r="Y412" s="2168"/>
      <c r="Z412" s="125"/>
      <c r="AA412" s="1463"/>
      <c r="AB412" s="1463"/>
      <c r="AC412" s="125"/>
      <c r="AD412" s="125"/>
      <c r="AE412" s="125"/>
      <c r="AF412" s="125"/>
    </row>
    <row r="413" spans="1:33" ht="16.5" customHeight="1" thickBot="1">
      <c r="A413" s="125"/>
      <c r="B413" s="125"/>
      <c r="C413" s="125"/>
      <c r="D413" s="125"/>
      <c r="E413" s="125"/>
      <c r="F413" s="125"/>
      <c r="G413" s="125"/>
      <c r="H413" s="125"/>
      <c r="I413" s="125"/>
      <c r="J413" s="125"/>
      <c r="K413" s="125"/>
      <c r="L413" s="1462"/>
      <c r="M413" s="1462"/>
      <c r="N413" s="1462"/>
      <c r="O413" s="125"/>
      <c r="P413" s="125"/>
      <c r="Q413" s="125"/>
      <c r="R413" s="125"/>
      <c r="S413" s="125"/>
      <c r="T413" s="11152" t="s">
        <v>67</v>
      </c>
      <c r="U413" s="11153"/>
      <c r="V413" s="1472">
        <f>SUM(V406:V412)</f>
        <v>1051963.4717857142</v>
      </c>
      <c r="W413" s="2167"/>
      <c r="X413" s="1468"/>
      <c r="Y413" s="2168"/>
      <c r="Z413" s="125"/>
      <c r="AA413" s="1463"/>
      <c r="AB413" s="1463"/>
      <c r="AC413" s="125"/>
      <c r="AD413" s="125"/>
      <c r="AE413" s="125"/>
      <c r="AF413" s="125"/>
    </row>
    <row r="414" spans="1:33" ht="16.5" customHeight="1" thickTop="1">
      <c r="A414" s="125"/>
      <c r="B414" s="125"/>
      <c r="C414" s="125"/>
      <c r="D414" s="125"/>
      <c r="E414" s="125"/>
      <c r="F414" s="125"/>
      <c r="G414" s="125"/>
      <c r="H414" s="125"/>
      <c r="I414" s="125"/>
      <c r="J414" s="125"/>
      <c r="K414" s="125"/>
      <c r="L414" s="1462"/>
      <c r="M414" s="1462"/>
      <c r="N414" s="1462"/>
      <c r="O414" s="125"/>
      <c r="P414" s="125"/>
      <c r="Q414" s="125"/>
      <c r="R414" s="125"/>
      <c r="S414" s="125"/>
      <c r="T414" s="2166"/>
      <c r="U414" s="2166"/>
      <c r="V414" s="2167"/>
      <c r="W414" s="1468"/>
      <c r="X414" s="1468"/>
      <c r="Y414" s="2168"/>
      <c r="Z414" s="125"/>
      <c r="AA414" s="1463"/>
      <c r="AB414" s="1463"/>
      <c r="AC414" s="125"/>
      <c r="AD414" s="125"/>
      <c r="AE414" s="125"/>
      <c r="AF414" s="125"/>
    </row>
    <row r="415" spans="1:33" ht="16.5" customHeight="1">
      <c r="A415" s="125"/>
      <c r="B415" s="125"/>
      <c r="C415" s="125"/>
      <c r="D415" s="125"/>
      <c r="E415" s="125"/>
      <c r="F415" s="125"/>
      <c r="G415" s="125"/>
      <c r="H415" s="125"/>
      <c r="I415" s="125"/>
      <c r="J415" s="125"/>
      <c r="K415" s="125"/>
      <c r="L415" s="1462"/>
      <c r="M415" s="1462"/>
      <c r="N415" s="1462"/>
      <c r="O415" s="125"/>
      <c r="P415" s="125"/>
      <c r="Q415" s="125"/>
      <c r="R415" s="125"/>
      <c r="S415" s="125"/>
      <c r="T415" s="2169"/>
      <c r="U415" s="2169"/>
      <c r="V415" s="2169"/>
      <c r="W415" s="2169"/>
      <c r="X415" s="2169"/>
      <c r="Y415" s="2168"/>
      <c r="Z415" s="125"/>
      <c r="AA415" s="1463"/>
      <c r="AB415" s="1463"/>
      <c r="AC415" s="125"/>
      <c r="AD415" s="125"/>
      <c r="AE415" s="125"/>
      <c r="AF415" s="125"/>
    </row>
    <row r="419" ht="15.75" hidden="1" customHeight="1"/>
  </sheetData>
  <mergeCells count="1125">
    <mergeCell ref="A254:A277"/>
    <mergeCell ref="A278:A295"/>
    <mergeCell ref="A296:A318"/>
    <mergeCell ref="A319:A339"/>
    <mergeCell ref="A340:A360"/>
    <mergeCell ref="A9:A45"/>
    <mergeCell ref="A46:A81"/>
    <mergeCell ref="A82:A114"/>
    <mergeCell ref="A115:A130"/>
    <mergeCell ref="A131:A155"/>
    <mergeCell ref="A159:A180"/>
    <mergeCell ref="A181:A200"/>
    <mergeCell ref="A201:A216"/>
    <mergeCell ref="A217:A231"/>
    <mergeCell ref="A232:A241"/>
    <mergeCell ref="A242:A244"/>
    <mergeCell ref="A245:A253"/>
    <mergeCell ref="A361:A381"/>
    <mergeCell ref="I376:I380"/>
    <mergeCell ref="J376:J380"/>
    <mergeCell ref="P376:P380"/>
    <mergeCell ref="Q376:Q380"/>
    <mergeCell ref="K371:K375"/>
    <mergeCell ref="L371:L375"/>
    <mergeCell ref="M371:M375"/>
    <mergeCell ref="Q371:Q375"/>
    <mergeCell ref="O366:O370"/>
    <mergeCell ref="C361:C365"/>
    <mergeCell ref="D361:D365"/>
    <mergeCell ref="E355:E359"/>
    <mergeCell ref="E361:E365"/>
    <mergeCell ref="B278:B282"/>
    <mergeCell ref="B283:B287"/>
    <mergeCell ref="B288:B292"/>
    <mergeCell ref="B293:B297"/>
    <mergeCell ref="B298:B302"/>
    <mergeCell ref="B303:B307"/>
    <mergeCell ref="C308:C312"/>
    <mergeCell ref="C313:C317"/>
    <mergeCell ref="G324:G328"/>
    <mergeCell ref="H324:H328"/>
    <mergeCell ref="F329:F333"/>
    <mergeCell ref="G329:G333"/>
    <mergeCell ref="H329:H333"/>
    <mergeCell ref="B361:B365"/>
    <mergeCell ref="C288:C292"/>
    <mergeCell ref="C293:C297"/>
    <mergeCell ref="C298:C302"/>
    <mergeCell ref="B371:B375"/>
    <mergeCell ref="C371:C375"/>
    <mergeCell ref="B376:B380"/>
    <mergeCell ref="C376:C380"/>
    <mergeCell ref="D371:D375"/>
    <mergeCell ref="E371:E375"/>
    <mergeCell ref="D376:D380"/>
    <mergeCell ref="E376:E380"/>
    <mergeCell ref="D355:D359"/>
    <mergeCell ref="F376:F380"/>
    <mergeCell ref="G376:G380"/>
    <mergeCell ref="H376:H380"/>
    <mergeCell ref="D366:D370"/>
    <mergeCell ref="E366:E370"/>
    <mergeCell ref="E350:E354"/>
    <mergeCell ref="D319:D323"/>
    <mergeCell ref="D324:D328"/>
    <mergeCell ref="D329:D333"/>
    <mergeCell ref="D334:D338"/>
    <mergeCell ref="G371:G375"/>
    <mergeCell ref="H371:H375"/>
    <mergeCell ref="E319:E323"/>
    <mergeCell ref="E324:E328"/>
    <mergeCell ref="E329:E333"/>
    <mergeCell ref="E334:E338"/>
    <mergeCell ref="E340:E344"/>
    <mergeCell ref="D345:D349"/>
    <mergeCell ref="D350:D354"/>
    <mergeCell ref="F366:F370"/>
    <mergeCell ref="G319:G323"/>
    <mergeCell ref="H366:H370"/>
    <mergeCell ref="H319:H323"/>
    <mergeCell ref="F334:F338"/>
    <mergeCell ref="B340:B344"/>
    <mergeCell ref="B345:B349"/>
    <mergeCell ref="B350:B354"/>
    <mergeCell ref="C283:C287"/>
    <mergeCell ref="D340:D344"/>
    <mergeCell ref="D222:D226"/>
    <mergeCell ref="D227:D231"/>
    <mergeCell ref="D232:D236"/>
    <mergeCell ref="D237:D241"/>
    <mergeCell ref="D242:D246"/>
    <mergeCell ref="D308:D312"/>
    <mergeCell ref="D313:D317"/>
    <mergeCell ref="B319:B323"/>
    <mergeCell ref="C272:C276"/>
    <mergeCell ref="C303:C307"/>
    <mergeCell ref="B308:B312"/>
    <mergeCell ref="B262:B266"/>
    <mergeCell ref="B267:B271"/>
    <mergeCell ref="B272:B276"/>
    <mergeCell ref="B222:B226"/>
    <mergeCell ref="D247:D251"/>
    <mergeCell ref="B232:B236"/>
    <mergeCell ref="C278:C282"/>
    <mergeCell ref="C350:C354"/>
    <mergeCell ref="C319:C323"/>
    <mergeCell ref="B324:B328"/>
    <mergeCell ref="B313:B317"/>
    <mergeCell ref="B191:B195"/>
    <mergeCell ref="C191:C195"/>
    <mergeCell ref="B196:B200"/>
    <mergeCell ref="C196:C200"/>
    <mergeCell ref="B61:B65"/>
    <mergeCell ref="C166:C170"/>
    <mergeCell ref="B171:B175"/>
    <mergeCell ref="C171:C175"/>
    <mergeCell ref="B176:B180"/>
    <mergeCell ref="B186:B190"/>
    <mergeCell ref="C186:C190"/>
    <mergeCell ref="D186:D190"/>
    <mergeCell ref="C324:C328"/>
    <mergeCell ref="B329:B333"/>
    <mergeCell ref="C329:C333"/>
    <mergeCell ref="B252:B256"/>
    <mergeCell ref="C252:C256"/>
    <mergeCell ref="B257:B261"/>
    <mergeCell ref="C257:C261"/>
    <mergeCell ref="B227:B231"/>
    <mergeCell ref="C227:C231"/>
    <mergeCell ref="C242:C246"/>
    <mergeCell ref="C102:C106"/>
    <mergeCell ref="C222:C226"/>
    <mergeCell ref="C232:C236"/>
    <mergeCell ref="B237:B241"/>
    <mergeCell ref="C237:C241"/>
    <mergeCell ref="B242:B246"/>
    <mergeCell ref="B247:B251"/>
    <mergeCell ref="B201:B205"/>
    <mergeCell ref="C201:C205"/>
    <mergeCell ref="B206:B210"/>
    <mergeCell ref="C9:C13"/>
    <mergeCell ref="C14:C18"/>
    <mergeCell ref="B82:B86"/>
    <mergeCell ref="B166:B170"/>
    <mergeCell ref="E102:E106"/>
    <mergeCell ref="E171:E175"/>
    <mergeCell ref="E176:E180"/>
    <mergeCell ref="E71:E75"/>
    <mergeCell ref="E191:E195"/>
    <mergeCell ref="E61:E65"/>
    <mergeCell ref="B24:B28"/>
    <mergeCell ref="C24:C28"/>
    <mergeCell ref="D196:D200"/>
    <mergeCell ref="E196:E200"/>
    <mergeCell ref="B14:B18"/>
    <mergeCell ref="D14:D18"/>
    <mergeCell ref="E14:E18"/>
    <mergeCell ref="B66:B70"/>
    <mergeCell ref="C66:C70"/>
    <mergeCell ref="C176:C180"/>
    <mergeCell ref="B181:B185"/>
    <mergeCell ref="C181:C185"/>
    <mergeCell ref="B102:B106"/>
    <mergeCell ref="B71:B75"/>
    <mergeCell ref="C71:C75"/>
    <mergeCell ref="B76:B80"/>
    <mergeCell ref="C82:C86"/>
    <mergeCell ref="B87:B91"/>
    <mergeCell ref="D66:D70"/>
    <mergeCell ref="E66:E70"/>
    <mergeCell ref="D92:D96"/>
    <mergeCell ref="E92:E96"/>
    <mergeCell ref="C206:C210"/>
    <mergeCell ref="H293:H297"/>
    <mergeCell ref="H283:H287"/>
    <mergeCell ref="F288:F292"/>
    <mergeCell ref="G288:G292"/>
    <mergeCell ref="F201:F205"/>
    <mergeCell ref="G201:G205"/>
    <mergeCell ref="J288:J292"/>
    <mergeCell ref="I293:I297"/>
    <mergeCell ref="F237:F241"/>
    <mergeCell ref="E247:E251"/>
    <mergeCell ref="D252:D256"/>
    <mergeCell ref="E252:E256"/>
    <mergeCell ref="D257:D261"/>
    <mergeCell ref="D217:D221"/>
    <mergeCell ref="E217:E221"/>
    <mergeCell ref="F222:F226"/>
    <mergeCell ref="D206:D210"/>
    <mergeCell ref="E237:E241"/>
    <mergeCell ref="E222:E226"/>
    <mergeCell ref="E227:E231"/>
    <mergeCell ref="E242:E246"/>
    <mergeCell ref="E257:E261"/>
    <mergeCell ref="E211:E215"/>
    <mergeCell ref="E206:E210"/>
    <mergeCell ref="D211:D215"/>
    <mergeCell ref="J272:J276"/>
    <mergeCell ref="I283:I287"/>
    <mergeCell ref="J283:J287"/>
    <mergeCell ref="E262:E266"/>
    <mergeCell ref="G232:G236"/>
    <mergeCell ref="H232:H236"/>
    <mergeCell ref="F61:F65"/>
    <mergeCell ref="M71:M75"/>
    <mergeCell ref="N71:N75"/>
    <mergeCell ref="O71:O75"/>
    <mergeCell ref="P71:P75"/>
    <mergeCell ref="Q71:Q75"/>
    <mergeCell ref="M61:M65"/>
    <mergeCell ref="N61:N65"/>
    <mergeCell ref="O61:O65"/>
    <mergeCell ref="P61:P65"/>
    <mergeCell ref="Q61:Q65"/>
    <mergeCell ref="B211:B215"/>
    <mergeCell ref="L237:L241"/>
    <mergeCell ref="F313:F317"/>
    <mergeCell ref="C262:C266"/>
    <mergeCell ref="C267:C271"/>
    <mergeCell ref="E313:E317"/>
    <mergeCell ref="E283:E287"/>
    <mergeCell ref="E288:E292"/>
    <mergeCell ref="E293:E297"/>
    <mergeCell ref="E298:E302"/>
    <mergeCell ref="E303:E307"/>
    <mergeCell ref="D303:D307"/>
    <mergeCell ref="D283:D287"/>
    <mergeCell ref="D288:D292"/>
    <mergeCell ref="D293:D297"/>
    <mergeCell ref="D298:D302"/>
    <mergeCell ref="D278:D282"/>
    <mergeCell ref="C217:C221"/>
    <mergeCell ref="E308:E312"/>
    <mergeCell ref="C247:C251"/>
    <mergeCell ref="F308:F312"/>
    <mergeCell ref="AG71:AG75"/>
    <mergeCell ref="P66:P70"/>
    <mergeCell ref="H76:H80"/>
    <mergeCell ref="I76:I80"/>
    <mergeCell ref="Q66:Q70"/>
    <mergeCell ref="H61:H65"/>
    <mergeCell ref="I61:I65"/>
    <mergeCell ref="J61:J65"/>
    <mergeCell ref="R81:Y81"/>
    <mergeCell ref="K76:K80"/>
    <mergeCell ref="M29:M40"/>
    <mergeCell ref="N29:N40"/>
    <mergeCell ref="O29:O40"/>
    <mergeCell ref="Q29:Q40"/>
    <mergeCell ref="AG29:AG40"/>
    <mergeCell ref="AG51:AG55"/>
    <mergeCell ref="M56:M60"/>
    <mergeCell ref="N56:N60"/>
    <mergeCell ref="AG66:AG70"/>
    <mergeCell ref="AG76:AG80"/>
    <mergeCell ref="AD81:AG81"/>
    <mergeCell ref="AG56:AG60"/>
    <mergeCell ref="AG41:AG45"/>
    <mergeCell ref="AG46:AG50"/>
    <mergeCell ref="M41:M45"/>
    <mergeCell ref="N41:N45"/>
    <mergeCell ref="O41:O45"/>
    <mergeCell ref="P41:P45"/>
    <mergeCell ref="Q41:Q45"/>
    <mergeCell ref="M51:M55"/>
    <mergeCell ref="M206:M210"/>
    <mergeCell ref="K41:K45"/>
    <mergeCell ref="Q171:Q175"/>
    <mergeCell ref="I166:I170"/>
    <mergeCell ref="O186:O190"/>
    <mergeCell ref="K97:K101"/>
    <mergeCell ref="L97:L101"/>
    <mergeCell ref="M97:M101"/>
    <mergeCell ref="M252:M256"/>
    <mergeCell ref="P186:P190"/>
    <mergeCell ref="N176:N180"/>
    <mergeCell ref="Q186:Q190"/>
    <mergeCell ref="I181:I185"/>
    <mergeCell ref="O97:O101"/>
    <mergeCell ref="K176:K180"/>
    <mergeCell ref="L176:L180"/>
    <mergeCell ref="M176:M180"/>
    <mergeCell ref="J76:J80"/>
    <mergeCell ref="L56:L60"/>
    <mergeCell ref="N97:N101"/>
    <mergeCell ref="M66:M70"/>
    <mergeCell ref="N66:N70"/>
    <mergeCell ref="O66:O70"/>
    <mergeCell ref="K46:K50"/>
    <mergeCell ref="L87:L91"/>
    <mergeCell ref="M87:M91"/>
    <mergeCell ref="K201:K205"/>
    <mergeCell ref="L201:L205"/>
    <mergeCell ref="M222:M226"/>
    <mergeCell ref="N76:N80"/>
    <mergeCell ref="O76:O80"/>
    <mergeCell ref="P76:P80"/>
    <mergeCell ref="AG19:AG23"/>
    <mergeCell ref="AG24:AG28"/>
    <mergeCell ref="I227:I231"/>
    <mergeCell ref="J227:J231"/>
    <mergeCell ref="I232:I236"/>
    <mergeCell ref="J232:J236"/>
    <mergeCell ref="I191:I195"/>
    <mergeCell ref="D97:D101"/>
    <mergeCell ref="E97:E101"/>
    <mergeCell ref="F97:F101"/>
    <mergeCell ref="D71:D75"/>
    <mergeCell ref="H29:H40"/>
    <mergeCell ref="I29:I40"/>
    <mergeCell ref="J29:J40"/>
    <mergeCell ref="D19:D23"/>
    <mergeCell ref="D46:D50"/>
    <mergeCell ref="E46:E50"/>
    <mergeCell ref="E51:E55"/>
    <mergeCell ref="G41:G45"/>
    <mergeCell ref="H41:H45"/>
    <mergeCell ref="AG61:AG65"/>
    <mergeCell ref="D61:D65"/>
    <mergeCell ref="M24:M28"/>
    <mergeCell ref="N24:N28"/>
    <mergeCell ref="O24:O28"/>
    <mergeCell ref="O56:O60"/>
    <mergeCell ref="P56:P60"/>
    <mergeCell ref="Q56:Q60"/>
    <mergeCell ref="E232:E236"/>
    <mergeCell ref="Q24:Q28"/>
    <mergeCell ref="G24:G28"/>
    <mergeCell ref="P19:P23"/>
    <mergeCell ref="L24:L28"/>
    <mergeCell ref="C41:C45"/>
    <mergeCell ref="C46:C50"/>
    <mergeCell ref="C51:C55"/>
    <mergeCell ref="D171:D175"/>
    <mergeCell ref="D176:D180"/>
    <mergeCell ref="F102:F106"/>
    <mergeCell ref="C107:C165"/>
    <mergeCell ref="F66:F70"/>
    <mergeCell ref="C87:C91"/>
    <mergeCell ref="C92:C96"/>
    <mergeCell ref="C97:C101"/>
    <mergeCell ref="D166:D170"/>
    <mergeCell ref="J51:J55"/>
    <mergeCell ref="G56:G60"/>
    <mergeCell ref="H56:H60"/>
    <mergeCell ref="I56:I60"/>
    <mergeCell ref="J56:J60"/>
    <mergeCell ref="L46:L50"/>
    <mergeCell ref="F29:F40"/>
    <mergeCell ref="D29:D40"/>
    <mergeCell ref="C61:C65"/>
    <mergeCell ref="I66:I70"/>
    <mergeCell ref="J66:J70"/>
    <mergeCell ref="K66:K70"/>
    <mergeCell ref="L66:L70"/>
    <mergeCell ref="G66:G70"/>
    <mergeCell ref="K71:K75"/>
    <mergeCell ref="L71:L75"/>
    <mergeCell ref="K61:K65"/>
    <mergeCell ref="L61:L65"/>
    <mergeCell ref="H66:H70"/>
    <mergeCell ref="Q19:Q23"/>
    <mergeCell ref="L29:L40"/>
    <mergeCell ref="D102:D106"/>
    <mergeCell ref="E56:E60"/>
    <mergeCell ref="F56:F60"/>
    <mergeCell ref="F71:F75"/>
    <mergeCell ref="G71:G75"/>
    <mergeCell ref="H71:H75"/>
    <mergeCell ref="I71:I75"/>
    <mergeCell ref="J71:J75"/>
    <mergeCell ref="B81:Q81"/>
    <mergeCell ref="E166:E170"/>
    <mergeCell ref="F24:F28"/>
    <mergeCell ref="D76:D80"/>
    <mergeCell ref="E76:E80"/>
    <mergeCell ref="F76:F80"/>
    <mergeCell ref="G76:G80"/>
    <mergeCell ref="K82:K86"/>
    <mergeCell ref="L82:L86"/>
    <mergeCell ref="G97:G101"/>
    <mergeCell ref="Q76:Q80"/>
    <mergeCell ref="M82:M86"/>
    <mergeCell ref="N82:N86"/>
    <mergeCell ref="O82:O86"/>
    <mergeCell ref="P82:P86"/>
    <mergeCell ref="Q82:Q86"/>
    <mergeCell ref="B92:B96"/>
    <mergeCell ref="B97:B101"/>
    <mergeCell ref="P24:P28"/>
    <mergeCell ref="E29:E40"/>
    <mergeCell ref="G29:G40"/>
    <mergeCell ref="G61:G65"/>
    <mergeCell ref="D24:D28"/>
    <mergeCell ref="E24:E28"/>
    <mergeCell ref="F14:F18"/>
    <mergeCell ref="G14:G18"/>
    <mergeCell ref="H14:H18"/>
    <mergeCell ref="I14:I18"/>
    <mergeCell ref="J14:J18"/>
    <mergeCell ref="I19:I23"/>
    <mergeCell ref="J19:J23"/>
    <mergeCell ref="K29:K40"/>
    <mergeCell ref="K24:K28"/>
    <mergeCell ref="B56:B60"/>
    <mergeCell ref="C56:C60"/>
    <mergeCell ref="E19:E23"/>
    <mergeCell ref="F19:F23"/>
    <mergeCell ref="G19:G23"/>
    <mergeCell ref="H19:H23"/>
    <mergeCell ref="D56:D60"/>
    <mergeCell ref="H24:H28"/>
    <mergeCell ref="D41:D45"/>
    <mergeCell ref="E41:E45"/>
    <mergeCell ref="F41:F45"/>
    <mergeCell ref="I51:I55"/>
    <mergeCell ref="K56:K60"/>
    <mergeCell ref="C29:C40"/>
    <mergeCell ref="Q7:Q8"/>
    <mergeCell ref="D7:D8"/>
    <mergeCell ref="E7:E8"/>
    <mergeCell ref="O14:O18"/>
    <mergeCell ref="B29:B40"/>
    <mergeCell ref="P9:P13"/>
    <mergeCell ref="Q9:Q13"/>
    <mergeCell ref="P14:P18"/>
    <mergeCell ref="Q14:Q18"/>
    <mergeCell ref="I24:I28"/>
    <mergeCell ref="J24:J28"/>
    <mergeCell ref="B9:B13"/>
    <mergeCell ref="N51:N55"/>
    <mergeCell ref="O51:O55"/>
    <mergeCell ref="P51:P55"/>
    <mergeCell ref="Q51:Q55"/>
    <mergeCell ref="B41:B45"/>
    <mergeCell ref="B46:B50"/>
    <mergeCell ref="B51:B55"/>
    <mergeCell ref="K14:K18"/>
    <mergeCell ref="L14:L18"/>
    <mergeCell ref="B19:B23"/>
    <mergeCell ref="K51:K55"/>
    <mergeCell ref="L51:L55"/>
    <mergeCell ref="D51:D55"/>
    <mergeCell ref="F51:F55"/>
    <mergeCell ref="G51:G55"/>
    <mergeCell ref="H51:H55"/>
    <mergeCell ref="C19:C23"/>
    <mergeCell ref="P29:P40"/>
    <mergeCell ref="I41:I45"/>
    <mergeCell ref="J41:J45"/>
    <mergeCell ref="L19:L23"/>
    <mergeCell ref="M19:M23"/>
    <mergeCell ref="N19:N23"/>
    <mergeCell ref="O19:O23"/>
    <mergeCell ref="M14:M18"/>
    <mergeCell ref="N14:N18"/>
    <mergeCell ref="L41:L45"/>
    <mergeCell ref="AG14:AG18"/>
    <mergeCell ref="I6:Q6"/>
    <mergeCell ref="R6:AG6"/>
    <mergeCell ref="R7:X7"/>
    <mergeCell ref="AD7:AF7"/>
    <mergeCell ref="AG7:AG8"/>
    <mergeCell ref="A1:AG1"/>
    <mergeCell ref="A2:AG2"/>
    <mergeCell ref="A3:AG3"/>
    <mergeCell ref="A4:AG4"/>
    <mergeCell ref="A6:A8"/>
    <mergeCell ref="B6:C6"/>
    <mergeCell ref="D6:H6"/>
    <mergeCell ref="J7:J8"/>
    <mergeCell ref="K7:K8"/>
    <mergeCell ref="F7:F8"/>
    <mergeCell ref="G7:G8"/>
    <mergeCell ref="H7:H8"/>
    <mergeCell ref="I7:I8"/>
    <mergeCell ref="L7:N7"/>
    <mergeCell ref="O7:O8"/>
    <mergeCell ref="B7:B8"/>
    <mergeCell ref="C7:C8"/>
    <mergeCell ref="Y7:AC7"/>
    <mergeCell ref="P7:P8"/>
    <mergeCell ref="F171:F175"/>
    <mergeCell ref="G171:G175"/>
    <mergeCell ref="H102:H106"/>
    <mergeCell ref="I102:I106"/>
    <mergeCell ref="Q102:Q106"/>
    <mergeCell ref="H171:H175"/>
    <mergeCell ref="AG9:AG13"/>
    <mergeCell ref="I9:I13"/>
    <mergeCell ref="J9:J13"/>
    <mergeCell ref="K9:K13"/>
    <mergeCell ref="L9:L13"/>
    <mergeCell ref="M9:M13"/>
    <mergeCell ref="N9:N13"/>
    <mergeCell ref="O9:O13"/>
    <mergeCell ref="D9:D13"/>
    <mergeCell ref="E9:E13"/>
    <mergeCell ref="F9:F13"/>
    <mergeCell ref="G9:G13"/>
    <mergeCell ref="H9:H13"/>
    <mergeCell ref="F46:F50"/>
    <mergeCell ref="G46:G50"/>
    <mergeCell ref="H46:H50"/>
    <mergeCell ref="I46:I50"/>
    <mergeCell ref="J46:J50"/>
    <mergeCell ref="M46:M50"/>
    <mergeCell ref="N46:N50"/>
    <mergeCell ref="O46:O50"/>
    <mergeCell ref="P46:P50"/>
    <mergeCell ref="Q46:Q50"/>
    <mergeCell ref="K19:K23"/>
    <mergeCell ref="L76:L80"/>
    <mergeCell ref="M76:M80"/>
    <mergeCell ref="C76:C80"/>
    <mergeCell ref="K196:K200"/>
    <mergeCell ref="L196:L200"/>
    <mergeCell ref="M196:M200"/>
    <mergeCell ref="N196:N200"/>
    <mergeCell ref="P97:P101"/>
    <mergeCell ref="Q97:Q101"/>
    <mergeCell ref="J97:J101"/>
    <mergeCell ref="AG82:AG86"/>
    <mergeCell ref="D82:D86"/>
    <mergeCell ref="E82:E86"/>
    <mergeCell ref="F82:F86"/>
    <mergeCell ref="G82:G86"/>
    <mergeCell ref="H82:H86"/>
    <mergeCell ref="I82:I86"/>
    <mergeCell ref="J82:J86"/>
    <mergeCell ref="K87:K91"/>
    <mergeCell ref="N87:N91"/>
    <mergeCell ref="O87:O91"/>
    <mergeCell ref="P87:P91"/>
    <mergeCell ref="Q87:Q91"/>
    <mergeCell ref="AG87:AG91"/>
    <mergeCell ref="D87:D91"/>
    <mergeCell ref="E87:E91"/>
    <mergeCell ref="F87:F91"/>
    <mergeCell ref="G87:G91"/>
    <mergeCell ref="H87:H91"/>
    <mergeCell ref="I87:I91"/>
    <mergeCell ref="J87:J91"/>
    <mergeCell ref="AG92:AG96"/>
    <mergeCell ref="V119:Z119"/>
    <mergeCell ref="V160:Z160"/>
    <mergeCell ref="T399:U399"/>
    <mergeCell ref="P288:P292"/>
    <mergeCell ref="Q288:Q292"/>
    <mergeCell ref="B216:Q216"/>
    <mergeCell ref="K237:K241"/>
    <mergeCell ref="R381:Y381"/>
    <mergeCell ref="R383:AG383"/>
    <mergeCell ref="T385:Y385"/>
    <mergeCell ref="T398:V398"/>
    <mergeCell ref="AD277:AG277"/>
    <mergeCell ref="AG278:AG282"/>
    <mergeCell ref="AG283:AG287"/>
    <mergeCell ref="O232:O236"/>
    <mergeCell ref="AG211:AG215"/>
    <mergeCell ref="AG293:AG297"/>
    <mergeCell ref="AG298:AG302"/>
    <mergeCell ref="F319:F323"/>
    <mergeCell ref="M272:M276"/>
    <mergeCell ref="M211:M215"/>
    <mergeCell ref="Q334:Q338"/>
    <mergeCell ref="G247:G251"/>
    <mergeCell ref="C211:C215"/>
    <mergeCell ref="H278:H282"/>
    <mergeCell ref="H272:H276"/>
    <mergeCell ref="F293:F297"/>
    <mergeCell ref="G313:G317"/>
    <mergeCell ref="D267:D271"/>
    <mergeCell ref="D272:D276"/>
    <mergeCell ref="E278:E282"/>
    <mergeCell ref="F278:F282"/>
    <mergeCell ref="G278:G282"/>
    <mergeCell ref="G267:G271"/>
    <mergeCell ref="AG201:AG205"/>
    <mergeCell ref="AG206:AG210"/>
    <mergeCell ref="R216:Y216"/>
    <mergeCell ref="AD216:AG216"/>
    <mergeCell ref="M257:M261"/>
    <mergeCell ref="N257:N261"/>
    <mergeCell ref="O257:O261"/>
    <mergeCell ref="P257:P261"/>
    <mergeCell ref="Q257:Q261"/>
    <mergeCell ref="K252:K256"/>
    <mergeCell ref="L252:L256"/>
    <mergeCell ref="I222:I226"/>
    <mergeCell ref="O206:O210"/>
    <mergeCell ref="P206:P210"/>
    <mergeCell ref="Q206:Q210"/>
    <mergeCell ref="P232:P236"/>
    <mergeCell ref="N201:N205"/>
    <mergeCell ref="O201:O205"/>
    <mergeCell ref="K211:K215"/>
    <mergeCell ref="N206:N210"/>
    <mergeCell ref="AG232:AG236"/>
    <mergeCell ref="L211:L215"/>
    <mergeCell ref="N211:N215"/>
    <mergeCell ref="O211:O215"/>
    <mergeCell ref="P222:P226"/>
    <mergeCell ref="Q222:Q226"/>
    <mergeCell ref="K227:K231"/>
    <mergeCell ref="L227:L231"/>
    <mergeCell ref="M227:M231"/>
    <mergeCell ref="J252:J256"/>
    <mergeCell ref="N222:N226"/>
    <mergeCell ref="M237:M241"/>
    <mergeCell ref="T413:U413"/>
    <mergeCell ref="T403:U403"/>
    <mergeCell ref="T404:V404"/>
    <mergeCell ref="T405:U405"/>
    <mergeCell ref="T406:U406"/>
    <mergeCell ref="T407:U407"/>
    <mergeCell ref="T408:U408"/>
    <mergeCell ref="T409:U409"/>
    <mergeCell ref="O252:O256"/>
    <mergeCell ref="P252:P256"/>
    <mergeCell ref="Q252:Q256"/>
    <mergeCell ref="T412:U412"/>
    <mergeCell ref="M201:M205"/>
    <mergeCell ref="K206:K210"/>
    <mergeCell ref="L206:L210"/>
    <mergeCell ref="T402:U402"/>
    <mergeCell ref="T410:U410"/>
    <mergeCell ref="T411:U411"/>
    <mergeCell ref="N313:N317"/>
    <mergeCell ref="K298:K302"/>
    <mergeCell ref="L298:L302"/>
    <mergeCell ref="M298:M302"/>
    <mergeCell ref="N298:N302"/>
    <mergeCell ref="P211:P215"/>
    <mergeCell ref="N288:N292"/>
    <mergeCell ref="T400:U400"/>
    <mergeCell ref="T401:U401"/>
    <mergeCell ref="B381:Q381"/>
    <mergeCell ref="B217:B221"/>
    <mergeCell ref="E272:E276"/>
    <mergeCell ref="K283:K287"/>
    <mergeCell ref="H267:H271"/>
    <mergeCell ref="AG288:AG292"/>
    <mergeCell ref="AG237:AG241"/>
    <mergeCell ref="Q278:Q282"/>
    <mergeCell ref="Q283:Q287"/>
    <mergeCell ref="O267:O271"/>
    <mergeCell ref="P267:P271"/>
    <mergeCell ref="P355:P359"/>
    <mergeCell ref="O272:O276"/>
    <mergeCell ref="P272:P276"/>
    <mergeCell ref="R360:Y360"/>
    <mergeCell ref="AG308:AG312"/>
    <mergeCell ref="AG313:AG317"/>
    <mergeCell ref="AD318:AG318"/>
    <mergeCell ref="AG319:AG323"/>
    <mergeCell ref="AG355:AG359"/>
    <mergeCell ref="AD360:AG360"/>
    <mergeCell ref="AG361:AG365"/>
    <mergeCell ref="Q303:Q307"/>
    <mergeCell ref="P313:P317"/>
    <mergeCell ref="Q313:Q317"/>
    <mergeCell ref="O313:O317"/>
    <mergeCell ref="R318:Y318"/>
    <mergeCell ref="R339:Y339"/>
    <mergeCell ref="O247:O251"/>
    <mergeCell ref="P247:P251"/>
    <mergeCell ref="Q247:Q251"/>
    <mergeCell ref="O262:O266"/>
    <mergeCell ref="P262:P266"/>
    <mergeCell ref="Q262:Q266"/>
    <mergeCell ref="P324:P328"/>
    <mergeCell ref="R277:Y277"/>
    <mergeCell ref="AG267:AG271"/>
    <mergeCell ref="AG366:AG370"/>
    <mergeCell ref="AG371:AG375"/>
    <mergeCell ref="AG376:AG380"/>
    <mergeCell ref="AG257:AG261"/>
    <mergeCell ref="AG262:AG266"/>
    <mergeCell ref="AG303:AG307"/>
    <mergeCell ref="AD381:AG381"/>
    <mergeCell ref="AD382:AG382"/>
    <mergeCell ref="AG324:AG328"/>
    <mergeCell ref="AG329:AG333"/>
    <mergeCell ref="AG334:AG338"/>
    <mergeCell ref="AG340:AG344"/>
    <mergeCell ref="AG345:AG349"/>
    <mergeCell ref="AG350:AG354"/>
    <mergeCell ref="AD339:AG339"/>
    <mergeCell ref="G237:G241"/>
    <mergeCell ref="H237:H241"/>
    <mergeCell ref="M262:M266"/>
    <mergeCell ref="G293:G297"/>
    <mergeCell ref="AG247:AG251"/>
    <mergeCell ref="AG252:AG256"/>
    <mergeCell ref="N272:N276"/>
    <mergeCell ref="N252:N256"/>
    <mergeCell ref="AG242:AG246"/>
    <mergeCell ref="L324:L328"/>
    <mergeCell ref="N283:N287"/>
    <mergeCell ref="M329:M333"/>
    <mergeCell ref="M303:M307"/>
    <mergeCell ref="N303:N307"/>
    <mergeCell ref="O303:O307"/>
    <mergeCell ref="I334:I338"/>
    <mergeCell ref="P303:P307"/>
    <mergeCell ref="K166:K170"/>
    <mergeCell ref="L166:L170"/>
    <mergeCell ref="M166:M170"/>
    <mergeCell ref="N166:N170"/>
    <mergeCell ref="O166:O170"/>
    <mergeCell ref="P166:P170"/>
    <mergeCell ref="Q166:Q170"/>
    <mergeCell ref="E107:E165"/>
    <mergeCell ref="D107:D165"/>
    <mergeCell ref="H97:H101"/>
    <mergeCell ref="I97:I101"/>
    <mergeCell ref="G166:G170"/>
    <mergeCell ref="J166:J170"/>
    <mergeCell ref="F166:F170"/>
    <mergeCell ref="AG97:AG101"/>
    <mergeCell ref="G102:G106"/>
    <mergeCell ref="M102:M106"/>
    <mergeCell ref="I107:I165"/>
    <mergeCell ref="AG196:AG200"/>
    <mergeCell ref="AG186:AG190"/>
    <mergeCell ref="J217:J221"/>
    <mergeCell ref="AG191:AG195"/>
    <mergeCell ref="AG102:AG106"/>
    <mergeCell ref="AG166:AG170"/>
    <mergeCell ref="AG171:AG175"/>
    <mergeCell ref="AG176:AG180"/>
    <mergeCell ref="AG181:AG185"/>
    <mergeCell ref="K186:K190"/>
    <mergeCell ref="L186:L190"/>
    <mergeCell ref="M186:M190"/>
    <mergeCell ref="N186:N190"/>
    <mergeCell ref="K102:K106"/>
    <mergeCell ref="L102:L106"/>
    <mergeCell ref="G176:G180"/>
    <mergeCell ref="H176:H180"/>
    <mergeCell ref="I176:I180"/>
    <mergeCell ref="N102:N106"/>
    <mergeCell ref="O102:O106"/>
    <mergeCell ref="P102:P106"/>
    <mergeCell ref="Q117:Q165"/>
    <mergeCell ref="P117:P165"/>
    <mergeCell ref="O117:O165"/>
    <mergeCell ref="N117:N165"/>
    <mergeCell ref="M117:M165"/>
    <mergeCell ref="L117:L165"/>
    <mergeCell ref="Q176:Q180"/>
    <mergeCell ref="K117:K165"/>
    <mergeCell ref="J107:J165"/>
    <mergeCell ref="H107:H165"/>
    <mergeCell ref="G107:G165"/>
    <mergeCell ref="Q211:Q215"/>
    <mergeCell ref="F186:F190"/>
    <mergeCell ref="F191:F195"/>
    <mergeCell ref="Q227:Q231"/>
    <mergeCell ref="K217:K221"/>
    <mergeCell ref="L217:L221"/>
    <mergeCell ref="Q267:Q271"/>
    <mergeCell ref="AG217:AG221"/>
    <mergeCell ref="AG222:AG226"/>
    <mergeCell ref="AG227:AG231"/>
    <mergeCell ref="K222:K226"/>
    <mergeCell ref="L222:L226"/>
    <mergeCell ref="O227:O231"/>
    <mergeCell ref="P176:P180"/>
    <mergeCell ref="P227:P231"/>
    <mergeCell ref="K171:K175"/>
    <mergeCell ref="L171:L175"/>
    <mergeCell ref="J181:J185"/>
    <mergeCell ref="P181:P185"/>
    <mergeCell ref="K181:K185"/>
    <mergeCell ref="L181:L185"/>
    <mergeCell ref="M181:M185"/>
    <mergeCell ref="N181:N185"/>
    <mergeCell ref="O181:O185"/>
    <mergeCell ref="O176:O180"/>
    <mergeCell ref="J176:J180"/>
    <mergeCell ref="P201:P205"/>
    <mergeCell ref="Q201:Q205"/>
    <mergeCell ref="O196:O200"/>
    <mergeCell ref="P196:P200"/>
    <mergeCell ref="Q196:Q200"/>
    <mergeCell ref="Q181:Q185"/>
    <mergeCell ref="F92:F96"/>
    <mergeCell ref="G92:G96"/>
    <mergeCell ref="H92:H96"/>
    <mergeCell ref="I92:I96"/>
    <mergeCell ref="J92:J96"/>
    <mergeCell ref="K92:K96"/>
    <mergeCell ref="L92:L96"/>
    <mergeCell ref="M92:M96"/>
    <mergeCell ref="N92:N96"/>
    <mergeCell ref="O92:O96"/>
    <mergeCell ref="P92:P96"/>
    <mergeCell ref="Q92:Q96"/>
    <mergeCell ref="K191:K195"/>
    <mergeCell ref="L191:L195"/>
    <mergeCell ref="M191:M195"/>
    <mergeCell ref="N191:N195"/>
    <mergeCell ref="O191:O195"/>
    <mergeCell ref="P191:P195"/>
    <mergeCell ref="G191:G195"/>
    <mergeCell ref="H191:H195"/>
    <mergeCell ref="Q191:Q195"/>
    <mergeCell ref="M171:M175"/>
    <mergeCell ref="N171:N175"/>
    <mergeCell ref="F181:F185"/>
    <mergeCell ref="F107:F165"/>
    <mergeCell ref="G181:G185"/>
    <mergeCell ref="O171:O175"/>
    <mergeCell ref="P171:P175"/>
    <mergeCell ref="J102:J106"/>
    <mergeCell ref="I171:I175"/>
    <mergeCell ref="H181:H185"/>
    <mergeCell ref="H166:H170"/>
    <mergeCell ref="Q217:Q221"/>
    <mergeCell ref="N237:N241"/>
    <mergeCell ref="O237:O241"/>
    <mergeCell ref="P237:P241"/>
    <mergeCell ref="Q237:Q241"/>
    <mergeCell ref="K232:K236"/>
    <mergeCell ref="L232:L236"/>
    <mergeCell ref="M232:M236"/>
    <mergeCell ref="N232:N236"/>
    <mergeCell ref="P242:P246"/>
    <mergeCell ref="Q242:Q246"/>
    <mergeCell ref="M247:M251"/>
    <mergeCell ref="AG272:AG276"/>
    <mergeCell ref="K242:K246"/>
    <mergeCell ref="M242:M246"/>
    <mergeCell ref="N242:N246"/>
    <mergeCell ref="O242:O246"/>
    <mergeCell ref="K247:K251"/>
    <mergeCell ref="N247:N251"/>
    <mergeCell ref="N262:N266"/>
    <mergeCell ref="N227:N231"/>
    <mergeCell ref="L267:L271"/>
    <mergeCell ref="M267:M271"/>
    <mergeCell ref="N267:N271"/>
    <mergeCell ref="Q232:Q236"/>
    <mergeCell ref="O222:O226"/>
    <mergeCell ref="L262:L266"/>
    <mergeCell ref="K257:K261"/>
    <mergeCell ref="L247:L251"/>
    <mergeCell ref="L242:L246"/>
    <mergeCell ref="K262:K266"/>
    <mergeCell ref="F361:F365"/>
    <mergeCell ref="H345:H349"/>
    <mergeCell ref="F350:F354"/>
    <mergeCell ref="G350:G354"/>
    <mergeCell ref="H350:H354"/>
    <mergeCell ref="G361:G365"/>
    <mergeCell ref="I350:I354"/>
    <mergeCell ref="F340:F344"/>
    <mergeCell ref="G340:G344"/>
    <mergeCell ref="G303:G307"/>
    <mergeCell ref="K293:K297"/>
    <mergeCell ref="N293:N297"/>
    <mergeCell ref="F303:F307"/>
    <mergeCell ref="M217:M221"/>
    <mergeCell ref="N217:N221"/>
    <mergeCell ref="O217:O221"/>
    <mergeCell ref="P217:P221"/>
    <mergeCell ref="G283:G287"/>
    <mergeCell ref="O288:O292"/>
    <mergeCell ref="H288:H292"/>
    <mergeCell ref="J293:J297"/>
    <mergeCell ref="I267:I271"/>
    <mergeCell ref="J267:J271"/>
    <mergeCell ref="F217:F221"/>
    <mergeCell ref="F232:F236"/>
    <mergeCell ref="H217:H221"/>
    <mergeCell ref="F242:F246"/>
    <mergeCell ref="J222:J226"/>
    <mergeCell ref="J242:J246"/>
    <mergeCell ref="F262:F266"/>
    <mergeCell ref="G262:G266"/>
    <mergeCell ref="G272:G276"/>
    <mergeCell ref="F371:F375"/>
    <mergeCell ref="H361:H365"/>
    <mergeCell ref="C345:C349"/>
    <mergeCell ref="K361:K365"/>
    <mergeCell ref="G355:G359"/>
    <mergeCell ref="H355:H359"/>
    <mergeCell ref="Q366:Q370"/>
    <mergeCell ref="Q272:Q276"/>
    <mergeCell ref="B277:Q277"/>
    <mergeCell ref="L278:L282"/>
    <mergeCell ref="L283:L287"/>
    <mergeCell ref="M278:M282"/>
    <mergeCell ref="N278:N282"/>
    <mergeCell ref="K329:K333"/>
    <mergeCell ref="L288:L292"/>
    <mergeCell ref="N361:N365"/>
    <mergeCell ref="O361:O365"/>
    <mergeCell ref="P361:P365"/>
    <mergeCell ref="Q361:Q365"/>
    <mergeCell ref="F345:F349"/>
    <mergeCell ref="E345:E349"/>
    <mergeCell ref="B318:Q318"/>
    <mergeCell ref="M319:M323"/>
    <mergeCell ref="N319:N323"/>
    <mergeCell ref="O319:O323"/>
    <mergeCell ref="P319:P323"/>
    <mergeCell ref="Q319:Q323"/>
    <mergeCell ref="C355:C359"/>
    <mergeCell ref="B355:B359"/>
    <mergeCell ref="C340:C344"/>
    <mergeCell ref="Q340:Q344"/>
    <mergeCell ref="P345:P349"/>
    <mergeCell ref="G366:G370"/>
    <mergeCell ref="I345:I349"/>
    <mergeCell ref="H303:H307"/>
    <mergeCell ref="G308:G312"/>
    <mergeCell ref="H308:H312"/>
    <mergeCell ref="J257:J261"/>
    <mergeCell ref="O298:O302"/>
    <mergeCell ref="O350:O354"/>
    <mergeCell ref="H340:H344"/>
    <mergeCell ref="H313:H317"/>
    <mergeCell ref="K313:K317"/>
    <mergeCell ref="L313:L317"/>
    <mergeCell ref="M313:M317"/>
    <mergeCell ref="O345:O349"/>
    <mergeCell ref="M324:M328"/>
    <mergeCell ref="K340:K344"/>
    <mergeCell ref="L340:L344"/>
    <mergeCell ref="I366:I370"/>
    <mergeCell ref="J366:J370"/>
    <mergeCell ref="I361:I365"/>
    <mergeCell ref="J361:J365"/>
    <mergeCell ref="J350:J354"/>
    <mergeCell ref="B360:Q360"/>
    <mergeCell ref="B366:B370"/>
    <mergeCell ref="C366:C370"/>
    <mergeCell ref="F355:F359"/>
    <mergeCell ref="Q345:Q349"/>
    <mergeCell ref="P350:P354"/>
    <mergeCell ref="Q350:Q354"/>
    <mergeCell ref="M288:M292"/>
    <mergeCell ref="L272:L276"/>
    <mergeCell ref="B334:B338"/>
    <mergeCell ref="Q355:Q359"/>
    <mergeCell ref="P329:P333"/>
    <mergeCell ref="Q329:Q333"/>
    <mergeCell ref="K334:K338"/>
    <mergeCell ref="L334:L338"/>
    <mergeCell ref="M334:M338"/>
    <mergeCell ref="I319:I323"/>
    <mergeCell ref="J334:J338"/>
    <mergeCell ref="G334:G338"/>
    <mergeCell ref="H334:H338"/>
    <mergeCell ref="G345:G349"/>
    <mergeCell ref="L361:L365"/>
    <mergeCell ref="K345:K349"/>
    <mergeCell ref="J298:J302"/>
    <mergeCell ref="I329:I333"/>
    <mergeCell ref="J329:J333"/>
    <mergeCell ref="I340:I344"/>
    <mergeCell ref="J340:J344"/>
    <mergeCell ref="M340:M344"/>
    <mergeCell ref="N340:N344"/>
    <mergeCell ref="O340:O344"/>
    <mergeCell ref="P340:P344"/>
    <mergeCell ref="K319:K323"/>
    <mergeCell ref="L319:L323"/>
    <mergeCell ref="J319:J323"/>
    <mergeCell ref="N334:N338"/>
    <mergeCell ref="O334:O338"/>
    <mergeCell ref="P334:P338"/>
    <mergeCell ref="O355:O359"/>
    <mergeCell ref="L345:L349"/>
    <mergeCell ref="L329:L333"/>
    <mergeCell ref="M350:M354"/>
    <mergeCell ref="K366:K370"/>
    <mergeCell ref="L366:L370"/>
    <mergeCell ref="M366:M370"/>
    <mergeCell ref="N366:N370"/>
    <mergeCell ref="J345:J349"/>
    <mergeCell ref="L355:L359"/>
    <mergeCell ref="M355:M359"/>
    <mergeCell ref="N355:N359"/>
    <mergeCell ref="N324:N328"/>
    <mergeCell ref="O324:O328"/>
    <mergeCell ref="P366:P370"/>
    <mergeCell ref="I355:I359"/>
    <mergeCell ref="J355:J359"/>
    <mergeCell ref="M361:M365"/>
    <mergeCell ref="K350:K354"/>
    <mergeCell ref="L350:L354"/>
    <mergeCell ref="K376:K380"/>
    <mergeCell ref="L376:L380"/>
    <mergeCell ref="M376:M380"/>
    <mergeCell ref="N376:N380"/>
    <mergeCell ref="O376:O380"/>
    <mergeCell ref="N371:N375"/>
    <mergeCell ref="O371:O375"/>
    <mergeCell ref="P371:P375"/>
    <mergeCell ref="I371:I375"/>
    <mergeCell ref="J371:J375"/>
    <mergeCell ref="N350:N354"/>
    <mergeCell ref="K355:K359"/>
    <mergeCell ref="N345:N349"/>
    <mergeCell ref="M345:M349"/>
    <mergeCell ref="B339:Q339"/>
    <mergeCell ref="C334:C338"/>
    <mergeCell ref="I278:I282"/>
    <mergeCell ref="J278:J282"/>
    <mergeCell ref="F283:F287"/>
    <mergeCell ref="L293:L297"/>
    <mergeCell ref="N329:N333"/>
    <mergeCell ref="O329:O333"/>
    <mergeCell ref="F298:F302"/>
    <mergeCell ref="G298:G302"/>
    <mergeCell ref="H298:H302"/>
    <mergeCell ref="I298:I302"/>
    <mergeCell ref="O278:O282"/>
    <mergeCell ref="P278:P282"/>
    <mergeCell ref="I324:I328"/>
    <mergeCell ref="J324:J328"/>
    <mergeCell ref="K278:K282"/>
    <mergeCell ref="P308:P312"/>
    <mergeCell ref="Q308:Q312"/>
    <mergeCell ref="B382:Q382"/>
    <mergeCell ref="R382:Y382"/>
    <mergeCell ref="B107:B165"/>
    <mergeCell ref="K288:K292"/>
    <mergeCell ref="I242:I246"/>
    <mergeCell ref="F324:F328"/>
    <mergeCell ref="K303:K307"/>
    <mergeCell ref="L303:L307"/>
    <mergeCell ref="J303:J307"/>
    <mergeCell ref="I308:I312"/>
    <mergeCell ref="J308:J312"/>
    <mergeCell ref="I313:I317"/>
    <mergeCell ref="J313:J317"/>
    <mergeCell ref="M293:M297"/>
    <mergeCell ref="P293:P297"/>
    <mergeCell ref="Q293:Q297"/>
    <mergeCell ref="P283:P287"/>
    <mergeCell ref="E181:E185"/>
    <mergeCell ref="E186:E190"/>
    <mergeCell ref="I186:I190"/>
    <mergeCell ref="G196:G200"/>
    <mergeCell ref="H196:H200"/>
    <mergeCell ref="D181:D185"/>
    <mergeCell ref="G211:G215"/>
    <mergeCell ref="H211:H215"/>
    <mergeCell ref="I211:I215"/>
    <mergeCell ref="J211:J215"/>
    <mergeCell ref="G206:G210"/>
    <mergeCell ref="H206:H210"/>
    <mergeCell ref="I201:I205"/>
    <mergeCell ref="J201:J205"/>
    <mergeCell ref="I206:I210"/>
    <mergeCell ref="J171:J175"/>
    <mergeCell ref="G186:G190"/>
    <mergeCell ref="E201:E205"/>
    <mergeCell ref="I272:I276"/>
    <mergeCell ref="F272:F276"/>
    <mergeCell ref="E267:E271"/>
    <mergeCell ref="D262:D266"/>
    <mergeCell ref="J247:J251"/>
    <mergeCell ref="I252:I256"/>
    <mergeCell ref="G227:G231"/>
    <mergeCell ref="H227:H231"/>
    <mergeCell ref="H201:H205"/>
    <mergeCell ref="H252:H256"/>
    <mergeCell ref="H247:H251"/>
    <mergeCell ref="G252:G256"/>
    <mergeCell ref="F227:F231"/>
    <mergeCell ref="J191:J195"/>
    <mergeCell ref="I247:I251"/>
    <mergeCell ref="I237:I241"/>
    <mergeCell ref="J237:J241"/>
    <mergeCell ref="I262:I266"/>
    <mergeCell ref="J262:J266"/>
    <mergeCell ref="G222:G226"/>
    <mergeCell ref="H222:H226"/>
    <mergeCell ref="J206:J210"/>
    <mergeCell ref="D191:D195"/>
    <mergeCell ref="F196:F200"/>
    <mergeCell ref="D201:D205"/>
    <mergeCell ref="G217:G221"/>
    <mergeCell ref="F247:F251"/>
    <mergeCell ref="F267:F271"/>
    <mergeCell ref="H262:H266"/>
    <mergeCell ref="F176:F180"/>
    <mergeCell ref="F206:F210"/>
    <mergeCell ref="I303:I307"/>
    <mergeCell ref="K324:K328"/>
    <mergeCell ref="I288:I292"/>
    <mergeCell ref="Q324:Q328"/>
    <mergeCell ref="P298:P302"/>
    <mergeCell ref="Q298:Q302"/>
    <mergeCell ref="I217:I221"/>
    <mergeCell ref="H186:H190"/>
    <mergeCell ref="J186:J190"/>
    <mergeCell ref="I196:I200"/>
    <mergeCell ref="J196:J200"/>
    <mergeCell ref="F252:F256"/>
    <mergeCell ref="F257:F261"/>
    <mergeCell ref="G257:G261"/>
    <mergeCell ref="H257:H261"/>
    <mergeCell ref="I257:I261"/>
    <mergeCell ref="F211:F215"/>
    <mergeCell ref="G242:G246"/>
    <mergeCell ref="H242:H246"/>
    <mergeCell ref="L257:L261"/>
    <mergeCell ref="K267:K271"/>
    <mergeCell ref="K272:K276"/>
    <mergeCell ref="O293:O297"/>
    <mergeCell ref="K308:K312"/>
    <mergeCell ref="L308:L312"/>
    <mergeCell ref="M308:M312"/>
    <mergeCell ref="N308:N312"/>
    <mergeCell ref="O308:O312"/>
    <mergeCell ref="O283:O287"/>
    <mergeCell ref="M283:M287"/>
  </mergeCells>
  <dataValidations count="5">
    <dataValidation type="list" allowBlank="1" showInputMessage="1" showErrorMessage="1" prompt="Orientación: - Escoja un Lineamiento Estratégico de la lista despegable." sqref="E9 E376 E371 E366 E361 E340 E319 E278 E217 E87 E82" xr:uid="{00000000-0002-0000-1900-000000000000}">
      <formula1>INDIRECT($D9)</formula1>
    </dataValidation>
    <dataValidation type="list" allowBlank="1" showInputMessage="1" showErrorMessage="1" prompt="Orientación: - Escoja un Eje Estratégico de la lista despegable." sqref="D9 D376 D371 D366 D361 D340 D319 D278 D217 D87 D82" xr:uid="{00000000-0002-0000-1900-000001000000}">
      <formula1>INDIRECT($F9)</formula1>
    </dataValidation>
    <dataValidation type="list" allowBlank="1" showErrorMessage="1" sqref="E14 E355 E350 E345 E334 E329 E324 E313 E308 E303 E298 E293 E288 E283 E272 E267 E262 E257 E252 E247 E242 E237 E232 E227 E222 E211 E206 E201 E196 E191 E186 E181 E176 E171 E166 E107 E102 E97 E92 E76 E71 E66 E61 E56 E51 E46 E41 E29 E24 E19" xr:uid="{00000000-0002-0000-1900-000002000000}">
      <formula1>INDIRECT($D14)</formula1>
    </dataValidation>
    <dataValidation type="list" allowBlank="1" showErrorMessage="1" sqref="D14 D355 D350 D345 D334 D329 D324 D313 D308 D303 D298 D293 D288 D283 D272 D267 D262 D257 D252 D247 D242 D237 D232 D227 D222 D211 D206 D201 D196 D191 D186 D181 D176 D171 D166 D107 D102 D97 D92 D76 D71 D66 D61 D56 D51 D46 D41 D29 D24 D19" xr:uid="{00000000-0002-0000-1900-000003000000}">
      <formula1>INDIRECT($F14)</formula1>
    </dataValidation>
    <dataValidation type="decimal" allowBlank="1" showInputMessage="1" showErrorMessage="1" prompt="DPLAN - Sólo debe ingresar valores, NO porcentajes." sqref="L9:N9 L29:N29 L41:N41 L56:N56 L61:N61 L71:N71 L76:N76 L82:N82 L102:N102 L107:N117 L171:N171 L176:N176 L186:N186 L191:N191 L196:N196 L201:N201 L206:N206 L211:N211 L217:N217 L237:N237 L242:N242 L252:N252 L257:N257 L267:N267 L272:N272 L278:N278 L298:N298 L303:N303 L308:N308 L319:N319 L340:N340 L361:N361 L366:N366 L371:N371 L376:N376" xr:uid="{00000000-0002-0000-19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&amp;LFacultad de Ingeniería Civil&amp;C&amp;P</oddHead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prompt="Orientación: - Escoja un OEI de la lista despegable." xr:uid="{00000000-0002-0000-1900-000005000000}">
          <x14:formula1>
            <xm:f>'https://utmachalaeduec-my.sharepoint.com/personal/planificacion_utmachala_edu_ec/Documents/Gestión 2023/G.06 EMISION DE INSUMOS PARA ELAB. DE LA PROF, PRESUPUESTARIA Y SUS REFORMAS/REFORMA N° 002-2023/[PEDI]PEDI'!#REF!</xm:f>
          </x14:formula1>
          <xm:sqref>F9 F82 F217 F278 F319 F340 F361 F366 F371 F376</xm:sqref>
        </x14:dataValidation>
        <x14:dataValidation type="list" allowBlank="1" showInputMessage="1" showErrorMessage="1" prompt="Orientación: - Escoja una Estrategia DAFO de la lista despegable." xr:uid="{00000000-0002-0000-19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H82 H217 H278 H319 H340 H361 H366 H371 H376</xm:sqref>
        </x14:dataValidation>
        <x14:dataValidation type="list" allowBlank="1" showInputMessage="1" showErrorMessage="1" prompt="Orientación: - Escoja una Política Pública/Meta Nacional de la lista despegable." xr:uid="{00000000-0002-0000-1900-000007000000}">
          <x14:formula1>
            <xm:f>'https://utmachalaeduec-my.sharepoint.com/personal/planificacion_utmachala_edu_ec/Documents/Gestión 2023/G.06 EMISION DE INSUMOS PARA ELAB. DE LA PROF, PRESUPUESTARIA Y SUS REFORMAS/REFORMA N° 002-2023/[PND]PND'!#REF!</xm:f>
          </x14:formula1>
          <xm:sqref>C9 C82 C217 C278 C319 C340 C361 C366 C371 C376</xm:sqref>
        </x14:dataValidation>
        <x14:dataValidation type="list" allowBlank="1" showErrorMessage="1" xr:uid="{00000000-0002-0000-19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H9 H14 H19 H24 H29 H41 H46 H51 H56 H61 H66 H71 H76 H87 H92 H97 H102 H166 H171 H176 H181 H186 H191 H201 H206 H211 H222 H227 H232 H237 H242 H247 H252 H257 H262 H267 H272 H283 H288 H293 H298 H308 H313 H324 H329 H334 H345 H350 H355</xm:sqref>
        </x14:dataValidation>
        <x14:dataValidation type="list" allowBlank="1" showErrorMessage="1" xr:uid="{00000000-0002-0000-1900-000009000000}">
          <x14:formula1>
            <xm:f>'https://utmachalaeduec-my.sharepoint.com/personal/planificacion_utmachala_edu_ec/Documents/Gestión 2023/G.06 EMISION DE INSUMOS PARA ELAB. DE LA PROF, PRESUPUESTARIA Y SUS REFORMAS/REFORMA N° 002-2023/[PND]PND'!#REF!</xm:f>
          </x14:formula1>
          <xm:sqref>B14:C14 B19:C19 B24:C24 B29:C29 B41:C41 B46:C46 B51:C51 B56:C56 B61:C61 B66:C66 B71:C71 B76:C76 B87:C87 B92:C92 B97:C97 B102:C102 B166:C166 B171:C171 B176:C176 B181:C181 B186:C186 B191:C191 B201:C201 B206:C206 B211:C211 B222:C222 B227:C227 B232:C232 B237:C237 B242:C242 B247:C247 B252:C252 B257:C257 B262:C262 B267:C267 B272:C272 B283:C283 B288:C288 B293:C293 B298:C298 B308:C308 B313:C313 B324:C324 B329:C329 B334:C334 B345:C345 B350:C350 B355:C355</xm:sqref>
        </x14:dataValidation>
        <x14:dataValidation type="list" allowBlank="1" showErrorMessage="1" xr:uid="{00000000-0002-0000-1900-00000A000000}">
          <x14:formula1>
            <xm:f>('https://utmachalaeduec-my.sharepoint.com/personal/planificacion_utmachala_edu_ec/Documents/Gestión 2023/G.06 EMISION DE INSUMOS PARA ELAB. DE LA PROF, PRESUPUESTARIA Y SUS REFORMAS/REFORMA N° 002-2023/[PEDI]PEDI'!#REF!)</xm:f>
          </x14:formula1>
          <xm:sqref>G14 G19 G24 G29 G41 G46 G51 G56 G61 G66 G71 G76 G87 G92 G97 G102 G166 G171 G176 G181 G186 G191 G201 G206 G211 G222 G227 G232 G237 G242 G247 G252 G257 G262 G267 G272 G283 G288 G293 G298 G308 G313 G324 G329 G334 G345 G350 G355</xm:sqref>
        </x14:dataValidation>
        <x14:dataValidation type="list" allowBlank="1" showInputMessage="1" showErrorMessage="1" prompt="Orientación: - Escoja un Objetivo Nacional de la lista despegable." xr:uid="{00000000-0002-0000-1900-00000B000000}">
          <x14:formula1>
            <xm:f>'https://utmachalaeduec-my.sharepoint.com/personal/planificacion_utmachala_edu_ec/Documents/Gestión 2023/G.06 EMISION DE INSUMOS PARA ELAB. DE LA PROF, PRESUPUESTARIA Y SUS REFORMAS/REFORMA N° 002-2023/[PND]PND'!#REF!</xm:f>
          </x14:formula1>
          <xm:sqref>B9 B82 B217 B278 B319 B340 B361 B366 B371 B376</xm:sqref>
        </x14:dataValidation>
        <x14:dataValidation type="list" allowBlank="1" showErrorMessage="1" xr:uid="{00000000-0002-0000-1900-00000C000000}">
          <x14:formula1>
            <xm:f>'https://utmachalaeduec-my.sharepoint.com/personal/planificacion_utmachala_edu_ec/Documents/Gestión 2023/G.06 EMISION DE INSUMOS PARA ELAB. DE LA PROF, PRESUPUESTARIA Y SUS REFORMAS/REFORMA N° 002-2023/[PEDI]PEDI'!#REF!</xm:f>
          </x14:formula1>
          <xm:sqref>F14 F19 F24 F29 F41 F46 F51 F56 F61 F66 F71 F76 F87 F92 F97 F102 F166 F171 F176 F181 F186 F191 F201 F206 F211 F222 F227 F232 F237 F242 F247 F252 F257 F262 F267 F272 F283 F288 F293 F298 F308 F313 F324 F329 F334 F345 F350 F355</xm:sqref>
        </x14:dataValidation>
        <x14:dataValidation type="list" allowBlank="1" showInputMessage="1" showErrorMessage="1" prompt="Orientación: - Escoja un Producto Institucional de la lista despegable." xr:uid="{00000000-0002-0000-1900-00000D000000}">
          <x14:formula1>
            <xm:f>('https://utmachalaeduec-my.sharepoint.com/personal/planificacion_utmachala_edu_ec/Documents/Gestión 2023/G.06 EMISION DE INSUMOS PARA ELAB. DE LA PROF, PRESUPUESTARIA Y SUS REFORMAS/REFORMA N° 002-2023/[PEDI]PEDI'!#REF!)</xm:f>
          </x14:formula1>
          <xm:sqref>G9 G82 G217 G278 G319 G340 G361 G366 G371 G376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94"/>
  <sheetViews>
    <sheetView workbookViewId="0">
      <selection activeCell="B4" sqref="B4"/>
    </sheetView>
  </sheetViews>
  <sheetFormatPr baseColWidth="10" defaultColWidth="12.42578125" defaultRowHeight="15.75" customHeight="1"/>
  <cols>
    <col min="1" max="1" width="1.42578125" style="1592" customWidth="1"/>
    <col min="2" max="2" width="18.42578125" style="1592" customWidth="1"/>
    <col min="3" max="3" width="64.85546875" style="1592" customWidth="1"/>
    <col min="4" max="4" width="16.85546875" style="1592" customWidth="1"/>
    <col min="5" max="5" width="15.140625" style="1592" customWidth="1"/>
    <col min="6" max="10" width="16" style="1592" customWidth="1"/>
    <col min="11" max="11" width="17.140625" style="1592" customWidth="1"/>
    <col min="12" max="16384" width="12.42578125" style="1592"/>
  </cols>
  <sheetData>
    <row r="1" spans="1:11" ht="39" customHeight="1">
      <c r="A1" s="11076" t="s">
        <v>0</v>
      </c>
      <c r="B1" s="11355"/>
      <c r="C1" s="11355"/>
      <c r="D1" s="11355"/>
      <c r="E1" s="11355"/>
      <c r="F1" s="11355"/>
      <c r="G1" s="11355"/>
      <c r="H1" s="11355"/>
      <c r="I1" s="11355"/>
      <c r="J1" s="11355"/>
      <c r="K1" s="11355"/>
    </row>
    <row r="2" spans="1:11" ht="30">
      <c r="A2" s="11077" t="s">
        <v>1</v>
      </c>
      <c r="B2" s="11356"/>
      <c r="C2" s="11356"/>
      <c r="D2" s="11356"/>
      <c r="E2" s="11356"/>
      <c r="F2" s="11356"/>
      <c r="G2" s="11356"/>
      <c r="H2" s="11356"/>
      <c r="I2" s="11356"/>
      <c r="J2" s="11356"/>
      <c r="K2" s="11356"/>
    </row>
    <row r="3" spans="1:11" ht="26.25">
      <c r="A3" s="11357" t="s">
        <v>6478</v>
      </c>
      <c r="B3" s="11355"/>
      <c r="C3" s="11355"/>
      <c r="D3" s="11355"/>
      <c r="E3" s="11355"/>
      <c r="F3" s="11355"/>
      <c r="G3" s="11355"/>
      <c r="H3" s="11355"/>
      <c r="I3" s="11355"/>
      <c r="J3" s="11355"/>
      <c r="K3" s="11355"/>
    </row>
    <row r="4" spans="1:11" ht="12.75" customHeight="1">
      <c r="A4" s="1593"/>
      <c r="B4" s="1594"/>
      <c r="C4" s="1595"/>
      <c r="D4" s="1595"/>
      <c r="E4" s="1594"/>
      <c r="F4" s="1594"/>
      <c r="G4" s="1594"/>
      <c r="H4" s="1594"/>
      <c r="I4" s="1594"/>
      <c r="J4" s="1596"/>
      <c r="K4" s="1596"/>
    </row>
    <row r="5" spans="1:11" ht="12.75" customHeight="1">
      <c r="A5" s="1593"/>
      <c r="C5" s="1597" t="s">
        <v>413</v>
      </c>
      <c r="D5" s="1597"/>
      <c r="E5" s="1596"/>
      <c r="F5" s="1596"/>
      <c r="G5" s="1596"/>
      <c r="H5" s="1596"/>
      <c r="I5" s="1598"/>
      <c r="J5" s="1598"/>
      <c r="K5" s="1598"/>
    </row>
    <row r="6" spans="1:11" ht="12.75" customHeight="1">
      <c r="A6" s="1593"/>
      <c r="B6" s="1596" t="s">
        <v>6479</v>
      </c>
      <c r="C6" s="1597"/>
      <c r="D6" s="1597"/>
      <c r="E6" s="1596"/>
      <c r="F6" s="1596"/>
      <c r="G6" s="1596"/>
      <c r="H6" s="1596"/>
      <c r="I6" s="1598"/>
      <c r="J6" s="1598"/>
      <c r="K6" s="1598"/>
    </row>
    <row r="7" spans="1:11" ht="12.75" customHeight="1">
      <c r="A7" s="1593"/>
      <c r="B7" s="11358" t="s">
        <v>6480</v>
      </c>
      <c r="C7" s="11355"/>
      <c r="D7" s="11355"/>
      <c r="E7" s="11355"/>
      <c r="F7" s="11355"/>
      <c r="G7" s="11355"/>
      <c r="H7" s="11355"/>
      <c r="I7" s="11355"/>
      <c r="J7" s="11355"/>
      <c r="K7" s="1596"/>
    </row>
    <row r="8" spans="1:11" ht="48" customHeight="1">
      <c r="A8" s="1599"/>
      <c r="B8" s="11359" t="s">
        <v>6481</v>
      </c>
      <c r="C8" s="11361" t="s">
        <v>6</v>
      </c>
      <c r="D8" s="1601"/>
      <c r="E8" s="11362" t="s">
        <v>6482</v>
      </c>
      <c r="F8" s="1602" t="s">
        <v>6483</v>
      </c>
      <c r="G8" s="1603" t="s">
        <v>6484</v>
      </c>
      <c r="H8" s="1604" t="s">
        <v>6485</v>
      </c>
      <c r="I8" s="1605" t="s">
        <v>6486</v>
      </c>
      <c r="J8" s="1606" t="s">
        <v>6487</v>
      </c>
      <c r="K8" s="1599"/>
    </row>
    <row r="9" spans="1:11" ht="25.5" customHeight="1">
      <c r="A9" s="1599"/>
      <c r="B9" s="11360"/>
      <c r="C9" s="11360"/>
      <c r="D9" s="1607"/>
      <c r="E9" s="11360"/>
      <c r="F9" s="1608" t="s">
        <v>6488</v>
      </c>
      <c r="G9" s="1603" t="s">
        <v>6489</v>
      </c>
      <c r="H9" s="1604" t="s">
        <v>6490</v>
      </c>
      <c r="I9" s="1609" t="s">
        <v>6491</v>
      </c>
      <c r="J9" s="1610" t="s">
        <v>6492</v>
      </c>
      <c r="K9" s="1599"/>
    </row>
    <row r="10" spans="1:11" ht="12.75" customHeight="1">
      <c r="A10" s="1593"/>
      <c r="B10" s="1611" t="s">
        <v>6493</v>
      </c>
      <c r="C10" s="1612" t="s">
        <v>6494</v>
      </c>
      <c r="D10" s="1612"/>
      <c r="E10" s="1613">
        <f t="shared" ref="E10:E14" si="0">+SUM(F10:J10)</f>
        <v>25485951.82</v>
      </c>
      <c r="F10" s="1613">
        <v>2265222.54</v>
      </c>
      <c r="G10" s="1613" t="s">
        <v>3551</v>
      </c>
      <c r="H10" s="1613">
        <v>23220729.280000001</v>
      </c>
      <c r="I10" s="1614" t="s">
        <v>3551</v>
      </c>
      <c r="J10" s="1614" t="s">
        <v>3551</v>
      </c>
      <c r="K10" s="1593"/>
    </row>
    <row r="11" spans="1:11" ht="12.75" customHeight="1">
      <c r="A11" s="1593"/>
      <c r="B11" s="1611" t="s">
        <v>6495</v>
      </c>
      <c r="C11" s="1612" t="s">
        <v>6496</v>
      </c>
      <c r="D11" s="1612"/>
      <c r="E11" s="1613">
        <f t="shared" si="0"/>
        <v>3689982.01</v>
      </c>
      <c r="F11" s="1613">
        <v>1602991.97</v>
      </c>
      <c r="G11" s="1613">
        <v>610525.56999999995</v>
      </c>
      <c r="H11" s="1613">
        <v>1476464.47</v>
      </c>
      <c r="I11" s="1614" t="s">
        <v>3551</v>
      </c>
      <c r="J11" s="1614" t="s">
        <v>3551</v>
      </c>
      <c r="K11" s="1593"/>
    </row>
    <row r="12" spans="1:11" ht="12.75" customHeight="1">
      <c r="A12" s="1593"/>
      <c r="B12" s="1611" t="s">
        <v>6497</v>
      </c>
      <c r="C12" s="1612" t="s">
        <v>6498</v>
      </c>
      <c r="D12" s="1612"/>
      <c r="E12" s="1613">
        <f t="shared" si="0"/>
        <v>332522.07</v>
      </c>
      <c r="F12" s="1613">
        <v>141429.96</v>
      </c>
      <c r="G12" s="1613">
        <v>159642.68</v>
      </c>
      <c r="H12" s="1613">
        <v>31449.43</v>
      </c>
      <c r="I12" s="1614" t="s">
        <v>3551</v>
      </c>
      <c r="J12" s="1614" t="s">
        <v>3551</v>
      </c>
      <c r="K12" s="1593"/>
    </row>
    <row r="13" spans="1:11" ht="12.75" customHeight="1">
      <c r="A13" s="1593"/>
      <c r="B13" s="1611" t="s">
        <v>6499</v>
      </c>
      <c r="C13" s="1612" t="s">
        <v>6500</v>
      </c>
      <c r="D13" s="1612"/>
      <c r="E13" s="1613">
        <f t="shared" si="0"/>
        <v>1507035.82</v>
      </c>
      <c r="F13" s="1613">
        <v>1507035.82</v>
      </c>
      <c r="G13" s="1613" t="s">
        <v>3551</v>
      </c>
      <c r="H13" s="1613" t="s">
        <v>3551</v>
      </c>
      <c r="I13" s="1614" t="s">
        <v>3551</v>
      </c>
      <c r="J13" s="1614" t="s">
        <v>3551</v>
      </c>
      <c r="K13" s="1593"/>
    </row>
    <row r="14" spans="1:11" ht="12.75" customHeight="1">
      <c r="A14" s="1593"/>
      <c r="B14" s="1611" t="s">
        <v>6501</v>
      </c>
      <c r="C14" s="1612" t="s">
        <v>6502</v>
      </c>
      <c r="D14" s="1612"/>
      <c r="E14" s="1613">
        <f t="shared" si="0"/>
        <v>2684082.5599999996</v>
      </c>
      <c r="F14" s="1613" t="s">
        <v>3551</v>
      </c>
      <c r="G14" s="1613" t="s">
        <v>3551</v>
      </c>
      <c r="H14" s="1613">
        <v>1478090.41</v>
      </c>
      <c r="I14" s="1615">
        <v>1205992.1499999999</v>
      </c>
      <c r="J14" s="1614" t="s">
        <v>3551</v>
      </c>
      <c r="K14" s="1593"/>
    </row>
    <row r="15" spans="1:11" ht="12.75" customHeight="1">
      <c r="A15" s="1596"/>
      <c r="B15" s="1616"/>
      <c r="C15" s="1617" t="s">
        <v>6503</v>
      </c>
      <c r="D15" s="1617"/>
      <c r="E15" s="1618">
        <f t="shared" ref="E15:J15" si="1">SUM(E10:E14)</f>
        <v>33699574.280000001</v>
      </c>
      <c r="F15" s="1618">
        <f t="shared" si="1"/>
        <v>5516680.29</v>
      </c>
      <c r="G15" s="1618">
        <f t="shared" si="1"/>
        <v>770168.25</v>
      </c>
      <c r="H15" s="1618">
        <f t="shared" si="1"/>
        <v>26206733.59</v>
      </c>
      <c r="I15" s="1618">
        <f t="shared" si="1"/>
        <v>1205992.1499999999</v>
      </c>
      <c r="J15" s="1618">
        <f t="shared" si="1"/>
        <v>0</v>
      </c>
      <c r="K15" s="1596"/>
    </row>
    <row r="16" spans="1:11" ht="12.75" customHeight="1">
      <c r="A16" s="1596"/>
      <c r="B16" s="1619"/>
      <c r="C16" s="1620"/>
      <c r="D16" s="1620"/>
      <c r="E16" s="1621"/>
      <c r="F16" s="1621"/>
      <c r="G16" s="1596"/>
      <c r="H16" s="1596"/>
      <c r="I16" s="1622"/>
      <c r="J16" s="1622"/>
      <c r="K16" s="1596"/>
    </row>
    <row r="17" spans="1:11" ht="12.75" customHeight="1">
      <c r="A17" s="1596"/>
      <c r="B17" s="11363" t="s">
        <v>6504</v>
      </c>
      <c r="C17" s="11355"/>
      <c r="D17" s="11355"/>
      <c r="E17" s="11355"/>
      <c r="F17" s="11355"/>
      <c r="G17" s="11355"/>
      <c r="H17" s="11355"/>
      <c r="I17" s="11355"/>
      <c r="J17" s="11355"/>
      <c r="K17" s="1596"/>
    </row>
    <row r="18" spans="1:11" ht="31.5">
      <c r="A18" s="1596"/>
      <c r="B18" s="1623" t="s">
        <v>7</v>
      </c>
      <c r="C18" s="1624" t="s">
        <v>6505</v>
      </c>
      <c r="D18" s="1625" t="s">
        <v>6506</v>
      </c>
      <c r="E18" s="1626" t="s">
        <v>6507</v>
      </c>
      <c r="F18" s="1627" t="s">
        <v>6488</v>
      </c>
      <c r="G18" s="1628" t="s">
        <v>6489</v>
      </c>
      <c r="H18" s="1629" t="s">
        <v>6508</v>
      </c>
      <c r="I18" s="1630" t="s">
        <v>6491</v>
      </c>
      <c r="J18" s="1631" t="s">
        <v>6492</v>
      </c>
      <c r="K18" s="1625" t="s">
        <v>6509</v>
      </c>
    </row>
    <row r="19" spans="1:11" ht="12.75" customHeight="1">
      <c r="A19" s="1596"/>
      <c r="B19" s="1632" t="s">
        <v>6510</v>
      </c>
      <c r="C19" s="1633" t="s">
        <v>6511</v>
      </c>
      <c r="D19" s="1634"/>
      <c r="E19" s="1635"/>
      <c r="F19" s="1635"/>
      <c r="G19" s="1635"/>
      <c r="H19" s="1635"/>
      <c r="I19" s="1635"/>
      <c r="J19" s="1635"/>
      <c r="K19" s="1636"/>
    </row>
    <row r="20" spans="1:11" ht="12.75" customHeight="1">
      <c r="A20" s="1596"/>
      <c r="B20" s="1637" t="s">
        <v>6512</v>
      </c>
      <c r="C20" s="1638" t="s">
        <v>3008</v>
      </c>
      <c r="D20" s="1636">
        <v>3493434.48</v>
      </c>
      <c r="E20" s="1639">
        <f t="shared" ref="E20:E89" si="2">SUM(F20:J20)</f>
        <v>3497244.8</v>
      </c>
      <c r="F20" s="1639"/>
      <c r="G20" s="1639"/>
      <c r="H20" s="1639">
        <v>3497244.8</v>
      </c>
      <c r="I20" s="1639"/>
      <c r="J20" s="1639"/>
      <c r="K20" s="1636">
        <f>+E20-D20</f>
        <v>3810.3199999998324</v>
      </c>
    </row>
    <row r="21" spans="1:11" ht="12.75" customHeight="1">
      <c r="A21" s="1596"/>
      <c r="B21" s="1637" t="s">
        <v>6513</v>
      </c>
      <c r="C21" s="1638" t="s">
        <v>3010</v>
      </c>
      <c r="D21" s="1636">
        <v>888368.52</v>
      </c>
      <c r="E21" s="1639">
        <f t="shared" si="2"/>
        <v>1006663.08</v>
      </c>
      <c r="F21" s="1639"/>
      <c r="G21" s="1639"/>
      <c r="H21" s="1639">
        <v>1006663.08</v>
      </c>
      <c r="I21" s="1639"/>
      <c r="J21" s="1639"/>
      <c r="K21" s="1636">
        <f t="shared" ref="K21:K84" si="3">+E21-D21</f>
        <v>118294.55999999994</v>
      </c>
    </row>
    <row r="22" spans="1:11" ht="12.75" customHeight="1">
      <c r="A22" s="1596"/>
      <c r="B22" s="1637" t="s">
        <v>6514</v>
      </c>
      <c r="C22" s="1638" t="s">
        <v>3012</v>
      </c>
      <c r="D22" s="1636">
        <v>797559.49</v>
      </c>
      <c r="E22" s="1639">
        <f t="shared" si="2"/>
        <v>828020.16</v>
      </c>
      <c r="F22" s="1639"/>
      <c r="G22" s="1639"/>
      <c r="H22" s="1639">
        <v>828020.16</v>
      </c>
      <c r="I22" s="1639"/>
      <c r="J22" s="1639"/>
      <c r="K22" s="1636">
        <f t="shared" si="3"/>
        <v>30460.670000000042</v>
      </c>
    </row>
    <row r="23" spans="1:11" ht="12.75" customHeight="1">
      <c r="A23" s="1596"/>
      <c r="B23" s="1637" t="s">
        <v>6515</v>
      </c>
      <c r="C23" s="1638" t="s">
        <v>6516</v>
      </c>
      <c r="D23" s="1636">
        <v>380570.12</v>
      </c>
      <c r="E23" s="1639">
        <f t="shared" si="2"/>
        <v>491904.66999999993</v>
      </c>
      <c r="F23" s="1639"/>
      <c r="G23" s="1639"/>
      <c r="H23" s="1639">
        <v>491904.66999999993</v>
      </c>
      <c r="I23" s="1639"/>
      <c r="J23" s="1639"/>
      <c r="K23" s="1636">
        <f t="shared" si="3"/>
        <v>111334.54999999993</v>
      </c>
    </row>
    <row r="24" spans="1:11" ht="12.75" customHeight="1">
      <c r="A24" s="1596"/>
      <c r="B24" s="1637" t="s">
        <v>6517</v>
      </c>
      <c r="C24" s="1638" t="s">
        <v>6518</v>
      </c>
      <c r="D24" s="1636">
        <v>162175.81</v>
      </c>
      <c r="E24" s="1639">
        <f t="shared" si="2"/>
        <v>165218.75</v>
      </c>
      <c r="F24" s="1639"/>
      <c r="G24" s="1639"/>
      <c r="H24" s="1639">
        <v>165218.75</v>
      </c>
      <c r="I24" s="1639"/>
      <c r="J24" s="1639"/>
      <c r="K24" s="1636">
        <f t="shared" si="3"/>
        <v>3042.9400000000023</v>
      </c>
    </row>
    <row r="25" spans="1:11" ht="12.75" customHeight="1">
      <c r="A25" s="1596"/>
      <c r="B25" s="1637" t="s">
        <v>6519</v>
      </c>
      <c r="C25" s="1638" t="s">
        <v>3016</v>
      </c>
      <c r="D25" s="1636">
        <v>13629</v>
      </c>
      <c r="E25" s="1639">
        <f t="shared" si="2"/>
        <v>15000</v>
      </c>
      <c r="F25" s="1639"/>
      <c r="G25" s="1639"/>
      <c r="H25" s="1639">
        <v>15000</v>
      </c>
      <c r="I25" s="1639"/>
      <c r="J25" s="1639"/>
      <c r="K25" s="1636">
        <f t="shared" si="3"/>
        <v>1371</v>
      </c>
    </row>
    <row r="26" spans="1:11" ht="12.75" customHeight="1">
      <c r="A26" s="1596"/>
      <c r="B26" s="1637" t="s">
        <v>6520</v>
      </c>
      <c r="C26" s="1638" t="s">
        <v>3018</v>
      </c>
      <c r="D26" s="1636">
        <v>89028</v>
      </c>
      <c r="E26" s="1639">
        <f t="shared" si="2"/>
        <v>95000</v>
      </c>
      <c r="F26" s="1639"/>
      <c r="G26" s="1639"/>
      <c r="H26" s="1639">
        <v>95000</v>
      </c>
      <c r="I26" s="1639"/>
      <c r="J26" s="1639"/>
      <c r="K26" s="1636">
        <f t="shared" si="3"/>
        <v>5972</v>
      </c>
    </row>
    <row r="27" spans="1:11" ht="12.75" customHeight="1">
      <c r="A27" s="1596"/>
      <c r="B27" s="1637" t="s">
        <v>6521</v>
      </c>
      <c r="C27" s="1638" t="s">
        <v>3020</v>
      </c>
      <c r="D27" s="1636">
        <v>4064</v>
      </c>
      <c r="E27" s="1639">
        <f t="shared" si="2"/>
        <v>5000</v>
      </c>
      <c r="F27" s="1639"/>
      <c r="G27" s="1639"/>
      <c r="H27" s="1639">
        <v>5000</v>
      </c>
      <c r="I27" s="1639"/>
      <c r="J27" s="1639"/>
      <c r="K27" s="1636">
        <f t="shared" si="3"/>
        <v>936</v>
      </c>
    </row>
    <row r="28" spans="1:11" ht="12.75" customHeight="1">
      <c r="A28" s="1596"/>
      <c r="B28" s="1637" t="s">
        <v>6522</v>
      </c>
      <c r="C28" s="1638" t="s">
        <v>3022</v>
      </c>
      <c r="D28" s="1636">
        <v>22105</v>
      </c>
      <c r="E28" s="1639">
        <f t="shared" si="2"/>
        <v>24000</v>
      </c>
      <c r="F28" s="1639"/>
      <c r="G28" s="1639"/>
      <c r="H28" s="1639">
        <v>24000</v>
      </c>
      <c r="I28" s="1639"/>
      <c r="J28" s="1639"/>
      <c r="K28" s="1636">
        <f t="shared" si="3"/>
        <v>1895</v>
      </c>
    </row>
    <row r="29" spans="1:11" ht="12.75" customHeight="1">
      <c r="A29" s="1596"/>
      <c r="B29" s="1637" t="s">
        <v>6523</v>
      </c>
      <c r="C29" s="1638" t="s">
        <v>3024</v>
      </c>
      <c r="D29" s="1636">
        <v>33780</v>
      </c>
      <c r="E29" s="1639">
        <f t="shared" si="2"/>
        <v>20000</v>
      </c>
      <c r="F29" s="1639"/>
      <c r="G29" s="1639"/>
      <c r="H29" s="1639">
        <v>20000</v>
      </c>
      <c r="I29" s="1639"/>
      <c r="J29" s="1639"/>
      <c r="K29" s="1636">
        <f t="shared" si="3"/>
        <v>-13780</v>
      </c>
    </row>
    <row r="30" spans="1:11" ht="12.75" customHeight="1">
      <c r="A30" s="1596"/>
      <c r="B30" s="1637" t="s">
        <v>6524</v>
      </c>
      <c r="C30" s="1638" t="s">
        <v>3026</v>
      </c>
      <c r="D30" s="1636">
        <v>426924</v>
      </c>
      <c r="E30" s="1639">
        <f t="shared" si="2"/>
        <v>569128</v>
      </c>
      <c r="F30" s="1639"/>
      <c r="G30" s="1639"/>
      <c r="H30" s="1639">
        <v>569128</v>
      </c>
      <c r="I30" s="1639"/>
      <c r="J30" s="1639"/>
      <c r="K30" s="1636">
        <f t="shared" si="3"/>
        <v>142204</v>
      </c>
    </row>
    <row r="31" spans="1:11" ht="12.75" customHeight="1">
      <c r="A31" s="1596"/>
      <c r="B31" s="1637" t="s">
        <v>6525</v>
      </c>
      <c r="C31" s="1638" t="s">
        <v>3028</v>
      </c>
      <c r="D31" s="1636">
        <v>12853.88</v>
      </c>
      <c r="E31" s="1639">
        <f t="shared" si="2"/>
        <v>10000</v>
      </c>
      <c r="F31" s="1639"/>
      <c r="G31" s="1639"/>
      <c r="H31" s="1639">
        <v>10000</v>
      </c>
      <c r="I31" s="1639"/>
      <c r="J31" s="1639"/>
      <c r="K31" s="1636">
        <f t="shared" si="3"/>
        <v>-2853.8799999999992</v>
      </c>
    </row>
    <row r="32" spans="1:11" ht="12.75" customHeight="1">
      <c r="A32" s="1596"/>
      <c r="B32" s="1637" t="s">
        <v>6526</v>
      </c>
      <c r="C32" s="1638" t="s">
        <v>3030</v>
      </c>
      <c r="D32" s="1636">
        <v>4804</v>
      </c>
      <c r="E32" s="1639">
        <f t="shared" si="2"/>
        <v>4800</v>
      </c>
      <c r="F32" s="1639"/>
      <c r="G32" s="1639"/>
      <c r="H32" s="1639">
        <v>4800</v>
      </c>
      <c r="I32" s="1639"/>
      <c r="J32" s="1639"/>
      <c r="K32" s="1636">
        <f t="shared" si="3"/>
        <v>-4</v>
      </c>
    </row>
    <row r="33" spans="1:11" ht="12.75" customHeight="1">
      <c r="A33" s="1596"/>
      <c r="B33" s="1637" t="s">
        <v>6527</v>
      </c>
      <c r="C33" s="1638" t="s">
        <v>3032</v>
      </c>
      <c r="D33" s="1636">
        <v>603952.06999999995</v>
      </c>
      <c r="E33" s="1639">
        <f t="shared" si="2"/>
        <v>590108.61</v>
      </c>
      <c r="F33" s="1639"/>
      <c r="G33" s="1639"/>
      <c r="H33" s="1639">
        <v>590108.61</v>
      </c>
      <c r="I33" s="1639"/>
      <c r="J33" s="1639"/>
      <c r="K33" s="1636">
        <f t="shared" si="3"/>
        <v>-13843.459999999963</v>
      </c>
    </row>
    <row r="34" spans="1:11" ht="12.75" customHeight="1">
      <c r="A34" s="1596"/>
      <c r="B34" s="1637" t="s">
        <v>6528</v>
      </c>
      <c r="C34" s="1638" t="s">
        <v>3039</v>
      </c>
      <c r="D34" s="1636">
        <v>504817.75</v>
      </c>
      <c r="E34" s="1639">
        <f t="shared" si="2"/>
        <v>491708.1599999998</v>
      </c>
      <c r="F34" s="1639"/>
      <c r="G34" s="1639"/>
      <c r="H34" s="1639">
        <v>491708.1599999998</v>
      </c>
      <c r="I34" s="1639"/>
      <c r="J34" s="1639"/>
      <c r="K34" s="1636">
        <f t="shared" si="3"/>
        <v>-13109.5900000002</v>
      </c>
    </row>
    <row r="35" spans="1:11" ht="12.75" customHeight="1">
      <c r="A35" s="1596"/>
      <c r="B35" s="1637" t="s">
        <v>6529</v>
      </c>
      <c r="C35" s="1638" t="s">
        <v>3041</v>
      </c>
      <c r="D35" s="1636">
        <v>1000</v>
      </c>
      <c r="E35" s="1639">
        <f t="shared" si="2"/>
        <v>2000</v>
      </c>
      <c r="F35" s="1639"/>
      <c r="G35" s="1639"/>
      <c r="H35" s="1639">
        <v>2000</v>
      </c>
      <c r="I35" s="1639"/>
      <c r="J35" s="1639"/>
      <c r="K35" s="1636">
        <f t="shared" si="3"/>
        <v>1000</v>
      </c>
    </row>
    <row r="36" spans="1:11" ht="12.75" customHeight="1">
      <c r="A36" s="1596"/>
      <c r="B36" s="1637" t="s">
        <v>6530</v>
      </c>
      <c r="C36" s="1638" t="s">
        <v>6531</v>
      </c>
      <c r="D36" s="1636">
        <v>52448</v>
      </c>
      <c r="E36" s="1639"/>
      <c r="F36" s="1639"/>
      <c r="G36" s="1639"/>
      <c r="H36" s="1639"/>
      <c r="I36" s="1639"/>
      <c r="J36" s="1639"/>
      <c r="K36" s="1636">
        <f t="shared" si="3"/>
        <v>-52448</v>
      </c>
    </row>
    <row r="37" spans="1:11" ht="12.75" customHeight="1">
      <c r="A37" s="1596"/>
      <c r="B37" s="1637" t="s">
        <v>6532</v>
      </c>
      <c r="C37" s="1640" t="s">
        <v>3775</v>
      </c>
      <c r="D37" s="1641">
        <v>61600</v>
      </c>
      <c r="E37" s="1639">
        <f t="shared" si="2"/>
        <v>61600.000000000007</v>
      </c>
      <c r="F37" s="1639"/>
      <c r="G37" s="1639"/>
      <c r="H37" s="1639">
        <v>61600.000000000007</v>
      </c>
      <c r="I37" s="1639"/>
      <c r="J37" s="1639"/>
      <c r="K37" s="1636">
        <f t="shared" si="3"/>
        <v>0</v>
      </c>
    </row>
    <row r="38" spans="1:11" ht="12.75" customHeight="1">
      <c r="A38" s="1596"/>
      <c r="B38" s="1637" t="s">
        <v>6533</v>
      </c>
      <c r="C38" s="1640" t="s">
        <v>3778</v>
      </c>
      <c r="D38" s="1641">
        <v>200000</v>
      </c>
      <c r="E38" s="1639">
        <f t="shared" si="2"/>
        <v>200000</v>
      </c>
      <c r="F38" s="1639"/>
      <c r="G38" s="1639"/>
      <c r="H38" s="1639">
        <v>200000</v>
      </c>
      <c r="I38" s="1639"/>
      <c r="J38" s="1639"/>
      <c r="K38" s="1636">
        <f t="shared" si="3"/>
        <v>0</v>
      </c>
    </row>
    <row r="39" spans="1:11" ht="12.75" customHeight="1">
      <c r="A39" s="1596"/>
      <c r="B39" s="1637" t="s">
        <v>6534</v>
      </c>
      <c r="C39" s="1640" t="s">
        <v>881</v>
      </c>
      <c r="D39" s="1641">
        <v>58000</v>
      </c>
      <c r="E39" s="1639">
        <f t="shared" si="2"/>
        <v>58000</v>
      </c>
      <c r="F39" s="1639"/>
      <c r="G39" s="1639"/>
      <c r="H39" s="1639">
        <v>58000</v>
      </c>
      <c r="I39" s="1639"/>
      <c r="J39" s="1639"/>
      <c r="K39" s="1636">
        <f t="shared" si="3"/>
        <v>0</v>
      </c>
    </row>
    <row r="40" spans="1:11" ht="12.75" customHeight="1">
      <c r="A40" s="1596"/>
      <c r="B40" s="1637" t="s">
        <v>6535</v>
      </c>
      <c r="C40" s="1640" t="s">
        <v>606</v>
      </c>
      <c r="D40" s="1641">
        <v>3360</v>
      </c>
      <c r="E40" s="1639">
        <f t="shared" si="2"/>
        <v>3360.0000000000005</v>
      </c>
      <c r="F40" s="1639"/>
      <c r="G40" s="1639"/>
      <c r="H40" s="1639">
        <v>3360.0000000000005</v>
      </c>
      <c r="I40" s="1639"/>
      <c r="J40" s="1639"/>
      <c r="K40" s="1636">
        <f t="shared" si="3"/>
        <v>0</v>
      </c>
    </row>
    <row r="41" spans="1:11" ht="12.75" customHeight="1">
      <c r="A41" s="1596"/>
      <c r="B41" s="1637" t="s">
        <v>6536</v>
      </c>
      <c r="C41" s="1642" t="s">
        <v>6537</v>
      </c>
      <c r="D41" s="1641">
        <v>2564.8000000000002</v>
      </c>
      <c r="E41" s="1639">
        <f t="shared" si="2"/>
        <v>2564.8000000000002</v>
      </c>
      <c r="F41" s="1639"/>
      <c r="G41" s="1639"/>
      <c r="H41" s="1639">
        <v>2564.8000000000002</v>
      </c>
      <c r="I41" s="1639"/>
      <c r="J41" s="1639"/>
      <c r="K41" s="1636">
        <f t="shared" si="3"/>
        <v>0</v>
      </c>
    </row>
    <row r="42" spans="1:11" ht="12.75" customHeight="1">
      <c r="A42" s="1596"/>
      <c r="B42" s="1637" t="s">
        <v>6538</v>
      </c>
      <c r="C42" s="1640" t="s">
        <v>16</v>
      </c>
      <c r="D42" s="1641">
        <v>13529.36</v>
      </c>
      <c r="E42" s="1639">
        <f t="shared" si="2"/>
        <v>13529.364800000003</v>
      </c>
      <c r="F42" s="1639"/>
      <c r="G42" s="1639"/>
      <c r="H42" s="1639">
        <v>13529.364800000003</v>
      </c>
      <c r="I42" s="1639"/>
      <c r="J42" s="1639"/>
      <c r="K42" s="1636">
        <f t="shared" si="3"/>
        <v>4.8000000024330802E-3</v>
      </c>
    </row>
    <row r="43" spans="1:11" ht="12.75" customHeight="1">
      <c r="A43" s="1596"/>
      <c r="B43" s="1637" t="s">
        <v>6539</v>
      </c>
      <c r="C43" s="1640" t="s">
        <v>471</v>
      </c>
      <c r="D43" s="1641">
        <v>46220</v>
      </c>
      <c r="E43" s="1639">
        <f t="shared" si="2"/>
        <v>46219.99760000001</v>
      </c>
      <c r="F43" s="1639"/>
      <c r="G43" s="1639"/>
      <c r="H43" s="1639">
        <v>46219.99760000001</v>
      </c>
      <c r="I43" s="1639"/>
      <c r="J43" s="1639"/>
      <c r="K43" s="1636">
        <f t="shared" si="3"/>
        <v>-2.3999999903026037E-3</v>
      </c>
    </row>
    <row r="44" spans="1:11" ht="12.75" customHeight="1">
      <c r="A44" s="1596"/>
      <c r="B44" s="1637" t="s">
        <v>6540</v>
      </c>
      <c r="C44" s="1640" t="s">
        <v>2621</v>
      </c>
      <c r="D44" s="1641">
        <v>142671.24</v>
      </c>
      <c r="E44" s="1639">
        <f t="shared" si="2"/>
        <v>142671.24000000002</v>
      </c>
      <c r="F44" s="1639"/>
      <c r="G44" s="1639"/>
      <c r="H44" s="1639">
        <v>142671.24000000002</v>
      </c>
      <c r="I44" s="1639"/>
      <c r="J44" s="1639"/>
      <c r="K44" s="1636">
        <f t="shared" si="3"/>
        <v>0</v>
      </c>
    </row>
    <row r="45" spans="1:11" ht="12.75" customHeight="1">
      <c r="A45" s="1596"/>
      <c r="B45" s="1637" t="s">
        <v>6541</v>
      </c>
      <c r="C45" s="1640" t="s">
        <v>1323</v>
      </c>
      <c r="D45" s="1641">
        <v>10080</v>
      </c>
      <c r="E45" s="1639">
        <f t="shared" si="2"/>
        <v>10080.000000000002</v>
      </c>
      <c r="F45" s="1639"/>
      <c r="G45" s="1639"/>
      <c r="H45" s="1639">
        <v>10080.000000000002</v>
      </c>
      <c r="I45" s="1639"/>
      <c r="J45" s="1639"/>
      <c r="K45" s="1636">
        <f t="shared" si="3"/>
        <v>0</v>
      </c>
    </row>
    <row r="46" spans="1:11" ht="12.75" customHeight="1">
      <c r="A46" s="1596"/>
      <c r="B46" s="1637" t="s">
        <v>6542</v>
      </c>
      <c r="C46" s="1640" t="s">
        <v>2855</v>
      </c>
      <c r="D46" s="1641">
        <v>59844.68</v>
      </c>
      <c r="E46" s="1639">
        <f t="shared" si="2"/>
        <v>59844.680000000008</v>
      </c>
      <c r="F46" s="1639"/>
      <c r="G46" s="1639"/>
      <c r="H46" s="1639">
        <v>59844.680000000008</v>
      </c>
      <c r="I46" s="1639"/>
      <c r="J46" s="1639"/>
      <c r="K46" s="1636">
        <f t="shared" si="3"/>
        <v>0</v>
      </c>
    </row>
    <row r="47" spans="1:11" ht="12.75" customHeight="1">
      <c r="A47" s="1596"/>
      <c r="B47" s="1637" t="s">
        <v>6543</v>
      </c>
      <c r="C47" s="1640" t="s">
        <v>27</v>
      </c>
      <c r="D47" s="1641">
        <v>6000</v>
      </c>
      <c r="E47" s="1639">
        <f t="shared" si="2"/>
        <v>6000</v>
      </c>
      <c r="F47" s="1639"/>
      <c r="G47" s="1639"/>
      <c r="H47" s="1639">
        <v>6000</v>
      </c>
      <c r="I47" s="1639"/>
      <c r="J47" s="1639"/>
      <c r="K47" s="1636">
        <f t="shared" si="3"/>
        <v>0</v>
      </c>
    </row>
    <row r="48" spans="1:11" ht="12.75" customHeight="1">
      <c r="A48" s="1596"/>
      <c r="B48" s="1637" t="s">
        <v>6544</v>
      </c>
      <c r="C48" s="1640" t="s">
        <v>1507</v>
      </c>
      <c r="D48" s="1641">
        <v>4000</v>
      </c>
      <c r="E48" s="1639">
        <f t="shared" si="2"/>
        <v>4000</v>
      </c>
      <c r="F48" s="1639"/>
      <c r="G48" s="1639"/>
      <c r="H48" s="1639">
        <v>4000</v>
      </c>
      <c r="I48" s="1639"/>
      <c r="J48" s="1639"/>
      <c r="K48" s="1636">
        <f t="shared" si="3"/>
        <v>0</v>
      </c>
    </row>
    <row r="49" spans="1:11" ht="12.75" customHeight="1">
      <c r="A49" s="1596"/>
      <c r="B49" s="1637" t="s">
        <v>6545</v>
      </c>
      <c r="C49" s="1640" t="s">
        <v>29</v>
      </c>
      <c r="D49" s="1641">
        <v>10000</v>
      </c>
      <c r="E49" s="1639">
        <f t="shared" si="2"/>
        <v>10000</v>
      </c>
      <c r="F49" s="1639"/>
      <c r="G49" s="1639"/>
      <c r="H49" s="1639">
        <v>10000</v>
      </c>
      <c r="I49" s="1639"/>
      <c r="J49" s="1639"/>
      <c r="K49" s="1636">
        <f t="shared" si="3"/>
        <v>0</v>
      </c>
    </row>
    <row r="50" spans="1:11" ht="12.75" customHeight="1">
      <c r="A50" s="1596"/>
      <c r="B50" s="1637" t="s">
        <v>6546</v>
      </c>
      <c r="C50" s="1642" t="s">
        <v>30</v>
      </c>
      <c r="D50" s="1641">
        <v>8400</v>
      </c>
      <c r="E50" s="1639">
        <f t="shared" si="2"/>
        <v>8400</v>
      </c>
      <c r="F50" s="1639"/>
      <c r="G50" s="1639"/>
      <c r="H50" s="1639">
        <v>8400</v>
      </c>
      <c r="I50" s="1639"/>
      <c r="J50" s="1639"/>
      <c r="K50" s="1636">
        <f t="shared" si="3"/>
        <v>0</v>
      </c>
    </row>
    <row r="51" spans="1:11" ht="12.75" customHeight="1">
      <c r="A51" s="1596"/>
      <c r="B51" s="1637" t="s">
        <v>6547</v>
      </c>
      <c r="C51" s="1642" t="s">
        <v>319</v>
      </c>
      <c r="D51" s="1641">
        <v>7120.02</v>
      </c>
      <c r="E51" s="1639">
        <f t="shared" si="2"/>
        <v>7120.0192000000006</v>
      </c>
      <c r="F51" s="1639"/>
      <c r="G51" s="1639"/>
      <c r="H51" s="1639">
        <v>7120.0192000000006</v>
      </c>
      <c r="I51" s="1639"/>
      <c r="J51" s="1639"/>
      <c r="K51" s="1636">
        <f t="shared" si="3"/>
        <v>-7.9999999979918357E-4</v>
      </c>
    </row>
    <row r="52" spans="1:11" ht="12.75" customHeight="1">
      <c r="A52" s="1596"/>
      <c r="B52" s="1637" t="s">
        <v>6548</v>
      </c>
      <c r="C52" s="1640" t="s">
        <v>281</v>
      </c>
      <c r="D52" s="1641">
        <v>105535.67</v>
      </c>
      <c r="E52" s="1639">
        <f t="shared" si="2"/>
        <v>105535.674499912</v>
      </c>
      <c r="F52" s="1639"/>
      <c r="G52" s="1639"/>
      <c r="H52" s="1639">
        <v>105535.674499912</v>
      </c>
      <c r="I52" s="1639"/>
      <c r="J52" s="1639"/>
      <c r="K52" s="1636">
        <f t="shared" si="3"/>
        <v>4.4999120000284165E-3</v>
      </c>
    </row>
    <row r="53" spans="1:11" ht="12.75" customHeight="1">
      <c r="A53" s="1596"/>
      <c r="B53" s="1637" t="s">
        <v>6549</v>
      </c>
      <c r="C53" s="1640" t="s">
        <v>505</v>
      </c>
      <c r="D53" s="1641">
        <v>118708.54</v>
      </c>
      <c r="E53" s="1639">
        <f t="shared" si="2"/>
        <v>118708.54320000001</v>
      </c>
      <c r="F53" s="1639"/>
      <c r="G53" s="1639"/>
      <c r="H53" s="1639">
        <v>118708.54320000001</v>
      </c>
      <c r="I53" s="1639"/>
      <c r="J53" s="1639"/>
      <c r="K53" s="1636">
        <f t="shared" si="3"/>
        <v>3.2000000210246071E-3</v>
      </c>
    </row>
    <row r="54" spans="1:11" ht="12.75" customHeight="1">
      <c r="A54" s="1596"/>
      <c r="B54" s="1637" t="s">
        <v>6550</v>
      </c>
      <c r="C54" s="1640" t="s">
        <v>3855</v>
      </c>
      <c r="D54" s="1641">
        <v>56000</v>
      </c>
      <c r="E54" s="1639">
        <f t="shared" si="2"/>
        <v>56000.000000000007</v>
      </c>
      <c r="F54" s="1639"/>
      <c r="G54" s="1639"/>
      <c r="H54" s="1639">
        <v>56000.000000000007</v>
      </c>
      <c r="I54" s="1639"/>
      <c r="J54" s="1639"/>
      <c r="K54" s="1636">
        <f t="shared" si="3"/>
        <v>0</v>
      </c>
    </row>
    <row r="55" spans="1:11" ht="12.75" customHeight="1">
      <c r="A55" s="1596"/>
      <c r="B55" s="1637" t="s">
        <v>6551</v>
      </c>
      <c r="C55" s="1640" t="s">
        <v>761</v>
      </c>
      <c r="D55" s="1641">
        <v>46368</v>
      </c>
      <c r="E55" s="1639">
        <f t="shared" si="2"/>
        <v>46368</v>
      </c>
      <c r="F55" s="1639"/>
      <c r="G55" s="1639"/>
      <c r="H55" s="1639">
        <v>46368</v>
      </c>
      <c r="I55" s="1639"/>
      <c r="J55" s="1639"/>
      <c r="K55" s="1636">
        <f t="shared" si="3"/>
        <v>0</v>
      </c>
    </row>
    <row r="56" spans="1:11" ht="12.75" customHeight="1">
      <c r="A56" s="1596"/>
      <c r="B56" s="1637" t="s">
        <v>6552</v>
      </c>
      <c r="C56" s="1640" t="s">
        <v>4343</v>
      </c>
      <c r="D56" s="1641">
        <v>30016</v>
      </c>
      <c r="E56" s="1639">
        <f t="shared" si="2"/>
        <v>30016.000000000004</v>
      </c>
      <c r="F56" s="1639"/>
      <c r="G56" s="1639"/>
      <c r="H56" s="1639">
        <v>30016.000000000004</v>
      </c>
      <c r="I56" s="1639"/>
      <c r="J56" s="1639"/>
      <c r="K56" s="1636">
        <f t="shared" si="3"/>
        <v>0</v>
      </c>
    </row>
    <row r="57" spans="1:11" ht="12.75" customHeight="1">
      <c r="A57" s="1596"/>
      <c r="B57" s="1637" t="s">
        <v>6553</v>
      </c>
      <c r="C57" s="1640" t="s">
        <v>2507</v>
      </c>
      <c r="D57" s="1641">
        <v>284523.8</v>
      </c>
      <c r="E57" s="1639"/>
      <c r="F57" s="1639"/>
      <c r="G57" s="1639"/>
      <c r="H57" s="1639"/>
      <c r="I57" s="1639"/>
      <c r="J57" s="1639"/>
      <c r="K57" s="1636">
        <f t="shared" si="3"/>
        <v>-284523.8</v>
      </c>
    </row>
    <row r="58" spans="1:11" ht="12.75" customHeight="1">
      <c r="A58" s="1596"/>
      <c r="B58" s="1637" t="s">
        <v>6554</v>
      </c>
      <c r="C58" s="1640" t="s">
        <v>1360</v>
      </c>
      <c r="D58" s="1641">
        <v>96884.73</v>
      </c>
      <c r="E58" s="1639">
        <f t="shared" si="2"/>
        <v>96884.726799999975</v>
      </c>
      <c r="F58" s="1639"/>
      <c r="G58" s="1639"/>
      <c r="H58" s="1639">
        <v>96884.726799999975</v>
      </c>
      <c r="I58" s="1639"/>
      <c r="J58" s="1639"/>
      <c r="K58" s="1636">
        <f t="shared" si="3"/>
        <v>-3.2000000210246071E-3</v>
      </c>
    </row>
    <row r="59" spans="1:11" ht="12.75" customHeight="1">
      <c r="A59" s="1596"/>
      <c r="B59" s="1637" t="s">
        <v>6555</v>
      </c>
      <c r="C59" s="1640" t="s">
        <v>1665</v>
      </c>
      <c r="D59" s="1641">
        <v>1008</v>
      </c>
      <c r="E59" s="1639">
        <f t="shared" si="2"/>
        <v>1008.0000000000001</v>
      </c>
      <c r="F59" s="1639"/>
      <c r="G59" s="1639"/>
      <c r="H59" s="1639">
        <v>1008.0000000000001</v>
      </c>
      <c r="I59" s="1639"/>
      <c r="J59" s="1639"/>
      <c r="K59" s="1636">
        <f t="shared" si="3"/>
        <v>0</v>
      </c>
    </row>
    <row r="60" spans="1:11" ht="12.75" customHeight="1">
      <c r="A60" s="1596"/>
      <c r="B60" s="1637" t="s">
        <v>6556</v>
      </c>
      <c r="C60" s="1642" t="s">
        <v>148</v>
      </c>
      <c r="D60" s="1641">
        <v>672</v>
      </c>
      <c r="E60" s="1639">
        <f t="shared" si="2"/>
        <v>672.00000000000011</v>
      </c>
      <c r="F60" s="1639"/>
      <c r="G60" s="1639"/>
      <c r="H60" s="1639">
        <v>672.00000000000011</v>
      </c>
      <c r="I60" s="1639"/>
      <c r="J60" s="1639"/>
      <c r="K60" s="1636">
        <f t="shared" si="3"/>
        <v>0</v>
      </c>
    </row>
    <row r="61" spans="1:11" ht="12.75" customHeight="1">
      <c r="A61" s="1596"/>
      <c r="B61" s="1637" t="s">
        <v>6557</v>
      </c>
      <c r="C61" s="1642" t="s">
        <v>2985</v>
      </c>
      <c r="D61" s="1641">
        <v>25466</v>
      </c>
      <c r="E61" s="1639">
        <f t="shared" si="2"/>
        <v>25466.000000000004</v>
      </c>
      <c r="F61" s="1639"/>
      <c r="G61" s="1639"/>
      <c r="H61" s="1639">
        <v>25466.000000000004</v>
      </c>
      <c r="I61" s="1639"/>
      <c r="J61" s="1639"/>
      <c r="K61" s="1636">
        <f t="shared" si="3"/>
        <v>0</v>
      </c>
    </row>
    <row r="62" spans="1:11" ht="12.75" customHeight="1">
      <c r="A62" s="1596"/>
      <c r="B62" s="1637" t="s">
        <v>6558</v>
      </c>
      <c r="C62" s="1640" t="s">
        <v>6559</v>
      </c>
      <c r="D62" s="1641">
        <v>47040</v>
      </c>
      <c r="E62" s="1639">
        <f t="shared" si="2"/>
        <v>47040.000000000007</v>
      </c>
      <c r="F62" s="1639"/>
      <c r="G62" s="1639"/>
      <c r="H62" s="1639">
        <v>47040.000000000007</v>
      </c>
      <c r="I62" s="1639"/>
      <c r="J62" s="1639"/>
      <c r="K62" s="1636">
        <f t="shared" si="3"/>
        <v>0</v>
      </c>
    </row>
    <row r="63" spans="1:11" ht="12.75" customHeight="1">
      <c r="A63" s="1596"/>
      <c r="B63" s="1637" t="s">
        <v>6560</v>
      </c>
      <c r="C63" s="1640" t="s">
        <v>1171</v>
      </c>
      <c r="D63" s="1641">
        <v>16877.28</v>
      </c>
      <c r="E63" s="1639">
        <f t="shared" si="2"/>
        <v>16877.28</v>
      </c>
      <c r="F63" s="1639"/>
      <c r="G63" s="1639"/>
      <c r="H63" s="1639">
        <v>16877.28</v>
      </c>
      <c r="I63" s="1639"/>
      <c r="J63" s="1639"/>
      <c r="K63" s="1636">
        <f t="shared" si="3"/>
        <v>0</v>
      </c>
    </row>
    <row r="64" spans="1:11" ht="12.75" customHeight="1">
      <c r="A64" s="1596"/>
      <c r="B64" s="1637" t="s">
        <v>6561</v>
      </c>
      <c r="C64" s="1640" t="s">
        <v>3817</v>
      </c>
      <c r="D64" s="1641">
        <v>14560</v>
      </c>
      <c r="E64" s="1639">
        <f t="shared" si="2"/>
        <v>14560.000000000002</v>
      </c>
      <c r="F64" s="1639"/>
      <c r="G64" s="1639"/>
      <c r="H64" s="1639">
        <v>14560.000000000002</v>
      </c>
      <c r="I64" s="1639"/>
      <c r="J64" s="1639"/>
      <c r="K64" s="1636">
        <f t="shared" si="3"/>
        <v>0</v>
      </c>
    </row>
    <row r="65" spans="1:11" ht="12.75" customHeight="1">
      <c r="A65" s="1596"/>
      <c r="B65" s="1637" t="s">
        <v>6562</v>
      </c>
      <c r="C65" s="1640" t="s">
        <v>1006</v>
      </c>
      <c r="D65" s="1641">
        <v>49700</v>
      </c>
      <c r="E65" s="1639">
        <f t="shared" si="2"/>
        <v>49700.000000000007</v>
      </c>
      <c r="F65" s="1639"/>
      <c r="G65" s="1639"/>
      <c r="H65" s="1639">
        <v>49700.000000000007</v>
      </c>
      <c r="I65" s="1639"/>
      <c r="J65" s="1639"/>
      <c r="K65" s="1636">
        <f t="shared" si="3"/>
        <v>0</v>
      </c>
    </row>
    <row r="66" spans="1:11" ht="12.75" customHeight="1">
      <c r="A66" s="1596"/>
      <c r="B66" s="1637" t="s">
        <v>6563</v>
      </c>
      <c r="C66" s="1640" t="s">
        <v>956</v>
      </c>
      <c r="D66" s="1641">
        <v>13767.94</v>
      </c>
      <c r="E66" s="1639">
        <f t="shared" si="2"/>
        <v>13767.935999999998</v>
      </c>
      <c r="F66" s="1639"/>
      <c r="G66" s="1639"/>
      <c r="H66" s="1639">
        <v>13767.935999999998</v>
      </c>
      <c r="I66" s="1639"/>
      <c r="J66" s="1639"/>
      <c r="K66" s="1636">
        <f t="shared" si="3"/>
        <v>-4.0000000026338967E-3</v>
      </c>
    </row>
    <row r="67" spans="1:11" ht="12.75" customHeight="1">
      <c r="A67" s="1596"/>
      <c r="B67" s="1637" t="s">
        <v>6564</v>
      </c>
      <c r="C67" s="1640" t="s">
        <v>2234</v>
      </c>
      <c r="D67" s="1641">
        <v>21206.31</v>
      </c>
      <c r="E67" s="1639">
        <f t="shared" si="2"/>
        <v>21206.307199999999</v>
      </c>
      <c r="F67" s="1639"/>
      <c r="G67" s="1639"/>
      <c r="H67" s="1639">
        <v>21206.307199999999</v>
      </c>
      <c r="I67" s="1639"/>
      <c r="J67" s="1639"/>
      <c r="K67" s="1636">
        <f t="shared" si="3"/>
        <v>-2.8000000020256266E-3</v>
      </c>
    </row>
    <row r="68" spans="1:11" ht="12.75" customHeight="1">
      <c r="A68" s="1596"/>
      <c r="B68" s="1637" t="s">
        <v>5375</v>
      </c>
      <c r="C68" s="1640" t="s">
        <v>1089</v>
      </c>
      <c r="D68" s="1641">
        <v>1567.94</v>
      </c>
      <c r="E68" s="1639">
        <f t="shared" si="2"/>
        <v>1567.9440000000002</v>
      </c>
      <c r="F68" s="1639"/>
      <c r="G68" s="1639"/>
      <c r="H68" s="1639">
        <v>1567.9440000000002</v>
      </c>
      <c r="I68" s="1639"/>
      <c r="J68" s="1639"/>
      <c r="K68" s="1636">
        <f t="shared" si="3"/>
        <v>4.0000000001327862E-3</v>
      </c>
    </row>
    <row r="69" spans="1:11" ht="12.75" customHeight="1">
      <c r="A69" s="1596"/>
      <c r="B69" s="1637" t="s">
        <v>6565</v>
      </c>
      <c r="C69" s="1640" t="s">
        <v>2694</v>
      </c>
      <c r="D69" s="1641">
        <v>2898.72</v>
      </c>
      <c r="E69" s="1639">
        <f t="shared" si="2"/>
        <v>2898.7200000000003</v>
      </c>
      <c r="F69" s="1639"/>
      <c r="G69" s="1639"/>
      <c r="H69" s="1639">
        <v>2898.7200000000003</v>
      </c>
      <c r="I69" s="1639"/>
      <c r="J69" s="1639"/>
      <c r="K69" s="1636">
        <f t="shared" si="3"/>
        <v>0</v>
      </c>
    </row>
    <row r="70" spans="1:11" ht="12.75" customHeight="1">
      <c r="A70" s="1596"/>
      <c r="B70" s="1637" t="s">
        <v>6566</v>
      </c>
      <c r="C70" s="1642" t="s">
        <v>3341</v>
      </c>
      <c r="D70" s="1641">
        <v>869.12</v>
      </c>
      <c r="E70" s="1639">
        <f t="shared" si="2"/>
        <v>869.12</v>
      </c>
      <c r="F70" s="1639"/>
      <c r="G70" s="1639"/>
      <c r="H70" s="1639">
        <v>869.12</v>
      </c>
      <c r="I70" s="1639"/>
      <c r="J70" s="1639"/>
      <c r="K70" s="1636">
        <f t="shared" si="3"/>
        <v>0</v>
      </c>
    </row>
    <row r="71" spans="1:11" ht="12.75" customHeight="1">
      <c r="A71" s="1596"/>
      <c r="B71" s="1637" t="s">
        <v>6567</v>
      </c>
      <c r="C71" s="1640" t="s">
        <v>6568</v>
      </c>
      <c r="D71" s="1641">
        <v>2340.6</v>
      </c>
      <c r="E71" s="1639">
        <f t="shared" si="2"/>
        <v>2340.5984000000003</v>
      </c>
      <c r="F71" s="1639"/>
      <c r="G71" s="1639"/>
      <c r="H71" s="1639">
        <v>2340.5984000000003</v>
      </c>
      <c r="I71" s="1639"/>
      <c r="J71" s="1639"/>
      <c r="K71" s="1636">
        <f t="shared" si="3"/>
        <v>-1.5999999995983671E-3</v>
      </c>
    </row>
    <row r="72" spans="1:11" ht="12.75" customHeight="1">
      <c r="A72" s="1596"/>
      <c r="B72" s="1637" t="s">
        <v>6569</v>
      </c>
      <c r="C72" s="1640" t="s">
        <v>39</v>
      </c>
      <c r="D72" s="1641">
        <v>92009.89</v>
      </c>
      <c r="E72" s="1639">
        <f t="shared" si="2"/>
        <v>92009.892800000016</v>
      </c>
      <c r="F72" s="1639"/>
      <c r="G72" s="1639"/>
      <c r="H72" s="1639">
        <v>92009.892800000016</v>
      </c>
      <c r="I72" s="1639"/>
      <c r="J72" s="1639"/>
      <c r="K72" s="1636">
        <f t="shared" si="3"/>
        <v>2.8000000165775418E-3</v>
      </c>
    </row>
    <row r="73" spans="1:11" ht="12.75" customHeight="1">
      <c r="A73" s="1596"/>
      <c r="B73" s="1637" t="s">
        <v>6570</v>
      </c>
      <c r="C73" s="1640" t="s">
        <v>1179</v>
      </c>
      <c r="D73" s="1641">
        <v>94.08</v>
      </c>
      <c r="E73" s="1639">
        <f t="shared" si="2"/>
        <v>94.080000000000013</v>
      </c>
      <c r="F73" s="1639"/>
      <c r="G73" s="1639"/>
      <c r="H73" s="1639">
        <v>94.080000000000013</v>
      </c>
      <c r="I73" s="1639"/>
      <c r="J73" s="1639"/>
      <c r="K73" s="1636">
        <f t="shared" si="3"/>
        <v>0</v>
      </c>
    </row>
    <row r="74" spans="1:11" ht="12.75" customHeight="1">
      <c r="A74" s="1596"/>
      <c r="B74" s="1637" t="s">
        <v>6571</v>
      </c>
      <c r="C74" s="1640" t="s">
        <v>40</v>
      </c>
      <c r="D74" s="1641">
        <v>4250.8999999999996</v>
      </c>
      <c r="E74" s="1639">
        <f t="shared" si="2"/>
        <v>4250.8972800000001</v>
      </c>
      <c r="F74" s="1639"/>
      <c r="G74" s="1639"/>
      <c r="H74" s="1639">
        <v>4250.8972800000001</v>
      </c>
      <c r="I74" s="1639"/>
      <c r="J74" s="1639"/>
      <c r="K74" s="1636">
        <f t="shared" si="3"/>
        <v>-2.7199999994991231E-3</v>
      </c>
    </row>
    <row r="75" spans="1:11" ht="12.75" customHeight="1">
      <c r="A75" s="1596"/>
      <c r="B75" s="1637" t="s">
        <v>6572</v>
      </c>
      <c r="C75" s="1640" t="s">
        <v>903</v>
      </c>
      <c r="D75" s="1641">
        <v>7078.4</v>
      </c>
      <c r="E75" s="1639">
        <f t="shared" si="2"/>
        <v>7078.4000000000005</v>
      </c>
      <c r="F75" s="1639"/>
      <c r="G75" s="1639"/>
      <c r="H75" s="1639">
        <v>7078.4000000000005</v>
      </c>
      <c r="I75" s="1639"/>
      <c r="J75" s="1639"/>
      <c r="K75" s="1636">
        <f t="shared" si="3"/>
        <v>0</v>
      </c>
    </row>
    <row r="76" spans="1:11" ht="12.75" customHeight="1">
      <c r="A76" s="1596"/>
      <c r="B76" s="1637" t="s">
        <v>6573</v>
      </c>
      <c r="C76" s="1640" t="s">
        <v>6574</v>
      </c>
      <c r="D76" s="1641">
        <v>3600</v>
      </c>
      <c r="E76" s="1639">
        <f t="shared" si="2"/>
        <v>3599.9999999999995</v>
      </c>
      <c r="F76" s="1639"/>
      <c r="G76" s="1639"/>
      <c r="H76" s="1639">
        <v>3599.9999999999995</v>
      </c>
      <c r="I76" s="1639"/>
      <c r="J76" s="1639"/>
      <c r="K76" s="1636">
        <f t="shared" si="3"/>
        <v>0</v>
      </c>
    </row>
    <row r="77" spans="1:11" ht="12.75" customHeight="1">
      <c r="A77" s="1596"/>
      <c r="B77" s="1637" t="s">
        <v>6575</v>
      </c>
      <c r="C77" s="1640" t="s">
        <v>680</v>
      </c>
      <c r="D77" s="1641">
        <v>49163.64</v>
      </c>
      <c r="E77" s="1639">
        <f t="shared" si="2"/>
        <v>49163.640000000007</v>
      </c>
      <c r="F77" s="1639"/>
      <c r="G77" s="1639">
        <v>49163.640000000007</v>
      </c>
      <c r="H77" s="1639"/>
      <c r="I77" s="1639"/>
      <c r="J77" s="1639"/>
      <c r="K77" s="1636">
        <f t="shared" si="3"/>
        <v>0</v>
      </c>
    </row>
    <row r="78" spans="1:11" ht="12.75" customHeight="1">
      <c r="A78" s="1596"/>
      <c r="B78" s="1637" t="s">
        <v>6576</v>
      </c>
      <c r="C78" s="1640" t="s">
        <v>680</v>
      </c>
      <c r="D78" s="1641">
        <v>5949.98</v>
      </c>
      <c r="E78" s="1639">
        <f t="shared" si="2"/>
        <v>5949.9840000000004</v>
      </c>
      <c r="F78" s="1639"/>
      <c r="G78" s="1639"/>
      <c r="H78" s="1639">
        <v>5949.9840000000004</v>
      </c>
      <c r="I78" s="1639"/>
      <c r="J78" s="1639"/>
      <c r="K78" s="1636">
        <f t="shared" si="3"/>
        <v>4.0000000008149073E-3</v>
      </c>
    </row>
    <row r="79" spans="1:11" ht="12.75" customHeight="1">
      <c r="A79" s="1596"/>
      <c r="B79" s="1637" t="s">
        <v>6577</v>
      </c>
      <c r="C79" s="1642" t="s">
        <v>894</v>
      </c>
      <c r="D79" s="1641">
        <v>2429.96</v>
      </c>
      <c r="E79" s="1639">
        <f t="shared" si="2"/>
        <v>2429.96</v>
      </c>
      <c r="F79" s="1639">
        <v>2429.96</v>
      </c>
      <c r="G79" s="1639"/>
      <c r="H79" s="1639"/>
      <c r="I79" s="1639"/>
      <c r="J79" s="1639"/>
      <c r="K79" s="1636">
        <f t="shared" si="3"/>
        <v>0</v>
      </c>
    </row>
    <row r="80" spans="1:11" ht="12.75" customHeight="1">
      <c r="A80" s="1596"/>
      <c r="B80" s="1637" t="s">
        <v>6578</v>
      </c>
      <c r="C80" s="1640" t="s">
        <v>894</v>
      </c>
      <c r="D80" s="1641">
        <v>110320</v>
      </c>
      <c r="E80" s="1639">
        <f t="shared" si="2"/>
        <v>110320.00000000001</v>
      </c>
      <c r="F80" s="1639"/>
      <c r="G80" s="1639">
        <v>110320.00000000001</v>
      </c>
      <c r="H80" s="1639"/>
      <c r="I80" s="1639"/>
      <c r="J80" s="1639"/>
      <c r="K80" s="1636">
        <f t="shared" si="3"/>
        <v>0</v>
      </c>
    </row>
    <row r="81" spans="1:11" ht="12.75" customHeight="1">
      <c r="A81" s="1596"/>
      <c r="B81" s="1637" t="s">
        <v>6579</v>
      </c>
      <c r="C81" s="1640" t="s">
        <v>894</v>
      </c>
      <c r="D81" s="1641">
        <v>24379.45</v>
      </c>
      <c r="E81" s="1639">
        <f t="shared" si="2"/>
        <v>24379.446</v>
      </c>
      <c r="F81" s="1639"/>
      <c r="G81" s="1639"/>
      <c r="H81" s="1639">
        <v>24379.446</v>
      </c>
      <c r="I81" s="1639"/>
      <c r="J81" s="1639"/>
      <c r="K81" s="1636">
        <f t="shared" si="3"/>
        <v>-4.0000000008149073E-3</v>
      </c>
    </row>
    <row r="82" spans="1:11" ht="12.75" customHeight="1">
      <c r="A82" s="1596"/>
      <c r="B82" s="1637" t="s">
        <v>6580</v>
      </c>
      <c r="C82" s="1640" t="s">
        <v>3542</v>
      </c>
      <c r="D82" s="1641">
        <v>159.04</v>
      </c>
      <c r="E82" s="1639">
        <f t="shared" si="2"/>
        <v>159.04</v>
      </c>
      <c r="F82" s="1639"/>
      <c r="G82" s="1639">
        <v>159.04</v>
      </c>
      <c r="H82" s="1639"/>
      <c r="I82" s="1639"/>
      <c r="J82" s="1639"/>
      <c r="K82" s="1636">
        <f t="shared" si="3"/>
        <v>0</v>
      </c>
    </row>
    <row r="83" spans="1:11" ht="12.75" customHeight="1">
      <c r="A83" s="1596"/>
      <c r="B83" s="1637" t="s">
        <v>6581</v>
      </c>
      <c r="C83" s="1642" t="s">
        <v>38</v>
      </c>
      <c r="D83" s="1641">
        <v>4980</v>
      </c>
      <c r="E83" s="1639">
        <f t="shared" si="2"/>
        <v>4980.0000000000009</v>
      </c>
      <c r="F83" s="1639">
        <v>4980.0000000000009</v>
      </c>
      <c r="G83" s="1639"/>
      <c r="H83" s="1639"/>
      <c r="I83" s="1639"/>
      <c r="J83" s="1639"/>
      <c r="K83" s="1636">
        <f t="shared" si="3"/>
        <v>0</v>
      </c>
    </row>
    <row r="84" spans="1:11" ht="12.75" customHeight="1">
      <c r="A84" s="1596"/>
      <c r="B84" s="1637" t="s">
        <v>6582</v>
      </c>
      <c r="C84" s="1642" t="s">
        <v>3079</v>
      </c>
      <c r="D84" s="1641">
        <v>1508099.72</v>
      </c>
      <c r="E84" s="1639">
        <f t="shared" si="2"/>
        <v>1280000</v>
      </c>
      <c r="F84" s="1639">
        <v>1280000</v>
      </c>
      <c r="G84" s="1639"/>
      <c r="H84" s="1639"/>
      <c r="I84" s="1639"/>
      <c r="J84" s="1639"/>
      <c r="K84" s="1636">
        <f t="shared" si="3"/>
        <v>-228099.71999999997</v>
      </c>
    </row>
    <row r="85" spans="1:11" ht="12.75" customHeight="1">
      <c r="A85" s="1596"/>
      <c r="B85" s="1637" t="s">
        <v>5694</v>
      </c>
      <c r="C85" s="1640" t="s">
        <v>591</v>
      </c>
      <c r="D85" s="1641">
        <v>0</v>
      </c>
      <c r="E85" s="1639">
        <f t="shared" si="2"/>
        <v>15885.634239999999</v>
      </c>
      <c r="F85" s="1639"/>
      <c r="G85" s="1639"/>
      <c r="H85" s="1639">
        <v>15885.634239999999</v>
      </c>
      <c r="I85" s="1639"/>
      <c r="J85" s="1639"/>
      <c r="K85" s="1636">
        <f t="shared" ref="K85:K89" si="4">+E85-D85</f>
        <v>15885.634239999999</v>
      </c>
    </row>
    <row r="86" spans="1:11" ht="12.75" customHeight="1">
      <c r="A86" s="1596"/>
      <c r="B86" s="1637" t="s">
        <v>6583</v>
      </c>
      <c r="C86" s="1640" t="s">
        <v>39</v>
      </c>
      <c r="D86" s="1641">
        <v>0</v>
      </c>
      <c r="E86" s="1639">
        <f t="shared" si="2"/>
        <v>115907.17824000002</v>
      </c>
      <c r="F86" s="1639"/>
      <c r="G86" s="1639"/>
      <c r="H86" s="1639">
        <v>115907.17824000002</v>
      </c>
      <c r="I86" s="1639"/>
      <c r="J86" s="1639"/>
      <c r="K86" s="1636">
        <f t="shared" si="4"/>
        <v>115907.17824000002</v>
      </c>
    </row>
    <row r="87" spans="1:11" ht="12.75" customHeight="1">
      <c r="A87" s="1596"/>
      <c r="B87" s="1637" t="s">
        <v>6584</v>
      </c>
      <c r="C87" s="1640" t="s">
        <v>40</v>
      </c>
      <c r="D87" s="1641">
        <v>0</v>
      </c>
      <c r="E87" s="1639">
        <f t="shared" si="2"/>
        <v>501390.35119999998</v>
      </c>
      <c r="F87" s="1639"/>
      <c r="G87" s="1639"/>
      <c r="H87" s="1639">
        <v>501390.35119999998</v>
      </c>
      <c r="I87" s="1639"/>
      <c r="J87" s="1639"/>
      <c r="K87" s="1636">
        <f t="shared" si="4"/>
        <v>501390.35119999998</v>
      </c>
    </row>
    <row r="88" spans="1:11" ht="12.75" customHeight="1">
      <c r="A88" s="1596"/>
      <c r="B88" s="1637" t="s">
        <v>6585</v>
      </c>
      <c r="C88" s="1640" t="s">
        <v>40</v>
      </c>
      <c r="D88" s="1641">
        <v>856577.7</v>
      </c>
      <c r="E88" s="1639"/>
      <c r="F88" s="1639"/>
      <c r="G88" s="1639"/>
      <c r="H88" s="1639"/>
      <c r="I88" s="1639"/>
      <c r="J88" s="1639"/>
      <c r="K88" s="1636">
        <f t="shared" si="4"/>
        <v>-856577.7</v>
      </c>
    </row>
    <row r="89" spans="1:11" ht="12.75" customHeight="1">
      <c r="A89" s="1596"/>
      <c r="B89" s="1637" t="s">
        <v>6586</v>
      </c>
      <c r="C89" s="1640" t="s">
        <v>5430</v>
      </c>
      <c r="D89" s="1641">
        <v>0</v>
      </c>
      <c r="E89" s="1639">
        <f t="shared" si="2"/>
        <v>8999.2000000000007</v>
      </c>
      <c r="F89" s="1639"/>
      <c r="G89" s="1639"/>
      <c r="H89" s="1639">
        <v>8999.2000000000007</v>
      </c>
      <c r="I89" s="1639"/>
      <c r="J89" s="1639"/>
      <c r="K89" s="1636">
        <f t="shared" si="4"/>
        <v>8999.2000000000007</v>
      </c>
    </row>
    <row r="90" spans="1:11">
      <c r="A90" s="1596"/>
      <c r="B90" s="11353" t="s">
        <v>6587</v>
      </c>
      <c r="C90" s="11364"/>
      <c r="D90" s="1643">
        <f>SUM(D20:D89)</f>
        <v>11730007.630000001</v>
      </c>
      <c r="E90" s="1644">
        <f t="shared" ref="E90:J90" si="5">SUM(E20:E89)</f>
        <v>11327270.885459911</v>
      </c>
      <c r="F90" s="1644">
        <f t="shared" si="5"/>
        <v>1287409.96</v>
      </c>
      <c r="G90" s="1644">
        <f t="shared" si="5"/>
        <v>159642.68000000002</v>
      </c>
      <c r="H90" s="1644">
        <f t="shared" si="5"/>
        <v>9880218.2454599105</v>
      </c>
      <c r="I90" s="1644">
        <f t="shared" si="5"/>
        <v>0</v>
      </c>
      <c r="J90" s="1644">
        <f t="shared" si="5"/>
        <v>0</v>
      </c>
      <c r="K90" s="1645">
        <f>SUM(K19:K89)</f>
        <v>-402736.74454008823</v>
      </c>
    </row>
    <row r="91" spans="1:11" ht="12.75" customHeight="1">
      <c r="A91" s="1596"/>
      <c r="B91" s="1622"/>
      <c r="C91" s="1646"/>
      <c r="D91" s="1646"/>
      <c r="E91" s="1599"/>
      <c r="F91" s="1599"/>
      <c r="G91" s="1593"/>
      <c r="H91" s="1593"/>
      <c r="I91" s="1593"/>
      <c r="J91" s="1593"/>
      <c r="K91" s="1593"/>
    </row>
    <row r="92" spans="1:11" ht="12.75" customHeight="1">
      <c r="A92" s="1596"/>
      <c r="B92" s="1622"/>
      <c r="C92" s="1646"/>
      <c r="D92" s="1646"/>
      <c r="E92" s="1622"/>
      <c r="F92" s="1622"/>
      <c r="G92" s="1622"/>
      <c r="H92" s="1622"/>
      <c r="I92" s="1596"/>
      <c r="J92" s="1596"/>
      <c r="K92" s="1593"/>
    </row>
    <row r="93" spans="1:11" ht="31.5">
      <c r="A93" s="1596"/>
      <c r="B93" s="1623" t="s">
        <v>7</v>
      </c>
      <c r="C93" s="1624" t="s">
        <v>6505</v>
      </c>
      <c r="D93" s="1625" t="s">
        <v>6506</v>
      </c>
      <c r="E93" s="1626" t="s">
        <v>6507</v>
      </c>
      <c r="F93" s="1627" t="s">
        <v>6488</v>
      </c>
      <c r="G93" s="1628" t="s">
        <v>6489</v>
      </c>
      <c r="H93" s="1647" t="s">
        <v>6508</v>
      </c>
      <c r="I93" s="1630" t="s">
        <v>6491</v>
      </c>
      <c r="J93" s="1631" t="s">
        <v>6492</v>
      </c>
      <c r="K93" s="1625" t="s">
        <v>6509</v>
      </c>
    </row>
    <row r="94" spans="1:11" ht="12.75" customHeight="1">
      <c r="A94" s="1596"/>
      <c r="B94" s="1648" t="s">
        <v>6588</v>
      </c>
      <c r="C94" s="1649" t="s">
        <v>6589</v>
      </c>
      <c r="D94" s="1650"/>
      <c r="E94" s="1651"/>
      <c r="F94" s="1651"/>
      <c r="G94" s="1651"/>
      <c r="H94" s="1651"/>
      <c r="I94" s="1635"/>
      <c r="J94" s="1635"/>
      <c r="K94" s="1652"/>
    </row>
    <row r="95" spans="1:11" ht="12.75" customHeight="1">
      <c r="A95" s="1596"/>
      <c r="B95" s="1637" t="s">
        <v>6514</v>
      </c>
      <c r="C95" s="1638" t="s">
        <v>3012</v>
      </c>
      <c r="D95" s="1652">
        <v>9010628.1500000004</v>
      </c>
      <c r="E95" s="1639">
        <f>SUM(G95:J95)</f>
        <v>9354765.1400000006</v>
      </c>
      <c r="F95" s="1596"/>
      <c r="G95" s="1639"/>
      <c r="H95" s="1635">
        <v>9354765.1400000006</v>
      </c>
      <c r="I95" s="1639"/>
      <c r="J95" s="1639"/>
      <c r="K95" s="1652">
        <f>+E95-D95</f>
        <v>344136.99000000022</v>
      </c>
    </row>
    <row r="96" spans="1:11" ht="12.75" customHeight="1">
      <c r="A96" s="1596"/>
      <c r="B96" s="1637" t="s">
        <v>6590</v>
      </c>
      <c r="C96" s="1638" t="s">
        <v>6516</v>
      </c>
      <c r="D96" s="1652">
        <v>0</v>
      </c>
      <c r="E96" s="1639">
        <f>SUM(F96:J96)</f>
        <v>146650.99998940158</v>
      </c>
      <c r="F96" s="1635">
        <v>146650.99998940158</v>
      </c>
      <c r="G96" s="1639"/>
      <c r="H96" s="1639"/>
      <c r="I96" s="1639"/>
      <c r="J96" s="1639"/>
      <c r="K96" s="1652">
        <f t="shared" ref="K96:K159" si="6">+E96-D96</f>
        <v>146650.99998940158</v>
      </c>
    </row>
    <row r="97" spans="1:11" ht="12.75" customHeight="1">
      <c r="A97" s="1596"/>
      <c r="B97" s="1637" t="s">
        <v>6515</v>
      </c>
      <c r="C97" s="1638" t="s">
        <v>6516</v>
      </c>
      <c r="D97" s="1652">
        <v>0</v>
      </c>
      <c r="E97" s="1639">
        <f>SUM(G97:J97)</f>
        <v>965722.17001059849</v>
      </c>
      <c r="F97" s="1596"/>
      <c r="G97" s="1639"/>
      <c r="H97" s="1635">
        <v>965722.17001059849</v>
      </c>
      <c r="I97" s="1639"/>
      <c r="J97" s="1639"/>
      <c r="K97" s="1652">
        <f t="shared" si="6"/>
        <v>965722.17001059849</v>
      </c>
    </row>
    <row r="98" spans="1:11" ht="12.75" customHeight="1">
      <c r="A98" s="1596"/>
      <c r="B98" s="1637" t="s">
        <v>6591</v>
      </c>
      <c r="C98" s="1638" t="s">
        <v>6518</v>
      </c>
      <c r="D98" s="1652">
        <v>0</v>
      </c>
      <c r="E98" s="1639">
        <f>SUM(F98:J98)</f>
        <v>44625.000011687502</v>
      </c>
      <c r="F98" s="1635">
        <v>44625.000011687502</v>
      </c>
      <c r="G98" s="1639"/>
      <c r="H98" s="1639"/>
      <c r="I98" s="1639"/>
      <c r="J98" s="1639"/>
      <c r="K98" s="1652">
        <f t="shared" si="6"/>
        <v>44625.000011687502</v>
      </c>
    </row>
    <row r="99" spans="1:11" ht="12.75" customHeight="1">
      <c r="A99" s="1596"/>
      <c r="B99" s="1637" t="s">
        <v>6517</v>
      </c>
      <c r="C99" s="1638" t="s">
        <v>6518</v>
      </c>
      <c r="D99" s="1652">
        <v>239874.19</v>
      </c>
      <c r="E99" s="1639">
        <f>SUM(G99:J99)</f>
        <v>199749.99998831248</v>
      </c>
      <c r="F99" s="1596"/>
      <c r="G99" s="1639"/>
      <c r="H99" s="1635">
        <v>199749.99998831248</v>
      </c>
      <c r="I99" s="1639"/>
      <c r="J99" s="1639"/>
      <c r="K99" s="1652">
        <f t="shared" si="6"/>
        <v>-40124.190011687519</v>
      </c>
    </row>
    <row r="100" spans="1:11" ht="12.75" customHeight="1">
      <c r="A100" s="1596"/>
      <c r="B100" s="1637" t="s">
        <v>6592</v>
      </c>
      <c r="C100" s="1638" t="s">
        <v>3043</v>
      </c>
      <c r="D100" s="1652">
        <v>0</v>
      </c>
      <c r="E100" s="1639">
        <f>SUM(F100:J100)</f>
        <v>1764832.5401302234</v>
      </c>
      <c r="F100" s="1635">
        <v>1764832.5401302234</v>
      </c>
      <c r="G100" s="1639"/>
      <c r="H100" s="1639"/>
      <c r="I100" s="1639"/>
      <c r="J100" s="1639"/>
      <c r="K100" s="1652">
        <f t="shared" si="6"/>
        <v>1764832.5401302234</v>
      </c>
    </row>
    <row r="101" spans="1:11" ht="12.75" customHeight="1">
      <c r="A101" s="1596"/>
      <c r="B101" s="1637" t="s">
        <v>6593</v>
      </c>
      <c r="C101" s="1638" t="s">
        <v>3043</v>
      </c>
      <c r="D101" s="1652">
        <v>5139777.5999999996</v>
      </c>
      <c r="E101" s="1639">
        <f>SUM(G101:J101)</f>
        <v>2857496.5198697769</v>
      </c>
      <c r="F101" s="1596"/>
      <c r="G101" s="1639"/>
      <c r="H101" s="1635">
        <v>2857496.5198697769</v>
      </c>
      <c r="I101" s="1639"/>
      <c r="J101" s="1639"/>
      <c r="K101" s="1652">
        <f t="shared" si="6"/>
        <v>-2282281.0801302227</v>
      </c>
    </row>
    <row r="102" spans="1:11" ht="12.75" customHeight="1">
      <c r="A102" s="1596"/>
      <c r="B102" s="1637" t="s">
        <v>6594</v>
      </c>
      <c r="C102" s="1638" t="s">
        <v>3032</v>
      </c>
      <c r="D102" s="1652">
        <v>0</v>
      </c>
      <c r="E102" s="1639">
        <f>SUM(F102:J102)</f>
        <v>161022.00004262262</v>
      </c>
      <c r="F102" s="1635">
        <v>161022.00004262262</v>
      </c>
      <c r="G102" s="1639"/>
      <c r="H102" s="1639"/>
      <c r="I102" s="1639"/>
      <c r="J102" s="1639"/>
      <c r="K102" s="1652">
        <f t="shared" si="6"/>
        <v>161022.00004262262</v>
      </c>
    </row>
    <row r="103" spans="1:11" ht="12.75" customHeight="1">
      <c r="A103" s="1596"/>
      <c r="B103" s="1637" t="s">
        <v>6527</v>
      </c>
      <c r="C103" s="1638" t="s">
        <v>3032</v>
      </c>
      <c r="D103" s="1652">
        <v>1250038.1100000001</v>
      </c>
      <c r="E103" s="1639">
        <f>SUM(G103:J103)</f>
        <v>1060363.4199573772</v>
      </c>
      <c r="F103" s="1596"/>
      <c r="G103" s="1639"/>
      <c r="H103" s="1635">
        <v>1060363.4199573772</v>
      </c>
      <c r="I103" s="1639"/>
      <c r="J103" s="1639"/>
      <c r="K103" s="1652">
        <f t="shared" si="6"/>
        <v>-189674.69004262285</v>
      </c>
    </row>
    <row r="104" spans="1:11" ht="12.75" customHeight="1">
      <c r="A104" s="1596"/>
      <c r="B104" s="1637" t="s">
        <v>6595</v>
      </c>
      <c r="C104" s="1638" t="s">
        <v>3039</v>
      </c>
      <c r="D104" s="1652">
        <v>0</v>
      </c>
      <c r="E104" s="1639">
        <f>SUM(F104:J104)</f>
        <v>146592.00002416442</v>
      </c>
      <c r="F104" s="1635">
        <v>146592.00002416442</v>
      </c>
      <c r="G104" s="1639"/>
      <c r="H104" s="1639"/>
      <c r="I104" s="1639"/>
      <c r="J104" s="1639"/>
      <c r="K104" s="1652">
        <f t="shared" si="6"/>
        <v>146592.00002416442</v>
      </c>
    </row>
    <row r="105" spans="1:11" ht="12.75" customHeight="1">
      <c r="A105" s="1596"/>
      <c r="B105" s="1637" t="s">
        <v>6528</v>
      </c>
      <c r="C105" s="1638" t="s">
        <v>3039</v>
      </c>
      <c r="D105" s="1652">
        <v>1141573.27</v>
      </c>
      <c r="E105" s="1639">
        <f t="shared" ref="E105" si="7">SUM(G105:J105)</f>
        <v>965335.79997583572</v>
      </c>
      <c r="F105" s="1596"/>
      <c r="G105" s="1639"/>
      <c r="H105" s="1635">
        <v>965335.79997583572</v>
      </c>
      <c r="I105" s="1639"/>
      <c r="J105" s="1639"/>
      <c r="K105" s="1652">
        <f t="shared" si="6"/>
        <v>-176237.4700241643</v>
      </c>
    </row>
    <row r="106" spans="1:11" ht="12.75" customHeight="1">
      <c r="A106" s="1596"/>
      <c r="B106" s="1637" t="s">
        <v>6596</v>
      </c>
      <c r="C106" s="1638" t="s">
        <v>3041</v>
      </c>
      <c r="D106" s="1652">
        <v>0</v>
      </c>
      <c r="E106" s="1639">
        <f>SUM(F106:J106)</f>
        <v>1500</v>
      </c>
      <c r="F106" s="1635">
        <v>1500</v>
      </c>
      <c r="G106" s="1639"/>
      <c r="H106" s="1639"/>
      <c r="I106" s="1639"/>
      <c r="J106" s="1639"/>
      <c r="K106" s="1652">
        <f t="shared" si="6"/>
        <v>1500</v>
      </c>
    </row>
    <row r="107" spans="1:11" ht="12.75" customHeight="1">
      <c r="A107" s="1596"/>
      <c r="B107" s="1637" t="s">
        <v>6529</v>
      </c>
      <c r="C107" s="1638" t="s">
        <v>3041</v>
      </c>
      <c r="D107" s="1652">
        <v>1500</v>
      </c>
      <c r="E107" s="1639">
        <f>SUM(G107:J107)</f>
        <v>1500</v>
      </c>
      <c r="F107" s="1596"/>
      <c r="G107" s="1639"/>
      <c r="H107" s="1635">
        <v>1500</v>
      </c>
      <c r="I107" s="1639"/>
      <c r="J107" s="1639"/>
      <c r="K107" s="1652">
        <f t="shared" si="6"/>
        <v>0</v>
      </c>
    </row>
    <row r="108" spans="1:11" ht="12.75" customHeight="1">
      <c r="A108" s="1596"/>
      <c r="B108" s="1637" t="s">
        <v>6597</v>
      </c>
      <c r="C108" s="1640" t="s">
        <v>471</v>
      </c>
      <c r="D108" s="1652">
        <v>3710.56</v>
      </c>
      <c r="E108" s="1639">
        <f t="shared" ref="E108:E129" si="8">SUM(F108:J108)</f>
        <v>3710.5600000000004</v>
      </c>
      <c r="F108" s="1639">
        <v>3710.5600000000004</v>
      </c>
      <c r="G108" s="1639"/>
      <c r="H108" s="1653"/>
      <c r="I108" s="1639"/>
      <c r="J108" s="1639"/>
      <c r="K108" s="1652">
        <f t="shared" si="6"/>
        <v>0</v>
      </c>
    </row>
    <row r="109" spans="1:11" ht="12.75" customHeight="1">
      <c r="A109" s="1596"/>
      <c r="B109" s="1637" t="s">
        <v>6598</v>
      </c>
      <c r="C109" s="1654" t="s">
        <v>745</v>
      </c>
      <c r="D109" s="1652">
        <v>699504.22</v>
      </c>
      <c r="E109" s="1639">
        <f t="shared" si="8"/>
        <v>699504.22065599996</v>
      </c>
      <c r="F109" s="1639">
        <v>699504.22065599996</v>
      </c>
      <c r="G109" s="1639"/>
      <c r="H109" s="1639"/>
      <c r="I109" s="1639"/>
      <c r="J109" s="1639"/>
      <c r="K109" s="1652">
        <f t="shared" si="6"/>
        <v>6.559999892488122E-4</v>
      </c>
    </row>
    <row r="110" spans="1:11" ht="12.75" customHeight="1">
      <c r="A110" s="1596"/>
      <c r="B110" s="1637" t="s">
        <v>6599</v>
      </c>
      <c r="C110" s="1654" t="s">
        <v>505</v>
      </c>
      <c r="D110" s="1652">
        <v>13224.45</v>
      </c>
      <c r="E110" s="1639">
        <f t="shared" si="8"/>
        <v>13224.454399999999</v>
      </c>
      <c r="F110" s="1639">
        <v>13224.454399999999</v>
      </c>
      <c r="G110" s="1639"/>
      <c r="H110" s="1639"/>
      <c r="I110" s="1639"/>
      <c r="J110" s="1639"/>
      <c r="K110" s="1652">
        <f t="shared" si="6"/>
        <v>4.3999999979860149E-3</v>
      </c>
    </row>
    <row r="111" spans="1:11" ht="12.75" customHeight="1">
      <c r="A111" s="1596"/>
      <c r="B111" s="1637" t="s">
        <v>6600</v>
      </c>
      <c r="C111" s="1642" t="s">
        <v>2507</v>
      </c>
      <c r="D111" s="1652">
        <v>163590.15</v>
      </c>
      <c r="E111" s="1639">
        <f t="shared" si="8"/>
        <v>100000.32000000001</v>
      </c>
      <c r="F111" s="1639">
        <v>100000.32000000001</v>
      </c>
      <c r="G111" s="1639"/>
      <c r="H111" s="1639"/>
      <c r="I111" s="1639"/>
      <c r="J111" s="1639"/>
      <c r="K111" s="1652">
        <f t="shared" si="6"/>
        <v>-63589.829999999987</v>
      </c>
    </row>
    <row r="112" spans="1:11" ht="12.75" customHeight="1">
      <c r="A112" s="1596"/>
      <c r="B112" s="1637" t="s">
        <v>6601</v>
      </c>
      <c r="C112" s="1640" t="s">
        <v>6602</v>
      </c>
      <c r="D112" s="1652">
        <v>40000</v>
      </c>
      <c r="E112" s="1639">
        <f t="shared" si="8"/>
        <v>40000</v>
      </c>
      <c r="F112" s="1639">
        <v>40000</v>
      </c>
      <c r="G112" s="1639"/>
      <c r="H112" s="1639"/>
      <c r="I112" s="1639"/>
      <c r="J112" s="1639"/>
      <c r="K112" s="1652">
        <f t="shared" si="6"/>
        <v>0</v>
      </c>
    </row>
    <row r="113" spans="1:11" ht="12.75" customHeight="1">
      <c r="A113" s="1596"/>
      <c r="B113" s="1637" t="s">
        <v>6603</v>
      </c>
      <c r="C113" s="1640" t="s">
        <v>1360</v>
      </c>
      <c r="D113" s="1652">
        <v>22400</v>
      </c>
      <c r="E113" s="1639">
        <f t="shared" si="8"/>
        <v>22400.000000000004</v>
      </c>
      <c r="F113" s="1639"/>
      <c r="G113" s="1639"/>
      <c r="H113" s="1639">
        <v>22400.000000000004</v>
      </c>
      <c r="I113" s="1639"/>
      <c r="J113" s="1639"/>
      <c r="K113" s="1652">
        <f t="shared" si="6"/>
        <v>0</v>
      </c>
    </row>
    <row r="114" spans="1:11" ht="12.75" customHeight="1">
      <c r="A114" s="1596"/>
      <c r="B114" s="1637" t="s">
        <v>6604</v>
      </c>
      <c r="C114" s="1640" t="s">
        <v>2398</v>
      </c>
      <c r="D114" s="1652">
        <v>20160</v>
      </c>
      <c r="E114" s="1639">
        <f t="shared" si="8"/>
        <v>20160.000000000004</v>
      </c>
      <c r="F114" s="1639">
        <v>20160.000000000004</v>
      </c>
      <c r="G114" s="1639"/>
      <c r="H114" s="1639"/>
      <c r="I114" s="1639"/>
      <c r="J114" s="1639"/>
      <c r="K114" s="1652">
        <f t="shared" si="6"/>
        <v>0</v>
      </c>
    </row>
    <row r="115" spans="1:11" ht="12.75" customHeight="1">
      <c r="A115" s="1596"/>
      <c r="B115" s="1637" t="s">
        <v>6605</v>
      </c>
      <c r="C115" s="1640" t="s">
        <v>148</v>
      </c>
      <c r="D115" s="1652">
        <v>24518.79</v>
      </c>
      <c r="E115" s="1639">
        <f t="shared" si="8"/>
        <v>24518.793600000005</v>
      </c>
      <c r="F115" s="1639">
        <v>24518.793600000005</v>
      </c>
      <c r="G115" s="1639"/>
      <c r="H115" s="1639"/>
      <c r="I115" s="1639"/>
      <c r="J115" s="1639"/>
      <c r="K115" s="1652">
        <f t="shared" si="6"/>
        <v>3.6000000036437996E-3</v>
      </c>
    </row>
    <row r="116" spans="1:11" ht="12.75" customHeight="1">
      <c r="A116" s="1596"/>
      <c r="B116" s="1637" t="s">
        <v>6606</v>
      </c>
      <c r="C116" s="1640" t="s">
        <v>1006</v>
      </c>
      <c r="D116" s="1652">
        <v>1509.87</v>
      </c>
      <c r="E116" s="1639">
        <f t="shared" si="8"/>
        <v>1509.8720000000001</v>
      </c>
      <c r="F116" s="1639">
        <v>1509.8720000000001</v>
      </c>
      <c r="G116" s="1639"/>
      <c r="H116" s="1639"/>
      <c r="I116" s="1639"/>
      <c r="J116" s="1639"/>
      <c r="K116" s="1652">
        <f t="shared" si="6"/>
        <v>2.00000000018008E-3</v>
      </c>
    </row>
    <row r="117" spans="1:11" ht="12.75" customHeight="1">
      <c r="A117" s="1596"/>
      <c r="B117" s="1637" t="s">
        <v>6607</v>
      </c>
      <c r="C117" s="1640" t="s">
        <v>2234</v>
      </c>
      <c r="D117" s="1652">
        <v>14755.01</v>
      </c>
      <c r="E117" s="1639">
        <f t="shared" si="8"/>
        <v>14755.012160000002</v>
      </c>
      <c r="F117" s="1639">
        <v>14755.012160000002</v>
      </c>
      <c r="G117" s="1639"/>
      <c r="H117" s="1639"/>
      <c r="I117" s="1639"/>
      <c r="J117" s="1639"/>
      <c r="K117" s="1652">
        <f t="shared" si="6"/>
        <v>2.1600000018224819E-3</v>
      </c>
    </row>
    <row r="118" spans="1:11" ht="12.75" customHeight="1">
      <c r="A118" s="1596"/>
      <c r="B118" s="1637" t="s">
        <v>6608</v>
      </c>
      <c r="C118" s="1640" t="s">
        <v>2694</v>
      </c>
      <c r="D118" s="1652">
        <v>497.28</v>
      </c>
      <c r="E118" s="1639">
        <f t="shared" si="8"/>
        <v>497.28000000000003</v>
      </c>
      <c r="F118" s="1639">
        <v>497.28000000000003</v>
      </c>
      <c r="G118" s="1639"/>
      <c r="H118" s="1653"/>
      <c r="I118" s="1639"/>
      <c r="J118" s="1639"/>
      <c r="K118" s="1652">
        <f t="shared" si="6"/>
        <v>0</v>
      </c>
    </row>
    <row r="119" spans="1:11" ht="12.75" customHeight="1">
      <c r="A119" s="1596"/>
      <c r="B119" s="1637" t="s">
        <v>6609</v>
      </c>
      <c r="C119" s="1640" t="s">
        <v>39</v>
      </c>
      <c r="D119" s="1652">
        <v>156.80000000000001</v>
      </c>
      <c r="E119" s="1639">
        <f t="shared" si="8"/>
        <v>156.80000000000001</v>
      </c>
      <c r="F119" s="1639">
        <v>156.80000000000001</v>
      </c>
      <c r="G119" s="1639"/>
      <c r="H119" s="1653"/>
      <c r="I119" s="1639"/>
      <c r="J119" s="1639"/>
      <c r="K119" s="1652">
        <f t="shared" si="6"/>
        <v>0</v>
      </c>
    </row>
    <row r="120" spans="1:11" ht="12.75" customHeight="1">
      <c r="A120" s="1596"/>
      <c r="B120" s="1637" t="s">
        <v>6610</v>
      </c>
      <c r="C120" s="1640" t="s">
        <v>4163</v>
      </c>
      <c r="D120" s="1652">
        <v>588</v>
      </c>
      <c r="E120" s="1639">
        <f t="shared" si="8"/>
        <v>588</v>
      </c>
      <c r="F120" s="1639">
        <v>588</v>
      </c>
      <c r="G120" s="1639"/>
      <c r="H120" s="1653"/>
      <c r="I120" s="1639"/>
      <c r="J120" s="1639"/>
      <c r="K120" s="1652">
        <f t="shared" si="6"/>
        <v>0</v>
      </c>
    </row>
    <row r="121" spans="1:11" ht="12.75" customHeight="1">
      <c r="A121" s="1596"/>
      <c r="B121" s="1637" t="s">
        <v>6611</v>
      </c>
      <c r="C121" s="1654" t="s">
        <v>40</v>
      </c>
      <c r="D121" s="1652">
        <v>865.76</v>
      </c>
      <c r="E121" s="1639">
        <f t="shared" si="8"/>
        <v>865.76</v>
      </c>
      <c r="F121" s="1639">
        <v>865.76</v>
      </c>
      <c r="G121" s="1639"/>
      <c r="H121" s="1653"/>
      <c r="I121" s="1639"/>
      <c r="J121" s="1639"/>
      <c r="K121" s="1652">
        <f t="shared" si="6"/>
        <v>0</v>
      </c>
    </row>
    <row r="122" spans="1:11" ht="12.75" customHeight="1">
      <c r="A122" s="1596"/>
      <c r="B122" s="1637" t="s">
        <v>6612</v>
      </c>
      <c r="C122" s="1640" t="s">
        <v>903</v>
      </c>
      <c r="D122" s="1652">
        <v>3935.06</v>
      </c>
      <c r="E122" s="1639">
        <f t="shared" si="8"/>
        <v>3935.0640000000003</v>
      </c>
      <c r="F122" s="1639">
        <v>3935.0640000000003</v>
      </c>
      <c r="G122" s="1639"/>
      <c r="H122" s="1653"/>
      <c r="I122" s="1639"/>
      <c r="J122" s="1639"/>
      <c r="K122" s="1652">
        <f t="shared" si="6"/>
        <v>4.0000000003601599E-3</v>
      </c>
    </row>
    <row r="123" spans="1:11" ht="12.75" customHeight="1">
      <c r="A123" s="1596"/>
      <c r="B123" s="1637" t="s">
        <v>6613</v>
      </c>
      <c r="C123" s="1640" t="s">
        <v>4206</v>
      </c>
      <c r="D123" s="1652">
        <v>672</v>
      </c>
      <c r="E123" s="1639">
        <f t="shared" si="8"/>
        <v>672</v>
      </c>
      <c r="F123" s="1639">
        <v>672</v>
      </c>
      <c r="G123" s="1639"/>
      <c r="H123" s="1653"/>
      <c r="I123" s="1639"/>
      <c r="J123" s="1639"/>
      <c r="K123" s="1652">
        <f t="shared" si="6"/>
        <v>0</v>
      </c>
    </row>
    <row r="124" spans="1:11" ht="12.75" customHeight="1">
      <c r="A124" s="1596"/>
      <c r="B124" s="1637" t="s">
        <v>6577</v>
      </c>
      <c r="C124" s="1640" t="s">
        <v>894</v>
      </c>
      <c r="D124" s="1652">
        <v>139000</v>
      </c>
      <c r="E124" s="1639">
        <f t="shared" si="8"/>
        <v>139000</v>
      </c>
      <c r="F124" s="1639">
        <v>139000</v>
      </c>
      <c r="G124" s="1639"/>
      <c r="H124" s="1639"/>
      <c r="I124" s="1639"/>
      <c r="J124" s="1639"/>
      <c r="K124" s="1652">
        <f t="shared" si="6"/>
        <v>0</v>
      </c>
    </row>
    <row r="125" spans="1:11" ht="12.75" customHeight="1">
      <c r="A125" s="1596"/>
      <c r="B125" s="1637" t="s">
        <v>6581</v>
      </c>
      <c r="C125" s="1640" t="s">
        <v>38</v>
      </c>
      <c r="D125" s="1652">
        <v>133400</v>
      </c>
      <c r="E125" s="1639">
        <f t="shared" si="8"/>
        <v>133400</v>
      </c>
      <c r="F125" s="1639">
        <v>133400</v>
      </c>
      <c r="G125" s="1639"/>
      <c r="H125" s="1639"/>
      <c r="I125" s="1639"/>
      <c r="J125" s="1639"/>
      <c r="K125" s="1652">
        <f t="shared" si="6"/>
        <v>0</v>
      </c>
    </row>
    <row r="126" spans="1:11" ht="12.75" customHeight="1">
      <c r="A126" s="1596"/>
      <c r="B126" s="1637" t="s">
        <v>6614</v>
      </c>
      <c r="C126" s="1640" t="s">
        <v>591</v>
      </c>
      <c r="D126" s="1652">
        <v>0</v>
      </c>
      <c r="E126" s="1639">
        <f t="shared" si="8"/>
        <v>2893.1647072000001</v>
      </c>
      <c r="F126" s="1639"/>
      <c r="G126" s="1639"/>
      <c r="H126" s="1639">
        <v>2893.1647072000001</v>
      </c>
      <c r="I126" s="1639"/>
      <c r="J126" s="1639"/>
      <c r="K126" s="1652">
        <f t="shared" si="6"/>
        <v>2893.1647072000001</v>
      </c>
    </row>
    <row r="127" spans="1:11" ht="12.75" customHeight="1">
      <c r="A127" s="1596"/>
      <c r="B127" s="1637" t="s">
        <v>5717</v>
      </c>
      <c r="C127" s="1640" t="s">
        <v>39</v>
      </c>
      <c r="D127" s="1652">
        <v>3400000</v>
      </c>
      <c r="E127" s="1639"/>
      <c r="F127" s="1639"/>
      <c r="G127" s="1639"/>
      <c r="H127" s="1639"/>
      <c r="I127" s="1639"/>
      <c r="J127" s="1639"/>
      <c r="K127" s="1652">
        <f t="shared" si="6"/>
        <v>-3400000</v>
      </c>
    </row>
    <row r="128" spans="1:11" ht="12.75" customHeight="1">
      <c r="A128" s="1596"/>
      <c r="B128" s="1637" t="s">
        <v>6583</v>
      </c>
      <c r="C128" s="1640" t="s">
        <v>39</v>
      </c>
      <c r="D128" s="1652">
        <v>2315383.2999999998</v>
      </c>
      <c r="E128" s="1639">
        <f t="shared" si="8"/>
        <v>32573.7664</v>
      </c>
      <c r="F128" s="1639"/>
      <c r="G128" s="1639"/>
      <c r="H128" s="1639">
        <v>32573.7664</v>
      </c>
      <c r="I128" s="1639"/>
      <c r="J128" s="1639"/>
      <c r="K128" s="1652">
        <f t="shared" si="6"/>
        <v>-2282809.5335999997</v>
      </c>
    </row>
    <row r="129" spans="1:11" ht="12.75" customHeight="1">
      <c r="A129" s="1596"/>
      <c r="B129" s="1637" t="s">
        <v>6584</v>
      </c>
      <c r="C129" s="1640" t="s">
        <v>40</v>
      </c>
      <c r="D129" s="1652">
        <v>0</v>
      </c>
      <c r="E129" s="1639">
        <f t="shared" si="8"/>
        <v>2897.9664000000002</v>
      </c>
      <c r="F129" s="1639"/>
      <c r="G129" s="1639"/>
      <c r="H129" s="1639">
        <v>2897.9664000000002</v>
      </c>
      <c r="I129" s="1639"/>
      <c r="J129" s="1639"/>
      <c r="K129" s="1652">
        <f t="shared" si="6"/>
        <v>2897.9664000000002</v>
      </c>
    </row>
    <row r="130" spans="1:11">
      <c r="A130" s="1596"/>
      <c r="B130" s="11353" t="s">
        <v>6615</v>
      </c>
      <c r="C130" s="11364"/>
      <c r="D130" s="1655">
        <f>SUM(D95:D129)</f>
        <v>23781262.57</v>
      </c>
      <c r="E130" s="1644">
        <f>SUM(E95:E129)</f>
        <v>18927418.6243232</v>
      </c>
      <c r="F130" s="1644">
        <f>SUM(F96:F129)</f>
        <v>3461720.6770140985</v>
      </c>
      <c r="G130" s="1644">
        <f>SUM(G96:G129)</f>
        <v>0</v>
      </c>
      <c r="H130" s="1644">
        <f>SUM(H95:H129)</f>
        <v>15465697.947309101</v>
      </c>
      <c r="I130" s="1644">
        <f>SUM(I96:I129)</f>
        <v>0</v>
      </c>
      <c r="J130" s="1644">
        <f>SUM(J96:J129)</f>
        <v>0</v>
      </c>
      <c r="K130" s="1655">
        <f>SUM(K95:K129)</f>
        <v>-4853843.9456767989</v>
      </c>
    </row>
    <row r="131" spans="1:11" ht="12.75" customHeight="1">
      <c r="A131" s="1596"/>
      <c r="B131" s="1656"/>
      <c r="C131" s="1597"/>
      <c r="D131" s="1597"/>
      <c r="E131" s="1622"/>
      <c r="F131" s="1622"/>
      <c r="G131" s="1622"/>
      <c r="H131" s="1622"/>
      <c r="I131" s="1596"/>
      <c r="J131" s="1596"/>
      <c r="K131" s="1593"/>
    </row>
    <row r="132" spans="1:11" ht="12.75" customHeight="1">
      <c r="A132" s="1596"/>
      <c r="B132" s="1622"/>
      <c r="C132" s="1646"/>
      <c r="D132" s="1646"/>
      <c r="E132" s="1622"/>
      <c r="F132" s="1622"/>
      <c r="G132" s="1622"/>
      <c r="H132" s="1622"/>
      <c r="I132" s="1596"/>
      <c r="J132" s="1596"/>
      <c r="K132" s="1593"/>
    </row>
    <row r="133" spans="1:11" ht="31.5">
      <c r="A133" s="1596"/>
      <c r="B133" s="1600" t="s">
        <v>7</v>
      </c>
      <c r="C133" s="1601" t="s">
        <v>6505</v>
      </c>
      <c r="D133" s="1625" t="s">
        <v>6506</v>
      </c>
      <c r="E133" s="1626" t="s">
        <v>6507</v>
      </c>
      <c r="F133" s="1627" t="s">
        <v>6488</v>
      </c>
      <c r="G133" s="1628" t="s">
        <v>6489</v>
      </c>
      <c r="H133" s="1647" t="s">
        <v>6508</v>
      </c>
      <c r="I133" s="1630" t="s">
        <v>6491</v>
      </c>
      <c r="J133" s="1631" t="s">
        <v>6492</v>
      </c>
      <c r="K133" s="1625" t="s">
        <v>6509</v>
      </c>
    </row>
    <row r="134" spans="1:11" ht="12.75" customHeight="1">
      <c r="A134" s="1596"/>
      <c r="B134" s="1657" t="s">
        <v>6616</v>
      </c>
      <c r="C134" s="1658" t="s">
        <v>6617</v>
      </c>
      <c r="D134" s="1659"/>
      <c r="E134" s="1651"/>
      <c r="F134" s="1651"/>
      <c r="G134" s="1651"/>
      <c r="H134" s="1651"/>
      <c r="I134" s="1635"/>
      <c r="J134" s="1635"/>
      <c r="K134" s="1641"/>
    </row>
    <row r="135" spans="1:11" ht="12.75" customHeight="1">
      <c r="A135" s="1596"/>
      <c r="B135" s="1637" t="s">
        <v>6618</v>
      </c>
      <c r="C135" s="1640" t="s">
        <v>881</v>
      </c>
      <c r="D135" s="1641">
        <v>264442.26</v>
      </c>
      <c r="E135" s="1639">
        <f t="shared" ref="E135:E159" si="9">SUM(F135:J135)</f>
        <v>264442.25920000003</v>
      </c>
      <c r="F135" s="1639">
        <v>264442.25920000003</v>
      </c>
      <c r="G135" s="1639"/>
      <c r="H135" s="1639"/>
      <c r="I135" s="1639"/>
      <c r="J135" s="1639"/>
      <c r="K135" s="1641">
        <f t="shared" si="6"/>
        <v>-7.9999997979030013E-4</v>
      </c>
    </row>
    <row r="136" spans="1:11" ht="12.75" customHeight="1">
      <c r="A136" s="1596"/>
      <c r="B136" s="1637" t="s">
        <v>6619</v>
      </c>
      <c r="C136" s="1640" t="s">
        <v>16</v>
      </c>
      <c r="D136" s="1641">
        <v>245840</v>
      </c>
      <c r="E136" s="1639">
        <f t="shared" si="9"/>
        <v>245840.00000000003</v>
      </c>
      <c r="F136" s="1639">
        <v>245840.00000000003</v>
      </c>
      <c r="G136" s="1639"/>
      <c r="H136" s="1639"/>
      <c r="I136" s="1639"/>
      <c r="J136" s="1639"/>
      <c r="K136" s="1641">
        <f t="shared" si="6"/>
        <v>0</v>
      </c>
    </row>
    <row r="137" spans="1:11" ht="12.75" customHeight="1">
      <c r="A137" s="1596"/>
      <c r="B137" s="1637" t="s">
        <v>6620</v>
      </c>
      <c r="C137" s="1660" t="s">
        <v>1301</v>
      </c>
      <c r="D137" s="1641">
        <v>5040</v>
      </c>
      <c r="E137" s="1639">
        <f t="shared" si="9"/>
        <v>5040.0000000000009</v>
      </c>
      <c r="F137" s="1639">
        <v>5040.0000000000009</v>
      </c>
      <c r="G137" s="1639"/>
      <c r="H137" s="1639"/>
      <c r="I137" s="1639"/>
      <c r="J137" s="1639"/>
      <c r="K137" s="1641">
        <f t="shared" si="6"/>
        <v>0</v>
      </c>
    </row>
    <row r="138" spans="1:11" ht="12.75" customHeight="1">
      <c r="A138" s="1596"/>
      <c r="B138" s="1637" t="s">
        <v>6621</v>
      </c>
      <c r="C138" s="1660" t="s">
        <v>29</v>
      </c>
      <c r="D138" s="1641">
        <v>1120</v>
      </c>
      <c r="E138" s="1639">
        <f t="shared" si="9"/>
        <v>1120</v>
      </c>
      <c r="F138" s="1639">
        <v>1120</v>
      </c>
      <c r="G138" s="1639"/>
      <c r="H138" s="1639"/>
      <c r="I138" s="1639"/>
      <c r="J138" s="1639"/>
      <c r="K138" s="1641">
        <f t="shared" si="6"/>
        <v>0</v>
      </c>
    </row>
    <row r="139" spans="1:11" ht="12.75" customHeight="1">
      <c r="A139" s="1596"/>
      <c r="B139" s="1637" t="s">
        <v>6622</v>
      </c>
      <c r="C139" s="1640" t="s">
        <v>30</v>
      </c>
      <c r="D139" s="1641">
        <v>5600</v>
      </c>
      <c r="E139" s="1639">
        <f t="shared" si="9"/>
        <v>5600.0000000000009</v>
      </c>
      <c r="F139" s="1639">
        <v>5600.0000000000009</v>
      </c>
      <c r="G139" s="1639"/>
      <c r="H139" s="1639"/>
      <c r="I139" s="1639"/>
      <c r="J139" s="1639"/>
      <c r="K139" s="1641">
        <f t="shared" si="6"/>
        <v>0</v>
      </c>
    </row>
    <row r="140" spans="1:11" ht="12.75" customHeight="1">
      <c r="A140" s="1596"/>
      <c r="B140" s="1637" t="s">
        <v>6598</v>
      </c>
      <c r="C140" s="1640" t="s">
        <v>281</v>
      </c>
      <c r="D140" s="1641">
        <v>124432</v>
      </c>
      <c r="E140" s="1639">
        <f t="shared" si="9"/>
        <v>124432</v>
      </c>
      <c r="F140" s="1639">
        <v>124432</v>
      </c>
      <c r="G140" s="1639"/>
      <c r="H140" s="1639"/>
      <c r="I140" s="1639"/>
      <c r="J140" s="1639"/>
      <c r="K140" s="1641">
        <f t="shared" si="6"/>
        <v>0</v>
      </c>
    </row>
    <row r="141" spans="1:11" ht="12.75" customHeight="1">
      <c r="A141" s="1596"/>
      <c r="B141" s="1637" t="s">
        <v>6549</v>
      </c>
      <c r="C141" s="1640" t="s">
        <v>505</v>
      </c>
      <c r="D141" s="1641">
        <v>58818</v>
      </c>
      <c r="E141" s="1639">
        <f t="shared" si="9"/>
        <v>58818.000000000015</v>
      </c>
      <c r="F141" s="1639"/>
      <c r="G141" s="1639"/>
      <c r="H141" s="1639">
        <v>58818.000000000015</v>
      </c>
      <c r="I141" s="1639"/>
      <c r="J141" s="1639"/>
      <c r="K141" s="1641">
        <f t="shared" si="6"/>
        <v>0</v>
      </c>
    </row>
    <row r="142" spans="1:11" ht="12.75" customHeight="1">
      <c r="A142" s="1596"/>
      <c r="B142" s="1637" t="s">
        <v>6623</v>
      </c>
      <c r="C142" s="1640" t="s">
        <v>4343</v>
      </c>
      <c r="D142" s="1641">
        <v>25760</v>
      </c>
      <c r="E142" s="1639">
        <f t="shared" si="9"/>
        <v>25760</v>
      </c>
      <c r="F142" s="1639">
        <v>25760</v>
      </c>
      <c r="G142" s="1639"/>
      <c r="H142" s="1639"/>
      <c r="I142" s="1639"/>
      <c r="J142" s="1639"/>
      <c r="K142" s="1641">
        <f t="shared" si="6"/>
        <v>0</v>
      </c>
    </row>
    <row r="143" spans="1:11" ht="12.75" customHeight="1">
      <c r="A143" s="1596"/>
      <c r="B143" s="1637" t="s">
        <v>6624</v>
      </c>
      <c r="C143" s="1642" t="s">
        <v>2507</v>
      </c>
      <c r="D143" s="1641">
        <v>50064</v>
      </c>
      <c r="E143" s="1639">
        <f t="shared" si="9"/>
        <v>50064.000000000007</v>
      </c>
      <c r="F143" s="1639"/>
      <c r="G143" s="1639">
        <v>50064.000000000007</v>
      </c>
      <c r="H143" s="1639"/>
      <c r="I143" s="1639"/>
      <c r="J143" s="1639"/>
      <c r="K143" s="1641">
        <f t="shared" si="6"/>
        <v>0</v>
      </c>
    </row>
    <row r="144" spans="1:11" ht="12.75" customHeight="1">
      <c r="A144" s="1596"/>
      <c r="B144" s="1637" t="s">
        <v>6625</v>
      </c>
      <c r="C144" s="1640" t="s">
        <v>32</v>
      </c>
      <c r="D144" s="1641">
        <v>3360</v>
      </c>
      <c r="E144" s="1639">
        <f t="shared" si="9"/>
        <v>3360.0000000000005</v>
      </c>
      <c r="F144" s="1639">
        <v>3360.0000000000005</v>
      </c>
      <c r="G144" s="1639"/>
      <c r="H144" s="1639"/>
      <c r="I144" s="1639"/>
      <c r="J144" s="1639"/>
      <c r="K144" s="1641">
        <f t="shared" si="6"/>
        <v>0</v>
      </c>
    </row>
    <row r="145" spans="1:11" ht="12.75" customHeight="1">
      <c r="A145" s="1596"/>
      <c r="B145" s="1637" t="s">
        <v>6626</v>
      </c>
      <c r="C145" s="1640" t="s">
        <v>1360</v>
      </c>
      <c r="D145" s="1641">
        <v>12320</v>
      </c>
      <c r="E145" s="1639">
        <f t="shared" si="9"/>
        <v>12320.000000000002</v>
      </c>
      <c r="F145" s="1639"/>
      <c r="G145" s="1639">
        <v>12320.000000000002</v>
      </c>
      <c r="H145" s="1639"/>
      <c r="I145" s="1639"/>
      <c r="J145" s="1639"/>
      <c r="K145" s="1641">
        <f t="shared" si="6"/>
        <v>0</v>
      </c>
    </row>
    <row r="146" spans="1:11" ht="12.75" customHeight="1">
      <c r="A146" s="1596"/>
      <c r="B146" s="1637" t="s">
        <v>6627</v>
      </c>
      <c r="C146" s="1640" t="s">
        <v>33</v>
      </c>
      <c r="D146" s="1641">
        <v>73792.320000000007</v>
      </c>
      <c r="E146" s="1639">
        <f t="shared" si="9"/>
        <v>73792.320000000022</v>
      </c>
      <c r="F146" s="1639"/>
      <c r="G146" s="1639">
        <v>73792.320000000022</v>
      </c>
      <c r="H146" s="1639"/>
      <c r="I146" s="1639"/>
      <c r="J146" s="1639"/>
      <c r="K146" s="1641">
        <f t="shared" si="6"/>
        <v>0</v>
      </c>
    </row>
    <row r="147" spans="1:11" ht="12.75" customHeight="1">
      <c r="A147" s="1596"/>
      <c r="B147" s="1637" t="s">
        <v>6628</v>
      </c>
      <c r="C147" s="1640" t="s">
        <v>4321</v>
      </c>
      <c r="D147" s="1641">
        <v>1593.76</v>
      </c>
      <c r="E147" s="1639">
        <f t="shared" si="9"/>
        <v>1593.76</v>
      </c>
      <c r="F147" s="1639">
        <v>1593.76</v>
      </c>
      <c r="G147" s="1639"/>
      <c r="H147" s="1639"/>
      <c r="I147" s="1639"/>
      <c r="J147" s="1639"/>
      <c r="K147" s="1641">
        <f t="shared" si="6"/>
        <v>0</v>
      </c>
    </row>
    <row r="148" spans="1:11" ht="12.75" customHeight="1">
      <c r="A148" s="1596"/>
      <c r="B148" s="1637" t="s">
        <v>5375</v>
      </c>
      <c r="C148" s="1640" t="s">
        <v>1089</v>
      </c>
      <c r="D148" s="1641">
        <v>2779.46</v>
      </c>
      <c r="E148" s="1639">
        <f t="shared" si="9"/>
        <v>2779.4591999999998</v>
      </c>
      <c r="F148" s="1639"/>
      <c r="G148" s="1639"/>
      <c r="H148" s="1653">
        <v>2779.4591999999998</v>
      </c>
      <c r="I148" s="1639"/>
      <c r="J148" s="1639"/>
      <c r="K148" s="1641">
        <f t="shared" si="6"/>
        <v>-8.0000000025393092E-4</v>
      </c>
    </row>
    <row r="149" spans="1:11" ht="12.75" customHeight="1">
      <c r="A149" s="1596"/>
      <c r="B149" s="1637" t="s">
        <v>6629</v>
      </c>
      <c r="C149" s="1640" t="s">
        <v>4428</v>
      </c>
      <c r="D149" s="1641">
        <v>190.4</v>
      </c>
      <c r="E149" s="1639">
        <f t="shared" si="9"/>
        <v>190.39999999999998</v>
      </c>
      <c r="F149" s="1639"/>
      <c r="G149" s="1639"/>
      <c r="H149" s="1653">
        <v>190.39999999999998</v>
      </c>
      <c r="I149" s="1639"/>
      <c r="J149" s="1639"/>
      <c r="K149" s="1641">
        <f t="shared" si="6"/>
        <v>0</v>
      </c>
    </row>
    <row r="150" spans="1:11" ht="12.75" customHeight="1">
      <c r="A150" s="1596"/>
      <c r="B150" s="1637" t="s">
        <v>6630</v>
      </c>
      <c r="C150" s="1640" t="s">
        <v>4443</v>
      </c>
      <c r="D150" s="1641">
        <v>194.88</v>
      </c>
      <c r="E150" s="1639">
        <f t="shared" si="9"/>
        <v>194.88</v>
      </c>
      <c r="F150" s="1639"/>
      <c r="G150" s="1639"/>
      <c r="H150" s="1653">
        <v>194.88</v>
      </c>
      <c r="I150" s="1639"/>
      <c r="J150" s="1639"/>
      <c r="K150" s="1641">
        <f t="shared" si="6"/>
        <v>0</v>
      </c>
    </row>
    <row r="151" spans="1:11" ht="12.75" customHeight="1">
      <c r="A151" s="1596"/>
      <c r="B151" s="1661" t="s">
        <v>6631</v>
      </c>
      <c r="C151" s="1640" t="s">
        <v>4323</v>
      </c>
      <c r="D151" s="1641">
        <v>175840</v>
      </c>
      <c r="E151" s="1639">
        <f t="shared" si="9"/>
        <v>175840</v>
      </c>
      <c r="F151" s="1639"/>
      <c r="G151" s="1639">
        <v>175840</v>
      </c>
      <c r="H151" s="1653"/>
      <c r="I151" s="1639"/>
      <c r="J151" s="1639"/>
      <c r="K151" s="1641">
        <f t="shared" si="6"/>
        <v>0</v>
      </c>
    </row>
    <row r="152" spans="1:11" ht="12.75" customHeight="1">
      <c r="A152" s="1596"/>
      <c r="B152" s="1637" t="s">
        <v>6632</v>
      </c>
      <c r="C152" s="1640" t="s">
        <v>39</v>
      </c>
      <c r="D152" s="1641">
        <v>3500.86</v>
      </c>
      <c r="E152" s="1639">
        <f t="shared" si="9"/>
        <v>3500.11</v>
      </c>
      <c r="F152" s="1639"/>
      <c r="G152" s="1639">
        <v>3500.11</v>
      </c>
      <c r="H152" s="1653"/>
      <c r="I152" s="1639"/>
      <c r="J152" s="1639"/>
      <c r="K152" s="1641">
        <f t="shared" si="6"/>
        <v>-0.75</v>
      </c>
    </row>
    <row r="153" spans="1:11" ht="12.75" customHeight="1">
      <c r="A153" s="1596"/>
      <c r="B153" s="1637" t="s">
        <v>5399</v>
      </c>
      <c r="C153" s="1640" t="s">
        <v>4163</v>
      </c>
      <c r="D153" s="1641">
        <v>1680</v>
      </c>
      <c r="E153" s="1639">
        <f t="shared" si="9"/>
        <v>1680.0000000000002</v>
      </c>
      <c r="F153" s="1639"/>
      <c r="G153" s="1639">
        <v>1680.0000000000002</v>
      </c>
      <c r="H153" s="1639"/>
      <c r="I153" s="1639"/>
      <c r="J153" s="1639"/>
      <c r="K153" s="1641">
        <f t="shared" si="6"/>
        <v>0</v>
      </c>
    </row>
    <row r="154" spans="1:11" ht="12.75" customHeight="1">
      <c r="A154" s="1596"/>
      <c r="B154" s="1637" t="s">
        <v>6633</v>
      </c>
      <c r="C154" s="1640" t="s">
        <v>40</v>
      </c>
      <c r="D154" s="1641">
        <v>3240.36</v>
      </c>
      <c r="E154" s="1639">
        <f t="shared" si="9"/>
        <v>3240.3616000000002</v>
      </c>
      <c r="F154" s="1639"/>
      <c r="G154" s="1639">
        <v>3240.3616000000002</v>
      </c>
      <c r="H154" s="1639"/>
      <c r="I154" s="1639"/>
      <c r="J154" s="1639"/>
      <c r="K154" s="1641">
        <f t="shared" si="6"/>
        <v>1.6000000000531145E-3</v>
      </c>
    </row>
    <row r="155" spans="1:11" ht="12.75" customHeight="1">
      <c r="A155" s="1596"/>
      <c r="B155" s="1637" t="s">
        <v>6634</v>
      </c>
      <c r="C155" s="1640" t="s">
        <v>36</v>
      </c>
      <c r="D155" s="1641">
        <v>28000</v>
      </c>
      <c r="E155" s="1639">
        <f t="shared" si="9"/>
        <v>28000.000000000004</v>
      </c>
      <c r="F155" s="1639"/>
      <c r="G155" s="1639">
        <v>28000.000000000004</v>
      </c>
      <c r="H155" s="1639"/>
      <c r="I155" s="1639"/>
      <c r="J155" s="1639"/>
      <c r="K155" s="1641">
        <f t="shared" si="6"/>
        <v>0</v>
      </c>
    </row>
    <row r="156" spans="1:11" ht="12.75" customHeight="1">
      <c r="A156" s="1596"/>
      <c r="B156" s="1637" t="s">
        <v>6581</v>
      </c>
      <c r="C156" s="1660" t="s">
        <v>38</v>
      </c>
      <c r="D156" s="1641">
        <v>88655.82</v>
      </c>
      <c r="E156" s="1639">
        <f t="shared" si="9"/>
        <v>88655.82</v>
      </c>
      <c r="F156" s="1639">
        <v>88655.82</v>
      </c>
      <c r="G156" s="1639"/>
      <c r="H156" s="1639"/>
      <c r="I156" s="1639"/>
      <c r="J156" s="1639"/>
      <c r="K156" s="1641">
        <f t="shared" si="6"/>
        <v>0</v>
      </c>
    </row>
    <row r="157" spans="1:11" ht="12.75" customHeight="1">
      <c r="A157" s="1596"/>
      <c r="B157" s="1637" t="s">
        <v>6583</v>
      </c>
      <c r="C157" s="1640" t="s">
        <v>39</v>
      </c>
      <c r="D157" s="1641">
        <v>0</v>
      </c>
      <c r="E157" s="1639">
        <f t="shared" si="9"/>
        <v>120673.32480000002</v>
      </c>
      <c r="F157" s="1639"/>
      <c r="G157" s="1639"/>
      <c r="H157" s="1639">
        <v>120673.32480000002</v>
      </c>
      <c r="I157" s="1639"/>
      <c r="J157" s="1639"/>
      <c r="K157" s="1641">
        <f t="shared" si="6"/>
        <v>120673.32480000002</v>
      </c>
    </row>
    <row r="158" spans="1:11" ht="12.75" customHeight="1">
      <c r="A158" s="1596"/>
      <c r="B158" s="1637" t="s">
        <v>6584</v>
      </c>
      <c r="C158" s="1640" t="s">
        <v>40</v>
      </c>
      <c r="D158" s="1641">
        <v>0</v>
      </c>
      <c r="E158" s="1639">
        <f t="shared" si="9"/>
        <v>620005.0416</v>
      </c>
      <c r="F158" s="1639"/>
      <c r="G158" s="1639"/>
      <c r="H158" s="1639">
        <v>620005.0416</v>
      </c>
      <c r="I158" s="1639"/>
      <c r="J158" s="1639"/>
      <c r="K158" s="1641">
        <f t="shared" si="6"/>
        <v>620005.0416</v>
      </c>
    </row>
    <row r="159" spans="1:11" ht="12.75" customHeight="1">
      <c r="A159" s="1596"/>
      <c r="B159" s="1637" t="s">
        <v>6635</v>
      </c>
      <c r="C159" s="1640" t="s">
        <v>40</v>
      </c>
      <c r="D159" s="1641">
        <v>0</v>
      </c>
      <c r="E159" s="1639">
        <f t="shared" si="9"/>
        <v>1205992.1499999997</v>
      </c>
      <c r="F159" s="1639"/>
      <c r="G159" s="1639"/>
      <c r="H159" s="1639"/>
      <c r="I159" s="1639">
        <v>1205992.1499999997</v>
      </c>
      <c r="J159" s="1639"/>
      <c r="K159" s="1641">
        <f t="shared" si="6"/>
        <v>1205992.1499999997</v>
      </c>
    </row>
    <row r="160" spans="1:11">
      <c r="A160" s="1596"/>
      <c r="B160" s="11353" t="s">
        <v>6636</v>
      </c>
      <c r="C160" s="11354"/>
      <c r="D160" s="1643">
        <f>SUM(D134:D159)</f>
        <v>1176264.1200000003</v>
      </c>
      <c r="E160" s="1644">
        <f t="shared" ref="E160:J160" si="10">SUM(E135:E159)</f>
        <v>3122933.8864000002</v>
      </c>
      <c r="F160" s="1644">
        <f t="shared" si="10"/>
        <v>765843.83920000005</v>
      </c>
      <c r="G160" s="1644">
        <f t="shared" si="10"/>
        <v>348436.79160000006</v>
      </c>
      <c r="H160" s="1644">
        <f t="shared" si="10"/>
        <v>802661.10560000001</v>
      </c>
      <c r="I160" s="1644">
        <f t="shared" si="10"/>
        <v>1205992.1499999997</v>
      </c>
      <c r="J160" s="1644">
        <f t="shared" si="10"/>
        <v>0</v>
      </c>
      <c r="K160" s="1662">
        <f>SUM(K134:K159)</f>
        <v>1946669.7663999996</v>
      </c>
    </row>
    <row r="161" spans="1:11" ht="12.75" customHeight="1">
      <c r="A161" s="1596"/>
      <c r="B161" s="1596"/>
      <c r="C161" s="1663"/>
      <c r="D161" s="1663"/>
      <c r="E161" s="1622"/>
      <c r="F161" s="1664"/>
      <c r="G161" s="1664"/>
      <c r="H161" s="1664"/>
      <c r="I161" s="1596"/>
      <c r="J161" s="1596"/>
      <c r="K161" s="1593"/>
    </row>
    <row r="162" spans="1:11" ht="12.75" customHeight="1">
      <c r="A162" s="1596"/>
      <c r="B162" s="1596"/>
      <c r="C162" s="1663"/>
      <c r="D162" s="1663"/>
      <c r="E162" s="1622"/>
      <c r="F162" s="1664"/>
      <c r="G162" s="1664"/>
      <c r="H162" s="1664"/>
      <c r="I162" s="1596"/>
      <c r="J162" s="1596"/>
      <c r="K162" s="1593"/>
    </row>
    <row r="163" spans="1:11" ht="31.5">
      <c r="A163" s="1596"/>
      <c r="B163" s="1600" t="s">
        <v>7</v>
      </c>
      <c r="C163" s="1601" t="s">
        <v>6505</v>
      </c>
      <c r="D163" s="1625" t="s">
        <v>6506</v>
      </c>
      <c r="E163" s="1626" t="s">
        <v>6507</v>
      </c>
      <c r="F163" s="1627" t="s">
        <v>6488</v>
      </c>
      <c r="G163" s="1628" t="s">
        <v>6489</v>
      </c>
      <c r="H163" s="1647" t="s">
        <v>6508</v>
      </c>
      <c r="I163" s="1630" t="s">
        <v>6491</v>
      </c>
      <c r="J163" s="1631" t="s">
        <v>6492</v>
      </c>
      <c r="K163" s="1665" t="s">
        <v>6509</v>
      </c>
    </row>
    <row r="164" spans="1:11" ht="12.75" customHeight="1">
      <c r="A164" s="1596"/>
      <c r="B164" s="1657" t="s">
        <v>6637</v>
      </c>
      <c r="C164" s="1658" t="s">
        <v>6638</v>
      </c>
      <c r="D164" s="1659"/>
      <c r="E164" s="1651"/>
      <c r="F164" s="1651"/>
      <c r="G164" s="1651"/>
      <c r="H164" s="1651"/>
      <c r="I164" s="1635"/>
      <c r="J164" s="1666"/>
      <c r="K164" s="1667"/>
    </row>
    <row r="165" spans="1:11" ht="12.75" customHeight="1">
      <c r="A165" s="1596"/>
      <c r="B165" s="1637" t="s">
        <v>6639</v>
      </c>
      <c r="C165" s="1612" t="s">
        <v>16</v>
      </c>
      <c r="D165" s="1668">
        <v>33600</v>
      </c>
      <c r="E165" s="1639">
        <f t="shared" ref="E165:E192" si="11">SUM(F165:J165)</f>
        <v>33600</v>
      </c>
      <c r="F165" s="1639"/>
      <c r="G165" s="1639">
        <v>33600</v>
      </c>
      <c r="H165" s="1639"/>
      <c r="I165" s="1639"/>
      <c r="J165" s="1653"/>
      <c r="K165" s="1667">
        <f>+E165-D165</f>
        <v>0</v>
      </c>
    </row>
    <row r="166" spans="1:11" ht="12.75" customHeight="1">
      <c r="A166" s="1596"/>
      <c r="B166" s="1637" t="s">
        <v>6640</v>
      </c>
      <c r="C166" s="1612" t="s">
        <v>1323</v>
      </c>
      <c r="D166" s="1668">
        <v>3894.91</v>
      </c>
      <c r="E166" s="1639">
        <f t="shared" si="11"/>
        <v>3894.9120000000003</v>
      </c>
      <c r="F166" s="1639"/>
      <c r="G166" s="1639">
        <v>3894.9120000000003</v>
      </c>
      <c r="H166" s="1639"/>
      <c r="I166" s="1639"/>
      <c r="J166" s="1653"/>
      <c r="K166" s="1667">
        <f t="shared" ref="K166:K192" si="12">+E166-D166</f>
        <v>2.0000000004074536E-3</v>
      </c>
    </row>
    <row r="167" spans="1:11" ht="12.75" customHeight="1">
      <c r="A167" s="1596"/>
      <c r="B167" s="1637" t="s">
        <v>6641</v>
      </c>
      <c r="C167" s="1612" t="s">
        <v>27</v>
      </c>
      <c r="D167" s="1668">
        <v>1344</v>
      </c>
      <c r="E167" s="1639">
        <f t="shared" si="11"/>
        <v>1344.0000000000002</v>
      </c>
      <c r="F167" s="1639"/>
      <c r="G167" s="1639">
        <v>1344.0000000000002</v>
      </c>
      <c r="H167" s="1639"/>
      <c r="I167" s="1639"/>
      <c r="J167" s="1653"/>
      <c r="K167" s="1667">
        <f t="shared" si="12"/>
        <v>0</v>
      </c>
    </row>
    <row r="168" spans="1:11" ht="12.75" customHeight="1">
      <c r="A168" s="1596"/>
      <c r="B168" s="1637" t="s">
        <v>6642</v>
      </c>
      <c r="C168" s="1612" t="s">
        <v>1507</v>
      </c>
      <c r="D168" s="1668">
        <v>8064</v>
      </c>
      <c r="E168" s="1639">
        <f t="shared" si="11"/>
        <v>8064</v>
      </c>
      <c r="F168" s="1639"/>
      <c r="G168" s="1639">
        <v>8064</v>
      </c>
      <c r="H168" s="1639"/>
      <c r="I168" s="1639"/>
      <c r="J168" s="1653"/>
      <c r="K168" s="1667">
        <f t="shared" si="12"/>
        <v>0</v>
      </c>
    </row>
    <row r="169" spans="1:11" ht="12.75" customHeight="1">
      <c r="A169" s="1596"/>
      <c r="B169" s="1637" t="s">
        <v>6643</v>
      </c>
      <c r="C169" s="1612" t="s">
        <v>6644</v>
      </c>
      <c r="D169" s="1668">
        <v>2121.2800000000002</v>
      </c>
      <c r="E169" s="1639">
        <f t="shared" si="11"/>
        <v>2121.2800000000002</v>
      </c>
      <c r="F169" s="1639"/>
      <c r="G169" s="1639">
        <v>2121.2800000000002</v>
      </c>
      <c r="H169" s="1639"/>
      <c r="I169" s="1639"/>
      <c r="J169" s="1653"/>
      <c r="K169" s="1667">
        <f t="shared" si="12"/>
        <v>0</v>
      </c>
    </row>
    <row r="170" spans="1:11" ht="12.75" customHeight="1">
      <c r="A170" s="1596"/>
      <c r="B170" s="1637" t="s">
        <v>6645</v>
      </c>
      <c r="C170" s="1612" t="s">
        <v>281</v>
      </c>
      <c r="D170" s="1668">
        <v>11356.8</v>
      </c>
      <c r="E170" s="1639">
        <f t="shared" si="11"/>
        <v>11356.800000000001</v>
      </c>
      <c r="F170" s="1639"/>
      <c r="G170" s="1639">
        <v>11356.800000000001</v>
      </c>
      <c r="H170" s="1639"/>
      <c r="I170" s="1639"/>
      <c r="J170" s="1653"/>
      <c r="K170" s="1667">
        <f t="shared" si="12"/>
        <v>0</v>
      </c>
    </row>
    <row r="171" spans="1:11" ht="12.75" customHeight="1">
      <c r="A171" s="1596"/>
      <c r="B171" s="1637" t="s">
        <v>6646</v>
      </c>
      <c r="C171" s="1612" t="s">
        <v>4343</v>
      </c>
      <c r="D171" s="1668">
        <v>22400</v>
      </c>
      <c r="E171" s="1639">
        <f t="shared" si="11"/>
        <v>22400.000000000004</v>
      </c>
      <c r="F171" s="1639"/>
      <c r="G171" s="1639">
        <v>22400.000000000004</v>
      </c>
      <c r="H171" s="1639"/>
      <c r="I171" s="1639"/>
      <c r="J171" s="1653"/>
      <c r="K171" s="1667">
        <f t="shared" si="12"/>
        <v>0</v>
      </c>
    </row>
    <row r="172" spans="1:11" ht="12.75" customHeight="1">
      <c r="A172" s="1596"/>
      <c r="B172" s="1637" t="s">
        <v>6624</v>
      </c>
      <c r="C172" s="1669" t="s">
        <v>2507</v>
      </c>
      <c r="D172" s="1668">
        <v>50064</v>
      </c>
      <c r="E172" s="1639">
        <f t="shared" si="11"/>
        <v>50064.000000000007</v>
      </c>
      <c r="F172" s="1639"/>
      <c r="G172" s="1639">
        <v>50064.000000000007</v>
      </c>
      <c r="H172" s="1639"/>
      <c r="I172" s="1639"/>
      <c r="J172" s="1653"/>
      <c r="K172" s="1667">
        <f t="shared" si="12"/>
        <v>0</v>
      </c>
    </row>
    <row r="173" spans="1:11" ht="12.75" customHeight="1">
      <c r="A173" s="1596"/>
      <c r="B173" s="1637" t="s">
        <v>5021</v>
      </c>
      <c r="C173" s="1612" t="s">
        <v>5015</v>
      </c>
      <c r="D173" s="1668">
        <v>20160</v>
      </c>
      <c r="E173" s="1639">
        <f t="shared" si="11"/>
        <v>20160.000000000004</v>
      </c>
      <c r="F173" s="1639"/>
      <c r="G173" s="1639">
        <v>20160.000000000004</v>
      </c>
      <c r="H173" s="1639"/>
      <c r="I173" s="1639"/>
      <c r="J173" s="1653"/>
      <c r="K173" s="1667">
        <f t="shared" si="12"/>
        <v>0</v>
      </c>
    </row>
    <row r="174" spans="1:11" ht="12.75" customHeight="1">
      <c r="A174" s="1596"/>
      <c r="B174" s="1637" t="s">
        <v>6647</v>
      </c>
      <c r="C174" s="1612" t="s">
        <v>1360</v>
      </c>
      <c r="D174" s="1668">
        <v>17920</v>
      </c>
      <c r="E174" s="1639">
        <f t="shared" si="11"/>
        <v>17920</v>
      </c>
      <c r="F174" s="1639"/>
      <c r="G174" s="1639">
        <v>17920</v>
      </c>
      <c r="H174" s="1639"/>
      <c r="I174" s="1639"/>
      <c r="J174" s="1653"/>
      <c r="K174" s="1667">
        <f t="shared" si="12"/>
        <v>0</v>
      </c>
    </row>
    <row r="175" spans="1:11" ht="12.75" customHeight="1">
      <c r="A175" s="1596"/>
      <c r="B175" s="1637" t="s">
        <v>6648</v>
      </c>
      <c r="C175" s="1612" t="s">
        <v>2398</v>
      </c>
      <c r="D175" s="1668">
        <v>16800</v>
      </c>
      <c r="E175" s="1639">
        <f t="shared" si="11"/>
        <v>16800</v>
      </c>
      <c r="F175" s="1639"/>
      <c r="G175" s="1639">
        <v>16800</v>
      </c>
      <c r="H175" s="1639"/>
      <c r="I175" s="1639"/>
      <c r="J175" s="1653"/>
      <c r="K175" s="1667">
        <f t="shared" si="12"/>
        <v>0</v>
      </c>
    </row>
    <row r="176" spans="1:11" ht="12.75" customHeight="1">
      <c r="A176" s="1596"/>
      <c r="B176" s="1637" t="s">
        <v>6649</v>
      </c>
      <c r="C176" s="1612" t="s">
        <v>33</v>
      </c>
      <c r="D176" s="1668">
        <v>1648.86</v>
      </c>
      <c r="E176" s="1639">
        <f t="shared" si="11"/>
        <v>1648.864</v>
      </c>
      <c r="F176" s="1639">
        <v>1648.864</v>
      </c>
      <c r="G176" s="1639"/>
      <c r="H176" s="1639"/>
      <c r="I176" s="1639"/>
      <c r="J176" s="1653"/>
      <c r="K176" s="1667">
        <f t="shared" si="12"/>
        <v>4.0000000001327862E-3</v>
      </c>
    </row>
    <row r="177" spans="1:11" ht="12.75" customHeight="1">
      <c r="A177" s="1596"/>
      <c r="B177" s="1637" t="s">
        <v>6650</v>
      </c>
      <c r="C177" s="1612" t="s">
        <v>148</v>
      </c>
      <c r="D177" s="1668">
        <v>3584</v>
      </c>
      <c r="E177" s="1639">
        <f t="shared" si="11"/>
        <v>3584.0000000000005</v>
      </c>
      <c r="F177" s="1639"/>
      <c r="G177" s="1639">
        <v>3584.0000000000005</v>
      </c>
      <c r="H177" s="1639"/>
      <c r="I177" s="1639"/>
      <c r="J177" s="1653"/>
      <c r="K177" s="1667">
        <f t="shared" si="12"/>
        <v>0</v>
      </c>
    </row>
    <row r="178" spans="1:11" ht="12.75" customHeight="1">
      <c r="A178" s="1596"/>
      <c r="B178" s="1637" t="s">
        <v>6651</v>
      </c>
      <c r="C178" s="1612" t="s">
        <v>6652</v>
      </c>
      <c r="D178" s="1668">
        <v>1120</v>
      </c>
      <c r="E178" s="1639">
        <f t="shared" si="11"/>
        <v>1120</v>
      </c>
      <c r="F178" s="1639"/>
      <c r="G178" s="1639">
        <v>1120</v>
      </c>
      <c r="H178" s="1639"/>
      <c r="I178" s="1639"/>
      <c r="J178" s="1653"/>
      <c r="K178" s="1667">
        <f t="shared" si="12"/>
        <v>0</v>
      </c>
    </row>
    <row r="179" spans="1:11" ht="12.75" customHeight="1">
      <c r="A179" s="1596"/>
      <c r="B179" s="1637" t="s">
        <v>6653</v>
      </c>
      <c r="C179" s="1612" t="s">
        <v>2003</v>
      </c>
      <c r="D179" s="1668">
        <v>396.4</v>
      </c>
      <c r="E179" s="1639">
        <f t="shared" si="11"/>
        <v>396.40160000000003</v>
      </c>
      <c r="F179" s="1639"/>
      <c r="G179" s="1639">
        <v>396.40160000000003</v>
      </c>
      <c r="H179" s="1639"/>
      <c r="I179" s="1639"/>
      <c r="J179" s="1653"/>
      <c r="K179" s="1667">
        <f t="shared" si="12"/>
        <v>1.6000000000531145E-3</v>
      </c>
    </row>
    <row r="180" spans="1:11" ht="12.75" customHeight="1">
      <c r="A180" s="1596"/>
      <c r="B180" s="1637" t="s">
        <v>6654</v>
      </c>
      <c r="C180" s="1612" t="s">
        <v>3817</v>
      </c>
      <c r="D180" s="1668">
        <v>1261.3800000000001</v>
      </c>
      <c r="E180" s="1639">
        <f t="shared" si="11"/>
        <v>1261.3750002448003</v>
      </c>
      <c r="F180" s="1639"/>
      <c r="G180" s="1639">
        <v>1261.3750002448003</v>
      </c>
      <c r="H180" s="1639"/>
      <c r="I180" s="1639"/>
      <c r="J180" s="1653"/>
      <c r="K180" s="1667">
        <f t="shared" si="12"/>
        <v>-4.9997551998330891E-3</v>
      </c>
    </row>
    <row r="181" spans="1:11" ht="12.75" customHeight="1">
      <c r="A181" s="1596"/>
      <c r="B181" s="1637" t="s">
        <v>6655</v>
      </c>
      <c r="C181" s="1612" t="s">
        <v>1006</v>
      </c>
      <c r="D181" s="1668">
        <v>1372.64</v>
      </c>
      <c r="E181" s="1639">
        <f t="shared" si="11"/>
        <v>1372.6400038400002</v>
      </c>
      <c r="F181" s="1639"/>
      <c r="G181" s="1639">
        <v>1372.6400038400002</v>
      </c>
      <c r="H181" s="1639"/>
      <c r="I181" s="1639"/>
      <c r="J181" s="1653"/>
      <c r="K181" s="1667">
        <f t="shared" si="12"/>
        <v>3.8400000903493492E-6</v>
      </c>
    </row>
    <row r="182" spans="1:11" ht="12.75" customHeight="1">
      <c r="A182" s="1596"/>
      <c r="B182" s="1637" t="s">
        <v>6656</v>
      </c>
      <c r="C182" s="1612" t="s">
        <v>4321</v>
      </c>
      <c r="D182" s="1668">
        <v>26096</v>
      </c>
      <c r="E182" s="1639">
        <f t="shared" si="11"/>
        <v>26096.000000000004</v>
      </c>
      <c r="F182" s="1639"/>
      <c r="G182" s="1639">
        <v>26096.000000000004</v>
      </c>
      <c r="H182" s="1639"/>
      <c r="I182" s="1639"/>
      <c r="J182" s="1653"/>
      <c r="K182" s="1667">
        <f t="shared" si="12"/>
        <v>0</v>
      </c>
    </row>
    <row r="183" spans="1:11" ht="12.75" customHeight="1">
      <c r="A183" s="1596"/>
      <c r="B183" s="1637" t="s">
        <v>6657</v>
      </c>
      <c r="C183" s="1612" t="s">
        <v>6658</v>
      </c>
      <c r="D183" s="1668">
        <v>1344</v>
      </c>
      <c r="E183" s="1639">
        <f t="shared" si="11"/>
        <v>1344.0000000000002</v>
      </c>
      <c r="F183" s="1639"/>
      <c r="G183" s="1639">
        <v>1344.0000000000002</v>
      </c>
      <c r="H183" s="1639"/>
      <c r="I183" s="1639"/>
      <c r="J183" s="1653"/>
      <c r="K183" s="1667">
        <f t="shared" si="12"/>
        <v>0</v>
      </c>
    </row>
    <row r="184" spans="1:11" ht="12.75" customHeight="1">
      <c r="A184" s="1596"/>
      <c r="B184" s="1637" t="s">
        <v>6659</v>
      </c>
      <c r="C184" s="1612" t="s">
        <v>671</v>
      </c>
      <c r="D184" s="1668">
        <v>993.18</v>
      </c>
      <c r="E184" s="1639">
        <f t="shared" si="11"/>
        <v>993.18240000000014</v>
      </c>
      <c r="F184" s="1639"/>
      <c r="G184" s="1639">
        <v>993.18240000000014</v>
      </c>
      <c r="H184" s="1639"/>
      <c r="I184" s="1639"/>
      <c r="J184" s="1653"/>
      <c r="K184" s="1667">
        <f t="shared" si="12"/>
        <v>2.4000000001933586E-3</v>
      </c>
    </row>
    <row r="185" spans="1:11" ht="12.75" customHeight="1">
      <c r="A185" s="1596"/>
      <c r="B185" s="1637" t="s">
        <v>6660</v>
      </c>
      <c r="C185" s="1612" t="s">
        <v>39</v>
      </c>
      <c r="D185" s="1668">
        <v>37159.050000000003</v>
      </c>
      <c r="E185" s="1639">
        <f t="shared" si="11"/>
        <v>37159.046400000007</v>
      </c>
      <c r="F185" s="1639"/>
      <c r="G185" s="1639">
        <v>37159.046400000007</v>
      </c>
      <c r="H185" s="1639"/>
      <c r="I185" s="1639"/>
      <c r="J185" s="1653"/>
      <c r="K185" s="1667">
        <f t="shared" si="12"/>
        <v>-3.599999996367842E-3</v>
      </c>
    </row>
    <row r="186" spans="1:11" ht="12.75" customHeight="1">
      <c r="A186" s="1596"/>
      <c r="B186" s="1637" t="s">
        <v>6611</v>
      </c>
      <c r="C186" s="1612" t="s">
        <v>40</v>
      </c>
      <c r="D186" s="1668">
        <v>56.95</v>
      </c>
      <c r="E186" s="1639">
        <f t="shared" si="11"/>
        <v>56.95</v>
      </c>
      <c r="F186" s="1639">
        <v>56.95</v>
      </c>
      <c r="G186" s="1639"/>
      <c r="H186" s="1639"/>
      <c r="I186" s="1639"/>
      <c r="J186" s="1653"/>
      <c r="K186" s="1667">
        <f t="shared" si="12"/>
        <v>0</v>
      </c>
    </row>
    <row r="187" spans="1:11" ht="12.75" customHeight="1">
      <c r="A187" s="1596"/>
      <c r="B187" s="1637" t="s">
        <v>6661</v>
      </c>
      <c r="C187" s="1612" t="s">
        <v>40</v>
      </c>
      <c r="D187" s="1668">
        <v>1037.1400000000001</v>
      </c>
      <c r="E187" s="1639">
        <f t="shared" si="11"/>
        <v>1037.1410000000001</v>
      </c>
      <c r="F187" s="1639"/>
      <c r="G187" s="1639">
        <v>1037.1410000000001</v>
      </c>
      <c r="H187" s="1639"/>
      <c r="I187" s="1639"/>
      <c r="J187" s="1653"/>
      <c r="K187" s="1667">
        <f t="shared" si="12"/>
        <v>9.9999999997635314E-4</v>
      </c>
    </row>
    <row r="188" spans="1:11" ht="12.75" customHeight="1">
      <c r="A188" s="1596"/>
      <c r="B188" s="1637" t="s">
        <v>6662</v>
      </c>
      <c r="C188" s="1612" t="s">
        <v>40</v>
      </c>
      <c r="D188" s="1668">
        <v>171.51</v>
      </c>
      <c r="E188" s="1639">
        <f t="shared" si="11"/>
        <v>171.50899999999999</v>
      </c>
      <c r="F188" s="1639"/>
      <c r="G188" s="1639"/>
      <c r="H188" s="1639">
        <v>171.50899999999999</v>
      </c>
      <c r="I188" s="1639"/>
      <c r="J188" s="1653"/>
      <c r="K188" s="1667">
        <f t="shared" si="12"/>
        <v>-1.0000000000047748E-3</v>
      </c>
    </row>
    <row r="189" spans="1:11" ht="12.75" customHeight="1">
      <c r="A189" s="1596"/>
      <c r="B189" s="1637" t="s">
        <v>6576</v>
      </c>
      <c r="C189" s="1612" t="s">
        <v>680</v>
      </c>
      <c r="D189" s="1668">
        <v>1120</v>
      </c>
      <c r="E189" s="1639">
        <f t="shared" si="11"/>
        <v>1120</v>
      </c>
      <c r="F189" s="1639"/>
      <c r="G189" s="1639"/>
      <c r="H189" s="1639">
        <v>1120</v>
      </c>
      <c r="I189" s="1639"/>
      <c r="J189" s="1653"/>
      <c r="K189" s="1667">
        <f t="shared" si="12"/>
        <v>0</v>
      </c>
    </row>
    <row r="190" spans="1:11" ht="12.75" customHeight="1">
      <c r="A190" s="1596"/>
      <c r="B190" s="1637" t="s">
        <v>6614</v>
      </c>
      <c r="C190" s="1612" t="s">
        <v>591</v>
      </c>
      <c r="D190" s="1668">
        <v>0</v>
      </c>
      <c r="E190" s="1639">
        <f t="shared" si="11"/>
        <v>14739.771200000003</v>
      </c>
      <c r="F190" s="1639"/>
      <c r="G190" s="1639"/>
      <c r="H190" s="1639">
        <v>14739.771200000003</v>
      </c>
      <c r="I190" s="1639"/>
      <c r="J190" s="1653"/>
      <c r="K190" s="1667">
        <f t="shared" si="12"/>
        <v>14739.771200000003</v>
      </c>
    </row>
    <row r="191" spans="1:11" ht="12.75" customHeight="1">
      <c r="A191" s="1596"/>
      <c r="B191" s="1637" t="s">
        <v>5283</v>
      </c>
      <c r="C191" s="1612" t="s">
        <v>39</v>
      </c>
      <c r="D191" s="1668">
        <v>0</v>
      </c>
      <c r="E191" s="1639">
        <f t="shared" si="11"/>
        <v>20678.112000000001</v>
      </c>
      <c r="F191" s="1639"/>
      <c r="G191" s="1639"/>
      <c r="H191" s="1639">
        <v>20678.112000000001</v>
      </c>
      <c r="I191" s="1639"/>
      <c r="J191" s="1653"/>
      <c r="K191" s="1667">
        <f t="shared" si="12"/>
        <v>20678.112000000001</v>
      </c>
    </row>
    <row r="192" spans="1:11" ht="12.75" customHeight="1">
      <c r="A192" s="1596"/>
      <c r="B192" s="1637" t="s">
        <v>6584</v>
      </c>
      <c r="C192" s="1612" t="s">
        <v>40</v>
      </c>
      <c r="D192" s="1670">
        <v>0</v>
      </c>
      <c r="E192" s="1639">
        <f t="shared" si="11"/>
        <v>21446.899212800003</v>
      </c>
      <c r="F192" s="1639"/>
      <c r="G192" s="1639"/>
      <c r="H192" s="1639">
        <v>21446.899212800003</v>
      </c>
      <c r="I192" s="1639"/>
      <c r="J192" s="1653"/>
      <c r="K192" s="1667">
        <f t="shared" si="12"/>
        <v>21446.899212800003</v>
      </c>
    </row>
    <row r="193" spans="1:11">
      <c r="A193" s="1596"/>
      <c r="B193" s="11365" t="s">
        <v>6663</v>
      </c>
      <c r="C193" s="11366"/>
      <c r="D193" s="1671">
        <f>SUM(D164:D192)</f>
        <v>265086.10000000003</v>
      </c>
      <c r="E193" s="1672">
        <f t="shared" ref="E193:J193" si="13">SUM(E165:E192)</f>
        <v>321950.88381688489</v>
      </c>
      <c r="F193" s="1644">
        <f t="shared" si="13"/>
        <v>1705.8140000000001</v>
      </c>
      <c r="G193" s="1644">
        <f t="shared" si="13"/>
        <v>262088.77840408479</v>
      </c>
      <c r="H193" s="1644">
        <f t="shared" si="13"/>
        <v>58156.291412800005</v>
      </c>
      <c r="I193" s="1644">
        <f t="shared" si="13"/>
        <v>0</v>
      </c>
      <c r="J193" s="1673">
        <f t="shared" si="13"/>
        <v>0</v>
      </c>
      <c r="K193" s="1674">
        <f>SUM(K164:K192)</f>
        <v>56864.78381688481</v>
      </c>
    </row>
    <row r="194" spans="1:11">
      <c r="A194" s="1596"/>
      <c r="B194" s="11353" t="s">
        <v>6664</v>
      </c>
      <c r="C194" s="11354"/>
      <c r="D194" s="1675">
        <f>+D90+D130+D160+D193</f>
        <v>36952620.420000002</v>
      </c>
      <c r="E194" s="1644">
        <f t="shared" ref="E194:J194" si="14">SUM(E90,E130,E160,E193)</f>
        <v>33699574.279999994</v>
      </c>
      <c r="F194" s="1644">
        <f t="shared" si="14"/>
        <v>5516680.290214099</v>
      </c>
      <c r="G194" s="1644">
        <f t="shared" si="14"/>
        <v>770168.25000408478</v>
      </c>
      <c r="H194" s="1644">
        <f t="shared" si="14"/>
        <v>26206733.589781813</v>
      </c>
      <c r="I194" s="1644">
        <f t="shared" si="14"/>
        <v>1205992.1499999997</v>
      </c>
      <c r="J194" s="1673">
        <f t="shared" si="14"/>
        <v>0</v>
      </c>
      <c r="K194" s="1674">
        <f>+K90+K130+K160+K193</f>
        <v>-3253046.1400000025</v>
      </c>
    </row>
  </sheetData>
  <mergeCells count="13">
    <mergeCell ref="B194:C194"/>
    <mergeCell ref="A1:K1"/>
    <mergeCell ref="A2:K2"/>
    <mergeCell ref="A3:K3"/>
    <mergeCell ref="B7:J7"/>
    <mergeCell ref="B8:B9"/>
    <mergeCell ref="C8:C9"/>
    <mergeCell ref="E8:E9"/>
    <mergeCell ref="B17:J17"/>
    <mergeCell ref="B90:C90"/>
    <mergeCell ref="B130:C130"/>
    <mergeCell ref="B160:C160"/>
    <mergeCell ref="B193:C193"/>
  </mergeCells>
  <printOptions horizontalCentered="1"/>
  <pageMargins left="0" right="0" top="0.55118110236220474" bottom="0.55118110236220474" header="0" footer="0"/>
  <pageSetup paperSize="9" scale="85" orientation="landscape" r:id="rId1"/>
  <headerFooter>
    <oddFooter>&amp;C&amp;P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50"/>
  <sheetViews>
    <sheetView workbookViewId="0">
      <selection activeCell="B4" sqref="B4"/>
    </sheetView>
  </sheetViews>
  <sheetFormatPr baseColWidth="10" defaultColWidth="12.42578125" defaultRowHeight="12.75"/>
  <cols>
    <col min="1" max="1" width="1.85546875" style="1477" customWidth="1"/>
    <col min="2" max="2" width="21" style="1477" customWidth="1"/>
    <col min="3" max="3" width="31" style="1477" customWidth="1"/>
    <col min="4" max="4" width="14.7109375" style="1477" customWidth="1"/>
    <col min="5" max="5" width="13.7109375" style="1477" customWidth="1"/>
    <col min="6" max="6" width="13.85546875" style="1477" customWidth="1"/>
    <col min="7" max="10" width="14.7109375" style="1477" customWidth="1"/>
    <col min="11" max="11" width="15" style="1476" customWidth="1"/>
    <col min="12" max="12" width="14" style="1477" customWidth="1"/>
    <col min="13" max="16384" width="12.42578125" style="1477"/>
  </cols>
  <sheetData>
    <row r="1" spans="2:11" s="1476" customFormat="1" ht="18.75">
      <c r="B1" s="11368" t="s">
        <v>0</v>
      </c>
      <c r="C1" s="11368"/>
      <c r="D1" s="11368"/>
      <c r="E1" s="11368"/>
      <c r="F1" s="11368"/>
      <c r="G1" s="11368"/>
      <c r="H1" s="11368"/>
      <c r="I1" s="11368"/>
      <c r="J1" s="1475"/>
    </row>
    <row r="2" spans="2:11" s="1476" customFormat="1" ht="18.75">
      <c r="B2" s="11368" t="s">
        <v>6665</v>
      </c>
      <c r="C2" s="11368"/>
      <c r="D2" s="11368"/>
      <c r="E2" s="11368"/>
      <c r="F2" s="11368"/>
      <c r="G2" s="11368"/>
      <c r="H2" s="11368"/>
      <c r="I2" s="11368"/>
      <c r="J2" s="1475"/>
    </row>
    <row r="3" spans="2:11" s="1476" customFormat="1" ht="12.75" customHeight="1">
      <c r="B3" s="1475"/>
      <c r="C3" s="1475"/>
      <c r="D3" s="1475"/>
      <c r="E3" s="1475"/>
      <c r="F3" s="1475"/>
      <c r="G3" s="1475"/>
      <c r="H3" s="1475"/>
      <c r="I3" s="1477"/>
      <c r="J3" s="1477"/>
    </row>
    <row r="4" spans="2:11" s="1476" customFormat="1" ht="15">
      <c r="B4" s="1478" t="s">
        <v>6480</v>
      </c>
      <c r="C4" s="1479" t="s">
        <v>413</v>
      </c>
      <c r="D4" s="1479"/>
      <c r="E4" s="1479"/>
      <c r="F4" s="1479"/>
      <c r="G4" s="1479"/>
      <c r="H4" s="1480"/>
      <c r="I4" s="1480"/>
      <c r="J4" s="1480"/>
    </row>
    <row r="5" spans="2:11" s="1476" customFormat="1">
      <c r="B5" s="1479" t="s">
        <v>6479</v>
      </c>
      <c r="C5" s="1479"/>
      <c r="D5" s="1479"/>
      <c r="E5" s="1479"/>
      <c r="F5" s="1479"/>
      <c r="G5" s="1479"/>
      <c r="H5" s="1480"/>
      <c r="I5" s="1480"/>
      <c r="J5" s="1480"/>
    </row>
    <row r="6" spans="2:11" s="1476" customFormat="1">
      <c r="B6" s="1479"/>
      <c r="C6" s="1479"/>
      <c r="D6" s="1479"/>
      <c r="E6" s="1479"/>
      <c r="F6" s="1479"/>
      <c r="G6" s="1479"/>
      <c r="H6" s="1480"/>
      <c r="I6" s="1480"/>
      <c r="J6" s="1477"/>
    </row>
    <row r="7" spans="2:11" s="1486" customFormat="1" ht="39.75" customHeight="1">
      <c r="B7" s="11369" t="s">
        <v>6666</v>
      </c>
      <c r="C7" s="11369" t="s">
        <v>6</v>
      </c>
      <c r="D7" s="11371" t="s">
        <v>6667</v>
      </c>
      <c r="E7" s="1481" t="s">
        <v>6483</v>
      </c>
      <c r="F7" s="1482" t="s">
        <v>6484</v>
      </c>
      <c r="G7" s="1483" t="s">
        <v>6485</v>
      </c>
      <c r="H7" s="1484" t="s">
        <v>6668</v>
      </c>
      <c r="I7" s="1485" t="s">
        <v>6487</v>
      </c>
    </row>
    <row r="8" spans="2:11" s="1486" customFormat="1" ht="20.100000000000001" customHeight="1">
      <c r="B8" s="11370"/>
      <c r="C8" s="11370"/>
      <c r="D8" s="11372"/>
      <c r="E8" s="1487" t="s">
        <v>6488</v>
      </c>
      <c r="F8" s="1482" t="s">
        <v>6489</v>
      </c>
      <c r="G8" s="1483" t="s">
        <v>6490</v>
      </c>
      <c r="H8" s="1488" t="s">
        <v>6491</v>
      </c>
      <c r="I8" s="1489" t="s">
        <v>6492</v>
      </c>
    </row>
    <row r="9" spans="2:11" s="1476" customFormat="1">
      <c r="B9" s="1490" t="s">
        <v>6669</v>
      </c>
      <c r="C9" s="1491" t="s">
        <v>6670</v>
      </c>
      <c r="D9" s="1492">
        <f t="shared" ref="D9:D11" si="0">+SUM(E9:I9)</f>
        <v>6943147.2800000003</v>
      </c>
      <c r="E9" s="1492">
        <v>6943147.2800000003</v>
      </c>
      <c r="F9" s="1492"/>
      <c r="G9" s="1492"/>
      <c r="H9" s="1492"/>
      <c r="I9" s="1492"/>
    </row>
    <row r="10" spans="2:11" s="1476" customFormat="1">
      <c r="B10" s="1493" t="s">
        <v>6671</v>
      </c>
      <c r="C10" s="1491" t="s">
        <v>6670</v>
      </c>
      <c r="D10" s="1492">
        <f t="shared" si="0"/>
        <v>28382726.440000001</v>
      </c>
      <c r="E10" s="1492"/>
      <c r="F10" s="1492"/>
      <c r="G10" s="1492">
        <v>28382726.440000001</v>
      </c>
      <c r="H10" s="1492"/>
      <c r="I10" s="1492"/>
    </row>
    <row r="11" spans="2:11" s="1476" customFormat="1">
      <c r="B11" s="1494" t="s">
        <v>6672</v>
      </c>
      <c r="C11" s="1491" t="s">
        <v>6670</v>
      </c>
      <c r="D11" s="1492">
        <f t="shared" si="0"/>
        <v>856577.7</v>
      </c>
      <c r="E11" s="1492"/>
      <c r="F11" s="1492"/>
      <c r="G11" s="1492"/>
      <c r="H11" s="1492">
        <v>856577.7</v>
      </c>
      <c r="I11" s="1492"/>
    </row>
    <row r="12" spans="2:11" s="1476" customFormat="1">
      <c r="B12" s="1495" t="s">
        <v>6673</v>
      </c>
      <c r="C12" s="1491" t="s">
        <v>6674</v>
      </c>
      <c r="D12" s="1492">
        <f>+SUM(E12:I12)</f>
        <v>730000</v>
      </c>
      <c r="E12" s="1492"/>
      <c r="F12" s="1492">
        <v>730000</v>
      </c>
      <c r="G12" s="1492"/>
      <c r="H12" s="1492"/>
      <c r="I12" s="1492"/>
    </row>
    <row r="13" spans="2:11" s="1476" customFormat="1">
      <c r="B13" s="1495" t="s">
        <v>6675</v>
      </c>
      <c r="C13" s="1491" t="s">
        <v>6676</v>
      </c>
      <c r="D13" s="1492">
        <f>+SUM(E13:I13)</f>
        <v>40169</v>
      </c>
      <c r="E13" s="1492"/>
      <c r="F13" s="1492">
        <v>40169</v>
      </c>
      <c r="G13" s="1492"/>
      <c r="H13" s="1492"/>
      <c r="I13" s="1492"/>
    </row>
    <row r="14" spans="2:11">
      <c r="B14" s="1496"/>
      <c r="C14" s="1497" t="s">
        <v>6677</v>
      </c>
      <c r="D14" s="1498">
        <f>SUM(D9:D13)</f>
        <v>36952620.420000002</v>
      </c>
      <c r="E14" s="1498">
        <f>SUM(E9:E13)</f>
        <v>6943147.2800000003</v>
      </c>
      <c r="F14" s="1498">
        <f>SUM(F9:F13)</f>
        <v>770169</v>
      </c>
      <c r="G14" s="1498">
        <f>SUM(G9:G13)</f>
        <v>28382726.440000001</v>
      </c>
      <c r="H14" s="1498">
        <f>SUM(H9:H13)</f>
        <v>856577.7</v>
      </c>
      <c r="I14" s="1492">
        <f>SUM(I9:I11)</f>
        <v>0</v>
      </c>
      <c r="K14" s="1477"/>
    </row>
    <row r="15" spans="2:11">
      <c r="B15" s="1499"/>
      <c r="C15" s="1500"/>
      <c r="D15" s="1501"/>
      <c r="E15" s="1501"/>
      <c r="F15" s="1479"/>
      <c r="G15" s="1479"/>
      <c r="H15" s="1502"/>
      <c r="I15" s="1503"/>
    </row>
    <row r="16" spans="2:11" ht="15">
      <c r="B16" s="1504" t="s">
        <v>6504</v>
      </c>
      <c r="C16" s="1505"/>
      <c r="D16" s="1506"/>
      <c r="E16" s="1476"/>
      <c r="F16" s="1507"/>
      <c r="G16" s="1508"/>
    </row>
    <row r="17" spans="2:14" ht="38.25">
      <c r="B17" s="1509" t="s">
        <v>7</v>
      </c>
      <c r="C17" s="1509" t="s">
        <v>6505</v>
      </c>
      <c r="D17" s="1510" t="s">
        <v>6667</v>
      </c>
      <c r="E17" s="1510" t="s">
        <v>6678</v>
      </c>
      <c r="F17" s="1510" t="s">
        <v>6679</v>
      </c>
      <c r="G17" s="1510" t="s">
        <v>6680</v>
      </c>
      <c r="H17" s="1510" t="s">
        <v>6681</v>
      </c>
      <c r="I17" s="1511" t="s">
        <v>6488</v>
      </c>
      <c r="J17" s="1512" t="s">
        <v>6489</v>
      </c>
      <c r="K17" s="1513" t="s">
        <v>6508</v>
      </c>
      <c r="L17" s="1514" t="s">
        <v>6491</v>
      </c>
      <c r="M17" s="1515" t="s">
        <v>6492</v>
      </c>
    </row>
    <row r="18" spans="2:14">
      <c r="B18" s="1516" t="s">
        <v>6510</v>
      </c>
      <c r="C18" s="1517" t="s">
        <v>6511</v>
      </c>
      <c r="D18" s="1518"/>
      <c r="E18" s="1518"/>
      <c r="F18" s="1518"/>
      <c r="G18" s="1518"/>
      <c r="H18" s="1518"/>
      <c r="I18" s="1519"/>
      <c r="J18" s="1519"/>
      <c r="K18" s="1519"/>
      <c r="L18" s="1520"/>
      <c r="M18" s="1520"/>
    </row>
    <row r="19" spans="2:14">
      <c r="B19" s="1493" t="s">
        <v>6512</v>
      </c>
      <c r="C19" s="1521" t="s">
        <v>3008</v>
      </c>
      <c r="D19" s="1518">
        <v>3618628.48</v>
      </c>
      <c r="E19" s="1518"/>
      <c r="F19" s="1518"/>
      <c r="G19" s="1518">
        <f t="shared" ref="G19:G100" si="1">+D19+E19-F19</f>
        <v>3618628.48</v>
      </c>
      <c r="H19" s="1518">
        <f>+SUM(I19:M19)</f>
        <v>3618628.48</v>
      </c>
      <c r="I19" s="1518"/>
      <c r="J19" s="1518"/>
      <c r="K19" s="1522">
        <f>G19</f>
        <v>3618628.48</v>
      </c>
      <c r="L19" s="1518"/>
      <c r="M19" s="1518"/>
      <c r="N19" s="1523"/>
    </row>
    <row r="20" spans="2:14">
      <c r="B20" s="1493" t="s">
        <v>6513</v>
      </c>
      <c r="C20" s="1524" t="s">
        <v>3010</v>
      </c>
      <c r="D20" s="1518">
        <v>1009212.0800000001</v>
      </c>
      <c r="E20" s="1518"/>
      <c r="F20" s="1518"/>
      <c r="G20" s="1518">
        <f t="shared" si="1"/>
        <v>1009212.0800000001</v>
      </c>
      <c r="H20" s="1518">
        <f t="shared" ref="H20:H72" si="2">+SUM(I20:M20)</f>
        <v>1009212.0800000001</v>
      </c>
      <c r="I20" s="1518"/>
      <c r="J20" s="1518"/>
      <c r="K20" s="1522">
        <f t="shared" ref="K20:K36" si="3">G20</f>
        <v>1009212.0800000001</v>
      </c>
      <c r="L20" s="1518"/>
      <c r="M20" s="1518"/>
      <c r="N20" s="1523"/>
    </row>
    <row r="21" spans="2:14">
      <c r="B21" s="1493" t="s">
        <v>6514</v>
      </c>
      <c r="C21" s="1524" t="s">
        <v>6682</v>
      </c>
      <c r="D21" s="1518">
        <v>828059.49</v>
      </c>
      <c r="E21" s="1518"/>
      <c r="F21" s="1518"/>
      <c r="G21" s="1518">
        <f t="shared" si="1"/>
        <v>828059.49</v>
      </c>
      <c r="H21" s="1518">
        <f t="shared" si="2"/>
        <v>828059.49</v>
      </c>
      <c r="I21" s="1518"/>
      <c r="J21" s="1518"/>
      <c r="K21" s="1522">
        <f t="shared" si="3"/>
        <v>828059.49</v>
      </c>
      <c r="L21" s="1518"/>
      <c r="M21" s="1518"/>
      <c r="N21" s="1523"/>
    </row>
    <row r="22" spans="2:14">
      <c r="B22" s="1493" t="s">
        <v>6515</v>
      </c>
      <c r="C22" s="1524" t="s">
        <v>3013</v>
      </c>
      <c r="D22" s="1518">
        <v>514670.12</v>
      </c>
      <c r="E22" s="1518"/>
      <c r="F22" s="1518"/>
      <c r="G22" s="1518">
        <f t="shared" si="1"/>
        <v>514670.12</v>
      </c>
      <c r="H22" s="1518">
        <f t="shared" si="2"/>
        <v>514670.12</v>
      </c>
      <c r="I22" s="1518"/>
      <c r="J22" s="1518"/>
      <c r="K22" s="1522">
        <f t="shared" si="3"/>
        <v>514670.12</v>
      </c>
      <c r="L22" s="1518"/>
      <c r="M22" s="1518"/>
      <c r="N22" s="1523"/>
    </row>
    <row r="23" spans="2:14">
      <c r="B23" s="1493" t="s">
        <v>6517</v>
      </c>
      <c r="C23" s="1524" t="s">
        <v>3014</v>
      </c>
      <c r="D23" s="1518">
        <v>191875.81</v>
      </c>
      <c r="E23" s="1518"/>
      <c r="F23" s="1518"/>
      <c r="G23" s="1518">
        <f t="shared" si="1"/>
        <v>191875.81</v>
      </c>
      <c r="H23" s="1518">
        <f t="shared" si="2"/>
        <v>191875.81</v>
      </c>
      <c r="I23" s="1518"/>
      <c r="J23" s="1518"/>
      <c r="K23" s="1522">
        <f t="shared" si="3"/>
        <v>191875.81</v>
      </c>
      <c r="L23" s="1518"/>
      <c r="M23" s="1518"/>
      <c r="N23" s="1523"/>
    </row>
    <row r="24" spans="2:14">
      <c r="B24" s="1493" t="s">
        <v>6519</v>
      </c>
      <c r="C24" s="1524" t="s">
        <v>3016</v>
      </c>
      <c r="D24" s="1518">
        <v>15000</v>
      </c>
      <c r="E24" s="1518"/>
      <c r="F24" s="1518"/>
      <c r="G24" s="1518">
        <f t="shared" si="1"/>
        <v>15000</v>
      </c>
      <c r="H24" s="1518">
        <f t="shared" si="2"/>
        <v>15000</v>
      </c>
      <c r="I24" s="1518"/>
      <c r="J24" s="1518"/>
      <c r="K24" s="1522">
        <f t="shared" si="3"/>
        <v>15000</v>
      </c>
      <c r="L24" s="1518"/>
      <c r="M24" s="1518"/>
      <c r="N24" s="1523"/>
    </row>
    <row r="25" spans="2:14">
      <c r="B25" s="1493" t="s">
        <v>6520</v>
      </c>
      <c r="C25" s="1524" t="s">
        <v>3018</v>
      </c>
      <c r="D25" s="1518">
        <v>95000</v>
      </c>
      <c r="E25" s="1518"/>
      <c r="F25" s="1518"/>
      <c r="G25" s="1518">
        <f t="shared" si="1"/>
        <v>95000</v>
      </c>
      <c r="H25" s="1518">
        <f t="shared" si="2"/>
        <v>95000</v>
      </c>
      <c r="I25" s="1518"/>
      <c r="J25" s="1518"/>
      <c r="K25" s="1522">
        <f t="shared" si="3"/>
        <v>95000</v>
      </c>
      <c r="L25" s="1518"/>
      <c r="M25" s="1518"/>
      <c r="N25" s="1523"/>
    </row>
    <row r="26" spans="2:14">
      <c r="B26" s="1493" t="s">
        <v>6521</v>
      </c>
      <c r="C26" s="1524" t="s">
        <v>3020</v>
      </c>
      <c r="D26" s="1518">
        <v>5000</v>
      </c>
      <c r="E26" s="1518"/>
      <c r="F26" s="1518"/>
      <c r="G26" s="1518">
        <f t="shared" si="1"/>
        <v>5000</v>
      </c>
      <c r="H26" s="1518">
        <f t="shared" si="2"/>
        <v>5000</v>
      </c>
      <c r="I26" s="1518"/>
      <c r="J26" s="1518"/>
      <c r="K26" s="1522">
        <f t="shared" si="3"/>
        <v>5000</v>
      </c>
      <c r="L26" s="1518"/>
      <c r="M26" s="1518"/>
      <c r="N26" s="1523"/>
    </row>
    <row r="27" spans="2:14">
      <c r="B27" s="1493" t="s">
        <v>6522</v>
      </c>
      <c r="C27" s="1524" t="s">
        <v>6683</v>
      </c>
      <c r="D27" s="1518">
        <v>24000</v>
      </c>
      <c r="E27" s="1518"/>
      <c r="F27" s="1518"/>
      <c r="G27" s="1518">
        <f t="shared" si="1"/>
        <v>24000</v>
      </c>
      <c r="H27" s="1518">
        <f t="shared" si="2"/>
        <v>24000</v>
      </c>
      <c r="I27" s="1518"/>
      <c r="J27" s="1518"/>
      <c r="K27" s="1522">
        <f t="shared" si="3"/>
        <v>24000</v>
      </c>
      <c r="L27" s="1518"/>
      <c r="M27" s="1518"/>
      <c r="N27" s="1523"/>
    </row>
    <row r="28" spans="2:14">
      <c r="B28" s="1493" t="s">
        <v>6523</v>
      </c>
      <c r="C28" s="1524" t="s">
        <v>6684</v>
      </c>
      <c r="D28" s="1518">
        <v>31000</v>
      </c>
      <c r="E28" s="1518"/>
      <c r="F28" s="1518"/>
      <c r="G28" s="1518">
        <f t="shared" si="1"/>
        <v>31000</v>
      </c>
      <c r="H28" s="1518">
        <f t="shared" si="2"/>
        <v>31000</v>
      </c>
      <c r="I28" s="1518"/>
      <c r="J28" s="1518"/>
      <c r="K28" s="1522">
        <f t="shared" si="3"/>
        <v>31000</v>
      </c>
      <c r="L28" s="1518"/>
      <c r="M28" s="1518"/>
      <c r="N28" s="1523"/>
    </row>
    <row r="29" spans="2:14">
      <c r="B29" s="1493" t="s">
        <v>6524</v>
      </c>
      <c r="C29" s="1524" t="s">
        <v>3026</v>
      </c>
      <c r="D29" s="1518">
        <v>675424</v>
      </c>
      <c r="E29" s="1518"/>
      <c r="F29" s="1518"/>
      <c r="G29" s="1518">
        <f t="shared" si="1"/>
        <v>675424</v>
      </c>
      <c r="H29" s="1518">
        <f t="shared" si="2"/>
        <v>675424</v>
      </c>
      <c r="I29" s="1518"/>
      <c r="J29" s="1518"/>
      <c r="K29" s="1522">
        <f t="shared" si="3"/>
        <v>675424</v>
      </c>
      <c r="L29" s="1518"/>
      <c r="M29" s="1518"/>
      <c r="N29" s="1523"/>
    </row>
    <row r="30" spans="2:14">
      <c r="B30" s="1493" t="s">
        <v>6525</v>
      </c>
      <c r="C30" s="1524" t="s">
        <v>6685</v>
      </c>
      <c r="D30" s="1518">
        <v>15000</v>
      </c>
      <c r="E30" s="1518"/>
      <c r="F30" s="1518"/>
      <c r="G30" s="1518">
        <f t="shared" si="1"/>
        <v>15000</v>
      </c>
      <c r="H30" s="1518">
        <f t="shared" si="2"/>
        <v>15000</v>
      </c>
      <c r="I30" s="1518"/>
      <c r="J30" s="1518"/>
      <c r="K30" s="1522">
        <f t="shared" si="3"/>
        <v>15000</v>
      </c>
      <c r="L30" s="1518"/>
      <c r="M30" s="1518"/>
      <c r="N30" s="1523"/>
    </row>
    <row r="31" spans="2:14">
      <c r="B31" s="1493" t="s">
        <v>6526</v>
      </c>
      <c r="C31" s="1524" t="s">
        <v>6686</v>
      </c>
      <c r="D31" s="1518">
        <v>4804</v>
      </c>
      <c r="E31" s="1518"/>
      <c r="F31" s="1518"/>
      <c r="G31" s="1518">
        <f t="shared" si="1"/>
        <v>4804</v>
      </c>
      <c r="H31" s="1518">
        <f t="shared" si="2"/>
        <v>4804</v>
      </c>
      <c r="I31" s="1518"/>
      <c r="J31" s="1518"/>
      <c r="K31" s="1522">
        <f t="shared" si="3"/>
        <v>4804</v>
      </c>
      <c r="L31" s="1518"/>
      <c r="M31" s="1518"/>
      <c r="N31" s="1523"/>
    </row>
    <row r="32" spans="2:14">
      <c r="B32" s="1493" t="s">
        <v>6527</v>
      </c>
      <c r="C32" s="1524" t="s">
        <v>3032</v>
      </c>
      <c r="D32" s="1518">
        <v>616823.06999999995</v>
      </c>
      <c r="E32" s="1518"/>
      <c r="F32" s="1518"/>
      <c r="G32" s="1518">
        <f t="shared" si="1"/>
        <v>616823.06999999995</v>
      </c>
      <c r="H32" s="1518">
        <f t="shared" si="2"/>
        <v>616823.06999999995</v>
      </c>
      <c r="I32" s="1518"/>
      <c r="J32" s="1518"/>
      <c r="K32" s="1522">
        <f t="shared" si="3"/>
        <v>616823.06999999995</v>
      </c>
      <c r="L32" s="1518"/>
      <c r="M32" s="1518"/>
      <c r="N32" s="1523"/>
    </row>
    <row r="33" spans="2:14">
      <c r="B33" s="1493" t="s">
        <v>6528</v>
      </c>
      <c r="C33" s="1524" t="s">
        <v>3039</v>
      </c>
      <c r="D33" s="1518">
        <v>514432.75</v>
      </c>
      <c r="E33" s="1518"/>
      <c r="F33" s="1518"/>
      <c r="G33" s="1518">
        <f t="shared" si="1"/>
        <v>514432.75</v>
      </c>
      <c r="H33" s="1518">
        <f t="shared" si="2"/>
        <v>514432.75</v>
      </c>
      <c r="I33" s="1518"/>
      <c r="J33" s="1518"/>
      <c r="K33" s="1522">
        <f t="shared" si="3"/>
        <v>514432.75</v>
      </c>
      <c r="L33" s="1518"/>
      <c r="M33" s="1518"/>
      <c r="N33" s="1523"/>
    </row>
    <row r="34" spans="2:14">
      <c r="B34" s="1493" t="s">
        <v>6687</v>
      </c>
      <c r="C34" s="1524" t="s">
        <v>3034</v>
      </c>
      <c r="D34" s="1518">
        <v>0</v>
      </c>
      <c r="E34" s="1518"/>
      <c r="F34" s="1518"/>
      <c r="G34" s="1518">
        <f t="shared" si="1"/>
        <v>0</v>
      </c>
      <c r="H34" s="1518">
        <f t="shared" si="2"/>
        <v>0</v>
      </c>
      <c r="I34" s="1518"/>
      <c r="J34" s="1518"/>
      <c r="K34" s="1522">
        <f t="shared" si="3"/>
        <v>0</v>
      </c>
      <c r="L34" s="1518"/>
      <c r="M34" s="1518"/>
      <c r="N34" s="1523"/>
    </row>
    <row r="35" spans="2:14">
      <c r="B35" s="1493" t="s">
        <v>6529</v>
      </c>
      <c r="C35" s="1524" t="s">
        <v>6688</v>
      </c>
      <c r="D35" s="1518">
        <v>2000</v>
      </c>
      <c r="E35" s="1518"/>
      <c r="F35" s="1518"/>
      <c r="G35" s="1518">
        <f t="shared" si="1"/>
        <v>2000</v>
      </c>
      <c r="H35" s="1518">
        <f t="shared" si="2"/>
        <v>2000</v>
      </c>
      <c r="I35" s="1518"/>
      <c r="J35" s="1518"/>
      <c r="K35" s="1522">
        <f t="shared" si="3"/>
        <v>2000</v>
      </c>
      <c r="L35" s="1518"/>
      <c r="M35" s="1518"/>
      <c r="N35" s="1523"/>
    </row>
    <row r="36" spans="2:14">
      <c r="B36" s="1493" t="s">
        <v>6689</v>
      </c>
      <c r="C36" s="1524" t="s">
        <v>3038</v>
      </c>
      <c r="D36" s="1518">
        <v>0</v>
      </c>
      <c r="E36" s="1518"/>
      <c r="F36" s="1518"/>
      <c r="G36" s="1518">
        <f t="shared" si="1"/>
        <v>0</v>
      </c>
      <c r="H36" s="1518">
        <f t="shared" si="2"/>
        <v>0</v>
      </c>
      <c r="I36" s="1518"/>
      <c r="J36" s="1518"/>
      <c r="K36" s="1522">
        <f t="shared" si="3"/>
        <v>0</v>
      </c>
      <c r="L36" s="1518"/>
      <c r="M36" s="1518"/>
      <c r="N36" s="1523"/>
    </row>
    <row r="37" spans="2:14">
      <c r="B37" s="1493" t="s">
        <v>6530</v>
      </c>
      <c r="C37" s="1524" t="s">
        <v>6531</v>
      </c>
      <c r="D37" s="1518">
        <v>0</v>
      </c>
      <c r="E37" s="1518"/>
      <c r="F37" s="1518"/>
      <c r="G37" s="1518">
        <f t="shared" si="1"/>
        <v>0</v>
      </c>
      <c r="H37" s="1518">
        <f t="shared" si="2"/>
        <v>0</v>
      </c>
      <c r="I37" s="1518"/>
      <c r="J37" s="1518"/>
      <c r="K37" s="1522">
        <f>+G37</f>
        <v>0</v>
      </c>
      <c r="L37" s="1518"/>
      <c r="M37" s="1518"/>
      <c r="N37" s="1523"/>
    </row>
    <row r="38" spans="2:14">
      <c r="B38" s="1493" t="s">
        <v>6532</v>
      </c>
      <c r="C38" s="1524" t="s">
        <v>3775</v>
      </c>
      <c r="D38" s="1518">
        <v>61600</v>
      </c>
      <c r="E38" s="1518"/>
      <c r="F38" s="1518"/>
      <c r="G38" s="1518">
        <f t="shared" si="1"/>
        <v>61600</v>
      </c>
      <c r="H38" s="1518">
        <f t="shared" si="2"/>
        <v>61600</v>
      </c>
      <c r="I38" s="1518"/>
      <c r="J38" s="1518"/>
      <c r="K38" s="1522">
        <f>+G38</f>
        <v>61600</v>
      </c>
      <c r="L38" s="1518"/>
      <c r="M38" s="1518"/>
      <c r="N38" s="1523"/>
    </row>
    <row r="39" spans="2:14">
      <c r="B39" s="1493" t="s">
        <v>6533</v>
      </c>
      <c r="C39" s="1524" t="s">
        <v>3778</v>
      </c>
      <c r="D39" s="1518">
        <v>200000</v>
      </c>
      <c r="E39" s="1518"/>
      <c r="F39" s="1518"/>
      <c r="G39" s="1518">
        <f t="shared" si="1"/>
        <v>200000</v>
      </c>
      <c r="H39" s="1518">
        <f t="shared" si="2"/>
        <v>200000</v>
      </c>
      <c r="I39" s="1518"/>
      <c r="J39" s="1518"/>
      <c r="K39" s="1522">
        <f>+G39</f>
        <v>200000</v>
      </c>
      <c r="L39" s="1525"/>
      <c r="M39" s="1525"/>
      <c r="N39" s="1523"/>
    </row>
    <row r="40" spans="2:14">
      <c r="B40" s="1526" t="s">
        <v>6618</v>
      </c>
      <c r="C40" s="1524" t="s">
        <v>881</v>
      </c>
      <c r="D40" s="1518">
        <v>0</v>
      </c>
      <c r="E40" s="1518">
        <v>28000</v>
      </c>
      <c r="F40" s="1518"/>
      <c r="G40" s="1518">
        <f t="shared" si="1"/>
        <v>28000</v>
      </c>
      <c r="H40" s="1518">
        <f t="shared" si="2"/>
        <v>28000</v>
      </c>
      <c r="I40" s="1518">
        <f t="shared" ref="I40:I44" si="4">G40</f>
        <v>28000</v>
      </c>
      <c r="J40" s="1518"/>
      <c r="K40" s="1522"/>
      <c r="L40" s="1518"/>
      <c r="M40" s="1518"/>
      <c r="N40" s="1523"/>
    </row>
    <row r="41" spans="2:14">
      <c r="B41" s="1493" t="s">
        <v>6690</v>
      </c>
      <c r="C41" s="1524" t="s">
        <v>881</v>
      </c>
      <c r="D41" s="1518">
        <v>58000</v>
      </c>
      <c r="E41" s="1518"/>
      <c r="F41" s="1518">
        <f>28000+14000</f>
        <v>42000</v>
      </c>
      <c r="G41" s="1518">
        <f t="shared" si="1"/>
        <v>16000</v>
      </c>
      <c r="H41" s="1518">
        <f t="shared" si="2"/>
        <v>16000</v>
      </c>
      <c r="I41" s="1518"/>
      <c r="J41" s="1518"/>
      <c r="K41" s="1522">
        <f>+G41</f>
        <v>16000</v>
      </c>
      <c r="L41" s="1518"/>
      <c r="M41" s="1518"/>
      <c r="N41" s="1523"/>
    </row>
    <row r="42" spans="2:14">
      <c r="B42" s="1493" t="s">
        <v>6535</v>
      </c>
      <c r="C42" s="1524" t="s">
        <v>606</v>
      </c>
      <c r="D42" s="1518">
        <v>3360</v>
      </c>
      <c r="E42" s="1518"/>
      <c r="F42" s="1518">
        <v>1000</v>
      </c>
      <c r="G42" s="1518">
        <f t="shared" si="1"/>
        <v>2360</v>
      </c>
      <c r="H42" s="1518">
        <f t="shared" si="2"/>
        <v>2360</v>
      </c>
      <c r="I42" s="1518"/>
      <c r="J42" s="1518"/>
      <c r="K42" s="1522">
        <f>+G42</f>
        <v>2360</v>
      </c>
      <c r="L42" s="1518"/>
      <c r="M42" s="1518"/>
      <c r="N42" s="1523"/>
    </row>
    <row r="43" spans="2:14">
      <c r="B43" s="1493" t="s">
        <v>6536</v>
      </c>
      <c r="C43" s="1524" t="s">
        <v>6691</v>
      </c>
      <c r="D43" s="1518">
        <v>2564.8000000000002</v>
      </c>
      <c r="E43" s="1518"/>
      <c r="F43" s="1518"/>
      <c r="G43" s="1518">
        <f t="shared" si="1"/>
        <v>2564.8000000000002</v>
      </c>
      <c r="H43" s="1518">
        <f t="shared" si="2"/>
        <v>2564.8000000000002</v>
      </c>
      <c r="I43" s="1518"/>
      <c r="J43" s="1518"/>
      <c r="K43" s="1522">
        <f>+G43</f>
        <v>2564.8000000000002</v>
      </c>
      <c r="L43" s="1518"/>
      <c r="M43" s="1518"/>
      <c r="N43" s="1523"/>
    </row>
    <row r="44" spans="2:14">
      <c r="B44" s="1526" t="s">
        <v>5012</v>
      </c>
      <c r="C44" s="1524" t="s">
        <v>6692</v>
      </c>
      <c r="D44" s="1518">
        <v>0</v>
      </c>
      <c r="E44" s="1518">
        <v>1292.4000000000001</v>
      </c>
      <c r="F44" s="1518"/>
      <c r="G44" s="1518">
        <f t="shared" si="1"/>
        <v>1292.4000000000001</v>
      </c>
      <c r="H44" s="1518">
        <f t="shared" si="2"/>
        <v>1292.4000000000001</v>
      </c>
      <c r="I44" s="1518">
        <f t="shared" si="4"/>
        <v>1292.4000000000001</v>
      </c>
      <c r="J44" s="1518"/>
      <c r="K44" s="1522"/>
      <c r="L44" s="1518"/>
      <c r="M44" s="1518"/>
      <c r="N44" s="1523"/>
    </row>
    <row r="45" spans="2:14">
      <c r="B45" s="1493" t="s">
        <v>5075</v>
      </c>
      <c r="C45" s="1524" t="s">
        <v>6692</v>
      </c>
      <c r="D45" s="1518">
        <v>13529.36</v>
      </c>
      <c r="E45" s="1518"/>
      <c r="F45" s="1518"/>
      <c r="G45" s="1518">
        <f t="shared" si="1"/>
        <v>13529.36</v>
      </c>
      <c r="H45" s="1518">
        <f t="shared" si="2"/>
        <v>13529.36</v>
      </c>
      <c r="I45" s="1518"/>
      <c r="J45" s="1518"/>
      <c r="K45" s="1522">
        <f>G45</f>
        <v>13529.36</v>
      </c>
      <c r="L45" s="1518"/>
      <c r="M45" s="1518"/>
      <c r="N45" s="1523"/>
    </row>
    <row r="46" spans="2:14">
      <c r="B46" s="1493" t="s">
        <v>6693</v>
      </c>
      <c r="C46" s="1524" t="s">
        <v>471</v>
      </c>
      <c r="D46" s="1518">
        <v>46220</v>
      </c>
      <c r="E46" s="1518"/>
      <c r="F46" s="1518"/>
      <c r="G46" s="1518">
        <f t="shared" si="1"/>
        <v>46220</v>
      </c>
      <c r="H46" s="1518">
        <f t="shared" si="2"/>
        <v>46220</v>
      </c>
      <c r="I46" s="1518"/>
      <c r="J46" s="1518"/>
      <c r="K46" s="1522">
        <f>+G46</f>
        <v>46220</v>
      </c>
      <c r="L46" s="1518"/>
      <c r="M46" s="1518"/>
      <c r="N46" s="1523"/>
    </row>
    <row r="47" spans="2:14">
      <c r="B47" s="1493" t="s">
        <v>6540</v>
      </c>
      <c r="C47" s="1524" t="s">
        <v>2621</v>
      </c>
      <c r="D47" s="1518">
        <v>142671.24</v>
      </c>
      <c r="E47" s="1518">
        <v>194032.61</v>
      </c>
      <c r="F47" s="1518"/>
      <c r="G47" s="1518">
        <f t="shared" si="1"/>
        <v>336703.85</v>
      </c>
      <c r="H47" s="1518">
        <f t="shared" si="2"/>
        <v>336703.85</v>
      </c>
      <c r="I47" s="1518"/>
      <c r="J47" s="1518"/>
      <c r="K47" s="1522">
        <f>+G47</f>
        <v>336703.85</v>
      </c>
      <c r="L47" s="1518"/>
      <c r="M47" s="1518"/>
      <c r="N47" s="1523"/>
    </row>
    <row r="48" spans="2:14">
      <c r="B48" s="1493" t="s">
        <v>6694</v>
      </c>
      <c r="C48" s="1524" t="s">
        <v>841</v>
      </c>
      <c r="D48" s="1518">
        <v>0</v>
      </c>
      <c r="E48" s="1518">
        <v>29226.240000000002</v>
      </c>
      <c r="F48" s="1518"/>
      <c r="G48" s="1518">
        <f t="shared" si="1"/>
        <v>29226.240000000002</v>
      </c>
      <c r="H48" s="1518">
        <f t="shared" si="2"/>
        <v>29226.240000000002</v>
      </c>
      <c r="I48" s="1518"/>
      <c r="J48" s="1518"/>
      <c r="K48" s="1522">
        <f>+G48</f>
        <v>29226.240000000002</v>
      </c>
      <c r="L48" s="1518"/>
      <c r="M48" s="1518"/>
      <c r="N48" s="1523"/>
    </row>
    <row r="49" spans="2:14">
      <c r="B49" s="1493" t="s">
        <v>6541</v>
      </c>
      <c r="C49" s="1524" t="s">
        <v>5150</v>
      </c>
      <c r="D49" s="1518">
        <v>10080</v>
      </c>
      <c r="E49" s="1518"/>
      <c r="F49" s="1518">
        <v>10080</v>
      </c>
      <c r="G49" s="1518">
        <f t="shared" si="1"/>
        <v>0</v>
      </c>
      <c r="H49" s="1518">
        <f t="shared" si="2"/>
        <v>0</v>
      </c>
      <c r="I49" s="1518"/>
      <c r="J49" s="1518"/>
      <c r="K49" s="1522">
        <f t="shared" ref="K49:K56" si="5">+G49</f>
        <v>0</v>
      </c>
      <c r="L49" s="1518"/>
      <c r="M49" s="1518"/>
      <c r="N49" s="1523"/>
    </row>
    <row r="50" spans="2:14">
      <c r="B50" s="1493" t="s">
        <v>6542</v>
      </c>
      <c r="C50" s="1524" t="s">
        <v>6695</v>
      </c>
      <c r="D50" s="1518">
        <v>59844.68</v>
      </c>
      <c r="E50" s="1518"/>
      <c r="F50" s="1518"/>
      <c r="G50" s="1518">
        <f t="shared" si="1"/>
        <v>59844.68</v>
      </c>
      <c r="H50" s="1518">
        <f t="shared" si="2"/>
        <v>59844.68</v>
      </c>
      <c r="I50" s="1518"/>
      <c r="J50" s="1518"/>
      <c r="K50" s="1522">
        <f t="shared" si="5"/>
        <v>59844.68</v>
      </c>
      <c r="L50" s="1518"/>
      <c r="M50" s="1518"/>
      <c r="N50" s="1523"/>
    </row>
    <row r="51" spans="2:14">
      <c r="B51" s="1493" t="s">
        <v>6696</v>
      </c>
      <c r="C51" s="1524" t="s">
        <v>6697</v>
      </c>
      <c r="D51" s="1518">
        <v>0</v>
      </c>
      <c r="E51" s="1518">
        <v>37040</v>
      </c>
      <c r="F51" s="1518"/>
      <c r="G51" s="1518">
        <f t="shared" si="1"/>
        <v>37040</v>
      </c>
      <c r="H51" s="1518">
        <f t="shared" si="2"/>
        <v>37040</v>
      </c>
      <c r="I51" s="1518"/>
      <c r="J51" s="1518"/>
      <c r="K51" s="1522">
        <f t="shared" si="5"/>
        <v>37040</v>
      </c>
      <c r="L51" s="1518"/>
      <c r="M51" s="1518"/>
      <c r="N51" s="1523"/>
    </row>
    <row r="52" spans="2:14">
      <c r="B52" s="1493" t="s">
        <v>6543</v>
      </c>
      <c r="C52" s="1524" t="s">
        <v>27</v>
      </c>
      <c r="D52" s="1518">
        <v>6000</v>
      </c>
      <c r="E52" s="1518"/>
      <c r="F52" s="1518"/>
      <c r="G52" s="1518">
        <f t="shared" si="1"/>
        <v>6000</v>
      </c>
      <c r="H52" s="1518">
        <f t="shared" si="2"/>
        <v>6000</v>
      </c>
      <c r="I52" s="1518"/>
      <c r="J52" s="1518"/>
      <c r="K52" s="1522">
        <f t="shared" si="5"/>
        <v>6000</v>
      </c>
      <c r="L52" s="1518"/>
      <c r="M52" s="1518"/>
      <c r="N52" s="1523"/>
    </row>
    <row r="53" spans="2:14">
      <c r="B53" s="1493" t="s">
        <v>6544</v>
      </c>
      <c r="C53" s="1524" t="s">
        <v>1507</v>
      </c>
      <c r="D53" s="1518">
        <v>4000</v>
      </c>
      <c r="E53" s="1518"/>
      <c r="F53" s="1518"/>
      <c r="G53" s="1518">
        <f t="shared" si="1"/>
        <v>4000</v>
      </c>
      <c r="H53" s="1518">
        <f t="shared" si="2"/>
        <v>4000</v>
      </c>
      <c r="I53" s="1518"/>
      <c r="J53" s="1518"/>
      <c r="K53" s="1522">
        <f t="shared" si="5"/>
        <v>4000</v>
      </c>
      <c r="L53" s="1518"/>
      <c r="M53" s="1518"/>
      <c r="N53" s="1523"/>
    </row>
    <row r="54" spans="2:14">
      <c r="B54" s="1493" t="s">
        <v>6545</v>
      </c>
      <c r="C54" s="1524" t="s">
        <v>29</v>
      </c>
      <c r="D54" s="1518">
        <v>10000</v>
      </c>
      <c r="E54" s="1518"/>
      <c r="F54" s="1518"/>
      <c r="G54" s="1518">
        <f t="shared" si="1"/>
        <v>10000</v>
      </c>
      <c r="H54" s="1518">
        <f t="shared" si="2"/>
        <v>10000</v>
      </c>
      <c r="I54" s="1518"/>
      <c r="J54" s="1518"/>
      <c r="K54" s="1522">
        <f t="shared" si="5"/>
        <v>10000</v>
      </c>
      <c r="L54" s="1518"/>
      <c r="M54" s="1518"/>
      <c r="N54" s="1523"/>
    </row>
    <row r="55" spans="2:14">
      <c r="B55" s="1493" t="s">
        <v>6546</v>
      </c>
      <c r="C55" s="1524" t="s">
        <v>30</v>
      </c>
      <c r="D55" s="1518">
        <v>8400</v>
      </c>
      <c r="E55" s="1518"/>
      <c r="F55" s="1518"/>
      <c r="G55" s="1518">
        <f t="shared" si="1"/>
        <v>8400</v>
      </c>
      <c r="H55" s="1518">
        <f t="shared" si="2"/>
        <v>8400</v>
      </c>
      <c r="I55" s="1518"/>
      <c r="J55" s="1518"/>
      <c r="K55" s="1522">
        <f t="shared" si="5"/>
        <v>8400</v>
      </c>
      <c r="L55" s="1518"/>
      <c r="M55" s="1518"/>
      <c r="N55" s="1523"/>
    </row>
    <row r="56" spans="2:14">
      <c r="B56" s="1493" t="s">
        <v>6547</v>
      </c>
      <c r="C56" s="1524" t="s">
        <v>6698</v>
      </c>
      <c r="D56" s="1518">
        <v>7120.02</v>
      </c>
      <c r="E56" s="1518"/>
      <c r="F56" s="1518"/>
      <c r="G56" s="1518">
        <f t="shared" si="1"/>
        <v>7120.02</v>
      </c>
      <c r="H56" s="1518">
        <f t="shared" si="2"/>
        <v>7120.02</v>
      </c>
      <c r="I56" s="1518"/>
      <c r="J56" s="1518"/>
      <c r="K56" s="1522">
        <f t="shared" si="5"/>
        <v>7120.02</v>
      </c>
      <c r="L56" s="1518"/>
      <c r="M56" s="1518"/>
      <c r="N56" s="1523"/>
    </row>
    <row r="57" spans="2:14">
      <c r="B57" s="1526" t="s">
        <v>6699</v>
      </c>
      <c r="C57" s="1524" t="s">
        <v>281</v>
      </c>
      <c r="D57" s="1518">
        <v>0</v>
      </c>
      <c r="E57" s="1518"/>
      <c r="F57" s="1518"/>
      <c r="G57" s="1518">
        <f t="shared" si="1"/>
        <v>0</v>
      </c>
      <c r="H57" s="1518">
        <f t="shared" si="2"/>
        <v>0</v>
      </c>
      <c r="I57" s="1518">
        <f>+G57</f>
        <v>0</v>
      </c>
      <c r="J57" s="1518"/>
      <c r="K57" s="1522"/>
      <c r="L57" s="1518"/>
      <c r="M57" s="1518"/>
      <c r="N57" s="1523"/>
    </row>
    <row r="58" spans="2:14">
      <c r="B58" s="1527" t="s">
        <v>6700</v>
      </c>
      <c r="C58" s="1524" t="s">
        <v>281</v>
      </c>
      <c r="D58" s="1518">
        <v>0</v>
      </c>
      <c r="E58" s="1518">
        <v>78060</v>
      </c>
      <c r="F58" s="1518"/>
      <c r="G58" s="1518">
        <f t="shared" si="1"/>
        <v>78060</v>
      </c>
      <c r="H58" s="1518">
        <f t="shared" si="2"/>
        <v>78060</v>
      </c>
      <c r="I58" s="1518"/>
      <c r="J58" s="1518">
        <f>+G58</f>
        <v>78060</v>
      </c>
      <c r="K58" s="1522"/>
      <c r="L58" s="1518"/>
      <c r="M58" s="1518"/>
      <c r="N58" s="1523"/>
    </row>
    <row r="59" spans="2:14">
      <c r="B59" s="1493" t="s">
        <v>6701</v>
      </c>
      <c r="C59" s="1524" t="s">
        <v>281</v>
      </c>
      <c r="D59" s="1518">
        <v>105535.67</v>
      </c>
      <c r="E59" s="1518">
        <f>7500+1550+5000+56000+219200.27</f>
        <v>289250.27</v>
      </c>
      <c r="F59" s="1518">
        <f>18037.8+110026.38+78060</f>
        <v>206124.18</v>
      </c>
      <c r="G59" s="1518">
        <f t="shared" si="1"/>
        <v>188661.76000000001</v>
      </c>
      <c r="H59" s="1518">
        <f t="shared" si="2"/>
        <v>188661.76000000001</v>
      </c>
      <c r="I59" s="1518"/>
      <c r="J59" s="1518"/>
      <c r="K59" s="1522">
        <f>+G59</f>
        <v>188661.76000000001</v>
      </c>
      <c r="L59" s="1518"/>
      <c r="M59" s="1518"/>
      <c r="N59" s="1523"/>
    </row>
    <row r="60" spans="2:14">
      <c r="B60" s="1493" t="s">
        <v>6702</v>
      </c>
      <c r="C60" s="1524" t="s">
        <v>6703</v>
      </c>
      <c r="D60" s="1518">
        <v>0</v>
      </c>
      <c r="E60" s="1518">
        <v>15000</v>
      </c>
      <c r="F60" s="1518"/>
      <c r="G60" s="1518">
        <f t="shared" si="1"/>
        <v>15000</v>
      </c>
      <c r="H60" s="1518">
        <f t="shared" si="2"/>
        <v>15000</v>
      </c>
      <c r="I60" s="1518"/>
      <c r="J60" s="1518"/>
      <c r="K60" s="1522">
        <f>+G60</f>
        <v>15000</v>
      </c>
      <c r="L60" s="1518"/>
      <c r="M60" s="1518"/>
      <c r="N60" s="1523"/>
    </row>
    <row r="61" spans="2:14">
      <c r="B61" s="1526" t="s">
        <v>6704</v>
      </c>
      <c r="C61" s="1524" t="s">
        <v>6705</v>
      </c>
      <c r="D61" s="1518">
        <v>0</v>
      </c>
      <c r="F61" s="1518"/>
      <c r="G61" s="1518">
        <f t="shared" si="1"/>
        <v>0</v>
      </c>
      <c r="H61" s="1518">
        <f t="shared" si="2"/>
        <v>0</v>
      </c>
      <c r="I61" s="1518"/>
      <c r="J61" s="1518"/>
      <c r="K61" s="1522"/>
      <c r="L61" s="1518"/>
      <c r="M61" s="1518"/>
      <c r="N61" s="1523"/>
    </row>
    <row r="62" spans="2:14">
      <c r="B62" s="1493" t="s">
        <v>6706</v>
      </c>
      <c r="C62" s="1524" t="s">
        <v>6705</v>
      </c>
      <c r="D62" s="1518">
        <v>118708.54</v>
      </c>
      <c r="E62" s="1518">
        <v>7000</v>
      </c>
      <c r="F62" s="1518">
        <v>92610.11</v>
      </c>
      <c r="G62" s="1518">
        <f t="shared" si="1"/>
        <v>33098.429999999993</v>
      </c>
      <c r="H62" s="1518">
        <f t="shared" si="2"/>
        <v>33098.429999999993</v>
      </c>
      <c r="I62" s="1518"/>
      <c r="J62" s="1518"/>
      <c r="K62" s="1522">
        <f>+G62</f>
        <v>33098.429999999993</v>
      </c>
      <c r="L62" s="1518"/>
      <c r="M62" s="1518"/>
      <c r="N62" s="1523"/>
    </row>
    <row r="63" spans="2:14">
      <c r="B63" s="1527" t="s">
        <v>6707</v>
      </c>
      <c r="C63" s="1524" t="s">
        <v>3855</v>
      </c>
      <c r="D63" s="1518">
        <v>0</v>
      </c>
      <c r="E63" s="1518">
        <f>2124.58+3984.61</f>
        <v>6109.1900000000005</v>
      </c>
      <c r="F63" s="1518"/>
      <c r="G63" s="1518">
        <f>+D63+E63-F63</f>
        <v>6109.1900000000005</v>
      </c>
      <c r="H63" s="1518">
        <f>+SUM(I63:M63)</f>
        <v>6109.1900000000005</v>
      </c>
      <c r="I63" s="1518"/>
      <c r="J63" s="1518">
        <f>+G63</f>
        <v>6109.1900000000005</v>
      </c>
      <c r="K63" s="1522"/>
      <c r="L63" s="1518"/>
      <c r="M63" s="1518"/>
      <c r="N63" s="1523"/>
    </row>
    <row r="64" spans="2:14">
      <c r="B64" s="1493" t="s">
        <v>6550</v>
      </c>
      <c r="C64" s="1524" t="s">
        <v>3855</v>
      </c>
      <c r="D64" s="1518">
        <v>56000</v>
      </c>
      <c r="E64" s="1518"/>
      <c r="F64" s="1518"/>
      <c r="G64" s="1518">
        <f t="shared" si="1"/>
        <v>56000</v>
      </c>
      <c r="H64" s="1518">
        <f t="shared" si="2"/>
        <v>56000</v>
      </c>
      <c r="I64" s="1518"/>
      <c r="J64" s="1518"/>
      <c r="K64" s="1522">
        <f t="shared" ref="K64:K70" si="6">+G64</f>
        <v>56000</v>
      </c>
      <c r="L64" s="1518"/>
      <c r="M64" s="1518"/>
      <c r="N64" s="1523"/>
    </row>
    <row r="65" spans="2:14">
      <c r="B65" s="1493" t="s">
        <v>6708</v>
      </c>
      <c r="C65" s="1524" t="s">
        <v>6709</v>
      </c>
      <c r="D65" s="1518">
        <v>46368</v>
      </c>
      <c r="E65" s="1518"/>
      <c r="F65" s="1518">
        <f>5000+8960+600.84</f>
        <v>14560.84</v>
      </c>
      <c r="G65" s="1518">
        <f t="shared" si="1"/>
        <v>31807.16</v>
      </c>
      <c r="H65" s="1518">
        <f t="shared" si="2"/>
        <v>31807.16</v>
      </c>
      <c r="I65" s="1518"/>
      <c r="J65" s="1518"/>
      <c r="K65" s="1522">
        <f t="shared" si="6"/>
        <v>31807.16</v>
      </c>
      <c r="L65" s="1518"/>
      <c r="M65" s="1518"/>
      <c r="N65" s="1523"/>
    </row>
    <row r="66" spans="2:14">
      <c r="B66" s="1493" t="s">
        <v>6552</v>
      </c>
      <c r="C66" s="1524" t="s">
        <v>6710</v>
      </c>
      <c r="D66" s="1518">
        <v>30016</v>
      </c>
      <c r="E66" s="1518"/>
      <c r="F66" s="1518"/>
      <c r="G66" s="1518">
        <f t="shared" si="1"/>
        <v>30016</v>
      </c>
      <c r="H66" s="1518">
        <f t="shared" si="2"/>
        <v>30016</v>
      </c>
      <c r="I66" s="1518"/>
      <c r="J66" s="1518"/>
      <c r="K66" s="1522">
        <f t="shared" si="6"/>
        <v>30016</v>
      </c>
      <c r="L66" s="1518"/>
      <c r="M66" s="1518"/>
      <c r="N66" s="1523"/>
    </row>
    <row r="67" spans="2:14">
      <c r="B67" s="1493" t="s">
        <v>6553</v>
      </c>
      <c r="C67" s="1524" t="s">
        <v>2507</v>
      </c>
      <c r="D67" s="1518">
        <v>284523.8</v>
      </c>
      <c r="E67" s="1518"/>
      <c r="F67" s="1518">
        <v>284523.8</v>
      </c>
      <c r="G67" s="1518">
        <f t="shared" si="1"/>
        <v>0</v>
      </c>
      <c r="H67" s="1518">
        <f t="shared" si="2"/>
        <v>0</v>
      </c>
      <c r="I67" s="1518"/>
      <c r="J67" s="1518"/>
      <c r="K67" s="1522">
        <f t="shared" si="6"/>
        <v>0</v>
      </c>
      <c r="L67" s="1518"/>
      <c r="M67" s="1518"/>
      <c r="N67" s="1523"/>
    </row>
    <row r="68" spans="2:14">
      <c r="B68" s="1493" t="s">
        <v>6603</v>
      </c>
      <c r="C68" s="1524" t="s">
        <v>1360</v>
      </c>
      <c r="D68" s="1518">
        <v>96884.73</v>
      </c>
      <c r="E68" s="1518"/>
      <c r="F68" s="1518">
        <v>90884.73</v>
      </c>
      <c r="G68" s="1518">
        <f t="shared" si="1"/>
        <v>6000</v>
      </c>
      <c r="H68" s="1518">
        <f t="shared" si="2"/>
        <v>6000</v>
      </c>
      <c r="I68" s="1518"/>
      <c r="J68" s="1518"/>
      <c r="K68" s="1522">
        <f t="shared" si="6"/>
        <v>6000</v>
      </c>
      <c r="L68" s="1518"/>
      <c r="M68" s="1518"/>
      <c r="N68" s="1523"/>
    </row>
    <row r="69" spans="2:14">
      <c r="B69" s="1493" t="s">
        <v>6555</v>
      </c>
      <c r="C69" s="1524" t="s">
        <v>1665</v>
      </c>
      <c r="D69" s="1518">
        <v>1008</v>
      </c>
      <c r="E69" s="1518"/>
      <c r="F69" s="1518"/>
      <c r="G69" s="1518">
        <f t="shared" si="1"/>
        <v>1008</v>
      </c>
      <c r="H69" s="1518">
        <f t="shared" si="2"/>
        <v>1008</v>
      </c>
      <c r="I69" s="1518"/>
      <c r="J69" s="1518"/>
      <c r="K69" s="1522">
        <f t="shared" si="6"/>
        <v>1008</v>
      </c>
      <c r="L69" s="1518"/>
      <c r="M69" s="1518"/>
      <c r="N69" s="1523"/>
    </row>
    <row r="70" spans="2:14">
      <c r="B70" s="1493" t="s">
        <v>6556</v>
      </c>
      <c r="C70" s="1524" t="s">
        <v>148</v>
      </c>
      <c r="D70" s="1518">
        <v>672</v>
      </c>
      <c r="E70" s="1518"/>
      <c r="F70" s="1518"/>
      <c r="G70" s="1518">
        <f t="shared" si="1"/>
        <v>672</v>
      </c>
      <c r="H70" s="1518">
        <f t="shared" si="2"/>
        <v>672</v>
      </c>
      <c r="I70" s="1518"/>
      <c r="J70" s="1518"/>
      <c r="K70" s="1522">
        <f t="shared" si="6"/>
        <v>672</v>
      </c>
      <c r="L70" s="1518"/>
      <c r="M70" s="1518"/>
      <c r="N70" s="1523"/>
    </row>
    <row r="71" spans="2:14">
      <c r="B71" s="1526" t="s">
        <v>6711</v>
      </c>
      <c r="C71" s="1524" t="s">
        <v>6712</v>
      </c>
      <c r="D71" s="1518">
        <v>0</v>
      </c>
      <c r="E71" s="1518">
        <v>287.08</v>
      </c>
      <c r="F71" s="1518"/>
      <c r="G71" s="1518">
        <f t="shared" si="1"/>
        <v>287.08</v>
      </c>
      <c r="H71" s="1518">
        <f t="shared" ref="H71" si="7">+SUM(I71:M71)</f>
        <v>287.08</v>
      </c>
      <c r="I71" s="1528">
        <f>+G71</f>
        <v>287.08</v>
      </c>
      <c r="J71" s="1529"/>
      <c r="K71" s="1522"/>
      <c r="L71" s="1518"/>
      <c r="M71" s="1518"/>
      <c r="N71" s="1523"/>
    </row>
    <row r="72" spans="2:14">
      <c r="B72" s="1493" t="s">
        <v>6557</v>
      </c>
      <c r="C72" s="1524" t="s">
        <v>6712</v>
      </c>
      <c r="D72" s="1518">
        <v>25466</v>
      </c>
      <c r="E72" s="1518">
        <v>40000</v>
      </c>
      <c r="F72" s="1518"/>
      <c r="G72" s="1518">
        <f t="shared" si="1"/>
        <v>65466</v>
      </c>
      <c r="H72" s="1518">
        <f t="shared" si="2"/>
        <v>65466</v>
      </c>
      <c r="I72" s="1528"/>
      <c r="J72" s="1529"/>
      <c r="K72" s="1522">
        <f t="shared" ref="K72:K78" si="8">+G72</f>
        <v>65466</v>
      </c>
      <c r="L72" s="1518"/>
      <c r="M72" s="1518"/>
      <c r="N72" s="1523"/>
    </row>
    <row r="73" spans="2:14">
      <c r="B73" s="1493" t="s">
        <v>6558</v>
      </c>
      <c r="C73" s="1524" t="s">
        <v>3862</v>
      </c>
      <c r="D73" s="1518">
        <v>47040</v>
      </c>
      <c r="E73" s="1518"/>
      <c r="F73" s="1518">
        <v>37040</v>
      </c>
      <c r="G73" s="1518">
        <f t="shared" si="1"/>
        <v>10000</v>
      </c>
      <c r="H73" s="1518">
        <f t="shared" ref="H73:H111" si="9">+SUM(I73:M73)</f>
        <v>10000</v>
      </c>
      <c r="I73" s="1528"/>
      <c r="J73" s="1529"/>
      <c r="K73" s="1522">
        <f t="shared" si="8"/>
        <v>10000</v>
      </c>
      <c r="L73" s="1518"/>
      <c r="M73" s="1518"/>
      <c r="N73" s="1523"/>
    </row>
    <row r="74" spans="2:14">
      <c r="B74" s="1527" t="s">
        <v>6713</v>
      </c>
      <c r="C74" s="1524" t="s">
        <v>2003</v>
      </c>
      <c r="D74" s="1518">
        <v>0</v>
      </c>
      <c r="E74" s="1518">
        <v>16877.28</v>
      </c>
      <c r="G74" s="1518">
        <f t="shared" si="1"/>
        <v>16877.28</v>
      </c>
      <c r="H74" s="1518">
        <f t="shared" ref="H74" si="10">+SUM(I74:M74)</f>
        <v>16877.28</v>
      </c>
      <c r="I74" s="1528"/>
      <c r="J74" s="1529">
        <f>+G74</f>
        <v>16877.28</v>
      </c>
      <c r="K74" s="1522"/>
      <c r="L74" s="1518"/>
      <c r="M74" s="1518"/>
      <c r="N74" s="1523"/>
    </row>
    <row r="75" spans="2:14">
      <c r="B75" s="1493" t="s">
        <v>6714</v>
      </c>
      <c r="C75" s="1524" t="s">
        <v>2003</v>
      </c>
      <c r="D75" s="1518">
        <v>16877.28</v>
      </c>
      <c r="E75" s="1518"/>
      <c r="F75" s="1518">
        <v>16877.28</v>
      </c>
      <c r="G75" s="1518">
        <f t="shared" si="1"/>
        <v>0</v>
      </c>
      <c r="H75" s="1518">
        <f t="shared" si="9"/>
        <v>0</v>
      </c>
      <c r="I75" s="1528"/>
      <c r="J75" s="1529"/>
      <c r="K75" s="1522">
        <f t="shared" si="8"/>
        <v>0</v>
      </c>
      <c r="L75" s="1518"/>
      <c r="M75" s="1518"/>
      <c r="N75" s="1523"/>
    </row>
    <row r="76" spans="2:14">
      <c r="B76" s="1493" t="s">
        <v>6561</v>
      </c>
      <c r="C76" s="1524" t="s">
        <v>3817</v>
      </c>
      <c r="D76" s="1518">
        <v>14560</v>
      </c>
      <c r="E76" s="1518"/>
      <c r="F76" s="1518"/>
      <c r="G76" s="1518">
        <f t="shared" si="1"/>
        <v>14560</v>
      </c>
      <c r="H76" s="1518">
        <f t="shared" si="9"/>
        <v>14560</v>
      </c>
      <c r="I76" s="1518"/>
      <c r="J76" s="1528"/>
      <c r="K76" s="1522">
        <f t="shared" si="8"/>
        <v>14560</v>
      </c>
      <c r="L76" s="1518"/>
      <c r="M76" s="1518"/>
      <c r="N76" s="1523"/>
    </row>
    <row r="77" spans="2:14">
      <c r="B77" s="1493" t="s">
        <v>6715</v>
      </c>
      <c r="C77" s="1524" t="s">
        <v>1006</v>
      </c>
      <c r="D77" s="1518">
        <v>49700</v>
      </c>
      <c r="E77" s="1518"/>
      <c r="F77" s="1518">
        <v>10000</v>
      </c>
      <c r="G77" s="1518">
        <f>+D77+E77-F77</f>
        <v>39700</v>
      </c>
      <c r="H77" s="1518">
        <f t="shared" si="9"/>
        <v>39700</v>
      </c>
      <c r="I77" s="1518"/>
      <c r="J77" s="1518"/>
      <c r="K77" s="1522">
        <f t="shared" si="8"/>
        <v>39700</v>
      </c>
      <c r="L77" s="1518"/>
      <c r="M77" s="1518"/>
      <c r="N77" s="1523"/>
    </row>
    <row r="78" spans="2:14">
      <c r="B78" s="1493" t="s">
        <v>6563</v>
      </c>
      <c r="C78" s="1524" t="s">
        <v>956</v>
      </c>
      <c r="D78" s="1518">
        <v>13767.94</v>
      </c>
      <c r="E78" s="1518"/>
      <c r="F78" s="1518"/>
      <c r="G78" s="1518">
        <f t="shared" si="1"/>
        <v>13767.94</v>
      </c>
      <c r="H78" s="1518">
        <f t="shared" si="9"/>
        <v>13767.94</v>
      </c>
      <c r="I78" s="1518"/>
      <c r="J78" s="1518"/>
      <c r="K78" s="1522">
        <f t="shared" si="8"/>
        <v>13767.94</v>
      </c>
      <c r="L78" s="1518"/>
      <c r="M78" s="1518"/>
      <c r="N78" s="1523"/>
    </row>
    <row r="79" spans="2:14">
      <c r="B79" s="1526" t="s">
        <v>6716</v>
      </c>
      <c r="C79" s="1524" t="s">
        <v>6717</v>
      </c>
      <c r="D79" s="1518">
        <v>0</v>
      </c>
      <c r="F79" s="1518"/>
      <c r="G79" s="1518">
        <f t="shared" si="1"/>
        <v>0</v>
      </c>
      <c r="H79" s="1518">
        <f t="shared" ref="H79:H80" si="11">+SUM(I79:M79)</f>
        <v>0</v>
      </c>
      <c r="I79" s="1518">
        <f>+G79</f>
        <v>0</v>
      </c>
      <c r="J79" s="1518"/>
      <c r="K79" s="1522"/>
      <c r="L79" s="1518"/>
      <c r="M79" s="1518"/>
      <c r="N79" s="1523"/>
    </row>
    <row r="80" spans="2:14">
      <c r="B80" s="1493" t="s">
        <v>6718</v>
      </c>
      <c r="C80" s="1524" t="s">
        <v>6717</v>
      </c>
      <c r="D80" s="1518">
        <v>21206.31</v>
      </c>
      <c r="E80" s="1518">
        <v>4500</v>
      </c>
      <c r="F80" s="1518"/>
      <c r="G80" s="1518">
        <f t="shared" si="1"/>
        <v>25706.31</v>
      </c>
      <c r="H80" s="1518">
        <f t="shared" si="11"/>
        <v>25706.31</v>
      </c>
      <c r="I80" s="1518"/>
      <c r="J80" s="1518"/>
      <c r="K80" s="1522">
        <f>+G80</f>
        <v>25706.31</v>
      </c>
      <c r="L80" s="1518"/>
      <c r="M80" s="1518"/>
      <c r="N80" s="1523"/>
    </row>
    <row r="81" spans="2:14">
      <c r="B81" s="1493" t="s">
        <v>5375</v>
      </c>
      <c r="C81" s="1524" t="s">
        <v>1089</v>
      </c>
      <c r="D81" s="1518">
        <v>1567.94</v>
      </c>
      <c r="E81" s="1518">
        <v>1333.44</v>
      </c>
      <c r="F81" s="1518"/>
      <c r="G81" s="1518">
        <f t="shared" si="1"/>
        <v>2901.38</v>
      </c>
      <c r="H81" s="1518">
        <f t="shared" ref="H81" si="12">+SUM(I81:M81)</f>
        <v>2901.38</v>
      </c>
      <c r="I81" s="1518"/>
      <c r="J81" s="1518"/>
      <c r="K81" s="1522">
        <f>+G81</f>
        <v>2901.38</v>
      </c>
      <c r="L81" s="1518"/>
      <c r="M81" s="1518"/>
      <c r="N81" s="1523"/>
    </row>
    <row r="82" spans="2:14">
      <c r="B82" s="1493" t="s">
        <v>6565</v>
      </c>
      <c r="C82" s="1524" t="s">
        <v>2694</v>
      </c>
      <c r="D82" s="1518">
        <v>2898.72</v>
      </c>
      <c r="E82" s="1518"/>
      <c r="F82" s="1518"/>
      <c r="G82" s="1518">
        <f t="shared" si="1"/>
        <v>2898.72</v>
      </c>
      <c r="H82" s="1518">
        <f t="shared" si="9"/>
        <v>2898.72</v>
      </c>
      <c r="I82" s="1518"/>
      <c r="J82" s="1518"/>
      <c r="K82" s="1522">
        <f>+G82</f>
        <v>2898.72</v>
      </c>
      <c r="L82" s="1518"/>
      <c r="M82" s="1518"/>
      <c r="N82" s="1523"/>
    </row>
    <row r="83" spans="2:14">
      <c r="B83" s="1493" t="s">
        <v>6566</v>
      </c>
      <c r="C83" s="1524" t="s">
        <v>3341</v>
      </c>
      <c r="D83" s="1518">
        <v>869.12</v>
      </c>
      <c r="E83" s="1518"/>
      <c r="F83" s="1518"/>
      <c r="G83" s="1518">
        <f t="shared" si="1"/>
        <v>869.12</v>
      </c>
      <c r="H83" s="1518">
        <f t="shared" si="9"/>
        <v>869.12</v>
      </c>
      <c r="I83" s="1518"/>
      <c r="J83" s="1518"/>
      <c r="K83" s="1522">
        <f>+G83</f>
        <v>869.12</v>
      </c>
      <c r="L83" s="1518"/>
      <c r="M83" s="1518"/>
      <c r="N83" s="1523"/>
    </row>
    <row r="84" spans="2:14">
      <c r="B84" s="1526" t="s">
        <v>6719</v>
      </c>
      <c r="C84" s="1524" t="s">
        <v>6720</v>
      </c>
      <c r="D84" s="1518">
        <v>0</v>
      </c>
      <c r="E84" s="1518"/>
      <c r="F84" s="1518"/>
      <c r="G84" s="1518">
        <f t="shared" si="1"/>
        <v>0</v>
      </c>
      <c r="H84" s="1518">
        <f t="shared" si="9"/>
        <v>0</v>
      </c>
      <c r="I84" s="1518">
        <f>+G84</f>
        <v>0</v>
      </c>
      <c r="J84" s="1518"/>
      <c r="K84" s="1522"/>
      <c r="L84" s="1518"/>
      <c r="M84" s="1518"/>
      <c r="N84" s="1523"/>
    </row>
    <row r="85" spans="2:14">
      <c r="B85" s="1493" t="s">
        <v>6567</v>
      </c>
      <c r="C85" s="1524" t="s">
        <v>6568</v>
      </c>
      <c r="D85" s="1518">
        <v>2340.6</v>
      </c>
      <c r="E85" s="1518"/>
      <c r="F85" s="1518">
        <v>2340.6</v>
      </c>
      <c r="G85" s="1518">
        <f t="shared" si="1"/>
        <v>0</v>
      </c>
      <c r="H85" s="1518">
        <f t="shared" si="9"/>
        <v>0</v>
      </c>
      <c r="I85" s="1518"/>
      <c r="J85" s="1518"/>
      <c r="K85" s="1522">
        <f>+G85</f>
        <v>0</v>
      </c>
      <c r="L85" s="1518"/>
      <c r="M85" s="1518"/>
      <c r="N85" s="1523"/>
    </row>
    <row r="86" spans="2:14">
      <c r="B86" s="1493" t="s">
        <v>6721</v>
      </c>
      <c r="C86" s="1524" t="s">
        <v>39</v>
      </c>
      <c r="D86" s="1518">
        <v>92009.89</v>
      </c>
      <c r="E86" s="1518"/>
      <c r="F86" s="1518">
        <f>34363.67+56000</f>
        <v>90363.67</v>
      </c>
      <c r="G86" s="1518">
        <f t="shared" si="1"/>
        <v>1646.2200000000012</v>
      </c>
      <c r="H86" s="1518">
        <f t="shared" si="9"/>
        <v>1646.2200000000012</v>
      </c>
      <c r="I86" s="1518"/>
      <c r="J86" s="1518"/>
      <c r="K86" s="1522">
        <f>+G86</f>
        <v>1646.2200000000012</v>
      </c>
      <c r="L86" s="1518"/>
      <c r="M86" s="1518"/>
      <c r="N86" s="1523"/>
    </row>
    <row r="87" spans="2:14">
      <c r="B87" s="1493" t="s">
        <v>6570</v>
      </c>
      <c r="C87" s="1524" t="s">
        <v>4163</v>
      </c>
      <c r="D87" s="1518">
        <v>94.08</v>
      </c>
      <c r="E87" s="1518"/>
      <c r="F87" s="1518"/>
      <c r="G87" s="1518">
        <f>+D87+E87-F87</f>
        <v>94.08</v>
      </c>
      <c r="H87" s="1518">
        <f t="shared" si="9"/>
        <v>94.08</v>
      </c>
      <c r="I87" s="1518"/>
      <c r="J87" s="1518"/>
      <c r="K87" s="1522">
        <f>+G87</f>
        <v>94.08</v>
      </c>
      <c r="L87" s="1518"/>
      <c r="M87" s="1518"/>
      <c r="N87" s="1523"/>
    </row>
    <row r="88" spans="2:14">
      <c r="B88" s="1493" t="s">
        <v>6662</v>
      </c>
      <c r="C88" s="1524" t="s">
        <v>40</v>
      </c>
      <c r="D88" s="1518">
        <v>4250.8999999999996</v>
      </c>
      <c r="E88" s="1518"/>
      <c r="F88" s="1518"/>
      <c r="G88" s="1518">
        <f t="shared" si="1"/>
        <v>4250.8999999999996</v>
      </c>
      <c r="H88" s="1518">
        <f t="shared" si="9"/>
        <v>4250.8999999999996</v>
      </c>
      <c r="I88" s="1518"/>
      <c r="J88" s="1518"/>
      <c r="K88" s="1522">
        <f>+G88</f>
        <v>4250.8999999999996</v>
      </c>
      <c r="L88" s="1518"/>
      <c r="M88" s="1518"/>
      <c r="N88" s="1523"/>
    </row>
    <row r="89" spans="2:14">
      <c r="B89" s="1493" t="s">
        <v>6572</v>
      </c>
      <c r="C89" s="1524" t="s">
        <v>6722</v>
      </c>
      <c r="D89" s="1518">
        <v>7078.4</v>
      </c>
      <c r="E89" s="1518"/>
      <c r="F89" s="1518"/>
      <c r="G89" s="1518">
        <f t="shared" si="1"/>
        <v>7078.4</v>
      </c>
      <c r="H89" s="1518">
        <f t="shared" si="9"/>
        <v>7078.4</v>
      </c>
      <c r="I89" s="1518"/>
      <c r="J89" s="1518"/>
      <c r="K89" s="1522">
        <f>+G89</f>
        <v>7078.4</v>
      </c>
      <c r="L89" s="1518"/>
      <c r="M89" s="1518"/>
      <c r="N89" s="1523"/>
    </row>
    <row r="90" spans="2:14">
      <c r="B90" s="1526" t="s">
        <v>6723</v>
      </c>
      <c r="C90" s="1524" t="s">
        <v>36</v>
      </c>
      <c r="D90" s="1518">
        <v>0</v>
      </c>
      <c r="E90" s="1518"/>
      <c r="F90" s="1518"/>
      <c r="G90" s="1518">
        <f t="shared" si="1"/>
        <v>0</v>
      </c>
      <c r="H90" s="1518">
        <f t="shared" si="9"/>
        <v>0</v>
      </c>
      <c r="I90" s="1518">
        <f>+G90</f>
        <v>0</v>
      </c>
      <c r="J90" s="1518"/>
      <c r="K90" s="1522"/>
      <c r="L90" s="1518"/>
      <c r="M90" s="1518"/>
      <c r="N90" s="1523"/>
    </row>
    <row r="91" spans="2:14">
      <c r="B91" s="1527" t="s">
        <v>6724</v>
      </c>
      <c r="C91" s="1524" t="s">
        <v>36</v>
      </c>
      <c r="D91" s="1518">
        <v>0</v>
      </c>
      <c r="E91" s="1518"/>
      <c r="F91" s="1518"/>
      <c r="G91" s="1518">
        <f t="shared" si="1"/>
        <v>0</v>
      </c>
      <c r="H91" s="1518">
        <f t="shared" si="9"/>
        <v>0</v>
      </c>
      <c r="I91" s="1518"/>
      <c r="J91" s="1518">
        <f>+G91</f>
        <v>0</v>
      </c>
      <c r="K91" s="1522"/>
      <c r="L91" s="1518"/>
      <c r="M91" s="1518"/>
      <c r="N91" s="1523"/>
    </row>
    <row r="92" spans="2:14">
      <c r="B92" s="1526" t="s">
        <v>6725</v>
      </c>
      <c r="C92" s="1524" t="s">
        <v>37</v>
      </c>
      <c r="D92" s="1518">
        <v>0</v>
      </c>
      <c r="E92" s="1518"/>
      <c r="F92" s="1518"/>
      <c r="G92" s="1518">
        <f t="shared" si="1"/>
        <v>0</v>
      </c>
      <c r="H92" s="1518">
        <f t="shared" si="9"/>
        <v>0</v>
      </c>
      <c r="I92" s="1518">
        <f>+G92</f>
        <v>0</v>
      </c>
      <c r="J92" s="1518"/>
      <c r="K92" s="1522"/>
      <c r="L92" s="1518"/>
      <c r="M92" s="1518"/>
      <c r="N92" s="1523"/>
    </row>
    <row r="93" spans="2:14">
      <c r="B93" s="1493" t="s">
        <v>6573</v>
      </c>
      <c r="C93" s="1524" t="s">
        <v>4183</v>
      </c>
      <c r="D93" s="1518">
        <v>3600</v>
      </c>
      <c r="E93" s="1518"/>
      <c r="F93" s="1518"/>
      <c r="G93" s="1518">
        <f t="shared" si="1"/>
        <v>3600</v>
      </c>
      <c r="H93" s="1518">
        <f t="shared" si="9"/>
        <v>3600</v>
      </c>
      <c r="I93" s="1518"/>
      <c r="J93" s="1518"/>
      <c r="K93" s="1522">
        <f>+G93</f>
        <v>3600</v>
      </c>
      <c r="L93" s="1518"/>
      <c r="M93" s="1518"/>
      <c r="N93" s="1523"/>
    </row>
    <row r="94" spans="2:14">
      <c r="B94" s="1527" t="s">
        <v>6575</v>
      </c>
      <c r="C94" s="1524" t="s">
        <v>6726</v>
      </c>
      <c r="D94" s="1518">
        <v>49163.64</v>
      </c>
      <c r="E94" s="1518"/>
      <c r="F94" s="1518"/>
      <c r="G94" s="1518">
        <f t="shared" si="1"/>
        <v>49163.64</v>
      </c>
      <c r="H94" s="1518">
        <f t="shared" si="9"/>
        <v>49163.64</v>
      </c>
      <c r="I94" s="1518"/>
      <c r="J94" s="1518">
        <f>+G94</f>
        <v>49163.64</v>
      </c>
      <c r="K94" s="1522"/>
      <c r="L94" s="1518"/>
      <c r="M94" s="1518"/>
      <c r="N94" s="1523"/>
    </row>
    <row r="95" spans="2:14">
      <c r="B95" s="1493" t="s">
        <v>6576</v>
      </c>
      <c r="C95" s="1524" t="s">
        <v>6726</v>
      </c>
      <c r="D95" s="1518">
        <v>5949.98</v>
      </c>
      <c r="E95" s="1518"/>
      <c r="F95" s="1518"/>
      <c r="G95" s="1518">
        <f t="shared" si="1"/>
        <v>5949.98</v>
      </c>
      <c r="H95" s="1518">
        <f t="shared" ref="H95" si="13">+SUM(I95:M95)</f>
        <v>5949.98</v>
      </c>
      <c r="I95" s="1518"/>
      <c r="J95" s="1518"/>
      <c r="K95" s="1522">
        <f>+G95</f>
        <v>5949.98</v>
      </c>
      <c r="L95" s="1518"/>
      <c r="M95" s="1518"/>
      <c r="N95" s="1523"/>
    </row>
    <row r="96" spans="2:14">
      <c r="B96" s="1526" t="s">
        <v>6577</v>
      </c>
      <c r="C96" s="1524" t="s">
        <v>894</v>
      </c>
      <c r="D96" s="1518">
        <v>2429.96</v>
      </c>
      <c r="F96" s="1518"/>
      <c r="G96" s="1518">
        <f t="shared" si="1"/>
        <v>2429.96</v>
      </c>
      <c r="H96" s="1518">
        <f t="shared" ref="H96:H98" si="14">+SUM(I96:M96)</f>
        <v>2429.96</v>
      </c>
      <c r="I96" s="1518">
        <f>+G96</f>
        <v>2429.96</v>
      </c>
      <c r="J96" s="1518"/>
      <c r="K96" s="1522"/>
      <c r="L96" s="1518"/>
      <c r="M96" s="1518"/>
      <c r="N96" s="1523"/>
    </row>
    <row r="97" spans="2:14">
      <c r="B97" s="1527" t="s">
        <v>6578</v>
      </c>
      <c r="C97" s="1524" t="s">
        <v>894</v>
      </c>
      <c r="D97" s="1518">
        <v>110320</v>
      </c>
      <c r="E97" s="1518"/>
      <c r="F97" s="1518"/>
      <c r="G97" s="1518">
        <f t="shared" si="1"/>
        <v>110320</v>
      </c>
      <c r="H97" s="1518">
        <f t="shared" si="14"/>
        <v>110320</v>
      </c>
      <c r="I97" s="1518"/>
      <c r="J97" s="1518">
        <f>+G97</f>
        <v>110320</v>
      </c>
      <c r="K97" s="1522"/>
      <c r="L97" s="1518"/>
      <c r="M97" s="1518"/>
      <c r="N97" s="1523"/>
    </row>
    <row r="98" spans="2:14">
      <c r="B98" s="1493" t="s">
        <v>6579</v>
      </c>
      <c r="C98" s="1524" t="s">
        <v>894</v>
      </c>
      <c r="D98" s="1518">
        <v>24379.45</v>
      </c>
      <c r="E98" s="1518"/>
      <c r="F98" s="1518"/>
      <c r="G98" s="1518">
        <f t="shared" si="1"/>
        <v>24379.45</v>
      </c>
      <c r="H98" s="1518">
        <f t="shared" si="14"/>
        <v>24379.45</v>
      </c>
      <c r="I98" s="1518"/>
      <c r="J98" s="1518"/>
      <c r="K98" s="1522">
        <f>+G98</f>
        <v>24379.45</v>
      </c>
      <c r="L98" s="1518"/>
      <c r="M98" s="1518"/>
      <c r="N98" s="1523"/>
    </row>
    <row r="99" spans="2:14">
      <c r="B99" s="1527" t="s">
        <v>6580</v>
      </c>
      <c r="C99" s="1524" t="s">
        <v>3542</v>
      </c>
      <c r="D99" s="1518">
        <v>159.04</v>
      </c>
      <c r="E99" s="1518"/>
      <c r="F99" s="1518"/>
      <c r="G99" s="1518">
        <f t="shared" si="1"/>
        <v>159.04</v>
      </c>
      <c r="H99" s="1518">
        <f t="shared" si="9"/>
        <v>159.04</v>
      </c>
      <c r="I99" s="1518"/>
      <c r="J99" s="1518">
        <f>+G99</f>
        <v>159.04</v>
      </c>
      <c r="K99" s="1522"/>
      <c r="L99" s="1518"/>
      <c r="M99" s="1518"/>
      <c r="N99" s="1523"/>
    </row>
    <row r="100" spans="2:14">
      <c r="B100" s="1493" t="s">
        <v>6727</v>
      </c>
      <c r="C100" s="1524" t="s">
        <v>419</v>
      </c>
      <c r="D100" s="1518">
        <v>0</v>
      </c>
      <c r="E100" s="1518">
        <v>5080</v>
      </c>
      <c r="F100" s="1518"/>
      <c r="G100" s="1518">
        <f t="shared" si="1"/>
        <v>5080</v>
      </c>
      <c r="H100" s="1518">
        <f t="shared" si="9"/>
        <v>5080</v>
      </c>
      <c r="I100" s="1518"/>
      <c r="J100" s="1518"/>
      <c r="K100" s="1522">
        <f>+G100</f>
        <v>5080</v>
      </c>
      <c r="L100" s="1518"/>
      <c r="M100" s="1518"/>
      <c r="N100" s="1523"/>
    </row>
    <row r="101" spans="2:14">
      <c r="B101" s="1526" t="s">
        <v>6728</v>
      </c>
      <c r="C101" s="1524" t="s">
        <v>6729</v>
      </c>
      <c r="D101" s="1518">
        <v>0</v>
      </c>
      <c r="E101" s="1518"/>
      <c r="F101" s="1518"/>
      <c r="G101" s="1518">
        <f t="shared" ref="G101:G124" si="15">+D101+E101-F101</f>
        <v>0</v>
      </c>
      <c r="H101" s="1518">
        <f t="shared" si="9"/>
        <v>0</v>
      </c>
      <c r="I101" s="1518">
        <f t="shared" ref="I101:I104" si="16">+G101</f>
        <v>0</v>
      </c>
      <c r="J101" s="1518"/>
      <c r="K101" s="1522"/>
      <c r="L101" s="1518"/>
      <c r="M101" s="1518"/>
      <c r="N101" s="1523"/>
    </row>
    <row r="102" spans="2:14">
      <c r="B102" s="1526" t="s">
        <v>6730</v>
      </c>
      <c r="C102" s="1524" t="s">
        <v>6731</v>
      </c>
      <c r="D102" s="1518">
        <v>0</v>
      </c>
      <c r="E102" s="1518"/>
      <c r="F102" s="1518"/>
      <c r="G102" s="1518">
        <f t="shared" si="15"/>
        <v>0</v>
      </c>
      <c r="H102" s="1518">
        <f t="shared" si="9"/>
        <v>0</v>
      </c>
      <c r="I102" s="1518">
        <f>+G102</f>
        <v>0</v>
      </c>
      <c r="J102" s="1518"/>
      <c r="K102" s="1522"/>
      <c r="L102" s="1518"/>
      <c r="M102" s="1518"/>
      <c r="N102" s="1523"/>
    </row>
    <row r="103" spans="2:14">
      <c r="B103" s="1493" t="s">
        <v>6732</v>
      </c>
      <c r="C103" s="1524" t="s">
        <v>3462</v>
      </c>
      <c r="D103" s="1518">
        <v>0</v>
      </c>
      <c r="E103" s="1518">
        <v>1000</v>
      </c>
      <c r="F103" s="1518"/>
      <c r="G103" s="1518">
        <f t="shared" si="15"/>
        <v>1000</v>
      </c>
      <c r="H103" s="1518">
        <f t="shared" si="9"/>
        <v>1000</v>
      </c>
      <c r="I103" s="1518"/>
      <c r="J103" s="1518"/>
      <c r="K103" s="1522">
        <f>+G103</f>
        <v>1000</v>
      </c>
      <c r="L103" s="1518"/>
      <c r="M103" s="1518"/>
      <c r="N103" s="1523"/>
    </row>
    <row r="104" spans="2:14">
      <c r="B104" s="1526" t="s">
        <v>6581</v>
      </c>
      <c r="C104" s="1524" t="s">
        <v>6733</v>
      </c>
      <c r="D104" s="1518">
        <v>4980</v>
      </c>
      <c r="F104" s="1518"/>
      <c r="G104" s="1518">
        <f t="shared" si="15"/>
        <v>4980</v>
      </c>
      <c r="H104" s="1518">
        <f t="shared" ref="H104" si="17">+SUM(I104:M104)</f>
        <v>4980</v>
      </c>
      <c r="I104" s="1518">
        <f t="shared" si="16"/>
        <v>4980</v>
      </c>
      <c r="J104" s="1518"/>
      <c r="K104" s="1522"/>
      <c r="L104" s="1518"/>
      <c r="M104" s="1518"/>
      <c r="N104" s="1523"/>
    </row>
    <row r="105" spans="2:14">
      <c r="B105" s="1526" t="s">
        <v>6582</v>
      </c>
      <c r="C105" s="1524" t="s">
        <v>3079</v>
      </c>
      <c r="D105" s="1518">
        <v>1508099.72</v>
      </c>
      <c r="E105" s="1518"/>
      <c r="F105" s="1518">
        <v>137214.99</v>
      </c>
      <c r="G105" s="1518">
        <f t="shared" si="15"/>
        <v>1370884.73</v>
      </c>
      <c r="H105" s="1518">
        <f t="shared" si="9"/>
        <v>1370884.73</v>
      </c>
      <c r="I105" s="1529">
        <f>+G105</f>
        <v>1370884.73</v>
      </c>
      <c r="J105" s="1518"/>
      <c r="K105" s="1522"/>
      <c r="L105" s="1518"/>
      <c r="M105" s="1518"/>
      <c r="N105" s="1523"/>
    </row>
    <row r="106" spans="2:14">
      <c r="B106" s="1531" t="s">
        <v>6734</v>
      </c>
      <c r="C106" s="1524" t="s">
        <v>3034</v>
      </c>
      <c r="D106" s="1518">
        <v>0</v>
      </c>
      <c r="E106" s="1518"/>
      <c r="F106" s="1518"/>
      <c r="G106" s="1518">
        <f t="shared" si="15"/>
        <v>0</v>
      </c>
      <c r="H106" s="1518">
        <f t="shared" si="9"/>
        <v>0</v>
      </c>
      <c r="I106" s="1529"/>
      <c r="J106" s="1518"/>
      <c r="K106" s="1522"/>
      <c r="L106" s="1518">
        <f>+G106</f>
        <v>0</v>
      </c>
      <c r="M106" s="1518"/>
      <c r="N106" s="1523"/>
    </row>
    <row r="107" spans="2:14">
      <c r="B107" s="1531" t="s">
        <v>6735</v>
      </c>
      <c r="C107" s="1524" t="s">
        <v>3036</v>
      </c>
      <c r="D107" s="1518">
        <v>0</v>
      </c>
      <c r="E107" s="1518">
        <v>441658.64</v>
      </c>
      <c r="F107" s="1518"/>
      <c r="G107" s="1518">
        <f>+D107+E107-F107</f>
        <v>441658.64</v>
      </c>
      <c r="H107" s="1518">
        <f>+SUM(I107:M107)</f>
        <v>441658.64</v>
      </c>
      <c r="I107" s="1529"/>
      <c r="J107" s="1518"/>
      <c r="K107" s="1522"/>
      <c r="L107" s="1518">
        <f>+G107</f>
        <v>441658.64</v>
      </c>
      <c r="M107" s="1518"/>
      <c r="N107" s="1523"/>
    </row>
    <row r="108" spans="2:14">
      <c r="B108" s="1531" t="s">
        <v>6736</v>
      </c>
      <c r="C108" s="1524" t="s">
        <v>3879</v>
      </c>
      <c r="D108" s="1518">
        <v>0</v>
      </c>
      <c r="E108" s="1532"/>
      <c r="F108" s="1518"/>
      <c r="G108" s="1518">
        <f t="shared" si="15"/>
        <v>0</v>
      </c>
      <c r="H108" s="1518">
        <f t="shared" si="9"/>
        <v>0</v>
      </c>
      <c r="I108" s="1529"/>
      <c r="J108" s="1518"/>
      <c r="K108" s="1522"/>
      <c r="L108" s="1518">
        <f>+G108</f>
        <v>0</v>
      </c>
      <c r="M108" s="1518"/>
      <c r="N108" s="1523"/>
    </row>
    <row r="109" spans="2:14">
      <c r="B109" s="1526" t="s">
        <v>6737</v>
      </c>
      <c r="C109" s="1524" t="s">
        <v>671</v>
      </c>
      <c r="D109" s="1518">
        <v>0</v>
      </c>
      <c r="E109" s="1518">
        <v>545</v>
      </c>
      <c r="F109" s="1518"/>
      <c r="G109" s="1518">
        <f t="shared" si="15"/>
        <v>545</v>
      </c>
      <c r="H109" s="1518">
        <f t="shared" si="9"/>
        <v>545</v>
      </c>
      <c r="I109" s="1529">
        <f>+G109</f>
        <v>545</v>
      </c>
      <c r="J109" s="1518"/>
      <c r="K109" s="1522"/>
      <c r="L109" s="1518"/>
      <c r="M109" s="1518"/>
      <c r="N109" s="1523"/>
    </row>
    <row r="110" spans="2:14">
      <c r="B110" s="1527" t="s">
        <v>6738</v>
      </c>
      <c r="C110" s="1524" t="s">
        <v>671</v>
      </c>
      <c r="D110" s="1518">
        <v>0</v>
      </c>
      <c r="E110" s="1518"/>
      <c r="F110" s="1518"/>
      <c r="G110" s="1518">
        <f t="shared" si="15"/>
        <v>0</v>
      </c>
      <c r="H110" s="1518">
        <f t="shared" si="9"/>
        <v>0</v>
      </c>
      <c r="I110" s="1529"/>
      <c r="J110" s="1518">
        <f>+G110</f>
        <v>0</v>
      </c>
      <c r="K110" s="1522"/>
      <c r="L110" s="1518"/>
      <c r="M110" s="1518"/>
      <c r="N110" s="1523"/>
    </row>
    <row r="111" spans="2:14">
      <c r="B111" s="1493" t="s">
        <v>5694</v>
      </c>
      <c r="C111" s="1524" t="s">
        <v>671</v>
      </c>
      <c r="D111" s="1518">
        <v>0</v>
      </c>
      <c r="E111" s="1518">
        <f>24400.68+761.38+2893.16</f>
        <v>28055.22</v>
      </c>
      <c r="F111" s="1518"/>
      <c r="G111" s="1518">
        <f t="shared" si="15"/>
        <v>28055.22</v>
      </c>
      <c r="H111" s="1518">
        <f t="shared" si="9"/>
        <v>28055.22</v>
      </c>
      <c r="I111" s="1529"/>
      <c r="J111" s="1518"/>
      <c r="K111" s="1522">
        <f>+G111</f>
        <v>28055.22</v>
      </c>
      <c r="L111" s="1518"/>
      <c r="M111" s="1518"/>
      <c r="N111" s="1523"/>
    </row>
    <row r="112" spans="2:14">
      <c r="B112" s="1526" t="s">
        <v>5717</v>
      </c>
      <c r="C112" s="1524" t="s">
        <v>39</v>
      </c>
      <c r="D112" s="1518">
        <v>0</v>
      </c>
      <c r="E112" s="1518"/>
      <c r="F112" s="1518"/>
      <c r="G112" s="1518">
        <f t="shared" si="15"/>
        <v>0</v>
      </c>
      <c r="H112" s="1518">
        <f t="shared" ref="H112:H124" si="18">+SUM(I112:M112)</f>
        <v>0</v>
      </c>
      <c r="I112" s="1533">
        <f>+G112</f>
        <v>0</v>
      </c>
      <c r="J112" s="1532"/>
      <c r="K112" s="1534"/>
      <c r="L112" s="1518"/>
      <c r="M112" s="1518"/>
      <c r="N112" s="1523"/>
    </row>
    <row r="113" spans="2:14">
      <c r="B113" s="1527" t="s">
        <v>5252</v>
      </c>
      <c r="C113" s="1524" t="s">
        <v>39</v>
      </c>
      <c r="D113" s="1518">
        <v>0</v>
      </c>
      <c r="E113" s="1518">
        <f>39500+2940</f>
        <v>42440</v>
      </c>
      <c r="F113" s="1518"/>
      <c r="G113" s="1518">
        <f t="shared" si="15"/>
        <v>42440</v>
      </c>
      <c r="H113" s="1518">
        <f t="shared" si="18"/>
        <v>42440</v>
      </c>
      <c r="I113" s="1533"/>
      <c r="J113" s="1532">
        <f>+G113</f>
        <v>42440</v>
      </c>
      <c r="K113" s="1534"/>
      <c r="L113" s="1518"/>
      <c r="M113" s="1518"/>
      <c r="N113" s="1523"/>
    </row>
    <row r="114" spans="2:14">
      <c r="B114" s="1493" t="s">
        <v>5283</v>
      </c>
      <c r="C114" s="1524" t="s">
        <v>39</v>
      </c>
      <c r="D114" s="1518">
        <v>0</v>
      </c>
      <c r="E114" s="1518">
        <f>19554.08+3360+2882.88+53704.13+360+70954.075</f>
        <v>150815.16499999998</v>
      </c>
      <c r="F114" s="1518"/>
      <c r="G114" s="1518">
        <f t="shared" si="15"/>
        <v>150815.16499999998</v>
      </c>
      <c r="H114" s="1518">
        <f t="shared" si="18"/>
        <v>150815.16499999998</v>
      </c>
      <c r="I114" s="1533"/>
      <c r="J114" s="1532"/>
      <c r="K114" s="1534">
        <f>+G114</f>
        <v>150815.16499999998</v>
      </c>
      <c r="L114" s="1518"/>
      <c r="M114" s="1518"/>
      <c r="N114" s="1523"/>
    </row>
    <row r="115" spans="2:14">
      <c r="B115" s="1535" t="s">
        <v>6739</v>
      </c>
      <c r="C115" s="1524" t="s">
        <v>39</v>
      </c>
      <c r="D115" s="1518">
        <v>0</v>
      </c>
      <c r="E115" s="1532"/>
      <c r="F115" s="1518"/>
      <c r="G115" s="1518">
        <f t="shared" si="15"/>
        <v>0</v>
      </c>
      <c r="H115" s="1518">
        <f t="shared" si="18"/>
        <v>0</v>
      </c>
      <c r="I115" s="1533"/>
      <c r="J115" s="1532"/>
      <c r="K115" s="1534"/>
      <c r="L115" s="1518">
        <f>+G115</f>
        <v>0</v>
      </c>
      <c r="M115" s="1518"/>
      <c r="N115" s="1523"/>
    </row>
    <row r="116" spans="2:14">
      <c r="B116" s="1493" t="s">
        <v>6740</v>
      </c>
      <c r="C116" s="1524" t="s">
        <v>6741</v>
      </c>
      <c r="D116" s="1518">
        <v>0</v>
      </c>
      <c r="E116" s="1532"/>
      <c r="F116" s="1518"/>
      <c r="G116" s="1518">
        <f t="shared" si="15"/>
        <v>0</v>
      </c>
      <c r="H116" s="1518">
        <f t="shared" si="18"/>
        <v>0</v>
      </c>
      <c r="I116" s="1533"/>
      <c r="J116" s="1532"/>
      <c r="K116" s="1534">
        <f>+G116</f>
        <v>0</v>
      </c>
      <c r="L116" s="1518"/>
      <c r="M116" s="1518"/>
      <c r="N116" s="1523"/>
    </row>
    <row r="117" spans="2:14">
      <c r="B117" s="1535" t="s">
        <v>6742</v>
      </c>
      <c r="C117" s="1524" t="s">
        <v>4118</v>
      </c>
      <c r="D117" s="1518">
        <v>0</v>
      </c>
      <c r="E117" s="1532"/>
      <c r="F117" s="1518"/>
      <c r="G117" s="1518">
        <f t="shared" si="15"/>
        <v>0</v>
      </c>
      <c r="H117" s="1518">
        <f t="shared" si="18"/>
        <v>0</v>
      </c>
      <c r="I117" s="1533"/>
      <c r="J117" s="1532"/>
      <c r="K117" s="1534"/>
      <c r="L117" s="1518">
        <f>+G117</f>
        <v>0</v>
      </c>
      <c r="M117" s="1518"/>
      <c r="N117" s="1523"/>
    </row>
    <row r="118" spans="2:14">
      <c r="B118" s="1526" t="s">
        <v>5544</v>
      </c>
      <c r="C118" s="1524" t="s">
        <v>40</v>
      </c>
      <c r="D118" s="1518">
        <v>0</v>
      </c>
      <c r="E118" s="1518">
        <v>81952.06</v>
      </c>
      <c r="F118" s="1518"/>
      <c r="G118" s="1518">
        <f t="shared" si="15"/>
        <v>81952.06</v>
      </c>
      <c r="H118" s="1518">
        <f t="shared" si="18"/>
        <v>81952.06</v>
      </c>
      <c r="I118" s="1533">
        <f>+G118</f>
        <v>81952.06</v>
      </c>
      <c r="J118" s="1532"/>
      <c r="K118" s="1534"/>
      <c r="L118" s="1518"/>
      <c r="M118" s="1518"/>
      <c r="N118" s="1523"/>
    </row>
    <row r="119" spans="2:14">
      <c r="B119" s="1527" t="s">
        <v>6743</v>
      </c>
      <c r="C119" s="1524" t="s">
        <v>40</v>
      </c>
      <c r="D119" s="1518">
        <v>0</v>
      </c>
      <c r="E119" s="1518"/>
      <c r="F119" s="1532"/>
      <c r="G119" s="1518">
        <f t="shared" si="15"/>
        <v>0</v>
      </c>
      <c r="H119" s="1518">
        <f t="shared" si="18"/>
        <v>0</v>
      </c>
      <c r="I119" s="1533"/>
      <c r="J119" s="1532">
        <f>+G119</f>
        <v>0</v>
      </c>
      <c r="K119" s="1534"/>
      <c r="L119" s="1518"/>
      <c r="M119" s="1518"/>
      <c r="N119" s="1523"/>
    </row>
    <row r="120" spans="2:14">
      <c r="B120" s="1493" t="s">
        <v>4825</v>
      </c>
      <c r="C120" s="1524" t="s">
        <v>40</v>
      </c>
      <c r="D120" s="1518">
        <v>0</v>
      </c>
      <c r="E120" s="1518">
        <f>6548.35+3920+1868.16+2934.4</f>
        <v>15270.91</v>
      </c>
      <c r="F120" s="1518"/>
      <c r="G120" s="1518">
        <f t="shared" si="15"/>
        <v>15270.91</v>
      </c>
      <c r="H120" s="1518">
        <f t="shared" si="18"/>
        <v>15270.91</v>
      </c>
      <c r="I120" s="1533"/>
      <c r="J120" s="1532"/>
      <c r="K120" s="1534">
        <f>+G120</f>
        <v>15270.91</v>
      </c>
      <c r="L120" s="1518"/>
      <c r="M120" s="1518"/>
      <c r="N120" s="1523"/>
    </row>
    <row r="121" spans="2:14">
      <c r="B121" s="1535" t="s">
        <v>6744</v>
      </c>
      <c r="C121" s="1524" t="s">
        <v>40</v>
      </c>
      <c r="D121" s="1518">
        <v>856577.7</v>
      </c>
      <c r="E121" s="1532"/>
      <c r="F121" s="1518">
        <v>856577.7</v>
      </c>
      <c r="G121" s="1518">
        <f>+D121+E121-F121</f>
        <v>0</v>
      </c>
      <c r="H121" s="1518">
        <f>+SUM(I121:M121)</f>
        <v>0</v>
      </c>
      <c r="I121" s="1533"/>
      <c r="J121" s="1532"/>
      <c r="K121" s="1534"/>
      <c r="L121" s="1518">
        <f>+G121</f>
        <v>0</v>
      </c>
      <c r="M121" s="1518"/>
      <c r="N121" s="1523"/>
    </row>
    <row r="122" spans="2:14">
      <c r="B122" s="1493" t="s">
        <v>6586</v>
      </c>
      <c r="C122" s="1524" t="s">
        <v>5430</v>
      </c>
      <c r="D122" s="1518">
        <v>0</v>
      </c>
      <c r="E122" s="1532">
        <v>8999.2000000000007</v>
      </c>
      <c r="F122" s="1518"/>
      <c r="G122" s="1518">
        <f t="shared" si="15"/>
        <v>8999.2000000000007</v>
      </c>
      <c r="H122" s="1518">
        <f t="shared" ref="H122" si="19">+SUM(I122:M122)</f>
        <v>8999.2000000000007</v>
      </c>
      <c r="I122" s="1533"/>
      <c r="J122" s="1532"/>
      <c r="K122" s="1534">
        <f>+G122</f>
        <v>8999.2000000000007</v>
      </c>
      <c r="L122" s="1518"/>
      <c r="M122" s="1518"/>
      <c r="N122" s="1523"/>
    </row>
    <row r="123" spans="2:14">
      <c r="B123" s="1493" t="s">
        <v>6745</v>
      </c>
      <c r="C123" s="1524" t="s">
        <v>6746</v>
      </c>
      <c r="D123" s="1518">
        <v>0</v>
      </c>
      <c r="E123" s="1518">
        <v>16000</v>
      </c>
      <c r="F123" s="1518"/>
      <c r="G123" s="1518">
        <f t="shared" si="15"/>
        <v>16000</v>
      </c>
      <c r="H123" s="1518">
        <f t="shared" si="18"/>
        <v>16000</v>
      </c>
      <c r="I123" s="1518"/>
      <c r="J123" s="1518"/>
      <c r="K123" s="1518">
        <f>+G123</f>
        <v>16000</v>
      </c>
      <c r="L123" s="1519"/>
      <c r="M123" s="1519"/>
      <c r="N123" s="1523"/>
    </row>
    <row r="124" spans="2:14">
      <c r="B124" s="1526" t="s">
        <v>6747</v>
      </c>
      <c r="C124" s="1524" t="s">
        <v>6748</v>
      </c>
      <c r="D124" s="1518">
        <v>0</v>
      </c>
      <c r="E124" s="1518"/>
      <c r="F124" s="1518"/>
      <c r="G124" s="1518">
        <f t="shared" si="15"/>
        <v>0</v>
      </c>
      <c r="H124" s="1518">
        <f t="shared" si="18"/>
        <v>0</v>
      </c>
      <c r="I124" s="1518">
        <f>+G124</f>
        <v>0</v>
      </c>
      <c r="J124" s="1518"/>
      <c r="K124" s="1518"/>
      <c r="L124" s="1519"/>
      <c r="M124" s="1519"/>
      <c r="N124" s="1523"/>
    </row>
    <row r="125" spans="2:14">
      <c r="B125" s="1524"/>
      <c r="C125" s="1536" t="s">
        <v>6587</v>
      </c>
      <c r="D125" s="1537">
        <f t="shared" ref="D125:M125" si="20">SUM(D19:D124)</f>
        <v>12399423.310000001</v>
      </c>
      <c r="E125" s="1538">
        <f t="shared" si="20"/>
        <v>1539824.7049999998</v>
      </c>
      <c r="F125" s="1538">
        <f t="shared" si="20"/>
        <v>1892197.9</v>
      </c>
      <c r="G125" s="1538">
        <f t="shared" si="20"/>
        <v>12047050.115000002</v>
      </c>
      <c r="H125" s="1537">
        <f t="shared" si="20"/>
        <v>12047050.115000002</v>
      </c>
      <c r="I125" s="1537">
        <f t="shared" si="20"/>
        <v>1490371.23</v>
      </c>
      <c r="J125" s="1537">
        <f t="shared" si="20"/>
        <v>303129.15000000002</v>
      </c>
      <c r="K125" s="1537">
        <f t="shared" si="20"/>
        <v>9811891.0950000007</v>
      </c>
      <c r="L125" s="1537">
        <f t="shared" si="20"/>
        <v>441658.64</v>
      </c>
      <c r="M125" s="1537">
        <f t="shared" si="20"/>
        <v>0</v>
      </c>
      <c r="N125" s="1523"/>
    </row>
    <row r="126" spans="2:14">
      <c r="B126" s="1539"/>
      <c r="C126" s="1539"/>
      <c r="D126" s="1540"/>
      <c r="E126" s="1541"/>
      <c r="F126" s="1541"/>
      <c r="G126" s="1541"/>
      <c r="H126" s="1542"/>
      <c r="I126" s="1542"/>
      <c r="J126" s="1523"/>
      <c r="K126" s="1523"/>
      <c r="L126" s="1523"/>
      <c r="M126" s="1523"/>
      <c r="N126" s="1523"/>
    </row>
    <row r="127" spans="2:14">
      <c r="B127" s="1539"/>
      <c r="C127" s="1539"/>
      <c r="D127" s="1543"/>
      <c r="E127" s="1544"/>
      <c r="F127" s="1544"/>
      <c r="G127" s="1544"/>
      <c r="H127" s="1545"/>
      <c r="I127" s="1545"/>
      <c r="J127" s="1546"/>
      <c r="K127" s="1477"/>
      <c r="N127" s="1523"/>
    </row>
    <row r="128" spans="2:14" ht="38.25">
      <c r="B128" s="1509" t="s">
        <v>7</v>
      </c>
      <c r="C128" s="1509" t="s">
        <v>6505</v>
      </c>
      <c r="D128" s="1510" t="s">
        <v>6667</v>
      </c>
      <c r="E128" s="1510" t="s">
        <v>6678</v>
      </c>
      <c r="F128" s="1510" t="s">
        <v>6679</v>
      </c>
      <c r="G128" s="1510" t="s">
        <v>6680</v>
      </c>
      <c r="H128" s="1510" t="s">
        <v>6681</v>
      </c>
      <c r="I128" s="1511" t="s">
        <v>6488</v>
      </c>
      <c r="J128" s="1512" t="s">
        <v>6489</v>
      </c>
      <c r="K128" s="1513" t="s">
        <v>6508</v>
      </c>
      <c r="L128" s="1514" t="s">
        <v>6491</v>
      </c>
      <c r="M128" s="1515" t="s">
        <v>6492</v>
      </c>
      <c r="N128" s="1523"/>
    </row>
    <row r="129" spans="2:14">
      <c r="B129" s="1547" t="s">
        <v>6588</v>
      </c>
      <c r="C129" s="1548" t="s">
        <v>6749</v>
      </c>
      <c r="D129" s="1530"/>
      <c r="E129" s="1530"/>
      <c r="F129" s="1530"/>
      <c r="G129" s="1530"/>
      <c r="H129" s="1530"/>
      <c r="I129" s="1530"/>
      <c r="J129" s="1530"/>
      <c r="K129" s="1530"/>
      <c r="L129" s="1519"/>
      <c r="M129" s="1519"/>
      <c r="N129" s="1523"/>
    </row>
    <row r="130" spans="2:14">
      <c r="B130" s="1526" t="s">
        <v>6590</v>
      </c>
      <c r="C130" s="1524" t="s">
        <v>3013</v>
      </c>
      <c r="D130" s="1518">
        <v>0</v>
      </c>
      <c r="E130" s="1518"/>
      <c r="F130" s="1518"/>
      <c r="G130" s="1518">
        <f>+D130+E130-F130</f>
        <v>0</v>
      </c>
      <c r="H130" s="1518">
        <f>+SUM(I130:M130)</f>
        <v>0</v>
      </c>
      <c r="I130" s="1518">
        <f>+G130</f>
        <v>0</v>
      </c>
      <c r="J130" s="1518"/>
      <c r="K130" s="1530"/>
      <c r="L130" s="1519"/>
      <c r="M130" s="1519"/>
      <c r="N130" s="1523"/>
    </row>
    <row r="131" spans="2:14">
      <c r="B131" s="1526" t="s">
        <v>6591</v>
      </c>
      <c r="C131" s="1524" t="s">
        <v>3014</v>
      </c>
      <c r="D131" s="1518">
        <v>0</v>
      </c>
      <c r="E131" s="1518"/>
      <c r="F131" s="1518"/>
      <c r="G131" s="1518">
        <f t="shared" ref="G131:G142" si="21">+D131+E131-F131</f>
        <v>0</v>
      </c>
      <c r="H131" s="1518">
        <f t="shared" ref="H131:H142" si="22">+SUM(I131:M131)</f>
        <v>0</v>
      </c>
      <c r="I131" s="1518">
        <f t="shared" ref="I131:I134" si="23">+G131</f>
        <v>0</v>
      </c>
      <c r="J131" s="1518"/>
      <c r="K131" s="1530"/>
      <c r="L131" s="1519"/>
      <c r="M131" s="1519"/>
      <c r="N131" s="1523"/>
    </row>
    <row r="132" spans="2:14">
      <c r="B132" s="1526" t="s">
        <v>6592</v>
      </c>
      <c r="C132" s="1524" t="s">
        <v>6750</v>
      </c>
      <c r="D132" s="1518">
        <v>0</v>
      </c>
      <c r="E132" s="1518"/>
      <c r="F132" s="1518"/>
      <c r="G132" s="1518">
        <f t="shared" si="21"/>
        <v>0</v>
      </c>
      <c r="H132" s="1518">
        <f t="shared" si="22"/>
        <v>0</v>
      </c>
      <c r="I132" s="1518">
        <f t="shared" si="23"/>
        <v>0</v>
      </c>
      <c r="J132" s="1518"/>
      <c r="K132" s="1530"/>
      <c r="L132" s="1519"/>
      <c r="M132" s="1519"/>
      <c r="N132" s="1523"/>
    </row>
    <row r="133" spans="2:14">
      <c r="B133" s="1526" t="s">
        <v>6594</v>
      </c>
      <c r="C133" s="1524" t="s">
        <v>3032</v>
      </c>
      <c r="D133" s="1518">
        <v>0</v>
      </c>
      <c r="E133" s="1518"/>
      <c r="F133" s="1518"/>
      <c r="G133" s="1518">
        <f t="shared" si="21"/>
        <v>0</v>
      </c>
      <c r="H133" s="1518">
        <f t="shared" si="22"/>
        <v>0</v>
      </c>
      <c r="I133" s="1518">
        <f t="shared" si="23"/>
        <v>0</v>
      </c>
      <c r="J133" s="1518"/>
      <c r="K133" s="1530"/>
      <c r="L133" s="1519"/>
      <c r="M133" s="1519"/>
      <c r="N133" s="1523"/>
    </row>
    <row r="134" spans="2:14">
      <c r="B134" s="1526" t="s">
        <v>6595</v>
      </c>
      <c r="C134" s="1524" t="s">
        <v>6751</v>
      </c>
      <c r="D134" s="1518">
        <v>0</v>
      </c>
      <c r="E134" s="1518"/>
      <c r="F134" s="1518"/>
      <c r="G134" s="1518">
        <f t="shared" si="21"/>
        <v>0</v>
      </c>
      <c r="H134" s="1518">
        <f t="shared" si="22"/>
        <v>0</v>
      </c>
      <c r="I134" s="1518">
        <f t="shared" si="23"/>
        <v>0</v>
      </c>
      <c r="J134" s="1518"/>
      <c r="K134" s="1530"/>
      <c r="L134" s="1519"/>
      <c r="M134" s="1519"/>
      <c r="N134" s="1523"/>
    </row>
    <row r="135" spans="2:14">
      <c r="B135" s="1527" t="s">
        <v>6624</v>
      </c>
      <c r="C135" s="1524" t="s">
        <v>6752</v>
      </c>
      <c r="D135" s="1518">
        <v>0</v>
      </c>
      <c r="E135" s="1518"/>
      <c r="F135" s="1518"/>
      <c r="G135" s="1518">
        <f t="shared" si="21"/>
        <v>0</v>
      </c>
      <c r="H135" s="1518">
        <f t="shared" si="22"/>
        <v>0</v>
      </c>
      <c r="I135" s="1518"/>
      <c r="J135" s="1518">
        <f>+G135</f>
        <v>0</v>
      </c>
      <c r="K135" s="1530"/>
      <c r="L135" s="1519"/>
      <c r="M135" s="1519"/>
      <c r="N135" s="1523"/>
    </row>
    <row r="136" spans="2:14">
      <c r="B136" s="1527" t="s">
        <v>6651</v>
      </c>
      <c r="C136" s="1524" t="s">
        <v>6753</v>
      </c>
      <c r="D136" s="1518">
        <v>0</v>
      </c>
      <c r="E136" s="1518"/>
      <c r="F136" s="1518"/>
      <c r="G136" s="1518">
        <f t="shared" si="21"/>
        <v>0</v>
      </c>
      <c r="H136" s="1518">
        <f t="shared" si="22"/>
        <v>0</v>
      </c>
      <c r="I136" s="1518"/>
      <c r="J136" s="1518">
        <f t="shared" ref="J136:J142" si="24">+G136</f>
        <v>0</v>
      </c>
      <c r="K136" s="1530"/>
      <c r="L136" s="1519"/>
      <c r="M136" s="1519"/>
      <c r="N136" s="1523"/>
    </row>
    <row r="137" spans="2:14">
      <c r="B137" s="1527" t="s">
        <v>6654</v>
      </c>
      <c r="C137" s="1524" t="s">
        <v>3817</v>
      </c>
      <c r="D137" s="1518">
        <v>0</v>
      </c>
      <c r="E137" s="1518"/>
      <c r="F137" s="1518"/>
      <c r="G137" s="1518">
        <f t="shared" si="21"/>
        <v>0</v>
      </c>
      <c r="H137" s="1518">
        <f t="shared" si="22"/>
        <v>0</v>
      </c>
      <c r="I137" s="1518"/>
      <c r="J137" s="1518">
        <f t="shared" si="24"/>
        <v>0</v>
      </c>
      <c r="K137" s="1530"/>
      <c r="L137" s="1519"/>
      <c r="M137" s="1519"/>
      <c r="N137" s="1523"/>
    </row>
    <row r="138" spans="2:14">
      <c r="B138" s="1527" t="s">
        <v>6754</v>
      </c>
      <c r="C138" s="1524" t="s">
        <v>6755</v>
      </c>
      <c r="D138" s="1518">
        <v>0</v>
      </c>
      <c r="E138" s="1518"/>
      <c r="F138" s="1518"/>
      <c r="G138" s="1518">
        <f>+D138+E138-F138</f>
        <v>0</v>
      </c>
      <c r="H138" s="1518">
        <f t="shared" si="22"/>
        <v>0</v>
      </c>
      <c r="I138" s="1518"/>
      <c r="J138" s="1518">
        <f>+G138</f>
        <v>0</v>
      </c>
      <c r="K138" s="1530"/>
      <c r="L138" s="1519"/>
      <c r="M138" s="1519"/>
      <c r="N138" s="1523"/>
    </row>
    <row r="139" spans="2:14">
      <c r="B139" s="1527" t="s">
        <v>5260</v>
      </c>
      <c r="C139" s="1524" t="s">
        <v>3341</v>
      </c>
      <c r="D139" s="1518">
        <v>0</v>
      </c>
      <c r="E139" s="1518"/>
      <c r="F139" s="1518"/>
      <c r="G139" s="1518">
        <f t="shared" si="21"/>
        <v>0</v>
      </c>
      <c r="H139" s="1518">
        <f t="shared" si="22"/>
        <v>0</v>
      </c>
      <c r="I139" s="1518"/>
      <c r="J139" s="1518">
        <f t="shared" si="24"/>
        <v>0</v>
      </c>
      <c r="K139" s="1518"/>
      <c r="L139" s="1519"/>
      <c r="M139" s="1519"/>
      <c r="N139" s="1523"/>
    </row>
    <row r="140" spans="2:14">
      <c r="B140" s="1527" t="s">
        <v>6578</v>
      </c>
      <c r="C140" s="1524" t="s">
        <v>6756</v>
      </c>
      <c r="D140" s="1518">
        <v>0</v>
      </c>
      <c r="E140" s="1518"/>
      <c r="F140" s="1518"/>
      <c r="G140" s="1518">
        <f t="shared" si="21"/>
        <v>0</v>
      </c>
      <c r="H140" s="1518">
        <f t="shared" si="22"/>
        <v>0</v>
      </c>
      <c r="I140" s="1518"/>
      <c r="J140" s="1518">
        <f t="shared" si="24"/>
        <v>0</v>
      </c>
      <c r="K140" s="1518"/>
      <c r="L140" s="1519"/>
      <c r="M140" s="1519"/>
      <c r="N140" s="1523"/>
    </row>
    <row r="141" spans="2:14">
      <c r="B141" s="1527" t="s">
        <v>5252</v>
      </c>
      <c r="C141" s="1524" t="s">
        <v>39</v>
      </c>
      <c r="D141" s="1518">
        <v>0</v>
      </c>
      <c r="E141" s="1518"/>
      <c r="F141" s="1518"/>
      <c r="G141" s="1518">
        <f t="shared" si="21"/>
        <v>0</v>
      </c>
      <c r="H141" s="1518">
        <f t="shared" si="22"/>
        <v>0</v>
      </c>
      <c r="I141" s="1518"/>
      <c r="J141" s="1518">
        <f>+G141</f>
        <v>0</v>
      </c>
      <c r="K141" s="1518"/>
      <c r="L141" s="1519"/>
      <c r="M141" s="1519"/>
      <c r="N141" s="1523"/>
    </row>
    <row r="142" spans="2:14">
      <c r="B142" s="1527" t="s">
        <v>6743</v>
      </c>
      <c r="C142" s="1524" t="s">
        <v>40</v>
      </c>
      <c r="D142" s="1518">
        <v>0</v>
      </c>
      <c r="E142" s="1518"/>
      <c r="F142" s="1518"/>
      <c r="G142" s="1518">
        <f t="shared" si="21"/>
        <v>0</v>
      </c>
      <c r="H142" s="1518">
        <f t="shared" si="22"/>
        <v>0</v>
      </c>
      <c r="I142" s="1518"/>
      <c r="J142" s="1518">
        <f t="shared" si="24"/>
        <v>0</v>
      </c>
      <c r="K142" s="1518"/>
      <c r="L142" s="1519"/>
      <c r="M142" s="1519"/>
      <c r="N142" s="1523"/>
    </row>
    <row r="143" spans="2:14">
      <c r="B143" s="1549"/>
      <c r="C143" s="1536" t="s">
        <v>6757</v>
      </c>
      <c r="D143" s="1538">
        <f>SUM(D130:D142)</f>
        <v>0</v>
      </c>
      <c r="E143" s="1538">
        <f>SUM(E130:E142)</f>
        <v>0</v>
      </c>
      <c r="F143" s="1538">
        <f>SUM(F130:F142)</f>
        <v>0</v>
      </c>
      <c r="G143" s="1538">
        <f>SUM(G130:G142)</f>
        <v>0</v>
      </c>
      <c r="H143" s="1538">
        <f>SUM(H130:H142)</f>
        <v>0</v>
      </c>
      <c r="I143" s="1538">
        <f>SUM(I130:I137)</f>
        <v>0</v>
      </c>
      <c r="J143" s="1538">
        <f>SUM(J130:J142)</f>
        <v>0</v>
      </c>
      <c r="K143" s="1538">
        <f>SUM(K130:K137)</f>
        <v>0</v>
      </c>
      <c r="L143" s="1538">
        <f>SUM(L130:L137)</f>
        <v>0</v>
      </c>
      <c r="M143" s="1538">
        <f>SUM(M130:M137)</f>
        <v>0</v>
      </c>
      <c r="N143" s="1523"/>
    </row>
    <row r="144" spans="2:14">
      <c r="B144" s="1550"/>
      <c r="C144" s="1551"/>
      <c r="D144" s="1539"/>
      <c r="E144" s="1539"/>
      <c r="F144" s="1539"/>
      <c r="G144" s="1539"/>
      <c r="H144" s="1539"/>
      <c r="I144" s="1539"/>
      <c r="J144" s="1539"/>
      <c r="K144" s="1539"/>
      <c r="N144" s="1523"/>
    </row>
    <row r="145" spans="2:14">
      <c r="B145" s="1552"/>
      <c r="C145" s="1552"/>
      <c r="D145" s="1539"/>
      <c r="E145" s="1539"/>
      <c r="F145" s="1539"/>
      <c r="G145" s="1539"/>
      <c r="H145" s="1539"/>
      <c r="I145" s="1539"/>
      <c r="J145" s="1539"/>
      <c r="K145" s="1539"/>
      <c r="N145" s="1523"/>
    </row>
    <row r="146" spans="2:14" ht="38.25">
      <c r="B146" s="1509" t="s">
        <v>7</v>
      </c>
      <c r="C146" s="1509" t="s">
        <v>6505</v>
      </c>
      <c r="D146" s="1510" t="s">
        <v>6667</v>
      </c>
      <c r="E146" s="1510" t="s">
        <v>6678</v>
      </c>
      <c r="F146" s="1510" t="s">
        <v>6679</v>
      </c>
      <c r="G146" s="1510" t="s">
        <v>6680</v>
      </c>
      <c r="H146" s="1510" t="s">
        <v>6681</v>
      </c>
      <c r="I146" s="1511" t="s">
        <v>6488</v>
      </c>
      <c r="J146" s="1512" t="s">
        <v>6489</v>
      </c>
      <c r="K146" s="1513" t="s">
        <v>6508</v>
      </c>
      <c r="L146" s="1514" t="s">
        <v>6491</v>
      </c>
      <c r="M146" s="1515" t="s">
        <v>6492</v>
      </c>
      <c r="N146" s="1523"/>
    </row>
    <row r="147" spans="2:14">
      <c r="B147" s="1547" t="s">
        <v>6758</v>
      </c>
      <c r="C147" s="1548" t="s">
        <v>6759</v>
      </c>
      <c r="D147" s="1530"/>
      <c r="E147" s="1530"/>
      <c r="F147" s="1530"/>
      <c r="G147" s="1530"/>
      <c r="H147" s="1530"/>
      <c r="I147" s="1530"/>
      <c r="J147" s="1530"/>
      <c r="K147" s="1530"/>
      <c r="L147" s="1519"/>
      <c r="M147" s="1519"/>
      <c r="N147" s="1523"/>
    </row>
    <row r="148" spans="2:14">
      <c r="B148" s="1493" t="s">
        <v>6514</v>
      </c>
      <c r="C148" s="1524" t="s">
        <v>6760</v>
      </c>
      <c r="D148" s="1518">
        <v>9240539.5199999884</v>
      </c>
      <c r="E148" s="1518"/>
      <c r="F148" s="1518"/>
      <c r="G148" s="1518">
        <f>+D148+E148-F148</f>
        <v>9240539.5199999884</v>
      </c>
      <c r="H148" s="1518">
        <f>+SUM(I148:M148)</f>
        <v>9240539.5199999884</v>
      </c>
      <c r="I148" s="1518"/>
      <c r="J148" s="1518"/>
      <c r="K148" s="1518">
        <f t="shared" ref="K148:K154" si="25">+G148</f>
        <v>9240539.5199999884</v>
      </c>
      <c r="L148" s="1519"/>
      <c r="M148" s="1519"/>
      <c r="N148" s="1523"/>
    </row>
    <row r="149" spans="2:14">
      <c r="B149" s="1493" t="s">
        <v>6515</v>
      </c>
      <c r="C149" s="1524" t="s">
        <v>3013</v>
      </c>
      <c r="D149" s="1518">
        <v>1139513.82</v>
      </c>
      <c r="E149" s="1518"/>
      <c r="F149" s="1518"/>
      <c r="G149" s="1518">
        <f t="shared" ref="G149:G207" si="26">+D149+E149-F149</f>
        <v>1139513.82</v>
      </c>
      <c r="H149" s="1518">
        <f t="shared" ref="H149:H207" si="27">+SUM(I149:M149)</f>
        <v>1139513.82</v>
      </c>
      <c r="I149" s="1518"/>
      <c r="J149" s="1518"/>
      <c r="K149" s="1518">
        <f t="shared" si="25"/>
        <v>1139513.82</v>
      </c>
      <c r="L149" s="1519"/>
      <c r="M149" s="1519"/>
      <c r="N149" s="1523"/>
    </row>
    <row r="150" spans="2:14">
      <c r="B150" s="1493" t="s">
        <v>6517</v>
      </c>
      <c r="C150" s="1524" t="s">
        <v>3014</v>
      </c>
      <c r="D150" s="1518">
        <v>246300</v>
      </c>
      <c r="E150" s="1518"/>
      <c r="F150" s="1518"/>
      <c r="G150" s="1518">
        <f t="shared" si="26"/>
        <v>246300</v>
      </c>
      <c r="H150" s="1518">
        <f t="shared" si="27"/>
        <v>246300</v>
      </c>
      <c r="I150" s="1518"/>
      <c r="J150" s="1518"/>
      <c r="K150" s="1518">
        <f t="shared" si="25"/>
        <v>246300</v>
      </c>
      <c r="L150" s="1519"/>
      <c r="M150" s="1519"/>
      <c r="N150" s="1523"/>
    </row>
    <row r="151" spans="2:14">
      <c r="B151" s="1493" t="s">
        <v>6593</v>
      </c>
      <c r="C151" s="1524" t="s">
        <v>6750</v>
      </c>
      <c r="D151" s="1518">
        <v>4433677.5999999996</v>
      </c>
      <c r="E151" s="1518"/>
      <c r="F151" s="1518"/>
      <c r="G151" s="1518">
        <f t="shared" si="26"/>
        <v>4433677.5999999996</v>
      </c>
      <c r="H151" s="1518">
        <f t="shared" si="27"/>
        <v>4433677.5999999996</v>
      </c>
      <c r="I151" s="1518"/>
      <c r="J151" s="1518"/>
      <c r="K151" s="1518">
        <f t="shared" si="25"/>
        <v>4433677.5999999996</v>
      </c>
      <c r="L151" s="1519"/>
      <c r="M151" s="1519"/>
      <c r="N151" s="1523"/>
    </row>
    <row r="152" spans="2:14">
      <c r="B152" s="1493" t="s">
        <v>6527</v>
      </c>
      <c r="C152" s="1524" t="s">
        <v>3032</v>
      </c>
      <c r="D152" s="1518">
        <v>1251170.9600000002</v>
      </c>
      <c r="E152" s="1518"/>
      <c r="F152" s="1518"/>
      <c r="G152" s="1518">
        <f t="shared" si="26"/>
        <v>1251170.9600000002</v>
      </c>
      <c r="H152" s="1518">
        <f t="shared" si="27"/>
        <v>1251170.9600000002</v>
      </c>
      <c r="I152" s="1518"/>
      <c r="J152" s="1518"/>
      <c r="K152" s="1518">
        <f t="shared" si="25"/>
        <v>1251170.9600000002</v>
      </c>
      <c r="L152" s="1519"/>
      <c r="M152" s="1519"/>
      <c r="N152" s="1523"/>
    </row>
    <row r="153" spans="2:14">
      <c r="B153" s="1493" t="s">
        <v>6528</v>
      </c>
      <c r="C153" s="1524" t="s">
        <v>3039</v>
      </c>
      <c r="D153" s="1518">
        <v>1139058.8999999999</v>
      </c>
      <c r="E153" s="1518"/>
      <c r="F153" s="1518"/>
      <c r="G153" s="1518">
        <f t="shared" si="26"/>
        <v>1139058.8999999999</v>
      </c>
      <c r="H153" s="1518">
        <f t="shared" si="27"/>
        <v>1139058.8999999999</v>
      </c>
      <c r="I153" s="1518"/>
      <c r="J153" s="1518"/>
      <c r="K153" s="1518">
        <f t="shared" si="25"/>
        <v>1139058.8999999999</v>
      </c>
      <c r="L153" s="1519"/>
      <c r="M153" s="1519"/>
      <c r="N153" s="1523"/>
    </row>
    <row r="154" spans="2:14">
      <c r="B154" s="1493" t="s">
        <v>6529</v>
      </c>
      <c r="C154" s="1524" t="s">
        <v>6761</v>
      </c>
      <c r="D154" s="1518">
        <v>1500</v>
      </c>
      <c r="E154" s="1518"/>
      <c r="F154" s="1518"/>
      <c r="G154" s="1518">
        <f t="shared" si="26"/>
        <v>1500</v>
      </c>
      <c r="H154" s="1518">
        <f t="shared" si="27"/>
        <v>1500</v>
      </c>
      <c r="I154" s="1518"/>
      <c r="J154" s="1518"/>
      <c r="K154" s="1518">
        <f t="shared" si="25"/>
        <v>1500</v>
      </c>
      <c r="L154" s="1519"/>
      <c r="M154" s="1519"/>
      <c r="N154" s="1523"/>
    </row>
    <row r="155" spans="2:14">
      <c r="B155" s="1493" t="s">
        <v>6530</v>
      </c>
      <c r="C155" s="1524" t="s">
        <v>6531</v>
      </c>
      <c r="D155" s="1518">
        <v>0</v>
      </c>
      <c r="E155" s="1518"/>
      <c r="F155" s="1518"/>
      <c r="G155" s="1518">
        <f t="shared" si="26"/>
        <v>0</v>
      </c>
      <c r="H155" s="1518">
        <f t="shared" si="27"/>
        <v>0</v>
      </c>
      <c r="I155" s="1518"/>
      <c r="J155" s="1518"/>
      <c r="K155" s="1522">
        <f>G155</f>
        <v>0</v>
      </c>
      <c r="L155" s="1518"/>
      <c r="M155" s="1518"/>
      <c r="N155" s="1523"/>
    </row>
    <row r="156" spans="2:14">
      <c r="B156" s="1526" t="s">
        <v>6762</v>
      </c>
      <c r="C156" s="1521" t="s">
        <v>3775</v>
      </c>
      <c r="D156" s="1518">
        <v>0</v>
      </c>
      <c r="E156" s="1518"/>
      <c r="F156" s="1518"/>
      <c r="G156" s="1518">
        <f t="shared" si="26"/>
        <v>0</v>
      </c>
      <c r="H156" s="1518">
        <f t="shared" si="27"/>
        <v>0</v>
      </c>
      <c r="I156" s="1518">
        <f>+G156</f>
        <v>0</v>
      </c>
      <c r="J156" s="1518"/>
      <c r="K156" s="1518"/>
      <c r="L156" s="1519"/>
      <c r="M156" s="1519"/>
      <c r="N156" s="1523"/>
    </row>
    <row r="157" spans="2:14">
      <c r="B157" s="1526" t="s">
        <v>6763</v>
      </c>
      <c r="C157" s="1524" t="s">
        <v>3778</v>
      </c>
      <c r="D157" s="1518">
        <v>0</v>
      </c>
      <c r="E157" s="1518"/>
      <c r="F157" s="1518"/>
      <c r="G157" s="1518">
        <f t="shared" si="26"/>
        <v>0</v>
      </c>
      <c r="H157" s="1518">
        <f t="shared" si="27"/>
        <v>0</v>
      </c>
      <c r="I157" s="1518">
        <f t="shared" ref="I157:I158" si="28">+G157</f>
        <v>0</v>
      </c>
      <c r="J157" s="1518"/>
      <c r="K157" s="1518"/>
      <c r="L157" s="1519"/>
      <c r="M157" s="1519"/>
      <c r="N157" s="1523"/>
    </row>
    <row r="158" spans="2:14">
      <c r="B158" s="1526" t="s">
        <v>6618</v>
      </c>
      <c r="C158" s="1524" t="s">
        <v>881</v>
      </c>
      <c r="D158" s="1518">
        <v>0</v>
      </c>
      <c r="E158" s="1518"/>
      <c r="F158" s="1518"/>
      <c r="G158" s="1518">
        <f t="shared" si="26"/>
        <v>0</v>
      </c>
      <c r="H158" s="1518">
        <f t="shared" si="27"/>
        <v>0</v>
      </c>
      <c r="I158" s="1518">
        <f t="shared" si="28"/>
        <v>0</v>
      </c>
      <c r="J158" s="1518"/>
      <c r="K158" s="1518"/>
      <c r="L158" s="1519"/>
      <c r="M158" s="1519"/>
      <c r="N158" s="1523"/>
    </row>
    <row r="159" spans="2:14">
      <c r="B159" s="1526" t="s">
        <v>5012</v>
      </c>
      <c r="C159" s="1524" t="s">
        <v>6764</v>
      </c>
      <c r="D159" s="1518">
        <v>0</v>
      </c>
      <c r="E159" s="1518"/>
      <c r="F159" s="1518"/>
      <c r="G159" s="1518">
        <f t="shared" si="26"/>
        <v>0</v>
      </c>
      <c r="H159" s="1518">
        <f t="shared" si="27"/>
        <v>0</v>
      </c>
      <c r="I159" s="1518">
        <f>+G159</f>
        <v>0</v>
      </c>
      <c r="J159" s="1518"/>
      <c r="K159" s="1518"/>
      <c r="L159" s="1519"/>
      <c r="M159" s="1519"/>
      <c r="N159" s="1523"/>
    </row>
    <row r="160" spans="2:14">
      <c r="B160" s="1526" t="s">
        <v>6765</v>
      </c>
      <c r="C160" s="1524" t="s">
        <v>471</v>
      </c>
      <c r="D160" s="1518">
        <v>3710.56</v>
      </c>
      <c r="E160" s="1518"/>
      <c r="F160" s="1518"/>
      <c r="G160" s="1518">
        <f t="shared" si="26"/>
        <v>3710.56</v>
      </c>
      <c r="H160" s="1518">
        <f t="shared" si="27"/>
        <v>3710.56</v>
      </c>
      <c r="I160" s="1518">
        <f>+G160</f>
        <v>3710.56</v>
      </c>
      <c r="J160" s="1518"/>
      <c r="K160" s="1518"/>
      <c r="L160" s="1519"/>
      <c r="M160" s="1519"/>
      <c r="N160" s="1523"/>
    </row>
    <row r="161" spans="2:14">
      <c r="B161" s="1527" t="s">
        <v>6766</v>
      </c>
      <c r="C161" s="1524" t="s">
        <v>1323</v>
      </c>
      <c r="D161" s="1518">
        <v>0</v>
      </c>
      <c r="E161" s="1518">
        <v>5040</v>
      </c>
      <c r="F161" s="1518"/>
      <c r="G161" s="1518">
        <f t="shared" si="26"/>
        <v>5040</v>
      </c>
      <c r="H161" s="1518">
        <f t="shared" si="27"/>
        <v>5040</v>
      </c>
      <c r="I161" s="1518"/>
      <c r="J161" s="1518">
        <f>+G161</f>
        <v>5040</v>
      </c>
      <c r="K161" s="1518"/>
      <c r="L161" s="1519"/>
      <c r="M161" s="1519"/>
      <c r="N161" s="1523"/>
    </row>
    <row r="162" spans="2:14">
      <c r="B162" s="1526" t="s">
        <v>6767</v>
      </c>
      <c r="C162" s="1524" t="s">
        <v>27</v>
      </c>
      <c r="D162" s="1518">
        <v>0</v>
      </c>
      <c r="E162" s="1518"/>
      <c r="F162" s="1518"/>
      <c r="G162" s="1518">
        <f t="shared" si="26"/>
        <v>0</v>
      </c>
      <c r="H162" s="1518">
        <f t="shared" si="27"/>
        <v>0</v>
      </c>
      <c r="I162" s="1518">
        <f>+G162</f>
        <v>0</v>
      </c>
      <c r="J162" s="1518"/>
      <c r="K162" s="1522"/>
      <c r="L162" s="1518"/>
      <c r="M162" s="1518"/>
      <c r="N162" s="1523"/>
    </row>
    <row r="163" spans="2:14">
      <c r="B163" s="1526" t="s">
        <v>6621</v>
      </c>
      <c r="C163" s="1524" t="s">
        <v>29</v>
      </c>
      <c r="D163" s="1518">
        <v>0</v>
      </c>
      <c r="E163" s="1518"/>
      <c r="F163" s="1518"/>
      <c r="G163" s="1518">
        <f t="shared" si="26"/>
        <v>0</v>
      </c>
      <c r="H163" s="1518">
        <f t="shared" si="27"/>
        <v>0</v>
      </c>
      <c r="I163" s="1518">
        <f t="shared" ref="I163:I165" si="29">+G163</f>
        <v>0</v>
      </c>
      <c r="J163" s="1518"/>
      <c r="K163" s="1522"/>
      <c r="L163" s="1518"/>
      <c r="M163" s="1518"/>
      <c r="N163" s="1523"/>
    </row>
    <row r="164" spans="2:14">
      <c r="B164" s="1526" t="s">
        <v>6768</v>
      </c>
      <c r="C164" s="1524" t="s">
        <v>30</v>
      </c>
      <c r="D164" s="1518">
        <v>0</v>
      </c>
      <c r="E164" s="1518"/>
      <c r="F164" s="1518"/>
      <c r="G164" s="1518">
        <f t="shared" si="26"/>
        <v>0</v>
      </c>
      <c r="H164" s="1518">
        <f t="shared" si="27"/>
        <v>0</v>
      </c>
      <c r="I164" s="1518">
        <f t="shared" si="29"/>
        <v>0</v>
      </c>
      <c r="J164" s="1518"/>
      <c r="K164" s="1522"/>
      <c r="L164" s="1518"/>
      <c r="M164" s="1518"/>
      <c r="N164" s="1523"/>
    </row>
    <row r="165" spans="2:14">
      <c r="B165" s="1526" t="s">
        <v>6699</v>
      </c>
      <c r="C165" s="1521" t="s">
        <v>281</v>
      </c>
      <c r="D165" s="1518">
        <v>699504.22</v>
      </c>
      <c r="E165" s="1518">
        <v>25448.78</v>
      </c>
      <c r="F165" s="1518">
        <f>6720+6720</f>
        <v>13440</v>
      </c>
      <c r="G165" s="1518">
        <f t="shared" si="26"/>
        <v>711513</v>
      </c>
      <c r="H165" s="1518">
        <f t="shared" si="27"/>
        <v>711513</v>
      </c>
      <c r="I165" s="1518">
        <f t="shared" si="29"/>
        <v>711513</v>
      </c>
      <c r="J165" s="1518"/>
      <c r="K165" s="1522"/>
      <c r="L165" s="1518"/>
      <c r="M165" s="1518"/>
      <c r="N165" s="1523"/>
    </row>
    <row r="166" spans="2:14">
      <c r="B166" s="1527" t="s">
        <v>6700</v>
      </c>
      <c r="C166" s="1524" t="s">
        <v>281</v>
      </c>
      <c r="D166" s="1518">
        <v>0</v>
      </c>
      <c r="E166" s="1518">
        <v>77722.59</v>
      </c>
      <c r="F166" s="1518"/>
      <c r="G166" s="1518">
        <f t="shared" si="26"/>
        <v>77722.59</v>
      </c>
      <c r="H166" s="1518">
        <f t="shared" si="27"/>
        <v>77722.59</v>
      </c>
      <c r="I166" s="1518"/>
      <c r="J166" s="1518">
        <f>+G166</f>
        <v>77722.59</v>
      </c>
      <c r="K166" s="1522"/>
      <c r="L166" s="1518"/>
      <c r="M166" s="1518"/>
      <c r="N166" s="1523"/>
    </row>
    <row r="167" spans="2:14">
      <c r="B167" s="1493" t="s">
        <v>6701</v>
      </c>
      <c r="C167" s="1524" t="s">
        <v>281</v>
      </c>
      <c r="D167" s="1518">
        <v>0</v>
      </c>
      <c r="E167" s="1518">
        <f>5666.86+44380+123677.98</f>
        <v>173724.84</v>
      </c>
      <c r="F167" s="1518"/>
      <c r="G167" s="1518">
        <f t="shared" si="26"/>
        <v>173724.84</v>
      </c>
      <c r="H167" s="1518">
        <f t="shared" si="27"/>
        <v>173724.84</v>
      </c>
      <c r="I167" s="1518"/>
      <c r="J167" s="1518"/>
      <c r="K167" s="1522">
        <f>+G167</f>
        <v>173724.84</v>
      </c>
      <c r="L167" s="1518"/>
      <c r="M167" s="1518"/>
      <c r="N167" s="1523"/>
    </row>
    <row r="168" spans="2:14">
      <c r="B168" s="1553" t="s">
        <v>6769</v>
      </c>
      <c r="C168" s="1524" t="s">
        <v>281</v>
      </c>
      <c r="D168" s="1518">
        <v>0</v>
      </c>
      <c r="E168" s="1518"/>
      <c r="F168" s="1518"/>
      <c r="G168" s="1518">
        <f t="shared" si="26"/>
        <v>0</v>
      </c>
      <c r="H168" s="1518">
        <f t="shared" si="27"/>
        <v>0</v>
      </c>
      <c r="I168" s="1518"/>
      <c r="J168" s="1518"/>
      <c r="K168" s="1522"/>
      <c r="L168" s="1518"/>
      <c r="M168" s="1518">
        <v>0</v>
      </c>
      <c r="N168" s="1523"/>
    </row>
    <row r="169" spans="2:14">
      <c r="B169" s="1526" t="s">
        <v>6704</v>
      </c>
      <c r="C169" s="1524" t="s">
        <v>505</v>
      </c>
      <c r="D169" s="1518">
        <v>13224.45</v>
      </c>
      <c r="E169" s="1518"/>
      <c r="F169" s="1518">
        <f>9200</f>
        <v>9200</v>
      </c>
      <c r="G169" s="1518">
        <f t="shared" si="26"/>
        <v>4024.4500000000007</v>
      </c>
      <c r="H169" s="1518">
        <f t="shared" si="27"/>
        <v>4024.4500000000007</v>
      </c>
      <c r="I169" s="1518">
        <f>+G169</f>
        <v>4024.4500000000007</v>
      </c>
      <c r="J169" s="1518"/>
      <c r="K169" s="1522"/>
      <c r="L169" s="1518"/>
      <c r="M169" s="1518"/>
      <c r="N169" s="1523"/>
    </row>
    <row r="170" spans="2:14">
      <c r="B170" s="1527" t="s">
        <v>6770</v>
      </c>
      <c r="C170" s="1524" t="s">
        <v>6771</v>
      </c>
      <c r="D170" s="1518">
        <v>0</v>
      </c>
      <c r="E170" s="1518"/>
      <c r="F170" s="1518"/>
      <c r="G170" s="1518">
        <f t="shared" si="26"/>
        <v>0</v>
      </c>
      <c r="H170" s="1518">
        <f t="shared" si="27"/>
        <v>0</v>
      </c>
      <c r="I170" s="1518"/>
      <c r="J170" s="1518">
        <f>+G170</f>
        <v>0</v>
      </c>
      <c r="K170" s="1522"/>
      <c r="L170" s="1518"/>
      <c r="M170" s="1518"/>
      <c r="N170" s="1523"/>
    </row>
    <row r="171" spans="2:14">
      <c r="B171" s="1526" t="s">
        <v>6600</v>
      </c>
      <c r="C171" s="1524" t="s">
        <v>6752</v>
      </c>
      <c r="D171" s="1518">
        <v>163590.15</v>
      </c>
      <c r="E171" s="1518"/>
      <c r="F171" s="1518">
        <v>3590.15</v>
      </c>
      <c r="G171" s="1518">
        <f t="shared" si="26"/>
        <v>160000</v>
      </c>
      <c r="H171" s="1518">
        <f t="shared" si="27"/>
        <v>160000</v>
      </c>
      <c r="I171" s="1518">
        <f>+G171</f>
        <v>160000</v>
      </c>
      <c r="J171" s="1518"/>
      <c r="K171" s="1518"/>
      <c r="L171" s="1519"/>
      <c r="M171" s="1519"/>
      <c r="N171" s="1523"/>
    </row>
    <row r="172" spans="2:14">
      <c r="B172" s="1526" t="s">
        <v>6601</v>
      </c>
      <c r="C172" s="1524" t="s">
        <v>1360</v>
      </c>
      <c r="D172" s="1518">
        <v>40000</v>
      </c>
      <c r="E172" s="1518">
        <v>20000</v>
      </c>
      <c r="F172" s="1518"/>
      <c r="G172" s="1518">
        <f t="shared" si="26"/>
        <v>60000</v>
      </c>
      <c r="H172" s="1518">
        <f t="shared" si="27"/>
        <v>60000</v>
      </c>
      <c r="I172" s="1518">
        <f>+G172</f>
        <v>60000</v>
      </c>
      <c r="J172" s="1518"/>
      <c r="K172" s="1518"/>
      <c r="L172" s="1519"/>
      <c r="M172" s="1519"/>
      <c r="N172" s="1523"/>
    </row>
    <row r="173" spans="2:14">
      <c r="B173" s="1493" t="s">
        <v>6603</v>
      </c>
      <c r="C173" s="1524" t="s">
        <v>1360</v>
      </c>
      <c r="D173" s="1518">
        <v>22400</v>
      </c>
      <c r="E173" s="1518"/>
      <c r="F173" s="1518">
        <v>22400</v>
      </c>
      <c r="G173" s="1518">
        <f t="shared" si="26"/>
        <v>0</v>
      </c>
      <c r="H173" s="1518">
        <f t="shared" si="27"/>
        <v>0</v>
      </c>
      <c r="I173" s="1518"/>
      <c r="J173" s="1518"/>
      <c r="K173" s="1518">
        <f>+G173</f>
        <v>0</v>
      </c>
      <c r="L173" s="1519"/>
      <c r="M173" s="1519"/>
      <c r="N173" s="1523"/>
    </row>
    <row r="174" spans="2:14">
      <c r="B174" s="1526" t="s">
        <v>6604</v>
      </c>
      <c r="C174" s="1524" t="s">
        <v>2398</v>
      </c>
      <c r="D174" s="1518">
        <v>20160</v>
      </c>
      <c r="E174" s="1518">
        <v>34151.300000000003</v>
      </c>
      <c r="F174" s="1518"/>
      <c r="G174" s="1518">
        <f t="shared" si="26"/>
        <v>54311.3</v>
      </c>
      <c r="H174" s="1518">
        <f t="shared" si="27"/>
        <v>54311.3</v>
      </c>
      <c r="I174" s="1518">
        <f>+G174</f>
        <v>54311.3</v>
      </c>
      <c r="J174" s="1518"/>
      <c r="K174" s="1518"/>
      <c r="L174" s="1519"/>
      <c r="M174" s="1519"/>
      <c r="N174" s="1523"/>
    </row>
    <row r="175" spans="2:14">
      <c r="B175" s="1526" t="s">
        <v>6772</v>
      </c>
      <c r="C175" s="1524" t="s">
        <v>148</v>
      </c>
      <c r="D175" s="1518">
        <v>24518.79</v>
      </c>
      <c r="E175" s="1518"/>
      <c r="F175" s="1518">
        <v>10640</v>
      </c>
      <c r="G175" s="1518">
        <f t="shared" si="26"/>
        <v>13878.79</v>
      </c>
      <c r="H175" s="1518">
        <f t="shared" si="27"/>
        <v>13878.79</v>
      </c>
      <c r="I175" s="1518">
        <f>+G175</f>
        <v>13878.79</v>
      </c>
      <c r="J175" s="1518"/>
      <c r="K175" s="1518"/>
      <c r="L175" s="1519"/>
      <c r="M175" s="1519"/>
      <c r="N175" s="1523"/>
    </row>
    <row r="176" spans="2:14">
      <c r="B176" s="1527" t="s">
        <v>6713</v>
      </c>
      <c r="C176" s="1524" t="s">
        <v>2003</v>
      </c>
      <c r="D176" s="1518">
        <v>0</v>
      </c>
      <c r="E176" s="1518"/>
      <c r="F176" s="1518"/>
      <c r="G176" s="1518">
        <f t="shared" si="26"/>
        <v>0</v>
      </c>
      <c r="H176" s="1518">
        <f t="shared" si="27"/>
        <v>0</v>
      </c>
      <c r="I176" s="1518"/>
      <c r="J176" s="1518">
        <f>+G176</f>
        <v>0</v>
      </c>
      <c r="K176" s="1518"/>
      <c r="L176" s="1519"/>
      <c r="M176" s="1519"/>
      <c r="N176" s="1523"/>
    </row>
    <row r="177" spans="2:14">
      <c r="B177" s="1527" t="s">
        <v>6654</v>
      </c>
      <c r="C177" s="1524" t="s">
        <v>3817</v>
      </c>
      <c r="D177" s="1518">
        <v>0</v>
      </c>
      <c r="E177" s="1518"/>
      <c r="F177" s="1518"/>
      <c r="G177" s="1518">
        <f t="shared" si="26"/>
        <v>0</v>
      </c>
      <c r="H177" s="1518">
        <f t="shared" si="27"/>
        <v>0</v>
      </c>
      <c r="I177" s="1518"/>
      <c r="J177" s="1518">
        <f>+G177</f>
        <v>0</v>
      </c>
      <c r="K177" s="1518"/>
      <c r="L177" s="1519"/>
      <c r="M177" s="1519"/>
      <c r="N177" s="1523"/>
    </row>
    <row r="178" spans="2:14">
      <c r="B178" s="1526" t="s">
        <v>6773</v>
      </c>
      <c r="C178" s="1524" t="s">
        <v>1006</v>
      </c>
      <c r="D178" s="1518">
        <v>1509.87</v>
      </c>
      <c r="E178" s="1518"/>
      <c r="F178" s="1518"/>
      <c r="G178" s="1518">
        <f t="shared" si="26"/>
        <v>1509.87</v>
      </c>
      <c r="H178" s="1518">
        <f t="shared" si="27"/>
        <v>1509.87</v>
      </c>
      <c r="I178" s="1518">
        <f>+G178</f>
        <v>1509.87</v>
      </c>
      <c r="J178" s="1518"/>
      <c r="K178" s="1518"/>
      <c r="L178" s="1519"/>
      <c r="M178" s="1519"/>
      <c r="N178" s="1523"/>
    </row>
    <row r="179" spans="2:14">
      <c r="B179" s="1526" t="s">
        <v>6774</v>
      </c>
      <c r="C179" s="1524" t="s">
        <v>4321</v>
      </c>
      <c r="D179" s="1518">
        <v>0</v>
      </c>
      <c r="E179" s="1518"/>
      <c r="F179" s="1518"/>
      <c r="G179" s="1518">
        <f t="shared" si="26"/>
        <v>0</v>
      </c>
      <c r="H179" s="1518">
        <f t="shared" si="27"/>
        <v>0</v>
      </c>
      <c r="I179" s="1518">
        <f>+G179</f>
        <v>0</v>
      </c>
      <c r="J179" s="1518"/>
      <c r="K179" s="1518"/>
      <c r="L179" s="1519"/>
      <c r="M179" s="1519"/>
      <c r="N179" s="1523"/>
    </row>
    <row r="180" spans="2:14">
      <c r="B180" s="1526" t="s">
        <v>6716</v>
      </c>
      <c r="C180" s="1524" t="s">
        <v>6775</v>
      </c>
      <c r="D180" s="1518">
        <v>14755.01</v>
      </c>
      <c r="E180" s="1518"/>
      <c r="F180" s="1518">
        <v>7260.96</v>
      </c>
      <c r="G180" s="1518">
        <f t="shared" si="26"/>
        <v>7494.05</v>
      </c>
      <c r="H180" s="1518">
        <f t="shared" si="27"/>
        <v>7494.05</v>
      </c>
      <c r="I180" s="1518">
        <f>+G180</f>
        <v>7494.05</v>
      </c>
      <c r="J180" s="1518"/>
      <c r="K180" s="1518"/>
      <c r="L180" s="1519"/>
      <c r="M180" s="1519"/>
      <c r="N180" s="1523"/>
    </row>
    <row r="181" spans="2:14">
      <c r="B181" s="1526" t="s">
        <v>6608</v>
      </c>
      <c r="C181" s="1524" t="s">
        <v>2694</v>
      </c>
      <c r="D181" s="1518">
        <v>497.28</v>
      </c>
      <c r="E181" s="1518"/>
      <c r="F181" s="1518"/>
      <c r="G181" s="1518">
        <f t="shared" si="26"/>
        <v>497.28</v>
      </c>
      <c r="H181" s="1518">
        <f t="shared" si="27"/>
        <v>497.28</v>
      </c>
      <c r="I181" s="1518">
        <f>+G181</f>
        <v>497.28</v>
      </c>
      <c r="J181" s="1518"/>
      <c r="K181" s="1518"/>
      <c r="L181" s="1519"/>
      <c r="M181" s="1519"/>
      <c r="N181" s="1523"/>
    </row>
    <row r="182" spans="2:14">
      <c r="B182" s="1526" t="s">
        <v>6776</v>
      </c>
      <c r="C182" s="1524" t="s">
        <v>4141</v>
      </c>
      <c r="D182" s="1518">
        <v>0</v>
      </c>
      <c r="E182" s="1518"/>
      <c r="F182" s="1518"/>
      <c r="G182" s="1518">
        <f t="shared" si="26"/>
        <v>0</v>
      </c>
      <c r="H182" s="1518">
        <f t="shared" si="27"/>
        <v>0</v>
      </c>
      <c r="I182" s="1518">
        <f>+G182</f>
        <v>0</v>
      </c>
      <c r="J182" s="1518"/>
      <c r="K182" s="1518"/>
      <c r="L182" s="1519"/>
      <c r="M182" s="1519"/>
      <c r="N182" s="1523"/>
    </row>
    <row r="183" spans="2:14">
      <c r="B183" s="1527" t="s">
        <v>5260</v>
      </c>
      <c r="C183" s="1524" t="s">
        <v>3341</v>
      </c>
      <c r="D183" s="1518">
        <v>0</v>
      </c>
      <c r="E183" s="1518"/>
      <c r="F183" s="1518"/>
      <c r="G183" s="1518">
        <f t="shared" si="26"/>
        <v>0</v>
      </c>
      <c r="H183" s="1518">
        <f t="shared" si="27"/>
        <v>0</v>
      </c>
      <c r="I183" s="1518"/>
      <c r="J183" s="1518">
        <f>+G183</f>
        <v>0</v>
      </c>
      <c r="K183" s="1518"/>
      <c r="L183" s="1519"/>
      <c r="M183" s="1519"/>
      <c r="N183" s="1523"/>
    </row>
    <row r="184" spans="2:14">
      <c r="B184" s="1526" t="s">
        <v>6777</v>
      </c>
      <c r="C184" s="1524" t="s">
        <v>6778</v>
      </c>
      <c r="D184" s="1518">
        <v>0</v>
      </c>
      <c r="E184" s="1518"/>
      <c r="F184" s="1518"/>
      <c r="G184" s="1518">
        <f t="shared" si="26"/>
        <v>0</v>
      </c>
      <c r="H184" s="1518">
        <f t="shared" si="27"/>
        <v>0</v>
      </c>
      <c r="I184" s="1518">
        <f>+G184</f>
        <v>0</v>
      </c>
      <c r="J184" s="1518"/>
      <c r="K184" s="1518"/>
      <c r="L184" s="1519"/>
      <c r="M184" s="1519"/>
      <c r="N184" s="1523"/>
    </row>
    <row r="185" spans="2:14">
      <c r="B185" s="1493" t="s">
        <v>4833</v>
      </c>
      <c r="C185" s="1524" t="s">
        <v>591</v>
      </c>
      <c r="D185" s="1518">
        <v>0</v>
      </c>
      <c r="E185" s="1518">
        <f>3300+1747.2</f>
        <v>5047.2</v>
      </c>
      <c r="F185" s="1518"/>
      <c r="G185" s="1518">
        <f t="shared" si="26"/>
        <v>5047.2</v>
      </c>
      <c r="H185" s="1518">
        <f t="shared" si="27"/>
        <v>5047.2</v>
      </c>
      <c r="I185" s="1518"/>
      <c r="J185" s="1518"/>
      <c r="K185" s="1518">
        <f>+G185</f>
        <v>5047.2</v>
      </c>
      <c r="L185" s="1519"/>
      <c r="M185" s="1519"/>
      <c r="N185" s="1523"/>
    </row>
    <row r="186" spans="2:14">
      <c r="B186" s="1526" t="s">
        <v>6609</v>
      </c>
      <c r="C186" s="1524" t="s">
        <v>39</v>
      </c>
      <c r="D186" s="1518">
        <v>156.80000000000001</v>
      </c>
      <c r="E186" s="1518"/>
      <c r="F186" s="1518"/>
      <c r="G186" s="1518">
        <f t="shared" si="26"/>
        <v>156.80000000000001</v>
      </c>
      <c r="H186" s="1518">
        <f t="shared" si="27"/>
        <v>156.80000000000001</v>
      </c>
      <c r="I186" s="1518">
        <f>+G186</f>
        <v>156.80000000000001</v>
      </c>
      <c r="J186" s="1518"/>
      <c r="K186" s="1518"/>
      <c r="L186" s="1519"/>
      <c r="M186" s="1519"/>
      <c r="N186" s="1523"/>
    </row>
    <row r="187" spans="2:14">
      <c r="B187" s="1526" t="s">
        <v>6610</v>
      </c>
      <c r="C187" s="1524" t="s">
        <v>4163</v>
      </c>
      <c r="D187" s="1518">
        <v>588</v>
      </c>
      <c r="E187" s="1518"/>
      <c r="F187" s="1518"/>
      <c r="G187" s="1518">
        <f t="shared" si="26"/>
        <v>588</v>
      </c>
      <c r="H187" s="1518">
        <f t="shared" si="27"/>
        <v>588</v>
      </c>
      <c r="I187" s="1518">
        <f t="shared" ref="I187:I194" si="30">+G187</f>
        <v>588</v>
      </c>
      <c r="J187" s="1518"/>
      <c r="K187" s="1518"/>
      <c r="L187" s="1519"/>
      <c r="M187" s="1519"/>
      <c r="N187" s="1523"/>
    </row>
    <row r="188" spans="2:14">
      <c r="B188" s="1526" t="s">
        <v>4835</v>
      </c>
      <c r="C188" s="1524" t="s">
        <v>40</v>
      </c>
      <c r="D188" s="1518">
        <v>865.76</v>
      </c>
      <c r="E188" s="1518">
        <v>231.44</v>
      </c>
      <c r="F188" s="1518"/>
      <c r="G188" s="1518">
        <f t="shared" si="26"/>
        <v>1097.2</v>
      </c>
      <c r="H188" s="1518">
        <f t="shared" si="27"/>
        <v>1097.2</v>
      </c>
      <c r="I188" s="1518">
        <f t="shared" si="30"/>
        <v>1097.2</v>
      </c>
      <c r="J188" s="1518"/>
      <c r="K188" s="1518"/>
      <c r="L188" s="1519"/>
      <c r="M188" s="1519"/>
      <c r="N188" s="1523"/>
    </row>
    <row r="189" spans="2:14">
      <c r="B189" s="1526" t="s">
        <v>6612</v>
      </c>
      <c r="C189" s="1524" t="s">
        <v>903</v>
      </c>
      <c r="D189" s="1518">
        <v>3935.06</v>
      </c>
      <c r="E189" s="1518"/>
      <c r="F189" s="1518"/>
      <c r="G189" s="1518">
        <f t="shared" si="26"/>
        <v>3935.06</v>
      </c>
      <c r="H189" s="1518">
        <f t="shared" si="27"/>
        <v>3935.06</v>
      </c>
      <c r="I189" s="1518">
        <f t="shared" si="30"/>
        <v>3935.06</v>
      </c>
      <c r="J189" s="1518"/>
      <c r="K189" s="1518"/>
      <c r="L189" s="1519"/>
      <c r="M189" s="1519"/>
      <c r="N189" s="1523"/>
    </row>
    <row r="190" spans="2:14">
      <c r="B190" s="1526" t="s">
        <v>6725</v>
      </c>
      <c r="C190" s="1524" t="s">
        <v>37</v>
      </c>
      <c r="D190" s="1518">
        <v>0</v>
      </c>
      <c r="E190" s="1518"/>
      <c r="F190" s="1518"/>
      <c r="G190" s="1518">
        <f t="shared" si="26"/>
        <v>0</v>
      </c>
      <c r="H190" s="1518">
        <f t="shared" si="27"/>
        <v>0</v>
      </c>
      <c r="I190" s="1518">
        <f t="shared" si="30"/>
        <v>0</v>
      </c>
      <c r="J190" s="1518"/>
      <c r="K190" s="1518"/>
      <c r="L190" s="1519"/>
      <c r="M190" s="1519"/>
      <c r="N190" s="1523"/>
    </row>
    <row r="191" spans="2:14">
      <c r="B191" s="1526" t="s">
        <v>6613</v>
      </c>
      <c r="C191" s="1524" t="s">
        <v>4206</v>
      </c>
      <c r="D191" s="1518">
        <v>672</v>
      </c>
      <c r="E191" s="1518"/>
      <c r="F191" s="1518"/>
      <c r="G191" s="1518">
        <f t="shared" si="26"/>
        <v>672</v>
      </c>
      <c r="H191" s="1518">
        <f t="shared" si="27"/>
        <v>672</v>
      </c>
      <c r="I191" s="1518">
        <f t="shared" si="30"/>
        <v>672</v>
      </c>
      <c r="J191" s="1518"/>
      <c r="K191" s="1522"/>
      <c r="L191" s="1519"/>
      <c r="M191" s="1519"/>
      <c r="N191" s="1523"/>
    </row>
    <row r="192" spans="2:14">
      <c r="B192" s="1526" t="s">
        <v>6779</v>
      </c>
      <c r="C192" s="1524" t="s">
        <v>6726</v>
      </c>
      <c r="D192" s="1518">
        <v>0</v>
      </c>
      <c r="E192" s="1518"/>
      <c r="F192" s="1518"/>
      <c r="G192" s="1518">
        <f t="shared" si="26"/>
        <v>0</v>
      </c>
      <c r="H192" s="1518">
        <f t="shared" si="27"/>
        <v>0</v>
      </c>
      <c r="I192" s="1518">
        <f t="shared" si="30"/>
        <v>0</v>
      </c>
      <c r="J192" s="1518"/>
      <c r="K192" s="1522"/>
      <c r="L192" s="1518"/>
      <c r="M192" s="1518"/>
      <c r="N192" s="1523"/>
    </row>
    <row r="193" spans="2:14">
      <c r="B193" s="1526" t="s">
        <v>6577</v>
      </c>
      <c r="C193" s="1524" t="s">
        <v>894</v>
      </c>
      <c r="D193" s="1518">
        <v>139000</v>
      </c>
      <c r="E193" s="1518">
        <v>10164.16</v>
      </c>
      <c r="F193" s="1518"/>
      <c r="G193" s="1518">
        <f t="shared" si="26"/>
        <v>149164.16</v>
      </c>
      <c r="H193" s="1518">
        <f t="shared" si="27"/>
        <v>149164.16</v>
      </c>
      <c r="I193" s="1518">
        <f t="shared" si="30"/>
        <v>149164.16</v>
      </c>
      <c r="J193" s="1518"/>
      <c r="K193" s="1522"/>
      <c r="L193" s="1518"/>
      <c r="M193" s="1518"/>
      <c r="N193" s="1523"/>
    </row>
    <row r="194" spans="2:14">
      <c r="B194" s="1526" t="s">
        <v>6581</v>
      </c>
      <c r="C194" s="1524" t="s">
        <v>38</v>
      </c>
      <c r="D194" s="1518">
        <v>133400</v>
      </c>
      <c r="E194" s="1518">
        <v>118070</v>
      </c>
      <c r="F194" s="1518"/>
      <c r="G194" s="1518">
        <f t="shared" si="26"/>
        <v>251470</v>
      </c>
      <c r="H194" s="1518">
        <f t="shared" si="27"/>
        <v>251470</v>
      </c>
      <c r="I194" s="1518">
        <f t="shared" si="30"/>
        <v>251470</v>
      </c>
      <c r="J194" s="1518"/>
      <c r="K194" s="1522"/>
      <c r="L194" s="1518"/>
      <c r="M194" s="1518"/>
      <c r="N194" s="1523"/>
    </row>
    <row r="195" spans="2:14">
      <c r="B195" s="1531" t="s">
        <v>6780</v>
      </c>
      <c r="C195" s="1524" t="s">
        <v>281</v>
      </c>
      <c r="D195" s="1518">
        <v>0</v>
      </c>
      <c r="E195" s="1518"/>
      <c r="F195" s="1518"/>
      <c r="G195" s="1518">
        <f t="shared" si="26"/>
        <v>0</v>
      </c>
      <c r="H195" s="1518">
        <f t="shared" si="27"/>
        <v>0</v>
      </c>
      <c r="I195" s="1518"/>
      <c r="J195" s="1518"/>
      <c r="K195" s="1522"/>
      <c r="L195" s="1518">
        <f>+G195</f>
        <v>0</v>
      </c>
      <c r="M195" s="1518"/>
      <c r="N195" s="1523"/>
    </row>
    <row r="196" spans="2:14">
      <c r="B196" s="1531" t="s">
        <v>6781</v>
      </c>
      <c r="C196" s="1524" t="s">
        <v>281</v>
      </c>
      <c r="D196" s="1518">
        <v>0</v>
      </c>
      <c r="E196" s="1518"/>
      <c r="F196" s="1518"/>
      <c r="G196" s="1518">
        <f t="shared" si="26"/>
        <v>0</v>
      </c>
      <c r="H196" s="1518">
        <f t="shared" si="27"/>
        <v>0</v>
      </c>
      <c r="I196" s="1518"/>
      <c r="J196" s="1518"/>
      <c r="K196" s="1522"/>
      <c r="L196" s="1518">
        <f>+G196</f>
        <v>0</v>
      </c>
      <c r="M196" s="1518"/>
      <c r="N196" s="1523"/>
    </row>
    <row r="197" spans="2:14">
      <c r="B197" s="1554" t="s">
        <v>6782</v>
      </c>
      <c r="C197" s="1524" t="s">
        <v>281</v>
      </c>
      <c r="D197" s="1518">
        <v>0</v>
      </c>
      <c r="E197" s="1518"/>
      <c r="F197" s="1518"/>
      <c r="G197" s="1518">
        <f t="shared" si="26"/>
        <v>0</v>
      </c>
      <c r="H197" s="1518">
        <f t="shared" si="27"/>
        <v>0</v>
      </c>
      <c r="I197" s="1518"/>
      <c r="J197" s="1518"/>
      <c r="K197" s="1522"/>
      <c r="L197" s="1518"/>
      <c r="M197" s="1518">
        <v>0</v>
      </c>
      <c r="N197" s="1523"/>
    </row>
    <row r="198" spans="2:14">
      <c r="B198" s="1531" t="s">
        <v>6783</v>
      </c>
      <c r="C198" s="1524" t="s">
        <v>39</v>
      </c>
      <c r="D198" s="1518">
        <v>0</v>
      </c>
      <c r="E198" s="1518"/>
      <c r="F198" s="1518"/>
      <c r="G198" s="1518">
        <f t="shared" si="26"/>
        <v>0</v>
      </c>
      <c r="H198" s="1518">
        <f t="shared" si="27"/>
        <v>0</v>
      </c>
      <c r="I198" s="1518"/>
      <c r="J198" s="1518"/>
      <c r="K198" s="1522"/>
      <c r="L198" s="1518">
        <f>+G198</f>
        <v>0</v>
      </c>
      <c r="M198" s="1518"/>
      <c r="N198" s="1523"/>
    </row>
    <row r="199" spans="2:14">
      <c r="B199" s="1493" t="s">
        <v>5694</v>
      </c>
      <c r="C199" s="1524" t="s">
        <v>671</v>
      </c>
      <c r="D199" s="1518">
        <v>0</v>
      </c>
      <c r="E199" s="1518">
        <v>7320</v>
      </c>
      <c r="F199" s="1518"/>
      <c r="G199" s="1518">
        <f t="shared" si="26"/>
        <v>7320</v>
      </c>
      <c r="H199" s="1518">
        <f t="shared" si="27"/>
        <v>7320</v>
      </c>
      <c r="I199" s="1518"/>
      <c r="J199" s="1518"/>
      <c r="K199" s="1518">
        <f>+G199</f>
        <v>7320</v>
      </c>
      <c r="L199" s="1518"/>
      <c r="M199" s="1518"/>
      <c r="N199" s="1523"/>
    </row>
    <row r="200" spans="2:14">
      <c r="B200" s="1526" t="s">
        <v>5717</v>
      </c>
      <c r="C200" s="1524" t="s">
        <v>39</v>
      </c>
      <c r="D200" s="1528">
        <v>3400000</v>
      </c>
      <c r="E200" s="1518"/>
      <c r="F200" s="1518">
        <f>1400000-81527.83</f>
        <v>1318472.17</v>
      </c>
      <c r="G200" s="1518">
        <f>+D200+E200-F200</f>
        <v>2081527.83</v>
      </c>
      <c r="H200" s="1518">
        <f>+SUM(I200:M200)</f>
        <v>2081527.83</v>
      </c>
      <c r="I200" s="1518">
        <f>+G200</f>
        <v>2081527.83</v>
      </c>
      <c r="J200" s="1518"/>
      <c r="K200" s="1518"/>
      <c r="L200" s="1518"/>
      <c r="M200" s="1518"/>
      <c r="N200" s="1523"/>
    </row>
    <row r="201" spans="2:14">
      <c r="B201" s="1493" t="s">
        <v>5283</v>
      </c>
      <c r="C201" s="1524" t="s">
        <v>39</v>
      </c>
      <c r="D201" s="1528">
        <v>977598.1399999999</v>
      </c>
      <c r="E201" s="1518">
        <v>1700</v>
      </c>
      <c r="F201" s="1518">
        <f>22296.96+949040.38-62852.68</f>
        <v>908484.65999999992</v>
      </c>
      <c r="G201" s="1518">
        <f t="shared" si="26"/>
        <v>70813.479999999981</v>
      </c>
      <c r="H201" s="1518">
        <f t="shared" si="27"/>
        <v>70813.479999999981</v>
      </c>
      <c r="I201" s="1518"/>
      <c r="J201" s="1518"/>
      <c r="K201" s="1518">
        <f>+G201</f>
        <v>70813.479999999981</v>
      </c>
      <c r="L201" s="1518"/>
      <c r="M201" s="1518"/>
      <c r="N201" s="1523"/>
    </row>
    <row r="202" spans="2:14">
      <c r="B202" s="1531" t="s">
        <v>6784</v>
      </c>
      <c r="C202" s="1524" t="s">
        <v>39</v>
      </c>
      <c r="D202" s="1518">
        <v>0</v>
      </c>
      <c r="E202" s="1518"/>
      <c r="F202" s="1518"/>
      <c r="G202" s="1518">
        <f t="shared" si="26"/>
        <v>0</v>
      </c>
      <c r="H202" s="1518">
        <f t="shared" si="27"/>
        <v>0</v>
      </c>
      <c r="I202" s="1518"/>
      <c r="J202" s="1518"/>
      <c r="K202" s="1518"/>
      <c r="L202" s="1518">
        <f>+G202</f>
        <v>0</v>
      </c>
      <c r="M202" s="1518"/>
      <c r="N202" s="1523"/>
    </row>
    <row r="203" spans="2:14">
      <c r="B203" s="1493" t="s">
        <v>4825</v>
      </c>
      <c r="C203" s="1524" t="s">
        <v>40</v>
      </c>
      <c r="D203" s="1518">
        <v>0</v>
      </c>
      <c r="E203" s="1518">
        <v>12714.06</v>
      </c>
      <c r="F203" s="1518"/>
      <c r="G203" s="1518">
        <f t="shared" si="26"/>
        <v>12714.06</v>
      </c>
      <c r="H203" s="1518">
        <f t="shared" si="27"/>
        <v>12714.06</v>
      </c>
      <c r="I203" s="1518"/>
      <c r="J203" s="1518"/>
      <c r="K203" s="1518">
        <f>+G203</f>
        <v>12714.06</v>
      </c>
      <c r="L203" s="1518"/>
      <c r="M203" s="1518"/>
      <c r="N203" s="1523"/>
    </row>
    <row r="204" spans="2:14">
      <c r="B204" s="1526" t="s">
        <v>6785</v>
      </c>
      <c r="C204" s="1524" t="s">
        <v>39</v>
      </c>
      <c r="D204" s="1518">
        <v>0</v>
      </c>
      <c r="E204" s="1518"/>
      <c r="F204" s="1518"/>
      <c r="G204" s="1518">
        <f t="shared" si="26"/>
        <v>0</v>
      </c>
      <c r="H204" s="1518">
        <f t="shared" si="27"/>
        <v>0</v>
      </c>
      <c r="I204" s="1518">
        <f>+G204</f>
        <v>0</v>
      </c>
      <c r="J204" s="1518"/>
      <c r="K204" s="1518"/>
      <c r="L204" s="1518"/>
      <c r="M204" s="1518"/>
      <c r="N204" s="1523"/>
    </row>
    <row r="205" spans="2:14">
      <c r="B205" s="1531" t="s">
        <v>6784</v>
      </c>
      <c r="C205" s="1524" t="s">
        <v>39</v>
      </c>
      <c r="D205" s="1518">
        <v>0</v>
      </c>
      <c r="E205" s="1518"/>
      <c r="F205" s="1518"/>
      <c r="G205" s="1518">
        <f t="shared" si="26"/>
        <v>0</v>
      </c>
      <c r="H205" s="1518">
        <f t="shared" si="27"/>
        <v>0</v>
      </c>
      <c r="I205" s="1518"/>
      <c r="J205" s="1518"/>
      <c r="K205" s="1518"/>
      <c r="L205" s="1518">
        <f>+G205</f>
        <v>0</v>
      </c>
      <c r="M205" s="1518"/>
      <c r="N205" s="1523"/>
    </row>
    <row r="206" spans="2:14">
      <c r="B206" s="1526" t="s">
        <v>6786</v>
      </c>
      <c r="C206" s="1524" t="s">
        <v>6746</v>
      </c>
      <c r="D206" s="1518">
        <v>0</v>
      </c>
      <c r="E206" s="1518"/>
      <c r="F206" s="1518"/>
      <c r="G206" s="1518">
        <f t="shared" si="26"/>
        <v>0</v>
      </c>
      <c r="H206" s="1518">
        <f t="shared" si="27"/>
        <v>0</v>
      </c>
      <c r="I206" s="1518">
        <f>+G206</f>
        <v>0</v>
      </c>
      <c r="J206" s="1518"/>
      <c r="K206" s="1518"/>
      <c r="L206" s="1518"/>
      <c r="M206" s="1518"/>
      <c r="N206" s="1523"/>
    </row>
    <row r="207" spans="2:14">
      <c r="B207" s="1493" t="s">
        <v>6745</v>
      </c>
      <c r="C207" s="1524" t="s">
        <v>6746</v>
      </c>
      <c r="D207" s="1518">
        <v>0</v>
      </c>
      <c r="E207" s="1518">
        <f>75610.11+5000+15000</f>
        <v>95610.11</v>
      </c>
      <c r="F207" s="1518"/>
      <c r="G207" s="1518">
        <f t="shared" si="26"/>
        <v>95610.11</v>
      </c>
      <c r="H207" s="1518">
        <f t="shared" si="27"/>
        <v>95610.11</v>
      </c>
      <c r="I207" s="1518"/>
      <c r="J207" s="1518"/>
      <c r="K207" s="1518">
        <f>+G207</f>
        <v>95610.11</v>
      </c>
      <c r="L207" s="1518"/>
      <c r="M207" s="1518"/>
      <c r="N207" s="1523"/>
    </row>
    <row r="208" spans="2:14">
      <c r="B208" s="1549"/>
      <c r="C208" s="1536" t="s">
        <v>6787</v>
      </c>
      <c r="D208" s="1538">
        <f t="shared" ref="D208:M208" si="31">SUM(D148:D207)</f>
        <v>23111846.889999989</v>
      </c>
      <c r="E208" s="1538">
        <f t="shared" si="31"/>
        <v>586944.48</v>
      </c>
      <c r="F208" s="1538">
        <f t="shared" si="31"/>
        <v>2293487.94</v>
      </c>
      <c r="G208" s="1538">
        <f t="shared" si="31"/>
        <v>21405303.429999985</v>
      </c>
      <c r="H208" s="1538">
        <f t="shared" si="31"/>
        <v>21405303.429999985</v>
      </c>
      <c r="I208" s="1538">
        <f t="shared" si="31"/>
        <v>3505550.3500000006</v>
      </c>
      <c r="J208" s="1538">
        <f t="shared" si="31"/>
        <v>82762.59</v>
      </c>
      <c r="K208" s="1538">
        <f t="shared" si="31"/>
        <v>17816990.489999987</v>
      </c>
      <c r="L208" s="1538">
        <f t="shared" si="31"/>
        <v>0</v>
      </c>
      <c r="M208" s="1538">
        <f t="shared" si="31"/>
        <v>0</v>
      </c>
      <c r="N208" s="1523"/>
    </row>
    <row r="209" spans="2:14">
      <c r="B209" s="1550"/>
      <c r="C209" s="1551"/>
      <c r="E209" s="1523"/>
      <c r="F209" s="1539"/>
      <c r="G209" s="1539"/>
      <c r="H209" s="1539"/>
      <c r="I209" s="1539"/>
      <c r="J209" s="1539"/>
      <c r="K209" s="1539"/>
      <c r="N209" s="1523"/>
    </row>
    <row r="210" spans="2:14">
      <c r="B210" s="1552"/>
      <c r="C210" s="1552"/>
      <c r="F210" s="1539"/>
      <c r="G210" s="1539"/>
      <c r="H210" s="1539"/>
      <c r="I210" s="1539"/>
      <c r="J210" s="1539"/>
      <c r="K210" s="1539"/>
      <c r="N210" s="1523"/>
    </row>
    <row r="211" spans="2:14" ht="38.25">
      <c r="B211" s="1555" t="s">
        <v>7</v>
      </c>
      <c r="C211" s="1555" t="s">
        <v>6505</v>
      </c>
      <c r="D211" s="1510" t="s">
        <v>6667</v>
      </c>
      <c r="E211" s="1510" t="s">
        <v>6678</v>
      </c>
      <c r="F211" s="1510" t="s">
        <v>6679</v>
      </c>
      <c r="G211" s="1510" t="s">
        <v>6680</v>
      </c>
      <c r="H211" s="1510" t="s">
        <v>6681</v>
      </c>
      <c r="I211" s="1511" t="s">
        <v>6488</v>
      </c>
      <c r="J211" s="1512" t="s">
        <v>6489</v>
      </c>
      <c r="K211" s="1513" t="s">
        <v>6508</v>
      </c>
      <c r="L211" s="1514" t="s">
        <v>6491</v>
      </c>
      <c r="M211" s="1515" t="s">
        <v>6492</v>
      </c>
      <c r="N211" s="1523"/>
    </row>
    <row r="212" spans="2:14">
      <c r="B212" s="1556" t="s">
        <v>6616</v>
      </c>
      <c r="C212" s="1557" t="s">
        <v>6617</v>
      </c>
      <c r="D212" s="1558"/>
      <c r="E212" s="1530"/>
      <c r="F212" s="1530"/>
      <c r="G212" s="1558"/>
      <c r="H212" s="1530"/>
      <c r="I212" s="1530"/>
      <c r="J212" s="1530"/>
      <c r="K212" s="1530"/>
      <c r="L212" s="1519"/>
      <c r="M212" s="1518"/>
      <c r="N212" s="1523"/>
    </row>
    <row r="213" spans="2:14">
      <c r="B213" s="1493" t="s">
        <v>6514</v>
      </c>
      <c r="C213" s="1524" t="s">
        <v>6788</v>
      </c>
      <c r="D213" s="1518">
        <v>0</v>
      </c>
      <c r="E213" s="1518"/>
      <c r="F213" s="1518"/>
      <c r="G213" s="1518">
        <f>+D213+E213-F213</f>
        <v>0</v>
      </c>
      <c r="H213" s="1518">
        <f>+SUM(I213:M213)</f>
        <v>0</v>
      </c>
      <c r="I213" s="1518"/>
      <c r="J213" s="1518"/>
      <c r="K213" s="1518">
        <f>+G213</f>
        <v>0</v>
      </c>
      <c r="L213" s="1519"/>
      <c r="M213" s="1518"/>
      <c r="N213" s="1523"/>
    </row>
    <row r="214" spans="2:14">
      <c r="B214" s="1493" t="s">
        <v>6515</v>
      </c>
      <c r="C214" s="1524" t="s">
        <v>3013</v>
      </c>
      <c r="D214" s="1518">
        <v>0</v>
      </c>
      <c r="E214" s="1518"/>
      <c r="F214" s="1518"/>
      <c r="G214" s="1518">
        <f t="shared" ref="G214:G282" si="32">+D214+E214-F214</f>
        <v>0</v>
      </c>
      <c r="H214" s="1518">
        <f t="shared" ref="H214:H277" si="33">+SUM(I214:M214)</f>
        <v>0</v>
      </c>
      <c r="I214" s="1518"/>
      <c r="J214" s="1518"/>
      <c r="K214" s="1518">
        <f t="shared" ref="K214:K217" si="34">+G214</f>
        <v>0</v>
      </c>
      <c r="L214" s="1519"/>
      <c r="M214" s="1518"/>
      <c r="N214" s="1523"/>
    </row>
    <row r="215" spans="2:14">
      <c r="B215" s="1493" t="s">
        <v>6517</v>
      </c>
      <c r="C215" s="1524" t="s">
        <v>3014</v>
      </c>
      <c r="D215" s="1518">
        <v>0</v>
      </c>
      <c r="E215" s="1518"/>
      <c r="F215" s="1518"/>
      <c r="G215" s="1518">
        <f t="shared" si="32"/>
        <v>0</v>
      </c>
      <c r="H215" s="1518">
        <f t="shared" si="33"/>
        <v>0</v>
      </c>
      <c r="I215" s="1518"/>
      <c r="J215" s="1518"/>
      <c r="K215" s="1518">
        <f t="shared" si="34"/>
        <v>0</v>
      </c>
      <c r="L215" s="1519"/>
      <c r="M215" s="1518"/>
      <c r="N215" s="1523"/>
    </row>
    <row r="216" spans="2:14">
      <c r="B216" s="1493" t="s">
        <v>6527</v>
      </c>
      <c r="C216" s="1524" t="s">
        <v>3032</v>
      </c>
      <c r="D216" s="1518">
        <v>0</v>
      </c>
      <c r="E216" s="1518"/>
      <c r="F216" s="1518"/>
      <c r="G216" s="1518">
        <f t="shared" si="32"/>
        <v>0</v>
      </c>
      <c r="H216" s="1518">
        <f t="shared" si="33"/>
        <v>0</v>
      </c>
      <c r="I216" s="1518"/>
      <c r="J216" s="1518"/>
      <c r="K216" s="1518">
        <f t="shared" si="34"/>
        <v>0</v>
      </c>
      <c r="L216" s="1519"/>
      <c r="M216" s="1518"/>
      <c r="N216" s="1523"/>
    </row>
    <row r="217" spans="2:14">
      <c r="B217" s="1493" t="s">
        <v>6528</v>
      </c>
      <c r="C217" s="1524" t="s">
        <v>3039</v>
      </c>
      <c r="D217" s="1518">
        <v>0</v>
      </c>
      <c r="E217" s="1518"/>
      <c r="F217" s="1518"/>
      <c r="G217" s="1518">
        <f t="shared" si="32"/>
        <v>0</v>
      </c>
      <c r="H217" s="1518">
        <f t="shared" si="33"/>
        <v>0</v>
      </c>
      <c r="I217" s="1518"/>
      <c r="J217" s="1518"/>
      <c r="K217" s="1518">
        <f t="shared" si="34"/>
        <v>0</v>
      </c>
      <c r="L217" s="1519"/>
      <c r="M217" s="1518"/>
      <c r="N217" s="1523"/>
    </row>
    <row r="218" spans="2:14">
      <c r="B218" s="1526" t="s">
        <v>6618</v>
      </c>
      <c r="C218" s="1524" t="s">
        <v>881</v>
      </c>
      <c r="D218" s="1518">
        <v>264442.26</v>
      </c>
      <c r="E218" s="1518">
        <f>8609.16+59717.94</f>
        <v>68327.100000000006</v>
      </c>
      <c r="F218" s="1518"/>
      <c r="G218" s="1518">
        <f t="shared" si="32"/>
        <v>332769.36</v>
      </c>
      <c r="H218" s="1518">
        <f t="shared" si="33"/>
        <v>332769.36</v>
      </c>
      <c r="I218" s="1518">
        <f>+G218</f>
        <v>332769.36</v>
      </c>
      <c r="J218" s="1518"/>
      <c r="K218" s="1518"/>
      <c r="L218" s="1519"/>
      <c r="M218" s="1518"/>
      <c r="N218" s="1523"/>
    </row>
    <row r="219" spans="2:14">
      <c r="B219" s="1526" t="s">
        <v>6789</v>
      </c>
      <c r="C219" s="1524" t="s">
        <v>6790</v>
      </c>
      <c r="D219" s="1518">
        <v>0</v>
      </c>
      <c r="E219" s="1518"/>
      <c r="F219" s="1518"/>
      <c r="G219" s="1518">
        <f t="shared" si="32"/>
        <v>0</v>
      </c>
      <c r="H219" s="1518">
        <f t="shared" si="33"/>
        <v>0</v>
      </c>
      <c r="I219" s="1518">
        <f>+G219</f>
        <v>0</v>
      </c>
      <c r="J219" s="1518"/>
      <c r="K219" s="1518"/>
      <c r="L219" s="1519"/>
      <c r="M219" s="1518"/>
      <c r="N219" s="1523"/>
    </row>
    <row r="220" spans="2:14">
      <c r="B220" s="1526" t="s">
        <v>5012</v>
      </c>
      <c r="C220" s="1524" t="s">
        <v>6791</v>
      </c>
      <c r="D220" s="1518">
        <v>245840</v>
      </c>
      <c r="E220" s="1518"/>
      <c r="F220" s="1518">
        <f>33600+4800+1120+33600</f>
        <v>73120</v>
      </c>
      <c r="G220" s="1518">
        <f t="shared" si="32"/>
        <v>172720</v>
      </c>
      <c r="H220" s="1518">
        <f t="shared" si="33"/>
        <v>172720</v>
      </c>
      <c r="I220" s="1518">
        <f>+G220</f>
        <v>172720</v>
      </c>
      <c r="J220" s="1518"/>
      <c r="K220" s="1518"/>
      <c r="L220" s="1519"/>
      <c r="M220" s="1518"/>
      <c r="N220" s="1523"/>
    </row>
    <row r="221" spans="2:14">
      <c r="B221" s="1493" t="s">
        <v>5075</v>
      </c>
      <c r="C221" s="1524" t="s">
        <v>6791</v>
      </c>
      <c r="D221" s="1518">
        <v>0</v>
      </c>
      <c r="E221" s="1518"/>
      <c r="F221" s="1518"/>
      <c r="G221" s="1518">
        <f t="shared" si="32"/>
        <v>0</v>
      </c>
      <c r="H221" s="1518">
        <f t="shared" si="33"/>
        <v>0</v>
      </c>
      <c r="I221" s="1518"/>
      <c r="J221" s="1518"/>
      <c r="K221" s="1518">
        <f>+G221</f>
        <v>0</v>
      </c>
      <c r="L221" s="1519"/>
      <c r="M221" s="1518"/>
      <c r="N221" s="1523"/>
    </row>
    <row r="222" spans="2:14">
      <c r="B222" s="1526" t="s">
        <v>6792</v>
      </c>
      <c r="C222" s="1524" t="s">
        <v>6793</v>
      </c>
      <c r="D222" s="1518">
        <v>0</v>
      </c>
      <c r="E222" s="1518"/>
      <c r="F222" s="1518"/>
      <c r="G222" s="1518">
        <f t="shared" si="32"/>
        <v>0</v>
      </c>
      <c r="H222" s="1518">
        <f t="shared" si="33"/>
        <v>0</v>
      </c>
      <c r="I222" s="1518">
        <f>+G222</f>
        <v>0</v>
      </c>
      <c r="J222" s="1518"/>
      <c r="K222" s="1518"/>
      <c r="L222" s="1519"/>
      <c r="M222" s="1518"/>
      <c r="N222" s="1523"/>
    </row>
    <row r="223" spans="2:14">
      <c r="B223" s="1527" t="s">
        <v>6766</v>
      </c>
      <c r="C223" s="1524" t="s">
        <v>6794</v>
      </c>
      <c r="D223" s="1518">
        <v>0</v>
      </c>
      <c r="E223" s="1518"/>
      <c r="F223" s="1518"/>
      <c r="G223" s="1518">
        <f t="shared" si="32"/>
        <v>0</v>
      </c>
      <c r="H223" s="1518">
        <f t="shared" si="33"/>
        <v>0</v>
      </c>
      <c r="I223" s="1518"/>
      <c r="J223" s="1518">
        <f>+G223</f>
        <v>0</v>
      </c>
      <c r="K223" s="1518"/>
      <c r="L223" s="1519"/>
      <c r="M223" s="1518"/>
      <c r="N223" s="1523"/>
    </row>
    <row r="224" spans="2:14">
      <c r="B224" s="1526" t="s">
        <v>6795</v>
      </c>
      <c r="C224" s="1524" t="s">
        <v>2855</v>
      </c>
      <c r="D224" s="1518">
        <v>0</v>
      </c>
      <c r="E224" s="1518">
        <v>25066.04</v>
      </c>
      <c r="F224" s="1518"/>
      <c r="G224" s="1518">
        <f t="shared" si="32"/>
        <v>25066.04</v>
      </c>
      <c r="H224" s="1518">
        <f t="shared" si="33"/>
        <v>25066.04</v>
      </c>
      <c r="I224" s="1518">
        <f>+G224</f>
        <v>25066.04</v>
      </c>
      <c r="J224" s="1518"/>
      <c r="K224" s="1518"/>
      <c r="L224" s="1519"/>
      <c r="M224" s="1518"/>
      <c r="N224" s="1523"/>
    </row>
    <row r="225" spans="2:14">
      <c r="B225" s="1493" t="s">
        <v>6543</v>
      </c>
      <c r="C225" s="1524" t="s">
        <v>6796</v>
      </c>
      <c r="D225" s="1518">
        <v>0</v>
      </c>
      <c r="E225" s="1518">
        <v>1000</v>
      </c>
      <c r="F225" s="1518"/>
      <c r="G225" s="1518">
        <f t="shared" si="32"/>
        <v>1000</v>
      </c>
      <c r="H225" s="1518">
        <f t="shared" si="33"/>
        <v>1000</v>
      </c>
      <c r="I225" s="1518"/>
      <c r="J225" s="1518"/>
      <c r="K225" s="1522">
        <f>+G225</f>
        <v>1000</v>
      </c>
      <c r="L225" s="1519"/>
      <c r="M225" s="1518"/>
      <c r="N225" s="1523"/>
    </row>
    <row r="226" spans="2:14">
      <c r="B226" s="1526" t="s">
        <v>6620</v>
      </c>
      <c r="C226" s="1524" t="s">
        <v>1301</v>
      </c>
      <c r="D226" s="1518">
        <v>5040</v>
      </c>
      <c r="E226" s="1518"/>
      <c r="F226" s="1518"/>
      <c r="G226" s="1518">
        <f t="shared" si="32"/>
        <v>5040</v>
      </c>
      <c r="H226" s="1518">
        <f t="shared" si="33"/>
        <v>5040</v>
      </c>
      <c r="I226" s="1518">
        <f t="shared" ref="I226:I231" si="35">+G226</f>
        <v>5040</v>
      </c>
      <c r="J226" s="1518"/>
      <c r="K226" s="1522"/>
      <c r="L226" s="1519"/>
      <c r="M226" s="1518"/>
      <c r="N226" s="1523"/>
    </row>
    <row r="227" spans="2:14">
      <c r="B227" s="1493" t="s">
        <v>6544</v>
      </c>
      <c r="C227" s="1524" t="s">
        <v>1301</v>
      </c>
      <c r="D227" s="1518">
        <v>0</v>
      </c>
      <c r="E227" s="1518">
        <v>10000</v>
      </c>
      <c r="F227" s="1518"/>
      <c r="G227" s="1518">
        <f t="shared" si="32"/>
        <v>10000</v>
      </c>
      <c r="H227" s="1518">
        <f t="shared" si="33"/>
        <v>10000</v>
      </c>
      <c r="I227" s="1518"/>
      <c r="J227" s="1518"/>
      <c r="K227" s="1522">
        <f>+G227</f>
        <v>10000</v>
      </c>
      <c r="L227" s="1519"/>
      <c r="M227" s="1518"/>
      <c r="N227" s="1523"/>
    </row>
    <row r="228" spans="2:14">
      <c r="B228" s="1526" t="s">
        <v>6621</v>
      </c>
      <c r="C228" s="1524" t="s">
        <v>29</v>
      </c>
      <c r="D228" s="1518">
        <v>1120</v>
      </c>
      <c r="E228" s="1518"/>
      <c r="F228" s="1518"/>
      <c r="G228" s="1518">
        <f t="shared" si="32"/>
        <v>1120</v>
      </c>
      <c r="H228" s="1518">
        <f t="shared" si="33"/>
        <v>1120</v>
      </c>
      <c r="I228" s="1518">
        <f>+G228</f>
        <v>1120</v>
      </c>
      <c r="J228" s="1518"/>
      <c r="K228" s="1522"/>
      <c r="L228" s="1519"/>
      <c r="M228" s="1518"/>
      <c r="N228" s="1523"/>
    </row>
    <row r="229" spans="2:14">
      <c r="B229" s="1526" t="s">
        <v>6768</v>
      </c>
      <c r="C229" s="1524" t="s">
        <v>30</v>
      </c>
      <c r="D229" s="1518">
        <v>5600</v>
      </c>
      <c r="E229" s="1518"/>
      <c r="F229" s="1518"/>
      <c r="G229" s="1518">
        <f t="shared" si="32"/>
        <v>5600</v>
      </c>
      <c r="H229" s="1518">
        <f t="shared" si="33"/>
        <v>5600</v>
      </c>
      <c r="I229" s="1518">
        <f t="shared" si="35"/>
        <v>5600</v>
      </c>
      <c r="J229" s="1518"/>
      <c r="K229" s="1522"/>
      <c r="L229" s="1519"/>
      <c r="M229" s="1518"/>
      <c r="N229" s="1523"/>
    </row>
    <row r="230" spans="2:14">
      <c r="B230" s="1493" t="s">
        <v>6546</v>
      </c>
      <c r="C230" s="1524" t="s">
        <v>30</v>
      </c>
      <c r="D230" s="1518">
        <v>0</v>
      </c>
      <c r="E230" s="1518">
        <v>5000</v>
      </c>
      <c r="F230" s="1518"/>
      <c r="G230" s="1518">
        <f t="shared" si="32"/>
        <v>5000</v>
      </c>
      <c r="H230" s="1518">
        <f t="shared" si="33"/>
        <v>5000</v>
      </c>
      <c r="I230" s="1518"/>
      <c r="J230" s="1518"/>
      <c r="K230" s="1522">
        <f>+G230</f>
        <v>5000</v>
      </c>
      <c r="L230" s="1519"/>
      <c r="M230" s="1518"/>
      <c r="N230" s="1523"/>
    </row>
    <row r="231" spans="2:14">
      <c r="B231" s="1526" t="s">
        <v>6699</v>
      </c>
      <c r="C231" s="1521" t="s">
        <v>281</v>
      </c>
      <c r="D231" s="1518">
        <v>124432</v>
      </c>
      <c r="E231" s="1518"/>
      <c r="F231" s="1518">
        <f>24512+29680+25440+3440.83</f>
        <v>83072.83</v>
      </c>
      <c r="G231" s="1518">
        <f t="shared" si="32"/>
        <v>41359.17</v>
      </c>
      <c r="H231" s="1518">
        <f t="shared" si="33"/>
        <v>41359.17</v>
      </c>
      <c r="I231" s="1518">
        <f t="shared" si="35"/>
        <v>41359.17</v>
      </c>
      <c r="J231" s="1518"/>
      <c r="K231" s="1518"/>
      <c r="L231" s="1519"/>
      <c r="M231" s="1518"/>
      <c r="N231" s="1523"/>
    </row>
    <row r="232" spans="2:14">
      <c r="B232" s="1493" t="s">
        <v>6701</v>
      </c>
      <c r="C232" s="1521" t="s">
        <v>281</v>
      </c>
      <c r="D232" s="1518">
        <v>0</v>
      </c>
      <c r="E232" s="1518">
        <v>13648.02</v>
      </c>
      <c r="F232" s="1518"/>
      <c r="G232" s="1518">
        <f t="shared" si="32"/>
        <v>13648.02</v>
      </c>
      <c r="H232" s="1518">
        <f t="shared" si="33"/>
        <v>13648.02</v>
      </c>
      <c r="I232" s="1518"/>
      <c r="J232" s="1518"/>
      <c r="K232" s="1518">
        <f>+G232</f>
        <v>13648.02</v>
      </c>
      <c r="L232" s="1519"/>
      <c r="M232" s="1518"/>
      <c r="N232" s="1523"/>
    </row>
    <row r="233" spans="2:14">
      <c r="B233" s="1526" t="s">
        <v>6797</v>
      </c>
      <c r="C233" s="1524" t="s">
        <v>6798</v>
      </c>
      <c r="D233" s="1518">
        <v>0</v>
      </c>
      <c r="E233" s="1518"/>
      <c r="F233" s="1518"/>
      <c r="G233" s="1518">
        <f t="shared" si="32"/>
        <v>0</v>
      </c>
      <c r="H233" s="1518">
        <f t="shared" si="33"/>
        <v>0</v>
      </c>
      <c r="I233" s="1518">
        <f>+G233</f>
        <v>0</v>
      </c>
      <c r="J233" s="1518"/>
      <c r="K233" s="1518"/>
      <c r="L233" s="1519"/>
      <c r="M233" s="1518"/>
      <c r="N233" s="1523"/>
    </row>
    <row r="234" spans="2:14">
      <c r="B234" s="1493" t="s">
        <v>6706</v>
      </c>
      <c r="C234" s="1524" t="s">
        <v>505</v>
      </c>
      <c r="D234" s="1518">
        <v>58818</v>
      </c>
      <c r="E234" s="1518">
        <f>17000-6791.53</f>
        <v>10208.470000000001</v>
      </c>
      <c r="F234" s="1518">
        <f>1250+22400+18703.99</f>
        <v>42353.990000000005</v>
      </c>
      <c r="G234" s="1518">
        <f t="shared" si="32"/>
        <v>26672.479999999996</v>
      </c>
      <c r="H234" s="1518">
        <f t="shared" si="33"/>
        <v>26672.479999999996</v>
      </c>
      <c r="I234" s="1518"/>
      <c r="J234" s="1518"/>
      <c r="K234" s="1518">
        <f>+G234</f>
        <v>26672.479999999996</v>
      </c>
      <c r="L234" s="1519"/>
      <c r="M234" s="1518"/>
      <c r="N234" s="1523"/>
    </row>
    <row r="235" spans="2:14">
      <c r="B235" s="1526" t="s">
        <v>6799</v>
      </c>
      <c r="C235" s="1524" t="s">
        <v>6800</v>
      </c>
      <c r="D235" s="1518">
        <v>0</v>
      </c>
      <c r="E235" s="1518"/>
      <c r="F235" s="1518"/>
      <c r="G235" s="1518">
        <f t="shared" si="32"/>
        <v>0</v>
      </c>
      <c r="H235" s="1518">
        <f t="shared" si="33"/>
        <v>0</v>
      </c>
      <c r="I235" s="1518">
        <f>+G235</f>
        <v>0</v>
      </c>
      <c r="J235" s="1518"/>
      <c r="K235" s="1518"/>
      <c r="L235" s="1519"/>
      <c r="M235" s="1518"/>
      <c r="N235" s="1523"/>
    </row>
    <row r="236" spans="2:14">
      <c r="B236" s="1526" t="s">
        <v>6623</v>
      </c>
      <c r="C236" s="1524" t="s">
        <v>4343</v>
      </c>
      <c r="D236" s="1518">
        <v>25760</v>
      </c>
      <c r="E236" s="1518"/>
      <c r="F236" s="1518"/>
      <c r="G236" s="1518">
        <f t="shared" si="32"/>
        <v>25760</v>
      </c>
      <c r="H236" s="1518">
        <f t="shared" si="33"/>
        <v>25760</v>
      </c>
      <c r="I236" s="1518">
        <f>+G236</f>
        <v>25760</v>
      </c>
      <c r="J236" s="1518"/>
      <c r="K236" s="1518"/>
      <c r="L236" s="1519"/>
      <c r="M236" s="1518"/>
      <c r="N236" s="1523"/>
    </row>
    <row r="237" spans="2:14">
      <c r="B237" s="1527" t="s">
        <v>6624</v>
      </c>
      <c r="C237" s="1524" t="s">
        <v>6752</v>
      </c>
      <c r="D237" s="1518">
        <v>50064</v>
      </c>
      <c r="E237" s="1518"/>
      <c r="F237" s="1518">
        <v>25064</v>
      </c>
      <c r="G237" s="1518">
        <f t="shared" si="32"/>
        <v>25000</v>
      </c>
      <c r="H237" s="1518">
        <f t="shared" si="33"/>
        <v>25000</v>
      </c>
      <c r="I237" s="1518"/>
      <c r="J237" s="1518">
        <f>+G237</f>
        <v>25000</v>
      </c>
      <c r="K237" s="1518"/>
      <c r="L237" s="1519"/>
      <c r="M237" s="1518"/>
      <c r="N237" s="1523"/>
    </row>
    <row r="238" spans="2:14">
      <c r="B238" s="1526" t="s">
        <v>6625</v>
      </c>
      <c r="C238" s="1524" t="s">
        <v>32</v>
      </c>
      <c r="D238" s="1518">
        <v>3360</v>
      </c>
      <c r="E238" s="1518"/>
      <c r="F238" s="1518"/>
      <c r="G238" s="1518">
        <f t="shared" si="32"/>
        <v>3360</v>
      </c>
      <c r="H238" s="1518">
        <f t="shared" si="33"/>
        <v>3360</v>
      </c>
      <c r="I238" s="1518">
        <f>+G238</f>
        <v>3360</v>
      </c>
      <c r="J238" s="1518"/>
      <c r="K238" s="1518"/>
      <c r="L238" s="1519"/>
      <c r="M238" s="1518"/>
      <c r="N238" s="1523"/>
    </row>
    <row r="239" spans="2:14">
      <c r="B239" s="1526" t="s">
        <v>6601</v>
      </c>
      <c r="C239" s="1524" t="s">
        <v>1360</v>
      </c>
      <c r="D239" s="1518">
        <v>0</v>
      </c>
      <c r="E239" s="1518">
        <v>4800</v>
      </c>
      <c r="F239" s="1518"/>
      <c r="G239" s="1518">
        <f t="shared" si="32"/>
        <v>4800</v>
      </c>
      <c r="H239" s="1518">
        <f t="shared" si="33"/>
        <v>4800</v>
      </c>
      <c r="I239" s="1518">
        <f>+G239</f>
        <v>4800</v>
      </c>
      <c r="J239" s="1518"/>
      <c r="K239" s="1518"/>
      <c r="L239" s="1519"/>
      <c r="M239" s="1518"/>
      <c r="N239" s="1523"/>
    </row>
    <row r="240" spans="2:14">
      <c r="B240" s="1527" t="s">
        <v>6626</v>
      </c>
      <c r="C240" s="1524" t="s">
        <v>1360</v>
      </c>
      <c r="D240" s="1518">
        <v>12320</v>
      </c>
      <c r="E240" s="1518">
        <v>480</v>
      </c>
      <c r="F240" s="1518">
        <v>12320</v>
      </c>
      <c r="G240" s="1518">
        <f t="shared" si="32"/>
        <v>480</v>
      </c>
      <c r="H240" s="1518">
        <f t="shared" si="33"/>
        <v>480</v>
      </c>
      <c r="I240" s="1518"/>
      <c r="J240" s="1518">
        <f>+G240</f>
        <v>480</v>
      </c>
      <c r="K240" s="1518"/>
      <c r="L240" s="1519"/>
      <c r="M240" s="1518"/>
      <c r="N240" s="1523"/>
    </row>
    <row r="241" spans="2:14">
      <c r="B241" s="1527" t="s">
        <v>5097</v>
      </c>
      <c r="C241" s="1524" t="s">
        <v>1665</v>
      </c>
      <c r="D241" s="1518">
        <v>73792.320000000007</v>
      </c>
      <c r="E241" s="1518">
        <v>5544</v>
      </c>
      <c r="F241" s="1518">
        <v>3500</v>
      </c>
      <c r="G241" s="1518">
        <f t="shared" si="32"/>
        <v>75836.320000000007</v>
      </c>
      <c r="H241" s="1518">
        <f t="shared" si="33"/>
        <v>75836.320000000007</v>
      </c>
      <c r="I241" s="1518"/>
      <c r="J241" s="1518">
        <f t="shared" ref="J241" si="36">+G241</f>
        <v>75836.320000000007</v>
      </c>
      <c r="K241" s="1518"/>
      <c r="L241" s="1519"/>
      <c r="M241" s="1518"/>
      <c r="N241" s="1523"/>
    </row>
    <row r="242" spans="2:14">
      <c r="B242" s="1526" t="s">
        <v>6772</v>
      </c>
      <c r="C242" s="1524" t="s">
        <v>148</v>
      </c>
      <c r="D242" s="1518">
        <v>0</v>
      </c>
      <c r="E242" s="1518"/>
      <c r="F242" s="1518"/>
      <c r="G242" s="1518">
        <f t="shared" si="32"/>
        <v>0</v>
      </c>
      <c r="H242" s="1518">
        <f t="shared" si="33"/>
        <v>0</v>
      </c>
      <c r="I242" s="1518">
        <f t="shared" ref="I242:I249" si="37">+G242</f>
        <v>0</v>
      </c>
      <c r="J242" s="1518"/>
      <c r="K242" s="1518"/>
      <c r="L242" s="1519"/>
      <c r="M242" s="1518"/>
      <c r="N242" s="1523"/>
    </row>
    <row r="243" spans="2:14">
      <c r="B243" s="1526" t="s">
        <v>6801</v>
      </c>
      <c r="C243" s="1524" t="s">
        <v>6802</v>
      </c>
      <c r="D243" s="1518">
        <v>0</v>
      </c>
      <c r="E243" s="1518">
        <v>56</v>
      </c>
      <c r="F243" s="1518"/>
      <c r="G243" s="1518">
        <f t="shared" si="32"/>
        <v>56</v>
      </c>
      <c r="H243" s="1518">
        <f t="shared" si="33"/>
        <v>56</v>
      </c>
      <c r="I243" s="1518">
        <f>+G243</f>
        <v>56</v>
      </c>
      <c r="J243" s="1518"/>
      <c r="K243" s="1518"/>
      <c r="L243" s="1519"/>
      <c r="M243" s="1518"/>
      <c r="N243" s="1523"/>
    </row>
    <row r="244" spans="2:14">
      <c r="B244" s="1526" t="s">
        <v>6803</v>
      </c>
      <c r="C244" s="1524" t="s">
        <v>2003</v>
      </c>
      <c r="D244" s="1518">
        <v>0</v>
      </c>
      <c r="E244" s="1518"/>
      <c r="F244" s="1518"/>
      <c r="G244" s="1518">
        <f t="shared" si="32"/>
        <v>0</v>
      </c>
      <c r="H244" s="1518">
        <f t="shared" si="33"/>
        <v>0</v>
      </c>
      <c r="I244" s="1518">
        <f t="shared" si="37"/>
        <v>0</v>
      </c>
      <c r="J244" s="1518"/>
      <c r="K244" s="1518"/>
      <c r="L244" s="1519"/>
      <c r="M244" s="1518"/>
      <c r="N244" s="1523"/>
    </row>
    <row r="245" spans="2:14">
      <c r="B245" s="1526" t="s">
        <v>6804</v>
      </c>
      <c r="C245" s="1524" t="s">
        <v>3817</v>
      </c>
      <c r="D245" s="1518">
        <v>0</v>
      </c>
      <c r="E245" s="1518"/>
      <c r="F245" s="1518"/>
      <c r="G245" s="1518">
        <f t="shared" si="32"/>
        <v>0</v>
      </c>
      <c r="H245" s="1518">
        <f t="shared" si="33"/>
        <v>0</v>
      </c>
      <c r="I245" s="1518">
        <f t="shared" si="37"/>
        <v>0</v>
      </c>
      <c r="J245" s="1518"/>
      <c r="K245" s="1518"/>
      <c r="L245" s="1519"/>
      <c r="M245" s="1518"/>
      <c r="N245" s="1523"/>
    </row>
    <row r="246" spans="2:14">
      <c r="B246" s="1526" t="s">
        <v>6773</v>
      </c>
      <c r="C246" s="1524" t="s">
        <v>1006</v>
      </c>
      <c r="D246" s="1518">
        <v>0</v>
      </c>
      <c r="E246" s="1518"/>
      <c r="F246" s="1518"/>
      <c r="G246" s="1518">
        <f t="shared" si="32"/>
        <v>0</v>
      </c>
      <c r="H246" s="1518">
        <f t="shared" si="33"/>
        <v>0</v>
      </c>
      <c r="I246" s="1518">
        <f t="shared" si="37"/>
        <v>0</v>
      </c>
      <c r="J246" s="1518"/>
      <c r="K246" s="1518"/>
      <c r="L246" s="1519"/>
      <c r="M246" s="1518"/>
      <c r="N246" s="1523"/>
    </row>
    <row r="247" spans="2:14">
      <c r="B247" s="1526" t="s">
        <v>6805</v>
      </c>
      <c r="C247" s="1524" t="s">
        <v>956</v>
      </c>
      <c r="D247" s="1518">
        <v>0</v>
      </c>
      <c r="E247" s="1518"/>
      <c r="F247" s="1518"/>
      <c r="G247" s="1518">
        <f t="shared" si="32"/>
        <v>0</v>
      </c>
      <c r="H247" s="1518">
        <f t="shared" si="33"/>
        <v>0</v>
      </c>
      <c r="I247" s="1518">
        <f t="shared" si="37"/>
        <v>0</v>
      </c>
      <c r="J247" s="1518"/>
      <c r="K247" s="1518"/>
      <c r="L247" s="1519"/>
      <c r="M247" s="1518"/>
      <c r="N247" s="1523"/>
    </row>
    <row r="248" spans="2:14">
      <c r="B248" s="1526" t="s">
        <v>6774</v>
      </c>
      <c r="C248" s="1524" t="s">
        <v>6806</v>
      </c>
      <c r="D248" s="1518">
        <v>1593.76</v>
      </c>
      <c r="E248" s="1518"/>
      <c r="F248" s="1518"/>
      <c r="G248" s="1518">
        <f t="shared" si="32"/>
        <v>1593.76</v>
      </c>
      <c r="H248" s="1518">
        <f t="shared" si="33"/>
        <v>1593.76</v>
      </c>
      <c r="I248" s="1518">
        <f t="shared" si="37"/>
        <v>1593.76</v>
      </c>
      <c r="J248" s="1518"/>
      <c r="K248" s="1518"/>
      <c r="L248" s="1519"/>
      <c r="M248" s="1518"/>
      <c r="N248" s="1523"/>
    </row>
    <row r="249" spans="2:14">
      <c r="B249" s="1526" t="s">
        <v>6716</v>
      </c>
      <c r="C249" s="1524" t="s">
        <v>6807</v>
      </c>
      <c r="D249" s="1518">
        <v>0</v>
      </c>
      <c r="E249" s="1518"/>
      <c r="F249" s="1518"/>
      <c r="G249" s="1518">
        <f t="shared" si="32"/>
        <v>0</v>
      </c>
      <c r="H249" s="1518">
        <f t="shared" si="33"/>
        <v>0</v>
      </c>
      <c r="I249" s="1518">
        <f t="shared" si="37"/>
        <v>0</v>
      </c>
      <c r="J249" s="1518"/>
      <c r="K249" s="1518"/>
      <c r="L249" s="1519"/>
      <c r="M249" s="1518"/>
      <c r="N249" s="1523"/>
    </row>
    <row r="250" spans="2:14">
      <c r="B250" s="1493" t="s">
        <v>5375</v>
      </c>
      <c r="C250" s="1524" t="s">
        <v>1089</v>
      </c>
      <c r="D250" s="1518">
        <v>2779.46</v>
      </c>
      <c r="E250" s="1518"/>
      <c r="F250" s="1518"/>
      <c r="G250" s="1518">
        <f t="shared" si="32"/>
        <v>2779.46</v>
      </c>
      <c r="H250" s="1518">
        <f t="shared" si="33"/>
        <v>2779.46</v>
      </c>
      <c r="I250" s="1518"/>
      <c r="J250" s="1518"/>
      <c r="K250" s="1518">
        <f>+G250</f>
        <v>2779.46</v>
      </c>
      <c r="L250" s="1519"/>
      <c r="M250" s="1518"/>
      <c r="N250" s="1523"/>
    </row>
    <row r="251" spans="2:14">
      <c r="B251" s="1526" t="s">
        <v>6608</v>
      </c>
      <c r="C251" s="1524" t="s">
        <v>2694</v>
      </c>
      <c r="D251" s="1518">
        <v>0</v>
      </c>
      <c r="E251" s="1518"/>
      <c r="F251" s="1518"/>
      <c r="G251" s="1518">
        <f t="shared" si="32"/>
        <v>0</v>
      </c>
      <c r="H251" s="1518">
        <f t="shared" si="33"/>
        <v>0</v>
      </c>
      <c r="I251" s="1518">
        <f>+G251</f>
        <v>0</v>
      </c>
      <c r="J251" s="1518"/>
      <c r="K251" s="1518"/>
      <c r="L251" s="1519"/>
      <c r="M251" s="1518"/>
      <c r="N251" s="1523"/>
    </row>
    <row r="252" spans="2:14">
      <c r="B252" s="1493" t="s">
        <v>6629</v>
      </c>
      <c r="C252" s="1524" t="s">
        <v>4428</v>
      </c>
      <c r="D252" s="1518">
        <v>190.4</v>
      </c>
      <c r="E252" s="1518"/>
      <c r="F252" s="1518"/>
      <c r="G252" s="1518">
        <f t="shared" si="32"/>
        <v>190.4</v>
      </c>
      <c r="H252" s="1518">
        <f t="shared" si="33"/>
        <v>190.4</v>
      </c>
      <c r="I252" s="1518"/>
      <c r="J252" s="1518"/>
      <c r="K252" s="1518">
        <f>+G252</f>
        <v>190.4</v>
      </c>
      <c r="L252" s="1519"/>
      <c r="M252" s="1518"/>
      <c r="N252" s="1523"/>
    </row>
    <row r="253" spans="2:14">
      <c r="B253" s="1493" t="s">
        <v>6808</v>
      </c>
      <c r="C253" s="1524" t="s">
        <v>4141</v>
      </c>
      <c r="D253" s="1518">
        <v>0</v>
      </c>
      <c r="E253" s="1518">
        <v>620.58000000000004</v>
      </c>
      <c r="F253" s="1518"/>
      <c r="G253" s="1518">
        <f t="shared" si="32"/>
        <v>620.58000000000004</v>
      </c>
      <c r="H253" s="1518">
        <f t="shared" si="33"/>
        <v>620.58000000000004</v>
      </c>
      <c r="I253" s="1518"/>
      <c r="J253" s="1518"/>
      <c r="K253" s="1518">
        <f>+G253</f>
        <v>620.58000000000004</v>
      </c>
      <c r="L253" s="1519"/>
      <c r="M253" s="1518"/>
      <c r="N253" s="1523"/>
    </row>
    <row r="254" spans="2:14">
      <c r="B254" s="1527" t="s">
        <v>6809</v>
      </c>
      <c r="C254" s="1524" t="s">
        <v>4443</v>
      </c>
      <c r="D254" s="1518">
        <v>0</v>
      </c>
      <c r="E254" s="1518">
        <v>672</v>
      </c>
      <c r="F254" s="1518"/>
      <c r="G254" s="1518">
        <f t="shared" si="32"/>
        <v>672</v>
      </c>
      <c r="H254" s="1518">
        <f t="shared" si="33"/>
        <v>672</v>
      </c>
      <c r="I254" s="1518"/>
      <c r="J254" s="1518">
        <f>+G254</f>
        <v>672</v>
      </c>
      <c r="K254" s="1518"/>
      <c r="L254" s="1519"/>
      <c r="M254" s="1518"/>
      <c r="N254" s="1523"/>
    </row>
    <row r="255" spans="2:14">
      <c r="B255" s="1493" t="s">
        <v>6630</v>
      </c>
      <c r="C255" s="1524" t="s">
        <v>4443</v>
      </c>
      <c r="D255" s="1518">
        <v>194.88</v>
      </c>
      <c r="E255" s="1518"/>
      <c r="F255" s="1518"/>
      <c r="G255" s="1518">
        <f t="shared" si="32"/>
        <v>194.88</v>
      </c>
      <c r="H255" s="1518">
        <f t="shared" si="33"/>
        <v>194.88</v>
      </c>
      <c r="I255" s="1518"/>
      <c r="J255" s="1518"/>
      <c r="K255" s="1518">
        <f>+G255</f>
        <v>194.88</v>
      </c>
      <c r="L255" s="1519"/>
      <c r="M255" s="1518"/>
      <c r="N255" s="1523"/>
    </row>
    <row r="256" spans="2:14">
      <c r="B256" s="1526" t="s">
        <v>6810</v>
      </c>
      <c r="C256" s="1524" t="s">
        <v>6811</v>
      </c>
      <c r="D256" s="1518">
        <v>0</v>
      </c>
      <c r="E256" s="1518"/>
      <c r="F256" s="1518"/>
      <c r="G256" s="1518">
        <f t="shared" si="32"/>
        <v>0</v>
      </c>
      <c r="H256" s="1518">
        <f t="shared" si="33"/>
        <v>0</v>
      </c>
      <c r="I256" s="1518">
        <f>+G256</f>
        <v>0</v>
      </c>
      <c r="J256" s="1518"/>
      <c r="K256" s="1518"/>
      <c r="L256" s="1519"/>
      <c r="M256" s="1518"/>
      <c r="N256" s="1523"/>
    </row>
    <row r="257" spans="2:14">
      <c r="B257" s="1526" t="s">
        <v>6812</v>
      </c>
      <c r="C257" s="1524" t="s">
        <v>3341</v>
      </c>
      <c r="D257" s="1518">
        <v>0</v>
      </c>
      <c r="E257" s="1518"/>
      <c r="F257" s="1518"/>
      <c r="G257" s="1518">
        <f t="shared" si="32"/>
        <v>0</v>
      </c>
      <c r="H257" s="1518">
        <f t="shared" si="33"/>
        <v>0</v>
      </c>
      <c r="I257" s="1518">
        <f>+G257</f>
        <v>0</v>
      </c>
      <c r="J257" s="1518"/>
      <c r="K257" s="1518"/>
      <c r="L257" s="1519"/>
      <c r="M257" s="1518"/>
      <c r="N257" s="1523"/>
    </row>
    <row r="258" spans="2:14" s="1559" customFormat="1">
      <c r="B258" s="1527" t="s">
        <v>5257</v>
      </c>
      <c r="C258" s="1524" t="s">
        <v>1667</v>
      </c>
      <c r="D258" s="1518">
        <v>175840</v>
      </c>
      <c r="E258" s="1518">
        <v>5000</v>
      </c>
      <c r="F258" s="1518">
        <f>7400+6000+4000+56000+39092.51</f>
        <v>112492.51000000001</v>
      </c>
      <c r="G258" s="1518">
        <f t="shared" si="32"/>
        <v>68347.489999999991</v>
      </c>
      <c r="H258" s="1518">
        <f t="shared" si="33"/>
        <v>68347.489999999991</v>
      </c>
      <c r="I258" s="1529"/>
      <c r="J258" s="1518">
        <f>+G258</f>
        <v>68347.489999999991</v>
      </c>
      <c r="K258" s="1518"/>
      <c r="L258" s="1519"/>
      <c r="M258" s="1518"/>
      <c r="N258" s="1523"/>
    </row>
    <row r="259" spans="2:14" s="1559" customFormat="1">
      <c r="B259" s="1526" t="s">
        <v>6813</v>
      </c>
      <c r="C259" s="1524" t="s">
        <v>591</v>
      </c>
      <c r="D259" s="1518">
        <v>0</v>
      </c>
      <c r="E259" s="1518"/>
      <c r="F259" s="1518"/>
      <c r="G259" s="1518">
        <f t="shared" si="32"/>
        <v>0</v>
      </c>
      <c r="H259" s="1518">
        <f t="shared" si="33"/>
        <v>0</v>
      </c>
      <c r="I259" s="1518">
        <f>+G259</f>
        <v>0</v>
      </c>
      <c r="J259" s="1518"/>
      <c r="K259" s="1518"/>
      <c r="L259" s="1519"/>
      <c r="M259" s="1518"/>
      <c r="N259" s="1523"/>
    </row>
    <row r="260" spans="2:14" s="1559" customFormat="1">
      <c r="B260" s="1527" t="s">
        <v>6660</v>
      </c>
      <c r="C260" s="1524" t="s">
        <v>39</v>
      </c>
      <c r="D260" s="1518">
        <v>3500.86</v>
      </c>
      <c r="E260" s="1518"/>
      <c r="F260" s="1518">
        <v>395.38</v>
      </c>
      <c r="G260" s="1518">
        <f t="shared" si="32"/>
        <v>3105.48</v>
      </c>
      <c r="H260" s="1518">
        <f t="shared" si="33"/>
        <v>3105.48</v>
      </c>
      <c r="I260" s="1518"/>
      <c r="J260" s="1518">
        <f>+G260</f>
        <v>3105.48</v>
      </c>
      <c r="K260" s="1518"/>
      <c r="L260" s="1519"/>
      <c r="M260" s="1518"/>
      <c r="N260" s="1523"/>
    </row>
    <row r="261" spans="2:14" s="1559" customFormat="1">
      <c r="B261" s="1526" t="s">
        <v>6814</v>
      </c>
      <c r="C261" s="1524" t="s">
        <v>39</v>
      </c>
      <c r="D261" s="1518">
        <v>0</v>
      </c>
      <c r="E261" s="1518">
        <v>394.63</v>
      </c>
      <c r="F261" s="1518"/>
      <c r="G261" s="1518">
        <f t="shared" si="32"/>
        <v>394.63</v>
      </c>
      <c r="H261" s="1518">
        <f t="shared" si="33"/>
        <v>394.63</v>
      </c>
      <c r="I261" s="1518">
        <f>+G261</f>
        <v>394.63</v>
      </c>
      <c r="J261" s="1518"/>
      <c r="K261" s="1518"/>
      <c r="L261" s="1519"/>
      <c r="M261" s="1518"/>
      <c r="N261" s="1523"/>
    </row>
    <row r="262" spans="2:14" s="1559" customFormat="1">
      <c r="B262" s="1527" t="s">
        <v>5399</v>
      </c>
      <c r="C262" s="1524" t="s">
        <v>4163</v>
      </c>
      <c r="D262" s="1518">
        <v>1680</v>
      </c>
      <c r="E262" s="1518">
        <v>39.200000000000003</v>
      </c>
      <c r="F262" s="1518"/>
      <c r="G262" s="1518">
        <f t="shared" si="32"/>
        <v>1719.2</v>
      </c>
      <c r="H262" s="1518">
        <f t="shared" si="33"/>
        <v>1719.2</v>
      </c>
      <c r="I262" s="1518"/>
      <c r="J262" s="1518">
        <f>+G262</f>
        <v>1719.2</v>
      </c>
      <c r="K262" s="1518"/>
      <c r="L262" s="1519"/>
      <c r="M262" s="1518"/>
      <c r="N262" s="1523"/>
    </row>
    <row r="263" spans="2:14">
      <c r="B263" s="1527" t="s">
        <v>6661</v>
      </c>
      <c r="C263" s="1524" t="s">
        <v>40</v>
      </c>
      <c r="D263" s="1518">
        <v>3240.36</v>
      </c>
      <c r="E263" s="1518">
        <v>2000</v>
      </c>
      <c r="F263" s="1518"/>
      <c r="G263" s="1518">
        <f t="shared" si="32"/>
        <v>5240.3600000000006</v>
      </c>
      <c r="H263" s="1518">
        <f t="shared" si="33"/>
        <v>5240.3600000000006</v>
      </c>
      <c r="I263" s="1518"/>
      <c r="J263" s="1518">
        <f>+G263</f>
        <v>5240.3600000000006</v>
      </c>
      <c r="K263" s="1529"/>
      <c r="L263" s="1560"/>
      <c r="M263" s="1518"/>
      <c r="N263" s="1523"/>
    </row>
    <row r="264" spans="2:14">
      <c r="B264" s="1527" t="s">
        <v>6724</v>
      </c>
      <c r="C264" s="1524" t="s">
        <v>36</v>
      </c>
      <c r="D264" s="1518">
        <v>28000</v>
      </c>
      <c r="E264" s="1518">
        <v>22000</v>
      </c>
      <c r="F264" s="1518"/>
      <c r="G264" s="1518">
        <f t="shared" si="32"/>
        <v>50000</v>
      </c>
      <c r="H264" s="1518">
        <f t="shared" si="33"/>
        <v>50000</v>
      </c>
      <c r="I264" s="1518"/>
      <c r="J264" s="1518">
        <f>+G264</f>
        <v>50000</v>
      </c>
      <c r="K264" s="1561"/>
      <c r="L264" s="1560"/>
      <c r="M264" s="1518"/>
      <c r="N264" s="1523"/>
    </row>
    <row r="265" spans="2:14">
      <c r="B265" s="1527" t="s">
        <v>6815</v>
      </c>
      <c r="C265" s="1524" t="s">
        <v>37</v>
      </c>
      <c r="D265" s="1518">
        <v>0</v>
      </c>
      <c r="E265" s="1518">
        <v>3500</v>
      </c>
      <c r="F265" s="1518"/>
      <c r="G265" s="1518">
        <f t="shared" si="32"/>
        <v>3500</v>
      </c>
      <c r="H265" s="1518">
        <f t="shared" si="33"/>
        <v>3500</v>
      </c>
      <c r="I265" s="1518"/>
      <c r="J265" s="1518">
        <f>+G265</f>
        <v>3500</v>
      </c>
      <c r="K265" s="1561"/>
      <c r="L265" s="1560"/>
      <c r="M265" s="1518"/>
      <c r="N265" s="1523"/>
    </row>
    <row r="266" spans="2:14">
      <c r="B266" s="1526" t="s">
        <v>6779</v>
      </c>
      <c r="C266" s="1524" t="s">
        <v>6726</v>
      </c>
      <c r="D266" s="1518">
        <v>9.3223206931725144E-12</v>
      </c>
      <c r="E266" s="1518"/>
      <c r="F266" s="1518"/>
      <c r="G266" s="1518">
        <f t="shared" si="32"/>
        <v>9.3223206931725144E-12</v>
      </c>
      <c r="H266" s="1518">
        <f t="shared" si="33"/>
        <v>9.3223206931725144E-12</v>
      </c>
      <c r="I266" s="1518">
        <f>+G266</f>
        <v>9.3223206931725144E-12</v>
      </c>
      <c r="J266" s="1518"/>
      <c r="K266" s="1522"/>
      <c r="L266" s="1518"/>
      <c r="M266" s="1518"/>
      <c r="N266" s="1523"/>
    </row>
    <row r="267" spans="2:14">
      <c r="B267" s="1526" t="s">
        <v>6581</v>
      </c>
      <c r="C267" s="1524" t="s">
        <v>6816</v>
      </c>
      <c r="D267" s="1518">
        <v>88655.82</v>
      </c>
      <c r="E267" s="1518"/>
      <c r="F267" s="1518"/>
      <c r="G267" s="1518">
        <f t="shared" si="32"/>
        <v>88655.82</v>
      </c>
      <c r="H267" s="1518">
        <f t="shared" si="33"/>
        <v>88655.82</v>
      </c>
      <c r="I267" s="1529">
        <f>+G267</f>
        <v>88655.82</v>
      </c>
      <c r="J267" s="1518"/>
      <c r="K267" s="1518"/>
      <c r="L267" s="1519"/>
      <c r="M267" s="1518"/>
      <c r="N267" s="1523"/>
    </row>
    <row r="268" spans="2:14">
      <c r="B268" s="1526" t="s">
        <v>6817</v>
      </c>
      <c r="C268" s="1524" t="s">
        <v>505</v>
      </c>
      <c r="D268" s="1518">
        <v>0</v>
      </c>
      <c r="E268" s="1518">
        <v>1250</v>
      </c>
      <c r="F268" s="1518"/>
      <c r="G268" s="1518">
        <f t="shared" si="32"/>
        <v>1250</v>
      </c>
      <c r="H268" s="1518">
        <f t="shared" si="33"/>
        <v>1250</v>
      </c>
      <c r="I268" s="1529">
        <f>+G268</f>
        <v>1250</v>
      </c>
      <c r="J268" s="1518"/>
      <c r="K268" s="1522"/>
      <c r="L268" s="1519"/>
      <c r="M268" s="1518"/>
      <c r="N268" s="1523"/>
    </row>
    <row r="269" spans="2:14">
      <c r="B269" s="1531" t="s">
        <v>6818</v>
      </c>
      <c r="C269" s="1524" t="s">
        <v>6819</v>
      </c>
      <c r="D269" s="1518">
        <v>0</v>
      </c>
      <c r="E269" s="1518"/>
      <c r="F269" s="1518"/>
      <c r="G269" s="1518">
        <f t="shared" si="32"/>
        <v>0</v>
      </c>
      <c r="H269" s="1518">
        <f t="shared" si="33"/>
        <v>0</v>
      </c>
      <c r="I269" s="1518"/>
      <c r="J269" s="1518"/>
      <c r="K269" s="1522"/>
      <c r="L269" s="1518">
        <f>+G269</f>
        <v>0</v>
      </c>
      <c r="M269" s="1518"/>
      <c r="N269" s="1523"/>
    </row>
    <row r="270" spans="2:14">
      <c r="B270" s="1531" t="s">
        <v>6820</v>
      </c>
      <c r="C270" s="1524" t="s">
        <v>2742</v>
      </c>
      <c r="D270" s="1518">
        <v>0</v>
      </c>
      <c r="E270" s="1518"/>
      <c r="F270" s="1532"/>
      <c r="G270" s="1518">
        <f t="shared" si="32"/>
        <v>0</v>
      </c>
      <c r="H270" s="1518">
        <f t="shared" si="33"/>
        <v>0</v>
      </c>
      <c r="I270" s="1533"/>
      <c r="J270" s="1532"/>
      <c r="K270" s="1532"/>
      <c r="L270" s="1532">
        <f>+G270</f>
        <v>0</v>
      </c>
      <c r="M270" s="1518"/>
      <c r="N270" s="1523"/>
    </row>
    <row r="271" spans="2:14">
      <c r="B271" s="1527" t="s">
        <v>6738</v>
      </c>
      <c r="C271" s="1524" t="s">
        <v>591</v>
      </c>
      <c r="D271" s="1518">
        <v>0</v>
      </c>
      <c r="E271" s="1518">
        <f>2250</f>
        <v>2250</v>
      </c>
      <c r="F271" s="1532"/>
      <c r="G271" s="1518">
        <f t="shared" si="32"/>
        <v>2250</v>
      </c>
      <c r="H271" s="1518">
        <f t="shared" si="33"/>
        <v>2250</v>
      </c>
      <c r="I271" s="1533"/>
      <c r="J271" s="1532">
        <f>+G271</f>
        <v>2250</v>
      </c>
      <c r="K271" s="1532"/>
      <c r="L271" s="1519"/>
      <c r="M271" s="1518"/>
      <c r="N271" s="1523"/>
    </row>
    <row r="272" spans="2:14">
      <c r="B272" s="1493" t="s">
        <v>5694</v>
      </c>
      <c r="C272" s="1524" t="s">
        <v>591</v>
      </c>
      <c r="D272" s="1518">
        <v>0</v>
      </c>
      <c r="E272" s="1518">
        <v>6843.2</v>
      </c>
      <c r="F272" s="1532"/>
      <c r="G272" s="1518">
        <f t="shared" si="32"/>
        <v>6843.2</v>
      </c>
      <c r="H272" s="1518">
        <f t="shared" si="33"/>
        <v>6843.2</v>
      </c>
      <c r="I272" s="1533"/>
      <c r="J272" s="1532"/>
      <c r="K272" s="1532">
        <f>+G272</f>
        <v>6843.2</v>
      </c>
      <c r="L272" s="1519"/>
      <c r="M272" s="1518"/>
      <c r="N272" s="1523"/>
    </row>
    <row r="273" spans="2:14">
      <c r="B273" s="1493" t="s">
        <v>6821</v>
      </c>
      <c r="C273" s="1524" t="s">
        <v>591</v>
      </c>
      <c r="D273" s="1518">
        <v>0</v>
      </c>
      <c r="E273" s="1518">
        <v>6370</v>
      </c>
      <c r="F273" s="1532"/>
      <c r="G273" s="1518">
        <f t="shared" si="32"/>
        <v>6370</v>
      </c>
      <c r="H273" s="1518">
        <f t="shared" si="33"/>
        <v>6370</v>
      </c>
      <c r="I273" s="1533"/>
      <c r="J273" s="1532"/>
      <c r="K273" s="1532">
        <f>+G273</f>
        <v>6370</v>
      </c>
      <c r="L273" s="1519"/>
      <c r="M273" s="1518"/>
      <c r="N273" s="1523"/>
    </row>
    <row r="274" spans="2:14">
      <c r="B274" s="1526" t="s">
        <v>5717</v>
      </c>
      <c r="C274" s="1524" t="s">
        <v>39</v>
      </c>
      <c r="D274" s="1518">
        <v>0</v>
      </c>
      <c r="E274" s="1518">
        <f>3495+8692.25+53725.18</f>
        <v>65912.429999999993</v>
      </c>
      <c r="F274" s="1518"/>
      <c r="G274" s="1518">
        <f t="shared" si="32"/>
        <v>65912.429999999993</v>
      </c>
      <c r="H274" s="1518">
        <f t="shared" si="33"/>
        <v>65912.429999999993</v>
      </c>
      <c r="I274" s="1518">
        <f>+G274</f>
        <v>65912.429999999993</v>
      </c>
      <c r="J274" s="1533"/>
      <c r="K274" s="1532"/>
      <c r="L274" s="1519"/>
      <c r="M274" s="1518"/>
      <c r="N274" s="1523"/>
    </row>
    <row r="275" spans="2:14">
      <c r="B275" s="1526" t="s">
        <v>6822</v>
      </c>
      <c r="C275" s="1524" t="s">
        <v>39</v>
      </c>
      <c r="D275" s="1518">
        <v>0</v>
      </c>
      <c r="E275" s="1518">
        <v>924169.72</v>
      </c>
      <c r="F275" s="1518"/>
      <c r="G275" s="1518">
        <f t="shared" si="32"/>
        <v>924169.72</v>
      </c>
      <c r="H275" s="1518">
        <f t="shared" si="33"/>
        <v>924169.72</v>
      </c>
      <c r="I275" s="1518">
        <f>+G275</f>
        <v>924169.72</v>
      </c>
      <c r="J275" s="1533"/>
      <c r="K275" s="1532"/>
      <c r="L275" s="1519"/>
      <c r="M275" s="1518"/>
      <c r="N275" s="1523"/>
    </row>
    <row r="276" spans="2:14">
      <c r="B276" s="1527" t="s">
        <v>5252</v>
      </c>
      <c r="C276" s="1524" t="s">
        <v>39</v>
      </c>
      <c r="D276" s="1518">
        <v>0</v>
      </c>
      <c r="E276" s="1518">
        <f>9325.25</f>
        <v>9325.25</v>
      </c>
      <c r="F276" s="1518"/>
      <c r="G276" s="1518">
        <f t="shared" si="32"/>
        <v>9325.25</v>
      </c>
      <c r="H276" s="1518">
        <f t="shared" si="33"/>
        <v>9325.25</v>
      </c>
      <c r="I276" s="1518"/>
      <c r="J276" s="1533">
        <f>+G276</f>
        <v>9325.25</v>
      </c>
      <c r="K276" s="1532"/>
      <c r="L276" s="1519"/>
      <c r="M276" s="1518"/>
      <c r="N276" s="1523"/>
    </row>
    <row r="277" spans="2:14" ht="13.5" customHeight="1">
      <c r="B277" s="1493" t="s">
        <v>5283</v>
      </c>
      <c r="C277" s="1524" t="s">
        <v>39</v>
      </c>
      <c r="D277" s="1518">
        <v>0</v>
      </c>
      <c r="E277" s="1562">
        <f>211328.52+22400+30889.6+18043.2+15120+1929.57+8480</f>
        <v>308190.89</v>
      </c>
      <c r="F277" s="1518"/>
      <c r="G277" s="1518">
        <f t="shared" si="32"/>
        <v>308190.89</v>
      </c>
      <c r="H277" s="1518">
        <f t="shared" si="33"/>
        <v>308190.89</v>
      </c>
      <c r="I277" s="1523"/>
      <c r="J277" s="1532"/>
      <c r="K277" s="1532">
        <f>+G277</f>
        <v>308190.89</v>
      </c>
      <c r="L277" s="1519"/>
      <c r="M277" s="1518"/>
      <c r="N277" s="1523"/>
    </row>
    <row r="278" spans="2:14">
      <c r="B278" s="1526" t="s">
        <v>5544</v>
      </c>
      <c r="C278" s="1524" t="s">
        <v>40</v>
      </c>
      <c r="D278" s="1518">
        <v>0</v>
      </c>
      <c r="E278" s="1518">
        <v>1344.1</v>
      </c>
      <c r="F278" s="1518"/>
      <c r="G278" s="1518">
        <f t="shared" si="32"/>
        <v>1344.1</v>
      </c>
      <c r="H278" s="1518">
        <f t="shared" ref="H278" si="38">+SUM(I278:M278)</f>
        <v>1344.1</v>
      </c>
      <c r="I278" s="1532">
        <f>+G278</f>
        <v>1344.1</v>
      </c>
      <c r="J278" s="1533"/>
      <c r="K278" s="1532"/>
      <c r="L278" s="1519"/>
      <c r="M278" s="1518"/>
      <c r="N278" s="1523"/>
    </row>
    <row r="279" spans="2:14">
      <c r="B279" s="1526" t="s">
        <v>6823</v>
      </c>
      <c r="C279" s="1524" t="s">
        <v>40</v>
      </c>
      <c r="D279" s="1518">
        <v>0</v>
      </c>
      <c r="E279" s="1518">
        <v>244548.86</v>
      </c>
      <c r="F279" s="1518"/>
      <c r="G279" s="1518">
        <f t="shared" si="32"/>
        <v>244548.86</v>
      </c>
      <c r="H279" s="1518">
        <f t="shared" ref="H279" si="39">+SUM(I279:M279)</f>
        <v>244548.86</v>
      </c>
      <c r="I279" s="1532">
        <f>+G279</f>
        <v>244548.86</v>
      </c>
      <c r="J279" s="1533"/>
      <c r="K279" s="1532"/>
      <c r="L279" s="1519"/>
      <c r="M279" s="1518"/>
      <c r="N279" s="1523"/>
    </row>
    <row r="280" spans="2:14">
      <c r="B280" s="1493" t="s">
        <v>4825</v>
      </c>
      <c r="C280" s="1524" t="s">
        <v>40</v>
      </c>
      <c r="D280" s="1518">
        <v>0</v>
      </c>
      <c r="E280" s="1518">
        <f>234933.98+1771.84+45920-33600+18037.8+21644</f>
        <v>288707.62</v>
      </c>
      <c r="F280" s="1518"/>
      <c r="G280" s="1518">
        <f t="shared" si="32"/>
        <v>288707.62</v>
      </c>
      <c r="H280" s="1518">
        <f t="shared" ref="H280:H282" si="40">+SUM(I280:M280)</f>
        <v>288707.62</v>
      </c>
      <c r="I280" s="1563"/>
      <c r="J280" s="1533"/>
      <c r="K280" s="1532">
        <f>+G280</f>
        <v>288707.62</v>
      </c>
      <c r="L280" s="1519"/>
      <c r="M280" s="1518"/>
      <c r="N280" s="1523"/>
    </row>
    <row r="281" spans="2:14">
      <c r="B281" s="1531" t="s">
        <v>6824</v>
      </c>
      <c r="C281" s="1524" t="s">
        <v>40</v>
      </c>
      <c r="D281" s="1518">
        <v>0</v>
      </c>
      <c r="E281" s="1532">
        <v>414919.06</v>
      </c>
      <c r="F281" s="1532"/>
      <c r="G281" s="1518">
        <f t="shared" si="32"/>
        <v>414919.06</v>
      </c>
      <c r="H281" s="1518">
        <f t="shared" si="40"/>
        <v>414919.06</v>
      </c>
      <c r="I281" s="1563"/>
      <c r="J281" s="1533"/>
      <c r="K281" s="1532"/>
      <c r="L281" s="1532">
        <f>+G281</f>
        <v>414919.06</v>
      </c>
      <c r="M281" s="1518"/>
      <c r="N281" s="1523"/>
    </row>
    <row r="282" spans="2:14">
      <c r="B282" s="1493" t="s">
        <v>6825</v>
      </c>
      <c r="C282" s="1524" t="s">
        <v>37</v>
      </c>
      <c r="D282" s="1518">
        <v>0</v>
      </c>
      <c r="E282" s="1532">
        <v>2800</v>
      </c>
      <c r="F282" s="1532"/>
      <c r="G282" s="1518">
        <f t="shared" si="32"/>
        <v>2800</v>
      </c>
      <c r="H282" s="1518">
        <f t="shared" si="40"/>
        <v>2800</v>
      </c>
      <c r="I282" s="1532"/>
      <c r="J282" s="1533"/>
      <c r="K282" s="1532">
        <f>+G282</f>
        <v>2800</v>
      </c>
      <c r="L282" s="1532"/>
      <c r="M282" s="1518"/>
      <c r="N282" s="1523"/>
    </row>
    <row r="283" spans="2:14">
      <c r="B283" s="1549"/>
      <c r="C283" s="1536" t="s">
        <v>6636</v>
      </c>
      <c r="D283" s="1537">
        <f t="shared" ref="D283:M283" si="41">SUM(D213:D282)</f>
        <v>1176264.1200000003</v>
      </c>
      <c r="E283" s="1538">
        <f t="shared" si="41"/>
        <v>2454987.17</v>
      </c>
      <c r="F283" s="1538">
        <f t="shared" si="41"/>
        <v>352318.71</v>
      </c>
      <c r="G283" s="1538">
        <f t="shared" si="41"/>
        <v>3278932.58</v>
      </c>
      <c r="H283" s="1537">
        <f t="shared" si="41"/>
        <v>3278932.58</v>
      </c>
      <c r="I283" s="1537">
        <f t="shared" si="41"/>
        <v>1945519.8900000001</v>
      </c>
      <c r="J283" s="1537">
        <f t="shared" si="41"/>
        <v>245476.10000000003</v>
      </c>
      <c r="K283" s="1537">
        <f t="shared" si="41"/>
        <v>673017.53</v>
      </c>
      <c r="L283" s="1537">
        <f t="shared" si="41"/>
        <v>414919.06</v>
      </c>
      <c r="M283" s="1537">
        <f t="shared" si="41"/>
        <v>0</v>
      </c>
      <c r="N283" s="1523"/>
    </row>
    <row r="284" spans="2:14" ht="14.25">
      <c r="B284" s="1564"/>
      <c r="C284" s="1565"/>
      <c r="D284" s="1566"/>
      <c r="E284" s="1567"/>
      <c r="F284" s="1567"/>
      <c r="G284" s="1568">
        <f>G283-D326</f>
        <v>1061775.3547999999</v>
      </c>
      <c r="H284" s="1503"/>
      <c r="I284" s="1566"/>
      <c r="J284" s="1566"/>
      <c r="K284" s="1566"/>
      <c r="N284" s="1523"/>
    </row>
    <row r="285" spans="2:14">
      <c r="B285" s="1569"/>
      <c r="C285" s="1565"/>
      <c r="D285" s="1567"/>
      <c r="E285" s="1567"/>
      <c r="F285" s="1567"/>
      <c r="G285" s="1503"/>
      <c r="H285" s="1503"/>
      <c r="I285" s="1566"/>
      <c r="J285" s="1566"/>
      <c r="K285" s="1566"/>
      <c r="N285" s="1523"/>
    </row>
    <row r="286" spans="2:14" ht="38.25">
      <c r="B286" s="1555" t="s">
        <v>7</v>
      </c>
      <c r="C286" s="1555" t="s">
        <v>6505</v>
      </c>
      <c r="D286" s="1510" t="s">
        <v>6667</v>
      </c>
      <c r="E286" s="1510" t="s">
        <v>6678</v>
      </c>
      <c r="F286" s="1510" t="s">
        <v>6679</v>
      </c>
      <c r="G286" s="1510" t="s">
        <v>6680</v>
      </c>
      <c r="H286" s="1510" t="s">
        <v>6681</v>
      </c>
      <c r="I286" s="1511" t="s">
        <v>6488</v>
      </c>
      <c r="J286" s="1512" t="s">
        <v>6489</v>
      </c>
      <c r="K286" s="1513" t="s">
        <v>6508</v>
      </c>
      <c r="L286" s="1514" t="s">
        <v>6491</v>
      </c>
      <c r="M286" s="1515" t="s">
        <v>6492</v>
      </c>
      <c r="N286" s="1523"/>
    </row>
    <row r="287" spans="2:14">
      <c r="B287" s="1556" t="s">
        <v>6637</v>
      </c>
      <c r="C287" s="1570" t="s">
        <v>6638</v>
      </c>
      <c r="D287" s="1558"/>
      <c r="E287" s="1530"/>
      <c r="F287" s="1530"/>
      <c r="G287" s="1558"/>
      <c r="H287" s="1530"/>
      <c r="I287" s="1530"/>
      <c r="J287" s="1530"/>
      <c r="K287" s="1530"/>
      <c r="L287" s="1519"/>
      <c r="M287" s="1519"/>
      <c r="N287" s="1523"/>
    </row>
    <row r="288" spans="2:14">
      <c r="B288" s="1527" t="s">
        <v>5020</v>
      </c>
      <c r="C288" s="1571" t="s">
        <v>6791</v>
      </c>
      <c r="D288" s="1518">
        <v>33600</v>
      </c>
      <c r="E288" s="1518"/>
      <c r="F288" s="1518">
        <v>8960</v>
      </c>
      <c r="G288" s="1518">
        <f>+D288+E288-F288</f>
        <v>24640</v>
      </c>
      <c r="H288" s="1518">
        <f>+SUM(I288:M288)</f>
        <v>24640</v>
      </c>
      <c r="I288" s="1518"/>
      <c r="J288" s="1518">
        <f>+G288</f>
        <v>24640</v>
      </c>
      <c r="K288" s="1518"/>
      <c r="L288" s="1519"/>
      <c r="M288" s="1519"/>
      <c r="N288" s="1523"/>
    </row>
    <row r="289" spans="2:14">
      <c r="B289" s="1527" t="s">
        <v>6766</v>
      </c>
      <c r="C289" s="1524" t="s">
        <v>6826</v>
      </c>
      <c r="D289" s="1518">
        <v>3894.91</v>
      </c>
      <c r="E289" s="1518"/>
      <c r="F289" s="1518"/>
      <c r="G289" s="1518">
        <f t="shared" ref="G289:G320" si="42">+D289+E289-F289</f>
        <v>3894.91</v>
      </c>
      <c r="H289" s="1518">
        <f t="shared" ref="H289:H320" si="43">+SUM(I289:M289)</f>
        <v>3894.91</v>
      </c>
      <c r="I289" s="1518"/>
      <c r="J289" s="1518">
        <f t="shared" ref="J289:J299" si="44">+G289</f>
        <v>3894.91</v>
      </c>
      <c r="K289" s="1518"/>
      <c r="L289" s="1519"/>
      <c r="M289" s="1519"/>
      <c r="N289" s="1523"/>
    </row>
    <row r="290" spans="2:14">
      <c r="B290" s="1527" t="s">
        <v>6641</v>
      </c>
      <c r="C290" s="1524" t="s">
        <v>27</v>
      </c>
      <c r="D290" s="1518">
        <v>1344</v>
      </c>
      <c r="E290" s="1518"/>
      <c r="F290" s="1518"/>
      <c r="G290" s="1518">
        <f t="shared" si="42"/>
        <v>1344</v>
      </c>
      <c r="H290" s="1518">
        <f t="shared" si="43"/>
        <v>1344</v>
      </c>
      <c r="I290" s="1518"/>
      <c r="J290" s="1518">
        <f>+G290</f>
        <v>1344</v>
      </c>
      <c r="K290" s="1518"/>
      <c r="L290" s="1519"/>
      <c r="M290" s="1519"/>
      <c r="N290" s="1523"/>
    </row>
    <row r="291" spans="2:14">
      <c r="B291" s="1527" t="s">
        <v>6827</v>
      </c>
      <c r="C291" s="1524" t="s">
        <v>1507</v>
      </c>
      <c r="D291" s="1518">
        <v>8064</v>
      </c>
      <c r="E291" s="1518"/>
      <c r="F291" s="1518"/>
      <c r="G291" s="1518">
        <f t="shared" si="42"/>
        <v>8064</v>
      </c>
      <c r="H291" s="1518">
        <f t="shared" si="43"/>
        <v>8064</v>
      </c>
      <c r="I291" s="1518"/>
      <c r="J291" s="1518">
        <f t="shared" si="44"/>
        <v>8064</v>
      </c>
      <c r="K291" s="1518"/>
      <c r="L291" s="1519"/>
      <c r="M291" s="1519"/>
      <c r="N291" s="1523"/>
    </row>
    <row r="292" spans="2:14">
      <c r="B292" s="1527" t="s">
        <v>6643</v>
      </c>
      <c r="C292" s="1524" t="s">
        <v>6828</v>
      </c>
      <c r="D292" s="1518">
        <v>2121.2800000000002</v>
      </c>
      <c r="E292" s="1518"/>
      <c r="F292" s="1518"/>
      <c r="G292" s="1518">
        <f t="shared" si="42"/>
        <v>2121.2800000000002</v>
      </c>
      <c r="H292" s="1518">
        <f t="shared" si="43"/>
        <v>2121.2800000000002</v>
      </c>
      <c r="I292" s="1518"/>
      <c r="J292" s="1518">
        <f t="shared" si="44"/>
        <v>2121.2800000000002</v>
      </c>
      <c r="K292" s="1518"/>
      <c r="L292" s="1519"/>
      <c r="M292" s="1519"/>
      <c r="N292" s="1523"/>
    </row>
    <row r="293" spans="2:14">
      <c r="B293" s="1527" t="s">
        <v>6700</v>
      </c>
      <c r="C293" s="1521" t="s">
        <v>281</v>
      </c>
      <c r="D293" s="1518">
        <v>11356.8</v>
      </c>
      <c r="E293" s="1518"/>
      <c r="F293" s="1518"/>
      <c r="G293" s="1518">
        <f t="shared" si="42"/>
        <v>11356.8</v>
      </c>
      <c r="H293" s="1518">
        <f t="shared" si="43"/>
        <v>11356.8</v>
      </c>
      <c r="I293" s="1518"/>
      <c r="J293" s="1518">
        <f t="shared" si="44"/>
        <v>11356.8</v>
      </c>
      <c r="K293" s="1518"/>
      <c r="L293" s="1519"/>
      <c r="M293" s="1519"/>
      <c r="N293" s="1523"/>
    </row>
    <row r="294" spans="2:14">
      <c r="B294" s="1527" t="s">
        <v>6770</v>
      </c>
      <c r="C294" s="1521" t="s">
        <v>505</v>
      </c>
      <c r="D294" s="1518">
        <v>0</v>
      </c>
      <c r="E294" s="1518">
        <v>2352</v>
      </c>
      <c r="F294" s="1518"/>
      <c r="G294" s="1518">
        <f t="shared" si="42"/>
        <v>2352</v>
      </c>
      <c r="H294" s="1518">
        <f t="shared" si="43"/>
        <v>2352</v>
      </c>
      <c r="I294" s="1518"/>
      <c r="J294" s="1518">
        <f t="shared" si="44"/>
        <v>2352</v>
      </c>
      <c r="K294" s="1518"/>
      <c r="L294" s="1519"/>
      <c r="M294" s="1519"/>
      <c r="N294" s="1523"/>
    </row>
    <row r="295" spans="2:14">
      <c r="B295" s="1527" t="s">
        <v>6646</v>
      </c>
      <c r="C295" s="1524" t="s">
        <v>4343</v>
      </c>
      <c r="D295" s="1518">
        <v>22400</v>
      </c>
      <c r="E295" s="1518"/>
      <c r="F295" s="1518">
        <v>22400</v>
      </c>
      <c r="G295" s="1518">
        <f t="shared" si="42"/>
        <v>0</v>
      </c>
      <c r="H295" s="1518">
        <f t="shared" si="43"/>
        <v>0</v>
      </c>
      <c r="I295" s="1518"/>
      <c r="J295" s="1518">
        <f t="shared" si="44"/>
        <v>0</v>
      </c>
      <c r="K295" s="1518"/>
      <c r="L295" s="1519"/>
      <c r="M295" s="1519"/>
      <c r="N295" s="1523"/>
    </row>
    <row r="296" spans="2:14">
      <c r="B296" s="1527" t="s">
        <v>6624</v>
      </c>
      <c r="C296" s="1524" t="s">
        <v>2507</v>
      </c>
      <c r="D296" s="1518">
        <v>50064</v>
      </c>
      <c r="E296" s="1518"/>
      <c r="F296" s="1518">
        <v>25064</v>
      </c>
      <c r="G296" s="1518">
        <f t="shared" si="42"/>
        <v>25000</v>
      </c>
      <c r="H296" s="1518">
        <f t="shared" si="43"/>
        <v>25000</v>
      </c>
      <c r="I296" s="1518"/>
      <c r="J296" s="1518">
        <f t="shared" si="44"/>
        <v>25000</v>
      </c>
      <c r="K296" s="1518"/>
      <c r="L296" s="1519"/>
      <c r="M296" s="1519"/>
      <c r="N296" s="1523"/>
    </row>
    <row r="297" spans="2:14">
      <c r="B297" s="1527" t="s">
        <v>5021</v>
      </c>
      <c r="C297" s="1524" t="s">
        <v>5015</v>
      </c>
      <c r="D297" s="1518">
        <v>20160</v>
      </c>
      <c r="E297" s="1518"/>
      <c r="F297" s="1518">
        <v>20160</v>
      </c>
      <c r="G297" s="1518">
        <f t="shared" si="42"/>
        <v>0</v>
      </c>
      <c r="H297" s="1518">
        <f t="shared" si="43"/>
        <v>0</v>
      </c>
      <c r="I297" s="1518"/>
      <c r="J297" s="1518">
        <f t="shared" si="44"/>
        <v>0</v>
      </c>
      <c r="K297" s="1518"/>
      <c r="L297" s="1519"/>
      <c r="M297" s="1519"/>
      <c r="N297" s="1523"/>
    </row>
    <row r="298" spans="2:14">
      <c r="B298" s="1527" t="s">
        <v>6626</v>
      </c>
      <c r="C298" s="1524" t="s">
        <v>1360</v>
      </c>
      <c r="D298" s="1518">
        <v>17920</v>
      </c>
      <c r="E298" s="1518"/>
      <c r="F298" s="1518"/>
      <c r="G298" s="1518">
        <f t="shared" si="42"/>
        <v>17920</v>
      </c>
      <c r="H298" s="1518">
        <f t="shared" si="43"/>
        <v>17920</v>
      </c>
      <c r="I298" s="1518"/>
      <c r="J298" s="1518">
        <f t="shared" si="44"/>
        <v>17920</v>
      </c>
      <c r="K298" s="1518"/>
      <c r="L298" s="1519"/>
      <c r="M298" s="1519"/>
      <c r="N298" s="1523"/>
    </row>
    <row r="299" spans="2:14">
      <c r="B299" s="1527" t="s">
        <v>6648</v>
      </c>
      <c r="C299" s="1524" t="s">
        <v>2398</v>
      </c>
      <c r="D299" s="1518">
        <v>16800</v>
      </c>
      <c r="E299" s="1518"/>
      <c r="F299" s="1518">
        <v>6800</v>
      </c>
      <c r="G299" s="1518">
        <f t="shared" si="42"/>
        <v>10000</v>
      </c>
      <c r="H299" s="1518">
        <f t="shared" si="43"/>
        <v>10000</v>
      </c>
      <c r="I299" s="1518"/>
      <c r="J299" s="1518">
        <f t="shared" si="44"/>
        <v>10000</v>
      </c>
      <c r="K299" s="1518"/>
      <c r="L299" s="1519"/>
      <c r="M299" s="1519"/>
      <c r="N299" s="1523"/>
    </row>
    <row r="300" spans="2:14">
      <c r="B300" s="1526" t="s">
        <v>6829</v>
      </c>
      <c r="C300" s="1524" t="s">
        <v>33</v>
      </c>
      <c r="D300" s="1518">
        <v>1648.86</v>
      </c>
      <c r="E300" s="1518"/>
      <c r="F300" s="1518"/>
      <c r="G300" s="1518">
        <f t="shared" si="42"/>
        <v>1648.86</v>
      </c>
      <c r="H300" s="1518">
        <f t="shared" si="43"/>
        <v>1648.86</v>
      </c>
      <c r="I300" s="1518">
        <f>+G300</f>
        <v>1648.86</v>
      </c>
      <c r="J300" s="1518"/>
      <c r="K300" s="1518"/>
      <c r="L300" s="1519"/>
      <c r="M300" s="1519"/>
      <c r="N300" s="1523"/>
    </row>
    <row r="301" spans="2:14">
      <c r="B301" s="1527" t="s">
        <v>6650</v>
      </c>
      <c r="C301" s="1524" t="s">
        <v>148</v>
      </c>
      <c r="D301" s="1518">
        <v>3584</v>
      </c>
      <c r="E301" s="1518"/>
      <c r="F301" s="1518"/>
      <c r="G301" s="1518">
        <f t="shared" si="42"/>
        <v>3584</v>
      </c>
      <c r="H301" s="1518">
        <f t="shared" si="43"/>
        <v>3584</v>
      </c>
      <c r="I301" s="1518"/>
      <c r="J301" s="1518">
        <f>+G301</f>
        <v>3584</v>
      </c>
      <c r="K301" s="1518"/>
      <c r="L301" s="1519"/>
      <c r="M301" s="1519"/>
      <c r="N301" s="1523"/>
    </row>
    <row r="302" spans="2:14">
      <c r="B302" s="1527" t="s">
        <v>6651</v>
      </c>
      <c r="C302" s="1571" t="s">
        <v>6712</v>
      </c>
      <c r="D302" s="1518">
        <v>1120</v>
      </c>
      <c r="E302" s="1518"/>
      <c r="F302" s="1518"/>
      <c r="G302" s="1518">
        <f t="shared" si="42"/>
        <v>1120</v>
      </c>
      <c r="H302" s="1518">
        <f t="shared" si="43"/>
        <v>1120</v>
      </c>
      <c r="I302" s="1518"/>
      <c r="J302" s="1518">
        <f>+G302</f>
        <v>1120</v>
      </c>
      <c r="K302" s="1518"/>
      <c r="L302" s="1519"/>
      <c r="M302" s="1519"/>
      <c r="N302" s="1523"/>
    </row>
    <row r="303" spans="2:14">
      <c r="B303" s="1527" t="s">
        <v>6713</v>
      </c>
      <c r="C303" s="1524" t="s">
        <v>2003</v>
      </c>
      <c r="D303" s="1518">
        <v>396.4</v>
      </c>
      <c r="E303" s="1518"/>
      <c r="F303" s="1518"/>
      <c r="G303" s="1518">
        <f t="shared" si="42"/>
        <v>396.4</v>
      </c>
      <c r="H303" s="1518">
        <f t="shared" si="43"/>
        <v>396.4</v>
      </c>
      <c r="I303" s="1518"/>
      <c r="J303" s="1518">
        <f>+G303</f>
        <v>396.4</v>
      </c>
      <c r="K303" s="1518"/>
      <c r="L303" s="1519"/>
      <c r="M303" s="1519"/>
      <c r="N303" s="1523"/>
    </row>
    <row r="304" spans="2:14">
      <c r="B304" s="1527" t="s">
        <v>6654</v>
      </c>
      <c r="C304" s="1524" t="s">
        <v>3817</v>
      </c>
      <c r="D304" s="1518">
        <v>1261.3800000000001</v>
      </c>
      <c r="E304" s="1518"/>
      <c r="F304" s="1518">
        <v>1261.3800000000001</v>
      </c>
      <c r="G304" s="1518">
        <f t="shared" si="42"/>
        <v>0</v>
      </c>
      <c r="H304" s="1518">
        <f t="shared" si="43"/>
        <v>0</v>
      </c>
      <c r="I304" s="1518"/>
      <c r="J304" s="1518">
        <f>+G304</f>
        <v>0</v>
      </c>
      <c r="K304" s="1518"/>
      <c r="L304" s="1519"/>
      <c r="M304" s="1519"/>
      <c r="N304" s="1523"/>
    </row>
    <row r="305" spans="2:14">
      <c r="B305" s="1527" t="s">
        <v>6754</v>
      </c>
      <c r="C305" s="1571" t="s">
        <v>1006</v>
      </c>
      <c r="D305" s="1518">
        <v>1372.64</v>
      </c>
      <c r="E305" s="1518"/>
      <c r="F305" s="1518"/>
      <c r="G305" s="1518">
        <f t="shared" si="42"/>
        <v>1372.64</v>
      </c>
      <c r="H305" s="1518">
        <f t="shared" si="43"/>
        <v>1372.64</v>
      </c>
      <c r="I305" s="1518"/>
      <c r="J305" s="1518">
        <f t="shared" ref="J305:J314" si="45">+G305</f>
        <v>1372.64</v>
      </c>
      <c r="K305" s="1518"/>
      <c r="L305" s="1519"/>
      <c r="M305" s="1519"/>
      <c r="N305" s="1523"/>
    </row>
    <row r="306" spans="2:14">
      <c r="B306" s="1527" t="s">
        <v>6656</v>
      </c>
      <c r="C306" s="1571" t="s">
        <v>4321</v>
      </c>
      <c r="D306" s="1518">
        <v>26096</v>
      </c>
      <c r="E306" s="1532"/>
      <c r="F306" s="1518">
        <v>26096</v>
      </c>
      <c r="G306" s="1518">
        <f t="shared" si="42"/>
        <v>0</v>
      </c>
      <c r="H306" s="1518">
        <f t="shared" si="43"/>
        <v>0</v>
      </c>
      <c r="I306" s="1518"/>
      <c r="J306" s="1532">
        <f t="shared" si="45"/>
        <v>0</v>
      </c>
      <c r="K306" s="1532"/>
      <c r="L306" s="1519"/>
      <c r="M306" s="1519"/>
      <c r="N306" s="1523"/>
    </row>
    <row r="307" spans="2:14">
      <c r="B307" s="1527" t="s">
        <v>6657</v>
      </c>
      <c r="C307" s="1571" t="s">
        <v>1089</v>
      </c>
      <c r="D307" s="1518">
        <v>1344</v>
      </c>
      <c r="E307" s="1532"/>
      <c r="F307" s="1518"/>
      <c r="G307" s="1518">
        <f t="shared" si="42"/>
        <v>1344</v>
      </c>
      <c r="H307" s="1518">
        <f t="shared" si="43"/>
        <v>1344</v>
      </c>
      <c r="I307" s="1518"/>
      <c r="J307" s="1532">
        <f t="shared" si="45"/>
        <v>1344</v>
      </c>
      <c r="K307" s="1532"/>
      <c r="L307" s="1519"/>
      <c r="M307" s="1519"/>
      <c r="N307" s="1523"/>
    </row>
    <row r="308" spans="2:14">
      <c r="B308" s="1527" t="s">
        <v>6830</v>
      </c>
      <c r="C308" s="1571" t="s">
        <v>4141</v>
      </c>
      <c r="D308" s="1518">
        <v>0</v>
      </c>
      <c r="E308" s="1518">
        <v>162.4</v>
      </c>
      <c r="F308" s="1518"/>
      <c r="G308" s="1518">
        <f t="shared" si="42"/>
        <v>162.4</v>
      </c>
      <c r="H308" s="1518">
        <f t="shared" si="43"/>
        <v>162.4</v>
      </c>
      <c r="I308" s="1518"/>
      <c r="J308" s="1532">
        <f t="shared" si="45"/>
        <v>162.4</v>
      </c>
      <c r="K308" s="1532"/>
      <c r="L308" s="1519"/>
      <c r="M308" s="1519"/>
      <c r="N308" s="1523"/>
    </row>
    <row r="309" spans="2:14">
      <c r="B309" s="1527" t="s">
        <v>6809</v>
      </c>
      <c r="C309" s="1571" t="s">
        <v>6831</v>
      </c>
      <c r="D309" s="1518">
        <v>0</v>
      </c>
      <c r="E309" s="1518">
        <v>619.36</v>
      </c>
      <c r="F309" s="1518"/>
      <c r="G309" s="1518">
        <f t="shared" si="42"/>
        <v>619.36</v>
      </c>
      <c r="H309" s="1518">
        <f t="shared" si="43"/>
        <v>619.36</v>
      </c>
      <c r="I309" s="1518"/>
      <c r="J309" s="1532">
        <f>+G309</f>
        <v>619.36</v>
      </c>
      <c r="K309" s="1532"/>
      <c r="L309" s="1519"/>
      <c r="M309" s="1519"/>
      <c r="N309" s="1523"/>
    </row>
    <row r="310" spans="2:14">
      <c r="B310" s="1527" t="s">
        <v>5260</v>
      </c>
      <c r="C310" s="1571" t="s">
        <v>3341</v>
      </c>
      <c r="D310" s="1518">
        <v>0</v>
      </c>
      <c r="E310" s="1518">
        <v>5600</v>
      </c>
      <c r="F310" s="1518"/>
      <c r="G310" s="1518">
        <f t="shared" si="42"/>
        <v>5600</v>
      </c>
      <c r="H310" s="1518">
        <f t="shared" si="43"/>
        <v>5600</v>
      </c>
      <c r="I310" s="1518"/>
      <c r="J310" s="1532">
        <f>+G310</f>
        <v>5600</v>
      </c>
      <c r="K310" s="1532"/>
      <c r="L310" s="1519"/>
      <c r="M310" s="1519"/>
      <c r="N310" s="1523"/>
    </row>
    <row r="311" spans="2:14">
      <c r="B311" s="1527" t="s">
        <v>6659</v>
      </c>
      <c r="C311" s="1571" t="s">
        <v>671</v>
      </c>
      <c r="D311" s="1518">
        <v>993.18</v>
      </c>
      <c r="E311" s="1532"/>
      <c r="F311" s="1518"/>
      <c r="G311" s="1518">
        <f t="shared" si="42"/>
        <v>993.18</v>
      </c>
      <c r="H311" s="1518">
        <f t="shared" si="43"/>
        <v>993.18</v>
      </c>
      <c r="I311" s="1518"/>
      <c r="J311" s="1532">
        <f t="shared" si="45"/>
        <v>993.18</v>
      </c>
      <c r="K311" s="1532"/>
      <c r="L311" s="1519"/>
      <c r="M311" s="1519"/>
      <c r="N311" s="1523"/>
    </row>
    <row r="312" spans="2:14">
      <c r="B312" s="1527" t="s">
        <v>6660</v>
      </c>
      <c r="C312" s="1571" t="s">
        <v>39</v>
      </c>
      <c r="D312" s="1518">
        <v>37159.050000000003</v>
      </c>
      <c r="E312" s="1532"/>
      <c r="F312" s="1518">
        <v>21280</v>
      </c>
      <c r="G312" s="1518">
        <f t="shared" si="42"/>
        <v>15879.050000000003</v>
      </c>
      <c r="H312" s="1518">
        <f t="shared" si="43"/>
        <v>15879.050000000003</v>
      </c>
      <c r="I312" s="1518"/>
      <c r="J312" s="1532">
        <f t="shared" si="45"/>
        <v>15879.050000000003</v>
      </c>
      <c r="K312" s="1532"/>
      <c r="L312" s="1519"/>
      <c r="M312" s="1519"/>
      <c r="N312" s="1523"/>
    </row>
    <row r="313" spans="2:14">
      <c r="B313" s="1526" t="s">
        <v>4835</v>
      </c>
      <c r="C313" s="1571" t="s">
        <v>40</v>
      </c>
      <c r="D313" s="1518">
        <v>56.95</v>
      </c>
      <c r="E313" s="1532"/>
      <c r="F313" s="1518"/>
      <c r="G313" s="1518">
        <f t="shared" si="42"/>
        <v>56.95</v>
      </c>
      <c r="H313" s="1518">
        <f t="shared" si="43"/>
        <v>56.95</v>
      </c>
      <c r="I313" s="1518">
        <f>+G313</f>
        <v>56.95</v>
      </c>
      <c r="J313" s="1532"/>
      <c r="K313" s="1532"/>
      <c r="L313" s="1519"/>
      <c r="M313" s="1519"/>
      <c r="N313" s="1523"/>
    </row>
    <row r="314" spans="2:14">
      <c r="B314" s="1527" t="s">
        <v>6661</v>
      </c>
      <c r="C314" s="1571" t="s">
        <v>40</v>
      </c>
      <c r="D314" s="1518">
        <v>1037.1400000000001</v>
      </c>
      <c r="E314" s="1532"/>
      <c r="F314" s="1518"/>
      <c r="G314" s="1518">
        <f t="shared" si="42"/>
        <v>1037.1400000000001</v>
      </c>
      <c r="H314" s="1518">
        <f t="shared" si="43"/>
        <v>1037.1400000000001</v>
      </c>
      <c r="I314" s="1518"/>
      <c r="J314" s="1532">
        <f t="shared" si="45"/>
        <v>1037.1400000000001</v>
      </c>
      <c r="K314" s="1532"/>
      <c r="L314" s="1519"/>
      <c r="M314" s="1519"/>
      <c r="N314" s="1523"/>
    </row>
    <row r="315" spans="2:14">
      <c r="B315" s="1493" t="s">
        <v>6662</v>
      </c>
      <c r="C315" s="1571" t="s">
        <v>40</v>
      </c>
      <c r="D315" s="1518">
        <v>171.51</v>
      </c>
      <c r="E315" s="1532"/>
      <c r="F315" s="1518"/>
      <c r="G315" s="1518">
        <f t="shared" si="42"/>
        <v>171.51</v>
      </c>
      <c r="H315" s="1518">
        <f t="shared" si="43"/>
        <v>171.51</v>
      </c>
      <c r="I315" s="1518"/>
      <c r="J315" s="1532"/>
      <c r="K315" s="1532">
        <f t="shared" ref="K315:K320" si="46">+G315</f>
        <v>171.51</v>
      </c>
      <c r="L315" s="1519"/>
      <c r="M315" s="1519"/>
      <c r="N315" s="1523"/>
    </row>
    <row r="316" spans="2:14">
      <c r="B316" s="1493" t="s">
        <v>6576</v>
      </c>
      <c r="C316" s="1571" t="s">
        <v>680</v>
      </c>
      <c r="D316" s="1518">
        <v>1120</v>
      </c>
      <c r="E316" s="1532"/>
      <c r="F316" s="1518"/>
      <c r="G316" s="1518">
        <f t="shared" si="42"/>
        <v>1120</v>
      </c>
      <c r="H316" s="1518">
        <f t="shared" si="43"/>
        <v>1120</v>
      </c>
      <c r="I316" s="1518"/>
      <c r="J316" s="1532"/>
      <c r="K316" s="1532">
        <f t="shared" si="46"/>
        <v>1120</v>
      </c>
      <c r="L316" s="1519"/>
      <c r="M316" s="1519"/>
      <c r="N316" s="1523"/>
    </row>
    <row r="317" spans="2:14">
      <c r="B317" s="1493" t="s">
        <v>5694</v>
      </c>
      <c r="C317" s="1571" t="s">
        <v>671</v>
      </c>
      <c r="D317" s="1518">
        <v>0</v>
      </c>
      <c r="E317" s="1532">
        <f>14739.77+5107.94</f>
        <v>19847.71</v>
      </c>
      <c r="F317" s="1518"/>
      <c r="G317" s="1518">
        <f t="shared" si="42"/>
        <v>19847.71</v>
      </c>
      <c r="H317" s="1518">
        <f t="shared" si="43"/>
        <v>19847.71</v>
      </c>
      <c r="I317" s="1518"/>
      <c r="J317" s="1532"/>
      <c r="K317" s="1532">
        <f t="shared" si="46"/>
        <v>19847.71</v>
      </c>
      <c r="L317" s="1519"/>
      <c r="M317" s="1519"/>
      <c r="N317" s="1523"/>
    </row>
    <row r="318" spans="2:14">
      <c r="B318" s="1493" t="s">
        <v>5283</v>
      </c>
      <c r="C318" s="1524" t="s">
        <v>39</v>
      </c>
      <c r="D318" s="1518">
        <v>0</v>
      </c>
      <c r="E318" s="1532">
        <f>20678.1+5308.8+9924.07</f>
        <v>35910.97</v>
      </c>
      <c r="F318" s="1518"/>
      <c r="G318" s="1518">
        <f t="shared" si="42"/>
        <v>35910.97</v>
      </c>
      <c r="H318" s="1518">
        <f t="shared" si="43"/>
        <v>35910.97</v>
      </c>
      <c r="I318" s="1518"/>
      <c r="J318" s="1532"/>
      <c r="K318" s="1532">
        <f t="shared" si="46"/>
        <v>35910.97</v>
      </c>
      <c r="L318" s="1519"/>
      <c r="M318" s="1518"/>
      <c r="N318" s="1523"/>
    </row>
    <row r="319" spans="2:14">
      <c r="B319" s="1493" t="s">
        <v>4825</v>
      </c>
      <c r="C319" s="1524" t="s">
        <v>40</v>
      </c>
      <c r="D319" s="1518">
        <v>0</v>
      </c>
      <c r="E319" s="1518">
        <f>21446.9+336.01</f>
        <v>21782.91</v>
      </c>
      <c r="F319" s="1518"/>
      <c r="G319" s="1518">
        <f t="shared" si="42"/>
        <v>21782.91</v>
      </c>
      <c r="H319" s="1518">
        <f t="shared" si="43"/>
        <v>21782.91</v>
      </c>
      <c r="I319" s="1518"/>
      <c r="J319" s="1518"/>
      <c r="K319" s="1518">
        <f t="shared" si="46"/>
        <v>21782.91</v>
      </c>
      <c r="L319" s="1519"/>
      <c r="M319" s="1519"/>
      <c r="N319" s="1523"/>
    </row>
    <row r="320" spans="2:14">
      <c r="B320" s="1493" t="s">
        <v>6586</v>
      </c>
      <c r="C320" s="1571" t="s">
        <v>5430</v>
      </c>
      <c r="D320" s="1518">
        <v>0</v>
      </c>
      <c r="E320" s="1518">
        <v>1994.23</v>
      </c>
      <c r="F320" s="1518"/>
      <c r="G320" s="1518">
        <f t="shared" si="42"/>
        <v>1994.23</v>
      </c>
      <c r="H320" s="1518">
        <f t="shared" si="43"/>
        <v>1994.23</v>
      </c>
      <c r="I320" s="1518"/>
      <c r="J320" s="1518"/>
      <c r="K320" s="1518">
        <f t="shared" si="46"/>
        <v>1994.23</v>
      </c>
      <c r="L320" s="1519"/>
      <c r="M320" s="1519"/>
      <c r="N320" s="1523"/>
    </row>
    <row r="321" spans="1:14">
      <c r="B321" s="1549"/>
      <c r="C321" s="1572" t="s">
        <v>6832</v>
      </c>
      <c r="D321" s="1537">
        <f t="shared" ref="D321:M321" si="47">SUM(D288:D320)</f>
        <v>265086.10000000003</v>
      </c>
      <c r="E321" s="1538">
        <f t="shared" si="47"/>
        <v>88269.58</v>
      </c>
      <c r="F321" s="1538">
        <f t="shared" si="47"/>
        <v>132021.38</v>
      </c>
      <c r="G321" s="1538">
        <f t="shared" si="47"/>
        <v>221334.30000000005</v>
      </c>
      <c r="H321" s="1537">
        <f t="shared" si="47"/>
        <v>221334.30000000005</v>
      </c>
      <c r="I321" s="1537">
        <f t="shared" si="47"/>
        <v>1705.81</v>
      </c>
      <c r="J321" s="1537">
        <f t="shared" si="47"/>
        <v>138801.16</v>
      </c>
      <c r="K321" s="1537">
        <f t="shared" si="47"/>
        <v>80827.33</v>
      </c>
      <c r="L321" s="1537">
        <f t="shared" si="47"/>
        <v>0</v>
      </c>
      <c r="M321" s="1537">
        <f t="shared" si="47"/>
        <v>0</v>
      </c>
      <c r="N321" s="1523"/>
    </row>
    <row r="322" spans="1:14" s="1476" customFormat="1">
      <c r="A322" s="1477"/>
      <c r="B322" s="1573"/>
      <c r="C322" s="1536" t="s">
        <v>6833</v>
      </c>
      <c r="D322" s="1525">
        <f t="shared" ref="D322:M322" si="48">+D125+D143+D208+D283+D321</f>
        <v>36952620.419999987</v>
      </c>
      <c r="E322" s="1525">
        <f t="shared" si="48"/>
        <v>4670025.9349999996</v>
      </c>
      <c r="F322" s="1525">
        <f t="shared" si="48"/>
        <v>4670025.93</v>
      </c>
      <c r="G322" s="1525">
        <f t="shared" si="48"/>
        <v>36952620.424999982</v>
      </c>
      <c r="H322" s="1525">
        <f t="shared" si="48"/>
        <v>36952620.424999982</v>
      </c>
      <c r="I322" s="1525">
        <f t="shared" si="48"/>
        <v>6943147.2800000003</v>
      </c>
      <c r="J322" s="1525">
        <f t="shared" si="48"/>
        <v>770169.00000000012</v>
      </c>
      <c r="K322" s="1525">
        <f t="shared" si="48"/>
        <v>28382726.444999985</v>
      </c>
      <c r="L322" s="1525">
        <f t="shared" si="48"/>
        <v>856577.7</v>
      </c>
      <c r="M322" s="1525">
        <f t="shared" si="48"/>
        <v>0</v>
      </c>
      <c r="N322" s="1523"/>
    </row>
    <row r="323" spans="1:14" s="1476" customFormat="1">
      <c r="A323" s="1477"/>
      <c r="B323" s="1477"/>
      <c r="C323" s="1574"/>
      <c r="D323" s="1575"/>
      <c r="E323" s="1575"/>
      <c r="F323" s="1575"/>
      <c r="G323" s="1575"/>
      <c r="H323" s="1575"/>
      <c r="I323" s="1575"/>
      <c r="J323" s="1575"/>
      <c r="K323" s="1575"/>
      <c r="L323" s="1477"/>
      <c r="M323" s="1477"/>
    </row>
    <row r="324" spans="1:14" s="1476" customFormat="1">
      <c r="A324" s="1477"/>
      <c r="B324" s="1576"/>
      <c r="C324" s="1576"/>
      <c r="D324" s="1577">
        <f>+D14-D322</f>
        <v>0</v>
      </c>
      <c r="E324" s="1577"/>
      <c r="F324" s="1577">
        <f>+E322-F322</f>
        <v>4.999999888241291E-3</v>
      </c>
      <c r="G324" s="1577"/>
      <c r="H324" s="1577">
        <f>+G322-H322</f>
        <v>0</v>
      </c>
      <c r="I324" s="1578">
        <f>+E14-I322</f>
        <v>0</v>
      </c>
      <c r="J324" s="1578">
        <f>+F14-J322</f>
        <v>0</v>
      </c>
      <c r="K324" s="1578">
        <f>+G14-K322</f>
        <v>-4.9999840557575226E-3</v>
      </c>
      <c r="L324" s="1578">
        <f>+H14-L322</f>
        <v>0</v>
      </c>
      <c r="M324" s="1578">
        <f>+I14-M322</f>
        <v>0</v>
      </c>
    </row>
    <row r="325" spans="1:14" s="1476" customFormat="1">
      <c r="A325" s="1477"/>
      <c r="B325" s="1576"/>
      <c r="C325" s="1576"/>
      <c r="D325" s="1577"/>
      <c r="E325" s="1577"/>
      <c r="F325" s="1577"/>
      <c r="G325" s="1577"/>
      <c r="H325" s="1577"/>
      <c r="I325" s="1579"/>
      <c r="J325" s="1579"/>
      <c r="K325" s="1579"/>
      <c r="L325" s="1579"/>
      <c r="M325" s="1579"/>
    </row>
    <row r="326" spans="1:14" s="1476" customFormat="1">
      <c r="A326" s="1477"/>
      <c r="B326" s="1576"/>
      <c r="C326" s="1576"/>
      <c r="D326" s="1580">
        <f>+D14*0.06</f>
        <v>2217157.2252000002</v>
      </c>
      <c r="E326" s="1577" t="s">
        <v>6834</v>
      </c>
      <c r="F326" s="1576"/>
      <c r="G326" s="1580"/>
      <c r="H326" s="1581"/>
      <c r="I326" s="1582"/>
      <c r="J326" s="1582"/>
      <c r="L326" s="1477"/>
      <c r="M326" s="1477"/>
    </row>
    <row r="327" spans="1:14" s="1476" customFormat="1">
      <c r="A327" s="1477"/>
      <c r="B327" s="1576" t="s">
        <v>6835</v>
      </c>
      <c r="C327" s="1577"/>
      <c r="F327" s="1576"/>
      <c r="G327" s="1576"/>
      <c r="H327" s="1581"/>
      <c r="I327" s="1582"/>
      <c r="J327" s="1583"/>
    </row>
    <row r="328" spans="1:14" s="1476" customFormat="1">
      <c r="A328" s="1477"/>
      <c r="B328" s="1576" t="s">
        <v>6836</v>
      </c>
      <c r="C328" s="1580"/>
      <c r="D328" s="1580"/>
      <c r="E328" s="1576"/>
      <c r="F328" s="1576"/>
      <c r="G328" s="1576"/>
      <c r="I328" s="1582"/>
      <c r="J328" s="1582"/>
      <c r="M328" s="1584" t="s">
        <v>6837</v>
      </c>
    </row>
    <row r="329" spans="1:14" s="1476" customFormat="1">
      <c r="A329" s="1477"/>
      <c r="C329" s="1576"/>
      <c r="D329" s="1580"/>
      <c r="E329" s="1585"/>
      <c r="F329" s="1577"/>
      <c r="G329" s="1576"/>
      <c r="H329" s="1581"/>
      <c r="I329" s="1582"/>
      <c r="J329" s="1582"/>
    </row>
    <row r="330" spans="1:14">
      <c r="D330" s="1586" t="s">
        <v>6838</v>
      </c>
    </row>
    <row r="331" spans="1:14">
      <c r="B331" s="1509" t="s">
        <v>7</v>
      </c>
      <c r="C331" s="1509" t="s">
        <v>6505</v>
      </c>
      <c r="D331" s="1510" t="s">
        <v>6678</v>
      </c>
      <c r="H331" s="1476"/>
      <c r="K331" s="1477"/>
    </row>
    <row r="332" spans="1:14">
      <c r="B332" s="1587" t="s">
        <v>6839</v>
      </c>
      <c r="C332" s="1524" t="s">
        <v>39</v>
      </c>
      <c r="D332" s="1518">
        <v>39500</v>
      </c>
      <c r="H332" s="1476"/>
      <c r="K332" s="1477"/>
    </row>
    <row r="333" spans="1:14">
      <c r="B333" s="1587" t="s">
        <v>6840</v>
      </c>
      <c r="C333" s="1524" t="s">
        <v>2855</v>
      </c>
      <c r="D333" s="1518">
        <v>25066.04</v>
      </c>
      <c r="H333" s="1476"/>
      <c r="K333" s="1477"/>
    </row>
    <row r="334" spans="1:14">
      <c r="B334" s="1587" t="s">
        <v>6841</v>
      </c>
      <c r="C334" s="1524" t="s">
        <v>40</v>
      </c>
      <c r="D334" s="1532">
        <v>110690</v>
      </c>
      <c r="H334" s="1476"/>
      <c r="K334" s="1477"/>
    </row>
    <row r="335" spans="1:14">
      <c r="B335" s="1587" t="s">
        <v>6842</v>
      </c>
      <c r="C335" s="1524" t="s">
        <v>6819</v>
      </c>
      <c r="D335" s="1518">
        <v>26785.71</v>
      </c>
    </row>
    <row r="336" spans="1:14">
      <c r="B336" s="1587" t="s">
        <v>6843</v>
      </c>
      <c r="C336" s="1524" t="s">
        <v>281</v>
      </c>
      <c r="D336" s="1518">
        <v>26785.57</v>
      </c>
    </row>
    <row r="337" spans="2:8">
      <c r="B337" s="1587" t="s">
        <v>6844</v>
      </c>
      <c r="C337" s="1524" t="s">
        <v>39</v>
      </c>
      <c r="D337" s="1518">
        <v>11154.42</v>
      </c>
      <c r="E337" s="1588"/>
      <c r="F337" s="1588"/>
    </row>
    <row r="338" spans="2:8">
      <c r="B338" s="1587" t="s">
        <v>6845</v>
      </c>
      <c r="C338" s="1524" t="s">
        <v>39</v>
      </c>
      <c r="D338" s="1518">
        <v>37765.46</v>
      </c>
    </row>
    <row r="339" spans="2:8">
      <c r="B339" s="1587" t="s">
        <v>6846</v>
      </c>
      <c r="C339" s="1524" t="s">
        <v>39</v>
      </c>
      <c r="D339" s="1518">
        <f>14827.75+6354.75+3495</f>
        <v>24677.5</v>
      </c>
    </row>
    <row r="340" spans="2:8">
      <c r="B340" s="1587" t="s">
        <v>6844</v>
      </c>
      <c r="C340" s="1524" t="s">
        <v>39</v>
      </c>
      <c r="D340" s="1518">
        <v>79813</v>
      </c>
    </row>
    <row r="341" spans="2:8">
      <c r="B341" s="1589"/>
      <c r="C341" s="1574" t="s">
        <v>6847</v>
      </c>
      <c r="D341" s="1518">
        <f>SUM(D332:D340)</f>
        <v>382237.7</v>
      </c>
    </row>
    <row r="342" spans="2:8">
      <c r="D342" s="11367" t="s">
        <v>6848</v>
      </c>
      <c r="E342" s="11367"/>
      <c r="F342" s="11367"/>
    </row>
    <row r="343" spans="2:8">
      <c r="D343" s="1590"/>
      <c r="E343" s="1590" t="s">
        <v>6678</v>
      </c>
      <c r="F343" s="1590" t="s">
        <v>6679</v>
      </c>
    </row>
    <row r="344" spans="2:8">
      <c r="D344" s="1591" t="s">
        <v>6849</v>
      </c>
      <c r="E344" s="1518">
        <f>+E109+E118+E274+E275+E278+E279</f>
        <v>1318472.17</v>
      </c>
      <c r="F344" s="1518">
        <f>+F200</f>
        <v>1318472.17</v>
      </c>
      <c r="G344" s="1518">
        <f>+E344-F344</f>
        <v>0</v>
      </c>
      <c r="H344" s="1523"/>
    </row>
    <row r="345" spans="2:8">
      <c r="D345" s="1591" t="s">
        <v>6850</v>
      </c>
      <c r="E345" s="1518">
        <f>+E113+E271+E276+E320</f>
        <v>56009.48</v>
      </c>
      <c r="F345" s="1518">
        <v>0</v>
      </c>
      <c r="G345" s="1518">
        <f t="shared" ref="G345:G347" si="49">+E345-F345</f>
        <v>56009.48</v>
      </c>
    </row>
    <row r="346" spans="2:8">
      <c r="D346" s="1591" t="s">
        <v>6851</v>
      </c>
      <c r="E346" s="1518">
        <f>+E111+E114+E120+E122+E199+E201+E203+E273+E277+E280+E282+E317+E318+E319</f>
        <v>908484.65500000003</v>
      </c>
      <c r="F346" s="1518">
        <f>+F201</f>
        <v>908484.65999999992</v>
      </c>
      <c r="G346" s="1518">
        <f t="shared" si="49"/>
        <v>-4.999999888241291E-3</v>
      </c>
    </row>
    <row r="347" spans="2:8">
      <c r="D347" s="1591" t="s">
        <v>6852</v>
      </c>
      <c r="E347" s="1518">
        <f>SUM(E344:E346)</f>
        <v>2282966.3049999997</v>
      </c>
      <c r="F347" s="1518">
        <f>SUM(F344:F346)</f>
        <v>2226956.83</v>
      </c>
      <c r="G347" s="1518">
        <f t="shared" si="49"/>
        <v>56009.474999999627</v>
      </c>
    </row>
    <row r="349" spans="2:8">
      <c r="D349" s="1591" t="s">
        <v>6852</v>
      </c>
      <c r="E349" s="1518">
        <f>+E109+E111+E113+E114+E118+E120+E122+E199+E201+E203+E271+E273+E274+E275+E276+E277+E278+E279+E280+E282+E317+E318+E319+E320</f>
        <v>2282966.3050000002</v>
      </c>
      <c r="F349" s="1518">
        <f>+F200+F201</f>
        <v>2226956.83</v>
      </c>
      <c r="G349" s="1523"/>
    </row>
    <row r="350" spans="2:8">
      <c r="E350" s="1523"/>
    </row>
  </sheetData>
  <mergeCells count="6">
    <mergeCell ref="D342:F342"/>
    <mergeCell ref="B1:I1"/>
    <mergeCell ref="B2:I2"/>
    <mergeCell ref="B7:B8"/>
    <mergeCell ref="C7:C8"/>
    <mergeCell ref="D7:D8"/>
  </mergeCells>
  <printOptions horizontalCentered="1"/>
  <pageMargins left="0" right="0" top="0.91618110236220474" bottom="0.55118110236220474" header="0.31496062992125984" footer="0.31496062992125984"/>
  <pageSetup scale="79" fitToHeight="0" orientation="landscape" r:id="rId1"/>
  <headerFooter>
    <oddFooter>&amp;C&amp;"Century Schoolbook,Normal"&amp;P</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6:H35"/>
  <sheetViews>
    <sheetView workbookViewId="0">
      <selection activeCell="B4" sqref="B4"/>
    </sheetView>
  </sheetViews>
  <sheetFormatPr baseColWidth="10" defaultColWidth="9.140625" defaultRowHeight="12.75"/>
  <cols>
    <col min="1" max="1" width="9.140625" style="1792"/>
    <col min="2" max="2" width="15.42578125" style="434" customWidth="1"/>
    <col min="3" max="3" width="12.140625" style="434" customWidth="1"/>
    <col min="4" max="4" width="15" style="434" customWidth="1"/>
    <col min="5" max="5" width="9.85546875" style="434" customWidth="1"/>
    <col min="6" max="6" width="9.140625" style="434"/>
    <col min="7" max="7" width="55.7109375" style="434" customWidth="1"/>
    <col min="8" max="8" width="24.7109375" style="434" customWidth="1"/>
    <col min="9" max="16384" width="9.140625" style="434"/>
  </cols>
  <sheetData>
    <row r="6" spans="1:8" ht="23.25">
      <c r="A6" s="11375" t="s">
        <v>0</v>
      </c>
      <c r="B6" s="11375"/>
      <c r="C6" s="11375"/>
      <c r="D6" s="11375"/>
      <c r="E6" s="11375"/>
      <c r="F6" s="11375"/>
      <c r="G6" s="11375"/>
      <c r="H6" s="11375"/>
    </row>
    <row r="7" spans="1:8" ht="18.75">
      <c r="A7" s="11376" t="s">
        <v>1</v>
      </c>
      <c r="B7" s="11376"/>
      <c r="C7" s="11376"/>
      <c r="D7" s="11376"/>
      <c r="E7" s="11376"/>
      <c r="F7" s="11376"/>
      <c r="G7" s="11376"/>
      <c r="H7" s="11376"/>
    </row>
    <row r="8" spans="1:8" ht="18.75">
      <c r="A8" s="11377" t="s">
        <v>662</v>
      </c>
      <c r="B8" s="11377"/>
      <c r="C8" s="11377"/>
      <c r="D8" s="11377"/>
      <c r="E8" s="11377"/>
      <c r="F8" s="11377"/>
      <c r="G8" s="11377"/>
      <c r="H8" s="11377"/>
    </row>
    <row r="10" spans="1:8" ht="20.25">
      <c r="A10" s="11378" t="s">
        <v>6853</v>
      </c>
      <c r="B10" s="11378"/>
      <c r="C10" s="11378"/>
      <c r="D10" s="11378"/>
      <c r="E10" s="11378"/>
      <c r="F10" s="11378"/>
      <c r="G10" s="11378"/>
      <c r="H10" s="11378"/>
    </row>
    <row r="12" spans="1:8" ht="12.75" customHeight="1">
      <c r="A12" s="11379" t="s">
        <v>6854</v>
      </c>
      <c r="B12" s="11373" t="s">
        <v>6855</v>
      </c>
      <c r="C12" s="11373" t="s">
        <v>6856</v>
      </c>
      <c r="D12" s="11373" t="s">
        <v>4</v>
      </c>
      <c r="E12" s="11381" t="s">
        <v>6857</v>
      </c>
      <c r="F12" s="11382"/>
      <c r="G12" s="11379" t="s">
        <v>6858</v>
      </c>
      <c r="H12" s="11373" t="s">
        <v>6859</v>
      </c>
    </row>
    <row r="13" spans="1:8" ht="38.25">
      <c r="A13" s="11380"/>
      <c r="B13" s="11374"/>
      <c r="C13" s="11374"/>
      <c r="D13" s="11374"/>
      <c r="E13" s="1786" t="s">
        <v>6860</v>
      </c>
      <c r="F13" s="1787" t="s">
        <v>6861</v>
      </c>
      <c r="G13" s="11380"/>
      <c r="H13" s="11374"/>
    </row>
    <row r="14" spans="1:8" ht="86.25" customHeight="1">
      <c r="A14" s="1788">
        <v>1</v>
      </c>
      <c r="B14" s="1793" t="s">
        <v>6862</v>
      </c>
      <c r="C14" s="1802" t="s">
        <v>6863</v>
      </c>
      <c r="D14" s="1803" t="s">
        <v>6864</v>
      </c>
      <c r="E14" s="1804" t="s">
        <v>6865</v>
      </c>
      <c r="F14" s="1777" t="s">
        <v>294</v>
      </c>
      <c r="G14" s="1793" t="s">
        <v>6866</v>
      </c>
      <c r="H14" s="1794" t="s">
        <v>6867</v>
      </c>
    </row>
    <row r="15" spans="1:8" ht="87.75" customHeight="1">
      <c r="A15" s="1788">
        <v>2</v>
      </c>
      <c r="B15" s="1793" t="s">
        <v>6868</v>
      </c>
      <c r="C15" s="1802" t="s">
        <v>6869</v>
      </c>
      <c r="D15" s="1803" t="s">
        <v>6870</v>
      </c>
      <c r="E15" s="1804" t="s">
        <v>6865</v>
      </c>
      <c r="F15" s="1777" t="s">
        <v>294</v>
      </c>
      <c r="G15" s="1793" t="s">
        <v>6871</v>
      </c>
      <c r="H15" s="1794" t="s">
        <v>6872</v>
      </c>
    </row>
    <row r="16" spans="1:8" ht="83.25" customHeight="1">
      <c r="A16" s="1788">
        <v>3</v>
      </c>
      <c r="B16" s="1794" t="s">
        <v>6873</v>
      </c>
      <c r="C16" s="1802" t="s">
        <v>6869</v>
      </c>
      <c r="D16" s="1803" t="s">
        <v>6874</v>
      </c>
      <c r="E16" s="1804" t="s">
        <v>6865</v>
      </c>
      <c r="F16" s="1777" t="s">
        <v>294</v>
      </c>
      <c r="G16" s="1793" t="s">
        <v>6875</v>
      </c>
      <c r="H16" s="1830" t="s">
        <v>6876</v>
      </c>
    </row>
    <row r="17" spans="1:8" ht="217.5" customHeight="1">
      <c r="A17" s="1788">
        <v>4</v>
      </c>
      <c r="B17" s="1794" t="s">
        <v>6877</v>
      </c>
      <c r="C17" s="1802" t="s">
        <v>6878</v>
      </c>
      <c r="D17" s="1803" t="s">
        <v>6879</v>
      </c>
      <c r="E17" s="1804" t="s">
        <v>6865</v>
      </c>
      <c r="F17" s="1777" t="s">
        <v>294</v>
      </c>
      <c r="G17" s="1793" t="s">
        <v>6880</v>
      </c>
      <c r="H17" s="1794" t="s">
        <v>6881</v>
      </c>
    </row>
    <row r="18" spans="1:8" ht="83.25" customHeight="1">
      <c r="A18" s="1788">
        <v>5</v>
      </c>
      <c r="B18" s="1795" t="s">
        <v>6882</v>
      </c>
      <c r="C18" s="1805">
        <v>45078</v>
      </c>
      <c r="D18" s="1806" t="s">
        <v>6883</v>
      </c>
      <c r="E18" s="1807" t="s">
        <v>6865</v>
      </c>
      <c r="F18" s="1778" t="s">
        <v>294</v>
      </c>
      <c r="G18" s="1793" t="s">
        <v>6884</v>
      </c>
      <c r="H18" s="1799" t="s">
        <v>6885</v>
      </c>
    </row>
    <row r="19" spans="1:8" ht="229.5" customHeight="1">
      <c r="A19" s="1788">
        <v>6</v>
      </c>
      <c r="B19" s="1795" t="s">
        <v>6886</v>
      </c>
      <c r="C19" s="1805">
        <v>45261</v>
      </c>
      <c r="D19" s="1806" t="s">
        <v>6883</v>
      </c>
      <c r="E19" s="1807" t="s">
        <v>6865</v>
      </c>
      <c r="F19" s="1778" t="s">
        <v>294</v>
      </c>
      <c r="G19" s="1794" t="s">
        <v>6887</v>
      </c>
      <c r="H19" s="1799" t="s">
        <v>6888</v>
      </c>
    </row>
    <row r="20" spans="1:8" ht="69" customHeight="1">
      <c r="A20" s="1788">
        <v>7</v>
      </c>
      <c r="B20" s="1795" t="s">
        <v>6889</v>
      </c>
      <c r="C20" s="1805">
        <v>45200</v>
      </c>
      <c r="D20" s="1806" t="s">
        <v>6883</v>
      </c>
      <c r="E20" s="1807" t="s">
        <v>6865</v>
      </c>
      <c r="F20" s="1778" t="s">
        <v>294</v>
      </c>
      <c r="G20" s="1793" t="s">
        <v>6890</v>
      </c>
      <c r="H20" s="1799" t="s">
        <v>6891</v>
      </c>
    </row>
    <row r="21" spans="1:8" ht="156" customHeight="1">
      <c r="A21" s="1788">
        <v>8</v>
      </c>
      <c r="B21" s="1796" t="s">
        <v>6892</v>
      </c>
      <c r="C21" s="1808">
        <v>45200</v>
      </c>
      <c r="D21" s="1809" t="s">
        <v>6864</v>
      </c>
      <c r="E21" s="1810" t="s">
        <v>6865</v>
      </c>
      <c r="F21" s="1779" t="s">
        <v>294</v>
      </c>
      <c r="G21" s="1796" t="s">
        <v>6893</v>
      </c>
      <c r="H21" s="1800" t="s">
        <v>6894</v>
      </c>
    </row>
    <row r="22" spans="1:8" ht="117.75" customHeight="1">
      <c r="A22" s="1788">
        <v>9</v>
      </c>
      <c r="B22" s="1797" t="s">
        <v>6895</v>
      </c>
      <c r="C22" s="1811" t="s">
        <v>6896</v>
      </c>
      <c r="D22" s="1812" t="s">
        <v>6864</v>
      </c>
      <c r="E22" s="1813" t="s">
        <v>6865</v>
      </c>
      <c r="F22" s="1780" t="s">
        <v>294</v>
      </c>
      <c r="G22" s="1831" t="s">
        <v>6897</v>
      </c>
      <c r="H22" s="1832" t="s">
        <v>6891</v>
      </c>
    </row>
    <row r="23" spans="1:8" ht="75" customHeight="1">
      <c r="A23" s="1789">
        <v>10</v>
      </c>
      <c r="B23" s="1798" t="s">
        <v>6898</v>
      </c>
      <c r="C23" s="1814" t="s">
        <v>6896</v>
      </c>
      <c r="D23" s="1815" t="s">
        <v>6864</v>
      </c>
      <c r="E23" s="1816" t="s">
        <v>6865</v>
      </c>
      <c r="F23" s="1781" t="s">
        <v>294</v>
      </c>
      <c r="G23" s="1800" t="s">
        <v>6899</v>
      </c>
      <c r="H23" s="1832" t="s">
        <v>6891</v>
      </c>
    </row>
    <row r="24" spans="1:8" ht="108" customHeight="1">
      <c r="A24" s="1790">
        <v>11</v>
      </c>
      <c r="B24" s="1797" t="s">
        <v>6900</v>
      </c>
      <c r="C24" s="1811" t="s">
        <v>6901</v>
      </c>
      <c r="D24" s="1817" t="s">
        <v>6902</v>
      </c>
      <c r="E24" s="1818" t="s">
        <v>6865</v>
      </c>
      <c r="F24" s="1780" t="s">
        <v>294</v>
      </c>
      <c r="G24" s="1831" t="s">
        <v>6903</v>
      </c>
      <c r="H24" s="1831" t="s">
        <v>6891</v>
      </c>
    </row>
    <row r="25" spans="1:8" ht="116.25" customHeight="1">
      <c r="A25" s="1789">
        <v>12</v>
      </c>
      <c r="B25" s="1799" t="s">
        <v>6904</v>
      </c>
      <c r="C25" s="1819" t="s">
        <v>6905</v>
      </c>
      <c r="D25" s="1820" t="s">
        <v>6906</v>
      </c>
      <c r="E25" s="1821" t="s">
        <v>6865</v>
      </c>
      <c r="F25" s="1782" t="s">
        <v>294</v>
      </c>
      <c r="G25" s="1833" t="s">
        <v>6907</v>
      </c>
      <c r="H25" s="1799" t="s">
        <v>6891</v>
      </c>
    </row>
    <row r="26" spans="1:8" ht="66" customHeight="1">
      <c r="A26" s="1790">
        <v>13</v>
      </c>
      <c r="B26" s="1799" t="s">
        <v>6908</v>
      </c>
      <c r="C26" s="1822">
        <v>44959</v>
      </c>
      <c r="D26" s="1820" t="s">
        <v>6906</v>
      </c>
      <c r="E26" s="1821" t="s">
        <v>6865</v>
      </c>
      <c r="F26" s="1782" t="s">
        <v>294</v>
      </c>
      <c r="G26" s="1833" t="s">
        <v>6909</v>
      </c>
      <c r="H26" s="1799" t="s">
        <v>6891</v>
      </c>
    </row>
    <row r="27" spans="1:8" ht="66.75" customHeight="1">
      <c r="A27" s="1791">
        <v>14</v>
      </c>
      <c r="B27" s="1800" t="s">
        <v>6910</v>
      </c>
      <c r="C27" s="1814" t="s">
        <v>6911</v>
      </c>
      <c r="D27" s="1823" t="s">
        <v>6912</v>
      </c>
      <c r="E27" s="1824" t="s">
        <v>6865</v>
      </c>
      <c r="F27" s="1781" t="s">
        <v>294</v>
      </c>
      <c r="G27" s="1798" t="s">
        <v>6913</v>
      </c>
      <c r="H27" s="1800" t="s">
        <v>6891</v>
      </c>
    </row>
    <row r="28" spans="1:8" ht="44.25" customHeight="1">
      <c r="A28" s="1790">
        <v>15</v>
      </c>
      <c r="B28" s="1801" t="s">
        <v>6914</v>
      </c>
      <c r="C28" s="1825" t="s">
        <v>6915</v>
      </c>
      <c r="D28" s="1826" t="s">
        <v>6902</v>
      </c>
      <c r="E28" s="1827" t="s">
        <v>6865</v>
      </c>
      <c r="F28" s="1783" t="s">
        <v>294</v>
      </c>
      <c r="G28" s="1801" t="s">
        <v>6916</v>
      </c>
      <c r="H28" s="1832" t="s">
        <v>6891</v>
      </c>
    </row>
    <row r="29" spans="1:8" ht="51" customHeight="1">
      <c r="A29" s="1791">
        <v>16</v>
      </c>
      <c r="B29" s="1794" t="s">
        <v>6917</v>
      </c>
      <c r="C29" s="1828">
        <v>45201</v>
      </c>
      <c r="D29" s="1803" t="s">
        <v>6918</v>
      </c>
      <c r="E29" s="1804" t="s">
        <v>6865</v>
      </c>
      <c r="F29" s="1777" t="s">
        <v>294</v>
      </c>
      <c r="G29" s="1794" t="s">
        <v>6919</v>
      </c>
      <c r="H29" s="1832" t="s">
        <v>6891</v>
      </c>
    </row>
    <row r="30" spans="1:8" ht="74.25" customHeight="1">
      <c r="A30" s="1790">
        <v>17</v>
      </c>
      <c r="B30" s="1794" t="s">
        <v>6920</v>
      </c>
      <c r="C30" s="1802" t="s">
        <v>6915</v>
      </c>
      <c r="D30" s="1806" t="s">
        <v>6883</v>
      </c>
      <c r="E30" s="1829" t="s">
        <v>6865</v>
      </c>
      <c r="F30" s="1777" t="s">
        <v>294</v>
      </c>
      <c r="G30" s="1834" t="s">
        <v>6921</v>
      </c>
      <c r="H30" s="1835" t="s">
        <v>6891</v>
      </c>
    </row>
    <row r="31" spans="1:8" ht="15">
      <c r="A31" s="1836" t="s">
        <v>6922</v>
      </c>
      <c r="B31" s="1784"/>
      <c r="C31" s="1784"/>
      <c r="D31" s="1784"/>
      <c r="E31" s="1784"/>
      <c r="F31" s="1784"/>
      <c r="G31" s="1784"/>
      <c r="H31" s="1785"/>
    </row>
    <row r="32" spans="1:8" ht="15">
      <c r="A32" s="1836" t="s">
        <v>6923</v>
      </c>
      <c r="B32" s="1784"/>
      <c r="C32" s="1784"/>
      <c r="D32" s="1784"/>
      <c r="E32" s="1785"/>
      <c r="F32" s="1785"/>
      <c r="G32" s="1785"/>
      <c r="H32" s="1785"/>
    </row>
    <row r="33" spans="1:8" ht="15">
      <c r="A33" s="1836" t="s">
        <v>6924</v>
      </c>
      <c r="B33" s="1784"/>
      <c r="C33" s="1784"/>
      <c r="D33" s="1784"/>
      <c r="E33" s="1785"/>
      <c r="F33" s="1785"/>
      <c r="G33" s="1785"/>
      <c r="H33" s="1785"/>
    </row>
    <row r="34" spans="1:8" ht="15">
      <c r="A34" s="1836" t="s">
        <v>6925</v>
      </c>
      <c r="B34" s="1784"/>
      <c r="C34" s="1784"/>
      <c r="D34" s="1785"/>
      <c r="E34" s="1785"/>
      <c r="F34" s="1785"/>
      <c r="G34" s="1785"/>
      <c r="H34" s="1785"/>
    </row>
    <row r="35" spans="1:8" ht="15">
      <c r="A35" s="1836" t="s">
        <v>6926</v>
      </c>
      <c r="B35" s="1784"/>
      <c r="C35" s="1784"/>
      <c r="D35" s="1785"/>
      <c r="E35" s="1785"/>
      <c r="F35" s="1785"/>
      <c r="G35" s="1785"/>
      <c r="H35" s="1785"/>
    </row>
  </sheetData>
  <mergeCells count="11">
    <mergeCell ref="H12:H13"/>
    <mergeCell ref="A6:H6"/>
    <mergeCell ref="A7:H7"/>
    <mergeCell ref="A8:H8"/>
    <mergeCell ref="A10:H10"/>
    <mergeCell ref="A12:A13"/>
    <mergeCell ref="B12:B13"/>
    <mergeCell ref="C12:C13"/>
    <mergeCell ref="D12:D13"/>
    <mergeCell ref="E12:F12"/>
    <mergeCell ref="G12:G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6C09"/>
  </sheetPr>
  <dimension ref="A1:AH123"/>
  <sheetViews>
    <sheetView showGridLines="0" topLeftCell="V90" zoomScaleNormal="100" workbookViewId="0">
      <selection activeCell="V77" sqref="V77"/>
    </sheetView>
  </sheetViews>
  <sheetFormatPr baseColWidth="10" defaultColWidth="12.7109375" defaultRowHeight="15.75" customHeight="1"/>
  <cols>
    <col min="1" max="1" width="5" style="434" customWidth="1"/>
    <col min="2" max="2" width="6.7109375" style="434" customWidth="1"/>
    <col min="3" max="3" width="25.7109375" style="434" customWidth="1"/>
    <col min="4" max="8" width="22.42578125" style="434" customWidth="1"/>
    <col min="9" max="9" width="20.7109375" style="434" customWidth="1"/>
    <col min="10" max="10" width="25.7109375" style="434" customWidth="1"/>
    <col min="11" max="12" width="22.7109375" style="434" customWidth="1"/>
    <col min="13" max="15" width="8.7109375" style="434" customWidth="1"/>
    <col min="16" max="16" width="25.7109375" style="434" customWidth="1"/>
    <col min="17" max="17" width="20.7109375" style="434" customWidth="1"/>
    <col min="18" max="18" width="25.7109375" style="434" customWidth="1"/>
    <col min="19" max="19" width="22.7109375" style="434" customWidth="1"/>
    <col min="20" max="21" width="18.7109375" style="434" customWidth="1"/>
    <col min="22" max="22" width="40.7109375" style="434" customWidth="1"/>
    <col min="23" max="23" width="19.140625" style="434" customWidth="1"/>
    <col min="24" max="24" width="12.7109375" style="434" customWidth="1"/>
    <col min="25" max="27" width="11.7109375" style="434" customWidth="1"/>
    <col min="28" max="28" width="11.42578125" style="434" customWidth="1"/>
    <col min="29" max="29" width="12.140625" style="803" customWidth="1"/>
    <col min="30" max="30" width="10.28515625" style="803" customWidth="1"/>
    <col min="31" max="33" width="8.7109375" style="434" customWidth="1"/>
    <col min="34" max="34" width="12.5703125" style="434" customWidth="1"/>
    <col min="35" max="16384" width="12.7109375" style="434"/>
  </cols>
  <sheetData>
    <row r="1" spans="1:34" ht="39" customHeight="1">
      <c r="A1" s="8824" t="s">
        <v>0</v>
      </c>
      <c r="B1" s="9000"/>
      <c r="C1" s="9000"/>
      <c r="D1" s="9000"/>
      <c r="E1" s="9000"/>
      <c r="F1" s="9000"/>
      <c r="G1" s="9000"/>
      <c r="H1" s="9000"/>
      <c r="I1" s="9000"/>
      <c r="J1" s="9000"/>
      <c r="K1" s="9000"/>
      <c r="L1" s="9000"/>
      <c r="M1" s="9000"/>
      <c r="N1" s="9000"/>
      <c r="O1" s="9000"/>
      <c r="P1" s="9000"/>
      <c r="Q1" s="9000"/>
      <c r="R1" s="9000"/>
      <c r="S1" s="9000"/>
      <c r="T1" s="9000"/>
      <c r="U1" s="9000"/>
      <c r="V1" s="9000"/>
      <c r="W1" s="9000"/>
      <c r="X1" s="9000"/>
      <c r="Y1" s="9000"/>
      <c r="Z1" s="9000"/>
      <c r="AA1" s="9000"/>
      <c r="AB1" s="9000"/>
      <c r="AC1" s="9000"/>
      <c r="AD1" s="9000"/>
      <c r="AE1" s="9000"/>
      <c r="AF1" s="9000"/>
      <c r="AG1" s="9000"/>
      <c r="AH1" s="9000"/>
    </row>
    <row r="2" spans="1:34" ht="30">
      <c r="A2" s="8826" t="s">
        <v>1</v>
      </c>
      <c r="B2" s="9001"/>
      <c r="C2" s="9001"/>
      <c r="D2" s="9001"/>
      <c r="E2" s="9001"/>
      <c r="F2" s="9001"/>
      <c r="G2" s="9001"/>
      <c r="H2" s="9001"/>
      <c r="I2" s="9001"/>
      <c r="J2" s="9001"/>
      <c r="K2" s="9001"/>
      <c r="L2" s="9001"/>
      <c r="M2" s="9001"/>
      <c r="N2" s="9001"/>
      <c r="O2" s="9001"/>
      <c r="P2" s="9001"/>
      <c r="Q2" s="9001"/>
      <c r="R2" s="9001"/>
      <c r="S2" s="9001"/>
      <c r="T2" s="9001"/>
      <c r="U2" s="9001"/>
      <c r="V2" s="9001"/>
      <c r="W2" s="9001"/>
      <c r="X2" s="9001"/>
      <c r="Y2" s="9001"/>
      <c r="Z2" s="9001"/>
      <c r="AA2" s="9001"/>
      <c r="AB2" s="9001"/>
      <c r="AC2" s="9001"/>
      <c r="AD2" s="9001"/>
      <c r="AE2" s="9001"/>
      <c r="AF2" s="9001"/>
      <c r="AG2" s="9001"/>
      <c r="AH2" s="9001"/>
    </row>
    <row r="3" spans="1:34" ht="30.75">
      <c r="A3" s="8828" t="s">
        <v>371</v>
      </c>
      <c r="B3" s="9000"/>
      <c r="C3" s="9000"/>
      <c r="D3" s="9000"/>
      <c r="E3" s="9000"/>
      <c r="F3" s="9000"/>
      <c r="G3" s="9000"/>
      <c r="H3" s="9000"/>
      <c r="I3" s="9000"/>
      <c r="J3" s="9000"/>
      <c r="K3" s="9000"/>
      <c r="L3" s="9000"/>
      <c r="M3" s="9000"/>
      <c r="N3" s="9000"/>
      <c r="O3" s="9000"/>
      <c r="P3" s="9000"/>
      <c r="Q3" s="9000"/>
      <c r="R3" s="9000"/>
      <c r="S3" s="9000"/>
      <c r="T3" s="9000"/>
      <c r="U3" s="9000"/>
      <c r="V3" s="9000"/>
      <c r="W3" s="9000"/>
      <c r="X3" s="9000"/>
      <c r="Y3" s="9000"/>
      <c r="Z3" s="9000"/>
      <c r="AA3" s="9000"/>
      <c r="AB3" s="9000"/>
      <c r="AC3" s="9000"/>
      <c r="AD3" s="9000"/>
      <c r="AE3" s="9000"/>
      <c r="AF3" s="9000"/>
      <c r="AG3" s="9000"/>
      <c r="AH3" s="9000"/>
    </row>
    <row r="4" spans="1:34" ht="26.25">
      <c r="A4" s="8829" t="s">
        <v>88</v>
      </c>
      <c r="B4" s="9000"/>
      <c r="C4" s="9000"/>
      <c r="D4" s="9000"/>
      <c r="E4" s="9000"/>
      <c r="F4" s="9000"/>
      <c r="G4" s="9000"/>
      <c r="H4" s="9000"/>
      <c r="I4" s="9000"/>
      <c r="J4" s="9000"/>
      <c r="K4" s="9000"/>
      <c r="L4" s="9000"/>
      <c r="M4" s="9000"/>
      <c r="N4" s="9000"/>
      <c r="O4" s="9000"/>
      <c r="P4" s="9000"/>
      <c r="Q4" s="9000"/>
      <c r="R4" s="9000"/>
      <c r="S4" s="9000"/>
      <c r="T4" s="9000"/>
      <c r="U4" s="9000"/>
      <c r="V4" s="9000"/>
      <c r="W4" s="9000"/>
      <c r="X4" s="9000"/>
      <c r="Y4" s="9000"/>
      <c r="Z4" s="9000"/>
      <c r="AA4" s="9000"/>
      <c r="AB4" s="9000"/>
      <c r="AC4" s="9000"/>
      <c r="AD4" s="9000"/>
      <c r="AE4" s="9000"/>
      <c r="AF4" s="9000"/>
      <c r="AG4" s="9000"/>
      <c r="AH4" s="9000"/>
    </row>
    <row r="5" spans="1:34" ht="16.5" customHeight="1">
      <c r="A5" s="604"/>
      <c r="B5" s="604"/>
      <c r="C5" s="604"/>
      <c r="D5" s="604"/>
      <c r="E5" s="604"/>
      <c r="F5" s="604"/>
      <c r="G5" s="604"/>
      <c r="H5" s="604"/>
      <c r="I5" s="604"/>
      <c r="J5" s="604"/>
      <c r="K5" s="604"/>
      <c r="L5" s="604"/>
      <c r="M5" s="604"/>
      <c r="N5" s="604"/>
      <c r="O5" s="604"/>
      <c r="P5" s="604"/>
      <c r="Q5" s="604"/>
      <c r="R5" s="604"/>
      <c r="S5" s="604"/>
      <c r="T5" s="604"/>
      <c r="U5" s="3471"/>
      <c r="V5" s="604"/>
      <c r="W5" s="604"/>
      <c r="X5" s="604"/>
      <c r="Y5" s="604"/>
      <c r="Z5" s="604"/>
      <c r="AA5" s="604"/>
      <c r="AB5" s="604"/>
      <c r="AC5" s="738"/>
      <c r="AD5" s="738"/>
      <c r="AE5" s="604"/>
      <c r="AF5" s="604"/>
      <c r="AG5" s="604"/>
      <c r="AH5" s="604"/>
    </row>
    <row r="6" spans="1:34" ht="24.75" customHeight="1">
      <c r="A6" s="9002" t="s">
        <v>89</v>
      </c>
      <c r="B6" s="9003"/>
      <c r="C6" s="9008" t="s">
        <v>90</v>
      </c>
      <c r="D6" s="9009"/>
      <c r="E6" s="9010" t="s">
        <v>91</v>
      </c>
      <c r="F6" s="9011"/>
      <c r="G6" s="9011"/>
      <c r="H6" s="9011"/>
      <c r="I6" s="9011"/>
      <c r="J6" s="8988" t="s">
        <v>92</v>
      </c>
      <c r="K6" s="8989"/>
      <c r="L6" s="8989"/>
      <c r="M6" s="8989"/>
      <c r="N6" s="8989"/>
      <c r="O6" s="8989"/>
      <c r="P6" s="8989"/>
      <c r="Q6" s="8989"/>
      <c r="R6" s="8990"/>
      <c r="S6" s="8991" t="s">
        <v>93</v>
      </c>
      <c r="T6" s="8992"/>
      <c r="U6" s="8992"/>
      <c r="V6" s="8992"/>
      <c r="W6" s="8992"/>
      <c r="X6" s="8992"/>
      <c r="Y6" s="8992"/>
      <c r="Z6" s="8992"/>
      <c r="AA6" s="8992"/>
      <c r="AB6" s="8992"/>
      <c r="AC6" s="8992"/>
      <c r="AD6" s="8992"/>
      <c r="AE6" s="8992"/>
      <c r="AF6" s="8992"/>
      <c r="AG6" s="8992"/>
      <c r="AH6" s="8993"/>
    </row>
    <row r="7" spans="1:34" ht="39.75" customHeight="1">
      <c r="A7" s="9004"/>
      <c r="B7" s="9005"/>
      <c r="C7" s="9021" t="s">
        <v>94</v>
      </c>
      <c r="D7" s="9023" t="s">
        <v>95</v>
      </c>
      <c r="E7" s="9012" t="s">
        <v>96</v>
      </c>
      <c r="F7" s="9012" t="s">
        <v>97</v>
      </c>
      <c r="G7" s="9012" t="s">
        <v>98</v>
      </c>
      <c r="H7" s="9012" t="s">
        <v>99</v>
      </c>
      <c r="I7" s="9012" t="s">
        <v>100</v>
      </c>
      <c r="J7" s="9014" t="s">
        <v>101</v>
      </c>
      <c r="K7" s="9016" t="s">
        <v>102</v>
      </c>
      <c r="L7" s="9016" t="s">
        <v>103</v>
      </c>
      <c r="M7" s="9016" t="s">
        <v>104</v>
      </c>
      <c r="N7" s="9017"/>
      <c r="O7" s="9017"/>
      <c r="P7" s="9016" t="s">
        <v>105</v>
      </c>
      <c r="Q7" s="9016" t="s">
        <v>106</v>
      </c>
      <c r="R7" s="9019" t="s">
        <v>107</v>
      </c>
      <c r="S7" s="8994" t="s">
        <v>108</v>
      </c>
      <c r="T7" s="8995"/>
      <c r="U7" s="8995"/>
      <c r="V7" s="8995"/>
      <c r="W7" s="8995"/>
      <c r="X7" s="8995"/>
      <c r="Y7" s="8996"/>
      <c r="Z7" s="9030" t="s">
        <v>109</v>
      </c>
      <c r="AA7" s="9031"/>
      <c r="AB7" s="9031"/>
      <c r="AC7" s="9031"/>
      <c r="AD7" s="9032"/>
      <c r="AE7" s="8997" t="s">
        <v>110</v>
      </c>
      <c r="AF7" s="8995"/>
      <c r="AG7" s="8996"/>
      <c r="AH7" s="8998" t="s">
        <v>111</v>
      </c>
    </row>
    <row r="8" spans="1:34" ht="51.75" customHeight="1" thickBot="1">
      <c r="A8" s="9006"/>
      <c r="B8" s="9007"/>
      <c r="C8" s="9022"/>
      <c r="D8" s="9024"/>
      <c r="E8" s="9013"/>
      <c r="F8" s="9013"/>
      <c r="G8" s="9013"/>
      <c r="H8" s="9013"/>
      <c r="I8" s="9013"/>
      <c r="J8" s="9015"/>
      <c r="K8" s="9018"/>
      <c r="L8" s="9018"/>
      <c r="M8" s="5086" t="s">
        <v>112</v>
      </c>
      <c r="N8" s="5086" t="s">
        <v>113</v>
      </c>
      <c r="O8" s="5086" t="s">
        <v>114</v>
      </c>
      <c r="P8" s="9018"/>
      <c r="Q8" s="9018"/>
      <c r="R8" s="9020"/>
      <c r="S8" s="5087" t="s">
        <v>115</v>
      </c>
      <c r="T8" s="5088" t="s">
        <v>116</v>
      </c>
      <c r="U8" s="5089" t="s">
        <v>117</v>
      </c>
      <c r="V8" s="5088" t="s">
        <v>118</v>
      </c>
      <c r="W8" s="5088" t="s">
        <v>119</v>
      </c>
      <c r="X8" s="5088" t="s">
        <v>372</v>
      </c>
      <c r="Y8" s="5090" t="s">
        <v>121</v>
      </c>
      <c r="Z8" s="5088" t="s">
        <v>122</v>
      </c>
      <c r="AA8" s="5088" t="s">
        <v>123</v>
      </c>
      <c r="AB8" s="5088" t="s">
        <v>124</v>
      </c>
      <c r="AC8" s="5085" t="s">
        <v>125</v>
      </c>
      <c r="AD8" s="5088" t="s">
        <v>373</v>
      </c>
      <c r="AE8" s="5088" t="s">
        <v>112</v>
      </c>
      <c r="AF8" s="5088" t="s">
        <v>113</v>
      </c>
      <c r="AG8" s="5088" t="s">
        <v>114</v>
      </c>
      <c r="AH8" s="8999"/>
    </row>
    <row r="9" spans="1:34" ht="48.75" customHeight="1">
      <c r="A9" s="9067" t="s">
        <v>371</v>
      </c>
      <c r="B9" s="9070" t="s">
        <v>371</v>
      </c>
      <c r="C9" s="8973" t="s">
        <v>127</v>
      </c>
      <c r="D9" s="8834" t="s">
        <v>128</v>
      </c>
      <c r="E9" s="8834" t="s">
        <v>140</v>
      </c>
      <c r="F9" s="8834" t="s">
        <v>238</v>
      </c>
      <c r="G9" s="8974" t="s">
        <v>131</v>
      </c>
      <c r="H9" s="8834" t="s">
        <v>132</v>
      </c>
      <c r="I9" s="8834" t="s">
        <v>159</v>
      </c>
      <c r="J9" s="8951" t="s">
        <v>374</v>
      </c>
      <c r="K9" s="8834" t="s">
        <v>375</v>
      </c>
      <c r="L9" s="8834" t="s">
        <v>376</v>
      </c>
      <c r="M9" s="8979">
        <v>150</v>
      </c>
      <c r="N9" s="8986">
        <v>150</v>
      </c>
      <c r="O9" s="8979">
        <v>100</v>
      </c>
      <c r="P9" s="8980" t="s">
        <v>377</v>
      </c>
      <c r="Q9" s="8981" t="s">
        <v>378</v>
      </c>
      <c r="R9" s="8982" t="s">
        <v>379</v>
      </c>
      <c r="S9" s="804" t="s">
        <v>15</v>
      </c>
      <c r="T9" s="4843">
        <v>840107</v>
      </c>
      <c r="U9" s="4843"/>
      <c r="V9" s="574" t="s">
        <v>40</v>
      </c>
      <c r="W9" s="4861"/>
      <c r="X9" s="43"/>
      <c r="Y9" s="4896"/>
      <c r="Z9" s="4896"/>
      <c r="AA9" s="4896"/>
      <c r="AB9" s="4897">
        <f>SUM($AA$10:$AA$13)</f>
        <v>0</v>
      </c>
      <c r="AC9" s="4875"/>
      <c r="AD9" s="377"/>
      <c r="AE9" s="43"/>
      <c r="AF9" s="45"/>
      <c r="AG9" s="45"/>
      <c r="AH9" s="8983" t="s">
        <v>380</v>
      </c>
    </row>
    <row r="10" spans="1:34" ht="48.75" customHeight="1">
      <c r="A10" s="9068"/>
      <c r="B10" s="9064"/>
      <c r="C10" s="8941"/>
      <c r="D10" s="8938"/>
      <c r="E10" s="8938"/>
      <c r="F10" s="8938"/>
      <c r="G10" s="8938"/>
      <c r="H10" s="8938"/>
      <c r="I10" s="8938"/>
      <c r="J10" s="9025"/>
      <c r="K10" s="8938"/>
      <c r="L10" s="8938"/>
      <c r="M10" s="8954"/>
      <c r="N10" s="8954"/>
      <c r="O10" s="8954"/>
      <c r="P10" s="8938"/>
      <c r="Q10" s="8938"/>
      <c r="R10" s="8958"/>
      <c r="S10" s="1011"/>
      <c r="T10" s="4844"/>
      <c r="U10" s="4844">
        <v>452200016</v>
      </c>
      <c r="V10" s="798" t="s">
        <v>198</v>
      </c>
      <c r="W10" s="4862">
        <v>1</v>
      </c>
      <c r="X10" s="799" t="s">
        <v>180</v>
      </c>
      <c r="Y10" s="4898">
        <v>1500</v>
      </c>
      <c r="Z10" s="4898">
        <f t="shared" ref="Z10:Z13" si="0">+W10*Y10</f>
        <v>1500</v>
      </c>
      <c r="AA10" s="4898" t="s">
        <v>381</v>
      </c>
      <c r="AB10" s="4899"/>
      <c r="AC10" s="4876"/>
      <c r="AD10" s="374"/>
      <c r="AE10" s="48"/>
      <c r="AF10" s="51"/>
      <c r="AG10" s="51"/>
      <c r="AH10" s="8984"/>
    </row>
    <row r="11" spans="1:34" ht="48.75" customHeight="1">
      <c r="A11" s="9068"/>
      <c r="B11" s="9064"/>
      <c r="C11" s="8941"/>
      <c r="D11" s="8938"/>
      <c r="E11" s="8938"/>
      <c r="F11" s="8938"/>
      <c r="G11" s="8938"/>
      <c r="H11" s="8938"/>
      <c r="I11" s="8938"/>
      <c r="J11" s="9025"/>
      <c r="K11" s="8938"/>
      <c r="L11" s="8938"/>
      <c r="M11" s="8954"/>
      <c r="N11" s="8954"/>
      <c r="O11" s="8954"/>
      <c r="P11" s="8938"/>
      <c r="Q11" s="8938"/>
      <c r="R11" s="8958"/>
      <c r="S11" s="1014"/>
      <c r="T11" s="4845"/>
      <c r="U11" s="4845">
        <v>451700424</v>
      </c>
      <c r="V11" s="1015" t="s">
        <v>382</v>
      </c>
      <c r="W11" s="4863">
        <v>1</v>
      </c>
      <c r="X11" s="799" t="s">
        <v>180</v>
      </c>
      <c r="Y11" s="4900">
        <v>700</v>
      </c>
      <c r="Z11" s="4898">
        <f t="shared" si="0"/>
        <v>700</v>
      </c>
      <c r="AA11" s="4898" t="s">
        <v>381</v>
      </c>
      <c r="AB11" s="4899"/>
      <c r="AC11" s="4876"/>
      <c r="AD11" s="374"/>
      <c r="AE11" s="48"/>
      <c r="AF11" s="51"/>
      <c r="AG11" s="51"/>
      <c r="AH11" s="8984"/>
    </row>
    <row r="12" spans="1:34" ht="48.75" customHeight="1">
      <c r="A12" s="9068"/>
      <c r="B12" s="9064"/>
      <c r="C12" s="8941"/>
      <c r="D12" s="8938"/>
      <c r="E12" s="8938"/>
      <c r="F12" s="8938"/>
      <c r="G12" s="8938"/>
      <c r="H12" s="8938"/>
      <c r="I12" s="8938"/>
      <c r="J12" s="9025"/>
      <c r="K12" s="8938"/>
      <c r="L12" s="8938"/>
      <c r="M12" s="8954"/>
      <c r="N12" s="8954"/>
      <c r="O12" s="8954"/>
      <c r="P12" s="8938"/>
      <c r="Q12" s="8938"/>
      <c r="R12" s="8958"/>
      <c r="S12" s="1016"/>
      <c r="T12" s="4846"/>
      <c r="U12" s="4847">
        <v>4516003171</v>
      </c>
      <c r="V12" s="1017" t="s">
        <v>383</v>
      </c>
      <c r="W12" s="4864">
        <v>1</v>
      </c>
      <c r="X12" s="1018" t="s">
        <v>180</v>
      </c>
      <c r="Y12" s="4901">
        <v>500</v>
      </c>
      <c r="Z12" s="4902">
        <f t="shared" si="0"/>
        <v>500</v>
      </c>
      <c r="AA12" s="4898" t="s">
        <v>381</v>
      </c>
      <c r="AB12" s="4899"/>
      <c r="AC12" s="4876"/>
      <c r="AD12" s="374"/>
      <c r="AE12" s="48"/>
      <c r="AF12" s="51"/>
      <c r="AG12" s="51"/>
      <c r="AH12" s="8984"/>
    </row>
    <row r="13" spans="1:34" ht="48.75" customHeight="1">
      <c r="A13" s="9068"/>
      <c r="B13" s="9064"/>
      <c r="C13" s="8942"/>
      <c r="D13" s="8939"/>
      <c r="E13" s="8939"/>
      <c r="F13" s="8939"/>
      <c r="G13" s="8939"/>
      <c r="H13" s="8939"/>
      <c r="I13" s="8939"/>
      <c r="J13" s="9029"/>
      <c r="K13" s="8939"/>
      <c r="L13" s="8939"/>
      <c r="M13" s="8955"/>
      <c r="N13" s="8955"/>
      <c r="O13" s="8955"/>
      <c r="P13" s="8939"/>
      <c r="Q13" s="8939"/>
      <c r="R13" s="8959"/>
      <c r="S13" s="1019"/>
      <c r="T13" s="4848"/>
      <c r="U13" s="4848">
        <v>45220009</v>
      </c>
      <c r="V13" s="1020" t="s">
        <v>384</v>
      </c>
      <c r="W13" s="4865">
        <v>1</v>
      </c>
      <c r="X13" s="1021" t="s">
        <v>180</v>
      </c>
      <c r="Y13" s="4903">
        <v>1100</v>
      </c>
      <c r="Z13" s="4903">
        <f t="shared" si="0"/>
        <v>1100</v>
      </c>
      <c r="AA13" s="4904" t="s">
        <v>381</v>
      </c>
      <c r="AB13" s="4905"/>
      <c r="AC13" s="4877"/>
      <c r="AD13" s="376"/>
      <c r="AE13" s="64"/>
      <c r="AF13" s="65"/>
      <c r="AG13" s="65"/>
      <c r="AH13" s="8985"/>
    </row>
    <row r="14" spans="1:34" ht="54" customHeight="1">
      <c r="A14" s="9068"/>
      <c r="B14" s="9064"/>
      <c r="C14" s="8973" t="s">
        <v>127</v>
      </c>
      <c r="D14" s="8834" t="s">
        <v>128</v>
      </c>
      <c r="E14" s="8834" t="s">
        <v>129</v>
      </c>
      <c r="F14" s="8834" t="s">
        <v>327</v>
      </c>
      <c r="G14" s="8974" t="s">
        <v>131</v>
      </c>
      <c r="H14" s="8834" t="s">
        <v>132</v>
      </c>
      <c r="I14" s="8834" t="s">
        <v>189</v>
      </c>
      <c r="J14" s="8951" t="s">
        <v>385</v>
      </c>
      <c r="K14" s="8834" t="s">
        <v>386</v>
      </c>
      <c r="L14" s="8834" t="s">
        <v>387</v>
      </c>
      <c r="M14" s="8979">
        <v>20</v>
      </c>
      <c r="N14" s="8979">
        <v>10</v>
      </c>
      <c r="O14" s="8979">
        <v>10</v>
      </c>
      <c r="P14" s="8980" t="s">
        <v>388</v>
      </c>
      <c r="Q14" s="8981" t="s">
        <v>389</v>
      </c>
      <c r="R14" s="8982" t="s">
        <v>379</v>
      </c>
      <c r="S14" s="939" t="s">
        <v>15</v>
      </c>
      <c r="T14" s="4849">
        <v>530204</v>
      </c>
      <c r="U14" s="4850"/>
      <c r="V14" s="940" t="s">
        <v>390</v>
      </c>
      <c r="W14" s="4863"/>
      <c r="X14" s="794"/>
      <c r="Y14" s="4900"/>
      <c r="Z14" s="4900"/>
      <c r="AA14" s="4900"/>
      <c r="AB14" s="4906">
        <f>SUM($AA$15:$AA$16)</f>
        <v>2775.2000000000003</v>
      </c>
      <c r="AC14" s="4878" t="s">
        <v>18</v>
      </c>
      <c r="AD14" s="377"/>
      <c r="AE14" s="53"/>
      <c r="AF14" s="68"/>
      <c r="AG14" s="68"/>
      <c r="AH14" s="8987" t="s">
        <v>391</v>
      </c>
    </row>
    <row r="15" spans="1:34" ht="54" customHeight="1">
      <c r="A15" s="9068"/>
      <c r="B15" s="9064"/>
      <c r="C15" s="8941"/>
      <c r="D15" s="8938"/>
      <c r="E15" s="8938"/>
      <c r="F15" s="8938"/>
      <c r="G15" s="8938"/>
      <c r="H15" s="8938"/>
      <c r="I15" s="8938"/>
      <c r="J15" s="9025"/>
      <c r="K15" s="8938"/>
      <c r="L15" s="8938"/>
      <c r="M15" s="8954"/>
      <c r="N15" s="8954"/>
      <c r="O15" s="8954"/>
      <c r="P15" s="8938"/>
      <c r="Q15" s="8938"/>
      <c r="R15" s="8958"/>
      <c r="S15" s="1011"/>
      <c r="T15" s="4844"/>
      <c r="U15" s="4844">
        <v>843000011</v>
      </c>
      <c r="V15" s="798" t="s">
        <v>392</v>
      </c>
      <c r="W15" s="4862">
        <v>13</v>
      </c>
      <c r="X15" s="799" t="s">
        <v>152</v>
      </c>
      <c r="Y15" s="4898">
        <v>170</v>
      </c>
      <c r="Z15" s="4898">
        <f t="shared" ref="Z15:Z16" si="1">+W15*Y15</f>
        <v>2210</v>
      </c>
      <c r="AA15" s="4898">
        <f t="shared" ref="AA15:AA16" si="2">+Z15*1.12</f>
        <v>2475.2000000000003</v>
      </c>
      <c r="AB15" s="4899"/>
      <c r="AC15" s="4876"/>
      <c r="AD15" s="810"/>
      <c r="AE15" s="3172"/>
      <c r="AF15" s="3167" t="s">
        <v>153</v>
      </c>
      <c r="AG15" s="3152"/>
      <c r="AH15" s="8984"/>
    </row>
    <row r="16" spans="1:34" ht="54" customHeight="1">
      <c r="A16" s="9068"/>
      <c r="B16" s="9064"/>
      <c r="C16" s="8941"/>
      <c r="D16" s="8938"/>
      <c r="E16" s="8938"/>
      <c r="F16" s="8938"/>
      <c r="G16" s="8938"/>
      <c r="H16" s="8938"/>
      <c r="I16" s="8938"/>
      <c r="J16" s="9025"/>
      <c r="K16" s="8938"/>
      <c r="L16" s="8938"/>
      <c r="M16" s="8954"/>
      <c r="N16" s="8954"/>
      <c r="O16" s="8954"/>
      <c r="P16" s="8938"/>
      <c r="Q16" s="8938"/>
      <c r="R16" s="8958"/>
      <c r="S16" s="1011"/>
      <c r="T16" s="4844"/>
      <c r="U16" s="4844"/>
      <c r="V16" s="3173" t="s">
        <v>393</v>
      </c>
      <c r="W16" s="4866">
        <v>1</v>
      </c>
      <c r="X16" s="3172" t="s">
        <v>152</v>
      </c>
      <c r="Y16" s="4907">
        <f>300/1.12</f>
        <v>267.85714285714283</v>
      </c>
      <c r="Z16" s="4907">
        <f t="shared" si="1"/>
        <v>267.85714285714283</v>
      </c>
      <c r="AA16" s="4907">
        <f t="shared" si="2"/>
        <v>300</v>
      </c>
      <c r="AB16" s="4899"/>
      <c r="AC16" s="4876"/>
      <c r="AD16" s="810"/>
      <c r="AE16" s="48" t="s">
        <v>153</v>
      </c>
      <c r="AF16" s="48" t="s">
        <v>153</v>
      </c>
      <c r="AG16" s="51" t="s">
        <v>153</v>
      </c>
      <c r="AH16" s="8984"/>
    </row>
    <row r="17" spans="1:34" ht="54" customHeight="1">
      <c r="A17" s="9069"/>
      <c r="B17" s="9065"/>
      <c r="C17" s="8941"/>
      <c r="D17" s="8938"/>
      <c r="E17" s="8938"/>
      <c r="F17" s="8938"/>
      <c r="G17" s="8938"/>
      <c r="H17" s="8938"/>
      <c r="I17" s="8938"/>
      <c r="J17" s="9025"/>
      <c r="K17" s="8938"/>
      <c r="L17" s="8938"/>
      <c r="M17" s="8954"/>
      <c r="N17" s="8954"/>
      <c r="O17" s="8954"/>
      <c r="P17" s="8938"/>
      <c r="Q17" s="8938"/>
      <c r="R17" s="8958"/>
      <c r="S17" s="1026"/>
      <c r="T17" s="4851"/>
      <c r="U17" s="4851"/>
      <c r="V17" s="1027"/>
      <c r="W17" s="4867"/>
      <c r="X17" s="1018"/>
      <c r="Y17" s="4902"/>
      <c r="Z17" s="4902"/>
      <c r="AA17" s="4902"/>
      <c r="AB17" s="4908"/>
      <c r="AC17" s="4879"/>
      <c r="AD17" s="375"/>
      <c r="AE17" s="453"/>
      <c r="AF17" s="453"/>
      <c r="AG17" s="456"/>
      <c r="AH17" s="8984"/>
    </row>
    <row r="18" spans="1:34" ht="54" customHeight="1">
      <c r="A18" s="9071" t="s">
        <v>371</v>
      </c>
      <c r="B18" s="9072" t="s">
        <v>371</v>
      </c>
      <c r="C18" s="8942"/>
      <c r="D18" s="8939"/>
      <c r="E18" s="8939"/>
      <c r="F18" s="8939"/>
      <c r="G18" s="8939"/>
      <c r="H18" s="8939"/>
      <c r="I18" s="8939"/>
      <c r="J18" s="9026"/>
      <c r="K18" s="8939"/>
      <c r="L18" s="8939"/>
      <c r="M18" s="8955"/>
      <c r="N18" s="8955"/>
      <c r="O18" s="8955"/>
      <c r="P18" s="8939"/>
      <c r="Q18" s="8939"/>
      <c r="R18" s="8959"/>
      <c r="S18" s="1030"/>
      <c r="T18" s="4852"/>
      <c r="U18" s="4852"/>
      <c r="V18" s="1031"/>
      <c r="W18" s="4868"/>
      <c r="X18" s="1023"/>
      <c r="Y18" s="4909"/>
      <c r="Z18" s="4909"/>
      <c r="AA18" s="4909"/>
      <c r="AB18" s="4905"/>
      <c r="AC18" s="4877"/>
      <c r="AD18" s="376"/>
      <c r="AE18" s="64"/>
      <c r="AF18" s="64"/>
      <c r="AG18" s="65"/>
      <c r="AH18" s="8985"/>
    </row>
    <row r="19" spans="1:34" ht="48.75" customHeight="1">
      <c r="A19" s="9068"/>
      <c r="B19" s="9064"/>
      <c r="C19" s="8976" t="s">
        <v>127</v>
      </c>
      <c r="D19" s="8782" t="s">
        <v>128</v>
      </c>
      <c r="E19" s="8782" t="s">
        <v>129</v>
      </c>
      <c r="F19" s="8782" t="s">
        <v>394</v>
      </c>
      <c r="G19" s="8977" t="s">
        <v>131</v>
      </c>
      <c r="H19" s="8782" t="s">
        <v>213</v>
      </c>
      <c r="I19" s="8782" t="s">
        <v>214</v>
      </c>
      <c r="J19" s="8940" t="s">
        <v>395</v>
      </c>
      <c r="K19" s="8782" t="s">
        <v>396</v>
      </c>
      <c r="L19" s="8782" t="s">
        <v>397</v>
      </c>
      <c r="M19" s="8975">
        <v>3</v>
      </c>
      <c r="N19" s="8975">
        <v>5</v>
      </c>
      <c r="O19" s="8975">
        <v>5</v>
      </c>
      <c r="P19" s="8978" t="s">
        <v>398</v>
      </c>
      <c r="Q19" s="8978" t="s">
        <v>399</v>
      </c>
      <c r="R19" s="8957" t="s">
        <v>400</v>
      </c>
      <c r="S19" s="939"/>
      <c r="T19" s="4850"/>
      <c r="U19" s="4850"/>
      <c r="V19" s="1032"/>
      <c r="W19" s="4863"/>
      <c r="X19" s="794"/>
      <c r="Y19" s="4900"/>
      <c r="Z19" s="4900"/>
      <c r="AA19" s="4900"/>
      <c r="AB19" s="4906"/>
      <c r="AC19" s="4878"/>
      <c r="AD19" s="377"/>
      <c r="AE19" s="53"/>
      <c r="AF19" s="73"/>
      <c r="AG19" s="73"/>
      <c r="AH19" s="8943"/>
    </row>
    <row r="20" spans="1:34" ht="48.75" customHeight="1">
      <c r="A20" s="9068"/>
      <c r="B20" s="9064"/>
      <c r="C20" s="8941"/>
      <c r="D20" s="8938"/>
      <c r="E20" s="8938"/>
      <c r="F20" s="8938"/>
      <c r="G20" s="8938"/>
      <c r="H20" s="8938"/>
      <c r="I20" s="8938"/>
      <c r="J20" s="8941"/>
      <c r="K20" s="8938"/>
      <c r="L20" s="8938"/>
      <c r="M20" s="8954"/>
      <c r="N20" s="8954"/>
      <c r="O20" s="8954"/>
      <c r="P20" s="8938"/>
      <c r="Q20" s="8938"/>
      <c r="R20" s="8958"/>
      <c r="S20" s="1014"/>
      <c r="T20" s="4845"/>
      <c r="U20" s="4845"/>
      <c r="V20" s="798"/>
      <c r="W20" s="4862"/>
      <c r="X20" s="799"/>
      <c r="Y20" s="4898"/>
      <c r="Z20" s="4898"/>
      <c r="AA20" s="4898"/>
      <c r="AB20" s="4899"/>
      <c r="AC20" s="4876"/>
      <c r="AD20" s="374"/>
      <c r="AE20" s="48"/>
      <c r="AF20" s="51"/>
      <c r="AG20" s="51"/>
      <c r="AH20" s="8944"/>
    </row>
    <row r="21" spans="1:34" ht="48.75" customHeight="1">
      <c r="A21" s="9068"/>
      <c r="B21" s="9064"/>
      <c r="C21" s="8941"/>
      <c r="D21" s="8938"/>
      <c r="E21" s="8938"/>
      <c r="F21" s="8938"/>
      <c r="G21" s="8938"/>
      <c r="H21" s="8938"/>
      <c r="I21" s="8938"/>
      <c r="J21" s="8941"/>
      <c r="K21" s="8938"/>
      <c r="L21" s="8938"/>
      <c r="M21" s="8954"/>
      <c r="N21" s="8954"/>
      <c r="O21" s="8954"/>
      <c r="P21" s="8938"/>
      <c r="Q21" s="8938"/>
      <c r="R21" s="8958"/>
      <c r="S21" s="805"/>
      <c r="T21" s="4853"/>
      <c r="U21" s="4853"/>
      <c r="V21" s="575"/>
      <c r="W21" s="4869"/>
      <c r="X21" s="48"/>
      <c r="Y21" s="4910"/>
      <c r="Z21" s="4910"/>
      <c r="AA21" s="4910"/>
      <c r="AB21" s="4911"/>
      <c r="AC21" s="4880"/>
      <c r="AD21" s="374"/>
      <c r="AE21" s="48"/>
      <c r="AF21" s="51"/>
      <c r="AG21" s="51"/>
      <c r="AH21" s="8944"/>
    </row>
    <row r="22" spans="1:34" ht="48.75" customHeight="1">
      <c r="A22" s="9068"/>
      <c r="B22" s="9064"/>
      <c r="C22" s="8941"/>
      <c r="D22" s="8938"/>
      <c r="E22" s="8938"/>
      <c r="F22" s="8938"/>
      <c r="G22" s="8938"/>
      <c r="H22" s="8938"/>
      <c r="I22" s="8938"/>
      <c r="J22" s="8941"/>
      <c r="K22" s="8938"/>
      <c r="L22" s="8938"/>
      <c r="M22" s="8954"/>
      <c r="N22" s="8954"/>
      <c r="O22" s="8954"/>
      <c r="P22" s="8938"/>
      <c r="Q22" s="8938"/>
      <c r="R22" s="8958"/>
      <c r="S22" s="807"/>
      <c r="T22" s="4854"/>
      <c r="U22" s="4854"/>
      <c r="V22" s="581"/>
      <c r="W22" s="4870"/>
      <c r="X22" s="48"/>
      <c r="Y22" s="4912"/>
      <c r="Z22" s="4910"/>
      <c r="AA22" s="4910"/>
      <c r="AB22" s="4913"/>
      <c r="AC22" s="4881"/>
      <c r="AD22" s="375"/>
      <c r="AE22" s="48"/>
      <c r="AF22" s="456"/>
      <c r="AG22" s="456"/>
      <c r="AH22" s="8944"/>
    </row>
    <row r="23" spans="1:34" ht="48.75" customHeight="1">
      <c r="A23" s="9068"/>
      <c r="B23" s="9064"/>
      <c r="C23" s="8942"/>
      <c r="D23" s="8939"/>
      <c r="E23" s="8939"/>
      <c r="F23" s="8939"/>
      <c r="G23" s="8939"/>
      <c r="H23" s="8939"/>
      <c r="I23" s="8939"/>
      <c r="J23" s="8942"/>
      <c r="K23" s="8939"/>
      <c r="L23" s="8939"/>
      <c r="M23" s="8955"/>
      <c r="N23" s="8955"/>
      <c r="O23" s="8955"/>
      <c r="P23" s="8939"/>
      <c r="Q23" s="8939"/>
      <c r="R23" s="8959"/>
      <c r="S23" s="808"/>
      <c r="T23" s="4855"/>
      <c r="U23" s="4856"/>
      <c r="V23" s="577"/>
      <c r="W23" s="4871"/>
      <c r="X23" s="64"/>
      <c r="Y23" s="4914"/>
      <c r="Z23" s="4915"/>
      <c r="AA23" s="4915"/>
      <c r="AB23" s="4916"/>
      <c r="AC23" s="4882"/>
      <c r="AD23" s="376"/>
      <c r="AE23" s="64"/>
      <c r="AF23" s="65"/>
      <c r="AG23" s="65"/>
      <c r="AH23" s="8945"/>
    </row>
    <row r="24" spans="1:34" ht="36" customHeight="1">
      <c r="A24" s="9068"/>
      <c r="B24" s="9064"/>
      <c r="C24" s="8976" t="s">
        <v>127</v>
      </c>
      <c r="D24" s="8782" t="s">
        <v>128</v>
      </c>
      <c r="E24" s="8782" t="s">
        <v>140</v>
      </c>
      <c r="F24" s="8782" t="s">
        <v>238</v>
      </c>
      <c r="G24" s="8977" t="s">
        <v>131</v>
      </c>
      <c r="H24" s="8782" t="s">
        <v>132</v>
      </c>
      <c r="I24" s="8782" t="s">
        <v>189</v>
      </c>
      <c r="J24" s="8940" t="s">
        <v>401</v>
      </c>
      <c r="K24" s="8782" t="s">
        <v>402</v>
      </c>
      <c r="L24" s="8782" t="s">
        <v>403</v>
      </c>
      <c r="M24" s="8823">
        <v>3</v>
      </c>
      <c r="N24" s="8823">
        <v>3</v>
      </c>
      <c r="O24" s="8823">
        <v>2</v>
      </c>
      <c r="P24" s="8981" t="s">
        <v>404</v>
      </c>
      <c r="Q24" s="8978" t="s">
        <v>405</v>
      </c>
      <c r="R24" s="8957" t="s">
        <v>406</v>
      </c>
      <c r="S24" s="621"/>
      <c r="T24" s="4849"/>
      <c r="U24" s="4849"/>
      <c r="V24" s="578"/>
      <c r="W24" s="4872"/>
      <c r="X24" s="53"/>
      <c r="Y24" s="4917"/>
      <c r="Z24" s="4917"/>
      <c r="AA24" s="4917"/>
      <c r="AB24" s="4918"/>
      <c r="AC24" s="4875"/>
      <c r="AD24" s="377"/>
      <c r="AE24" s="53"/>
      <c r="AF24" s="73"/>
      <c r="AG24" s="73"/>
      <c r="AH24" s="8943"/>
    </row>
    <row r="25" spans="1:34" ht="36" customHeight="1">
      <c r="A25" s="9068"/>
      <c r="B25" s="9064"/>
      <c r="C25" s="8941"/>
      <c r="D25" s="8938"/>
      <c r="E25" s="8938"/>
      <c r="F25" s="8938"/>
      <c r="G25" s="8938"/>
      <c r="H25" s="8938"/>
      <c r="I25" s="8938"/>
      <c r="J25" s="8941"/>
      <c r="K25" s="8938"/>
      <c r="L25" s="8938"/>
      <c r="M25" s="8954"/>
      <c r="N25" s="8954"/>
      <c r="O25" s="8954"/>
      <c r="P25" s="8938"/>
      <c r="Q25" s="8938"/>
      <c r="R25" s="8958"/>
      <c r="S25" s="805"/>
      <c r="T25" s="4853"/>
      <c r="U25" s="4853"/>
      <c r="V25" s="575"/>
      <c r="W25" s="4869"/>
      <c r="X25" s="48"/>
      <c r="Y25" s="4910"/>
      <c r="Z25" s="4910"/>
      <c r="AA25" s="4910"/>
      <c r="AB25" s="4911"/>
      <c r="AC25" s="4880"/>
      <c r="AD25" s="374"/>
      <c r="AE25" s="48"/>
      <c r="AF25" s="48"/>
      <c r="AG25" s="51"/>
      <c r="AH25" s="8944"/>
    </row>
    <row r="26" spans="1:34" ht="36" customHeight="1">
      <c r="A26" s="9068"/>
      <c r="B26" s="9064"/>
      <c r="C26" s="8941"/>
      <c r="D26" s="8938"/>
      <c r="E26" s="8938"/>
      <c r="F26" s="8938"/>
      <c r="G26" s="8938"/>
      <c r="H26" s="8938"/>
      <c r="I26" s="8938"/>
      <c r="J26" s="8941"/>
      <c r="K26" s="8938"/>
      <c r="L26" s="8938"/>
      <c r="M26" s="8954"/>
      <c r="N26" s="8954"/>
      <c r="O26" s="8954"/>
      <c r="P26" s="8938"/>
      <c r="Q26" s="8938"/>
      <c r="R26" s="8958"/>
      <c r="S26" s="805"/>
      <c r="T26" s="4853"/>
      <c r="U26" s="4853"/>
      <c r="V26" s="575"/>
      <c r="W26" s="4869"/>
      <c r="X26" s="48"/>
      <c r="Y26" s="4910"/>
      <c r="Z26" s="4910"/>
      <c r="AA26" s="4910"/>
      <c r="AB26" s="4911"/>
      <c r="AC26" s="4880"/>
      <c r="AD26" s="374"/>
      <c r="AE26" s="48"/>
      <c r="AF26" s="51"/>
      <c r="AG26" s="51"/>
      <c r="AH26" s="8944"/>
    </row>
    <row r="27" spans="1:34" ht="36" customHeight="1">
      <c r="A27" s="9068"/>
      <c r="B27" s="9064"/>
      <c r="C27" s="8941"/>
      <c r="D27" s="8938"/>
      <c r="E27" s="8938"/>
      <c r="F27" s="8938"/>
      <c r="G27" s="8938"/>
      <c r="H27" s="8938"/>
      <c r="I27" s="8938"/>
      <c r="J27" s="8941"/>
      <c r="K27" s="8938"/>
      <c r="L27" s="8938"/>
      <c r="M27" s="8954"/>
      <c r="N27" s="8954"/>
      <c r="O27" s="8954"/>
      <c r="P27" s="8938"/>
      <c r="Q27" s="8938"/>
      <c r="R27" s="8958"/>
      <c r="S27" s="805"/>
      <c r="T27" s="4853"/>
      <c r="U27" s="4853"/>
      <c r="V27" s="575"/>
      <c r="W27" s="4869"/>
      <c r="X27" s="48"/>
      <c r="Y27" s="4910"/>
      <c r="Z27" s="4910"/>
      <c r="AA27" s="4910"/>
      <c r="AB27" s="4911"/>
      <c r="AC27" s="4880"/>
      <c r="AD27" s="374"/>
      <c r="AE27" s="48"/>
      <c r="AF27" s="48"/>
      <c r="AG27" s="51"/>
      <c r="AH27" s="8944"/>
    </row>
    <row r="28" spans="1:34" ht="36" customHeight="1">
      <c r="A28" s="9068"/>
      <c r="B28" s="9064"/>
      <c r="C28" s="8942"/>
      <c r="D28" s="8939"/>
      <c r="E28" s="8939"/>
      <c r="F28" s="8939"/>
      <c r="G28" s="8939"/>
      <c r="H28" s="8939"/>
      <c r="I28" s="8939"/>
      <c r="J28" s="8942"/>
      <c r="K28" s="8939"/>
      <c r="L28" s="8939"/>
      <c r="M28" s="8955"/>
      <c r="N28" s="8955"/>
      <c r="O28" s="8955"/>
      <c r="P28" s="8939"/>
      <c r="Q28" s="8939"/>
      <c r="R28" s="8959"/>
      <c r="S28" s="808"/>
      <c r="T28" s="4855"/>
      <c r="U28" s="4855"/>
      <c r="V28" s="577"/>
      <c r="W28" s="4871"/>
      <c r="X28" s="64"/>
      <c r="Y28" s="4914"/>
      <c r="Z28" s="4914"/>
      <c r="AA28" s="4914"/>
      <c r="AB28" s="4916"/>
      <c r="AC28" s="4882"/>
      <c r="AD28" s="376"/>
      <c r="AE28" s="64"/>
      <c r="AF28" s="65"/>
      <c r="AG28" s="65"/>
      <c r="AH28" s="8945"/>
    </row>
    <row r="29" spans="1:34" ht="59.25" customHeight="1">
      <c r="A29" s="9068"/>
      <c r="B29" s="9064"/>
      <c r="C29" s="8976" t="s">
        <v>183</v>
      </c>
      <c r="D29" s="8782" t="s">
        <v>227</v>
      </c>
      <c r="E29" s="8782" t="s">
        <v>228</v>
      </c>
      <c r="F29" s="8782" t="s">
        <v>407</v>
      </c>
      <c r="G29" s="8977" t="s">
        <v>230</v>
      </c>
      <c r="H29" s="8782" t="s">
        <v>158</v>
      </c>
      <c r="I29" s="8782" t="s">
        <v>133</v>
      </c>
      <c r="J29" s="8940" t="s">
        <v>408</v>
      </c>
      <c r="K29" s="8782" t="s">
        <v>409</v>
      </c>
      <c r="L29" s="8782" t="s">
        <v>410</v>
      </c>
      <c r="M29" s="8975">
        <v>20</v>
      </c>
      <c r="N29" s="8975">
        <v>20</v>
      </c>
      <c r="O29" s="8975">
        <v>20</v>
      </c>
      <c r="P29" s="8978" t="s">
        <v>411</v>
      </c>
      <c r="Q29" s="8978" t="s">
        <v>412</v>
      </c>
      <c r="R29" s="8957" t="s">
        <v>379</v>
      </c>
      <c r="S29" s="563"/>
      <c r="T29" s="4849"/>
      <c r="U29" s="4849"/>
      <c r="V29" s="578"/>
      <c r="W29" s="4872"/>
      <c r="X29" s="53"/>
      <c r="Y29" s="4917"/>
      <c r="Z29" s="4917"/>
      <c r="AA29" s="4917"/>
      <c r="AB29" s="4918"/>
      <c r="AC29" s="4875"/>
      <c r="AD29" s="377"/>
      <c r="AE29" s="53"/>
      <c r="AF29" s="73"/>
      <c r="AG29" s="73"/>
      <c r="AH29" s="8943"/>
    </row>
    <row r="30" spans="1:34" ht="59.25" customHeight="1">
      <c r="A30" s="9069"/>
      <c r="B30" s="9065"/>
      <c r="C30" s="8941"/>
      <c r="D30" s="8938"/>
      <c r="E30" s="8938"/>
      <c r="F30" s="8938"/>
      <c r="G30" s="8938"/>
      <c r="H30" s="8938"/>
      <c r="I30" s="8938"/>
      <c r="J30" s="8941"/>
      <c r="K30" s="8938"/>
      <c r="L30" s="8938"/>
      <c r="M30" s="8954"/>
      <c r="N30" s="8954"/>
      <c r="O30" s="8954"/>
      <c r="P30" s="8938"/>
      <c r="Q30" s="8938"/>
      <c r="R30" s="8958"/>
      <c r="S30" s="805"/>
      <c r="T30" s="4853"/>
      <c r="U30" s="4853"/>
      <c r="V30" s="575"/>
      <c r="W30" s="4869"/>
      <c r="X30" s="48" t="s">
        <v>413</v>
      </c>
      <c r="Y30" s="4910"/>
      <c r="Z30" s="4910"/>
      <c r="AA30" s="4910"/>
      <c r="AB30" s="4911"/>
      <c r="AC30" s="4880"/>
      <c r="AD30" s="374"/>
      <c r="AE30" s="48"/>
      <c r="AF30" s="51"/>
      <c r="AG30" s="51"/>
      <c r="AH30" s="8944"/>
    </row>
    <row r="31" spans="1:34" ht="59.25" customHeight="1">
      <c r="A31" s="9071" t="s">
        <v>371</v>
      </c>
      <c r="B31" s="9072" t="s">
        <v>371</v>
      </c>
      <c r="C31" s="8941"/>
      <c r="D31" s="8938"/>
      <c r="E31" s="8938"/>
      <c r="F31" s="8938"/>
      <c r="G31" s="8938"/>
      <c r="H31" s="8938"/>
      <c r="I31" s="8938"/>
      <c r="J31" s="8941"/>
      <c r="K31" s="8938"/>
      <c r="L31" s="8938"/>
      <c r="M31" s="8954"/>
      <c r="N31" s="8954"/>
      <c r="O31" s="8954"/>
      <c r="P31" s="8938"/>
      <c r="Q31" s="8938"/>
      <c r="R31" s="8958"/>
      <c r="S31" s="1011"/>
      <c r="T31" s="4844"/>
      <c r="U31" s="4844"/>
      <c r="V31" s="798"/>
      <c r="W31" s="4862"/>
      <c r="X31" s="799"/>
      <c r="Y31" s="4898"/>
      <c r="Z31" s="4898"/>
      <c r="AA31" s="4898"/>
      <c r="AB31" s="4899"/>
      <c r="AC31" s="4876"/>
      <c r="AD31" s="1012"/>
      <c r="AE31" s="799"/>
      <c r="AF31" s="1013"/>
      <c r="AG31" s="51"/>
      <c r="AH31" s="8944"/>
    </row>
    <row r="32" spans="1:34" ht="59.25" customHeight="1">
      <c r="A32" s="9068"/>
      <c r="B32" s="9064"/>
      <c r="C32" s="8941"/>
      <c r="D32" s="8938"/>
      <c r="E32" s="8938"/>
      <c r="F32" s="8938"/>
      <c r="G32" s="8938"/>
      <c r="H32" s="8938"/>
      <c r="I32" s="8938"/>
      <c r="J32" s="8941"/>
      <c r="K32" s="8938"/>
      <c r="L32" s="8938"/>
      <c r="M32" s="8954"/>
      <c r="N32" s="8954"/>
      <c r="O32" s="8954"/>
      <c r="P32" s="8938"/>
      <c r="Q32" s="8938"/>
      <c r="R32" s="8958"/>
      <c r="S32" s="1011"/>
      <c r="T32" s="4844"/>
      <c r="U32" s="4844"/>
      <c r="V32" s="798"/>
      <c r="W32" s="4862"/>
      <c r="X32" s="799"/>
      <c r="Y32" s="4898"/>
      <c r="Z32" s="4898"/>
      <c r="AA32" s="4898"/>
      <c r="AB32" s="4899"/>
      <c r="AC32" s="4876"/>
      <c r="AD32" s="1012"/>
      <c r="AE32" s="799"/>
      <c r="AF32" s="1013"/>
      <c r="AG32" s="51"/>
      <c r="AH32" s="8944"/>
    </row>
    <row r="33" spans="1:34" ht="59.25" customHeight="1">
      <c r="A33" s="9068"/>
      <c r="B33" s="9064"/>
      <c r="C33" s="8942"/>
      <c r="D33" s="8939"/>
      <c r="E33" s="8939"/>
      <c r="F33" s="8939"/>
      <c r="G33" s="8939"/>
      <c r="H33" s="8939"/>
      <c r="I33" s="8939"/>
      <c r="J33" s="8942"/>
      <c r="K33" s="8939"/>
      <c r="L33" s="8939"/>
      <c r="M33" s="8955"/>
      <c r="N33" s="8955"/>
      <c r="O33" s="8955"/>
      <c r="P33" s="8939"/>
      <c r="Q33" s="8939"/>
      <c r="R33" s="8959"/>
      <c r="S33" s="1030"/>
      <c r="T33" s="4852"/>
      <c r="U33" s="4852"/>
      <c r="V33" s="1031"/>
      <c r="W33" s="4868"/>
      <c r="X33" s="1023"/>
      <c r="Y33" s="4909"/>
      <c r="Z33" s="4909"/>
      <c r="AA33" s="4909"/>
      <c r="AB33" s="4905"/>
      <c r="AC33" s="4877"/>
      <c r="AD33" s="1022"/>
      <c r="AE33" s="1023"/>
      <c r="AF33" s="1024"/>
      <c r="AG33" s="65"/>
      <c r="AH33" s="8945"/>
    </row>
    <row r="34" spans="1:34" ht="69" customHeight="1">
      <c r="A34" s="9068"/>
      <c r="B34" s="9064"/>
      <c r="C34" s="8973" t="s">
        <v>127</v>
      </c>
      <c r="D34" s="8834" t="s">
        <v>128</v>
      </c>
      <c r="E34" s="8834" t="s">
        <v>129</v>
      </c>
      <c r="F34" s="8834" t="s">
        <v>157</v>
      </c>
      <c r="G34" s="8974" t="s">
        <v>131</v>
      </c>
      <c r="H34" s="8834" t="s">
        <v>132</v>
      </c>
      <c r="I34" s="8834" t="s">
        <v>189</v>
      </c>
      <c r="J34" s="8940" t="s">
        <v>414</v>
      </c>
      <c r="K34" s="8782" t="s">
        <v>415</v>
      </c>
      <c r="L34" s="8834" t="s">
        <v>416</v>
      </c>
      <c r="M34" s="8856">
        <v>2</v>
      </c>
      <c r="N34" s="8823">
        <v>3</v>
      </c>
      <c r="O34" s="8856">
        <v>2</v>
      </c>
      <c r="P34" s="8981" t="s">
        <v>417</v>
      </c>
      <c r="Q34" s="8981" t="s">
        <v>418</v>
      </c>
      <c r="R34" s="8982" t="s">
        <v>379</v>
      </c>
      <c r="S34" s="3175" t="s">
        <v>15</v>
      </c>
      <c r="T34" s="4857">
        <v>570206</v>
      </c>
      <c r="U34" s="4857"/>
      <c r="V34" s="3176" t="s">
        <v>419</v>
      </c>
      <c r="W34" s="4873"/>
      <c r="X34" s="3177"/>
      <c r="Y34" s="4919"/>
      <c r="Z34" s="4919"/>
      <c r="AA34" s="4919"/>
      <c r="AB34" s="4920">
        <f>SUM($AA$35:$AA$37)</f>
        <v>1000</v>
      </c>
      <c r="AC34" s="4782" t="s">
        <v>18</v>
      </c>
      <c r="AD34" s="1009"/>
      <c r="AE34" s="794"/>
      <c r="AF34" s="1033"/>
      <c r="AG34" s="73"/>
      <c r="AH34" s="8943"/>
    </row>
    <row r="35" spans="1:34" ht="69" customHeight="1">
      <c r="A35" s="9068"/>
      <c r="B35" s="9064"/>
      <c r="C35" s="8941"/>
      <c r="D35" s="8938"/>
      <c r="E35" s="8938"/>
      <c r="F35" s="8938"/>
      <c r="G35" s="8938"/>
      <c r="H35" s="8938"/>
      <c r="I35" s="8938"/>
      <c r="J35" s="8941"/>
      <c r="K35" s="8938"/>
      <c r="L35" s="8938"/>
      <c r="M35" s="8954"/>
      <c r="N35" s="8954"/>
      <c r="O35" s="8954"/>
      <c r="P35" s="8938"/>
      <c r="Q35" s="8938"/>
      <c r="R35" s="8958"/>
      <c r="S35" s="3163"/>
      <c r="T35" s="4858"/>
      <c r="U35" s="4858"/>
      <c r="V35" s="3173" t="s">
        <v>420</v>
      </c>
      <c r="W35" s="4866">
        <v>1</v>
      </c>
      <c r="X35" s="3172" t="s">
        <v>180</v>
      </c>
      <c r="Y35" s="4907">
        <f>1000/1.12</f>
        <v>892.85714285714278</v>
      </c>
      <c r="Z35" s="4907">
        <f>+W35*Y35</f>
        <v>892.85714285714278</v>
      </c>
      <c r="AA35" s="4907">
        <f>+Z35*1.12</f>
        <v>1000</v>
      </c>
      <c r="AB35" s="4921"/>
      <c r="AC35" s="4784"/>
      <c r="AD35" s="1012"/>
      <c r="AE35" s="799" t="s">
        <v>153</v>
      </c>
      <c r="AF35" s="799" t="s">
        <v>153</v>
      </c>
      <c r="AG35" s="51" t="s">
        <v>153</v>
      </c>
      <c r="AH35" s="8944"/>
    </row>
    <row r="36" spans="1:34" ht="69" customHeight="1">
      <c r="A36" s="9068"/>
      <c r="B36" s="9064"/>
      <c r="C36" s="8941"/>
      <c r="D36" s="8938"/>
      <c r="E36" s="8938"/>
      <c r="F36" s="8938"/>
      <c r="G36" s="8938"/>
      <c r="H36" s="8938"/>
      <c r="I36" s="8938"/>
      <c r="J36" s="8941"/>
      <c r="K36" s="8938"/>
      <c r="L36" s="8938"/>
      <c r="M36" s="8954"/>
      <c r="N36" s="8954"/>
      <c r="O36" s="8954"/>
      <c r="P36" s="8938"/>
      <c r="Q36" s="8938"/>
      <c r="R36" s="8958"/>
      <c r="S36" s="1011"/>
      <c r="T36" s="4844"/>
      <c r="U36" s="4844"/>
      <c r="V36" s="798"/>
      <c r="W36" s="4862"/>
      <c r="X36" s="799"/>
      <c r="Y36" s="4898"/>
      <c r="Z36" s="4898"/>
      <c r="AA36" s="4898"/>
      <c r="AB36" s="4899"/>
      <c r="AC36" s="4876"/>
      <c r="AD36" s="1012"/>
      <c r="AE36" s="799"/>
      <c r="AF36" s="799"/>
      <c r="AG36" s="51"/>
      <c r="AH36" s="8944"/>
    </row>
    <row r="37" spans="1:34" ht="69" customHeight="1">
      <c r="A37" s="9068"/>
      <c r="B37" s="9064"/>
      <c r="C37" s="8941"/>
      <c r="D37" s="8938"/>
      <c r="E37" s="8938"/>
      <c r="F37" s="8938"/>
      <c r="G37" s="8938"/>
      <c r="H37" s="8938"/>
      <c r="I37" s="8938"/>
      <c r="J37" s="8941"/>
      <c r="K37" s="8938"/>
      <c r="L37" s="8938"/>
      <c r="M37" s="8954"/>
      <c r="N37" s="8954"/>
      <c r="O37" s="8954"/>
      <c r="P37" s="8938"/>
      <c r="Q37" s="8938"/>
      <c r="R37" s="8958"/>
      <c r="S37" s="1011"/>
      <c r="T37" s="4844"/>
      <c r="U37" s="4844"/>
      <c r="V37" s="798"/>
      <c r="W37" s="4862"/>
      <c r="X37" s="799"/>
      <c r="Y37" s="4898"/>
      <c r="Z37" s="4898"/>
      <c r="AA37" s="4898"/>
      <c r="AB37" s="4899"/>
      <c r="AC37" s="4876"/>
      <c r="AD37" s="1012"/>
      <c r="AE37" s="799"/>
      <c r="AF37" s="799"/>
      <c r="AG37" s="51"/>
      <c r="AH37" s="8944"/>
    </row>
    <row r="38" spans="1:34" ht="69" customHeight="1">
      <c r="A38" s="9068"/>
      <c r="B38" s="9064"/>
      <c r="C38" s="8942"/>
      <c r="D38" s="8939"/>
      <c r="E38" s="8939"/>
      <c r="F38" s="8939"/>
      <c r="G38" s="8939"/>
      <c r="H38" s="8939"/>
      <c r="I38" s="8939"/>
      <c r="J38" s="8942"/>
      <c r="K38" s="8939"/>
      <c r="L38" s="8939"/>
      <c r="M38" s="8955"/>
      <c r="N38" s="8955"/>
      <c r="O38" s="8955"/>
      <c r="P38" s="8939"/>
      <c r="Q38" s="8939"/>
      <c r="R38" s="8959"/>
      <c r="S38" s="1030"/>
      <c r="T38" s="4852"/>
      <c r="U38" s="4852"/>
      <c r="V38" s="1031"/>
      <c r="W38" s="4868"/>
      <c r="X38" s="1023"/>
      <c r="Y38" s="4909"/>
      <c r="Z38" s="4909"/>
      <c r="AA38" s="4909"/>
      <c r="AB38" s="4905"/>
      <c r="AC38" s="4877"/>
      <c r="AD38" s="1022"/>
      <c r="AE38" s="1023"/>
      <c r="AF38" s="1024"/>
      <c r="AG38" s="65"/>
      <c r="AH38" s="8945"/>
    </row>
    <row r="39" spans="1:34" ht="47.25" customHeight="1">
      <c r="A39" s="9069"/>
      <c r="B39" s="9065"/>
      <c r="C39" s="8973" t="s">
        <v>127</v>
      </c>
      <c r="D39" s="8834" t="s">
        <v>128</v>
      </c>
      <c r="E39" s="8834" t="s">
        <v>140</v>
      </c>
      <c r="F39" s="8834" t="s">
        <v>238</v>
      </c>
      <c r="G39" s="8974" t="s">
        <v>131</v>
      </c>
      <c r="H39" s="8834" t="s">
        <v>132</v>
      </c>
      <c r="I39" s="8834" t="s">
        <v>159</v>
      </c>
      <c r="J39" s="9028" t="s">
        <v>421</v>
      </c>
      <c r="K39" s="8782" t="s">
        <v>422</v>
      </c>
      <c r="L39" s="8834" t="s">
        <v>423</v>
      </c>
      <c r="M39" s="8856">
        <v>5</v>
      </c>
      <c r="N39" s="8856">
        <v>5</v>
      </c>
      <c r="O39" s="8856">
        <v>5</v>
      </c>
      <c r="P39" s="8981" t="s">
        <v>424</v>
      </c>
      <c r="Q39" s="8981" t="s">
        <v>425</v>
      </c>
      <c r="R39" s="8982" t="s">
        <v>379</v>
      </c>
      <c r="S39" s="1034"/>
      <c r="T39" s="4850"/>
      <c r="U39" s="4850"/>
      <c r="V39" s="940"/>
      <c r="W39" s="4863"/>
      <c r="X39" s="794"/>
      <c r="Y39" s="4900"/>
      <c r="Z39" s="4900"/>
      <c r="AA39" s="4900"/>
      <c r="AB39" s="4906"/>
      <c r="AC39" s="4878"/>
      <c r="AD39" s="1009"/>
      <c r="AE39" s="794"/>
      <c r="AF39" s="1025"/>
      <c r="AG39" s="68"/>
      <c r="AH39" s="8943"/>
    </row>
    <row r="40" spans="1:34" ht="47.25" customHeight="1">
      <c r="A40" s="9071" t="s">
        <v>371</v>
      </c>
      <c r="B40" s="9072" t="s">
        <v>371</v>
      </c>
      <c r="C40" s="8941"/>
      <c r="D40" s="8938"/>
      <c r="E40" s="8938"/>
      <c r="F40" s="8938"/>
      <c r="G40" s="8938"/>
      <c r="H40" s="8938"/>
      <c r="I40" s="8938"/>
      <c r="J40" s="9025"/>
      <c r="K40" s="8938"/>
      <c r="L40" s="8938"/>
      <c r="M40" s="8954"/>
      <c r="N40" s="8954"/>
      <c r="O40" s="8954"/>
      <c r="P40" s="8938"/>
      <c r="Q40" s="8938"/>
      <c r="R40" s="8958"/>
      <c r="S40" s="805"/>
      <c r="T40" s="4853"/>
      <c r="U40" s="4853"/>
      <c r="V40" s="575"/>
      <c r="W40" s="4869"/>
      <c r="X40" s="48"/>
      <c r="Y40" s="4910"/>
      <c r="Z40" s="4910"/>
      <c r="AA40" s="4910"/>
      <c r="AB40" s="4911"/>
      <c r="AC40" s="4880"/>
      <c r="AD40" s="374"/>
      <c r="AE40" s="48"/>
      <c r="AF40" s="48"/>
      <c r="AG40" s="69"/>
      <c r="AH40" s="8944"/>
    </row>
    <row r="41" spans="1:34" ht="47.25" customHeight="1">
      <c r="A41" s="9068"/>
      <c r="B41" s="9064"/>
      <c r="C41" s="8941"/>
      <c r="D41" s="8938"/>
      <c r="E41" s="8938"/>
      <c r="F41" s="8938"/>
      <c r="G41" s="8938"/>
      <c r="H41" s="8938"/>
      <c r="I41" s="8938"/>
      <c r="J41" s="9025"/>
      <c r="K41" s="8938"/>
      <c r="L41" s="8938"/>
      <c r="M41" s="8954"/>
      <c r="N41" s="8954"/>
      <c r="O41" s="8954"/>
      <c r="P41" s="8938"/>
      <c r="Q41" s="8938"/>
      <c r="R41" s="8958"/>
      <c r="S41" s="805"/>
      <c r="T41" s="4853"/>
      <c r="U41" s="4853"/>
      <c r="V41" s="575"/>
      <c r="W41" s="4869"/>
      <c r="X41" s="48"/>
      <c r="Y41" s="4910"/>
      <c r="Z41" s="4910"/>
      <c r="AA41" s="4910"/>
      <c r="AB41" s="4911"/>
      <c r="AC41" s="4880"/>
      <c r="AD41" s="374"/>
      <c r="AE41" s="48"/>
      <c r="AF41" s="48"/>
      <c r="AG41" s="51"/>
      <c r="AH41" s="8944"/>
    </row>
    <row r="42" spans="1:34" ht="47.25" customHeight="1">
      <c r="A42" s="9068"/>
      <c r="B42" s="9064"/>
      <c r="C42" s="8941"/>
      <c r="D42" s="8938"/>
      <c r="E42" s="8938"/>
      <c r="F42" s="8938"/>
      <c r="G42" s="8938"/>
      <c r="H42" s="8938"/>
      <c r="I42" s="8938"/>
      <c r="J42" s="9025"/>
      <c r="K42" s="8938"/>
      <c r="L42" s="8938"/>
      <c r="M42" s="8954"/>
      <c r="N42" s="8954"/>
      <c r="O42" s="8954"/>
      <c r="P42" s="8938"/>
      <c r="Q42" s="8938"/>
      <c r="R42" s="8958"/>
      <c r="S42" s="805"/>
      <c r="T42" s="4853"/>
      <c r="U42" s="4853"/>
      <c r="V42" s="575"/>
      <c r="W42" s="4869"/>
      <c r="X42" s="48"/>
      <c r="Y42" s="4910"/>
      <c r="Z42" s="4910"/>
      <c r="AA42" s="4910"/>
      <c r="AB42" s="4911"/>
      <c r="AC42" s="4880"/>
      <c r="AD42" s="374"/>
      <c r="AE42" s="48"/>
      <c r="AF42" s="48"/>
      <c r="AG42" s="51"/>
      <c r="AH42" s="8944"/>
    </row>
    <row r="43" spans="1:34" ht="47.25" customHeight="1">
      <c r="A43" s="9068"/>
      <c r="B43" s="9064"/>
      <c r="C43" s="8942"/>
      <c r="D43" s="8939"/>
      <c r="E43" s="8939"/>
      <c r="F43" s="8939"/>
      <c r="G43" s="8939"/>
      <c r="H43" s="8939"/>
      <c r="I43" s="8939"/>
      <c r="J43" s="9026"/>
      <c r="K43" s="8939"/>
      <c r="L43" s="8939"/>
      <c r="M43" s="8955"/>
      <c r="N43" s="8955"/>
      <c r="O43" s="8955"/>
      <c r="P43" s="8939"/>
      <c r="Q43" s="8939"/>
      <c r="R43" s="8959"/>
      <c r="S43" s="807"/>
      <c r="T43" s="4854"/>
      <c r="U43" s="4854"/>
      <c r="V43" s="581"/>
      <c r="W43" s="4870"/>
      <c r="X43" s="453"/>
      <c r="Y43" s="4912"/>
      <c r="Z43" s="4912"/>
      <c r="AA43" s="4912"/>
      <c r="AB43" s="4913"/>
      <c r="AC43" s="4881"/>
      <c r="AD43" s="375"/>
      <c r="AE43" s="453"/>
      <c r="AF43" s="453"/>
      <c r="AG43" s="456"/>
      <c r="AH43" s="8945"/>
    </row>
    <row r="44" spans="1:34" ht="45.75" customHeight="1">
      <c r="A44" s="9068"/>
      <c r="B44" s="9064"/>
      <c r="C44" s="8976" t="s">
        <v>127</v>
      </c>
      <c r="D44" s="8782" t="s">
        <v>128</v>
      </c>
      <c r="E44" s="8782" t="s">
        <v>140</v>
      </c>
      <c r="F44" s="8782" t="s">
        <v>284</v>
      </c>
      <c r="G44" s="8977" t="s">
        <v>131</v>
      </c>
      <c r="H44" s="8782" t="s">
        <v>132</v>
      </c>
      <c r="I44" s="8782" t="s">
        <v>159</v>
      </c>
      <c r="J44" s="8940" t="s">
        <v>426</v>
      </c>
      <c r="K44" s="8782" t="s">
        <v>286</v>
      </c>
      <c r="L44" s="8782" t="s">
        <v>343</v>
      </c>
      <c r="M44" s="8975">
        <v>0</v>
      </c>
      <c r="N44" s="8823">
        <v>1</v>
      </c>
      <c r="O44" s="8823">
        <v>1</v>
      </c>
      <c r="P44" s="8956" t="s">
        <v>427</v>
      </c>
      <c r="Q44" s="9027" t="s">
        <v>428</v>
      </c>
      <c r="R44" s="8957" t="s">
        <v>429</v>
      </c>
      <c r="S44" s="564"/>
      <c r="T44" s="4859"/>
      <c r="U44" s="4859"/>
      <c r="V44" s="589"/>
      <c r="W44" s="4874"/>
      <c r="X44" s="76"/>
      <c r="Y44" s="4922"/>
      <c r="Z44" s="4922"/>
      <c r="AA44" s="4922"/>
      <c r="AB44" s="4923"/>
      <c r="AC44" s="4883"/>
      <c r="AD44" s="378"/>
      <c r="AE44" s="76"/>
      <c r="AF44" s="79"/>
      <c r="AG44" s="79"/>
      <c r="AH44" s="8972"/>
    </row>
    <row r="45" spans="1:34" ht="45.75" customHeight="1">
      <c r="A45" s="9068"/>
      <c r="B45" s="9064"/>
      <c r="C45" s="8941"/>
      <c r="D45" s="8938"/>
      <c r="E45" s="8938"/>
      <c r="F45" s="8938"/>
      <c r="G45" s="8938"/>
      <c r="H45" s="8938"/>
      <c r="I45" s="8938"/>
      <c r="J45" s="8941"/>
      <c r="K45" s="8938"/>
      <c r="L45" s="8938"/>
      <c r="M45" s="8954"/>
      <c r="N45" s="8954"/>
      <c r="O45" s="8954"/>
      <c r="P45" s="8938"/>
      <c r="Q45" s="8938"/>
      <c r="R45" s="8958"/>
      <c r="S45" s="806"/>
      <c r="T45" s="4860"/>
      <c r="U45" s="4860"/>
      <c r="V45" s="575"/>
      <c r="W45" s="4869"/>
      <c r="X45" s="48"/>
      <c r="Y45" s="4910"/>
      <c r="Z45" s="4910"/>
      <c r="AA45" s="4910"/>
      <c r="AB45" s="4911"/>
      <c r="AC45" s="4880"/>
      <c r="AD45" s="374"/>
      <c r="AE45" s="48"/>
      <c r="AF45" s="51"/>
      <c r="AG45" s="51"/>
      <c r="AH45" s="8944"/>
    </row>
    <row r="46" spans="1:34" ht="45.75" customHeight="1">
      <c r="A46" s="9068"/>
      <c r="B46" s="9064"/>
      <c r="C46" s="8941"/>
      <c r="D46" s="8938"/>
      <c r="E46" s="8938"/>
      <c r="F46" s="8938"/>
      <c r="G46" s="8938"/>
      <c r="H46" s="8938"/>
      <c r="I46" s="8938"/>
      <c r="J46" s="8941"/>
      <c r="K46" s="8938"/>
      <c r="L46" s="8938"/>
      <c r="M46" s="8954"/>
      <c r="N46" s="8954"/>
      <c r="O46" s="8954"/>
      <c r="P46" s="8938"/>
      <c r="Q46" s="8938"/>
      <c r="R46" s="8958"/>
      <c r="S46" s="806"/>
      <c r="T46" s="4860"/>
      <c r="U46" s="4860"/>
      <c r="V46" s="575"/>
      <c r="W46" s="4869"/>
      <c r="X46" s="48"/>
      <c r="Y46" s="4910"/>
      <c r="Z46" s="4910"/>
      <c r="AA46" s="4910"/>
      <c r="AB46" s="4911"/>
      <c r="AC46" s="4880"/>
      <c r="AD46" s="374"/>
      <c r="AE46" s="48"/>
      <c r="AF46" s="51"/>
      <c r="AG46" s="51"/>
      <c r="AH46" s="8944"/>
    </row>
    <row r="47" spans="1:34" ht="45.75" customHeight="1">
      <c r="A47" s="9068"/>
      <c r="B47" s="9064"/>
      <c r="C47" s="8941"/>
      <c r="D47" s="8938"/>
      <c r="E47" s="8938"/>
      <c r="F47" s="8938"/>
      <c r="G47" s="8938"/>
      <c r="H47" s="8938"/>
      <c r="I47" s="8938"/>
      <c r="J47" s="8941"/>
      <c r="K47" s="8938"/>
      <c r="L47" s="8938"/>
      <c r="M47" s="8954"/>
      <c r="N47" s="8954"/>
      <c r="O47" s="8954"/>
      <c r="P47" s="8938"/>
      <c r="Q47" s="8938"/>
      <c r="R47" s="8958"/>
      <c r="S47" s="805"/>
      <c r="T47" s="4853"/>
      <c r="U47" s="4853"/>
      <c r="V47" s="575"/>
      <c r="W47" s="4869"/>
      <c r="X47" s="48"/>
      <c r="Y47" s="4910"/>
      <c r="Z47" s="4910"/>
      <c r="AA47" s="4910"/>
      <c r="AB47" s="4911"/>
      <c r="AC47" s="4880"/>
      <c r="AD47" s="374"/>
      <c r="AE47" s="48"/>
      <c r="AF47" s="51"/>
      <c r="AG47" s="51"/>
      <c r="AH47" s="8944"/>
    </row>
    <row r="48" spans="1:34" ht="45.75" customHeight="1">
      <c r="A48" s="9068"/>
      <c r="B48" s="9064"/>
      <c r="C48" s="8942"/>
      <c r="D48" s="8939"/>
      <c r="E48" s="8939"/>
      <c r="F48" s="8939"/>
      <c r="G48" s="8939"/>
      <c r="H48" s="8939"/>
      <c r="I48" s="8939"/>
      <c r="J48" s="8942"/>
      <c r="K48" s="8939"/>
      <c r="L48" s="8939"/>
      <c r="M48" s="8955"/>
      <c r="N48" s="8955"/>
      <c r="O48" s="8955"/>
      <c r="P48" s="8939"/>
      <c r="Q48" s="8939"/>
      <c r="R48" s="8959"/>
      <c r="S48" s="808"/>
      <c r="T48" s="4855"/>
      <c r="U48" s="4855"/>
      <c r="V48" s="577"/>
      <c r="W48" s="4871"/>
      <c r="X48" s="64"/>
      <c r="Y48" s="4914"/>
      <c r="Z48" s="4914"/>
      <c r="AA48" s="4914"/>
      <c r="AB48" s="4916"/>
      <c r="AC48" s="4882"/>
      <c r="AD48" s="376"/>
      <c r="AE48" s="64"/>
      <c r="AF48" s="65"/>
      <c r="AG48" s="65"/>
      <c r="AH48" s="8945"/>
    </row>
    <row r="49" spans="1:34" ht="26.25" customHeight="1">
      <c r="A49" s="9068"/>
      <c r="B49" s="9064"/>
      <c r="C49" s="8976" t="s">
        <v>127</v>
      </c>
      <c r="D49" s="8782" t="s">
        <v>128</v>
      </c>
      <c r="E49" s="8782" t="s">
        <v>129</v>
      </c>
      <c r="F49" s="8782" t="s">
        <v>336</v>
      </c>
      <c r="G49" s="8977" t="s">
        <v>131</v>
      </c>
      <c r="H49" s="8782" t="s">
        <v>132</v>
      </c>
      <c r="I49" s="8782" t="s">
        <v>159</v>
      </c>
      <c r="J49" s="8940" t="s">
        <v>430</v>
      </c>
      <c r="K49" s="8782" t="s">
        <v>338</v>
      </c>
      <c r="L49" s="8782" t="s">
        <v>431</v>
      </c>
      <c r="M49" s="8823">
        <v>3</v>
      </c>
      <c r="N49" s="8823">
        <v>3</v>
      </c>
      <c r="O49" s="8823">
        <v>2</v>
      </c>
      <c r="P49" s="8956" t="s">
        <v>432</v>
      </c>
      <c r="Q49" s="8956" t="s">
        <v>433</v>
      </c>
      <c r="R49" s="8957" t="s">
        <v>434</v>
      </c>
      <c r="S49" s="563"/>
      <c r="T49" s="4849"/>
      <c r="U49" s="4849"/>
      <c r="V49" s="578"/>
      <c r="W49" s="4872"/>
      <c r="X49" s="53"/>
      <c r="Y49" s="4917"/>
      <c r="Z49" s="4917"/>
      <c r="AA49" s="4917"/>
      <c r="AB49" s="4918"/>
      <c r="AC49" s="4875"/>
      <c r="AD49" s="377"/>
      <c r="AE49" s="53"/>
      <c r="AF49" s="73"/>
      <c r="AG49" s="73"/>
      <c r="AH49" s="8943"/>
    </row>
    <row r="50" spans="1:34" ht="26.25" customHeight="1">
      <c r="A50" s="9068"/>
      <c r="B50" s="9064"/>
      <c r="C50" s="8941"/>
      <c r="D50" s="8938"/>
      <c r="E50" s="8938"/>
      <c r="F50" s="8938"/>
      <c r="G50" s="8938"/>
      <c r="H50" s="8938"/>
      <c r="I50" s="8938"/>
      <c r="J50" s="8941"/>
      <c r="K50" s="8938"/>
      <c r="L50" s="8938"/>
      <c r="M50" s="8954"/>
      <c r="N50" s="8954"/>
      <c r="O50" s="8954"/>
      <c r="P50" s="8938"/>
      <c r="Q50" s="8938"/>
      <c r="R50" s="8958"/>
      <c r="S50" s="805"/>
      <c r="T50" s="4853"/>
      <c r="U50" s="4853"/>
      <c r="V50" s="575"/>
      <c r="W50" s="4869"/>
      <c r="X50" s="48"/>
      <c r="Y50" s="4910"/>
      <c r="Z50" s="4910"/>
      <c r="AA50" s="4910"/>
      <c r="AB50" s="4911"/>
      <c r="AC50" s="4880"/>
      <c r="AD50" s="374"/>
      <c r="AE50" s="48"/>
      <c r="AF50" s="51"/>
      <c r="AG50" s="51"/>
      <c r="AH50" s="8944"/>
    </row>
    <row r="51" spans="1:34" ht="26.25" customHeight="1">
      <c r="A51" s="9068"/>
      <c r="B51" s="9064"/>
      <c r="C51" s="8941"/>
      <c r="D51" s="8938"/>
      <c r="E51" s="8938"/>
      <c r="F51" s="8938"/>
      <c r="G51" s="8938"/>
      <c r="H51" s="8938"/>
      <c r="I51" s="8938"/>
      <c r="J51" s="8941"/>
      <c r="K51" s="8938"/>
      <c r="L51" s="8938"/>
      <c r="M51" s="8954"/>
      <c r="N51" s="8954"/>
      <c r="O51" s="8954"/>
      <c r="P51" s="8938"/>
      <c r="Q51" s="8938"/>
      <c r="R51" s="8958"/>
      <c r="S51" s="805"/>
      <c r="T51" s="4853"/>
      <c r="U51" s="4853"/>
      <c r="V51" s="575"/>
      <c r="W51" s="4869"/>
      <c r="X51" s="48"/>
      <c r="Y51" s="4910"/>
      <c r="Z51" s="4910"/>
      <c r="AA51" s="4910"/>
      <c r="AB51" s="4911"/>
      <c r="AC51" s="4880"/>
      <c r="AD51" s="374"/>
      <c r="AE51" s="48"/>
      <c r="AF51" s="51"/>
      <c r="AG51" s="51"/>
      <c r="AH51" s="8944"/>
    </row>
    <row r="52" spans="1:34" ht="26.25" customHeight="1">
      <c r="A52" s="9068"/>
      <c r="B52" s="9064"/>
      <c r="C52" s="8941"/>
      <c r="D52" s="8938"/>
      <c r="E52" s="8938"/>
      <c r="F52" s="8938"/>
      <c r="G52" s="8938"/>
      <c r="H52" s="8938"/>
      <c r="I52" s="8938"/>
      <c r="J52" s="8941"/>
      <c r="K52" s="8938"/>
      <c r="L52" s="8938"/>
      <c r="M52" s="8954"/>
      <c r="N52" s="8954"/>
      <c r="O52" s="8954"/>
      <c r="P52" s="8938"/>
      <c r="Q52" s="8938"/>
      <c r="R52" s="8958"/>
      <c r="S52" s="805"/>
      <c r="T52" s="4853"/>
      <c r="U52" s="4853"/>
      <c r="V52" s="575"/>
      <c r="W52" s="4869"/>
      <c r="X52" s="48"/>
      <c r="Y52" s="4910"/>
      <c r="Z52" s="4910"/>
      <c r="AA52" s="4910"/>
      <c r="AB52" s="4911"/>
      <c r="AC52" s="4880"/>
      <c r="AD52" s="374"/>
      <c r="AE52" s="48"/>
      <c r="AF52" s="51"/>
      <c r="AG52" s="51"/>
      <c r="AH52" s="8944"/>
    </row>
    <row r="53" spans="1:34" ht="26.25" customHeight="1">
      <c r="A53" s="9068"/>
      <c r="B53" s="9064"/>
      <c r="C53" s="8942"/>
      <c r="D53" s="8939"/>
      <c r="E53" s="8939"/>
      <c r="F53" s="8939"/>
      <c r="G53" s="8939"/>
      <c r="H53" s="8939"/>
      <c r="I53" s="8939"/>
      <c r="J53" s="8942"/>
      <c r="K53" s="8939"/>
      <c r="L53" s="8939"/>
      <c r="M53" s="8955"/>
      <c r="N53" s="8955"/>
      <c r="O53" s="8955"/>
      <c r="P53" s="8939"/>
      <c r="Q53" s="8939"/>
      <c r="R53" s="8959"/>
      <c r="S53" s="808"/>
      <c r="T53" s="4855"/>
      <c r="U53" s="4855"/>
      <c r="V53" s="577"/>
      <c r="W53" s="4871"/>
      <c r="X53" s="64"/>
      <c r="Y53" s="4914"/>
      <c r="Z53" s="4914"/>
      <c r="AA53" s="4914"/>
      <c r="AB53" s="4916"/>
      <c r="AC53" s="4882"/>
      <c r="AD53" s="376"/>
      <c r="AE53" s="64"/>
      <c r="AF53" s="65"/>
      <c r="AG53" s="65"/>
      <c r="AH53" s="8945"/>
    </row>
    <row r="54" spans="1:34" s="4842" customFormat="1" ht="22.5" customHeight="1" thickBot="1">
      <c r="A54" s="9073"/>
      <c r="B54" s="6247"/>
      <c r="C54" s="6248"/>
      <c r="D54" s="4884"/>
      <c r="E54" s="4884"/>
      <c r="F54" s="4884"/>
      <c r="G54" s="4884"/>
      <c r="H54" s="4884"/>
      <c r="I54" s="4884"/>
      <c r="J54" s="4884"/>
      <c r="K54" s="4884"/>
      <c r="L54" s="4884"/>
      <c r="M54" s="4884"/>
      <c r="N54" s="4884"/>
      <c r="O54" s="4884"/>
      <c r="P54" s="4885"/>
      <c r="Q54" s="4885"/>
      <c r="R54" s="4884"/>
      <c r="S54" s="8946" t="s">
        <v>435</v>
      </c>
      <c r="T54" s="8947"/>
      <c r="U54" s="8947"/>
      <c r="V54" s="8947"/>
      <c r="W54" s="8947"/>
      <c r="X54" s="8947"/>
      <c r="Y54" s="8947"/>
      <c r="Z54" s="8947"/>
      <c r="AA54" s="4886" t="s">
        <v>292</v>
      </c>
      <c r="AB54" s="6302">
        <f>SUM(AB9:AB53)</f>
        <v>3775.2000000000003</v>
      </c>
      <c r="AC54" s="3472"/>
      <c r="AD54" s="3472"/>
      <c r="AE54" s="8948"/>
      <c r="AF54" s="8949"/>
      <c r="AG54" s="8949"/>
      <c r="AH54" s="8950"/>
    </row>
    <row r="55" spans="1:34" ht="49.5" customHeight="1">
      <c r="A55" s="9074" t="s">
        <v>371</v>
      </c>
      <c r="B55" s="9075" t="s">
        <v>436</v>
      </c>
      <c r="C55" s="8901" t="s">
        <v>127</v>
      </c>
      <c r="D55" s="8790" t="s">
        <v>128</v>
      </c>
      <c r="E55" s="8790" t="s">
        <v>140</v>
      </c>
      <c r="F55" s="8790" t="s">
        <v>238</v>
      </c>
      <c r="G55" s="8869" t="s">
        <v>131</v>
      </c>
      <c r="H55" s="8790" t="s">
        <v>132</v>
      </c>
      <c r="I55" s="8790" t="s">
        <v>159</v>
      </c>
      <c r="J55" s="9033" t="s">
        <v>437</v>
      </c>
      <c r="K55" s="8790" t="s">
        <v>375</v>
      </c>
      <c r="L55" s="8790" t="s">
        <v>376</v>
      </c>
      <c r="M55" s="8960" t="s">
        <v>294</v>
      </c>
      <c r="N55" s="8960" t="s">
        <v>294</v>
      </c>
      <c r="O55" s="8960" t="s">
        <v>294</v>
      </c>
      <c r="P55" s="8962" t="s">
        <v>438</v>
      </c>
      <c r="Q55" s="8965" t="s">
        <v>439</v>
      </c>
      <c r="R55" s="8968" t="s">
        <v>440</v>
      </c>
      <c r="S55" s="3427" t="s">
        <v>294</v>
      </c>
      <c r="T55" s="3427" t="s">
        <v>294</v>
      </c>
      <c r="U55" s="3427" t="s">
        <v>294</v>
      </c>
      <c r="V55" s="3428" t="s">
        <v>294</v>
      </c>
      <c r="W55" s="3429" t="s">
        <v>294</v>
      </c>
      <c r="X55" s="3430" t="s">
        <v>294</v>
      </c>
      <c r="Y55" s="4924" t="s">
        <v>294</v>
      </c>
      <c r="Z55" s="4925"/>
      <c r="AA55" s="4925"/>
      <c r="AB55" s="4926" t="s">
        <v>294</v>
      </c>
      <c r="AC55" s="3432"/>
      <c r="AD55" s="3432"/>
      <c r="AE55" s="3430" t="s">
        <v>294</v>
      </c>
      <c r="AF55" s="3433" t="s">
        <v>294</v>
      </c>
      <c r="AG55" s="3433" t="s">
        <v>294</v>
      </c>
      <c r="AH55" s="8970" t="s">
        <v>294</v>
      </c>
    </row>
    <row r="56" spans="1:34" ht="49.5" customHeight="1">
      <c r="A56" s="9061"/>
      <c r="B56" s="9066"/>
      <c r="C56" s="8901"/>
      <c r="D56" s="8790"/>
      <c r="E56" s="8790"/>
      <c r="F56" s="8790"/>
      <c r="G56" s="8869"/>
      <c r="H56" s="8790"/>
      <c r="I56" s="8790"/>
      <c r="J56" s="9033"/>
      <c r="K56" s="8790"/>
      <c r="L56" s="8790"/>
      <c r="M56" s="8960"/>
      <c r="N56" s="8960"/>
      <c r="O56" s="8960"/>
      <c r="P56" s="8963"/>
      <c r="Q56" s="8966"/>
      <c r="R56" s="8968"/>
      <c r="S56" s="3434" t="s">
        <v>294</v>
      </c>
      <c r="T56" s="3434" t="s">
        <v>294</v>
      </c>
      <c r="U56" s="3434" t="s">
        <v>294</v>
      </c>
      <c r="V56" s="3430" t="s">
        <v>294</v>
      </c>
      <c r="W56" s="3429" t="s">
        <v>294</v>
      </c>
      <c r="X56" s="3430" t="s">
        <v>294</v>
      </c>
      <c r="Y56" s="4924" t="s">
        <v>294</v>
      </c>
      <c r="Z56" s="4925"/>
      <c r="AA56" s="4925"/>
      <c r="AB56" s="4926" t="s">
        <v>294</v>
      </c>
      <c r="AC56" s="3432"/>
      <c r="AD56" s="3432"/>
      <c r="AE56" s="3430" t="s">
        <v>294</v>
      </c>
      <c r="AF56" s="3433" t="s">
        <v>294</v>
      </c>
      <c r="AG56" s="3433" t="s">
        <v>294</v>
      </c>
      <c r="AH56" s="8970"/>
    </row>
    <row r="57" spans="1:34" ht="49.5" customHeight="1">
      <c r="A57" s="9061"/>
      <c r="B57" s="9066"/>
      <c r="C57" s="8901"/>
      <c r="D57" s="8790"/>
      <c r="E57" s="8790"/>
      <c r="F57" s="8790"/>
      <c r="G57" s="8869"/>
      <c r="H57" s="8790"/>
      <c r="I57" s="8790"/>
      <c r="J57" s="9033"/>
      <c r="K57" s="8790"/>
      <c r="L57" s="8790"/>
      <c r="M57" s="8960"/>
      <c r="N57" s="8960"/>
      <c r="O57" s="8960"/>
      <c r="P57" s="8963"/>
      <c r="Q57" s="8966"/>
      <c r="R57" s="8968"/>
      <c r="S57" s="3434" t="s">
        <v>294</v>
      </c>
      <c r="T57" s="3434" t="s">
        <v>294</v>
      </c>
      <c r="U57" s="3434" t="s">
        <v>294</v>
      </c>
      <c r="V57" s="3430" t="s">
        <v>294</v>
      </c>
      <c r="W57" s="3429" t="s">
        <v>294</v>
      </c>
      <c r="X57" s="3430" t="s">
        <v>294</v>
      </c>
      <c r="Y57" s="4924" t="s">
        <v>294</v>
      </c>
      <c r="Z57" s="4925"/>
      <c r="AA57" s="4925"/>
      <c r="AB57" s="4926" t="s">
        <v>294</v>
      </c>
      <c r="AC57" s="3432"/>
      <c r="AD57" s="3432"/>
      <c r="AE57" s="3430" t="s">
        <v>294</v>
      </c>
      <c r="AF57" s="3433" t="s">
        <v>294</v>
      </c>
      <c r="AG57" s="3433" t="s">
        <v>294</v>
      </c>
      <c r="AH57" s="8970"/>
    </row>
    <row r="58" spans="1:34" ht="49.5" customHeight="1">
      <c r="A58" s="9061"/>
      <c r="B58" s="9066"/>
      <c r="C58" s="8901"/>
      <c r="D58" s="8790"/>
      <c r="E58" s="8790"/>
      <c r="F58" s="8790"/>
      <c r="G58" s="8869"/>
      <c r="H58" s="8790"/>
      <c r="I58" s="8790"/>
      <c r="J58" s="9033"/>
      <c r="K58" s="8790"/>
      <c r="L58" s="8790"/>
      <c r="M58" s="8960"/>
      <c r="N58" s="8960"/>
      <c r="O58" s="8960"/>
      <c r="P58" s="8963"/>
      <c r="Q58" s="8966"/>
      <c r="R58" s="8968"/>
      <c r="S58" s="3427" t="s">
        <v>294</v>
      </c>
      <c r="T58" s="3427" t="s">
        <v>294</v>
      </c>
      <c r="U58" s="3427" t="s">
        <v>294</v>
      </c>
      <c r="V58" s="3430" t="s">
        <v>294</v>
      </c>
      <c r="W58" s="3429" t="s">
        <v>294</v>
      </c>
      <c r="X58" s="3430" t="s">
        <v>294</v>
      </c>
      <c r="Y58" s="4924" t="s">
        <v>294</v>
      </c>
      <c r="Z58" s="4925"/>
      <c r="AA58" s="4925"/>
      <c r="AB58" s="4926" t="s">
        <v>294</v>
      </c>
      <c r="AC58" s="3432"/>
      <c r="AD58" s="3432"/>
      <c r="AE58" s="3430" t="s">
        <v>294</v>
      </c>
      <c r="AF58" s="3433" t="s">
        <v>294</v>
      </c>
      <c r="AG58" s="3433" t="s">
        <v>294</v>
      </c>
      <c r="AH58" s="8970"/>
    </row>
    <row r="59" spans="1:34" ht="49.5" customHeight="1">
      <c r="A59" s="9061"/>
      <c r="B59" s="9066"/>
      <c r="C59" s="8902"/>
      <c r="D59" s="8886"/>
      <c r="E59" s="8886"/>
      <c r="F59" s="8886"/>
      <c r="G59" s="8903"/>
      <c r="H59" s="8886"/>
      <c r="I59" s="8886"/>
      <c r="J59" s="9034"/>
      <c r="K59" s="8886"/>
      <c r="L59" s="8886"/>
      <c r="M59" s="8961"/>
      <c r="N59" s="8961"/>
      <c r="O59" s="8961"/>
      <c r="P59" s="8964"/>
      <c r="Q59" s="8967"/>
      <c r="R59" s="8969"/>
      <c r="S59" s="3435" t="s">
        <v>294</v>
      </c>
      <c r="T59" s="3435" t="s">
        <v>294</v>
      </c>
      <c r="U59" s="3435" t="s">
        <v>294</v>
      </c>
      <c r="V59" s="3436" t="s">
        <v>294</v>
      </c>
      <c r="W59" s="3437" t="s">
        <v>294</v>
      </c>
      <c r="X59" s="3436" t="s">
        <v>294</v>
      </c>
      <c r="Y59" s="4927" t="s">
        <v>294</v>
      </c>
      <c r="Z59" s="4928"/>
      <c r="AA59" s="4928"/>
      <c r="AB59" s="4929" t="s">
        <v>294</v>
      </c>
      <c r="AC59" s="3439"/>
      <c r="AD59" s="3439"/>
      <c r="AE59" s="3436" t="s">
        <v>294</v>
      </c>
      <c r="AF59" s="3440" t="s">
        <v>294</v>
      </c>
      <c r="AG59" s="3440" t="s">
        <v>294</v>
      </c>
      <c r="AH59" s="8971"/>
    </row>
    <row r="60" spans="1:34" ht="51" customHeight="1">
      <c r="A60" s="9061"/>
      <c r="B60" s="9066"/>
      <c r="C60" s="8901" t="s">
        <v>127</v>
      </c>
      <c r="D60" s="8790" t="s">
        <v>128</v>
      </c>
      <c r="E60" s="8790" t="s">
        <v>129</v>
      </c>
      <c r="F60" s="8790" t="s">
        <v>327</v>
      </c>
      <c r="G60" s="8869" t="s">
        <v>131</v>
      </c>
      <c r="H60" s="8790" t="s">
        <v>132</v>
      </c>
      <c r="I60" s="8790" t="s">
        <v>189</v>
      </c>
      <c r="J60" s="9035" t="s">
        <v>441</v>
      </c>
      <c r="K60" s="8790" t="s">
        <v>442</v>
      </c>
      <c r="L60" s="8790" t="s">
        <v>387</v>
      </c>
      <c r="M60" s="8960" t="s">
        <v>294</v>
      </c>
      <c r="N60" s="8960" t="s">
        <v>294</v>
      </c>
      <c r="O60" s="8960" t="s">
        <v>294</v>
      </c>
      <c r="P60" s="9040" t="s">
        <v>443</v>
      </c>
      <c r="Q60" s="9040" t="s">
        <v>444</v>
      </c>
      <c r="R60" s="8792" t="s">
        <v>440</v>
      </c>
      <c r="S60" s="3427" t="s">
        <v>294</v>
      </c>
      <c r="T60" s="3427" t="s">
        <v>294</v>
      </c>
      <c r="U60" s="3427" t="s">
        <v>294</v>
      </c>
      <c r="V60" s="3428" t="s">
        <v>294</v>
      </c>
      <c r="W60" s="3429" t="s">
        <v>294</v>
      </c>
      <c r="X60" s="3430" t="s">
        <v>294</v>
      </c>
      <c r="Y60" s="4924" t="s">
        <v>294</v>
      </c>
      <c r="Z60" s="4925"/>
      <c r="AA60" s="4925"/>
      <c r="AB60" s="4926" t="s">
        <v>294</v>
      </c>
      <c r="AC60" s="3432"/>
      <c r="AD60" s="3432"/>
      <c r="AE60" s="3430" t="s">
        <v>294</v>
      </c>
      <c r="AF60" s="3430" t="s">
        <v>294</v>
      </c>
      <c r="AG60" s="3430" t="s">
        <v>294</v>
      </c>
      <c r="AH60" s="8970" t="s">
        <v>294</v>
      </c>
    </row>
    <row r="61" spans="1:34" ht="51" customHeight="1">
      <c r="A61" s="9061"/>
      <c r="B61" s="9066"/>
      <c r="C61" s="8901"/>
      <c r="D61" s="8790"/>
      <c r="E61" s="8790"/>
      <c r="F61" s="8790"/>
      <c r="G61" s="8869"/>
      <c r="H61" s="8790"/>
      <c r="I61" s="8790"/>
      <c r="J61" s="9035"/>
      <c r="K61" s="8790"/>
      <c r="L61" s="8790"/>
      <c r="M61" s="8960"/>
      <c r="N61" s="8960"/>
      <c r="O61" s="8960"/>
      <c r="P61" s="8790"/>
      <c r="Q61" s="8790"/>
      <c r="R61" s="8792"/>
      <c r="S61" s="3434" t="s">
        <v>294</v>
      </c>
      <c r="T61" s="3434" t="s">
        <v>294</v>
      </c>
      <c r="U61" s="3434" t="s">
        <v>294</v>
      </c>
      <c r="V61" s="3430" t="s">
        <v>294</v>
      </c>
      <c r="W61" s="3429" t="s">
        <v>294</v>
      </c>
      <c r="X61" s="3430" t="s">
        <v>294</v>
      </c>
      <c r="Y61" s="4924" t="s">
        <v>294</v>
      </c>
      <c r="Z61" s="4925"/>
      <c r="AA61" s="4925"/>
      <c r="AB61" s="4926" t="s">
        <v>294</v>
      </c>
      <c r="AC61" s="3432"/>
      <c r="AD61" s="3432"/>
      <c r="AE61" s="3430" t="s">
        <v>294</v>
      </c>
      <c r="AF61" s="3430" t="s">
        <v>294</v>
      </c>
      <c r="AG61" s="3430" t="s">
        <v>294</v>
      </c>
      <c r="AH61" s="8970"/>
    </row>
    <row r="62" spans="1:34" ht="51" customHeight="1">
      <c r="A62" s="9061"/>
      <c r="B62" s="9066"/>
      <c r="C62" s="8901"/>
      <c r="D62" s="8790"/>
      <c r="E62" s="8790"/>
      <c r="F62" s="8790"/>
      <c r="G62" s="8869"/>
      <c r="H62" s="8790"/>
      <c r="I62" s="8790"/>
      <c r="J62" s="9035"/>
      <c r="K62" s="8790"/>
      <c r="L62" s="8790"/>
      <c r="M62" s="8960"/>
      <c r="N62" s="8960"/>
      <c r="O62" s="8960"/>
      <c r="P62" s="8790"/>
      <c r="Q62" s="8790"/>
      <c r="R62" s="8792"/>
      <c r="S62" s="3434" t="s">
        <v>294</v>
      </c>
      <c r="T62" s="3434" t="s">
        <v>294</v>
      </c>
      <c r="U62" s="3434" t="s">
        <v>294</v>
      </c>
      <c r="V62" s="3430" t="s">
        <v>294</v>
      </c>
      <c r="W62" s="3429" t="s">
        <v>294</v>
      </c>
      <c r="X62" s="3430" t="s">
        <v>294</v>
      </c>
      <c r="Y62" s="4924" t="s">
        <v>294</v>
      </c>
      <c r="Z62" s="4925"/>
      <c r="AA62" s="4925"/>
      <c r="AB62" s="4926" t="s">
        <v>294</v>
      </c>
      <c r="AC62" s="3432"/>
      <c r="AD62" s="3432"/>
      <c r="AE62" s="3430" t="s">
        <v>294</v>
      </c>
      <c r="AF62" s="3430" t="s">
        <v>294</v>
      </c>
      <c r="AG62" s="3433" t="s">
        <v>294</v>
      </c>
      <c r="AH62" s="8970"/>
    </row>
    <row r="63" spans="1:34" ht="51" customHeight="1">
      <c r="A63" s="9061"/>
      <c r="B63" s="9066"/>
      <c r="C63" s="8901"/>
      <c r="D63" s="8790"/>
      <c r="E63" s="8790"/>
      <c r="F63" s="8790"/>
      <c r="G63" s="8869"/>
      <c r="H63" s="8790"/>
      <c r="I63" s="8790"/>
      <c r="J63" s="9035"/>
      <c r="K63" s="8790"/>
      <c r="L63" s="8790"/>
      <c r="M63" s="8960"/>
      <c r="N63" s="8960"/>
      <c r="O63" s="8960"/>
      <c r="P63" s="8790"/>
      <c r="Q63" s="8790"/>
      <c r="R63" s="8792"/>
      <c r="S63" s="3434" t="s">
        <v>294</v>
      </c>
      <c r="T63" s="3434" t="s">
        <v>294</v>
      </c>
      <c r="U63" s="3434" t="s">
        <v>294</v>
      </c>
      <c r="V63" s="3430" t="s">
        <v>294</v>
      </c>
      <c r="W63" s="3429" t="s">
        <v>294</v>
      </c>
      <c r="X63" s="3430" t="s">
        <v>294</v>
      </c>
      <c r="Y63" s="4924" t="s">
        <v>294</v>
      </c>
      <c r="Z63" s="4925"/>
      <c r="AA63" s="4925"/>
      <c r="AB63" s="4926" t="s">
        <v>294</v>
      </c>
      <c r="AC63" s="3432"/>
      <c r="AD63" s="3432"/>
      <c r="AE63" s="3430" t="s">
        <v>294</v>
      </c>
      <c r="AF63" s="3430" t="s">
        <v>294</v>
      </c>
      <c r="AG63" s="3433" t="s">
        <v>294</v>
      </c>
      <c r="AH63" s="8970"/>
    </row>
    <row r="64" spans="1:34" ht="51" customHeight="1">
      <c r="A64" s="9061"/>
      <c r="B64" s="9066"/>
      <c r="C64" s="8902"/>
      <c r="D64" s="8886"/>
      <c r="E64" s="8886"/>
      <c r="F64" s="8886"/>
      <c r="G64" s="8903"/>
      <c r="H64" s="8886"/>
      <c r="I64" s="8886"/>
      <c r="J64" s="9036"/>
      <c r="K64" s="8886"/>
      <c r="L64" s="8886"/>
      <c r="M64" s="8961"/>
      <c r="N64" s="8961"/>
      <c r="O64" s="8961"/>
      <c r="P64" s="8886"/>
      <c r="Q64" s="8886"/>
      <c r="R64" s="9041"/>
      <c r="S64" s="3435" t="s">
        <v>294</v>
      </c>
      <c r="T64" s="3435" t="s">
        <v>294</v>
      </c>
      <c r="U64" s="3435" t="s">
        <v>294</v>
      </c>
      <c r="V64" s="3436" t="s">
        <v>294</v>
      </c>
      <c r="W64" s="3437" t="s">
        <v>294</v>
      </c>
      <c r="X64" s="3436" t="s">
        <v>294</v>
      </c>
      <c r="Y64" s="4927" t="s">
        <v>294</v>
      </c>
      <c r="Z64" s="4928"/>
      <c r="AA64" s="4928"/>
      <c r="AB64" s="4929" t="s">
        <v>294</v>
      </c>
      <c r="AC64" s="3439"/>
      <c r="AD64" s="3439"/>
      <c r="AE64" s="3436" t="s">
        <v>294</v>
      </c>
      <c r="AF64" s="3436" t="s">
        <v>294</v>
      </c>
      <c r="AG64" s="3440" t="s">
        <v>294</v>
      </c>
      <c r="AH64" s="8971"/>
    </row>
    <row r="65" spans="1:34" ht="69" customHeight="1">
      <c r="A65" s="9061"/>
      <c r="B65" s="9066"/>
      <c r="C65" s="8901" t="s">
        <v>127</v>
      </c>
      <c r="D65" s="8790" t="s">
        <v>128</v>
      </c>
      <c r="E65" s="8790" t="s">
        <v>129</v>
      </c>
      <c r="F65" s="8790" t="s">
        <v>157</v>
      </c>
      <c r="G65" s="8869" t="s">
        <v>131</v>
      </c>
      <c r="H65" s="8790" t="s">
        <v>132</v>
      </c>
      <c r="I65" s="8790" t="s">
        <v>189</v>
      </c>
      <c r="J65" s="9037" t="s">
        <v>445</v>
      </c>
      <c r="K65" s="8790" t="s">
        <v>415</v>
      </c>
      <c r="L65" s="8790" t="s">
        <v>416</v>
      </c>
      <c r="M65" s="8960" t="s">
        <v>294</v>
      </c>
      <c r="N65" s="9042" t="s">
        <v>294</v>
      </c>
      <c r="O65" s="9042" t="s">
        <v>294</v>
      </c>
      <c r="P65" s="9040" t="s">
        <v>446</v>
      </c>
      <c r="Q65" s="9040" t="s">
        <v>447</v>
      </c>
      <c r="R65" s="8792" t="s">
        <v>440</v>
      </c>
      <c r="S65" s="3441" t="s">
        <v>294</v>
      </c>
      <c r="T65" s="3441" t="s">
        <v>294</v>
      </c>
      <c r="U65" s="3441" t="s">
        <v>294</v>
      </c>
      <c r="V65" s="3442" t="s">
        <v>294</v>
      </c>
      <c r="W65" s="3443" t="s">
        <v>294</v>
      </c>
      <c r="X65" s="3444" t="s">
        <v>294</v>
      </c>
      <c r="Y65" s="4930" t="s">
        <v>294</v>
      </c>
      <c r="Z65" s="4925"/>
      <c r="AA65" s="4925"/>
      <c r="AB65" s="4931" t="s">
        <v>294</v>
      </c>
      <c r="AC65" s="3446"/>
      <c r="AD65" s="3446"/>
      <c r="AE65" s="3444" t="s">
        <v>294</v>
      </c>
      <c r="AF65" s="3433" t="s">
        <v>294</v>
      </c>
      <c r="AG65" s="3433" t="s">
        <v>294</v>
      </c>
      <c r="AH65" s="8970" t="s">
        <v>294</v>
      </c>
    </row>
    <row r="66" spans="1:34" ht="69" customHeight="1">
      <c r="A66" s="9062"/>
      <c r="B66" s="9076"/>
      <c r="C66" s="8901"/>
      <c r="D66" s="8790"/>
      <c r="E66" s="8790"/>
      <c r="F66" s="8790"/>
      <c r="G66" s="8869"/>
      <c r="H66" s="8790"/>
      <c r="I66" s="8790"/>
      <c r="J66" s="9038"/>
      <c r="K66" s="8790"/>
      <c r="L66" s="8790"/>
      <c r="M66" s="8960"/>
      <c r="N66" s="9042"/>
      <c r="O66" s="9042"/>
      <c r="P66" s="8790"/>
      <c r="Q66" s="8790"/>
      <c r="R66" s="8792"/>
      <c r="S66" s="3447" t="s">
        <v>294</v>
      </c>
      <c r="T66" s="3447" t="s">
        <v>294</v>
      </c>
      <c r="U66" s="3447" t="s">
        <v>294</v>
      </c>
      <c r="V66" s="3444" t="s">
        <v>294</v>
      </c>
      <c r="W66" s="3443" t="s">
        <v>294</v>
      </c>
      <c r="X66" s="3444" t="s">
        <v>294</v>
      </c>
      <c r="Y66" s="4930" t="s">
        <v>294</v>
      </c>
      <c r="Z66" s="4925"/>
      <c r="AA66" s="4925"/>
      <c r="AB66" s="4931" t="s">
        <v>294</v>
      </c>
      <c r="AC66" s="3446"/>
      <c r="AD66" s="3446"/>
      <c r="AE66" s="3444" t="s">
        <v>294</v>
      </c>
      <c r="AF66" s="3433" t="s">
        <v>294</v>
      </c>
      <c r="AG66" s="3433" t="s">
        <v>294</v>
      </c>
      <c r="AH66" s="8970"/>
    </row>
    <row r="67" spans="1:34" ht="69" customHeight="1">
      <c r="A67" s="9060" t="s">
        <v>371</v>
      </c>
      <c r="B67" s="9063" t="s">
        <v>436</v>
      </c>
      <c r="C67" s="8901"/>
      <c r="D67" s="8790"/>
      <c r="E67" s="8790"/>
      <c r="F67" s="8790"/>
      <c r="G67" s="8869"/>
      <c r="H67" s="8790"/>
      <c r="I67" s="8790"/>
      <c r="J67" s="9038"/>
      <c r="K67" s="8790"/>
      <c r="L67" s="8790"/>
      <c r="M67" s="8960"/>
      <c r="N67" s="9042"/>
      <c r="O67" s="9042"/>
      <c r="P67" s="8790"/>
      <c r="Q67" s="8790"/>
      <c r="R67" s="8792"/>
      <c r="S67" s="3447" t="s">
        <v>294</v>
      </c>
      <c r="T67" s="3447" t="s">
        <v>294</v>
      </c>
      <c r="U67" s="3447" t="s">
        <v>294</v>
      </c>
      <c r="V67" s="3444" t="s">
        <v>294</v>
      </c>
      <c r="W67" s="3443" t="s">
        <v>294</v>
      </c>
      <c r="X67" s="3444" t="s">
        <v>294</v>
      </c>
      <c r="Y67" s="4930" t="s">
        <v>294</v>
      </c>
      <c r="Z67" s="4925"/>
      <c r="AA67" s="4925"/>
      <c r="AB67" s="4931" t="s">
        <v>294</v>
      </c>
      <c r="AC67" s="3446"/>
      <c r="AD67" s="3446"/>
      <c r="AE67" s="3444" t="s">
        <v>294</v>
      </c>
      <c r="AF67" s="3433" t="s">
        <v>294</v>
      </c>
      <c r="AG67" s="3433" t="s">
        <v>294</v>
      </c>
      <c r="AH67" s="8970"/>
    </row>
    <row r="68" spans="1:34" ht="69" customHeight="1">
      <c r="A68" s="9061"/>
      <c r="B68" s="9064"/>
      <c r="C68" s="8901"/>
      <c r="D68" s="8790"/>
      <c r="E68" s="8790"/>
      <c r="F68" s="8790"/>
      <c r="G68" s="8869"/>
      <c r="H68" s="8790"/>
      <c r="I68" s="8790"/>
      <c r="J68" s="9038"/>
      <c r="K68" s="8790"/>
      <c r="L68" s="8790"/>
      <c r="M68" s="8960"/>
      <c r="N68" s="9042"/>
      <c r="O68" s="9042"/>
      <c r="P68" s="8790"/>
      <c r="Q68" s="8790"/>
      <c r="R68" s="8792"/>
      <c r="S68" s="3447" t="s">
        <v>294</v>
      </c>
      <c r="T68" s="3447" t="s">
        <v>294</v>
      </c>
      <c r="U68" s="3447" t="s">
        <v>294</v>
      </c>
      <c r="V68" s="3444" t="s">
        <v>294</v>
      </c>
      <c r="W68" s="3443" t="s">
        <v>294</v>
      </c>
      <c r="X68" s="3444" t="s">
        <v>294</v>
      </c>
      <c r="Y68" s="4930" t="s">
        <v>294</v>
      </c>
      <c r="Z68" s="4925"/>
      <c r="AA68" s="4925"/>
      <c r="AB68" s="4931" t="s">
        <v>294</v>
      </c>
      <c r="AC68" s="3446"/>
      <c r="AD68" s="3446"/>
      <c r="AE68" s="3444" t="s">
        <v>294</v>
      </c>
      <c r="AF68" s="3433" t="s">
        <v>294</v>
      </c>
      <c r="AG68" s="3433" t="s">
        <v>294</v>
      </c>
      <c r="AH68" s="8970"/>
    </row>
    <row r="69" spans="1:34" ht="69" customHeight="1">
      <c r="A69" s="9061"/>
      <c r="B69" s="9064"/>
      <c r="C69" s="8902"/>
      <c r="D69" s="8886"/>
      <c r="E69" s="8886"/>
      <c r="F69" s="8886"/>
      <c r="G69" s="8903"/>
      <c r="H69" s="8886"/>
      <c r="I69" s="8886"/>
      <c r="J69" s="9039"/>
      <c r="K69" s="8886"/>
      <c r="L69" s="8886"/>
      <c r="M69" s="8961"/>
      <c r="N69" s="9043"/>
      <c r="O69" s="9043"/>
      <c r="P69" s="8886"/>
      <c r="Q69" s="8886"/>
      <c r="R69" s="9041"/>
      <c r="S69" s="3448" t="s">
        <v>294</v>
      </c>
      <c r="T69" s="3448" t="s">
        <v>294</v>
      </c>
      <c r="U69" s="3448" t="s">
        <v>294</v>
      </c>
      <c r="V69" s="3449" t="s">
        <v>294</v>
      </c>
      <c r="W69" s="3450" t="s">
        <v>294</v>
      </c>
      <c r="X69" s="3449" t="s">
        <v>294</v>
      </c>
      <c r="Y69" s="4932" t="s">
        <v>294</v>
      </c>
      <c r="Z69" s="4928"/>
      <c r="AA69" s="4928"/>
      <c r="AB69" s="4933" t="s">
        <v>294</v>
      </c>
      <c r="AC69" s="3452"/>
      <c r="AD69" s="3452"/>
      <c r="AE69" s="3449" t="s">
        <v>294</v>
      </c>
      <c r="AF69" s="3453" t="s">
        <v>294</v>
      </c>
      <c r="AG69" s="3453" t="s">
        <v>294</v>
      </c>
      <c r="AH69" s="8971"/>
    </row>
    <row r="70" spans="1:34" ht="46.5" customHeight="1">
      <c r="A70" s="9061"/>
      <c r="B70" s="9064"/>
      <c r="C70" s="8901" t="s">
        <v>127</v>
      </c>
      <c r="D70" s="8790" t="s">
        <v>128</v>
      </c>
      <c r="E70" s="8790" t="s">
        <v>140</v>
      </c>
      <c r="F70" s="8790" t="s">
        <v>238</v>
      </c>
      <c r="G70" s="8869" t="s">
        <v>131</v>
      </c>
      <c r="H70" s="8790" t="s">
        <v>132</v>
      </c>
      <c r="I70" s="8790" t="s">
        <v>159</v>
      </c>
      <c r="J70" s="9037" t="s">
        <v>448</v>
      </c>
      <c r="K70" s="9050" t="s">
        <v>422</v>
      </c>
      <c r="L70" s="9050" t="s">
        <v>449</v>
      </c>
      <c r="M70" s="8883">
        <v>5</v>
      </c>
      <c r="N70" s="8882">
        <v>5</v>
      </c>
      <c r="O70" s="8883">
        <v>5</v>
      </c>
      <c r="P70" s="9040" t="s">
        <v>450</v>
      </c>
      <c r="Q70" s="9040" t="s">
        <v>451</v>
      </c>
      <c r="R70" s="8792" t="s">
        <v>440</v>
      </c>
      <c r="S70" s="3427" t="s">
        <v>294</v>
      </c>
      <c r="T70" s="3427" t="s">
        <v>294</v>
      </c>
      <c r="U70" s="3427" t="s">
        <v>294</v>
      </c>
      <c r="V70" s="3454" t="s">
        <v>294</v>
      </c>
      <c r="W70" s="3455" t="s">
        <v>294</v>
      </c>
      <c r="X70" s="3456" t="s">
        <v>294</v>
      </c>
      <c r="Y70" s="4934" t="s">
        <v>294</v>
      </c>
      <c r="Z70" s="4925"/>
      <c r="AA70" s="4925"/>
      <c r="AB70" s="4935" t="s">
        <v>294</v>
      </c>
      <c r="AC70" s="3458"/>
      <c r="AD70" s="3458"/>
      <c r="AE70" s="3456" t="s">
        <v>294</v>
      </c>
      <c r="AF70" s="3459" t="s">
        <v>294</v>
      </c>
      <c r="AG70" s="3459" t="s">
        <v>294</v>
      </c>
      <c r="AH70" s="8970" t="s">
        <v>294</v>
      </c>
    </row>
    <row r="71" spans="1:34" ht="46.5" customHeight="1">
      <c r="A71" s="9061"/>
      <c r="B71" s="9064"/>
      <c r="C71" s="8901"/>
      <c r="D71" s="8790"/>
      <c r="E71" s="8790"/>
      <c r="F71" s="8790"/>
      <c r="G71" s="8869"/>
      <c r="H71" s="8790"/>
      <c r="I71" s="8790"/>
      <c r="J71" s="9038"/>
      <c r="K71" s="9050"/>
      <c r="L71" s="9050"/>
      <c r="M71" s="8883"/>
      <c r="N71" s="8883"/>
      <c r="O71" s="8883"/>
      <c r="P71" s="8790"/>
      <c r="Q71" s="8790"/>
      <c r="R71" s="8792"/>
      <c r="S71" s="3447" t="s">
        <v>294</v>
      </c>
      <c r="T71" s="3447" t="s">
        <v>294</v>
      </c>
      <c r="U71" s="3447" t="s">
        <v>294</v>
      </c>
      <c r="V71" s="3444" t="s">
        <v>294</v>
      </c>
      <c r="W71" s="3443" t="s">
        <v>294</v>
      </c>
      <c r="X71" s="3444" t="s">
        <v>294</v>
      </c>
      <c r="Y71" s="4930" t="s">
        <v>294</v>
      </c>
      <c r="Z71" s="4925"/>
      <c r="AA71" s="4925"/>
      <c r="AB71" s="4931" t="s">
        <v>294</v>
      </c>
      <c r="AC71" s="3446"/>
      <c r="AD71" s="3446"/>
      <c r="AE71" s="3444" t="s">
        <v>294</v>
      </c>
      <c r="AF71" s="3433" t="s">
        <v>294</v>
      </c>
      <c r="AG71" s="3433" t="s">
        <v>294</v>
      </c>
      <c r="AH71" s="8970"/>
    </row>
    <row r="72" spans="1:34" ht="46.5" customHeight="1">
      <c r="A72" s="9061"/>
      <c r="B72" s="9064"/>
      <c r="C72" s="8901"/>
      <c r="D72" s="8790"/>
      <c r="E72" s="8790"/>
      <c r="F72" s="8790"/>
      <c r="G72" s="8869"/>
      <c r="H72" s="8790"/>
      <c r="I72" s="8790"/>
      <c r="J72" s="9038"/>
      <c r="K72" s="9050"/>
      <c r="L72" s="9050"/>
      <c r="M72" s="8883"/>
      <c r="N72" s="8883"/>
      <c r="O72" s="8883"/>
      <c r="P72" s="8790"/>
      <c r="Q72" s="8790"/>
      <c r="R72" s="8792"/>
      <c r="S72" s="3447" t="s">
        <v>294</v>
      </c>
      <c r="T72" s="3447" t="s">
        <v>294</v>
      </c>
      <c r="U72" s="3447" t="s">
        <v>294</v>
      </c>
      <c r="V72" s="3444" t="s">
        <v>294</v>
      </c>
      <c r="W72" s="3443" t="s">
        <v>294</v>
      </c>
      <c r="X72" s="3444" t="s">
        <v>294</v>
      </c>
      <c r="Y72" s="4930" t="s">
        <v>294</v>
      </c>
      <c r="Z72" s="4925"/>
      <c r="AA72" s="4925"/>
      <c r="AB72" s="4931" t="s">
        <v>294</v>
      </c>
      <c r="AC72" s="3446"/>
      <c r="AD72" s="3446"/>
      <c r="AE72" s="3444" t="s">
        <v>294</v>
      </c>
      <c r="AF72" s="3433" t="s">
        <v>294</v>
      </c>
      <c r="AG72" s="3433" t="s">
        <v>294</v>
      </c>
      <c r="AH72" s="8970"/>
    </row>
    <row r="73" spans="1:34" ht="46.5" customHeight="1">
      <c r="A73" s="9061"/>
      <c r="B73" s="9064"/>
      <c r="C73" s="8901"/>
      <c r="D73" s="8790"/>
      <c r="E73" s="8790"/>
      <c r="F73" s="8790"/>
      <c r="G73" s="8869"/>
      <c r="H73" s="8790"/>
      <c r="I73" s="8790"/>
      <c r="J73" s="9038"/>
      <c r="K73" s="9050"/>
      <c r="L73" s="9050"/>
      <c r="M73" s="8883"/>
      <c r="N73" s="8883"/>
      <c r="O73" s="8883"/>
      <c r="P73" s="8790"/>
      <c r="Q73" s="8790"/>
      <c r="R73" s="8792"/>
      <c r="S73" s="3447" t="s">
        <v>294</v>
      </c>
      <c r="T73" s="3447" t="s">
        <v>294</v>
      </c>
      <c r="U73" s="3447" t="s">
        <v>294</v>
      </c>
      <c r="V73" s="3444" t="s">
        <v>294</v>
      </c>
      <c r="W73" s="3443" t="s">
        <v>294</v>
      </c>
      <c r="X73" s="3444" t="s">
        <v>294</v>
      </c>
      <c r="Y73" s="4930" t="s">
        <v>294</v>
      </c>
      <c r="Z73" s="4925"/>
      <c r="AA73" s="4925"/>
      <c r="AB73" s="4931" t="s">
        <v>294</v>
      </c>
      <c r="AC73" s="3446"/>
      <c r="AD73" s="3446"/>
      <c r="AE73" s="3444" t="s">
        <v>294</v>
      </c>
      <c r="AF73" s="3433" t="s">
        <v>294</v>
      </c>
      <c r="AG73" s="3433" t="s">
        <v>294</v>
      </c>
      <c r="AH73" s="8970"/>
    </row>
    <row r="74" spans="1:34" ht="46.5" customHeight="1">
      <c r="A74" s="9061"/>
      <c r="B74" s="9064"/>
      <c r="C74" s="8902"/>
      <c r="D74" s="8886"/>
      <c r="E74" s="8886"/>
      <c r="F74" s="8886"/>
      <c r="G74" s="8903"/>
      <c r="H74" s="8886"/>
      <c r="I74" s="8886"/>
      <c r="J74" s="9039"/>
      <c r="K74" s="9051"/>
      <c r="L74" s="9051"/>
      <c r="M74" s="8885"/>
      <c r="N74" s="8884"/>
      <c r="O74" s="8885"/>
      <c r="P74" s="8886"/>
      <c r="Q74" s="8886"/>
      <c r="R74" s="9041"/>
      <c r="S74" s="3448" t="s">
        <v>294</v>
      </c>
      <c r="T74" s="3448" t="s">
        <v>294</v>
      </c>
      <c r="U74" s="3448" t="s">
        <v>294</v>
      </c>
      <c r="V74" s="3460" t="s">
        <v>294</v>
      </c>
      <c r="W74" s="3461" t="s">
        <v>294</v>
      </c>
      <c r="X74" s="3460" t="s">
        <v>294</v>
      </c>
      <c r="Y74" s="4936" t="s">
        <v>294</v>
      </c>
      <c r="Z74" s="4928"/>
      <c r="AA74" s="4928"/>
      <c r="AB74" s="4937" t="s">
        <v>294</v>
      </c>
      <c r="AC74" s="3463"/>
      <c r="AD74" s="3463"/>
      <c r="AE74" s="3460" t="s">
        <v>294</v>
      </c>
      <c r="AF74" s="3440" t="s">
        <v>294</v>
      </c>
      <c r="AG74" s="3440" t="s">
        <v>294</v>
      </c>
      <c r="AH74" s="8971"/>
    </row>
    <row r="75" spans="1:34" ht="42.75" customHeight="1">
      <c r="A75" s="9061"/>
      <c r="B75" s="9064"/>
      <c r="C75" s="8901" t="s">
        <v>127</v>
      </c>
      <c r="D75" s="8790" t="s">
        <v>128</v>
      </c>
      <c r="E75" s="8790" t="s">
        <v>140</v>
      </c>
      <c r="F75" s="8790" t="s">
        <v>284</v>
      </c>
      <c r="G75" s="8869" t="s">
        <v>131</v>
      </c>
      <c r="H75" s="8790" t="s">
        <v>132</v>
      </c>
      <c r="I75" s="8790" t="s">
        <v>159</v>
      </c>
      <c r="J75" s="9037" t="s">
        <v>452</v>
      </c>
      <c r="K75" s="8790" t="s">
        <v>286</v>
      </c>
      <c r="L75" s="8790" t="s">
        <v>453</v>
      </c>
      <c r="M75" s="8883">
        <v>0</v>
      </c>
      <c r="N75" s="8882">
        <v>1</v>
      </c>
      <c r="O75" s="8883">
        <v>1</v>
      </c>
      <c r="P75" s="9040" t="s">
        <v>454</v>
      </c>
      <c r="Q75" s="9040" t="s">
        <v>455</v>
      </c>
      <c r="R75" s="8792" t="s">
        <v>440</v>
      </c>
      <c r="S75" s="3427" t="s">
        <v>294</v>
      </c>
      <c r="T75" s="3427" t="s">
        <v>294</v>
      </c>
      <c r="U75" s="3427" t="s">
        <v>294</v>
      </c>
      <c r="V75" s="3442" t="s">
        <v>294</v>
      </c>
      <c r="W75" s="3443" t="s">
        <v>294</v>
      </c>
      <c r="X75" s="3444" t="s">
        <v>294</v>
      </c>
      <c r="Y75" s="4930" t="s">
        <v>294</v>
      </c>
      <c r="Z75" s="4925"/>
      <c r="AA75" s="4925"/>
      <c r="AB75" s="4931" t="s">
        <v>294</v>
      </c>
      <c r="AC75" s="3446"/>
      <c r="AD75" s="3446"/>
      <c r="AE75" s="3444" t="s">
        <v>294</v>
      </c>
      <c r="AF75" s="3433" t="s">
        <v>294</v>
      </c>
      <c r="AG75" s="3433" t="s">
        <v>294</v>
      </c>
      <c r="AH75" s="8970" t="s">
        <v>294</v>
      </c>
    </row>
    <row r="76" spans="1:34" ht="42.75" customHeight="1">
      <c r="A76" s="9061"/>
      <c r="B76" s="9064"/>
      <c r="C76" s="8901"/>
      <c r="D76" s="8790"/>
      <c r="E76" s="8790"/>
      <c r="F76" s="8790"/>
      <c r="G76" s="8869"/>
      <c r="H76" s="8790"/>
      <c r="I76" s="8790"/>
      <c r="J76" s="9038"/>
      <c r="K76" s="8790"/>
      <c r="L76" s="8790"/>
      <c r="M76" s="8883"/>
      <c r="N76" s="8883"/>
      <c r="O76" s="8883"/>
      <c r="P76" s="8790"/>
      <c r="Q76" s="8790"/>
      <c r="R76" s="8792"/>
      <c r="S76" s="3447" t="s">
        <v>294</v>
      </c>
      <c r="T76" s="3447" t="s">
        <v>294</v>
      </c>
      <c r="U76" s="3447" t="s">
        <v>294</v>
      </c>
      <c r="V76" s="3444" t="s">
        <v>294</v>
      </c>
      <c r="W76" s="3443" t="s">
        <v>294</v>
      </c>
      <c r="X76" s="3444" t="s">
        <v>294</v>
      </c>
      <c r="Y76" s="4930" t="s">
        <v>294</v>
      </c>
      <c r="Z76" s="4925"/>
      <c r="AA76" s="4925"/>
      <c r="AB76" s="4931" t="s">
        <v>294</v>
      </c>
      <c r="AC76" s="3446"/>
      <c r="AD76" s="3446"/>
      <c r="AE76" s="3444" t="s">
        <v>294</v>
      </c>
      <c r="AF76" s="3433" t="s">
        <v>294</v>
      </c>
      <c r="AG76" s="3433" t="s">
        <v>294</v>
      </c>
      <c r="AH76" s="8970"/>
    </row>
    <row r="77" spans="1:34" ht="42.75" customHeight="1">
      <c r="A77" s="9062"/>
      <c r="B77" s="9065"/>
      <c r="C77" s="8901"/>
      <c r="D77" s="8790"/>
      <c r="E77" s="8790"/>
      <c r="F77" s="8790"/>
      <c r="G77" s="8869"/>
      <c r="H77" s="8790"/>
      <c r="I77" s="8790"/>
      <c r="J77" s="9038"/>
      <c r="K77" s="8790"/>
      <c r="L77" s="8790"/>
      <c r="M77" s="8883"/>
      <c r="N77" s="8883"/>
      <c r="O77" s="8883"/>
      <c r="P77" s="8790"/>
      <c r="Q77" s="8790"/>
      <c r="R77" s="8792"/>
      <c r="S77" s="3447" t="s">
        <v>294</v>
      </c>
      <c r="T77" s="3447" t="s">
        <v>294</v>
      </c>
      <c r="U77" s="3447" t="s">
        <v>294</v>
      </c>
      <c r="V77" s="3444" t="s">
        <v>294</v>
      </c>
      <c r="W77" s="3443" t="s">
        <v>294</v>
      </c>
      <c r="X77" s="3444" t="s">
        <v>294</v>
      </c>
      <c r="Y77" s="4930" t="s">
        <v>294</v>
      </c>
      <c r="Z77" s="4925"/>
      <c r="AA77" s="4925"/>
      <c r="AB77" s="4931" t="s">
        <v>294</v>
      </c>
      <c r="AC77" s="3446"/>
      <c r="AD77" s="3446"/>
      <c r="AE77" s="3444" t="s">
        <v>294</v>
      </c>
      <c r="AF77" s="3433" t="s">
        <v>294</v>
      </c>
      <c r="AG77" s="3433" t="s">
        <v>294</v>
      </c>
      <c r="AH77" s="8970"/>
    </row>
    <row r="78" spans="1:34" ht="42.75" customHeight="1">
      <c r="A78" s="9060" t="s">
        <v>371</v>
      </c>
      <c r="B78" s="9063" t="s">
        <v>456</v>
      </c>
      <c r="C78" s="8901"/>
      <c r="D78" s="8790"/>
      <c r="E78" s="8790"/>
      <c r="F78" s="8790"/>
      <c r="G78" s="8869"/>
      <c r="H78" s="8790"/>
      <c r="I78" s="8790"/>
      <c r="J78" s="9038"/>
      <c r="K78" s="8790"/>
      <c r="L78" s="8790"/>
      <c r="M78" s="8883"/>
      <c r="N78" s="8883"/>
      <c r="O78" s="8883"/>
      <c r="P78" s="8790"/>
      <c r="Q78" s="8790"/>
      <c r="R78" s="8792"/>
      <c r="S78" s="3447" t="s">
        <v>294</v>
      </c>
      <c r="T78" s="3447" t="s">
        <v>294</v>
      </c>
      <c r="U78" s="3447" t="s">
        <v>294</v>
      </c>
      <c r="V78" s="3444" t="s">
        <v>294</v>
      </c>
      <c r="W78" s="3443" t="s">
        <v>294</v>
      </c>
      <c r="X78" s="3444" t="s">
        <v>294</v>
      </c>
      <c r="Y78" s="4930" t="s">
        <v>294</v>
      </c>
      <c r="Z78" s="4925"/>
      <c r="AA78" s="4925"/>
      <c r="AB78" s="4931" t="s">
        <v>294</v>
      </c>
      <c r="AC78" s="3446"/>
      <c r="AD78" s="3446"/>
      <c r="AE78" s="3444" t="s">
        <v>294</v>
      </c>
      <c r="AF78" s="3433" t="s">
        <v>294</v>
      </c>
      <c r="AG78" s="3433" t="s">
        <v>294</v>
      </c>
      <c r="AH78" s="8970"/>
    </row>
    <row r="79" spans="1:34" ht="42.75" customHeight="1">
      <c r="A79" s="9061"/>
      <c r="B79" s="9066"/>
      <c r="C79" s="8902"/>
      <c r="D79" s="8886"/>
      <c r="E79" s="8886"/>
      <c r="F79" s="8886"/>
      <c r="G79" s="8903"/>
      <c r="H79" s="8886"/>
      <c r="I79" s="8886"/>
      <c r="J79" s="9039"/>
      <c r="K79" s="8886"/>
      <c r="L79" s="8886"/>
      <c r="M79" s="8885"/>
      <c r="N79" s="8884"/>
      <c r="O79" s="8885"/>
      <c r="P79" s="8886"/>
      <c r="Q79" s="8886"/>
      <c r="R79" s="9041"/>
      <c r="S79" s="3448" t="s">
        <v>294</v>
      </c>
      <c r="T79" s="3448" t="s">
        <v>294</v>
      </c>
      <c r="U79" s="3448" t="s">
        <v>294</v>
      </c>
      <c r="V79" s="3460" t="s">
        <v>294</v>
      </c>
      <c r="W79" s="3461" t="s">
        <v>294</v>
      </c>
      <c r="X79" s="3460" t="s">
        <v>294</v>
      </c>
      <c r="Y79" s="4936" t="s">
        <v>294</v>
      </c>
      <c r="Z79" s="4928"/>
      <c r="AA79" s="4928"/>
      <c r="AB79" s="4937" t="s">
        <v>294</v>
      </c>
      <c r="AC79" s="3463"/>
      <c r="AD79" s="3463"/>
      <c r="AE79" s="3460" t="s">
        <v>294</v>
      </c>
      <c r="AF79" s="3440" t="s">
        <v>294</v>
      </c>
      <c r="AG79" s="3440" t="s">
        <v>294</v>
      </c>
      <c r="AH79" s="8971"/>
    </row>
    <row r="80" spans="1:34" ht="18" customHeight="1">
      <c r="A80" s="9061"/>
      <c r="B80" s="9066"/>
      <c r="C80" s="9054" t="s">
        <v>294</v>
      </c>
      <c r="D80" s="9050" t="s">
        <v>294</v>
      </c>
      <c r="E80" s="9050" t="s">
        <v>294</v>
      </c>
      <c r="F80" s="9050" t="s">
        <v>294</v>
      </c>
      <c r="G80" s="9056" t="s">
        <v>294</v>
      </c>
      <c r="H80" s="9050" t="s">
        <v>294</v>
      </c>
      <c r="I80" s="9050" t="s">
        <v>294</v>
      </c>
      <c r="J80" s="9058" t="s">
        <v>294</v>
      </c>
      <c r="K80" s="8790" t="s">
        <v>457</v>
      </c>
      <c r="L80" s="9050" t="s">
        <v>294</v>
      </c>
      <c r="M80" s="8960" t="s">
        <v>294</v>
      </c>
      <c r="N80" s="8960" t="s">
        <v>294</v>
      </c>
      <c r="O80" s="8960" t="s">
        <v>294</v>
      </c>
      <c r="P80" s="9050" t="s">
        <v>294</v>
      </c>
      <c r="Q80" s="9050" t="s">
        <v>294</v>
      </c>
      <c r="R80" s="9052" t="s">
        <v>294</v>
      </c>
      <c r="S80" s="3427" t="s">
        <v>294</v>
      </c>
      <c r="T80" s="3427" t="s">
        <v>294</v>
      </c>
      <c r="U80" s="3427" t="s">
        <v>294</v>
      </c>
      <c r="V80" s="3428" t="s">
        <v>294</v>
      </c>
      <c r="W80" s="3429" t="s">
        <v>294</v>
      </c>
      <c r="X80" s="3430" t="s">
        <v>294</v>
      </c>
      <c r="Y80" s="4924" t="s">
        <v>294</v>
      </c>
      <c r="Z80" s="4925"/>
      <c r="AA80" s="4925"/>
      <c r="AB80" s="4926" t="s">
        <v>294</v>
      </c>
      <c r="AC80" s="3432"/>
      <c r="AD80" s="3432"/>
      <c r="AE80" s="3430" t="s">
        <v>294</v>
      </c>
      <c r="AF80" s="3433" t="s">
        <v>294</v>
      </c>
      <c r="AG80" s="3433" t="s">
        <v>294</v>
      </c>
      <c r="AH80" s="8970" t="s">
        <v>294</v>
      </c>
    </row>
    <row r="81" spans="1:34" ht="18" customHeight="1">
      <c r="A81" s="9061"/>
      <c r="B81" s="9066"/>
      <c r="C81" s="9054"/>
      <c r="D81" s="9050"/>
      <c r="E81" s="9050"/>
      <c r="F81" s="9050"/>
      <c r="G81" s="9056"/>
      <c r="H81" s="9050"/>
      <c r="I81" s="9050"/>
      <c r="J81" s="9058"/>
      <c r="K81" s="8790"/>
      <c r="L81" s="9050"/>
      <c r="M81" s="8960"/>
      <c r="N81" s="8960"/>
      <c r="O81" s="8960"/>
      <c r="P81" s="9050"/>
      <c r="Q81" s="9050"/>
      <c r="R81" s="9052"/>
      <c r="S81" s="3434" t="s">
        <v>294</v>
      </c>
      <c r="T81" s="3434" t="s">
        <v>294</v>
      </c>
      <c r="U81" s="3434" t="s">
        <v>294</v>
      </c>
      <c r="V81" s="3430" t="s">
        <v>294</v>
      </c>
      <c r="W81" s="3429" t="s">
        <v>294</v>
      </c>
      <c r="X81" s="3430" t="s">
        <v>294</v>
      </c>
      <c r="Y81" s="4924" t="s">
        <v>294</v>
      </c>
      <c r="Z81" s="4925"/>
      <c r="AA81" s="4925"/>
      <c r="AB81" s="4926" t="s">
        <v>294</v>
      </c>
      <c r="AC81" s="3432"/>
      <c r="AD81" s="3432"/>
      <c r="AE81" s="3430" t="s">
        <v>294</v>
      </c>
      <c r="AF81" s="3433" t="s">
        <v>294</v>
      </c>
      <c r="AG81" s="3433" t="s">
        <v>294</v>
      </c>
      <c r="AH81" s="8970"/>
    </row>
    <row r="82" spans="1:34" ht="18" customHeight="1">
      <c r="A82" s="9061"/>
      <c r="B82" s="9066"/>
      <c r="C82" s="9054"/>
      <c r="D82" s="9050"/>
      <c r="E82" s="9050"/>
      <c r="F82" s="9050"/>
      <c r="G82" s="9056"/>
      <c r="H82" s="9050"/>
      <c r="I82" s="9050"/>
      <c r="J82" s="9058"/>
      <c r="K82" s="8790"/>
      <c r="L82" s="9050"/>
      <c r="M82" s="8960"/>
      <c r="N82" s="8960"/>
      <c r="O82" s="8960"/>
      <c r="P82" s="9050"/>
      <c r="Q82" s="9050"/>
      <c r="R82" s="9052"/>
      <c r="S82" s="3434" t="s">
        <v>294</v>
      </c>
      <c r="T82" s="3434" t="s">
        <v>294</v>
      </c>
      <c r="U82" s="3434" t="s">
        <v>294</v>
      </c>
      <c r="V82" s="3430" t="s">
        <v>294</v>
      </c>
      <c r="W82" s="3429" t="s">
        <v>294</v>
      </c>
      <c r="X82" s="3430" t="s">
        <v>294</v>
      </c>
      <c r="Y82" s="4924" t="s">
        <v>294</v>
      </c>
      <c r="Z82" s="4925"/>
      <c r="AA82" s="4925"/>
      <c r="AB82" s="4926" t="s">
        <v>294</v>
      </c>
      <c r="AC82" s="3432"/>
      <c r="AD82" s="3432"/>
      <c r="AE82" s="3430" t="s">
        <v>294</v>
      </c>
      <c r="AF82" s="3433" t="s">
        <v>294</v>
      </c>
      <c r="AG82" s="3433" t="s">
        <v>294</v>
      </c>
      <c r="AH82" s="8970"/>
    </row>
    <row r="83" spans="1:34" ht="18" customHeight="1">
      <c r="A83" s="9061"/>
      <c r="B83" s="9066"/>
      <c r="C83" s="9054"/>
      <c r="D83" s="9050"/>
      <c r="E83" s="9050"/>
      <c r="F83" s="9050"/>
      <c r="G83" s="9056"/>
      <c r="H83" s="9050"/>
      <c r="I83" s="9050"/>
      <c r="J83" s="9058"/>
      <c r="K83" s="8790"/>
      <c r="L83" s="9050"/>
      <c r="M83" s="8960"/>
      <c r="N83" s="8960"/>
      <c r="O83" s="8960"/>
      <c r="P83" s="9050"/>
      <c r="Q83" s="9050"/>
      <c r="R83" s="9052"/>
      <c r="S83" s="3427" t="s">
        <v>294</v>
      </c>
      <c r="T83" s="3427" t="s">
        <v>294</v>
      </c>
      <c r="U83" s="3427" t="s">
        <v>294</v>
      </c>
      <c r="V83" s="3430" t="s">
        <v>294</v>
      </c>
      <c r="W83" s="3429" t="s">
        <v>294</v>
      </c>
      <c r="X83" s="3430" t="s">
        <v>294</v>
      </c>
      <c r="Y83" s="4924" t="s">
        <v>294</v>
      </c>
      <c r="Z83" s="4925"/>
      <c r="AA83" s="4925"/>
      <c r="AB83" s="4926" t="s">
        <v>294</v>
      </c>
      <c r="AC83" s="3432"/>
      <c r="AD83" s="3432"/>
      <c r="AE83" s="3430" t="s">
        <v>294</v>
      </c>
      <c r="AF83" s="3433" t="s">
        <v>294</v>
      </c>
      <c r="AG83" s="3433" t="s">
        <v>294</v>
      </c>
      <c r="AH83" s="8970"/>
    </row>
    <row r="84" spans="1:34" ht="18" customHeight="1">
      <c r="A84" s="9061"/>
      <c r="B84" s="9066"/>
      <c r="C84" s="9055"/>
      <c r="D84" s="9051"/>
      <c r="E84" s="9051"/>
      <c r="F84" s="9051"/>
      <c r="G84" s="9057"/>
      <c r="H84" s="9051"/>
      <c r="I84" s="9051"/>
      <c r="J84" s="9059"/>
      <c r="K84" s="8886"/>
      <c r="L84" s="9051"/>
      <c r="M84" s="8961"/>
      <c r="N84" s="8961"/>
      <c r="O84" s="8961"/>
      <c r="P84" s="9051"/>
      <c r="Q84" s="9051"/>
      <c r="R84" s="9053"/>
      <c r="S84" s="3435" t="s">
        <v>294</v>
      </c>
      <c r="T84" s="3435" t="s">
        <v>294</v>
      </c>
      <c r="U84" s="3435" t="s">
        <v>294</v>
      </c>
      <c r="V84" s="3436" t="s">
        <v>294</v>
      </c>
      <c r="W84" s="3437" t="s">
        <v>294</v>
      </c>
      <c r="X84" s="3436" t="s">
        <v>294</v>
      </c>
      <c r="Y84" s="4927" t="s">
        <v>294</v>
      </c>
      <c r="Z84" s="4928"/>
      <c r="AA84" s="4928"/>
      <c r="AB84" s="4929" t="s">
        <v>294</v>
      </c>
      <c r="AC84" s="3439"/>
      <c r="AD84" s="3439"/>
      <c r="AE84" s="3436" t="s">
        <v>294</v>
      </c>
      <c r="AF84" s="3440" t="s">
        <v>294</v>
      </c>
      <c r="AG84" s="3440" t="s">
        <v>294</v>
      </c>
      <c r="AH84" s="8971"/>
    </row>
    <row r="85" spans="1:34" s="4842" customFormat="1" ht="22.5" customHeight="1" thickBot="1">
      <c r="A85" s="9061"/>
      <c r="B85" s="6177"/>
      <c r="C85" s="4888"/>
      <c r="D85" s="4889"/>
      <c r="E85" s="4889"/>
      <c r="F85" s="4889"/>
      <c r="G85" s="4889"/>
      <c r="H85" s="4889"/>
      <c r="I85" s="4889"/>
      <c r="J85" s="4889"/>
      <c r="K85" s="4889"/>
      <c r="L85" s="4889"/>
      <c r="M85" s="4889"/>
      <c r="N85" s="4889"/>
      <c r="O85" s="4889"/>
      <c r="P85" s="4889"/>
      <c r="Q85" s="4889"/>
      <c r="R85" s="4889"/>
      <c r="S85" s="9044" t="s">
        <v>458</v>
      </c>
      <c r="T85" s="9045"/>
      <c r="U85" s="9045"/>
      <c r="V85" s="9045"/>
      <c r="W85" s="9045"/>
      <c r="X85" s="9045"/>
      <c r="Y85" s="9045"/>
      <c r="Z85" s="9045"/>
      <c r="AA85" s="4890" t="s">
        <v>292</v>
      </c>
      <c r="AB85" s="5018">
        <f>SUM(AB55:AB84)</f>
        <v>0</v>
      </c>
      <c r="AC85" s="4891"/>
      <c r="AD85" s="4892"/>
      <c r="AE85" s="9046"/>
      <c r="AF85" s="9047"/>
      <c r="AG85" s="9047"/>
      <c r="AH85" s="9048"/>
    </row>
    <row r="86" spans="1:34" s="4842" customFormat="1" ht="22.5" customHeight="1" thickBot="1">
      <c r="A86" s="4893" t="s">
        <v>294</v>
      </c>
      <c r="B86" s="4651"/>
      <c r="C86" s="4838"/>
      <c r="D86" s="4838"/>
      <c r="E86" s="4838"/>
      <c r="F86" s="4838"/>
      <c r="G86" s="4838"/>
      <c r="H86" s="4838"/>
      <c r="I86" s="4838"/>
      <c r="J86" s="4838"/>
      <c r="K86" s="4838"/>
      <c r="L86" s="4838"/>
      <c r="M86" s="4838"/>
      <c r="N86" s="4838"/>
      <c r="O86" s="4838"/>
      <c r="P86" s="4838"/>
      <c r="Q86" s="4838"/>
      <c r="R86" s="4839"/>
      <c r="S86" s="8897" t="s">
        <v>435</v>
      </c>
      <c r="T86" s="9049"/>
      <c r="U86" s="9049"/>
      <c r="V86" s="9049"/>
      <c r="W86" s="9049"/>
      <c r="X86" s="9049"/>
      <c r="Y86" s="9049"/>
      <c r="Z86" s="4829"/>
      <c r="AA86" s="4830" t="s">
        <v>292</v>
      </c>
      <c r="AB86" s="4894">
        <f>+AB54+AB85</f>
        <v>3775.2000000000003</v>
      </c>
      <c r="AC86" s="4840"/>
      <c r="AD86" s="4895"/>
      <c r="AE86" s="8898"/>
      <c r="AF86" s="8899"/>
      <c r="AG86" s="8899"/>
      <c r="AH86" s="8900"/>
    </row>
    <row r="87" spans="1:34" ht="12.75">
      <c r="A87" s="551"/>
      <c r="B87" s="550"/>
      <c r="C87" s="550" t="s">
        <v>459</v>
      </c>
      <c r="D87" s="551"/>
      <c r="E87" s="551"/>
      <c r="F87" s="551"/>
      <c r="G87" s="551"/>
      <c r="H87" s="551"/>
      <c r="I87" s="551"/>
      <c r="J87" s="551"/>
      <c r="K87" s="551"/>
      <c r="L87" s="551" t="s">
        <v>413</v>
      </c>
      <c r="M87" s="551"/>
      <c r="N87" s="551"/>
      <c r="O87" s="551"/>
      <c r="P87" s="551"/>
      <c r="Q87" s="551"/>
      <c r="R87" s="551"/>
      <c r="S87" s="8951" t="s">
        <v>460</v>
      </c>
      <c r="T87" s="8952"/>
      <c r="U87" s="8952"/>
      <c r="V87" s="8952"/>
      <c r="W87" s="8952"/>
      <c r="X87" s="8952"/>
      <c r="Y87" s="8952"/>
      <c r="Z87" s="8952"/>
      <c r="AA87" s="8952"/>
      <c r="AB87" s="8952"/>
      <c r="AC87" s="8952"/>
      <c r="AD87" s="8952"/>
      <c r="AE87" s="8952"/>
      <c r="AF87" s="8952"/>
      <c r="AG87" s="8952"/>
      <c r="AH87" s="8952"/>
    </row>
    <row r="88" spans="1:34" ht="16.5" customHeight="1">
      <c r="A88" s="80"/>
      <c r="B88" s="81"/>
      <c r="C88" s="81" t="s">
        <v>461</v>
      </c>
      <c r="D88" s="80"/>
      <c r="E88" s="80"/>
      <c r="F88" s="80"/>
      <c r="G88" s="80"/>
      <c r="H88" s="80"/>
      <c r="I88" s="80"/>
      <c r="J88" s="80"/>
      <c r="K88" s="80"/>
      <c r="L88" s="80"/>
      <c r="M88" s="80"/>
      <c r="N88" s="80"/>
      <c r="O88" s="80"/>
      <c r="P88" s="80"/>
      <c r="Q88" s="80"/>
      <c r="R88" s="80"/>
      <c r="S88" s="80"/>
      <c r="T88" s="80"/>
      <c r="AA88" s="83"/>
      <c r="AB88" s="379"/>
      <c r="AC88" s="379"/>
      <c r="AD88" s="80"/>
      <c r="AE88" s="80"/>
      <c r="AF88" s="80"/>
      <c r="AG88" s="80"/>
    </row>
    <row r="89" spans="1:34">
      <c r="A89" s="80"/>
      <c r="B89" s="80"/>
      <c r="C89" s="80"/>
      <c r="D89" s="80"/>
      <c r="E89" s="80"/>
      <c r="F89" s="80"/>
      <c r="G89" s="80"/>
      <c r="H89" s="80"/>
      <c r="I89" s="80"/>
      <c r="J89" s="80"/>
      <c r="K89" s="80"/>
      <c r="L89" s="80"/>
      <c r="M89" s="80"/>
      <c r="N89" s="80"/>
      <c r="O89" s="80"/>
      <c r="P89" s="80"/>
      <c r="Q89" s="80"/>
      <c r="R89" s="80"/>
      <c r="S89" s="80"/>
      <c r="T89" s="84"/>
      <c r="U89" s="8775" t="s">
        <v>351</v>
      </c>
      <c r="V89" s="8953"/>
      <c r="W89" s="8953"/>
      <c r="X89" s="8953"/>
      <c r="Y89" s="8953"/>
      <c r="Z89" s="8953"/>
      <c r="AA89" s="2059"/>
      <c r="AB89" s="2060"/>
      <c r="AC89" s="2060"/>
      <c r="AD89" s="80"/>
      <c r="AE89" s="80"/>
      <c r="AF89" s="80"/>
      <c r="AG89" s="80"/>
    </row>
    <row r="90" spans="1:34" ht="16.5" customHeight="1">
      <c r="A90" s="80"/>
      <c r="B90" s="80"/>
      <c r="C90" s="80"/>
      <c r="D90" s="80"/>
      <c r="E90" s="80"/>
      <c r="F90" s="80"/>
      <c r="G90" s="80"/>
      <c r="H90" s="80"/>
      <c r="I90" s="80"/>
      <c r="J90" s="80"/>
      <c r="K90" s="80"/>
      <c r="L90" s="80"/>
      <c r="M90" s="80"/>
      <c r="N90" s="80"/>
      <c r="O90" s="80"/>
      <c r="P90" s="80"/>
      <c r="Q90" s="80"/>
      <c r="R90" s="80"/>
      <c r="S90" s="86"/>
      <c r="T90" s="86"/>
      <c r="U90" s="85"/>
      <c r="V90" s="28"/>
      <c r="W90" s="28"/>
      <c r="X90" s="28"/>
      <c r="Y90" s="28"/>
      <c r="Z90" s="28"/>
      <c r="AA90" s="2061"/>
      <c r="AB90" s="380"/>
      <c r="AC90" s="380"/>
      <c r="AD90" s="80"/>
      <c r="AE90" s="80"/>
      <c r="AF90" s="80"/>
      <c r="AG90" s="80"/>
    </row>
    <row r="91" spans="1:34" ht="18" customHeight="1">
      <c r="A91" s="80"/>
      <c r="B91" s="80"/>
      <c r="C91" s="80"/>
      <c r="D91" s="80"/>
      <c r="E91" s="80"/>
      <c r="F91" s="80"/>
      <c r="G91" s="80"/>
      <c r="H91" s="80"/>
      <c r="I91" s="80"/>
      <c r="J91" s="80"/>
      <c r="K91" s="80"/>
      <c r="L91" s="80"/>
      <c r="M91" s="80"/>
      <c r="N91" s="80"/>
      <c r="O91" s="80"/>
      <c r="P91" s="80"/>
      <c r="Q91" s="80"/>
      <c r="R91" s="80"/>
      <c r="S91" s="80"/>
      <c r="T91" s="80"/>
      <c r="U91" s="5882" t="s">
        <v>5</v>
      </c>
      <c r="V91" s="5883" t="s">
        <v>6</v>
      </c>
      <c r="W91" s="5884" t="s">
        <v>7</v>
      </c>
      <c r="X91" s="5885" t="s">
        <v>352</v>
      </c>
      <c r="Y91" s="5885" t="s">
        <v>9</v>
      </c>
      <c r="Z91" s="5886" t="s">
        <v>353</v>
      </c>
      <c r="AA91" s="2062"/>
      <c r="AB91" s="2063"/>
      <c r="AC91" s="2063"/>
      <c r="AD91" s="80"/>
      <c r="AE91" s="80"/>
      <c r="AF91" s="80"/>
      <c r="AG91" s="80"/>
    </row>
    <row r="92" spans="1:34" ht="69.75" customHeight="1">
      <c r="A92" s="80"/>
      <c r="B92" s="80"/>
      <c r="C92" s="80"/>
      <c r="D92" s="80"/>
      <c r="E92" s="80"/>
      <c r="F92" s="80"/>
      <c r="G92" s="80"/>
      <c r="H92" s="80"/>
      <c r="I92" s="80"/>
      <c r="J92" s="80"/>
      <c r="K92" s="80"/>
      <c r="L92" s="80"/>
      <c r="M92" s="80"/>
      <c r="N92" s="80"/>
      <c r="O92" s="80"/>
      <c r="P92" s="80"/>
      <c r="Q92" s="86"/>
      <c r="R92" s="82"/>
      <c r="S92" s="86"/>
      <c r="T92" s="460"/>
      <c r="U92" s="639" t="s">
        <v>15</v>
      </c>
      <c r="V92" s="946" t="s">
        <v>390</v>
      </c>
      <c r="W92" s="926">
        <v>530204</v>
      </c>
      <c r="X92" s="690" t="s">
        <v>17</v>
      </c>
      <c r="Y92" s="690" t="s">
        <v>18</v>
      </c>
      <c r="Z92" s="883">
        <f>$AB$14</f>
        <v>2775.2000000000003</v>
      </c>
      <c r="AA92" s="2064"/>
      <c r="AB92" s="886"/>
      <c r="AC92" s="886"/>
      <c r="AD92" s="80"/>
      <c r="AE92" s="80"/>
      <c r="AF92" s="80"/>
      <c r="AG92" s="80"/>
    </row>
    <row r="93" spans="1:34" ht="52.5" customHeight="1">
      <c r="A93" s="80"/>
      <c r="B93" s="80"/>
      <c r="C93" s="80"/>
      <c r="D93" s="80"/>
      <c r="E93" s="80"/>
      <c r="F93" s="80"/>
      <c r="G93" s="80"/>
      <c r="H93" s="80"/>
      <c r="I93" s="80"/>
      <c r="J93" s="80"/>
      <c r="K93" s="80"/>
      <c r="L93" s="80"/>
      <c r="M93" s="80"/>
      <c r="N93" s="80"/>
      <c r="O93" s="80"/>
      <c r="P93" s="80"/>
      <c r="Q93" s="86"/>
      <c r="R93" s="82"/>
      <c r="S93" s="86"/>
      <c r="T93" s="460"/>
      <c r="U93" s="639" t="s">
        <v>15</v>
      </c>
      <c r="V93" s="946" t="s">
        <v>419</v>
      </c>
      <c r="W93" s="926">
        <v>570206</v>
      </c>
      <c r="X93" s="690" t="s">
        <v>17</v>
      </c>
      <c r="Y93" s="690" t="s">
        <v>18</v>
      </c>
      <c r="Z93" s="883">
        <f>$AB$34</f>
        <v>1000</v>
      </c>
      <c r="AA93" s="2064"/>
      <c r="AB93" s="886"/>
      <c r="AC93" s="886"/>
      <c r="AD93" s="80"/>
      <c r="AE93" s="80"/>
      <c r="AF93" s="80"/>
      <c r="AG93" s="80"/>
    </row>
    <row r="94" spans="1:34" ht="18" customHeight="1">
      <c r="A94" s="80"/>
      <c r="B94" s="80"/>
      <c r="C94" s="80"/>
      <c r="D94" s="80"/>
      <c r="E94" s="80"/>
      <c r="F94" s="80"/>
      <c r="G94" s="80"/>
      <c r="H94" s="80"/>
      <c r="I94" s="80"/>
      <c r="J94" s="80"/>
      <c r="K94" s="80"/>
      <c r="L94" s="80"/>
      <c r="M94" s="80"/>
      <c r="N94" s="80"/>
      <c r="O94" s="80"/>
      <c r="P94" s="80"/>
      <c r="Q94" s="80"/>
      <c r="R94" s="80"/>
      <c r="S94" s="80"/>
      <c r="T94" s="80"/>
      <c r="U94" s="5942"/>
      <c r="V94" s="5943" t="s">
        <v>67</v>
      </c>
      <c r="W94" s="5944"/>
      <c r="X94" s="5944"/>
      <c r="Y94" s="5926" t="s">
        <v>292</v>
      </c>
      <c r="Z94" s="33">
        <f>SUM(Z92:Z93)</f>
        <v>3775.2000000000003</v>
      </c>
      <c r="AA94" s="83"/>
      <c r="AB94" s="379"/>
      <c r="AC94" s="379"/>
      <c r="AD94" s="80"/>
      <c r="AE94" s="80"/>
      <c r="AF94" s="80"/>
      <c r="AG94" s="80"/>
    </row>
    <row r="95" spans="1:34" ht="16.5" customHeight="1">
      <c r="A95" s="80"/>
      <c r="B95" s="80"/>
      <c r="C95" s="80"/>
      <c r="D95" s="80"/>
      <c r="E95" s="80"/>
      <c r="F95" s="80"/>
      <c r="G95" s="80"/>
      <c r="H95" s="80"/>
      <c r="I95" s="80"/>
      <c r="J95" s="80"/>
      <c r="K95" s="80"/>
      <c r="L95" s="80"/>
      <c r="M95" s="80"/>
      <c r="N95" s="80"/>
      <c r="O95" s="80"/>
      <c r="P95" s="80"/>
      <c r="Q95" s="80"/>
      <c r="R95" s="80"/>
      <c r="S95" s="80"/>
      <c r="T95" s="80"/>
      <c r="U95" s="85"/>
      <c r="V95" s="28"/>
      <c r="W95" s="34"/>
      <c r="X95" s="35"/>
      <c r="Y95" s="28"/>
      <c r="Z95" s="28"/>
      <c r="AA95" s="80"/>
      <c r="AB95" s="380"/>
      <c r="AC95" s="380"/>
      <c r="AD95" s="80"/>
      <c r="AE95" s="80"/>
      <c r="AF95" s="80"/>
      <c r="AG95" s="80"/>
    </row>
    <row r="96" spans="1:34" ht="16.5" customHeight="1">
      <c r="A96" s="80"/>
      <c r="B96" s="80"/>
      <c r="C96" s="80"/>
      <c r="D96" s="80"/>
      <c r="E96" s="80"/>
      <c r="F96" s="80"/>
      <c r="G96" s="80"/>
      <c r="H96" s="80"/>
      <c r="I96" s="80"/>
      <c r="J96" s="80"/>
      <c r="K96" s="80"/>
      <c r="L96" s="80"/>
      <c r="M96" s="80"/>
      <c r="N96" s="80"/>
      <c r="O96" s="80"/>
      <c r="P96" s="80"/>
      <c r="Q96" s="80"/>
      <c r="R96" s="80"/>
      <c r="S96" s="80"/>
      <c r="T96" s="80"/>
      <c r="U96" s="85"/>
      <c r="V96" s="28"/>
      <c r="W96" s="28"/>
      <c r="X96" s="28"/>
      <c r="Y96" s="28"/>
      <c r="Z96" s="28"/>
      <c r="AA96" s="80"/>
      <c r="AB96" s="380"/>
      <c r="AC96" s="380"/>
      <c r="AD96" s="80"/>
      <c r="AE96" s="80"/>
      <c r="AF96" s="80"/>
      <c r="AG96" s="80"/>
    </row>
    <row r="97" spans="1:33" ht="16.5" customHeight="1">
      <c r="A97" s="80"/>
      <c r="B97" s="80"/>
      <c r="C97" s="80"/>
      <c r="D97" s="80"/>
      <c r="E97" s="80"/>
      <c r="F97" s="80"/>
      <c r="G97" s="80"/>
      <c r="H97" s="80"/>
      <c r="I97" s="80"/>
      <c r="J97" s="80"/>
      <c r="K97" s="80"/>
      <c r="L97" s="80"/>
      <c r="M97" s="80"/>
      <c r="N97" s="80"/>
      <c r="O97" s="80"/>
      <c r="P97" s="80"/>
      <c r="Q97" s="80"/>
      <c r="R97" s="80"/>
      <c r="S97" s="80"/>
      <c r="T97" s="80"/>
      <c r="U97" s="8764" t="s">
        <v>356</v>
      </c>
      <c r="V97" s="8934"/>
      <c r="W97" s="8935"/>
      <c r="X97" s="28"/>
      <c r="Y97" s="36" t="s">
        <v>357</v>
      </c>
      <c r="Z97" s="37" t="str">
        <f>IF(Z94=AB86,"OK","NO")</f>
        <v>OK</v>
      </c>
      <c r="AA97" s="80"/>
      <c r="AB97" s="380"/>
      <c r="AC97" s="380"/>
      <c r="AD97" s="80"/>
      <c r="AE97" s="80"/>
      <c r="AF97" s="80"/>
      <c r="AG97" s="80"/>
    </row>
    <row r="98" spans="1:33" ht="16.5" customHeight="1">
      <c r="A98" s="80"/>
      <c r="B98" s="80"/>
      <c r="C98" s="80"/>
      <c r="D98" s="80"/>
      <c r="E98" s="80"/>
      <c r="F98" s="80"/>
      <c r="G98" s="80"/>
      <c r="H98" s="80"/>
      <c r="I98" s="80"/>
      <c r="J98" s="80"/>
      <c r="K98" s="80"/>
      <c r="L98" s="80"/>
      <c r="M98" s="80"/>
      <c r="N98" s="80"/>
      <c r="O98" s="80"/>
      <c r="P98" s="80"/>
      <c r="Q98" s="80"/>
      <c r="R98" s="80"/>
      <c r="S98" s="80"/>
      <c r="T98" s="80"/>
      <c r="U98" s="8766" t="s">
        <v>358</v>
      </c>
      <c r="V98" s="8936"/>
      <c r="W98" s="750">
        <v>0</v>
      </c>
      <c r="X98" s="35"/>
      <c r="Y98" s="28"/>
      <c r="Z98" s="37" t="str">
        <f>IF(W102=AB86,"OK","NO")</f>
        <v>OK</v>
      </c>
      <c r="AA98" s="80"/>
      <c r="AB98" s="380"/>
      <c r="AC98" s="380"/>
      <c r="AD98" s="80"/>
      <c r="AE98" s="80"/>
      <c r="AF98" s="80"/>
      <c r="AG98" s="80"/>
    </row>
    <row r="99" spans="1:33" ht="16.5" customHeight="1">
      <c r="A99" s="80"/>
      <c r="B99" s="80"/>
      <c r="C99" s="80"/>
      <c r="D99" s="80"/>
      <c r="E99" s="80"/>
      <c r="F99" s="80"/>
      <c r="G99" s="80"/>
      <c r="H99" s="80"/>
      <c r="I99" s="80"/>
      <c r="J99" s="80"/>
      <c r="K99" s="80"/>
      <c r="L99" s="80"/>
      <c r="M99" s="80"/>
      <c r="N99" s="80"/>
      <c r="O99" s="80"/>
      <c r="P99" s="80"/>
      <c r="Q99" s="80"/>
      <c r="R99" s="80"/>
      <c r="S99" s="80"/>
      <c r="T99" s="80"/>
      <c r="U99" s="8755" t="s">
        <v>359</v>
      </c>
      <c r="V99" s="8933"/>
      <c r="W99" s="751">
        <v>0</v>
      </c>
      <c r="X99" s="35"/>
      <c r="Y99" s="28"/>
      <c r="Z99" s="37" t="str">
        <f>IF(W112=AB86,"OK","NO")</f>
        <v>OK</v>
      </c>
      <c r="AA99" s="80"/>
      <c r="AB99" s="380"/>
      <c r="AC99" s="380"/>
      <c r="AD99" s="80"/>
      <c r="AE99" s="80"/>
      <c r="AF99" s="80"/>
      <c r="AG99" s="80"/>
    </row>
    <row r="100" spans="1:33" ht="16.5" customHeight="1">
      <c r="A100" s="80"/>
      <c r="B100" s="80"/>
      <c r="C100" s="80"/>
      <c r="D100" s="80"/>
      <c r="E100" s="80"/>
      <c r="F100" s="80"/>
      <c r="G100" s="80"/>
      <c r="H100" s="80"/>
      <c r="I100" s="80"/>
      <c r="J100" s="80"/>
      <c r="K100" s="80"/>
      <c r="L100" s="80"/>
      <c r="M100" s="80"/>
      <c r="N100" s="80"/>
      <c r="O100" s="80"/>
      <c r="P100" s="80"/>
      <c r="Q100" s="80"/>
      <c r="R100" s="80"/>
      <c r="S100" s="80"/>
      <c r="T100" s="80"/>
      <c r="U100" s="8755" t="s">
        <v>360</v>
      </c>
      <c r="V100" s="8933"/>
      <c r="W100" s="751">
        <f>SUM(Z92,Z93)</f>
        <v>3775.2000000000003</v>
      </c>
      <c r="X100" s="35"/>
      <c r="Y100" s="35"/>
      <c r="Z100" s="37" t="str">
        <f>IF(Resumen!C402=AB86,"OK","NO")</f>
        <v>OK</v>
      </c>
      <c r="AA100" s="80"/>
      <c r="AB100" s="380"/>
      <c r="AC100" s="380"/>
      <c r="AD100" s="80"/>
      <c r="AE100" s="80"/>
      <c r="AF100" s="80"/>
      <c r="AG100" s="80"/>
    </row>
    <row r="101" spans="1:33" ht="16.5" customHeight="1">
      <c r="A101" s="80"/>
      <c r="B101" s="80"/>
      <c r="C101" s="80"/>
      <c r="D101" s="80"/>
      <c r="E101" s="80"/>
      <c r="F101" s="80"/>
      <c r="G101" s="80"/>
      <c r="H101" s="80"/>
      <c r="I101" s="80"/>
      <c r="J101" s="80"/>
      <c r="K101" s="80"/>
      <c r="L101" s="80"/>
      <c r="M101" s="80"/>
      <c r="N101" s="80"/>
      <c r="O101" s="80"/>
      <c r="P101" s="80"/>
      <c r="Q101" s="80"/>
      <c r="R101" s="80"/>
      <c r="S101" s="80"/>
      <c r="T101" s="80"/>
      <c r="U101" s="8755" t="s">
        <v>361</v>
      </c>
      <c r="V101" s="8933"/>
      <c r="W101" s="752">
        <v>0</v>
      </c>
      <c r="X101" s="35"/>
      <c r="Y101" s="35"/>
      <c r="Z101" s="28"/>
      <c r="AA101" s="80"/>
      <c r="AB101" s="380"/>
      <c r="AC101" s="380"/>
      <c r="AD101" s="80"/>
      <c r="AE101" s="80"/>
      <c r="AF101" s="80"/>
      <c r="AG101" s="80"/>
    </row>
    <row r="102" spans="1:33" ht="16.5" customHeight="1">
      <c r="A102" s="80"/>
      <c r="B102" s="80"/>
      <c r="C102" s="80"/>
      <c r="D102" s="80"/>
      <c r="E102" s="80"/>
      <c r="F102" s="80"/>
      <c r="G102" s="80"/>
      <c r="H102" s="80"/>
      <c r="I102" s="80"/>
      <c r="J102" s="80"/>
      <c r="K102" s="80"/>
      <c r="L102" s="80"/>
      <c r="M102" s="80"/>
      <c r="N102" s="80"/>
      <c r="O102" s="80"/>
      <c r="P102" s="80"/>
      <c r="Q102" s="80"/>
      <c r="R102" s="80"/>
      <c r="S102" s="80"/>
      <c r="T102" s="80"/>
      <c r="U102" s="8937" t="s">
        <v>67</v>
      </c>
      <c r="V102" s="8933"/>
      <c r="W102" s="809">
        <f>SUM(W98:W101)</f>
        <v>3775.2000000000003</v>
      </c>
      <c r="X102" s="35"/>
      <c r="Y102" s="35"/>
      <c r="Z102" s="28"/>
      <c r="AA102" s="80"/>
      <c r="AB102" s="380"/>
      <c r="AC102" s="380"/>
      <c r="AD102" s="80"/>
      <c r="AE102" s="80"/>
      <c r="AF102" s="80"/>
      <c r="AG102" s="80"/>
    </row>
    <row r="103" spans="1:33" ht="16.5" customHeight="1">
      <c r="A103" s="80"/>
      <c r="B103" s="80"/>
      <c r="C103" s="80"/>
      <c r="D103" s="80"/>
      <c r="E103" s="80"/>
      <c r="F103" s="80"/>
      <c r="G103" s="80"/>
      <c r="H103" s="80"/>
      <c r="I103" s="80"/>
      <c r="J103" s="80"/>
      <c r="K103" s="80"/>
      <c r="L103" s="80"/>
      <c r="M103" s="80"/>
      <c r="N103" s="80"/>
      <c r="O103" s="80"/>
      <c r="P103" s="80"/>
      <c r="Q103" s="80"/>
      <c r="R103" s="80"/>
      <c r="S103" s="80"/>
      <c r="T103" s="80"/>
      <c r="U103" s="8929" t="s">
        <v>362</v>
      </c>
      <c r="V103" s="8930"/>
      <c r="W103" s="8931"/>
      <c r="X103" s="38"/>
      <c r="Y103" s="38"/>
      <c r="Z103" s="28"/>
      <c r="AA103" s="80"/>
      <c r="AB103" s="380"/>
      <c r="AC103" s="380"/>
      <c r="AD103" s="80"/>
      <c r="AE103" s="80"/>
      <c r="AF103" s="80"/>
      <c r="AG103" s="80"/>
    </row>
    <row r="104" spans="1:33" ht="16.5" customHeight="1">
      <c r="A104" s="80"/>
      <c r="B104" s="80"/>
      <c r="C104" s="80"/>
      <c r="D104" s="80"/>
      <c r="E104" s="80"/>
      <c r="F104" s="80"/>
      <c r="G104" s="80"/>
      <c r="H104" s="80"/>
      <c r="I104" s="80"/>
      <c r="J104" s="80"/>
      <c r="K104" s="80"/>
      <c r="L104" s="80"/>
      <c r="M104" s="80"/>
      <c r="N104" s="80"/>
      <c r="O104" s="80"/>
      <c r="P104" s="80"/>
      <c r="Q104" s="80"/>
      <c r="R104" s="80"/>
      <c r="S104" s="80"/>
      <c r="T104" s="80"/>
      <c r="U104" s="8932" t="s">
        <v>363</v>
      </c>
      <c r="V104" s="8933"/>
      <c r="W104" s="751">
        <v>0</v>
      </c>
      <c r="X104" s="38"/>
      <c r="Y104" s="38"/>
      <c r="Z104" s="28"/>
      <c r="AA104" s="80"/>
      <c r="AB104" s="380"/>
      <c r="AC104" s="380"/>
      <c r="AD104" s="80"/>
      <c r="AE104" s="80"/>
      <c r="AF104" s="80"/>
      <c r="AG104" s="80"/>
    </row>
    <row r="105" spans="1:33" ht="16.5" customHeight="1">
      <c r="A105" s="80"/>
      <c r="B105" s="80"/>
      <c r="C105" s="80"/>
      <c r="D105" s="80"/>
      <c r="E105" s="80"/>
      <c r="F105" s="80"/>
      <c r="G105" s="80"/>
      <c r="H105" s="80"/>
      <c r="I105" s="80"/>
      <c r="J105" s="80"/>
      <c r="K105" s="80"/>
      <c r="L105" s="80"/>
      <c r="M105" s="80"/>
      <c r="N105" s="80"/>
      <c r="O105" s="80"/>
      <c r="P105" s="80"/>
      <c r="Q105" s="80"/>
      <c r="R105" s="80"/>
      <c r="S105" s="80"/>
      <c r="T105" s="80"/>
      <c r="U105" s="8762" t="s">
        <v>364</v>
      </c>
      <c r="V105" s="8933"/>
      <c r="W105" s="751">
        <f t="shared" ref="W105:W106" si="3">SUM(Z92)</f>
        <v>2775.2000000000003</v>
      </c>
      <c r="X105" s="38"/>
      <c r="Y105" s="38"/>
      <c r="Z105" s="28"/>
      <c r="AA105" s="80"/>
      <c r="AB105" s="380"/>
      <c r="AC105" s="380"/>
      <c r="AD105" s="80"/>
      <c r="AE105" s="80"/>
      <c r="AF105" s="80"/>
      <c r="AG105" s="80"/>
    </row>
    <row r="106" spans="1:33" ht="16.5" customHeight="1">
      <c r="A106" s="80"/>
      <c r="B106" s="80"/>
      <c r="C106" s="80"/>
      <c r="D106" s="80"/>
      <c r="E106" s="80"/>
      <c r="F106" s="80"/>
      <c r="G106" s="80"/>
      <c r="H106" s="80"/>
      <c r="I106" s="80"/>
      <c r="J106" s="80"/>
      <c r="K106" s="80"/>
      <c r="L106" s="80"/>
      <c r="M106" s="80"/>
      <c r="N106" s="80"/>
      <c r="O106" s="80"/>
      <c r="P106" s="80"/>
      <c r="Q106" s="80"/>
      <c r="R106" s="80"/>
      <c r="S106" s="80"/>
      <c r="T106" s="80"/>
      <c r="U106" s="8762" t="s">
        <v>365</v>
      </c>
      <c r="V106" s="8933"/>
      <c r="W106" s="751">
        <f t="shared" si="3"/>
        <v>1000</v>
      </c>
      <c r="X106" s="39"/>
      <c r="Y106" s="39"/>
      <c r="Z106" s="28"/>
      <c r="AA106" s="80"/>
      <c r="AB106" s="380"/>
      <c r="AC106" s="380"/>
      <c r="AD106" s="80"/>
      <c r="AE106" s="80"/>
      <c r="AF106" s="80"/>
      <c r="AG106" s="80"/>
    </row>
    <row r="107" spans="1:33" ht="16.5" customHeight="1">
      <c r="A107" s="80"/>
      <c r="B107" s="80"/>
      <c r="C107" s="80"/>
      <c r="D107" s="80"/>
      <c r="E107" s="80"/>
      <c r="F107" s="80"/>
      <c r="G107" s="80"/>
      <c r="H107" s="80"/>
      <c r="I107" s="80"/>
      <c r="J107" s="80"/>
      <c r="K107" s="80"/>
      <c r="L107" s="80"/>
      <c r="M107" s="80"/>
      <c r="N107" s="80"/>
      <c r="O107" s="80"/>
      <c r="P107" s="80"/>
      <c r="Q107" s="80"/>
      <c r="R107" s="80"/>
      <c r="S107" s="80"/>
      <c r="T107" s="80"/>
      <c r="U107" s="8762" t="s">
        <v>366</v>
      </c>
      <c r="V107" s="8933"/>
      <c r="W107" s="751">
        <v>0</v>
      </c>
      <c r="X107" s="35"/>
      <c r="Y107" s="35"/>
      <c r="Z107" s="28"/>
      <c r="AA107" s="80"/>
      <c r="AB107" s="380"/>
      <c r="AC107" s="380"/>
      <c r="AD107" s="80"/>
      <c r="AE107" s="80"/>
      <c r="AF107" s="80"/>
      <c r="AG107" s="80"/>
    </row>
    <row r="108" spans="1:33" ht="16.5" customHeight="1">
      <c r="A108" s="80"/>
      <c r="B108" s="80"/>
      <c r="C108" s="80"/>
      <c r="D108" s="80"/>
      <c r="E108" s="80"/>
      <c r="F108" s="80"/>
      <c r="G108" s="80"/>
      <c r="H108" s="80"/>
      <c r="I108" s="80"/>
      <c r="J108" s="80"/>
      <c r="K108" s="80"/>
      <c r="L108" s="80"/>
      <c r="M108" s="80"/>
      <c r="N108" s="80"/>
      <c r="O108" s="80"/>
      <c r="P108" s="80"/>
      <c r="Q108" s="80"/>
      <c r="R108" s="80"/>
      <c r="S108" s="80"/>
      <c r="T108" s="80"/>
      <c r="U108" s="8762" t="s">
        <v>367</v>
      </c>
      <c r="V108" s="8933"/>
      <c r="W108" s="751">
        <v>0</v>
      </c>
      <c r="X108" s="40"/>
      <c r="Y108" s="40"/>
      <c r="Z108" s="28"/>
      <c r="AA108" s="80"/>
      <c r="AB108" s="380"/>
      <c r="AC108" s="380"/>
      <c r="AD108" s="80"/>
      <c r="AE108" s="80"/>
      <c r="AF108" s="80"/>
      <c r="AG108" s="80"/>
    </row>
    <row r="109" spans="1:33" ht="16.5" customHeight="1">
      <c r="A109" s="80"/>
      <c r="B109" s="80"/>
      <c r="C109" s="80"/>
      <c r="D109" s="80"/>
      <c r="E109" s="80"/>
      <c r="F109" s="80"/>
      <c r="G109" s="80"/>
      <c r="H109" s="80"/>
      <c r="I109" s="80"/>
      <c r="J109" s="80"/>
      <c r="K109" s="80"/>
      <c r="L109" s="80"/>
      <c r="M109" s="80"/>
      <c r="N109" s="80"/>
      <c r="O109" s="80"/>
      <c r="P109" s="80"/>
      <c r="Q109" s="80"/>
      <c r="R109" s="80"/>
      <c r="S109" s="80"/>
      <c r="T109" s="80"/>
      <c r="U109" s="8762" t="s">
        <v>368</v>
      </c>
      <c r="V109" s="8933"/>
      <c r="W109" s="751">
        <v>0</v>
      </c>
      <c r="X109" s="40"/>
      <c r="Y109" s="40"/>
      <c r="Z109" s="28"/>
      <c r="AA109" s="80"/>
      <c r="AB109" s="380"/>
      <c r="AC109" s="380"/>
      <c r="AD109" s="80"/>
      <c r="AE109" s="80"/>
      <c r="AF109" s="80"/>
      <c r="AG109" s="80"/>
    </row>
    <row r="110" spans="1:33" ht="16.5" customHeight="1">
      <c r="A110" s="80"/>
      <c r="B110" s="80"/>
      <c r="C110" s="80"/>
      <c r="D110" s="80"/>
      <c r="E110" s="80"/>
      <c r="F110" s="80"/>
      <c r="G110" s="80"/>
      <c r="H110" s="80"/>
      <c r="I110" s="80"/>
      <c r="J110" s="80"/>
      <c r="K110" s="80"/>
      <c r="L110" s="80"/>
      <c r="M110" s="80"/>
      <c r="N110" s="80"/>
      <c r="O110" s="80"/>
      <c r="P110" s="80"/>
      <c r="Q110" s="80"/>
      <c r="R110" s="80"/>
      <c r="S110" s="80"/>
      <c r="T110" s="80"/>
      <c r="U110" s="8762" t="s">
        <v>369</v>
      </c>
      <c r="V110" s="8933"/>
      <c r="W110" s="751">
        <v>0</v>
      </c>
      <c r="X110" s="40"/>
      <c r="Y110" s="40"/>
      <c r="Z110" s="28"/>
      <c r="AA110" s="80"/>
      <c r="AB110" s="380"/>
      <c r="AC110" s="380"/>
      <c r="AD110" s="80"/>
      <c r="AE110" s="80"/>
      <c r="AF110" s="80"/>
      <c r="AG110" s="80"/>
    </row>
    <row r="111" spans="1:33" ht="16.5" customHeight="1">
      <c r="A111" s="80"/>
      <c r="B111" s="80"/>
      <c r="C111" s="80"/>
      <c r="D111" s="80"/>
      <c r="E111" s="80"/>
      <c r="F111" s="80"/>
      <c r="G111" s="80"/>
      <c r="H111" s="80"/>
      <c r="I111" s="80"/>
      <c r="J111" s="80"/>
      <c r="K111" s="80"/>
      <c r="L111" s="80"/>
      <c r="M111" s="80"/>
      <c r="N111" s="80"/>
      <c r="O111" s="80"/>
      <c r="P111" s="80"/>
      <c r="Q111" s="80"/>
      <c r="R111" s="80"/>
      <c r="S111" s="80"/>
      <c r="T111" s="80"/>
      <c r="U111" s="8762" t="s">
        <v>370</v>
      </c>
      <c r="V111" s="8933"/>
      <c r="W111" s="752">
        <v>0</v>
      </c>
      <c r="X111" s="41"/>
      <c r="Y111" s="41"/>
      <c r="Z111" s="28"/>
      <c r="AA111" s="80"/>
      <c r="AB111" s="380"/>
      <c r="AC111" s="380"/>
      <c r="AD111" s="80"/>
      <c r="AE111" s="80"/>
      <c r="AF111" s="80"/>
      <c r="AG111" s="80"/>
    </row>
    <row r="112" spans="1:33" ht="15.75" customHeight="1">
      <c r="U112" s="8927" t="s">
        <v>67</v>
      </c>
      <c r="V112" s="8928"/>
      <c r="W112" s="754">
        <f>SUM(W104:W111)</f>
        <v>3775.2000000000003</v>
      </c>
      <c r="X112" s="39"/>
      <c r="Y112" s="39"/>
      <c r="Z112" s="28"/>
      <c r="AB112" s="803"/>
      <c r="AD112" s="434"/>
    </row>
    <row r="113" spans="28:30" ht="15.75" customHeight="1">
      <c r="AB113" s="803"/>
      <c r="AD113" s="434"/>
    </row>
    <row r="114" spans="28:30" ht="15.75" customHeight="1">
      <c r="AB114" s="803"/>
      <c r="AD114" s="434"/>
    </row>
    <row r="115" spans="28:30" ht="15.75" customHeight="1">
      <c r="AB115" s="803"/>
      <c r="AD115" s="434"/>
    </row>
    <row r="116" spans="28:30" ht="15.75" customHeight="1">
      <c r="AB116" s="803"/>
      <c r="AD116" s="434"/>
    </row>
    <row r="117" spans="28:30" ht="15.75" customHeight="1">
      <c r="AB117" s="803"/>
      <c r="AD117" s="434"/>
    </row>
    <row r="118" spans="28:30" ht="15.75" customHeight="1">
      <c r="AB118" s="803"/>
      <c r="AD118" s="434"/>
    </row>
    <row r="119" spans="28:30" ht="15.75" customHeight="1">
      <c r="AB119" s="803"/>
      <c r="AD119" s="434"/>
    </row>
    <row r="120" spans="28:30" ht="15.75" customHeight="1">
      <c r="AB120" s="803"/>
      <c r="AD120" s="434"/>
    </row>
    <row r="121" spans="28:30" ht="15.75" customHeight="1">
      <c r="AB121" s="803"/>
      <c r="AD121" s="434"/>
    </row>
    <row r="122" spans="28:30" ht="15.75" customHeight="1">
      <c r="AB122" s="803"/>
      <c r="AD122" s="434"/>
    </row>
    <row r="123" spans="28:30" ht="15.75" customHeight="1">
      <c r="AB123" s="803"/>
      <c r="AD123" s="434"/>
    </row>
  </sheetData>
  <mergeCells count="320">
    <mergeCell ref="A67:A77"/>
    <mergeCell ref="B67:B77"/>
    <mergeCell ref="A78:A85"/>
    <mergeCell ref="B78:B84"/>
    <mergeCell ref="A9:A17"/>
    <mergeCell ref="B9:B17"/>
    <mergeCell ref="A18:A30"/>
    <mergeCell ref="B18:B30"/>
    <mergeCell ref="A31:A39"/>
    <mergeCell ref="B31:B39"/>
    <mergeCell ref="A40:A54"/>
    <mergeCell ref="B40:B53"/>
    <mergeCell ref="A55:A66"/>
    <mergeCell ref="B55:B66"/>
    <mergeCell ref="N55:N59"/>
    <mergeCell ref="N80:N84"/>
    <mergeCell ref="C80:C84"/>
    <mergeCell ref="D80:D84"/>
    <mergeCell ref="E80:E84"/>
    <mergeCell ref="F80:F84"/>
    <mergeCell ref="G80:G84"/>
    <mergeCell ref="H80:H84"/>
    <mergeCell ref="I80:I84"/>
    <mergeCell ref="J80:J84"/>
    <mergeCell ref="K80:K84"/>
    <mergeCell ref="C75:C79"/>
    <mergeCell ref="D75:D79"/>
    <mergeCell ref="E75:E79"/>
    <mergeCell ref="F75:F79"/>
    <mergeCell ref="G75:G79"/>
    <mergeCell ref="H75:H79"/>
    <mergeCell ref="I75:I79"/>
    <mergeCell ref="J75:J79"/>
    <mergeCell ref="K75:K79"/>
    <mergeCell ref="J70:J74"/>
    <mergeCell ref="K70:K74"/>
    <mergeCell ref="L70:L74"/>
    <mergeCell ref="M70:M74"/>
    <mergeCell ref="S85:Z85"/>
    <mergeCell ref="AE85:AH85"/>
    <mergeCell ref="S86:Y86"/>
    <mergeCell ref="AE86:AH86"/>
    <mergeCell ref="L75:L79"/>
    <mergeCell ref="M75:M79"/>
    <mergeCell ref="O75:O79"/>
    <mergeCell ref="P75:P79"/>
    <mergeCell ref="Q75:Q79"/>
    <mergeCell ref="R75:R79"/>
    <mergeCell ref="AH75:AH79"/>
    <mergeCell ref="L80:L84"/>
    <mergeCell ref="M80:M84"/>
    <mergeCell ref="O80:O84"/>
    <mergeCell ref="P80:P84"/>
    <mergeCell ref="Q80:Q84"/>
    <mergeCell ref="R80:R84"/>
    <mergeCell ref="AH80:AH84"/>
    <mergeCell ref="N75:N79"/>
    <mergeCell ref="O70:O74"/>
    <mergeCell ref="P70:P74"/>
    <mergeCell ref="Q70:Q74"/>
    <mergeCell ref="R70:R74"/>
    <mergeCell ref="AH70:AH74"/>
    <mergeCell ref="N70:N74"/>
    <mergeCell ref="L60:L64"/>
    <mergeCell ref="M60:M64"/>
    <mergeCell ref="O60:O64"/>
    <mergeCell ref="P60:P64"/>
    <mergeCell ref="Q60:Q64"/>
    <mergeCell ref="R60:R64"/>
    <mergeCell ref="AH60:AH64"/>
    <mergeCell ref="L65:L69"/>
    <mergeCell ref="M65:M69"/>
    <mergeCell ref="O65:O69"/>
    <mergeCell ref="P65:P69"/>
    <mergeCell ref="Q65:Q69"/>
    <mergeCell ref="R65:R69"/>
    <mergeCell ref="AH65:AH69"/>
    <mergeCell ref="N65:N69"/>
    <mergeCell ref="N60:N64"/>
    <mergeCell ref="C65:C69"/>
    <mergeCell ref="D65:D69"/>
    <mergeCell ref="E65:E69"/>
    <mergeCell ref="F65:F69"/>
    <mergeCell ref="G65:G69"/>
    <mergeCell ref="H65:H69"/>
    <mergeCell ref="I65:I69"/>
    <mergeCell ref="J65:J69"/>
    <mergeCell ref="K65:K69"/>
    <mergeCell ref="C55:C59"/>
    <mergeCell ref="D55:D59"/>
    <mergeCell ref="E55:E59"/>
    <mergeCell ref="F55:F59"/>
    <mergeCell ref="G55:G59"/>
    <mergeCell ref="H55:H59"/>
    <mergeCell ref="I55:I59"/>
    <mergeCell ref="J55:J59"/>
    <mergeCell ref="C60:C64"/>
    <mergeCell ref="D60:D64"/>
    <mergeCell ref="E60:E64"/>
    <mergeCell ref="F60:F64"/>
    <mergeCell ref="G60:G64"/>
    <mergeCell ref="H60:H64"/>
    <mergeCell ref="I60:I64"/>
    <mergeCell ref="J60:J64"/>
    <mergeCell ref="C70:C74"/>
    <mergeCell ref="D70:D74"/>
    <mergeCell ref="E70:E74"/>
    <mergeCell ref="F70:F74"/>
    <mergeCell ref="G70:G74"/>
    <mergeCell ref="H70:H74"/>
    <mergeCell ref="I70:I74"/>
    <mergeCell ref="Z7:AD7"/>
    <mergeCell ref="D24:D28"/>
    <mergeCell ref="E24:E28"/>
    <mergeCell ref="F24:F28"/>
    <mergeCell ref="G24:G28"/>
    <mergeCell ref="H24:H28"/>
    <mergeCell ref="I24:I28"/>
    <mergeCell ref="Q24:Q28"/>
    <mergeCell ref="R24:R28"/>
    <mergeCell ref="J24:J28"/>
    <mergeCell ref="K24:K28"/>
    <mergeCell ref="L24:L28"/>
    <mergeCell ref="M24:M28"/>
    <mergeCell ref="N24:N28"/>
    <mergeCell ref="O24:O28"/>
    <mergeCell ref="P24:P28"/>
    <mergeCell ref="Q9:Q13"/>
    <mergeCell ref="R34:R38"/>
    <mergeCell ref="J29:J33"/>
    <mergeCell ref="K29:K33"/>
    <mergeCell ref="L29:L33"/>
    <mergeCell ref="M29:M33"/>
    <mergeCell ref="N29:N33"/>
    <mergeCell ref="O29:O33"/>
    <mergeCell ref="P29:P33"/>
    <mergeCell ref="Q29:Q33"/>
    <mergeCell ref="R29:R33"/>
    <mergeCell ref="G14:G18"/>
    <mergeCell ref="H14:H18"/>
    <mergeCell ref="I14:I18"/>
    <mergeCell ref="J9:J13"/>
    <mergeCell ref="M34:M38"/>
    <mergeCell ref="N34:N38"/>
    <mergeCell ref="O34:O38"/>
    <mergeCell ref="P34:P38"/>
    <mergeCell ref="Q34:Q38"/>
    <mergeCell ref="K14:K18"/>
    <mergeCell ref="K19:K23"/>
    <mergeCell ref="Q44:Q48"/>
    <mergeCell ref="R44:R48"/>
    <mergeCell ref="C39:C43"/>
    <mergeCell ref="D39:D43"/>
    <mergeCell ref="E39:E43"/>
    <mergeCell ref="F39:F43"/>
    <mergeCell ref="G39:G43"/>
    <mergeCell ref="H39:H43"/>
    <mergeCell ref="I39:I43"/>
    <mergeCell ref="Q39:Q43"/>
    <mergeCell ref="R39:R43"/>
    <mergeCell ref="J39:J43"/>
    <mergeCell ref="K39:K43"/>
    <mergeCell ref="L39:L43"/>
    <mergeCell ref="M39:M43"/>
    <mergeCell ref="N39:N43"/>
    <mergeCell ref="O39:O43"/>
    <mergeCell ref="P39:P43"/>
    <mergeCell ref="D7:D8"/>
    <mergeCell ref="C9:C13"/>
    <mergeCell ref="D9:D13"/>
    <mergeCell ref="C14:C18"/>
    <mergeCell ref="D14:D18"/>
    <mergeCell ref="L49:L53"/>
    <mergeCell ref="L14:L18"/>
    <mergeCell ref="E9:E13"/>
    <mergeCell ref="F9:F13"/>
    <mergeCell ref="G9:G13"/>
    <mergeCell ref="H9:H13"/>
    <mergeCell ref="I9:I13"/>
    <mergeCell ref="L7:L8"/>
    <mergeCell ref="J34:J38"/>
    <mergeCell ref="K34:K38"/>
    <mergeCell ref="C49:C53"/>
    <mergeCell ref="D49:D53"/>
    <mergeCell ref="E49:E53"/>
    <mergeCell ref="F49:F53"/>
    <mergeCell ref="G49:G53"/>
    <mergeCell ref="L34:L38"/>
    <mergeCell ref="J14:J18"/>
    <mergeCell ref="E14:E18"/>
    <mergeCell ref="F14:F18"/>
    <mergeCell ref="J6:R6"/>
    <mergeCell ref="S6:AH6"/>
    <mergeCell ref="S7:Y7"/>
    <mergeCell ref="AE7:AG7"/>
    <mergeCell ref="AH7:AH8"/>
    <mergeCell ref="A1:AH1"/>
    <mergeCell ref="A2:AH2"/>
    <mergeCell ref="A3:AH3"/>
    <mergeCell ref="A4:AH4"/>
    <mergeCell ref="A6:B8"/>
    <mergeCell ref="C6:D6"/>
    <mergeCell ref="E6:I6"/>
    <mergeCell ref="G7:G8"/>
    <mergeCell ref="H7:H8"/>
    <mergeCell ref="I7:I8"/>
    <mergeCell ref="J7:J8"/>
    <mergeCell ref="M7:O7"/>
    <mergeCell ref="P7:P8"/>
    <mergeCell ref="Q7:Q8"/>
    <mergeCell ref="R7:R8"/>
    <mergeCell ref="E7:E8"/>
    <mergeCell ref="F7:F8"/>
    <mergeCell ref="K7:K8"/>
    <mergeCell ref="C7:C8"/>
    <mergeCell ref="AH19:AH23"/>
    <mergeCell ref="N14:N18"/>
    <mergeCell ref="O14:O18"/>
    <mergeCell ref="P14:P18"/>
    <mergeCell ref="Q14:Q18"/>
    <mergeCell ref="R14:R18"/>
    <mergeCell ref="AH24:AH28"/>
    <mergeCell ref="AH9:AH13"/>
    <mergeCell ref="K9:K13"/>
    <mergeCell ref="L9:L13"/>
    <mergeCell ref="M9:M13"/>
    <mergeCell ref="N9:N13"/>
    <mergeCell ref="O9:O13"/>
    <mergeCell ref="P9:P13"/>
    <mergeCell ref="AH14:AH18"/>
    <mergeCell ref="M14:M18"/>
    <mergeCell ref="R9:R13"/>
    <mergeCell ref="AH29:AH33"/>
    <mergeCell ref="C19:C23"/>
    <mergeCell ref="D19:D23"/>
    <mergeCell ref="E19:E23"/>
    <mergeCell ref="F19:F23"/>
    <mergeCell ref="G19:G23"/>
    <mergeCell ref="H19:H23"/>
    <mergeCell ref="I19:I23"/>
    <mergeCell ref="Q19:Q23"/>
    <mergeCell ref="R19:R23"/>
    <mergeCell ref="L19:L23"/>
    <mergeCell ref="M19:M23"/>
    <mergeCell ref="N19:N23"/>
    <mergeCell ref="O19:O23"/>
    <mergeCell ref="P19:P23"/>
    <mergeCell ref="C29:C33"/>
    <mergeCell ref="D29:D33"/>
    <mergeCell ref="E29:E33"/>
    <mergeCell ref="F29:F33"/>
    <mergeCell ref="G29:G33"/>
    <mergeCell ref="H29:H33"/>
    <mergeCell ref="I29:I33"/>
    <mergeCell ref="C24:C28"/>
    <mergeCell ref="J19:J23"/>
    <mergeCell ref="AH34:AH38"/>
    <mergeCell ref="AH39:AH43"/>
    <mergeCell ref="AH44:AH48"/>
    <mergeCell ref="C34:C38"/>
    <mergeCell ref="D34:D38"/>
    <mergeCell ref="E34:E38"/>
    <mergeCell ref="F34:F38"/>
    <mergeCell ref="G34:G38"/>
    <mergeCell ref="H34:H38"/>
    <mergeCell ref="I34:I38"/>
    <mergeCell ref="J44:J48"/>
    <mergeCell ref="K44:K48"/>
    <mergeCell ref="L44:L48"/>
    <mergeCell ref="M44:M48"/>
    <mergeCell ref="N44:N48"/>
    <mergeCell ref="O44:O48"/>
    <mergeCell ref="P44:P48"/>
    <mergeCell ref="C44:C48"/>
    <mergeCell ref="D44:D48"/>
    <mergeCell ref="E44:E48"/>
    <mergeCell ref="F44:F48"/>
    <mergeCell ref="G44:G48"/>
    <mergeCell ref="H44:H48"/>
    <mergeCell ref="I44:I48"/>
    <mergeCell ref="H49:H53"/>
    <mergeCell ref="I49:I53"/>
    <mergeCell ref="J49:J53"/>
    <mergeCell ref="K49:K53"/>
    <mergeCell ref="AH49:AH53"/>
    <mergeCell ref="S54:Z54"/>
    <mergeCell ref="AE54:AH54"/>
    <mergeCell ref="S87:AH87"/>
    <mergeCell ref="U89:Z89"/>
    <mergeCell ref="N49:N53"/>
    <mergeCell ref="O49:O53"/>
    <mergeCell ref="P49:P53"/>
    <mergeCell ref="Q49:Q53"/>
    <mergeCell ref="R49:R53"/>
    <mergeCell ref="M49:M53"/>
    <mergeCell ref="K55:K59"/>
    <mergeCell ref="L55:L59"/>
    <mergeCell ref="M55:M59"/>
    <mergeCell ref="O55:O59"/>
    <mergeCell ref="P55:P59"/>
    <mergeCell ref="Q55:Q59"/>
    <mergeCell ref="R55:R59"/>
    <mergeCell ref="AH55:AH59"/>
    <mergeCell ref="K60:K64"/>
    <mergeCell ref="U112:V112"/>
    <mergeCell ref="U103:W103"/>
    <mergeCell ref="U104:V104"/>
    <mergeCell ref="U105:V105"/>
    <mergeCell ref="U106:V106"/>
    <mergeCell ref="U107:V107"/>
    <mergeCell ref="U108:V108"/>
    <mergeCell ref="U109:V109"/>
    <mergeCell ref="U97:W97"/>
    <mergeCell ref="U98:V98"/>
    <mergeCell ref="U99:V99"/>
    <mergeCell ref="U100:V100"/>
    <mergeCell ref="U101:V101"/>
    <mergeCell ref="U102:V102"/>
    <mergeCell ref="U110:V110"/>
    <mergeCell ref="U111:V111"/>
  </mergeCells>
  <dataValidations count="3">
    <dataValidation type="list" allowBlank="1" showErrorMessage="1" sqref="F9 F14 F19 F24 F29 F34 F39 F44 F49" xr:uid="{00000000-0002-0000-0200-000000000000}">
      <formula1>INDIRECT($E9)</formula1>
    </dataValidation>
    <dataValidation type="list" allowBlank="1" showErrorMessage="1" sqref="E9 E14 E19 E24 E29 E34 E39 E44 E49" xr:uid="{00000000-0002-0000-0200-000001000000}">
      <formula1>INDIRECT($G9)</formula1>
    </dataValidation>
    <dataValidation type="decimal" allowBlank="1" showInputMessage="1" showErrorMessage="1" prompt="DPLAN - Sólo debe ingresar valores, NO porcentajes." sqref="M14:O14 M19:O19 M24:O24 M29:O29 M39:O39 M44:O44 M49:O49" xr:uid="{00000000-0002-0000-02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&amp;LProcuraduría General&amp;C&amp;P</oddHeader>
  </headerFooter>
  <drawing r:id="rId2"/>
  <extLst>
    <ext xmlns:x14="http://schemas.microsoft.com/office/spreadsheetml/2009/9/main" uri="{CCE6A557-97BC-4b89-ADB6-D9C93CAAB3DF}">
      <x14:dataValidations xmlns:xm="http://schemas.microsoft.com/office/excel/2006/main" count="4">
        <x14:dataValidation type="list" allowBlank="1" showErrorMessage="1" xr:uid="{00000000-0002-0000-0200-000003000000}">
          <x14:formula1>
            <xm:f>'https://utmachalaeduec-my.sharepoint.com/personal/planificacion_utmachala_edu_ec/Documents/Gestión 2023/G.06 EMISION DE INSUMOS PARA ELAB. DE LA PROF, PRESUPUESTARIA Y SUS REFORMAS/REFORMA N° 002-2023/[PND]PND'!#REF!</xm:f>
          </x14:formula1>
          <xm:sqref>C9:D9 C14:D14 C19:D19 C24:D24 C29:D29 C34:D34 C39:D39 C44:D44 C49:D49</xm:sqref>
        </x14:dataValidation>
        <x14:dataValidation type="list" allowBlank="1" showErrorMessage="1" xr:uid="{00000000-0002-0000-0200-000004000000}">
          <x14:formula1>
            <xm:f>('https://utmachalaeduec-my.sharepoint.com/personal/planificacion_utmachala_edu_ec/Documents/Gestión 2023/G.06 EMISION DE INSUMOS PARA ELAB. DE LA PROF, PRESUPUESTARIA Y SUS REFORMAS/REFORMA N° 002-2023/[PEDI]PEDI'!#REF!)</xm:f>
          </x14:formula1>
          <xm:sqref>H9 H14 H19 H24 H29 H34 H39 H44 H49</xm:sqref>
        </x14:dataValidation>
        <x14:dataValidation type="list" allowBlank="1" showErrorMessage="1" xr:uid="{00000000-0002-0000-0200-000005000000}">
          <x14:formula1>
            <xm:f>'https://utmachalaeduec-my.sharepoint.com/personal/planificacion_utmachala_edu_ec/Documents/Gestión 2023/G.06 EMISION DE INSUMOS PARA ELAB. DE LA PROF, PRESUPUESTARIA Y SUS REFORMAS/REFORMA N° 002-2023/[PEDI]PEDI'!#REF!</xm:f>
          </x14:formula1>
          <xm:sqref>G9 G14 G19 G24 G29 G34 G39 G44 G49</xm:sqref>
        </x14:dataValidation>
        <x14:dataValidation type="list" allowBlank="1" showErrorMessage="1" xr:uid="{00000000-0002-0000-02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I34 I39 I44 I49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92"/>
  <sheetViews>
    <sheetView zoomScaleNormal="100" workbookViewId="0">
      <selection activeCell="B4" sqref="B4"/>
    </sheetView>
  </sheetViews>
  <sheetFormatPr baseColWidth="10" defaultColWidth="12.42578125" defaultRowHeight="12.75"/>
  <cols>
    <col min="1" max="1" width="1.85546875" style="1477" customWidth="1"/>
    <col min="2" max="2" width="26.85546875" style="1477" customWidth="1"/>
    <col min="3" max="3" width="31" style="1477" customWidth="1"/>
    <col min="4" max="4" width="17" style="1477" bestFit="1" customWidth="1"/>
    <col min="5" max="5" width="20.140625" style="1477" bestFit="1" customWidth="1"/>
    <col min="6" max="6" width="15.140625" style="1477" bestFit="1" customWidth="1"/>
    <col min="7" max="7" width="17" style="1477" bestFit="1" customWidth="1"/>
    <col min="8" max="8" width="16.42578125" style="1477" bestFit="1" customWidth="1"/>
    <col min="9" max="10" width="14.7109375" style="1477" customWidth="1"/>
    <col min="11" max="11" width="16.42578125" style="1476" bestFit="1" customWidth="1"/>
    <col min="12" max="12" width="14" style="1477" customWidth="1"/>
    <col min="13" max="16384" width="12.42578125" style="1477"/>
  </cols>
  <sheetData>
    <row r="1" spans="2:11" s="1476" customFormat="1" ht="18.75">
      <c r="B1" s="11368" t="s">
        <v>0</v>
      </c>
      <c r="C1" s="11368"/>
      <c r="D1" s="11368"/>
      <c r="E1" s="11368"/>
      <c r="F1" s="11368"/>
      <c r="G1" s="11368"/>
      <c r="H1" s="11368"/>
      <c r="I1" s="11368"/>
      <c r="J1" s="1475"/>
    </row>
    <row r="2" spans="2:11" s="1476" customFormat="1" ht="18.75">
      <c r="B2" s="11368" t="s">
        <v>6665</v>
      </c>
      <c r="C2" s="11368"/>
      <c r="D2" s="11368"/>
      <c r="E2" s="11368"/>
      <c r="F2" s="11368"/>
      <c r="G2" s="11368"/>
      <c r="H2" s="11368"/>
      <c r="I2" s="11368"/>
      <c r="J2" s="1475"/>
    </row>
    <row r="3" spans="2:11" s="1476" customFormat="1" ht="12.75" customHeight="1">
      <c r="B3" s="1475"/>
      <c r="C3" s="1475"/>
      <c r="D3" s="1475"/>
      <c r="E3" s="1475"/>
      <c r="F3" s="1475"/>
      <c r="G3" s="1475"/>
      <c r="H3" s="1475"/>
      <c r="I3" s="1477"/>
      <c r="J3" s="1477"/>
    </row>
    <row r="4" spans="2:11" s="1476" customFormat="1" ht="15">
      <c r="B4" s="1478" t="s">
        <v>6480</v>
      </c>
      <c r="C4" s="1479" t="s">
        <v>413</v>
      </c>
      <c r="D4" s="1479"/>
      <c r="E4" s="1479"/>
      <c r="F4" s="1479"/>
      <c r="G4" s="1479"/>
      <c r="H4" s="1480"/>
      <c r="I4" s="1480"/>
      <c r="J4" s="1480"/>
    </row>
    <row r="5" spans="2:11" s="1476" customFormat="1">
      <c r="B5" s="1479" t="s">
        <v>6479</v>
      </c>
      <c r="C5" s="1479"/>
      <c r="D5" s="1479"/>
      <c r="E5" s="1479"/>
      <c r="F5" s="1479"/>
      <c r="G5" s="1479"/>
      <c r="H5" s="1480"/>
      <c r="I5" s="1480"/>
      <c r="J5" s="1480"/>
    </row>
    <row r="6" spans="2:11" s="1476" customFormat="1">
      <c r="B6" s="1479"/>
      <c r="C6" s="1479"/>
      <c r="D6" s="1479"/>
      <c r="E6" s="1479"/>
      <c r="F6" s="1479"/>
      <c r="G6" s="1479"/>
      <c r="H6" s="1480"/>
      <c r="I6" s="1480"/>
      <c r="J6" s="1477"/>
    </row>
    <row r="7" spans="2:11" s="1486" customFormat="1" ht="39.75" customHeight="1">
      <c r="B7" s="11369" t="s">
        <v>6666</v>
      </c>
      <c r="C7" s="11369" t="s">
        <v>6</v>
      </c>
      <c r="D7" s="11371" t="s">
        <v>6667</v>
      </c>
      <c r="E7" s="1481" t="s">
        <v>6483</v>
      </c>
      <c r="F7" s="1482" t="s">
        <v>6484</v>
      </c>
      <c r="G7" s="1483" t="s">
        <v>6485</v>
      </c>
      <c r="H7" s="1484" t="s">
        <v>6668</v>
      </c>
      <c r="I7" s="1485" t="s">
        <v>6487</v>
      </c>
    </row>
    <row r="8" spans="2:11" s="1486" customFormat="1" ht="20.100000000000001" customHeight="1">
      <c r="B8" s="11370"/>
      <c r="C8" s="11370"/>
      <c r="D8" s="11372"/>
      <c r="E8" s="1487" t="s">
        <v>6488</v>
      </c>
      <c r="F8" s="1482" t="s">
        <v>6489</v>
      </c>
      <c r="G8" s="1483" t="s">
        <v>6490</v>
      </c>
      <c r="H8" s="1488" t="s">
        <v>6491</v>
      </c>
      <c r="I8" s="1489" t="s">
        <v>6492</v>
      </c>
    </row>
    <row r="9" spans="2:11" s="1476" customFormat="1">
      <c r="B9" s="1490" t="s">
        <v>6669</v>
      </c>
      <c r="C9" s="1491" t="s">
        <v>6670</v>
      </c>
      <c r="D9" s="1492">
        <f t="shared" ref="D9:D11" si="0">+SUM(E9:I9)</f>
        <v>6943147.2800000003</v>
      </c>
      <c r="E9" s="1492">
        <v>6943147.2800000003</v>
      </c>
      <c r="F9" s="1492"/>
      <c r="G9" s="1492"/>
      <c r="H9" s="1492"/>
      <c r="I9" s="1492"/>
    </row>
    <row r="10" spans="2:11" s="1476" customFormat="1">
      <c r="B10" s="1493" t="s">
        <v>6671</v>
      </c>
      <c r="C10" s="1491" t="s">
        <v>6670</v>
      </c>
      <c r="D10" s="1492">
        <f t="shared" si="0"/>
        <v>28382726.440000001</v>
      </c>
      <c r="E10" s="1492"/>
      <c r="F10" s="1492"/>
      <c r="G10" s="1492">
        <v>28382726.440000001</v>
      </c>
      <c r="H10" s="1492"/>
      <c r="I10" s="1492"/>
    </row>
    <row r="11" spans="2:11" s="1476" customFormat="1" ht="14.45" customHeight="1">
      <c r="B11" s="1494" t="s">
        <v>6672</v>
      </c>
      <c r="C11" s="1491" t="s">
        <v>6670</v>
      </c>
      <c r="D11" s="1492">
        <f t="shared" si="0"/>
        <v>856577.7</v>
      </c>
      <c r="E11" s="1492"/>
      <c r="F11" s="1492"/>
      <c r="G11" s="1492"/>
      <c r="H11" s="1492">
        <v>856577.7</v>
      </c>
      <c r="I11" s="1492"/>
    </row>
    <row r="12" spans="2:11" s="1476" customFormat="1" ht="14.45" customHeight="1">
      <c r="B12" s="2003" t="s">
        <v>6927</v>
      </c>
      <c r="C12" s="1491" t="s">
        <v>6928</v>
      </c>
      <c r="D12" s="1492">
        <f>I12</f>
        <v>89243.54</v>
      </c>
      <c r="E12" s="1492"/>
      <c r="F12" s="1492"/>
      <c r="G12" s="1492"/>
      <c r="H12" s="1492"/>
      <c r="I12" s="1492">
        <v>89243.54</v>
      </c>
    </row>
    <row r="13" spans="2:11" s="1476" customFormat="1">
      <c r="B13" s="1495" t="s">
        <v>6673</v>
      </c>
      <c r="C13" s="1491" t="s">
        <v>6674</v>
      </c>
      <c r="D13" s="1492">
        <f>+SUM(E13:I13)</f>
        <v>730000</v>
      </c>
      <c r="E13" s="1492"/>
      <c r="F13" s="1492">
        <v>730000</v>
      </c>
      <c r="G13" s="1492"/>
      <c r="H13" s="1492"/>
      <c r="I13" s="1492"/>
    </row>
    <row r="14" spans="2:11" s="1476" customFormat="1">
      <c r="B14" s="1495" t="s">
        <v>6675</v>
      </c>
      <c r="C14" s="1491" t="s">
        <v>6676</v>
      </c>
      <c r="D14" s="1492">
        <f>+SUM(E14:I14)</f>
        <v>40169</v>
      </c>
      <c r="E14" s="1492"/>
      <c r="F14" s="1492">
        <v>40169</v>
      </c>
      <c r="G14" s="1492"/>
      <c r="H14" s="1492"/>
      <c r="I14" s="1492"/>
    </row>
    <row r="15" spans="2:11">
      <c r="B15" s="1496"/>
      <c r="C15" s="1497" t="s">
        <v>6677</v>
      </c>
      <c r="D15" s="1498">
        <f t="shared" ref="D15:I15" si="1">SUM(D9:D14)</f>
        <v>37041863.960000001</v>
      </c>
      <c r="E15" s="1498">
        <f t="shared" si="1"/>
        <v>6943147.2800000003</v>
      </c>
      <c r="F15" s="1498">
        <f t="shared" si="1"/>
        <v>770169</v>
      </c>
      <c r="G15" s="1498">
        <f t="shared" si="1"/>
        <v>28382726.440000001</v>
      </c>
      <c r="H15" s="1498">
        <f t="shared" si="1"/>
        <v>856577.7</v>
      </c>
      <c r="I15" s="1498">
        <f t="shared" si="1"/>
        <v>89243.54</v>
      </c>
      <c r="K15" s="1477"/>
    </row>
    <row r="16" spans="2:11">
      <c r="B16" s="1499"/>
      <c r="C16" s="1500"/>
      <c r="D16" s="1501"/>
      <c r="E16" s="1501"/>
      <c r="F16" s="1479"/>
      <c r="G16" s="1479"/>
      <c r="H16" s="1502"/>
      <c r="I16" s="1503"/>
    </row>
    <row r="17" spans="2:14" ht="15">
      <c r="B17" s="1504" t="s">
        <v>6504</v>
      </c>
      <c r="C17" s="1505"/>
      <c r="D17" s="1506"/>
      <c r="E17" s="1476"/>
      <c r="F17" s="1507"/>
      <c r="G17" s="1508"/>
    </row>
    <row r="18" spans="2:14" ht="25.5">
      <c r="B18" s="1509" t="s">
        <v>7</v>
      </c>
      <c r="C18" s="1509" t="s">
        <v>6505</v>
      </c>
      <c r="D18" s="1510" t="s">
        <v>6667</v>
      </c>
      <c r="E18" s="1510" t="s">
        <v>6678</v>
      </c>
      <c r="F18" s="1510" t="s">
        <v>6679</v>
      </c>
      <c r="G18" s="1510" t="s">
        <v>6680</v>
      </c>
      <c r="H18" s="1510" t="s">
        <v>6681</v>
      </c>
      <c r="I18" s="1511" t="s">
        <v>6488</v>
      </c>
      <c r="J18" s="1512" t="s">
        <v>6489</v>
      </c>
      <c r="K18" s="1513" t="s">
        <v>6508</v>
      </c>
      <c r="L18" s="1514" t="s">
        <v>6491</v>
      </c>
      <c r="M18" s="1515" t="s">
        <v>6492</v>
      </c>
    </row>
    <row r="19" spans="2:14">
      <c r="B19" s="1516" t="s">
        <v>6510</v>
      </c>
      <c r="C19" s="1517" t="s">
        <v>6511</v>
      </c>
      <c r="D19" s="1518"/>
      <c r="E19" s="1518"/>
      <c r="F19" s="1518"/>
      <c r="G19" s="1518"/>
      <c r="H19" s="1518"/>
      <c r="I19" s="1519"/>
      <c r="J19" s="1519"/>
      <c r="K19" s="1519"/>
      <c r="L19" s="1520"/>
      <c r="M19" s="1520"/>
    </row>
    <row r="20" spans="2:14">
      <c r="B20" s="1493" t="s">
        <v>6512</v>
      </c>
      <c r="C20" s="1521" t="s">
        <v>3008</v>
      </c>
      <c r="D20" s="1518">
        <v>3618628.48</v>
      </c>
      <c r="E20" s="1518"/>
      <c r="F20" s="1518"/>
      <c r="G20" s="1518">
        <f t="shared" ref="G20:G101" si="2">+D20+E20-F20</f>
        <v>3618628.48</v>
      </c>
      <c r="H20" s="1518">
        <f>+SUM(I20:M20)</f>
        <v>3618628.48</v>
      </c>
      <c r="I20" s="1518"/>
      <c r="J20" s="1518"/>
      <c r="K20" s="1522">
        <f>G20</f>
        <v>3618628.48</v>
      </c>
      <c r="L20" s="1518"/>
      <c r="M20" s="1518"/>
      <c r="N20" s="1523"/>
    </row>
    <row r="21" spans="2:14">
      <c r="B21" s="1493" t="s">
        <v>6513</v>
      </c>
      <c r="C21" s="1524" t="s">
        <v>3010</v>
      </c>
      <c r="D21" s="1518">
        <v>1009212.0800000001</v>
      </c>
      <c r="E21" s="1518"/>
      <c r="F21" s="1518"/>
      <c r="G21" s="1518">
        <f t="shared" si="2"/>
        <v>1009212.0800000001</v>
      </c>
      <c r="H21" s="1518">
        <f t="shared" ref="H21:H73" si="3">+SUM(I21:M21)</f>
        <v>1009212.0800000001</v>
      </c>
      <c r="I21" s="1518"/>
      <c r="J21" s="1518"/>
      <c r="K21" s="1522">
        <f t="shared" ref="K21:K37" si="4">G21</f>
        <v>1009212.0800000001</v>
      </c>
      <c r="L21" s="1518"/>
      <c r="M21" s="1518"/>
      <c r="N21" s="1523"/>
    </row>
    <row r="22" spans="2:14">
      <c r="B22" s="1493" t="s">
        <v>6514</v>
      </c>
      <c r="C22" s="1524" t="s">
        <v>6682</v>
      </c>
      <c r="D22" s="1518">
        <v>828059.49</v>
      </c>
      <c r="E22" s="1518"/>
      <c r="F22" s="1518"/>
      <c r="G22" s="1518">
        <f t="shared" si="2"/>
        <v>828059.49</v>
      </c>
      <c r="H22" s="1518">
        <f t="shared" si="3"/>
        <v>828059.49</v>
      </c>
      <c r="I22" s="1518"/>
      <c r="J22" s="1518"/>
      <c r="K22" s="1522">
        <f t="shared" si="4"/>
        <v>828059.49</v>
      </c>
      <c r="L22" s="1518"/>
      <c r="M22" s="1518"/>
      <c r="N22" s="1523"/>
    </row>
    <row r="23" spans="2:14">
      <c r="B23" s="1493" t="s">
        <v>6515</v>
      </c>
      <c r="C23" s="1524" t="s">
        <v>3013</v>
      </c>
      <c r="D23" s="1518">
        <v>514670.12</v>
      </c>
      <c r="E23" s="1518"/>
      <c r="F23" s="1518"/>
      <c r="G23" s="1518">
        <f t="shared" si="2"/>
        <v>514670.12</v>
      </c>
      <c r="H23" s="1518">
        <f t="shared" si="3"/>
        <v>514670.12</v>
      </c>
      <c r="I23" s="1518"/>
      <c r="J23" s="1518"/>
      <c r="K23" s="1522">
        <f t="shared" si="4"/>
        <v>514670.12</v>
      </c>
      <c r="L23" s="1518"/>
      <c r="M23" s="1518"/>
      <c r="N23" s="1523"/>
    </row>
    <row r="24" spans="2:14">
      <c r="B24" s="1493" t="s">
        <v>6517</v>
      </c>
      <c r="C24" s="1524" t="s">
        <v>3014</v>
      </c>
      <c r="D24" s="1518">
        <v>191875.81</v>
      </c>
      <c r="E24" s="1518"/>
      <c r="F24" s="1518"/>
      <c r="G24" s="1518">
        <f t="shared" si="2"/>
        <v>191875.81</v>
      </c>
      <c r="H24" s="1518">
        <f t="shared" si="3"/>
        <v>191875.81</v>
      </c>
      <c r="I24" s="1518"/>
      <c r="J24" s="1518"/>
      <c r="K24" s="1522">
        <f t="shared" si="4"/>
        <v>191875.81</v>
      </c>
      <c r="L24" s="1518"/>
      <c r="M24" s="1518"/>
      <c r="N24" s="1523"/>
    </row>
    <row r="25" spans="2:14">
      <c r="B25" s="1493" t="s">
        <v>6519</v>
      </c>
      <c r="C25" s="1524" t="s">
        <v>3016</v>
      </c>
      <c r="D25" s="1518">
        <v>15000</v>
      </c>
      <c r="E25" s="1518"/>
      <c r="F25" s="1518"/>
      <c r="G25" s="1518">
        <f t="shared" si="2"/>
        <v>15000</v>
      </c>
      <c r="H25" s="1518">
        <f t="shared" si="3"/>
        <v>15000</v>
      </c>
      <c r="I25" s="1518"/>
      <c r="J25" s="1518"/>
      <c r="K25" s="1522">
        <f t="shared" si="4"/>
        <v>15000</v>
      </c>
      <c r="L25" s="1518"/>
      <c r="M25" s="1518"/>
      <c r="N25" s="1523"/>
    </row>
    <row r="26" spans="2:14">
      <c r="B26" s="1493" t="s">
        <v>6520</v>
      </c>
      <c r="C26" s="1524" t="s">
        <v>3018</v>
      </c>
      <c r="D26" s="1518">
        <v>95000</v>
      </c>
      <c r="E26" s="1518"/>
      <c r="F26" s="1518"/>
      <c r="G26" s="1518">
        <f t="shared" si="2"/>
        <v>95000</v>
      </c>
      <c r="H26" s="1518">
        <f t="shared" si="3"/>
        <v>95000</v>
      </c>
      <c r="I26" s="1518"/>
      <c r="J26" s="1518"/>
      <c r="K26" s="1522">
        <f t="shared" si="4"/>
        <v>95000</v>
      </c>
      <c r="L26" s="1518"/>
      <c r="M26" s="1518"/>
      <c r="N26" s="1523"/>
    </row>
    <row r="27" spans="2:14">
      <c r="B27" s="1493" t="s">
        <v>6521</v>
      </c>
      <c r="C27" s="1524" t="s">
        <v>3020</v>
      </c>
      <c r="D27" s="1518">
        <v>5000</v>
      </c>
      <c r="E27" s="1518"/>
      <c r="F27" s="1518"/>
      <c r="G27" s="1518">
        <f t="shared" si="2"/>
        <v>5000</v>
      </c>
      <c r="H27" s="1518">
        <f t="shared" si="3"/>
        <v>5000</v>
      </c>
      <c r="I27" s="1518"/>
      <c r="J27" s="1518"/>
      <c r="K27" s="1522">
        <f t="shared" si="4"/>
        <v>5000</v>
      </c>
      <c r="L27" s="1518"/>
      <c r="M27" s="1518"/>
      <c r="N27" s="1523"/>
    </row>
    <row r="28" spans="2:14">
      <c r="B28" s="1493" t="s">
        <v>6522</v>
      </c>
      <c r="C28" s="1524" t="s">
        <v>6683</v>
      </c>
      <c r="D28" s="1518">
        <v>24000</v>
      </c>
      <c r="E28" s="1518"/>
      <c r="F28" s="1518"/>
      <c r="G28" s="1518">
        <f t="shared" si="2"/>
        <v>24000</v>
      </c>
      <c r="H28" s="1518">
        <f t="shared" si="3"/>
        <v>24000</v>
      </c>
      <c r="I28" s="1518"/>
      <c r="J28" s="1518"/>
      <c r="K28" s="1522">
        <f t="shared" si="4"/>
        <v>24000</v>
      </c>
      <c r="L28" s="1518"/>
      <c r="M28" s="1518"/>
      <c r="N28" s="1523"/>
    </row>
    <row r="29" spans="2:14">
      <c r="B29" s="1493" t="s">
        <v>6523</v>
      </c>
      <c r="C29" s="1524" t="s">
        <v>6684</v>
      </c>
      <c r="D29" s="1518">
        <v>31000</v>
      </c>
      <c r="E29" s="1518"/>
      <c r="F29" s="1518"/>
      <c r="G29" s="1518">
        <f t="shared" si="2"/>
        <v>31000</v>
      </c>
      <c r="H29" s="1518">
        <f t="shared" si="3"/>
        <v>31000</v>
      </c>
      <c r="I29" s="1518"/>
      <c r="J29" s="1518"/>
      <c r="K29" s="1522">
        <f t="shared" si="4"/>
        <v>31000</v>
      </c>
      <c r="L29" s="1518"/>
      <c r="M29" s="1518"/>
      <c r="N29" s="1523"/>
    </row>
    <row r="30" spans="2:14">
      <c r="B30" s="1493" t="s">
        <v>6524</v>
      </c>
      <c r="C30" s="1524" t="s">
        <v>3026</v>
      </c>
      <c r="D30" s="1518">
        <v>675424</v>
      </c>
      <c r="E30" s="1518"/>
      <c r="F30" s="1518"/>
      <c r="G30" s="1518">
        <f t="shared" si="2"/>
        <v>675424</v>
      </c>
      <c r="H30" s="1518">
        <f t="shared" si="3"/>
        <v>675424</v>
      </c>
      <c r="I30" s="1518"/>
      <c r="J30" s="1518"/>
      <c r="K30" s="1522">
        <f t="shared" si="4"/>
        <v>675424</v>
      </c>
      <c r="L30" s="1518"/>
      <c r="M30" s="1518"/>
      <c r="N30" s="1523"/>
    </row>
    <row r="31" spans="2:14">
      <c r="B31" s="1493" t="s">
        <v>6525</v>
      </c>
      <c r="C31" s="1524" t="s">
        <v>6685</v>
      </c>
      <c r="D31" s="1518">
        <v>15000</v>
      </c>
      <c r="E31" s="1518"/>
      <c r="F31" s="1518"/>
      <c r="G31" s="1518">
        <f t="shared" si="2"/>
        <v>15000</v>
      </c>
      <c r="H31" s="1518">
        <f t="shared" si="3"/>
        <v>15000</v>
      </c>
      <c r="I31" s="1518"/>
      <c r="J31" s="1518"/>
      <c r="K31" s="1522">
        <f t="shared" si="4"/>
        <v>15000</v>
      </c>
      <c r="L31" s="1518"/>
      <c r="M31" s="1518"/>
      <c r="N31" s="1523"/>
    </row>
    <row r="32" spans="2:14">
      <c r="B32" s="1493" t="s">
        <v>6526</v>
      </c>
      <c r="C32" s="1524" t="s">
        <v>6686</v>
      </c>
      <c r="D32" s="1518">
        <v>4804</v>
      </c>
      <c r="E32" s="1518"/>
      <c r="F32" s="1518"/>
      <c r="G32" s="1518">
        <f t="shared" si="2"/>
        <v>4804</v>
      </c>
      <c r="H32" s="1518">
        <f t="shared" si="3"/>
        <v>4804</v>
      </c>
      <c r="I32" s="1518"/>
      <c r="J32" s="1518"/>
      <c r="K32" s="1522">
        <f t="shared" si="4"/>
        <v>4804</v>
      </c>
      <c r="L32" s="1518"/>
      <c r="M32" s="1518"/>
      <c r="N32" s="1523"/>
    </row>
    <row r="33" spans="2:14">
      <c r="B33" s="1493" t="s">
        <v>6527</v>
      </c>
      <c r="C33" s="1524" t="s">
        <v>3032</v>
      </c>
      <c r="D33" s="1518">
        <v>616823.06999999995</v>
      </c>
      <c r="E33" s="1518"/>
      <c r="F33" s="1518"/>
      <c r="G33" s="1518">
        <f t="shared" si="2"/>
        <v>616823.06999999995</v>
      </c>
      <c r="H33" s="1518">
        <f t="shared" si="3"/>
        <v>616823.06999999995</v>
      </c>
      <c r="I33" s="1518"/>
      <c r="J33" s="1518"/>
      <c r="K33" s="1522">
        <f t="shared" si="4"/>
        <v>616823.06999999995</v>
      </c>
      <c r="L33" s="1518"/>
      <c r="M33" s="1518"/>
      <c r="N33" s="1523"/>
    </row>
    <row r="34" spans="2:14">
      <c r="B34" s="1493" t="s">
        <v>6528</v>
      </c>
      <c r="C34" s="1524" t="s">
        <v>3039</v>
      </c>
      <c r="D34" s="1518">
        <v>514432.75</v>
      </c>
      <c r="E34" s="1518"/>
      <c r="F34" s="1518"/>
      <c r="G34" s="1518">
        <f t="shared" si="2"/>
        <v>514432.75</v>
      </c>
      <c r="H34" s="1518">
        <f t="shared" si="3"/>
        <v>514432.75</v>
      </c>
      <c r="I34" s="1518"/>
      <c r="J34" s="1518"/>
      <c r="K34" s="1522">
        <f t="shared" si="4"/>
        <v>514432.75</v>
      </c>
      <c r="L34" s="1518"/>
      <c r="M34" s="1518"/>
      <c r="N34" s="1523"/>
    </row>
    <row r="35" spans="2:14">
      <c r="B35" s="1493" t="s">
        <v>6687</v>
      </c>
      <c r="C35" s="1524" t="s">
        <v>3034</v>
      </c>
      <c r="D35" s="1518">
        <v>0</v>
      </c>
      <c r="E35" s="1518"/>
      <c r="F35" s="1518"/>
      <c r="G35" s="1518">
        <f t="shared" si="2"/>
        <v>0</v>
      </c>
      <c r="H35" s="1518">
        <f t="shared" si="3"/>
        <v>0</v>
      </c>
      <c r="I35" s="1518"/>
      <c r="J35" s="1518"/>
      <c r="K35" s="1522">
        <f t="shared" si="4"/>
        <v>0</v>
      </c>
      <c r="L35" s="1518"/>
      <c r="M35" s="1518"/>
      <c r="N35" s="1523"/>
    </row>
    <row r="36" spans="2:14">
      <c r="B36" s="1493" t="s">
        <v>6529</v>
      </c>
      <c r="C36" s="1524" t="s">
        <v>6688</v>
      </c>
      <c r="D36" s="1518">
        <v>2000</v>
      </c>
      <c r="E36" s="1518"/>
      <c r="F36" s="1518"/>
      <c r="G36" s="1518">
        <f t="shared" si="2"/>
        <v>2000</v>
      </c>
      <c r="H36" s="1518">
        <f t="shared" si="3"/>
        <v>2000</v>
      </c>
      <c r="I36" s="1518"/>
      <c r="J36" s="1518"/>
      <c r="K36" s="1522">
        <f t="shared" si="4"/>
        <v>2000</v>
      </c>
      <c r="L36" s="1518"/>
      <c r="M36" s="1518"/>
      <c r="N36" s="1523"/>
    </row>
    <row r="37" spans="2:14">
      <c r="B37" s="1493" t="s">
        <v>6689</v>
      </c>
      <c r="C37" s="1524" t="s">
        <v>3038</v>
      </c>
      <c r="D37" s="1518">
        <v>0</v>
      </c>
      <c r="E37" s="1518"/>
      <c r="F37" s="1518"/>
      <c r="G37" s="1518">
        <f t="shared" si="2"/>
        <v>0</v>
      </c>
      <c r="H37" s="1518">
        <f t="shared" si="3"/>
        <v>0</v>
      </c>
      <c r="I37" s="1518"/>
      <c r="J37" s="1518"/>
      <c r="K37" s="1522">
        <f t="shared" si="4"/>
        <v>0</v>
      </c>
      <c r="L37" s="1518"/>
      <c r="M37" s="1518"/>
      <c r="N37" s="1523"/>
    </row>
    <row r="38" spans="2:14">
      <c r="B38" s="1493" t="s">
        <v>6530</v>
      </c>
      <c r="C38" s="1524" t="s">
        <v>6531</v>
      </c>
      <c r="D38" s="1518">
        <v>0</v>
      </c>
      <c r="E38" s="1518"/>
      <c r="F38" s="1518"/>
      <c r="G38" s="1518">
        <f t="shared" si="2"/>
        <v>0</v>
      </c>
      <c r="H38" s="1518">
        <f t="shared" si="3"/>
        <v>0</v>
      </c>
      <c r="I38" s="1518"/>
      <c r="J38" s="1518"/>
      <c r="K38" s="1522">
        <f>+G38</f>
        <v>0</v>
      </c>
      <c r="L38" s="1518"/>
      <c r="M38" s="1518"/>
      <c r="N38" s="1523"/>
    </row>
    <row r="39" spans="2:14">
      <c r="B39" s="1493" t="s">
        <v>6532</v>
      </c>
      <c r="C39" s="1524" t="s">
        <v>3775</v>
      </c>
      <c r="D39" s="1518">
        <v>61600</v>
      </c>
      <c r="E39" s="1518"/>
      <c r="F39" s="1518"/>
      <c r="G39" s="1518">
        <f t="shared" si="2"/>
        <v>61600</v>
      </c>
      <c r="H39" s="1518">
        <f t="shared" si="3"/>
        <v>61600</v>
      </c>
      <c r="I39" s="1518"/>
      <c r="J39" s="1518"/>
      <c r="K39" s="1522">
        <f>+G39</f>
        <v>61600</v>
      </c>
      <c r="L39" s="1518"/>
      <c r="M39" s="1518"/>
      <c r="N39" s="1523"/>
    </row>
    <row r="40" spans="2:14">
      <c r="B40" s="1493" t="s">
        <v>6533</v>
      </c>
      <c r="C40" s="1524" t="s">
        <v>3778</v>
      </c>
      <c r="D40" s="1518">
        <v>200000</v>
      </c>
      <c r="E40" s="1518"/>
      <c r="F40" s="1518"/>
      <c r="G40" s="1518">
        <f t="shared" si="2"/>
        <v>200000</v>
      </c>
      <c r="H40" s="1518">
        <f t="shared" si="3"/>
        <v>200000</v>
      </c>
      <c r="I40" s="1518"/>
      <c r="J40" s="1518"/>
      <c r="K40" s="1522">
        <f>+G40</f>
        <v>200000</v>
      </c>
      <c r="L40" s="1525"/>
      <c r="M40" s="1525"/>
      <c r="N40" s="1523"/>
    </row>
    <row r="41" spans="2:14">
      <c r="B41" s="1526" t="s">
        <v>6618</v>
      </c>
      <c r="C41" s="1524" t="s">
        <v>881</v>
      </c>
      <c r="D41" s="1518">
        <v>28000</v>
      </c>
      <c r="E41" s="1518"/>
      <c r="F41" s="1518"/>
      <c r="G41" s="1518">
        <f t="shared" si="2"/>
        <v>28000</v>
      </c>
      <c r="H41" s="1518">
        <f t="shared" si="3"/>
        <v>28000</v>
      </c>
      <c r="I41" s="1518">
        <f t="shared" ref="I41:I45" si="5">G41</f>
        <v>28000</v>
      </c>
      <c r="J41" s="1518"/>
      <c r="K41" s="1522"/>
      <c r="L41" s="1518"/>
      <c r="M41" s="1518"/>
      <c r="N41" s="1523"/>
    </row>
    <row r="42" spans="2:14">
      <c r="B42" s="1493" t="s">
        <v>6690</v>
      </c>
      <c r="C42" s="1524" t="s">
        <v>881</v>
      </c>
      <c r="D42" s="1518">
        <v>16000</v>
      </c>
      <c r="E42" s="1518"/>
      <c r="F42" s="1518"/>
      <c r="G42" s="1518">
        <f t="shared" si="2"/>
        <v>16000</v>
      </c>
      <c r="H42" s="1518">
        <f t="shared" si="3"/>
        <v>16000</v>
      </c>
      <c r="I42" s="1518"/>
      <c r="J42" s="1518"/>
      <c r="K42" s="1522">
        <f>+G42</f>
        <v>16000</v>
      </c>
      <c r="L42" s="1518"/>
      <c r="M42" s="1518"/>
      <c r="N42" s="1523"/>
    </row>
    <row r="43" spans="2:14">
      <c r="B43" s="1493" t="s">
        <v>6535</v>
      </c>
      <c r="C43" s="1524" t="s">
        <v>606</v>
      </c>
      <c r="D43" s="1518">
        <v>2360</v>
      </c>
      <c r="E43" s="1518"/>
      <c r="F43" s="1518"/>
      <c r="G43" s="1518">
        <f t="shared" si="2"/>
        <v>2360</v>
      </c>
      <c r="H43" s="1518">
        <f t="shared" si="3"/>
        <v>2360</v>
      </c>
      <c r="I43" s="1518"/>
      <c r="J43" s="1518"/>
      <c r="K43" s="1522">
        <f>+G43</f>
        <v>2360</v>
      </c>
      <c r="L43" s="1518"/>
      <c r="M43" s="1518"/>
      <c r="N43" s="1523"/>
    </row>
    <row r="44" spans="2:14">
      <c r="B44" s="1493" t="s">
        <v>6536</v>
      </c>
      <c r="C44" s="1524" t="s">
        <v>6691</v>
      </c>
      <c r="D44" s="1518">
        <v>2564.8000000000002</v>
      </c>
      <c r="E44" s="1518"/>
      <c r="F44" s="1518"/>
      <c r="G44" s="1518">
        <f t="shared" si="2"/>
        <v>2564.8000000000002</v>
      </c>
      <c r="H44" s="1518">
        <f t="shared" si="3"/>
        <v>2564.8000000000002</v>
      </c>
      <c r="I44" s="1518"/>
      <c r="J44" s="1518"/>
      <c r="K44" s="1522">
        <f>+G44</f>
        <v>2564.8000000000002</v>
      </c>
      <c r="L44" s="1518"/>
      <c r="M44" s="1518"/>
      <c r="N44" s="1523"/>
    </row>
    <row r="45" spans="2:14">
      <c r="B45" s="1526" t="s">
        <v>5012</v>
      </c>
      <c r="C45" s="1524" t="s">
        <v>6692</v>
      </c>
      <c r="D45" s="1518">
        <v>1292.4000000000001</v>
      </c>
      <c r="E45" s="1518"/>
      <c r="F45" s="1518"/>
      <c r="G45" s="1518">
        <f t="shared" si="2"/>
        <v>1292.4000000000001</v>
      </c>
      <c r="H45" s="1518">
        <f t="shared" si="3"/>
        <v>1292.4000000000001</v>
      </c>
      <c r="I45" s="1518">
        <f t="shared" si="5"/>
        <v>1292.4000000000001</v>
      </c>
      <c r="J45" s="1518"/>
      <c r="K45" s="1522"/>
      <c r="L45" s="1518"/>
      <c r="M45" s="1518"/>
      <c r="N45" s="1523"/>
    </row>
    <row r="46" spans="2:14">
      <c r="B46" s="1493" t="s">
        <v>5075</v>
      </c>
      <c r="C46" s="1524" t="s">
        <v>6692</v>
      </c>
      <c r="D46" s="1518">
        <v>13529.36</v>
      </c>
      <c r="E46" s="1518"/>
      <c r="F46" s="1518"/>
      <c r="G46" s="1518">
        <f t="shared" si="2"/>
        <v>13529.36</v>
      </c>
      <c r="H46" s="1518">
        <f t="shared" si="3"/>
        <v>13529.36</v>
      </c>
      <c r="I46" s="1518"/>
      <c r="J46" s="1518"/>
      <c r="K46" s="1522">
        <f>G46</f>
        <v>13529.36</v>
      </c>
      <c r="L46" s="1518"/>
      <c r="M46" s="1518"/>
      <c r="N46" s="1523"/>
    </row>
    <row r="47" spans="2:14">
      <c r="B47" s="1493" t="s">
        <v>6693</v>
      </c>
      <c r="C47" s="1524" t="s">
        <v>471</v>
      </c>
      <c r="D47" s="1518">
        <v>46220</v>
      </c>
      <c r="E47" s="1518"/>
      <c r="F47" s="1518"/>
      <c r="G47" s="1518">
        <f t="shared" si="2"/>
        <v>46220</v>
      </c>
      <c r="H47" s="1518">
        <f t="shared" si="3"/>
        <v>46220</v>
      </c>
      <c r="I47" s="1518"/>
      <c r="J47" s="1518"/>
      <c r="K47" s="1522">
        <f>+G47</f>
        <v>46220</v>
      </c>
      <c r="L47" s="1518"/>
      <c r="M47" s="1518"/>
      <c r="N47" s="1523"/>
    </row>
    <row r="48" spans="2:14">
      <c r="B48" s="1493" t="s">
        <v>6540</v>
      </c>
      <c r="C48" s="1524" t="s">
        <v>2621</v>
      </c>
      <c r="D48" s="1518">
        <v>336703.85</v>
      </c>
      <c r="E48" s="1518"/>
      <c r="F48" s="1518"/>
      <c r="G48" s="1518">
        <f t="shared" si="2"/>
        <v>336703.85</v>
      </c>
      <c r="H48" s="1518">
        <f t="shared" si="3"/>
        <v>336703.85</v>
      </c>
      <c r="I48" s="1518"/>
      <c r="J48" s="1518"/>
      <c r="K48" s="1522">
        <f>+G48</f>
        <v>336703.85</v>
      </c>
      <c r="L48" s="1518"/>
      <c r="M48" s="1518"/>
      <c r="N48" s="1523"/>
    </row>
    <row r="49" spans="2:14">
      <c r="B49" s="1493" t="s">
        <v>6694</v>
      </c>
      <c r="C49" s="1524" t="s">
        <v>841</v>
      </c>
      <c r="D49" s="1518">
        <v>29226.240000000002</v>
      </c>
      <c r="E49" s="1518"/>
      <c r="F49" s="1518"/>
      <c r="G49" s="1518">
        <f t="shared" si="2"/>
        <v>29226.240000000002</v>
      </c>
      <c r="H49" s="1518">
        <f t="shared" si="3"/>
        <v>29226.240000000002</v>
      </c>
      <c r="I49" s="1518"/>
      <c r="J49" s="1518"/>
      <c r="K49" s="1522">
        <f>+G49</f>
        <v>29226.240000000002</v>
      </c>
      <c r="L49" s="1518"/>
      <c r="M49" s="1518"/>
      <c r="N49" s="1523"/>
    </row>
    <row r="50" spans="2:14">
      <c r="B50" s="1493" t="s">
        <v>6541</v>
      </c>
      <c r="C50" s="1524" t="s">
        <v>5150</v>
      </c>
      <c r="D50" s="1518">
        <v>0</v>
      </c>
      <c r="E50" s="1518"/>
      <c r="F50" s="1518"/>
      <c r="G50" s="1518">
        <f t="shared" si="2"/>
        <v>0</v>
      </c>
      <c r="H50" s="1518">
        <f t="shared" si="3"/>
        <v>0</v>
      </c>
      <c r="I50" s="1518"/>
      <c r="J50" s="1518"/>
      <c r="K50" s="1522">
        <f t="shared" ref="K50:K57" si="6">+G50</f>
        <v>0</v>
      </c>
      <c r="L50" s="1518"/>
      <c r="M50" s="1518"/>
      <c r="N50" s="1523"/>
    </row>
    <row r="51" spans="2:14">
      <c r="B51" s="1493" t="s">
        <v>6542</v>
      </c>
      <c r="C51" s="1524" t="s">
        <v>6695</v>
      </c>
      <c r="D51" s="1518">
        <v>59844.68</v>
      </c>
      <c r="E51" s="1518"/>
      <c r="F51" s="1518"/>
      <c r="G51" s="1518">
        <f t="shared" si="2"/>
        <v>59844.68</v>
      </c>
      <c r="H51" s="1518">
        <f t="shared" si="3"/>
        <v>59844.68</v>
      </c>
      <c r="I51" s="1518"/>
      <c r="J51" s="1518"/>
      <c r="K51" s="1522">
        <f t="shared" si="6"/>
        <v>59844.68</v>
      </c>
      <c r="L51" s="1518"/>
      <c r="M51" s="1518"/>
      <c r="N51" s="1523"/>
    </row>
    <row r="52" spans="2:14">
      <c r="B52" s="1493" t="s">
        <v>6696</v>
      </c>
      <c r="C52" s="1524" t="s">
        <v>6697</v>
      </c>
      <c r="D52" s="1518">
        <v>37040</v>
      </c>
      <c r="E52" s="1518"/>
      <c r="F52" s="1518"/>
      <c r="G52" s="1518">
        <f t="shared" si="2"/>
        <v>37040</v>
      </c>
      <c r="H52" s="1518">
        <f t="shared" si="3"/>
        <v>37040</v>
      </c>
      <c r="I52" s="1518"/>
      <c r="J52" s="1518"/>
      <c r="K52" s="1522">
        <f t="shared" si="6"/>
        <v>37040</v>
      </c>
      <c r="L52" s="1518"/>
      <c r="M52" s="1518"/>
      <c r="N52" s="1523"/>
    </row>
    <row r="53" spans="2:14">
      <c r="B53" s="1493" t="s">
        <v>6543</v>
      </c>
      <c r="C53" s="1524" t="s">
        <v>27</v>
      </c>
      <c r="D53" s="1518">
        <v>6000</v>
      </c>
      <c r="E53" s="1518"/>
      <c r="F53" s="1518"/>
      <c r="G53" s="1518">
        <f t="shared" si="2"/>
        <v>6000</v>
      </c>
      <c r="H53" s="1518">
        <f t="shared" si="3"/>
        <v>6000</v>
      </c>
      <c r="I53" s="1518"/>
      <c r="J53" s="1518"/>
      <c r="K53" s="1522">
        <f t="shared" si="6"/>
        <v>6000</v>
      </c>
      <c r="L53" s="1518"/>
      <c r="M53" s="1518"/>
      <c r="N53" s="1523"/>
    </row>
    <row r="54" spans="2:14">
      <c r="B54" s="1493" t="s">
        <v>6544</v>
      </c>
      <c r="C54" s="1524" t="s">
        <v>1507</v>
      </c>
      <c r="D54" s="1518">
        <v>4000</v>
      </c>
      <c r="E54" s="1518"/>
      <c r="F54" s="1518"/>
      <c r="G54" s="1518">
        <f t="shared" si="2"/>
        <v>4000</v>
      </c>
      <c r="H54" s="1518">
        <f t="shared" si="3"/>
        <v>4000</v>
      </c>
      <c r="I54" s="1518"/>
      <c r="J54" s="1518"/>
      <c r="K54" s="1522">
        <f t="shared" si="6"/>
        <v>4000</v>
      </c>
      <c r="L54" s="1518"/>
      <c r="M54" s="1518"/>
      <c r="N54" s="1523"/>
    </row>
    <row r="55" spans="2:14">
      <c r="B55" s="1493" t="s">
        <v>6545</v>
      </c>
      <c r="C55" s="1524" t="s">
        <v>29</v>
      </c>
      <c r="D55" s="1518">
        <v>10000</v>
      </c>
      <c r="E55" s="1518"/>
      <c r="F55" s="1518"/>
      <c r="G55" s="1518">
        <f t="shared" si="2"/>
        <v>10000</v>
      </c>
      <c r="H55" s="1518">
        <f t="shared" si="3"/>
        <v>10000</v>
      </c>
      <c r="I55" s="1518"/>
      <c r="J55" s="1518"/>
      <c r="K55" s="1522">
        <f t="shared" si="6"/>
        <v>10000</v>
      </c>
      <c r="L55" s="1518"/>
      <c r="M55" s="1518"/>
      <c r="N55" s="1523"/>
    </row>
    <row r="56" spans="2:14">
      <c r="B56" s="1493" t="s">
        <v>6546</v>
      </c>
      <c r="C56" s="1524" t="s">
        <v>30</v>
      </c>
      <c r="D56" s="1518">
        <v>8400</v>
      </c>
      <c r="E56" s="1518"/>
      <c r="F56" s="1518"/>
      <c r="G56" s="1518">
        <f t="shared" si="2"/>
        <v>8400</v>
      </c>
      <c r="H56" s="1518">
        <f t="shared" si="3"/>
        <v>8400</v>
      </c>
      <c r="I56" s="1518"/>
      <c r="J56" s="1518"/>
      <c r="K56" s="1522">
        <f t="shared" si="6"/>
        <v>8400</v>
      </c>
      <c r="L56" s="1518"/>
      <c r="M56" s="1518"/>
      <c r="N56" s="1523"/>
    </row>
    <row r="57" spans="2:14">
      <c r="B57" s="1493" t="s">
        <v>6547</v>
      </c>
      <c r="C57" s="1524" t="s">
        <v>6698</v>
      </c>
      <c r="D57" s="1518">
        <v>7120.02</v>
      </c>
      <c r="E57" s="1518"/>
      <c r="F57" s="1518"/>
      <c r="G57" s="1518">
        <f t="shared" si="2"/>
        <v>7120.02</v>
      </c>
      <c r="H57" s="1518">
        <f t="shared" si="3"/>
        <v>7120.02</v>
      </c>
      <c r="I57" s="1518"/>
      <c r="J57" s="1518"/>
      <c r="K57" s="1522">
        <f t="shared" si="6"/>
        <v>7120.02</v>
      </c>
      <c r="L57" s="1518"/>
      <c r="M57" s="1518"/>
      <c r="N57" s="1523"/>
    </row>
    <row r="58" spans="2:14">
      <c r="B58" s="1526" t="s">
        <v>6699</v>
      </c>
      <c r="C58" s="1524" t="s">
        <v>281</v>
      </c>
      <c r="D58" s="1518">
        <v>0</v>
      </c>
      <c r="E58" s="1518"/>
      <c r="F58" s="1518"/>
      <c r="G58" s="1518">
        <f t="shared" si="2"/>
        <v>0</v>
      </c>
      <c r="H58" s="1518">
        <f t="shared" si="3"/>
        <v>0</v>
      </c>
      <c r="I58" s="1518">
        <f>+G58</f>
        <v>0</v>
      </c>
      <c r="J58" s="1518"/>
      <c r="K58" s="1522"/>
      <c r="L58" s="1518"/>
      <c r="M58" s="1518"/>
      <c r="N58" s="1523"/>
    </row>
    <row r="59" spans="2:14">
      <c r="B59" s="1527" t="s">
        <v>6700</v>
      </c>
      <c r="C59" s="2004" t="s">
        <v>281</v>
      </c>
      <c r="D59" s="1518">
        <v>78060</v>
      </c>
      <c r="E59" s="1518"/>
      <c r="F59" s="1518"/>
      <c r="G59" s="1518">
        <f t="shared" si="2"/>
        <v>78060</v>
      </c>
      <c r="H59" s="1518">
        <f t="shared" si="3"/>
        <v>78060</v>
      </c>
      <c r="I59" s="1518"/>
      <c r="J59" s="1518">
        <f>+G59</f>
        <v>78060</v>
      </c>
      <c r="K59" s="1522"/>
      <c r="L59" s="1518"/>
      <c r="M59" s="1518"/>
      <c r="N59" s="1523"/>
    </row>
    <row r="60" spans="2:14">
      <c r="B60" s="1493" t="s">
        <v>6701</v>
      </c>
      <c r="C60" s="2004" t="s">
        <v>281</v>
      </c>
      <c r="D60" s="1518">
        <v>188661.76000000001</v>
      </c>
      <c r="E60" s="1518"/>
      <c r="F60" s="1518"/>
      <c r="G60" s="1518">
        <f t="shared" si="2"/>
        <v>188661.76000000001</v>
      </c>
      <c r="H60" s="1518">
        <f t="shared" si="3"/>
        <v>188661.76000000001</v>
      </c>
      <c r="I60" s="1518"/>
      <c r="J60" s="1518"/>
      <c r="K60" s="1522">
        <f>+G60</f>
        <v>188661.76000000001</v>
      </c>
      <c r="L60" s="1518"/>
      <c r="M60" s="1518"/>
      <c r="N60" s="1523"/>
    </row>
    <row r="61" spans="2:14">
      <c r="B61" s="1493" t="s">
        <v>6702</v>
      </c>
      <c r="C61" s="1524" t="s">
        <v>6703</v>
      </c>
      <c r="D61" s="1518">
        <v>15000</v>
      </c>
      <c r="E61" s="1518"/>
      <c r="F61" s="1518"/>
      <c r="G61" s="1518">
        <f t="shared" si="2"/>
        <v>15000</v>
      </c>
      <c r="H61" s="1518">
        <f t="shared" si="3"/>
        <v>15000</v>
      </c>
      <c r="I61" s="1518"/>
      <c r="J61" s="1518"/>
      <c r="K61" s="1522">
        <f>+G61</f>
        <v>15000</v>
      </c>
      <c r="L61" s="1518"/>
      <c r="M61" s="1518"/>
      <c r="N61" s="1523"/>
    </row>
    <row r="62" spans="2:14">
      <c r="B62" s="1526" t="s">
        <v>6704</v>
      </c>
      <c r="C62" s="1524" t="s">
        <v>6705</v>
      </c>
      <c r="D62" s="1518">
        <v>0</v>
      </c>
      <c r="F62" s="1518"/>
      <c r="G62" s="1518">
        <f t="shared" si="2"/>
        <v>0</v>
      </c>
      <c r="H62" s="1518">
        <f t="shared" si="3"/>
        <v>0</v>
      </c>
      <c r="I62" s="1518"/>
      <c r="J62" s="1518"/>
      <c r="K62" s="1522"/>
      <c r="L62" s="1518"/>
      <c r="M62" s="1518"/>
      <c r="N62" s="1523"/>
    </row>
    <row r="63" spans="2:14">
      <c r="B63" s="1493" t="s">
        <v>6706</v>
      </c>
      <c r="C63" s="1524" t="s">
        <v>6705</v>
      </c>
      <c r="D63" s="1518">
        <v>33098.43</v>
      </c>
      <c r="E63" s="1518"/>
      <c r="F63" s="1518"/>
      <c r="G63" s="1518">
        <f t="shared" si="2"/>
        <v>33098.43</v>
      </c>
      <c r="H63" s="1518">
        <f t="shared" si="3"/>
        <v>33098.43</v>
      </c>
      <c r="I63" s="1518"/>
      <c r="J63" s="1518"/>
      <c r="K63" s="1522">
        <f>+G63</f>
        <v>33098.43</v>
      </c>
      <c r="L63" s="1518"/>
      <c r="M63" s="1518"/>
      <c r="N63" s="1523"/>
    </row>
    <row r="64" spans="2:14">
      <c r="B64" s="1527" t="s">
        <v>6707</v>
      </c>
      <c r="C64" s="1524" t="s">
        <v>3855</v>
      </c>
      <c r="D64" s="1518">
        <v>6109.19</v>
      </c>
      <c r="E64" s="1518"/>
      <c r="F64" s="1518"/>
      <c r="G64" s="1518">
        <f>+D64+E64-F64</f>
        <v>6109.19</v>
      </c>
      <c r="H64" s="1518">
        <f>+SUM(I64:M64)</f>
        <v>6109.19</v>
      </c>
      <c r="I64" s="1518"/>
      <c r="J64" s="1518">
        <f>+G64</f>
        <v>6109.19</v>
      </c>
      <c r="K64" s="1522"/>
      <c r="L64" s="1518"/>
      <c r="M64" s="1518"/>
      <c r="N64" s="1523"/>
    </row>
    <row r="65" spans="2:14">
      <c r="B65" s="1493" t="s">
        <v>6550</v>
      </c>
      <c r="C65" s="1524" t="s">
        <v>3855</v>
      </c>
      <c r="D65" s="1518">
        <v>56000</v>
      </c>
      <c r="E65" s="1518"/>
      <c r="F65" s="1518"/>
      <c r="G65" s="1518">
        <f t="shared" si="2"/>
        <v>56000</v>
      </c>
      <c r="H65" s="1518">
        <f t="shared" si="3"/>
        <v>56000</v>
      </c>
      <c r="I65" s="1518"/>
      <c r="J65" s="1518"/>
      <c r="K65" s="1522">
        <f t="shared" ref="K65:K71" si="7">+G65</f>
        <v>56000</v>
      </c>
      <c r="L65" s="1518"/>
      <c r="M65" s="1518"/>
      <c r="N65" s="1523"/>
    </row>
    <row r="66" spans="2:14">
      <c r="B66" s="1493" t="s">
        <v>6708</v>
      </c>
      <c r="C66" s="1524" t="s">
        <v>6709</v>
      </c>
      <c r="D66" s="1518">
        <v>31807.16</v>
      </c>
      <c r="E66" s="1518"/>
      <c r="F66" s="1518"/>
      <c r="G66" s="1518">
        <f t="shared" si="2"/>
        <v>31807.16</v>
      </c>
      <c r="H66" s="1518">
        <f t="shared" si="3"/>
        <v>31807.16</v>
      </c>
      <c r="I66" s="1518"/>
      <c r="J66" s="1518"/>
      <c r="K66" s="1522">
        <f t="shared" si="7"/>
        <v>31807.16</v>
      </c>
      <c r="L66" s="1518"/>
      <c r="M66" s="1518"/>
      <c r="N66" s="1523"/>
    </row>
    <row r="67" spans="2:14">
      <c r="B67" s="1493" t="s">
        <v>6552</v>
      </c>
      <c r="C67" s="1524" t="s">
        <v>6710</v>
      </c>
      <c r="D67" s="1518">
        <v>30016</v>
      </c>
      <c r="E67" s="1518"/>
      <c r="F67" s="1518"/>
      <c r="G67" s="1518">
        <f t="shared" si="2"/>
        <v>30016</v>
      </c>
      <c r="H67" s="1518">
        <f t="shared" si="3"/>
        <v>30016</v>
      </c>
      <c r="I67" s="1518"/>
      <c r="J67" s="1518"/>
      <c r="K67" s="1522">
        <f t="shared" si="7"/>
        <v>30016</v>
      </c>
      <c r="L67" s="1518"/>
      <c r="M67" s="1518"/>
      <c r="N67" s="1523"/>
    </row>
    <row r="68" spans="2:14">
      <c r="B68" s="1493" t="s">
        <v>6553</v>
      </c>
      <c r="C68" s="1524" t="s">
        <v>2507</v>
      </c>
      <c r="D68" s="1518">
        <v>6369.99</v>
      </c>
      <c r="E68" s="1518"/>
      <c r="F68" s="1518"/>
      <c r="G68" s="1518">
        <f t="shared" si="2"/>
        <v>6369.99</v>
      </c>
      <c r="H68" s="1518">
        <f t="shared" si="3"/>
        <v>6369.99</v>
      </c>
      <c r="I68" s="1518"/>
      <c r="J68" s="1518"/>
      <c r="K68" s="1522">
        <f t="shared" si="7"/>
        <v>6369.99</v>
      </c>
      <c r="L68" s="1518"/>
      <c r="M68" s="1518"/>
      <c r="N68" s="1523"/>
    </row>
    <row r="69" spans="2:14">
      <c r="B69" s="1493" t="s">
        <v>6603</v>
      </c>
      <c r="C69" s="1524" t="s">
        <v>1360</v>
      </c>
      <c r="D69" s="1518">
        <v>6000</v>
      </c>
      <c r="E69" s="1518"/>
      <c r="F69" s="1518"/>
      <c r="G69" s="1518">
        <f t="shared" si="2"/>
        <v>6000</v>
      </c>
      <c r="H69" s="1518">
        <f t="shared" si="3"/>
        <v>6000</v>
      </c>
      <c r="I69" s="1518"/>
      <c r="J69" s="1518"/>
      <c r="K69" s="1522">
        <f t="shared" si="7"/>
        <v>6000</v>
      </c>
      <c r="L69" s="1518"/>
      <c r="M69" s="1518"/>
      <c r="N69" s="1523"/>
    </row>
    <row r="70" spans="2:14">
      <c r="B70" s="1493" t="s">
        <v>6555</v>
      </c>
      <c r="C70" s="1524" t="s">
        <v>1665</v>
      </c>
      <c r="D70" s="1518">
        <v>1008</v>
      </c>
      <c r="E70" s="1518"/>
      <c r="F70" s="1518"/>
      <c r="G70" s="1518">
        <f t="shared" si="2"/>
        <v>1008</v>
      </c>
      <c r="H70" s="1518">
        <f t="shared" si="3"/>
        <v>1008</v>
      </c>
      <c r="I70" s="1518"/>
      <c r="J70" s="1518"/>
      <c r="K70" s="1522">
        <f t="shared" si="7"/>
        <v>1008</v>
      </c>
      <c r="L70" s="1518"/>
      <c r="M70" s="1518"/>
      <c r="N70" s="1523"/>
    </row>
    <row r="71" spans="2:14">
      <c r="B71" s="1493" t="s">
        <v>6556</v>
      </c>
      <c r="C71" s="1524" t="s">
        <v>148</v>
      </c>
      <c r="D71" s="1518">
        <v>672</v>
      </c>
      <c r="E71" s="1518"/>
      <c r="F71" s="1518"/>
      <c r="G71" s="1518">
        <f t="shared" si="2"/>
        <v>672</v>
      </c>
      <c r="H71" s="1518">
        <f t="shared" si="3"/>
        <v>672</v>
      </c>
      <c r="I71" s="1518"/>
      <c r="J71" s="1518"/>
      <c r="K71" s="1522">
        <f t="shared" si="7"/>
        <v>672</v>
      </c>
      <c r="L71" s="1518"/>
      <c r="M71" s="1518"/>
      <c r="N71" s="1523"/>
    </row>
    <row r="72" spans="2:14">
      <c r="B72" s="1526" t="s">
        <v>6711</v>
      </c>
      <c r="C72" s="1524" t="s">
        <v>6712</v>
      </c>
      <c r="D72" s="1518">
        <v>287.08</v>
      </c>
      <c r="E72" s="1518"/>
      <c r="F72" s="1518"/>
      <c r="G72" s="1518">
        <f t="shared" si="2"/>
        <v>287.08</v>
      </c>
      <c r="H72" s="1518">
        <f t="shared" ref="H72" si="8">+SUM(I72:M72)</f>
        <v>287.08</v>
      </c>
      <c r="I72" s="1528">
        <f>+G72</f>
        <v>287.08</v>
      </c>
      <c r="J72" s="1529"/>
      <c r="K72" s="1522"/>
      <c r="L72" s="1518"/>
      <c r="M72" s="1518"/>
      <c r="N72" s="1523"/>
    </row>
    <row r="73" spans="2:14">
      <c r="B73" s="1493" t="s">
        <v>6557</v>
      </c>
      <c r="C73" s="1524" t="s">
        <v>6712</v>
      </c>
      <c r="D73" s="1518">
        <v>65466</v>
      </c>
      <c r="E73" s="1518"/>
      <c r="F73" s="1518"/>
      <c r="G73" s="1518">
        <f t="shared" si="2"/>
        <v>65466</v>
      </c>
      <c r="H73" s="1518">
        <f t="shared" si="3"/>
        <v>65466</v>
      </c>
      <c r="I73" s="1528"/>
      <c r="J73" s="1529"/>
      <c r="K73" s="1522">
        <f t="shared" ref="K73:K79" si="9">+G73</f>
        <v>65466</v>
      </c>
      <c r="L73" s="1518"/>
      <c r="M73" s="1518"/>
      <c r="N73" s="1523"/>
    </row>
    <row r="74" spans="2:14">
      <c r="B74" s="1493" t="s">
        <v>6558</v>
      </c>
      <c r="C74" s="1524" t="s">
        <v>3862</v>
      </c>
      <c r="D74" s="1518">
        <v>10000</v>
      </c>
      <c r="E74" s="1518"/>
      <c r="F74" s="1518"/>
      <c r="G74" s="1518">
        <f t="shared" si="2"/>
        <v>10000</v>
      </c>
      <c r="H74" s="1518">
        <f t="shared" ref="H74:H112" si="10">+SUM(I74:M74)</f>
        <v>10000</v>
      </c>
      <c r="I74" s="1528"/>
      <c r="J74" s="1529"/>
      <c r="K74" s="1522">
        <f t="shared" si="9"/>
        <v>10000</v>
      </c>
      <c r="L74" s="1518"/>
      <c r="M74" s="1518"/>
      <c r="N74" s="1523"/>
    </row>
    <row r="75" spans="2:14">
      <c r="B75" s="1527" t="s">
        <v>6713</v>
      </c>
      <c r="C75" s="1524" t="s">
        <v>2003</v>
      </c>
      <c r="D75" s="1518">
        <v>16877.28</v>
      </c>
      <c r="E75" s="1518"/>
      <c r="G75" s="1518">
        <f t="shared" si="2"/>
        <v>16877.28</v>
      </c>
      <c r="H75" s="1518">
        <f t="shared" ref="H75" si="11">+SUM(I75:M75)</f>
        <v>16877.28</v>
      </c>
      <c r="I75" s="1528"/>
      <c r="J75" s="1529">
        <f>+G75</f>
        <v>16877.28</v>
      </c>
      <c r="K75" s="1522"/>
      <c r="L75" s="1518"/>
      <c r="M75" s="1518"/>
      <c r="N75" s="1523"/>
    </row>
    <row r="76" spans="2:14">
      <c r="B76" s="1493" t="s">
        <v>6714</v>
      </c>
      <c r="C76" s="1524" t="s">
        <v>2003</v>
      </c>
      <c r="D76" s="1518">
        <v>0</v>
      </c>
      <c r="E76" s="1518"/>
      <c r="F76" s="1518"/>
      <c r="G76" s="1518">
        <f t="shared" si="2"/>
        <v>0</v>
      </c>
      <c r="H76" s="1518">
        <f t="shared" si="10"/>
        <v>0</v>
      </c>
      <c r="I76" s="1528"/>
      <c r="J76" s="1529"/>
      <c r="K76" s="1522">
        <f t="shared" si="9"/>
        <v>0</v>
      </c>
      <c r="L76" s="1518"/>
      <c r="M76" s="1518"/>
      <c r="N76" s="1523"/>
    </row>
    <row r="77" spans="2:14">
      <c r="B77" s="1493" t="s">
        <v>6561</v>
      </c>
      <c r="C77" s="1524" t="s">
        <v>3817</v>
      </c>
      <c r="D77" s="1518">
        <v>14560</v>
      </c>
      <c r="E77" s="1518"/>
      <c r="F77" s="1518"/>
      <c r="G77" s="1518">
        <f t="shared" si="2"/>
        <v>14560</v>
      </c>
      <c r="H77" s="1518">
        <f t="shared" si="10"/>
        <v>14560</v>
      </c>
      <c r="I77" s="1518"/>
      <c r="J77" s="1528"/>
      <c r="K77" s="1522">
        <f t="shared" si="9"/>
        <v>14560</v>
      </c>
      <c r="L77" s="1518"/>
      <c r="M77" s="1518"/>
      <c r="N77" s="1523"/>
    </row>
    <row r="78" spans="2:14">
      <c r="B78" s="1493" t="s">
        <v>6715</v>
      </c>
      <c r="C78" s="1524" t="s">
        <v>1006</v>
      </c>
      <c r="D78" s="1518">
        <v>39700</v>
      </c>
      <c r="E78" s="1518"/>
      <c r="F78" s="1530"/>
      <c r="G78" s="1518">
        <f>+D78+E78-F78</f>
        <v>39700</v>
      </c>
      <c r="H78" s="1518">
        <f t="shared" si="10"/>
        <v>39700</v>
      </c>
      <c r="I78" s="1518"/>
      <c r="J78" s="1518"/>
      <c r="K78" s="1522">
        <f t="shared" si="9"/>
        <v>39700</v>
      </c>
      <c r="L78" s="1518"/>
      <c r="M78" s="1518"/>
      <c r="N78" s="1523"/>
    </row>
    <row r="79" spans="2:14">
      <c r="B79" s="1493" t="s">
        <v>6563</v>
      </c>
      <c r="C79" s="1524" t="s">
        <v>956</v>
      </c>
      <c r="D79" s="1518">
        <v>13767.94</v>
      </c>
      <c r="E79" s="1518"/>
      <c r="F79" s="1518"/>
      <c r="G79" s="1518">
        <f t="shared" si="2"/>
        <v>13767.94</v>
      </c>
      <c r="H79" s="1518">
        <f t="shared" si="10"/>
        <v>13767.94</v>
      </c>
      <c r="I79" s="1518"/>
      <c r="J79" s="1518"/>
      <c r="K79" s="1522">
        <f t="shared" si="9"/>
        <v>13767.94</v>
      </c>
      <c r="L79" s="1518"/>
      <c r="M79" s="1518"/>
      <c r="N79" s="1523"/>
    </row>
    <row r="80" spans="2:14">
      <c r="B80" s="1526" t="s">
        <v>6716</v>
      </c>
      <c r="C80" s="1524" t="s">
        <v>6717</v>
      </c>
      <c r="D80" s="1518">
        <v>0</v>
      </c>
      <c r="F80" s="1518"/>
      <c r="G80" s="1518">
        <f t="shared" si="2"/>
        <v>0</v>
      </c>
      <c r="H80" s="1518">
        <f t="shared" ref="H80:H81" si="12">+SUM(I80:M80)</f>
        <v>0</v>
      </c>
      <c r="I80" s="1518">
        <f>+G80</f>
        <v>0</v>
      </c>
      <c r="J80" s="1518"/>
      <c r="K80" s="1522"/>
      <c r="L80" s="1518"/>
      <c r="M80" s="1518"/>
      <c r="N80" s="1523"/>
    </row>
    <row r="81" spans="2:14">
      <c r="B81" s="1493" t="s">
        <v>6718</v>
      </c>
      <c r="C81" s="1524" t="s">
        <v>6717</v>
      </c>
      <c r="D81" s="1518">
        <v>25706.31</v>
      </c>
      <c r="E81" s="1518"/>
      <c r="F81" s="1518"/>
      <c r="G81" s="1518">
        <f t="shared" si="2"/>
        <v>25706.31</v>
      </c>
      <c r="H81" s="1518">
        <f t="shared" si="12"/>
        <v>25706.31</v>
      </c>
      <c r="I81" s="1518"/>
      <c r="J81" s="1518"/>
      <c r="K81" s="1522">
        <f>+G81</f>
        <v>25706.31</v>
      </c>
      <c r="L81" s="1518"/>
      <c r="M81" s="1518"/>
      <c r="N81" s="1523"/>
    </row>
    <row r="82" spans="2:14">
      <c r="B82" s="1493" t="s">
        <v>5375</v>
      </c>
      <c r="C82" s="1524" t="s">
        <v>1089</v>
      </c>
      <c r="D82" s="1518">
        <v>2901.38</v>
      </c>
      <c r="E82" s="1518"/>
      <c r="F82" s="1518"/>
      <c r="G82" s="1518">
        <f t="shared" si="2"/>
        <v>2901.38</v>
      </c>
      <c r="H82" s="1518">
        <f t="shared" ref="H82" si="13">+SUM(I82:M82)</f>
        <v>2901.38</v>
      </c>
      <c r="I82" s="1518"/>
      <c r="J82" s="1518"/>
      <c r="K82" s="1522">
        <f>+G82</f>
        <v>2901.38</v>
      </c>
      <c r="L82" s="1518"/>
      <c r="M82" s="1518"/>
      <c r="N82" s="1523"/>
    </row>
    <row r="83" spans="2:14">
      <c r="B83" s="1493" t="s">
        <v>6565</v>
      </c>
      <c r="C83" s="1524" t="s">
        <v>2694</v>
      </c>
      <c r="D83" s="1518">
        <v>2898.72</v>
      </c>
      <c r="E83" s="1518"/>
      <c r="F83" s="1518"/>
      <c r="G83" s="1518">
        <f t="shared" si="2"/>
        <v>2898.72</v>
      </c>
      <c r="H83" s="1518">
        <f t="shared" si="10"/>
        <v>2898.72</v>
      </c>
      <c r="I83" s="1518"/>
      <c r="J83" s="1518"/>
      <c r="K83" s="1522">
        <f>+G83</f>
        <v>2898.72</v>
      </c>
      <c r="L83" s="1518"/>
      <c r="M83" s="1518"/>
      <c r="N83" s="1523"/>
    </row>
    <row r="84" spans="2:14">
      <c r="B84" s="1493" t="s">
        <v>6566</v>
      </c>
      <c r="C84" s="1524" t="s">
        <v>3341</v>
      </c>
      <c r="D84" s="1518">
        <v>869.12</v>
      </c>
      <c r="E84" s="1518"/>
      <c r="F84" s="1518"/>
      <c r="G84" s="1518">
        <f t="shared" si="2"/>
        <v>869.12</v>
      </c>
      <c r="H84" s="1518">
        <f t="shared" si="10"/>
        <v>869.12</v>
      </c>
      <c r="I84" s="1518"/>
      <c r="J84" s="1518"/>
      <c r="K84" s="1522">
        <f>+G84</f>
        <v>869.12</v>
      </c>
      <c r="L84" s="1518"/>
      <c r="M84" s="1518"/>
      <c r="N84" s="1523"/>
    </row>
    <row r="85" spans="2:14">
      <c r="B85" s="1526" t="s">
        <v>6719</v>
      </c>
      <c r="C85" s="1524" t="s">
        <v>6720</v>
      </c>
      <c r="D85" s="1518">
        <v>0</v>
      </c>
      <c r="E85" s="1518"/>
      <c r="F85" s="1518"/>
      <c r="G85" s="1518">
        <f t="shared" si="2"/>
        <v>0</v>
      </c>
      <c r="H85" s="1518">
        <f t="shared" si="10"/>
        <v>0</v>
      </c>
      <c r="I85" s="1518">
        <f>+G85</f>
        <v>0</v>
      </c>
      <c r="J85" s="1518"/>
      <c r="K85" s="1522"/>
      <c r="L85" s="1518"/>
      <c r="M85" s="1518"/>
      <c r="N85" s="1523"/>
    </row>
    <row r="86" spans="2:14">
      <c r="B86" s="1493" t="s">
        <v>6567</v>
      </c>
      <c r="C86" s="1524" t="s">
        <v>6568</v>
      </c>
      <c r="D86" s="1518">
        <v>0</v>
      </c>
      <c r="E86" s="1518"/>
      <c r="F86" s="1518"/>
      <c r="G86" s="1518">
        <f t="shared" si="2"/>
        <v>0</v>
      </c>
      <c r="H86" s="1518">
        <f t="shared" si="10"/>
        <v>0</v>
      </c>
      <c r="I86" s="1518"/>
      <c r="J86" s="1518"/>
      <c r="K86" s="1522">
        <f>+G86</f>
        <v>0</v>
      </c>
      <c r="L86" s="1518"/>
      <c r="M86" s="1518"/>
      <c r="N86" s="1523"/>
    </row>
    <row r="87" spans="2:14">
      <c r="B87" s="1493" t="s">
        <v>6721</v>
      </c>
      <c r="C87" s="1524" t="s">
        <v>39</v>
      </c>
      <c r="D87" s="1518">
        <v>1646.22</v>
      </c>
      <c r="E87" s="1518"/>
      <c r="F87" s="1518"/>
      <c r="G87" s="1518">
        <f t="shared" si="2"/>
        <v>1646.22</v>
      </c>
      <c r="H87" s="1518">
        <f t="shared" si="10"/>
        <v>1646.22</v>
      </c>
      <c r="I87" s="1518"/>
      <c r="J87" s="1518"/>
      <c r="K87" s="1522">
        <f>+G87</f>
        <v>1646.22</v>
      </c>
      <c r="L87" s="1518"/>
      <c r="M87" s="1518"/>
      <c r="N87" s="1523"/>
    </row>
    <row r="88" spans="2:14">
      <c r="B88" s="1493" t="s">
        <v>6570</v>
      </c>
      <c r="C88" s="1524" t="s">
        <v>4163</v>
      </c>
      <c r="D88" s="1518">
        <v>94.08</v>
      </c>
      <c r="E88" s="1518"/>
      <c r="F88" s="1518"/>
      <c r="G88" s="1518">
        <f>+D88+E88-F88</f>
        <v>94.08</v>
      </c>
      <c r="H88" s="1518">
        <f t="shared" si="10"/>
        <v>94.08</v>
      </c>
      <c r="I88" s="1518"/>
      <c r="J88" s="1518"/>
      <c r="K88" s="1522">
        <f>+G88</f>
        <v>94.08</v>
      </c>
      <c r="L88" s="1518"/>
      <c r="M88" s="1518"/>
      <c r="N88" s="1523"/>
    </row>
    <row r="89" spans="2:14">
      <c r="B89" s="1493" t="s">
        <v>6662</v>
      </c>
      <c r="C89" s="1524" t="s">
        <v>40</v>
      </c>
      <c r="D89" s="1518">
        <v>4250.8999999999996</v>
      </c>
      <c r="E89" s="1518"/>
      <c r="F89" s="1518"/>
      <c r="G89" s="1518">
        <f t="shared" si="2"/>
        <v>4250.8999999999996</v>
      </c>
      <c r="H89" s="1518">
        <f t="shared" si="10"/>
        <v>4250.8999999999996</v>
      </c>
      <c r="I89" s="1518"/>
      <c r="J89" s="1518"/>
      <c r="K89" s="1522">
        <f>+G89</f>
        <v>4250.8999999999996</v>
      </c>
      <c r="L89" s="1518"/>
      <c r="M89" s="1518"/>
      <c r="N89" s="1523"/>
    </row>
    <row r="90" spans="2:14">
      <c r="B90" s="1493" t="s">
        <v>6572</v>
      </c>
      <c r="C90" s="1524" t="s">
        <v>6722</v>
      </c>
      <c r="D90" s="1518">
        <v>7078.4</v>
      </c>
      <c r="E90" s="1518"/>
      <c r="F90" s="1518"/>
      <c r="G90" s="1518">
        <f t="shared" si="2"/>
        <v>7078.4</v>
      </c>
      <c r="H90" s="1518">
        <f t="shared" si="10"/>
        <v>7078.4</v>
      </c>
      <c r="I90" s="1518"/>
      <c r="J90" s="1518"/>
      <c r="K90" s="1522">
        <f>+G90</f>
        <v>7078.4</v>
      </c>
      <c r="L90" s="1518"/>
      <c r="M90" s="1518"/>
      <c r="N90" s="1523"/>
    </row>
    <row r="91" spans="2:14">
      <c r="B91" s="1526" t="s">
        <v>6723</v>
      </c>
      <c r="C91" s="1524" t="s">
        <v>36</v>
      </c>
      <c r="D91" s="1518">
        <v>0</v>
      </c>
      <c r="E91" s="1518"/>
      <c r="F91" s="1518"/>
      <c r="G91" s="1518">
        <f t="shared" si="2"/>
        <v>0</v>
      </c>
      <c r="H91" s="1518">
        <f t="shared" si="10"/>
        <v>0</v>
      </c>
      <c r="I91" s="1518">
        <f>+G91</f>
        <v>0</v>
      </c>
      <c r="J91" s="1518"/>
      <c r="K91" s="1522"/>
      <c r="L91" s="1518"/>
      <c r="M91" s="1518"/>
      <c r="N91" s="1523"/>
    </row>
    <row r="92" spans="2:14">
      <c r="B92" s="1527" t="s">
        <v>6724</v>
      </c>
      <c r="C92" s="1524" t="s">
        <v>36</v>
      </c>
      <c r="D92" s="1518">
        <v>0</v>
      </c>
      <c r="E92" s="1518"/>
      <c r="F92" s="1518"/>
      <c r="G92" s="1518">
        <f t="shared" si="2"/>
        <v>0</v>
      </c>
      <c r="H92" s="1518">
        <f t="shared" si="10"/>
        <v>0</v>
      </c>
      <c r="I92" s="1518"/>
      <c r="J92" s="1518">
        <f>+G92</f>
        <v>0</v>
      </c>
      <c r="K92" s="1522"/>
      <c r="L92" s="1518"/>
      <c r="M92" s="1518"/>
      <c r="N92" s="1523"/>
    </row>
    <row r="93" spans="2:14">
      <c r="B93" s="1526" t="s">
        <v>6725</v>
      </c>
      <c r="C93" s="1524" t="s">
        <v>37</v>
      </c>
      <c r="D93" s="1518">
        <v>0</v>
      </c>
      <c r="E93" s="1518"/>
      <c r="F93" s="1518"/>
      <c r="G93" s="1518">
        <f t="shared" si="2"/>
        <v>0</v>
      </c>
      <c r="H93" s="1518">
        <f t="shared" si="10"/>
        <v>0</v>
      </c>
      <c r="I93" s="1518">
        <f>+G93</f>
        <v>0</v>
      </c>
      <c r="J93" s="1518"/>
      <c r="K93" s="1522"/>
      <c r="L93" s="1518"/>
      <c r="M93" s="1518"/>
      <c r="N93" s="1523"/>
    </row>
    <row r="94" spans="2:14">
      <c r="B94" s="1493" t="s">
        <v>6573</v>
      </c>
      <c r="C94" s="1524" t="s">
        <v>4183</v>
      </c>
      <c r="D94" s="1518">
        <v>3600</v>
      </c>
      <c r="E94" s="1518"/>
      <c r="F94" s="1518"/>
      <c r="G94" s="1518">
        <f t="shared" si="2"/>
        <v>3600</v>
      </c>
      <c r="H94" s="1518">
        <f t="shared" si="10"/>
        <v>3600</v>
      </c>
      <c r="I94" s="1518"/>
      <c r="J94" s="1518"/>
      <c r="K94" s="1522">
        <f>+G94</f>
        <v>3600</v>
      </c>
      <c r="L94" s="1518"/>
      <c r="M94" s="1518"/>
      <c r="N94" s="1523"/>
    </row>
    <row r="95" spans="2:14">
      <c r="B95" s="1527" t="s">
        <v>6575</v>
      </c>
      <c r="C95" s="1524" t="s">
        <v>6726</v>
      </c>
      <c r="D95" s="1518">
        <v>49163.64</v>
      </c>
      <c r="E95" s="1518"/>
      <c r="F95" s="1518"/>
      <c r="G95" s="1518">
        <f t="shared" si="2"/>
        <v>49163.64</v>
      </c>
      <c r="H95" s="1518">
        <f t="shared" si="10"/>
        <v>49163.64</v>
      </c>
      <c r="I95" s="1518"/>
      <c r="J95" s="1518">
        <f>+G95</f>
        <v>49163.64</v>
      </c>
      <c r="K95" s="1522"/>
      <c r="L95" s="1518"/>
      <c r="M95" s="1518"/>
      <c r="N95" s="1523"/>
    </row>
    <row r="96" spans="2:14">
      <c r="B96" s="1493" t="s">
        <v>6576</v>
      </c>
      <c r="C96" s="1524" t="s">
        <v>6726</v>
      </c>
      <c r="D96" s="1518">
        <v>5949.98</v>
      </c>
      <c r="E96" s="1518"/>
      <c r="F96" s="1518"/>
      <c r="G96" s="1518">
        <f t="shared" si="2"/>
        <v>5949.98</v>
      </c>
      <c r="H96" s="1518">
        <f t="shared" ref="H96" si="14">+SUM(I96:M96)</f>
        <v>5949.98</v>
      </c>
      <c r="I96" s="1518"/>
      <c r="J96" s="1518"/>
      <c r="K96" s="1522">
        <f>+G96</f>
        <v>5949.98</v>
      </c>
      <c r="L96" s="1518"/>
      <c r="M96" s="1518"/>
      <c r="N96" s="1523"/>
    </row>
    <row r="97" spans="2:14">
      <c r="B97" s="1526" t="s">
        <v>6577</v>
      </c>
      <c r="C97" s="1524" t="s">
        <v>894</v>
      </c>
      <c r="D97" s="1518">
        <v>2429.96</v>
      </c>
      <c r="F97" s="1518"/>
      <c r="G97" s="1518">
        <f t="shared" si="2"/>
        <v>2429.96</v>
      </c>
      <c r="H97" s="1518">
        <f t="shared" ref="H97:H99" si="15">+SUM(I97:M97)</f>
        <v>2429.96</v>
      </c>
      <c r="I97" s="1518">
        <f>+G97</f>
        <v>2429.96</v>
      </c>
      <c r="J97" s="1518"/>
      <c r="K97" s="1522"/>
      <c r="L97" s="1518"/>
      <c r="M97" s="1518"/>
      <c r="N97" s="1523"/>
    </row>
    <row r="98" spans="2:14">
      <c r="B98" s="1527" t="s">
        <v>6578</v>
      </c>
      <c r="C98" s="1524" t="s">
        <v>894</v>
      </c>
      <c r="D98" s="1518">
        <v>110320</v>
      </c>
      <c r="E98" s="1518"/>
      <c r="F98" s="1518"/>
      <c r="G98" s="1518">
        <f t="shared" si="2"/>
        <v>110320</v>
      </c>
      <c r="H98" s="1518">
        <f t="shared" si="15"/>
        <v>110320</v>
      </c>
      <c r="I98" s="1518"/>
      <c r="J98" s="1518">
        <f>+G98</f>
        <v>110320</v>
      </c>
      <c r="K98" s="1522"/>
      <c r="L98" s="1518"/>
      <c r="M98" s="1518"/>
      <c r="N98" s="1523"/>
    </row>
    <row r="99" spans="2:14">
      <c r="B99" s="1493" t="s">
        <v>6579</v>
      </c>
      <c r="C99" s="1524" t="s">
        <v>894</v>
      </c>
      <c r="D99" s="1518">
        <v>24379.45</v>
      </c>
      <c r="E99" s="1518"/>
      <c r="F99" s="1518"/>
      <c r="G99" s="1518">
        <f t="shared" si="2"/>
        <v>24379.45</v>
      </c>
      <c r="H99" s="1518">
        <f t="shared" si="15"/>
        <v>24379.45</v>
      </c>
      <c r="I99" s="1518"/>
      <c r="J99" s="1518"/>
      <c r="K99" s="1522">
        <f>+G99</f>
        <v>24379.45</v>
      </c>
      <c r="L99" s="1518"/>
      <c r="M99" s="1518"/>
      <c r="N99" s="1523"/>
    </row>
    <row r="100" spans="2:14">
      <c r="B100" s="1527" t="s">
        <v>6580</v>
      </c>
      <c r="C100" s="1524" t="s">
        <v>3542</v>
      </c>
      <c r="D100" s="1518">
        <v>159.04</v>
      </c>
      <c r="E100" s="1518"/>
      <c r="F100" s="1518"/>
      <c r="G100" s="1518">
        <f t="shared" si="2"/>
        <v>159.04</v>
      </c>
      <c r="H100" s="1518">
        <f t="shared" si="10"/>
        <v>159.04</v>
      </c>
      <c r="I100" s="1518"/>
      <c r="J100" s="1518">
        <f>+G100</f>
        <v>159.04</v>
      </c>
      <c r="K100" s="1522"/>
      <c r="L100" s="1518"/>
      <c r="M100" s="1518"/>
      <c r="N100" s="1523"/>
    </row>
    <row r="101" spans="2:14">
      <c r="B101" s="1493" t="s">
        <v>6727</v>
      </c>
      <c r="C101" s="1524" t="s">
        <v>419</v>
      </c>
      <c r="D101" s="1518">
        <v>5080</v>
      </c>
      <c r="E101" s="1518"/>
      <c r="F101" s="1518"/>
      <c r="G101" s="1518">
        <f t="shared" si="2"/>
        <v>5080</v>
      </c>
      <c r="H101" s="1518">
        <f t="shared" si="10"/>
        <v>5080</v>
      </c>
      <c r="I101" s="1518"/>
      <c r="J101" s="1518"/>
      <c r="K101" s="1522">
        <f>+G101</f>
        <v>5080</v>
      </c>
      <c r="L101" s="1518"/>
      <c r="M101" s="1518"/>
      <c r="N101" s="1523"/>
    </row>
    <row r="102" spans="2:14">
      <c r="B102" s="1526" t="s">
        <v>6728</v>
      </c>
      <c r="C102" s="1524" t="s">
        <v>6729</v>
      </c>
      <c r="D102" s="1518">
        <v>0</v>
      </c>
      <c r="E102" s="1518"/>
      <c r="F102" s="1518"/>
      <c r="G102" s="1518">
        <f t="shared" ref="G102:G126" si="16">+D102+E102-F102</f>
        <v>0</v>
      </c>
      <c r="H102" s="1518">
        <f t="shared" si="10"/>
        <v>0</v>
      </c>
      <c r="I102" s="1518">
        <f t="shared" ref="I102:I105" si="17">+G102</f>
        <v>0</v>
      </c>
      <c r="J102" s="1518"/>
      <c r="K102" s="1522"/>
      <c r="L102" s="1518"/>
      <c r="M102" s="1518"/>
      <c r="N102" s="1523"/>
    </row>
    <row r="103" spans="2:14">
      <c r="B103" s="1526" t="s">
        <v>6730</v>
      </c>
      <c r="C103" s="1524" t="s">
        <v>6731</v>
      </c>
      <c r="D103" s="1518">
        <v>0</v>
      </c>
      <c r="E103" s="1518"/>
      <c r="F103" s="1518"/>
      <c r="G103" s="1518">
        <f t="shared" si="16"/>
        <v>0</v>
      </c>
      <c r="H103" s="1518">
        <f t="shared" si="10"/>
        <v>0</v>
      </c>
      <c r="I103" s="1518">
        <f>+G103</f>
        <v>0</v>
      </c>
      <c r="J103" s="1518"/>
      <c r="K103" s="1522"/>
      <c r="L103" s="1518"/>
      <c r="M103" s="1518"/>
      <c r="N103" s="1523"/>
    </row>
    <row r="104" spans="2:14">
      <c r="B104" s="1493" t="s">
        <v>6732</v>
      </c>
      <c r="C104" s="1524" t="s">
        <v>3462</v>
      </c>
      <c r="D104" s="1518">
        <v>1000</v>
      </c>
      <c r="E104" s="1518"/>
      <c r="F104" s="1518"/>
      <c r="G104" s="1518">
        <f t="shared" si="16"/>
        <v>1000</v>
      </c>
      <c r="H104" s="1518">
        <f t="shared" si="10"/>
        <v>1000</v>
      </c>
      <c r="I104" s="1518"/>
      <c r="J104" s="1518"/>
      <c r="K104" s="1522">
        <f>+G104</f>
        <v>1000</v>
      </c>
      <c r="L104" s="1518"/>
      <c r="M104" s="1518"/>
      <c r="N104" s="1523"/>
    </row>
    <row r="105" spans="2:14">
      <c r="B105" s="1526" t="s">
        <v>6581</v>
      </c>
      <c r="C105" s="1524" t="s">
        <v>6733</v>
      </c>
      <c r="D105" s="1518">
        <v>4980</v>
      </c>
      <c r="F105" s="1518"/>
      <c r="G105" s="1518">
        <f t="shared" si="16"/>
        <v>4980</v>
      </c>
      <c r="H105" s="1518">
        <f t="shared" ref="H105" si="18">+SUM(I105:M105)</f>
        <v>4980</v>
      </c>
      <c r="I105" s="1518">
        <f t="shared" si="17"/>
        <v>4980</v>
      </c>
      <c r="J105" s="1518"/>
      <c r="K105" s="1522"/>
      <c r="L105" s="1518"/>
      <c r="M105" s="1518"/>
      <c r="N105" s="1523"/>
    </row>
    <row r="106" spans="2:14">
      <c r="B106" s="1526" t="s">
        <v>6582</v>
      </c>
      <c r="C106" s="1524" t="s">
        <v>3079</v>
      </c>
      <c r="D106" s="1518">
        <v>1370884.73</v>
      </c>
      <c r="E106" s="1518"/>
      <c r="F106" s="1518"/>
      <c r="G106" s="1518">
        <f t="shared" si="16"/>
        <v>1370884.73</v>
      </c>
      <c r="H106" s="1518">
        <f t="shared" si="10"/>
        <v>1370884.73</v>
      </c>
      <c r="I106" s="1529">
        <f>+G106</f>
        <v>1370884.73</v>
      </c>
      <c r="J106" s="1518"/>
      <c r="K106" s="1522"/>
      <c r="L106" s="1518"/>
      <c r="M106" s="1518"/>
      <c r="N106" s="1523"/>
    </row>
    <row r="107" spans="2:14">
      <c r="B107" s="1531" t="s">
        <v>6734</v>
      </c>
      <c r="C107" s="1524" t="s">
        <v>3034</v>
      </c>
      <c r="D107" s="1518">
        <v>0</v>
      </c>
      <c r="E107" s="1518"/>
      <c r="F107" s="1518"/>
      <c r="G107" s="1518">
        <f t="shared" si="16"/>
        <v>0</v>
      </c>
      <c r="H107" s="1518">
        <f t="shared" si="10"/>
        <v>0</v>
      </c>
      <c r="I107" s="1529"/>
      <c r="J107" s="1518"/>
      <c r="K107" s="1522"/>
      <c r="L107" s="1518">
        <f>+G107</f>
        <v>0</v>
      </c>
      <c r="M107" s="1518"/>
      <c r="N107" s="1523"/>
    </row>
    <row r="108" spans="2:14">
      <c r="B108" s="1531" t="s">
        <v>6735</v>
      </c>
      <c r="C108" s="1524" t="s">
        <v>3036</v>
      </c>
      <c r="D108" s="1518">
        <v>423188.3</v>
      </c>
      <c r="E108" s="1518"/>
      <c r="F108" s="1518"/>
      <c r="G108" s="1518">
        <f>+D108+E108-F108</f>
        <v>423188.3</v>
      </c>
      <c r="H108" s="1518">
        <f>+SUM(I108:M108)</f>
        <v>423188.3</v>
      </c>
      <c r="I108" s="1529"/>
      <c r="J108" s="1518"/>
      <c r="K108" s="1522"/>
      <c r="L108" s="1518">
        <f>+G108</f>
        <v>423188.3</v>
      </c>
      <c r="M108" s="1518"/>
      <c r="N108" s="1523"/>
    </row>
    <row r="109" spans="2:14">
      <c r="B109" s="1531" t="s">
        <v>6736</v>
      </c>
      <c r="C109" s="1524" t="s">
        <v>3879</v>
      </c>
      <c r="D109" s="1518">
        <v>0</v>
      </c>
      <c r="E109" s="1532"/>
      <c r="F109" s="1518"/>
      <c r="G109" s="1518">
        <f t="shared" si="16"/>
        <v>0</v>
      </c>
      <c r="H109" s="1518">
        <f t="shared" si="10"/>
        <v>0</v>
      </c>
      <c r="I109" s="1529"/>
      <c r="J109" s="1518"/>
      <c r="K109" s="1522"/>
      <c r="L109" s="1518">
        <f>+G109</f>
        <v>0</v>
      </c>
      <c r="M109" s="1518"/>
      <c r="N109" s="1523"/>
    </row>
    <row r="110" spans="2:14">
      <c r="B110" s="1526" t="s">
        <v>6737</v>
      </c>
      <c r="C110" s="1524" t="s">
        <v>671</v>
      </c>
      <c r="D110" s="1518">
        <v>545</v>
      </c>
      <c r="E110" s="1518"/>
      <c r="F110" s="1518"/>
      <c r="G110" s="1518">
        <f t="shared" si="16"/>
        <v>545</v>
      </c>
      <c r="H110" s="1518">
        <f t="shared" si="10"/>
        <v>545</v>
      </c>
      <c r="I110" s="1529">
        <f>+G110</f>
        <v>545</v>
      </c>
      <c r="J110" s="1518"/>
      <c r="K110" s="1522"/>
      <c r="L110" s="1518"/>
      <c r="M110" s="1518"/>
      <c r="N110" s="1523"/>
    </row>
    <row r="111" spans="2:14">
      <c r="B111" s="1527" t="s">
        <v>6738</v>
      </c>
      <c r="C111" s="1524" t="s">
        <v>671</v>
      </c>
      <c r="D111" s="1518">
        <v>0</v>
      </c>
      <c r="E111" s="1518"/>
      <c r="F111" s="1518"/>
      <c r="G111" s="1518">
        <f t="shared" si="16"/>
        <v>0</v>
      </c>
      <c r="H111" s="1518">
        <f t="shared" si="10"/>
        <v>0</v>
      </c>
      <c r="I111" s="1529"/>
      <c r="J111" s="1518">
        <f>+G111</f>
        <v>0</v>
      </c>
      <c r="K111" s="1522"/>
      <c r="L111" s="1518"/>
      <c r="M111" s="1518"/>
      <c r="N111" s="1523"/>
    </row>
    <row r="112" spans="2:14">
      <c r="B112" s="1493" t="s">
        <v>5694</v>
      </c>
      <c r="C112" s="1524" t="s">
        <v>671</v>
      </c>
      <c r="D112" s="1518">
        <v>28055.22</v>
      </c>
      <c r="E112" s="1518"/>
      <c r="F112" s="1518"/>
      <c r="G112" s="1518">
        <f t="shared" si="16"/>
        <v>28055.22</v>
      </c>
      <c r="H112" s="1518">
        <f t="shared" si="10"/>
        <v>28055.22</v>
      </c>
      <c r="I112" s="1529"/>
      <c r="J112" s="1518"/>
      <c r="K112" s="1522">
        <f>+G112</f>
        <v>28055.22</v>
      </c>
      <c r="L112" s="1518"/>
      <c r="M112" s="1518"/>
      <c r="N112" s="1523"/>
    </row>
    <row r="113" spans="2:14">
      <c r="B113" s="1526" t="s">
        <v>5717</v>
      </c>
      <c r="C113" s="1524" t="s">
        <v>39</v>
      </c>
      <c r="D113" s="1518">
        <v>0</v>
      </c>
      <c r="E113" s="1518"/>
      <c r="F113" s="1518"/>
      <c r="G113" s="1518">
        <f t="shared" si="16"/>
        <v>0</v>
      </c>
      <c r="H113" s="1518">
        <f t="shared" ref="H113:H126" si="19">+SUM(I113:M113)</f>
        <v>0</v>
      </c>
      <c r="I113" s="1533">
        <f>+G113</f>
        <v>0</v>
      </c>
      <c r="J113" s="1532"/>
      <c r="K113" s="1534"/>
      <c r="L113" s="1518"/>
      <c r="M113" s="1518"/>
      <c r="N113" s="1523"/>
    </row>
    <row r="114" spans="2:14">
      <c r="B114" s="1527" t="s">
        <v>5252</v>
      </c>
      <c r="C114" s="1524" t="s">
        <v>39</v>
      </c>
      <c r="D114" s="1518">
        <v>42440</v>
      </c>
      <c r="E114" s="1518"/>
      <c r="F114" s="1518"/>
      <c r="G114" s="1518">
        <f t="shared" si="16"/>
        <v>42440</v>
      </c>
      <c r="H114" s="1518">
        <f t="shared" si="19"/>
        <v>42440</v>
      </c>
      <c r="I114" s="1533"/>
      <c r="J114" s="1532">
        <f>+G114</f>
        <v>42440</v>
      </c>
      <c r="K114" s="1534"/>
      <c r="L114" s="1518"/>
      <c r="M114" s="1518"/>
      <c r="N114" s="1523"/>
    </row>
    <row r="115" spans="2:14">
      <c r="B115" s="1493" t="s">
        <v>5283</v>
      </c>
      <c r="C115" s="2004" t="s">
        <v>39</v>
      </c>
      <c r="D115" s="1518">
        <v>150815.17000000001</v>
      </c>
      <c r="E115" s="1518"/>
      <c r="F115" s="1518"/>
      <c r="G115" s="1518">
        <f t="shared" si="16"/>
        <v>150815.17000000001</v>
      </c>
      <c r="H115" s="1518">
        <f t="shared" si="19"/>
        <v>150815.17000000001</v>
      </c>
      <c r="I115" s="1533"/>
      <c r="J115" s="1532"/>
      <c r="K115" s="1534">
        <f>+G115</f>
        <v>150815.17000000001</v>
      </c>
      <c r="L115" s="1518"/>
      <c r="M115" s="1518"/>
      <c r="N115" s="1523"/>
    </row>
    <row r="116" spans="2:14">
      <c r="B116" s="1535" t="s">
        <v>6739</v>
      </c>
      <c r="C116" s="1524" t="s">
        <v>39</v>
      </c>
      <c r="D116" s="1518">
        <v>0</v>
      </c>
      <c r="E116" s="1532"/>
      <c r="F116" s="1518"/>
      <c r="G116" s="1518">
        <f t="shared" si="16"/>
        <v>0</v>
      </c>
      <c r="H116" s="1518">
        <f t="shared" si="19"/>
        <v>0</v>
      </c>
      <c r="I116" s="1533"/>
      <c r="J116" s="1532"/>
      <c r="K116" s="1534"/>
      <c r="L116" s="1518">
        <f>+G116</f>
        <v>0</v>
      </c>
      <c r="M116" s="1518"/>
      <c r="N116" s="1523"/>
    </row>
    <row r="117" spans="2:14">
      <c r="B117" s="1587" t="s">
        <v>6929</v>
      </c>
      <c r="C117" s="2004" t="s">
        <v>39</v>
      </c>
      <c r="D117" s="1518">
        <v>39500</v>
      </c>
      <c r="E117" s="1532"/>
      <c r="F117" s="1518"/>
      <c r="G117" s="1518">
        <f t="shared" si="16"/>
        <v>39500</v>
      </c>
      <c r="H117" s="1518">
        <f>SUM(I117:M117)</f>
        <v>39500</v>
      </c>
      <c r="I117" s="1533"/>
      <c r="J117" s="1532"/>
      <c r="K117" s="1534"/>
      <c r="L117" s="1518"/>
      <c r="M117" s="1518">
        <f>G117</f>
        <v>39500</v>
      </c>
      <c r="N117" s="1523"/>
    </row>
    <row r="118" spans="2:14">
      <c r="B118" s="1493" t="s">
        <v>6740</v>
      </c>
      <c r="C118" s="1524" t="s">
        <v>6741</v>
      </c>
      <c r="D118" s="1518">
        <v>0</v>
      </c>
      <c r="E118" s="1532"/>
      <c r="F118" s="1518"/>
      <c r="G118" s="1518">
        <f t="shared" si="16"/>
        <v>0</v>
      </c>
      <c r="H118" s="1518">
        <f t="shared" si="19"/>
        <v>0</v>
      </c>
      <c r="I118" s="1533"/>
      <c r="J118" s="1532"/>
      <c r="K118" s="1534">
        <f>+G118</f>
        <v>0</v>
      </c>
      <c r="L118" s="1518"/>
      <c r="M118" s="1518"/>
      <c r="N118" s="1523"/>
    </row>
    <row r="119" spans="2:14">
      <c r="B119" s="1535" t="s">
        <v>6742</v>
      </c>
      <c r="C119" s="1524" t="s">
        <v>4118</v>
      </c>
      <c r="D119" s="1518">
        <v>0</v>
      </c>
      <c r="E119" s="1532"/>
      <c r="F119" s="1518"/>
      <c r="G119" s="1518">
        <f t="shared" si="16"/>
        <v>0</v>
      </c>
      <c r="H119" s="1518">
        <f t="shared" si="19"/>
        <v>0</v>
      </c>
      <c r="I119" s="1533"/>
      <c r="J119" s="1532"/>
      <c r="K119" s="1534"/>
      <c r="L119" s="1518">
        <f>+G119</f>
        <v>0</v>
      </c>
      <c r="M119" s="1518"/>
      <c r="N119" s="1523"/>
    </row>
    <row r="120" spans="2:14">
      <c r="B120" s="1526" t="s">
        <v>5544</v>
      </c>
      <c r="C120" s="2005" t="s">
        <v>40</v>
      </c>
      <c r="D120" s="1518">
        <v>81952.06</v>
      </c>
      <c r="E120" s="1518"/>
      <c r="F120" s="1518"/>
      <c r="G120" s="1518">
        <f t="shared" si="16"/>
        <v>81952.06</v>
      </c>
      <c r="H120" s="1518">
        <f t="shared" si="19"/>
        <v>81952.06</v>
      </c>
      <c r="I120" s="1533">
        <f>+G120</f>
        <v>81952.06</v>
      </c>
      <c r="J120" s="1532"/>
      <c r="K120" s="1534"/>
      <c r="L120" s="1518"/>
      <c r="M120" s="1518"/>
      <c r="N120" s="1523"/>
    </row>
    <row r="121" spans="2:14">
      <c r="B121" s="1527" t="s">
        <v>6743</v>
      </c>
      <c r="C121" s="1524" t="s">
        <v>40</v>
      </c>
      <c r="D121" s="1518">
        <v>0</v>
      </c>
      <c r="E121" s="1518"/>
      <c r="F121" s="1532"/>
      <c r="G121" s="1518">
        <f t="shared" si="16"/>
        <v>0</v>
      </c>
      <c r="H121" s="1518">
        <f t="shared" si="19"/>
        <v>0</v>
      </c>
      <c r="I121" s="1533"/>
      <c r="J121" s="1532">
        <f>+G121</f>
        <v>0</v>
      </c>
      <c r="K121" s="1534"/>
      <c r="L121" s="1518"/>
      <c r="M121" s="1518"/>
      <c r="N121" s="1523"/>
    </row>
    <row r="122" spans="2:14">
      <c r="B122" s="1493" t="s">
        <v>4825</v>
      </c>
      <c r="C122" s="1524" t="s">
        <v>40</v>
      </c>
      <c r="D122" s="1518">
        <v>15270.91</v>
      </c>
      <c r="E122" s="1518"/>
      <c r="F122" s="1518"/>
      <c r="G122" s="1518">
        <f t="shared" si="16"/>
        <v>15270.91</v>
      </c>
      <c r="H122" s="1518">
        <f t="shared" si="19"/>
        <v>15270.91</v>
      </c>
      <c r="I122" s="1533"/>
      <c r="J122" s="1532"/>
      <c r="K122" s="1534">
        <f>+G122</f>
        <v>15270.91</v>
      </c>
      <c r="L122" s="1518"/>
      <c r="M122" s="1518"/>
      <c r="N122" s="1523"/>
    </row>
    <row r="123" spans="2:14">
      <c r="B123" s="1535" t="s">
        <v>6744</v>
      </c>
      <c r="C123" s="2004" t="s">
        <v>40</v>
      </c>
      <c r="D123" s="1518">
        <v>18470.34</v>
      </c>
      <c r="E123" s="1532"/>
      <c r="F123" s="1518"/>
      <c r="G123" s="1518">
        <f>+D123+E123-F123</f>
        <v>18470.34</v>
      </c>
      <c r="H123" s="1518">
        <f>+SUM(I123:M123)</f>
        <v>18470.34</v>
      </c>
      <c r="I123" s="1533"/>
      <c r="J123" s="1532"/>
      <c r="K123" s="1534"/>
      <c r="L123" s="1518">
        <f>+G123</f>
        <v>18470.34</v>
      </c>
      <c r="M123" s="1518"/>
      <c r="N123" s="1523"/>
    </row>
    <row r="124" spans="2:14">
      <c r="B124" s="1493" t="s">
        <v>6586</v>
      </c>
      <c r="C124" s="1524" t="s">
        <v>5430</v>
      </c>
      <c r="D124" s="1518">
        <v>8999.2000000000007</v>
      </c>
      <c r="E124" s="1532"/>
      <c r="F124" s="1518"/>
      <c r="G124" s="1518">
        <f t="shared" si="16"/>
        <v>8999.2000000000007</v>
      </c>
      <c r="H124" s="1518">
        <f t="shared" ref="H124" si="20">+SUM(I124:M124)</f>
        <v>8999.2000000000007</v>
      </c>
      <c r="I124" s="1533"/>
      <c r="J124" s="1532"/>
      <c r="K124" s="1534">
        <f>+G124</f>
        <v>8999.2000000000007</v>
      </c>
      <c r="L124" s="1518"/>
      <c r="M124" s="1518"/>
      <c r="N124" s="1523"/>
    </row>
    <row r="125" spans="2:14">
      <c r="B125" s="1493" t="s">
        <v>6745</v>
      </c>
      <c r="C125" s="1524" t="s">
        <v>6746</v>
      </c>
      <c r="D125" s="1518">
        <v>16000</v>
      </c>
      <c r="E125" s="1518"/>
      <c r="F125" s="1518"/>
      <c r="G125" s="1518">
        <f t="shared" si="16"/>
        <v>16000</v>
      </c>
      <c r="H125" s="1518">
        <f t="shared" si="19"/>
        <v>16000</v>
      </c>
      <c r="I125" s="1518"/>
      <c r="J125" s="1518"/>
      <c r="K125" s="1518">
        <f>+G125</f>
        <v>16000</v>
      </c>
      <c r="L125" s="1519"/>
      <c r="M125" s="1519"/>
      <c r="N125" s="1523"/>
    </row>
    <row r="126" spans="2:14">
      <c r="B126" s="1526" t="s">
        <v>6747</v>
      </c>
      <c r="C126" s="1524" t="s">
        <v>6748</v>
      </c>
      <c r="D126" s="1518">
        <v>0</v>
      </c>
      <c r="E126" s="1518"/>
      <c r="F126" s="1518"/>
      <c r="G126" s="1518">
        <f t="shared" si="16"/>
        <v>0</v>
      </c>
      <c r="H126" s="1518">
        <f t="shared" si="19"/>
        <v>0</v>
      </c>
      <c r="I126" s="1518">
        <f>+G126</f>
        <v>0</v>
      </c>
      <c r="J126" s="1518"/>
      <c r="K126" s="1518"/>
      <c r="L126" s="1519"/>
      <c r="M126" s="1519"/>
      <c r="N126" s="1523"/>
    </row>
    <row r="127" spans="2:14">
      <c r="B127" s="1524"/>
      <c r="C127" s="1536" t="s">
        <v>6587</v>
      </c>
      <c r="D127" s="1537">
        <f t="shared" ref="D127:M127" si="21">SUM(D20:D126)</f>
        <v>12092920.110000003</v>
      </c>
      <c r="E127" s="1537">
        <f t="shared" si="21"/>
        <v>0</v>
      </c>
      <c r="F127" s="1537">
        <f t="shared" si="21"/>
        <v>0</v>
      </c>
      <c r="G127" s="1537">
        <f t="shared" si="21"/>
        <v>12092920.110000003</v>
      </c>
      <c r="H127" s="1537">
        <f t="shared" si="21"/>
        <v>12092920.110000003</v>
      </c>
      <c r="I127" s="1537">
        <f t="shared" si="21"/>
        <v>1490371.23</v>
      </c>
      <c r="J127" s="1537">
        <f t="shared" si="21"/>
        <v>303129.15000000002</v>
      </c>
      <c r="K127" s="1537">
        <f t="shared" si="21"/>
        <v>9818261.0900000017</v>
      </c>
      <c r="L127" s="1537">
        <f t="shared" si="21"/>
        <v>441658.64</v>
      </c>
      <c r="M127" s="1537">
        <f t="shared" si="21"/>
        <v>39500</v>
      </c>
      <c r="N127" s="1523"/>
    </row>
    <row r="128" spans="2:14">
      <c r="B128" s="1539"/>
      <c r="C128" s="1539"/>
      <c r="D128" s="1540"/>
      <c r="E128" s="1541"/>
      <c r="F128" s="1542"/>
      <c r="G128" s="1542"/>
      <c r="H128" s="1542"/>
      <c r="I128" s="1542"/>
      <c r="J128" s="1523"/>
      <c r="K128" s="1523"/>
      <c r="L128" s="1523"/>
      <c r="M128" s="1523"/>
      <c r="N128" s="1523"/>
    </row>
    <row r="129" spans="2:14">
      <c r="B129" s="1539"/>
      <c r="C129" s="1539"/>
      <c r="D129" s="1543"/>
      <c r="E129" s="1545"/>
      <c r="F129" s="1545"/>
      <c r="G129" s="1545"/>
      <c r="H129" s="1545"/>
      <c r="I129" s="1545"/>
      <c r="J129" s="1546"/>
      <c r="K129" s="1477"/>
      <c r="N129" s="1523"/>
    </row>
    <row r="130" spans="2:14" ht="25.5">
      <c r="B130" s="1509" t="s">
        <v>7</v>
      </c>
      <c r="C130" s="1509" t="s">
        <v>6505</v>
      </c>
      <c r="D130" s="1510" t="s">
        <v>6667</v>
      </c>
      <c r="E130" s="1510" t="s">
        <v>6678</v>
      </c>
      <c r="F130" s="1510" t="s">
        <v>6679</v>
      </c>
      <c r="G130" s="1510" t="s">
        <v>6680</v>
      </c>
      <c r="H130" s="1510" t="s">
        <v>6681</v>
      </c>
      <c r="I130" s="1511" t="s">
        <v>6488</v>
      </c>
      <c r="J130" s="1512" t="s">
        <v>6489</v>
      </c>
      <c r="K130" s="1513" t="s">
        <v>6508</v>
      </c>
      <c r="L130" s="1514" t="s">
        <v>6491</v>
      </c>
      <c r="M130" s="1515" t="s">
        <v>6492</v>
      </c>
      <c r="N130" s="1523"/>
    </row>
    <row r="131" spans="2:14">
      <c r="B131" s="1547" t="s">
        <v>6588</v>
      </c>
      <c r="C131" s="1548" t="s">
        <v>6749</v>
      </c>
      <c r="D131" s="1530"/>
      <c r="E131" s="1530"/>
      <c r="F131" s="1530"/>
      <c r="G131" s="1530"/>
      <c r="H131" s="1530"/>
      <c r="I131" s="1530"/>
      <c r="J131" s="1530"/>
      <c r="K131" s="1530"/>
      <c r="L131" s="1519"/>
      <c r="M131" s="1519"/>
      <c r="N131" s="1523"/>
    </row>
    <row r="132" spans="2:14">
      <c r="B132" s="1526" t="s">
        <v>6590</v>
      </c>
      <c r="C132" s="1524" t="s">
        <v>3013</v>
      </c>
      <c r="D132" s="1518">
        <v>0</v>
      </c>
      <c r="E132" s="1518"/>
      <c r="F132" s="1518"/>
      <c r="G132" s="1518">
        <f>+D132+E132-F132</f>
        <v>0</v>
      </c>
      <c r="H132" s="1518">
        <f>+SUM(I132:M132)</f>
        <v>0</v>
      </c>
      <c r="I132" s="1518">
        <f>+G132</f>
        <v>0</v>
      </c>
      <c r="J132" s="1518"/>
      <c r="K132" s="1530"/>
      <c r="L132" s="1519"/>
      <c r="M132" s="1519"/>
      <c r="N132" s="1523"/>
    </row>
    <row r="133" spans="2:14">
      <c r="B133" s="1526" t="s">
        <v>6591</v>
      </c>
      <c r="C133" s="1524" t="s">
        <v>3014</v>
      </c>
      <c r="D133" s="1518">
        <v>0</v>
      </c>
      <c r="E133" s="1518"/>
      <c r="F133" s="1518"/>
      <c r="G133" s="1518">
        <f t="shared" ref="G133:G144" si="22">+D133+E133-F133</f>
        <v>0</v>
      </c>
      <c r="H133" s="1518">
        <f t="shared" ref="H133:H144" si="23">+SUM(I133:M133)</f>
        <v>0</v>
      </c>
      <c r="I133" s="1518">
        <f t="shared" ref="I133:I136" si="24">+G133</f>
        <v>0</v>
      </c>
      <c r="J133" s="1518"/>
      <c r="K133" s="1530"/>
      <c r="L133" s="1519"/>
      <c r="M133" s="1519"/>
      <c r="N133" s="1523"/>
    </row>
    <row r="134" spans="2:14">
      <c r="B134" s="1526" t="s">
        <v>6592</v>
      </c>
      <c r="C134" s="1524" t="s">
        <v>6750</v>
      </c>
      <c r="D134" s="1518">
        <v>0</v>
      </c>
      <c r="E134" s="1518"/>
      <c r="F134" s="1518"/>
      <c r="G134" s="1518">
        <f t="shared" si="22"/>
        <v>0</v>
      </c>
      <c r="H134" s="1518">
        <f t="shared" si="23"/>
        <v>0</v>
      </c>
      <c r="I134" s="1518">
        <f t="shared" si="24"/>
        <v>0</v>
      </c>
      <c r="J134" s="1518"/>
      <c r="K134" s="1530"/>
      <c r="L134" s="1519"/>
      <c r="M134" s="1519"/>
      <c r="N134" s="1523"/>
    </row>
    <row r="135" spans="2:14">
      <c r="B135" s="1526" t="s">
        <v>6594</v>
      </c>
      <c r="C135" s="1524" t="s">
        <v>3032</v>
      </c>
      <c r="D135" s="1518">
        <v>0</v>
      </c>
      <c r="E135" s="1518"/>
      <c r="F135" s="1518"/>
      <c r="G135" s="1518">
        <f t="shared" si="22"/>
        <v>0</v>
      </c>
      <c r="H135" s="1518">
        <f t="shared" si="23"/>
        <v>0</v>
      </c>
      <c r="I135" s="1518">
        <f t="shared" si="24"/>
        <v>0</v>
      </c>
      <c r="J135" s="1518"/>
      <c r="K135" s="1530"/>
      <c r="L135" s="1519"/>
      <c r="M135" s="1519"/>
      <c r="N135" s="1523"/>
    </row>
    <row r="136" spans="2:14">
      <c r="B136" s="1526" t="s">
        <v>6595</v>
      </c>
      <c r="C136" s="1524" t="s">
        <v>6751</v>
      </c>
      <c r="D136" s="1518">
        <v>0</v>
      </c>
      <c r="E136" s="1518"/>
      <c r="F136" s="1518"/>
      <c r="G136" s="1518">
        <f t="shared" si="22"/>
        <v>0</v>
      </c>
      <c r="H136" s="1518">
        <f t="shared" si="23"/>
        <v>0</v>
      </c>
      <c r="I136" s="1518">
        <f t="shared" si="24"/>
        <v>0</v>
      </c>
      <c r="J136" s="1518"/>
      <c r="K136" s="1530"/>
      <c r="L136" s="1519"/>
      <c r="M136" s="1519"/>
      <c r="N136" s="1523"/>
    </row>
    <row r="137" spans="2:14">
      <c r="B137" s="1527" t="s">
        <v>6624</v>
      </c>
      <c r="C137" s="1524" t="s">
        <v>6752</v>
      </c>
      <c r="D137" s="1518">
        <v>0</v>
      </c>
      <c r="E137" s="1518"/>
      <c r="F137" s="1518"/>
      <c r="G137" s="1518">
        <f t="shared" si="22"/>
        <v>0</v>
      </c>
      <c r="H137" s="1518">
        <f t="shared" si="23"/>
        <v>0</v>
      </c>
      <c r="I137" s="1518"/>
      <c r="J137" s="1518">
        <f>+G137</f>
        <v>0</v>
      </c>
      <c r="K137" s="1530"/>
      <c r="L137" s="1519"/>
      <c r="M137" s="1519"/>
      <c r="N137" s="1523"/>
    </row>
    <row r="138" spans="2:14">
      <c r="B138" s="1527" t="s">
        <v>6651</v>
      </c>
      <c r="C138" s="1524" t="s">
        <v>6753</v>
      </c>
      <c r="D138" s="1518">
        <v>0</v>
      </c>
      <c r="E138" s="1518"/>
      <c r="F138" s="1518"/>
      <c r="G138" s="1518">
        <f t="shared" si="22"/>
        <v>0</v>
      </c>
      <c r="H138" s="1518">
        <f t="shared" si="23"/>
        <v>0</v>
      </c>
      <c r="I138" s="1518"/>
      <c r="J138" s="1518">
        <f t="shared" ref="J138:J144" si="25">+G138</f>
        <v>0</v>
      </c>
      <c r="K138" s="1530"/>
      <c r="L138" s="1519"/>
      <c r="M138" s="1519"/>
      <c r="N138" s="1523"/>
    </row>
    <row r="139" spans="2:14">
      <c r="B139" s="1527" t="s">
        <v>6654</v>
      </c>
      <c r="C139" s="1524" t="s">
        <v>3817</v>
      </c>
      <c r="D139" s="1518">
        <v>0</v>
      </c>
      <c r="E139" s="1518"/>
      <c r="F139" s="1518"/>
      <c r="G139" s="1518">
        <f t="shared" si="22"/>
        <v>0</v>
      </c>
      <c r="H139" s="1518">
        <f t="shared" si="23"/>
        <v>0</v>
      </c>
      <c r="I139" s="1518"/>
      <c r="J139" s="1518">
        <f t="shared" si="25"/>
        <v>0</v>
      </c>
      <c r="K139" s="1530"/>
      <c r="L139" s="1519"/>
      <c r="M139" s="1519"/>
      <c r="N139" s="1523"/>
    </row>
    <row r="140" spans="2:14">
      <c r="B140" s="1527" t="s">
        <v>6754</v>
      </c>
      <c r="C140" s="1524" t="s">
        <v>6755</v>
      </c>
      <c r="D140" s="1518">
        <v>0</v>
      </c>
      <c r="E140" s="1518"/>
      <c r="F140" s="1518"/>
      <c r="G140" s="1518">
        <f>+D140+E140-F140</f>
        <v>0</v>
      </c>
      <c r="H140" s="1518">
        <f t="shared" si="23"/>
        <v>0</v>
      </c>
      <c r="I140" s="1518"/>
      <c r="J140" s="1518">
        <f>+G140</f>
        <v>0</v>
      </c>
      <c r="K140" s="1530"/>
      <c r="L140" s="1519"/>
      <c r="M140" s="1519"/>
      <c r="N140" s="1523"/>
    </row>
    <row r="141" spans="2:14">
      <c r="B141" s="1527" t="s">
        <v>5260</v>
      </c>
      <c r="C141" s="1524" t="s">
        <v>3341</v>
      </c>
      <c r="D141" s="1518">
        <v>0</v>
      </c>
      <c r="E141" s="1518"/>
      <c r="F141" s="1518"/>
      <c r="G141" s="1518">
        <f t="shared" si="22"/>
        <v>0</v>
      </c>
      <c r="H141" s="1518">
        <f t="shared" si="23"/>
        <v>0</v>
      </c>
      <c r="I141" s="1518"/>
      <c r="J141" s="1518">
        <f t="shared" si="25"/>
        <v>0</v>
      </c>
      <c r="K141" s="1518"/>
      <c r="L141" s="1519"/>
      <c r="M141" s="1519"/>
      <c r="N141" s="1523"/>
    </row>
    <row r="142" spans="2:14">
      <c r="B142" s="1527" t="s">
        <v>6578</v>
      </c>
      <c r="C142" s="1524" t="s">
        <v>6756</v>
      </c>
      <c r="D142" s="1518">
        <v>0</v>
      </c>
      <c r="E142" s="1518"/>
      <c r="F142" s="1518"/>
      <c r="G142" s="1518">
        <f t="shared" si="22"/>
        <v>0</v>
      </c>
      <c r="H142" s="1518">
        <f t="shared" si="23"/>
        <v>0</v>
      </c>
      <c r="I142" s="1518"/>
      <c r="J142" s="1518">
        <f t="shared" si="25"/>
        <v>0</v>
      </c>
      <c r="K142" s="1518"/>
      <c r="L142" s="1519"/>
      <c r="M142" s="1519"/>
      <c r="N142" s="1523"/>
    </row>
    <row r="143" spans="2:14">
      <c r="B143" s="1527" t="s">
        <v>5252</v>
      </c>
      <c r="C143" s="1524" t="s">
        <v>39</v>
      </c>
      <c r="D143" s="1518">
        <v>0</v>
      </c>
      <c r="E143" s="1518"/>
      <c r="F143" s="1518"/>
      <c r="G143" s="1518">
        <f t="shared" si="22"/>
        <v>0</v>
      </c>
      <c r="H143" s="1518">
        <f t="shared" si="23"/>
        <v>0</v>
      </c>
      <c r="I143" s="1518"/>
      <c r="J143" s="1518">
        <f>+G143</f>
        <v>0</v>
      </c>
      <c r="K143" s="1518"/>
      <c r="L143" s="1519"/>
      <c r="M143" s="1519"/>
      <c r="N143" s="1523"/>
    </row>
    <row r="144" spans="2:14">
      <c r="B144" s="1527" t="s">
        <v>6743</v>
      </c>
      <c r="C144" s="1524" t="s">
        <v>40</v>
      </c>
      <c r="D144" s="1518">
        <v>0</v>
      </c>
      <c r="E144" s="1518"/>
      <c r="F144" s="1518"/>
      <c r="G144" s="1518">
        <f t="shared" si="22"/>
        <v>0</v>
      </c>
      <c r="H144" s="1518">
        <f t="shared" si="23"/>
        <v>0</v>
      </c>
      <c r="I144" s="1518"/>
      <c r="J144" s="1518">
        <f t="shared" si="25"/>
        <v>0</v>
      </c>
      <c r="K144" s="1518"/>
      <c r="L144" s="1519"/>
      <c r="M144" s="1519"/>
      <c r="N144" s="1523"/>
    </row>
    <row r="145" spans="2:14">
      <c r="B145" s="1549"/>
      <c r="C145" s="1536" t="s">
        <v>6757</v>
      </c>
      <c r="D145" s="1538">
        <f>SUM(D132:D144)</f>
        <v>0</v>
      </c>
      <c r="E145" s="1538">
        <f>SUM(E132:E144)</f>
        <v>0</v>
      </c>
      <c r="F145" s="1538">
        <f>SUM(F132:F144)</f>
        <v>0</v>
      </c>
      <c r="G145" s="1538">
        <f>SUM(G132:G144)</f>
        <v>0</v>
      </c>
      <c r="H145" s="1538">
        <f>SUM(H132:H144)</f>
        <v>0</v>
      </c>
      <c r="I145" s="1538">
        <f>SUM(I132:I139)</f>
        <v>0</v>
      </c>
      <c r="J145" s="1538">
        <f>SUM(J132:J144)</f>
        <v>0</v>
      </c>
      <c r="K145" s="1538">
        <f>SUM(K132:K139)</f>
        <v>0</v>
      </c>
      <c r="L145" s="1538">
        <f>SUM(L132:L139)</f>
        <v>0</v>
      </c>
      <c r="M145" s="1538">
        <f>SUM(M132:M139)</f>
        <v>0</v>
      </c>
      <c r="N145" s="1523"/>
    </row>
    <row r="146" spans="2:14">
      <c r="B146" s="1550"/>
      <c r="C146" s="1551"/>
      <c r="D146" s="1539"/>
      <c r="E146" s="1539"/>
      <c r="F146" s="1539"/>
      <c r="G146" s="1539"/>
      <c r="H146" s="1539"/>
      <c r="I146" s="1539"/>
      <c r="J146" s="1539"/>
      <c r="K146" s="1539"/>
      <c r="N146" s="1523"/>
    </row>
    <row r="147" spans="2:14">
      <c r="B147" s="1552"/>
      <c r="C147" s="1552"/>
      <c r="D147" s="1539"/>
      <c r="E147" s="1539"/>
      <c r="F147" s="1539"/>
      <c r="G147" s="1539"/>
      <c r="H147" s="1539"/>
      <c r="I147" s="1539"/>
      <c r="J147" s="1539"/>
      <c r="K147" s="1539"/>
      <c r="N147" s="1523"/>
    </row>
    <row r="148" spans="2:14" ht="25.5">
      <c r="B148" s="1509" t="s">
        <v>7</v>
      </c>
      <c r="C148" s="1509" t="s">
        <v>6505</v>
      </c>
      <c r="D148" s="1510" t="s">
        <v>6667</v>
      </c>
      <c r="E148" s="1510" t="s">
        <v>6678</v>
      </c>
      <c r="F148" s="1510" t="s">
        <v>6679</v>
      </c>
      <c r="G148" s="1510" t="s">
        <v>6680</v>
      </c>
      <c r="H148" s="1510" t="s">
        <v>6681</v>
      </c>
      <c r="I148" s="1511" t="s">
        <v>6488</v>
      </c>
      <c r="J148" s="1512" t="s">
        <v>6489</v>
      </c>
      <c r="K148" s="1513" t="s">
        <v>6508</v>
      </c>
      <c r="L148" s="1514" t="s">
        <v>6491</v>
      </c>
      <c r="M148" s="1515" t="s">
        <v>6492</v>
      </c>
      <c r="N148" s="1523"/>
    </row>
    <row r="149" spans="2:14">
      <c r="B149" s="1547" t="s">
        <v>6758</v>
      </c>
      <c r="C149" s="1548" t="s">
        <v>6759</v>
      </c>
      <c r="D149" s="1530"/>
      <c r="E149" s="1530"/>
      <c r="F149" s="1530"/>
      <c r="G149" s="1530"/>
      <c r="H149" s="1530"/>
      <c r="I149" s="1530"/>
      <c r="J149" s="1530"/>
      <c r="K149" s="1530"/>
      <c r="L149" s="1519"/>
      <c r="M149" s="1519"/>
      <c r="N149" s="1523"/>
    </row>
    <row r="150" spans="2:14">
      <c r="B150" s="1493" t="s">
        <v>6514</v>
      </c>
      <c r="C150" s="1524" t="s">
        <v>6760</v>
      </c>
      <c r="D150" s="1518">
        <v>9240539.5199999884</v>
      </c>
      <c r="E150" s="1518"/>
      <c r="F150" s="1518"/>
      <c r="G150" s="1518">
        <f>+D150+E150-F150</f>
        <v>9240539.5199999884</v>
      </c>
      <c r="H150" s="1518">
        <f>+SUM(I150:M150)</f>
        <v>9240539.5199999884</v>
      </c>
      <c r="I150" s="1518"/>
      <c r="J150" s="1518"/>
      <c r="K150" s="1518">
        <f t="shared" ref="K150:K156" si="26">+G150</f>
        <v>9240539.5199999884</v>
      </c>
      <c r="L150" s="1519"/>
      <c r="M150" s="1519"/>
      <c r="N150" s="1523"/>
    </row>
    <row r="151" spans="2:14">
      <c r="B151" s="1493" t="s">
        <v>6515</v>
      </c>
      <c r="C151" s="1524" t="s">
        <v>3013</v>
      </c>
      <c r="D151" s="1518">
        <v>1035912.31</v>
      </c>
      <c r="E151" s="1518"/>
      <c r="F151" s="1518"/>
      <c r="G151" s="1518">
        <f t="shared" ref="G151:G209" si="27">+D151+E151-F151</f>
        <v>1035912.31</v>
      </c>
      <c r="H151" s="1518">
        <f t="shared" ref="H151:H209" si="28">+SUM(I151:M151)</f>
        <v>1035912.31</v>
      </c>
      <c r="I151" s="1518"/>
      <c r="J151" s="1518"/>
      <c r="K151" s="1518">
        <f t="shared" si="26"/>
        <v>1035912.31</v>
      </c>
      <c r="L151" s="1519"/>
      <c r="M151" s="1519"/>
      <c r="N151" s="1523"/>
    </row>
    <row r="152" spans="2:14">
      <c r="B152" s="1493" t="s">
        <v>6517</v>
      </c>
      <c r="C152" s="1524" t="s">
        <v>3014</v>
      </c>
      <c r="D152" s="1518">
        <v>246300</v>
      </c>
      <c r="E152" s="1518"/>
      <c r="F152" s="1518"/>
      <c r="G152" s="1518">
        <f t="shared" si="27"/>
        <v>246300</v>
      </c>
      <c r="H152" s="1518">
        <f t="shared" si="28"/>
        <v>246300</v>
      </c>
      <c r="I152" s="1518"/>
      <c r="J152" s="1518"/>
      <c r="K152" s="1518">
        <f t="shared" si="26"/>
        <v>246300</v>
      </c>
      <c r="L152" s="1519"/>
      <c r="M152" s="1519"/>
      <c r="N152" s="1523"/>
    </row>
    <row r="153" spans="2:14">
      <c r="B153" s="1493" t="s">
        <v>6593</v>
      </c>
      <c r="C153" s="1524" t="s">
        <v>6750</v>
      </c>
      <c r="D153" s="1518">
        <v>4433677.5999999996</v>
      </c>
      <c r="E153" s="1518"/>
      <c r="F153" s="1518"/>
      <c r="G153" s="1518">
        <f t="shared" si="27"/>
        <v>4433677.5999999996</v>
      </c>
      <c r="H153" s="1518">
        <f t="shared" si="28"/>
        <v>4433677.5999999996</v>
      </c>
      <c r="I153" s="1518"/>
      <c r="J153" s="1518"/>
      <c r="K153" s="1518">
        <f t="shared" si="26"/>
        <v>4433677.5999999996</v>
      </c>
      <c r="L153" s="1519"/>
      <c r="M153" s="1519"/>
      <c r="N153" s="1523"/>
    </row>
    <row r="154" spans="2:14">
      <c r="B154" s="1493" t="s">
        <v>6527</v>
      </c>
      <c r="C154" s="1524" t="s">
        <v>3032</v>
      </c>
      <c r="D154" s="1518">
        <v>1251170.9600000002</v>
      </c>
      <c r="E154" s="1518"/>
      <c r="F154" s="1518"/>
      <c r="G154" s="1518">
        <f t="shared" si="27"/>
        <v>1251170.9600000002</v>
      </c>
      <c r="H154" s="1518">
        <f t="shared" si="28"/>
        <v>1251170.9600000002</v>
      </c>
      <c r="I154" s="1518"/>
      <c r="J154" s="1518"/>
      <c r="K154" s="1518">
        <f t="shared" si="26"/>
        <v>1251170.9600000002</v>
      </c>
      <c r="L154" s="1519"/>
      <c r="M154" s="1519"/>
      <c r="N154" s="1523"/>
    </row>
    <row r="155" spans="2:14">
      <c r="B155" s="1493" t="s">
        <v>6528</v>
      </c>
      <c r="C155" s="1524" t="s">
        <v>3039</v>
      </c>
      <c r="D155" s="1518">
        <v>1139058.8999999999</v>
      </c>
      <c r="E155" s="1518"/>
      <c r="F155" s="1518"/>
      <c r="G155" s="1518">
        <f t="shared" si="27"/>
        <v>1139058.8999999999</v>
      </c>
      <c r="H155" s="1518">
        <f t="shared" si="28"/>
        <v>1139058.8999999999</v>
      </c>
      <c r="I155" s="1518"/>
      <c r="J155" s="1518"/>
      <c r="K155" s="1518">
        <f t="shared" si="26"/>
        <v>1139058.8999999999</v>
      </c>
      <c r="L155" s="1519"/>
      <c r="M155" s="1519"/>
      <c r="N155" s="1523"/>
    </row>
    <row r="156" spans="2:14">
      <c r="B156" s="1493" t="s">
        <v>6529</v>
      </c>
      <c r="C156" s="1524" t="s">
        <v>6761</v>
      </c>
      <c r="D156" s="1518">
        <v>1500</v>
      </c>
      <c r="E156" s="1518"/>
      <c r="F156" s="1518"/>
      <c r="G156" s="1518">
        <f t="shared" si="27"/>
        <v>1500</v>
      </c>
      <c r="H156" s="1518">
        <f t="shared" si="28"/>
        <v>1500</v>
      </c>
      <c r="I156" s="1518"/>
      <c r="J156" s="1518"/>
      <c r="K156" s="1518">
        <f t="shared" si="26"/>
        <v>1500</v>
      </c>
      <c r="L156" s="1519"/>
      <c r="M156" s="1519"/>
      <c r="N156" s="1523"/>
    </row>
    <row r="157" spans="2:14">
      <c r="B157" s="1493" t="s">
        <v>6530</v>
      </c>
      <c r="C157" s="1524" t="s">
        <v>6531</v>
      </c>
      <c r="D157" s="1518">
        <v>0</v>
      </c>
      <c r="E157" s="1518"/>
      <c r="F157" s="1518"/>
      <c r="G157" s="1518">
        <f t="shared" si="27"/>
        <v>0</v>
      </c>
      <c r="H157" s="1518">
        <f t="shared" si="28"/>
        <v>0</v>
      </c>
      <c r="I157" s="1518"/>
      <c r="J157" s="1518"/>
      <c r="K157" s="1522">
        <f>G157</f>
        <v>0</v>
      </c>
      <c r="L157" s="1518"/>
      <c r="M157" s="1518"/>
      <c r="N157" s="1523"/>
    </row>
    <row r="158" spans="2:14">
      <c r="B158" s="1526" t="s">
        <v>6762</v>
      </c>
      <c r="C158" s="1521" t="s">
        <v>3775</v>
      </c>
      <c r="D158" s="1518">
        <v>0</v>
      </c>
      <c r="E158" s="1518"/>
      <c r="F158" s="1518"/>
      <c r="G158" s="1518">
        <f t="shared" si="27"/>
        <v>0</v>
      </c>
      <c r="H158" s="1518">
        <f t="shared" si="28"/>
        <v>0</v>
      </c>
      <c r="I158" s="1518">
        <f>+G158</f>
        <v>0</v>
      </c>
      <c r="J158" s="1518"/>
      <c r="K158" s="1518"/>
      <c r="L158" s="1519"/>
      <c r="M158" s="1519"/>
      <c r="N158" s="1523"/>
    </row>
    <row r="159" spans="2:14">
      <c r="B159" s="1526" t="s">
        <v>6763</v>
      </c>
      <c r="C159" s="1524" t="s">
        <v>3778</v>
      </c>
      <c r="D159" s="1518">
        <v>0</v>
      </c>
      <c r="E159" s="1518"/>
      <c r="F159" s="1518"/>
      <c r="G159" s="1518">
        <f t="shared" si="27"/>
        <v>0</v>
      </c>
      <c r="H159" s="1518">
        <f t="shared" si="28"/>
        <v>0</v>
      </c>
      <c r="I159" s="1518">
        <f t="shared" ref="I159:I160" si="29">+G159</f>
        <v>0</v>
      </c>
      <c r="J159" s="1518"/>
      <c r="K159" s="1518"/>
      <c r="L159" s="1519"/>
      <c r="M159" s="1519"/>
      <c r="N159" s="1523"/>
    </row>
    <row r="160" spans="2:14">
      <c r="B160" s="1526" t="s">
        <v>6618</v>
      </c>
      <c r="C160" s="1524" t="s">
        <v>881</v>
      </c>
      <c r="D160" s="1518">
        <v>0</v>
      </c>
      <c r="E160" s="1518"/>
      <c r="F160" s="1518"/>
      <c r="G160" s="1518">
        <f t="shared" si="27"/>
        <v>0</v>
      </c>
      <c r="H160" s="1518">
        <f t="shared" si="28"/>
        <v>0</v>
      </c>
      <c r="I160" s="1518">
        <f t="shared" si="29"/>
        <v>0</v>
      </c>
      <c r="J160" s="1518"/>
      <c r="K160" s="1518"/>
      <c r="L160" s="1519"/>
      <c r="M160" s="1519"/>
      <c r="N160" s="1523"/>
    </row>
    <row r="161" spans="2:14">
      <c r="B161" s="1526" t="s">
        <v>5012</v>
      </c>
      <c r="C161" s="1524" t="s">
        <v>6764</v>
      </c>
      <c r="D161" s="1518">
        <v>0</v>
      </c>
      <c r="E161" s="1518"/>
      <c r="F161" s="1518"/>
      <c r="G161" s="1518">
        <f t="shared" si="27"/>
        <v>0</v>
      </c>
      <c r="H161" s="1518">
        <f t="shared" si="28"/>
        <v>0</v>
      </c>
      <c r="I161" s="1518">
        <f>+G161</f>
        <v>0</v>
      </c>
      <c r="J161" s="1518"/>
      <c r="K161" s="1518"/>
      <c r="L161" s="1519"/>
      <c r="M161" s="1519"/>
      <c r="N161" s="1523"/>
    </row>
    <row r="162" spans="2:14">
      <c r="B162" s="1526" t="s">
        <v>6765</v>
      </c>
      <c r="C162" s="1524" t="s">
        <v>471</v>
      </c>
      <c r="D162" s="1518">
        <v>3710.56</v>
      </c>
      <c r="E162" s="1518"/>
      <c r="F162" s="1518"/>
      <c r="G162" s="1518">
        <f t="shared" si="27"/>
        <v>3710.56</v>
      </c>
      <c r="H162" s="1518">
        <f t="shared" si="28"/>
        <v>3710.56</v>
      </c>
      <c r="I162" s="1518">
        <f>+G162</f>
        <v>3710.56</v>
      </c>
      <c r="J162" s="1518"/>
      <c r="K162" s="1518"/>
      <c r="L162" s="1519"/>
      <c r="M162" s="1519"/>
      <c r="N162" s="1523"/>
    </row>
    <row r="163" spans="2:14">
      <c r="B163" s="1527" t="s">
        <v>6766</v>
      </c>
      <c r="C163" s="2005" t="s">
        <v>1323</v>
      </c>
      <c r="D163" s="1518">
        <v>5040</v>
      </c>
      <c r="E163" s="1518"/>
      <c r="F163" s="1518"/>
      <c r="G163" s="1518">
        <f t="shared" si="27"/>
        <v>5040</v>
      </c>
      <c r="H163" s="1518">
        <f t="shared" si="28"/>
        <v>5040</v>
      </c>
      <c r="I163" s="1518"/>
      <c r="J163" s="1518">
        <f>+G163</f>
        <v>5040</v>
      </c>
      <c r="K163" s="1518"/>
      <c r="L163" s="1519"/>
      <c r="M163" s="1519"/>
      <c r="N163" s="1523"/>
    </row>
    <row r="164" spans="2:14">
      <c r="B164" s="1526" t="s">
        <v>6767</v>
      </c>
      <c r="C164" s="1524" t="s">
        <v>27</v>
      </c>
      <c r="D164" s="1518">
        <v>0</v>
      </c>
      <c r="E164" s="1518"/>
      <c r="F164" s="1518"/>
      <c r="G164" s="1518">
        <f t="shared" si="27"/>
        <v>0</v>
      </c>
      <c r="H164" s="1518">
        <f t="shared" si="28"/>
        <v>0</v>
      </c>
      <c r="I164" s="1518">
        <f>+G164</f>
        <v>0</v>
      </c>
      <c r="J164" s="1518"/>
      <c r="K164" s="1522"/>
      <c r="L164" s="1518"/>
      <c r="M164" s="1518"/>
      <c r="N164" s="1523"/>
    </row>
    <row r="165" spans="2:14">
      <c r="B165" s="1526" t="s">
        <v>6621</v>
      </c>
      <c r="C165" s="1524" t="s">
        <v>29</v>
      </c>
      <c r="D165" s="1518">
        <v>0</v>
      </c>
      <c r="E165" s="1518"/>
      <c r="F165" s="1518"/>
      <c r="G165" s="1518">
        <f t="shared" si="27"/>
        <v>0</v>
      </c>
      <c r="H165" s="1518">
        <f t="shared" si="28"/>
        <v>0</v>
      </c>
      <c r="I165" s="1518">
        <f t="shared" ref="I165:I167" si="30">+G165</f>
        <v>0</v>
      </c>
      <c r="J165" s="1518"/>
      <c r="K165" s="1522"/>
      <c r="L165" s="1518"/>
      <c r="M165" s="1518"/>
      <c r="N165" s="1523"/>
    </row>
    <row r="166" spans="2:14">
      <c r="B166" s="1526" t="s">
        <v>6768</v>
      </c>
      <c r="C166" s="1524" t="s">
        <v>30</v>
      </c>
      <c r="D166" s="1518">
        <v>0</v>
      </c>
      <c r="E166" s="1518"/>
      <c r="F166" s="1518"/>
      <c r="G166" s="1518">
        <f t="shared" si="27"/>
        <v>0</v>
      </c>
      <c r="H166" s="1518">
        <f t="shared" si="28"/>
        <v>0</v>
      </c>
      <c r="I166" s="1518">
        <f t="shared" si="30"/>
        <v>0</v>
      </c>
      <c r="J166" s="1518"/>
      <c r="K166" s="1522"/>
      <c r="L166" s="1518"/>
      <c r="M166" s="1518"/>
      <c r="N166" s="1523"/>
    </row>
    <row r="167" spans="2:14">
      <c r="B167" s="1526" t="s">
        <v>6699</v>
      </c>
      <c r="C167" s="2006" t="s">
        <v>281</v>
      </c>
      <c r="D167" s="1518">
        <v>711513</v>
      </c>
      <c r="E167" s="1518"/>
      <c r="F167" s="1518"/>
      <c r="G167" s="1518">
        <f t="shared" si="27"/>
        <v>711513</v>
      </c>
      <c r="H167" s="1518">
        <f t="shared" si="28"/>
        <v>711513</v>
      </c>
      <c r="I167" s="1518">
        <f t="shared" si="30"/>
        <v>711513</v>
      </c>
      <c r="J167" s="1518"/>
      <c r="K167" s="1522"/>
      <c r="L167" s="1518"/>
      <c r="M167" s="1518"/>
      <c r="N167" s="1523"/>
    </row>
    <row r="168" spans="2:14">
      <c r="B168" s="1527" t="s">
        <v>6700</v>
      </c>
      <c r="C168" s="1524" t="s">
        <v>281</v>
      </c>
      <c r="D168" s="1518">
        <v>77722.59</v>
      </c>
      <c r="E168" s="1518"/>
      <c r="F168" s="1518"/>
      <c r="G168" s="1518">
        <f t="shared" si="27"/>
        <v>77722.59</v>
      </c>
      <c r="H168" s="1518">
        <f t="shared" si="28"/>
        <v>77722.59</v>
      </c>
      <c r="I168" s="1518"/>
      <c r="J168" s="1518">
        <f>+G168</f>
        <v>77722.59</v>
      </c>
      <c r="K168" s="1522"/>
      <c r="L168" s="1518"/>
      <c r="M168" s="1518"/>
      <c r="N168" s="1523"/>
    </row>
    <row r="169" spans="2:14">
      <c r="B169" s="1493" t="s">
        <v>6701</v>
      </c>
      <c r="C169" s="1524" t="s">
        <v>281</v>
      </c>
      <c r="D169" s="1518">
        <v>173724.84</v>
      </c>
      <c r="E169" s="1518"/>
      <c r="F169" s="1518"/>
      <c r="G169" s="1518">
        <f t="shared" si="27"/>
        <v>173724.84</v>
      </c>
      <c r="H169" s="1518">
        <f t="shared" si="28"/>
        <v>173724.84</v>
      </c>
      <c r="I169" s="1518"/>
      <c r="J169" s="1518"/>
      <c r="K169" s="1522">
        <f>+G169</f>
        <v>173724.84</v>
      </c>
      <c r="L169" s="1518"/>
      <c r="M169" s="1518"/>
      <c r="N169" s="1523"/>
    </row>
    <row r="170" spans="2:14">
      <c r="B170" s="1553" t="s">
        <v>6769</v>
      </c>
      <c r="C170" s="1524" t="s">
        <v>281</v>
      </c>
      <c r="D170" s="1518">
        <v>0</v>
      </c>
      <c r="E170" s="1518"/>
      <c r="F170" s="1518"/>
      <c r="G170" s="1518">
        <f t="shared" si="27"/>
        <v>0</v>
      </c>
      <c r="H170" s="1518">
        <f t="shared" si="28"/>
        <v>0</v>
      </c>
      <c r="I170" s="1518"/>
      <c r="J170" s="1518"/>
      <c r="K170" s="1522"/>
      <c r="L170" s="1518"/>
      <c r="M170" s="1518">
        <v>0</v>
      </c>
      <c r="N170" s="1523"/>
    </row>
    <row r="171" spans="2:14">
      <c r="B171" s="1526" t="s">
        <v>6704</v>
      </c>
      <c r="C171" s="1524" t="s">
        <v>505</v>
      </c>
      <c r="D171" s="1518">
        <v>4024.45</v>
      </c>
      <c r="E171" s="1518"/>
      <c r="F171" s="1518"/>
      <c r="G171" s="1518">
        <f t="shared" si="27"/>
        <v>4024.45</v>
      </c>
      <c r="H171" s="1518">
        <f t="shared" si="28"/>
        <v>4024.45</v>
      </c>
      <c r="I171" s="1518">
        <f>+G171</f>
        <v>4024.45</v>
      </c>
      <c r="J171" s="1518"/>
      <c r="K171" s="1522"/>
      <c r="L171" s="1518"/>
      <c r="M171" s="1518"/>
      <c r="N171" s="1523"/>
    </row>
    <row r="172" spans="2:14">
      <c r="B172" s="1527" t="s">
        <v>6770</v>
      </c>
      <c r="C172" s="1524" t="s">
        <v>6771</v>
      </c>
      <c r="D172" s="1518">
        <v>0</v>
      </c>
      <c r="E172" s="1518"/>
      <c r="F172" s="1518"/>
      <c r="G172" s="1518">
        <f t="shared" si="27"/>
        <v>0</v>
      </c>
      <c r="H172" s="1518">
        <f t="shared" si="28"/>
        <v>0</v>
      </c>
      <c r="I172" s="1518"/>
      <c r="J172" s="1518">
        <f>+G172</f>
        <v>0</v>
      </c>
      <c r="K172" s="1522"/>
      <c r="L172" s="1518"/>
      <c r="M172" s="1518"/>
      <c r="N172" s="1523"/>
    </row>
    <row r="173" spans="2:14">
      <c r="B173" s="1526" t="s">
        <v>6600</v>
      </c>
      <c r="C173" s="1524" t="s">
        <v>6752</v>
      </c>
      <c r="D173" s="1518">
        <v>160000</v>
      </c>
      <c r="E173" s="1518"/>
      <c r="F173" s="1518"/>
      <c r="G173" s="1518">
        <f t="shared" si="27"/>
        <v>160000</v>
      </c>
      <c r="H173" s="1518">
        <f t="shared" si="28"/>
        <v>160000</v>
      </c>
      <c r="I173" s="1518">
        <f>+G173</f>
        <v>160000</v>
      </c>
      <c r="J173" s="1518"/>
      <c r="K173" s="1518"/>
      <c r="L173" s="1519"/>
      <c r="M173" s="1519"/>
      <c r="N173" s="1523"/>
    </row>
    <row r="174" spans="2:14">
      <c r="B174" s="1526" t="s">
        <v>6601</v>
      </c>
      <c r="C174" s="1524" t="s">
        <v>1360</v>
      </c>
      <c r="D174" s="1518">
        <v>60000</v>
      </c>
      <c r="E174" s="1518"/>
      <c r="F174" s="1518"/>
      <c r="G174" s="1518">
        <f t="shared" si="27"/>
        <v>60000</v>
      </c>
      <c r="H174" s="1518">
        <f t="shared" si="28"/>
        <v>60000</v>
      </c>
      <c r="I174" s="1518">
        <f>+G174</f>
        <v>60000</v>
      </c>
      <c r="J174" s="1518"/>
      <c r="K174" s="1518"/>
      <c r="L174" s="1519"/>
      <c r="M174" s="1519"/>
      <c r="N174" s="1523"/>
    </row>
    <row r="175" spans="2:14">
      <c r="B175" s="1493" t="s">
        <v>6603</v>
      </c>
      <c r="C175" s="1524" t="s">
        <v>1360</v>
      </c>
      <c r="D175" s="1518">
        <v>0</v>
      </c>
      <c r="E175" s="1518"/>
      <c r="F175" s="1518"/>
      <c r="G175" s="1518">
        <f t="shared" si="27"/>
        <v>0</v>
      </c>
      <c r="H175" s="1518">
        <f t="shared" si="28"/>
        <v>0</v>
      </c>
      <c r="I175" s="1518"/>
      <c r="J175" s="1518"/>
      <c r="K175" s="1518">
        <f>+G175</f>
        <v>0</v>
      </c>
      <c r="L175" s="1519"/>
      <c r="M175" s="1519"/>
      <c r="N175" s="1523"/>
    </row>
    <row r="176" spans="2:14">
      <c r="B176" s="1526" t="s">
        <v>6604</v>
      </c>
      <c r="C176" s="2005" t="s">
        <v>2398</v>
      </c>
      <c r="D176" s="1518">
        <v>54311.3</v>
      </c>
      <c r="E176" s="1518"/>
      <c r="F176" s="1518"/>
      <c r="G176" s="1518">
        <f t="shared" si="27"/>
        <v>54311.3</v>
      </c>
      <c r="H176" s="1518">
        <f t="shared" si="28"/>
        <v>54311.3</v>
      </c>
      <c r="I176" s="1518">
        <f>+G176</f>
        <v>54311.3</v>
      </c>
      <c r="J176" s="1518"/>
      <c r="K176" s="1518"/>
      <c r="L176" s="1519"/>
      <c r="M176" s="1519"/>
      <c r="N176" s="1523"/>
    </row>
    <row r="177" spans="2:14">
      <c r="B177" s="1526" t="s">
        <v>6772</v>
      </c>
      <c r="C177" s="1524" t="s">
        <v>148</v>
      </c>
      <c r="D177" s="1518">
        <v>13878.79</v>
      </c>
      <c r="E177" s="1518"/>
      <c r="F177" s="1518"/>
      <c r="G177" s="1518">
        <f t="shared" si="27"/>
        <v>13878.79</v>
      </c>
      <c r="H177" s="1518">
        <f t="shared" si="28"/>
        <v>13878.79</v>
      </c>
      <c r="I177" s="1518">
        <f>+G177</f>
        <v>13878.79</v>
      </c>
      <c r="J177" s="1518"/>
      <c r="K177" s="1518"/>
      <c r="L177" s="1519"/>
      <c r="M177" s="1519"/>
      <c r="N177" s="1523"/>
    </row>
    <row r="178" spans="2:14">
      <c r="B178" s="1527" t="s">
        <v>6713</v>
      </c>
      <c r="C178" s="1524" t="s">
        <v>2003</v>
      </c>
      <c r="D178" s="1518">
        <v>0</v>
      </c>
      <c r="E178" s="1518"/>
      <c r="F178" s="1518"/>
      <c r="G178" s="1518">
        <f t="shared" si="27"/>
        <v>0</v>
      </c>
      <c r="H178" s="1518">
        <f t="shared" si="28"/>
        <v>0</v>
      </c>
      <c r="I178" s="1518"/>
      <c r="J178" s="1518">
        <f>+G178</f>
        <v>0</v>
      </c>
      <c r="K178" s="1518"/>
      <c r="L178" s="1519"/>
      <c r="M178" s="1519"/>
      <c r="N178" s="1523"/>
    </row>
    <row r="179" spans="2:14">
      <c r="B179" s="1527" t="s">
        <v>6654</v>
      </c>
      <c r="C179" s="1524" t="s">
        <v>3817</v>
      </c>
      <c r="D179" s="1518">
        <v>0</v>
      </c>
      <c r="E179" s="1518"/>
      <c r="F179" s="1518"/>
      <c r="G179" s="1518">
        <f t="shared" si="27"/>
        <v>0</v>
      </c>
      <c r="H179" s="1518">
        <f t="shared" si="28"/>
        <v>0</v>
      </c>
      <c r="I179" s="1518"/>
      <c r="J179" s="1518">
        <f>+G179</f>
        <v>0</v>
      </c>
      <c r="K179" s="1518"/>
      <c r="L179" s="1519"/>
      <c r="M179" s="1519"/>
      <c r="N179" s="1523"/>
    </row>
    <row r="180" spans="2:14">
      <c r="B180" s="1526" t="s">
        <v>6773</v>
      </c>
      <c r="C180" s="1524" t="s">
        <v>1006</v>
      </c>
      <c r="D180" s="1518">
        <v>1509.87</v>
      </c>
      <c r="E180" s="1518"/>
      <c r="F180" s="1518"/>
      <c r="G180" s="1518">
        <f t="shared" si="27"/>
        <v>1509.87</v>
      </c>
      <c r="H180" s="1518">
        <f t="shared" si="28"/>
        <v>1509.87</v>
      </c>
      <c r="I180" s="1518">
        <f>+G180</f>
        <v>1509.87</v>
      </c>
      <c r="J180" s="1518"/>
      <c r="K180" s="1518"/>
      <c r="L180" s="1519"/>
      <c r="M180" s="1519"/>
      <c r="N180" s="1523"/>
    </row>
    <row r="181" spans="2:14">
      <c r="B181" s="1526" t="s">
        <v>6774</v>
      </c>
      <c r="C181" s="1524" t="s">
        <v>4321</v>
      </c>
      <c r="D181" s="1518">
        <v>0</v>
      </c>
      <c r="E181" s="1518"/>
      <c r="F181" s="1518"/>
      <c r="G181" s="1518">
        <f t="shared" si="27"/>
        <v>0</v>
      </c>
      <c r="H181" s="1518">
        <f t="shared" si="28"/>
        <v>0</v>
      </c>
      <c r="I181" s="1518">
        <f>+G181</f>
        <v>0</v>
      </c>
      <c r="J181" s="1518"/>
      <c r="K181" s="1518"/>
      <c r="L181" s="1519"/>
      <c r="M181" s="1519"/>
      <c r="N181" s="1523"/>
    </row>
    <row r="182" spans="2:14">
      <c r="B182" s="1526" t="s">
        <v>6716</v>
      </c>
      <c r="C182" s="1524" t="s">
        <v>6775</v>
      </c>
      <c r="D182" s="1518">
        <v>7494.05</v>
      </c>
      <c r="E182" s="1518"/>
      <c r="F182" s="1518"/>
      <c r="G182" s="1518">
        <f t="shared" si="27"/>
        <v>7494.05</v>
      </c>
      <c r="H182" s="1518">
        <f t="shared" si="28"/>
        <v>7494.05</v>
      </c>
      <c r="I182" s="1518">
        <f>+G182</f>
        <v>7494.05</v>
      </c>
      <c r="J182" s="1518"/>
      <c r="K182" s="1518"/>
      <c r="L182" s="1519"/>
      <c r="M182" s="1519"/>
      <c r="N182" s="1523"/>
    </row>
    <row r="183" spans="2:14">
      <c r="B183" s="1526" t="s">
        <v>6608</v>
      </c>
      <c r="C183" s="1524" t="s">
        <v>2694</v>
      </c>
      <c r="D183" s="1518">
        <v>497.28</v>
      </c>
      <c r="E183" s="1518"/>
      <c r="F183" s="1518"/>
      <c r="G183" s="1518">
        <f t="shared" si="27"/>
        <v>497.28</v>
      </c>
      <c r="H183" s="1518">
        <f t="shared" si="28"/>
        <v>497.28</v>
      </c>
      <c r="I183" s="1518">
        <f>+G183</f>
        <v>497.28</v>
      </c>
      <c r="J183" s="1518"/>
      <c r="K183" s="1518"/>
      <c r="L183" s="1519"/>
      <c r="M183" s="1519"/>
      <c r="N183" s="1523"/>
    </row>
    <row r="184" spans="2:14">
      <c r="B184" s="1526" t="s">
        <v>6776</v>
      </c>
      <c r="C184" s="1524" t="s">
        <v>4141</v>
      </c>
      <c r="D184" s="1518">
        <v>0</v>
      </c>
      <c r="E184" s="1518"/>
      <c r="F184" s="1518"/>
      <c r="G184" s="1518">
        <f t="shared" si="27"/>
        <v>0</v>
      </c>
      <c r="H184" s="1518">
        <f t="shared" si="28"/>
        <v>0</v>
      </c>
      <c r="I184" s="1518">
        <f>+G184</f>
        <v>0</v>
      </c>
      <c r="J184" s="1518"/>
      <c r="K184" s="1518"/>
      <c r="L184" s="1519"/>
      <c r="M184" s="1519"/>
      <c r="N184" s="1523"/>
    </row>
    <row r="185" spans="2:14">
      <c r="B185" s="1527" t="s">
        <v>5260</v>
      </c>
      <c r="C185" s="1524" t="s">
        <v>3341</v>
      </c>
      <c r="D185" s="1518">
        <v>0</v>
      </c>
      <c r="E185" s="1518"/>
      <c r="F185" s="1518"/>
      <c r="G185" s="1518">
        <f t="shared" si="27"/>
        <v>0</v>
      </c>
      <c r="H185" s="1518">
        <f t="shared" si="28"/>
        <v>0</v>
      </c>
      <c r="I185" s="1518"/>
      <c r="J185" s="1518">
        <f>+G185</f>
        <v>0</v>
      </c>
      <c r="K185" s="1518"/>
      <c r="L185" s="1519"/>
      <c r="M185" s="1519"/>
      <c r="N185" s="1523"/>
    </row>
    <row r="186" spans="2:14">
      <c r="B186" s="1526" t="s">
        <v>6777</v>
      </c>
      <c r="C186" s="1524" t="s">
        <v>6778</v>
      </c>
      <c r="D186" s="1518">
        <v>0</v>
      </c>
      <c r="E186" s="1518"/>
      <c r="F186" s="1518"/>
      <c r="G186" s="1518">
        <f t="shared" si="27"/>
        <v>0</v>
      </c>
      <c r="H186" s="1518">
        <f t="shared" si="28"/>
        <v>0</v>
      </c>
      <c r="I186" s="1518">
        <f>+G186</f>
        <v>0</v>
      </c>
      <c r="J186" s="1518"/>
      <c r="K186" s="1518"/>
      <c r="L186" s="1519"/>
      <c r="M186" s="1519"/>
      <c r="N186" s="1523"/>
    </row>
    <row r="187" spans="2:14">
      <c r="B187" s="1493" t="s">
        <v>4833</v>
      </c>
      <c r="C187" s="1524" t="s">
        <v>591</v>
      </c>
      <c r="D187" s="1518">
        <v>5047.2</v>
      </c>
      <c r="E187" s="1518"/>
      <c r="F187" s="1518"/>
      <c r="G187" s="1518">
        <f t="shared" si="27"/>
        <v>5047.2</v>
      </c>
      <c r="H187" s="1518">
        <f t="shared" si="28"/>
        <v>5047.2</v>
      </c>
      <c r="I187" s="1518"/>
      <c r="J187" s="1518"/>
      <c r="K187" s="1518">
        <f>+G187</f>
        <v>5047.2</v>
      </c>
      <c r="L187" s="1519"/>
      <c r="M187" s="1519"/>
      <c r="N187" s="1523"/>
    </row>
    <row r="188" spans="2:14">
      <c r="B188" s="1526" t="s">
        <v>6609</v>
      </c>
      <c r="C188" s="1524" t="s">
        <v>39</v>
      </c>
      <c r="D188" s="1518">
        <v>156.80000000000001</v>
      </c>
      <c r="E188" s="1518"/>
      <c r="F188" s="1518"/>
      <c r="G188" s="1518">
        <f t="shared" si="27"/>
        <v>156.80000000000001</v>
      </c>
      <c r="H188" s="1518">
        <f t="shared" si="28"/>
        <v>156.80000000000001</v>
      </c>
      <c r="I188" s="1518">
        <f>+G188</f>
        <v>156.80000000000001</v>
      </c>
      <c r="J188" s="1518"/>
      <c r="K188" s="1518"/>
      <c r="L188" s="1519"/>
      <c r="M188" s="1519"/>
      <c r="N188" s="1523"/>
    </row>
    <row r="189" spans="2:14">
      <c r="B189" s="1526" t="s">
        <v>6610</v>
      </c>
      <c r="C189" s="1524" t="s">
        <v>4163</v>
      </c>
      <c r="D189" s="1518">
        <v>588</v>
      </c>
      <c r="E189" s="1518"/>
      <c r="F189" s="1518"/>
      <c r="G189" s="1518">
        <f t="shared" si="27"/>
        <v>588</v>
      </c>
      <c r="H189" s="1518">
        <f t="shared" si="28"/>
        <v>588</v>
      </c>
      <c r="I189" s="1518">
        <f t="shared" ref="I189:I196" si="31">+G189</f>
        <v>588</v>
      </c>
      <c r="J189" s="1518"/>
      <c r="K189" s="1518"/>
      <c r="L189" s="1519"/>
      <c r="M189" s="1519"/>
      <c r="N189" s="1523"/>
    </row>
    <row r="190" spans="2:14">
      <c r="B190" s="1526" t="s">
        <v>4835</v>
      </c>
      <c r="C190" s="1524" t="s">
        <v>40</v>
      </c>
      <c r="D190" s="1518">
        <v>1097.2</v>
      </c>
      <c r="E190" s="1518"/>
      <c r="F190" s="1518"/>
      <c r="G190" s="1518">
        <f t="shared" si="27"/>
        <v>1097.2</v>
      </c>
      <c r="H190" s="1518">
        <f t="shared" si="28"/>
        <v>1097.2</v>
      </c>
      <c r="I190" s="1518">
        <f t="shared" si="31"/>
        <v>1097.2</v>
      </c>
      <c r="J190" s="1518"/>
      <c r="K190" s="1518"/>
      <c r="L190" s="1519"/>
      <c r="M190" s="1519"/>
      <c r="N190" s="1523"/>
    </row>
    <row r="191" spans="2:14">
      <c r="B191" s="1526" t="s">
        <v>6612</v>
      </c>
      <c r="C191" s="1524" t="s">
        <v>903</v>
      </c>
      <c r="D191" s="1518">
        <v>3935.06</v>
      </c>
      <c r="E191" s="1518"/>
      <c r="F191" s="1518"/>
      <c r="G191" s="1518">
        <f t="shared" si="27"/>
        <v>3935.06</v>
      </c>
      <c r="H191" s="1518">
        <f t="shared" si="28"/>
        <v>3935.06</v>
      </c>
      <c r="I191" s="1518">
        <f t="shared" si="31"/>
        <v>3935.06</v>
      </c>
      <c r="J191" s="1518"/>
      <c r="K191" s="1518"/>
      <c r="L191" s="1519"/>
      <c r="M191" s="1519"/>
      <c r="N191" s="1523"/>
    </row>
    <row r="192" spans="2:14">
      <c r="B192" s="1526" t="s">
        <v>6725</v>
      </c>
      <c r="C192" s="1524" t="s">
        <v>37</v>
      </c>
      <c r="D192" s="1518">
        <v>0</v>
      </c>
      <c r="E192" s="1518"/>
      <c r="F192" s="1518"/>
      <c r="G192" s="1518">
        <f t="shared" si="27"/>
        <v>0</v>
      </c>
      <c r="H192" s="1518">
        <f t="shared" si="28"/>
        <v>0</v>
      </c>
      <c r="I192" s="1518">
        <f t="shared" si="31"/>
        <v>0</v>
      </c>
      <c r="J192" s="1518"/>
      <c r="K192" s="1518"/>
      <c r="L192" s="1519"/>
      <c r="M192" s="1519"/>
      <c r="N192" s="1523"/>
    </row>
    <row r="193" spans="2:14">
      <c r="B193" s="1526" t="s">
        <v>6613</v>
      </c>
      <c r="C193" s="1524" t="s">
        <v>4206</v>
      </c>
      <c r="D193" s="1518">
        <v>672</v>
      </c>
      <c r="E193" s="1518"/>
      <c r="F193" s="1518"/>
      <c r="G193" s="1518">
        <f t="shared" si="27"/>
        <v>672</v>
      </c>
      <c r="H193" s="1518">
        <f t="shared" si="28"/>
        <v>672</v>
      </c>
      <c r="I193" s="1518">
        <f t="shared" si="31"/>
        <v>672</v>
      </c>
      <c r="J193" s="1518"/>
      <c r="K193" s="1522"/>
      <c r="L193" s="1519"/>
      <c r="M193" s="1519"/>
      <c r="N193" s="1523"/>
    </row>
    <row r="194" spans="2:14">
      <c r="B194" s="1526" t="s">
        <v>6779</v>
      </c>
      <c r="C194" s="1524" t="s">
        <v>6726</v>
      </c>
      <c r="D194" s="1518">
        <v>0</v>
      </c>
      <c r="E194" s="1518"/>
      <c r="F194" s="1518"/>
      <c r="G194" s="1518">
        <f t="shared" si="27"/>
        <v>0</v>
      </c>
      <c r="H194" s="1518">
        <f t="shared" si="28"/>
        <v>0</v>
      </c>
      <c r="I194" s="1518">
        <f t="shared" si="31"/>
        <v>0</v>
      </c>
      <c r="J194" s="1518"/>
      <c r="K194" s="1522"/>
      <c r="L194" s="1518"/>
      <c r="M194" s="1518"/>
      <c r="N194" s="1523"/>
    </row>
    <row r="195" spans="2:14">
      <c r="B195" s="1526" t="s">
        <v>6577</v>
      </c>
      <c r="C195" s="1524" t="s">
        <v>894</v>
      </c>
      <c r="D195" s="1518">
        <v>149164.16</v>
      </c>
      <c r="E195" s="1518"/>
      <c r="F195" s="1518"/>
      <c r="G195" s="1518">
        <f t="shared" si="27"/>
        <v>149164.16</v>
      </c>
      <c r="H195" s="1518">
        <f t="shared" si="28"/>
        <v>149164.16</v>
      </c>
      <c r="I195" s="1518">
        <f t="shared" si="31"/>
        <v>149164.16</v>
      </c>
      <c r="J195" s="1518"/>
      <c r="K195" s="1522"/>
      <c r="L195" s="1518"/>
      <c r="M195" s="1518"/>
      <c r="N195" s="1523"/>
    </row>
    <row r="196" spans="2:14">
      <c r="B196" s="1526" t="s">
        <v>6581</v>
      </c>
      <c r="C196" s="1524" t="s">
        <v>38</v>
      </c>
      <c r="D196" s="1518">
        <v>251470</v>
      </c>
      <c r="E196" s="1518"/>
      <c r="F196" s="1518"/>
      <c r="G196" s="1518">
        <f t="shared" si="27"/>
        <v>251470</v>
      </c>
      <c r="H196" s="1518">
        <f t="shared" si="28"/>
        <v>251470</v>
      </c>
      <c r="I196" s="1518">
        <f t="shared" si="31"/>
        <v>251470</v>
      </c>
      <c r="J196" s="1518"/>
      <c r="K196" s="1522"/>
      <c r="L196" s="1518"/>
      <c r="M196" s="1518"/>
      <c r="N196" s="1523"/>
    </row>
    <row r="197" spans="2:14">
      <c r="B197" s="1531" t="s">
        <v>6780</v>
      </c>
      <c r="C197" s="1524" t="s">
        <v>281</v>
      </c>
      <c r="D197" s="1518">
        <v>0</v>
      </c>
      <c r="E197" s="1518"/>
      <c r="F197" s="1518"/>
      <c r="G197" s="1518">
        <f t="shared" si="27"/>
        <v>0</v>
      </c>
      <c r="H197" s="1518">
        <f t="shared" si="28"/>
        <v>0</v>
      </c>
      <c r="I197" s="1518"/>
      <c r="J197" s="1518"/>
      <c r="K197" s="1522"/>
      <c r="L197" s="1518">
        <f>+G197</f>
        <v>0</v>
      </c>
      <c r="M197" s="1518"/>
      <c r="N197" s="1523"/>
    </row>
    <row r="198" spans="2:14">
      <c r="B198" s="1531" t="s">
        <v>6781</v>
      </c>
      <c r="C198" s="1524" t="s">
        <v>281</v>
      </c>
      <c r="D198" s="1518">
        <v>0</v>
      </c>
      <c r="E198" s="1518"/>
      <c r="F198" s="1518"/>
      <c r="G198" s="1518">
        <f t="shared" si="27"/>
        <v>0</v>
      </c>
      <c r="H198" s="1518">
        <f t="shared" si="28"/>
        <v>0</v>
      </c>
      <c r="I198" s="1518"/>
      <c r="J198" s="1518"/>
      <c r="K198" s="1522"/>
      <c r="L198" s="1518">
        <f>+G198</f>
        <v>0</v>
      </c>
      <c r="M198" s="1518"/>
      <c r="N198" s="1523"/>
    </row>
    <row r="199" spans="2:14">
      <c r="B199" s="1554" t="s">
        <v>6782</v>
      </c>
      <c r="C199" s="1524" t="s">
        <v>281</v>
      </c>
      <c r="D199" s="1518">
        <v>0</v>
      </c>
      <c r="E199" s="1518"/>
      <c r="F199" s="1518"/>
      <c r="G199" s="1518">
        <f t="shared" si="27"/>
        <v>0</v>
      </c>
      <c r="H199" s="1518">
        <f t="shared" si="28"/>
        <v>0</v>
      </c>
      <c r="I199" s="1518"/>
      <c r="J199" s="1518"/>
      <c r="K199" s="1522"/>
      <c r="L199" s="1518"/>
      <c r="M199" s="1518">
        <v>0</v>
      </c>
      <c r="N199" s="1523"/>
    </row>
    <row r="200" spans="2:14">
      <c r="B200" s="1531" t="s">
        <v>6783</v>
      </c>
      <c r="C200" s="1524" t="s">
        <v>39</v>
      </c>
      <c r="D200" s="1518">
        <v>0</v>
      </c>
      <c r="E200" s="1518"/>
      <c r="F200" s="1518"/>
      <c r="G200" s="1518">
        <f t="shared" si="27"/>
        <v>0</v>
      </c>
      <c r="H200" s="1518">
        <f t="shared" si="28"/>
        <v>0</v>
      </c>
      <c r="I200" s="1518"/>
      <c r="J200" s="1518"/>
      <c r="K200" s="1522"/>
      <c r="L200" s="1518">
        <f>+G200</f>
        <v>0</v>
      </c>
      <c r="M200" s="1518"/>
      <c r="N200" s="1523"/>
    </row>
    <row r="201" spans="2:14">
      <c r="B201" s="1493" t="s">
        <v>5694</v>
      </c>
      <c r="C201" s="1524" t="s">
        <v>671</v>
      </c>
      <c r="D201" s="1518">
        <v>7320</v>
      </c>
      <c r="E201" s="1518"/>
      <c r="F201" s="1518"/>
      <c r="G201" s="1518">
        <f t="shared" si="27"/>
        <v>7320</v>
      </c>
      <c r="H201" s="1518">
        <f t="shared" si="28"/>
        <v>7320</v>
      </c>
      <c r="I201" s="1518"/>
      <c r="J201" s="1518"/>
      <c r="K201" s="1518">
        <f>+G201</f>
        <v>7320</v>
      </c>
      <c r="L201" s="1518"/>
      <c r="M201" s="1518"/>
      <c r="N201" s="1523"/>
    </row>
    <row r="202" spans="2:14">
      <c r="B202" s="1526" t="s">
        <v>5717</v>
      </c>
      <c r="C202" s="2005" t="s">
        <v>39</v>
      </c>
      <c r="D202" s="1528">
        <v>2075157.83</v>
      </c>
      <c r="E202" s="1518"/>
      <c r="F202" s="1518"/>
      <c r="G202" s="1518">
        <f>+D202+E202-F202</f>
        <v>2075157.83</v>
      </c>
      <c r="H202" s="1518">
        <f>+SUM(I202:M202)</f>
        <v>2075157.83</v>
      </c>
      <c r="I202" s="1518">
        <f>+G202</f>
        <v>2075157.83</v>
      </c>
      <c r="J202" s="1518"/>
      <c r="K202" s="1518"/>
      <c r="L202" s="1518"/>
      <c r="M202" s="1518"/>
      <c r="N202" s="1523"/>
    </row>
    <row r="203" spans="2:14">
      <c r="B203" s="1493" t="s">
        <v>5283</v>
      </c>
      <c r="C203" s="2005" t="s">
        <v>39</v>
      </c>
      <c r="D203" s="1528">
        <v>174414.99</v>
      </c>
      <c r="E203" s="1518"/>
      <c r="F203" s="1518"/>
      <c r="G203" s="1518">
        <f t="shared" si="27"/>
        <v>174414.99</v>
      </c>
      <c r="H203" s="1518">
        <f t="shared" si="28"/>
        <v>174414.99</v>
      </c>
      <c r="I203" s="1518"/>
      <c r="J203" s="1518"/>
      <c r="K203" s="1518">
        <f>+G203</f>
        <v>174414.99</v>
      </c>
      <c r="L203" s="1518"/>
      <c r="M203" s="1518"/>
      <c r="N203" s="1523"/>
    </row>
    <row r="204" spans="2:14">
      <c r="B204" s="1531" t="s">
        <v>6784</v>
      </c>
      <c r="C204" s="1524" t="s">
        <v>39</v>
      </c>
      <c r="D204" s="1518">
        <v>0</v>
      </c>
      <c r="E204" s="1518"/>
      <c r="F204" s="1518"/>
      <c r="G204" s="1518">
        <f t="shared" si="27"/>
        <v>0</v>
      </c>
      <c r="H204" s="1518">
        <f t="shared" si="28"/>
        <v>0</v>
      </c>
      <c r="I204" s="1518"/>
      <c r="J204" s="1518"/>
      <c r="K204" s="1518"/>
      <c r="L204" s="1518">
        <f>+G204</f>
        <v>0</v>
      </c>
      <c r="M204" s="1518"/>
      <c r="N204" s="1523"/>
    </row>
    <row r="205" spans="2:14">
      <c r="B205" s="1493" t="s">
        <v>4825</v>
      </c>
      <c r="C205" s="2005" t="s">
        <v>40</v>
      </c>
      <c r="D205" s="1518">
        <v>12714.06</v>
      </c>
      <c r="E205" s="1518"/>
      <c r="F205" s="1518"/>
      <c r="G205" s="1518">
        <f t="shared" si="27"/>
        <v>12714.06</v>
      </c>
      <c r="H205" s="1518">
        <f t="shared" si="28"/>
        <v>12714.06</v>
      </c>
      <c r="I205" s="1518"/>
      <c r="J205" s="1518"/>
      <c r="K205" s="1518">
        <f>+G205</f>
        <v>12714.06</v>
      </c>
      <c r="L205" s="1518"/>
      <c r="M205" s="1518"/>
      <c r="N205" s="1523"/>
    </row>
    <row r="206" spans="2:14">
      <c r="B206" s="1526" t="s">
        <v>6785</v>
      </c>
      <c r="C206" s="1524" t="s">
        <v>39</v>
      </c>
      <c r="D206" s="1518">
        <v>0</v>
      </c>
      <c r="E206" s="1518"/>
      <c r="F206" s="1518"/>
      <c r="G206" s="1518">
        <f t="shared" si="27"/>
        <v>0</v>
      </c>
      <c r="H206" s="1518">
        <f t="shared" si="28"/>
        <v>0</v>
      </c>
      <c r="I206" s="1518">
        <f>+G206</f>
        <v>0</v>
      </c>
      <c r="J206" s="1518"/>
      <c r="K206" s="1518"/>
      <c r="L206" s="1518"/>
      <c r="M206" s="1518"/>
      <c r="N206" s="1523"/>
    </row>
    <row r="207" spans="2:14">
      <c r="B207" s="1531" t="s">
        <v>6784</v>
      </c>
      <c r="C207" s="1524" t="s">
        <v>39</v>
      </c>
      <c r="D207" s="1518">
        <v>0</v>
      </c>
      <c r="E207" s="1518"/>
      <c r="F207" s="1518"/>
      <c r="G207" s="1518">
        <f t="shared" si="27"/>
        <v>0</v>
      </c>
      <c r="H207" s="1518">
        <f t="shared" si="28"/>
        <v>0</v>
      </c>
      <c r="I207" s="1518"/>
      <c r="J207" s="1518"/>
      <c r="K207" s="1518"/>
      <c r="L207" s="1518">
        <f>+G207</f>
        <v>0</v>
      </c>
      <c r="M207" s="1518"/>
      <c r="N207" s="1523"/>
    </row>
    <row r="208" spans="2:14">
      <c r="B208" s="1526" t="s">
        <v>6786</v>
      </c>
      <c r="C208" s="1524" t="s">
        <v>6746</v>
      </c>
      <c r="D208" s="1518">
        <v>0</v>
      </c>
      <c r="E208" s="1518"/>
      <c r="F208" s="1518"/>
      <c r="G208" s="1518">
        <f t="shared" si="27"/>
        <v>0</v>
      </c>
      <c r="H208" s="1518">
        <f t="shared" si="28"/>
        <v>0</v>
      </c>
      <c r="I208" s="1518">
        <f>+G208</f>
        <v>0</v>
      </c>
      <c r="J208" s="1518"/>
      <c r="K208" s="1518"/>
      <c r="L208" s="1518"/>
      <c r="M208" s="1518"/>
      <c r="N208" s="1523"/>
    </row>
    <row r="209" spans="2:14">
      <c r="B209" s="1493" t="s">
        <v>6745</v>
      </c>
      <c r="C209" s="1524" t="s">
        <v>6746</v>
      </c>
      <c r="D209" s="1518">
        <v>95610.11</v>
      </c>
      <c r="E209" s="1518"/>
      <c r="F209" s="1518"/>
      <c r="G209" s="1518">
        <f t="shared" si="27"/>
        <v>95610.11</v>
      </c>
      <c r="H209" s="1518">
        <f t="shared" si="28"/>
        <v>95610.11</v>
      </c>
      <c r="I209" s="1518"/>
      <c r="J209" s="1518"/>
      <c r="K209" s="1518">
        <f>+G209</f>
        <v>95610.11</v>
      </c>
      <c r="L209" s="1518"/>
      <c r="M209" s="1518"/>
      <c r="N209" s="1523"/>
    </row>
    <row r="210" spans="2:14">
      <c r="B210" s="1549"/>
      <c r="C210" s="1536" t="s">
        <v>6787</v>
      </c>
      <c r="D210" s="1538">
        <f>SUM(D150:D209)</f>
        <v>21398933.429999985</v>
      </c>
      <c r="E210" s="1538">
        <f t="shared" ref="E210:M210" si="32">SUM(E150:E209)</f>
        <v>0</v>
      </c>
      <c r="F210" s="1538">
        <f t="shared" si="32"/>
        <v>0</v>
      </c>
      <c r="G210" s="1538">
        <f t="shared" si="32"/>
        <v>21398933.429999985</v>
      </c>
      <c r="H210" s="1538">
        <f t="shared" si="32"/>
        <v>21398933.429999985</v>
      </c>
      <c r="I210" s="1538">
        <f t="shared" si="32"/>
        <v>3499180.3500000006</v>
      </c>
      <c r="J210" s="1538">
        <f t="shared" si="32"/>
        <v>82762.59</v>
      </c>
      <c r="K210" s="1538">
        <f t="shared" si="32"/>
        <v>17816990.489999983</v>
      </c>
      <c r="L210" s="1538">
        <f t="shared" si="32"/>
        <v>0</v>
      </c>
      <c r="M210" s="1538">
        <f t="shared" si="32"/>
        <v>0</v>
      </c>
      <c r="N210" s="1523"/>
    </row>
    <row r="211" spans="2:14">
      <c r="B211" s="1550"/>
      <c r="C211" s="1551"/>
      <c r="E211" s="1523"/>
      <c r="F211" s="1539"/>
      <c r="G211" s="1539"/>
      <c r="H211" s="1539"/>
      <c r="I211" s="1539"/>
      <c r="J211" s="1539"/>
      <c r="K211" s="1539"/>
      <c r="N211" s="1523"/>
    </row>
    <row r="212" spans="2:14">
      <c r="B212" s="1552"/>
      <c r="C212" s="1552"/>
      <c r="F212" s="1539"/>
      <c r="G212" s="1539"/>
      <c r="H212" s="1539"/>
      <c r="I212" s="1539"/>
      <c r="J212" s="1539"/>
      <c r="K212" s="1539"/>
      <c r="N212" s="1523"/>
    </row>
    <row r="213" spans="2:14" ht="25.5">
      <c r="B213" s="1555" t="s">
        <v>7</v>
      </c>
      <c r="C213" s="1555" t="s">
        <v>6505</v>
      </c>
      <c r="D213" s="1510" t="s">
        <v>6667</v>
      </c>
      <c r="E213" s="1510" t="s">
        <v>6678</v>
      </c>
      <c r="F213" s="1510" t="s">
        <v>6679</v>
      </c>
      <c r="G213" s="1510" t="s">
        <v>6680</v>
      </c>
      <c r="H213" s="1510" t="s">
        <v>6681</v>
      </c>
      <c r="I213" s="1511" t="s">
        <v>6488</v>
      </c>
      <c r="J213" s="1512" t="s">
        <v>6489</v>
      </c>
      <c r="K213" s="1513" t="s">
        <v>6508</v>
      </c>
      <c r="L213" s="1514" t="s">
        <v>6491</v>
      </c>
      <c r="M213" s="1515" t="s">
        <v>6492</v>
      </c>
      <c r="N213" s="1523"/>
    </row>
    <row r="214" spans="2:14">
      <c r="B214" s="1556" t="s">
        <v>6616</v>
      </c>
      <c r="C214" s="1557" t="s">
        <v>6617</v>
      </c>
      <c r="D214" s="1558"/>
      <c r="E214" s="1530"/>
      <c r="F214" s="1530"/>
      <c r="G214" s="1558"/>
      <c r="H214" s="1530"/>
      <c r="I214" s="1530"/>
      <c r="J214" s="1530"/>
      <c r="K214" s="1530"/>
      <c r="L214" s="1519"/>
      <c r="M214" s="1518"/>
      <c r="N214" s="1523"/>
    </row>
    <row r="215" spans="2:14">
      <c r="B215" s="1493" t="s">
        <v>6514</v>
      </c>
      <c r="C215" s="1524" t="s">
        <v>6788</v>
      </c>
      <c r="D215" s="1518">
        <v>0</v>
      </c>
      <c r="E215" s="1518"/>
      <c r="F215" s="1518"/>
      <c r="G215" s="1518">
        <f>+D215+E215-F215</f>
        <v>0</v>
      </c>
      <c r="H215" s="1518">
        <f>+SUM(I215:M215)</f>
        <v>0</v>
      </c>
      <c r="I215" s="1518"/>
      <c r="J215" s="1518"/>
      <c r="K215" s="1518">
        <f>+G215</f>
        <v>0</v>
      </c>
      <c r="L215" s="1519"/>
      <c r="M215" s="1518"/>
      <c r="N215" s="1523"/>
    </row>
    <row r="216" spans="2:14">
      <c r="B216" s="1493" t="s">
        <v>6515</v>
      </c>
      <c r="C216" s="1524" t="s">
        <v>3013</v>
      </c>
      <c r="D216" s="1518">
        <v>0</v>
      </c>
      <c r="E216" s="1518"/>
      <c r="F216" s="1518"/>
      <c r="G216" s="1518">
        <f t="shared" ref="G216:G286" si="33">+D216+E216-F216</f>
        <v>0</v>
      </c>
      <c r="H216" s="1518">
        <f t="shared" ref="H216:H279" si="34">+SUM(I216:M216)</f>
        <v>0</v>
      </c>
      <c r="I216" s="1518"/>
      <c r="J216" s="1518"/>
      <c r="K216" s="1518">
        <f t="shared" ref="K216:K219" si="35">+G216</f>
        <v>0</v>
      </c>
      <c r="L216" s="1519"/>
      <c r="M216" s="1518"/>
      <c r="N216" s="1523"/>
    </row>
    <row r="217" spans="2:14">
      <c r="B217" s="1493" t="s">
        <v>6517</v>
      </c>
      <c r="C217" s="1524" t="s">
        <v>3014</v>
      </c>
      <c r="D217" s="1518">
        <v>0</v>
      </c>
      <c r="E217" s="1518"/>
      <c r="F217" s="1518"/>
      <c r="G217" s="1518">
        <f t="shared" si="33"/>
        <v>0</v>
      </c>
      <c r="H217" s="1518">
        <f t="shared" si="34"/>
        <v>0</v>
      </c>
      <c r="I217" s="1518"/>
      <c r="J217" s="1518"/>
      <c r="K217" s="1518">
        <f t="shared" si="35"/>
        <v>0</v>
      </c>
      <c r="L217" s="1519"/>
      <c r="M217" s="1518"/>
      <c r="N217" s="1523"/>
    </row>
    <row r="218" spans="2:14">
      <c r="B218" s="1493" t="s">
        <v>6527</v>
      </c>
      <c r="C218" s="1524" t="s">
        <v>3032</v>
      </c>
      <c r="D218" s="1518">
        <v>0</v>
      </c>
      <c r="E218" s="1518"/>
      <c r="F218" s="1518"/>
      <c r="G218" s="1518">
        <f t="shared" si="33"/>
        <v>0</v>
      </c>
      <c r="H218" s="1518">
        <f t="shared" si="34"/>
        <v>0</v>
      </c>
      <c r="I218" s="1518"/>
      <c r="J218" s="1518"/>
      <c r="K218" s="1518">
        <f t="shared" si="35"/>
        <v>0</v>
      </c>
      <c r="L218" s="1519"/>
      <c r="M218" s="1518"/>
      <c r="N218" s="1523"/>
    </row>
    <row r="219" spans="2:14">
      <c r="B219" s="1493" t="s">
        <v>6528</v>
      </c>
      <c r="C219" s="1524" t="s">
        <v>3039</v>
      </c>
      <c r="D219" s="1518">
        <v>0</v>
      </c>
      <c r="E219" s="1518"/>
      <c r="F219" s="1518"/>
      <c r="G219" s="1518">
        <f t="shared" si="33"/>
        <v>0</v>
      </c>
      <c r="H219" s="1518">
        <f t="shared" si="34"/>
        <v>0</v>
      </c>
      <c r="I219" s="1518"/>
      <c r="J219" s="1518"/>
      <c r="K219" s="1518">
        <f t="shared" si="35"/>
        <v>0</v>
      </c>
      <c r="L219" s="1519"/>
      <c r="M219" s="1518"/>
      <c r="N219" s="1523"/>
    </row>
    <row r="220" spans="2:14">
      <c r="B220" s="1526" t="s">
        <v>6618</v>
      </c>
      <c r="C220" s="1524" t="s">
        <v>881</v>
      </c>
      <c r="D220" s="1518">
        <v>332769.36</v>
      </c>
      <c r="E220" s="1518"/>
      <c r="F220" s="1518"/>
      <c r="G220" s="1518">
        <f t="shared" si="33"/>
        <v>332769.36</v>
      </c>
      <c r="H220" s="1518">
        <f t="shared" si="34"/>
        <v>332769.36</v>
      </c>
      <c r="I220" s="1518">
        <f>+G220</f>
        <v>332769.36</v>
      </c>
      <c r="J220" s="1518"/>
      <c r="K220" s="1518"/>
      <c r="L220" s="1519"/>
      <c r="M220" s="1518"/>
      <c r="N220" s="1523"/>
    </row>
    <row r="221" spans="2:14">
      <c r="B221" s="1526" t="s">
        <v>6789</v>
      </c>
      <c r="C221" s="1524" t="s">
        <v>6790</v>
      </c>
      <c r="D221" s="1518">
        <v>0</v>
      </c>
      <c r="E221" s="1518"/>
      <c r="F221" s="1518"/>
      <c r="G221" s="1518">
        <f t="shared" si="33"/>
        <v>0</v>
      </c>
      <c r="H221" s="1518">
        <f t="shared" si="34"/>
        <v>0</v>
      </c>
      <c r="I221" s="1518">
        <f>+G221</f>
        <v>0</v>
      </c>
      <c r="J221" s="1518"/>
      <c r="K221" s="1518"/>
      <c r="L221" s="1519"/>
      <c r="M221" s="1518"/>
      <c r="N221" s="1523"/>
    </row>
    <row r="222" spans="2:14">
      <c r="B222" s="1526" t="s">
        <v>5012</v>
      </c>
      <c r="C222" s="1524" t="s">
        <v>6791</v>
      </c>
      <c r="D222" s="1518">
        <v>172720</v>
      </c>
      <c r="E222" s="1518"/>
      <c r="F222" s="1518"/>
      <c r="G222" s="1518">
        <f t="shared" si="33"/>
        <v>172720</v>
      </c>
      <c r="H222" s="1518">
        <f t="shared" si="34"/>
        <v>172720</v>
      </c>
      <c r="I222" s="1518">
        <f>+G222</f>
        <v>172720</v>
      </c>
      <c r="J222" s="1518"/>
      <c r="K222" s="1518"/>
      <c r="L222" s="1519"/>
      <c r="M222" s="1518"/>
      <c r="N222" s="1523"/>
    </row>
    <row r="223" spans="2:14">
      <c r="B223" s="1493" t="s">
        <v>5075</v>
      </c>
      <c r="C223" s="1524" t="s">
        <v>6791</v>
      </c>
      <c r="D223" s="1518">
        <v>0</v>
      </c>
      <c r="E223" s="1518"/>
      <c r="F223" s="1518"/>
      <c r="G223" s="1518">
        <f t="shared" si="33"/>
        <v>0</v>
      </c>
      <c r="H223" s="1518">
        <f t="shared" si="34"/>
        <v>0</v>
      </c>
      <c r="I223" s="1518"/>
      <c r="J223" s="1518"/>
      <c r="K223" s="1518">
        <f>+G223</f>
        <v>0</v>
      </c>
      <c r="L223" s="1519"/>
      <c r="M223" s="1518"/>
      <c r="N223" s="1523"/>
    </row>
    <row r="224" spans="2:14">
      <c r="B224" s="1526" t="s">
        <v>6792</v>
      </c>
      <c r="C224" s="1524" t="s">
        <v>6793</v>
      </c>
      <c r="D224" s="1518">
        <v>0</v>
      </c>
      <c r="E224" s="1518"/>
      <c r="F224" s="1518"/>
      <c r="G224" s="1518">
        <f t="shared" si="33"/>
        <v>0</v>
      </c>
      <c r="H224" s="1518">
        <f t="shared" si="34"/>
        <v>0</v>
      </c>
      <c r="I224" s="1518">
        <f>+G224</f>
        <v>0</v>
      </c>
      <c r="J224" s="1518"/>
      <c r="K224" s="1518"/>
      <c r="L224" s="1519"/>
      <c r="M224" s="1518"/>
      <c r="N224" s="1523"/>
    </row>
    <row r="225" spans="2:14">
      <c r="B225" s="1527" t="s">
        <v>6766</v>
      </c>
      <c r="C225" s="1524" t="s">
        <v>6794</v>
      </c>
      <c r="D225" s="1518">
        <v>0</v>
      </c>
      <c r="E225" s="1518"/>
      <c r="F225" s="1518"/>
      <c r="G225" s="1518">
        <f t="shared" si="33"/>
        <v>0</v>
      </c>
      <c r="H225" s="1518">
        <f t="shared" si="34"/>
        <v>0</v>
      </c>
      <c r="I225" s="1518"/>
      <c r="J225" s="1518">
        <f>+G225</f>
        <v>0</v>
      </c>
      <c r="K225" s="1518"/>
      <c r="L225" s="1519"/>
      <c r="M225" s="1518"/>
      <c r="N225" s="1523"/>
    </row>
    <row r="226" spans="2:14">
      <c r="B226" s="1526" t="s">
        <v>6795</v>
      </c>
      <c r="C226" s="1524" t="s">
        <v>2855</v>
      </c>
      <c r="D226" s="1518">
        <v>25066.04</v>
      </c>
      <c r="E226" s="1518"/>
      <c r="F226" s="1518"/>
      <c r="G226" s="1518">
        <f t="shared" si="33"/>
        <v>25066.04</v>
      </c>
      <c r="H226" s="1518">
        <f t="shared" si="34"/>
        <v>25066.04</v>
      </c>
      <c r="I226" s="1518">
        <f>+G226</f>
        <v>25066.04</v>
      </c>
      <c r="J226" s="1518"/>
      <c r="K226" s="1518"/>
      <c r="L226" s="1519"/>
      <c r="M226" s="1518"/>
      <c r="N226" s="1523"/>
    </row>
    <row r="227" spans="2:14">
      <c r="B227" s="1587" t="s">
        <v>6930</v>
      </c>
      <c r="C227" s="1524" t="s">
        <v>2855</v>
      </c>
      <c r="D227" s="1518">
        <v>25066.04</v>
      </c>
      <c r="E227" s="1518"/>
      <c r="F227" s="1518"/>
      <c r="G227" s="1518">
        <f t="shared" si="33"/>
        <v>25066.04</v>
      </c>
      <c r="H227" s="1518">
        <f>SUM(I227:M227)</f>
        <v>25066.04</v>
      </c>
      <c r="I227" s="1518"/>
      <c r="J227" s="1518"/>
      <c r="K227" s="1522"/>
      <c r="L227" s="1519"/>
      <c r="M227" s="1518">
        <f>G227</f>
        <v>25066.04</v>
      </c>
      <c r="N227" s="1523"/>
    </row>
    <row r="228" spans="2:14">
      <c r="B228" s="1493" t="s">
        <v>6543</v>
      </c>
      <c r="C228" s="1524" t="s">
        <v>6796</v>
      </c>
      <c r="D228" s="1518">
        <v>1000</v>
      </c>
      <c r="E228" s="1518"/>
      <c r="F228" s="1518"/>
      <c r="G228" s="1518">
        <f t="shared" si="33"/>
        <v>1000</v>
      </c>
      <c r="H228" s="1518">
        <f t="shared" ref="H228" si="36">+SUM(I228:M228)</f>
        <v>1000</v>
      </c>
      <c r="I228" s="1518"/>
      <c r="J228" s="1518"/>
      <c r="K228" s="1522">
        <f>+G228</f>
        <v>1000</v>
      </c>
      <c r="L228" s="1519"/>
      <c r="M228" s="1518"/>
      <c r="N228" s="1523"/>
    </row>
    <row r="229" spans="2:14">
      <c r="B229" s="1526" t="s">
        <v>6620</v>
      </c>
      <c r="C229" s="1524" t="s">
        <v>1301</v>
      </c>
      <c r="D229" s="1518">
        <v>5040</v>
      </c>
      <c r="E229" s="1518"/>
      <c r="F229" s="1518"/>
      <c r="G229" s="1518">
        <f t="shared" si="33"/>
        <v>5040</v>
      </c>
      <c r="H229" s="1518">
        <f t="shared" si="34"/>
        <v>5040</v>
      </c>
      <c r="I229" s="1518">
        <f t="shared" ref="I229:I234" si="37">+G229</f>
        <v>5040</v>
      </c>
      <c r="J229" s="1518"/>
      <c r="K229" s="1522"/>
      <c r="L229" s="1519"/>
      <c r="M229" s="1518"/>
      <c r="N229" s="1523"/>
    </row>
    <row r="230" spans="2:14">
      <c r="B230" s="1493" t="s">
        <v>6544</v>
      </c>
      <c r="C230" s="1524" t="s">
        <v>1301</v>
      </c>
      <c r="D230" s="1518">
        <v>10000</v>
      </c>
      <c r="E230" s="1518"/>
      <c r="F230" s="1518"/>
      <c r="G230" s="1518">
        <f t="shared" si="33"/>
        <v>10000</v>
      </c>
      <c r="H230" s="1518">
        <f t="shared" si="34"/>
        <v>10000</v>
      </c>
      <c r="I230" s="1518"/>
      <c r="J230" s="1518"/>
      <c r="K230" s="1522">
        <f>+G230</f>
        <v>10000</v>
      </c>
      <c r="L230" s="1519"/>
      <c r="M230" s="1518"/>
      <c r="N230" s="1523"/>
    </row>
    <row r="231" spans="2:14">
      <c r="B231" s="1526" t="s">
        <v>6621</v>
      </c>
      <c r="C231" s="1524" t="s">
        <v>29</v>
      </c>
      <c r="D231" s="1518">
        <v>1120</v>
      </c>
      <c r="E231" s="1518"/>
      <c r="F231" s="1518"/>
      <c r="G231" s="1518">
        <f t="shared" si="33"/>
        <v>1120</v>
      </c>
      <c r="H231" s="1518">
        <f t="shared" si="34"/>
        <v>1120</v>
      </c>
      <c r="I231" s="1518">
        <f>+G231</f>
        <v>1120</v>
      </c>
      <c r="J231" s="1518"/>
      <c r="K231" s="1522"/>
      <c r="L231" s="1519"/>
      <c r="M231" s="1518"/>
      <c r="N231" s="1523"/>
    </row>
    <row r="232" spans="2:14">
      <c r="B232" s="1526" t="s">
        <v>6768</v>
      </c>
      <c r="C232" s="1524" t="s">
        <v>30</v>
      </c>
      <c r="D232" s="1518">
        <v>5600</v>
      </c>
      <c r="E232" s="1518"/>
      <c r="F232" s="1518"/>
      <c r="G232" s="1518">
        <f t="shared" si="33"/>
        <v>5600</v>
      </c>
      <c r="H232" s="1518">
        <f t="shared" si="34"/>
        <v>5600</v>
      </c>
      <c r="I232" s="1518">
        <f t="shared" si="37"/>
        <v>5600</v>
      </c>
      <c r="J232" s="1518"/>
      <c r="K232" s="1522"/>
      <c r="L232" s="1519"/>
      <c r="M232" s="1518"/>
      <c r="N232" s="1523"/>
    </row>
    <row r="233" spans="2:14">
      <c r="B233" s="1493" t="s">
        <v>6546</v>
      </c>
      <c r="C233" s="1524" t="s">
        <v>30</v>
      </c>
      <c r="D233" s="1518">
        <v>5000</v>
      </c>
      <c r="E233" s="1518"/>
      <c r="F233" s="1518"/>
      <c r="G233" s="1518">
        <f t="shared" si="33"/>
        <v>5000</v>
      </c>
      <c r="H233" s="1518">
        <f t="shared" si="34"/>
        <v>5000</v>
      </c>
      <c r="I233" s="1518"/>
      <c r="J233" s="1518"/>
      <c r="K233" s="1522">
        <f>+G233</f>
        <v>5000</v>
      </c>
      <c r="L233" s="1519"/>
      <c r="M233" s="1518"/>
      <c r="N233" s="1523"/>
    </row>
    <row r="234" spans="2:14">
      <c r="B234" s="1526" t="s">
        <v>6699</v>
      </c>
      <c r="C234" s="2006" t="s">
        <v>281</v>
      </c>
      <c r="D234" s="1518">
        <v>41359.17</v>
      </c>
      <c r="E234" s="1518"/>
      <c r="F234" s="1518"/>
      <c r="G234" s="1518">
        <f t="shared" si="33"/>
        <v>41359.17</v>
      </c>
      <c r="H234" s="1518">
        <f t="shared" si="34"/>
        <v>41359.17</v>
      </c>
      <c r="I234" s="1518">
        <f t="shared" si="37"/>
        <v>41359.17</v>
      </c>
      <c r="J234" s="1518"/>
      <c r="K234" s="1518"/>
      <c r="L234" s="1519"/>
      <c r="M234" s="1518"/>
      <c r="N234" s="1523"/>
    </row>
    <row r="235" spans="2:14">
      <c r="B235" s="1493" t="s">
        <v>6701</v>
      </c>
      <c r="C235" s="2006" t="s">
        <v>281</v>
      </c>
      <c r="D235" s="1518">
        <v>13648.02</v>
      </c>
      <c r="E235" s="1518"/>
      <c r="F235" s="1518"/>
      <c r="G235" s="1518">
        <f t="shared" si="33"/>
        <v>13648.02</v>
      </c>
      <c r="H235" s="1518">
        <f t="shared" si="34"/>
        <v>13648.02</v>
      </c>
      <c r="I235" s="1518"/>
      <c r="J235" s="1518"/>
      <c r="K235" s="1518">
        <f>+G235</f>
        <v>13648.02</v>
      </c>
      <c r="L235" s="1519"/>
      <c r="M235" s="1518"/>
      <c r="N235" s="1523"/>
    </row>
    <row r="236" spans="2:14">
      <c r="B236" s="1526" t="s">
        <v>6797</v>
      </c>
      <c r="C236" s="1524" t="s">
        <v>6798</v>
      </c>
      <c r="D236" s="1518">
        <v>0</v>
      </c>
      <c r="E236" s="1518"/>
      <c r="F236" s="1518"/>
      <c r="G236" s="1518">
        <f t="shared" si="33"/>
        <v>0</v>
      </c>
      <c r="H236" s="1518">
        <f t="shared" si="34"/>
        <v>0</v>
      </c>
      <c r="I236" s="1518">
        <f>+G236</f>
        <v>0</v>
      </c>
      <c r="J236" s="1518"/>
      <c r="K236" s="1518"/>
      <c r="L236" s="1519"/>
      <c r="M236" s="1518"/>
      <c r="N236" s="1523"/>
    </row>
    <row r="237" spans="2:14">
      <c r="B237" s="1493" t="s">
        <v>6706</v>
      </c>
      <c r="C237" s="2005" t="s">
        <v>505</v>
      </c>
      <c r="D237" s="1518">
        <v>26672.48</v>
      </c>
      <c r="E237" s="1518"/>
      <c r="F237" s="1518"/>
      <c r="G237" s="1518">
        <f t="shared" si="33"/>
        <v>26672.48</v>
      </c>
      <c r="H237" s="1518">
        <f t="shared" si="34"/>
        <v>26672.48</v>
      </c>
      <c r="I237" s="1518"/>
      <c r="J237" s="1518"/>
      <c r="K237" s="1518">
        <f>+G237</f>
        <v>26672.48</v>
      </c>
      <c r="L237" s="1519"/>
      <c r="M237" s="1518"/>
      <c r="N237" s="1523"/>
    </row>
    <row r="238" spans="2:14">
      <c r="B238" s="1526" t="s">
        <v>6799</v>
      </c>
      <c r="C238" s="1524" t="s">
        <v>6800</v>
      </c>
      <c r="D238" s="1518">
        <v>0</v>
      </c>
      <c r="E238" s="1518"/>
      <c r="F238" s="1518"/>
      <c r="G238" s="1518">
        <f t="shared" si="33"/>
        <v>0</v>
      </c>
      <c r="H238" s="1518">
        <f t="shared" si="34"/>
        <v>0</v>
      </c>
      <c r="I238" s="1518">
        <f>+G238</f>
        <v>0</v>
      </c>
      <c r="J238" s="1518"/>
      <c r="K238" s="1518"/>
      <c r="L238" s="1519"/>
      <c r="M238" s="1518"/>
      <c r="N238" s="1523"/>
    </row>
    <row r="239" spans="2:14">
      <c r="B239" s="1526" t="s">
        <v>6623</v>
      </c>
      <c r="C239" s="1524" t="s">
        <v>4343</v>
      </c>
      <c r="D239" s="1518">
        <v>25760</v>
      </c>
      <c r="E239" s="1518"/>
      <c r="F239" s="1518"/>
      <c r="G239" s="1518">
        <f t="shared" si="33"/>
        <v>25760</v>
      </c>
      <c r="H239" s="1518">
        <f t="shared" si="34"/>
        <v>25760</v>
      </c>
      <c r="I239" s="1518">
        <f>+G239</f>
        <v>25760</v>
      </c>
      <c r="J239" s="1518"/>
      <c r="K239" s="1518"/>
      <c r="L239" s="1519"/>
      <c r="M239" s="1518"/>
      <c r="N239" s="1523"/>
    </row>
    <row r="240" spans="2:14">
      <c r="B240" s="1527" t="s">
        <v>6624</v>
      </c>
      <c r="C240" s="1524" t="s">
        <v>6752</v>
      </c>
      <c r="D240" s="1518">
        <v>25000</v>
      </c>
      <c r="E240" s="1518"/>
      <c r="F240" s="1518"/>
      <c r="G240" s="1518">
        <f t="shared" si="33"/>
        <v>25000</v>
      </c>
      <c r="H240" s="1518">
        <f t="shared" si="34"/>
        <v>25000</v>
      </c>
      <c r="I240" s="1518"/>
      <c r="J240" s="1518">
        <f>+G240</f>
        <v>25000</v>
      </c>
      <c r="K240" s="1518"/>
      <c r="L240" s="1519"/>
      <c r="M240" s="1518"/>
      <c r="N240" s="1523"/>
    </row>
    <row r="241" spans="2:14">
      <c r="B241" s="1526" t="s">
        <v>6625</v>
      </c>
      <c r="C241" s="1524" t="s">
        <v>32</v>
      </c>
      <c r="D241" s="1518">
        <v>3360</v>
      </c>
      <c r="E241" s="1518"/>
      <c r="F241" s="1518"/>
      <c r="G241" s="1518">
        <f t="shared" si="33"/>
        <v>3360</v>
      </c>
      <c r="H241" s="1518">
        <f t="shared" si="34"/>
        <v>3360</v>
      </c>
      <c r="I241" s="1518">
        <f>+G241</f>
        <v>3360</v>
      </c>
      <c r="J241" s="1518"/>
      <c r="K241" s="1518"/>
      <c r="L241" s="1519"/>
      <c r="M241" s="1518"/>
      <c r="N241" s="1523"/>
    </row>
    <row r="242" spans="2:14">
      <c r="B242" s="1526" t="s">
        <v>6601</v>
      </c>
      <c r="C242" s="1524" t="s">
        <v>1360</v>
      </c>
      <c r="D242" s="1518">
        <v>4800</v>
      </c>
      <c r="E242" s="1518"/>
      <c r="F242" s="1518"/>
      <c r="G242" s="1518">
        <f t="shared" si="33"/>
        <v>4800</v>
      </c>
      <c r="H242" s="1518">
        <f t="shared" si="34"/>
        <v>4800</v>
      </c>
      <c r="I242" s="1518">
        <f>+G242</f>
        <v>4800</v>
      </c>
      <c r="J242" s="1518"/>
      <c r="K242" s="1518"/>
      <c r="L242" s="1519"/>
      <c r="M242" s="1518"/>
      <c r="N242" s="1523"/>
    </row>
    <row r="243" spans="2:14">
      <c r="B243" s="1527" t="s">
        <v>6626</v>
      </c>
      <c r="C243" s="1524" t="s">
        <v>1360</v>
      </c>
      <c r="D243" s="1518">
        <v>480</v>
      </c>
      <c r="E243" s="1518"/>
      <c r="F243" s="1518"/>
      <c r="G243" s="1518">
        <f t="shared" si="33"/>
        <v>480</v>
      </c>
      <c r="H243" s="1518">
        <f t="shared" si="34"/>
        <v>480</v>
      </c>
      <c r="I243" s="1518"/>
      <c r="J243" s="1518">
        <f>+G243</f>
        <v>480</v>
      </c>
      <c r="K243" s="1518"/>
      <c r="L243" s="1519"/>
      <c r="M243" s="1518"/>
      <c r="N243" s="1523"/>
    </row>
    <row r="244" spans="2:14">
      <c r="B244" s="1527" t="s">
        <v>5097</v>
      </c>
      <c r="C244" s="1524" t="s">
        <v>1665</v>
      </c>
      <c r="D244" s="1518">
        <v>75836.320000000007</v>
      </c>
      <c r="E244" s="1518"/>
      <c r="F244" s="1518"/>
      <c r="G244" s="1518">
        <f t="shared" si="33"/>
        <v>75836.320000000007</v>
      </c>
      <c r="H244" s="1518">
        <f t="shared" si="34"/>
        <v>75836.320000000007</v>
      </c>
      <c r="I244" s="1518"/>
      <c r="J244" s="1518">
        <f t="shared" ref="J244" si="38">+G244</f>
        <v>75836.320000000007</v>
      </c>
      <c r="K244" s="1518"/>
      <c r="L244" s="1519"/>
      <c r="M244" s="1518"/>
      <c r="N244" s="1523"/>
    </row>
    <row r="245" spans="2:14">
      <c r="B245" s="1526" t="s">
        <v>6772</v>
      </c>
      <c r="C245" s="1524" t="s">
        <v>148</v>
      </c>
      <c r="D245" s="1518">
        <v>0</v>
      </c>
      <c r="E245" s="1518"/>
      <c r="F245" s="1518"/>
      <c r="G245" s="1518">
        <f t="shared" si="33"/>
        <v>0</v>
      </c>
      <c r="H245" s="1518">
        <f t="shared" si="34"/>
        <v>0</v>
      </c>
      <c r="I245" s="1518">
        <f t="shared" ref="I245:I252" si="39">+G245</f>
        <v>0</v>
      </c>
      <c r="J245" s="1518"/>
      <c r="K245" s="1518"/>
      <c r="L245" s="1519"/>
      <c r="M245" s="1518"/>
      <c r="N245" s="1523"/>
    </row>
    <row r="246" spans="2:14">
      <c r="B246" s="1526" t="s">
        <v>6801</v>
      </c>
      <c r="C246" s="2005" t="s">
        <v>6802</v>
      </c>
      <c r="D246" s="1518">
        <v>56</v>
      </c>
      <c r="E246" s="1518"/>
      <c r="F246" s="1518"/>
      <c r="G246" s="1518">
        <f t="shared" si="33"/>
        <v>56</v>
      </c>
      <c r="H246" s="1518">
        <f t="shared" si="34"/>
        <v>56</v>
      </c>
      <c r="I246" s="1518">
        <f>+G246</f>
        <v>56</v>
      </c>
      <c r="J246" s="1518"/>
      <c r="K246" s="1518"/>
      <c r="L246" s="1519"/>
      <c r="M246" s="1518"/>
      <c r="N246" s="1523"/>
    </row>
    <row r="247" spans="2:14">
      <c r="B247" s="1526" t="s">
        <v>6803</v>
      </c>
      <c r="C247" s="1524" t="s">
        <v>2003</v>
      </c>
      <c r="D247" s="1518">
        <v>0</v>
      </c>
      <c r="E247" s="1518"/>
      <c r="F247" s="1518"/>
      <c r="G247" s="1518">
        <f t="shared" si="33"/>
        <v>0</v>
      </c>
      <c r="H247" s="1518">
        <f t="shared" si="34"/>
        <v>0</v>
      </c>
      <c r="I247" s="1518">
        <f t="shared" si="39"/>
        <v>0</v>
      </c>
      <c r="J247" s="1518"/>
      <c r="K247" s="1518"/>
      <c r="L247" s="1519"/>
      <c r="M247" s="1518"/>
      <c r="N247" s="1523"/>
    </row>
    <row r="248" spans="2:14">
      <c r="B248" s="1526" t="s">
        <v>6804</v>
      </c>
      <c r="C248" s="1524" t="s">
        <v>3817</v>
      </c>
      <c r="D248" s="1518">
        <v>0</v>
      </c>
      <c r="E248" s="1518"/>
      <c r="F248" s="1518"/>
      <c r="G248" s="1518">
        <f t="shared" si="33"/>
        <v>0</v>
      </c>
      <c r="H248" s="1518">
        <f t="shared" si="34"/>
        <v>0</v>
      </c>
      <c r="I248" s="1518">
        <f t="shared" si="39"/>
        <v>0</v>
      </c>
      <c r="J248" s="1518"/>
      <c r="K248" s="1518"/>
      <c r="L248" s="1519"/>
      <c r="M248" s="1518"/>
      <c r="N248" s="1523"/>
    </row>
    <row r="249" spans="2:14">
      <c r="B249" s="1526" t="s">
        <v>6773</v>
      </c>
      <c r="C249" s="1524" t="s">
        <v>1006</v>
      </c>
      <c r="D249" s="1518">
        <v>0</v>
      </c>
      <c r="E249" s="1518"/>
      <c r="F249" s="1518"/>
      <c r="G249" s="1518">
        <f t="shared" si="33"/>
        <v>0</v>
      </c>
      <c r="H249" s="1518">
        <f t="shared" si="34"/>
        <v>0</v>
      </c>
      <c r="I249" s="1518">
        <f t="shared" si="39"/>
        <v>0</v>
      </c>
      <c r="J249" s="1518"/>
      <c r="K249" s="1518"/>
      <c r="L249" s="1519"/>
      <c r="M249" s="1518"/>
      <c r="N249" s="1523"/>
    </row>
    <row r="250" spans="2:14">
      <c r="B250" s="1526" t="s">
        <v>6805</v>
      </c>
      <c r="C250" s="1524" t="s">
        <v>956</v>
      </c>
      <c r="D250" s="1518">
        <v>0</v>
      </c>
      <c r="E250" s="1518"/>
      <c r="F250" s="1518"/>
      <c r="G250" s="1518">
        <f t="shared" si="33"/>
        <v>0</v>
      </c>
      <c r="H250" s="1518">
        <f t="shared" si="34"/>
        <v>0</v>
      </c>
      <c r="I250" s="1518">
        <f t="shared" si="39"/>
        <v>0</v>
      </c>
      <c r="J250" s="1518"/>
      <c r="K250" s="1518"/>
      <c r="L250" s="1519"/>
      <c r="M250" s="1518"/>
      <c r="N250" s="1523"/>
    </row>
    <row r="251" spans="2:14">
      <c r="B251" s="1526" t="s">
        <v>6774</v>
      </c>
      <c r="C251" s="1524" t="s">
        <v>6806</v>
      </c>
      <c r="D251" s="1518">
        <v>1593.76</v>
      </c>
      <c r="E251" s="1518"/>
      <c r="F251" s="1518"/>
      <c r="G251" s="1518">
        <f t="shared" si="33"/>
        <v>1593.76</v>
      </c>
      <c r="H251" s="1518">
        <f t="shared" si="34"/>
        <v>1593.76</v>
      </c>
      <c r="I251" s="1518">
        <f t="shared" si="39"/>
        <v>1593.76</v>
      </c>
      <c r="J251" s="1518"/>
      <c r="K251" s="1518"/>
      <c r="L251" s="1519"/>
      <c r="M251" s="1518"/>
      <c r="N251" s="1523"/>
    </row>
    <row r="252" spans="2:14">
      <c r="B252" s="1526" t="s">
        <v>6716</v>
      </c>
      <c r="C252" s="1524" t="s">
        <v>6807</v>
      </c>
      <c r="D252" s="1518">
        <v>0</v>
      </c>
      <c r="E252" s="1518"/>
      <c r="F252" s="1518"/>
      <c r="G252" s="1518">
        <f t="shared" si="33"/>
        <v>0</v>
      </c>
      <c r="H252" s="1518">
        <f t="shared" si="34"/>
        <v>0</v>
      </c>
      <c r="I252" s="1518">
        <f t="shared" si="39"/>
        <v>0</v>
      </c>
      <c r="J252" s="1518"/>
      <c r="K252" s="1518"/>
      <c r="L252" s="1519"/>
      <c r="M252" s="1518"/>
      <c r="N252" s="1523"/>
    </row>
    <row r="253" spans="2:14">
      <c r="B253" s="1493" t="s">
        <v>5375</v>
      </c>
      <c r="C253" s="1524" t="s">
        <v>1089</v>
      </c>
      <c r="D253" s="1518">
        <v>2779.46</v>
      </c>
      <c r="E253" s="1518"/>
      <c r="F253" s="1518"/>
      <c r="G253" s="1518">
        <f t="shared" si="33"/>
        <v>2779.46</v>
      </c>
      <c r="H253" s="1518">
        <f t="shared" si="34"/>
        <v>2779.46</v>
      </c>
      <c r="I253" s="1518"/>
      <c r="J253" s="1518"/>
      <c r="K253" s="1518">
        <f>+G253</f>
        <v>2779.46</v>
      </c>
      <c r="L253" s="1519"/>
      <c r="M253" s="1518"/>
      <c r="N253" s="1523"/>
    </row>
    <row r="254" spans="2:14">
      <c r="B254" s="1526" t="s">
        <v>6608</v>
      </c>
      <c r="C254" s="1524" t="s">
        <v>2694</v>
      </c>
      <c r="D254" s="1518">
        <v>0</v>
      </c>
      <c r="E254" s="1518"/>
      <c r="F254" s="1518"/>
      <c r="G254" s="1518">
        <f t="shared" si="33"/>
        <v>0</v>
      </c>
      <c r="H254" s="1518">
        <f t="shared" si="34"/>
        <v>0</v>
      </c>
      <c r="I254" s="1518">
        <f>+G254</f>
        <v>0</v>
      </c>
      <c r="J254" s="1518"/>
      <c r="K254" s="1518"/>
      <c r="L254" s="1519"/>
      <c r="M254" s="1518"/>
      <c r="N254" s="1523"/>
    </row>
    <row r="255" spans="2:14">
      <c r="B255" s="1493" t="s">
        <v>6629</v>
      </c>
      <c r="C255" s="1524" t="s">
        <v>4428</v>
      </c>
      <c r="D255" s="1518">
        <v>190.4</v>
      </c>
      <c r="E255" s="1518"/>
      <c r="F255" s="1518"/>
      <c r="G255" s="1518">
        <f t="shared" si="33"/>
        <v>190.4</v>
      </c>
      <c r="H255" s="1518">
        <f t="shared" si="34"/>
        <v>190.4</v>
      </c>
      <c r="I255" s="1518"/>
      <c r="J255" s="1518"/>
      <c r="K255" s="1518">
        <f>+G255</f>
        <v>190.4</v>
      </c>
      <c r="L255" s="1519"/>
      <c r="M255" s="1518"/>
      <c r="N255" s="1523"/>
    </row>
    <row r="256" spans="2:14">
      <c r="B256" s="1493" t="s">
        <v>6808</v>
      </c>
      <c r="C256" s="2005" t="s">
        <v>4141</v>
      </c>
      <c r="D256" s="1518">
        <v>620.58000000000004</v>
      </c>
      <c r="E256" s="1518"/>
      <c r="F256" s="1518"/>
      <c r="G256" s="1518">
        <f t="shared" si="33"/>
        <v>620.58000000000004</v>
      </c>
      <c r="H256" s="1518">
        <f t="shared" si="34"/>
        <v>620.58000000000004</v>
      </c>
      <c r="I256" s="1518"/>
      <c r="J256" s="1518"/>
      <c r="K256" s="1518">
        <f>+G256</f>
        <v>620.58000000000004</v>
      </c>
      <c r="L256" s="1519"/>
      <c r="M256" s="1518"/>
      <c r="N256" s="1523"/>
    </row>
    <row r="257" spans="1:14">
      <c r="B257" s="1527" t="s">
        <v>6809</v>
      </c>
      <c r="C257" s="2005" t="s">
        <v>4443</v>
      </c>
      <c r="D257" s="1518">
        <v>672</v>
      </c>
      <c r="E257" s="1518"/>
      <c r="F257" s="1518"/>
      <c r="G257" s="1518">
        <f t="shared" si="33"/>
        <v>672</v>
      </c>
      <c r="H257" s="1518">
        <f t="shared" si="34"/>
        <v>672</v>
      </c>
      <c r="I257" s="1518"/>
      <c r="J257" s="1518">
        <f>+G257</f>
        <v>672</v>
      </c>
      <c r="K257" s="1518"/>
      <c r="L257" s="1519"/>
      <c r="M257" s="1518"/>
      <c r="N257" s="1523"/>
    </row>
    <row r="258" spans="1:14">
      <c r="B258" s="1493" t="s">
        <v>6630</v>
      </c>
      <c r="C258" s="1524" t="s">
        <v>4443</v>
      </c>
      <c r="D258" s="1518">
        <v>194.88</v>
      </c>
      <c r="E258" s="1518"/>
      <c r="F258" s="1518"/>
      <c r="G258" s="1518">
        <f t="shared" si="33"/>
        <v>194.88</v>
      </c>
      <c r="H258" s="1518">
        <f t="shared" si="34"/>
        <v>194.88</v>
      </c>
      <c r="I258" s="1518"/>
      <c r="J258" s="1518"/>
      <c r="K258" s="1518">
        <f>+G258</f>
        <v>194.88</v>
      </c>
      <c r="L258" s="1519"/>
      <c r="M258" s="1518"/>
      <c r="N258" s="1523"/>
    </row>
    <row r="259" spans="1:14">
      <c r="B259" s="1526" t="s">
        <v>6810</v>
      </c>
      <c r="C259" s="1524" t="s">
        <v>6811</v>
      </c>
      <c r="D259" s="1518">
        <v>0</v>
      </c>
      <c r="E259" s="1518"/>
      <c r="F259" s="1518"/>
      <c r="G259" s="1518">
        <f t="shared" si="33"/>
        <v>0</v>
      </c>
      <c r="H259" s="1518">
        <f t="shared" si="34"/>
        <v>0</v>
      </c>
      <c r="I259" s="1518">
        <f>+G259</f>
        <v>0</v>
      </c>
      <c r="J259" s="1518"/>
      <c r="K259" s="1518"/>
      <c r="L259" s="1519"/>
      <c r="M259" s="1518"/>
      <c r="N259" s="1523"/>
    </row>
    <row r="260" spans="1:14" s="1559" customFormat="1">
      <c r="A260" s="1477"/>
      <c r="B260" s="1526" t="s">
        <v>6812</v>
      </c>
      <c r="C260" s="1524" t="s">
        <v>3341</v>
      </c>
      <c r="D260" s="1518">
        <v>0</v>
      </c>
      <c r="E260" s="1518"/>
      <c r="F260" s="1518"/>
      <c r="G260" s="1518">
        <f t="shared" si="33"/>
        <v>0</v>
      </c>
      <c r="H260" s="1518">
        <f t="shared" si="34"/>
        <v>0</v>
      </c>
      <c r="I260" s="1518">
        <f>+G260</f>
        <v>0</v>
      </c>
      <c r="J260" s="1518"/>
      <c r="K260" s="1518"/>
      <c r="L260" s="1519"/>
      <c r="M260" s="1518"/>
      <c r="N260" s="1523"/>
    </row>
    <row r="261" spans="1:14" s="1559" customFormat="1">
      <c r="B261" s="1527" t="s">
        <v>5257</v>
      </c>
      <c r="C261" s="2005" t="s">
        <v>1667</v>
      </c>
      <c r="D261" s="1518">
        <v>68347.490000000005</v>
      </c>
      <c r="E261" s="1518"/>
      <c r="F261" s="1518"/>
      <c r="G261" s="1518">
        <f t="shared" si="33"/>
        <v>68347.490000000005</v>
      </c>
      <c r="H261" s="1518">
        <f t="shared" si="34"/>
        <v>68347.490000000005</v>
      </c>
      <c r="I261" s="1529"/>
      <c r="J261" s="1518">
        <f>+G261</f>
        <v>68347.490000000005</v>
      </c>
      <c r="K261" s="1518"/>
      <c r="L261" s="1519"/>
      <c r="M261" s="1518"/>
      <c r="N261" s="1523"/>
    </row>
    <row r="262" spans="1:14" s="1559" customFormat="1">
      <c r="B262" s="1526" t="s">
        <v>6813</v>
      </c>
      <c r="C262" s="1524" t="s">
        <v>591</v>
      </c>
      <c r="D262" s="1518">
        <v>0</v>
      </c>
      <c r="E262" s="1518"/>
      <c r="F262" s="1518"/>
      <c r="G262" s="1518">
        <f t="shared" si="33"/>
        <v>0</v>
      </c>
      <c r="H262" s="1518">
        <f t="shared" si="34"/>
        <v>0</v>
      </c>
      <c r="I262" s="1518">
        <f>+G262</f>
        <v>0</v>
      </c>
      <c r="J262" s="1518"/>
      <c r="K262" s="1518"/>
      <c r="L262" s="1519"/>
      <c r="M262" s="1518"/>
      <c r="N262" s="1523"/>
    </row>
    <row r="263" spans="1:14" s="1559" customFormat="1">
      <c r="B263" s="1527" t="s">
        <v>6660</v>
      </c>
      <c r="C263" s="1524" t="s">
        <v>39</v>
      </c>
      <c r="D263" s="1518">
        <v>3105.48</v>
      </c>
      <c r="E263" s="1518"/>
      <c r="F263" s="1518"/>
      <c r="G263" s="1518">
        <f t="shared" si="33"/>
        <v>3105.48</v>
      </c>
      <c r="H263" s="1518">
        <f t="shared" si="34"/>
        <v>3105.48</v>
      </c>
      <c r="I263" s="1518"/>
      <c r="J263" s="1518">
        <f>+G263</f>
        <v>3105.48</v>
      </c>
      <c r="K263" s="1518"/>
      <c r="L263" s="1519"/>
      <c r="M263" s="1518"/>
      <c r="N263" s="1523"/>
    </row>
    <row r="264" spans="1:14" s="1559" customFormat="1">
      <c r="B264" s="1526" t="s">
        <v>6814</v>
      </c>
      <c r="C264" s="2005" t="s">
        <v>39</v>
      </c>
      <c r="D264" s="1518">
        <v>394.63</v>
      </c>
      <c r="E264" s="1518"/>
      <c r="F264" s="1518"/>
      <c r="G264" s="1518">
        <f t="shared" si="33"/>
        <v>394.63</v>
      </c>
      <c r="H264" s="1518">
        <f t="shared" si="34"/>
        <v>394.63</v>
      </c>
      <c r="I264" s="1518">
        <f>+G264</f>
        <v>394.63</v>
      </c>
      <c r="J264" s="1518"/>
      <c r="K264" s="1518"/>
      <c r="L264" s="1519"/>
      <c r="M264" s="1518"/>
      <c r="N264" s="1523"/>
    </row>
    <row r="265" spans="1:14">
      <c r="A265" s="1559"/>
      <c r="B265" s="1527" t="s">
        <v>5399</v>
      </c>
      <c r="C265" s="2005" t="s">
        <v>4163</v>
      </c>
      <c r="D265" s="1518">
        <v>1719.2</v>
      </c>
      <c r="E265" s="1518"/>
      <c r="F265" s="1518"/>
      <c r="G265" s="1518">
        <f t="shared" si="33"/>
        <v>1719.2</v>
      </c>
      <c r="H265" s="1518">
        <f t="shared" si="34"/>
        <v>1719.2</v>
      </c>
      <c r="I265" s="1518"/>
      <c r="J265" s="1518">
        <f>+G265</f>
        <v>1719.2</v>
      </c>
      <c r="K265" s="1518"/>
      <c r="L265" s="1519"/>
      <c r="M265" s="1518"/>
      <c r="N265" s="1523"/>
    </row>
    <row r="266" spans="1:14">
      <c r="B266" s="1527" t="s">
        <v>6661</v>
      </c>
      <c r="C266" s="1524" t="s">
        <v>40</v>
      </c>
      <c r="D266" s="1518">
        <v>5240.3599999999997</v>
      </c>
      <c r="E266" s="1518"/>
      <c r="F266" s="1518"/>
      <c r="G266" s="1518">
        <f t="shared" si="33"/>
        <v>5240.3599999999997</v>
      </c>
      <c r="H266" s="1518">
        <f t="shared" si="34"/>
        <v>5240.3599999999997</v>
      </c>
      <c r="I266" s="1518"/>
      <c r="J266" s="1518">
        <f>+G266</f>
        <v>5240.3599999999997</v>
      </c>
      <c r="K266" s="1529"/>
      <c r="L266" s="1560"/>
      <c r="M266" s="1518"/>
      <c r="N266" s="1523"/>
    </row>
    <row r="267" spans="1:14">
      <c r="B267" s="1527" t="s">
        <v>6724</v>
      </c>
      <c r="C267" s="1524" t="s">
        <v>36</v>
      </c>
      <c r="D267" s="1518">
        <v>50000</v>
      </c>
      <c r="E267" s="1518"/>
      <c r="F267" s="1518"/>
      <c r="G267" s="1518">
        <f t="shared" si="33"/>
        <v>50000</v>
      </c>
      <c r="H267" s="1518">
        <f t="shared" si="34"/>
        <v>50000</v>
      </c>
      <c r="I267" s="1518"/>
      <c r="J267" s="1518">
        <f>+G267</f>
        <v>50000</v>
      </c>
      <c r="K267" s="1561"/>
      <c r="L267" s="1560"/>
      <c r="M267" s="1518"/>
      <c r="N267" s="1523"/>
    </row>
    <row r="268" spans="1:14">
      <c r="B268" s="1527" t="s">
        <v>6815</v>
      </c>
      <c r="C268" s="1524" t="s">
        <v>37</v>
      </c>
      <c r="D268" s="1518">
        <v>3500</v>
      </c>
      <c r="E268" s="1518"/>
      <c r="F268" s="1518"/>
      <c r="G268" s="1518">
        <f t="shared" si="33"/>
        <v>3500</v>
      </c>
      <c r="H268" s="1518">
        <f t="shared" si="34"/>
        <v>3500</v>
      </c>
      <c r="I268" s="1518"/>
      <c r="J268" s="1518">
        <f>+G268</f>
        <v>3500</v>
      </c>
      <c r="K268" s="1561"/>
      <c r="L268" s="1560"/>
      <c r="M268" s="1518"/>
      <c r="N268" s="1523"/>
    </row>
    <row r="269" spans="1:14">
      <c r="B269" s="1526" t="s">
        <v>6779</v>
      </c>
      <c r="C269" s="1524" t="s">
        <v>6726</v>
      </c>
      <c r="D269" s="1518">
        <v>9.3223206931725144E-12</v>
      </c>
      <c r="E269" s="1518"/>
      <c r="F269" s="1518"/>
      <c r="G269" s="1518">
        <f t="shared" si="33"/>
        <v>9.3223206931725144E-12</v>
      </c>
      <c r="H269" s="1518">
        <f t="shared" si="34"/>
        <v>9.3223206931725144E-12</v>
      </c>
      <c r="I269" s="1518">
        <f>+G269</f>
        <v>9.3223206931725144E-12</v>
      </c>
      <c r="J269" s="1518"/>
      <c r="K269" s="1522"/>
      <c r="L269" s="1518"/>
      <c r="M269" s="1518"/>
      <c r="N269" s="1523"/>
    </row>
    <row r="270" spans="1:14">
      <c r="B270" s="1526" t="s">
        <v>6581</v>
      </c>
      <c r="C270" s="1524" t="s">
        <v>6816</v>
      </c>
      <c r="D270" s="1518">
        <v>88655.82</v>
      </c>
      <c r="E270" s="1518"/>
      <c r="F270" s="1518"/>
      <c r="G270" s="1518">
        <f t="shared" si="33"/>
        <v>88655.82</v>
      </c>
      <c r="H270" s="1518">
        <f t="shared" si="34"/>
        <v>88655.82</v>
      </c>
      <c r="I270" s="1529">
        <f>+G270</f>
        <v>88655.82</v>
      </c>
      <c r="J270" s="1518"/>
      <c r="K270" s="1518"/>
      <c r="L270" s="1519"/>
      <c r="M270" s="1518"/>
      <c r="N270" s="1523"/>
    </row>
    <row r="271" spans="1:14">
      <c r="B271" s="1526" t="s">
        <v>6817</v>
      </c>
      <c r="C271" s="1524" t="s">
        <v>505</v>
      </c>
      <c r="D271" s="1518">
        <v>1250</v>
      </c>
      <c r="E271" s="1518"/>
      <c r="F271" s="1518"/>
      <c r="G271" s="1518">
        <f t="shared" si="33"/>
        <v>1250</v>
      </c>
      <c r="H271" s="1518">
        <f t="shared" si="34"/>
        <v>1250</v>
      </c>
      <c r="I271" s="1529">
        <f>+G271</f>
        <v>1250</v>
      </c>
      <c r="J271" s="1518"/>
      <c r="K271" s="1522"/>
      <c r="L271" s="1519"/>
      <c r="M271" s="1518"/>
      <c r="N271" s="1523"/>
    </row>
    <row r="272" spans="1:14">
      <c r="B272" s="1531" t="s">
        <v>6818</v>
      </c>
      <c r="C272" s="1524" t="s">
        <v>6819</v>
      </c>
      <c r="D272" s="1518">
        <v>0</v>
      </c>
      <c r="E272" s="1518"/>
      <c r="F272" s="1518"/>
      <c r="G272" s="1518">
        <f t="shared" si="33"/>
        <v>0</v>
      </c>
      <c r="H272" s="1518">
        <f t="shared" si="34"/>
        <v>0</v>
      </c>
      <c r="I272" s="1518"/>
      <c r="J272" s="1518"/>
      <c r="K272" s="1522"/>
      <c r="L272" s="1518">
        <f>+G272</f>
        <v>0</v>
      </c>
      <c r="M272" s="1518"/>
      <c r="N272" s="1523"/>
    </row>
    <row r="273" spans="2:14">
      <c r="B273" s="1531" t="s">
        <v>6820</v>
      </c>
      <c r="C273" s="1524" t="s">
        <v>2742</v>
      </c>
      <c r="D273" s="1518">
        <v>0</v>
      </c>
      <c r="E273" s="1518"/>
      <c r="F273" s="1532"/>
      <c r="G273" s="1518">
        <f t="shared" si="33"/>
        <v>0</v>
      </c>
      <c r="H273" s="1518">
        <f t="shared" si="34"/>
        <v>0</v>
      </c>
      <c r="I273" s="1533"/>
      <c r="J273" s="1532"/>
      <c r="K273" s="1532"/>
      <c r="L273" s="1532">
        <f>+G273</f>
        <v>0</v>
      </c>
      <c r="M273" s="1518"/>
      <c r="N273" s="1523"/>
    </row>
    <row r="274" spans="2:14">
      <c r="B274" s="1527" t="s">
        <v>6738</v>
      </c>
      <c r="C274" s="1524" t="s">
        <v>591</v>
      </c>
      <c r="D274" s="1518">
        <v>2250</v>
      </c>
      <c r="E274" s="1518"/>
      <c r="F274" s="1532"/>
      <c r="G274" s="1518">
        <f t="shared" si="33"/>
        <v>2250</v>
      </c>
      <c r="H274" s="1518">
        <f t="shared" si="34"/>
        <v>2250</v>
      </c>
      <c r="I274" s="1533"/>
      <c r="J274" s="1532">
        <f>+G274</f>
        <v>2250</v>
      </c>
      <c r="K274" s="1532"/>
      <c r="L274" s="1519"/>
      <c r="M274" s="1518"/>
      <c r="N274" s="1523"/>
    </row>
    <row r="275" spans="2:14">
      <c r="B275" s="1493" t="s">
        <v>5694</v>
      </c>
      <c r="C275" s="1524" t="s">
        <v>591</v>
      </c>
      <c r="D275" s="1518">
        <v>6843.2</v>
      </c>
      <c r="E275" s="1518"/>
      <c r="F275" s="1532"/>
      <c r="G275" s="1518">
        <f t="shared" si="33"/>
        <v>6843.2</v>
      </c>
      <c r="H275" s="1518">
        <f t="shared" si="34"/>
        <v>6843.2</v>
      </c>
      <c r="I275" s="1533"/>
      <c r="J275" s="1532"/>
      <c r="K275" s="1532">
        <f>+G275</f>
        <v>6843.2</v>
      </c>
      <c r="L275" s="1519"/>
      <c r="M275" s="1518"/>
      <c r="N275" s="1523"/>
    </row>
    <row r="276" spans="2:14">
      <c r="B276" s="1526" t="s">
        <v>6931</v>
      </c>
      <c r="C276" s="1524" t="s">
        <v>591</v>
      </c>
      <c r="D276" s="1518">
        <v>6370</v>
      </c>
      <c r="E276" s="1518"/>
      <c r="F276" s="1532"/>
      <c r="G276" s="1518">
        <f t="shared" si="33"/>
        <v>6370</v>
      </c>
      <c r="H276" s="1518">
        <f t="shared" si="34"/>
        <v>6370</v>
      </c>
      <c r="I276" s="1533">
        <f>G276</f>
        <v>6370</v>
      </c>
      <c r="J276" s="1532"/>
      <c r="K276" s="1532"/>
      <c r="L276" s="1519"/>
      <c r="M276" s="1518"/>
      <c r="N276" s="1523"/>
    </row>
    <row r="277" spans="2:14">
      <c r="B277" s="1526" t="s">
        <v>5717</v>
      </c>
      <c r="C277" s="1524" t="s">
        <v>39</v>
      </c>
      <c r="D277" s="1518">
        <v>65912.429999999993</v>
      </c>
      <c r="E277" s="1518"/>
      <c r="F277" s="1518"/>
      <c r="G277" s="1518">
        <f t="shared" si="33"/>
        <v>65912.429999999993</v>
      </c>
      <c r="H277" s="1518">
        <f t="shared" si="34"/>
        <v>65912.429999999993</v>
      </c>
      <c r="I277" s="1518">
        <f>+G277</f>
        <v>65912.429999999993</v>
      </c>
      <c r="J277" s="1533"/>
      <c r="K277" s="1532"/>
      <c r="L277" s="1519"/>
      <c r="M277" s="1518"/>
      <c r="N277" s="1523"/>
    </row>
    <row r="278" spans="2:14">
      <c r="B278" s="1526" t="s">
        <v>6822</v>
      </c>
      <c r="C278" s="1524" t="s">
        <v>39</v>
      </c>
      <c r="D278" s="1518">
        <v>924169.72</v>
      </c>
      <c r="E278" s="1518"/>
      <c r="F278" s="1518"/>
      <c r="G278" s="1518">
        <f t="shared" si="33"/>
        <v>924169.72</v>
      </c>
      <c r="H278" s="1518">
        <f t="shared" si="34"/>
        <v>924169.72</v>
      </c>
      <c r="I278" s="1518">
        <f>+G278</f>
        <v>924169.72</v>
      </c>
      <c r="J278" s="1533"/>
      <c r="K278" s="1532"/>
      <c r="L278" s="1519"/>
      <c r="M278" s="1518"/>
      <c r="N278" s="1523"/>
    </row>
    <row r="279" spans="2:14" ht="13.5" customHeight="1">
      <c r="B279" s="1527" t="s">
        <v>5252</v>
      </c>
      <c r="C279" s="1524" t="s">
        <v>39</v>
      </c>
      <c r="D279" s="1518">
        <v>9325.25</v>
      </c>
      <c r="E279" s="1518"/>
      <c r="F279" s="1518"/>
      <c r="G279" s="1518">
        <f t="shared" si="33"/>
        <v>9325.25</v>
      </c>
      <c r="H279" s="1518">
        <f t="shared" si="34"/>
        <v>9325.25</v>
      </c>
      <c r="I279" s="1518"/>
      <c r="J279" s="1533">
        <f>+G279</f>
        <v>9325.25</v>
      </c>
      <c r="K279" s="1532"/>
      <c r="L279" s="1519"/>
      <c r="M279" s="1518"/>
      <c r="N279" s="1523"/>
    </row>
    <row r="280" spans="2:14">
      <c r="B280" s="1493" t="s">
        <v>5283</v>
      </c>
      <c r="C280" s="2005" t="s">
        <v>39</v>
      </c>
      <c r="D280" s="1518">
        <v>308190.89</v>
      </c>
      <c r="E280" s="1562"/>
      <c r="F280" s="1518"/>
      <c r="G280" s="1518">
        <f t="shared" si="33"/>
        <v>308190.89</v>
      </c>
      <c r="H280" s="1518">
        <f>+SUM(I280:M280)</f>
        <v>308190.89</v>
      </c>
      <c r="I280" s="1523"/>
      <c r="J280" s="1532"/>
      <c r="K280" s="1532">
        <f>+G280</f>
        <v>308190.89</v>
      </c>
      <c r="L280" s="1519"/>
      <c r="M280" s="1518"/>
      <c r="N280" s="1523"/>
    </row>
    <row r="281" spans="2:14">
      <c r="B281" s="1587" t="s">
        <v>6929</v>
      </c>
      <c r="C281" s="2005" t="s">
        <v>39</v>
      </c>
      <c r="D281" s="1518">
        <v>24677.5</v>
      </c>
      <c r="E281" s="1562"/>
      <c r="F281" s="1518"/>
      <c r="G281" s="1518">
        <f t="shared" si="33"/>
        <v>24677.5</v>
      </c>
      <c r="H281" s="1518">
        <f>SUM(I281:M281)</f>
        <v>24677.5</v>
      </c>
      <c r="I281" s="1523"/>
      <c r="J281" s="1532"/>
      <c r="K281" s="1532"/>
      <c r="L281" s="1519"/>
      <c r="M281" s="1518">
        <f>G281</f>
        <v>24677.5</v>
      </c>
      <c r="N281" s="1523"/>
    </row>
    <row r="282" spans="2:14">
      <c r="B282" s="1526" t="s">
        <v>5544</v>
      </c>
      <c r="C282" s="2005" t="s">
        <v>40</v>
      </c>
      <c r="D282" s="1518">
        <v>1344.1</v>
      </c>
      <c r="E282" s="1518"/>
      <c r="F282" s="1518"/>
      <c r="G282" s="1518">
        <f t="shared" si="33"/>
        <v>1344.1</v>
      </c>
      <c r="H282" s="1518">
        <f t="shared" ref="H282" si="40">+SUM(I282:M282)</f>
        <v>1344.1</v>
      </c>
      <c r="I282" s="1532">
        <f>+G282</f>
        <v>1344.1</v>
      </c>
      <c r="J282" s="1533"/>
      <c r="K282" s="1532"/>
      <c r="L282" s="1519"/>
      <c r="M282" s="1518"/>
      <c r="N282" s="1523"/>
    </row>
    <row r="283" spans="2:14">
      <c r="B283" s="1526" t="s">
        <v>6823</v>
      </c>
      <c r="C283" s="2005" t="s">
        <v>40</v>
      </c>
      <c r="D283" s="1518">
        <v>244548.86</v>
      </c>
      <c r="E283" s="1518"/>
      <c r="F283" s="1518"/>
      <c r="G283" s="1518">
        <f t="shared" si="33"/>
        <v>244548.86</v>
      </c>
      <c r="H283" s="1518">
        <f t="shared" ref="H283" si="41">+SUM(I283:M283)</f>
        <v>244548.86</v>
      </c>
      <c r="I283" s="1532">
        <f>+G283</f>
        <v>244548.86</v>
      </c>
      <c r="J283" s="1533"/>
      <c r="K283" s="1532"/>
      <c r="L283" s="1519"/>
      <c r="M283" s="1518"/>
      <c r="N283" s="1523"/>
    </row>
    <row r="284" spans="2:14">
      <c r="B284" s="1493" t="s">
        <v>4825</v>
      </c>
      <c r="C284" s="2005" t="s">
        <v>40</v>
      </c>
      <c r="D284" s="1518">
        <v>288707.62</v>
      </c>
      <c r="E284" s="1518"/>
      <c r="F284" s="1518"/>
      <c r="G284" s="1518">
        <f t="shared" si="33"/>
        <v>288707.62</v>
      </c>
      <c r="H284" s="1518">
        <f t="shared" ref="H284:H286" si="42">+SUM(I284:M284)</f>
        <v>288707.62</v>
      </c>
      <c r="I284" s="1563"/>
      <c r="J284" s="1533"/>
      <c r="K284" s="1532">
        <f>+G284</f>
        <v>288707.62</v>
      </c>
      <c r="L284" s="1519"/>
      <c r="M284" s="1518"/>
      <c r="N284" s="1523"/>
    </row>
    <row r="285" spans="2:14">
      <c r="B285" s="1531" t="s">
        <v>6824</v>
      </c>
      <c r="C285" s="1524" t="s">
        <v>40</v>
      </c>
      <c r="D285" s="1518">
        <v>414919.06</v>
      </c>
      <c r="E285" s="1532"/>
      <c r="F285" s="1532"/>
      <c r="G285" s="1518">
        <f t="shared" si="33"/>
        <v>414919.06</v>
      </c>
      <c r="H285" s="1518">
        <f t="shared" si="42"/>
        <v>414919.06</v>
      </c>
      <c r="I285" s="1563"/>
      <c r="J285" s="1533"/>
      <c r="K285" s="1532"/>
      <c r="L285" s="1532">
        <f>+G285</f>
        <v>414919.06</v>
      </c>
      <c r="M285" s="1518"/>
      <c r="N285" s="1523"/>
    </row>
    <row r="286" spans="2:14">
      <c r="B286" s="1493" t="s">
        <v>6825</v>
      </c>
      <c r="C286" s="1524" t="s">
        <v>37</v>
      </c>
      <c r="D286" s="1518">
        <v>2800</v>
      </c>
      <c r="E286" s="1532"/>
      <c r="F286" s="1532"/>
      <c r="G286" s="1518">
        <f t="shared" si="33"/>
        <v>2800</v>
      </c>
      <c r="H286" s="1518">
        <f t="shared" si="42"/>
        <v>2800</v>
      </c>
      <c r="I286" s="1532"/>
      <c r="J286" s="1533"/>
      <c r="K286" s="1532">
        <f>+G286</f>
        <v>2800</v>
      </c>
      <c r="L286" s="1532"/>
      <c r="M286" s="1518"/>
      <c r="N286" s="1523"/>
    </row>
    <row r="287" spans="2:14">
      <c r="B287" s="1549"/>
      <c r="C287" s="1536" t="s">
        <v>6636</v>
      </c>
      <c r="D287" s="1537">
        <f t="shared" ref="D287:M287" si="43">SUM(D215:D286)</f>
        <v>3328676.12</v>
      </c>
      <c r="E287" s="1537">
        <f t="shared" si="43"/>
        <v>0</v>
      </c>
      <c r="F287" s="1537">
        <f t="shared" si="43"/>
        <v>0</v>
      </c>
      <c r="G287" s="1537">
        <f t="shared" si="43"/>
        <v>3328676.12</v>
      </c>
      <c r="H287" s="1537">
        <f t="shared" si="43"/>
        <v>3328676.12</v>
      </c>
      <c r="I287" s="1537">
        <f t="shared" si="43"/>
        <v>1951889.8900000001</v>
      </c>
      <c r="J287" s="1537">
        <f t="shared" si="43"/>
        <v>245476.1</v>
      </c>
      <c r="K287" s="1537">
        <f t="shared" si="43"/>
        <v>666647.53</v>
      </c>
      <c r="L287" s="1537">
        <f t="shared" si="43"/>
        <v>414919.06</v>
      </c>
      <c r="M287" s="1537">
        <f t="shared" si="43"/>
        <v>49743.54</v>
      </c>
      <c r="N287" s="1523"/>
    </row>
    <row r="288" spans="2:14" ht="14.25">
      <c r="B288" s="1564"/>
      <c r="C288" s="1565"/>
      <c r="D288" s="1566"/>
      <c r="E288" s="1567"/>
      <c r="F288" s="1567"/>
      <c r="G288" s="1568">
        <f>G287-D330</f>
        <v>1106164.2823999999</v>
      </c>
      <c r="H288" s="1503"/>
      <c r="I288" s="1566"/>
      <c r="J288" s="1566"/>
      <c r="K288" s="1566"/>
      <c r="N288" s="1523"/>
    </row>
    <row r="289" spans="2:14">
      <c r="B289" s="1569"/>
      <c r="C289" s="1565"/>
      <c r="D289" s="1567"/>
      <c r="E289" s="1567"/>
      <c r="F289" s="1567"/>
      <c r="G289" s="1503"/>
      <c r="H289" s="1503"/>
      <c r="I289" s="1566"/>
      <c r="J289" s="1566"/>
      <c r="K289" s="1566"/>
      <c r="N289" s="1523"/>
    </row>
    <row r="290" spans="2:14" ht="25.5">
      <c r="B290" s="1555" t="s">
        <v>7</v>
      </c>
      <c r="C290" s="1555" t="s">
        <v>6505</v>
      </c>
      <c r="D290" s="1510" t="s">
        <v>6667</v>
      </c>
      <c r="E290" s="1510" t="s">
        <v>6678</v>
      </c>
      <c r="F290" s="1510" t="s">
        <v>6679</v>
      </c>
      <c r="G290" s="1510" t="s">
        <v>6680</v>
      </c>
      <c r="H290" s="1510" t="s">
        <v>6681</v>
      </c>
      <c r="I290" s="1511" t="s">
        <v>6488</v>
      </c>
      <c r="J290" s="1512" t="s">
        <v>6489</v>
      </c>
      <c r="K290" s="1513" t="s">
        <v>6508</v>
      </c>
      <c r="L290" s="1514" t="s">
        <v>6491</v>
      </c>
      <c r="M290" s="1515" t="s">
        <v>6492</v>
      </c>
      <c r="N290" s="1523"/>
    </row>
    <row r="291" spans="2:14">
      <c r="B291" s="1556" t="s">
        <v>6637</v>
      </c>
      <c r="C291" s="1557" t="s">
        <v>6638</v>
      </c>
      <c r="D291" s="1558"/>
      <c r="E291" s="1530"/>
      <c r="F291" s="1530"/>
      <c r="G291" s="1558"/>
      <c r="H291" s="1530"/>
      <c r="I291" s="1530"/>
      <c r="J291" s="1530"/>
      <c r="K291" s="1530"/>
      <c r="L291" s="1519"/>
      <c r="M291" s="1519"/>
      <c r="N291" s="1523"/>
    </row>
    <row r="292" spans="2:14">
      <c r="B292" s="1527" t="s">
        <v>5020</v>
      </c>
      <c r="C292" s="1571" t="s">
        <v>6791</v>
      </c>
      <c r="D292" s="1518">
        <v>24640</v>
      </c>
      <c r="E292" s="1518"/>
      <c r="F292" s="1518"/>
      <c r="G292" s="1518">
        <f>+D292+E292-F292</f>
        <v>24640</v>
      </c>
      <c r="H292" s="1518">
        <f>+SUM(I292:M292)</f>
        <v>24640</v>
      </c>
      <c r="I292" s="1518"/>
      <c r="J292" s="1518">
        <f>+G292</f>
        <v>24640</v>
      </c>
      <c r="K292" s="1518"/>
      <c r="L292" s="1519"/>
      <c r="M292" s="1519"/>
      <c r="N292" s="1523"/>
    </row>
    <row r="293" spans="2:14">
      <c r="B293" s="1527" t="s">
        <v>6766</v>
      </c>
      <c r="C293" s="1524" t="s">
        <v>6826</v>
      </c>
      <c r="D293" s="1518">
        <v>3894.91</v>
      </c>
      <c r="E293" s="1518"/>
      <c r="F293" s="1518"/>
      <c r="G293" s="1518">
        <f t="shared" ref="G293:G324" si="44">+D293+E293-F293</f>
        <v>3894.91</v>
      </c>
      <c r="H293" s="1518">
        <f t="shared" ref="H293:H324" si="45">+SUM(I293:M293)</f>
        <v>3894.91</v>
      </c>
      <c r="I293" s="1518"/>
      <c r="J293" s="1518">
        <f t="shared" ref="J293:J303" si="46">+G293</f>
        <v>3894.91</v>
      </c>
      <c r="K293" s="1518"/>
      <c r="L293" s="1519"/>
      <c r="M293" s="1519"/>
      <c r="N293" s="1523"/>
    </row>
    <row r="294" spans="2:14">
      <c r="B294" s="1527" t="s">
        <v>6641</v>
      </c>
      <c r="C294" s="1524" t="s">
        <v>27</v>
      </c>
      <c r="D294" s="1518">
        <v>1344</v>
      </c>
      <c r="E294" s="1518"/>
      <c r="F294" s="1518"/>
      <c r="G294" s="1518">
        <f t="shared" si="44"/>
        <v>1344</v>
      </c>
      <c r="H294" s="1518">
        <f t="shared" si="45"/>
        <v>1344</v>
      </c>
      <c r="I294" s="1518"/>
      <c r="J294" s="1518">
        <f>+G294</f>
        <v>1344</v>
      </c>
      <c r="K294" s="1518"/>
      <c r="L294" s="1519"/>
      <c r="M294" s="1519"/>
      <c r="N294" s="1523"/>
    </row>
    <row r="295" spans="2:14">
      <c r="B295" s="1527" t="s">
        <v>6827</v>
      </c>
      <c r="C295" s="1524" t="s">
        <v>1507</v>
      </c>
      <c r="D295" s="1518">
        <v>8064</v>
      </c>
      <c r="E295" s="1518"/>
      <c r="F295" s="1518"/>
      <c r="G295" s="1518">
        <f t="shared" si="44"/>
        <v>8064</v>
      </c>
      <c r="H295" s="1518">
        <f t="shared" si="45"/>
        <v>8064</v>
      </c>
      <c r="I295" s="1518"/>
      <c r="J295" s="1518">
        <f t="shared" si="46"/>
        <v>8064</v>
      </c>
      <c r="K295" s="1518"/>
      <c r="L295" s="1519"/>
      <c r="M295" s="1519"/>
      <c r="N295" s="1523"/>
    </row>
    <row r="296" spans="2:14">
      <c r="B296" s="1527" t="s">
        <v>6643</v>
      </c>
      <c r="C296" s="1524" t="s">
        <v>6828</v>
      </c>
      <c r="D296" s="1518">
        <v>2121.2800000000002</v>
      </c>
      <c r="E296" s="1518"/>
      <c r="F296" s="1518"/>
      <c r="G296" s="1518">
        <f t="shared" si="44"/>
        <v>2121.2800000000002</v>
      </c>
      <c r="H296" s="1518">
        <f t="shared" si="45"/>
        <v>2121.2800000000002</v>
      </c>
      <c r="I296" s="1518"/>
      <c r="J296" s="1518">
        <f t="shared" si="46"/>
        <v>2121.2800000000002</v>
      </c>
      <c r="K296" s="1518"/>
      <c r="L296" s="1519"/>
      <c r="M296" s="1519"/>
      <c r="N296" s="1523"/>
    </row>
    <row r="297" spans="2:14">
      <c r="B297" s="1527" t="s">
        <v>6700</v>
      </c>
      <c r="C297" s="1521" t="s">
        <v>281</v>
      </c>
      <c r="D297" s="1518">
        <v>11356.8</v>
      </c>
      <c r="E297" s="1518"/>
      <c r="F297" s="1518"/>
      <c r="G297" s="1518">
        <f t="shared" si="44"/>
        <v>11356.8</v>
      </c>
      <c r="H297" s="1518">
        <f t="shared" si="45"/>
        <v>11356.8</v>
      </c>
      <c r="I297" s="1518"/>
      <c r="J297" s="1518">
        <f t="shared" si="46"/>
        <v>11356.8</v>
      </c>
      <c r="K297" s="1518"/>
      <c r="L297" s="1519"/>
      <c r="M297" s="1519"/>
      <c r="N297" s="1523"/>
    </row>
    <row r="298" spans="2:14">
      <c r="B298" s="1527" t="s">
        <v>6770</v>
      </c>
      <c r="C298" s="2006" t="s">
        <v>505</v>
      </c>
      <c r="D298" s="1518">
        <v>2352</v>
      </c>
      <c r="E298" s="1518"/>
      <c r="F298" s="1518"/>
      <c r="G298" s="1518">
        <f t="shared" si="44"/>
        <v>2352</v>
      </c>
      <c r="H298" s="1518">
        <f t="shared" si="45"/>
        <v>2352</v>
      </c>
      <c r="I298" s="1518"/>
      <c r="J298" s="1518">
        <f t="shared" si="46"/>
        <v>2352</v>
      </c>
      <c r="K298" s="1518"/>
      <c r="L298" s="1519"/>
      <c r="M298" s="1519"/>
      <c r="N298" s="1523"/>
    </row>
    <row r="299" spans="2:14">
      <c r="B299" s="1527" t="s">
        <v>6646</v>
      </c>
      <c r="C299" s="1524" t="s">
        <v>4343</v>
      </c>
      <c r="D299" s="1518">
        <v>0</v>
      </c>
      <c r="E299" s="1518"/>
      <c r="F299" s="1518"/>
      <c r="G299" s="1518">
        <f t="shared" si="44"/>
        <v>0</v>
      </c>
      <c r="H299" s="1518">
        <f t="shared" si="45"/>
        <v>0</v>
      </c>
      <c r="I299" s="1518"/>
      <c r="J299" s="1518">
        <f t="shared" si="46"/>
        <v>0</v>
      </c>
      <c r="K299" s="1518"/>
      <c r="L299" s="1519"/>
      <c r="M299" s="1519"/>
      <c r="N299" s="1523"/>
    </row>
    <row r="300" spans="2:14">
      <c r="B300" s="1527" t="s">
        <v>6624</v>
      </c>
      <c r="C300" s="1524" t="s">
        <v>2507</v>
      </c>
      <c r="D300" s="1518">
        <v>25000</v>
      </c>
      <c r="E300" s="1518"/>
      <c r="F300" s="1518"/>
      <c r="G300" s="1518">
        <f t="shared" si="44"/>
        <v>25000</v>
      </c>
      <c r="H300" s="1518">
        <f t="shared" si="45"/>
        <v>25000</v>
      </c>
      <c r="I300" s="1518"/>
      <c r="J300" s="1518">
        <f t="shared" si="46"/>
        <v>25000</v>
      </c>
      <c r="K300" s="1518"/>
      <c r="L300" s="1519"/>
      <c r="M300" s="1519"/>
      <c r="N300" s="1523"/>
    </row>
    <row r="301" spans="2:14">
      <c r="B301" s="1527" t="s">
        <v>5021</v>
      </c>
      <c r="C301" s="1524" t="s">
        <v>5015</v>
      </c>
      <c r="D301" s="1518"/>
      <c r="E301" s="1518"/>
      <c r="F301" s="1518"/>
      <c r="G301" s="1518">
        <f t="shared" si="44"/>
        <v>0</v>
      </c>
      <c r="H301" s="1518">
        <f t="shared" si="45"/>
        <v>0</v>
      </c>
      <c r="I301" s="1518"/>
      <c r="J301" s="1518">
        <f t="shared" si="46"/>
        <v>0</v>
      </c>
      <c r="K301" s="1518"/>
      <c r="L301" s="1519"/>
      <c r="M301" s="1519"/>
      <c r="N301" s="1523"/>
    </row>
    <row r="302" spans="2:14">
      <c r="B302" s="1527" t="s">
        <v>6626</v>
      </c>
      <c r="C302" s="1524" t="s">
        <v>1360</v>
      </c>
      <c r="D302" s="1518">
        <v>17920</v>
      </c>
      <c r="E302" s="1518"/>
      <c r="F302" s="1518"/>
      <c r="G302" s="1518">
        <f t="shared" si="44"/>
        <v>17920</v>
      </c>
      <c r="H302" s="1518">
        <f t="shared" si="45"/>
        <v>17920</v>
      </c>
      <c r="I302" s="1518"/>
      <c r="J302" s="1518">
        <f t="shared" si="46"/>
        <v>17920</v>
      </c>
      <c r="K302" s="1518"/>
      <c r="L302" s="1519"/>
      <c r="M302" s="1519"/>
      <c r="N302" s="1523"/>
    </row>
    <row r="303" spans="2:14">
      <c r="B303" s="1527" t="s">
        <v>6648</v>
      </c>
      <c r="C303" s="1524" t="s">
        <v>2398</v>
      </c>
      <c r="D303" s="1518">
        <v>10000</v>
      </c>
      <c r="E303" s="1518"/>
      <c r="F303" s="1518"/>
      <c r="G303" s="1518">
        <f t="shared" si="44"/>
        <v>10000</v>
      </c>
      <c r="H303" s="1518">
        <f t="shared" si="45"/>
        <v>10000</v>
      </c>
      <c r="I303" s="1518"/>
      <c r="J303" s="1518">
        <f t="shared" si="46"/>
        <v>10000</v>
      </c>
      <c r="K303" s="1518"/>
      <c r="L303" s="1519"/>
      <c r="M303" s="1519"/>
      <c r="N303" s="1523"/>
    </row>
    <row r="304" spans="2:14">
      <c r="B304" s="1526" t="s">
        <v>6829</v>
      </c>
      <c r="C304" s="1524" t="s">
        <v>33</v>
      </c>
      <c r="D304" s="1518">
        <v>1648.86</v>
      </c>
      <c r="E304" s="1518"/>
      <c r="F304" s="1518"/>
      <c r="G304" s="1518">
        <f t="shared" si="44"/>
        <v>1648.86</v>
      </c>
      <c r="H304" s="1518">
        <f t="shared" si="45"/>
        <v>1648.86</v>
      </c>
      <c r="I304" s="1518">
        <f>+G304</f>
        <v>1648.86</v>
      </c>
      <c r="J304" s="1518"/>
      <c r="K304" s="1518"/>
      <c r="L304" s="1519"/>
      <c r="M304" s="1519"/>
      <c r="N304" s="1523"/>
    </row>
    <row r="305" spans="2:14">
      <c r="B305" s="1527" t="s">
        <v>6650</v>
      </c>
      <c r="C305" s="1524" t="s">
        <v>148</v>
      </c>
      <c r="D305" s="1518">
        <v>3584</v>
      </c>
      <c r="E305" s="1518"/>
      <c r="F305" s="1518"/>
      <c r="G305" s="1518">
        <f t="shared" si="44"/>
        <v>3584</v>
      </c>
      <c r="H305" s="1518">
        <f t="shared" si="45"/>
        <v>3584</v>
      </c>
      <c r="I305" s="1518"/>
      <c r="J305" s="1518">
        <f>+G305</f>
        <v>3584</v>
      </c>
      <c r="K305" s="1518"/>
      <c r="L305" s="1519"/>
      <c r="M305" s="1519"/>
      <c r="N305" s="1523"/>
    </row>
    <row r="306" spans="2:14">
      <c r="B306" s="1527" t="s">
        <v>6651</v>
      </c>
      <c r="C306" s="1571" t="s">
        <v>6712</v>
      </c>
      <c r="D306" s="1518">
        <v>1120</v>
      </c>
      <c r="E306" s="1518"/>
      <c r="F306" s="1518"/>
      <c r="G306" s="1518">
        <f t="shared" si="44"/>
        <v>1120</v>
      </c>
      <c r="H306" s="1518">
        <f t="shared" si="45"/>
        <v>1120</v>
      </c>
      <c r="I306" s="1518"/>
      <c r="J306" s="1518">
        <f>+G306</f>
        <v>1120</v>
      </c>
      <c r="K306" s="1518"/>
      <c r="L306" s="1519"/>
      <c r="M306" s="1519"/>
      <c r="N306" s="1523"/>
    </row>
    <row r="307" spans="2:14">
      <c r="B307" s="1527" t="s">
        <v>6713</v>
      </c>
      <c r="C307" s="1524" t="s">
        <v>2003</v>
      </c>
      <c r="D307" s="1518">
        <v>396.4</v>
      </c>
      <c r="E307" s="1518"/>
      <c r="F307" s="1518"/>
      <c r="G307" s="1518">
        <f t="shared" si="44"/>
        <v>396.4</v>
      </c>
      <c r="H307" s="1518">
        <f t="shared" si="45"/>
        <v>396.4</v>
      </c>
      <c r="I307" s="1518"/>
      <c r="J307" s="1518">
        <f>+G307</f>
        <v>396.4</v>
      </c>
      <c r="K307" s="1518"/>
      <c r="L307" s="1519"/>
      <c r="M307" s="1519"/>
      <c r="N307" s="1523"/>
    </row>
    <row r="308" spans="2:14">
      <c r="B308" s="1527" t="s">
        <v>6654</v>
      </c>
      <c r="C308" s="1524" t="s">
        <v>3817</v>
      </c>
      <c r="D308" s="1518">
        <v>0</v>
      </c>
      <c r="E308" s="1518"/>
      <c r="F308" s="1518"/>
      <c r="G308" s="1518">
        <f t="shared" si="44"/>
        <v>0</v>
      </c>
      <c r="H308" s="1518">
        <f t="shared" si="45"/>
        <v>0</v>
      </c>
      <c r="I308" s="1518"/>
      <c r="J308" s="1518">
        <f>+G308</f>
        <v>0</v>
      </c>
      <c r="K308" s="1518"/>
      <c r="L308" s="1519"/>
      <c r="M308" s="1519"/>
      <c r="N308" s="1523"/>
    </row>
    <row r="309" spans="2:14">
      <c r="B309" s="1527" t="s">
        <v>6754</v>
      </c>
      <c r="C309" s="1571" t="s">
        <v>1006</v>
      </c>
      <c r="D309" s="1518">
        <v>1372.64</v>
      </c>
      <c r="E309" s="1518"/>
      <c r="F309" s="1518"/>
      <c r="G309" s="1518">
        <f t="shared" si="44"/>
        <v>1372.64</v>
      </c>
      <c r="H309" s="1518">
        <f t="shared" si="45"/>
        <v>1372.64</v>
      </c>
      <c r="I309" s="1518"/>
      <c r="J309" s="1518">
        <f t="shared" ref="J309:J318" si="47">+G309</f>
        <v>1372.64</v>
      </c>
      <c r="K309" s="1518"/>
      <c r="L309" s="1519"/>
      <c r="M309" s="1519"/>
      <c r="N309" s="1523"/>
    </row>
    <row r="310" spans="2:14">
      <c r="B310" s="1527" t="s">
        <v>6656</v>
      </c>
      <c r="C310" s="1571" t="s">
        <v>4321</v>
      </c>
      <c r="D310" s="1518">
        <v>0</v>
      </c>
      <c r="E310" s="1532"/>
      <c r="F310" s="1518"/>
      <c r="G310" s="1518">
        <f t="shared" si="44"/>
        <v>0</v>
      </c>
      <c r="H310" s="1518">
        <f t="shared" si="45"/>
        <v>0</v>
      </c>
      <c r="I310" s="1518"/>
      <c r="J310" s="1532">
        <f t="shared" si="47"/>
        <v>0</v>
      </c>
      <c r="K310" s="1532"/>
      <c r="L310" s="1519"/>
      <c r="M310" s="1519"/>
      <c r="N310" s="1523"/>
    </row>
    <row r="311" spans="2:14">
      <c r="B311" s="1527" t="s">
        <v>6657</v>
      </c>
      <c r="C311" s="1571" t="s">
        <v>1089</v>
      </c>
      <c r="D311" s="1518">
        <v>1344</v>
      </c>
      <c r="E311" s="1532"/>
      <c r="F311" s="1518"/>
      <c r="G311" s="1518">
        <f t="shared" si="44"/>
        <v>1344</v>
      </c>
      <c r="H311" s="1518">
        <f t="shared" si="45"/>
        <v>1344</v>
      </c>
      <c r="I311" s="1518"/>
      <c r="J311" s="1532">
        <f t="shared" si="47"/>
        <v>1344</v>
      </c>
      <c r="K311" s="1532"/>
      <c r="L311" s="1519"/>
      <c r="M311" s="1519"/>
      <c r="N311" s="1523"/>
    </row>
    <row r="312" spans="2:14">
      <c r="B312" s="1527" t="s">
        <v>6830</v>
      </c>
      <c r="C312" s="2007" t="s">
        <v>4141</v>
      </c>
      <c r="D312" s="1518">
        <v>162.4</v>
      </c>
      <c r="E312" s="1518"/>
      <c r="F312" s="1518"/>
      <c r="G312" s="1518">
        <f t="shared" si="44"/>
        <v>162.4</v>
      </c>
      <c r="H312" s="1518">
        <f t="shared" si="45"/>
        <v>162.4</v>
      </c>
      <c r="I312" s="1518"/>
      <c r="J312" s="1532">
        <f t="shared" si="47"/>
        <v>162.4</v>
      </c>
      <c r="K312" s="1532"/>
      <c r="L312" s="1519"/>
      <c r="M312" s="1519"/>
      <c r="N312" s="1523"/>
    </row>
    <row r="313" spans="2:14">
      <c r="B313" s="1527" t="s">
        <v>6809</v>
      </c>
      <c r="C313" s="2007" t="s">
        <v>6831</v>
      </c>
      <c r="D313" s="1518">
        <v>619.36</v>
      </c>
      <c r="E313" s="1518"/>
      <c r="F313" s="1518"/>
      <c r="G313" s="1518">
        <f t="shared" si="44"/>
        <v>619.36</v>
      </c>
      <c r="H313" s="1518">
        <f t="shared" si="45"/>
        <v>619.36</v>
      </c>
      <c r="I313" s="1518"/>
      <c r="J313" s="1532">
        <f>+G313</f>
        <v>619.36</v>
      </c>
      <c r="K313" s="1532"/>
      <c r="L313" s="1519"/>
      <c r="M313" s="1519"/>
      <c r="N313" s="1523"/>
    </row>
    <row r="314" spans="2:14">
      <c r="B314" s="1527" t="s">
        <v>5260</v>
      </c>
      <c r="C314" s="2007" t="s">
        <v>3341</v>
      </c>
      <c r="D314" s="1518">
        <v>5600</v>
      </c>
      <c r="E314" s="1518"/>
      <c r="F314" s="1518"/>
      <c r="G314" s="1518">
        <f t="shared" si="44"/>
        <v>5600</v>
      </c>
      <c r="H314" s="1518">
        <f t="shared" si="45"/>
        <v>5600</v>
      </c>
      <c r="I314" s="1518"/>
      <c r="J314" s="1532">
        <f>+G314</f>
        <v>5600</v>
      </c>
      <c r="K314" s="1532"/>
      <c r="L314" s="1519"/>
      <c r="M314" s="1519"/>
      <c r="N314" s="1523"/>
    </row>
    <row r="315" spans="2:14">
      <c r="B315" s="1527" t="s">
        <v>6659</v>
      </c>
      <c r="C315" s="1571" t="s">
        <v>671</v>
      </c>
      <c r="D315" s="1518">
        <v>993.18</v>
      </c>
      <c r="E315" s="1532"/>
      <c r="F315" s="1518"/>
      <c r="G315" s="1518">
        <f t="shared" si="44"/>
        <v>993.18</v>
      </c>
      <c r="H315" s="1518">
        <f t="shared" si="45"/>
        <v>993.18</v>
      </c>
      <c r="I315" s="1518"/>
      <c r="J315" s="1532">
        <f t="shared" si="47"/>
        <v>993.18</v>
      </c>
      <c r="K315" s="1532"/>
      <c r="L315" s="1519"/>
      <c r="M315" s="1519"/>
      <c r="N315" s="1523"/>
    </row>
    <row r="316" spans="2:14">
      <c r="B316" s="1527" t="s">
        <v>6660</v>
      </c>
      <c r="C316" s="1571" t="s">
        <v>39</v>
      </c>
      <c r="D316" s="1518">
        <v>15879.05</v>
      </c>
      <c r="E316" s="1532"/>
      <c r="F316" s="1518"/>
      <c r="G316" s="1518">
        <f t="shared" si="44"/>
        <v>15879.05</v>
      </c>
      <c r="H316" s="1518">
        <f t="shared" si="45"/>
        <v>15879.05</v>
      </c>
      <c r="I316" s="1518"/>
      <c r="J316" s="1532">
        <f t="shared" si="47"/>
        <v>15879.05</v>
      </c>
      <c r="K316" s="1532"/>
      <c r="L316" s="1519"/>
      <c r="M316" s="1519"/>
      <c r="N316" s="1523"/>
    </row>
    <row r="317" spans="2:14">
      <c r="B317" s="1526" t="s">
        <v>4835</v>
      </c>
      <c r="C317" s="1571" t="s">
        <v>40</v>
      </c>
      <c r="D317" s="1518">
        <v>56.95</v>
      </c>
      <c r="E317" s="1532"/>
      <c r="F317" s="1518"/>
      <c r="G317" s="1518">
        <f t="shared" si="44"/>
        <v>56.95</v>
      </c>
      <c r="H317" s="1518">
        <f t="shared" si="45"/>
        <v>56.95</v>
      </c>
      <c r="I317" s="1518">
        <f>+G317</f>
        <v>56.95</v>
      </c>
      <c r="J317" s="1532"/>
      <c r="K317" s="1532"/>
      <c r="L317" s="1519"/>
      <c r="M317" s="1519"/>
      <c r="N317" s="1523"/>
    </row>
    <row r="318" spans="2:14">
      <c r="B318" s="1527" t="s">
        <v>6661</v>
      </c>
      <c r="C318" s="1571" t="s">
        <v>40</v>
      </c>
      <c r="D318" s="1518">
        <v>1037.1400000000001</v>
      </c>
      <c r="E318" s="1532"/>
      <c r="F318" s="1518"/>
      <c r="G318" s="1518">
        <f t="shared" si="44"/>
        <v>1037.1400000000001</v>
      </c>
      <c r="H318" s="1518">
        <f t="shared" si="45"/>
        <v>1037.1400000000001</v>
      </c>
      <c r="I318" s="1518"/>
      <c r="J318" s="1532">
        <f t="shared" si="47"/>
        <v>1037.1400000000001</v>
      </c>
      <c r="K318" s="1532"/>
      <c r="L318" s="1519"/>
      <c r="M318" s="1519"/>
      <c r="N318" s="1523"/>
    </row>
    <row r="319" spans="2:14">
      <c r="B319" s="1493" t="s">
        <v>6662</v>
      </c>
      <c r="C319" s="1571" t="s">
        <v>40</v>
      </c>
      <c r="D319" s="1518">
        <v>171.51</v>
      </c>
      <c r="E319" s="1532"/>
      <c r="F319" s="1518"/>
      <c r="G319" s="1518">
        <f t="shared" si="44"/>
        <v>171.51</v>
      </c>
      <c r="H319" s="1518">
        <f t="shared" si="45"/>
        <v>171.51</v>
      </c>
      <c r="I319" s="1518"/>
      <c r="J319" s="1532"/>
      <c r="K319" s="1532">
        <f t="shared" ref="K319:K324" si="48">+G319</f>
        <v>171.51</v>
      </c>
      <c r="L319" s="1519"/>
      <c r="M319" s="1519"/>
      <c r="N319" s="1523"/>
    </row>
    <row r="320" spans="2:14">
      <c r="B320" s="1493" t="s">
        <v>6576</v>
      </c>
      <c r="C320" s="1571" t="s">
        <v>680</v>
      </c>
      <c r="D320" s="1518">
        <v>1120</v>
      </c>
      <c r="E320" s="1532"/>
      <c r="F320" s="1518"/>
      <c r="G320" s="1518">
        <f t="shared" si="44"/>
        <v>1120</v>
      </c>
      <c r="H320" s="1518">
        <f t="shared" si="45"/>
        <v>1120</v>
      </c>
      <c r="I320" s="1518"/>
      <c r="J320" s="1532"/>
      <c r="K320" s="1532">
        <f t="shared" si="48"/>
        <v>1120</v>
      </c>
      <c r="L320" s="1519"/>
      <c r="M320" s="1519"/>
      <c r="N320" s="1523"/>
    </row>
    <row r="321" spans="1:14">
      <c r="B321" s="1493" t="s">
        <v>5694</v>
      </c>
      <c r="C321" s="1571" t="s">
        <v>671</v>
      </c>
      <c r="D321" s="1518">
        <v>19847.71</v>
      </c>
      <c r="E321" s="1532"/>
      <c r="F321" s="1518"/>
      <c r="G321" s="1518">
        <f t="shared" si="44"/>
        <v>19847.71</v>
      </c>
      <c r="H321" s="1518">
        <f t="shared" si="45"/>
        <v>19847.71</v>
      </c>
      <c r="I321" s="1518"/>
      <c r="J321" s="1532"/>
      <c r="K321" s="1532">
        <f t="shared" si="48"/>
        <v>19847.71</v>
      </c>
      <c r="L321" s="1519"/>
      <c r="M321" s="1519"/>
      <c r="N321" s="1523"/>
    </row>
    <row r="322" spans="1:14">
      <c r="B322" s="1493" t="s">
        <v>5283</v>
      </c>
      <c r="C322" s="1524" t="s">
        <v>39</v>
      </c>
      <c r="D322" s="1518">
        <v>35910.97</v>
      </c>
      <c r="E322" s="1532"/>
      <c r="F322" s="1518"/>
      <c r="G322" s="1518">
        <f t="shared" si="44"/>
        <v>35910.97</v>
      </c>
      <c r="H322" s="1518">
        <f t="shared" si="45"/>
        <v>35910.97</v>
      </c>
      <c r="I322" s="1518"/>
      <c r="J322" s="1532"/>
      <c r="K322" s="1532">
        <f t="shared" si="48"/>
        <v>35910.97</v>
      </c>
      <c r="L322" s="1519"/>
      <c r="M322" s="1518"/>
      <c r="N322" s="1523"/>
    </row>
    <row r="323" spans="1:14">
      <c r="B323" s="1493" t="s">
        <v>4825</v>
      </c>
      <c r="C323" s="2005" t="s">
        <v>40</v>
      </c>
      <c r="D323" s="1518">
        <v>21782.91</v>
      </c>
      <c r="E323" s="1518"/>
      <c r="F323" s="1518"/>
      <c r="G323" s="1518">
        <f t="shared" si="44"/>
        <v>21782.91</v>
      </c>
      <c r="H323" s="1518">
        <f t="shared" si="45"/>
        <v>21782.91</v>
      </c>
      <c r="I323" s="1518"/>
      <c r="J323" s="1518"/>
      <c r="K323" s="1518">
        <f t="shared" si="48"/>
        <v>21782.91</v>
      </c>
      <c r="L323" s="1519"/>
      <c r="M323" s="1519"/>
      <c r="N323" s="1523"/>
    </row>
    <row r="324" spans="1:14" s="1476" customFormat="1">
      <c r="A324" s="1477"/>
      <c r="B324" s="1493" t="s">
        <v>6586</v>
      </c>
      <c r="C324" s="2007" t="s">
        <v>5430</v>
      </c>
      <c r="D324" s="1518">
        <v>1994.23</v>
      </c>
      <c r="E324" s="1518"/>
      <c r="F324" s="1518"/>
      <c r="G324" s="1518">
        <f t="shared" si="44"/>
        <v>1994.23</v>
      </c>
      <c r="H324" s="1518">
        <f t="shared" si="45"/>
        <v>1994.23</v>
      </c>
      <c r="I324" s="1518"/>
      <c r="J324" s="1518"/>
      <c r="K324" s="1518">
        <f t="shared" si="48"/>
        <v>1994.23</v>
      </c>
      <c r="L324" s="1519"/>
      <c r="M324" s="1519"/>
      <c r="N324" s="1523"/>
    </row>
    <row r="325" spans="1:14" s="1476" customFormat="1">
      <c r="A325" s="1477"/>
      <c r="B325" s="1549"/>
      <c r="C325" s="1572" t="s">
        <v>6832</v>
      </c>
      <c r="D325" s="1537">
        <f t="shared" ref="D325:M325" si="49">SUM(D292:D324)</f>
        <v>221334.30000000002</v>
      </c>
      <c r="E325" s="1537">
        <f t="shared" si="49"/>
        <v>0</v>
      </c>
      <c r="F325" s="1537">
        <f t="shared" si="49"/>
        <v>0</v>
      </c>
      <c r="G325" s="1537">
        <f t="shared" si="49"/>
        <v>221334.30000000002</v>
      </c>
      <c r="H325" s="1537">
        <f t="shared" si="49"/>
        <v>221334.30000000002</v>
      </c>
      <c r="I325" s="1537">
        <f t="shared" si="49"/>
        <v>1705.81</v>
      </c>
      <c r="J325" s="1537">
        <f t="shared" si="49"/>
        <v>138801.16</v>
      </c>
      <c r="K325" s="1537">
        <f t="shared" si="49"/>
        <v>80827.33</v>
      </c>
      <c r="L325" s="1537">
        <f t="shared" si="49"/>
        <v>0</v>
      </c>
      <c r="M325" s="1537">
        <f t="shared" si="49"/>
        <v>0</v>
      </c>
    </row>
    <row r="326" spans="1:14" s="1476" customFormat="1">
      <c r="A326" s="1477"/>
      <c r="B326" s="1573"/>
      <c r="C326" s="1536" t="s">
        <v>6833</v>
      </c>
      <c r="D326" s="1525">
        <f t="shared" ref="D326:M326" si="50">+D127+D145+D210+D287+D325</f>
        <v>37041863.959999986</v>
      </c>
      <c r="E326" s="1525">
        <f t="shared" si="50"/>
        <v>0</v>
      </c>
      <c r="F326" s="1525">
        <f t="shared" si="50"/>
        <v>0</v>
      </c>
      <c r="G326" s="1525">
        <f t="shared" si="50"/>
        <v>37041863.959999986</v>
      </c>
      <c r="H326" s="1525">
        <f t="shared" si="50"/>
        <v>37041863.959999986</v>
      </c>
      <c r="I326" s="1525">
        <f t="shared" si="50"/>
        <v>6943147.2800000003</v>
      </c>
      <c r="J326" s="1525">
        <f t="shared" si="50"/>
        <v>770169</v>
      </c>
      <c r="K326" s="1525">
        <f t="shared" si="50"/>
        <v>28382726.439999983</v>
      </c>
      <c r="L326" s="1525">
        <f t="shared" si="50"/>
        <v>856577.7</v>
      </c>
      <c r="M326" s="1525">
        <f t="shared" si="50"/>
        <v>89243.540000000008</v>
      </c>
    </row>
    <row r="327" spans="1:14" s="1476" customFormat="1">
      <c r="A327" s="1477"/>
      <c r="B327" s="1477"/>
      <c r="C327" s="1574"/>
      <c r="D327" s="1575"/>
      <c r="E327" s="1575"/>
      <c r="F327" s="1575"/>
      <c r="G327" s="1575"/>
      <c r="H327" s="1575"/>
      <c r="I327" s="1575"/>
      <c r="J327" s="1575"/>
      <c r="K327" s="1575"/>
      <c r="L327" s="1477"/>
      <c r="M327" s="1477"/>
    </row>
    <row r="328" spans="1:14" s="1476" customFormat="1">
      <c r="A328" s="1477"/>
      <c r="B328" s="1576"/>
      <c r="C328" s="1576"/>
      <c r="D328" s="1577">
        <f>+D15-D326</f>
        <v>0</v>
      </c>
      <c r="E328" s="1577"/>
      <c r="F328" s="1577">
        <f>+E326-F326</f>
        <v>0</v>
      </c>
      <c r="G328" s="1577"/>
      <c r="H328" s="1577">
        <f>+G326-H326</f>
        <v>0</v>
      </c>
      <c r="I328" s="1578">
        <f>+E15-I326</f>
        <v>0</v>
      </c>
      <c r="J328" s="1578">
        <f>+F15-J326</f>
        <v>0</v>
      </c>
      <c r="K328" s="1578">
        <f>+G15-K326</f>
        <v>0</v>
      </c>
      <c r="L328" s="1578">
        <f>+H15-L326</f>
        <v>0</v>
      </c>
      <c r="M328" s="1578">
        <f>+I15-M326</f>
        <v>0</v>
      </c>
    </row>
    <row r="329" spans="1:14" s="1476" customFormat="1">
      <c r="A329" s="1477"/>
      <c r="B329" s="1576"/>
      <c r="C329" s="1576"/>
      <c r="D329" s="1577"/>
      <c r="E329" s="1577"/>
      <c r="F329" s="1577"/>
      <c r="G329" s="1577"/>
      <c r="H329" s="1577"/>
      <c r="I329" s="1579"/>
      <c r="J329" s="1579"/>
      <c r="K329" s="1579"/>
      <c r="L329" s="1579"/>
      <c r="M329" s="1579"/>
    </row>
    <row r="330" spans="1:14" s="1476" customFormat="1">
      <c r="A330" s="1477"/>
      <c r="B330" s="1576"/>
      <c r="C330" s="1576"/>
      <c r="D330" s="1580">
        <f>+D15*0.06</f>
        <v>2222511.8376000002</v>
      </c>
      <c r="E330" s="1577" t="s">
        <v>6834</v>
      </c>
      <c r="F330" s="1576"/>
      <c r="G330" s="1580"/>
      <c r="H330" s="1581"/>
      <c r="I330" s="1582"/>
      <c r="J330" s="1582"/>
      <c r="L330" s="1477"/>
      <c r="M330" s="1477"/>
    </row>
    <row r="331" spans="1:14" s="1476" customFormat="1">
      <c r="A331" s="1477"/>
      <c r="B331" s="1576" t="s">
        <v>6835</v>
      </c>
      <c r="C331" s="1577"/>
      <c r="F331" s="1576"/>
      <c r="G331" s="1576"/>
      <c r="H331" s="1581"/>
      <c r="I331" s="1582"/>
      <c r="J331" s="1583"/>
    </row>
    <row r="332" spans="1:14">
      <c r="B332" s="1576" t="s">
        <v>6836</v>
      </c>
      <c r="C332" s="1580"/>
      <c r="D332" s="1580"/>
      <c r="E332" s="1576"/>
      <c r="F332" s="1576"/>
      <c r="G332" s="1576"/>
      <c r="H332" s="1476"/>
      <c r="I332" s="1582"/>
      <c r="J332" s="1582"/>
      <c r="L332" s="1476"/>
      <c r="M332" s="1584" t="s">
        <v>6837</v>
      </c>
    </row>
    <row r="333" spans="1:14">
      <c r="B333" s="1576"/>
      <c r="C333" s="1580"/>
      <c r="D333" s="1580"/>
      <c r="E333" s="1576"/>
      <c r="F333" s="1576"/>
      <c r="G333" s="1576"/>
      <c r="H333" s="1476"/>
      <c r="I333" s="1582"/>
      <c r="J333" s="1582"/>
      <c r="L333" s="1476"/>
      <c r="M333" s="1584"/>
    </row>
    <row r="334" spans="1:14">
      <c r="B334" s="1576"/>
      <c r="C334" s="1580"/>
      <c r="D334" s="1580"/>
      <c r="E334" s="1576"/>
      <c r="F334" s="1576"/>
      <c r="G334" s="1576"/>
      <c r="H334" s="1476"/>
      <c r="I334" s="1582"/>
      <c r="J334" s="1582"/>
      <c r="L334" s="1476"/>
      <c r="M334" s="1584"/>
    </row>
    <row r="335" spans="1:14">
      <c r="B335" s="11383" t="s">
        <v>6932</v>
      </c>
      <c r="C335" s="11383"/>
      <c r="D335" s="2008" t="s">
        <v>6933</v>
      </c>
      <c r="E335" s="1576"/>
      <c r="F335" s="1576"/>
      <c r="G335" s="1576"/>
      <c r="H335" s="1476"/>
      <c r="I335" s="1582"/>
      <c r="J335" s="1582"/>
      <c r="L335" s="1476"/>
      <c r="M335" s="1584"/>
    </row>
    <row r="336" spans="1:14">
      <c r="B336" s="1509" t="s">
        <v>7</v>
      </c>
      <c r="C336" s="1509" t="s">
        <v>6505</v>
      </c>
      <c r="D336" s="1510" t="s">
        <v>6678</v>
      </c>
      <c r="E336" s="1576"/>
      <c r="F336" s="1576"/>
      <c r="G336" s="1576"/>
      <c r="H336" s="1476"/>
      <c r="I336" s="1582"/>
      <c r="J336" s="1582"/>
      <c r="L336" s="1476"/>
      <c r="M336" s="1584"/>
    </row>
    <row r="337" spans="2:13">
      <c r="B337" s="1526" t="s">
        <v>6934</v>
      </c>
      <c r="C337" s="1524" t="s">
        <v>6935</v>
      </c>
      <c r="D337" s="1518">
        <v>29425.200000000001</v>
      </c>
      <c r="E337" s="1576"/>
      <c r="F337" s="1576"/>
      <c r="G337" s="1576"/>
      <c r="H337" s="1476"/>
      <c r="I337" s="1582"/>
      <c r="J337" s="1582"/>
      <c r="L337" s="1476"/>
      <c r="M337" s="1584"/>
    </row>
    <row r="338" spans="2:13">
      <c r="B338" s="1526" t="s">
        <v>6936</v>
      </c>
      <c r="C338" s="1524" t="s">
        <v>6937</v>
      </c>
      <c r="D338" s="1518">
        <f>41623.28+14362.05</f>
        <v>55985.33</v>
      </c>
      <c r="E338" s="1576"/>
      <c r="F338" s="1576"/>
      <c r="G338" s="1576"/>
      <c r="H338" s="1476"/>
      <c r="I338" s="1582"/>
      <c r="J338" s="1582"/>
      <c r="L338" s="1476"/>
      <c r="M338" s="1584"/>
    </row>
    <row r="339" spans="2:13">
      <c r="B339" s="1527" t="s">
        <v>6938</v>
      </c>
      <c r="C339" s="1524" t="s">
        <v>6939</v>
      </c>
      <c r="D339" s="1518">
        <v>163689.51</v>
      </c>
      <c r="E339" s="1576"/>
      <c r="F339" s="1576"/>
      <c r="G339" s="1576"/>
      <c r="H339" s="1476"/>
      <c r="I339" s="1582"/>
      <c r="J339" s="1582"/>
      <c r="L339" s="1476"/>
      <c r="M339" s="1584"/>
    </row>
    <row r="340" spans="2:13">
      <c r="B340" s="2009" t="s">
        <v>6940</v>
      </c>
      <c r="C340" s="1524" t="s">
        <v>6941</v>
      </c>
      <c r="D340" s="1532">
        <v>4740</v>
      </c>
      <c r="E340" s="1576"/>
      <c r="F340" s="1576"/>
      <c r="G340" s="1576"/>
      <c r="H340" s="1476"/>
      <c r="I340" s="1582"/>
      <c r="J340" s="1582"/>
      <c r="L340" s="1476"/>
      <c r="M340" s="1584"/>
    </row>
    <row r="341" spans="2:13">
      <c r="B341" s="1531" t="s">
        <v>6942</v>
      </c>
      <c r="C341" s="1524" t="s">
        <v>6943</v>
      </c>
      <c r="D341" s="1532">
        <v>571587.69999999995</v>
      </c>
      <c r="E341" s="1576"/>
      <c r="F341" s="1576"/>
      <c r="G341" s="1576"/>
      <c r="H341" s="1476"/>
      <c r="I341" s="1582"/>
      <c r="J341" s="1582"/>
      <c r="L341" s="1476"/>
      <c r="M341" s="1584"/>
    </row>
    <row r="342" spans="2:13">
      <c r="B342" s="1589"/>
      <c r="C342" s="1574" t="s">
        <v>6847</v>
      </c>
      <c r="D342" s="1518">
        <f>SUM(D337:D341)</f>
        <v>825427.74</v>
      </c>
      <c r="E342" s="1576"/>
      <c r="F342" s="1576"/>
      <c r="G342" s="1576"/>
      <c r="H342" s="1476"/>
      <c r="I342" s="1582"/>
      <c r="J342" s="1582"/>
      <c r="L342" s="1476"/>
      <c r="M342" s="1584"/>
    </row>
    <row r="343" spans="2:13">
      <c r="B343" s="1476"/>
      <c r="C343" s="1576"/>
      <c r="D343" s="1580"/>
      <c r="E343" s="1585"/>
      <c r="F343" s="1577"/>
      <c r="G343" s="1576"/>
      <c r="H343" s="1581"/>
      <c r="I343" s="1582"/>
      <c r="J343" s="1582"/>
      <c r="L343" s="1476"/>
      <c r="M343" s="1476"/>
    </row>
    <row r="344" spans="2:13">
      <c r="B344" s="11383" t="s">
        <v>6944</v>
      </c>
      <c r="C344" s="11383"/>
      <c r="D344" s="2008" t="s">
        <v>6838</v>
      </c>
    </row>
    <row r="345" spans="2:13">
      <c r="B345" s="1509" t="s">
        <v>7</v>
      </c>
      <c r="C345" s="1509" t="s">
        <v>6505</v>
      </c>
      <c r="D345" s="1510" t="s">
        <v>6678</v>
      </c>
      <c r="H345" s="1476"/>
      <c r="K345" s="1477"/>
    </row>
    <row r="346" spans="2:13">
      <c r="B346" s="1527" t="s">
        <v>6945</v>
      </c>
      <c r="C346" s="1524" t="s">
        <v>3778</v>
      </c>
      <c r="D346" s="1529">
        <v>83286.39</v>
      </c>
      <c r="H346" s="1476"/>
      <c r="K346" s="1477"/>
    </row>
    <row r="347" spans="2:13">
      <c r="B347" s="1531" t="s">
        <v>6946</v>
      </c>
      <c r="C347" s="1524" t="s">
        <v>39</v>
      </c>
      <c r="D347" s="1529">
        <v>42311.18</v>
      </c>
      <c r="H347" s="1476"/>
      <c r="K347" s="1477"/>
    </row>
    <row r="348" spans="2:13">
      <c r="B348" s="1531" t="s">
        <v>6947</v>
      </c>
      <c r="C348" s="1524" t="s">
        <v>40</v>
      </c>
      <c r="D348" s="1529">
        <v>6088</v>
      </c>
      <c r="E348" s="1523"/>
      <c r="F348" s="1523"/>
      <c r="H348" s="1476"/>
      <c r="K348" s="1477"/>
    </row>
    <row r="349" spans="2:13">
      <c r="B349" s="1531" t="s">
        <v>6948</v>
      </c>
      <c r="C349" s="1524" t="s">
        <v>6949</v>
      </c>
      <c r="D349" s="1529">
        <v>50279.23</v>
      </c>
      <c r="H349" s="1476"/>
      <c r="K349" s="1477"/>
    </row>
    <row r="350" spans="2:13">
      <c r="B350" s="1526" t="s">
        <v>6950</v>
      </c>
      <c r="C350" s="1524" t="s">
        <v>281</v>
      </c>
      <c r="D350" s="1533">
        <v>6720</v>
      </c>
      <c r="E350" s="2010" t="s">
        <v>6951</v>
      </c>
      <c r="H350" s="1476"/>
      <c r="K350" s="1477"/>
    </row>
    <row r="351" spans="2:13">
      <c r="B351" s="1526" t="s">
        <v>6952</v>
      </c>
      <c r="C351" s="1524" t="s">
        <v>6953</v>
      </c>
      <c r="D351" s="1533">
        <v>9200</v>
      </c>
      <c r="E351" s="2010" t="s">
        <v>6951</v>
      </c>
      <c r="H351" s="1476"/>
      <c r="K351" s="1477"/>
    </row>
    <row r="352" spans="2:13">
      <c r="B352" s="2009" t="s">
        <v>6954</v>
      </c>
      <c r="C352" s="1524" t="s">
        <v>6746</v>
      </c>
      <c r="D352" s="1533">
        <v>4740</v>
      </c>
      <c r="H352" s="1476"/>
      <c r="K352" s="1477"/>
    </row>
    <row r="353" spans="2:11">
      <c r="B353" s="1531" t="s">
        <v>6955</v>
      </c>
      <c r="C353" s="1524" t="s">
        <v>281</v>
      </c>
      <c r="D353" s="1533">
        <v>33214.120000000003</v>
      </c>
      <c r="H353" s="1476"/>
      <c r="K353" s="1477"/>
    </row>
    <row r="354" spans="2:11">
      <c r="B354" s="1526" t="s">
        <v>6956</v>
      </c>
      <c r="C354" s="1524" t="s">
        <v>39</v>
      </c>
      <c r="D354" s="1529">
        <v>41623.279999999999</v>
      </c>
    </row>
    <row r="355" spans="2:11">
      <c r="B355" s="1531" t="s">
        <v>6957</v>
      </c>
      <c r="C355" s="1524" t="s">
        <v>39</v>
      </c>
      <c r="D355" s="1529">
        <v>71176.34</v>
      </c>
      <c r="E355" s="1523"/>
    </row>
    <row r="356" spans="2:11">
      <c r="B356" s="1526" t="s">
        <v>6958</v>
      </c>
      <c r="C356" s="1524" t="s">
        <v>281</v>
      </c>
      <c r="D356" s="1529">
        <f>14362.05+13505.2</f>
        <v>27867.25</v>
      </c>
      <c r="E356" s="2010">
        <v>13505.2</v>
      </c>
    </row>
    <row r="357" spans="2:11">
      <c r="B357" s="1527" t="s">
        <v>6959</v>
      </c>
      <c r="C357" s="1524" t="s">
        <v>281</v>
      </c>
      <c r="D357" s="1529">
        <v>40000</v>
      </c>
    </row>
    <row r="358" spans="2:11">
      <c r="B358" s="1527" t="s">
        <v>6960</v>
      </c>
      <c r="C358" s="1524" t="s">
        <v>39</v>
      </c>
      <c r="D358" s="1529">
        <v>18003.12</v>
      </c>
    </row>
    <row r="359" spans="2:11">
      <c r="B359" s="1531" t="s">
        <v>6961</v>
      </c>
      <c r="C359" s="1524" t="s">
        <v>2742</v>
      </c>
      <c r="D359" s="1529">
        <v>231043.11</v>
      </c>
    </row>
    <row r="360" spans="2:11">
      <c r="B360" s="1531" t="s">
        <v>6962</v>
      </c>
      <c r="C360" s="1524" t="s">
        <v>40</v>
      </c>
      <c r="D360" s="1529">
        <v>110690</v>
      </c>
      <c r="E360" s="1588"/>
      <c r="F360" s="1588"/>
    </row>
    <row r="361" spans="2:11">
      <c r="B361" s="1531" t="s">
        <v>6963</v>
      </c>
      <c r="C361" s="1524" t="s">
        <v>6819</v>
      </c>
      <c r="D361" s="1529">
        <v>26785.72</v>
      </c>
      <c r="E361" s="1588"/>
      <c r="F361" s="1588"/>
    </row>
    <row r="362" spans="2:11">
      <c r="B362" s="1527" t="s">
        <v>6964</v>
      </c>
      <c r="C362" s="1524" t="s">
        <v>6965</v>
      </c>
      <c r="D362" s="1518">
        <v>22400</v>
      </c>
    </row>
    <row r="363" spans="2:11">
      <c r="B363" s="1589"/>
      <c r="C363" s="1574" t="s">
        <v>6847</v>
      </c>
      <c r="D363" s="1518">
        <f>SUM(D346:D362)</f>
        <v>825427.74</v>
      </c>
    </row>
    <row r="364" spans="2:11">
      <c r="B364" s="1589"/>
      <c r="C364" s="1574"/>
      <c r="D364" s="1476"/>
    </row>
    <row r="365" spans="2:11">
      <c r="B365" s="1589"/>
      <c r="C365" s="1574"/>
      <c r="D365" s="1476"/>
    </row>
    <row r="366" spans="2:11">
      <c r="D366" s="11367" t="s">
        <v>6848</v>
      </c>
      <c r="E366" s="11367"/>
      <c r="F366" s="11367"/>
    </row>
    <row r="367" spans="2:11">
      <c r="D367" s="1590"/>
      <c r="E367" s="1590" t="s">
        <v>6678</v>
      </c>
      <c r="F367" s="1590" t="s">
        <v>6679</v>
      </c>
    </row>
    <row r="368" spans="2:11">
      <c r="D368" s="1591" t="s">
        <v>6849</v>
      </c>
      <c r="E368" s="1518">
        <f>+E110+E120+E277+E278+E282+E283</f>
        <v>0</v>
      </c>
      <c r="F368" s="1518">
        <f>+F202</f>
        <v>0</v>
      </c>
      <c r="G368" s="1518">
        <f>+E368-F368</f>
        <v>0</v>
      </c>
      <c r="H368" s="1523"/>
    </row>
    <row r="369" spans="1:14">
      <c r="D369" s="1591" t="s">
        <v>6850</v>
      </c>
      <c r="E369" s="1518">
        <f>+E114+E274+E279+E324</f>
        <v>0</v>
      </c>
      <c r="F369" s="1518">
        <v>0</v>
      </c>
      <c r="G369" s="1518">
        <f t="shared" ref="G369:G371" si="51">+E369-F369</f>
        <v>0</v>
      </c>
    </row>
    <row r="370" spans="1:14">
      <c r="D370" s="1591" t="s">
        <v>6851</v>
      </c>
      <c r="E370" s="1518">
        <f>+E112+E115+E122+E124+E201+E203+E205+E276+E280+E284+E286+E321+E322+E323</f>
        <v>0</v>
      </c>
      <c r="F370" s="1518">
        <f>+F203</f>
        <v>0</v>
      </c>
      <c r="G370" s="1518">
        <f t="shared" si="51"/>
        <v>0</v>
      </c>
    </row>
    <row r="371" spans="1:14">
      <c r="D371" s="1591" t="s">
        <v>6852</v>
      </c>
      <c r="E371" s="1518">
        <f>SUM(E368:E370)</f>
        <v>0</v>
      </c>
      <c r="F371" s="1518">
        <f>SUM(F368:F370)</f>
        <v>0</v>
      </c>
      <c r="G371" s="1518">
        <f t="shared" si="51"/>
        <v>0</v>
      </c>
    </row>
    <row r="373" spans="1:14">
      <c r="D373" s="1591" t="s">
        <v>6852</v>
      </c>
      <c r="E373" s="1518">
        <f>+E110+E112+E114+E115+E120+E122+E124+E201+E203+E205+E274+E276+E277+E278+E279+E280+E282+E283+E284+E286+E321+E322+E323+E324</f>
        <v>0</v>
      </c>
      <c r="F373" s="1518">
        <f>+F202+F203</f>
        <v>0</v>
      </c>
      <c r="G373" s="1523"/>
    </row>
    <row r="374" spans="1:14">
      <c r="E374" s="1523"/>
    </row>
    <row r="375" spans="1:14">
      <c r="B375" s="2011" t="s">
        <v>6966</v>
      </c>
      <c r="E375" s="1523"/>
    </row>
    <row r="376" spans="1:14" ht="25.5">
      <c r="B376" s="1509" t="s">
        <v>7</v>
      </c>
      <c r="C376" s="1509" t="s">
        <v>6505</v>
      </c>
      <c r="D376" s="1510" t="s">
        <v>6667</v>
      </c>
      <c r="E376" s="1510" t="s">
        <v>6678</v>
      </c>
      <c r="F376" s="1510" t="s">
        <v>6679</v>
      </c>
      <c r="G376" s="1510" t="s">
        <v>6680</v>
      </c>
      <c r="H376" s="1510" t="s">
        <v>6681</v>
      </c>
      <c r="I376" s="1511" t="s">
        <v>6488</v>
      </c>
      <c r="J376" s="1512" t="s">
        <v>6489</v>
      </c>
      <c r="K376" s="1513" t="s">
        <v>6508</v>
      </c>
      <c r="L376" s="1514" t="s">
        <v>6491</v>
      </c>
      <c r="M376" s="1515" t="s">
        <v>6492</v>
      </c>
      <c r="N376" s="1523"/>
    </row>
    <row r="377" spans="1:14">
      <c r="B377" s="1516" t="s">
        <v>6510</v>
      </c>
      <c r="C377" s="1517" t="s">
        <v>6511</v>
      </c>
      <c r="D377" s="1518"/>
      <c r="E377" s="1518"/>
      <c r="F377" s="1518"/>
      <c r="G377" s="1518"/>
      <c r="H377" s="1518"/>
      <c r="I377" s="1519"/>
      <c r="J377" s="1519"/>
      <c r="K377" s="1519"/>
      <c r="L377" s="1520"/>
      <c r="M377" s="1520"/>
      <c r="N377" s="1523"/>
    </row>
    <row r="378" spans="1:14">
      <c r="B378" s="1531" t="s">
        <v>6735</v>
      </c>
      <c r="C378" s="1524" t="s">
        <v>3036</v>
      </c>
      <c r="D378" s="1518">
        <v>0</v>
      </c>
      <c r="E378" s="2012">
        <f>423188.3+18470.34</f>
        <v>441658.64</v>
      </c>
      <c r="F378" s="1518"/>
      <c r="G378" s="2013">
        <f>+D378+E378-F378</f>
        <v>441658.64</v>
      </c>
      <c r="H378" s="1518">
        <f>+SUM(I378:M378)</f>
        <v>441658.64</v>
      </c>
      <c r="I378" s="1529"/>
      <c r="J378" s="1518"/>
      <c r="K378" s="1522"/>
      <c r="L378" s="1518">
        <f>+G378</f>
        <v>441658.64</v>
      </c>
      <c r="M378" s="1518"/>
      <c r="N378" s="1523"/>
    </row>
    <row r="379" spans="1:14">
      <c r="B379" s="1535" t="s">
        <v>6744</v>
      </c>
      <c r="C379" s="1524" t="s">
        <v>40</v>
      </c>
      <c r="D379" s="1518">
        <v>856577.7</v>
      </c>
      <c r="E379" s="1532"/>
      <c r="F379" s="2013">
        <f>414919.06+423188.3+18470.34</f>
        <v>856577.7</v>
      </c>
      <c r="G379" s="2013">
        <f>+D379+E379-F379</f>
        <v>0</v>
      </c>
      <c r="H379" s="1518">
        <f>+SUM(I379:M379)</f>
        <v>0</v>
      </c>
      <c r="I379" s="1533"/>
      <c r="J379" s="1532"/>
      <c r="K379" s="1534"/>
      <c r="L379" s="1518">
        <f>+G379</f>
        <v>0</v>
      </c>
      <c r="M379" s="1518"/>
      <c r="N379" s="1523"/>
    </row>
    <row r="380" spans="1:14">
      <c r="B380" s="1524"/>
      <c r="C380" s="1536" t="s">
        <v>6587</v>
      </c>
      <c r="D380" s="1537">
        <f>SUM(D378:D379)</f>
        <v>856577.7</v>
      </c>
      <c r="E380" s="1537">
        <f>SUM(E378:E379)</f>
        <v>441658.64</v>
      </c>
      <c r="F380" s="1537">
        <f>SUM(F378:F379)</f>
        <v>856577.7</v>
      </c>
      <c r="G380" s="1537">
        <f>SUM(G378:G379)</f>
        <v>441658.64</v>
      </c>
      <c r="H380" s="1537">
        <f>SUM(H378:H379)</f>
        <v>441658.64</v>
      </c>
      <c r="I380" s="1537"/>
      <c r="J380" s="1537"/>
      <c r="K380" s="1537"/>
      <c r="L380" s="1537">
        <f>SUM(L378:L379)</f>
        <v>441658.64</v>
      </c>
      <c r="M380" s="1537"/>
      <c r="N380" s="1523"/>
    </row>
    <row r="381" spans="1:14">
      <c r="B381" s="1547" t="s">
        <v>6758</v>
      </c>
      <c r="C381" s="1548" t="s">
        <v>6759</v>
      </c>
      <c r="D381" s="1530"/>
      <c r="E381" s="1530"/>
      <c r="F381" s="1530"/>
      <c r="G381" s="1530"/>
      <c r="H381" s="1530"/>
      <c r="I381" s="1530"/>
      <c r="J381" s="1530"/>
      <c r="K381" s="1530"/>
      <c r="L381" s="1519"/>
      <c r="M381" s="1519"/>
      <c r="N381" s="1523"/>
    </row>
    <row r="382" spans="1:14">
      <c r="B382" s="1526" t="s">
        <v>5717</v>
      </c>
      <c r="C382" s="1524" t="s">
        <v>39</v>
      </c>
      <c r="D382" s="1528">
        <v>3400000</v>
      </c>
      <c r="E382" s="1518"/>
      <c r="F382" s="2013">
        <f>1176733.21</f>
        <v>1176733.21</v>
      </c>
      <c r="G382" s="1518">
        <f>+D382+E382-F382</f>
        <v>2223266.79</v>
      </c>
      <c r="H382" s="1518">
        <f>+SUM(I382:M382)</f>
        <v>2223266.79</v>
      </c>
      <c r="I382" s="1518">
        <f>+G382</f>
        <v>2223266.79</v>
      </c>
      <c r="J382" s="1518"/>
      <c r="K382" s="1518"/>
      <c r="L382" s="1518"/>
      <c r="M382" s="1518"/>
      <c r="N382" s="1523"/>
    </row>
    <row r="383" spans="1:14" s="1559" customFormat="1">
      <c r="A383" s="1477"/>
      <c r="B383" s="1549"/>
      <c r="C383" s="1536" t="s">
        <v>6787</v>
      </c>
      <c r="D383" s="1538">
        <f>SUM(D382)</f>
        <v>3400000</v>
      </c>
      <c r="E383" s="1538"/>
      <c r="F383" s="1538">
        <f>SUM(F382)</f>
        <v>1176733.21</v>
      </c>
      <c r="G383" s="1538">
        <f>SUM(G382)</f>
        <v>2223266.79</v>
      </c>
      <c r="H383" s="1538">
        <f>SUM(H382)</f>
        <v>2223266.79</v>
      </c>
      <c r="I383" s="1538">
        <f>SUM(I382)</f>
        <v>2223266.79</v>
      </c>
      <c r="J383" s="1538"/>
      <c r="K383" s="1538"/>
      <c r="L383" s="1538"/>
      <c r="M383" s="1538"/>
      <c r="N383" s="1523"/>
    </row>
    <row r="384" spans="1:14">
      <c r="B384" s="1556" t="s">
        <v>6616</v>
      </c>
      <c r="C384" s="1557" t="s">
        <v>6617</v>
      </c>
      <c r="D384" s="1558"/>
      <c r="E384" s="1530"/>
      <c r="F384" s="1530"/>
      <c r="G384" s="1558"/>
      <c r="H384" s="1530"/>
      <c r="I384" s="1530"/>
      <c r="J384" s="1530"/>
      <c r="K384" s="1530"/>
      <c r="L384" s="1519"/>
      <c r="M384" s="1518"/>
      <c r="N384" s="1523"/>
    </row>
    <row r="385" spans="1:14">
      <c r="A385" s="1559"/>
      <c r="B385" s="1526" t="s">
        <v>6967</v>
      </c>
      <c r="C385" s="1524" t="s">
        <v>39</v>
      </c>
      <c r="D385" s="1518">
        <v>0</v>
      </c>
      <c r="E385" s="2012">
        <v>394.63</v>
      </c>
      <c r="F385" s="1518"/>
      <c r="G385" s="2013">
        <f t="shared" ref="G385:G390" si="52">+D385+E385-F385</f>
        <v>394.63</v>
      </c>
      <c r="H385" s="1518">
        <f>+SUM(I385:M385)</f>
        <v>394.63</v>
      </c>
      <c r="I385" s="1518">
        <f>+G385</f>
        <v>394.63</v>
      </c>
      <c r="J385" s="1518"/>
      <c r="K385" s="1518"/>
      <c r="L385" s="1519"/>
      <c r="M385" s="1518"/>
      <c r="N385" s="1523"/>
    </row>
    <row r="386" spans="1:14">
      <c r="B386" s="1526" t="s">
        <v>6817</v>
      </c>
      <c r="C386" s="1524" t="s">
        <v>505</v>
      </c>
      <c r="D386" s="1518">
        <v>0</v>
      </c>
      <c r="E386" s="2012">
        <v>1250</v>
      </c>
      <c r="F386" s="1518"/>
      <c r="G386" s="2013">
        <f t="shared" si="52"/>
        <v>1250</v>
      </c>
      <c r="H386" s="1518">
        <f>+SUM(I386:M386)</f>
        <v>1250</v>
      </c>
      <c r="I386" s="1529">
        <f>+G386</f>
        <v>1250</v>
      </c>
      <c r="J386" s="1518"/>
      <c r="K386" s="1522"/>
      <c r="L386" s="1519"/>
      <c r="M386" s="1518"/>
      <c r="N386" s="1523"/>
    </row>
    <row r="387" spans="1:14">
      <c r="B387" s="1526" t="s">
        <v>6931</v>
      </c>
      <c r="C387" s="1524" t="s">
        <v>591</v>
      </c>
      <c r="D387" s="1518">
        <v>0</v>
      </c>
      <c r="E387" s="2012">
        <v>6370</v>
      </c>
      <c r="F387" s="1532"/>
      <c r="G387" s="2013">
        <f t="shared" si="52"/>
        <v>6370</v>
      </c>
      <c r="H387" s="1518">
        <f>+SUM(I387:M387)</f>
        <v>6370</v>
      </c>
      <c r="I387" s="1533">
        <f>+G387</f>
        <v>6370</v>
      </c>
      <c r="J387" s="1532"/>
      <c r="K387" s="1532"/>
      <c r="L387" s="1532"/>
      <c r="M387" s="1518"/>
      <c r="N387" s="1523"/>
    </row>
    <row r="388" spans="1:14">
      <c r="B388" s="1526" t="s">
        <v>6822</v>
      </c>
      <c r="C388" s="1524" t="s">
        <v>39</v>
      </c>
      <c r="D388" s="1518">
        <v>0</v>
      </c>
      <c r="E388" s="2012">
        <v>924169.72</v>
      </c>
      <c r="F388" s="1518"/>
      <c r="G388" s="2013">
        <f t="shared" si="52"/>
        <v>924169.72</v>
      </c>
      <c r="H388" s="1518">
        <f t="shared" ref="H388:H390" si="53">+SUM(I388:M388)</f>
        <v>924169.72</v>
      </c>
      <c r="I388" s="1518">
        <f>+G388</f>
        <v>924169.72</v>
      </c>
      <c r="J388" s="1533"/>
      <c r="K388" s="1532"/>
      <c r="L388" s="1519"/>
      <c r="M388" s="1518"/>
      <c r="N388" s="1523"/>
    </row>
    <row r="389" spans="1:14">
      <c r="B389" s="1526" t="s">
        <v>6823</v>
      </c>
      <c r="C389" s="1524" t="s">
        <v>40</v>
      </c>
      <c r="D389" s="1518">
        <v>0</v>
      </c>
      <c r="E389" s="2012">
        <v>244548.86</v>
      </c>
      <c r="F389" s="1518"/>
      <c r="G389" s="2013">
        <f t="shared" si="52"/>
        <v>244548.86</v>
      </c>
      <c r="H389" s="1518">
        <f t="shared" si="53"/>
        <v>244548.86</v>
      </c>
      <c r="I389" s="1532">
        <f>+G389</f>
        <v>244548.86</v>
      </c>
      <c r="J389" s="1533"/>
      <c r="K389" s="1532"/>
      <c r="L389" s="1519"/>
      <c r="M389" s="1518"/>
      <c r="N389" s="1523"/>
    </row>
    <row r="390" spans="1:14" s="1476" customFormat="1">
      <c r="A390" s="1477"/>
      <c r="B390" s="1531" t="s">
        <v>6824</v>
      </c>
      <c r="C390" s="1524" t="s">
        <v>40</v>
      </c>
      <c r="D390" s="1518">
        <v>0</v>
      </c>
      <c r="E390" s="2014">
        <v>414919.06</v>
      </c>
      <c r="F390" s="1532"/>
      <c r="G390" s="2013">
        <f t="shared" si="52"/>
        <v>414919.06</v>
      </c>
      <c r="H390" s="1518">
        <f t="shared" si="53"/>
        <v>414919.06</v>
      </c>
      <c r="I390" s="1532"/>
      <c r="J390" s="1533"/>
      <c r="K390" s="1532"/>
      <c r="L390" s="1532">
        <f>+G390</f>
        <v>414919.06</v>
      </c>
      <c r="M390" s="1518"/>
      <c r="N390" s="1523"/>
    </row>
    <row r="391" spans="1:14">
      <c r="B391" s="1549"/>
      <c r="C391" s="1536" t="s">
        <v>6636</v>
      </c>
      <c r="D391" s="1537">
        <f>SUM(D385:D390)</f>
        <v>0</v>
      </c>
      <c r="E391" s="1537">
        <f>SUM(E385:E390)</f>
        <v>1591652.27</v>
      </c>
      <c r="F391" s="1537"/>
      <c r="G391" s="1537">
        <f>SUM(G385:G390)</f>
        <v>1591652.27</v>
      </c>
      <c r="H391" s="1537">
        <f>SUM(H385:H390)</f>
        <v>1591652.27</v>
      </c>
      <c r="I391" s="1537">
        <f>SUM(I385:I390)</f>
        <v>1176733.21</v>
      </c>
      <c r="J391" s="1537"/>
      <c r="K391" s="1537">
        <f>SUM(K387:K390)</f>
        <v>0</v>
      </c>
      <c r="L391" s="1537">
        <f>SUM(L387:L390)</f>
        <v>414919.06</v>
      </c>
      <c r="M391" s="1537"/>
    </row>
    <row r="392" spans="1:14">
      <c r="B392" s="1573"/>
      <c r="C392" s="1536" t="s">
        <v>6833</v>
      </c>
      <c r="D392" s="1525">
        <f>+D380+D383+D391</f>
        <v>4256577.7</v>
      </c>
      <c r="E392" s="1525">
        <f t="shared" ref="E392:M392" si="54">+E380+E383+E391</f>
        <v>2033310.9100000001</v>
      </c>
      <c r="F392" s="1525">
        <f t="shared" si="54"/>
        <v>2033310.91</v>
      </c>
      <c r="G392" s="1525">
        <f t="shared" si="54"/>
        <v>4256577.7</v>
      </c>
      <c r="H392" s="1525">
        <f t="shared" si="54"/>
        <v>4256577.7</v>
      </c>
      <c r="I392" s="1525">
        <f t="shared" si="54"/>
        <v>3400000</v>
      </c>
      <c r="J392" s="1525">
        <f t="shared" si="54"/>
        <v>0</v>
      </c>
      <c r="K392" s="1525">
        <f t="shared" si="54"/>
        <v>0</v>
      </c>
      <c r="L392" s="1525">
        <f t="shared" si="54"/>
        <v>856577.7</v>
      </c>
      <c r="M392" s="1525">
        <f t="shared" si="54"/>
        <v>0</v>
      </c>
    </row>
  </sheetData>
  <mergeCells count="8">
    <mergeCell ref="B344:C344"/>
    <mergeCell ref="D366:F366"/>
    <mergeCell ref="B1:I1"/>
    <mergeCell ref="B2:I2"/>
    <mergeCell ref="B7:B8"/>
    <mergeCell ref="C7:C8"/>
    <mergeCell ref="D7:D8"/>
    <mergeCell ref="B335:C335"/>
  </mergeCells>
  <printOptions horizontalCentered="1"/>
  <pageMargins left="0" right="0" top="0.91618110236220474" bottom="0.55118110236220474" header="0.31496062992125984" footer="0.31496062992125984"/>
  <pageSetup scale="79" fitToHeight="0" orientation="landscape" r:id="rId1"/>
  <headerFooter>
    <oddFooter>&amp;C&amp;"Century Schoolbook,Normal"&amp;P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31"/>
  <sheetViews>
    <sheetView zoomScaleNormal="100" workbookViewId="0">
      <selection activeCell="B4" sqref="B4"/>
    </sheetView>
  </sheetViews>
  <sheetFormatPr baseColWidth="10" defaultColWidth="11.42578125" defaultRowHeight="12"/>
  <cols>
    <col min="1" max="1" width="23" style="2015" customWidth="1"/>
    <col min="2" max="2" width="47.28515625" style="2015" customWidth="1"/>
    <col min="3" max="3" width="14.28515625" style="2015" customWidth="1"/>
    <col min="4" max="16384" width="11.42578125" style="2015"/>
  </cols>
  <sheetData>
    <row r="1" spans="1:3" ht="15">
      <c r="A1" s="11384" t="s">
        <v>6968</v>
      </c>
      <c r="B1" s="11384"/>
      <c r="C1" s="11384"/>
    </row>
    <row r="3" spans="1:3" ht="12.75">
      <c r="A3" s="11383" t="s">
        <v>6932</v>
      </c>
      <c r="B3" s="11383"/>
      <c r="C3" s="2008" t="s">
        <v>6933</v>
      </c>
    </row>
    <row r="4" spans="1:3" ht="12.75">
      <c r="A4" s="1509" t="s">
        <v>7</v>
      </c>
      <c r="B4" s="1509" t="s">
        <v>6505</v>
      </c>
      <c r="C4" s="1510" t="s">
        <v>6678</v>
      </c>
    </row>
    <row r="5" spans="1:3" ht="12.75">
      <c r="A5" s="1526" t="s">
        <v>6934</v>
      </c>
      <c r="B5" s="1524" t="s">
        <v>6969</v>
      </c>
      <c r="C5" s="1518">
        <v>29425.200000000001</v>
      </c>
    </row>
    <row r="6" spans="1:3" ht="12.75">
      <c r="A6" s="1526" t="s">
        <v>6936</v>
      </c>
      <c r="B6" s="1524" t="s">
        <v>6937</v>
      </c>
      <c r="C6" s="1518">
        <f>41623.28+14362.05</f>
        <v>55985.33</v>
      </c>
    </row>
    <row r="7" spans="1:3" ht="12.75">
      <c r="A7" s="1527" t="s">
        <v>6938</v>
      </c>
      <c r="B7" s="1524" t="s">
        <v>6939</v>
      </c>
      <c r="C7" s="1518">
        <v>163689.51</v>
      </c>
    </row>
    <row r="8" spans="1:3" ht="12.75">
      <c r="A8" s="2009" t="s">
        <v>6940</v>
      </c>
      <c r="B8" s="1524" t="s">
        <v>6941</v>
      </c>
      <c r="C8" s="1532">
        <v>4740</v>
      </c>
    </row>
    <row r="9" spans="1:3" ht="12.75">
      <c r="A9" s="1531" t="s">
        <v>6942</v>
      </c>
      <c r="B9" s="1524" t="s">
        <v>6943</v>
      </c>
      <c r="C9" s="1532">
        <v>571587.69999999995</v>
      </c>
    </row>
    <row r="10" spans="1:3" ht="12.75">
      <c r="A10" s="1589"/>
      <c r="B10" s="1574" t="s">
        <v>6847</v>
      </c>
      <c r="C10" s="1518">
        <f>SUM(C5:C9)</f>
        <v>825427.74</v>
      </c>
    </row>
    <row r="11" spans="1:3" ht="12.75">
      <c r="A11" s="1476"/>
      <c r="B11" s="1576"/>
      <c r="C11" s="1580"/>
    </row>
    <row r="12" spans="1:3" ht="12.75">
      <c r="A12" s="11383" t="s">
        <v>6944</v>
      </c>
      <c r="B12" s="11383"/>
      <c r="C12" s="2008" t="s">
        <v>6838</v>
      </c>
    </row>
    <row r="13" spans="1:3" ht="12.75">
      <c r="A13" s="1509" t="s">
        <v>7</v>
      </c>
      <c r="B13" s="1509" t="s">
        <v>6505</v>
      </c>
      <c r="C13" s="1510" t="s">
        <v>6678</v>
      </c>
    </row>
    <row r="14" spans="1:3" ht="12.75">
      <c r="A14" s="1527" t="s">
        <v>6945</v>
      </c>
      <c r="B14" s="1524" t="s">
        <v>3778</v>
      </c>
      <c r="C14" s="1518">
        <v>83286.39</v>
      </c>
    </row>
    <row r="15" spans="1:3" ht="12.75">
      <c r="A15" s="1531" t="s">
        <v>6946</v>
      </c>
      <c r="B15" s="1524" t="s">
        <v>39</v>
      </c>
      <c r="C15" s="1518">
        <v>42311.18</v>
      </c>
    </row>
    <row r="16" spans="1:3" ht="12.75">
      <c r="A16" s="1531" t="s">
        <v>6947</v>
      </c>
      <c r="B16" s="1524" t="s">
        <v>40</v>
      </c>
      <c r="C16" s="1518">
        <v>6088</v>
      </c>
    </row>
    <row r="17" spans="1:3" ht="12.75">
      <c r="A17" s="1531" t="s">
        <v>6948</v>
      </c>
      <c r="B17" s="1524" t="s">
        <v>6949</v>
      </c>
      <c r="C17" s="1518">
        <v>50279.23</v>
      </c>
    </row>
    <row r="18" spans="1:3" ht="12.75">
      <c r="A18" s="1526" t="s">
        <v>6950</v>
      </c>
      <c r="B18" s="1524" t="s">
        <v>281</v>
      </c>
      <c r="C18" s="1532">
        <v>6720</v>
      </c>
    </row>
    <row r="19" spans="1:3" ht="12.75">
      <c r="A19" s="1526" t="s">
        <v>6952</v>
      </c>
      <c r="B19" s="1524" t="s">
        <v>6953</v>
      </c>
      <c r="C19" s="1532">
        <v>9200</v>
      </c>
    </row>
    <row r="20" spans="1:3" ht="12.75">
      <c r="A20" s="2009" t="s">
        <v>6954</v>
      </c>
      <c r="B20" s="1524" t="s">
        <v>6746</v>
      </c>
      <c r="C20" s="1532">
        <v>4740</v>
      </c>
    </row>
    <row r="21" spans="1:3" ht="12.75">
      <c r="A21" s="1531" t="s">
        <v>6955</v>
      </c>
      <c r="B21" s="1524" t="s">
        <v>281</v>
      </c>
      <c r="C21" s="1532">
        <v>33214.120000000003</v>
      </c>
    </row>
    <row r="22" spans="1:3" ht="12.75">
      <c r="A22" s="1526" t="s">
        <v>6956</v>
      </c>
      <c r="B22" s="1524" t="s">
        <v>39</v>
      </c>
      <c r="C22" s="1518">
        <v>41623.279999999999</v>
      </c>
    </row>
    <row r="23" spans="1:3" ht="12.75">
      <c r="A23" s="1531" t="s">
        <v>6957</v>
      </c>
      <c r="B23" s="1524" t="s">
        <v>39</v>
      </c>
      <c r="C23" s="1518">
        <v>71176.34</v>
      </c>
    </row>
    <row r="24" spans="1:3" ht="12.75">
      <c r="A24" s="1526" t="s">
        <v>6958</v>
      </c>
      <c r="B24" s="1524" t="s">
        <v>281</v>
      </c>
      <c r="C24" s="1518">
        <f>14362.05+13505.2</f>
        <v>27867.25</v>
      </c>
    </row>
    <row r="25" spans="1:3" ht="12.75">
      <c r="A25" s="1527" t="s">
        <v>6959</v>
      </c>
      <c r="B25" s="1524" t="s">
        <v>281</v>
      </c>
      <c r="C25" s="1518">
        <v>40000</v>
      </c>
    </row>
    <row r="26" spans="1:3" ht="12.75">
      <c r="A26" s="1527" t="s">
        <v>6960</v>
      </c>
      <c r="B26" s="1524" t="s">
        <v>39</v>
      </c>
      <c r="C26" s="1518">
        <v>18003.12</v>
      </c>
    </row>
    <row r="27" spans="1:3" ht="12.75">
      <c r="A27" s="1531" t="s">
        <v>6961</v>
      </c>
      <c r="B27" s="1524" t="s">
        <v>2742</v>
      </c>
      <c r="C27" s="1518">
        <v>231043.11</v>
      </c>
    </row>
    <row r="28" spans="1:3" ht="12.75">
      <c r="A28" s="1531" t="s">
        <v>6962</v>
      </c>
      <c r="B28" s="1524" t="s">
        <v>40</v>
      </c>
      <c r="C28" s="1518">
        <v>110690</v>
      </c>
    </row>
    <row r="29" spans="1:3" ht="12.75">
      <c r="A29" s="1531" t="s">
        <v>6963</v>
      </c>
      <c r="B29" s="1524" t="s">
        <v>6819</v>
      </c>
      <c r="C29" s="1518">
        <v>26785.72</v>
      </c>
    </row>
    <row r="30" spans="1:3" ht="12.75">
      <c r="A30" s="1527" t="s">
        <v>6964</v>
      </c>
      <c r="B30" s="1524" t="s">
        <v>6965</v>
      </c>
      <c r="C30" s="1518">
        <v>22400</v>
      </c>
    </row>
    <row r="31" spans="1:3" ht="12.75">
      <c r="A31" s="1589"/>
      <c r="B31" s="1574" t="s">
        <v>6847</v>
      </c>
      <c r="C31" s="1518">
        <f>SUM(C14:C30)</f>
        <v>825427.74</v>
      </c>
    </row>
  </sheetData>
  <mergeCells count="3">
    <mergeCell ref="A1:C1"/>
    <mergeCell ref="A3:B3"/>
    <mergeCell ref="A12:B12"/>
  </mergeCell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P350"/>
  <sheetViews>
    <sheetView topLeftCell="A14" zoomScaleNormal="100" workbookViewId="0">
      <selection activeCell="B4" sqref="B4"/>
    </sheetView>
  </sheetViews>
  <sheetFormatPr baseColWidth="10" defaultColWidth="12.42578125" defaultRowHeight="12.75"/>
  <cols>
    <col min="1" max="1" width="0.7109375" style="2980" customWidth="1"/>
    <col min="2" max="3" width="18.140625" style="2980" customWidth="1"/>
    <col min="4" max="4" width="15" style="2980" customWidth="1"/>
    <col min="5" max="5" width="15.42578125" style="2980" customWidth="1"/>
    <col min="6" max="6" width="17" style="2980" customWidth="1"/>
    <col min="7" max="7" width="17" style="2980" bestFit="1" customWidth="1"/>
    <col min="8" max="8" width="16.42578125" style="2980" bestFit="1" customWidth="1"/>
    <col min="9" max="9" width="14.7109375" style="2980" customWidth="1"/>
    <col min="10" max="10" width="17" style="2980" customWidth="1"/>
    <col min="11" max="11" width="16.42578125" style="2979" bestFit="1" customWidth="1"/>
    <col min="12" max="13" width="17.140625" style="2980" customWidth="1"/>
    <col min="14" max="14" width="16.140625" style="2980" customWidth="1"/>
    <col min="15" max="15" width="13.85546875" style="2980" bestFit="1" customWidth="1"/>
    <col min="16" max="16" width="15" style="2980" bestFit="1" customWidth="1"/>
    <col min="17" max="16384" width="12.42578125" style="2980"/>
  </cols>
  <sheetData>
    <row r="1" spans="2:10" s="2979" customFormat="1" ht="18.75">
      <c r="B1" s="11386" t="s">
        <v>0</v>
      </c>
      <c r="C1" s="11386"/>
      <c r="D1" s="11386"/>
      <c r="E1" s="11386"/>
      <c r="F1" s="11386"/>
      <c r="G1" s="11386"/>
      <c r="H1" s="11386"/>
      <c r="I1" s="11386"/>
      <c r="J1" s="2978"/>
    </row>
    <row r="2" spans="2:10" s="2979" customFormat="1" ht="18.75">
      <c r="B2" s="11386" t="s">
        <v>6665</v>
      </c>
      <c r="C2" s="11386"/>
      <c r="D2" s="11386"/>
      <c r="E2" s="11386"/>
      <c r="F2" s="11386"/>
      <c r="G2" s="11386"/>
      <c r="H2" s="11386"/>
      <c r="I2" s="11386"/>
      <c r="J2" s="2978"/>
    </row>
    <row r="3" spans="2:10" s="2979" customFormat="1" ht="12.75" customHeight="1">
      <c r="B3" s="2978"/>
      <c r="C3" s="2978"/>
      <c r="D3" s="2978"/>
      <c r="E3" s="2978"/>
      <c r="F3" s="2978"/>
      <c r="G3" s="2978"/>
      <c r="H3" s="2978"/>
      <c r="I3" s="2980"/>
      <c r="J3" s="2980"/>
    </row>
    <row r="4" spans="2:10" s="2979" customFormat="1" ht="15">
      <c r="B4" s="1478" t="s">
        <v>6480</v>
      </c>
      <c r="C4" s="1479" t="s">
        <v>413</v>
      </c>
      <c r="D4" s="1479"/>
      <c r="E4" s="1479"/>
      <c r="F4" s="1479"/>
      <c r="G4" s="1479"/>
      <c r="H4" s="1480"/>
      <c r="I4" s="1480"/>
      <c r="J4" s="1480"/>
    </row>
    <row r="5" spans="2:10" s="2979" customFormat="1">
      <c r="B5" s="1479" t="s">
        <v>6479</v>
      </c>
      <c r="C5" s="1479"/>
      <c r="D5" s="1479"/>
      <c r="E5" s="1479"/>
      <c r="F5" s="1479"/>
      <c r="G5" s="1479"/>
      <c r="H5" s="1480"/>
      <c r="I5" s="1480"/>
      <c r="J5" s="1480"/>
    </row>
    <row r="6" spans="2:10" s="2979" customFormat="1">
      <c r="B6" s="1479"/>
      <c r="C6" s="1479"/>
      <c r="D6" s="1479"/>
      <c r="E6" s="1479"/>
      <c r="F6" s="1479"/>
      <c r="G6" s="1479"/>
      <c r="H6" s="1480"/>
      <c r="I6" s="1480"/>
      <c r="J6" s="2980"/>
    </row>
    <row r="7" spans="2:10" s="2983" customFormat="1" ht="39.75" customHeight="1">
      <c r="B7" s="11369" t="s">
        <v>6970</v>
      </c>
      <c r="C7" s="11369" t="s">
        <v>6</v>
      </c>
      <c r="D7" s="11387" t="s">
        <v>6667</v>
      </c>
      <c r="E7" s="1481" t="s">
        <v>6483</v>
      </c>
      <c r="F7" s="1482" t="s">
        <v>6484</v>
      </c>
      <c r="G7" s="1483" t="s">
        <v>6485</v>
      </c>
      <c r="H7" s="2981" t="s">
        <v>6668</v>
      </c>
      <c r="I7" s="2982" t="s">
        <v>6487</v>
      </c>
    </row>
    <row r="8" spans="2:10" s="2983" customFormat="1" ht="20.100000000000001" customHeight="1">
      <c r="B8" s="11370"/>
      <c r="C8" s="11370"/>
      <c r="D8" s="11388"/>
      <c r="E8" s="1487" t="s">
        <v>6488</v>
      </c>
      <c r="F8" s="1482" t="s">
        <v>6489</v>
      </c>
      <c r="G8" s="1483" t="s">
        <v>6490</v>
      </c>
      <c r="H8" s="2984" t="s">
        <v>6491</v>
      </c>
      <c r="I8" s="2985" t="s">
        <v>6492</v>
      </c>
    </row>
    <row r="9" spans="2:10" s="2979" customFormat="1">
      <c r="B9" s="1490" t="s">
        <v>6971</v>
      </c>
      <c r="C9" s="1491" t="s">
        <v>6670</v>
      </c>
      <c r="D9" s="1492">
        <f t="shared" ref="D9:D10" si="0">+SUM(E9:I9)</f>
        <v>6972572.4800000004</v>
      </c>
      <c r="E9" s="1492">
        <v>6972572.4800000004</v>
      </c>
      <c r="F9" s="1492"/>
      <c r="G9" s="1492"/>
      <c r="H9" s="1492"/>
      <c r="I9" s="1492"/>
    </row>
    <row r="10" spans="2:10" s="2979" customFormat="1">
      <c r="B10" s="1490" t="s">
        <v>6972</v>
      </c>
      <c r="C10" s="1491" t="s">
        <v>6973</v>
      </c>
      <c r="D10" s="1492">
        <f t="shared" si="0"/>
        <v>55985.33</v>
      </c>
      <c r="E10" s="1492">
        <v>55985.33</v>
      </c>
      <c r="F10" s="1492"/>
      <c r="G10" s="1492"/>
      <c r="H10" s="1492"/>
      <c r="I10" s="1492"/>
    </row>
    <row r="11" spans="2:10" s="2979" customFormat="1">
      <c r="B11" s="1495" t="s">
        <v>6974</v>
      </c>
      <c r="C11" s="1491" t="s">
        <v>6674</v>
      </c>
      <c r="D11" s="1492">
        <f t="shared" ref="D11:D19" si="1">+SUM(E11:I11)</f>
        <v>50000</v>
      </c>
      <c r="E11" s="1492"/>
      <c r="F11" s="1492">
        <v>50000</v>
      </c>
      <c r="G11" s="1492"/>
      <c r="H11" s="1492"/>
      <c r="I11" s="1492"/>
    </row>
    <row r="12" spans="2:10" s="2979" customFormat="1">
      <c r="B12" s="1495" t="s">
        <v>6975</v>
      </c>
      <c r="C12" s="1491" t="s">
        <v>6976</v>
      </c>
      <c r="D12" s="1492">
        <f t="shared" si="1"/>
        <v>680000</v>
      </c>
      <c r="E12" s="1492"/>
      <c r="F12" s="1492">
        <v>680000</v>
      </c>
      <c r="G12" s="1492"/>
      <c r="H12" s="1492"/>
      <c r="I12" s="1492"/>
    </row>
    <row r="13" spans="2:10" s="2979" customFormat="1">
      <c r="B13" s="1495" t="s">
        <v>6977</v>
      </c>
      <c r="C13" s="1491" t="s">
        <v>6676</v>
      </c>
      <c r="D13" s="1492">
        <f t="shared" si="1"/>
        <v>38169</v>
      </c>
      <c r="E13" s="1492"/>
      <c r="F13" s="1492">
        <v>38169</v>
      </c>
      <c r="G13" s="1492"/>
      <c r="H13" s="1492"/>
      <c r="I13" s="1492"/>
    </row>
    <row r="14" spans="2:10" s="2979" customFormat="1">
      <c r="B14" s="1495" t="s">
        <v>6978</v>
      </c>
      <c r="C14" s="2986" t="s">
        <v>6979</v>
      </c>
      <c r="D14" s="1492">
        <f t="shared" si="1"/>
        <v>2000</v>
      </c>
      <c r="E14" s="1492"/>
      <c r="F14" s="1492">
        <v>2000</v>
      </c>
      <c r="G14" s="1492"/>
      <c r="H14" s="1492"/>
      <c r="I14" s="1492"/>
    </row>
    <row r="15" spans="2:10" s="2979" customFormat="1">
      <c r="B15" s="1495" t="s">
        <v>6980</v>
      </c>
      <c r="C15" s="2986" t="s">
        <v>6981</v>
      </c>
      <c r="D15" s="1492">
        <f t="shared" si="1"/>
        <v>163689.51</v>
      </c>
      <c r="E15" s="1492"/>
      <c r="F15" s="1492">
        <v>163689.51</v>
      </c>
      <c r="G15" s="1492"/>
      <c r="H15" s="1492"/>
      <c r="I15" s="1492"/>
    </row>
    <row r="16" spans="2:10" s="2979" customFormat="1">
      <c r="B16" s="2987" t="s">
        <v>6982</v>
      </c>
      <c r="C16" s="1491" t="s">
        <v>6670</v>
      </c>
      <c r="D16" s="1492">
        <f t="shared" si="1"/>
        <v>28382726.440000001</v>
      </c>
      <c r="E16" s="1492"/>
      <c r="F16" s="1492"/>
      <c r="G16" s="1492">
        <v>28382726.440000001</v>
      </c>
      <c r="H16" s="1492"/>
      <c r="I16" s="1492"/>
    </row>
    <row r="17" spans="2:14" s="2979" customFormat="1">
      <c r="B17" s="2987" t="s">
        <v>6983</v>
      </c>
      <c r="C17" s="1491" t="s">
        <v>6984</v>
      </c>
      <c r="D17" s="1492">
        <f t="shared" si="1"/>
        <v>4740</v>
      </c>
      <c r="E17" s="1492"/>
      <c r="F17" s="1492"/>
      <c r="G17" s="1492">
        <v>4740</v>
      </c>
      <c r="H17" s="1492"/>
      <c r="I17" s="1492"/>
    </row>
    <row r="18" spans="2:14" s="2979" customFormat="1" ht="14.45" customHeight="1">
      <c r="B18" s="1494" t="s">
        <v>6985</v>
      </c>
      <c r="C18" s="1491" t="s">
        <v>6670</v>
      </c>
      <c r="D18" s="1492">
        <f t="shared" si="1"/>
        <v>856577.7</v>
      </c>
      <c r="E18" s="1492"/>
      <c r="F18" s="1492"/>
      <c r="G18" s="1492"/>
      <c r="H18" s="1492">
        <v>856577.7</v>
      </c>
      <c r="I18" s="1492"/>
    </row>
    <row r="19" spans="2:14" s="2979" customFormat="1" ht="14.45" customHeight="1">
      <c r="B19" s="1494" t="s">
        <v>6986</v>
      </c>
      <c r="C19" s="1491" t="s">
        <v>6987</v>
      </c>
      <c r="D19" s="1492">
        <f t="shared" si="1"/>
        <v>571587.69999999995</v>
      </c>
      <c r="E19" s="1492"/>
      <c r="F19" s="1492"/>
      <c r="G19" s="1492"/>
      <c r="H19" s="1492">
        <v>571587.69999999995</v>
      </c>
      <c r="I19" s="1492"/>
    </row>
    <row r="20" spans="2:14" s="2979" customFormat="1" ht="14.45" customHeight="1">
      <c r="B20" s="2003" t="s">
        <v>6988</v>
      </c>
      <c r="C20" s="1491" t="s">
        <v>6928</v>
      </c>
      <c r="D20" s="1492">
        <f>I20</f>
        <v>382237.7</v>
      </c>
      <c r="E20" s="1492"/>
      <c r="F20" s="1492"/>
      <c r="G20" s="1492"/>
      <c r="H20" s="1492"/>
      <c r="I20" s="1492">
        <v>382237.7</v>
      </c>
    </row>
    <row r="21" spans="2:14">
      <c r="B21" s="1496"/>
      <c r="C21" s="1497" t="s">
        <v>6677</v>
      </c>
      <c r="D21" s="1498">
        <f>SUM(D9:D20)</f>
        <v>38160285.860000014</v>
      </c>
      <c r="E21" s="1498">
        <f t="shared" ref="E21:I21" si="2">SUM(E9:E20)</f>
        <v>7028557.8100000005</v>
      </c>
      <c r="F21" s="1498">
        <f t="shared" si="2"/>
        <v>933858.51</v>
      </c>
      <c r="G21" s="1498">
        <f t="shared" si="2"/>
        <v>28387466.440000001</v>
      </c>
      <c r="H21" s="1498">
        <f t="shared" si="2"/>
        <v>1428165.4</v>
      </c>
      <c r="I21" s="1498">
        <f t="shared" si="2"/>
        <v>382237.7</v>
      </c>
      <c r="K21" s="2980"/>
    </row>
    <row r="22" spans="2:14">
      <c r="B22" s="1499"/>
      <c r="C22" s="1500"/>
      <c r="D22" s="1501"/>
      <c r="E22" s="1501"/>
      <c r="F22" s="1479"/>
      <c r="G22" s="1479"/>
      <c r="H22" s="1502"/>
      <c r="I22" s="1503"/>
    </row>
    <row r="23" spans="2:14" ht="15">
      <c r="B23" s="2988" t="s">
        <v>6504</v>
      </c>
      <c r="C23" s="2989"/>
      <c r="D23" s="2990"/>
      <c r="E23" s="2979"/>
      <c r="F23" s="2991"/>
      <c r="G23" s="2992"/>
    </row>
    <row r="24" spans="2:14" ht="38.25">
      <c r="B24" s="2993" t="s">
        <v>7</v>
      </c>
      <c r="C24" s="2993" t="s">
        <v>6505</v>
      </c>
      <c r="D24" s="2994" t="s">
        <v>6989</v>
      </c>
      <c r="E24" s="2994" t="s">
        <v>6678</v>
      </c>
      <c r="F24" s="2994" t="s">
        <v>6679</v>
      </c>
      <c r="G24" s="2994" t="s">
        <v>6680</v>
      </c>
      <c r="H24" s="2994" t="s">
        <v>6990</v>
      </c>
      <c r="I24" s="2995" t="s">
        <v>6488</v>
      </c>
      <c r="J24" s="2996" t="s">
        <v>6489</v>
      </c>
      <c r="K24" s="2997" t="s">
        <v>6508</v>
      </c>
      <c r="L24" s="2998" t="s">
        <v>6491</v>
      </c>
      <c r="M24" s="2999" t="s">
        <v>6492</v>
      </c>
    </row>
    <row r="25" spans="2:14">
      <c r="B25" s="3000" t="s">
        <v>6510</v>
      </c>
      <c r="C25" s="3001" t="s">
        <v>6511</v>
      </c>
      <c r="D25" s="3002"/>
      <c r="E25" s="3002"/>
      <c r="F25" s="3002"/>
      <c r="G25" s="3002"/>
      <c r="H25" s="3002"/>
      <c r="I25" s="3003"/>
      <c r="J25" s="3003"/>
      <c r="K25" s="3003"/>
      <c r="L25" s="3004"/>
      <c r="M25" s="3004"/>
    </row>
    <row r="26" spans="2:14">
      <c r="B26" s="2987" t="s">
        <v>6512</v>
      </c>
      <c r="C26" s="3005" t="s">
        <v>3008</v>
      </c>
      <c r="D26" s="3002">
        <v>3618628.48</v>
      </c>
      <c r="E26" s="3002"/>
      <c r="F26" s="3006">
        <v>30000</v>
      </c>
      <c r="G26" s="3007">
        <f t="shared" ref="G26:G111" si="3">+D26+E26-F26</f>
        <v>3588628.48</v>
      </c>
      <c r="H26" s="3002">
        <f>+SUM(I26:M26)</f>
        <v>3588628.48</v>
      </c>
      <c r="I26" s="3002"/>
      <c r="J26" s="3002"/>
      <c r="K26" s="3008">
        <f>G26</f>
        <v>3588628.48</v>
      </c>
      <c r="L26" s="3002"/>
      <c r="M26" s="3002"/>
      <c r="N26" s="3009"/>
    </row>
    <row r="27" spans="2:14">
      <c r="B27" s="2987" t="s">
        <v>6513</v>
      </c>
      <c r="C27" s="3010" t="s">
        <v>3010</v>
      </c>
      <c r="D27" s="3002">
        <v>1009212.0800000001</v>
      </c>
      <c r="E27" s="3002"/>
      <c r="F27" s="3006">
        <v>20000</v>
      </c>
      <c r="G27" s="3007">
        <f t="shared" si="3"/>
        <v>989212.08000000007</v>
      </c>
      <c r="H27" s="3002">
        <f t="shared" ref="H27:H83" si="4">+SUM(I27:M27)</f>
        <v>989212.08000000007</v>
      </c>
      <c r="I27" s="3002"/>
      <c r="J27" s="3002"/>
      <c r="K27" s="3008">
        <f t="shared" ref="K27:K41" si="5">G27</f>
        <v>989212.08000000007</v>
      </c>
      <c r="L27" s="3002"/>
      <c r="M27" s="3002"/>
      <c r="N27" s="3009"/>
    </row>
    <row r="28" spans="2:14">
      <c r="B28" s="2987" t="s">
        <v>6514</v>
      </c>
      <c r="C28" s="3010" t="s">
        <v>6682</v>
      </c>
      <c r="D28" s="3002">
        <v>828059.49</v>
      </c>
      <c r="E28" s="3002"/>
      <c r="F28" s="3002"/>
      <c r="G28" s="3007">
        <f t="shared" si="3"/>
        <v>828059.49</v>
      </c>
      <c r="H28" s="3002">
        <f t="shared" si="4"/>
        <v>828059.49</v>
      </c>
      <c r="I28" s="3002"/>
      <c r="J28" s="3002"/>
      <c r="K28" s="3008">
        <f t="shared" si="5"/>
        <v>828059.49</v>
      </c>
      <c r="L28" s="3002"/>
      <c r="M28" s="3002"/>
      <c r="N28" s="3009"/>
    </row>
    <row r="29" spans="2:14">
      <c r="B29" s="2987" t="s">
        <v>6515</v>
      </c>
      <c r="C29" s="3010" t="s">
        <v>3013</v>
      </c>
      <c r="D29" s="3002">
        <v>514670.12</v>
      </c>
      <c r="E29" s="3002"/>
      <c r="F29" s="3002"/>
      <c r="G29" s="3007">
        <f t="shared" si="3"/>
        <v>514670.12</v>
      </c>
      <c r="H29" s="3002">
        <f t="shared" si="4"/>
        <v>514670.12</v>
      </c>
      <c r="I29" s="3002"/>
      <c r="J29" s="3002"/>
      <c r="K29" s="3008">
        <f t="shared" si="5"/>
        <v>514670.12</v>
      </c>
      <c r="L29" s="3002"/>
      <c r="M29" s="3002"/>
      <c r="N29" s="3009"/>
    </row>
    <row r="30" spans="2:14">
      <c r="B30" s="2987" t="s">
        <v>6517</v>
      </c>
      <c r="C30" s="3010" t="s">
        <v>3014</v>
      </c>
      <c r="D30" s="3002">
        <v>191875.81</v>
      </c>
      <c r="E30" s="3002"/>
      <c r="F30" s="3006">
        <v>10000</v>
      </c>
      <c r="G30" s="3007">
        <f t="shared" si="3"/>
        <v>181875.81</v>
      </c>
      <c r="H30" s="3002">
        <f t="shared" si="4"/>
        <v>181875.81</v>
      </c>
      <c r="I30" s="3002"/>
      <c r="J30" s="3002"/>
      <c r="K30" s="3008">
        <f t="shared" si="5"/>
        <v>181875.81</v>
      </c>
      <c r="L30" s="3002"/>
      <c r="M30" s="3002"/>
      <c r="N30" s="3009"/>
    </row>
    <row r="31" spans="2:14">
      <c r="B31" s="2987" t="s">
        <v>6519</v>
      </c>
      <c r="C31" s="3010" t="s">
        <v>3016</v>
      </c>
      <c r="D31" s="3002">
        <v>15000</v>
      </c>
      <c r="E31" s="3002"/>
      <c r="F31" s="3002"/>
      <c r="G31" s="3007">
        <f t="shared" si="3"/>
        <v>15000</v>
      </c>
      <c r="H31" s="3002">
        <f t="shared" si="4"/>
        <v>15000</v>
      </c>
      <c r="I31" s="3002"/>
      <c r="J31" s="3002"/>
      <c r="K31" s="3008">
        <f t="shared" si="5"/>
        <v>15000</v>
      </c>
      <c r="L31" s="3002"/>
      <c r="M31" s="3002"/>
      <c r="N31" s="3009"/>
    </row>
    <row r="32" spans="2:14">
      <c r="B32" s="2987" t="s">
        <v>6520</v>
      </c>
      <c r="C32" s="3010" t="s">
        <v>3018</v>
      </c>
      <c r="D32" s="3002">
        <v>95000</v>
      </c>
      <c r="E32" s="3002"/>
      <c r="F32" s="3002"/>
      <c r="G32" s="3007">
        <f t="shared" si="3"/>
        <v>95000</v>
      </c>
      <c r="H32" s="3002">
        <f t="shared" si="4"/>
        <v>95000</v>
      </c>
      <c r="I32" s="3002"/>
      <c r="J32" s="3002"/>
      <c r="K32" s="3008">
        <f t="shared" si="5"/>
        <v>95000</v>
      </c>
      <c r="L32" s="3002"/>
      <c r="M32" s="3002"/>
      <c r="N32" s="3009"/>
    </row>
    <row r="33" spans="2:14">
      <c r="B33" s="2987" t="s">
        <v>6521</v>
      </c>
      <c r="C33" s="3010" t="s">
        <v>3020</v>
      </c>
      <c r="D33" s="3002">
        <v>5000</v>
      </c>
      <c r="E33" s="3002"/>
      <c r="F33" s="3002"/>
      <c r="G33" s="3007">
        <f t="shared" si="3"/>
        <v>5000</v>
      </c>
      <c r="H33" s="3002">
        <f t="shared" si="4"/>
        <v>5000</v>
      </c>
      <c r="I33" s="3002"/>
      <c r="J33" s="3002"/>
      <c r="K33" s="3008">
        <f t="shared" si="5"/>
        <v>5000</v>
      </c>
      <c r="L33" s="3002"/>
      <c r="M33" s="3002"/>
      <c r="N33" s="3009"/>
    </row>
    <row r="34" spans="2:14">
      <c r="B34" s="2987" t="s">
        <v>6522</v>
      </c>
      <c r="C34" s="3010" t="s">
        <v>6683</v>
      </c>
      <c r="D34" s="3002">
        <v>24000</v>
      </c>
      <c r="E34" s="3002"/>
      <c r="F34" s="3002"/>
      <c r="G34" s="3007">
        <f t="shared" si="3"/>
        <v>24000</v>
      </c>
      <c r="H34" s="3002">
        <f t="shared" si="4"/>
        <v>24000</v>
      </c>
      <c r="I34" s="3002"/>
      <c r="J34" s="3002"/>
      <c r="K34" s="3008">
        <f t="shared" si="5"/>
        <v>24000</v>
      </c>
      <c r="L34" s="3002"/>
      <c r="M34" s="3002"/>
      <c r="N34" s="3009"/>
    </row>
    <row r="35" spans="2:14">
      <c r="B35" s="2987" t="s">
        <v>6523</v>
      </c>
      <c r="C35" s="3010" t="s">
        <v>6684</v>
      </c>
      <c r="D35" s="3002">
        <v>31000</v>
      </c>
      <c r="E35" s="3002"/>
      <c r="F35" s="3002"/>
      <c r="G35" s="3007">
        <f t="shared" si="3"/>
        <v>31000</v>
      </c>
      <c r="H35" s="3002">
        <f t="shared" si="4"/>
        <v>31000</v>
      </c>
      <c r="I35" s="3002"/>
      <c r="J35" s="3002"/>
      <c r="K35" s="3008">
        <f t="shared" si="5"/>
        <v>31000</v>
      </c>
      <c r="L35" s="3002"/>
      <c r="M35" s="3002"/>
      <c r="N35" s="3009"/>
    </row>
    <row r="36" spans="2:14">
      <c r="B36" s="2987" t="s">
        <v>6524</v>
      </c>
      <c r="C36" s="3010" t="s">
        <v>3026</v>
      </c>
      <c r="D36" s="3002">
        <v>675424</v>
      </c>
      <c r="E36" s="3002"/>
      <c r="F36" s="3002"/>
      <c r="G36" s="3007">
        <f t="shared" si="3"/>
        <v>675424</v>
      </c>
      <c r="H36" s="3002">
        <f t="shared" si="4"/>
        <v>675424</v>
      </c>
      <c r="I36" s="3002"/>
      <c r="J36" s="3002"/>
      <c r="K36" s="3008">
        <f t="shared" si="5"/>
        <v>675424</v>
      </c>
      <c r="L36" s="3002"/>
      <c r="M36" s="3002"/>
      <c r="N36" s="3009"/>
    </row>
    <row r="37" spans="2:14">
      <c r="B37" s="2987" t="s">
        <v>6525</v>
      </c>
      <c r="C37" s="3010" t="s">
        <v>6685</v>
      </c>
      <c r="D37" s="3002">
        <v>15000</v>
      </c>
      <c r="E37" s="3002"/>
      <c r="F37" s="3002"/>
      <c r="G37" s="3007">
        <f t="shared" si="3"/>
        <v>15000</v>
      </c>
      <c r="H37" s="3002">
        <f t="shared" si="4"/>
        <v>15000</v>
      </c>
      <c r="I37" s="3002"/>
      <c r="J37" s="3002"/>
      <c r="K37" s="3008">
        <f t="shared" si="5"/>
        <v>15000</v>
      </c>
      <c r="L37" s="3002"/>
      <c r="M37" s="3002"/>
      <c r="N37" s="3009"/>
    </row>
    <row r="38" spans="2:14">
      <c r="B38" s="2987" t="s">
        <v>6526</v>
      </c>
      <c r="C38" s="3010" t="s">
        <v>6686</v>
      </c>
      <c r="D38" s="3002">
        <v>4804</v>
      </c>
      <c r="E38" s="3002"/>
      <c r="F38" s="3002"/>
      <c r="G38" s="3007">
        <f t="shared" si="3"/>
        <v>4804</v>
      </c>
      <c r="H38" s="3002">
        <f t="shared" si="4"/>
        <v>4804</v>
      </c>
      <c r="I38" s="3002"/>
      <c r="J38" s="3002"/>
      <c r="K38" s="3008">
        <f t="shared" si="5"/>
        <v>4804</v>
      </c>
      <c r="L38" s="3002"/>
      <c r="M38" s="3002"/>
      <c r="N38" s="3009"/>
    </row>
    <row r="39" spans="2:14">
      <c r="B39" s="2987" t="s">
        <v>6527</v>
      </c>
      <c r="C39" s="3010" t="s">
        <v>3032</v>
      </c>
      <c r="D39" s="3002">
        <v>616823.06999999995</v>
      </c>
      <c r="E39" s="3002"/>
      <c r="F39" s="3006">
        <v>2000</v>
      </c>
      <c r="G39" s="3007">
        <f t="shared" si="3"/>
        <v>614823.06999999995</v>
      </c>
      <c r="H39" s="3002">
        <f t="shared" si="4"/>
        <v>614823.06999999995</v>
      </c>
      <c r="I39" s="3002"/>
      <c r="J39" s="3002"/>
      <c r="K39" s="3008">
        <f t="shared" si="5"/>
        <v>614823.06999999995</v>
      </c>
      <c r="L39" s="3002"/>
      <c r="M39" s="3002"/>
      <c r="N39" s="3009"/>
    </row>
    <row r="40" spans="2:14">
      <c r="B40" s="2987" t="s">
        <v>6528</v>
      </c>
      <c r="C40" s="3010" t="s">
        <v>3039</v>
      </c>
      <c r="D40" s="3002">
        <v>514432.75</v>
      </c>
      <c r="E40" s="3002"/>
      <c r="F40" s="3006">
        <v>2000</v>
      </c>
      <c r="G40" s="3007">
        <f t="shared" si="3"/>
        <v>512432.75</v>
      </c>
      <c r="H40" s="3002">
        <f t="shared" si="4"/>
        <v>512432.75</v>
      </c>
      <c r="I40" s="3002"/>
      <c r="J40" s="3002"/>
      <c r="K40" s="3008">
        <f t="shared" si="5"/>
        <v>512432.75</v>
      </c>
      <c r="L40" s="3002"/>
      <c r="M40" s="3002"/>
      <c r="N40" s="3009"/>
    </row>
    <row r="41" spans="2:14">
      <c r="B41" s="2987" t="s">
        <v>6529</v>
      </c>
      <c r="C41" s="3010" t="s">
        <v>6688</v>
      </c>
      <c r="D41" s="3002">
        <v>2000</v>
      </c>
      <c r="E41" s="3002"/>
      <c r="F41" s="3002"/>
      <c r="G41" s="3007">
        <f t="shared" si="3"/>
        <v>2000</v>
      </c>
      <c r="H41" s="3002">
        <f t="shared" si="4"/>
        <v>2000</v>
      </c>
      <c r="I41" s="3002"/>
      <c r="J41" s="3002"/>
      <c r="K41" s="3008">
        <f t="shared" si="5"/>
        <v>2000</v>
      </c>
      <c r="L41" s="3002"/>
      <c r="M41" s="3002"/>
      <c r="N41" s="3009"/>
    </row>
    <row r="42" spans="2:14">
      <c r="B42" s="2987" t="s">
        <v>6532</v>
      </c>
      <c r="C42" s="3010" t="s">
        <v>3775</v>
      </c>
      <c r="D42" s="3002">
        <v>61600</v>
      </c>
      <c r="E42" s="3002"/>
      <c r="F42" s="3002"/>
      <c r="G42" s="3007">
        <f t="shared" si="3"/>
        <v>61600</v>
      </c>
      <c r="H42" s="3002">
        <f t="shared" si="4"/>
        <v>61600</v>
      </c>
      <c r="I42" s="3002"/>
      <c r="J42" s="3002"/>
      <c r="K42" s="3008">
        <f>+G42</f>
        <v>61600</v>
      </c>
      <c r="L42" s="3002"/>
      <c r="M42" s="3002"/>
      <c r="N42" s="3009"/>
    </row>
    <row r="43" spans="2:14">
      <c r="B43" s="1495" t="s">
        <v>6991</v>
      </c>
      <c r="C43" s="3010" t="s">
        <v>3778</v>
      </c>
      <c r="D43" s="3002">
        <v>83286.39</v>
      </c>
      <c r="E43" s="3002"/>
      <c r="F43" s="3002"/>
      <c r="G43" s="3007">
        <f t="shared" si="3"/>
        <v>83286.39</v>
      </c>
      <c r="H43" s="3002">
        <f t="shared" si="4"/>
        <v>83286.39</v>
      </c>
      <c r="I43" s="3002"/>
      <c r="J43" s="3002">
        <f>+G43</f>
        <v>83286.39</v>
      </c>
      <c r="K43" s="3008"/>
      <c r="L43" s="3002"/>
      <c r="M43" s="3002"/>
      <c r="N43" s="3009"/>
    </row>
    <row r="44" spans="2:14">
      <c r="B44" s="2987" t="s">
        <v>6533</v>
      </c>
      <c r="C44" s="3010" t="s">
        <v>3778</v>
      </c>
      <c r="D44" s="3002">
        <v>200000</v>
      </c>
      <c r="E44" s="3002"/>
      <c r="F44" s="3002"/>
      <c r="G44" s="3007">
        <f t="shared" si="3"/>
        <v>200000</v>
      </c>
      <c r="H44" s="3002">
        <f t="shared" si="4"/>
        <v>200000</v>
      </c>
      <c r="I44" s="3002"/>
      <c r="J44" s="3002"/>
      <c r="K44" s="3008">
        <f>+G44</f>
        <v>200000</v>
      </c>
      <c r="L44" s="3011"/>
      <c r="M44" s="3011"/>
      <c r="N44" s="3009"/>
    </row>
    <row r="45" spans="2:14">
      <c r="B45" s="3012" t="s">
        <v>6618</v>
      </c>
      <c r="C45" s="3010" t="s">
        <v>881</v>
      </c>
      <c r="D45" s="3002">
        <v>28000</v>
      </c>
      <c r="E45" s="3002"/>
      <c r="F45" s="3013">
        <v>2000</v>
      </c>
      <c r="G45" s="3007">
        <f t="shared" si="3"/>
        <v>26000</v>
      </c>
      <c r="H45" s="3002">
        <f t="shared" si="4"/>
        <v>26000</v>
      </c>
      <c r="I45" s="3002">
        <f t="shared" ref="I45:I50" si="6">G45</f>
        <v>26000</v>
      </c>
      <c r="J45" s="3002"/>
      <c r="K45" s="3008"/>
      <c r="L45" s="3002"/>
      <c r="M45" s="3002"/>
      <c r="N45" s="3009"/>
    </row>
    <row r="46" spans="2:14">
      <c r="B46" s="2987" t="s">
        <v>6690</v>
      </c>
      <c r="C46" s="3010" t="s">
        <v>881</v>
      </c>
      <c r="D46" s="3002">
        <v>16000</v>
      </c>
      <c r="E46" s="3002"/>
      <c r="F46" s="3002"/>
      <c r="G46" s="3007">
        <f t="shared" si="3"/>
        <v>16000</v>
      </c>
      <c r="H46" s="3002">
        <f t="shared" si="4"/>
        <v>16000</v>
      </c>
      <c r="I46" s="3002"/>
      <c r="J46" s="3002"/>
      <c r="K46" s="3008">
        <f>+G46</f>
        <v>16000</v>
      </c>
      <c r="L46" s="3002"/>
      <c r="M46" s="3002"/>
      <c r="N46" s="3009"/>
    </row>
    <row r="47" spans="2:14">
      <c r="B47" s="2987" t="s">
        <v>6535</v>
      </c>
      <c r="C47" s="3010" t="s">
        <v>606</v>
      </c>
      <c r="D47" s="3002">
        <v>2360</v>
      </c>
      <c r="E47" s="3013">
        <v>250</v>
      </c>
      <c r="F47" s="3002"/>
      <c r="G47" s="3007">
        <f t="shared" si="3"/>
        <v>2610</v>
      </c>
      <c r="H47" s="3002">
        <f t="shared" si="4"/>
        <v>2610</v>
      </c>
      <c r="I47" s="3002"/>
      <c r="J47" s="3002"/>
      <c r="K47" s="3008">
        <f>+G47</f>
        <v>2610</v>
      </c>
      <c r="L47" s="3002"/>
      <c r="M47" s="3002"/>
      <c r="N47" s="3009"/>
    </row>
    <row r="48" spans="2:14">
      <c r="B48" s="1495" t="s">
        <v>6992</v>
      </c>
      <c r="C48" s="3010" t="s">
        <v>6691</v>
      </c>
      <c r="D48" s="3002">
        <v>0</v>
      </c>
      <c r="E48" s="3006">
        <v>2509.8200000000002</v>
      </c>
      <c r="F48" s="3002"/>
      <c r="G48" s="3007">
        <f t="shared" si="3"/>
        <v>2509.8200000000002</v>
      </c>
      <c r="H48" s="3002">
        <f t="shared" ref="H48" si="7">+SUM(I48:M48)</f>
        <v>2509.8200000000002</v>
      </c>
      <c r="I48" s="3002"/>
      <c r="J48" s="3002">
        <f>+G48</f>
        <v>2509.8200000000002</v>
      </c>
      <c r="K48" s="3008"/>
      <c r="L48" s="3002"/>
      <c r="M48" s="3002"/>
      <c r="N48" s="3009"/>
    </row>
    <row r="49" spans="2:14">
      <c r="B49" s="2987" t="s">
        <v>6536</v>
      </c>
      <c r="C49" s="3010" t="s">
        <v>6691</v>
      </c>
      <c r="D49" s="3002">
        <v>2564.8000000000002</v>
      </c>
      <c r="E49" s="3002"/>
      <c r="F49" s="3006">
        <v>2564.8000000000002</v>
      </c>
      <c r="G49" s="3007">
        <f t="shared" si="3"/>
        <v>0</v>
      </c>
      <c r="H49" s="3002">
        <f t="shared" si="4"/>
        <v>0</v>
      </c>
      <c r="I49" s="3002"/>
      <c r="J49" s="3002"/>
      <c r="K49" s="3008">
        <f>+G49</f>
        <v>0</v>
      </c>
      <c r="L49" s="3002"/>
      <c r="M49" s="3002"/>
      <c r="N49" s="3009"/>
    </row>
    <row r="50" spans="2:14">
      <c r="B50" s="3012" t="s">
        <v>5012</v>
      </c>
      <c r="C50" s="3010" t="s">
        <v>6692</v>
      </c>
      <c r="D50" s="3002">
        <v>1292.4000000000001</v>
      </c>
      <c r="E50" s="3002"/>
      <c r="F50" s="3002"/>
      <c r="G50" s="3007">
        <f t="shared" si="3"/>
        <v>1292.4000000000001</v>
      </c>
      <c r="H50" s="3002">
        <f t="shared" si="4"/>
        <v>1292.4000000000001</v>
      </c>
      <c r="I50" s="3002">
        <f t="shared" si="6"/>
        <v>1292.4000000000001</v>
      </c>
      <c r="J50" s="3002"/>
      <c r="K50" s="3008"/>
      <c r="L50" s="3002"/>
      <c r="M50" s="3002"/>
      <c r="N50" s="3009"/>
    </row>
    <row r="51" spans="2:14">
      <c r="B51" s="2987" t="s">
        <v>5075</v>
      </c>
      <c r="C51" s="3010" t="s">
        <v>6692</v>
      </c>
      <c r="D51" s="3002">
        <v>13529.36</v>
      </c>
      <c r="E51" s="3006">
        <f>13160+3139.7+100+3144.06-200</f>
        <v>19343.760000000002</v>
      </c>
      <c r="F51" s="3013">
        <v>234.08</v>
      </c>
      <c r="G51" s="3007">
        <f t="shared" si="3"/>
        <v>32639.040000000001</v>
      </c>
      <c r="H51" s="3002">
        <f>+SUM(I51:M51)</f>
        <v>32639.040000000001</v>
      </c>
      <c r="I51" s="3002"/>
      <c r="J51" s="3002"/>
      <c r="K51" s="3008">
        <f>G51</f>
        <v>32639.040000000001</v>
      </c>
      <c r="L51" s="3002"/>
      <c r="M51" s="3002"/>
      <c r="N51" s="3009"/>
    </row>
    <row r="52" spans="2:14">
      <c r="B52" s="1495" t="s">
        <v>6993</v>
      </c>
      <c r="C52" s="3010" t="s">
        <v>471</v>
      </c>
      <c r="D52" s="3002">
        <v>0</v>
      </c>
      <c r="E52" s="3013">
        <v>34000</v>
      </c>
      <c r="F52" s="3002"/>
      <c r="G52" s="3007">
        <f t="shared" si="3"/>
        <v>34000</v>
      </c>
      <c r="H52" s="3002">
        <f t="shared" si="4"/>
        <v>34000</v>
      </c>
      <c r="I52" s="3002"/>
      <c r="J52" s="3002">
        <f>G52</f>
        <v>34000</v>
      </c>
      <c r="K52" s="3008"/>
      <c r="L52" s="3002"/>
      <c r="M52" s="3002"/>
      <c r="N52" s="3009"/>
    </row>
    <row r="53" spans="2:14">
      <c r="B53" s="2987" t="s">
        <v>6693</v>
      </c>
      <c r="C53" s="3010" t="s">
        <v>471</v>
      </c>
      <c r="D53" s="3002">
        <v>46220</v>
      </c>
      <c r="E53" s="3002"/>
      <c r="F53" s="3013">
        <f>11920+34000</f>
        <v>45920</v>
      </c>
      <c r="G53" s="3007">
        <f t="shared" si="3"/>
        <v>300</v>
      </c>
      <c r="H53" s="3002">
        <f t="shared" si="4"/>
        <v>300</v>
      </c>
      <c r="I53" s="3002"/>
      <c r="J53" s="3002"/>
      <c r="K53" s="3008">
        <f>+G53</f>
        <v>300</v>
      </c>
      <c r="L53" s="3002"/>
      <c r="M53" s="3002"/>
      <c r="N53" s="3009"/>
    </row>
    <row r="54" spans="2:14">
      <c r="B54" s="2987" t="s">
        <v>6540</v>
      </c>
      <c r="C54" s="3010" t="s">
        <v>2621</v>
      </c>
      <c r="D54" s="3002">
        <v>336703.85</v>
      </c>
      <c r="E54" s="3013">
        <v>190089.58</v>
      </c>
      <c r="F54" s="3013">
        <v>6000</v>
      </c>
      <c r="G54" s="3007">
        <f t="shared" si="3"/>
        <v>520793.42999999993</v>
      </c>
      <c r="H54" s="3002">
        <f t="shared" si="4"/>
        <v>520793.42999999993</v>
      </c>
      <c r="I54" s="3002"/>
      <c r="J54" s="3002"/>
      <c r="K54" s="3008">
        <f>+G54</f>
        <v>520793.42999999993</v>
      </c>
      <c r="L54" s="3002"/>
      <c r="M54" s="3002"/>
      <c r="N54" s="3009"/>
    </row>
    <row r="55" spans="2:14">
      <c r="B55" s="2987" t="s">
        <v>6694</v>
      </c>
      <c r="C55" s="3010" t="s">
        <v>841</v>
      </c>
      <c r="D55" s="3002">
        <v>29226.240000000002</v>
      </c>
      <c r="E55" s="3002"/>
      <c r="F55" s="3013">
        <v>8780.0400000000009</v>
      </c>
      <c r="G55" s="3007">
        <f t="shared" si="3"/>
        <v>20446.2</v>
      </c>
      <c r="H55" s="3002">
        <f t="shared" si="4"/>
        <v>20446.2</v>
      </c>
      <c r="I55" s="3002"/>
      <c r="J55" s="3002"/>
      <c r="K55" s="3008">
        <f>+G55</f>
        <v>20446.2</v>
      </c>
      <c r="L55" s="3002"/>
      <c r="M55" s="3002"/>
      <c r="N55" s="3009"/>
    </row>
    <row r="56" spans="2:14">
      <c r="B56" s="2987" t="s">
        <v>6541</v>
      </c>
      <c r="C56" s="3010" t="s">
        <v>5150</v>
      </c>
      <c r="D56" s="3002">
        <v>0</v>
      </c>
      <c r="E56" s="3002"/>
      <c r="F56" s="3002"/>
      <c r="G56" s="3007">
        <f t="shared" si="3"/>
        <v>0</v>
      </c>
      <c r="H56" s="3002">
        <f t="shared" si="4"/>
        <v>0</v>
      </c>
      <c r="I56" s="3002"/>
      <c r="J56" s="3002"/>
      <c r="K56" s="3008">
        <f t="shared" ref="K56:K64" si="8">+G56</f>
        <v>0</v>
      </c>
      <c r="L56" s="3002"/>
      <c r="M56" s="3002"/>
      <c r="N56" s="3009"/>
    </row>
    <row r="57" spans="2:14">
      <c r="B57" s="2987" t="s">
        <v>6542</v>
      </c>
      <c r="C57" s="3010" t="s">
        <v>6695</v>
      </c>
      <c r="D57" s="3002">
        <v>59844.68</v>
      </c>
      <c r="E57" s="3002"/>
      <c r="F57" s="3002"/>
      <c r="G57" s="3007">
        <f t="shared" si="3"/>
        <v>59844.68</v>
      </c>
      <c r="H57" s="3002">
        <f t="shared" si="4"/>
        <v>59844.68</v>
      </c>
      <c r="I57" s="3002"/>
      <c r="J57" s="3002"/>
      <c r="K57" s="3008">
        <f t="shared" si="8"/>
        <v>59844.68</v>
      </c>
      <c r="L57" s="3002"/>
      <c r="M57" s="3002"/>
      <c r="N57" s="3009"/>
    </row>
    <row r="58" spans="2:14">
      <c r="B58" s="2987" t="s">
        <v>6696</v>
      </c>
      <c r="C58" s="3010" t="s">
        <v>6697</v>
      </c>
      <c r="D58" s="3002">
        <v>37040</v>
      </c>
      <c r="E58" s="3002"/>
      <c r="F58" s="3002"/>
      <c r="G58" s="3007">
        <f t="shared" si="3"/>
        <v>37040</v>
      </c>
      <c r="H58" s="3002">
        <f t="shared" si="4"/>
        <v>37040</v>
      </c>
      <c r="I58" s="3002"/>
      <c r="J58" s="3002"/>
      <c r="K58" s="3008">
        <f t="shared" si="8"/>
        <v>37040</v>
      </c>
      <c r="L58" s="3002"/>
      <c r="M58" s="3002"/>
      <c r="N58" s="3009"/>
    </row>
    <row r="59" spans="2:14">
      <c r="B59" s="2987" t="s">
        <v>6543</v>
      </c>
      <c r="C59" s="3010" t="s">
        <v>27</v>
      </c>
      <c r="D59" s="3002">
        <v>6000</v>
      </c>
      <c r="E59" s="3013">
        <f>300+6000</f>
        <v>6300</v>
      </c>
      <c r="F59" s="3002"/>
      <c r="G59" s="3007">
        <f t="shared" si="3"/>
        <v>12300</v>
      </c>
      <c r="H59" s="3002">
        <f t="shared" si="4"/>
        <v>12300</v>
      </c>
      <c r="I59" s="3002"/>
      <c r="J59" s="3002"/>
      <c r="K59" s="3008">
        <f t="shared" si="8"/>
        <v>12300</v>
      </c>
      <c r="L59" s="3002"/>
      <c r="M59" s="3002"/>
      <c r="N59" s="3009"/>
    </row>
    <row r="60" spans="2:14">
      <c r="B60" s="2987" t="s">
        <v>6544</v>
      </c>
      <c r="C60" s="3010" t="s">
        <v>1507</v>
      </c>
      <c r="D60" s="3002">
        <v>4000</v>
      </c>
      <c r="E60" s="3013">
        <v>4000</v>
      </c>
      <c r="F60" s="3002"/>
      <c r="G60" s="3007">
        <f t="shared" si="3"/>
        <v>8000</v>
      </c>
      <c r="H60" s="3002">
        <f t="shared" si="4"/>
        <v>8000</v>
      </c>
      <c r="I60" s="3002"/>
      <c r="J60" s="3002"/>
      <c r="K60" s="3008">
        <f t="shared" si="8"/>
        <v>8000</v>
      </c>
      <c r="L60" s="3002"/>
      <c r="M60" s="3002"/>
      <c r="N60" s="3009"/>
    </row>
    <row r="61" spans="2:14">
      <c r="B61" s="2987" t="s">
        <v>6545</v>
      </c>
      <c r="C61" s="3010" t="s">
        <v>29</v>
      </c>
      <c r="D61" s="3002">
        <v>10000</v>
      </c>
      <c r="E61" s="3013">
        <v>10000</v>
      </c>
      <c r="F61" s="3002"/>
      <c r="G61" s="3007">
        <f t="shared" si="3"/>
        <v>20000</v>
      </c>
      <c r="H61" s="3002">
        <f t="shared" si="4"/>
        <v>20000</v>
      </c>
      <c r="I61" s="3002"/>
      <c r="J61" s="3002"/>
      <c r="K61" s="3008">
        <f t="shared" si="8"/>
        <v>20000</v>
      </c>
      <c r="L61" s="3002"/>
      <c r="M61" s="3002"/>
      <c r="N61" s="3009"/>
    </row>
    <row r="62" spans="2:14">
      <c r="B62" s="2987" t="s">
        <v>6546</v>
      </c>
      <c r="C62" s="3010" t="s">
        <v>30</v>
      </c>
      <c r="D62" s="3002">
        <v>8400</v>
      </c>
      <c r="E62" s="3002"/>
      <c r="F62" s="3002"/>
      <c r="G62" s="3007">
        <f t="shared" si="3"/>
        <v>8400</v>
      </c>
      <c r="H62" s="3002">
        <f t="shared" si="4"/>
        <v>8400</v>
      </c>
      <c r="I62" s="3002"/>
      <c r="J62" s="3002"/>
      <c r="K62" s="3008">
        <f t="shared" si="8"/>
        <v>8400</v>
      </c>
      <c r="L62" s="3002"/>
      <c r="M62" s="3002"/>
      <c r="N62" s="3009"/>
    </row>
    <row r="63" spans="2:14">
      <c r="B63" s="3014" t="s">
        <v>6643</v>
      </c>
      <c r="C63" s="3010" t="s">
        <v>6698</v>
      </c>
      <c r="D63" s="3002">
        <v>0</v>
      </c>
      <c r="E63" s="3006">
        <v>8801.91</v>
      </c>
      <c r="F63" s="3002"/>
      <c r="G63" s="3007">
        <f t="shared" si="3"/>
        <v>8801.91</v>
      </c>
      <c r="H63" s="3002">
        <f t="shared" si="4"/>
        <v>8801.91</v>
      </c>
      <c r="I63" s="3002"/>
      <c r="J63" s="3002">
        <f>G63</f>
        <v>8801.91</v>
      </c>
      <c r="K63" s="3008"/>
      <c r="L63" s="3002"/>
      <c r="M63" s="3002"/>
      <c r="N63" s="3009"/>
    </row>
    <row r="64" spans="2:14">
      <c r="B64" s="2987" t="s">
        <v>6547</v>
      </c>
      <c r="C64" s="3010" t="s">
        <v>6698</v>
      </c>
      <c r="D64" s="3002">
        <v>7120.02</v>
      </c>
      <c r="E64" s="3013">
        <f>4879.98</f>
        <v>4879.9799999999996</v>
      </c>
      <c r="F64" s="3002"/>
      <c r="G64" s="3007">
        <f t="shared" si="3"/>
        <v>12000</v>
      </c>
      <c r="H64" s="3002">
        <f t="shared" si="4"/>
        <v>12000</v>
      </c>
      <c r="I64" s="3002"/>
      <c r="J64" s="3002"/>
      <c r="K64" s="3008">
        <f t="shared" si="8"/>
        <v>12000</v>
      </c>
      <c r="L64" s="3002"/>
      <c r="M64" s="3002"/>
      <c r="N64" s="3009"/>
    </row>
    <row r="65" spans="2:14">
      <c r="B65" s="3012" t="s">
        <v>6699</v>
      </c>
      <c r="C65" s="3010" t="s">
        <v>281</v>
      </c>
      <c r="D65" s="3002">
        <v>0</v>
      </c>
      <c r="E65" s="3002"/>
      <c r="F65" s="3002"/>
      <c r="G65" s="3007">
        <f t="shared" si="3"/>
        <v>0</v>
      </c>
      <c r="H65" s="3002">
        <f t="shared" si="4"/>
        <v>0</v>
      </c>
      <c r="I65" s="3002">
        <f>+G65</f>
        <v>0</v>
      </c>
      <c r="J65" s="3002"/>
      <c r="K65" s="3008"/>
      <c r="L65" s="3002"/>
      <c r="M65" s="3002"/>
      <c r="N65" s="3009"/>
    </row>
    <row r="66" spans="2:14">
      <c r="B66" s="3014" t="s">
        <v>6700</v>
      </c>
      <c r="C66" s="3010" t="s">
        <v>281</v>
      </c>
      <c r="D66" s="3002">
        <v>78060</v>
      </c>
      <c r="E66" s="3013">
        <v>581.76</v>
      </c>
      <c r="F66" s="3002"/>
      <c r="G66" s="3007">
        <f t="shared" si="3"/>
        <v>78641.759999999995</v>
      </c>
      <c r="H66" s="3002">
        <f t="shared" si="4"/>
        <v>78641.759999999995</v>
      </c>
      <c r="I66" s="3002"/>
      <c r="J66" s="3002">
        <f>+G66</f>
        <v>78641.759999999995</v>
      </c>
      <c r="K66" s="3008"/>
      <c r="L66" s="3002"/>
      <c r="M66" s="3002"/>
      <c r="N66" s="3009"/>
    </row>
    <row r="67" spans="2:14">
      <c r="B67" s="2987" t="s">
        <v>6701</v>
      </c>
      <c r="C67" s="3010" t="s">
        <v>281</v>
      </c>
      <c r="D67" s="3002">
        <v>188661.76000000001</v>
      </c>
      <c r="E67" s="3013">
        <f>400+1500</f>
        <v>1900</v>
      </c>
      <c r="F67" s="3006">
        <f>165173.78+2240+6720.11</f>
        <v>174133.88999999998</v>
      </c>
      <c r="G67" s="3007">
        <f t="shared" si="3"/>
        <v>16427.870000000024</v>
      </c>
      <c r="H67" s="3002">
        <f t="shared" si="4"/>
        <v>16427.870000000024</v>
      </c>
      <c r="I67" s="3002"/>
      <c r="J67" s="3002"/>
      <c r="K67" s="3008">
        <f>+G67</f>
        <v>16427.870000000024</v>
      </c>
      <c r="L67" s="3002"/>
      <c r="M67" s="3002"/>
      <c r="N67" s="3009"/>
    </row>
    <row r="68" spans="2:14">
      <c r="B68" s="2987" t="s">
        <v>6702</v>
      </c>
      <c r="C68" s="3010" t="s">
        <v>6703</v>
      </c>
      <c r="D68" s="3002">
        <v>15000</v>
      </c>
      <c r="E68" s="3013">
        <v>340</v>
      </c>
      <c r="F68" s="3002"/>
      <c r="G68" s="3007">
        <f t="shared" si="3"/>
        <v>15340</v>
      </c>
      <c r="H68" s="3002">
        <f t="shared" si="4"/>
        <v>15340</v>
      </c>
      <c r="I68" s="3002"/>
      <c r="J68" s="3002"/>
      <c r="K68" s="3008">
        <f>+G68</f>
        <v>15340</v>
      </c>
      <c r="L68" s="3002"/>
      <c r="M68" s="3002"/>
      <c r="N68" s="3009"/>
    </row>
    <row r="69" spans="2:14">
      <c r="B69" s="2987" t="s">
        <v>6706</v>
      </c>
      <c r="C69" s="3010" t="s">
        <v>6705</v>
      </c>
      <c r="D69" s="3002">
        <v>33098.43</v>
      </c>
      <c r="E69" s="3013">
        <v>250</v>
      </c>
      <c r="F69" s="3002"/>
      <c r="G69" s="3007">
        <f t="shared" si="3"/>
        <v>33348.43</v>
      </c>
      <c r="H69" s="3002">
        <f t="shared" si="4"/>
        <v>33348.43</v>
      </c>
      <c r="I69" s="3002"/>
      <c r="J69" s="3002"/>
      <c r="K69" s="3008">
        <f>+G69</f>
        <v>33348.43</v>
      </c>
      <c r="L69" s="3002"/>
      <c r="M69" s="3002"/>
      <c r="N69" s="3009"/>
    </row>
    <row r="70" spans="2:14">
      <c r="B70" s="3014" t="s">
        <v>6707</v>
      </c>
      <c r="C70" s="3010" t="s">
        <v>3855</v>
      </c>
      <c r="D70" s="3002">
        <v>6109.19</v>
      </c>
      <c r="E70" s="3002"/>
      <c r="F70" s="3002"/>
      <c r="G70" s="3007">
        <f>+D70+E70-F70</f>
        <v>6109.19</v>
      </c>
      <c r="H70" s="3002">
        <f>+SUM(I70:M70)</f>
        <v>6109.19</v>
      </c>
      <c r="I70" s="3002"/>
      <c r="J70" s="3002">
        <f>+G70</f>
        <v>6109.19</v>
      </c>
      <c r="K70" s="3008"/>
      <c r="L70" s="3002"/>
      <c r="M70" s="3002"/>
      <c r="N70" s="3009"/>
    </row>
    <row r="71" spans="2:14">
      <c r="B71" s="2987" t="s">
        <v>6550</v>
      </c>
      <c r="C71" s="3010" t="s">
        <v>3855</v>
      </c>
      <c r="D71" s="3002">
        <v>56000</v>
      </c>
      <c r="E71" s="3002"/>
      <c r="F71" s="3013">
        <v>3097.14</v>
      </c>
      <c r="G71" s="3007">
        <f t="shared" si="3"/>
        <v>52902.86</v>
      </c>
      <c r="H71" s="3002">
        <f t="shared" si="4"/>
        <v>52902.86</v>
      </c>
      <c r="I71" s="3002"/>
      <c r="J71" s="3002"/>
      <c r="K71" s="3008">
        <f t="shared" ref="K71:K81" si="9">+G71</f>
        <v>52902.86</v>
      </c>
      <c r="L71" s="3002"/>
      <c r="M71" s="3002"/>
      <c r="N71" s="3009"/>
    </row>
    <row r="72" spans="2:14">
      <c r="B72" s="2987" t="s">
        <v>6994</v>
      </c>
      <c r="C72" s="3010" t="s">
        <v>6995</v>
      </c>
      <c r="D72" s="3002">
        <v>0</v>
      </c>
      <c r="E72" s="3013">
        <v>200</v>
      </c>
      <c r="F72" s="3002"/>
      <c r="G72" s="3007">
        <f t="shared" si="3"/>
        <v>200</v>
      </c>
      <c r="H72" s="3002">
        <f t="shared" si="4"/>
        <v>200</v>
      </c>
      <c r="I72" s="3002"/>
      <c r="J72" s="3002"/>
      <c r="K72" s="3008">
        <f>+G72</f>
        <v>200</v>
      </c>
      <c r="L72" s="3002"/>
      <c r="M72" s="3002"/>
      <c r="N72" s="3009"/>
    </row>
    <row r="73" spans="2:14">
      <c r="B73" s="3012" t="s">
        <v>6996</v>
      </c>
      <c r="C73" s="3010" t="s">
        <v>6709</v>
      </c>
      <c r="D73" s="3002">
        <v>0</v>
      </c>
      <c r="E73" s="3013">
        <v>17474.61</v>
      </c>
      <c r="F73" s="3002"/>
      <c r="G73" s="3007">
        <f t="shared" si="3"/>
        <v>17474.61</v>
      </c>
      <c r="H73" s="3002">
        <f t="shared" si="4"/>
        <v>17474.61</v>
      </c>
      <c r="I73" s="3002">
        <f>G73</f>
        <v>17474.61</v>
      </c>
      <c r="J73" s="3002"/>
      <c r="K73" s="3008"/>
      <c r="L73" s="3002"/>
      <c r="M73" s="3002"/>
      <c r="N73" s="3009"/>
    </row>
    <row r="74" spans="2:14">
      <c r="B74" s="2987" t="s">
        <v>6708</v>
      </c>
      <c r="C74" s="3010" t="s">
        <v>6709</v>
      </c>
      <c r="D74" s="3002">
        <v>31807.16</v>
      </c>
      <c r="E74" s="3002"/>
      <c r="F74" s="3013">
        <v>31807.16</v>
      </c>
      <c r="G74" s="3007">
        <f t="shared" si="3"/>
        <v>0</v>
      </c>
      <c r="H74" s="3002">
        <f t="shared" si="4"/>
        <v>0</v>
      </c>
      <c r="I74" s="3002"/>
      <c r="J74" s="3002"/>
      <c r="K74" s="3008">
        <f t="shared" si="9"/>
        <v>0</v>
      </c>
      <c r="L74" s="3002"/>
      <c r="M74" s="3002"/>
      <c r="N74" s="3009"/>
    </row>
    <row r="75" spans="2:14">
      <c r="B75" s="2987" t="s">
        <v>6997</v>
      </c>
      <c r="C75" s="3010" t="s">
        <v>307</v>
      </c>
      <c r="D75" s="3002">
        <v>0</v>
      </c>
      <c r="E75" s="3013">
        <v>7056</v>
      </c>
      <c r="F75" s="3002"/>
      <c r="G75" s="3007">
        <f t="shared" si="3"/>
        <v>7056</v>
      </c>
      <c r="H75" s="3002">
        <f t="shared" si="4"/>
        <v>7056</v>
      </c>
      <c r="I75" s="3002"/>
      <c r="J75" s="3002"/>
      <c r="K75" s="3008">
        <f t="shared" si="9"/>
        <v>7056</v>
      </c>
      <c r="L75" s="3002"/>
      <c r="M75" s="3002"/>
      <c r="N75" s="3009"/>
    </row>
    <row r="76" spans="2:14">
      <c r="B76" s="2987" t="s">
        <v>6552</v>
      </c>
      <c r="C76" s="3010" t="s">
        <v>6710</v>
      </c>
      <c r="D76" s="3002">
        <v>30016</v>
      </c>
      <c r="E76" s="3002"/>
      <c r="F76" s="3013">
        <v>30016</v>
      </c>
      <c r="G76" s="3007">
        <f t="shared" si="3"/>
        <v>0</v>
      </c>
      <c r="H76" s="3002">
        <f t="shared" si="4"/>
        <v>0</v>
      </c>
      <c r="I76" s="3002"/>
      <c r="J76" s="3002"/>
      <c r="K76" s="3008">
        <f t="shared" si="9"/>
        <v>0</v>
      </c>
      <c r="L76" s="3002"/>
      <c r="M76" s="3002"/>
      <c r="N76" s="3009"/>
    </row>
    <row r="77" spans="2:14">
      <c r="B77" s="2987" t="s">
        <v>6553</v>
      </c>
      <c r="C77" s="3010" t="s">
        <v>2507</v>
      </c>
      <c r="D77" s="3002">
        <v>6369.99</v>
      </c>
      <c r="E77" s="3002"/>
      <c r="F77" s="3002">
        <v>3848.56</v>
      </c>
      <c r="G77" s="3007">
        <f t="shared" si="3"/>
        <v>2521.4299999999998</v>
      </c>
      <c r="H77" s="3002">
        <f t="shared" si="4"/>
        <v>2521.4299999999998</v>
      </c>
      <c r="I77" s="3002"/>
      <c r="J77" s="3002"/>
      <c r="K77" s="3008">
        <f t="shared" si="9"/>
        <v>2521.4299999999998</v>
      </c>
      <c r="L77" s="3002"/>
      <c r="M77" s="3002"/>
      <c r="N77" s="3009"/>
    </row>
    <row r="78" spans="2:14">
      <c r="B78" s="3012" t="s">
        <v>6601</v>
      </c>
      <c r="C78" s="3010" t="s">
        <v>1360</v>
      </c>
      <c r="D78" s="3002">
        <v>0</v>
      </c>
      <c r="E78" s="3013">
        <v>12060.16</v>
      </c>
      <c r="F78" s="3002"/>
      <c r="G78" s="3007">
        <f t="shared" si="3"/>
        <v>12060.16</v>
      </c>
      <c r="H78" s="3002">
        <f t="shared" si="4"/>
        <v>12060.16</v>
      </c>
      <c r="I78" s="3002">
        <f>+G78</f>
        <v>12060.16</v>
      </c>
      <c r="J78" s="3002"/>
      <c r="K78" s="3008"/>
      <c r="L78" s="3002"/>
      <c r="M78" s="3002"/>
      <c r="N78" s="3009"/>
    </row>
    <row r="79" spans="2:14">
      <c r="B79" s="2987" t="s">
        <v>6603</v>
      </c>
      <c r="C79" s="3010" t="s">
        <v>1360</v>
      </c>
      <c r="D79" s="3002">
        <v>6000</v>
      </c>
      <c r="E79" s="3013">
        <v>6000</v>
      </c>
      <c r="F79" s="3002"/>
      <c r="G79" s="3007">
        <f t="shared" si="3"/>
        <v>12000</v>
      </c>
      <c r="H79" s="3002">
        <f t="shared" si="4"/>
        <v>12000</v>
      </c>
      <c r="I79" s="3002"/>
      <c r="J79" s="3002"/>
      <c r="K79" s="3008">
        <f t="shared" si="9"/>
        <v>12000</v>
      </c>
      <c r="L79" s="3002"/>
      <c r="M79" s="3002"/>
      <c r="N79" s="3009"/>
    </row>
    <row r="80" spans="2:14">
      <c r="B80" s="2987" t="s">
        <v>6555</v>
      </c>
      <c r="C80" s="3010" t="s">
        <v>1665</v>
      </c>
      <c r="D80" s="3002">
        <v>1008</v>
      </c>
      <c r="E80" s="3002"/>
      <c r="F80" s="3013">
        <v>1008</v>
      </c>
      <c r="G80" s="3007">
        <f t="shared" si="3"/>
        <v>0</v>
      </c>
      <c r="H80" s="3002">
        <f t="shared" si="4"/>
        <v>0</v>
      </c>
      <c r="I80" s="3002"/>
      <c r="J80" s="3002"/>
      <c r="K80" s="3008">
        <f t="shared" si="9"/>
        <v>0</v>
      </c>
      <c r="L80" s="3002"/>
      <c r="M80" s="3002"/>
      <c r="N80" s="3009"/>
    </row>
    <row r="81" spans="2:14">
      <c r="B81" s="2987" t="s">
        <v>6556</v>
      </c>
      <c r="C81" s="3010" t="s">
        <v>148</v>
      </c>
      <c r="D81" s="3002">
        <v>672</v>
      </c>
      <c r="E81" s="3013">
        <v>250</v>
      </c>
      <c r="F81" s="3002"/>
      <c r="G81" s="3007">
        <f t="shared" si="3"/>
        <v>922</v>
      </c>
      <c r="H81" s="3002">
        <f t="shared" si="4"/>
        <v>922</v>
      </c>
      <c r="I81" s="3002"/>
      <c r="J81" s="3002"/>
      <c r="K81" s="3008">
        <f t="shared" si="9"/>
        <v>922</v>
      </c>
      <c r="L81" s="3002"/>
      <c r="M81" s="3002"/>
      <c r="N81" s="3009"/>
    </row>
    <row r="82" spans="2:14">
      <c r="B82" s="3012" t="s">
        <v>6711</v>
      </c>
      <c r="C82" s="3010" t="s">
        <v>6712</v>
      </c>
      <c r="D82" s="3002">
        <v>287.08</v>
      </c>
      <c r="E82" s="3002"/>
      <c r="F82" s="3002"/>
      <c r="G82" s="3007">
        <f t="shared" si="3"/>
        <v>287.08</v>
      </c>
      <c r="H82" s="3002">
        <f t="shared" ref="H82" si="10">+SUM(I82:M82)</f>
        <v>287.08</v>
      </c>
      <c r="I82" s="3015">
        <f>+G82</f>
        <v>287.08</v>
      </c>
      <c r="J82" s="3016"/>
      <c r="K82" s="3008"/>
      <c r="L82" s="3002"/>
      <c r="M82" s="3002"/>
      <c r="N82" s="3009"/>
    </row>
    <row r="83" spans="2:14">
      <c r="B83" s="2987" t="s">
        <v>6557</v>
      </c>
      <c r="C83" s="3010" t="s">
        <v>6712</v>
      </c>
      <c r="D83" s="3002">
        <v>65466</v>
      </c>
      <c r="E83" s="3013">
        <v>8000</v>
      </c>
      <c r="F83" s="3002"/>
      <c r="G83" s="3007">
        <f t="shared" si="3"/>
        <v>73466</v>
      </c>
      <c r="H83" s="3002">
        <f t="shared" si="4"/>
        <v>73466</v>
      </c>
      <c r="I83" s="3015"/>
      <c r="J83" s="3016"/>
      <c r="K83" s="3008">
        <f t="shared" ref="K83:K90" si="11">+G83</f>
        <v>73466</v>
      </c>
      <c r="L83" s="3002"/>
      <c r="M83" s="3002"/>
      <c r="N83" s="3009"/>
    </row>
    <row r="84" spans="2:14">
      <c r="B84" s="2987" t="s">
        <v>6558</v>
      </c>
      <c r="C84" s="3010" t="s">
        <v>3862</v>
      </c>
      <c r="D84" s="3002">
        <v>10000</v>
      </c>
      <c r="E84" s="3002"/>
      <c r="F84" s="3002"/>
      <c r="G84" s="3007">
        <f t="shared" si="3"/>
        <v>10000</v>
      </c>
      <c r="H84" s="3002">
        <f t="shared" ref="H84:H119" si="12">+SUM(I84:M84)</f>
        <v>10000</v>
      </c>
      <c r="I84" s="3015"/>
      <c r="J84" s="3016"/>
      <c r="K84" s="3008">
        <f t="shared" si="11"/>
        <v>10000</v>
      </c>
      <c r="L84" s="3002"/>
      <c r="M84" s="3002"/>
      <c r="N84" s="3009"/>
    </row>
    <row r="85" spans="2:14">
      <c r="B85" s="3012" t="s">
        <v>6803</v>
      </c>
      <c r="C85" s="3010" t="s">
        <v>2003</v>
      </c>
      <c r="D85" s="3002">
        <v>0</v>
      </c>
      <c r="E85" s="3013">
        <v>30</v>
      </c>
      <c r="F85" s="3002"/>
      <c r="G85" s="3007">
        <f t="shared" si="3"/>
        <v>30</v>
      </c>
      <c r="H85" s="3002">
        <f t="shared" si="12"/>
        <v>30</v>
      </c>
      <c r="I85" s="3015">
        <f>+G85</f>
        <v>30</v>
      </c>
      <c r="J85" s="3016"/>
      <c r="K85" s="3008"/>
      <c r="L85" s="3002"/>
      <c r="M85" s="3002"/>
      <c r="N85" s="3009"/>
    </row>
    <row r="86" spans="2:14">
      <c r="B86" s="3014" t="s">
        <v>6713</v>
      </c>
      <c r="C86" s="3010" t="s">
        <v>2003</v>
      </c>
      <c r="D86" s="3002">
        <v>16877.28</v>
      </c>
      <c r="E86" s="3002"/>
      <c r="F86" s="3006">
        <v>61.09</v>
      </c>
      <c r="G86" s="3007">
        <f t="shared" si="3"/>
        <v>16816.189999999999</v>
      </c>
      <c r="H86" s="3002">
        <f t="shared" si="12"/>
        <v>16816.189999999999</v>
      </c>
      <c r="I86" s="3015"/>
      <c r="J86" s="3016">
        <f>+G86</f>
        <v>16816.189999999999</v>
      </c>
      <c r="K86" s="3008"/>
      <c r="L86" s="3002"/>
      <c r="M86" s="3002"/>
      <c r="N86" s="3009"/>
    </row>
    <row r="87" spans="2:14">
      <c r="B87" s="2987" t="s">
        <v>6714</v>
      </c>
      <c r="C87" s="3010" t="s">
        <v>2003</v>
      </c>
      <c r="D87" s="3002">
        <v>0</v>
      </c>
      <c r="E87" s="3002"/>
      <c r="F87" s="3002"/>
      <c r="G87" s="3007">
        <f t="shared" si="3"/>
        <v>0</v>
      </c>
      <c r="H87" s="3002">
        <f t="shared" si="12"/>
        <v>0</v>
      </c>
      <c r="I87" s="3015"/>
      <c r="J87" s="3016"/>
      <c r="K87" s="3008">
        <f t="shared" si="11"/>
        <v>0</v>
      </c>
      <c r="L87" s="3002"/>
      <c r="M87" s="3002"/>
      <c r="N87" s="3009"/>
    </row>
    <row r="88" spans="2:14">
      <c r="B88" s="2987" t="s">
        <v>6561</v>
      </c>
      <c r="C88" s="3010" t="s">
        <v>3817</v>
      </c>
      <c r="D88" s="3002">
        <v>14560</v>
      </c>
      <c r="E88" s="3013">
        <f>100</f>
        <v>100</v>
      </c>
      <c r="F88" s="3002"/>
      <c r="G88" s="3007">
        <f t="shared" si="3"/>
        <v>14660</v>
      </c>
      <c r="H88" s="3002">
        <f t="shared" si="12"/>
        <v>14660</v>
      </c>
      <c r="I88" s="3002"/>
      <c r="J88" s="3015"/>
      <c r="K88" s="3008">
        <f t="shared" si="11"/>
        <v>14660</v>
      </c>
      <c r="L88" s="3002"/>
      <c r="M88" s="3002"/>
      <c r="N88" s="3009"/>
    </row>
    <row r="89" spans="2:14">
      <c r="B89" s="2987" t="s">
        <v>6715</v>
      </c>
      <c r="C89" s="3010" t="s">
        <v>1006</v>
      </c>
      <c r="D89" s="3002">
        <v>39700</v>
      </c>
      <c r="E89" s="3002"/>
      <c r="F89" s="3013">
        <v>26320</v>
      </c>
      <c r="G89" s="3007">
        <f>+D89+E89-F89</f>
        <v>13380</v>
      </c>
      <c r="H89" s="3002">
        <f t="shared" si="12"/>
        <v>13380</v>
      </c>
      <c r="I89" s="3002"/>
      <c r="J89" s="3002"/>
      <c r="K89" s="3008">
        <f t="shared" si="11"/>
        <v>13380</v>
      </c>
      <c r="L89" s="3002"/>
      <c r="M89" s="3002"/>
      <c r="N89" s="3009"/>
    </row>
    <row r="90" spans="2:14">
      <c r="B90" s="2987" t="s">
        <v>6563</v>
      </c>
      <c r="C90" s="3010" t="s">
        <v>956</v>
      </c>
      <c r="D90" s="3002">
        <v>13767.94</v>
      </c>
      <c r="E90" s="3002"/>
      <c r="F90" s="3013">
        <v>7000</v>
      </c>
      <c r="G90" s="3007">
        <f t="shared" si="3"/>
        <v>6767.9400000000005</v>
      </c>
      <c r="H90" s="3002">
        <f t="shared" si="12"/>
        <v>6767.9400000000005</v>
      </c>
      <c r="I90" s="3002"/>
      <c r="J90" s="3002"/>
      <c r="K90" s="3008">
        <f t="shared" si="11"/>
        <v>6767.9400000000005</v>
      </c>
      <c r="L90" s="3002"/>
      <c r="M90" s="3002"/>
      <c r="N90" s="3009"/>
    </row>
    <row r="91" spans="2:14">
      <c r="B91" s="3012" t="s">
        <v>6716</v>
      </c>
      <c r="C91" s="3010" t="s">
        <v>6717</v>
      </c>
      <c r="D91" s="3002">
        <v>0</v>
      </c>
      <c r="E91" s="3013">
        <v>600</v>
      </c>
      <c r="F91" s="3002"/>
      <c r="G91" s="3007">
        <f t="shared" si="3"/>
        <v>600</v>
      </c>
      <c r="H91" s="3002">
        <f t="shared" ref="H91:H92" si="13">+SUM(I91:M91)</f>
        <v>600</v>
      </c>
      <c r="I91" s="3002">
        <f>+G91</f>
        <v>600</v>
      </c>
      <c r="J91" s="3002"/>
      <c r="K91" s="3008"/>
      <c r="L91" s="3002"/>
      <c r="M91" s="3002"/>
      <c r="N91" s="3009"/>
    </row>
    <row r="92" spans="2:14">
      <c r="B92" s="2987" t="s">
        <v>6718</v>
      </c>
      <c r="C92" s="3010" t="s">
        <v>6717</v>
      </c>
      <c r="D92" s="3002">
        <v>25706.31</v>
      </c>
      <c r="E92" s="3013">
        <v>300</v>
      </c>
      <c r="F92" s="3002"/>
      <c r="G92" s="3007">
        <f t="shared" si="3"/>
        <v>26006.31</v>
      </c>
      <c r="H92" s="3002">
        <f t="shared" si="13"/>
        <v>26006.31</v>
      </c>
      <c r="I92" s="3002"/>
      <c r="J92" s="3002"/>
      <c r="K92" s="3008">
        <f>+G92</f>
        <v>26006.31</v>
      </c>
      <c r="L92" s="3002"/>
      <c r="M92" s="3002"/>
      <c r="N92" s="3009"/>
    </row>
    <row r="93" spans="2:14">
      <c r="B93" s="2987" t="s">
        <v>5375</v>
      </c>
      <c r="C93" s="3010" t="s">
        <v>1089</v>
      </c>
      <c r="D93" s="3002">
        <v>2901.38</v>
      </c>
      <c r="E93" s="3002"/>
      <c r="F93" s="3002"/>
      <c r="G93" s="3007">
        <f t="shared" si="3"/>
        <v>2901.38</v>
      </c>
      <c r="H93" s="3002">
        <f t="shared" ref="H93:H94" si="14">+SUM(I93:M93)</f>
        <v>2901.38</v>
      </c>
      <c r="I93" s="3002"/>
      <c r="J93" s="3002"/>
      <c r="K93" s="3008">
        <f>+G93</f>
        <v>2901.38</v>
      </c>
      <c r="L93" s="3002"/>
      <c r="M93" s="3002"/>
      <c r="N93" s="3009"/>
    </row>
    <row r="94" spans="2:14">
      <c r="B94" s="3012" t="s">
        <v>6608</v>
      </c>
      <c r="C94" s="3010" t="s">
        <v>2694</v>
      </c>
      <c r="D94" s="3002">
        <v>0</v>
      </c>
      <c r="E94" s="3006">
        <f>10197.6</f>
        <v>10197.6</v>
      </c>
      <c r="F94" s="3002"/>
      <c r="G94" s="3007">
        <f t="shared" si="3"/>
        <v>10197.6</v>
      </c>
      <c r="H94" s="3002">
        <f t="shared" si="14"/>
        <v>10197.6</v>
      </c>
      <c r="I94" s="3002">
        <f>+G94</f>
        <v>10197.6</v>
      </c>
      <c r="J94" s="3002"/>
      <c r="K94" s="3008"/>
      <c r="L94" s="3002"/>
      <c r="M94" s="3002"/>
      <c r="N94" s="3009"/>
    </row>
    <row r="95" spans="2:14">
      <c r="B95" s="2987" t="s">
        <v>6565</v>
      </c>
      <c r="C95" s="3010" t="s">
        <v>2694</v>
      </c>
      <c r="D95" s="3002">
        <v>2898.72</v>
      </c>
      <c r="E95" s="3013">
        <f>400</f>
        <v>400</v>
      </c>
      <c r="F95" s="3002"/>
      <c r="G95" s="3007">
        <f t="shared" si="3"/>
        <v>3298.72</v>
      </c>
      <c r="H95" s="3002">
        <f t="shared" si="12"/>
        <v>3298.72</v>
      </c>
      <c r="I95" s="3002"/>
      <c r="J95" s="3002"/>
      <c r="K95" s="3008">
        <f t="shared" ref="K95:K104" si="15">+G95</f>
        <v>3298.72</v>
      </c>
      <c r="L95" s="3002"/>
      <c r="M95" s="3002"/>
      <c r="N95" s="3009"/>
    </row>
    <row r="96" spans="2:14">
      <c r="B96" s="2987" t="s">
        <v>6808</v>
      </c>
      <c r="C96" s="3010" t="s">
        <v>4141</v>
      </c>
      <c r="D96" s="3002">
        <v>0</v>
      </c>
      <c r="E96" s="3013">
        <v>100</v>
      </c>
      <c r="F96" s="3002"/>
      <c r="G96" s="3007">
        <f t="shared" si="3"/>
        <v>100</v>
      </c>
      <c r="H96" s="3002">
        <f t="shared" si="12"/>
        <v>100</v>
      </c>
      <c r="I96" s="3002"/>
      <c r="J96" s="3002"/>
      <c r="K96" s="3008">
        <f t="shared" si="15"/>
        <v>100</v>
      </c>
      <c r="L96" s="3002"/>
      <c r="M96" s="3002"/>
      <c r="N96" s="3009"/>
    </row>
    <row r="97" spans="2:14">
      <c r="B97" s="2987" t="s">
        <v>6566</v>
      </c>
      <c r="C97" s="3010" t="s">
        <v>3341</v>
      </c>
      <c r="D97" s="3002">
        <v>869.12</v>
      </c>
      <c r="E97" s="3013">
        <v>2000</v>
      </c>
      <c r="F97" s="3002"/>
      <c r="G97" s="3007">
        <f t="shared" si="3"/>
        <v>2869.12</v>
      </c>
      <c r="H97" s="3002">
        <f t="shared" si="12"/>
        <v>2869.12</v>
      </c>
      <c r="I97" s="3002"/>
      <c r="J97" s="3002"/>
      <c r="K97" s="3008">
        <f t="shared" si="15"/>
        <v>2869.12</v>
      </c>
      <c r="L97" s="3002"/>
      <c r="M97" s="3002"/>
      <c r="N97" s="3009"/>
    </row>
    <row r="98" spans="2:14">
      <c r="B98" s="2987" t="s">
        <v>6998</v>
      </c>
      <c r="C98" s="3010" t="s">
        <v>6999</v>
      </c>
      <c r="D98" s="3002">
        <v>0</v>
      </c>
      <c r="E98" s="3013">
        <v>5000</v>
      </c>
      <c r="F98" s="3002"/>
      <c r="G98" s="3007">
        <f t="shared" si="3"/>
        <v>5000</v>
      </c>
      <c r="H98" s="3002">
        <f t="shared" si="12"/>
        <v>5000</v>
      </c>
      <c r="I98" s="3002"/>
      <c r="J98" s="3002"/>
      <c r="K98" s="3008">
        <f t="shared" si="15"/>
        <v>5000</v>
      </c>
      <c r="L98" s="3002"/>
      <c r="M98" s="3002"/>
      <c r="N98" s="3009"/>
    </row>
    <row r="99" spans="2:14">
      <c r="B99" s="2987" t="s">
        <v>6567</v>
      </c>
      <c r="C99" s="3010" t="s">
        <v>6568</v>
      </c>
      <c r="D99" s="3002">
        <v>0</v>
      </c>
      <c r="E99" s="3002"/>
      <c r="F99" s="3002"/>
      <c r="G99" s="3007">
        <f t="shared" si="3"/>
        <v>0</v>
      </c>
      <c r="H99" s="3002">
        <f t="shared" si="12"/>
        <v>0</v>
      </c>
      <c r="I99" s="3002"/>
      <c r="J99" s="3002"/>
      <c r="K99" s="3008">
        <f t="shared" si="15"/>
        <v>0</v>
      </c>
      <c r="L99" s="3002"/>
      <c r="M99" s="3002"/>
      <c r="N99" s="3009"/>
    </row>
    <row r="100" spans="2:14">
      <c r="B100" s="2987" t="s">
        <v>6721</v>
      </c>
      <c r="C100" s="3010" t="s">
        <v>39</v>
      </c>
      <c r="D100" s="3002">
        <v>1646.22</v>
      </c>
      <c r="E100" s="3002"/>
      <c r="F100" s="3002"/>
      <c r="G100" s="3007">
        <f t="shared" si="3"/>
        <v>1646.22</v>
      </c>
      <c r="H100" s="3002">
        <f t="shared" si="12"/>
        <v>1646.22</v>
      </c>
      <c r="I100" s="3002"/>
      <c r="J100" s="3002"/>
      <c r="K100" s="3008">
        <f t="shared" si="15"/>
        <v>1646.22</v>
      </c>
      <c r="L100" s="3002"/>
      <c r="M100" s="3002"/>
      <c r="N100" s="3009"/>
    </row>
    <row r="101" spans="2:14">
      <c r="B101" s="2987" t="s">
        <v>6570</v>
      </c>
      <c r="C101" s="3010" t="s">
        <v>4163</v>
      </c>
      <c r="D101" s="3002">
        <v>94.08</v>
      </c>
      <c r="E101" s="3002"/>
      <c r="F101" s="3002"/>
      <c r="G101" s="3007">
        <f>+D101+E101-F101</f>
        <v>94.08</v>
      </c>
      <c r="H101" s="3002">
        <f t="shared" si="12"/>
        <v>94.08</v>
      </c>
      <c r="I101" s="3002"/>
      <c r="J101" s="3002"/>
      <c r="K101" s="3008">
        <f t="shared" si="15"/>
        <v>94.08</v>
      </c>
      <c r="L101" s="3002"/>
      <c r="M101" s="3002"/>
      <c r="N101" s="3009"/>
    </row>
    <row r="102" spans="2:14">
      <c r="B102" s="2987" t="s">
        <v>6662</v>
      </c>
      <c r="C102" s="3010" t="s">
        <v>40</v>
      </c>
      <c r="D102" s="3002">
        <v>4250.8999999999996</v>
      </c>
      <c r="E102" s="3002"/>
      <c r="F102" s="3002"/>
      <c r="G102" s="3007">
        <f t="shared" si="3"/>
        <v>4250.8999999999996</v>
      </c>
      <c r="H102" s="3002">
        <f t="shared" si="12"/>
        <v>4250.8999999999996</v>
      </c>
      <c r="I102" s="3002"/>
      <c r="J102" s="3002"/>
      <c r="K102" s="3008">
        <f t="shared" si="15"/>
        <v>4250.8999999999996</v>
      </c>
      <c r="L102" s="3002"/>
      <c r="M102" s="3002"/>
      <c r="N102" s="3009"/>
    </row>
    <row r="103" spans="2:14">
      <c r="B103" s="2987" t="s">
        <v>6572</v>
      </c>
      <c r="C103" s="3010" t="s">
        <v>6722</v>
      </c>
      <c r="D103" s="3002">
        <v>7078.4</v>
      </c>
      <c r="E103" s="3002"/>
      <c r="F103" s="3013">
        <v>4457.6000000000004</v>
      </c>
      <c r="G103" s="3007">
        <f t="shared" si="3"/>
        <v>2620.7999999999993</v>
      </c>
      <c r="H103" s="3002">
        <f t="shared" si="12"/>
        <v>2620.7999999999993</v>
      </c>
      <c r="I103" s="3002"/>
      <c r="J103" s="3002"/>
      <c r="K103" s="3008">
        <f t="shared" si="15"/>
        <v>2620.7999999999993</v>
      </c>
      <c r="L103" s="3002"/>
      <c r="M103" s="3002"/>
      <c r="N103" s="3009"/>
    </row>
    <row r="104" spans="2:14">
      <c r="B104" s="2987" t="s">
        <v>6573</v>
      </c>
      <c r="C104" s="3010" t="s">
        <v>4183</v>
      </c>
      <c r="D104" s="3002">
        <v>3600</v>
      </c>
      <c r="E104" s="3002"/>
      <c r="F104" s="3013">
        <f>3360+40</f>
        <v>3400</v>
      </c>
      <c r="G104" s="3007">
        <f t="shared" si="3"/>
        <v>200</v>
      </c>
      <c r="H104" s="3002">
        <f t="shared" si="12"/>
        <v>200</v>
      </c>
      <c r="I104" s="3002"/>
      <c r="J104" s="3002"/>
      <c r="K104" s="3008">
        <f t="shared" si="15"/>
        <v>200</v>
      </c>
      <c r="L104" s="3002"/>
      <c r="M104" s="3002"/>
      <c r="N104" s="3009"/>
    </row>
    <row r="105" spans="2:14">
      <c r="B105" s="3014" t="s">
        <v>6575</v>
      </c>
      <c r="C105" s="3010" t="s">
        <v>6726</v>
      </c>
      <c r="D105" s="3002">
        <v>49163.64</v>
      </c>
      <c r="E105" s="3002"/>
      <c r="F105" s="3002"/>
      <c r="G105" s="3007">
        <f t="shared" si="3"/>
        <v>49163.64</v>
      </c>
      <c r="H105" s="3002">
        <f t="shared" si="12"/>
        <v>49163.64</v>
      </c>
      <c r="I105" s="3002"/>
      <c r="J105" s="3002">
        <f>+G105</f>
        <v>49163.64</v>
      </c>
      <c r="K105" s="3008"/>
      <c r="L105" s="3002"/>
      <c r="M105" s="3002"/>
      <c r="N105" s="3009"/>
    </row>
    <row r="106" spans="2:14">
      <c r="B106" s="2987" t="s">
        <v>6576</v>
      </c>
      <c r="C106" s="3010" t="s">
        <v>6726</v>
      </c>
      <c r="D106" s="3002">
        <v>5949.98</v>
      </c>
      <c r="E106" s="3013">
        <v>200</v>
      </c>
      <c r="F106" s="3002"/>
      <c r="G106" s="3007">
        <f t="shared" si="3"/>
        <v>6149.98</v>
      </c>
      <c r="H106" s="3002">
        <f t="shared" ref="H106" si="16">+SUM(I106:M106)</f>
        <v>6149.98</v>
      </c>
      <c r="I106" s="3002"/>
      <c r="J106" s="3002"/>
      <c r="K106" s="3008">
        <f>+G106</f>
        <v>6149.98</v>
      </c>
      <c r="L106" s="3002"/>
      <c r="M106" s="3002"/>
      <c r="N106" s="3009"/>
    </row>
    <row r="107" spans="2:14">
      <c r="B107" s="3012" t="s">
        <v>6577</v>
      </c>
      <c r="C107" s="3010" t="s">
        <v>894</v>
      </c>
      <c r="D107" s="3002">
        <v>2429.96</v>
      </c>
      <c r="F107" s="3002"/>
      <c r="G107" s="3007">
        <f t="shared" si="3"/>
        <v>2429.96</v>
      </c>
      <c r="H107" s="3002">
        <f t="shared" ref="H107:H109" si="17">+SUM(I107:M107)</f>
        <v>2429.96</v>
      </c>
      <c r="I107" s="3002">
        <f>+G107</f>
        <v>2429.96</v>
      </c>
      <c r="J107" s="3002"/>
      <c r="K107" s="3008"/>
      <c r="L107" s="3002"/>
      <c r="M107" s="3002"/>
      <c r="N107" s="3009"/>
    </row>
    <row r="108" spans="2:14">
      <c r="B108" s="3014" t="s">
        <v>6578</v>
      </c>
      <c r="C108" s="3010" t="s">
        <v>894</v>
      </c>
      <c r="D108" s="3002">
        <v>110320</v>
      </c>
      <c r="E108" s="3013">
        <v>151520</v>
      </c>
      <c r="F108" s="3002"/>
      <c r="G108" s="3007">
        <f t="shared" si="3"/>
        <v>261840</v>
      </c>
      <c r="H108" s="3002">
        <f t="shared" si="17"/>
        <v>261840</v>
      </c>
      <c r="I108" s="3002"/>
      <c r="J108" s="3002">
        <f>+G108</f>
        <v>261840</v>
      </c>
      <c r="K108" s="3008"/>
      <c r="L108" s="3002"/>
      <c r="M108" s="3002"/>
      <c r="N108" s="3009"/>
    </row>
    <row r="109" spans="2:14">
      <c r="B109" s="2987" t="s">
        <v>6579</v>
      </c>
      <c r="C109" s="3010" t="s">
        <v>894</v>
      </c>
      <c r="D109" s="3002">
        <v>24379.45</v>
      </c>
      <c r="E109" s="3002"/>
      <c r="F109" s="3002"/>
      <c r="G109" s="3007">
        <f t="shared" si="3"/>
        <v>24379.45</v>
      </c>
      <c r="H109" s="3002">
        <f t="shared" si="17"/>
        <v>24379.45</v>
      </c>
      <c r="I109" s="3002"/>
      <c r="J109" s="3002"/>
      <c r="K109" s="3008">
        <f>+G109</f>
        <v>24379.45</v>
      </c>
      <c r="L109" s="3002"/>
      <c r="M109" s="3002"/>
      <c r="N109" s="3009"/>
    </row>
    <row r="110" spans="2:14">
      <c r="B110" s="3014" t="s">
        <v>6580</v>
      </c>
      <c r="C110" s="3010" t="s">
        <v>3542</v>
      </c>
      <c r="D110" s="3002">
        <v>159.04</v>
      </c>
      <c r="E110" s="3002"/>
      <c r="F110" s="3002"/>
      <c r="G110" s="3007">
        <f t="shared" si="3"/>
        <v>159.04</v>
      </c>
      <c r="H110" s="3002">
        <f t="shared" si="12"/>
        <v>159.04</v>
      </c>
      <c r="I110" s="3002"/>
      <c r="J110" s="3002">
        <f>+G110</f>
        <v>159.04</v>
      </c>
      <c r="K110" s="3008"/>
      <c r="L110" s="3002"/>
      <c r="M110" s="3002"/>
      <c r="N110" s="3009"/>
    </row>
    <row r="111" spans="2:14">
      <c r="B111" s="2987" t="s">
        <v>6727</v>
      </c>
      <c r="C111" s="3010" t="s">
        <v>419</v>
      </c>
      <c r="D111" s="3002">
        <v>5080</v>
      </c>
      <c r="E111" s="3013">
        <v>170</v>
      </c>
      <c r="F111" s="3013">
        <v>370</v>
      </c>
      <c r="G111" s="3007">
        <f t="shared" si="3"/>
        <v>4880</v>
      </c>
      <c r="H111" s="3002">
        <f t="shared" si="12"/>
        <v>4880</v>
      </c>
      <c r="I111" s="3002"/>
      <c r="J111" s="3002"/>
      <c r="K111" s="3008">
        <f>+G111</f>
        <v>4880</v>
      </c>
      <c r="L111" s="3002"/>
      <c r="M111" s="3002"/>
      <c r="N111" s="3009"/>
    </row>
    <row r="112" spans="2:14">
      <c r="B112" s="2987" t="s">
        <v>6732</v>
      </c>
      <c r="C112" s="3010" t="s">
        <v>3462</v>
      </c>
      <c r="D112" s="3002">
        <v>1000</v>
      </c>
      <c r="E112" s="3002"/>
      <c r="F112" s="3002"/>
      <c r="G112" s="3007">
        <f t="shared" ref="G112:G130" si="18">+D112+E112-F112</f>
        <v>1000</v>
      </c>
      <c r="H112" s="3002">
        <f t="shared" si="12"/>
        <v>1000</v>
      </c>
      <c r="I112" s="3002"/>
      <c r="J112" s="3002"/>
      <c r="K112" s="3008">
        <f>+G112</f>
        <v>1000</v>
      </c>
      <c r="L112" s="3002"/>
      <c r="M112" s="3002"/>
      <c r="N112" s="3009"/>
    </row>
    <row r="113" spans="2:14">
      <c r="B113" s="3012" t="s">
        <v>6581</v>
      </c>
      <c r="C113" s="3010" t="s">
        <v>6733</v>
      </c>
      <c r="D113" s="3002">
        <v>4625</v>
      </c>
      <c r="F113" s="3002"/>
      <c r="G113" s="3007">
        <f t="shared" si="18"/>
        <v>4625</v>
      </c>
      <c r="H113" s="3002">
        <f t="shared" ref="H113" si="19">+SUM(I113:M113)</f>
        <v>4625</v>
      </c>
      <c r="I113" s="3002">
        <f t="shared" ref="I113" si="20">+G113</f>
        <v>4625</v>
      </c>
      <c r="J113" s="3002"/>
      <c r="K113" s="3008"/>
      <c r="L113" s="3002"/>
      <c r="M113" s="3002"/>
      <c r="N113" s="3009"/>
    </row>
    <row r="114" spans="2:14">
      <c r="B114" s="3012" t="s">
        <v>6582</v>
      </c>
      <c r="C114" s="3010" t="s">
        <v>3079</v>
      </c>
      <c r="D114" s="3002">
        <v>1370884.73</v>
      </c>
      <c r="E114" s="3002"/>
      <c r="F114" s="3002"/>
      <c r="G114" s="3007">
        <f t="shared" si="18"/>
        <v>1370884.73</v>
      </c>
      <c r="H114" s="3002">
        <f t="shared" si="12"/>
        <v>1370884.73</v>
      </c>
      <c r="I114" s="3016">
        <f>+G114</f>
        <v>1370884.73</v>
      </c>
      <c r="J114" s="3002"/>
      <c r="K114" s="3008"/>
      <c r="L114" s="3002"/>
      <c r="M114" s="3002"/>
      <c r="N114" s="3009"/>
    </row>
    <row r="115" spans="2:14">
      <c r="B115" s="3017" t="s">
        <v>6734</v>
      </c>
      <c r="C115" s="3010" t="s">
        <v>3034</v>
      </c>
      <c r="D115" s="3002">
        <v>0</v>
      </c>
      <c r="E115" s="3002"/>
      <c r="F115" s="3002"/>
      <c r="G115" s="3007">
        <f t="shared" si="18"/>
        <v>0</v>
      </c>
      <c r="H115" s="3002">
        <f t="shared" si="12"/>
        <v>0</v>
      </c>
      <c r="I115" s="3016"/>
      <c r="J115" s="3002"/>
      <c r="K115" s="3008"/>
      <c r="L115" s="3002">
        <f>+G115</f>
        <v>0</v>
      </c>
      <c r="M115" s="3002"/>
      <c r="N115" s="3009"/>
    </row>
    <row r="116" spans="2:14">
      <c r="B116" s="3017" t="s">
        <v>6735</v>
      </c>
      <c r="C116" s="3010" t="s">
        <v>3036</v>
      </c>
      <c r="D116" s="3002">
        <v>423188.3</v>
      </c>
      <c r="E116" s="3002"/>
      <c r="F116" s="3002"/>
      <c r="G116" s="3007">
        <f>+D116+E116-F116</f>
        <v>423188.3</v>
      </c>
      <c r="H116" s="3002">
        <f>+SUM(I116:M116)</f>
        <v>423188.3</v>
      </c>
      <c r="I116" s="3016"/>
      <c r="J116" s="3002"/>
      <c r="K116" s="3008"/>
      <c r="L116" s="3002">
        <f>+G116</f>
        <v>423188.3</v>
      </c>
      <c r="M116" s="3002"/>
      <c r="N116" s="3009"/>
    </row>
    <row r="117" spans="2:14">
      <c r="B117" s="3017" t="s">
        <v>6736</v>
      </c>
      <c r="C117" s="3010" t="s">
        <v>3879</v>
      </c>
      <c r="D117" s="3002">
        <v>50279.23</v>
      </c>
      <c r="E117" s="3018"/>
      <c r="F117" s="3002"/>
      <c r="G117" s="3007">
        <f t="shared" si="18"/>
        <v>50279.23</v>
      </c>
      <c r="H117" s="3002">
        <f t="shared" si="12"/>
        <v>50279.23</v>
      </c>
      <c r="I117" s="3016"/>
      <c r="J117" s="3002"/>
      <c r="K117" s="3008"/>
      <c r="L117" s="3002">
        <f>+G117</f>
        <v>50279.23</v>
      </c>
      <c r="M117" s="3002"/>
      <c r="N117" s="3009"/>
    </row>
    <row r="118" spans="2:14">
      <c r="B118" s="3012" t="s">
        <v>6737</v>
      </c>
      <c r="C118" s="3010" t="s">
        <v>671</v>
      </c>
      <c r="D118" s="3002">
        <v>545</v>
      </c>
      <c r="E118" s="3002"/>
      <c r="F118" s="3002"/>
      <c r="G118" s="3007">
        <f t="shared" si="18"/>
        <v>545</v>
      </c>
      <c r="H118" s="3002">
        <f t="shared" si="12"/>
        <v>545</v>
      </c>
      <c r="I118" s="3016">
        <f>+G118</f>
        <v>545</v>
      </c>
      <c r="J118" s="3002"/>
      <c r="K118" s="3008"/>
      <c r="L118" s="3002"/>
      <c r="M118" s="3002"/>
      <c r="N118" s="3009"/>
    </row>
    <row r="119" spans="2:14">
      <c r="B119" s="2987" t="s">
        <v>5694</v>
      </c>
      <c r="C119" s="3010" t="s">
        <v>671</v>
      </c>
      <c r="D119" s="3002">
        <v>28055.22</v>
      </c>
      <c r="E119" s="3006">
        <f>1607.43+87.78</f>
        <v>1695.21</v>
      </c>
      <c r="F119" s="3013">
        <v>632.58000000000004</v>
      </c>
      <c r="G119" s="3007">
        <f t="shared" si="18"/>
        <v>29117.85</v>
      </c>
      <c r="H119" s="3002">
        <f t="shared" si="12"/>
        <v>29117.85</v>
      </c>
      <c r="I119" s="3016"/>
      <c r="J119" s="3002"/>
      <c r="K119" s="3008">
        <f>+G119</f>
        <v>29117.85</v>
      </c>
      <c r="L119" s="3002"/>
      <c r="M119" s="3002"/>
      <c r="N119" s="3009"/>
    </row>
    <row r="120" spans="2:14">
      <c r="B120" s="3014" t="s">
        <v>5252</v>
      </c>
      <c r="C120" s="3010" t="s">
        <v>39</v>
      </c>
      <c r="D120" s="3002">
        <v>42440</v>
      </c>
      <c r="E120" s="3002"/>
      <c r="F120" s="3002"/>
      <c r="G120" s="3007">
        <f t="shared" si="18"/>
        <v>42440</v>
      </c>
      <c r="H120" s="3002">
        <f t="shared" ref="H120:H130" si="21">+SUM(I120:M120)</f>
        <v>42440</v>
      </c>
      <c r="I120" s="3019"/>
      <c r="J120" s="3018">
        <f>+G120</f>
        <v>42440</v>
      </c>
      <c r="K120" s="3020"/>
      <c r="L120" s="3002"/>
      <c r="M120" s="3002"/>
      <c r="N120" s="3009"/>
    </row>
    <row r="121" spans="2:14">
      <c r="B121" s="2987" t="s">
        <v>5283</v>
      </c>
      <c r="C121" s="3010" t="s">
        <v>39</v>
      </c>
      <c r="D121" s="3002">
        <v>150815.17000000001</v>
      </c>
      <c r="E121" s="3006">
        <f>8999.2+2000.01+13686.4</f>
        <v>24685.61</v>
      </c>
      <c r="F121" s="3002"/>
      <c r="G121" s="3007">
        <f t="shared" si="18"/>
        <v>175500.78000000003</v>
      </c>
      <c r="H121" s="3002">
        <f t="shared" si="21"/>
        <v>175500.78000000003</v>
      </c>
      <c r="I121" s="3019"/>
      <c r="J121" s="3018"/>
      <c r="K121" s="3020">
        <f>+G121</f>
        <v>175500.78000000003</v>
      </c>
      <c r="L121" s="3002"/>
      <c r="M121" s="3002"/>
      <c r="N121" s="3009"/>
    </row>
    <row r="122" spans="2:14">
      <c r="B122" s="3017" t="s">
        <v>6739</v>
      </c>
      <c r="C122" s="3010" t="s">
        <v>39</v>
      </c>
      <c r="D122" s="3002">
        <v>42311.18</v>
      </c>
      <c r="E122" s="3018"/>
      <c r="F122" s="3002"/>
      <c r="G122" s="3007">
        <f t="shared" si="18"/>
        <v>42311.18</v>
      </c>
      <c r="H122" s="3002">
        <f t="shared" si="21"/>
        <v>42311.18</v>
      </c>
      <c r="I122" s="3019"/>
      <c r="J122" s="3018"/>
      <c r="K122" s="3020"/>
      <c r="L122" s="3002">
        <f>+G122</f>
        <v>42311.18</v>
      </c>
      <c r="M122" s="3002"/>
      <c r="N122" s="3009"/>
    </row>
    <row r="123" spans="2:14">
      <c r="B123" s="3021" t="s">
        <v>6929</v>
      </c>
      <c r="C123" s="3010" t="s">
        <v>39</v>
      </c>
      <c r="D123" s="3002">
        <v>39500</v>
      </c>
      <c r="E123" s="3018"/>
      <c r="F123" s="3002"/>
      <c r="G123" s="3007">
        <f t="shared" si="18"/>
        <v>39500</v>
      </c>
      <c r="H123" s="3002">
        <f>SUM(I123:M123)</f>
        <v>39500</v>
      </c>
      <c r="I123" s="3019"/>
      <c r="J123" s="3018"/>
      <c r="K123" s="3020"/>
      <c r="L123" s="3002"/>
      <c r="M123" s="3002">
        <f>G123</f>
        <v>39500</v>
      </c>
      <c r="N123" s="3009"/>
    </row>
    <row r="124" spans="2:14">
      <c r="B124" s="3021" t="s">
        <v>7000</v>
      </c>
      <c r="C124" s="3010" t="s">
        <v>39</v>
      </c>
      <c r="D124" s="3002">
        <v>37765.46</v>
      </c>
      <c r="E124" s="3018"/>
      <c r="F124" s="3002"/>
      <c r="G124" s="3007">
        <f t="shared" si="18"/>
        <v>37765.46</v>
      </c>
      <c r="H124" s="3002">
        <f>SUM(I124:M124)</f>
        <v>37765.46</v>
      </c>
      <c r="I124" s="3019"/>
      <c r="J124" s="3018"/>
      <c r="K124" s="3020"/>
      <c r="L124" s="3002"/>
      <c r="M124" s="3002">
        <f>+G124</f>
        <v>37765.46</v>
      </c>
      <c r="N124" s="3009"/>
    </row>
    <row r="125" spans="2:14">
      <c r="B125" s="3012" t="s">
        <v>5544</v>
      </c>
      <c r="C125" s="3010" t="s">
        <v>40</v>
      </c>
      <c r="D125" s="3002">
        <v>81952.06</v>
      </c>
      <c r="E125" s="3013">
        <v>1644.63</v>
      </c>
      <c r="F125" s="3002"/>
      <c r="G125" s="3007">
        <f t="shared" si="18"/>
        <v>83596.69</v>
      </c>
      <c r="H125" s="3002">
        <f t="shared" si="21"/>
        <v>83596.69</v>
      </c>
      <c r="I125" s="3019">
        <f>+G125</f>
        <v>83596.69</v>
      </c>
      <c r="J125" s="3018"/>
      <c r="K125" s="3020"/>
      <c r="L125" s="3002"/>
      <c r="M125" s="3002"/>
      <c r="N125" s="3009"/>
    </row>
    <row r="126" spans="2:14">
      <c r="B126" s="2987" t="s">
        <v>4825</v>
      </c>
      <c r="C126" s="3010" t="s">
        <v>40</v>
      </c>
      <c r="D126" s="3002">
        <v>15270.91</v>
      </c>
      <c r="E126" s="3013">
        <f>1008</f>
        <v>1008</v>
      </c>
      <c r="F126" s="3002"/>
      <c r="G126" s="3007">
        <f t="shared" si="18"/>
        <v>16278.91</v>
      </c>
      <c r="H126" s="3002">
        <f t="shared" si="21"/>
        <v>16278.91</v>
      </c>
      <c r="I126" s="3019"/>
      <c r="J126" s="3018"/>
      <c r="K126" s="3020">
        <f>+G126</f>
        <v>16278.91</v>
      </c>
      <c r="L126" s="3002"/>
      <c r="M126" s="3002"/>
      <c r="N126" s="3009"/>
    </row>
    <row r="127" spans="2:14">
      <c r="B127" s="3022" t="s">
        <v>6744</v>
      </c>
      <c r="C127" s="3010" t="s">
        <v>40</v>
      </c>
      <c r="D127" s="3002">
        <v>18470.34</v>
      </c>
      <c r="E127" s="3018"/>
      <c r="F127" s="3002"/>
      <c r="G127" s="3002">
        <f>+D127+E127-F127</f>
        <v>18470.34</v>
      </c>
      <c r="H127" s="3002">
        <f>+SUM(I127:M127)</f>
        <v>18470.34</v>
      </c>
      <c r="I127" s="3019"/>
      <c r="J127" s="3018"/>
      <c r="K127" s="3020"/>
      <c r="L127" s="3002">
        <f>+G127</f>
        <v>18470.34</v>
      </c>
      <c r="M127" s="3002"/>
      <c r="N127" s="3009"/>
    </row>
    <row r="128" spans="2:14">
      <c r="B128" s="3017" t="s">
        <v>7001</v>
      </c>
      <c r="C128" s="3010" t="s">
        <v>40</v>
      </c>
      <c r="D128" s="3002">
        <v>6088</v>
      </c>
      <c r="E128" s="3018"/>
      <c r="F128" s="3002"/>
      <c r="G128" s="3007">
        <f>+D128+E128-F128</f>
        <v>6088</v>
      </c>
      <c r="H128" s="3002">
        <f>+SUM(I128:M128)</f>
        <v>6088</v>
      </c>
      <c r="I128" s="3019"/>
      <c r="J128" s="3018"/>
      <c r="K128" s="3020"/>
      <c r="L128" s="3002">
        <f>+G128</f>
        <v>6088</v>
      </c>
      <c r="M128" s="3002"/>
      <c r="N128" s="3009"/>
    </row>
    <row r="129" spans="2:14">
      <c r="B129" s="2987" t="s">
        <v>6586</v>
      </c>
      <c r="C129" s="3010" t="s">
        <v>5430</v>
      </c>
      <c r="D129" s="3002">
        <v>8999.2000000000007</v>
      </c>
      <c r="E129" s="3018"/>
      <c r="F129" s="3013">
        <v>8999.2000000000007</v>
      </c>
      <c r="G129" s="3007">
        <f t="shared" si="18"/>
        <v>0</v>
      </c>
      <c r="H129" s="3002">
        <f t="shared" ref="H129" si="22">+SUM(I129:M129)</f>
        <v>0</v>
      </c>
      <c r="I129" s="3019"/>
      <c r="J129" s="3018"/>
      <c r="K129" s="3020">
        <f>+G129</f>
        <v>0</v>
      </c>
      <c r="L129" s="3002"/>
      <c r="M129" s="3002"/>
      <c r="N129" s="3009"/>
    </row>
    <row r="130" spans="2:14">
      <c r="B130" s="2987" t="s">
        <v>6745</v>
      </c>
      <c r="C130" s="3010" t="s">
        <v>6746</v>
      </c>
      <c r="D130" s="3002">
        <v>16000</v>
      </c>
      <c r="E130" s="3013">
        <v>10000</v>
      </c>
      <c r="F130" s="3002"/>
      <c r="G130" s="3007">
        <f t="shared" si="18"/>
        <v>26000</v>
      </c>
      <c r="H130" s="3002">
        <f t="shared" si="21"/>
        <v>26000</v>
      </c>
      <c r="I130" s="3002"/>
      <c r="J130" s="3002"/>
      <c r="K130" s="3002">
        <f>+G130</f>
        <v>26000</v>
      </c>
      <c r="L130" s="3003"/>
      <c r="M130" s="3003"/>
      <c r="N130" s="3009"/>
    </row>
    <row r="131" spans="2:14">
      <c r="B131" s="3010"/>
      <c r="C131" s="3023" t="s">
        <v>6587</v>
      </c>
      <c r="D131" s="3024">
        <f t="shared" ref="D131:M131" si="23">SUM(D26:D130)</f>
        <v>12312295.370000005</v>
      </c>
      <c r="E131" s="1537">
        <f t="shared" si="23"/>
        <v>543938.62999999989</v>
      </c>
      <c r="F131" s="1537">
        <f t="shared" si="23"/>
        <v>424650.14</v>
      </c>
      <c r="G131" s="1537">
        <f t="shared" si="23"/>
        <v>12431583.859999999</v>
      </c>
      <c r="H131" s="1537">
        <f t="shared" si="23"/>
        <v>12431583.859999999</v>
      </c>
      <c r="I131" s="1537">
        <f t="shared" si="23"/>
        <v>1530023.23</v>
      </c>
      <c r="J131" s="1537">
        <f t="shared" si="23"/>
        <v>583767.94000000006</v>
      </c>
      <c r="K131" s="1537">
        <f t="shared" si="23"/>
        <v>9700190.1799999978</v>
      </c>
      <c r="L131" s="1537">
        <f t="shared" si="23"/>
        <v>540337.04999999993</v>
      </c>
      <c r="M131" s="1537">
        <f t="shared" si="23"/>
        <v>77265.459999999992</v>
      </c>
      <c r="N131" s="3009"/>
    </row>
    <row r="132" spans="2:14">
      <c r="B132" s="1539"/>
      <c r="C132" s="1539"/>
      <c r="D132" s="3025"/>
      <c r="E132" s="1541"/>
      <c r="F132" s="1542"/>
      <c r="G132" s="3026">
        <f>G131-G127</f>
        <v>12413113.52</v>
      </c>
      <c r="H132" s="1542"/>
      <c r="I132" s="1542"/>
      <c r="J132" s="3009"/>
      <c r="K132" s="3009"/>
      <c r="L132" s="3009"/>
      <c r="M132" s="3009"/>
      <c r="N132" s="3009"/>
    </row>
    <row r="133" spans="2:14">
      <c r="B133" s="1539"/>
      <c r="C133" s="1539"/>
      <c r="D133" s="3027"/>
      <c r="E133" s="1545"/>
      <c r="F133" s="1545"/>
      <c r="G133" s="1545"/>
      <c r="H133" s="1545"/>
      <c r="I133" s="1545"/>
      <c r="J133" s="3028"/>
      <c r="K133" s="2980"/>
      <c r="N133" s="3009"/>
    </row>
    <row r="134" spans="2:14" ht="25.5">
      <c r="B134" s="2993" t="s">
        <v>7</v>
      </c>
      <c r="C134" s="2993" t="s">
        <v>6505</v>
      </c>
      <c r="D134" s="2994" t="s">
        <v>6667</v>
      </c>
      <c r="E134" s="2994" t="s">
        <v>6678</v>
      </c>
      <c r="F134" s="2994" t="s">
        <v>6679</v>
      </c>
      <c r="G134" s="2994" t="s">
        <v>6680</v>
      </c>
      <c r="H134" s="2994" t="s">
        <v>6681</v>
      </c>
      <c r="I134" s="2995" t="s">
        <v>6488</v>
      </c>
      <c r="J134" s="2996" t="s">
        <v>6489</v>
      </c>
      <c r="K134" s="2997" t="s">
        <v>6508</v>
      </c>
      <c r="L134" s="2998" t="s">
        <v>6491</v>
      </c>
      <c r="M134" s="2999" t="s">
        <v>6492</v>
      </c>
      <c r="N134" s="3009"/>
    </row>
    <row r="135" spans="2:14">
      <c r="B135" s="3029" t="s">
        <v>6758</v>
      </c>
      <c r="C135" s="3030" t="s">
        <v>6759</v>
      </c>
      <c r="D135" s="3031"/>
      <c r="E135" s="3031"/>
      <c r="F135" s="3031"/>
      <c r="G135" s="3031"/>
      <c r="H135" s="3031"/>
      <c r="I135" s="3031"/>
      <c r="J135" s="3031"/>
      <c r="K135" s="3031"/>
      <c r="L135" s="3003"/>
      <c r="M135" s="3003"/>
      <c r="N135" s="3009"/>
    </row>
    <row r="136" spans="2:14">
      <c r="B136" s="2987" t="s">
        <v>6514</v>
      </c>
      <c r="C136" s="3010" t="s">
        <v>6760</v>
      </c>
      <c r="D136" s="3002">
        <v>9240539.5199999884</v>
      </c>
      <c r="E136" s="3002"/>
      <c r="F136" s="3006">
        <v>40000</v>
      </c>
      <c r="G136" s="3007">
        <f>+D136+E136-F136</f>
        <v>9200539.5199999884</v>
      </c>
      <c r="H136" s="3002">
        <f>+SUM(I136:M136)</f>
        <v>9200539.5199999884</v>
      </c>
      <c r="I136" s="3002"/>
      <c r="J136" s="3002"/>
      <c r="K136" s="3002">
        <f t="shared" ref="K136:K142" si="24">+G136</f>
        <v>9200539.5199999884</v>
      </c>
      <c r="L136" s="3003"/>
      <c r="M136" s="3003"/>
      <c r="N136" s="3009"/>
    </row>
    <row r="137" spans="2:14">
      <c r="B137" s="2987" t="s">
        <v>6515</v>
      </c>
      <c r="C137" s="3010" t="s">
        <v>3013</v>
      </c>
      <c r="D137" s="3002">
        <v>1035912.31</v>
      </c>
      <c r="E137" s="3006">
        <v>100000</v>
      </c>
      <c r="F137" s="3002"/>
      <c r="G137" s="3007">
        <f t="shared" ref="G137:G179" si="25">+D137+E137-F137</f>
        <v>1135912.31</v>
      </c>
      <c r="H137" s="3002">
        <f t="shared" ref="H137:H179" si="26">+SUM(I137:M137)</f>
        <v>1135912.31</v>
      </c>
      <c r="I137" s="3002"/>
      <c r="J137" s="3002"/>
      <c r="K137" s="3002">
        <f t="shared" si="24"/>
        <v>1135912.31</v>
      </c>
      <c r="L137" s="3003"/>
      <c r="M137" s="3003"/>
      <c r="N137" s="3009"/>
    </row>
    <row r="138" spans="2:14">
      <c r="B138" s="2987" t="s">
        <v>6517</v>
      </c>
      <c r="C138" s="3010" t="s">
        <v>3014</v>
      </c>
      <c r="D138" s="3002">
        <v>246300</v>
      </c>
      <c r="E138" s="3002"/>
      <c r="F138" s="3002"/>
      <c r="G138" s="3007">
        <f t="shared" si="25"/>
        <v>246300</v>
      </c>
      <c r="H138" s="3002">
        <f t="shared" si="26"/>
        <v>246300</v>
      </c>
      <c r="I138" s="3002"/>
      <c r="J138" s="3002"/>
      <c r="K138" s="3002">
        <f t="shared" si="24"/>
        <v>246300</v>
      </c>
      <c r="L138" s="3003"/>
      <c r="M138" s="3003"/>
      <c r="N138" s="3009"/>
    </row>
    <row r="139" spans="2:14">
      <c r="B139" s="2987" t="s">
        <v>6593</v>
      </c>
      <c r="C139" s="3010" t="s">
        <v>6750</v>
      </c>
      <c r="D139" s="3002">
        <v>4433677.5999999996</v>
      </c>
      <c r="E139" s="3002"/>
      <c r="F139" s="3002"/>
      <c r="G139" s="3007">
        <f t="shared" si="25"/>
        <v>4433677.5999999996</v>
      </c>
      <c r="H139" s="3002">
        <f t="shared" si="26"/>
        <v>4433677.5999999996</v>
      </c>
      <c r="I139" s="3002"/>
      <c r="J139" s="3002"/>
      <c r="K139" s="3002">
        <f t="shared" si="24"/>
        <v>4433677.5999999996</v>
      </c>
      <c r="L139" s="3003"/>
      <c r="M139" s="3003"/>
      <c r="N139" s="3009"/>
    </row>
    <row r="140" spans="2:14">
      <c r="B140" s="2987" t="s">
        <v>6527</v>
      </c>
      <c r="C140" s="3010" t="s">
        <v>3032</v>
      </c>
      <c r="D140" s="3002">
        <v>1251170.9600000002</v>
      </c>
      <c r="E140" s="3002"/>
      <c r="F140" s="3002"/>
      <c r="G140" s="3007">
        <f t="shared" si="25"/>
        <v>1251170.9600000002</v>
      </c>
      <c r="H140" s="3002">
        <f t="shared" si="26"/>
        <v>1251170.9600000002</v>
      </c>
      <c r="I140" s="3002"/>
      <c r="J140" s="3002"/>
      <c r="K140" s="3002">
        <f t="shared" si="24"/>
        <v>1251170.9600000002</v>
      </c>
      <c r="L140" s="3003"/>
      <c r="M140" s="3003"/>
      <c r="N140" s="3009"/>
    </row>
    <row r="141" spans="2:14">
      <c r="B141" s="2987" t="s">
        <v>6528</v>
      </c>
      <c r="C141" s="3010" t="s">
        <v>3039</v>
      </c>
      <c r="D141" s="3002">
        <v>1139058.8999999999</v>
      </c>
      <c r="E141" s="3002"/>
      <c r="F141" s="3002"/>
      <c r="G141" s="3007">
        <f t="shared" si="25"/>
        <v>1139058.8999999999</v>
      </c>
      <c r="H141" s="3002">
        <f t="shared" si="26"/>
        <v>1139058.8999999999</v>
      </c>
      <c r="I141" s="3002"/>
      <c r="J141" s="3002"/>
      <c r="K141" s="3002">
        <f t="shared" si="24"/>
        <v>1139058.8999999999</v>
      </c>
      <c r="L141" s="3003"/>
      <c r="M141" s="3003"/>
      <c r="N141" s="3009"/>
    </row>
    <row r="142" spans="2:14">
      <c r="B142" s="2987" t="s">
        <v>6529</v>
      </c>
      <c r="C142" s="3010" t="s">
        <v>6761</v>
      </c>
      <c r="D142" s="3002">
        <v>1500</v>
      </c>
      <c r="E142" s="3006">
        <v>4000</v>
      </c>
      <c r="F142" s="3002"/>
      <c r="G142" s="3007">
        <f t="shared" si="25"/>
        <v>5500</v>
      </c>
      <c r="H142" s="3002">
        <f t="shared" si="26"/>
        <v>5500</v>
      </c>
      <c r="I142" s="3002"/>
      <c r="J142" s="3002"/>
      <c r="K142" s="3002">
        <f t="shared" si="24"/>
        <v>5500</v>
      </c>
      <c r="L142" s="3003"/>
      <c r="M142" s="3003"/>
      <c r="N142" s="3009"/>
    </row>
    <row r="143" spans="2:14">
      <c r="B143" s="3012" t="s">
        <v>5012</v>
      </c>
      <c r="C143" s="3010" t="s">
        <v>6764</v>
      </c>
      <c r="D143" s="3002">
        <v>0</v>
      </c>
      <c r="E143" s="3013">
        <v>1509.87</v>
      </c>
      <c r="F143" s="3002"/>
      <c r="G143" s="3007">
        <f t="shared" si="25"/>
        <v>1509.87</v>
      </c>
      <c r="H143" s="3002">
        <f t="shared" si="26"/>
        <v>1509.87</v>
      </c>
      <c r="I143" s="3002">
        <f>+G143</f>
        <v>1509.87</v>
      </c>
      <c r="J143" s="3002"/>
      <c r="K143" s="3002"/>
      <c r="L143" s="3003"/>
      <c r="M143" s="3003"/>
      <c r="N143" s="3009"/>
    </row>
    <row r="144" spans="2:14">
      <c r="B144" s="3012" t="s">
        <v>6765</v>
      </c>
      <c r="C144" s="3010" t="s">
        <v>471</v>
      </c>
      <c r="D144" s="3002">
        <v>3710.56</v>
      </c>
      <c r="E144" s="3002"/>
      <c r="F144" s="3002"/>
      <c r="G144" s="3007">
        <f t="shared" si="25"/>
        <v>3710.56</v>
      </c>
      <c r="H144" s="3002">
        <f t="shared" si="26"/>
        <v>3710.56</v>
      </c>
      <c r="I144" s="3002">
        <f>+G144</f>
        <v>3710.56</v>
      </c>
      <c r="J144" s="3002"/>
      <c r="K144" s="3002"/>
      <c r="L144" s="3003"/>
      <c r="M144" s="3003"/>
      <c r="N144" s="3009"/>
    </row>
    <row r="145" spans="2:14">
      <c r="B145" s="3014" t="s">
        <v>6766</v>
      </c>
      <c r="C145" s="3032" t="s">
        <v>1323</v>
      </c>
      <c r="D145" s="3002">
        <v>5040</v>
      </c>
      <c r="E145" s="3002"/>
      <c r="F145" s="3002"/>
      <c r="G145" s="3007">
        <f t="shared" si="25"/>
        <v>5040</v>
      </c>
      <c r="H145" s="3002">
        <f t="shared" si="26"/>
        <v>5040</v>
      </c>
      <c r="I145" s="3002"/>
      <c r="J145" s="3002">
        <f>+G145</f>
        <v>5040</v>
      </c>
      <c r="K145" s="3002"/>
      <c r="L145" s="3003"/>
      <c r="M145" s="3003"/>
      <c r="N145" s="3009"/>
    </row>
    <row r="146" spans="2:14">
      <c r="B146" s="3012" t="s">
        <v>6699</v>
      </c>
      <c r="C146" s="3033" t="s">
        <v>281</v>
      </c>
      <c r="D146" s="3002">
        <v>718233</v>
      </c>
      <c r="E146" s="3002"/>
      <c r="F146" s="3013">
        <v>1365</v>
      </c>
      <c r="G146" s="3007">
        <f t="shared" si="25"/>
        <v>716868</v>
      </c>
      <c r="H146" s="3002">
        <f t="shared" si="26"/>
        <v>716868</v>
      </c>
      <c r="I146" s="3002">
        <f t="shared" ref="I146" si="27">+G146</f>
        <v>716868</v>
      </c>
      <c r="J146" s="3002"/>
      <c r="K146" s="3008"/>
      <c r="L146" s="3002"/>
      <c r="M146" s="3002"/>
      <c r="N146" s="3009"/>
    </row>
    <row r="147" spans="2:14">
      <c r="B147" s="3014" t="s">
        <v>6700</v>
      </c>
      <c r="C147" s="3010" t="s">
        <v>281</v>
      </c>
      <c r="D147" s="3002">
        <v>77722.59</v>
      </c>
      <c r="E147" s="3002"/>
      <c r="F147" s="3002"/>
      <c r="G147" s="3007">
        <f t="shared" si="25"/>
        <v>77722.59</v>
      </c>
      <c r="H147" s="3002">
        <f t="shared" si="26"/>
        <v>77722.59</v>
      </c>
      <c r="I147" s="3002"/>
      <c r="J147" s="3002">
        <f>+G147</f>
        <v>77722.59</v>
      </c>
      <c r="K147" s="3008"/>
      <c r="L147" s="3002"/>
      <c r="M147" s="3002"/>
      <c r="N147" s="3009"/>
    </row>
    <row r="148" spans="2:14">
      <c r="B148" s="2987" t="s">
        <v>6701</v>
      </c>
      <c r="C148" s="3010" t="s">
        <v>281</v>
      </c>
      <c r="D148" s="3002">
        <v>173724.84</v>
      </c>
      <c r="E148" s="3006">
        <v>3224.44</v>
      </c>
      <c r="F148" s="3013">
        <v>44380</v>
      </c>
      <c r="G148" s="3007">
        <f t="shared" si="25"/>
        <v>132569.28</v>
      </c>
      <c r="H148" s="3002">
        <f t="shared" si="26"/>
        <v>132569.28</v>
      </c>
      <c r="I148" s="3002"/>
      <c r="J148" s="3002"/>
      <c r="K148" s="3008">
        <f>+G148</f>
        <v>132569.28</v>
      </c>
      <c r="L148" s="3002"/>
      <c r="M148" s="3002"/>
      <c r="N148" s="3009"/>
    </row>
    <row r="149" spans="2:14">
      <c r="B149" s="3012" t="s">
        <v>6704</v>
      </c>
      <c r="C149" s="3010" t="s">
        <v>505</v>
      </c>
      <c r="D149" s="3002">
        <v>13224.45</v>
      </c>
      <c r="E149" s="3002"/>
      <c r="F149" s="3013">
        <v>4024.45</v>
      </c>
      <c r="G149" s="3007">
        <f t="shared" si="25"/>
        <v>9200</v>
      </c>
      <c r="H149" s="3002">
        <f t="shared" si="26"/>
        <v>9200</v>
      </c>
      <c r="I149" s="3002">
        <f>+G149</f>
        <v>9200</v>
      </c>
      <c r="J149" s="3002"/>
      <c r="K149" s="3008"/>
      <c r="L149" s="3002"/>
      <c r="M149" s="3002"/>
      <c r="N149" s="3009"/>
    </row>
    <row r="150" spans="2:14">
      <c r="B150" s="3012" t="s">
        <v>6600</v>
      </c>
      <c r="C150" s="3010" t="s">
        <v>6752</v>
      </c>
      <c r="D150" s="3002">
        <v>160000</v>
      </c>
      <c r="E150" s="3002"/>
      <c r="F150" s="3006">
        <f>20000+6456.36</f>
        <v>26456.36</v>
      </c>
      <c r="G150" s="3007">
        <f t="shared" si="25"/>
        <v>133543.64000000001</v>
      </c>
      <c r="H150" s="3002">
        <f t="shared" si="26"/>
        <v>133543.64000000001</v>
      </c>
      <c r="I150" s="3002">
        <f>+G150</f>
        <v>133543.64000000001</v>
      </c>
      <c r="J150" s="3002"/>
      <c r="K150" s="3002"/>
      <c r="L150" s="3003"/>
      <c r="M150" s="3003"/>
      <c r="N150" s="3009"/>
    </row>
    <row r="151" spans="2:14">
      <c r="B151" s="3012" t="s">
        <v>6601</v>
      </c>
      <c r="C151" s="3010" t="s">
        <v>1360</v>
      </c>
      <c r="D151" s="3002">
        <v>60000</v>
      </c>
      <c r="E151" s="3002"/>
      <c r="F151" s="3013">
        <v>30000</v>
      </c>
      <c r="G151" s="3007">
        <f t="shared" si="25"/>
        <v>30000</v>
      </c>
      <c r="H151" s="3002">
        <f t="shared" si="26"/>
        <v>30000</v>
      </c>
      <c r="I151" s="3002">
        <f>+G151</f>
        <v>30000</v>
      </c>
      <c r="J151" s="3002"/>
      <c r="K151" s="3002"/>
      <c r="L151" s="3003"/>
      <c r="M151" s="3003"/>
      <c r="N151" s="3009"/>
    </row>
    <row r="152" spans="2:14">
      <c r="B152" s="2987" t="s">
        <v>6603</v>
      </c>
      <c r="C152" s="3010" t="s">
        <v>1360</v>
      </c>
      <c r="D152" s="3002">
        <v>0</v>
      </c>
      <c r="E152" s="3002"/>
      <c r="F152" s="3002"/>
      <c r="G152" s="3007">
        <f t="shared" si="25"/>
        <v>0</v>
      </c>
      <c r="H152" s="3002">
        <f t="shared" si="26"/>
        <v>0</v>
      </c>
      <c r="I152" s="3002"/>
      <c r="J152" s="3002"/>
      <c r="K152" s="3002">
        <f>+G152</f>
        <v>0</v>
      </c>
      <c r="L152" s="3003"/>
      <c r="M152" s="3003"/>
      <c r="N152" s="3009"/>
    </row>
    <row r="153" spans="2:14">
      <c r="B153" s="3012" t="s">
        <v>6604</v>
      </c>
      <c r="C153" s="3032" t="s">
        <v>2398</v>
      </c>
      <c r="D153" s="3002">
        <v>54311.3</v>
      </c>
      <c r="E153" s="3002"/>
      <c r="F153" s="3002">
        <v>12000</v>
      </c>
      <c r="G153" s="3007">
        <f t="shared" si="25"/>
        <v>42311.3</v>
      </c>
      <c r="H153" s="3002">
        <f t="shared" si="26"/>
        <v>42311.3</v>
      </c>
      <c r="I153" s="3002">
        <f>+G153</f>
        <v>42311.3</v>
      </c>
      <c r="J153" s="3002"/>
      <c r="K153" s="3002"/>
      <c r="L153" s="3003"/>
      <c r="M153" s="3003"/>
      <c r="N153" s="3009"/>
    </row>
    <row r="154" spans="2:14">
      <c r="B154" s="3012" t="s">
        <v>6772</v>
      </c>
      <c r="C154" s="3010" t="s">
        <v>148</v>
      </c>
      <c r="D154" s="3002">
        <v>13878.79</v>
      </c>
      <c r="E154" s="3006">
        <f>4000-0.63</f>
        <v>3999.37</v>
      </c>
      <c r="F154" s="3013">
        <f>4352.39</f>
        <v>4352.3900000000003</v>
      </c>
      <c r="G154" s="3007">
        <f t="shared" si="25"/>
        <v>13525.77</v>
      </c>
      <c r="H154" s="3002">
        <f t="shared" si="26"/>
        <v>13525.77</v>
      </c>
      <c r="I154" s="3002">
        <f>+G154</f>
        <v>13525.77</v>
      </c>
      <c r="J154" s="3002"/>
      <c r="K154" s="3002"/>
      <c r="L154" s="3003"/>
      <c r="M154" s="3003"/>
      <c r="N154" s="3009"/>
    </row>
    <row r="155" spans="2:14">
      <c r="B155" s="3012" t="s">
        <v>6804</v>
      </c>
      <c r="C155" s="3010" t="s">
        <v>3817</v>
      </c>
      <c r="D155" s="3002">
        <v>0</v>
      </c>
      <c r="E155" s="3006">
        <v>157.33000000000001</v>
      </c>
      <c r="F155" s="3002"/>
      <c r="G155" s="3007">
        <f>+D155+E155-F155</f>
        <v>157.33000000000001</v>
      </c>
      <c r="H155" s="3002">
        <f>+SUM(I155:M155)</f>
        <v>157.33000000000001</v>
      </c>
      <c r="I155" s="3015">
        <f>G155</f>
        <v>157.33000000000001</v>
      </c>
      <c r="J155" s="3016"/>
      <c r="K155" s="3008"/>
      <c r="L155" s="3002"/>
      <c r="M155" s="3002"/>
      <c r="N155" s="3009"/>
    </row>
    <row r="156" spans="2:14">
      <c r="B156" s="3012" t="s">
        <v>6773</v>
      </c>
      <c r="C156" s="3010" t="s">
        <v>1006</v>
      </c>
      <c r="D156" s="3002">
        <v>1509.87</v>
      </c>
      <c r="E156" s="3002"/>
      <c r="F156" s="3013">
        <v>1509.87</v>
      </c>
      <c r="G156" s="3007">
        <f t="shared" si="25"/>
        <v>0</v>
      </c>
      <c r="H156" s="3002">
        <f t="shared" si="26"/>
        <v>0</v>
      </c>
      <c r="I156" s="3002">
        <f t="shared" ref="I156:I158" si="28">+G156</f>
        <v>0</v>
      </c>
      <c r="J156" s="3002"/>
      <c r="K156" s="3002"/>
      <c r="L156" s="3003"/>
      <c r="M156" s="3003"/>
      <c r="N156" s="3009"/>
    </row>
    <row r="157" spans="2:14">
      <c r="B157" s="3012" t="s">
        <v>6716</v>
      </c>
      <c r="C157" s="3010" t="s">
        <v>6775</v>
      </c>
      <c r="D157" s="3002">
        <v>7494.05</v>
      </c>
      <c r="E157" s="3006">
        <v>157.34</v>
      </c>
      <c r="F157" s="3002"/>
      <c r="G157" s="3007">
        <f t="shared" si="25"/>
        <v>7651.39</v>
      </c>
      <c r="H157" s="3002">
        <f t="shared" si="26"/>
        <v>7651.39</v>
      </c>
      <c r="I157" s="3002">
        <f t="shared" si="28"/>
        <v>7651.39</v>
      </c>
      <c r="J157" s="3002"/>
      <c r="K157" s="3002"/>
      <c r="L157" s="3003"/>
      <c r="M157" s="3003"/>
      <c r="N157" s="3009"/>
    </row>
    <row r="158" spans="2:14">
      <c r="B158" s="3012" t="s">
        <v>6608</v>
      </c>
      <c r="C158" s="3010" t="s">
        <v>2694</v>
      </c>
      <c r="D158" s="3002">
        <v>497.28</v>
      </c>
      <c r="E158" s="3006">
        <v>157.33000000000001</v>
      </c>
      <c r="F158" s="3013">
        <v>327.68</v>
      </c>
      <c r="G158" s="3007">
        <f t="shared" si="25"/>
        <v>326.93</v>
      </c>
      <c r="H158" s="3002">
        <f t="shared" si="26"/>
        <v>326.93</v>
      </c>
      <c r="I158" s="3002">
        <f t="shared" si="28"/>
        <v>326.93</v>
      </c>
      <c r="J158" s="3002"/>
      <c r="K158" s="3002"/>
      <c r="L158" s="3003"/>
      <c r="M158" s="3003"/>
      <c r="N158" s="3009"/>
    </row>
    <row r="159" spans="2:14">
      <c r="B159" s="2987" t="s">
        <v>4833</v>
      </c>
      <c r="C159" s="3010" t="s">
        <v>591</v>
      </c>
      <c r="D159" s="3002">
        <v>5047.2</v>
      </c>
      <c r="E159" s="3002"/>
      <c r="F159" s="3013">
        <v>2280</v>
      </c>
      <c r="G159" s="3007">
        <f t="shared" si="25"/>
        <v>2767.2</v>
      </c>
      <c r="H159" s="3002">
        <f t="shared" si="26"/>
        <v>2767.2</v>
      </c>
      <c r="I159" s="3002"/>
      <c r="J159" s="3002"/>
      <c r="K159" s="3002">
        <f>+G159</f>
        <v>2767.2</v>
      </c>
      <c r="L159" s="3003"/>
      <c r="M159" s="3003"/>
      <c r="N159" s="3009"/>
    </row>
    <row r="160" spans="2:14">
      <c r="B160" s="3012" t="s">
        <v>6609</v>
      </c>
      <c r="C160" s="3010" t="s">
        <v>39</v>
      </c>
      <c r="D160" s="3002">
        <v>156.80000000000001</v>
      </c>
      <c r="E160" s="3002"/>
      <c r="F160" s="3002"/>
      <c r="G160" s="3007">
        <f t="shared" si="25"/>
        <v>156.80000000000001</v>
      </c>
      <c r="H160" s="3002">
        <f t="shared" si="26"/>
        <v>156.80000000000001</v>
      </c>
      <c r="I160" s="3002">
        <f>+G160</f>
        <v>156.80000000000001</v>
      </c>
      <c r="J160" s="3002"/>
      <c r="K160" s="3002"/>
      <c r="L160" s="3003"/>
      <c r="M160" s="3003"/>
      <c r="N160" s="3009"/>
    </row>
    <row r="161" spans="2:14">
      <c r="B161" s="3012" t="s">
        <v>6610</v>
      </c>
      <c r="C161" s="3010" t="s">
        <v>4163</v>
      </c>
      <c r="D161" s="3002">
        <v>588</v>
      </c>
      <c r="E161" s="3002"/>
      <c r="F161" s="3002"/>
      <c r="G161" s="3007">
        <f t="shared" si="25"/>
        <v>588</v>
      </c>
      <c r="H161" s="3002">
        <f t="shared" si="26"/>
        <v>588</v>
      </c>
      <c r="I161" s="3002">
        <f t="shared" ref="I161:I166" si="29">+G161</f>
        <v>588</v>
      </c>
      <c r="J161" s="3002"/>
      <c r="K161" s="3002"/>
      <c r="L161" s="3003"/>
      <c r="M161" s="3003"/>
      <c r="N161" s="3009"/>
    </row>
    <row r="162" spans="2:14">
      <c r="B162" s="3012" t="s">
        <v>4835</v>
      </c>
      <c r="C162" s="3010" t="s">
        <v>40</v>
      </c>
      <c r="D162" s="3002">
        <v>1097.2</v>
      </c>
      <c r="E162" s="3002"/>
      <c r="F162" s="3002"/>
      <c r="G162" s="3007">
        <f t="shared" si="25"/>
        <v>1097.2</v>
      </c>
      <c r="H162" s="3002">
        <f t="shared" si="26"/>
        <v>1097.2</v>
      </c>
      <c r="I162" s="3002">
        <f t="shared" si="29"/>
        <v>1097.2</v>
      </c>
      <c r="J162" s="3002"/>
      <c r="K162" s="3002"/>
      <c r="L162" s="3003"/>
      <c r="M162" s="3003"/>
      <c r="N162" s="3009"/>
    </row>
    <row r="163" spans="2:14">
      <c r="B163" s="3012" t="s">
        <v>6612</v>
      </c>
      <c r="C163" s="3010" t="s">
        <v>903</v>
      </c>
      <c r="D163" s="3002">
        <v>3935.06</v>
      </c>
      <c r="E163" s="3002"/>
      <c r="F163" s="3013">
        <v>2755.31</v>
      </c>
      <c r="G163" s="3007">
        <f t="shared" si="25"/>
        <v>1179.75</v>
      </c>
      <c r="H163" s="3002">
        <f t="shared" si="26"/>
        <v>1179.75</v>
      </c>
      <c r="I163" s="3002">
        <f t="shared" si="29"/>
        <v>1179.75</v>
      </c>
      <c r="J163" s="3002"/>
      <c r="K163" s="3002"/>
      <c r="L163" s="3003"/>
      <c r="M163" s="3003"/>
      <c r="N163" s="3009"/>
    </row>
    <row r="164" spans="2:14">
      <c r="B164" s="3012" t="s">
        <v>6613</v>
      </c>
      <c r="C164" s="3010" t="s">
        <v>4206</v>
      </c>
      <c r="D164" s="3002">
        <v>672</v>
      </c>
      <c r="E164" s="3002"/>
      <c r="F164" s="3006">
        <v>472</v>
      </c>
      <c r="G164" s="3007">
        <f t="shared" si="25"/>
        <v>200</v>
      </c>
      <c r="H164" s="3002">
        <f t="shared" si="26"/>
        <v>200</v>
      </c>
      <c r="I164" s="3002">
        <f t="shared" si="29"/>
        <v>200</v>
      </c>
      <c r="J164" s="3002"/>
      <c r="K164" s="3008"/>
      <c r="L164" s="3003"/>
      <c r="M164" s="3003"/>
      <c r="N164" s="3009"/>
    </row>
    <row r="165" spans="2:14">
      <c r="B165" s="3012" t="s">
        <v>6577</v>
      </c>
      <c r="C165" s="3010" t="s">
        <v>894</v>
      </c>
      <c r="D165" s="3002">
        <v>149164.16</v>
      </c>
      <c r="E165" s="3002"/>
      <c r="F165" s="3002"/>
      <c r="G165" s="3007">
        <f t="shared" si="25"/>
        <v>149164.16</v>
      </c>
      <c r="H165" s="3002">
        <f t="shared" si="26"/>
        <v>149164.16</v>
      </c>
      <c r="I165" s="3002">
        <f t="shared" si="29"/>
        <v>149164.16</v>
      </c>
      <c r="J165" s="3002"/>
      <c r="K165" s="3008"/>
      <c r="L165" s="3002"/>
      <c r="M165" s="3002"/>
      <c r="N165" s="3009"/>
    </row>
    <row r="166" spans="2:14">
      <c r="B166" s="3012" t="s">
        <v>6581</v>
      </c>
      <c r="C166" s="3010" t="s">
        <v>38</v>
      </c>
      <c r="D166" s="3002">
        <v>251825</v>
      </c>
      <c r="E166" s="3002"/>
      <c r="F166" s="3002"/>
      <c r="G166" s="3007">
        <f t="shared" si="25"/>
        <v>251825</v>
      </c>
      <c r="H166" s="3002">
        <f t="shared" si="26"/>
        <v>251825</v>
      </c>
      <c r="I166" s="3002">
        <f t="shared" si="29"/>
        <v>251825</v>
      </c>
      <c r="J166" s="3002"/>
      <c r="K166" s="3008"/>
      <c r="L166" s="3002"/>
      <c r="M166" s="3002"/>
      <c r="N166" s="3009"/>
    </row>
    <row r="167" spans="2:14">
      <c r="B167" s="3017" t="s">
        <v>6780</v>
      </c>
      <c r="C167" s="3010" t="s">
        <v>281</v>
      </c>
      <c r="D167" s="3002">
        <v>0</v>
      </c>
      <c r="E167" s="3002"/>
      <c r="F167" s="3002"/>
      <c r="G167" s="3007">
        <f t="shared" si="25"/>
        <v>0</v>
      </c>
      <c r="H167" s="3002">
        <f t="shared" si="26"/>
        <v>0</v>
      </c>
      <c r="I167" s="3002"/>
      <c r="J167" s="3002"/>
      <c r="K167" s="3008"/>
      <c r="L167" s="3002">
        <f>+G167</f>
        <v>0</v>
      </c>
      <c r="M167" s="3002"/>
      <c r="N167" s="3009"/>
    </row>
    <row r="168" spans="2:14">
      <c r="B168" s="3017" t="s">
        <v>6781</v>
      </c>
      <c r="C168" s="3010" t="s">
        <v>281</v>
      </c>
      <c r="D168" s="3002">
        <v>33214.120000000003</v>
      </c>
      <c r="E168" s="3002"/>
      <c r="F168" s="3002"/>
      <c r="G168" s="3007">
        <f t="shared" si="25"/>
        <v>33214.120000000003</v>
      </c>
      <c r="H168" s="3002">
        <f t="shared" si="26"/>
        <v>33214.120000000003</v>
      </c>
      <c r="I168" s="3002"/>
      <c r="J168" s="3002"/>
      <c r="K168" s="3008"/>
      <c r="L168" s="3002">
        <f>+G168</f>
        <v>33214.120000000003</v>
      </c>
      <c r="M168" s="3002"/>
      <c r="N168" s="3009"/>
    </row>
    <row r="169" spans="2:14">
      <c r="B169" s="3034" t="s">
        <v>7002</v>
      </c>
      <c r="C169" s="3010" t="s">
        <v>281</v>
      </c>
      <c r="D169" s="3002">
        <v>26785.57</v>
      </c>
      <c r="E169" s="3002"/>
      <c r="F169" s="3002"/>
      <c r="G169" s="3007">
        <f t="shared" si="25"/>
        <v>26785.57</v>
      </c>
      <c r="H169" s="3002">
        <f t="shared" si="26"/>
        <v>26785.57</v>
      </c>
      <c r="I169" s="3002"/>
      <c r="J169" s="3002"/>
      <c r="K169" s="3008"/>
      <c r="L169" s="3002"/>
      <c r="M169" s="3002">
        <f>+G169</f>
        <v>26785.57</v>
      </c>
      <c r="N169" s="3009"/>
    </row>
    <row r="170" spans="2:14">
      <c r="B170" s="3017" t="s">
        <v>6783</v>
      </c>
      <c r="C170" s="3010" t="s">
        <v>39</v>
      </c>
      <c r="D170" s="3002">
        <v>0</v>
      </c>
      <c r="E170" s="3002"/>
      <c r="F170" s="3002"/>
      <c r="G170" s="3007">
        <f t="shared" si="25"/>
        <v>0</v>
      </c>
      <c r="H170" s="3002">
        <f t="shared" si="26"/>
        <v>0</v>
      </c>
      <c r="I170" s="3002"/>
      <c r="J170" s="3002"/>
      <c r="K170" s="3008"/>
      <c r="L170" s="3002">
        <f>+G170</f>
        <v>0</v>
      </c>
      <c r="M170" s="3002"/>
      <c r="N170" s="3009"/>
    </row>
    <row r="171" spans="2:14">
      <c r="B171" s="3012" t="s">
        <v>6737</v>
      </c>
      <c r="C171" s="3010" t="s">
        <v>671</v>
      </c>
      <c r="D171" s="3002">
        <v>0</v>
      </c>
      <c r="E171" s="3013">
        <f>1052.8+87.4</f>
        <v>1140.2</v>
      </c>
      <c r="F171" s="3002"/>
      <c r="G171" s="3007">
        <f t="shared" si="25"/>
        <v>1140.2</v>
      </c>
      <c r="H171" s="3002">
        <f t="shared" si="26"/>
        <v>1140.2</v>
      </c>
      <c r="I171" s="3002">
        <f>+G171</f>
        <v>1140.2</v>
      </c>
      <c r="J171" s="3002"/>
      <c r="K171" s="3008"/>
      <c r="L171" s="3002"/>
      <c r="M171" s="3002"/>
      <c r="N171" s="3009"/>
    </row>
    <row r="172" spans="2:14">
      <c r="B172" s="2987" t="s">
        <v>5694</v>
      </c>
      <c r="C172" s="3010" t="s">
        <v>671</v>
      </c>
      <c r="D172" s="3002">
        <v>7320</v>
      </c>
      <c r="E172" s="3013">
        <v>11505.18</v>
      </c>
      <c r="F172" s="3013">
        <v>4000</v>
      </c>
      <c r="G172" s="3007">
        <f t="shared" si="25"/>
        <v>14825.18</v>
      </c>
      <c r="H172" s="3002">
        <f t="shared" si="26"/>
        <v>14825.18</v>
      </c>
      <c r="I172" s="3002"/>
      <c r="J172" s="3002"/>
      <c r="K172" s="3002">
        <f>+G172</f>
        <v>14825.18</v>
      </c>
      <c r="L172" s="3002"/>
      <c r="M172" s="3002"/>
      <c r="N172" s="3009"/>
    </row>
    <row r="173" spans="2:14">
      <c r="B173" s="3012" t="s">
        <v>5717</v>
      </c>
      <c r="C173" s="3010" t="s">
        <v>39</v>
      </c>
      <c r="D173" s="3015">
        <v>2075157.83</v>
      </c>
      <c r="E173" s="3035">
        <v>800</v>
      </c>
      <c r="F173" s="3002"/>
      <c r="G173" s="3007">
        <f>+D173+E173-F173</f>
        <v>2075957.83</v>
      </c>
      <c r="H173" s="3002">
        <f>+SUM(I173:M173)</f>
        <v>2075957.83</v>
      </c>
      <c r="I173" s="3002">
        <f>+G173</f>
        <v>2075957.83</v>
      </c>
      <c r="J173" s="3002"/>
      <c r="K173" s="3002"/>
      <c r="L173" s="3002"/>
      <c r="M173" s="3002"/>
      <c r="N173" s="3009"/>
    </row>
    <row r="174" spans="2:14">
      <c r="B174" s="2987" t="s">
        <v>5283</v>
      </c>
      <c r="C174" s="3010" t="s">
        <v>39</v>
      </c>
      <c r="D174" s="3015">
        <v>174414.99</v>
      </c>
      <c r="E174" s="3002"/>
      <c r="F174" s="3006">
        <f>62852.68+4384.6+13686.4+13405.61+6776+15879.05+1620+39637.92+10080+5824+268.73-3576.2</f>
        <v>170838.79</v>
      </c>
      <c r="G174" s="3007">
        <f t="shared" si="25"/>
        <v>3576.1999999999825</v>
      </c>
      <c r="H174" s="3002">
        <f t="shared" si="26"/>
        <v>3576.1999999999825</v>
      </c>
      <c r="I174" s="3002"/>
      <c r="J174" s="3002"/>
      <c r="K174" s="3002">
        <f>+G174</f>
        <v>3576.1999999999825</v>
      </c>
      <c r="L174" s="3002"/>
      <c r="M174" s="3002"/>
      <c r="N174" s="3009"/>
    </row>
    <row r="175" spans="2:14">
      <c r="B175" s="3012" t="s">
        <v>6785</v>
      </c>
      <c r="C175" s="3010" t="s">
        <v>39</v>
      </c>
      <c r="D175" s="3002">
        <v>41623.279999999999</v>
      </c>
      <c r="E175" s="3002"/>
      <c r="F175" s="3002"/>
      <c r="G175" s="3007">
        <f t="shared" si="25"/>
        <v>41623.279999999999</v>
      </c>
      <c r="H175" s="3002">
        <f t="shared" si="26"/>
        <v>41623.279999999999</v>
      </c>
      <c r="I175" s="3002">
        <f>+G175</f>
        <v>41623.279999999999</v>
      </c>
      <c r="J175" s="3002"/>
      <c r="K175" s="3002"/>
      <c r="L175" s="3002"/>
      <c r="M175" s="3002"/>
      <c r="N175" s="3009"/>
    </row>
    <row r="176" spans="2:14">
      <c r="B176" s="3017" t="s">
        <v>6784</v>
      </c>
      <c r="C176" s="3010" t="s">
        <v>39</v>
      </c>
      <c r="D176" s="3002">
        <v>71176.34</v>
      </c>
      <c r="E176" s="3002"/>
      <c r="F176" s="3002"/>
      <c r="G176" s="3007">
        <f t="shared" si="25"/>
        <v>71176.34</v>
      </c>
      <c r="H176" s="3002">
        <f t="shared" si="26"/>
        <v>71176.34</v>
      </c>
      <c r="I176" s="3002"/>
      <c r="J176" s="3002"/>
      <c r="K176" s="3002"/>
      <c r="L176" s="3002">
        <f>+G176</f>
        <v>71176.34</v>
      </c>
      <c r="M176" s="3002"/>
      <c r="N176" s="3009"/>
    </row>
    <row r="177" spans="2:14">
      <c r="B177" s="3034" t="s">
        <v>7003</v>
      </c>
      <c r="C177" s="3010" t="s">
        <v>39</v>
      </c>
      <c r="D177" s="3002">
        <v>90967.42</v>
      </c>
      <c r="E177" s="3002"/>
      <c r="F177" s="3002"/>
      <c r="G177" s="3007">
        <f t="shared" si="25"/>
        <v>90967.42</v>
      </c>
      <c r="H177" s="3002">
        <f t="shared" si="26"/>
        <v>90967.42</v>
      </c>
      <c r="I177" s="3002"/>
      <c r="J177" s="3002"/>
      <c r="K177" s="3002"/>
      <c r="L177" s="3002"/>
      <c r="M177" s="3002">
        <f>+G177</f>
        <v>90967.42</v>
      </c>
      <c r="N177" s="3009"/>
    </row>
    <row r="178" spans="2:14">
      <c r="B178" s="2987" t="s">
        <v>4825</v>
      </c>
      <c r="C178" s="3010" t="s">
        <v>40</v>
      </c>
      <c r="D178" s="3002">
        <v>12714.06</v>
      </c>
      <c r="E178" s="3013">
        <v>1146.32</v>
      </c>
      <c r="F178" s="3013">
        <f>380.46+133.28</f>
        <v>513.74</v>
      </c>
      <c r="G178" s="3007">
        <f>+D178+E178-F178</f>
        <v>13346.64</v>
      </c>
      <c r="H178" s="3002">
        <f>+SUM(I178:M178)</f>
        <v>13346.64</v>
      </c>
      <c r="I178" s="3002"/>
      <c r="J178" s="3002"/>
      <c r="K178" s="3002">
        <f>+G178</f>
        <v>13346.64</v>
      </c>
      <c r="L178" s="3002"/>
      <c r="M178" s="3002"/>
      <c r="N178" s="3009"/>
    </row>
    <row r="179" spans="2:14">
      <c r="B179" s="2987" t="s">
        <v>6745</v>
      </c>
      <c r="C179" s="3010" t="s">
        <v>6746</v>
      </c>
      <c r="D179" s="3002">
        <v>100350.11</v>
      </c>
      <c r="E179" s="3006">
        <f>60000+50000</f>
        <v>110000</v>
      </c>
      <c r="F179" s="3002"/>
      <c r="G179" s="3007">
        <f t="shared" si="25"/>
        <v>210350.11</v>
      </c>
      <c r="H179" s="3002">
        <f t="shared" si="26"/>
        <v>210350.11</v>
      </c>
      <c r="I179" s="3002"/>
      <c r="J179" s="3002"/>
      <c r="K179" s="3002">
        <f>+G179</f>
        <v>210350.11</v>
      </c>
      <c r="L179" s="3002"/>
      <c r="M179" s="3002"/>
      <c r="N179" s="3009"/>
    </row>
    <row r="180" spans="2:14">
      <c r="B180" s="3036"/>
      <c r="C180" s="3023" t="s">
        <v>6787</v>
      </c>
      <c r="D180" s="1538">
        <f t="shared" ref="D180:M180" si="30">SUM(D136:D179)</f>
        <v>21683715.159999985</v>
      </c>
      <c r="E180" s="1538">
        <f t="shared" si="30"/>
        <v>237797.38</v>
      </c>
      <c r="F180" s="1538">
        <f t="shared" si="30"/>
        <v>345275.58999999997</v>
      </c>
      <c r="G180" s="1538">
        <f t="shared" si="30"/>
        <v>21576236.949999988</v>
      </c>
      <c r="H180" s="1538">
        <f t="shared" si="30"/>
        <v>21576236.949999988</v>
      </c>
      <c r="I180" s="1538">
        <f t="shared" si="30"/>
        <v>3481737.0100000002</v>
      </c>
      <c r="J180" s="1538">
        <f t="shared" si="30"/>
        <v>82762.59</v>
      </c>
      <c r="K180" s="1538">
        <f t="shared" si="30"/>
        <v>17789593.899999987</v>
      </c>
      <c r="L180" s="1538">
        <f t="shared" si="30"/>
        <v>104390.45999999999</v>
      </c>
      <c r="M180" s="1538">
        <f t="shared" si="30"/>
        <v>117752.98999999999</v>
      </c>
      <c r="N180" s="3009"/>
    </row>
    <row r="181" spans="2:14">
      <c r="B181" s="3037"/>
      <c r="C181" s="3038"/>
      <c r="E181" s="3009"/>
      <c r="F181" s="1539"/>
      <c r="G181" s="3039">
        <f>G180-21576236.97</f>
        <v>-2.000001072883606E-2</v>
      </c>
      <c r="H181" s="1539"/>
      <c r="I181" s="1539"/>
      <c r="J181" s="1539"/>
      <c r="K181" s="1539"/>
      <c r="N181" s="3009"/>
    </row>
    <row r="182" spans="2:14">
      <c r="B182" s="3040"/>
      <c r="C182" s="3040"/>
      <c r="F182" s="1539"/>
      <c r="G182" s="1539"/>
      <c r="H182" s="1539"/>
      <c r="I182" s="1539"/>
      <c r="J182" s="1539"/>
      <c r="K182" s="1539"/>
      <c r="N182" s="3009"/>
    </row>
    <row r="183" spans="2:14" ht="25.5">
      <c r="B183" s="3041" t="s">
        <v>7</v>
      </c>
      <c r="C183" s="3041" t="s">
        <v>6505</v>
      </c>
      <c r="D183" s="2994" t="s">
        <v>6667</v>
      </c>
      <c r="E183" s="2994" t="s">
        <v>6678</v>
      </c>
      <c r="F183" s="2994" t="s">
        <v>6679</v>
      </c>
      <c r="G183" s="2994" t="s">
        <v>6680</v>
      </c>
      <c r="H183" s="2994" t="s">
        <v>6681</v>
      </c>
      <c r="I183" s="2995" t="s">
        <v>6488</v>
      </c>
      <c r="J183" s="2996" t="s">
        <v>6489</v>
      </c>
      <c r="K183" s="2997" t="s">
        <v>6508</v>
      </c>
      <c r="L183" s="2998" t="s">
        <v>6491</v>
      </c>
      <c r="M183" s="2999" t="s">
        <v>6492</v>
      </c>
      <c r="N183" s="3009"/>
    </row>
    <row r="184" spans="2:14">
      <c r="B184" s="3042" t="s">
        <v>6616</v>
      </c>
      <c r="C184" s="3043" t="s">
        <v>6617</v>
      </c>
      <c r="D184" s="3044"/>
      <c r="E184" s="3031"/>
      <c r="F184" s="3031"/>
      <c r="G184" s="3044"/>
      <c r="H184" s="3031"/>
      <c r="I184" s="3031"/>
      <c r="J184" s="3031"/>
      <c r="K184" s="3031"/>
      <c r="L184" s="3003"/>
      <c r="M184" s="3002"/>
      <c r="N184" s="3009"/>
    </row>
    <row r="185" spans="2:14">
      <c r="B185" s="3012" t="s">
        <v>6618</v>
      </c>
      <c r="C185" s="3010" t="s">
        <v>881</v>
      </c>
      <c r="D185" s="3002">
        <v>332769.36</v>
      </c>
      <c r="E185" s="3002"/>
      <c r="F185" s="3006">
        <v>49750.97</v>
      </c>
      <c r="G185" s="3007">
        <f t="shared" ref="G185:G240" si="31">+D185+E185-F185</f>
        <v>283018.39</v>
      </c>
      <c r="H185" s="3002">
        <f t="shared" ref="H185:H231" si="32">+SUM(I185:M185)</f>
        <v>283018.39</v>
      </c>
      <c r="I185" s="3002">
        <f>+G185</f>
        <v>283018.39</v>
      </c>
      <c r="J185" s="3002"/>
      <c r="K185" s="3002"/>
      <c r="L185" s="3003"/>
      <c r="M185" s="3002"/>
      <c r="N185" s="3009"/>
    </row>
    <row r="186" spans="2:14">
      <c r="B186" s="3012" t="s">
        <v>5012</v>
      </c>
      <c r="C186" s="3010" t="s">
        <v>6791</v>
      </c>
      <c r="D186" s="3002">
        <v>172720</v>
      </c>
      <c r="E186" s="3002"/>
      <c r="F186" s="3013">
        <v>2240</v>
      </c>
      <c r="G186" s="3007">
        <f t="shared" si="31"/>
        <v>170480</v>
      </c>
      <c r="H186" s="3002">
        <f t="shared" si="32"/>
        <v>170480</v>
      </c>
      <c r="I186" s="3002">
        <f>+G186</f>
        <v>170480</v>
      </c>
      <c r="J186" s="3002"/>
      <c r="K186" s="3002"/>
      <c r="L186" s="3003"/>
      <c r="M186" s="3002"/>
      <c r="N186" s="3009"/>
    </row>
    <row r="187" spans="2:14">
      <c r="B187" s="3012" t="s">
        <v>6795</v>
      </c>
      <c r="C187" s="3010" t="s">
        <v>2855</v>
      </c>
      <c r="D187" s="3002">
        <v>25066.04</v>
      </c>
      <c r="E187" s="3002"/>
      <c r="F187" s="3002"/>
      <c r="G187" s="3007">
        <f t="shared" si="31"/>
        <v>25066.04</v>
      </c>
      <c r="H187" s="3002">
        <f t="shared" si="32"/>
        <v>25066.04</v>
      </c>
      <c r="I187" s="3002">
        <f>+G187</f>
        <v>25066.04</v>
      </c>
      <c r="J187" s="3002"/>
      <c r="K187" s="3002"/>
      <c r="L187" s="3003"/>
      <c r="M187" s="3002"/>
      <c r="N187" s="3009"/>
    </row>
    <row r="188" spans="2:14">
      <c r="B188" s="3021" t="s">
        <v>6930</v>
      </c>
      <c r="C188" s="3010" t="s">
        <v>2855</v>
      </c>
      <c r="D188" s="3002">
        <v>25066.04</v>
      </c>
      <c r="E188" s="3002"/>
      <c r="F188" s="3002"/>
      <c r="G188" s="3007">
        <f t="shared" si="31"/>
        <v>25066.04</v>
      </c>
      <c r="H188" s="3002">
        <f>SUM(I188:M188)</f>
        <v>25066.04</v>
      </c>
      <c r="I188" s="3002"/>
      <c r="J188" s="3002"/>
      <c r="K188" s="3008"/>
      <c r="L188" s="3003"/>
      <c r="M188" s="3002">
        <f>G188</f>
        <v>25066.04</v>
      </c>
      <c r="N188" s="3009"/>
    </row>
    <row r="189" spans="2:14">
      <c r="B189" s="2987" t="s">
        <v>6543</v>
      </c>
      <c r="C189" s="3010" t="s">
        <v>6796</v>
      </c>
      <c r="D189" s="3002">
        <v>1000</v>
      </c>
      <c r="E189" s="3002"/>
      <c r="F189" s="3002"/>
      <c r="G189" s="3007">
        <f t="shared" si="31"/>
        <v>1000</v>
      </c>
      <c r="H189" s="3002">
        <f t="shared" ref="H189" si="33">+SUM(I189:M189)</f>
        <v>1000</v>
      </c>
      <c r="I189" s="3002"/>
      <c r="J189" s="3002"/>
      <c r="K189" s="3008">
        <f>+G189</f>
        <v>1000</v>
      </c>
      <c r="L189" s="3003"/>
      <c r="M189" s="3002"/>
      <c r="N189" s="3009"/>
    </row>
    <row r="190" spans="2:14">
      <c r="B190" s="3012" t="s">
        <v>6620</v>
      </c>
      <c r="C190" s="3010" t="s">
        <v>1301</v>
      </c>
      <c r="D190" s="3002">
        <v>5040</v>
      </c>
      <c r="E190" s="3013">
        <v>9500</v>
      </c>
      <c r="F190" s="3002"/>
      <c r="G190" s="3007">
        <f t="shared" si="31"/>
        <v>14540</v>
      </c>
      <c r="H190" s="3002">
        <f t="shared" si="32"/>
        <v>14540</v>
      </c>
      <c r="I190" s="3002">
        <f t="shared" ref="I190:I195" si="34">+G190</f>
        <v>14540</v>
      </c>
      <c r="J190" s="3002"/>
      <c r="K190" s="3008"/>
      <c r="L190" s="3003"/>
      <c r="M190" s="3002"/>
      <c r="N190" s="3009"/>
    </row>
    <row r="191" spans="2:14">
      <c r="B191" s="2987" t="s">
        <v>6544</v>
      </c>
      <c r="C191" s="3010" t="s">
        <v>1301</v>
      </c>
      <c r="D191" s="3002">
        <v>10000</v>
      </c>
      <c r="E191" s="3002"/>
      <c r="F191" s="3002"/>
      <c r="G191" s="3007">
        <f t="shared" si="31"/>
        <v>10000</v>
      </c>
      <c r="H191" s="3002">
        <f t="shared" si="32"/>
        <v>10000</v>
      </c>
      <c r="I191" s="3002"/>
      <c r="J191" s="3002"/>
      <c r="K191" s="3008">
        <f>+G191</f>
        <v>10000</v>
      </c>
      <c r="L191" s="3003"/>
      <c r="M191" s="3002"/>
      <c r="N191" s="3009"/>
    </row>
    <row r="192" spans="2:14">
      <c r="B192" s="3012" t="s">
        <v>6621</v>
      </c>
      <c r="C192" s="3010" t="s">
        <v>29</v>
      </c>
      <c r="D192" s="3002">
        <v>1120</v>
      </c>
      <c r="E192" s="3002"/>
      <c r="F192" s="3002"/>
      <c r="G192" s="3007">
        <f t="shared" si="31"/>
        <v>1120</v>
      </c>
      <c r="H192" s="3002">
        <f t="shared" si="32"/>
        <v>1120</v>
      </c>
      <c r="I192" s="3002">
        <f>+G192</f>
        <v>1120</v>
      </c>
      <c r="J192" s="3002"/>
      <c r="K192" s="3008"/>
      <c r="L192" s="3003"/>
      <c r="M192" s="3002"/>
      <c r="N192" s="3009"/>
    </row>
    <row r="193" spans="2:14">
      <c r="B193" s="3012" t="s">
        <v>6768</v>
      </c>
      <c r="C193" s="3010" t="s">
        <v>30</v>
      </c>
      <c r="D193" s="3002">
        <v>5600</v>
      </c>
      <c r="E193" s="3002"/>
      <c r="F193" s="3002"/>
      <c r="G193" s="3007">
        <f t="shared" si="31"/>
        <v>5600</v>
      </c>
      <c r="H193" s="3002">
        <f t="shared" si="32"/>
        <v>5600</v>
      </c>
      <c r="I193" s="3002">
        <f t="shared" si="34"/>
        <v>5600</v>
      </c>
      <c r="J193" s="3002"/>
      <c r="K193" s="3008"/>
      <c r="L193" s="3003"/>
      <c r="M193" s="3002"/>
      <c r="N193" s="3009"/>
    </row>
    <row r="194" spans="2:14">
      <c r="B194" s="2987" t="s">
        <v>6546</v>
      </c>
      <c r="C194" s="3010" t="s">
        <v>30</v>
      </c>
      <c r="D194" s="3002">
        <v>5000</v>
      </c>
      <c r="E194" s="3002"/>
      <c r="F194" s="3002"/>
      <c r="G194" s="3007">
        <f t="shared" si="31"/>
        <v>5000</v>
      </c>
      <c r="H194" s="3002">
        <f t="shared" si="32"/>
        <v>5000</v>
      </c>
      <c r="I194" s="3002"/>
      <c r="J194" s="3002"/>
      <c r="K194" s="3008">
        <f>+G194</f>
        <v>5000</v>
      </c>
      <c r="L194" s="3003"/>
      <c r="M194" s="3002"/>
      <c r="N194" s="3009"/>
    </row>
    <row r="195" spans="2:14">
      <c r="B195" s="3012" t="s">
        <v>6699</v>
      </c>
      <c r="C195" s="3005" t="s">
        <v>281</v>
      </c>
      <c r="D195" s="3002">
        <v>69226.42</v>
      </c>
      <c r="E195" s="3006">
        <f>108473.73+25760</f>
        <v>134233.72999999998</v>
      </c>
      <c r="F195" s="3013">
        <v>38921.22</v>
      </c>
      <c r="G195" s="3007">
        <f t="shared" si="31"/>
        <v>164538.92999999996</v>
      </c>
      <c r="H195" s="3002">
        <f t="shared" si="32"/>
        <v>164538.92999999996</v>
      </c>
      <c r="I195" s="3002">
        <f t="shared" si="34"/>
        <v>164538.92999999996</v>
      </c>
      <c r="J195" s="3002"/>
      <c r="K195" s="3002"/>
      <c r="L195" s="3003"/>
      <c r="M195" s="3002"/>
      <c r="N195" s="3009"/>
    </row>
    <row r="196" spans="2:14">
      <c r="B196" s="3014" t="s">
        <v>6700</v>
      </c>
      <c r="C196" s="3005" t="s">
        <v>281</v>
      </c>
      <c r="D196" s="3002">
        <v>40000</v>
      </c>
      <c r="E196" s="3013">
        <f>32800+27200</f>
        <v>60000</v>
      </c>
      <c r="F196" s="3013">
        <f>100000</f>
        <v>100000</v>
      </c>
      <c r="G196" s="3007">
        <f t="shared" si="31"/>
        <v>0</v>
      </c>
      <c r="H196" s="3002">
        <f t="shared" si="32"/>
        <v>0</v>
      </c>
      <c r="I196" s="3002"/>
      <c r="J196" s="3002">
        <f>+G196</f>
        <v>0</v>
      </c>
      <c r="K196" s="3002"/>
      <c r="L196" s="3003"/>
      <c r="M196" s="3002"/>
      <c r="N196" s="3009"/>
    </row>
    <row r="197" spans="2:14">
      <c r="B197" s="2987" t="s">
        <v>6701</v>
      </c>
      <c r="C197" s="3005" t="s">
        <v>281</v>
      </c>
      <c r="D197" s="3002">
        <v>13648.02</v>
      </c>
      <c r="E197" s="3006">
        <v>6080</v>
      </c>
      <c r="F197" s="3013">
        <v>13648</v>
      </c>
      <c r="G197" s="3007">
        <f t="shared" si="31"/>
        <v>6080.02</v>
      </c>
      <c r="H197" s="3002">
        <f t="shared" si="32"/>
        <v>6080.02</v>
      </c>
      <c r="I197" s="3002"/>
      <c r="J197" s="3002"/>
      <c r="K197" s="3002">
        <f>+G197</f>
        <v>6080.02</v>
      </c>
      <c r="L197" s="3003"/>
      <c r="M197" s="3002"/>
      <c r="N197" s="3009"/>
    </row>
    <row r="198" spans="2:14">
      <c r="B198" s="2987" t="s">
        <v>6706</v>
      </c>
      <c r="C198" s="3010" t="s">
        <v>505</v>
      </c>
      <c r="D198" s="3002">
        <v>26672.48</v>
      </c>
      <c r="E198" s="3002"/>
      <c r="F198" s="3002"/>
      <c r="G198" s="3007">
        <f t="shared" si="31"/>
        <v>26672.48</v>
      </c>
      <c r="H198" s="3002">
        <f t="shared" si="32"/>
        <v>26672.48</v>
      </c>
      <c r="I198" s="3002"/>
      <c r="J198" s="3002"/>
      <c r="K198" s="3002">
        <f>+G198</f>
        <v>26672.48</v>
      </c>
      <c r="L198" s="3003"/>
      <c r="M198" s="3002"/>
      <c r="N198" s="3009"/>
    </row>
    <row r="199" spans="2:14">
      <c r="B199" s="3012" t="s">
        <v>6623</v>
      </c>
      <c r="C199" s="3010" t="s">
        <v>4343</v>
      </c>
      <c r="D199" s="3002">
        <v>25760</v>
      </c>
      <c r="E199" s="3002"/>
      <c r="F199" s="3006">
        <v>25760</v>
      </c>
      <c r="G199" s="3007">
        <f t="shared" si="31"/>
        <v>0</v>
      </c>
      <c r="H199" s="3002">
        <f t="shared" si="32"/>
        <v>0</v>
      </c>
      <c r="I199" s="3002">
        <f>+G199</f>
        <v>0</v>
      </c>
      <c r="J199" s="3002"/>
      <c r="K199" s="3002"/>
      <c r="L199" s="3003"/>
      <c r="M199" s="3002"/>
      <c r="N199" s="3009"/>
    </row>
    <row r="200" spans="2:14">
      <c r="B200" s="3014" t="s">
        <v>6624</v>
      </c>
      <c r="C200" s="3010" t="s">
        <v>6752</v>
      </c>
      <c r="D200" s="3002">
        <v>25000</v>
      </c>
      <c r="F200" s="3013">
        <v>17500</v>
      </c>
      <c r="G200" s="3007">
        <f t="shared" si="31"/>
        <v>7500</v>
      </c>
      <c r="H200" s="3002">
        <f t="shared" si="32"/>
        <v>7500</v>
      </c>
      <c r="I200" s="3002"/>
      <c r="J200" s="3002">
        <f>+G200</f>
        <v>7500</v>
      </c>
      <c r="K200" s="3002"/>
      <c r="L200" s="3003"/>
      <c r="M200" s="3002"/>
      <c r="N200" s="3009"/>
    </row>
    <row r="201" spans="2:14">
      <c r="B201" s="3012" t="s">
        <v>6625</v>
      </c>
      <c r="C201" s="3010" t="s">
        <v>32</v>
      </c>
      <c r="D201" s="3002">
        <v>3360</v>
      </c>
      <c r="E201" s="3002"/>
      <c r="F201" s="3002"/>
      <c r="G201" s="3007">
        <f t="shared" si="31"/>
        <v>3360</v>
      </c>
      <c r="H201" s="3002">
        <f t="shared" si="32"/>
        <v>3360</v>
      </c>
      <c r="I201" s="3002">
        <f>+G201</f>
        <v>3360</v>
      </c>
      <c r="J201" s="3002"/>
      <c r="K201" s="3002"/>
      <c r="L201" s="3003"/>
      <c r="M201" s="3002"/>
      <c r="N201" s="3009"/>
    </row>
    <row r="202" spans="2:14">
      <c r="B202" s="3012" t="s">
        <v>6601</v>
      </c>
      <c r="C202" s="3010" t="s">
        <v>1360</v>
      </c>
      <c r="D202" s="3002">
        <v>4800</v>
      </c>
      <c r="E202" s="3013">
        <f>18004.61-3561.64</f>
        <v>14442.970000000001</v>
      </c>
      <c r="F202" s="3013">
        <v>4800</v>
      </c>
      <c r="G202" s="3007">
        <f t="shared" si="31"/>
        <v>14442.970000000001</v>
      </c>
      <c r="H202" s="3002">
        <f t="shared" si="32"/>
        <v>14442.970000000001</v>
      </c>
      <c r="I202" s="3002">
        <f>+G202</f>
        <v>14442.970000000001</v>
      </c>
      <c r="J202" s="3002"/>
      <c r="K202" s="3002"/>
      <c r="L202" s="3003"/>
      <c r="M202" s="3002"/>
      <c r="N202" s="3009"/>
    </row>
    <row r="203" spans="2:14">
      <c r="B203" s="3014" t="s">
        <v>6626</v>
      </c>
      <c r="C203" s="3010" t="s">
        <v>1360</v>
      </c>
      <c r="D203" s="3002">
        <v>480</v>
      </c>
      <c r="E203" s="3002"/>
      <c r="F203" s="3006">
        <f>480-150</f>
        <v>330</v>
      </c>
      <c r="G203" s="3007">
        <f t="shared" si="31"/>
        <v>150</v>
      </c>
      <c r="H203" s="3002">
        <f t="shared" si="32"/>
        <v>150</v>
      </c>
      <c r="I203" s="3002"/>
      <c r="J203" s="3002">
        <f>+G203</f>
        <v>150</v>
      </c>
      <c r="K203" s="3002"/>
      <c r="L203" s="3003"/>
      <c r="M203" s="3002"/>
      <c r="N203" s="3009"/>
    </row>
    <row r="204" spans="2:14">
      <c r="B204" s="3012" t="s">
        <v>6829</v>
      </c>
      <c r="C204" s="3010" t="s">
        <v>1665</v>
      </c>
      <c r="D204" s="3002">
        <v>0</v>
      </c>
      <c r="E204" s="3013">
        <f>4885.51+12000</f>
        <v>16885.510000000002</v>
      </c>
      <c r="F204" s="3002"/>
      <c r="G204" s="3007">
        <f t="shared" si="31"/>
        <v>16885.510000000002</v>
      </c>
      <c r="H204" s="3002">
        <f t="shared" si="32"/>
        <v>16885.510000000002</v>
      </c>
      <c r="I204" s="3002">
        <f>+G204</f>
        <v>16885.510000000002</v>
      </c>
      <c r="J204" s="3002"/>
      <c r="K204" s="3002"/>
      <c r="L204" s="3003"/>
      <c r="M204" s="3002"/>
      <c r="N204" s="3009"/>
    </row>
    <row r="205" spans="2:14">
      <c r="B205" s="3014" t="s">
        <v>5097</v>
      </c>
      <c r="C205" s="3010" t="s">
        <v>1665</v>
      </c>
      <c r="D205" s="3002">
        <v>75836.320000000007</v>
      </c>
      <c r="E205" s="3002"/>
      <c r="F205" s="3013">
        <v>11200</v>
      </c>
      <c r="G205" s="3007">
        <f t="shared" si="31"/>
        <v>64636.320000000007</v>
      </c>
      <c r="H205" s="3002">
        <f t="shared" si="32"/>
        <v>64636.320000000007</v>
      </c>
      <c r="I205" s="3002"/>
      <c r="J205" s="3002">
        <f t="shared" ref="J205" si="35">+G205</f>
        <v>64636.320000000007</v>
      </c>
      <c r="K205" s="3002"/>
      <c r="L205" s="3003"/>
      <c r="M205" s="3002"/>
      <c r="N205" s="3009"/>
    </row>
    <row r="206" spans="2:14">
      <c r="B206" s="3012" t="s">
        <v>6801</v>
      </c>
      <c r="C206" s="3010" t="s">
        <v>6802</v>
      </c>
      <c r="D206" s="3002">
        <v>56</v>
      </c>
      <c r="E206" s="3002"/>
      <c r="F206" s="3002"/>
      <c r="G206" s="3007">
        <f t="shared" si="31"/>
        <v>56</v>
      </c>
      <c r="H206" s="3002">
        <f t="shared" si="32"/>
        <v>56</v>
      </c>
      <c r="I206" s="3002">
        <f>+G206</f>
        <v>56</v>
      </c>
      <c r="J206" s="3002"/>
      <c r="K206" s="3002"/>
      <c r="L206" s="3003"/>
      <c r="M206" s="3002"/>
      <c r="N206" s="3009"/>
    </row>
    <row r="207" spans="2:14">
      <c r="B207" s="3012" t="s">
        <v>6774</v>
      </c>
      <c r="C207" s="3010" t="s">
        <v>6806</v>
      </c>
      <c r="D207" s="3002">
        <v>1593.76</v>
      </c>
      <c r="E207" s="3002"/>
      <c r="F207" s="3013">
        <v>530</v>
      </c>
      <c r="G207" s="3007">
        <f t="shared" si="31"/>
        <v>1063.76</v>
      </c>
      <c r="H207" s="3002">
        <f t="shared" si="32"/>
        <v>1063.76</v>
      </c>
      <c r="I207" s="3002">
        <f t="shared" ref="I207" si="36">+G207</f>
        <v>1063.76</v>
      </c>
      <c r="J207" s="3002"/>
      <c r="K207" s="3002"/>
      <c r="L207" s="3003"/>
      <c r="M207" s="3002"/>
      <c r="N207" s="3009"/>
    </row>
    <row r="208" spans="2:14">
      <c r="B208" s="2987" t="s">
        <v>5375</v>
      </c>
      <c r="C208" s="3010" t="s">
        <v>1089</v>
      </c>
      <c r="D208" s="3002">
        <v>2779.46</v>
      </c>
      <c r="E208" s="3002"/>
      <c r="F208" s="3013">
        <v>301.95999999999998</v>
      </c>
      <c r="G208" s="3007">
        <f t="shared" si="31"/>
        <v>2477.5</v>
      </c>
      <c r="H208" s="3002">
        <f t="shared" si="32"/>
        <v>2477.5</v>
      </c>
      <c r="I208" s="3002"/>
      <c r="J208" s="3002"/>
      <c r="K208" s="3002">
        <f>+G208</f>
        <v>2477.5</v>
      </c>
      <c r="L208" s="3003"/>
      <c r="M208" s="3002"/>
      <c r="N208" s="3009"/>
    </row>
    <row r="209" spans="1:14">
      <c r="B209" s="2987" t="s">
        <v>6629</v>
      </c>
      <c r="C209" s="3010" t="s">
        <v>4428</v>
      </c>
      <c r="D209" s="3002">
        <v>190.4</v>
      </c>
      <c r="E209" s="3002"/>
      <c r="F209" s="3002"/>
      <c r="G209" s="3007">
        <f t="shared" si="31"/>
        <v>190.4</v>
      </c>
      <c r="H209" s="3002">
        <f t="shared" si="32"/>
        <v>190.4</v>
      </c>
      <c r="I209" s="3002"/>
      <c r="J209" s="3002"/>
      <c r="K209" s="3002">
        <f>+G209</f>
        <v>190.4</v>
      </c>
      <c r="L209" s="3003"/>
      <c r="M209" s="3002"/>
      <c r="N209" s="3009"/>
    </row>
    <row r="210" spans="1:14">
      <c r="B210" s="2987" t="s">
        <v>6808</v>
      </c>
      <c r="C210" s="3032" t="s">
        <v>4141</v>
      </c>
      <c r="D210" s="3002">
        <v>620.58000000000004</v>
      </c>
      <c r="E210" s="3002"/>
      <c r="F210" s="3002"/>
      <c r="G210" s="3007">
        <f t="shared" si="31"/>
        <v>620.58000000000004</v>
      </c>
      <c r="H210" s="3002">
        <f t="shared" si="32"/>
        <v>620.58000000000004</v>
      </c>
      <c r="I210" s="3002"/>
      <c r="J210" s="3002"/>
      <c r="K210" s="3002">
        <f>+G210</f>
        <v>620.58000000000004</v>
      </c>
      <c r="L210" s="3003"/>
      <c r="M210" s="3002"/>
      <c r="N210" s="3009"/>
    </row>
    <row r="211" spans="1:14">
      <c r="B211" s="3014" t="s">
        <v>6809</v>
      </c>
      <c r="C211" s="3032" t="s">
        <v>4443</v>
      </c>
      <c r="D211" s="3002">
        <v>672</v>
      </c>
      <c r="E211" s="3002"/>
      <c r="F211" s="3002"/>
      <c r="G211" s="3007">
        <f t="shared" si="31"/>
        <v>672</v>
      </c>
      <c r="H211" s="3002">
        <f t="shared" si="32"/>
        <v>672</v>
      </c>
      <c r="I211" s="3002"/>
      <c r="J211" s="3002">
        <f>+G211</f>
        <v>672</v>
      </c>
      <c r="K211" s="3002"/>
      <c r="L211" s="3003"/>
      <c r="M211" s="3002"/>
      <c r="N211" s="3009"/>
    </row>
    <row r="212" spans="1:14">
      <c r="B212" s="2987" t="s">
        <v>6630</v>
      </c>
      <c r="C212" s="3010" t="s">
        <v>4443</v>
      </c>
      <c r="D212" s="3002">
        <v>194.88</v>
      </c>
      <c r="E212" s="3002"/>
      <c r="F212" s="3002"/>
      <c r="G212" s="3007">
        <f t="shared" si="31"/>
        <v>194.88</v>
      </c>
      <c r="H212" s="3002">
        <f t="shared" si="32"/>
        <v>194.88</v>
      </c>
      <c r="I212" s="3002"/>
      <c r="J212" s="3002"/>
      <c r="K212" s="3002">
        <f>+G212</f>
        <v>194.88</v>
      </c>
      <c r="L212" s="3003"/>
      <c r="M212" s="3002"/>
      <c r="N212" s="3009"/>
    </row>
    <row r="213" spans="1:14" s="3045" customFormat="1">
      <c r="B213" s="3014" t="s">
        <v>5257</v>
      </c>
      <c r="C213" s="3032" t="s">
        <v>1667</v>
      </c>
      <c r="D213" s="3002">
        <v>68347.490000000005</v>
      </c>
      <c r="E213" s="3002"/>
      <c r="F213" s="3006">
        <f>10800+15848.08+6776+6080</f>
        <v>39504.080000000002</v>
      </c>
      <c r="G213" s="3007">
        <f t="shared" si="31"/>
        <v>28843.410000000003</v>
      </c>
      <c r="H213" s="3002">
        <f t="shared" si="32"/>
        <v>28843.410000000003</v>
      </c>
      <c r="I213" s="3016"/>
      <c r="J213" s="3002">
        <f>+G213</f>
        <v>28843.410000000003</v>
      </c>
      <c r="K213" s="3002"/>
      <c r="L213" s="3003"/>
      <c r="M213" s="3002"/>
      <c r="N213" s="3009"/>
    </row>
    <row r="214" spans="1:14" s="3045" customFormat="1">
      <c r="B214" s="3014" t="s">
        <v>6660</v>
      </c>
      <c r="C214" s="3010" t="s">
        <v>39</v>
      </c>
      <c r="D214" s="3002">
        <v>3105.48</v>
      </c>
      <c r="E214" s="3002"/>
      <c r="F214" s="3002"/>
      <c r="G214" s="3007">
        <f t="shared" si="31"/>
        <v>3105.48</v>
      </c>
      <c r="H214" s="3002">
        <f t="shared" si="32"/>
        <v>3105.48</v>
      </c>
      <c r="I214" s="3002"/>
      <c r="J214" s="3002">
        <f>+G214</f>
        <v>3105.48</v>
      </c>
      <c r="K214" s="3002"/>
      <c r="L214" s="3003"/>
      <c r="M214" s="3002"/>
      <c r="N214" s="3009"/>
    </row>
    <row r="215" spans="1:14">
      <c r="A215" s="3045"/>
      <c r="B215" s="3014" t="s">
        <v>5399</v>
      </c>
      <c r="C215" s="3032" t="s">
        <v>4163</v>
      </c>
      <c r="D215" s="3002">
        <v>1719.2</v>
      </c>
      <c r="E215" s="3002"/>
      <c r="F215" s="3002"/>
      <c r="G215" s="3007">
        <f t="shared" si="31"/>
        <v>1719.2</v>
      </c>
      <c r="H215" s="3002">
        <f t="shared" si="32"/>
        <v>1719.2</v>
      </c>
      <c r="I215" s="3002"/>
      <c r="J215" s="3002">
        <f>+G215</f>
        <v>1719.2</v>
      </c>
      <c r="K215" s="3002"/>
      <c r="L215" s="3003"/>
      <c r="M215" s="3002"/>
      <c r="N215" s="3009"/>
    </row>
    <row r="216" spans="1:14">
      <c r="A216" s="3045"/>
      <c r="B216" s="3012" t="s">
        <v>4835</v>
      </c>
      <c r="C216" s="3010" t="s">
        <v>40</v>
      </c>
      <c r="D216" s="3002">
        <v>0</v>
      </c>
      <c r="E216" s="3013">
        <f>2784.04+800</f>
        <v>3584.04</v>
      </c>
      <c r="F216" s="3002"/>
      <c r="G216" s="3007">
        <f t="shared" si="31"/>
        <v>3584.04</v>
      </c>
      <c r="H216" s="3002">
        <f t="shared" si="32"/>
        <v>3584.04</v>
      </c>
      <c r="I216" s="3002">
        <f>+G216</f>
        <v>3584.04</v>
      </c>
      <c r="J216" s="3002"/>
      <c r="K216" s="3002"/>
      <c r="L216" s="3003"/>
      <c r="M216" s="3002"/>
      <c r="N216" s="3009"/>
    </row>
    <row r="217" spans="1:14">
      <c r="B217" s="3014" t="s">
        <v>6661</v>
      </c>
      <c r="C217" s="3010" t="s">
        <v>40</v>
      </c>
      <c r="D217" s="3002">
        <v>5240.3599999999997</v>
      </c>
      <c r="E217" s="3002"/>
      <c r="F217" s="3006">
        <v>2784.04</v>
      </c>
      <c r="G217" s="3007">
        <f t="shared" si="31"/>
        <v>2456.3199999999997</v>
      </c>
      <c r="H217" s="3002">
        <f t="shared" si="32"/>
        <v>2456.3199999999997</v>
      </c>
      <c r="I217" s="3002"/>
      <c r="J217" s="3002">
        <f>+G217</f>
        <v>2456.3199999999997</v>
      </c>
      <c r="K217" s="3016"/>
      <c r="L217" s="3046"/>
      <c r="M217" s="3002"/>
      <c r="N217" s="3009"/>
    </row>
    <row r="218" spans="1:14">
      <c r="B218" s="3014" t="s">
        <v>6724</v>
      </c>
      <c r="C218" s="3010" t="s">
        <v>36</v>
      </c>
      <c r="D218" s="3002">
        <v>50000</v>
      </c>
      <c r="E218" s="3002"/>
      <c r="F218" s="3006">
        <v>13133</v>
      </c>
      <c r="G218" s="3007">
        <f t="shared" si="31"/>
        <v>36867</v>
      </c>
      <c r="H218" s="3002">
        <f t="shared" si="32"/>
        <v>36867</v>
      </c>
      <c r="I218" s="3002"/>
      <c r="J218" s="3002">
        <f>+G218</f>
        <v>36867</v>
      </c>
      <c r="K218" s="3047"/>
      <c r="L218" s="3046"/>
      <c r="M218" s="3002"/>
      <c r="N218" s="3009"/>
    </row>
    <row r="219" spans="1:14">
      <c r="B219" s="3014" t="s">
        <v>6815</v>
      </c>
      <c r="C219" s="3010" t="s">
        <v>37</v>
      </c>
      <c r="D219" s="3002">
        <v>3500</v>
      </c>
      <c r="E219" s="3002"/>
      <c r="F219" s="3002"/>
      <c r="G219" s="3007">
        <f t="shared" si="31"/>
        <v>3500</v>
      </c>
      <c r="H219" s="3002">
        <f t="shared" si="32"/>
        <v>3500</v>
      </c>
      <c r="I219" s="3002"/>
      <c r="J219" s="3002">
        <f>+G219</f>
        <v>3500</v>
      </c>
      <c r="K219" s="3047"/>
      <c r="L219" s="3046"/>
      <c r="M219" s="3002"/>
      <c r="N219" s="3009"/>
    </row>
    <row r="220" spans="1:14">
      <c r="B220" s="3012" t="s">
        <v>6581</v>
      </c>
      <c r="C220" s="3010" t="s">
        <v>6816</v>
      </c>
      <c r="D220" s="3002">
        <v>88655.82</v>
      </c>
      <c r="E220" s="3002"/>
      <c r="F220" s="3013">
        <v>17474.61</v>
      </c>
      <c r="G220" s="3007">
        <f t="shared" si="31"/>
        <v>71181.210000000006</v>
      </c>
      <c r="H220" s="3002">
        <f t="shared" si="32"/>
        <v>71181.210000000006</v>
      </c>
      <c r="I220" s="3016">
        <f>+G220</f>
        <v>71181.210000000006</v>
      </c>
      <c r="J220" s="3002"/>
      <c r="K220" s="3002"/>
      <c r="L220" s="3003"/>
      <c r="M220" s="3002"/>
      <c r="N220" s="3009"/>
    </row>
    <row r="221" spans="1:14">
      <c r="B221" s="3012" t="s">
        <v>6817</v>
      </c>
      <c r="C221" s="3010" t="s">
        <v>505</v>
      </c>
      <c r="D221" s="3002">
        <v>1250</v>
      </c>
      <c r="E221" s="3002"/>
      <c r="F221" s="3013">
        <v>1250</v>
      </c>
      <c r="G221" s="3007">
        <f t="shared" si="31"/>
        <v>0</v>
      </c>
      <c r="H221" s="3002">
        <f t="shared" si="32"/>
        <v>0</v>
      </c>
      <c r="I221" s="3016">
        <f>+G221</f>
        <v>0</v>
      </c>
      <c r="J221" s="3002"/>
      <c r="K221" s="3008"/>
      <c r="L221" s="3003"/>
      <c r="M221" s="3002"/>
      <c r="N221" s="3009"/>
    </row>
    <row r="222" spans="1:14">
      <c r="B222" s="3017" t="s">
        <v>6818</v>
      </c>
      <c r="C222" s="3010" t="s">
        <v>6819</v>
      </c>
      <c r="D222" s="3002">
        <v>26785.72</v>
      </c>
      <c r="E222" s="3002"/>
      <c r="F222" s="3002"/>
      <c r="G222" s="3007">
        <f t="shared" si="31"/>
        <v>26785.72</v>
      </c>
      <c r="H222" s="3002">
        <f t="shared" si="32"/>
        <v>26785.72</v>
      </c>
      <c r="I222" s="3002"/>
      <c r="J222" s="3002"/>
      <c r="K222" s="3008"/>
      <c r="L222" s="3002">
        <f>+G222</f>
        <v>26785.72</v>
      </c>
      <c r="M222" s="3002"/>
      <c r="N222" s="3009"/>
    </row>
    <row r="223" spans="1:14">
      <c r="B223" s="3021" t="s">
        <v>7004</v>
      </c>
      <c r="C223" s="3010" t="s">
        <v>6819</v>
      </c>
      <c r="D223" s="3002">
        <v>26785.71</v>
      </c>
      <c r="E223" s="3002"/>
      <c r="F223" s="3018"/>
      <c r="G223" s="3007">
        <f t="shared" si="31"/>
        <v>26785.71</v>
      </c>
      <c r="H223" s="3002">
        <f t="shared" si="32"/>
        <v>26785.71</v>
      </c>
      <c r="I223" s="3018"/>
      <c r="J223" s="3018"/>
      <c r="K223" s="3020"/>
      <c r="L223" s="3018"/>
      <c r="M223" s="3002">
        <f>+G223</f>
        <v>26785.71</v>
      </c>
      <c r="N223" s="3009"/>
    </row>
    <row r="224" spans="1:14">
      <c r="B224" s="3017" t="s">
        <v>6820</v>
      </c>
      <c r="C224" s="3010" t="s">
        <v>2742</v>
      </c>
      <c r="D224" s="3002">
        <v>231043.11</v>
      </c>
      <c r="E224" s="3002"/>
      <c r="F224" s="3018"/>
      <c r="G224" s="3007">
        <f t="shared" si="31"/>
        <v>231043.11</v>
      </c>
      <c r="H224" s="3002">
        <f t="shared" si="32"/>
        <v>231043.11</v>
      </c>
      <c r="I224" s="3019"/>
      <c r="J224" s="3018"/>
      <c r="K224" s="3018"/>
      <c r="L224" s="3018">
        <f>+G224</f>
        <v>231043.11</v>
      </c>
      <c r="M224" s="3002"/>
      <c r="N224" s="3009"/>
    </row>
    <row r="225" spans="2:14">
      <c r="B225" s="3012" t="s">
        <v>6967</v>
      </c>
      <c r="C225" s="3010" t="s">
        <v>39</v>
      </c>
      <c r="D225" s="3002">
        <v>394.63</v>
      </c>
      <c r="E225" s="3002"/>
      <c r="F225" s="3048">
        <v>394.63</v>
      </c>
      <c r="G225" s="3007">
        <f t="shared" si="31"/>
        <v>0</v>
      </c>
      <c r="H225" s="3002">
        <f t="shared" si="32"/>
        <v>0</v>
      </c>
      <c r="I225" s="3019">
        <f>+G225</f>
        <v>0</v>
      </c>
      <c r="J225" s="3018"/>
      <c r="K225" s="3018"/>
      <c r="L225" s="3018"/>
      <c r="M225" s="3002"/>
      <c r="N225" s="3009"/>
    </row>
    <row r="226" spans="2:14">
      <c r="B226" s="3014" t="s">
        <v>6738</v>
      </c>
      <c r="C226" s="3010" t="s">
        <v>591</v>
      </c>
      <c r="D226" s="3002">
        <v>2250</v>
      </c>
      <c r="E226" s="3002"/>
      <c r="F226" s="3018"/>
      <c r="G226" s="3007">
        <f t="shared" si="31"/>
        <v>2250</v>
      </c>
      <c r="H226" s="3002">
        <f t="shared" si="32"/>
        <v>2250</v>
      </c>
      <c r="I226" s="3019"/>
      <c r="J226" s="3018">
        <f>+G226</f>
        <v>2250</v>
      </c>
      <c r="K226" s="3018"/>
      <c r="L226" s="3003"/>
      <c r="M226" s="3002"/>
      <c r="N226" s="3009"/>
    </row>
    <row r="227" spans="2:14">
      <c r="B227" s="2987" t="s">
        <v>5694</v>
      </c>
      <c r="C227" s="3010" t="s">
        <v>591</v>
      </c>
      <c r="D227" s="3002">
        <v>6843.2</v>
      </c>
      <c r="E227" s="3002"/>
      <c r="F227" s="3018"/>
      <c r="G227" s="3007">
        <f t="shared" si="31"/>
        <v>6843.2</v>
      </c>
      <c r="H227" s="3002">
        <f t="shared" si="32"/>
        <v>6843.2</v>
      </c>
      <c r="I227" s="3019"/>
      <c r="J227" s="3018"/>
      <c r="K227" s="3018">
        <f>+G227</f>
        <v>6843.2</v>
      </c>
      <c r="L227" s="3003"/>
      <c r="M227" s="3002"/>
      <c r="N227" s="3009"/>
    </row>
    <row r="228" spans="2:14">
      <c r="B228" s="3012" t="s">
        <v>6931</v>
      </c>
      <c r="C228" s="3010" t="s">
        <v>591</v>
      </c>
      <c r="D228" s="3002">
        <v>6370</v>
      </c>
      <c r="E228" s="3002"/>
      <c r="F228" s="3048">
        <v>6370</v>
      </c>
      <c r="G228" s="3007">
        <f t="shared" si="31"/>
        <v>0</v>
      </c>
      <c r="H228" s="3002">
        <f t="shared" si="32"/>
        <v>0</v>
      </c>
      <c r="I228" s="3019">
        <f>G228</f>
        <v>0</v>
      </c>
      <c r="J228" s="3018"/>
      <c r="K228" s="3018"/>
      <c r="L228" s="3003"/>
      <c r="M228" s="3002"/>
      <c r="N228" s="3009"/>
    </row>
    <row r="229" spans="2:14">
      <c r="B229" s="3012" t="s">
        <v>5717</v>
      </c>
      <c r="C229" s="3010" t="s">
        <v>39</v>
      </c>
      <c r="D229" s="3002">
        <v>65912.429999999993</v>
      </c>
      <c r="E229" s="3013">
        <v>13192</v>
      </c>
      <c r="F229" s="3013">
        <f>10192+5600+134.4+14280</f>
        <v>30206.400000000001</v>
      </c>
      <c r="G229" s="3007">
        <f>+D229+E229-F229</f>
        <v>48898.029999999992</v>
      </c>
      <c r="H229" s="3002">
        <f t="shared" si="32"/>
        <v>48898.029999999992</v>
      </c>
      <c r="I229" s="3002">
        <f>+G229</f>
        <v>48898.029999999992</v>
      </c>
      <c r="J229" s="3019"/>
      <c r="K229" s="3018"/>
      <c r="L229" s="3003"/>
      <c r="M229" s="3002"/>
      <c r="N229" s="3009"/>
    </row>
    <row r="230" spans="2:14">
      <c r="B230" s="3012" t="s">
        <v>6822</v>
      </c>
      <c r="C230" s="3010" t="s">
        <v>39</v>
      </c>
      <c r="D230" s="3002">
        <v>924169.72</v>
      </c>
      <c r="E230" s="3013">
        <v>82749.929999999993</v>
      </c>
      <c r="F230" s="3002"/>
      <c r="G230" s="3007">
        <f>+D230+E230-F230</f>
        <v>1006919.6499999999</v>
      </c>
      <c r="H230" s="3002">
        <f t="shared" si="32"/>
        <v>1006919.6499999999</v>
      </c>
      <c r="I230" s="3002">
        <f>+G230</f>
        <v>1006919.6499999999</v>
      </c>
      <c r="J230" s="3019"/>
      <c r="K230" s="3018"/>
      <c r="L230" s="3003"/>
      <c r="M230" s="3002"/>
      <c r="N230" s="3009"/>
    </row>
    <row r="231" spans="2:14" ht="13.5" customHeight="1">
      <c r="B231" s="3014" t="s">
        <v>5252</v>
      </c>
      <c r="C231" s="3010" t="s">
        <v>39</v>
      </c>
      <c r="D231" s="3002">
        <v>27328.37</v>
      </c>
      <c r="E231" s="3002"/>
      <c r="F231" s="3002"/>
      <c r="G231" s="3007">
        <f t="shared" si="31"/>
        <v>27328.37</v>
      </c>
      <c r="H231" s="3002">
        <f t="shared" si="32"/>
        <v>27328.37</v>
      </c>
      <c r="I231" s="3002"/>
      <c r="J231" s="3019">
        <f>+G231</f>
        <v>27328.37</v>
      </c>
      <c r="K231" s="3018"/>
      <c r="L231" s="3003"/>
      <c r="M231" s="3002"/>
      <c r="N231" s="3009"/>
    </row>
    <row r="232" spans="2:14">
      <c r="B232" s="2987" t="s">
        <v>5283</v>
      </c>
      <c r="C232" s="3010" t="s">
        <v>39</v>
      </c>
      <c r="D232" s="3002">
        <v>308190.89</v>
      </c>
      <c r="E232" s="3049">
        <f>9559.07+5000+1904.87+3136+3136+923.41+11620+13405.61+6776+39637.92-3158.13</f>
        <v>91940.75</v>
      </c>
      <c r="F232" s="3006">
        <f>15120+758.4</f>
        <v>15878.4</v>
      </c>
      <c r="G232" s="3007">
        <f>+D232+E232-F232</f>
        <v>384253.24</v>
      </c>
      <c r="H232" s="3002">
        <f>+SUM(I232:M232)</f>
        <v>384253.24</v>
      </c>
      <c r="I232" s="3002"/>
      <c r="J232" s="3018"/>
      <c r="K232" s="3018">
        <f>+G232</f>
        <v>384253.24</v>
      </c>
      <c r="L232" s="3003"/>
      <c r="M232" s="3002"/>
      <c r="N232" s="3009"/>
    </row>
    <row r="233" spans="2:14">
      <c r="B233" s="3021" t="s">
        <v>6929</v>
      </c>
      <c r="C233" s="3010" t="s">
        <v>39</v>
      </c>
      <c r="D233" s="3002">
        <v>24677.5</v>
      </c>
      <c r="E233" s="3050"/>
      <c r="F233" s="3002"/>
      <c r="G233" s="3007">
        <f>+D233+E233-F233</f>
        <v>24677.5</v>
      </c>
      <c r="H233" s="3002">
        <f>SUM(I233:M233)</f>
        <v>24677.5</v>
      </c>
      <c r="I233" s="3009"/>
      <c r="J233" s="3018"/>
      <c r="K233" s="3018"/>
      <c r="L233" s="3003"/>
      <c r="M233" s="3002">
        <f>G233</f>
        <v>24677.5</v>
      </c>
      <c r="N233" s="3009"/>
    </row>
    <row r="234" spans="2:14">
      <c r="B234" s="3012" t="s">
        <v>5544</v>
      </c>
      <c r="C234" s="3010" t="s">
        <v>40</v>
      </c>
      <c r="D234" s="3002">
        <v>1344.1</v>
      </c>
      <c r="E234" s="3013">
        <v>6338.72</v>
      </c>
      <c r="F234" s="3013">
        <v>1086.02</v>
      </c>
      <c r="G234" s="3007">
        <f t="shared" si="31"/>
        <v>6596.7999999999993</v>
      </c>
      <c r="H234" s="3002">
        <f t="shared" ref="H234:H240" si="37">+SUM(I234:M234)</f>
        <v>6596.7999999999993</v>
      </c>
      <c r="I234" s="3018">
        <f>+G234</f>
        <v>6596.7999999999993</v>
      </c>
      <c r="J234" s="3019"/>
      <c r="K234" s="3018"/>
      <c r="L234" s="3003"/>
      <c r="M234" s="3002"/>
      <c r="N234" s="3009"/>
    </row>
    <row r="235" spans="2:14">
      <c r="B235" s="3012" t="s">
        <v>6823</v>
      </c>
      <c r="C235" s="3010" t="s">
        <v>40</v>
      </c>
      <c r="D235" s="3002">
        <v>244548.86</v>
      </c>
      <c r="E235" s="3002"/>
      <c r="F235" s="3013">
        <v>74735.3</v>
      </c>
      <c r="G235" s="3007">
        <f t="shared" si="31"/>
        <v>169813.56</v>
      </c>
      <c r="H235" s="3002">
        <f t="shared" si="37"/>
        <v>169813.56</v>
      </c>
      <c r="I235" s="3018">
        <f>+G235</f>
        <v>169813.56</v>
      </c>
      <c r="J235" s="3019"/>
      <c r="K235" s="3018"/>
      <c r="L235" s="3003"/>
      <c r="M235" s="3002"/>
      <c r="N235" s="3009"/>
    </row>
    <row r="236" spans="2:14">
      <c r="B236" s="2987" t="s">
        <v>4825</v>
      </c>
      <c r="C236" s="3010" t="s">
        <v>40</v>
      </c>
      <c r="D236" s="3002">
        <v>288707.62</v>
      </c>
      <c r="E236" s="3006">
        <f>61245.25+38449.6+3500+10080</f>
        <v>113274.85</v>
      </c>
      <c r="F236" s="3006">
        <f>9559.07+7504+2081.43+33488+16587.2+5.81</f>
        <v>69225.509999999995</v>
      </c>
      <c r="G236" s="3007">
        <f t="shared" si="31"/>
        <v>332756.95999999996</v>
      </c>
      <c r="H236" s="3002">
        <f t="shared" si="37"/>
        <v>332756.95999999996</v>
      </c>
      <c r="I236" s="3051"/>
      <c r="J236" s="3019"/>
      <c r="K236" s="3018">
        <f>+G236</f>
        <v>332756.95999999996</v>
      </c>
      <c r="L236" s="3003"/>
      <c r="M236" s="3002"/>
      <c r="N236" s="3009"/>
    </row>
    <row r="237" spans="2:14">
      <c r="B237" s="3017" t="s">
        <v>6824</v>
      </c>
      <c r="C237" s="3010" t="s">
        <v>40</v>
      </c>
      <c r="D237" s="3002">
        <v>525609.06000000006</v>
      </c>
      <c r="E237" s="3018"/>
      <c r="F237" s="3018"/>
      <c r="G237" s="3007">
        <f t="shared" si="31"/>
        <v>525609.06000000006</v>
      </c>
      <c r="H237" s="3002">
        <f t="shared" si="37"/>
        <v>525609.06000000006</v>
      </c>
      <c r="I237" s="3051"/>
      <c r="J237" s="3019"/>
      <c r="K237" s="3018"/>
      <c r="L237" s="3018">
        <f>+G237</f>
        <v>525609.06000000006</v>
      </c>
      <c r="M237" s="3002"/>
      <c r="N237" s="3009"/>
    </row>
    <row r="238" spans="2:14">
      <c r="B238" s="3021" t="s">
        <v>7005</v>
      </c>
      <c r="C238" s="3010" t="s">
        <v>40</v>
      </c>
      <c r="D238" s="3002">
        <v>110690</v>
      </c>
      <c r="E238" s="3018"/>
      <c r="F238" s="3018"/>
      <c r="G238" s="3007">
        <f t="shared" si="31"/>
        <v>110690</v>
      </c>
      <c r="H238" s="3002">
        <f t="shared" si="37"/>
        <v>110690</v>
      </c>
      <c r="I238" s="3051"/>
      <c r="J238" s="3019"/>
      <c r="K238" s="3018"/>
      <c r="L238" s="3018"/>
      <c r="M238" s="3002">
        <f>+G238</f>
        <v>110690</v>
      </c>
      <c r="N238" s="3009"/>
    </row>
    <row r="239" spans="2:14">
      <c r="B239" s="3014" t="s">
        <v>7006</v>
      </c>
      <c r="C239" s="3010" t="s">
        <v>36</v>
      </c>
      <c r="D239" s="3002">
        <v>0</v>
      </c>
      <c r="E239" s="3006">
        <v>13133</v>
      </c>
      <c r="F239" s="3002"/>
      <c r="G239" s="3007">
        <f t="shared" si="31"/>
        <v>13133</v>
      </c>
      <c r="H239" s="3002">
        <f t="shared" ref="H239" si="38">+SUM(I239:M239)</f>
        <v>13133</v>
      </c>
      <c r="I239" s="3002"/>
      <c r="J239" s="3002">
        <f>+G239</f>
        <v>13133</v>
      </c>
      <c r="K239" s="3047"/>
      <c r="L239" s="3046"/>
      <c r="M239" s="3002"/>
      <c r="N239" s="3009"/>
    </row>
    <row r="240" spans="2:14">
      <c r="B240" s="2987" t="s">
        <v>6825</v>
      </c>
      <c r="C240" s="3010" t="s">
        <v>37</v>
      </c>
      <c r="D240" s="3002">
        <v>2800</v>
      </c>
      <c r="E240" s="3018"/>
      <c r="F240" s="3018"/>
      <c r="G240" s="3007">
        <f t="shared" si="31"/>
        <v>2800</v>
      </c>
      <c r="H240" s="3002">
        <f t="shared" si="37"/>
        <v>2800</v>
      </c>
      <c r="I240" s="3018"/>
      <c r="J240" s="3019"/>
      <c r="K240" s="3018">
        <f>+G240</f>
        <v>2800</v>
      </c>
      <c r="L240" s="3018"/>
      <c r="M240" s="3002"/>
      <c r="N240" s="3009"/>
    </row>
    <row r="241" spans="2:14">
      <c r="B241" s="3036"/>
      <c r="C241" s="3023" t="s">
        <v>6636</v>
      </c>
      <c r="D241" s="1537">
        <f t="shared" ref="D241:M241" si="39">SUM(D185:D240)</f>
        <v>3920541.0300000003</v>
      </c>
      <c r="E241" s="1537">
        <f t="shared" si="39"/>
        <v>565355.5</v>
      </c>
      <c r="F241" s="1537">
        <f t="shared" si="39"/>
        <v>537024.14</v>
      </c>
      <c r="G241" s="1537">
        <f t="shared" si="39"/>
        <v>3948872.3899999997</v>
      </c>
      <c r="H241" s="1537">
        <f t="shared" si="39"/>
        <v>3948872.3899999997</v>
      </c>
      <c r="I241" s="1537">
        <f t="shared" si="39"/>
        <v>2007164.89</v>
      </c>
      <c r="J241" s="1537">
        <f t="shared" si="39"/>
        <v>192161.1</v>
      </c>
      <c r="K241" s="1537">
        <f t="shared" si="39"/>
        <v>778889.26</v>
      </c>
      <c r="L241" s="1537">
        <f t="shared" si="39"/>
        <v>783437.89</v>
      </c>
      <c r="M241" s="1537">
        <f t="shared" si="39"/>
        <v>187219.25</v>
      </c>
      <c r="N241" s="3009"/>
    </row>
    <row r="242" spans="2:14" ht="14.25">
      <c r="B242" s="3052"/>
      <c r="C242" s="3053"/>
      <c r="D242" s="1568">
        <f>+D241*0.01</f>
        <v>39205.410300000003</v>
      </c>
      <c r="E242" s="1567"/>
      <c r="F242" s="1567"/>
      <c r="G242" s="1568">
        <f>G241-D285</f>
        <v>1659255.2383999988</v>
      </c>
      <c r="H242" s="1503">
        <f>G241-3948872.38</f>
        <v>9.9999997764825821E-3</v>
      </c>
      <c r="I242" s="3054"/>
      <c r="J242" s="3054"/>
      <c r="K242" s="3054"/>
      <c r="N242" s="3009"/>
    </row>
    <row r="243" spans="2:14">
      <c r="B243" s="3055"/>
      <c r="C243" s="3053"/>
      <c r="D243" s="1567"/>
      <c r="E243" s="1567"/>
      <c r="F243" s="1567"/>
      <c r="G243" s="1503"/>
      <c r="H243" s="1503"/>
      <c r="I243" s="3054"/>
      <c r="J243" s="3054"/>
      <c r="K243" s="3054"/>
      <c r="N243" s="3009"/>
    </row>
    <row r="244" spans="2:14" ht="25.5">
      <c r="B244" s="3041" t="s">
        <v>7</v>
      </c>
      <c r="C244" s="3041" t="s">
        <v>6505</v>
      </c>
      <c r="D244" s="2994" t="s">
        <v>6667</v>
      </c>
      <c r="E244" s="2994" t="s">
        <v>6678</v>
      </c>
      <c r="F244" s="2994" t="s">
        <v>6679</v>
      </c>
      <c r="G244" s="2994" t="s">
        <v>6680</v>
      </c>
      <c r="H244" s="2994" t="s">
        <v>6681</v>
      </c>
      <c r="I244" s="2995" t="s">
        <v>6488</v>
      </c>
      <c r="J244" s="2996" t="s">
        <v>6489</v>
      </c>
      <c r="K244" s="2997" t="s">
        <v>6508</v>
      </c>
      <c r="L244" s="2998" t="s">
        <v>6491</v>
      </c>
      <c r="M244" s="2999" t="s">
        <v>6492</v>
      </c>
      <c r="N244" s="3009"/>
    </row>
    <row r="245" spans="2:14">
      <c r="B245" s="3042" t="s">
        <v>6637</v>
      </c>
      <c r="C245" s="3043" t="s">
        <v>6638</v>
      </c>
      <c r="D245" s="3044"/>
      <c r="E245" s="3031"/>
      <c r="F245" s="3031"/>
      <c r="G245" s="3044"/>
      <c r="H245" s="3031"/>
      <c r="I245" s="3031"/>
      <c r="J245" s="3031"/>
      <c r="K245" s="3031"/>
      <c r="L245" s="3003"/>
      <c r="M245" s="3003"/>
      <c r="N245" s="3009"/>
    </row>
    <row r="246" spans="2:14">
      <c r="B246" s="3014" t="s">
        <v>5020</v>
      </c>
      <c r="C246" s="3056" t="s">
        <v>6791</v>
      </c>
      <c r="D246" s="3002">
        <v>24640</v>
      </c>
      <c r="E246" s="3002"/>
      <c r="F246" s="3013">
        <v>9640</v>
      </c>
      <c r="G246" s="3007">
        <f>+D246+E246-F246</f>
        <v>15000</v>
      </c>
      <c r="H246" s="3002">
        <f>+SUM(I246:M246)</f>
        <v>15000</v>
      </c>
      <c r="I246" s="3002"/>
      <c r="J246" s="3002">
        <f>+G246</f>
        <v>15000</v>
      </c>
      <c r="K246" s="3002"/>
      <c r="L246" s="3003"/>
      <c r="M246" s="3003"/>
      <c r="N246" s="3009"/>
    </row>
    <row r="247" spans="2:14">
      <c r="B247" s="3014" t="s">
        <v>6766</v>
      </c>
      <c r="C247" s="3010" t="s">
        <v>6826</v>
      </c>
      <c r="D247" s="3002">
        <v>3894.91</v>
      </c>
      <c r="E247" s="3002"/>
      <c r="F247" s="3002"/>
      <c r="G247" s="3007">
        <f t="shared" ref="G247:G279" si="40">+D247+E247-F247</f>
        <v>3894.91</v>
      </c>
      <c r="H247" s="3002">
        <f t="shared" ref="H247:H279" si="41">+SUM(I247:M247)</f>
        <v>3894.91</v>
      </c>
      <c r="I247" s="3002"/>
      <c r="J247" s="3002">
        <f t="shared" ref="J247:J257" si="42">+G247</f>
        <v>3894.91</v>
      </c>
      <c r="K247" s="3002"/>
      <c r="L247" s="3003"/>
      <c r="M247" s="3003"/>
      <c r="N247" s="3009"/>
    </row>
    <row r="248" spans="2:14">
      <c r="B248" s="3014" t="s">
        <v>6641</v>
      </c>
      <c r="C248" s="3010" t="s">
        <v>27</v>
      </c>
      <c r="D248" s="3002">
        <v>1344</v>
      </c>
      <c r="E248" s="3002"/>
      <c r="F248" s="3013">
        <v>1344</v>
      </c>
      <c r="G248" s="3007">
        <f t="shared" si="40"/>
        <v>0</v>
      </c>
      <c r="H248" s="3002">
        <f t="shared" si="41"/>
        <v>0</v>
      </c>
      <c r="I248" s="3002"/>
      <c r="J248" s="3002">
        <f>+G248</f>
        <v>0</v>
      </c>
      <c r="K248" s="3002"/>
      <c r="L248" s="3003"/>
      <c r="M248" s="3003"/>
      <c r="N248" s="3009"/>
    </row>
    <row r="249" spans="2:14">
      <c r="B249" s="3014" t="s">
        <v>6827</v>
      </c>
      <c r="C249" s="3010" t="s">
        <v>1507</v>
      </c>
      <c r="D249" s="3002">
        <v>8064</v>
      </c>
      <c r="E249" s="3002"/>
      <c r="F249" s="3013">
        <v>3584</v>
      </c>
      <c r="G249" s="3007">
        <f t="shared" si="40"/>
        <v>4480</v>
      </c>
      <c r="H249" s="3002">
        <f t="shared" si="41"/>
        <v>4480</v>
      </c>
      <c r="I249" s="3002"/>
      <c r="J249" s="3002">
        <f t="shared" si="42"/>
        <v>4480</v>
      </c>
      <c r="K249" s="3002"/>
      <c r="L249" s="3003"/>
      <c r="M249" s="3003"/>
      <c r="N249" s="3009"/>
    </row>
    <row r="250" spans="2:14">
      <c r="B250" s="3014" t="s">
        <v>6643</v>
      </c>
      <c r="C250" s="3010" t="s">
        <v>6828</v>
      </c>
      <c r="D250" s="3002">
        <v>2121.2800000000002</v>
      </c>
      <c r="E250" s="3002"/>
      <c r="F250" s="3013">
        <v>2121.2800000000002</v>
      </c>
      <c r="G250" s="3007">
        <f t="shared" si="40"/>
        <v>0</v>
      </c>
      <c r="H250" s="3002">
        <f t="shared" si="41"/>
        <v>0</v>
      </c>
      <c r="I250" s="3002"/>
      <c r="J250" s="3002">
        <f t="shared" si="42"/>
        <v>0</v>
      </c>
      <c r="K250" s="3002"/>
      <c r="L250" s="3003"/>
      <c r="M250" s="3003"/>
      <c r="N250" s="3009"/>
    </row>
    <row r="251" spans="2:14">
      <c r="B251" s="3014" t="s">
        <v>6700</v>
      </c>
      <c r="C251" s="3005" t="s">
        <v>281</v>
      </c>
      <c r="D251" s="3002">
        <v>11356.8</v>
      </c>
      <c r="E251" s="3002"/>
      <c r="F251" s="3013">
        <f>5600+795.65</f>
        <v>6395.65</v>
      </c>
      <c r="G251" s="3007">
        <f>+D251+E251-F251</f>
        <v>4961.1499999999996</v>
      </c>
      <c r="H251" s="3002">
        <f t="shared" si="41"/>
        <v>4961.1499999999996</v>
      </c>
      <c r="I251" s="3002"/>
      <c r="J251" s="3002">
        <f t="shared" si="42"/>
        <v>4961.1499999999996</v>
      </c>
      <c r="K251" s="3002"/>
      <c r="L251" s="3003"/>
      <c r="M251" s="3003"/>
      <c r="N251" s="3009"/>
    </row>
    <row r="252" spans="2:14">
      <c r="B252" s="3014" t="s">
        <v>6770</v>
      </c>
      <c r="C252" s="3005" t="s">
        <v>505</v>
      </c>
      <c r="D252" s="3002">
        <v>2352</v>
      </c>
      <c r="E252" s="3002"/>
      <c r="F252" s="3002"/>
      <c r="G252" s="3007">
        <f t="shared" si="40"/>
        <v>2352</v>
      </c>
      <c r="H252" s="3002">
        <f t="shared" si="41"/>
        <v>2352</v>
      </c>
      <c r="I252" s="3002"/>
      <c r="J252" s="3002">
        <f t="shared" si="42"/>
        <v>2352</v>
      </c>
      <c r="K252" s="3002"/>
      <c r="L252" s="3003"/>
      <c r="M252" s="3003"/>
      <c r="N252" s="3009"/>
    </row>
    <row r="253" spans="2:14">
      <c r="B253" s="3014" t="s">
        <v>6646</v>
      </c>
      <c r="C253" s="3010" t="s">
        <v>4343</v>
      </c>
      <c r="D253" s="3002">
        <v>22400</v>
      </c>
      <c r="E253" s="3002"/>
      <c r="F253" s="3013">
        <v>22400</v>
      </c>
      <c r="G253" s="3007">
        <f t="shared" si="40"/>
        <v>0</v>
      </c>
      <c r="H253" s="3002">
        <f t="shared" si="41"/>
        <v>0</v>
      </c>
      <c r="I253" s="3002"/>
      <c r="J253" s="3002">
        <f t="shared" si="42"/>
        <v>0</v>
      </c>
      <c r="K253" s="3002"/>
      <c r="L253" s="3003"/>
      <c r="M253" s="3003"/>
      <c r="N253" s="3009"/>
    </row>
    <row r="254" spans="2:14">
      <c r="B254" s="3014" t="s">
        <v>6624</v>
      </c>
      <c r="C254" s="3010" t="s">
        <v>2507</v>
      </c>
      <c r="D254" s="3002">
        <v>25000</v>
      </c>
      <c r="E254" s="3006">
        <v>18120</v>
      </c>
      <c r="F254" s="3013">
        <v>20000</v>
      </c>
      <c r="G254" s="3007">
        <f t="shared" si="40"/>
        <v>23120</v>
      </c>
      <c r="H254" s="3002">
        <f t="shared" si="41"/>
        <v>23120</v>
      </c>
      <c r="I254" s="3002"/>
      <c r="J254" s="3002">
        <f t="shared" si="42"/>
        <v>23120</v>
      </c>
      <c r="K254" s="3002"/>
      <c r="L254" s="3003"/>
      <c r="M254" s="3003"/>
      <c r="N254" s="3009"/>
    </row>
    <row r="255" spans="2:14">
      <c r="B255" s="3014" t="s">
        <v>5021</v>
      </c>
      <c r="C255" s="3010" t="s">
        <v>5015</v>
      </c>
      <c r="D255" s="3002">
        <v>0</v>
      </c>
      <c r="E255" s="3002"/>
      <c r="F255" s="3002"/>
      <c r="G255" s="3007">
        <f t="shared" si="40"/>
        <v>0</v>
      </c>
      <c r="H255" s="3002">
        <f t="shared" si="41"/>
        <v>0</v>
      </c>
      <c r="I255" s="3002"/>
      <c r="J255" s="3002">
        <f t="shared" si="42"/>
        <v>0</v>
      </c>
      <c r="K255" s="3002"/>
      <c r="L255" s="3003"/>
      <c r="M255" s="3003"/>
      <c r="N255" s="3009"/>
    </row>
    <row r="256" spans="2:14">
      <c r="B256" s="3014" t="s">
        <v>6626</v>
      </c>
      <c r="C256" s="3010" t="s">
        <v>1360</v>
      </c>
      <c r="D256" s="3002">
        <v>17920</v>
      </c>
      <c r="E256" s="3006">
        <f>2859.53+5600-150</f>
        <v>8309.5300000000007</v>
      </c>
      <c r="F256" s="3013">
        <v>17920</v>
      </c>
      <c r="G256" s="3007">
        <f t="shared" si="40"/>
        <v>8309.5299999999988</v>
      </c>
      <c r="H256" s="3002">
        <f t="shared" si="41"/>
        <v>8309.5299999999988</v>
      </c>
      <c r="I256" s="3002"/>
      <c r="J256" s="3002">
        <f t="shared" si="42"/>
        <v>8309.5299999999988</v>
      </c>
      <c r="K256" s="3002"/>
      <c r="L256" s="3003"/>
      <c r="M256" s="3003"/>
      <c r="N256" s="3009"/>
    </row>
    <row r="257" spans="2:14">
      <c r="B257" s="3014" t="s">
        <v>6648</v>
      </c>
      <c r="C257" s="3010" t="s">
        <v>2398</v>
      </c>
      <c r="D257" s="3002">
        <v>10000</v>
      </c>
      <c r="E257" s="3002"/>
      <c r="F257" s="3013">
        <v>10000</v>
      </c>
      <c r="G257" s="3007">
        <f t="shared" si="40"/>
        <v>0</v>
      </c>
      <c r="H257" s="3002">
        <f t="shared" si="41"/>
        <v>0</v>
      </c>
      <c r="I257" s="3002"/>
      <c r="J257" s="3002">
        <f t="shared" si="42"/>
        <v>0</v>
      </c>
      <c r="K257" s="3002"/>
      <c r="L257" s="3003"/>
      <c r="M257" s="3003"/>
      <c r="N257" s="3009"/>
    </row>
    <row r="258" spans="2:14">
      <c r="B258" s="3012" t="s">
        <v>6829</v>
      </c>
      <c r="C258" s="3010" t="s">
        <v>33</v>
      </c>
      <c r="D258" s="3002">
        <v>1648.86</v>
      </c>
      <c r="E258" s="3002"/>
      <c r="F258" s="3013">
        <v>250</v>
      </c>
      <c r="G258" s="3007">
        <f t="shared" si="40"/>
        <v>1398.86</v>
      </c>
      <c r="H258" s="3002">
        <f t="shared" si="41"/>
        <v>1398.86</v>
      </c>
      <c r="I258" s="3002">
        <f>+G258</f>
        <v>1398.86</v>
      </c>
      <c r="J258" s="3002"/>
      <c r="K258" s="3002"/>
      <c r="L258" s="3003"/>
      <c r="M258" s="3003"/>
      <c r="N258" s="3009"/>
    </row>
    <row r="259" spans="2:14">
      <c r="B259" s="3014" t="s">
        <v>6650</v>
      </c>
      <c r="C259" s="3010" t="s">
        <v>148</v>
      </c>
      <c r="D259" s="3002">
        <v>3584</v>
      </c>
      <c r="E259" s="3002"/>
      <c r="F259" s="3013">
        <v>3584</v>
      </c>
      <c r="G259" s="3007">
        <f t="shared" si="40"/>
        <v>0</v>
      </c>
      <c r="H259" s="3002">
        <f t="shared" si="41"/>
        <v>0</v>
      </c>
      <c r="I259" s="3002"/>
      <c r="J259" s="3002">
        <f>+G259</f>
        <v>0</v>
      </c>
      <c r="K259" s="3002"/>
      <c r="L259" s="3003"/>
      <c r="M259" s="3003"/>
      <c r="N259" s="3009"/>
    </row>
    <row r="260" spans="2:14">
      <c r="B260" s="3014" t="s">
        <v>6651</v>
      </c>
      <c r="C260" s="3056" t="s">
        <v>6712</v>
      </c>
      <c r="D260" s="3002">
        <v>1120</v>
      </c>
      <c r="E260" s="3002"/>
      <c r="F260" s="3013">
        <v>536</v>
      </c>
      <c r="G260" s="3007">
        <f t="shared" si="40"/>
        <v>584</v>
      </c>
      <c r="H260" s="3002">
        <f t="shared" si="41"/>
        <v>584</v>
      </c>
      <c r="I260" s="3002"/>
      <c r="J260" s="3002">
        <f>+G260</f>
        <v>584</v>
      </c>
      <c r="K260" s="3002"/>
      <c r="L260" s="3003"/>
      <c r="M260" s="3003"/>
      <c r="N260" s="3009"/>
    </row>
    <row r="261" spans="2:14">
      <c r="B261" s="3014" t="s">
        <v>6713</v>
      </c>
      <c r="C261" s="3010" t="s">
        <v>2003</v>
      </c>
      <c r="D261" s="3002">
        <v>396.4</v>
      </c>
      <c r="E261" s="3002"/>
      <c r="F261" s="3006">
        <f>61.09</f>
        <v>61.09</v>
      </c>
      <c r="G261" s="3007">
        <f t="shared" si="40"/>
        <v>335.30999999999995</v>
      </c>
      <c r="H261" s="3002">
        <f t="shared" si="41"/>
        <v>335.30999999999995</v>
      </c>
      <c r="I261" s="3002"/>
      <c r="J261" s="3002">
        <f>+G261</f>
        <v>335.30999999999995</v>
      </c>
      <c r="K261" s="3002"/>
      <c r="L261" s="3003"/>
      <c r="M261" s="3003"/>
      <c r="N261" s="3009"/>
    </row>
    <row r="262" spans="2:14">
      <c r="B262" s="3014" t="s">
        <v>6654</v>
      </c>
      <c r="C262" s="3010" t="s">
        <v>3817</v>
      </c>
      <c r="D262" s="3002">
        <v>0</v>
      </c>
      <c r="E262" s="3002"/>
      <c r="F262" s="3002"/>
      <c r="G262" s="3007">
        <f t="shared" si="40"/>
        <v>0</v>
      </c>
      <c r="H262" s="3002">
        <f t="shared" si="41"/>
        <v>0</v>
      </c>
      <c r="I262" s="3002"/>
      <c r="J262" s="3002">
        <f>+G262</f>
        <v>0</v>
      </c>
      <c r="K262" s="3002"/>
      <c r="L262" s="3003"/>
      <c r="M262" s="3003"/>
      <c r="N262" s="3009"/>
    </row>
    <row r="263" spans="2:14">
      <c r="B263" s="3014" t="s">
        <v>6754</v>
      </c>
      <c r="C263" s="3056" t="s">
        <v>1006</v>
      </c>
      <c r="D263" s="3002">
        <v>1372.64</v>
      </c>
      <c r="E263" s="3002"/>
      <c r="F263" s="3002"/>
      <c r="G263" s="3007">
        <f t="shared" si="40"/>
        <v>1372.64</v>
      </c>
      <c r="H263" s="3002">
        <f t="shared" si="41"/>
        <v>1372.64</v>
      </c>
      <c r="I263" s="3002"/>
      <c r="J263" s="3002">
        <f t="shared" ref="J263:J272" si="43">+G263</f>
        <v>1372.64</v>
      </c>
      <c r="K263" s="3002"/>
      <c r="L263" s="3003"/>
      <c r="M263" s="3003"/>
      <c r="N263" s="3009"/>
    </row>
    <row r="264" spans="2:14">
      <c r="B264" s="3014" t="s">
        <v>6656</v>
      </c>
      <c r="C264" s="3056" t="s">
        <v>4321</v>
      </c>
      <c r="D264" s="3002">
        <v>0</v>
      </c>
      <c r="E264" s="3018"/>
      <c r="F264" s="3002"/>
      <c r="G264" s="3007">
        <f t="shared" si="40"/>
        <v>0</v>
      </c>
      <c r="H264" s="3002">
        <f t="shared" si="41"/>
        <v>0</v>
      </c>
      <c r="I264" s="3002"/>
      <c r="J264" s="3018">
        <f t="shared" si="43"/>
        <v>0</v>
      </c>
      <c r="K264" s="3018"/>
      <c r="L264" s="3003"/>
      <c r="M264" s="3003"/>
      <c r="N264" s="3009"/>
    </row>
    <row r="265" spans="2:14">
      <c r="B265" s="3014" t="s">
        <v>6657</v>
      </c>
      <c r="C265" s="3056" t="s">
        <v>1089</v>
      </c>
      <c r="D265" s="3002">
        <v>1344</v>
      </c>
      <c r="E265" s="3048">
        <v>3382.4</v>
      </c>
      <c r="F265" s="3013">
        <v>1344</v>
      </c>
      <c r="G265" s="3007">
        <f t="shared" si="40"/>
        <v>3382.3999999999996</v>
      </c>
      <c r="H265" s="3002">
        <f t="shared" si="41"/>
        <v>3382.3999999999996</v>
      </c>
      <c r="I265" s="3002"/>
      <c r="J265" s="3018">
        <f t="shared" si="43"/>
        <v>3382.3999999999996</v>
      </c>
      <c r="K265" s="3018"/>
      <c r="L265" s="3003"/>
      <c r="M265" s="3003"/>
      <c r="N265" s="3009"/>
    </row>
    <row r="266" spans="2:14">
      <c r="B266" s="3014" t="s">
        <v>6830</v>
      </c>
      <c r="C266" s="3056" t="s">
        <v>4141</v>
      </c>
      <c r="D266" s="3002">
        <v>162.4</v>
      </c>
      <c r="E266" s="3002"/>
      <c r="F266" s="3002"/>
      <c r="G266" s="3007">
        <f t="shared" si="40"/>
        <v>162.4</v>
      </c>
      <c r="H266" s="3002">
        <f t="shared" si="41"/>
        <v>162.4</v>
      </c>
      <c r="I266" s="3002"/>
      <c r="J266" s="3018">
        <f t="shared" si="43"/>
        <v>162.4</v>
      </c>
      <c r="K266" s="3018"/>
      <c r="L266" s="3003"/>
      <c r="M266" s="3003"/>
      <c r="N266" s="3009"/>
    </row>
    <row r="267" spans="2:14">
      <c r="B267" s="3014" t="s">
        <v>6809</v>
      </c>
      <c r="C267" s="3056" t="s">
        <v>6831</v>
      </c>
      <c r="D267" s="3002">
        <v>619.36</v>
      </c>
      <c r="E267" s="3002"/>
      <c r="F267" s="3002"/>
      <c r="G267" s="3007">
        <f t="shared" si="40"/>
        <v>619.36</v>
      </c>
      <c r="H267" s="3002">
        <f t="shared" si="41"/>
        <v>619.36</v>
      </c>
      <c r="I267" s="3002"/>
      <c r="J267" s="3018">
        <f>+G267</f>
        <v>619.36</v>
      </c>
      <c r="K267" s="3018"/>
      <c r="L267" s="3003"/>
      <c r="M267" s="3003"/>
      <c r="N267" s="3009"/>
    </row>
    <row r="268" spans="2:14">
      <c r="B268" s="3014" t="s">
        <v>5260</v>
      </c>
      <c r="C268" s="3056" t="s">
        <v>3341</v>
      </c>
      <c r="D268" s="3002">
        <v>5600</v>
      </c>
      <c r="E268" s="3002"/>
      <c r="F268" s="3002"/>
      <c r="G268" s="3007">
        <f t="shared" si="40"/>
        <v>5600</v>
      </c>
      <c r="H268" s="3002">
        <f t="shared" si="41"/>
        <v>5600</v>
      </c>
      <c r="I268" s="3002"/>
      <c r="J268" s="3018">
        <f>+G268</f>
        <v>5600</v>
      </c>
      <c r="K268" s="3018"/>
      <c r="L268" s="3003"/>
      <c r="M268" s="3003"/>
      <c r="N268" s="3009"/>
    </row>
    <row r="269" spans="2:14">
      <c r="B269" s="3014" t="s">
        <v>6659</v>
      </c>
      <c r="C269" s="3056" t="s">
        <v>671</v>
      </c>
      <c r="D269" s="3002">
        <v>993.18</v>
      </c>
      <c r="E269" s="3018"/>
      <c r="F269" s="3002"/>
      <c r="G269" s="3007">
        <f t="shared" si="40"/>
        <v>993.18</v>
      </c>
      <c r="H269" s="3002">
        <f t="shared" si="41"/>
        <v>993.18</v>
      </c>
      <c r="I269" s="3002"/>
      <c r="J269" s="3018">
        <f t="shared" si="43"/>
        <v>993.18</v>
      </c>
      <c r="K269" s="3018"/>
      <c r="L269" s="3003"/>
      <c r="M269" s="3003"/>
      <c r="N269" s="3009"/>
    </row>
    <row r="270" spans="2:14">
      <c r="B270" s="3014" t="s">
        <v>6660</v>
      </c>
      <c r="C270" s="3056" t="s">
        <v>39</v>
      </c>
      <c r="D270" s="3002">
        <v>15879.05</v>
      </c>
      <c r="E270" s="3018"/>
      <c r="F270" s="3013">
        <v>15879.05</v>
      </c>
      <c r="G270" s="3007">
        <f t="shared" si="40"/>
        <v>0</v>
      </c>
      <c r="H270" s="3002">
        <f t="shared" si="41"/>
        <v>0</v>
      </c>
      <c r="I270" s="3002"/>
      <c r="J270" s="3018">
        <f t="shared" si="43"/>
        <v>0</v>
      </c>
      <c r="K270" s="3018"/>
      <c r="L270" s="3003"/>
      <c r="M270" s="3003"/>
      <c r="N270" s="3009"/>
    </row>
    <row r="271" spans="2:14">
      <c r="B271" s="3012" t="s">
        <v>4835</v>
      </c>
      <c r="C271" s="3056" t="s">
        <v>40</v>
      </c>
      <c r="D271" s="3002">
        <v>56.95</v>
      </c>
      <c r="E271" s="3018"/>
      <c r="F271" s="3002"/>
      <c r="G271" s="3007">
        <f t="shared" si="40"/>
        <v>56.95</v>
      </c>
      <c r="H271" s="3002">
        <f t="shared" si="41"/>
        <v>56.95</v>
      </c>
      <c r="I271" s="3002">
        <f>+G271</f>
        <v>56.95</v>
      </c>
      <c r="J271" s="3018"/>
      <c r="K271" s="3018"/>
      <c r="L271" s="3003"/>
      <c r="M271" s="3003"/>
      <c r="N271" s="3009"/>
    </row>
    <row r="272" spans="2:14">
      <c r="B272" s="3014" t="s">
        <v>6661</v>
      </c>
      <c r="C272" s="3056" t="s">
        <v>40</v>
      </c>
      <c r="D272" s="3002">
        <v>1037.1400000000001</v>
      </c>
      <c r="E272" s="3018"/>
      <c r="F272" s="3013">
        <v>1037.1400000000001</v>
      </c>
      <c r="G272" s="3007">
        <f t="shared" si="40"/>
        <v>0</v>
      </c>
      <c r="H272" s="3002">
        <f t="shared" si="41"/>
        <v>0</v>
      </c>
      <c r="I272" s="3002"/>
      <c r="J272" s="3018">
        <f t="shared" si="43"/>
        <v>0</v>
      </c>
      <c r="K272" s="3018"/>
      <c r="L272" s="3003"/>
      <c r="M272" s="3003"/>
      <c r="N272" s="3009"/>
    </row>
    <row r="273" spans="1:14">
      <c r="B273" s="2987" t="s">
        <v>6662</v>
      </c>
      <c r="C273" s="3056" t="s">
        <v>40</v>
      </c>
      <c r="D273" s="3002">
        <v>171.51</v>
      </c>
      <c r="E273" s="3018"/>
      <c r="F273" s="3002"/>
      <c r="G273" s="3007">
        <f t="shared" si="40"/>
        <v>171.51</v>
      </c>
      <c r="H273" s="3002">
        <f t="shared" si="41"/>
        <v>171.51</v>
      </c>
      <c r="I273" s="3002"/>
      <c r="J273" s="3018"/>
      <c r="K273" s="3018">
        <f t="shared" ref="K273:K279" si="44">+G273</f>
        <v>171.51</v>
      </c>
      <c r="L273" s="3003"/>
      <c r="M273" s="3003"/>
      <c r="N273" s="3009"/>
    </row>
    <row r="274" spans="1:14">
      <c r="B274" s="2987" t="s">
        <v>6576</v>
      </c>
      <c r="C274" s="3056" t="s">
        <v>680</v>
      </c>
      <c r="D274" s="3002">
        <v>1120</v>
      </c>
      <c r="E274" s="3018"/>
      <c r="F274" s="3002"/>
      <c r="G274" s="3007">
        <f t="shared" si="40"/>
        <v>1120</v>
      </c>
      <c r="H274" s="3002">
        <f t="shared" si="41"/>
        <v>1120</v>
      </c>
      <c r="I274" s="3002"/>
      <c r="J274" s="3018"/>
      <c r="K274" s="3018">
        <f t="shared" si="44"/>
        <v>1120</v>
      </c>
      <c r="L274" s="3003"/>
      <c r="M274" s="3003"/>
      <c r="N274" s="3009"/>
    </row>
    <row r="275" spans="1:14">
      <c r="B275" s="2987" t="s">
        <v>5694</v>
      </c>
      <c r="C275" s="3056" t="s">
        <v>671</v>
      </c>
      <c r="D275" s="3002">
        <v>19847.71</v>
      </c>
      <c r="E275" s="3018"/>
      <c r="F275" s="3013">
        <v>2132.48</v>
      </c>
      <c r="G275" s="3007">
        <f t="shared" si="40"/>
        <v>17715.23</v>
      </c>
      <c r="H275" s="3002">
        <f t="shared" si="41"/>
        <v>17715.23</v>
      </c>
      <c r="I275" s="3002"/>
      <c r="J275" s="3018"/>
      <c r="K275" s="3018">
        <f t="shared" si="44"/>
        <v>17715.23</v>
      </c>
      <c r="L275" s="3003"/>
      <c r="M275" s="3003"/>
      <c r="N275" s="3009"/>
    </row>
    <row r="276" spans="1:14">
      <c r="B276" s="3012" t="s">
        <v>5717</v>
      </c>
      <c r="C276" s="3010" t="s">
        <v>39</v>
      </c>
      <c r="D276" s="3002">
        <v>0</v>
      </c>
      <c r="E276" s="3048">
        <f>8042.47+134.4</f>
        <v>8176.87</v>
      </c>
      <c r="F276" s="3002"/>
      <c r="G276" s="3007">
        <f>+D276+E276-F276</f>
        <v>8176.87</v>
      </c>
      <c r="H276" s="3002">
        <f>+SUM(I276:M276)</f>
        <v>8176.87</v>
      </c>
      <c r="I276" s="3002">
        <f>+G276</f>
        <v>8176.87</v>
      </c>
      <c r="J276" s="3018"/>
      <c r="K276" s="3018"/>
      <c r="L276" s="3003"/>
      <c r="M276" s="3002"/>
      <c r="N276" s="3009"/>
    </row>
    <row r="277" spans="1:14">
      <c r="B277" s="2987" t="s">
        <v>5283</v>
      </c>
      <c r="C277" s="3010" t="s">
        <v>39</v>
      </c>
      <c r="D277" s="3002">
        <v>35910.97</v>
      </c>
      <c r="E277" s="3049">
        <f>4005.12+15879.05+12549.71</f>
        <v>32433.879999999997</v>
      </c>
      <c r="F277" s="3013">
        <f>1568+4009.6+3528+1904.87+3136+3136</f>
        <v>17282.47</v>
      </c>
      <c r="G277" s="3007">
        <f t="shared" si="40"/>
        <v>51062.380000000005</v>
      </c>
      <c r="H277" s="3002">
        <f t="shared" si="41"/>
        <v>51062.380000000005</v>
      </c>
      <c r="I277" s="3002"/>
      <c r="J277" s="3018"/>
      <c r="K277" s="3018">
        <f t="shared" si="44"/>
        <v>51062.380000000005</v>
      </c>
      <c r="L277" s="3003"/>
      <c r="M277" s="3002"/>
      <c r="N277" s="3009"/>
    </row>
    <row r="278" spans="1:14">
      <c r="B278" s="2987" t="s">
        <v>4825</v>
      </c>
      <c r="C278" s="3010" t="s">
        <v>40</v>
      </c>
      <c r="D278" s="3002">
        <v>21782.91</v>
      </c>
      <c r="E278" s="3013">
        <v>26880</v>
      </c>
      <c r="F278" s="3013">
        <f>133.14+1800.02</f>
        <v>1933.1599999999999</v>
      </c>
      <c r="G278" s="3007">
        <f t="shared" si="40"/>
        <v>46729.75</v>
      </c>
      <c r="H278" s="3002">
        <f t="shared" si="41"/>
        <v>46729.75</v>
      </c>
      <c r="I278" s="3002"/>
      <c r="J278" s="3002"/>
      <c r="K278" s="3002">
        <f t="shared" si="44"/>
        <v>46729.75</v>
      </c>
      <c r="L278" s="3003"/>
      <c r="M278" s="3003"/>
      <c r="N278" s="3009"/>
    </row>
    <row r="279" spans="1:14" s="2979" customFormat="1">
      <c r="A279" s="2980"/>
      <c r="B279" s="2987" t="s">
        <v>6586</v>
      </c>
      <c r="C279" s="3056" t="s">
        <v>5430</v>
      </c>
      <c r="D279" s="3002">
        <v>1994.23</v>
      </c>
      <c r="E279" s="3002"/>
      <c r="F279" s="3002"/>
      <c r="G279" s="3007">
        <f t="shared" si="40"/>
        <v>1994.23</v>
      </c>
      <c r="H279" s="3002">
        <f t="shared" si="41"/>
        <v>1994.23</v>
      </c>
      <c r="I279" s="3002"/>
      <c r="J279" s="3002"/>
      <c r="K279" s="3002">
        <f t="shared" si="44"/>
        <v>1994.23</v>
      </c>
      <c r="L279" s="3003"/>
      <c r="M279" s="3003"/>
      <c r="N279" s="3009"/>
    </row>
    <row r="280" spans="1:14" s="2979" customFormat="1">
      <c r="A280" s="2980"/>
      <c r="B280" s="3036"/>
      <c r="C280" s="3057" t="s">
        <v>6832</v>
      </c>
      <c r="D280" s="1537">
        <f t="shared" ref="D280:M280" si="45">SUM(D246:D279)</f>
        <v>243734.30000000002</v>
      </c>
      <c r="E280" s="1537">
        <f t="shared" si="45"/>
        <v>97302.68</v>
      </c>
      <c r="F280" s="1537">
        <f t="shared" si="45"/>
        <v>137444.31999999998</v>
      </c>
      <c r="G280" s="1537">
        <f>SUM(G246:G279)</f>
        <v>203592.65999999997</v>
      </c>
      <c r="H280" s="1537">
        <f t="shared" si="45"/>
        <v>203592.65999999997</v>
      </c>
      <c r="I280" s="1537">
        <f t="shared" si="45"/>
        <v>9632.68</v>
      </c>
      <c r="J280" s="1537">
        <f t="shared" si="45"/>
        <v>75166.879999999976</v>
      </c>
      <c r="K280" s="1537">
        <f t="shared" si="45"/>
        <v>118793.09999999999</v>
      </c>
      <c r="L280" s="1537">
        <f t="shared" si="45"/>
        <v>0</v>
      </c>
      <c r="M280" s="1537">
        <f t="shared" si="45"/>
        <v>0</v>
      </c>
    </row>
    <row r="281" spans="1:14" s="2979" customFormat="1">
      <c r="A281" s="2980"/>
      <c r="B281" s="3058"/>
      <c r="C281" s="3023" t="s">
        <v>6833</v>
      </c>
      <c r="D281" s="3011">
        <f t="shared" ref="D281:M281" si="46">+D131+D180+D241+D280</f>
        <v>38160285.859999985</v>
      </c>
      <c r="E281" s="3011">
        <f t="shared" si="46"/>
        <v>1444394.1899999997</v>
      </c>
      <c r="F281" s="3011">
        <f t="shared" si="46"/>
        <v>1444394.1900000002</v>
      </c>
      <c r="G281" s="3011">
        <f t="shared" si="46"/>
        <v>38160285.859999985</v>
      </c>
      <c r="H281" s="3011">
        <f t="shared" si="46"/>
        <v>38160285.859999985</v>
      </c>
      <c r="I281" s="3011">
        <f t="shared" si="46"/>
        <v>7028557.8099999996</v>
      </c>
      <c r="J281" s="3011">
        <f t="shared" si="46"/>
        <v>933858.51</v>
      </c>
      <c r="K281" s="3011">
        <f t="shared" si="46"/>
        <v>28387466.439999986</v>
      </c>
      <c r="L281" s="3011">
        <f t="shared" si="46"/>
        <v>1428165.4</v>
      </c>
      <c r="M281" s="3011">
        <f t="shared" si="46"/>
        <v>382237.69999999995</v>
      </c>
    </row>
    <row r="282" spans="1:14" s="2979" customFormat="1">
      <c r="A282" s="2980"/>
      <c r="B282" s="2980"/>
      <c r="C282" s="3059"/>
      <c r="D282" s="3060"/>
      <c r="E282" s="3060"/>
      <c r="F282" s="3060"/>
      <c r="G282" s="3060"/>
      <c r="H282" s="3060"/>
      <c r="I282" s="3060"/>
      <c r="J282" s="3060"/>
      <c r="K282" s="3060"/>
      <c r="L282" s="2980"/>
      <c r="M282" s="2980"/>
    </row>
    <row r="283" spans="1:14" s="2979" customFormat="1">
      <c r="A283" s="2980"/>
      <c r="B283" s="3061"/>
      <c r="C283" s="3061"/>
      <c r="D283" s="3062">
        <f>+D21-D281</f>
        <v>0</v>
      </c>
      <c r="E283" s="3062"/>
      <c r="F283" s="3062">
        <f>+E281-F281</f>
        <v>0</v>
      </c>
      <c r="G283" s="3062"/>
      <c r="H283" s="3063">
        <f>+G281-H281</f>
        <v>0</v>
      </c>
      <c r="I283" s="3064">
        <f>+E21-I281</f>
        <v>0</v>
      </c>
      <c r="J283" s="3064">
        <f>+F21-J281</f>
        <v>0</v>
      </c>
      <c r="K283" s="3064">
        <f>+G21-K281</f>
        <v>0</v>
      </c>
      <c r="L283" s="3064">
        <f>+H21-L281</f>
        <v>0</v>
      </c>
      <c r="M283" s="3064">
        <f>+I21-M281</f>
        <v>0</v>
      </c>
      <c r="N283" s="3065"/>
    </row>
    <row r="284" spans="1:14" s="2979" customFormat="1">
      <c r="A284" s="2980"/>
      <c r="B284" s="3061"/>
      <c r="C284" s="3061"/>
      <c r="D284" s="3062"/>
      <c r="E284" s="3062"/>
      <c r="F284" s="3062"/>
      <c r="G284" s="3062"/>
      <c r="H284" s="3062"/>
      <c r="I284" s="3066"/>
      <c r="J284" s="3066"/>
      <c r="K284" s="3066"/>
      <c r="L284" s="3066"/>
      <c r="M284" s="3066"/>
    </row>
    <row r="285" spans="1:14" s="2979" customFormat="1">
      <c r="A285" s="2980"/>
      <c r="B285" s="3061"/>
      <c r="C285" s="3061"/>
      <c r="D285" s="3067">
        <f>+D21*0.06</f>
        <v>2289617.1516000009</v>
      </c>
      <c r="E285" s="3062" t="s">
        <v>6834</v>
      </c>
      <c r="F285" s="3061"/>
      <c r="G285" s="3067"/>
      <c r="H285" s="1581"/>
      <c r="I285" s="1582"/>
      <c r="J285" s="1582"/>
      <c r="L285" s="2980"/>
      <c r="M285" s="2980"/>
    </row>
    <row r="286" spans="1:14" s="2979" customFormat="1">
      <c r="A286" s="2980"/>
      <c r="B286" s="3061" t="s">
        <v>6835</v>
      </c>
      <c r="C286" s="3062"/>
      <c r="D286" s="3068"/>
      <c r="F286" s="3061"/>
      <c r="G286" s="3061"/>
      <c r="H286" s="1581"/>
      <c r="I286" s="1582"/>
      <c r="J286" s="3069"/>
    </row>
    <row r="287" spans="1:14">
      <c r="B287" s="3061" t="s">
        <v>6836</v>
      </c>
      <c r="C287" s="3067"/>
      <c r="D287" s="3067"/>
      <c r="E287" s="3061"/>
      <c r="F287" s="3061"/>
      <c r="G287" s="3061"/>
      <c r="H287" s="2979"/>
      <c r="I287" s="1582"/>
      <c r="J287" s="1582"/>
      <c r="L287" s="2979"/>
      <c r="M287" s="1584" t="s">
        <v>7007</v>
      </c>
    </row>
    <row r="288" spans="1:14">
      <c r="B288" s="3061"/>
      <c r="C288" s="3067"/>
      <c r="D288" s="3067"/>
      <c r="E288" s="3061"/>
      <c r="F288" s="3061"/>
      <c r="G288" s="3061"/>
      <c r="H288" s="2979"/>
      <c r="I288" s="1582"/>
      <c r="J288" s="1582"/>
      <c r="L288" s="2979"/>
      <c r="M288" s="1584"/>
    </row>
    <row r="289" spans="3:16">
      <c r="C289" s="3059"/>
      <c r="D289" s="3061"/>
      <c r="E289" s="3059"/>
      <c r="F289" s="3059"/>
      <c r="G289" s="3059"/>
      <c r="H289" s="3059"/>
      <c r="I289" s="3059"/>
      <c r="J289" s="3059"/>
      <c r="L289" s="3059"/>
      <c r="M289" s="3059"/>
      <c r="N289" s="3059"/>
      <c r="O289" s="3059"/>
    </row>
    <row r="290" spans="3:16">
      <c r="C290" s="3059"/>
      <c r="D290" s="3061"/>
      <c r="E290" s="3061"/>
      <c r="F290" s="3061"/>
      <c r="G290" s="3061"/>
      <c r="H290" s="3059"/>
      <c r="I290" s="11389" t="s">
        <v>7008</v>
      </c>
      <c r="J290" s="11389"/>
      <c r="K290" s="11389"/>
      <c r="L290" s="3023" t="s">
        <v>7009</v>
      </c>
      <c r="M290" s="3023" t="s">
        <v>7010</v>
      </c>
      <c r="N290" s="3023" t="s">
        <v>7011</v>
      </c>
      <c r="O290" s="3059"/>
    </row>
    <row r="291" spans="3:16">
      <c r="C291" s="3059"/>
      <c r="D291" s="3059"/>
      <c r="E291" s="2979"/>
      <c r="F291" s="2979"/>
      <c r="G291" s="3059"/>
      <c r="H291" s="3059"/>
      <c r="I291" s="11390" t="s">
        <v>7012</v>
      </c>
      <c r="J291" s="11390"/>
      <c r="K291" s="11390"/>
      <c r="L291" s="3002">
        <f>E299</f>
        <v>0</v>
      </c>
      <c r="M291" s="3002">
        <f t="shared" ref="M291:N291" si="47">F299</f>
        <v>0</v>
      </c>
      <c r="N291" s="3002">
        <f t="shared" si="47"/>
        <v>0</v>
      </c>
      <c r="O291" s="3059"/>
    </row>
    <row r="292" spans="3:16">
      <c r="C292" s="3059"/>
      <c r="D292" s="3059"/>
      <c r="E292" s="2979"/>
      <c r="F292" s="2979"/>
      <c r="G292" s="2979"/>
      <c r="H292" s="3059"/>
      <c r="I292" s="11390" t="s">
        <v>7013</v>
      </c>
      <c r="J292" s="11390"/>
      <c r="K292" s="11390"/>
      <c r="L292" s="3002">
        <f>E310</f>
        <v>0</v>
      </c>
      <c r="M292" s="3002">
        <f t="shared" ref="M292:N292" si="48">F310</f>
        <v>0</v>
      </c>
      <c r="N292" s="3002">
        <f t="shared" si="48"/>
        <v>0</v>
      </c>
      <c r="O292" s="3059"/>
    </row>
    <row r="293" spans="3:16">
      <c r="C293" s="3059"/>
      <c r="D293" s="3059"/>
      <c r="E293" s="2979"/>
      <c r="F293" s="2979"/>
      <c r="G293" s="3059"/>
      <c r="H293" s="3059"/>
      <c r="I293" s="11390" t="s">
        <v>7014</v>
      </c>
      <c r="J293" s="11390"/>
      <c r="K293" s="11390"/>
      <c r="L293" s="3002">
        <f>E318</f>
        <v>0</v>
      </c>
      <c r="M293" s="3002">
        <f t="shared" ref="M293:N293" si="49">F318</f>
        <v>0</v>
      </c>
      <c r="N293" s="3002">
        <f t="shared" si="49"/>
        <v>0</v>
      </c>
      <c r="O293" s="3059"/>
    </row>
    <row r="294" spans="3:16">
      <c r="C294" s="3059"/>
      <c r="D294" s="3059"/>
      <c r="E294" s="2979"/>
      <c r="F294" s="2979"/>
      <c r="G294" s="3059"/>
      <c r="H294" s="3059"/>
      <c r="I294" s="11390" t="s">
        <v>7015</v>
      </c>
      <c r="J294" s="11390"/>
      <c r="K294" s="11390"/>
      <c r="L294" s="3002">
        <f>E325</f>
        <v>0</v>
      </c>
      <c r="M294" s="3002">
        <f t="shared" ref="M294:N294" si="50">F325</f>
        <v>0</v>
      </c>
      <c r="N294" s="3002">
        <f t="shared" si="50"/>
        <v>0</v>
      </c>
      <c r="O294" s="3059"/>
    </row>
    <row r="295" spans="3:16">
      <c r="C295" s="3059"/>
      <c r="D295" s="3059"/>
      <c r="E295" s="2979"/>
      <c r="F295" s="2979"/>
      <c r="G295" s="3059"/>
      <c r="H295" s="3059"/>
      <c r="I295" s="11389" t="s">
        <v>7016</v>
      </c>
      <c r="J295" s="11389"/>
      <c r="K295" s="11389"/>
      <c r="L295" s="3070">
        <f>SUM(L291:L294)</f>
        <v>0</v>
      </c>
      <c r="M295" s="3070">
        <f>SUM(M291:M294)</f>
        <v>0</v>
      </c>
      <c r="N295" s="3070">
        <f>M295-L295</f>
        <v>0</v>
      </c>
      <c r="O295" s="3059"/>
    </row>
    <row r="296" spans="3:16">
      <c r="C296" s="3059"/>
      <c r="D296" s="3059"/>
      <c r="E296" s="2979"/>
      <c r="F296" s="2979"/>
      <c r="G296" s="3059"/>
      <c r="H296" s="3059"/>
      <c r="I296" s="3059"/>
      <c r="J296" s="3059"/>
      <c r="L296" s="3059"/>
      <c r="M296" s="3059"/>
      <c r="N296" s="3059"/>
      <c r="O296" s="3059"/>
    </row>
    <row r="297" spans="3:16">
      <c r="C297" s="3059"/>
      <c r="D297" s="3059"/>
      <c r="E297" s="2979"/>
      <c r="F297" s="2979"/>
      <c r="G297" s="2979"/>
      <c r="H297" s="3059"/>
      <c r="I297" s="3059"/>
      <c r="J297" s="3059"/>
      <c r="L297" s="3059"/>
      <c r="M297" s="3059"/>
      <c r="N297" s="3059"/>
      <c r="O297" s="3059"/>
    </row>
    <row r="298" spans="3:16">
      <c r="C298" s="3059"/>
      <c r="D298" s="3059"/>
      <c r="E298" s="2979"/>
      <c r="F298" s="2979"/>
      <c r="G298" s="2979"/>
      <c r="H298" s="3059"/>
      <c r="I298" s="3059"/>
      <c r="J298" s="3059"/>
      <c r="K298" s="3061"/>
      <c r="L298" s="3061"/>
      <c r="M298" s="3061"/>
      <c r="N298" s="3061"/>
      <c r="O298" s="3059"/>
      <c r="P298" s="3071"/>
    </row>
    <row r="299" spans="3:16">
      <c r="C299" s="3059"/>
      <c r="D299" s="3061"/>
      <c r="E299" s="3072"/>
      <c r="F299" s="3072"/>
      <c r="G299" s="3072"/>
      <c r="H299" s="3059"/>
      <c r="I299" s="3061" t="s">
        <v>7017</v>
      </c>
      <c r="J299" s="3059"/>
      <c r="K299" s="3059"/>
      <c r="L299" s="3059"/>
      <c r="M299" s="2979"/>
      <c r="N299" s="2979"/>
      <c r="O299" s="3061"/>
      <c r="P299" s="3071"/>
    </row>
    <row r="300" spans="3:16">
      <c r="C300" s="3059"/>
      <c r="D300" s="3059"/>
      <c r="E300" s="3059"/>
      <c r="F300" s="3059"/>
      <c r="G300" s="3059"/>
      <c r="H300" s="3059"/>
      <c r="I300" s="3023" t="s">
        <v>7018</v>
      </c>
      <c r="J300" s="3023" t="s">
        <v>7019</v>
      </c>
      <c r="K300" s="3023" t="s">
        <v>7010</v>
      </c>
      <c r="L300" s="3023" t="s">
        <v>7011</v>
      </c>
      <c r="M300" s="2979"/>
      <c r="N300" s="2979"/>
      <c r="O300" s="3072"/>
      <c r="P300" s="3073"/>
    </row>
    <row r="301" spans="3:16">
      <c r="C301" s="3059"/>
      <c r="D301" s="3061"/>
      <c r="E301" s="3059"/>
      <c r="F301" s="3059"/>
      <c r="G301" s="3059"/>
      <c r="H301" s="3059"/>
      <c r="I301" s="3010">
        <v>51</v>
      </c>
      <c r="J301" s="3074">
        <v>0</v>
      </c>
      <c r="K301" s="3074">
        <v>0</v>
      </c>
      <c r="L301" s="3074">
        <f>J301-K301</f>
        <v>0</v>
      </c>
      <c r="M301" s="2979"/>
      <c r="N301" s="2979"/>
      <c r="O301" s="3072"/>
      <c r="P301" s="3073"/>
    </row>
    <row r="302" spans="3:16">
      <c r="C302" s="3059"/>
      <c r="D302" s="3061"/>
      <c r="E302" s="3061"/>
      <c r="F302" s="3061"/>
      <c r="G302" s="3061"/>
      <c r="H302" s="3059"/>
      <c r="I302" s="3010">
        <v>53</v>
      </c>
      <c r="J302" s="3074">
        <f>E45+E50+E65+E73+E78+E82+E85+E91+E94+E143+E144+E146+E149+E150+E151+E153+E154+E156+E157+E158+E160+E162+E161+E163+E164+E185+E186+E187+E190+E192+E193+E195+E199+E201+E202+E204+E207+E206+E216+E258+E271+E155</f>
        <v>224989.86</v>
      </c>
      <c r="K302" s="3074">
        <f>F45+F50+F65+F73+F78+F82+F85+F91+F94+F143+F144+F146+F149+F150+F151+F153+F154+F156+F157+F158+F160+F162+F161+F163+F164+F185+F186+F187+F190+F192+F193+F195+F199+F201+F202+F204+F207+F206+F216+F258+F271+F155</f>
        <v>207515.24999999997</v>
      </c>
      <c r="L302" s="3074">
        <f t="shared" ref="L302:L308" si="51">K302-J302</f>
        <v>-17474.610000000015</v>
      </c>
      <c r="M302" s="2979"/>
      <c r="N302" s="2979"/>
      <c r="O302" s="3061"/>
      <c r="P302" s="3073"/>
    </row>
    <row r="303" spans="3:16">
      <c r="C303" s="3059"/>
      <c r="D303" s="3059"/>
      <c r="E303" s="2979"/>
      <c r="F303" s="2979"/>
      <c r="G303" s="3059"/>
      <c r="H303" s="3059"/>
      <c r="I303" s="3010">
        <v>57</v>
      </c>
      <c r="J303" s="3074">
        <f>E107+E165</f>
        <v>0</v>
      </c>
      <c r="K303" s="3074">
        <f>F107+F165</f>
        <v>0</v>
      </c>
      <c r="L303" s="3074">
        <f t="shared" si="51"/>
        <v>0</v>
      </c>
      <c r="M303" s="2979"/>
      <c r="N303" s="2979"/>
      <c r="O303" s="3061"/>
      <c r="P303" s="3073"/>
    </row>
    <row r="304" spans="3:16">
      <c r="C304" s="3059"/>
      <c r="D304" s="3059"/>
      <c r="E304" s="2979"/>
      <c r="F304" s="2979"/>
      <c r="G304" s="2979"/>
      <c r="H304" s="3059"/>
      <c r="I304" s="3010">
        <v>58</v>
      </c>
      <c r="J304" s="3074">
        <f>E113+E114+E166+E220</f>
        <v>0</v>
      </c>
      <c r="K304" s="3074">
        <f>F113+F114+F166+F220</f>
        <v>17474.61</v>
      </c>
      <c r="L304" s="3074">
        <f t="shared" si="51"/>
        <v>17474.61</v>
      </c>
      <c r="M304" s="2979"/>
      <c r="N304" s="2979"/>
      <c r="O304" s="3061"/>
      <c r="P304" s="3073"/>
    </row>
    <row r="305" spans="3:16">
      <c r="C305" s="3059"/>
      <c r="D305" s="3059"/>
      <c r="E305" s="2979"/>
      <c r="F305" s="2979"/>
      <c r="G305" s="3059"/>
      <c r="H305" s="3059"/>
      <c r="I305" s="3010">
        <v>71</v>
      </c>
      <c r="J305" s="3074">
        <v>0</v>
      </c>
      <c r="K305" s="3074">
        <v>0</v>
      </c>
      <c r="L305" s="3074">
        <f t="shared" si="51"/>
        <v>0</v>
      </c>
      <c r="M305" s="2979"/>
      <c r="N305" s="2979"/>
      <c r="O305" s="3072"/>
      <c r="P305" s="3073"/>
    </row>
    <row r="306" spans="3:16">
      <c r="C306" s="3059"/>
      <c r="D306" s="3059"/>
      <c r="E306" s="2979"/>
      <c r="F306" s="2979"/>
      <c r="G306" s="3059"/>
      <c r="H306" s="3059"/>
      <c r="I306" s="3010">
        <v>73</v>
      </c>
      <c r="J306" s="3074">
        <f>E221+E225</f>
        <v>0</v>
      </c>
      <c r="K306" s="3074">
        <f>F221+F225</f>
        <v>1644.63</v>
      </c>
      <c r="L306" s="3074">
        <f t="shared" si="51"/>
        <v>1644.63</v>
      </c>
      <c r="M306" s="2979"/>
      <c r="N306" s="2979"/>
      <c r="O306" s="3061"/>
      <c r="P306" s="3071"/>
    </row>
    <row r="307" spans="3:16">
      <c r="C307" s="3059"/>
      <c r="D307" s="3059"/>
      <c r="E307" s="2979"/>
      <c r="F307" s="2979"/>
      <c r="G307" s="3059"/>
      <c r="H307" s="3059"/>
      <c r="I307" s="3010">
        <v>84</v>
      </c>
      <c r="J307" s="3074">
        <f>E118+E125+E171+E173+E175+E228+E229+E230+E234+E235+E276</f>
        <v>114042.34999999999</v>
      </c>
      <c r="K307" s="3074">
        <f>F118+F125+F171+F173+F175+F228+F229+F230+F234+F235+F276</f>
        <v>112397.72</v>
      </c>
      <c r="L307" s="3074">
        <f t="shared" si="51"/>
        <v>-1644.6299999999901</v>
      </c>
      <c r="M307" s="3075"/>
      <c r="N307" s="3075"/>
      <c r="O307" s="3072"/>
      <c r="P307" s="3071"/>
    </row>
    <row r="308" spans="3:16">
      <c r="C308" s="3059"/>
      <c r="D308" s="3059"/>
      <c r="E308" s="2979"/>
      <c r="F308" s="2979"/>
      <c r="G308" s="2979"/>
      <c r="H308" s="3059"/>
      <c r="I308" s="3010">
        <v>99</v>
      </c>
      <c r="J308" s="3074">
        <f>0</f>
        <v>0</v>
      </c>
      <c r="K308" s="3074">
        <f>0</f>
        <v>0</v>
      </c>
      <c r="L308" s="3074">
        <f t="shared" si="51"/>
        <v>0</v>
      </c>
      <c r="M308" s="3076"/>
      <c r="N308" s="3059"/>
      <c r="O308" s="3061"/>
      <c r="P308" s="3071"/>
    </row>
    <row r="309" spans="3:16">
      <c r="C309" s="3059"/>
      <c r="D309" s="3059"/>
      <c r="E309" s="2979"/>
      <c r="F309" s="2979"/>
      <c r="G309" s="2979"/>
      <c r="H309" s="3059"/>
      <c r="I309" s="3023" t="s">
        <v>7016</v>
      </c>
      <c r="J309" s="3077">
        <f>SUM(J301:J308)</f>
        <v>339032.20999999996</v>
      </c>
      <c r="K309" s="3077">
        <f>SUM(K301:K308)</f>
        <v>339032.20999999996</v>
      </c>
      <c r="L309" s="3077">
        <f>K309-J309</f>
        <v>0</v>
      </c>
      <c r="M309" s="3059"/>
      <c r="N309" s="3059"/>
      <c r="O309" s="3061"/>
    </row>
    <row r="310" spans="3:16">
      <c r="C310" s="3059"/>
      <c r="D310" s="3061"/>
      <c r="E310" s="3072"/>
      <c r="F310" s="3072"/>
      <c r="G310" s="3072"/>
      <c r="H310" s="3059"/>
      <c r="I310" s="3059"/>
      <c r="J310" s="3059"/>
      <c r="K310" s="3059"/>
      <c r="L310" s="3059"/>
      <c r="M310" s="3059"/>
      <c r="N310" s="3059"/>
      <c r="O310" s="3059"/>
    </row>
    <row r="311" spans="3:16">
      <c r="C311" s="3059"/>
      <c r="D311" s="3059"/>
      <c r="E311" s="3059"/>
      <c r="F311" s="3059"/>
      <c r="G311" s="3059"/>
      <c r="H311" s="3059"/>
      <c r="I311" s="3061" t="s">
        <v>7020</v>
      </c>
      <c r="J311" s="3059"/>
      <c r="K311" s="3059"/>
      <c r="L311" s="3059"/>
      <c r="M311" s="3059"/>
      <c r="N311" s="3059"/>
      <c r="O311" s="3059"/>
    </row>
    <row r="312" spans="3:16">
      <c r="C312" s="3059"/>
      <c r="D312" s="3061"/>
      <c r="E312" s="3061"/>
      <c r="F312" s="3061"/>
      <c r="G312" s="3061"/>
      <c r="H312" s="3059"/>
      <c r="I312" s="3023" t="s">
        <v>7018</v>
      </c>
      <c r="J312" s="3023" t="s">
        <v>7009</v>
      </c>
      <c r="K312" s="3023" t="s">
        <v>7010</v>
      </c>
      <c r="L312" s="3023" t="s">
        <v>7011</v>
      </c>
      <c r="M312" s="3061"/>
      <c r="N312" s="3061"/>
      <c r="O312" s="3059"/>
    </row>
    <row r="313" spans="3:16">
      <c r="C313" s="3059"/>
      <c r="D313" s="3061"/>
      <c r="E313" s="3061"/>
      <c r="F313" s="3061"/>
      <c r="G313" s="3061"/>
      <c r="H313" s="3059"/>
      <c r="I313" s="3010">
        <v>51</v>
      </c>
      <c r="J313" s="3074">
        <v>0</v>
      </c>
      <c r="K313" s="3074">
        <v>0</v>
      </c>
      <c r="L313" s="3074">
        <f t="shared" ref="L313:L319" si="52">K313-J313</f>
        <v>0</v>
      </c>
      <c r="O313" s="3059"/>
    </row>
    <row r="314" spans="3:16">
      <c r="C314" s="3059"/>
      <c r="D314" s="3059"/>
      <c r="E314" s="2979"/>
      <c r="F314" s="2979"/>
      <c r="G314" s="2979"/>
      <c r="H314" s="3059"/>
      <c r="I314" s="3010">
        <v>53</v>
      </c>
      <c r="J314" s="3074">
        <f>E43+E52+E66+E63+E70+E86+E145+E147+E196+E200+E203+E205+E211+E213+E214+E215+E217+E218+E219+E246+E247+E248+E249+E250+E251+E252+E253+E255+E257+E254+E256+E259+E260+E261+E262+E263+E264+E265+E266+E267+E268+E270+E272+E269+E48</f>
        <v>135705.42000000001</v>
      </c>
      <c r="K314" s="3074">
        <f>F43+F52+F66+F63+F70+F86+F145+F147+F196+F200+F203+F205+F211+F213+F214+F215+F217+F218+F219+F246+F247+F248+F249+F250+F251+F252+F253+F255+F257+F254+F256+F259+F260+F261+F262+F263+F264+F265+F266+F267+F268+F270+F272+F269+F48</f>
        <v>300358.42000000004</v>
      </c>
      <c r="L314" s="3074">
        <f t="shared" si="52"/>
        <v>164653.00000000003</v>
      </c>
      <c r="O314" s="3059"/>
    </row>
    <row r="315" spans="3:16">
      <c r="C315" s="3059"/>
      <c r="D315" s="3059"/>
      <c r="E315" s="2979"/>
      <c r="F315" s="2979"/>
      <c r="G315" s="2979"/>
      <c r="H315" s="3059"/>
      <c r="I315" s="3010">
        <v>57</v>
      </c>
      <c r="J315" s="3074">
        <f>E105+E108+E110</f>
        <v>151520</v>
      </c>
      <c r="K315" s="3074">
        <f>F105+F108+F110</f>
        <v>0</v>
      </c>
      <c r="L315" s="3074">
        <f t="shared" si="52"/>
        <v>-151520</v>
      </c>
      <c r="O315" s="3059"/>
    </row>
    <row r="316" spans="3:16">
      <c r="C316" s="3059"/>
      <c r="D316" s="3059"/>
      <c r="E316" s="2979"/>
      <c r="F316" s="2979"/>
      <c r="G316" s="2979"/>
      <c r="H316" s="3059"/>
      <c r="I316" s="3010">
        <v>58</v>
      </c>
      <c r="J316" s="3074">
        <f>0</f>
        <v>0</v>
      </c>
      <c r="K316" s="3074">
        <f>0</f>
        <v>0</v>
      </c>
      <c r="L316" s="3074">
        <f t="shared" si="52"/>
        <v>0</v>
      </c>
      <c r="O316" s="3059"/>
    </row>
    <row r="317" spans="3:16">
      <c r="C317" s="3059"/>
      <c r="D317" s="3059"/>
      <c r="E317" s="2979"/>
      <c r="F317" s="2979"/>
      <c r="G317" s="2979"/>
      <c r="H317" s="3059"/>
      <c r="I317" s="3010">
        <v>73</v>
      </c>
      <c r="J317" s="3074">
        <f>0</f>
        <v>0</v>
      </c>
      <c r="K317" s="3074">
        <f>0</f>
        <v>0</v>
      </c>
      <c r="L317" s="3074">
        <f t="shared" si="52"/>
        <v>0</v>
      </c>
      <c r="O317" s="3059"/>
    </row>
    <row r="318" spans="3:16">
      <c r="C318" s="3059"/>
      <c r="D318" s="3061"/>
      <c r="E318" s="3072"/>
      <c r="F318" s="3072"/>
      <c r="G318" s="3072"/>
      <c r="H318" s="3059"/>
      <c r="I318" s="3010">
        <v>84</v>
      </c>
      <c r="J318" s="3074">
        <f>E120+E226+E231+E239</f>
        <v>13133</v>
      </c>
      <c r="K318" s="3074">
        <f>F120+F226+F231+F239</f>
        <v>0</v>
      </c>
      <c r="L318" s="3074">
        <f>K318-J318</f>
        <v>-13133</v>
      </c>
      <c r="O318" s="3059"/>
    </row>
    <row r="319" spans="3:16">
      <c r="C319" s="3059"/>
      <c r="D319" s="3059"/>
      <c r="E319" s="3059"/>
      <c r="F319" s="3059"/>
      <c r="G319" s="3059"/>
      <c r="H319" s="3059"/>
      <c r="I319" s="3010">
        <v>99</v>
      </c>
      <c r="J319" s="3074">
        <f>0</f>
        <v>0</v>
      </c>
      <c r="K319" s="3074">
        <f>0</f>
        <v>0</v>
      </c>
      <c r="L319" s="3074">
        <f t="shared" si="52"/>
        <v>0</v>
      </c>
      <c r="O319" s="3059"/>
    </row>
    <row r="320" spans="3:16">
      <c r="C320" s="3059"/>
      <c r="D320" s="3061"/>
      <c r="E320" s="3059"/>
      <c r="F320" s="3059"/>
      <c r="G320" s="3059"/>
      <c r="H320" s="3059"/>
      <c r="I320" s="3023" t="s">
        <v>7016</v>
      </c>
      <c r="J320" s="3077">
        <f>SUM(J313:J319)</f>
        <v>300358.42000000004</v>
      </c>
      <c r="K320" s="3077">
        <f>SUM(K313:K319)</f>
        <v>300358.42000000004</v>
      </c>
      <c r="L320" s="3077">
        <f>K320-J320</f>
        <v>0</v>
      </c>
      <c r="O320" s="3059"/>
    </row>
    <row r="321" spans="3:15">
      <c r="C321" s="3059"/>
      <c r="D321" s="3061"/>
      <c r="E321" s="3061"/>
      <c r="F321" s="3061"/>
      <c r="G321" s="3061"/>
      <c r="H321" s="3059"/>
      <c r="I321" s="3059"/>
      <c r="J321" s="3059"/>
      <c r="K321" s="3059"/>
      <c r="L321" s="3059"/>
      <c r="O321" s="3059"/>
    </row>
    <row r="322" spans="3:15">
      <c r="C322" s="3059"/>
      <c r="D322" s="3059"/>
      <c r="E322" s="2979"/>
      <c r="F322" s="2979"/>
      <c r="G322" s="2979"/>
      <c r="H322" s="3059"/>
      <c r="I322" s="3061"/>
      <c r="J322" s="3061"/>
      <c r="K322" s="3061"/>
      <c r="L322" s="3061"/>
      <c r="O322" s="3059"/>
    </row>
    <row r="323" spans="3:15">
      <c r="C323" s="3059"/>
      <c r="D323" s="3059"/>
      <c r="E323" s="2979"/>
      <c r="F323" s="2979"/>
      <c r="G323" s="2979"/>
      <c r="H323" s="3059"/>
      <c r="I323" s="3061" t="s">
        <v>7021</v>
      </c>
      <c r="J323" s="3059"/>
      <c r="K323" s="3059"/>
      <c r="L323" s="3059"/>
      <c r="O323" s="3059"/>
    </row>
    <row r="324" spans="3:15">
      <c r="C324" s="3059"/>
      <c r="D324" s="3059"/>
      <c r="E324" s="2979"/>
      <c r="F324" s="2979"/>
      <c r="G324" s="2979"/>
      <c r="H324" s="3059"/>
      <c r="I324" s="3023" t="s">
        <v>7018</v>
      </c>
      <c r="J324" s="3023" t="s">
        <v>7019</v>
      </c>
      <c r="K324" s="3023" t="s">
        <v>7010</v>
      </c>
      <c r="L324" s="3023" t="s">
        <v>7011</v>
      </c>
      <c r="O324" s="3059"/>
    </row>
    <row r="325" spans="3:15">
      <c r="C325" s="3059"/>
      <c r="D325" s="3061"/>
      <c r="E325" s="3072"/>
      <c r="F325" s="3072"/>
      <c r="G325" s="3072"/>
      <c r="H325" s="3059"/>
      <c r="I325" s="3010">
        <v>51</v>
      </c>
      <c r="J325" s="3074">
        <f>SUM(E26:E41)+SUM(E136:E142)</f>
        <v>104000</v>
      </c>
      <c r="K325" s="3074">
        <f>SUM(F26:F41)+SUM(F136:F142)</f>
        <v>104000</v>
      </c>
      <c r="L325" s="3074">
        <f t="shared" ref="L325:L332" si="53">K325-J325</f>
        <v>0</v>
      </c>
      <c r="O325" s="3059"/>
    </row>
    <row r="326" spans="3:15">
      <c r="C326" s="3059"/>
      <c r="D326" s="3059"/>
      <c r="E326" s="3059"/>
      <c r="F326" s="3059"/>
      <c r="G326" s="3059"/>
      <c r="H326" s="3059"/>
      <c r="I326" s="3010">
        <v>53</v>
      </c>
      <c r="J326" s="3074">
        <f>E42+E64+E44+E46+E47+E49+E51+E53+SUM(E54:E62)+SUM(E67:E69)+E71+E72+SUM(E74:E77)+SUM(E79:E81)+SUM(E83:E84)+SUM(E87:E90)+E92+E93+SUM(E95:E104)+E148+E152+E159+E189+E191+E194+E197+E198+E208+E209+E210+E212+E273</f>
        <v>276063.75999999995</v>
      </c>
      <c r="K326" s="3074">
        <f>F42+F64+F44+F46+F47+F49+F51+F53+SUM(F54:F62)+SUM(F67:F69)+F71+F72+SUM(F74:F77)+SUM(F79:F81)+SUM(F83:F84)+SUM(F87:F90)+F92+F93+SUM(F95:F104)+F148+F152+F159+F189+F191+F194+F197+F198+F208+F209+F210+F212+F273</f>
        <v>409197.23000000004</v>
      </c>
      <c r="L326" s="3074">
        <f t="shared" si="53"/>
        <v>133133.47000000009</v>
      </c>
      <c r="O326" s="3059"/>
    </row>
    <row r="327" spans="3:15">
      <c r="C327" s="3059"/>
      <c r="D327" s="3059"/>
      <c r="E327" s="3059"/>
      <c r="F327" s="3059"/>
      <c r="G327" s="3059"/>
      <c r="H327" s="3059"/>
      <c r="I327" s="3010">
        <v>57</v>
      </c>
      <c r="J327" s="3074">
        <f>E106+E109+E111+E274</f>
        <v>370</v>
      </c>
      <c r="K327" s="3074">
        <f>F106+F109+F111+F274</f>
        <v>370</v>
      </c>
      <c r="L327" s="3074">
        <f t="shared" si="53"/>
        <v>0</v>
      </c>
      <c r="O327" s="3059"/>
    </row>
    <row r="328" spans="3:15">
      <c r="C328" s="3059"/>
      <c r="D328" s="3059"/>
      <c r="E328" s="3059"/>
      <c r="F328" s="3059"/>
      <c r="G328" s="3059"/>
      <c r="H328" s="3059"/>
      <c r="I328" s="3010">
        <v>58</v>
      </c>
      <c r="J328" s="3074">
        <f>E112</f>
        <v>0</v>
      </c>
      <c r="K328" s="3074">
        <f>F112</f>
        <v>0</v>
      </c>
      <c r="L328" s="3074">
        <f t="shared" si="53"/>
        <v>0</v>
      </c>
      <c r="O328" s="3059"/>
    </row>
    <row r="329" spans="3:15">
      <c r="I329" s="3010">
        <v>71</v>
      </c>
      <c r="J329" s="3074">
        <f>0</f>
        <v>0</v>
      </c>
      <c r="K329" s="3074">
        <f>0</f>
        <v>0</v>
      </c>
      <c r="L329" s="3074">
        <f t="shared" si="53"/>
        <v>0</v>
      </c>
    </row>
    <row r="330" spans="3:15">
      <c r="I330" s="3010">
        <v>73</v>
      </c>
      <c r="J330" s="3074">
        <f>0</f>
        <v>0</v>
      </c>
      <c r="K330" s="3074">
        <f>0</f>
        <v>0</v>
      </c>
      <c r="L330" s="3074">
        <f t="shared" si="53"/>
        <v>0</v>
      </c>
    </row>
    <row r="331" spans="3:15">
      <c r="I331" s="3010">
        <v>84</v>
      </c>
      <c r="J331" s="3074">
        <f>E119+E121+E126+E172+E174+E178+E227+E232+E236+E240+E275+E277+E278+E279+E129</f>
        <v>304569.8</v>
      </c>
      <c r="K331" s="3074">
        <f>F119+F121+F126+F172+F174+F178+F227+F232+F236+F240+F275+F277+F278+F279+F129</f>
        <v>291436.32999999996</v>
      </c>
      <c r="L331" s="3074">
        <f t="shared" si="53"/>
        <v>-13133.47000000003</v>
      </c>
    </row>
    <row r="332" spans="3:15">
      <c r="I332" s="3010">
        <v>99</v>
      </c>
      <c r="J332" s="3074">
        <f>E179+E130</f>
        <v>120000</v>
      </c>
      <c r="K332" s="3074">
        <f>F179+F130</f>
        <v>0</v>
      </c>
      <c r="L332" s="3074">
        <f t="shared" si="53"/>
        <v>-120000</v>
      </c>
    </row>
    <row r="333" spans="3:15">
      <c r="I333" s="3023" t="s">
        <v>7016</v>
      </c>
      <c r="J333" s="3077">
        <f>SUM(J325:J332)</f>
        <v>805003.55999999994</v>
      </c>
      <c r="K333" s="3077">
        <f>SUM(K325:K332)</f>
        <v>805003.56</v>
      </c>
      <c r="L333" s="3077">
        <f>K333-J333</f>
        <v>0</v>
      </c>
    </row>
    <row r="334" spans="3:15">
      <c r="I334" s="3059"/>
      <c r="J334" s="2979"/>
      <c r="L334" s="2979"/>
      <c r="O334" s="3078"/>
    </row>
    <row r="335" spans="3:15">
      <c r="I335" s="3061" t="s">
        <v>7022</v>
      </c>
      <c r="J335" s="3059"/>
      <c r="K335" s="3059"/>
      <c r="L335" s="3059"/>
    </row>
    <row r="336" spans="3:15">
      <c r="I336" s="3023" t="s">
        <v>7018</v>
      </c>
      <c r="J336" s="3023" t="s">
        <v>7019</v>
      </c>
      <c r="K336" s="3023" t="s">
        <v>7010</v>
      </c>
      <c r="L336" s="3023" t="s">
        <v>7011</v>
      </c>
    </row>
    <row r="337" spans="9:15">
      <c r="I337" s="3010">
        <v>71</v>
      </c>
      <c r="J337" s="3002">
        <f>E115+E116</f>
        <v>0</v>
      </c>
      <c r="K337" s="3002">
        <f>F115+F116</f>
        <v>0</v>
      </c>
      <c r="L337" s="3002">
        <f t="shared" ref="L337:L339" si="54">K337-J337</f>
        <v>0</v>
      </c>
    </row>
    <row r="338" spans="9:15">
      <c r="I338" s="3010">
        <v>73</v>
      </c>
      <c r="J338" s="3002">
        <f>E117+E167+E168+E222+E224+E170</f>
        <v>0</v>
      </c>
      <c r="K338" s="3002">
        <f>F117+F167+F168+F222+F224+F170</f>
        <v>0</v>
      </c>
      <c r="L338" s="3002">
        <f t="shared" si="54"/>
        <v>0</v>
      </c>
    </row>
    <row r="339" spans="9:15">
      <c r="I339" s="3010">
        <v>84</v>
      </c>
      <c r="J339" s="3002">
        <f>E122+E127+E128+E176+E237</f>
        <v>0</v>
      </c>
      <c r="K339" s="3002">
        <f>F122+F127+F128+F176+F237</f>
        <v>0</v>
      </c>
      <c r="L339" s="3002">
        <f t="shared" si="54"/>
        <v>0</v>
      </c>
    </row>
    <row r="340" spans="9:15">
      <c r="I340" s="3023" t="s">
        <v>7016</v>
      </c>
      <c r="J340" s="3011">
        <f>SUM(J337:J339)</f>
        <v>0</v>
      </c>
      <c r="K340" s="3011">
        <f>SUM(K337:K339)</f>
        <v>0</v>
      </c>
      <c r="L340" s="3011">
        <f>K340-J340</f>
        <v>0</v>
      </c>
      <c r="O340" s="3009"/>
    </row>
    <row r="341" spans="9:15">
      <c r="I341" s="2979"/>
      <c r="K341" s="2980"/>
    </row>
    <row r="342" spans="9:15">
      <c r="I342" s="3061" t="s">
        <v>7023</v>
      </c>
      <c r="J342" s="3059"/>
      <c r="K342" s="3059"/>
      <c r="L342" s="3059"/>
    </row>
    <row r="343" spans="9:15">
      <c r="I343" s="3023" t="s">
        <v>7018</v>
      </c>
      <c r="J343" s="3023" t="s">
        <v>7019</v>
      </c>
      <c r="K343" s="3023" t="s">
        <v>7010</v>
      </c>
      <c r="L343" s="3023" t="s">
        <v>7011</v>
      </c>
    </row>
    <row r="344" spans="9:15">
      <c r="I344" s="3010">
        <v>53</v>
      </c>
      <c r="J344" s="3002">
        <f>E188</f>
        <v>0</v>
      </c>
      <c r="K344" s="3002">
        <f>F188</f>
        <v>0</v>
      </c>
      <c r="L344" s="3002">
        <f>K344-J344</f>
        <v>0</v>
      </c>
    </row>
    <row r="345" spans="9:15">
      <c r="I345" s="3010">
        <v>73</v>
      </c>
      <c r="J345" s="3002">
        <f>E169+E223</f>
        <v>0</v>
      </c>
      <c r="K345" s="3002">
        <f>F169+F223</f>
        <v>0</v>
      </c>
      <c r="L345" s="3002">
        <f t="shared" ref="L345:L346" si="55">K345-J345</f>
        <v>0</v>
      </c>
    </row>
    <row r="346" spans="9:15">
      <c r="I346" s="3010">
        <v>84</v>
      </c>
      <c r="J346" s="3002">
        <f>E123+E124+E177+E233+E238</f>
        <v>0</v>
      </c>
      <c r="K346" s="3002">
        <f>F123+F124+F177+F233+F238</f>
        <v>0</v>
      </c>
      <c r="L346" s="3002">
        <f t="shared" si="55"/>
        <v>0</v>
      </c>
    </row>
    <row r="347" spans="9:15">
      <c r="I347" s="3023" t="s">
        <v>7016</v>
      </c>
      <c r="J347" s="3011">
        <f>SUM(J344:J346)</f>
        <v>0</v>
      </c>
      <c r="K347" s="3011">
        <f>SUM(K344:K346)</f>
        <v>0</v>
      </c>
      <c r="L347" s="3011">
        <f>K347-J347</f>
        <v>0</v>
      </c>
      <c r="O347" s="3078"/>
    </row>
    <row r="348" spans="9:15">
      <c r="I348" s="2979"/>
      <c r="K348" s="2980"/>
    </row>
    <row r="349" spans="9:15" ht="12">
      <c r="I349" s="11385" t="s">
        <v>7024</v>
      </c>
      <c r="J349" s="3079">
        <f>J347+J340+J333+J320+J309</f>
        <v>1444394.19</v>
      </c>
      <c r="K349" s="3079">
        <f>K347+K340+K333+K320+K309</f>
        <v>1444394.19</v>
      </c>
      <c r="L349" s="3079">
        <f>L347+L340+L333+L320+L309</f>
        <v>0</v>
      </c>
    </row>
    <row r="350" spans="9:15" ht="12">
      <c r="I350" s="11385"/>
      <c r="J350" s="3073">
        <f>J349-E281</f>
        <v>0</v>
      </c>
      <c r="K350" s="3073">
        <f>K349-F281</f>
        <v>0</v>
      </c>
      <c r="L350" s="3073"/>
    </row>
  </sheetData>
  <mergeCells count="12">
    <mergeCell ref="I349:I350"/>
    <mergeCell ref="B1:I1"/>
    <mergeCell ref="B2:I2"/>
    <mergeCell ref="B7:B8"/>
    <mergeCell ref="C7:C8"/>
    <mergeCell ref="D7:D8"/>
    <mergeCell ref="I290:K290"/>
    <mergeCell ref="I291:K291"/>
    <mergeCell ref="I292:K292"/>
    <mergeCell ref="I293:K293"/>
    <mergeCell ref="I294:K294"/>
    <mergeCell ref="I295:K295"/>
  </mergeCells>
  <printOptions horizontalCentered="1"/>
  <pageMargins left="0.25" right="0.25" top="0.75" bottom="0.75" header="0.3" footer="0.3"/>
  <pageSetup scale="88" fitToHeight="0" orientation="portrait" r:id="rId1"/>
  <headerFooter>
    <oddFooter>&amp;C&amp;"Century Schoolbook,Normal"&amp;P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223"/>
  <sheetViews>
    <sheetView zoomScaleNormal="100" workbookViewId="0">
      <selection activeCell="B4" sqref="B4"/>
    </sheetView>
  </sheetViews>
  <sheetFormatPr baseColWidth="10" defaultColWidth="12.42578125" defaultRowHeight="12"/>
  <cols>
    <col min="1" max="1" width="0.7109375" style="2980" customWidth="1"/>
    <col min="2" max="2" width="18.140625" style="2980" customWidth="1"/>
    <col min="3" max="3" width="59.7109375" style="2980" customWidth="1"/>
    <col min="4" max="4" width="15.42578125" style="2980" customWidth="1"/>
    <col min="5" max="5" width="17" style="2980" customWidth="1"/>
    <col min="6" max="6" width="13.85546875" style="2980" bestFit="1" customWidth="1"/>
    <col min="7" max="7" width="15" style="2980" bestFit="1" customWidth="1"/>
    <col min="8" max="16384" width="12.42578125" style="2980"/>
  </cols>
  <sheetData>
    <row r="1" spans="2:6" s="2979" customFormat="1" ht="18.75">
      <c r="B1" s="11386" t="s">
        <v>0</v>
      </c>
      <c r="C1" s="11386"/>
      <c r="D1" s="11386"/>
      <c r="E1" s="11386"/>
    </row>
    <row r="2" spans="2:6" s="2979" customFormat="1" ht="18.75">
      <c r="B2" s="11386" t="s">
        <v>6665</v>
      </c>
      <c r="C2" s="11386"/>
      <c r="D2" s="11386"/>
      <c r="E2" s="11386"/>
    </row>
    <row r="3" spans="2:6" ht="12.75">
      <c r="B3" s="1499"/>
      <c r="C3" s="1500"/>
      <c r="D3" s="1501"/>
      <c r="E3" s="1479"/>
    </row>
    <row r="4" spans="2:6" ht="15">
      <c r="B4" s="2988" t="s">
        <v>6504</v>
      </c>
      <c r="C4" s="2989"/>
      <c r="D4" s="2979"/>
      <c r="E4" s="2991"/>
    </row>
    <row r="5" spans="2:6" ht="12.75">
      <c r="B5" s="2993" t="s">
        <v>7</v>
      </c>
      <c r="C5" s="2993" t="s">
        <v>6505</v>
      </c>
      <c r="D5" s="2994" t="s">
        <v>6678</v>
      </c>
      <c r="E5" s="2994" t="s">
        <v>6679</v>
      </c>
    </row>
    <row r="6" spans="2:6" ht="12.75">
      <c r="B6" s="3000" t="s">
        <v>6510</v>
      </c>
      <c r="C6" s="3001" t="s">
        <v>6511</v>
      </c>
      <c r="D6" s="3002"/>
      <c r="E6" s="3002"/>
    </row>
    <row r="7" spans="2:6" ht="12.75">
      <c r="B7" s="2987" t="s">
        <v>6512</v>
      </c>
      <c r="C7" s="3005" t="s">
        <v>3008</v>
      </c>
      <c r="D7" s="3002"/>
      <c r="E7" s="3002">
        <v>30000</v>
      </c>
    </row>
    <row r="8" spans="2:6" ht="12.75">
      <c r="B8" s="2987" t="s">
        <v>6513</v>
      </c>
      <c r="C8" s="3010" t="s">
        <v>3010</v>
      </c>
      <c r="D8" s="3002"/>
      <c r="E8" s="3002">
        <v>20000</v>
      </c>
    </row>
    <row r="9" spans="2:6" ht="12.75">
      <c r="B9" s="2987" t="s">
        <v>6517</v>
      </c>
      <c r="C9" s="3010" t="s">
        <v>3014</v>
      </c>
      <c r="D9" s="3002"/>
      <c r="E9" s="3002">
        <v>10000</v>
      </c>
    </row>
    <row r="10" spans="2:6" ht="12.75">
      <c r="B10" s="2987" t="s">
        <v>6527</v>
      </c>
      <c r="C10" s="3010" t="s">
        <v>3032</v>
      </c>
      <c r="D10" s="3002"/>
      <c r="E10" s="3002">
        <v>2000</v>
      </c>
    </row>
    <row r="11" spans="2:6" ht="12.75">
      <c r="B11" s="2987" t="s">
        <v>6528</v>
      </c>
      <c r="C11" s="3010" t="s">
        <v>3039</v>
      </c>
      <c r="D11" s="3002"/>
      <c r="E11" s="3002">
        <v>2000</v>
      </c>
    </row>
    <row r="12" spans="2:6" ht="12.75">
      <c r="B12" s="3012" t="s">
        <v>6618</v>
      </c>
      <c r="C12" s="3010" t="s">
        <v>881</v>
      </c>
      <c r="D12" s="3002"/>
      <c r="E12" s="3002">
        <v>2000</v>
      </c>
    </row>
    <row r="13" spans="2:6" ht="12.75">
      <c r="B13" s="2987" t="s">
        <v>6535</v>
      </c>
      <c r="C13" s="3010" t="s">
        <v>606</v>
      </c>
      <c r="D13" s="3002">
        <v>250</v>
      </c>
      <c r="E13" s="3002"/>
    </row>
    <row r="14" spans="2:6" ht="12.75">
      <c r="B14" s="1495" t="s">
        <v>6992</v>
      </c>
      <c r="C14" s="3010" t="s">
        <v>6691</v>
      </c>
      <c r="D14" s="3002">
        <v>2509.8200000000002</v>
      </c>
      <c r="E14" s="3002"/>
    </row>
    <row r="15" spans="2:6" ht="12.75">
      <c r="B15" s="2987" t="s">
        <v>6536</v>
      </c>
      <c r="C15" s="3010" t="s">
        <v>6691</v>
      </c>
      <c r="D15" s="3002"/>
      <c r="E15" s="3002">
        <v>2564.8000000000002</v>
      </c>
    </row>
    <row r="16" spans="2:6" ht="12.75">
      <c r="B16" s="2987" t="s">
        <v>5075</v>
      </c>
      <c r="C16" s="3010" t="s">
        <v>6692</v>
      </c>
      <c r="D16" s="3002">
        <v>19109.68</v>
      </c>
      <c r="E16" s="3002"/>
      <c r="F16" s="3009"/>
    </row>
    <row r="17" spans="2:6" ht="12.75">
      <c r="B17" s="1495" t="s">
        <v>6993</v>
      </c>
      <c r="C17" s="3010" t="s">
        <v>471</v>
      </c>
      <c r="D17" s="3002">
        <v>34000</v>
      </c>
      <c r="E17" s="3002"/>
    </row>
    <row r="18" spans="2:6" ht="12.75">
      <c r="B18" s="2987" t="s">
        <v>6693</v>
      </c>
      <c r="C18" s="3010" t="s">
        <v>471</v>
      </c>
      <c r="D18" s="3002"/>
      <c r="E18" s="3002">
        <f>11920+34000</f>
        <v>45920</v>
      </c>
    </row>
    <row r="19" spans="2:6" ht="12.75">
      <c r="B19" s="2987" t="s">
        <v>6540</v>
      </c>
      <c r="C19" s="3010" t="s">
        <v>2621</v>
      </c>
      <c r="D19" s="3002">
        <v>184089.58</v>
      </c>
      <c r="E19" s="3002"/>
      <c r="F19" s="3009"/>
    </row>
    <row r="20" spans="2:6" ht="12.75">
      <c r="B20" s="2987" t="s">
        <v>6694</v>
      </c>
      <c r="C20" s="3010" t="s">
        <v>841</v>
      </c>
      <c r="D20" s="3002"/>
      <c r="E20" s="3002">
        <v>8780.0400000000009</v>
      </c>
    </row>
    <row r="21" spans="2:6" ht="12.75">
      <c r="B21" s="2987" t="s">
        <v>6543</v>
      </c>
      <c r="C21" s="3010" t="s">
        <v>27</v>
      </c>
      <c r="D21" s="3002">
        <f>300+6000</f>
        <v>6300</v>
      </c>
      <c r="E21" s="3002"/>
    </row>
    <row r="22" spans="2:6" ht="12.75">
      <c r="B22" s="2987" t="s">
        <v>6544</v>
      </c>
      <c r="C22" s="3010" t="s">
        <v>1507</v>
      </c>
      <c r="D22" s="3002">
        <v>4000</v>
      </c>
      <c r="E22" s="3002"/>
    </row>
    <row r="23" spans="2:6" ht="12.75">
      <c r="B23" s="2987" t="s">
        <v>6545</v>
      </c>
      <c r="C23" s="3010" t="s">
        <v>29</v>
      </c>
      <c r="D23" s="3002">
        <v>10000</v>
      </c>
      <c r="E23" s="3002"/>
    </row>
    <row r="24" spans="2:6" ht="12.75">
      <c r="B24" s="3014" t="s">
        <v>6643</v>
      </c>
      <c r="C24" s="3010" t="s">
        <v>6698</v>
      </c>
      <c r="D24" s="3002">
        <v>8801.91</v>
      </c>
      <c r="E24" s="3002"/>
    </row>
    <row r="25" spans="2:6" ht="12.75">
      <c r="B25" s="2987" t="s">
        <v>6547</v>
      </c>
      <c r="C25" s="3010" t="s">
        <v>6698</v>
      </c>
      <c r="D25" s="3002">
        <f>4879.98</f>
        <v>4879.9799999999996</v>
      </c>
      <c r="E25" s="3002"/>
    </row>
    <row r="26" spans="2:6" ht="12.75">
      <c r="B26" s="3014" t="s">
        <v>6700</v>
      </c>
      <c r="C26" s="3010" t="s">
        <v>281</v>
      </c>
      <c r="D26" s="3002">
        <v>581.76</v>
      </c>
      <c r="E26" s="3002"/>
    </row>
    <row r="27" spans="2:6" ht="12.75">
      <c r="B27" s="2987" t="s">
        <v>6701</v>
      </c>
      <c r="C27" s="3010" t="s">
        <v>281</v>
      </c>
      <c r="D27" s="3002"/>
      <c r="E27" s="3002">
        <v>172233.88999999998</v>
      </c>
      <c r="F27" s="3009"/>
    </row>
    <row r="28" spans="2:6" ht="12.75">
      <c r="B28" s="2987" t="s">
        <v>6702</v>
      </c>
      <c r="C28" s="3010" t="s">
        <v>6703</v>
      </c>
      <c r="D28" s="3002">
        <v>340</v>
      </c>
      <c r="E28" s="3002"/>
    </row>
    <row r="29" spans="2:6" ht="12.75">
      <c r="B29" s="2987" t="s">
        <v>6706</v>
      </c>
      <c r="C29" s="3010" t="s">
        <v>6705</v>
      </c>
      <c r="D29" s="3002">
        <v>250</v>
      </c>
      <c r="E29" s="3002"/>
    </row>
    <row r="30" spans="2:6" ht="12.75">
      <c r="B30" s="2987" t="s">
        <v>6550</v>
      </c>
      <c r="C30" s="3010" t="s">
        <v>3855</v>
      </c>
      <c r="D30" s="3002"/>
      <c r="E30" s="3002">
        <v>3097.14</v>
      </c>
    </row>
    <row r="31" spans="2:6" ht="12.75">
      <c r="B31" s="2987" t="s">
        <v>6994</v>
      </c>
      <c r="C31" s="3010" t="s">
        <v>6995</v>
      </c>
      <c r="D31" s="3002">
        <v>200</v>
      </c>
      <c r="E31" s="3002"/>
    </row>
    <row r="32" spans="2:6" ht="12.75">
      <c r="B32" s="3012" t="s">
        <v>6996</v>
      </c>
      <c r="C32" s="3010" t="s">
        <v>6709</v>
      </c>
      <c r="D32" s="3002">
        <v>17474.61</v>
      </c>
      <c r="E32" s="3002"/>
    </row>
    <row r="33" spans="2:5" ht="12.75">
      <c r="B33" s="2987" t="s">
        <v>6708</v>
      </c>
      <c r="C33" s="3010" t="s">
        <v>6709</v>
      </c>
      <c r="D33" s="3002"/>
      <c r="E33" s="3002">
        <v>31807.16</v>
      </c>
    </row>
    <row r="34" spans="2:5" ht="12.75">
      <c r="B34" s="2987" t="s">
        <v>6997</v>
      </c>
      <c r="C34" s="3010" t="s">
        <v>307</v>
      </c>
      <c r="D34" s="3002">
        <v>7056</v>
      </c>
      <c r="E34" s="3002"/>
    </row>
    <row r="35" spans="2:5" ht="12.75">
      <c r="B35" s="2987" t="s">
        <v>6552</v>
      </c>
      <c r="C35" s="3010" t="s">
        <v>6710</v>
      </c>
      <c r="D35" s="3002"/>
      <c r="E35" s="3002">
        <v>30016</v>
      </c>
    </row>
    <row r="36" spans="2:5" ht="12.75">
      <c r="B36" s="2987" t="s">
        <v>6553</v>
      </c>
      <c r="C36" s="3010" t="s">
        <v>2507</v>
      </c>
      <c r="D36" s="3002"/>
      <c r="E36" s="3002">
        <v>3848.56</v>
      </c>
    </row>
    <row r="37" spans="2:5" ht="12.75">
      <c r="B37" s="3012" t="s">
        <v>6601</v>
      </c>
      <c r="C37" s="3010" t="s">
        <v>1360</v>
      </c>
      <c r="D37" s="3002">
        <v>12060.16</v>
      </c>
      <c r="E37" s="3002"/>
    </row>
    <row r="38" spans="2:5" ht="12.75">
      <c r="B38" s="2987" t="s">
        <v>6603</v>
      </c>
      <c r="C38" s="3010" t="s">
        <v>1360</v>
      </c>
      <c r="D38" s="3002">
        <v>6000</v>
      </c>
      <c r="E38" s="3002"/>
    </row>
    <row r="39" spans="2:5" ht="12.75">
      <c r="B39" s="2987" t="s">
        <v>6555</v>
      </c>
      <c r="C39" s="3010" t="s">
        <v>1665</v>
      </c>
      <c r="D39" s="3002"/>
      <c r="E39" s="3002">
        <v>1008</v>
      </c>
    </row>
    <row r="40" spans="2:5" ht="12.75">
      <c r="B40" s="2987" t="s">
        <v>6556</v>
      </c>
      <c r="C40" s="3010" t="s">
        <v>148</v>
      </c>
      <c r="D40" s="3002">
        <v>250</v>
      </c>
      <c r="E40" s="3002"/>
    </row>
    <row r="41" spans="2:5" ht="12.75">
      <c r="B41" s="2987" t="s">
        <v>6557</v>
      </c>
      <c r="C41" s="3010" t="s">
        <v>6712</v>
      </c>
      <c r="D41" s="3002">
        <v>8000</v>
      </c>
      <c r="E41" s="3002"/>
    </row>
    <row r="42" spans="2:5" ht="12.75">
      <c r="B42" s="3012" t="s">
        <v>6803</v>
      </c>
      <c r="C42" s="3010" t="s">
        <v>2003</v>
      </c>
      <c r="D42" s="3002">
        <v>30</v>
      </c>
      <c r="E42" s="3002"/>
    </row>
    <row r="43" spans="2:5" ht="12.75">
      <c r="B43" s="3014" t="s">
        <v>6713</v>
      </c>
      <c r="C43" s="3010" t="s">
        <v>2003</v>
      </c>
      <c r="D43" s="3002"/>
      <c r="E43" s="3002">
        <v>61.09</v>
      </c>
    </row>
    <row r="44" spans="2:5" ht="12.75">
      <c r="B44" s="2987" t="s">
        <v>6561</v>
      </c>
      <c r="C44" s="3010" t="s">
        <v>3817</v>
      </c>
      <c r="D44" s="3002">
        <f>100</f>
        <v>100</v>
      </c>
      <c r="E44" s="3002"/>
    </row>
    <row r="45" spans="2:5" ht="12.75">
      <c r="B45" s="2987" t="s">
        <v>6715</v>
      </c>
      <c r="C45" s="3010" t="s">
        <v>1006</v>
      </c>
      <c r="D45" s="3002"/>
      <c r="E45" s="3002">
        <v>26320</v>
      </c>
    </row>
    <row r="46" spans="2:5" ht="12.75">
      <c r="B46" s="2987" t="s">
        <v>6563</v>
      </c>
      <c r="C46" s="3010" t="s">
        <v>956</v>
      </c>
      <c r="D46" s="3002"/>
      <c r="E46" s="3002">
        <v>7000</v>
      </c>
    </row>
    <row r="47" spans="2:5" ht="12.75">
      <c r="B47" s="3012" t="s">
        <v>6716</v>
      </c>
      <c r="C47" s="3010" t="s">
        <v>6717</v>
      </c>
      <c r="D47" s="3002">
        <v>600</v>
      </c>
      <c r="E47" s="3002"/>
    </row>
    <row r="48" spans="2:5" ht="12.75">
      <c r="B48" s="2987" t="s">
        <v>6718</v>
      </c>
      <c r="C48" s="3010" t="s">
        <v>6717</v>
      </c>
      <c r="D48" s="3002">
        <v>300</v>
      </c>
      <c r="E48" s="3002"/>
    </row>
    <row r="49" spans="2:6" ht="12.75">
      <c r="B49" s="3012" t="s">
        <v>6608</v>
      </c>
      <c r="C49" s="3010" t="s">
        <v>2694</v>
      </c>
      <c r="D49" s="3002">
        <f>10197.6</f>
        <v>10197.6</v>
      </c>
      <c r="E49" s="3002"/>
    </row>
    <row r="50" spans="2:6" ht="12.75">
      <c r="B50" s="2987" t="s">
        <v>6565</v>
      </c>
      <c r="C50" s="3010" t="s">
        <v>2694</v>
      </c>
      <c r="D50" s="3002">
        <f>400</f>
        <v>400</v>
      </c>
      <c r="E50" s="3002"/>
    </row>
    <row r="51" spans="2:6" ht="12.75">
      <c r="B51" s="2987" t="s">
        <v>6808</v>
      </c>
      <c r="C51" s="3010" t="s">
        <v>4141</v>
      </c>
      <c r="D51" s="3002">
        <v>100</v>
      </c>
      <c r="E51" s="3002"/>
    </row>
    <row r="52" spans="2:6" ht="12.75">
      <c r="B52" s="2987" t="s">
        <v>6566</v>
      </c>
      <c r="C52" s="3010" t="s">
        <v>3341</v>
      </c>
      <c r="D52" s="3002">
        <v>2000</v>
      </c>
      <c r="E52" s="3002"/>
    </row>
    <row r="53" spans="2:6" ht="12.75">
      <c r="B53" s="2987" t="s">
        <v>6998</v>
      </c>
      <c r="C53" s="3010" t="s">
        <v>6999</v>
      </c>
      <c r="D53" s="3002">
        <v>5000</v>
      </c>
      <c r="E53" s="3002"/>
    </row>
    <row r="54" spans="2:6" ht="12.75">
      <c r="B54" s="2987" t="s">
        <v>6572</v>
      </c>
      <c r="C54" s="3010" t="s">
        <v>6722</v>
      </c>
      <c r="D54" s="3002"/>
      <c r="E54" s="3002">
        <v>4457.6000000000004</v>
      </c>
    </row>
    <row r="55" spans="2:6" ht="12.75">
      <c r="B55" s="2987" t="s">
        <v>6573</v>
      </c>
      <c r="C55" s="3010" t="s">
        <v>4183</v>
      </c>
      <c r="D55" s="3002"/>
      <c r="E55" s="3002">
        <f>3360+40</f>
        <v>3400</v>
      </c>
    </row>
    <row r="56" spans="2:6" ht="12.75">
      <c r="B56" s="2987" t="s">
        <v>6576</v>
      </c>
      <c r="C56" s="3010" t="s">
        <v>6726</v>
      </c>
      <c r="D56" s="3002">
        <v>200</v>
      </c>
      <c r="E56" s="3002"/>
    </row>
    <row r="57" spans="2:6" ht="12.75">
      <c r="B57" s="3014" t="s">
        <v>6578</v>
      </c>
      <c r="C57" s="3010" t="s">
        <v>894</v>
      </c>
      <c r="D57" s="3002">
        <v>151520</v>
      </c>
      <c r="E57" s="3002"/>
    </row>
    <row r="58" spans="2:6" ht="12.75">
      <c r="B58" s="2987" t="s">
        <v>6727</v>
      </c>
      <c r="C58" s="3010" t="s">
        <v>419</v>
      </c>
      <c r="D58" s="3002"/>
      <c r="E58" s="3002">
        <v>200</v>
      </c>
      <c r="F58" s="3009"/>
    </row>
    <row r="59" spans="2:6" ht="12.75">
      <c r="B59" s="2987" t="s">
        <v>5694</v>
      </c>
      <c r="C59" s="3010" t="s">
        <v>671</v>
      </c>
      <c r="D59" s="3002">
        <v>1062.6300000000001</v>
      </c>
      <c r="E59" s="3002"/>
      <c r="F59" s="3009"/>
    </row>
    <row r="60" spans="2:6" ht="12.75">
      <c r="B60" s="2987" t="s">
        <v>5283</v>
      </c>
      <c r="C60" s="3010" t="s">
        <v>39</v>
      </c>
      <c r="D60" s="3002">
        <f>8999.2+2000.01+13686.4</f>
        <v>24685.61</v>
      </c>
      <c r="E60" s="3002"/>
    </row>
    <row r="61" spans="2:6" ht="12.75">
      <c r="B61" s="3012" t="s">
        <v>5544</v>
      </c>
      <c r="C61" s="3010" t="s">
        <v>40</v>
      </c>
      <c r="D61" s="3002">
        <v>1644.63</v>
      </c>
      <c r="E61" s="3002"/>
    </row>
    <row r="62" spans="2:6" ht="12.75">
      <c r="B62" s="2987" t="s">
        <v>4825</v>
      </c>
      <c r="C62" s="3010" t="s">
        <v>40</v>
      </c>
      <c r="D62" s="3002">
        <f>1008</f>
        <v>1008</v>
      </c>
      <c r="E62" s="3002"/>
    </row>
    <row r="63" spans="2:6" ht="12.75">
      <c r="B63" s="2987" t="s">
        <v>6586</v>
      </c>
      <c r="C63" s="3010" t="s">
        <v>5430</v>
      </c>
      <c r="D63" s="3018"/>
      <c r="E63" s="3002">
        <v>8999.2000000000007</v>
      </c>
    </row>
    <row r="64" spans="2:6" ht="12.75">
      <c r="B64" s="2987" t="s">
        <v>6745</v>
      </c>
      <c r="C64" s="3010" t="s">
        <v>6746</v>
      </c>
      <c r="D64" s="3002">
        <v>10000</v>
      </c>
      <c r="E64" s="3002"/>
    </row>
    <row r="65" spans="2:6" ht="12.75">
      <c r="B65" s="3010"/>
      <c r="C65" s="3023" t="s">
        <v>6587</v>
      </c>
      <c r="D65" s="1537">
        <f>SUM(D7:D64)</f>
        <v>535001.97</v>
      </c>
      <c r="E65" s="1537">
        <f>SUM(E7:E64)</f>
        <v>415713.48</v>
      </c>
    </row>
    <row r="66" spans="2:6" ht="12.75">
      <c r="B66" s="1539"/>
      <c r="C66" s="1539"/>
      <c r="D66" s="1541"/>
      <c r="E66" s="1542"/>
    </row>
    <row r="67" spans="2:6" ht="12.75">
      <c r="B67" s="1539"/>
      <c r="C67" s="1539"/>
      <c r="D67" s="1545"/>
      <c r="E67" s="1545"/>
    </row>
    <row r="68" spans="2:6" ht="12.75">
      <c r="B68" s="2993" t="s">
        <v>7</v>
      </c>
      <c r="C68" s="2993" t="s">
        <v>6505</v>
      </c>
      <c r="D68" s="2994" t="s">
        <v>6678</v>
      </c>
      <c r="E68" s="2994" t="s">
        <v>6679</v>
      </c>
    </row>
    <row r="69" spans="2:6" ht="12.75">
      <c r="B69" s="3029" t="s">
        <v>6758</v>
      </c>
      <c r="C69" s="3030" t="s">
        <v>6759</v>
      </c>
      <c r="D69" s="3031"/>
      <c r="E69" s="3031"/>
    </row>
    <row r="70" spans="2:6" ht="12.75">
      <c r="B70" s="2987" t="s">
        <v>6514</v>
      </c>
      <c r="C70" s="3010" t="s">
        <v>6760</v>
      </c>
      <c r="D70" s="3002"/>
      <c r="E70" s="3002">
        <v>40000</v>
      </c>
    </row>
    <row r="71" spans="2:6" ht="12.75">
      <c r="B71" s="2987" t="s">
        <v>6515</v>
      </c>
      <c r="C71" s="3010" t="s">
        <v>3013</v>
      </c>
      <c r="D71" s="3002">
        <v>100000</v>
      </c>
      <c r="E71" s="3002"/>
    </row>
    <row r="72" spans="2:6" ht="12.75">
      <c r="B72" s="2987" t="s">
        <v>6529</v>
      </c>
      <c r="C72" s="3010" t="s">
        <v>6761</v>
      </c>
      <c r="D72" s="3002">
        <v>4000</v>
      </c>
      <c r="E72" s="3002"/>
    </row>
    <row r="73" spans="2:6" ht="12.75">
      <c r="B73" s="3012" t="s">
        <v>5012</v>
      </c>
      <c r="C73" s="3010" t="s">
        <v>6764</v>
      </c>
      <c r="D73" s="3002">
        <v>1509.87</v>
      </c>
      <c r="E73" s="3002"/>
    </row>
    <row r="74" spans="2:6" ht="12.75">
      <c r="B74" s="3012" t="s">
        <v>6699</v>
      </c>
      <c r="C74" s="3005" t="s">
        <v>281</v>
      </c>
      <c r="D74" s="3002"/>
      <c r="E74" s="3002">
        <v>1365</v>
      </c>
    </row>
    <row r="75" spans="2:6" ht="12.75">
      <c r="B75" s="2987" t="s">
        <v>6701</v>
      </c>
      <c r="C75" s="3010" t="s">
        <v>281</v>
      </c>
      <c r="D75" s="3002"/>
      <c r="E75" s="3002">
        <v>41155.56</v>
      </c>
      <c r="F75" s="3009"/>
    </row>
    <row r="76" spans="2:6" ht="12.75">
      <c r="B76" s="3012" t="s">
        <v>6704</v>
      </c>
      <c r="C76" s="3010" t="s">
        <v>505</v>
      </c>
      <c r="D76" s="3002"/>
      <c r="E76" s="3002">
        <v>4024.45</v>
      </c>
    </row>
    <row r="77" spans="2:6" ht="12.75">
      <c r="B77" s="3012" t="s">
        <v>6600</v>
      </c>
      <c r="C77" s="3010" t="s">
        <v>6752</v>
      </c>
      <c r="D77" s="3002"/>
      <c r="E77" s="3002">
        <f>20000+6456.36</f>
        <v>26456.36</v>
      </c>
    </row>
    <row r="78" spans="2:6" ht="12.75">
      <c r="B78" s="3012" t="s">
        <v>6601</v>
      </c>
      <c r="C78" s="3010" t="s">
        <v>1360</v>
      </c>
      <c r="D78" s="3002"/>
      <c r="E78" s="3002">
        <v>30000</v>
      </c>
    </row>
    <row r="79" spans="2:6" ht="12.75">
      <c r="B79" s="3012" t="s">
        <v>6604</v>
      </c>
      <c r="C79" s="3010" t="s">
        <v>2398</v>
      </c>
      <c r="D79" s="3002"/>
      <c r="E79" s="3002">
        <v>12000</v>
      </c>
    </row>
    <row r="80" spans="2:6" ht="12.75">
      <c r="B80" s="3012" t="s">
        <v>6772</v>
      </c>
      <c r="C80" s="3010" t="s">
        <v>148</v>
      </c>
      <c r="D80" s="3002"/>
      <c r="E80" s="3002">
        <v>353.02000000000044</v>
      </c>
      <c r="F80" s="3009"/>
    </row>
    <row r="81" spans="2:6" ht="12.75">
      <c r="B81" s="3012" t="s">
        <v>6804</v>
      </c>
      <c r="C81" s="3010" t="s">
        <v>3817</v>
      </c>
      <c r="D81" s="3002">
        <v>157.33000000000001</v>
      </c>
      <c r="E81" s="3002"/>
    </row>
    <row r="82" spans="2:6" ht="12.75">
      <c r="B82" s="3012" t="s">
        <v>6773</v>
      </c>
      <c r="C82" s="3010" t="s">
        <v>1006</v>
      </c>
      <c r="D82" s="3002"/>
      <c r="E82" s="3002">
        <v>1509.87</v>
      </c>
    </row>
    <row r="83" spans="2:6" ht="12.75">
      <c r="B83" s="3012" t="s">
        <v>6716</v>
      </c>
      <c r="C83" s="3010" t="s">
        <v>6775</v>
      </c>
      <c r="D83" s="3002">
        <v>157.34</v>
      </c>
      <c r="E83" s="3002"/>
    </row>
    <row r="84" spans="2:6" ht="12.75">
      <c r="B84" s="3012" t="s">
        <v>6608</v>
      </c>
      <c r="C84" s="3010" t="s">
        <v>2694</v>
      </c>
      <c r="D84" s="3002"/>
      <c r="E84" s="3002">
        <v>170.35</v>
      </c>
      <c r="F84" s="3009"/>
    </row>
    <row r="85" spans="2:6" ht="12.75">
      <c r="B85" s="2987" t="s">
        <v>4833</v>
      </c>
      <c r="C85" s="3010" t="s">
        <v>591</v>
      </c>
      <c r="D85" s="3002"/>
      <c r="E85" s="3002">
        <v>2280</v>
      </c>
    </row>
    <row r="86" spans="2:6" ht="12.75">
      <c r="B86" s="3012" t="s">
        <v>6612</v>
      </c>
      <c r="C86" s="3010" t="s">
        <v>903</v>
      </c>
      <c r="D86" s="3002"/>
      <c r="E86" s="3002">
        <v>2755.31</v>
      </c>
    </row>
    <row r="87" spans="2:6" ht="12.75">
      <c r="B87" s="3012" t="s">
        <v>6613</v>
      </c>
      <c r="C87" s="3010" t="s">
        <v>4206</v>
      </c>
      <c r="D87" s="3002"/>
      <c r="E87" s="3002">
        <v>472</v>
      </c>
    </row>
    <row r="88" spans="2:6" ht="12.75">
      <c r="B88" s="3012" t="s">
        <v>6737</v>
      </c>
      <c r="C88" s="3010" t="s">
        <v>671</v>
      </c>
      <c r="D88" s="3002">
        <f>1052.8+87.4</f>
        <v>1140.2</v>
      </c>
      <c r="E88" s="3002"/>
    </row>
    <row r="89" spans="2:6" ht="12.75">
      <c r="B89" s="2987" t="s">
        <v>5694</v>
      </c>
      <c r="C89" s="3010" t="s">
        <v>671</v>
      </c>
      <c r="D89" s="3002">
        <v>7505.18</v>
      </c>
      <c r="E89" s="3002"/>
      <c r="F89" s="3009"/>
    </row>
    <row r="90" spans="2:6" ht="12.75">
      <c r="B90" s="3012" t="s">
        <v>5717</v>
      </c>
      <c r="C90" s="3010" t="s">
        <v>39</v>
      </c>
      <c r="D90" s="3015">
        <v>800</v>
      </c>
      <c r="E90" s="3002"/>
    </row>
    <row r="91" spans="2:6" ht="12.75">
      <c r="B91" s="2987" t="s">
        <v>5283</v>
      </c>
      <c r="C91" s="3010" t="s">
        <v>39</v>
      </c>
      <c r="D91" s="3002"/>
      <c r="E91" s="3002">
        <f>62852.68+4384.6+13686.4+13405.61+6776+15879.05+1620+39637.92+10080+5824+268.73-3576.2</f>
        <v>170838.79</v>
      </c>
    </row>
    <row r="92" spans="2:6" ht="12.75">
      <c r="B92" s="2987" t="s">
        <v>4825</v>
      </c>
      <c r="C92" s="3010" t="s">
        <v>40</v>
      </c>
      <c r="D92" s="3002">
        <v>632.57999999999993</v>
      </c>
      <c r="E92" s="3002"/>
      <c r="F92" s="3009"/>
    </row>
    <row r="93" spans="2:6" ht="12.75">
      <c r="B93" s="2987" t="s">
        <v>6745</v>
      </c>
      <c r="C93" s="3010" t="s">
        <v>6746</v>
      </c>
      <c r="D93" s="3002">
        <f>60000+50000</f>
        <v>110000</v>
      </c>
      <c r="E93" s="3002"/>
    </row>
    <row r="94" spans="2:6" ht="12.75">
      <c r="B94" s="3036"/>
      <c r="C94" s="3023" t="s">
        <v>6787</v>
      </c>
      <c r="D94" s="1538">
        <f>SUM(D70:D93)</f>
        <v>225902.5</v>
      </c>
      <c r="E94" s="1538">
        <f>SUM(E70:E93)</f>
        <v>333380.70999999996</v>
      </c>
    </row>
    <row r="95" spans="2:6" ht="12.75">
      <c r="B95" s="3037"/>
      <c r="C95" s="3038"/>
      <c r="D95" s="3009"/>
      <c r="E95" s="1539"/>
    </row>
    <row r="96" spans="2:6" ht="12.75">
      <c r="B96" s="3040"/>
      <c r="C96" s="3040"/>
      <c r="E96" s="1539"/>
    </row>
    <row r="97" spans="2:6" ht="12.75">
      <c r="B97" s="3041" t="s">
        <v>7</v>
      </c>
      <c r="C97" s="3041" t="s">
        <v>6505</v>
      </c>
      <c r="D97" s="2994" t="s">
        <v>6678</v>
      </c>
      <c r="E97" s="2994" t="s">
        <v>6679</v>
      </c>
    </row>
    <row r="98" spans="2:6" ht="12.75">
      <c r="B98" s="3042" t="s">
        <v>6616</v>
      </c>
      <c r="C98" s="3043" t="s">
        <v>6617</v>
      </c>
      <c r="D98" s="3031"/>
      <c r="E98" s="3031"/>
    </row>
    <row r="99" spans="2:6" ht="12.75">
      <c r="B99" s="3012" t="s">
        <v>6618</v>
      </c>
      <c r="C99" s="3010" t="s">
        <v>881</v>
      </c>
      <c r="D99" s="3002"/>
      <c r="E99" s="3002">
        <v>49750.97</v>
      </c>
    </row>
    <row r="100" spans="2:6" ht="12.75">
      <c r="B100" s="3012" t="s">
        <v>5012</v>
      </c>
      <c r="C100" s="3010" t="s">
        <v>6791</v>
      </c>
      <c r="D100" s="3002"/>
      <c r="E100" s="3002">
        <v>2240</v>
      </c>
    </row>
    <row r="101" spans="2:6" ht="12.75">
      <c r="B101" s="3012" t="s">
        <v>6620</v>
      </c>
      <c r="C101" s="3010" t="s">
        <v>1301</v>
      </c>
      <c r="D101" s="3002">
        <v>9500</v>
      </c>
      <c r="E101" s="3002"/>
    </row>
    <row r="102" spans="2:6" ht="12.75">
      <c r="B102" s="3012" t="s">
        <v>6699</v>
      </c>
      <c r="C102" s="3005" t="s">
        <v>281</v>
      </c>
      <c r="D102" s="3002">
        <v>95312.50999999998</v>
      </c>
      <c r="E102" s="3002"/>
      <c r="F102" s="3009"/>
    </row>
    <row r="103" spans="2:6" ht="12.75">
      <c r="B103" s="3014" t="s">
        <v>6700</v>
      </c>
      <c r="C103" s="3005" t="s">
        <v>281</v>
      </c>
      <c r="D103" s="3002"/>
      <c r="E103" s="3002">
        <v>40000</v>
      </c>
    </row>
    <row r="104" spans="2:6" ht="12.75">
      <c r="B104" s="2987" t="s">
        <v>6701</v>
      </c>
      <c r="C104" s="3005" t="s">
        <v>281</v>
      </c>
      <c r="D104" s="3002"/>
      <c r="E104" s="3002">
        <v>7568</v>
      </c>
      <c r="F104" s="3009"/>
    </row>
    <row r="105" spans="2:6" ht="12.75">
      <c r="B105" s="3012" t="s">
        <v>6623</v>
      </c>
      <c r="C105" s="3010" t="s">
        <v>4343</v>
      </c>
      <c r="D105" s="3002"/>
      <c r="E105" s="3002">
        <v>25760</v>
      </c>
    </row>
    <row r="106" spans="2:6" ht="12.75">
      <c r="B106" s="3014" t="s">
        <v>6624</v>
      </c>
      <c r="C106" s="3010" t="s">
        <v>6752</v>
      </c>
      <c r="E106" s="3002">
        <v>17500</v>
      </c>
    </row>
    <row r="107" spans="2:6" ht="12.75">
      <c r="B107" s="3012" t="s">
        <v>6601</v>
      </c>
      <c r="C107" s="3010" t="s">
        <v>1360</v>
      </c>
      <c r="D107" s="3002">
        <v>9642.9700000000012</v>
      </c>
      <c r="E107" s="3002"/>
      <c r="F107" s="3009"/>
    </row>
    <row r="108" spans="2:6" ht="12.75">
      <c r="B108" s="3014" t="s">
        <v>6626</v>
      </c>
      <c r="C108" s="3010" t="s">
        <v>1360</v>
      </c>
      <c r="D108" s="3002"/>
      <c r="E108" s="3002">
        <f>480-150</f>
        <v>330</v>
      </c>
    </row>
    <row r="109" spans="2:6" ht="12.75">
      <c r="B109" s="3012" t="s">
        <v>6829</v>
      </c>
      <c r="C109" s="3010" t="s">
        <v>1665</v>
      </c>
      <c r="D109" s="3002">
        <f>4885.51+12000</f>
        <v>16885.510000000002</v>
      </c>
      <c r="E109" s="3002"/>
    </row>
    <row r="110" spans="2:6" ht="12.75">
      <c r="B110" s="3014" t="s">
        <v>5097</v>
      </c>
      <c r="C110" s="3010" t="s">
        <v>1665</v>
      </c>
      <c r="D110" s="3002"/>
      <c r="E110" s="3002">
        <v>11200</v>
      </c>
    </row>
    <row r="111" spans="2:6" ht="12.75">
      <c r="B111" s="3012" t="s">
        <v>6774</v>
      </c>
      <c r="C111" s="3010" t="s">
        <v>6806</v>
      </c>
      <c r="D111" s="3002"/>
      <c r="E111" s="3002">
        <v>530</v>
      </c>
    </row>
    <row r="112" spans="2:6" ht="12.75">
      <c r="B112" s="2987" t="s">
        <v>5375</v>
      </c>
      <c r="C112" s="3010" t="s">
        <v>1089</v>
      </c>
      <c r="D112" s="3002"/>
      <c r="E112" s="3002">
        <v>301.95999999999998</v>
      </c>
    </row>
    <row r="113" spans="1:6" s="3045" customFormat="1" ht="12.75">
      <c r="B113" s="3014" t="s">
        <v>5257</v>
      </c>
      <c r="C113" s="3010" t="s">
        <v>1667</v>
      </c>
      <c r="D113" s="3002"/>
      <c r="E113" s="3002">
        <f>10800+15848.08+6776+6080</f>
        <v>39504.080000000002</v>
      </c>
    </row>
    <row r="114" spans="1:6" ht="12.75">
      <c r="A114" s="3045"/>
      <c r="B114" s="3012" t="s">
        <v>4835</v>
      </c>
      <c r="C114" s="3010" t="s">
        <v>40</v>
      </c>
      <c r="D114" s="3002">
        <f>2784.04+800</f>
        <v>3584.04</v>
      </c>
      <c r="E114" s="3002"/>
    </row>
    <row r="115" spans="1:6" ht="12.75">
      <c r="B115" s="3014" t="s">
        <v>6661</v>
      </c>
      <c r="C115" s="3010" t="s">
        <v>40</v>
      </c>
      <c r="D115" s="3002"/>
      <c r="E115" s="3002">
        <v>2784.04</v>
      </c>
    </row>
    <row r="116" spans="1:6" ht="12.75">
      <c r="B116" s="3014" t="s">
        <v>6724</v>
      </c>
      <c r="C116" s="3010" t="s">
        <v>36</v>
      </c>
      <c r="D116" s="3002"/>
      <c r="E116" s="3002">
        <v>13133</v>
      </c>
    </row>
    <row r="117" spans="1:6" ht="12.75">
      <c r="B117" s="3012" t="s">
        <v>6581</v>
      </c>
      <c r="C117" s="3010" t="s">
        <v>6816</v>
      </c>
      <c r="D117" s="3002"/>
      <c r="E117" s="3002">
        <v>17474.61</v>
      </c>
    </row>
    <row r="118" spans="1:6" ht="12.75">
      <c r="B118" s="3012" t="s">
        <v>6817</v>
      </c>
      <c r="C118" s="3010" t="s">
        <v>505</v>
      </c>
      <c r="D118" s="3002"/>
      <c r="E118" s="3002">
        <v>1250</v>
      </c>
    </row>
    <row r="119" spans="1:6" ht="12.75">
      <c r="B119" s="3012" t="s">
        <v>6967</v>
      </c>
      <c r="C119" s="3010" t="s">
        <v>39</v>
      </c>
      <c r="D119" s="3002"/>
      <c r="E119" s="3018">
        <v>394.63</v>
      </c>
    </row>
    <row r="120" spans="1:6" ht="12.75">
      <c r="B120" s="3012" t="s">
        <v>6931</v>
      </c>
      <c r="C120" s="3010" t="s">
        <v>591</v>
      </c>
      <c r="D120" s="3002"/>
      <c r="E120" s="3018">
        <v>6370</v>
      </c>
    </row>
    <row r="121" spans="1:6" ht="12.75">
      <c r="B121" s="3012" t="s">
        <v>5717</v>
      </c>
      <c r="C121" s="3010" t="s">
        <v>39</v>
      </c>
      <c r="D121" s="3002"/>
      <c r="E121" s="3002">
        <v>17014.400000000001</v>
      </c>
      <c r="F121" s="3009"/>
    </row>
    <row r="122" spans="1:6" ht="12.75">
      <c r="B122" s="3012" t="s">
        <v>6822</v>
      </c>
      <c r="C122" s="3010" t="s">
        <v>39</v>
      </c>
      <c r="D122" s="3002">
        <v>82749.929999999993</v>
      </c>
      <c r="E122" s="3002"/>
    </row>
    <row r="123" spans="1:6" ht="12.75">
      <c r="B123" s="2987" t="s">
        <v>5283</v>
      </c>
      <c r="C123" s="3010" t="s">
        <v>39</v>
      </c>
      <c r="D123" s="3018">
        <v>76062.350000000006</v>
      </c>
      <c r="E123" s="3002"/>
      <c r="F123" s="3009"/>
    </row>
    <row r="124" spans="1:6" ht="12.75">
      <c r="B124" s="3012" t="s">
        <v>5544</v>
      </c>
      <c r="C124" s="3010" t="s">
        <v>40</v>
      </c>
      <c r="D124" s="3002">
        <v>5252.7000000000007</v>
      </c>
      <c r="E124" s="3002"/>
      <c r="F124" s="3009"/>
    </row>
    <row r="125" spans="1:6" ht="12.75">
      <c r="B125" s="3012" t="s">
        <v>6823</v>
      </c>
      <c r="C125" s="3010" t="s">
        <v>40</v>
      </c>
      <c r="D125" s="3002"/>
      <c r="E125" s="3002">
        <v>74735.3</v>
      </c>
    </row>
    <row r="126" spans="1:6" ht="12.75">
      <c r="B126" s="2987" t="s">
        <v>4825</v>
      </c>
      <c r="C126" s="3010" t="s">
        <v>40</v>
      </c>
      <c r="D126" s="3002">
        <v>44049.340000000011</v>
      </c>
      <c r="E126" s="3002"/>
      <c r="F126" s="3009"/>
    </row>
    <row r="127" spans="1:6" ht="12.75">
      <c r="B127" s="3014" t="s">
        <v>7006</v>
      </c>
      <c r="C127" s="3010" t="s">
        <v>36</v>
      </c>
      <c r="D127" s="3002">
        <v>13133</v>
      </c>
      <c r="E127" s="3002"/>
    </row>
    <row r="128" spans="1:6" ht="12.75">
      <c r="B128" s="3036"/>
      <c r="C128" s="3023" t="s">
        <v>6636</v>
      </c>
      <c r="D128" s="1537">
        <f>SUM(D99:D127)</f>
        <v>356172.35000000003</v>
      </c>
      <c r="E128" s="1537">
        <f>SUM(E99:E127)</f>
        <v>327840.99000000005</v>
      </c>
    </row>
    <row r="129" spans="2:6" ht="12.75">
      <c r="B129" s="3052"/>
      <c r="C129" s="3053"/>
      <c r="D129" s="1567"/>
      <c r="E129" s="1567"/>
    </row>
    <row r="130" spans="2:6" ht="12.75">
      <c r="B130" s="3055"/>
      <c r="C130" s="3053"/>
      <c r="D130" s="1567"/>
      <c r="E130" s="1567"/>
    </row>
    <row r="131" spans="2:6" ht="12.75">
      <c r="B131" s="3041" t="s">
        <v>7</v>
      </c>
      <c r="C131" s="3041" t="s">
        <v>6505</v>
      </c>
      <c r="D131" s="2994" t="s">
        <v>6678</v>
      </c>
      <c r="E131" s="2994" t="s">
        <v>6679</v>
      </c>
    </row>
    <row r="132" spans="2:6" ht="12.75">
      <c r="B132" s="3042" t="s">
        <v>6637</v>
      </c>
      <c r="C132" s="3043" t="s">
        <v>6638</v>
      </c>
      <c r="D132" s="3031"/>
      <c r="E132" s="3031"/>
    </row>
    <row r="133" spans="2:6" ht="12.75">
      <c r="B133" s="3014" t="s">
        <v>5020</v>
      </c>
      <c r="C133" s="3056" t="s">
        <v>6791</v>
      </c>
      <c r="D133" s="3002"/>
      <c r="E133" s="3002">
        <v>9640</v>
      </c>
    </row>
    <row r="134" spans="2:6" ht="12.75">
      <c r="B134" s="3014" t="s">
        <v>6641</v>
      </c>
      <c r="C134" s="3010" t="s">
        <v>27</v>
      </c>
      <c r="D134" s="3002"/>
      <c r="E134" s="3002">
        <v>1344</v>
      </c>
    </row>
    <row r="135" spans="2:6" ht="12.75">
      <c r="B135" s="3014" t="s">
        <v>6827</v>
      </c>
      <c r="C135" s="3010" t="s">
        <v>1507</v>
      </c>
      <c r="D135" s="3002"/>
      <c r="E135" s="3002">
        <v>3584</v>
      </c>
    </row>
    <row r="136" spans="2:6" ht="12.75">
      <c r="B136" s="3014" t="s">
        <v>6643</v>
      </c>
      <c r="C136" s="3010" t="s">
        <v>6828</v>
      </c>
      <c r="D136" s="3002"/>
      <c r="E136" s="3002">
        <v>2121.2800000000002</v>
      </c>
    </row>
    <row r="137" spans="2:6" ht="12.75">
      <c r="B137" s="3014" t="s">
        <v>6700</v>
      </c>
      <c r="C137" s="3005" t="s">
        <v>281</v>
      </c>
      <c r="D137" s="3002"/>
      <c r="E137" s="3002">
        <f>5600+795.65</f>
        <v>6395.65</v>
      </c>
    </row>
    <row r="138" spans="2:6" ht="12.75">
      <c r="B138" s="3014" t="s">
        <v>6646</v>
      </c>
      <c r="C138" s="3010" t="s">
        <v>4343</v>
      </c>
      <c r="D138" s="3002"/>
      <c r="E138" s="3002">
        <v>22400</v>
      </c>
    </row>
    <row r="139" spans="2:6" ht="12.75">
      <c r="B139" s="3014" t="s">
        <v>6624</v>
      </c>
      <c r="C139" s="3010" t="s">
        <v>2507</v>
      </c>
      <c r="D139" s="3002"/>
      <c r="E139" s="3002">
        <v>1880</v>
      </c>
      <c r="F139" s="3009"/>
    </row>
    <row r="140" spans="2:6" ht="12.75">
      <c r="B140" s="3014" t="s">
        <v>6626</v>
      </c>
      <c r="C140" s="3010" t="s">
        <v>1360</v>
      </c>
      <c r="D140" s="3002"/>
      <c r="E140" s="3002">
        <v>9610.4699999999993</v>
      </c>
      <c r="F140" s="3009"/>
    </row>
    <row r="141" spans="2:6" ht="12.75">
      <c r="B141" s="3014" t="s">
        <v>6648</v>
      </c>
      <c r="C141" s="3010" t="s">
        <v>2398</v>
      </c>
      <c r="D141" s="3002"/>
      <c r="E141" s="3002">
        <v>10000</v>
      </c>
    </row>
    <row r="142" spans="2:6" ht="12.75">
      <c r="B142" s="3012" t="s">
        <v>6829</v>
      </c>
      <c r="C142" s="3010" t="s">
        <v>33</v>
      </c>
      <c r="D142" s="3002"/>
      <c r="E142" s="3002">
        <v>250</v>
      </c>
    </row>
    <row r="143" spans="2:6" ht="12.75">
      <c r="B143" s="3014" t="s">
        <v>6650</v>
      </c>
      <c r="C143" s="3010" t="s">
        <v>148</v>
      </c>
      <c r="D143" s="3002"/>
      <c r="E143" s="3002">
        <v>3584</v>
      </c>
    </row>
    <row r="144" spans="2:6" ht="12.75">
      <c r="B144" s="3014" t="s">
        <v>6651</v>
      </c>
      <c r="C144" s="3056" t="s">
        <v>6712</v>
      </c>
      <c r="D144" s="3002"/>
      <c r="E144" s="3002">
        <v>536</v>
      </c>
    </row>
    <row r="145" spans="1:6" ht="12.75">
      <c r="B145" s="3014" t="s">
        <v>6713</v>
      </c>
      <c r="C145" s="3010" t="s">
        <v>2003</v>
      </c>
      <c r="D145" s="3002"/>
      <c r="E145" s="3002">
        <f>61.09</f>
        <v>61.09</v>
      </c>
    </row>
    <row r="146" spans="1:6" ht="12.75">
      <c r="B146" s="3014" t="s">
        <v>6657</v>
      </c>
      <c r="C146" s="3056" t="s">
        <v>1089</v>
      </c>
      <c r="D146" s="3018">
        <v>2038.4</v>
      </c>
      <c r="E146" s="3002"/>
      <c r="F146" s="3009"/>
    </row>
    <row r="147" spans="1:6" ht="12.75">
      <c r="B147" s="3014" t="s">
        <v>6660</v>
      </c>
      <c r="C147" s="3056" t="s">
        <v>39</v>
      </c>
      <c r="D147" s="3018"/>
      <c r="E147" s="3002">
        <v>15879.05</v>
      </c>
    </row>
    <row r="148" spans="1:6" ht="12.75">
      <c r="B148" s="3014" t="s">
        <v>6661</v>
      </c>
      <c r="C148" s="3056" t="s">
        <v>40</v>
      </c>
      <c r="D148" s="3018"/>
      <c r="E148" s="3002">
        <v>1037.1400000000001</v>
      </c>
    </row>
    <row r="149" spans="1:6" ht="12.75">
      <c r="B149" s="2987" t="s">
        <v>5694</v>
      </c>
      <c r="C149" s="3056" t="s">
        <v>671</v>
      </c>
      <c r="D149" s="3018"/>
      <c r="E149" s="3002">
        <v>2132.48</v>
      </c>
    </row>
    <row r="150" spans="1:6" ht="12.75">
      <c r="B150" s="3012" t="s">
        <v>5717</v>
      </c>
      <c r="C150" s="3010" t="s">
        <v>39</v>
      </c>
      <c r="D150" s="3018">
        <f>8042.47+134.4</f>
        <v>8176.87</v>
      </c>
      <c r="E150" s="3002"/>
    </row>
    <row r="151" spans="1:6" ht="12.75">
      <c r="B151" s="2987" t="s">
        <v>5283</v>
      </c>
      <c r="C151" s="3010" t="s">
        <v>39</v>
      </c>
      <c r="D151" s="3018">
        <v>15151.409999999996</v>
      </c>
      <c r="E151" s="3002"/>
      <c r="F151" s="3009"/>
    </row>
    <row r="152" spans="1:6" ht="12.75">
      <c r="B152" s="2987" t="s">
        <v>4825</v>
      </c>
      <c r="C152" s="3010" t="s">
        <v>40</v>
      </c>
      <c r="D152" s="3002">
        <v>24946.84</v>
      </c>
      <c r="E152" s="3002"/>
      <c r="F152" s="3009"/>
    </row>
    <row r="153" spans="1:6" s="2979" customFormat="1" ht="12.75">
      <c r="A153" s="2980"/>
      <c r="B153" s="3036"/>
      <c r="C153" s="3057" t="s">
        <v>6832</v>
      </c>
      <c r="D153" s="1537">
        <f>SUM(D133:D152)</f>
        <v>50313.52</v>
      </c>
      <c r="E153" s="1537">
        <f>SUM(E133:E152)</f>
        <v>90455.159999999989</v>
      </c>
    </row>
    <row r="154" spans="1:6" s="2979" customFormat="1" ht="12.75">
      <c r="A154" s="2980"/>
      <c r="B154" s="3058"/>
      <c r="C154" s="3023" t="s">
        <v>6833</v>
      </c>
      <c r="D154" s="3011">
        <f>+D65+D94+D128+D153</f>
        <v>1167390.3400000001</v>
      </c>
      <c r="E154" s="3011">
        <f>+E65+E94+E128+E153</f>
        <v>1167390.3399999999</v>
      </c>
    </row>
    <row r="155" spans="1:6" s="2979" customFormat="1" ht="12.75">
      <c r="A155" s="2980"/>
      <c r="B155" s="2980"/>
      <c r="C155" s="3059"/>
      <c r="D155" s="3060"/>
      <c r="E155" s="3060"/>
    </row>
    <row r="156" spans="1:6" s="2979" customFormat="1" ht="12.75">
      <c r="A156" s="2980"/>
      <c r="B156" s="3061"/>
      <c r="C156" s="3061"/>
      <c r="D156" s="3062"/>
      <c r="E156" s="1584" t="s">
        <v>7007</v>
      </c>
    </row>
    <row r="157" spans="1:6" s="2979" customFormat="1" ht="12.75">
      <c r="A157" s="2980"/>
      <c r="B157" s="3061"/>
      <c r="C157" s="3061"/>
      <c r="D157" s="3062"/>
      <c r="E157" s="3062"/>
    </row>
    <row r="158" spans="1:6" s="2979" customFormat="1" ht="12.75">
      <c r="A158" s="2980"/>
      <c r="B158" s="3061"/>
      <c r="C158" s="3061"/>
      <c r="D158" s="3062"/>
      <c r="E158" s="3061"/>
    </row>
    <row r="159" spans="1:6" s="2979" customFormat="1" ht="12.75">
      <c r="A159" s="2980"/>
      <c r="B159" s="3061" t="s">
        <v>6835</v>
      </c>
      <c r="C159" s="3062"/>
      <c r="E159" s="3061"/>
    </row>
    <row r="160" spans="1:6" ht="12.75">
      <c r="B160" s="3061" t="s">
        <v>6836</v>
      </c>
      <c r="C160" s="3067"/>
      <c r="D160" s="3061"/>
      <c r="E160" s="3061"/>
    </row>
    <row r="161" spans="2:7" ht="12.75">
      <c r="B161" s="3061"/>
      <c r="C161" s="3067"/>
      <c r="D161" s="3061"/>
      <c r="E161" s="3061"/>
    </row>
    <row r="162" spans="2:7" ht="12.75">
      <c r="C162" s="3059"/>
      <c r="D162" s="3059"/>
      <c r="E162" s="3059"/>
      <c r="F162" s="3059"/>
    </row>
    <row r="163" spans="2:7" ht="12.75">
      <c r="C163" s="3059"/>
      <c r="D163" s="3061"/>
      <c r="E163" s="3061"/>
      <c r="F163" s="3059"/>
    </row>
    <row r="164" spans="2:7" ht="12.75">
      <c r="C164" s="3059"/>
      <c r="D164" s="2979"/>
      <c r="E164" s="2979"/>
      <c r="F164" s="3059"/>
    </row>
    <row r="165" spans="2:7" ht="12.75">
      <c r="C165" s="3059"/>
      <c r="D165" s="2979"/>
      <c r="E165" s="2979"/>
      <c r="F165" s="3059"/>
    </row>
    <row r="166" spans="2:7" ht="12.75">
      <c r="C166" s="3059"/>
      <c r="D166" s="2979"/>
      <c r="E166" s="2979"/>
      <c r="F166" s="3059"/>
    </row>
    <row r="167" spans="2:7" ht="12.75">
      <c r="C167" s="3059"/>
      <c r="D167" s="2979"/>
      <c r="E167" s="2979"/>
      <c r="F167" s="3059"/>
    </row>
    <row r="168" spans="2:7" ht="12.75">
      <c r="C168" s="3059"/>
      <c r="D168" s="2979"/>
      <c r="E168" s="2979"/>
      <c r="F168" s="3059"/>
    </row>
    <row r="169" spans="2:7" ht="12.75">
      <c r="C169" s="3059"/>
      <c r="D169" s="2979"/>
      <c r="E169" s="2979"/>
      <c r="F169" s="3059"/>
    </row>
    <row r="170" spans="2:7" ht="12.75">
      <c r="C170" s="3059"/>
      <c r="D170" s="2979"/>
      <c r="E170" s="2979"/>
      <c r="F170" s="3059"/>
    </row>
    <row r="171" spans="2:7" ht="12.75">
      <c r="C171" s="3059"/>
      <c r="D171" s="2979"/>
      <c r="E171" s="2979"/>
      <c r="F171" s="3059"/>
      <c r="G171" s="3071"/>
    </row>
    <row r="172" spans="2:7" ht="12.75">
      <c r="C172" s="3059"/>
      <c r="D172" s="3072"/>
      <c r="E172" s="3072"/>
      <c r="F172" s="3061"/>
      <c r="G172" s="3071"/>
    </row>
    <row r="173" spans="2:7" ht="12.75">
      <c r="C173" s="3059"/>
      <c r="D173" s="3059"/>
      <c r="E173" s="3059"/>
      <c r="F173" s="3072"/>
      <c r="G173" s="3073"/>
    </row>
    <row r="174" spans="2:7" ht="12.75">
      <c r="C174" s="3059"/>
      <c r="D174" s="3059"/>
      <c r="E174" s="3059"/>
      <c r="F174" s="3072"/>
      <c r="G174" s="3073"/>
    </row>
    <row r="175" spans="2:7" ht="12.75">
      <c r="C175" s="3059"/>
      <c r="D175" s="3061"/>
      <c r="E175" s="3061"/>
      <c r="F175" s="3061"/>
      <c r="G175" s="3073"/>
    </row>
    <row r="176" spans="2:7" ht="12.75">
      <c r="C176" s="3059"/>
      <c r="D176" s="2979"/>
      <c r="E176" s="2979"/>
      <c r="F176" s="3061"/>
      <c r="G176" s="3073"/>
    </row>
    <row r="177" spans="3:7" ht="12.75">
      <c r="C177" s="3059"/>
      <c r="D177" s="2979"/>
      <c r="E177" s="2979"/>
      <c r="F177" s="3061"/>
      <c r="G177" s="3073"/>
    </row>
    <row r="178" spans="3:7" ht="12.75">
      <c r="C178" s="3059"/>
      <c r="D178" s="2979"/>
      <c r="E178" s="2979"/>
      <c r="F178" s="3072"/>
      <c r="G178" s="3073"/>
    </row>
    <row r="179" spans="3:7" ht="12.75">
      <c r="C179" s="3059"/>
      <c r="D179" s="2979"/>
      <c r="E179" s="2979"/>
      <c r="F179" s="3061"/>
      <c r="G179" s="3071"/>
    </row>
    <row r="180" spans="3:7" ht="12.75">
      <c r="C180" s="3059"/>
      <c r="D180" s="2979"/>
      <c r="E180" s="2979"/>
      <c r="F180" s="3072"/>
      <c r="G180" s="3071"/>
    </row>
    <row r="181" spans="3:7" ht="12.75">
      <c r="C181" s="3059"/>
      <c r="D181" s="2979"/>
      <c r="E181" s="2979"/>
      <c r="F181" s="3061"/>
      <c r="G181" s="3071"/>
    </row>
    <row r="182" spans="3:7" ht="12.75">
      <c r="C182" s="3059"/>
      <c r="D182" s="2979"/>
      <c r="E182" s="2979"/>
      <c r="F182" s="3061"/>
    </row>
    <row r="183" spans="3:7" ht="12.75">
      <c r="C183" s="3059"/>
      <c r="D183" s="3072"/>
      <c r="E183" s="3072"/>
      <c r="F183" s="3059"/>
    </row>
    <row r="184" spans="3:7" ht="12.75">
      <c r="C184" s="3059"/>
      <c r="D184" s="3059"/>
      <c r="E184" s="3059"/>
      <c r="F184" s="3059"/>
    </row>
    <row r="185" spans="3:7" ht="12.75">
      <c r="C185" s="3059"/>
      <c r="D185" s="3061"/>
      <c r="E185" s="3061"/>
      <c r="F185" s="3059"/>
    </row>
    <row r="186" spans="3:7" ht="12.75">
      <c r="C186" s="3059"/>
      <c r="D186" s="3061"/>
      <c r="E186" s="3061"/>
      <c r="F186" s="3059"/>
    </row>
    <row r="187" spans="3:7" ht="12.75">
      <c r="C187" s="3059"/>
      <c r="D187" s="2979"/>
      <c r="E187" s="2979"/>
      <c r="F187" s="3059"/>
    </row>
    <row r="188" spans="3:7" ht="12.75">
      <c r="C188" s="3059"/>
      <c r="D188" s="2979"/>
      <c r="E188" s="2979"/>
      <c r="F188" s="3059"/>
    </row>
    <row r="189" spans="3:7" ht="12.75">
      <c r="C189" s="3059"/>
      <c r="D189" s="2979"/>
      <c r="E189" s="2979"/>
      <c r="F189" s="3059"/>
    </row>
    <row r="190" spans="3:7" ht="12.75">
      <c r="C190" s="3059"/>
      <c r="D190" s="2979"/>
      <c r="E190" s="2979"/>
      <c r="F190" s="3059"/>
    </row>
    <row r="191" spans="3:7" ht="12.75">
      <c r="C191" s="3059"/>
      <c r="D191" s="3072"/>
      <c r="E191" s="3072"/>
      <c r="F191" s="3059"/>
    </row>
    <row r="192" spans="3:7" ht="12.75">
      <c r="C192" s="3059"/>
      <c r="D192" s="3059"/>
      <c r="E192" s="3059"/>
      <c r="F192" s="3059"/>
    </row>
    <row r="193" spans="3:6" ht="12.75">
      <c r="C193" s="3059"/>
      <c r="D193" s="3059"/>
      <c r="E193" s="3059"/>
      <c r="F193" s="3059"/>
    </row>
    <row r="194" spans="3:6" ht="12.75">
      <c r="C194" s="3059"/>
      <c r="D194" s="3061"/>
      <c r="E194" s="3061"/>
      <c r="F194" s="3059"/>
    </row>
    <row r="195" spans="3:6" ht="12.75">
      <c r="C195" s="3059"/>
      <c r="D195" s="2979"/>
      <c r="E195" s="2979"/>
      <c r="F195" s="3059"/>
    </row>
    <row r="196" spans="3:6" ht="12.75">
      <c r="C196" s="3059"/>
      <c r="D196" s="2979"/>
      <c r="E196" s="2979"/>
      <c r="F196" s="3059"/>
    </row>
    <row r="197" spans="3:6" ht="12.75">
      <c r="C197" s="3059"/>
      <c r="D197" s="2979"/>
      <c r="E197" s="2979"/>
      <c r="F197" s="3059"/>
    </row>
    <row r="198" spans="3:6" ht="12.75">
      <c r="C198" s="3059"/>
      <c r="D198" s="3072"/>
      <c r="E198" s="3072"/>
      <c r="F198" s="3059"/>
    </row>
    <row r="199" spans="3:6" ht="12.75">
      <c r="C199" s="3059"/>
      <c r="D199" s="3059"/>
      <c r="E199" s="3059"/>
      <c r="F199" s="3059"/>
    </row>
    <row r="200" spans="3:6" ht="12.75">
      <c r="C200" s="3059"/>
      <c r="D200" s="3059"/>
      <c r="E200" s="3059"/>
      <c r="F200" s="3059"/>
    </row>
    <row r="201" spans="3:6" ht="12.75">
      <c r="C201" s="3059"/>
      <c r="D201" s="3059"/>
      <c r="E201" s="3059"/>
      <c r="F201" s="3059"/>
    </row>
    <row r="207" spans="3:6">
      <c r="F207" s="3078"/>
    </row>
    <row r="213" spans="6:6">
      <c r="F213" s="3009"/>
    </row>
    <row r="220" spans="6:6">
      <c r="F220" s="3078"/>
    </row>
    <row r="222" spans="6:6" ht="12" customHeight="1"/>
    <row r="223" spans="6:6" ht="12" customHeight="1"/>
  </sheetData>
  <mergeCells count="2">
    <mergeCell ref="B1:E1"/>
    <mergeCell ref="B2:E2"/>
  </mergeCells>
  <printOptions horizontalCentered="1"/>
  <pageMargins left="0.25" right="0.25" top="0.75" bottom="0.75" header="0.3" footer="0.3"/>
  <pageSetup scale="94" fitToHeight="0" orientation="portrait" r:id="rId1"/>
  <headerFooter>
    <oddFooter>&amp;C&amp;"Century Schoolbook,Normal"&amp;P</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J85"/>
  <sheetViews>
    <sheetView showGridLines="0" zoomScaleNormal="100" workbookViewId="0">
      <selection activeCell="B4" sqref="B4"/>
    </sheetView>
  </sheetViews>
  <sheetFormatPr baseColWidth="10" defaultColWidth="14.42578125" defaultRowHeight="15" customHeight="1"/>
  <cols>
    <col min="1" max="1" width="6.42578125" style="3082" customWidth="1"/>
    <col min="2" max="2" width="19.7109375" style="3082" customWidth="1"/>
    <col min="3" max="3" width="12.28515625" style="3082" customWidth="1"/>
    <col min="4" max="4" width="20.28515625" style="3082" customWidth="1"/>
    <col min="5" max="5" width="10" style="3082" customWidth="1"/>
    <col min="6" max="7" width="9.42578125" style="3082" customWidth="1"/>
    <col min="8" max="8" width="74.42578125" style="3082" customWidth="1"/>
    <col min="9" max="9" width="42" style="3082" customWidth="1"/>
    <col min="10" max="16384" width="14.42578125" style="3082"/>
  </cols>
  <sheetData>
    <row r="1" spans="1:10" ht="14.25">
      <c r="A1" s="3080"/>
      <c r="B1" s="3080"/>
      <c r="C1" s="3081"/>
      <c r="D1" s="3080"/>
      <c r="E1" s="3080"/>
      <c r="F1" s="3080"/>
      <c r="G1" s="3080"/>
      <c r="H1" s="3080"/>
      <c r="I1" s="3080"/>
    </row>
    <row r="2" spans="1:10" ht="14.25">
      <c r="A2" s="3080"/>
      <c r="B2" s="3080"/>
      <c r="C2" s="3081"/>
      <c r="D2" s="3080"/>
      <c r="E2" s="3080"/>
      <c r="F2" s="3080"/>
      <c r="G2" s="3080"/>
      <c r="H2" s="3080"/>
      <c r="I2" s="3080"/>
    </row>
    <row r="3" spans="1:10" ht="14.25">
      <c r="A3" s="3080"/>
      <c r="B3" s="3080"/>
      <c r="C3" s="3081"/>
      <c r="D3" s="3080"/>
      <c r="E3" s="3080"/>
      <c r="F3" s="3080"/>
      <c r="G3" s="3080"/>
      <c r="H3" s="3080"/>
      <c r="I3" s="3080"/>
    </row>
    <row r="4" spans="1:10" ht="14.25">
      <c r="A4" s="3080"/>
      <c r="B4" s="3080"/>
      <c r="C4" s="3081"/>
      <c r="D4" s="3080"/>
      <c r="E4" s="3080"/>
      <c r="F4" s="3080"/>
      <c r="G4" s="3080"/>
      <c r="H4" s="3080"/>
      <c r="I4" s="3080"/>
    </row>
    <row r="5" spans="1:10" ht="14.25">
      <c r="A5" s="3080"/>
      <c r="B5" s="3080"/>
      <c r="C5" s="3081"/>
      <c r="D5" s="3080"/>
      <c r="E5" s="3080"/>
      <c r="F5" s="3080"/>
      <c r="G5" s="3080"/>
      <c r="H5" s="3080"/>
      <c r="I5" s="3080"/>
    </row>
    <row r="6" spans="1:10" ht="23.25">
      <c r="A6" s="11393" t="s">
        <v>0</v>
      </c>
      <c r="B6" s="11394"/>
      <c r="C6" s="11394"/>
      <c r="D6" s="11394"/>
      <c r="E6" s="11394"/>
      <c r="F6" s="11394"/>
      <c r="G6" s="11394"/>
      <c r="H6" s="11394"/>
      <c r="I6" s="11394"/>
    </row>
    <row r="7" spans="1:10" ht="19.5">
      <c r="A7" s="11395" t="s">
        <v>1</v>
      </c>
      <c r="B7" s="11396"/>
      <c r="C7" s="11396"/>
      <c r="D7" s="11396"/>
      <c r="E7" s="11396"/>
      <c r="F7" s="11396"/>
      <c r="G7" s="11396"/>
      <c r="H7" s="11396"/>
      <c r="I7" s="11396"/>
    </row>
    <row r="8" spans="1:10" ht="18.75">
      <c r="A8" s="11397" t="s">
        <v>662</v>
      </c>
      <c r="B8" s="11394"/>
      <c r="C8" s="11394"/>
      <c r="D8" s="11394"/>
      <c r="E8" s="11394"/>
      <c r="F8" s="11394"/>
      <c r="G8" s="11394"/>
      <c r="H8" s="11394"/>
      <c r="I8" s="11394"/>
    </row>
    <row r="9" spans="1:10" ht="14.25">
      <c r="A9" s="3080"/>
      <c r="B9" s="3080"/>
      <c r="C9" s="3081"/>
      <c r="D9" s="3080"/>
      <c r="E9" s="3080"/>
      <c r="F9" s="3080"/>
      <c r="G9" s="3080"/>
      <c r="H9" s="3080"/>
      <c r="I9" s="3080"/>
    </row>
    <row r="10" spans="1:10" ht="20.25">
      <c r="A10" s="11398" t="s">
        <v>7025</v>
      </c>
      <c r="B10" s="11394"/>
      <c r="C10" s="11394"/>
      <c r="D10" s="11394"/>
      <c r="E10" s="11394"/>
      <c r="F10" s="11394"/>
      <c r="G10" s="11394"/>
      <c r="H10" s="11394"/>
      <c r="I10" s="11394"/>
    </row>
    <row r="11" spans="1:10">
      <c r="A11" s="3083"/>
      <c r="B11" s="3083"/>
      <c r="C11" s="3084"/>
      <c r="D11" s="3083"/>
      <c r="E11" s="3083"/>
      <c r="F11" s="3083"/>
      <c r="G11" s="3083"/>
      <c r="H11" s="3083"/>
      <c r="I11" s="3083"/>
    </row>
    <row r="12" spans="1:10" ht="21.75" customHeight="1">
      <c r="A12" s="11399" t="s">
        <v>6854</v>
      </c>
      <c r="B12" s="11391" t="s">
        <v>6855</v>
      </c>
      <c r="C12" s="11400" t="s">
        <v>6856</v>
      </c>
      <c r="D12" s="11391" t="s">
        <v>4</v>
      </c>
      <c r="E12" s="11401" t="s">
        <v>6857</v>
      </c>
      <c r="F12" s="11402"/>
      <c r="G12" s="11403"/>
      <c r="H12" s="11399" t="s">
        <v>6858</v>
      </c>
      <c r="I12" s="11391" t="s">
        <v>6859</v>
      </c>
    </row>
    <row r="13" spans="1:10" ht="40.5" customHeight="1">
      <c r="A13" s="11392"/>
      <c r="B13" s="11392"/>
      <c r="C13" s="11392"/>
      <c r="D13" s="11392"/>
      <c r="E13" s="3085" t="s">
        <v>6860</v>
      </c>
      <c r="F13" s="3086" t="s">
        <v>6861</v>
      </c>
      <c r="G13" s="3086" t="s">
        <v>7026</v>
      </c>
      <c r="H13" s="11392"/>
      <c r="I13" s="11392"/>
    </row>
    <row r="14" spans="1:10" ht="89.25" customHeight="1">
      <c r="A14" s="3087">
        <v>1</v>
      </c>
      <c r="B14" s="3088" t="s">
        <v>7027</v>
      </c>
      <c r="C14" s="3089">
        <v>44980</v>
      </c>
      <c r="D14" s="3090" t="s">
        <v>7028</v>
      </c>
      <c r="E14" s="3091" t="s">
        <v>6865</v>
      </c>
      <c r="F14" s="3091"/>
      <c r="G14" s="3091"/>
      <c r="H14" s="3088" t="s">
        <v>7029</v>
      </c>
      <c r="I14" s="3088" t="s">
        <v>7030</v>
      </c>
      <c r="J14" s="3092"/>
    </row>
    <row r="15" spans="1:10" ht="70.5" customHeight="1">
      <c r="A15" s="3087">
        <v>2</v>
      </c>
      <c r="B15" s="3088" t="s">
        <v>7031</v>
      </c>
      <c r="C15" s="3089">
        <v>44986</v>
      </c>
      <c r="D15" s="3090" t="s">
        <v>7032</v>
      </c>
      <c r="E15" s="3091"/>
      <c r="F15" s="3091" t="s">
        <v>6865</v>
      </c>
      <c r="G15" s="3091"/>
      <c r="H15" s="3088" t="s">
        <v>7033</v>
      </c>
      <c r="I15" s="3093" t="s">
        <v>6891</v>
      </c>
      <c r="J15" s="3094"/>
    </row>
    <row r="16" spans="1:10" ht="71.25" customHeight="1">
      <c r="A16" s="3087">
        <v>3</v>
      </c>
      <c r="B16" s="3088" t="s">
        <v>7034</v>
      </c>
      <c r="C16" s="3089">
        <v>44985</v>
      </c>
      <c r="D16" s="3090" t="s">
        <v>7035</v>
      </c>
      <c r="E16" s="3091" t="s">
        <v>6865</v>
      </c>
      <c r="F16" s="3091"/>
      <c r="G16" s="3091"/>
      <c r="H16" s="3088" t="s">
        <v>7036</v>
      </c>
      <c r="I16" s="3088" t="s">
        <v>7037</v>
      </c>
      <c r="J16" s="3094"/>
    </row>
    <row r="17" spans="1:10" ht="224.25" customHeight="1">
      <c r="A17" s="3087">
        <v>4</v>
      </c>
      <c r="B17" s="3088" t="s">
        <v>7038</v>
      </c>
      <c r="C17" s="3089">
        <v>44988</v>
      </c>
      <c r="D17" s="3095" t="s">
        <v>6883</v>
      </c>
      <c r="E17" s="3091" t="s">
        <v>6865</v>
      </c>
      <c r="F17" s="3091"/>
      <c r="G17" s="3091"/>
      <c r="H17" s="3088" t="s">
        <v>7039</v>
      </c>
      <c r="I17" s="3093" t="s">
        <v>7040</v>
      </c>
      <c r="J17" s="3094"/>
    </row>
    <row r="18" spans="1:10" ht="105" customHeight="1">
      <c r="A18" s="3087">
        <v>5</v>
      </c>
      <c r="B18" s="3096" t="s">
        <v>7041</v>
      </c>
      <c r="C18" s="3097" t="s">
        <v>7042</v>
      </c>
      <c r="D18" s="3095" t="s">
        <v>7043</v>
      </c>
      <c r="E18" s="3098"/>
      <c r="F18" s="3099" t="s">
        <v>6865</v>
      </c>
      <c r="G18" s="3100"/>
      <c r="H18" s="3088" t="s">
        <v>7044</v>
      </c>
      <c r="I18" s="3093" t="s">
        <v>6891</v>
      </c>
      <c r="J18" s="3094"/>
    </row>
    <row r="19" spans="1:10" ht="60" customHeight="1">
      <c r="A19" s="3087">
        <v>6</v>
      </c>
      <c r="B19" s="3096" t="s">
        <v>7045</v>
      </c>
      <c r="C19" s="3097">
        <v>44999</v>
      </c>
      <c r="D19" s="3095" t="s">
        <v>6870</v>
      </c>
      <c r="E19" s="3098" t="s">
        <v>6865</v>
      </c>
      <c r="F19" s="3101"/>
      <c r="G19" s="3102"/>
      <c r="H19" s="3103" t="s">
        <v>7046</v>
      </c>
      <c r="I19" s="3093" t="s">
        <v>6891</v>
      </c>
      <c r="J19" s="3094"/>
    </row>
    <row r="20" spans="1:10" ht="112.5" customHeight="1">
      <c r="A20" s="3087">
        <v>7</v>
      </c>
      <c r="B20" s="3104" t="s">
        <v>7047</v>
      </c>
      <c r="C20" s="3105">
        <v>45002</v>
      </c>
      <c r="D20" s="3106" t="s">
        <v>7048</v>
      </c>
      <c r="E20" s="3107" t="s">
        <v>6865</v>
      </c>
      <c r="F20" s="3107"/>
      <c r="G20" s="3108"/>
      <c r="H20" s="3104" t="s">
        <v>7049</v>
      </c>
      <c r="I20" s="3093" t="s">
        <v>7050</v>
      </c>
      <c r="J20" s="3094"/>
    </row>
    <row r="21" spans="1:10" ht="106.5" customHeight="1">
      <c r="A21" s="3087">
        <v>8</v>
      </c>
      <c r="B21" s="3093" t="s">
        <v>7051</v>
      </c>
      <c r="C21" s="3109">
        <v>45005</v>
      </c>
      <c r="D21" s="3106" t="s">
        <v>7052</v>
      </c>
      <c r="E21" s="3107"/>
      <c r="F21" s="3102"/>
      <c r="G21" s="3102" t="s">
        <v>6865</v>
      </c>
      <c r="H21" s="3093" t="s">
        <v>7053</v>
      </c>
      <c r="I21" s="3110" t="s">
        <v>6891</v>
      </c>
      <c r="J21" s="3094"/>
    </row>
    <row r="22" spans="1:10" ht="71.25" customHeight="1">
      <c r="A22" s="3087">
        <v>9</v>
      </c>
      <c r="B22" s="3110" t="s">
        <v>7054</v>
      </c>
      <c r="C22" s="3111">
        <v>45009</v>
      </c>
      <c r="D22" s="3112" t="s">
        <v>6906</v>
      </c>
      <c r="E22" s="3113"/>
      <c r="F22" s="3113" t="s">
        <v>6865</v>
      </c>
      <c r="G22" s="3113"/>
      <c r="H22" s="3110" t="s">
        <v>7055</v>
      </c>
      <c r="I22" s="3110" t="s">
        <v>6891</v>
      </c>
      <c r="J22" s="3094"/>
    </row>
    <row r="23" spans="1:10" ht="123.75" customHeight="1">
      <c r="A23" s="3087">
        <v>10</v>
      </c>
      <c r="B23" s="3093" t="s">
        <v>7056</v>
      </c>
      <c r="C23" s="3111" t="s">
        <v>7057</v>
      </c>
      <c r="D23" s="3114" t="s">
        <v>7052</v>
      </c>
      <c r="E23" s="3102" t="s">
        <v>6865</v>
      </c>
      <c r="F23" s="3102"/>
      <c r="G23" s="3102"/>
      <c r="H23" s="3093" t="s">
        <v>7058</v>
      </c>
      <c r="I23" s="3093" t="s">
        <v>7059</v>
      </c>
      <c r="J23" s="3094"/>
    </row>
    <row r="24" spans="1:10" ht="54" customHeight="1">
      <c r="A24" s="3087">
        <v>11</v>
      </c>
      <c r="B24" s="3093" t="s">
        <v>7060</v>
      </c>
      <c r="C24" s="3109">
        <v>45010</v>
      </c>
      <c r="D24" s="3114" t="s">
        <v>7052</v>
      </c>
      <c r="E24" s="3102"/>
      <c r="F24" s="3102" t="s">
        <v>6865</v>
      </c>
      <c r="G24" s="3102"/>
      <c r="H24" s="3093" t="s">
        <v>7061</v>
      </c>
      <c r="I24" s="3093" t="s">
        <v>6891</v>
      </c>
      <c r="J24" s="3094"/>
    </row>
    <row r="25" spans="1:10" ht="57" customHeight="1">
      <c r="A25" s="3087">
        <v>12</v>
      </c>
      <c r="B25" s="3093" t="s">
        <v>7062</v>
      </c>
      <c r="C25" s="3109">
        <v>45013</v>
      </c>
      <c r="D25" s="3114" t="s">
        <v>7063</v>
      </c>
      <c r="E25" s="3102"/>
      <c r="F25" s="3102" t="s">
        <v>6865</v>
      </c>
      <c r="G25" s="3102"/>
      <c r="H25" s="3093" t="s">
        <v>7064</v>
      </c>
      <c r="I25" s="3093" t="s">
        <v>6891</v>
      </c>
      <c r="J25" s="3094"/>
    </row>
    <row r="26" spans="1:10" ht="93.75" customHeight="1">
      <c r="A26" s="3087">
        <v>13</v>
      </c>
      <c r="B26" s="3088" t="s">
        <v>7065</v>
      </c>
      <c r="C26" s="3111">
        <v>45015</v>
      </c>
      <c r="D26" s="3112" t="s">
        <v>7066</v>
      </c>
      <c r="E26" s="3113" t="s">
        <v>6865</v>
      </c>
      <c r="F26" s="3113"/>
      <c r="G26" s="3113"/>
      <c r="H26" s="3110" t="s">
        <v>7067</v>
      </c>
      <c r="I26" s="3093" t="s">
        <v>7068</v>
      </c>
      <c r="J26" s="3115"/>
    </row>
    <row r="27" spans="1:10" ht="85.5" customHeight="1">
      <c r="A27" s="3087">
        <v>14</v>
      </c>
      <c r="B27" s="3088" t="s">
        <v>7069</v>
      </c>
      <c r="C27" s="3111">
        <v>45016</v>
      </c>
      <c r="D27" s="3090" t="s">
        <v>7028</v>
      </c>
      <c r="E27" s="3091" t="s">
        <v>6865</v>
      </c>
      <c r="F27" s="3091"/>
      <c r="G27" s="3091"/>
      <c r="H27" s="3088" t="s">
        <v>7070</v>
      </c>
      <c r="I27" s="3088" t="s">
        <v>7030</v>
      </c>
      <c r="J27" s="3094"/>
    </row>
    <row r="28" spans="1:10" ht="87.75" customHeight="1">
      <c r="A28" s="3087">
        <v>15</v>
      </c>
      <c r="B28" s="3088" t="s">
        <v>7071</v>
      </c>
      <c r="C28" s="3111">
        <v>45025</v>
      </c>
      <c r="D28" s="3090" t="s">
        <v>7072</v>
      </c>
      <c r="E28" s="3091"/>
      <c r="F28" s="3091" t="s">
        <v>6865</v>
      </c>
      <c r="G28" s="3091" t="s">
        <v>6865</v>
      </c>
      <c r="H28" s="3088" t="s">
        <v>7073</v>
      </c>
      <c r="I28" s="3093" t="s">
        <v>7074</v>
      </c>
      <c r="J28" s="3094"/>
    </row>
    <row r="29" spans="1:10" ht="58.5" customHeight="1">
      <c r="A29" s="3087">
        <v>16</v>
      </c>
      <c r="B29" s="3088" t="s">
        <v>7075</v>
      </c>
      <c r="C29" s="3111">
        <v>45026</v>
      </c>
      <c r="D29" s="3116" t="s">
        <v>7076</v>
      </c>
      <c r="E29" s="3091" t="s">
        <v>6865</v>
      </c>
      <c r="F29" s="3091"/>
      <c r="G29" s="3117"/>
      <c r="H29" s="3118" t="s">
        <v>7077</v>
      </c>
      <c r="I29" s="3088" t="s">
        <v>6891</v>
      </c>
      <c r="J29" s="3094"/>
    </row>
    <row r="30" spans="1:10" ht="106.5" customHeight="1">
      <c r="A30" s="3087">
        <v>17</v>
      </c>
      <c r="B30" s="3088" t="s">
        <v>7078</v>
      </c>
      <c r="C30" s="3111">
        <v>45027</v>
      </c>
      <c r="D30" s="3116" t="s">
        <v>6918</v>
      </c>
      <c r="E30" s="3091" t="s">
        <v>6865</v>
      </c>
      <c r="F30" s="3091"/>
      <c r="G30" s="3117"/>
      <c r="H30" s="3118" t="s">
        <v>7079</v>
      </c>
      <c r="I30" s="3119" t="s">
        <v>7080</v>
      </c>
      <c r="J30" s="3094"/>
    </row>
    <row r="31" spans="1:10" ht="134.44999999999999" customHeight="1">
      <c r="A31" s="3087">
        <v>18</v>
      </c>
      <c r="B31" s="3088" t="s">
        <v>7081</v>
      </c>
      <c r="C31" s="3111" t="s">
        <v>7082</v>
      </c>
      <c r="D31" s="3090" t="s">
        <v>7072</v>
      </c>
      <c r="E31" s="3091" t="s">
        <v>6865</v>
      </c>
      <c r="F31" s="3091"/>
      <c r="G31" s="3117"/>
      <c r="H31" s="3118" t="s">
        <v>7083</v>
      </c>
      <c r="I31" s="3120" t="s">
        <v>7074</v>
      </c>
      <c r="J31" s="3094"/>
    </row>
    <row r="32" spans="1:10" ht="94.5" customHeight="1">
      <c r="A32" s="3087">
        <v>19</v>
      </c>
      <c r="B32" s="3088" t="s">
        <v>7084</v>
      </c>
      <c r="C32" s="3111" t="s">
        <v>7085</v>
      </c>
      <c r="D32" s="3116" t="s">
        <v>6902</v>
      </c>
      <c r="E32" s="3091" t="s">
        <v>6865</v>
      </c>
      <c r="F32" s="3091"/>
      <c r="G32" s="3117"/>
      <c r="H32" s="3121" t="s">
        <v>7086</v>
      </c>
      <c r="I32" s="3093" t="s">
        <v>7074</v>
      </c>
      <c r="J32" s="3094"/>
    </row>
    <row r="33" spans="1:10" ht="205.5" customHeight="1">
      <c r="A33" s="3087">
        <v>20</v>
      </c>
      <c r="B33" s="3118" t="s">
        <v>7087</v>
      </c>
      <c r="C33" s="3109" t="s">
        <v>7088</v>
      </c>
      <c r="D33" s="3114" t="s">
        <v>7089</v>
      </c>
      <c r="E33" s="3122" t="s">
        <v>6865</v>
      </c>
      <c r="F33" s="3091"/>
      <c r="G33" s="3117"/>
      <c r="H33" s="3093" t="s">
        <v>7090</v>
      </c>
      <c r="I33" s="3093" t="s">
        <v>6891</v>
      </c>
      <c r="J33" s="3094"/>
    </row>
    <row r="34" spans="1:10" ht="170.25" customHeight="1">
      <c r="A34" s="3087">
        <v>21</v>
      </c>
      <c r="B34" s="3118" t="s">
        <v>7091</v>
      </c>
      <c r="C34" s="3109">
        <v>45044</v>
      </c>
      <c r="D34" s="3114" t="s">
        <v>6902</v>
      </c>
      <c r="E34" s="3122"/>
      <c r="F34" s="3091" t="s">
        <v>6865</v>
      </c>
      <c r="G34" s="3117"/>
      <c r="H34" s="3123" t="s">
        <v>7092</v>
      </c>
      <c r="I34" s="3120" t="s">
        <v>7093</v>
      </c>
      <c r="J34" s="3094"/>
    </row>
    <row r="35" spans="1:10" ht="72.75" customHeight="1">
      <c r="A35" s="3087">
        <v>22</v>
      </c>
      <c r="B35" s="3088" t="s">
        <v>7094</v>
      </c>
      <c r="C35" s="3111" t="s">
        <v>7095</v>
      </c>
      <c r="D35" s="3124" t="s">
        <v>7096</v>
      </c>
      <c r="E35" s="3091" t="s">
        <v>6865</v>
      </c>
      <c r="F35" s="3091"/>
      <c r="G35" s="3117" t="s">
        <v>6865</v>
      </c>
      <c r="H35" s="3121" t="s">
        <v>7097</v>
      </c>
      <c r="I35" s="3093" t="s">
        <v>6891</v>
      </c>
      <c r="J35" s="3094"/>
    </row>
    <row r="36" spans="1:10" ht="237.75" customHeight="1">
      <c r="A36" s="3087">
        <v>23</v>
      </c>
      <c r="B36" s="3088" t="s">
        <v>7098</v>
      </c>
      <c r="C36" s="3111" t="s">
        <v>7095</v>
      </c>
      <c r="D36" s="3116" t="s">
        <v>6906</v>
      </c>
      <c r="E36" s="3091" t="s">
        <v>6865</v>
      </c>
      <c r="F36" s="3091"/>
      <c r="G36" s="3117"/>
      <c r="H36" s="3118" t="s">
        <v>7099</v>
      </c>
      <c r="I36" s="3093" t="s">
        <v>7100</v>
      </c>
      <c r="J36" s="3115"/>
    </row>
    <row r="37" spans="1:10" ht="71.25" customHeight="1">
      <c r="A37" s="3087">
        <v>24</v>
      </c>
      <c r="B37" s="3088" t="s">
        <v>7101</v>
      </c>
      <c r="C37" s="3111">
        <v>45050</v>
      </c>
      <c r="D37" s="3116" t="s">
        <v>7102</v>
      </c>
      <c r="E37" s="3091"/>
      <c r="F37" s="3091" t="s">
        <v>6865</v>
      </c>
      <c r="G37" s="3117"/>
      <c r="H37" s="3118" t="s">
        <v>7103</v>
      </c>
      <c r="I37" s="3119" t="s">
        <v>6891</v>
      </c>
      <c r="J37" s="3094"/>
    </row>
    <row r="38" spans="1:10" ht="53.25" customHeight="1">
      <c r="A38" s="3087">
        <v>25</v>
      </c>
      <c r="B38" s="3088" t="s">
        <v>7104</v>
      </c>
      <c r="C38" s="3111">
        <v>45051</v>
      </c>
      <c r="D38" s="3116" t="s">
        <v>7105</v>
      </c>
      <c r="E38" s="3091" t="s">
        <v>6865</v>
      </c>
      <c r="F38" s="3091" t="s">
        <v>6865</v>
      </c>
      <c r="G38" s="3117"/>
      <c r="H38" s="3118" t="s">
        <v>7106</v>
      </c>
      <c r="I38" s="3119" t="s">
        <v>6891</v>
      </c>
      <c r="J38" s="3094"/>
    </row>
    <row r="39" spans="1:10" ht="106.5" customHeight="1">
      <c r="A39" s="3087">
        <v>26</v>
      </c>
      <c r="B39" s="3088" t="s">
        <v>7107</v>
      </c>
      <c r="C39" s="3111">
        <v>45051</v>
      </c>
      <c r="D39" s="3116" t="s">
        <v>6906</v>
      </c>
      <c r="E39" s="3091" t="s">
        <v>6865</v>
      </c>
      <c r="F39" s="3091"/>
      <c r="G39" s="3117"/>
      <c r="H39" s="3118" t="s">
        <v>7108</v>
      </c>
      <c r="I39" s="3119" t="s">
        <v>6891</v>
      </c>
      <c r="J39" s="3094"/>
    </row>
    <row r="40" spans="1:10" ht="64.349999999999994" customHeight="1">
      <c r="A40" s="3087">
        <v>27</v>
      </c>
      <c r="B40" s="3088" t="s">
        <v>7109</v>
      </c>
      <c r="C40" s="3111">
        <v>45051</v>
      </c>
      <c r="D40" s="3116" t="s">
        <v>6906</v>
      </c>
      <c r="E40" s="3091"/>
      <c r="F40" s="3091"/>
      <c r="G40" s="3117" t="s">
        <v>6865</v>
      </c>
      <c r="H40" s="3118" t="s">
        <v>7110</v>
      </c>
      <c r="I40" s="3119" t="s">
        <v>6891</v>
      </c>
      <c r="J40" s="3094"/>
    </row>
    <row r="41" spans="1:10" ht="202.5" customHeight="1">
      <c r="A41" s="3087">
        <v>28</v>
      </c>
      <c r="B41" s="3088" t="s">
        <v>7111</v>
      </c>
      <c r="C41" s="3111" t="s">
        <v>7112</v>
      </c>
      <c r="D41" s="3116" t="s">
        <v>7113</v>
      </c>
      <c r="E41" s="3091" t="s">
        <v>6865</v>
      </c>
      <c r="F41" s="3091"/>
      <c r="G41" s="3117"/>
      <c r="H41" s="3118" t="s">
        <v>7114</v>
      </c>
      <c r="I41" s="3119" t="s">
        <v>6891</v>
      </c>
      <c r="J41" s="3094"/>
    </row>
    <row r="42" spans="1:10" ht="168.75" customHeight="1">
      <c r="A42" s="3087">
        <v>29</v>
      </c>
      <c r="B42" s="3088" t="s">
        <v>7115</v>
      </c>
      <c r="C42" s="3111" t="s">
        <v>7116</v>
      </c>
      <c r="D42" s="3116" t="s">
        <v>7113</v>
      </c>
      <c r="E42" s="3091" t="s">
        <v>6865</v>
      </c>
      <c r="F42" s="3091"/>
      <c r="G42" s="3117"/>
      <c r="H42" s="3104" t="s">
        <v>7117</v>
      </c>
      <c r="I42" s="3119" t="s">
        <v>6891</v>
      </c>
      <c r="J42" s="3115"/>
    </row>
    <row r="43" spans="1:10" ht="89.25" customHeight="1">
      <c r="A43" s="3087">
        <v>30</v>
      </c>
      <c r="B43" s="3088" t="s">
        <v>7118</v>
      </c>
      <c r="C43" s="3111">
        <v>45051</v>
      </c>
      <c r="D43" s="3116" t="s">
        <v>6902</v>
      </c>
      <c r="E43" s="3091"/>
      <c r="F43" s="3091" t="s">
        <v>6865</v>
      </c>
      <c r="G43" s="3117"/>
      <c r="H43" s="3118" t="s">
        <v>7119</v>
      </c>
      <c r="I43" s="3119" t="s">
        <v>7093</v>
      </c>
      <c r="J43" s="3094"/>
    </row>
    <row r="44" spans="1:10" ht="49.35" customHeight="1">
      <c r="A44" s="3087">
        <v>31</v>
      </c>
      <c r="B44" s="3088" t="s">
        <v>7120</v>
      </c>
      <c r="C44" s="3111">
        <v>45051</v>
      </c>
      <c r="D44" s="3116" t="s">
        <v>6902</v>
      </c>
      <c r="E44" s="3091" t="s">
        <v>6865</v>
      </c>
      <c r="F44" s="3091"/>
      <c r="G44" s="3117"/>
      <c r="H44" s="3118" t="s">
        <v>7121</v>
      </c>
      <c r="I44" s="3119" t="s">
        <v>7074</v>
      </c>
      <c r="J44" s="3094"/>
    </row>
    <row r="45" spans="1:10" ht="119.25" customHeight="1">
      <c r="A45" s="3087">
        <v>32</v>
      </c>
      <c r="B45" s="3088" t="s">
        <v>7122</v>
      </c>
      <c r="C45" s="3111">
        <v>45051</v>
      </c>
      <c r="D45" s="3116" t="s">
        <v>7052</v>
      </c>
      <c r="E45" s="3091"/>
      <c r="F45" s="3091" t="s">
        <v>6865</v>
      </c>
      <c r="G45" s="3117" t="s">
        <v>6865</v>
      </c>
      <c r="H45" s="3118" t="s">
        <v>7123</v>
      </c>
      <c r="I45" s="3119" t="s">
        <v>6891</v>
      </c>
      <c r="J45" s="3094"/>
    </row>
    <row r="46" spans="1:10" ht="48" customHeight="1">
      <c r="A46" s="3087">
        <v>33</v>
      </c>
      <c r="B46" s="3088" t="s">
        <v>7124</v>
      </c>
      <c r="C46" s="3111">
        <v>45051</v>
      </c>
      <c r="D46" s="3116" t="s">
        <v>7048</v>
      </c>
      <c r="E46" s="3091"/>
      <c r="F46" s="3091"/>
      <c r="G46" s="3117" t="s">
        <v>6865</v>
      </c>
      <c r="H46" s="3118" t="s">
        <v>7125</v>
      </c>
      <c r="I46" s="3119" t="s">
        <v>6891</v>
      </c>
      <c r="J46" s="3094"/>
    </row>
    <row r="47" spans="1:10" ht="58.5" customHeight="1">
      <c r="A47" s="3087">
        <v>34</v>
      </c>
      <c r="B47" s="3088" t="s">
        <v>7126</v>
      </c>
      <c r="C47" s="3111">
        <v>45054</v>
      </c>
      <c r="D47" s="3116" t="s">
        <v>6870</v>
      </c>
      <c r="E47" s="3091"/>
      <c r="F47" s="3091" t="s">
        <v>6865</v>
      </c>
      <c r="G47" s="3117"/>
      <c r="H47" s="3118" t="s">
        <v>7127</v>
      </c>
      <c r="I47" s="3119" t="s">
        <v>6891</v>
      </c>
      <c r="J47" s="3094"/>
    </row>
    <row r="48" spans="1:10" ht="72.75" customHeight="1">
      <c r="A48" s="3087">
        <v>35</v>
      </c>
      <c r="B48" s="3088" t="s">
        <v>7128</v>
      </c>
      <c r="C48" s="3111">
        <v>45054</v>
      </c>
      <c r="D48" s="3116" t="s">
        <v>6870</v>
      </c>
      <c r="E48" s="3091"/>
      <c r="F48" s="3091" t="s">
        <v>6865</v>
      </c>
      <c r="G48" s="3117"/>
      <c r="H48" s="3118" t="s">
        <v>7129</v>
      </c>
      <c r="I48" s="3119" t="s">
        <v>6891</v>
      </c>
      <c r="J48" s="3094"/>
    </row>
    <row r="49" spans="1:10" ht="120" customHeight="1">
      <c r="A49" s="3087">
        <v>36</v>
      </c>
      <c r="B49" s="3088" t="s">
        <v>7130</v>
      </c>
      <c r="C49" s="3111">
        <v>45055</v>
      </c>
      <c r="D49" s="3116" t="s">
        <v>7113</v>
      </c>
      <c r="E49" s="3091" t="s">
        <v>6865</v>
      </c>
      <c r="F49" s="3091"/>
      <c r="G49" s="3117"/>
      <c r="H49" s="3118" t="s">
        <v>7131</v>
      </c>
      <c r="I49" s="3119" t="s">
        <v>6891</v>
      </c>
      <c r="J49" s="3094"/>
    </row>
    <row r="50" spans="1:10" ht="66" customHeight="1">
      <c r="A50" s="3087">
        <v>37</v>
      </c>
      <c r="B50" s="3088" t="s">
        <v>7132</v>
      </c>
      <c r="C50" s="3111">
        <v>45055</v>
      </c>
      <c r="D50" s="3116" t="s">
        <v>7096</v>
      </c>
      <c r="E50" s="3091"/>
      <c r="F50" s="3091" t="s">
        <v>6865</v>
      </c>
      <c r="G50" s="3117"/>
      <c r="H50" s="3118" t="s">
        <v>7133</v>
      </c>
      <c r="I50" s="3119" t="s">
        <v>6891</v>
      </c>
      <c r="J50" s="3094"/>
    </row>
    <row r="51" spans="1:10" ht="62.25" customHeight="1">
      <c r="A51" s="3087">
        <v>38</v>
      </c>
      <c r="B51" s="3088" t="s">
        <v>7134</v>
      </c>
      <c r="C51" s="3111">
        <v>45056</v>
      </c>
      <c r="D51" s="3116" t="s">
        <v>6918</v>
      </c>
      <c r="E51" s="3091" t="s">
        <v>6865</v>
      </c>
      <c r="F51" s="3091"/>
      <c r="G51" s="3117"/>
      <c r="H51" s="3118" t="s">
        <v>7135</v>
      </c>
      <c r="I51" s="3119" t="s">
        <v>7136</v>
      </c>
      <c r="J51" s="3094"/>
    </row>
    <row r="52" spans="1:10" ht="108" customHeight="1">
      <c r="A52" s="3087">
        <v>39</v>
      </c>
      <c r="B52" s="3088" t="s">
        <v>7137</v>
      </c>
      <c r="C52" s="3111">
        <v>45057</v>
      </c>
      <c r="D52" s="3116" t="s">
        <v>7105</v>
      </c>
      <c r="E52" s="3091"/>
      <c r="F52" s="3091" t="s">
        <v>6865</v>
      </c>
      <c r="G52" s="3117"/>
      <c r="H52" s="3118" t="s">
        <v>7138</v>
      </c>
      <c r="I52" s="3119" t="s">
        <v>6891</v>
      </c>
      <c r="J52" s="3094"/>
    </row>
    <row r="53" spans="1:10" ht="90.6" customHeight="1">
      <c r="A53" s="3087">
        <v>40</v>
      </c>
      <c r="B53" s="3088" t="s">
        <v>7139</v>
      </c>
      <c r="C53" s="3111">
        <v>45061</v>
      </c>
      <c r="D53" s="3116" t="s">
        <v>6912</v>
      </c>
      <c r="E53" s="3091"/>
      <c r="F53" s="3091" t="s">
        <v>6865</v>
      </c>
      <c r="G53" s="3117"/>
      <c r="H53" s="3118" t="s">
        <v>7140</v>
      </c>
      <c r="I53" s="3096" t="s">
        <v>6891</v>
      </c>
      <c r="J53" s="3094"/>
    </row>
    <row r="54" spans="1:10" ht="45.75" customHeight="1">
      <c r="A54" s="3087">
        <v>41</v>
      </c>
      <c r="B54" s="3088" t="s">
        <v>7141</v>
      </c>
      <c r="C54" s="3111">
        <v>45063</v>
      </c>
      <c r="D54" s="3116" t="s">
        <v>7142</v>
      </c>
      <c r="E54" s="3091" t="s">
        <v>6865</v>
      </c>
      <c r="F54" s="3091"/>
      <c r="G54" s="3117"/>
      <c r="H54" s="3118" t="s">
        <v>7143</v>
      </c>
      <c r="I54" s="3119" t="s">
        <v>6891</v>
      </c>
      <c r="J54" s="3094"/>
    </row>
    <row r="55" spans="1:10" ht="56.25" customHeight="1">
      <c r="A55" s="3087">
        <v>42</v>
      </c>
      <c r="B55" s="3096" t="s">
        <v>7144</v>
      </c>
      <c r="C55" s="3109">
        <v>45062</v>
      </c>
      <c r="D55" s="3095" t="s">
        <v>6864</v>
      </c>
      <c r="E55" s="3098" t="s">
        <v>6865</v>
      </c>
      <c r="F55" s="3098"/>
      <c r="G55" s="3125"/>
      <c r="H55" s="3126" t="s">
        <v>7145</v>
      </c>
      <c r="I55" s="3093" t="s">
        <v>7146</v>
      </c>
      <c r="J55" s="3094"/>
    </row>
    <row r="56" spans="1:10" ht="87" customHeight="1">
      <c r="A56" s="3087">
        <v>43</v>
      </c>
      <c r="B56" s="3127" t="s">
        <v>7147</v>
      </c>
      <c r="C56" s="3128">
        <v>45063</v>
      </c>
      <c r="D56" s="3129" t="s">
        <v>7148</v>
      </c>
      <c r="E56" s="3130" t="s">
        <v>6865</v>
      </c>
      <c r="F56" s="3130"/>
      <c r="G56" s="3130"/>
      <c r="H56" s="3127" t="s">
        <v>7149</v>
      </c>
      <c r="I56" s="3119" t="s">
        <v>6891</v>
      </c>
      <c r="J56" s="3094"/>
    </row>
    <row r="57" spans="1:10" ht="135" customHeight="1">
      <c r="A57" s="3087">
        <v>44</v>
      </c>
      <c r="B57" s="3093" t="s">
        <v>7150</v>
      </c>
      <c r="C57" s="3109">
        <v>45064</v>
      </c>
      <c r="D57" s="3114" t="s">
        <v>6906</v>
      </c>
      <c r="E57" s="3102" t="s">
        <v>6865</v>
      </c>
      <c r="F57" s="3102" t="s">
        <v>6865</v>
      </c>
      <c r="G57" s="3102"/>
      <c r="H57" s="3093" t="s">
        <v>7151</v>
      </c>
      <c r="I57" s="3119" t="s">
        <v>7152</v>
      </c>
      <c r="J57" s="3094"/>
    </row>
    <row r="58" spans="1:10" ht="75" customHeight="1">
      <c r="A58" s="3087">
        <v>45</v>
      </c>
      <c r="B58" s="3093" t="s">
        <v>7153</v>
      </c>
      <c r="C58" s="3109">
        <v>45064</v>
      </c>
      <c r="D58" s="3114" t="s">
        <v>6902</v>
      </c>
      <c r="E58" s="3102" t="s">
        <v>6865</v>
      </c>
      <c r="F58" s="3102"/>
      <c r="G58" s="3102"/>
      <c r="H58" s="3093" t="s">
        <v>7154</v>
      </c>
      <c r="I58" s="3093" t="s">
        <v>7074</v>
      </c>
      <c r="J58" s="3094"/>
    </row>
    <row r="59" spans="1:10" ht="56.45" customHeight="1">
      <c r="A59" s="3087">
        <v>46</v>
      </c>
      <c r="B59" s="3093" t="s">
        <v>7155</v>
      </c>
      <c r="C59" s="3109">
        <v>45065</v>
      </c>
      <c r="D59" s="3114" t="s">
        <v>6883</v>
      </c>
      <c r="E59" s="3102" t="s">
        <v>6865</v>
      </c>
      <c r="F59" s="3102"/>
      <c r="G59" s="3102"/>
      <c r="H59" s="3093" t="s">
        <v>7156</v>
      </c>
      <c r="I59" s="3093" t="s">
        <v>7157</v>
      </c>
      <c r="J59" s="3094"/>
    </row>
    <row r="60" spans="1:10" ht="52.5" customHeight="1">
      <c r="A60" s="3087">
        <v>47</v>
      </c>
      <c r="B60" s="3093" t="s">
        <v>7158</v>
      </c>
      <c r="C60" s="3109">
        <v>45068</v>
      </c>
      <c r="D60" s="3114" t="s">
        <v>6883</v>
      </c>
      <c r="E60" s="3102" t="s">
        <v>6865</v>
      </c>
      <c r="F60" s="3102"/>
      <c r="G60" s="3102"/>
      <c r="H60" s="3093" t="s">
        <v>7159</v>
      </c>
      <c r="I60" s="3093" t="s">
        <v>6891</v>
      </c>
      <c r="J60" s="3094"/>
    </row>
    <row r="61" spans="1:10" ht="154.5" customHeight="1">
      <c r="A61" s="3087">
        <v>48</v>
      </c>
      <c r="B61" s="3110" t="s">
        <v>7160</v>
      </c>
      <c r="C61" s="3111">
        <v>45071</v>
      </c>
      <c r="D61" s="3112" t="s">
        <v>6902</v>
      </c>
      <c r="E61" s="3113" t="s">
        <v>6865</v>
      </c>
      <c r="F61" s="3113"/>
      <c r="G61" s="3113"/>
      <c r="H61" s="3104" t="s">
        <v>7161</v>
      </c>
      <c r="I61" s="3110" t="s">
        <v>7162</v>
      </c>
      <c r="J61" s="3131"/>
    </row>
    <row r="62" spans="1:10" ht="92.25" customHeight="1">
      <c r="A62" s="3087">
        <v>49</v>
      </c>
      <c r="B62" s="3093" t="s">
        <v>7163</v>
      </c>
      <c r="C62" s="3109">
        <v>45070</v>
      </c>
      <c r="D62" s="3114" t="s">
        <v>6864</v>
      </c>
      <c r="E62" s="3102" t="s">
        <v>6865</v>
      </c>
      <c r="F62" s="3102"/>
      <c r="G62" s="3102"/>
      <c r="H62" s="3093" t="s">
        <v>7164</v>
      </c>
      <c r="I62" s="3093" t="s">
        <v>7165</v>
      </c>
      <c r="J62" s="3131"/>
    </row>
    <row r="63" spans="1:10" ht="106.5" customHeight="1">
      <c r="A63" s="3087">
        <v>50</v>
      </c>
      <c r="B63" s="3093" t="s">
        <v>7166</v>
      </c>
      <c r="C63" s="3109">
        <v>45070</v>
      </c>
      <c r="D63" s="3114" t="s">
        <v>7105</v>
      </c>
      <c r="E63" s="3102"/>
      <c r="F63" s="3102" t="s">
        <v>6865</v>
      </c>
      <c r="G63" s="3102"/>
      <c r="H63" s="3093" t="s">
        <v>7167</v>
      </c>
      <c r="I63" s="3093" t="s">
        <v>6891</v>
      </c>
      <c r="J63" s="3094"/>
    </row>
    <row r="64" spans="1:10" ht="60" customHeight="1">
      <c r="A64" s="3087">
        <v>51</v>
      </c>
      <c r="B64" s="3093" t="s">
        <v>7168</v>
      </c>
      <c r="C64" s="3109">
        <v>45071</v>
      </c>
      <c r="D64" s="3114" t="s">
        <v>7072</v>
      </c>
      <c r="E64" s="3102" t="s">
        <v>6865</v>
      </c>
      <c r="F64" s="3102"/>
      <c r="G64" s="3102"/>
      <c r="H64" s="3093" t="s">
        <v>7169</v>
      </c>
      <c r="I64" s="3093" t="s">
        <v>6891</v>
      </c>
      <c r="J64" s="3132"/>
    </row>
    <row r="65" spans="1:10" ht="110.25" customHeight="1">
      <c r="A65" s="3087">
        <v>52</v>
      </c>
      <c r="B65" s="3088" t="s">
        <v>7170</v>
      </c>
      <c r="C65" s="3111">
        <v>45075</v>
      </c>
      <c r="D65" s="3116" t="s">
        <v>7171</v>
      </c>
      <c r="E65" s="3091" t="s">
        <v>6865</v>
      </c>
      <c r="F65" s="3091"/>
      <c r="G65" s="3117"/>
      <c r="H65" s="3118" t="s">
        <v>7172</v>
      </c>
      <c r="I65" s="3119" t="s">
        <v>6891</v>
      </c>
      <c r="J65" s="3092"/>
    </row>
    <row r="66" spans="1:10" ht="105" customHeight="1">
      <c r="A66" s="3087">
        <v>53</v>
      </c>
      <c r="B66" s="3110" t="s">
        <v>7173</v>
      </c>
      <c r="C66" s="3111">
        <v>45054</v>
      </c>
      <c r="D66" s="3116" t="s">
        <v>7142</v>
      </c>
      <c r="E66" s="3113" t="s">
        <v>6865</v>
      </c>
      <c r="F66" s="3113"/>
      <c r="G66" s="3113"/>
      <c r="H66" s="3121" t="s">
        <v>7172</v>
      </c>
      <c r="I66" s="3133" t="s">
        <v>7174</v>
      </c>
      <c r="J66" s="3094"/>
    </row>
    <row r="67" spans="1:10" ht="74.25" customHeight="1">
      <c r="A67" s="3087">
        <v>54</v>
      </c>
      <c r="B67" s="3093" t="s">
        <v>7175</v>
      </c>
      <c r="C67" s="3109">
        <v>45076</v>
      </c>
      <c r="D67" s="3114" t="s">
        <v>7052</v>
      </c>
      <c r="E67" s="3102" t="s">
        <v>6865</v>
      </c>
      <c r="F67" s="3102"/>
      <c r="G67" s="3102"/>
      <c r="H67" s="3093" t="s">
        <v>7176</v>
      </c>
      <c r="I67" s="3119" t="s">
        <v>7177</v>
      </c>
      <c r="J67" s="3094"/>
    </row>
    <row r="68" spans="1:10" ht="56.25" customHeight="1">
      <c r="A68" s="3087">
        <v>55</v>
      </c>
      <c r="B68" s="3093" t="s">
        <v>7178</v>
      </c>
      <c r="C68" s="3109">
        <v>45078</v>
      </c>
      <c r="D68" s="3114" t="s">
        <v>6864</v>
      </c>
      <c r="E68" s="3102" t="s">
        <v>6865</v>
      </c>
      <c r="F68" s="3102"/>
      <c r="G68" s="3102"/>
      <c r="H68" s="3093" t="s">
        <v>7179</v>
      </c>
      <c r="I68" s="3093" t="s">
        <v>6891</v>
      </c>
      <c r="J68" s="3094"/>
    </row>
    <row r="69" spans="1:10" ht="48.6" customHeight="1">
      <c r="A69" s="3087">
        <v>56</v>
      </c>
      <c r="B69" s="3093" t="s">
        <v>7180</v>
      </c>
      <c r="C69" s="3109">
        <v>45077</v>
      </c>
      <c r="D69" s="3114" t="s">
        <v>7048</v>
      </c>
      <c r="E69" s="3102" t="s">
        <v>6865</v>
      </c>
      <c r="F69" s="3102"/>
      <c r="G69" s="3102"/>
      <c r="H69" s="3093" t="s">
        <v>7181</v>
      </c>
      <c r="I69" s="3093" t="s">
        <v>7182</v>
      </c>
      <c r="J69" s="3094"/>
    </row>
    <row r="70" spans="1:10" ht="54" customHeight="1">
      <c r="A70" s="3087">
        <v>57</v>
      </c>
      <c r="B70" s="3093" t="s">
        <v>7183</v>
      </c>
      <c r="C70" s="3109">
        <v>45079</v>
      </c>
      <c r="D70" s="3114" t="s">
        <v>7035</v>
      </c>
      <c r="E70" s="3102" t="s">
        <v>6865</v>
      </c>
      <c r="F70" s="3102"/>
      <c r="G70" s="3102"/>
      <c r="H70" s="3093" t="s">
        <v>7184</v>
      </c>
      <c r="I70" s="3093" t="s">
        <v>6891</v>
      </c>
      <c r="J70" s="3094"/>
    </row>
    <row r="71" spans="1:10" ht="44.1" customHeight="1">
      <c r="A71" s="3087">
        <v>58</v>
      </c>
      <c r="B71" s="3093" t="s">
        <v>7185</v>
      </c>
      <c r="C71" s="3109">
        <v>45082</v>
      </c>
      <c r="D71" s="3114" t="s">
        <v>7066</v>
      </c>
      <c r="E71" s="3102" t="s">
        <v>6865</v>
      </c>
      <c r="F71" s="3102"/>
      <c r="G71" s="3102"/>
      <c r="H71" s="3093" t="s">
        <v>7186</v>
      </c>
      <c r="I71" s="3093" t="s">
        <v>7100</v>
      </c>
      <c r="J71" s="3094"/>
    </row>
    <row r="72" spans="1:10" ht="74.25" customHeight="1">
      <c r="A72" s="3087">
        <v>59</v>
      </c>
      <c r="B72" s="3093" t="s">
        <v>7187</v>
      </c>
      <c r="C72" s="3109">
        <v>45083</v>
      </c>
      <c r="D72" s="3114" t="s">
        <v>6918</v>
      </c>
      <c r="E72" s="3102" t="s">
        <v>6865</v>
      </c>
      <c r="F72" s="3102"/>
      <c r="G72" s="3102"/>
      <c r="H72" s="3093" t="s">
        <v>7188</v>
      </c>
      <c r="I72" s="3093" t="s">
        <v>6891</v>
      </c>
      <c r="J72" s="3094"/>
    </row>
    <row r="73" spans="1:10" ht="63.75" customHeight="1">
      <c r="A73" s="3087">
        <v>60</v>
      </c>
      <c r="B73" s="3093" t="s">
        <v>7189</v>
      </c>
      <c r="C73" s="3111">
        <v>45085</v>
      </c>
      <c r="D73" s="3112" t="s">
        <v>7190</v>
      </c>
      <c r="E73" s="3113" t="s">
        <v>6865</v>
      </c>
      <c r="F73" s="3113"/>
      <c r="G73" s="3113"/>
      <c r="H73" s="3110" t="s">
        <v>7191</v>
      </c>
      <c r="I73" s="3110" t="s">
        <v>6891</v>
      </c>
      <c r="J73" s="3094"/>
    </row>
    <row r="74" spans="1:10" ht="126.75" customHeight="1">
      <c r="A74" s="3087">
        <v>61</v>
      </c>
      <c r="B74" s="3093" t="s">
        <v>7192</v>
      </c>
      <c r="C74" s="3109">
        <v>45090</v>
      </c>
      <c r="D74" s="3114" t="s">
        <v>6906</v>
      </c>
      <c r="E74" s="3102" t="s">
        <v>6865</v>
      </c>
      <c r="F74" s="3102"/>
      <c r="G74" s="3102"/>
      <c r="H74" s="3093" t="s">
        <v>7193</v>
      </c>
      <c r="I74" s="3093" t="s">
        <v>6891</v>
      </c>
      <c r="J74" s="3094"/>
    </row>
    <row r="75" spans="1:10" ht="64.5" customHeight="1">
      <c r="A75" s="3087">
        <v>62</v>
      </c>
      <c r="B75" s="3093" t="s">
        <v>7194</v>
      </c>
      <c r="C75" s="3109">
        <v>45089</v>
      </c>
      <c r="D75" s="3114" t="s">
        <v>7052</v>
      </c>
      <c r="E75" s="3102"/>
      <c r="F75" s="3102" t="s">
        <v>6865</v>
      </c>
      <c r="G75" s="3102"/>
      <c r="H75" s="3093" t="s">
        <v>7195</v>
      </c>
      <c r="I75" s="3093" t="s">
        <v>6891</v>
      </c>
      <c r="J75" s="3094"/>
    </row>
    <row r="76" spans="1:10" ht="16.5" customHeight="1">
      <c r="A76" s="3134" t="s">
        <v>7196</v>
      </c>
      <c r="B76" s="3135"/>
      <c r="C76" s="3084"/>
      <c r="D76" s="3083"/>
      <c r="E76" s="3083"/>
      <c r="F76" s="3083"/>
      <c r="G76" s="3083"/>
      <c r="H76" s="3083"/>
      <c r="I76" s="3083"/>
    </row>
    <row r="77" spans="1:10" ht="15.75" customHeight="1">
      <c r="A77" s="3134" t="s">
        <v>7197</v>
      </c>
      <c r="B77" s="3135"/>
      <c r="C77" s="3084"/>
      <c r="D77" s="3083"/>
      <c r="E77" s="3083"/>
      <c r="F77" s="3083"/>
      <c r="G77" s="3083"/>
      <c r="H77" s="3083"/>
      <c r="I77" s="3083"/>
    </row>
    <row r="78" spans="1:10" ht="15.75" customHeight="1">
      <c r="A78" s="3134" t="s">
        <v>7198</v>
      </c>
      <c r="B78" s="3135"/>
      <c r="C78" s="3084"/>
      <c r="D78" s="3083"/>
      <c r="E78" s="3083"/>
      <c r="F78" s="3083"/>
      <c r="G78" s="3083"/>
      <c r="H78" s="3083"/>
      <c r="I78" s="3083"/>
    </row>
    <row r="79" spans="1:10" ht="15.75" customHeight="1">
      <c r="A79" s="3136" t="s">
        <v>7199</v>
      </c>
      <c r="B79" s="3137"/>
      <c r="C79" s="3084"/>
      <c r="D79" s="3083"/>
      <c r="E79" s="3083"/>
      <c r="F79" s="3083"/>
      <c r="G79" s="3083"/>
      <c r="H79" s="3083"/>
      <c r="I79" s="3083"/>
    </row>
    <row r="80" spans="1:10" ht="15.75" customHeight="1">
      <c r="A80" s="3136" t="s">
        <v>7200</v>
      </c>
      <c r="B80" s="3083"/>
      <c r="C80" s="3084"/>
      <c r="D80" s="3083"/>
      <c r="E80" s="3083"/>
      <c r="F80" s="3083"/>
      <c r="G80" s="3083"/>
      <c r="H80" s="3083"/>
      <c r="I80" s="3083"/>
    </row>
    <row r="84" spans="2:2" ht="15" customHeight="1">
      <c r="B84" s="3138"/>
    </row>
    <row r="85" spans="2:2" ht="15" customHeight="1">
      <c r="B85" s="3139"/>
    </row>
  </sheetData>
  <mergeCells count="11">
    <mergeCell ref="I12:I13"/>
    <mergeCell ref="A6:I6"/>
    <mergeCell ref="A7:I7"/>
    <mergeCell ref="A8:I8"/>
    <mergeCell ref="A10:I10"/>
    <mergeCell ref="A12:A13"/>
    <mergeCell ref="B12:B13"/>
    <mergeCell ref="C12:C13"/>
    <mergeCell ref="D12:D13"/>
    <mergeCell ref="E12:G12"/>
    <mergeCell ref="H12:H13"/>
  </mergeCells>
  <printOptions horizontalCentered="1"/>
  <pageMargins left="0.31496062992125984" right="0.31496062992125984" top="0.55118110236220474" bottom="0.55118110236220474" header="0" footer="0"/>
  <pageSetup paperSize="9" scale="65" fitToHeight="0" orientation="landscape"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AC97-1DEC-9649-83B9-5F47C2C45066}">
  <sheetPr>
    <pageSetUpPr fitToPage="1"/>
  </sheetPr>
  <dimension ref="A1:P383"/>
  <sheetViews>
    <sheetView topLeftCell="A259" zoomScale="85" zoomScaleNormal="85" workbookViewId="0">
      <selection activeCell="H19" sqref="H19"/>
    </sheetView>
  </sheetViews>
  <sheetFormatPr baseColWidth="10" defaultColWidth="12.42578125" defaultRowHeight="12.75"/>
  <cols>
    <col min="1" max="1" width="0.7109375" style="4476" customWidth="1"/>
    <col min="2" max="2" width="20.140625" style="4476" customWidth="1"/>
    <col min="3" max="3" width="27.7109375" style="4476" customWidth="1"/>
    <col min="4" max="4" width="15" style="4476" customWidth="1"/>
    <col min="5" max="5" width="15.42578125" style="4476" customWidth="1"/>
    <col min="6" max="6" width="17" style="4476" customWidth="1"/>
    <col min="7" max="7" width="17" style="4476" bestFit="1" customWidth="1"/>
    <col min="8" max="8" width="16.42578125" style="4476" bestFit="1" customWidth="1"/>
    <col min="9" max="9" width="14.7109375" style="4476" customWidth="1"/>
    <col min="10" max="10" width="17" style="4476" customWidth="1"/>
    <col min="11" max="11" width="16.42578125" style="4475" bestFit="1" customWidth="1"/>
    <col min="12" max="13" width="17.140625" style="4476" customWidth="1"/>
    <col min="14" max="14" width="16.140625" style="4476" customWidth="1"/>
    <col min="15" max="15" width="13.85546875" style="4476" bestFit="1" customWidth="1"/>
    <col min="16" max="16" width="15" style="4476" bestFit="1" customWidth="1"/>
    <col min="17" max="16384" width="12.42578125" style="4476"/>
  </cols>
  <sheetData>
    <row r="1" spans="2:10" s="4475" customFormat="1" ht="18.75">
      <c r="B1" s="11406" t="s">
        <v>0</v>
      </c>
      <c r="C1" s="11406"/>
      <c r="D1" s="11406"/>
      <c r="E1" s="11406"/>
      <c r="F1" s="11406"/>
      <c r="G1" s="11406"/>
      <c r="H1" s="11406"/>
      <c r="I1" s="11406"/>
      <c r="J1" s="4474"/>
    </row>
    <row r="2" spans="2:10" s="4475" customFormat="1" ht="18.75">
      <c r="B2" s="11406" t="s">
        <v>6665</v>
      </c>
      <c r="C2" s="11406"/>
      <c r="D2" s="11406"/>
      <c r="E2" s="11406"/>
      <c r="F2" s="11406"/>
      <c r="G2" s="11406"/>
      <c r="H2" s="11406"/>
      <c r="I2" s="11406"/>
      <c r="J2" s="4474"/>
    </row>
    <row r="3" spans="2:10" s="4475" customFormat="1" ht="12.75" customHeight="1">
      <c r="B3" s="4474"/>
      <c r="C3" s="4474"/>
      <c r="D3" s="4474"/>
      <c r="E3" s="4474"/>
      <c r="F3" s="4474"/>
      <c r="G3" s="4474"/>
      <c r="H3" s="4474"/>
      <c r="I3" s="4476"/>
      <c r="J3" s="4476"/>
    </row>
    <row r="4" spans="2:10" s="4475" customFormat="1" ht="15">
      <c r="B4" s="1478" t="s">
        <v>6480</v>
      </c>
      <c r="C4" s="1479" t="s">
        <v>413</v>
      </c>
      <c r="D4" s="1479"/>
      <c r="E4" s="1479"/>
      <c r="F4" s="1479"/>
      <c r="G4" s="1479"/>
      <c r="H4" s="1480"/>
      <c r="I4" s="1480"/>
      <c r="J4" s="1480"/>
    </row>
    <row r="5" spans="2:10" s="4475" customFormat="1">
      <c r="B5" s="1479" t="s">
        <v>6479</v>
      </c>
      <c r="C5" s="1479"/>
      <c r="D5" s="1479"/>
      <c r="E5" s="1479"/>
      <c r="F5" s="1479"/>
      <c r="G5" s="1479"/>
      <c r="H5" s="1480"/>
      <c r="I5" s="1480"/>
      <c r="J5" s="1480"/>
    </row>
    <row r="6" spans="2:10" s="4475" customFormat="1">
      <c r="B6" s="1479"/>
      <c r="C6" s="1479"/>
      <c r="D6" s="1479"/>
      <c r="E6" s="1479"/>
      <c r="F6" s="1479"/>
      <c r="G6" s="1479"/>
      <c r="H6" s="1480"/>
      <c r="I6" s="1480"/>
      <c r="J6" s="4476"/>
    </row>
    <row r="7" spans="2:10" s="4479" customFormat="1" ht="39.75" customHeight="1">
      <c r="B7" s="11369" t="s">
        <v>6970</v>
      </c>
      <c r="C7" s="11369" t="s">
        <v>6</v>
      </c>
      <c r="D7" s="11407" t="s">
        <v>6667</v>
      </c>
      <c r="E7" s="1481" t="s">
        <v>6483</v>
      </c>
      <c r="F7" s="1482" t="s">
        <v>6484</v>
      </c>
      <c r="G7" s="1483" t="s">
        <v>6485</v>
      </c>
      <c r="H7" s="4477" t="s">
        <v>6668</v>
      </c>
      <c r="I7" s="4478" t="s">
        <v>6487</v>
      </c>
    </row>
    <row r="8" spans="2:10" s="4479" customFormat="1" ht="20.100000000000001" customHeight="1">
      <c r="B8" s="11370"/>
      <c r="C8" s="11370"/>
      <c r="D8" s="11408"/>
      <c r="E8" s="1487" t="s">
        <v>6488</v>
      </c>
      <c r="F8" s="1482" t="s">
        <v>6489</v>
      </c>
      <c r="G8" s="1483" t="s">
        <v>6490</v>
      </c>
      <c r="H8" s="4480" t="s">
        <v>6491</v>
      </c>
      <c r="I8" s="4481" t="s">
        <v>6492</v>
      </c>
    </row>
    <row r="9" spans="2:10" s="4475" customFormat="1">
      <c r="B9" s="1490" t="s">
        <v>6971</v>
      </c>
      <c r="C9" s="1491" t="s">
        <v>6670</v>
      </c>
      <c r="D9" s="1492">
        <f t="shared" ref="D9:D19" si="0">+SUM(E9:I9)</f>
        <v>6984971.6600000001</v>
      </c>
      <c r="E9" s="4482">
        <f>6972572.48+12399.18</f>
        <v>6984971.6600000001</v>
      </c>
      <c r="F9" s="1492"/>
      <c r="G9" s="1492"/>
      <c r="H9" s="1492"/>
      <c r="I9" s="1492"/>
    </row>
    <row r="10" spans="2:10" s="4475" customFormat="1">
      <c r="B10" s="1490" t="s">
        <v>6972</v>
      </c>
      <c r="C10" s="1491" t="s">
        <v>6973</v>
      </c>
      <c r="D10" s="1492">
        <f t="shared" si="0"/>
        <v>55985.33</v>
      </c>
      <c r="E10" s="1492">
        <v>55985.33</v>
      </c>
      <c r="F10" s="1492"/>
      <c r="G10" s="1492"/>
      <c r="H10" s="1492"/>
      <c r="I10" s="1492"/>
    </row>
    <row r="11" spans="2:10" s="4475" customFormat="1">
      <c r="B11" s="1495" t="s">
        <v>6974</v>
      </c>
      <c r="C11" s="1491" t="s">
        <v>6674</v>
      </c>
      <c r="D11" s="1492">
        <f t="shared" si="0"/>
        <v>50000</v>
      </c>
      <c r="E11" s="1492"/>
      <c r="F11" s="1492">
        <v>50000</v>
      </c>
      <c r="G11" s="1492"/>
      <c r="H11" s="1492"/>
      <c r="I11" s="1492"/>
    </row>
    <row r="12" spans="2:10" s="4475" customFormat="1">
      <c r="B12" s="1495" t="s">
        <v>6975</v>
      </c>
      <c r="C12" s="1491" t="s">
        <v>6976</v>
      </c>
      <c r="D12" s="1492">
        <f t="shared" si="0"/>
        <v>680000</v>
      </c>
      <c r="E12" s="1492"/>
      <c r="F12" s="1492">
        <v>680000</v>
      </c>
      <c r="G12" s="1492"/>
      <c r="H12" s="1492"/>
      <c r="I12" s="1492"/>
    </row>
    <row r="13" spans="2:10" s="4475" customFormat="1">
      <c r="B13" s="1495" t="s">
        <v>6977</v>
      </c>
      <c r="C13" s="1491" t="s">
        <v>6676</v>
      </c>
      <c r="D13" s="1492">
        <f t="shared" si="0"/>
        <v>38169</v>
      </c>
      <c r="E13" s="1492"/>
      <c r="F13" s="1492">
        <v>38169</v>
      </c>
      <c r="G13" s="1492"/>
      <c r="H13" s="1492"/>
      <c r="I13" s="1492"/>
    </row>
    <row r="14" spans="2:10" s="4475" customFormat="1">
      <c r="B14" s="1495" t="s">
        <v>6978</v>
      </c>
      <c r="C14" s="2986" t="s">
        <v>6979</v>
      </c>
      <c r="D14" s="1492">
        <f t="shared" si="0"/>
        <v>2000</v>
      </c>
      <c r="E14" s="1492"/>
      <c r="F14" s="1492">
        <v>2000</v>
      </c>
      <c r="G14" s="1492"/>
      <c r="H14" s="1492"/>
      <c r="I14" s="1492"/>
    </row>
    <row r="15" spans="2:10" s="4475" customFormat="1">
      <c r="B15" s="1495" t="s">
        <v>6980</v>
      </c>
      <c r="C15" s="2986" t="s">
        <v>6981</v>
      </c>
      <c r="D15" s="1492">
        <f t="shared" si="0"/>
        <v>163689.51</v>
      </c>
      <c r="E15" s="1492"/>
      <c r="F15" s="1492">
        <v>163689.51</v>
      </c>
      <c r="G15" s="1492"/>
      <c r="H15" s="1492"/>
      <c r="I15" s="1492"/>
    </row>
    <row r="16" spans="2:10" s="4475" customFormat="1">
      <c r="B16" s="4483" t="s">
        <v>6982</v>
      </c>
      <c r="C16" s="1491" t="s">
        <v>6670</v>
      </c>
      <c r="D16" s="1492">
        <f t="shared" si="0"/>
        <v>28382726.440000001</v>
      </c>
      <c r="E16" s="1492"/>
      <c r="F16" s="1492"/>
      <c r="G16" s="1492">
        <v>28382726.440000001</v>
      </c>
      <c r="H16" s="1492"/>
      <c r="I16" s="1492"/>
    </row>
    <row r="17" spans="2:14" s="4475" customFormat="1">
      <c r="B17" s="4483" t="s">
        <v>6983</v>
      </c>
      <c r="C17" s="1491" t="s">
        <v>6984</v>
      </c>
      <c r="D17" s="1492">
        <f t="shared" si="0"/>
        <v>4740</v>
      </c>
      <c r="E17" s="1492"/>
      <c r="F17" s="1492"/>
      <c r="G17" s="1492">
        <v>4740</v>
      </c>
      <c r="H17" s="1492"/>
      <c r="I17" s="1492"/>
    </row>
    <row r="18" spans="2:14" s="4475" customFormat="1" ht="14.45" customHeight="1">
      <c r="B18" s="1494" t="s">
        <v>6985</v>
      </c>
      <c r="C18" s="1491" t="s">
        <v>6670</v>
      </c>
      <c r="D18" s="1492">
        <f t="shared" si="0"/>
        <v>856577.7</v>
      </c>
      <c r="E18" s="1492"/>
      <c r="F18" s="1492"/>
      <c r="G18" s="1492"/>
      <c r="H18" s="1492">
        <v>856577.7</v>
      </c>
      <c r="I18" s="1492"/>
    </row>
    <row r="19" spans="2:14" s="4475" customFormat="1" ht="14.45" customHeight="1">
      <c r="B19" s="1494" t="s">
        <v>6986</v>
      </c>
      <c r="C19" s="1491" t="s">
        <v>6987</v>
      </c>
      <c r="D19" s="1492">
        <f t="shared" si="0"/>
        <v>571587.69999999995</v>
      </c>
      <c r="E19" s="1492"/>
      <c r="F19" s="1492"/>
      <c r="G19" s="1492"/>
      <c r="H19" s="1492">
        <v>571587.69999999995</v>
      </c>
      <c r="I19" s="1492"/>
    </row>
    <row r="20" spans="2:14" s="4475" customFormat="1" ht="14.45" customHeight="1">
      <c r="B20" s="2003" t="s">
        <v>6988</v>
      </c>
      <c r="C20" s="1491" t="s">
        <v>6928</v>
      </c>
      <c r="D20" s="1492">
        <f>I20</f>
        <v>382237.7</v>
      </c>
      <c r="E20" s="1492"/>
      <c r="F20" s="1492"/>
      <c r="G20" s="1492"/>
      <c r="H20" s="1492"/>
      <c r="I20" s="1492">
        <v>382237.7</v>
      </c>
    </row>
    <row r="21" spans="2:14">
      <c r="B21" s="1496"/>
      <c r="C21" s="1497" t="s">
        <v>6677</v>
      </c>
      <c r="D21" s="1498">
        <f t="shared" ref="D21:I21" si="1">SUM(D9:D20)</f>
        <v>38172685.040000007</v>
      </c>
      <c r="E21" s="1498">
        <f t="shared" si="1"/>
        <v>7040956.9900000002</v>
      </c>
      <c r="F21" s="1498">
        <f t="shared" si="1"/>
        <v>933858.51</v>
      </c>
      <c r="G21" s="1498">
        <f t="shared" si="1"/>
        <v>28387466.440000001</v>
      </c>
      <c r="H21" s="1498">
        <f t="shared" si="1"/>
        <v>1428165.4</v>
      </c>
      <c r="I21" s="1498">
        <f t="shared" si="1"/>
        <v>382237.7</v>
      </c>
      <c r="K21" s="4476"/>
    </row>
    <row r="22" spans="2:14">
      <c r="B22" s="1499"/>
      <c r="C22" s="1500"/>
      <c r="D22" s="1501"/>
      <c r="E22" s="1501"/>
      <c r="F22" s="1479"/>
      <c r="G22" s="1479"/>
      <c r="H22" s="1502"/>
      <c r="I22" s="1503"/>
    </row>
    <row r="23" spans="2:14" ht="15">
      <c r="B23" s="4484" t="s">
        <v>6504</v>
      </c>
      <c r="C23" s="4485"/>
      <c r="D23" s="4486"/>
      <c r="E23" s="4475"/>
      <c r="F23" s="4487"/>
      <c r="G23" s="2992"/>
    </row>
    <row r="24" spans="2:14" ht="38.25">
      <c r="B24" s="4488" t="s">
        <v>7</v>
      </c>
      <c r="C24" s="4488" t="s">
        <v>6505</v>
      </c>
      <c r="D24" s="4489" t="s">
        <v>6989</v>
      </c>
      <c r="E24" s="4489" t="s">
        <v>6678</v>
      </c>
      <c r="F24" s="4489" t="s">
        <v>6679</v>
      </c>
      <c r="G24" s="4489" t="s">
        <v>6680</v>
      </c>
      <c r="H24" s="4489" t="s">
        <v>6990</v>
      </c>
      <c r="I24" s="4490" t="s">
        <v>6488</v>
      </c>
      <c r="J24" s="4491" t="s">
        <v>6489</v>
      </c>
      <c r="K24" s="4492" t="s">
        <v>6508</v>
      </c>
      <c r="L24" s="4493" t="s">
        <v>6491</v>
      </c>
      <c r="M24" s="4494" t="s">
        <v>6492</v>
      </c>
    </row>
    <row r="25" spans="2:14">
      <c r="B25" s="4495" t="s">
        <v>6510</v>
      </c>
      <c r="C25" s="4496" t="s">
        <v>6511</v>
      </c>
      <c r="D25" s="4497"/>
      <c r="E25" s="4497"/>
      <c r="F25" s="4497"/>
      <c r="G25" s="4497"/>
      <c r="H25" s="4497"/>
      <c r="I25" s="4498"/>
      <c r="J25" s="4498"/>
      <c r="K25" s="4498"/>
      <c r="L25" s="4499"/>
      <c r="M25" s="4499"/>
    </row>
    <row r="26" spans="2:14">
      <c r="B26" s="4483" t="s">
        <v>6512</v>
      </c>
      <c r="C26" s="4500" t="s">
        <v>3008</v>
      </c>
      <c r="D26" s="4497">
        <v>3588628.48</v>
      </c>
      <c r="E26" s="4497"/>
      <c r="F26" s="4497">
        <v>30000</v>
      </c>
      <c r="G26" s="4501">
        <f t="shared" ref="G26:G57" si="2">+D26+E26-F26</f>
        <v>3558628.48</v>
      </c>
      <c r="H26" s="4497">
        <f t="shared" ref="H26:H57" si="3">+SUM(I26:M26)</f>
        <v>3558628.48</v>
      </c>
      <c r="I26" s="4497"/>
      <c r="J26" s="4497"/>
      <c r="K26" s="4502">
        <f t="shared" ref="K26:K44" si="4">G26</f>
        <v>3558628.48</v>
      </c>
      <c r="L26" s="4497"/>
      <c r="M26" s="4497"/>
      <c r="N26" s="4503"/>
    </row>
    <row r="27" spans="2:14">
      <c r="B27" s="4483" t="s">
        <v>6513</v>
      </c>
      <c r="C27" s="4504" t="s">
        <v>3010</v>
      </c>
      <c r="D27" s="4497">
        <v>989212.08000000007</v>
      </c>
      <c r="E27" s="4497"/>
      <c r="F27" s="4497">
        <v>60000</v>
      </c>
      <c r="G27" s="4501">
        <f t="shared" si="2"/>
        <v>929212.08000000007</v>
      </c>
      <c r="H27" s="4497">
        <f t="shared" si="3"/>
        <v>929212.08000000007</v>
      </c>
      <c r="I27" s="4497"/>
      <c r="J27" s="4497"/>
      <c r="K27" s="4502">
        <f t="shared" si="4"/>
        <v>929212.08000000007</v>
      </c>
      <c r="L27" s="4497"/>
      <c r="M27" s="4497"/>
      <c r="N27" s="4503"/>
    </row>
    <row r="28" spans="2:14">
      <c r="B28" s="4483" t="s">
        <v>6514</v>
      </c>
      <c r="C28" s="4504" t="s">
        <v>6682</v>
      </c>
      <c r="D28" s="4497">
        <v>828059.49</v>
      </c>
      <c r="E28" s="4497"/>
      <c r="F28" s="4497"/>
      <c r="G28" s="4501">
        <f t="shared" si="2"/>
        <v>828059.49</v>
      </c>
      <c r="H28" s="4497">
        <f t="shared" si="3"/>
        <v>828059.49</v>
      </c>
      <c r="I28" s="4497"/>
      <c r="J28" s="4497"/>
      <c r="K28" s="4502">
        <f t="shared" si="4"/>
        <v>828059.49</v>
      </c>
      <c r="L28" s="4497"/>
      <c r="M28" s="4497"/>
      <c r="N28" s="4503"/>
    </row>
    <row r="29" spans="2:14">
      <c r="B29" s="4483" t="s">
        <v>6515</v>
      </c>
      <c r="C29" s="4504" t="s">
        <v>3013</v>
      </c>
      <c r="D29" s="4497">
        <v>514670.12</v>
      </c>
      <c r="E29" s="4497"/>
      <c r="F29" s="4497"/>
      <c r="G29" s="4501">
        <f t="shared" si="2"/>
        <v>514670.12</v>
      </c>
      <c r="H29" s="4497">
        <f t="shared" si="3"/>
        <v>514670.12</v>
      </c>
      <c r="I29" s="4497"/>
      <c r="J29" s="4497"/>
      <c r="K29" s="4502">
        <f t="shared" si="4"/>
        <v>514670.12</v>
      </c>
      <c r="L29" s="4497"/>
      <c r="M29" s="4497"/>
      <c r="N29" s="4503"/>
    </row>
    <row r="30" spans="2:14">
      <c r="B30" s="4483" t="s">
        <v>6517</v>
      </c>
      <c r="C30" s="4504" t="s">
        <v>3014</v>
      </c>
      <c r="D30" s="4497">
        <v>181875.81</v>
      </c>
      <c r="E30" s="4497"/>
      <c r="F30" s="4497"/>
      <c r="G30" s="4501">
        <f t="shared" si="2"/>
        <v>181875.81</v>
      </c>
      <c r="H30" s="4497">
        <f t="shared" si="3"/>
        <v>181875.81</v>
      </c>
      <c r="I30" s="4497"/>
      <c r="J30" s="4497"/>
      <c r="K30" s="4502">
        <f t="shared" si="4"/>
        <v>181875.81</v>
      </c>
      <c r="L30" s="4497"/>
      <c r="M30" s="4497"/>
      <c r="N30" s="4503"/>
    </row>
    <row r="31" spans="2:14">
      <c r="B31" s="4483" t="s">
        <v>6519</v>
      </c>
      <c r="C31" s="4504" t="s">
        <v>3016</v>
      </c>
      <c r="D31" s="4497">
        <v>15000</v>
      </c>
      <c r="E31" s="4497"/>
      <c r="F31" s="4497"/>
      <c r="G31" s="4501">
        <f t="shared" si="2"/>
        <v>15000</v>
      </c>
      <c r="H31" s="4497">
        <f t="shared" si="3"/>
        <v>15000</v>
      </c>
      <c r="I31" s="4497"/>
      <c r="J31" s="4497"/>
      <c r="K31" s="4502">
        <f t="shared" si="4"/>
        <v>15000</v>
      </c>
      <c r="L31" s="4497"/>
      <c r="M31" s="4497"/>
      <c r="N31" s="4503"/>
    </row>
    <row r="32" spans="2:14">
      <c r="B32" s="4483" t="s">
        <v>6520</v>
      </c>
      <c r="C32" s="4504" t="s">
        <v>3018</v>
      </c>
      <c r="D32" s="4497">
        <v>95000</v>
      </c>
      <c r="E32" s="4497"/>
      <c r="F32" s="4497"/>
      <c r="G32" s="4501">
        <f t="shared" si="2"/>
        <v>95000</v>
      </c>
      <c r="H32" s="4497">
        <f t="shared" si="3"/>
        <v>95000</v>
      </c>
      <c r="I32" s="4497"/>
      <c r="J32" s="4497"/>
      <c r="K32" s="4502">
        <f t="shared" si="4"/>
        <v>95000</v>
      </c>
      <c r="L32" s="4497"/>
      <c r="M32" s="4497"/>
      <c r="N32" s="4503"/>
    </row>
    <row r="33" spans="2:14">
      <c r="B33" s="4483" t="s">
        <v>6521</v>
      </c>
      <c r="C33" s="4504" t="s">
        <v>3020</v>
      </c>
      <c r="D33" s="4497">
        <v>5000</v>
      </c>
      <c r="E33" s="4497"/>
      <c r="F33" s="4497"/>
      <c r="G33" s="4501">
        <f t="shared" si="2"/>
        <v>5000</v>
      </c>
      <c r="H33" s="4497">
        <f t="shared" si="3"/>
        <v>5000</v>
      </c>
      <c r="I33" s="4497"/>
      <c r="J33" s="4497"/>
      <c r="K33" s="4502">
        <f t="shared" si="4"/>
        <v>5000</v>
      </c>
      <c r="L33" s="4497"/>
      <c r="M33" s="4497"/>
      <c r="N33" s="4503"/>
    </row>
    <row r="34" spans="2:14">
      <c r="B34" s="4483" t="s">
        <v>6522</v>
      </c>
      <c r="C34" s="4504" t="s">
        <v>6683</v>
      </c>
      <c r="D34" s="4497">
        <v>24000</v>
      </c>
      <c r="E34" s="4497"/>
      <c r="F34" s="4497"/>
      <c r="G34" s="4501">
        <f t="shared" si="2"/>
        <v>24000</v>
      </c>
      <c r="H34" s="4497">
        <f t="shared" si="3"/>
        <v>24000</v>
      </c>
      <c r="I34" s="4497"/>
      <c r="J34" s="4497"/>
      <c r="K34" s="4502">
        <f t="shared" si="4"/>
        <v>24000</v>
      </c>
      <c r="L34" s="4497"/>
      <c r="M34" s="4497"/>
      <c r="N34" s="4503"/>
    </row>
    <row r="35" spans="2:14">
      <c r="B35" s="4483" t="s">
        <v>6523</v>
      </c>
      <c r="C35" s="4504" t="s">
        <v>6684</v>
      </c>
      <c r="D35" s="4497">
        <v>31000</v>
      </c>
      <c r="E35" s="4497"/>
      <c r="F35" s="4497"/>
      <c r="G35" s="4501">
        <f t="shared" si="2"/>
        <v>31000</v>
      </c>
      <c r="H35" s="4497">
        <f t="shared" si="3"/>
        <v>31000</v>
      </c>
      <c r="I35" s="4497"/>
      <c r="J35" s="4497"/>
      <c r="K35" s="4502">
        <f t="shared" si="4"/>
        <v>31000</v>
      </c>
      <c r="L35" s="4497"/>
      <c r="M35" s="4497"/>
      <c r="N35" s="4503"/>
    </row>
    <row r="36" spans="2:14">
      <c r="B36" s="4483" t="s">
        <v>6524</v>
      </c>
      <c r="C36" s="4504" t="s">
        <v>3026</v>
      </c>
      <c r="D36" s="4497">
        <v>675424</v>
      </c>
      <c r="E36" s="4497"/>
      <c r="F36" s="4497">
        <v>10000</v>
      </c>
      <c r="G36" s="4501">
        <f t="shared" si="2"/>
        <v>665424</v>
      </c>
      <c r="H36" s="4497">
        <f t="shared" si="3"/>
        <v>665424</v>
      </c>
      <c r="I36" s="4497"/>
      <c r="J36" s="4497"/>
      <c r="K36" s="4502">
        <f t="shared" si="4"/>
        <v>665424</v>
      </c>
      <c r="L36" s="4497"/>
      <c r="M36" s="4497"/>
      <c r="N36" s="4503"/>
    </row>
    <row r="37" spans="2:14">
      <c r="B37" s="4483" t="s">
        <v>6525</v>
      </c>
      <c r="C37" s="4504" t="s">
        <v>6685</v>
      </c>
      <c r="D37" s="4497">
        <v>15000</v>
      </c>
      <c r="E37" s="4497"/>
      <c r="F37" s="4497"/>
      <c r="G37" s="4501">
        <f t="shared" si="2"/>
        <v>15000</v>
      </c>
      <c r="H37" s="4497">
        <f t="shared" si="3"/>
        <v>15000</v>
      </c>
      <c r="I37" s="4497"/>
      <c r="J37" s="4497"/>
      <c r="K37" s="4502">
        <f t="shared" si="4"/>
        <v>15000</v>
      </c>
      <c r="L37" s="4497"/>
      <c r="M37" s="4497"/>
      <c r="N37" s="4503"/>
    </row>
    <row r="38" spans="2:14">
      <c r="B38" s="4483" t="s">
        <v>6526</v>
      </c>
      <c r="C38" s="4504" t="s">
        <v>6686</v>
      </c>
      <c r="D38" s="4497">
        <v>4804</v>
      </c>
      <c r="E38" s="4497"/>
      <c r="F38" s="4497"/>
      <c r="G38" s="4501">
        <f t="shared" si="2"/>
        <v>4804</v>
      </c>
      <c r="H38" s="4497">
        <f t="shared" si="3"/>
        <v>4804</v>
      </c>
      <c r="I38" s="4497"/>
      <c r="J38" s="4497"/>
      <c r="K38" s="4502">
        <f t="shared" si="4"/>
        <v>4804</v>
      </c>
      <c r="L38" s="4497"/>
      <c r="M38" s="4497"/>
      <c r="N38" s="4503"/>
    </row>
    <row r="39" spans="2:14">
      <c r="B39" s="4483" t="s">
        <v>6527</v>
      </c>
      <c r="C39" s="4504" t="s">
        <v>3032</v>
      </c>
      <c r="D39" s="4497">
        <v>614823.06999999995</v>
      </c>
      <c r="E39" s="4497"/>
      <c r="F39" s="4497">
        <v>10000</v>
      </c>
      <c r="G39" s="4501">
        <f t="shared" si="2"/>
        <v>604823.06999999995</v>
      </c>
      <c r="H39" s="4497">
        <f t="shared" si="3"/>
        <v>604823.06999999995</v>
      </c>
      <c r="I39" s="4497"/>
      <c r="J39" s="4497"/>
      <c r="K39" s="4502">
        <f t="shared" si="4"/>
        <v>604823.06999999995</v>
      </c>
      <c r="L39" s="4497"/>
      <c r="M39" s="4497"/>
      <c r="N39" s="4503"/>
    </row>
    <row r="40" spans="2:14">
      <c r="B40" s="4483" t="s">
        <v>6528</v>
      </c>
      <c r="C40" s="4504" t="s">
        <v>3039</v>
      </c>
      <c r="D40" s="4497">
        <v>512432.75</v>
      </c>
      <c r="E40" s="4497"/>
      <c r="F40" s="4497">
        <v>16000</v>
      </c>
      <c r="G40" s="4501">
        <f t="shared" si="2"/>
        <v>496432.75</v>
      </c>
      <c r="H40" s="4497">
        <f t="shared" si="3"/>
        <v>496432.75</v>
      </c>
      <c r="I40" s="4497"/>
      <c r="J40" s="4497"/>
      <c r="K40" s="4502">
        <f t="shared" si="4"/>
        <v>496432.75</v>
      </c>
      <c r="L40" s="4497"/>
      <c r="M40" s="4497"/>
      <c r="N40" s="4503"/>
    </row>
    <row r="41" spans="2:14">
      <c r="B41" s="4483" t="s">
        <v>6687</v>
      </c>
      <c r="C41" s="4504" t="s">
        <v>3034</v>
      </c>
      <c r="D41" s="4497">
        <v>0</v>
      </c>
      <c r="E41" s="4497">
        <v>7000</v>
      </c>
      <c r="F41" s="4497"/>
      <c r="G41" s="4501">
        <f t="shared" si="2"/>
        <v>7000</v>
      </c>
      <c r="H41" s="4497">
        <f t="shared" si="3"/>
        <v>7000</v>
      </c>
      <c r="I41" s="4497"/>
      <c r="J41" s="4497"/>
      <c r="K41" s="4502">
        <f t="shared" si="4"/>
        <v>7000</v>
      </c>
      <c r="L41" s="4497"/>
      <c r="M41" s="4497"/>
      <c r="N41" s="4503"/>
    </row>
    <row r="42" spans="2:14">
      <c r="B42" s="4483" t="s">
        <v>7201</v>
      </c>
      <c r="C42" s="4504" t="s">
        <v>3036</v>
      </c>
      <c r="D42" s="4497">
        <v>0</v>
      </c>
      <c r="E42" s="4497">
        <v>29000</v>
      </c>
      <c r="F42" s="4497"/>
      <c r="G42" s="4501">
        <f t="shared" si="2"/>
        <v>29000</v>
      </c>
      <c r="H42" s="4497">
        <f t="shared" si="3"/>
        <v>29000</v>
      </c>
      <c r="I42" s="4497"/>
      <c r="J42" s="4497"/>
      <c r="K42" s="4502">
        <f t="shared" si="4"/>
        <v>29000</v>
      </c>
      <c r="L42" s="4497"/>
      <c r="M42" s="4497"/>
      <c r="N42" s="4503"/>
    </row>
    <row r="43" spans="2:14">
      <c r="B43" s="4483" t="s">
        <v>6529</v>
      </c>
      <c r="C43" s="4504" t="s">
        <v>6688</v>
      </c>
      <c r="D43" s="4497">
        <v>2000</v>
      </c>
      <c r="E43" s="4497"/>
      <c r="F43" s="4497"/>
      <c r="G43" s="4501">
        <f t="shared" si="2"/>
        <v>2000</v>
      </c>
      <c r="H43" s="4497">
        <f t="shared" si="3"/>
        <v>2000</v>
      </c>
      <c r="I43" s="4497"/>
      <c r="J43" s="4497"/>
      <c r="K43" s="4502">
        <f t="shared" si="4"/>
        <v>2000</v>
      </c>
      <c r="L43" s="4497"/>
      <c r="M43" s="4497"/>
      <c r="N43" s="4503"/>
    </row>
    <row r="44" spans="2:14">
      <c r="B44" s="4483" t="s">
        <v>6689</v>
      </c>
      <c r="C44" s="4504" t="s">
        <v>3038</v>
      </c>
      <c r="D44" s="4497">
        <v>0</v>
      </c>
      <c r="E44" s="4497">
        <v>120000</v>
      </c>
      <c r="F44" s="4497"/>
      <c r="G44" s="4501">
        <f t="shared" si="2"/>
        <v>120000</v>
      </c>
      <c r="H44" s="4497">
        <f t="shared" si="3"/>
        <v>120000</v>
      </c>
      <c r="I44" s="4497"/>
      <c r="J44" s="4497"/>
      <c r="K44" s="4502">
        <f t="shared" si="4"/>
        <v>120000</v>
      </c>
      <c r="L44" s="4497"/>
      <c r="M44" s="4497"/>
      <c r="N44" s="4503"/>
    </row>
    <row r="45" spans="2:14">
      <c r="B45" s="4483" t="s">
        <v>6532</v>
      </c>
      <c r="C45" s="4504" t="s">
        <v>3775</v>
      </c>
      <c r="D45" s="4497">
        <v>61600</v>
      </c>
      <c r="E45" s="4497"/>
      <c r="F45" s="4497"/>
      <c r="G45" s="4501">
        <f t="shared" si="2"/>
        <v>61600</v>
      </c>
      <c r="H45" s="4497">
        <f t="shared" si="3"/>
        <v>61600</v>
      </c>
      <c r="I45" s="4497"/>
      <c r="J45" s="4497"/>
      <c r="K45" s="4502">
        <f>+G45</f>
        <v>61600</v>
      </c>
      <c r="L45" s="4497"/>
      <c r="M45" s="4497"/>
      <c r="N45" s="4503"/>
    </row>
    <row r="46" spans="2:14">
      <c r="B46" s="4505" t="s">
        <v>6991</v>
      </c>
      <c r="C46" s="4504" t="s">
        <v>3778</v>
      </c>
      <c r="D46" s="4497">
        <v>83286.39</v>
      </c>
      <c r="E46" s="4497"/>
      <c r="F46" s="4497"/>
      <c r="G46" s="4501">
        <f t="shared" si="2"/>
        <v>83286.39</v>
      </c>
      <c r="H46" s="4497">
        <f t="shared" si="3"/>
        <v>83286.39</v>
      </c>
      <c r="I46" s="4497"/>
      <c r="J46" s="4497">
        <f>+G46</f>
        <v>83286.39</v>
      </c>
      <c r="K46" s="4502"/>
      <c r="L46" s="4497"/>
      <c r="M46" s="4497"/>
      <c r="N46" s="4503"/>
    </row>
    <row r="47" spans="2:14">
      <c r="B47" s="4483" t="s">
        <v>6533</v>
      </c>
      <c r="C47" s="4504" t="s">
        <v>3778</v>
      </c>
      <c r="D47" s="4497">
        <v>200000</v>
      </c>
      <c r="E47" s="4497"/>
      <c r="F47" s="4497"/>
      <c r="G47" s="4501">
        <f t="shared" si="2"/>
        <v>200000</v>
      </c>
      <c r="H47" s="4497">
        <f t="shared" si="3"/>
        <v>200000</v>
      </c>
      <c r="I47" s="4497"/>
      <c r="J47" s="4497"/>
      <c r="K47" s="4502">
        <f>+G47</f>
        <v>200000</v>
      </c>
      <c r="L47" s="4506"/>
      <c r="M47" s="4506"/>
      <c r="N47" s="4503"/>
    </row>
    <row r="48" spans="2:14">
      <c r="B48" s="4507" t="s">
        <v>6618</v>
      </c>
      <c r="C48" s="4504" t="s">
        <v>881</v>
      </c>
      <c r="D48" s="4497">
        <v>26000</v>
      </c>
      <c r="E48" s="4497"/>
      <c r="F48" s="4508">
        <v>23313.24</v>
      </c>
      <c r="G48" s="4501">
        <f t="shared" si="2"/>
        <v>2686.7599999999984</v>
      </c>
      <c r="H48" s="4497">
        <f t="shared" si="3"/>
        <v>2686.7599999999984</v>
      </c>
      <c r="I48" s="4497">
        <f>G48</f>
        <v>2686.7599999999984</v>
      </c>
      <c r="J48" s="4497"/>
      <c r="K48" s="4502"/>
      <c r="L48" s="4497"/>
      <c r="M48" s="4497"/>
      <c r="N48" s="4503"/>
    </row>
    <row r="49" spans="2:14">
      <c r="B49" s="4483" t="s">
        <v>6690</v>
      </c>
      <c r="C49" s="4504" t="s">
        <v>881</v>
      </c>
      <c r="D49" s="4497">
        <v>16000</v>
      </c>
      <c r="E49" s="4497">
        <v>9000</v>
      </c>
      <c r="F49" s="4497"/>
      <c r="G49" s="4501">
        <f t="shared" si="2"/>
        <v>25000</v>
      </c>
      <c r="H49" s="4497">
        <f t="shared" si="3"/>
        <v>25000</v>
      </c>
      <c r="I49" s="4497"/>
      <c r="J49" s="4497"/>
      <c r="K49" s="4502">
        <f>+G49</f>
        <v>25000</v>
      </c>
      <c r="L49" s="4497"/>
      <c r="M49" s="4497"/>
      <c r="N49" s="4503"/>
    </row>
    <row r="50" spans="2:14">
      <c r="B50" s="4483" t="s">
        <v>6535</v>
      </c>
      <c r="C50" s="4504" t="s">
        <v>606</v>
      </c>
      <c r="D50" s="4497">
        <v>2610</v>
      </c>
      <c r="E50" s="4497"/>
      <c r="F50" s="4497">
        <v>2160</v>
      </c>
      <c r="G50" s="4501">
        <f t="shared" si="2"/>
        <v>450</v>
      </c>
      <c r="H50" s="4497">
        <f t="shared" si="3"/>
        <v>450</v>
      </c>
      <c r="I50" s="4497"/>
      <c r="J50" s="4497"/>
      <c r="K50" s="4502">
        <f>+G50</f>
        <v>450</v>
      </c>
      <c r="L50" s="4497"/>
      <c r="M50" s="4497"/>
      <c r="N50" s="4503"/>
    </row>
    <row r="51" spans="2:14">
      <c r="B51" s="4505" t="s">
        <v>6992</v>
      </c>
      <c r="C51" s="4504" t="s">
        <v>6691</v>
      </c>
      <c r="D51" s="4497">
        <v>2509.8200000000002</v>
      </c>
      <c r="E51" s="4497"/>
      <c r="F51" s="4497"/>
      <c r="G51" s="4501">
        <f t="shared" si="2"/>
        <v>2509.8200000000002</v>
      </c>
      <c r="H51" s="4497">
        <f t="shared" si="3"/>
        <v>2509.8200000000002</v>
      </c>
      <c r="I51" s="4497"/>
      <c r="J51" s="4497">
        <f>+G51</f>
        <v>2509.8200000000002</v>
      </c>
      <c r="K51" s="4502"/>
      <c r="L51" s="4497"/>
      <c r="M51" s="4497"/>
      <c r="N51" s="4503"/>
    </row>
    <row r="52" spans="2:14">
      <c r="B52" s="4483" t="s">
        <v>6536</v>
      </c>
      <c r="C52" s="4504" t="s">
        <v>6691</v>
      </c>
      <c r="D52" s="4497">
        <v>0</v>
      </c>
      <c r="E52" s="4497"/>
      <c r="F52" s="4497"/>
      <c r="G52" s="4501">
        <f t="shared" si="2"/>
        <v>0</v>
      </c>
      <c r="H52" s="4497">
        <f t="shared" si="3"/>
        <v>0</v>
      </c>
      <c r="I52" s="4497"/>
      <c r="J52" s="4497"/>
      <c r="K52" s="4502">
        <f>+G52</f>
        <v>0</v>
      </c>
      <c r="L52" s="4497"/>
      <c r="M52" s="4497"/>
      <c r="N52" s="4503"/>
    </row>
    <row r="53" spans="2:14">
      <c r="B53" s="4507" t="s">
        <v>5012</v>
      </c>
      <c r="C53" s="4504" t="s">
        <v>6692</v>
      </c>
      <c r="D53" s="4497">
        <v>1292.4000000000001</v>
      </c>
      <c r="E53" s="4497"/>
      <c r="F53" s="4497"/>
      <c r="G53" s="4501">
        <f t="shared" si="2"/>
        <v>1292.4000000000001</v>
      </c>
      <c r="H53" s="4497">
        <f t="shared" si="3"/>
        <v>1292.4000000000001</v>
      </c>
      <c r="I53" s="4497">
        <f>G53</f>
        <v>1292.4000000000001</v>
      </c>
      <c r="J53" s="4497"/>
      <c r="K53" s="4502"/>
      <c r="L53" s="4497"/>
      <c r="M53" s="4497"/>
      <c r="N53" s="4503"/>
    </row>
    <row r="54" spans="2:14">
      <c r="B54" s="4505" t="s">
        <v>5020</v>
      </c>
      <c r="C54" s="4504" t="s">
        <v>6692</v>
      </c>
      <c r="D54" s="4497">
        <v>0</v>
      </c>
      <c r="E54" s="4497">
        <v>15000</v>
      </c>
      <c r="F54" s="4497"/>
      <c r="G54" s="4501">
        <f t="shared" si="2"/>
        <v>15000</v>
      </c>
      <c r="H54" s="4497">
        <f t="shared" si="3"/>
        <v>15000</v>
      </c>
      <c r="I54" s="4497"/>
      <c r="J54" s="4497">
        <f>+G54</f>
        <v>15000</v>
      </c>
      <c r="K54" s="4502"/>
      <c r="L54" s="4497"/>
      <c r="M54" s="4497"/>
      <c r="N54" s="4503"/>
    </row>
    <row r="55" spans="2:14">
      <c r="B55" s="4483" t="s">
        <v>5075</v>
      </c>
      <c r="C55" s="4504" t="s">
        <v>6692</v>
      </c>
      <c r="D55" s="4497">
        <v>32639.040000000001</v>
      </c>
      <c r="E55" s="4497">
        <v>388.16</v>
      </c>
      <c r="F55" s="4497">
        <f>820+1269+2033.88+100.9</f>
        <v>4223.78</v>
      </c>
      <c r="G55" s="4501">
        <f t="shared" si="2"/>
        <v>28803.420000000006</v>
      </c>
      <c r="H55" s="4497">
        <f t="shared" si="3"/>
        <v>28803.420000000006</v>
      </c>
      <c r="I55" s="4497"/>
      <c r="J55" s="4497"/>
      <c r="K55" s="4502">
        <f>G55</f>
        <v>28803.420000000006</v>
      </c>
      <c r="L55" s="4497"/>
      <c r="M55" s="4497"/>
      <c r="N55" s="4503"/>
    </row>
    <row r="56" spans="2:14">
      <c r="B56" s="4507" t="s">
        <v>6765</v>
      </c>
      <c r="C56" s="4504" t="s">
        <v>471</v>
      </c>
      <c r="D56" s="4497">
        <v>0</v>
      </c>
      <c r="E56" s="4497">
        <v>3000</v>
      </c>
      <c r="F56" s="4497"/>
      <c r="G56" s="4501">
        <f t="shared" si="2"/>
        <v>3000</v>
      </c>
      <c r="H56" s="4497">
        <f t="shared" si="3"/>
        <v>3000</v>
      </c>
      <c r="I56" s="4497">
        <f>G56</f>
        <v>3000</v>
      </c>
      <c r="J56" s="4497"/>
      <c r="K56" s="4502"/>
      <c r="L56" s="4497"/>
      <c r="M56" s="4497"/>
      <c r="N56" s="4503"/>
    </row>
    <row r="57" spans="2:14">
      <c r="B57" s="4505" t="s">
        <v>6993</v>
      </c>
      <c r="C57" s="4504" t="s">
        <v>471</v>
      </c>
      <c r="D57" s="4497">
        <v>34000</v>
      </c>
      <c r="E57" s="4497"/>
      <c r="F57" s="4497">
        <v>6000</v>
      </c>
      <c r="G57" s="4501">
        <f t="shared" si="2"/>
        <v>28000</v>
      </c>
      <c r="H57" s="4497">
        <f t="shared" si="3"/>
        <v>28000</v>
      </c>
      <c r="I57" s="4497"/>
      <c r="J57" s="4497">
        <f>G57</f>
        <v>28000</v>
      </c>
      <c r="K57" s="4502"/>
      <c r="L57" s="4497"/>
      <c r="M57" s="4497"/>
      <c r="N57" s="4503"/>
    </row>
    <row r="58" spans="2:14">
      <c r="B58" s="4483" t="s">
        <v>6693</v>
      </c>
      <c r="C58" s="4504" t="s">
        <v>471</v>
      </c>
      <c r="D58" s="4497">
        <v>300</v>
      </c>
      <c r="E58" s="4497"/>
      <c r="F58" s="4497"/>
      <c r="G58" s="4501">
        <f t="shared" ref="G58:G89" si="5">+D58+E58-F58</f>
        <v>300</v>
      </c>
      <c r="H58" s="4497">
        <f t="shared" ref="H58:H89" si="6">+SUM(I58:M58)</f>
        <v>300</v>
      </c>
      <c r="I58" s="4497"/>
      <c r="J58" s="4497"/>
      <c r="K58" s="4502">
        <f>+G58</f>
        <v>300</v>
      </c>
      <c r="L58" s="4497"/>
      <c r="M58" s="4497"/>
      <c r="N58" s="4503"/>
    </row>
    <row r="59" spans="2:14">
      <c r="B59" s="4483" t="s">
        <v>6540</v>
      </c>
      <c r="C59" s="4504" t="s">
        <v>2621</v>
      </c>
      <c r="D59" s="4497">
        <v>520793.42999999993</v>
      </c>
      <c r="E59" s="4497"/>
      <c r="F59" s="4508">
        <v>128000</v>
      </c>
      <c r="G59" s="4501">
        <f t="shared" si="5"/>
        <v>392793.42999999993</v>
      </c>
      <c r="H59" s="4497">
        <f t="shared" si="6"/>
        <v>392793.42999999993</v>
      </c>
      <c r="I59" s="4497"/>
      <c r="J59" s="4497"/>
      <c r="K59" s="4502">
        <f>+G59</f>
        <v>392793.42999999993</v>
      </c>
      <c r="L59" s="4497"/>
      <c r="M59" s="4497"/>
      <c r="N59" s="4503"/>
    </row>
    <row r="60" spans="2:14">
      <c r="B60" s="4507" t="s">
        <v>7202</v>
      </c>
      <c r="C60" s="4504" t="s">
        <v>7203</v>
      </c>
      <c r="D60" s="4497">
        <v>0</v>
      </c>
      <c r="E60" s="4497">
        <f>10402.56*3</f>
        <v>31207.68</v>
      </c>
      <c r="F60" s="4497"/>
      <c r="G60" s="4501">
        <f t="shared" si="5"/>
        <v>31207.68</v>
      </c>
      <c r="H60" s="4497">
        <f t="shared" si="6"/>
        <v>31207.68</v>
      </c>
      <c r="I60" s="4497">
        <f>G60</f>
        <v>31207.68</v>
      </c>
      <c r="J60" s="4497"/>
      <c r="K60" s="4502"/>
      <c r="L60" s="4497"/>
      <c r="M60" s="4497"/>
      <c r="N60" s="4503"/>
    </row>
    <row r="61" spans="2:14">
      <c r="B61" s="4483" t="s">
        <v>7204</v>
      </c>
      <c r="C61" s="4504" t="s">
        <v>3540</v>
      </c>
      <c r="D61" s="4497">
        <v>0</v>
      </c>
      <c r="E61" s="4497">
        <v>20.16</v>
      </c>
      <c r="F61" s="4497"/>
      <c r="G61" s="4501">
        <f t="shared" si="5"/>
        <v>20.16</v>
      </c>
      <c r="H61" s="4497">
        <f t="shared" si="6"/>
        <v>20.16</v>
      </c>
      <c r="I61" s="4497"/>
      <c r="J61" s="4497"/>
      <c r="K61" s="4502">
        <f t="shared" ref="K61:K69" si="7">+G61</f>
        <v>20.16</v>
      </c>
      <c r="L61" s="4497"/>
      <c r="M61" s="4497"/>
      <c r="N61" s="4503"/>
    </row>
    <row r="62" spans="2:14">
      <c r="B62" s="4483" t="s">
        <v>6694</v>
      </c>
      <c r="C62" s="4504" t="s">
        <v>841</v>
      </c>
      <c r="D62" s="4497">
        <v>20446.2</v>
      </c>
      <c r="E62" s="4497"/>
      <c r="F62" s="4497"/>
      <c r="G62" s="4501">
        <f t="shared" si="5"/>
        <v>20446.2</v>
      </c>
      <c r="H62" s="4497">
        <f t="shared" si="6"/>
        <v>20446.2</v>
      </c>
      <c r="I62" s="4497"/>
      <c r="J62" s="4497"/>
      <c r="K62" s="4502">
        <f t="shared" si="7"/>
        <v>20446.2</v>
      </c>
      <c r="L62" s="4497"/>
      <c r="M62" s="4497"/>
      <c r="N62" s="4503"/>
    </row>
    <row r="63" spans="2:14">
      <c r="B63" s="4483" t="s">
        <v>6541</v>
      </c>
      <c r="C63" s="4504" t="s">
        <v>5150</v>
      </c>
      <c r="D63" s="4497">
        <v>0</v>
      </c>
      <c r="E63" s="4497"/>
      <c r="F63" s="4497"/>
      <c r="G63" s="4501">
        <f t="shared" si="5"/>
        <v>0</v>
      </c>
      <c r="H63" s="4497">
        <f t="shared" si="6"/>
        <v>0</v>
      </c>
      <c r="I63" s="4497"/>
      <c r="J63" s="4497"/>
      <c r="K63" s="4502">
        <f t="shared" si="7"/>
        <v>0</v>
      </c>
      <c r="L63" s="4497"/>
      <c r="M63" s="4497"/>
      <c r="N63" s="4503"/>
    </row>
    <row r="64" spans="2:14">
      <c r="B64" s="4483" t="s">
        <v>6542</v>
      </c>
      <c r="C64" s="4504" t="s">
        <v>6695</v>
      </c>
      <c r="D64" s="4497">
        <v>59844.68</v>
      </c>
      <c r="E64" s="4497"/>
      <c r="F64" s="4497"/>
      <c r="G64" s="4501">
        <f t="shared" si="5"/>
        <v>59844.68</v>
      </c>
      <c r="H64" s="4497">
        <f t="shared" si="6"/>
        <v>59844.68</v>
      </c>
      <c r="I64" s="4497"/>
      <c r="J64" s="4497"/>
      <c r="K64" s="4502">
        <f t="shared" si="7"/>
        <v>59844.68</v>
      </c>
      <c r="L64" s="4497"/>
      <c r="M64" s="4497"/>
      <c r="N64" s="4503"/>
    </row>
    <row r="65" spans="2:14">
      <c r="B65" s="4483" t="s">
        <v>6696</v>
      </c>
      <c r="C65" s="4504" t="s">
        <v>6697</v>
      </c>
      <c r="D65" s="4497">
        <v>37040</v>
      </c>
      <c r="E65" s="4497"/>
      <c r="F65" s="4497"/>
      <c r="G65" s="4501">
        <f t="shared" si="5"/>
        <v>37040</v>
      </c>
      <c r="H65" s="4497">
        <f t="shared" si="6"/>
        <v>37040</v>
      </c>
      <c r="I65" s="4497"/>
      <c r="J65" s="4497"/>
      <c r="K65" s="4502">
        <f t="shared" si="7"/>
        <v>37040</v>
      </c>
      <c r="L65" s="4497"/>
      <c r="M65" s="4497"/>
      <c r="N65" s="4503"/>
    </row>
    <row r="66" spans="2:14">
      <c r="B66" s="4483" t="s">
        <v>6543</v>
      </c>
      <c r="C66" s="4504" t="s">
        <v>27</v>
      </c>
      <c r="D66" s="4497">
        <v>12300</v>
      </c>
      <c r="E66" s="4497"/>
      <c r="F66" s="4497">
        <v>600</v>
      </c>
      <c r="G66" s="4501">
        <f t="shared" si="5"/>
        <v>11700</v>
      </c>
      <c r="H66" s="4497">
        <f t="shared" si="6"/>
        <v>11700</v>
      </c>
      <c r="I66" s="4497"/>
      <c r="J66" s="4497"/>
      <c r="K66" s="4502">
        <f t="shared" si="7"/>
        <v>11700</v>
      </c>
      <c r="L66" s="4497"/>
      <c r="M66" s="4497"/>
      <c r="N66" s="4503"/>
    </row>
    <row r="67" spans="2:14">
      <c r="B67" s="4483" t="s">
        <v>6544</v>
      </c>
      <c r="C67" s="4504" t="s">
        <v>1507</v>
      </c>
      <c r="D67" s="4497">
        <v>8000</v>
      </c>
      <c r="E67" s="4497"/>
      <c r="F67" s="4497">
        <v>6000</v>
      </c>
      <c r="G67" s="4501">
        <f t="shared" si="5"/>
        <v>2000</v>
      </c>
      <c r="H67" s="4497">
        <f t="shared" si="6"/>
        <v>2000</v>
      </c>
      <c r="I67" s="4497"/>
      <c r="J67" s="4497"/>
      <c r="K67" s="4502">
        <f t="shared" si="7"/>
        <v>2000</v>
      </c>
      <c r="L67" s="4497"/>
      <c r="M67" s="4497"/>
      <c r="N67" s="4503"/>
    </row>
    <row r="68" spans="2:14">
      <c r="B68" s="4483" t="s">
        <v>6545</v>
      </c>
      <c r="C68" s="4504" t="s">
        <v>29</v>
      </c>
      <c r="D68" s="4497">
        <v>20000</v>
      </c>
      <c r="E68" s="4497"/>
      <c r="F68" s="4497"/>
      <c r="G68" s="4501">
        <f t="shared" si="5"/>
        <v>20000</v>
      </c>
      <c r="H68" s="4497">
        <f t="shared" si="6"/>
        <v>20000</v>
      </c>
      <c r="I68" s="4497"/>
      <c r="J68" s="4497"/>
      <c r="K68" s="4502">
        <f t="shared" si="7"/>
        <v>20000</v>
      </c>
      <c r="L68" s="4497"/>
      <c r="M68" s="4497"/>
      <c r="N68" s="4503"/>
    </row>
    <row r="69" spans="2:14">
      <c r="B69" s="4483" t="s">
        <v>6546</v>
      </c>
      <c r="C69" s="4504" t="s">
        <v>30</v>
      </c>
      <c r="D69" s="4497">
        <v>8400</v>
      </c>
      <c r="E69" s="4497"/>
      <c r="F69" s="4497"/>
      <c r="G69" s="4501">
        <f t="shared" si="5"/>
        <v>8400</v>
      </c>
      <c r="H69" s="4497">
        <f t="shared" si="6"/>
        <v>8400</v>
      </c>
      <c r="I69" s="4497"/>
      <c r="J69" s="4497"/>
      <c r="K69" s="4502">
        <f t="shared" si="7"/>
        <v>8400</v>
      </c>
      <c r="L69" s="4497"/>
      <c r="M69" s="4497"/>
      <c r="N69" s="4503"/>
    </row>
    <row r="70" spans="2:14">
      <c r="B70" s="4509" t="s">
        <v>6643</v>
      </c>
      <c r="C70" s="4504" t="s">
        <v>6698</v>
      </c>
      <c r="D70" s="4497">
        <v>8801.91</v>
      </c>
      <c r="E70" s="4510"/>
      <c r="F70" s="4497">
        <v>8801.91</v>
      </c>
      <c r="G70" s="4501">
        <f t="shared" si="5"/>
        <v>0</v>
      </c>
      <c r="H70" s="4497">
        <f t="shared" si="6"/>
        <v>0</v>
      </c>
      <c r="I70" s="4497"/>
      <c r="J70" s="4497">
        <f>G70</f>
        <v>0</v>
      </c>
      <c r="K70" s="4502"/>
      <c r="L70" s="4497"/>
      <c r="M70" s="4497"/>
      <c r="N70" s="4503"/>
    </row>
    <row r="71" spans="2:14">
      <c r="B71" s="4483" t="s">
        <v>6547</v>
      </c>
      <c r="C71" s="4504" t="s">
        <v>6698</v>
      </c>
      <c r="D71" s="4497">
        <v>12000</v>
      </c>
      <c r="E71" s="4497"/>
      <c r="F71" s="4497"/>
      <c r="G71" s="4501">
        <f t="shared" si="5"/>
        <v>12000</v>
      </c>
      <c r="H71" s="4497">
        <f t="shared" si="6"/>
        <v>12000</v>
      </c>
      <c r="I71" s="4497"/>
      <c r="J71" s="4497"/>
      <c r="K71" s="4502">
        <f>+G71</f>
        <v>12000</v>
      </c>
      <c r="L71" s="4497"/>
      <c r="M71" s="4497"/>
      <c r="N71" s="4503"/>
    </row>
    <row r="72" spans="2:14">
      <c r="B72" s="4507" t="s">
        <v>6699</v>
      </c>
      <c r="C72" s="4504" t="s">
        <v>281</v>
      </c>
      <c r="D72" s="4497">
        <v>0</v>
      </c>
      <c r="E72" s="4497"/>
      <c r="F72" s="4497"/>
      <c r="G72" s="4501">
        <f t="shared" si="5"/>
        <v>0</v>
      </c>
      <c r="H72" s="4497">
        <f t="shared" si="6"/>
        <v>0</v>
      </c>
      <c r="I72" s="4497">
        <f>+G72</f>
        <v>0</v>
      </c>
      <c r="J72" s="4497"/>
      <c r="K72" s="4502"/>
      <c r="L72" s="4497"/>
      <c r="M72" s="4497"/>
      <c r="N72" s="4503"/>
    </row>
    <row r="73" spans="2:14">
      <c r="B73" s="4509" t="s">
        <v>6700</v>
      </c>
      <c r="C73" s="4504" t="s">
        <v>281</v>
      </c>
      <c r="D73" s="4497">
        <v>78641.759999999995</v>
      </c>
      <c r="E73" s="4497">
        <v>17997.61</v>
      </c>
      <c r="F73" s="4497"/>
      <c r="G73" s="4501">
        <f t="shared" si="5"/>
        <v>96639.37</v>
      </c>
      <c r="H73" s="4497">
        <f t="shared" si="6"/>
        <v>96639.37</v>
      </c>
      <c r="I73" s="4497"/>
      <c r="J73" s="4497">
        <f>+G73</f>
        <v>96639.37</v>
      </c>
      <c r="K73" s="4502"/>
      <c r="L73" s="4497"/>
      <c r="M73" s="4497"/>
      <c r="N73" s="4503"/>
    </row>
    <row r="74" spans="2:14">
      <c r="B74" s="4483" t="s">
        <v>6701</v>
      </c>
      <c r="C74" s="4504" t="s">
        <v>281</v>
      </c>
      <c r="D74" s="4497">
        <v>16427.870000000024</v>
      </c>
      <c r="E74" s="4497"/>
      <c r="F74" s="4497">
        <f>4393.87+449+6500</f>
        <v>11342.869999999999</v>
      </c>
      <c r="G74" s="4501">
        <f t="shared" si="5"/>
        <v>5085.0000000000255</v>
      </c>
      <c r="H74" s="4497">
        <f t="shared" si="6"/>
        <v>5085.0000000000255</v>
      </c>
      <c r="I74" s="4497"/>
      <c r="J74" s="4497"/>
      <c r="K74" s="4502">
        <f>+G74</f>
        <v>5085.0000000000255</v>
      </c>
      <c r="L74" s="4497"/>
      <c r="M74" s="4497"/>
      <c r="N74" s="4503"/>
    </row>
    <row r="75" spans="2:14">
      <c r="B75" s="4483" t="s">
        <v>6702</v>
      </c>
      <c r="C75" s="4504" t="s">
        <v>6703</v>
      </c>
      <c r="D75" s="4497">
        <v>15340</v>
      </c>
      <c r="E75" s="4497"/>
      <c r="F75" s="4497">
        <v>1947</v>
      </c>
      <c r="G75" s="4501">
        <f t="shared" si="5"/>
        <v>13393</v>
      </c>
      <c r="H75" s="4497">
        <f t="shared" si="6"/>
        <v>13393</v>
      </c>
      <c r="I75" s="4497"/>
      <c r="J75" s="4497"/>
      <c r="K75" s="4502">
        <f>+G75</f>
        <v>13393</v>
      </c>
      <c r="L75" s="4497"/>
      <c r="M75" s="4497"/>
      <c r="N75" s="4503"/>
    </row>
    <row r="76" spans="2:14">
      <c r="B76" s="4483" t="s">
        <v>6706</v>
      </c>
      <c r="C76" s="4504" t="s">
        <v>6705</v>
      </c>
      <c r="D76" s="4497">
        <v>33348.43</v>
      </c>
      <c r="E76" s="4497">
        <f>1184+1000</f>
        <v>2184</v>
      </c>
      <c r="F76" s="4497">
        <v>7619.55</v>
      </c>
      <c r="G76" s="4501">
        <f t="shared" si="5"/>
        <v>27912.880000000001</v>
      </c>
      <c r="H76" s="4497">
        <f t="shared" si="6"/>
        <v>27912.880000000001</v>
      </c>
      <c r="I76" s="4497"/>
      <c r="J76" s="4497"/>
      <c r="K76" s="4502">
        <f>+G76</f>
        <v>27912.880000000001</v>
      </c>
      <c r="L76" s="4497"/>
      <c r="M76" s="4497"/>
      <c r="N76" s="4503"/>
    </row>
    <row r="77" spans="2:14">
      <c r="B77" s="4509" t="s">
        <v>6707</v>
      </c>
      <c r="C77" s="4504" t="s">
        <v>3855</v>
      </c>
      <c r="D77" s="4497">
        <v>6109.19</v>
      </c>
      <c r="E77" s="4497"/>
      <c r="F77" s="4497"/>
      <c r="G77" s="4501">
        <f t="shared" si="5"/>
        <v>6109.19</v>
      </c>
      <c r="H77" s="4497">
        <f t="shared" si="6"/>
        <v>6109.19</v>
      </c>
      <c r="I77" s="4497"/>
      <c r="J77" s="4497">
        <f>+G77</f>
        <v>6109.19</v>
      </c>
      <c r="K77" s="4502"/>
      <c r="L77" s="4497"/>
      <c r="M77" s="4497"/>
      <c r="N77" s="4503"/>
    </row>
    <row r="78" spans="2:14">
      <c r="B78" s="4483" t="s">
        <v>6550</v>
      </c>
      <c r="C78" s="4504" t="s">
        <v>3855</v>
      </c>
      <c r="D78" s="4497">
        <v>52902.86</v>
      </c>
      <c r="E78" s="4497"/>
      <c r="F78" s="4497">
        <v>2500</v>
      </c>
      <c r="G78" s="4501">
        <f t="shared" si="5"/>
        <v>50402.86</v>
      </c>
      <c r="H78" s="4497">
        <f t="shared" si="6"/>
        <v>50402.86</v>
      </c>
      <c r="I78" s="4497"/>
      <c r="J78" s="4497"/>
      <c r="K78" s="4502">
        <f>+G78</f>
        <v>50402.86</v>
      </c>
      <c r="L78" s="4497"/>
      <c r="M78" s="4497"/>
      <c r="N78" s="4503"/>
    </row>
    <row r="79" spans="2:14">
      <c r="B79" s="4483" t="s">
        <v>6994</v>
      </c>
      <c r="C79" s="4504" t="s">
        <v>6995</v>
      </c>
      <c r="D79" s="4497">
        <v>200</v>
      </c>
      <c r="E79" s="4497"/>
      <c r="F79" s="4497"/>
      <c r="G79" s="4501">
        <f t="shared" si="5"/>
        <v>200</v>
      </c>
      <c r="H79" s="4497">
        <f t="shared" si="6"/>
        <v>200</v>
      </c>
      <c r="I79" s="4497"/>
      <c r="J79" s="4497"/>
      <c r="K79" s="4502">
        <f>+G79</f>
        <v>200</v>
      </c>
      <c r="L79" s="4497"/>
      <c r="M79" s="4497"/>
      <c r="N79" s="4503"/>
    </row>
    <row r="80" spans="2:14">
      <c r="B80" s="4507" t="s">
        <v>6996</v>
      </c>
      <c r="C80" s="4504" t="s">
        <v>6709</v>
      </c>
      <c r="D80" s="4497">
        <v>17474.61</v>
      </c>
      <c r="E80" s="4508">
        <f>136405.46</f>
        <v>136405.46</v>
      </c>
      <c r="F80" s="4497">
        <v>1974.61</v>
      </c>
      <c r="G80" s="4501">
        <f t="shared" si="5"/>
        <v>151905.46000000002</v>
      </c>
      <c r="H80" s="4497">
        <f t="shared" si="6"/>
        <v>151905.46000000002</v>
      </c>
      <c r="I80" s="4497">
        <f>G80</f>
        <v>151905.46000000002</v>
      </c>
      <c r="J80" s="4497"/>
      <c r="K80" s="4502"/>
      <c r="L80" s="4497"/>
      <c r="M80" s="4497"/>
      <c r="N80" s="4503"/>
    </row>
    <row r="81" spans="2:14">
      <c r="B81" s="4483" t="s">
        <v>6708</v>
      </c>
      <c r="C81" s="4504" t="s">
        <v>6709</v>
      </c>
      <c r="D81" s="4497">
        <v>0</v>
      </c>
      <c r="E81" s="4497">
        <f>67200+16800</f>
        <v>84000</v>
      </c>
      <c r="F81" s="4497"/>
      <c r="G81" s="4501">
        <f t="shared" si="5"/>
        <v>84000</v>
      </c>
      <c r="H81" s="4497">
        <f t="shared" si="6"/>
        <v>84000</v>
      </c>
      <c r="I81" s="4497"/>
      <c r="J81" s="4497"/>
      <c r="K81" s="4502">
        <f>+G81</f>
        <v>84000</v>
      </c>
      <c r="L81" s="4497"/>
      <c r="M81" s="4497"/>
      <c r="N81" s="4503"/>
    </row>
    <row r="82" spans="2:14">
      <c r="B82" s="4483" t="s">
        <v>6997</v>
      </c>
      <c r="C82" s="4504" t="s">
        <v>307</v>
      </c>
      <c r="D82" s="4497">
        <v>7056</v>
      </c>
      <c r="E82" s="4497"/>
      <c r="F82" s="4497">
        <v>756</v>
      </c>
      <c r="G82" s="4501">
        <f t="shared" si="5"/>
        <v>6300</v>
      </c>
      <c r="H82" s="4497">
        <f t="shared" si="6"/>
        <v>6300</v>
      </c>
      <c r="I82" s="4497"/>
      <c r="J82" s="4497"/>
      <c r="K82" s="4502">
        <f>+G82</f>
        <v>6300</v>
      </c>
      <c r="L82" s="4497"/>
      <c r="M82" s="4497"/>
      <c r="N82" s="4503"/>
    </row>
    <row r="83" spans="2:14">
      <c r="B83" s="4483" t="s">
        <v>6552</v>
      </c>
      <c r="C83" s="4504" t="s">
        <v>6710</v>
      </c>
      <c r="D83" s="4497">
        <v>0</v>
      </c>
      <c r="E83" s="4497"/>
      <c r="F83" s="4497"/>
      <c r="G83" s="4501">
        <f t="shared" si="5"/>
        <v>0</v>
      </c>
      <c r="H83" s="4497">
        <f t="shared" si="6"/>
        <v>0</v>
      </c>
      <c r="I83" s="4497"/>
      <c r="J83" s="4497"/>
      <c r="K83" s="4502">
        <f>+G83</f>
        <v>0</v>
      </c>
      <c r="L83" s="4497"/>
      <c r="M83" s="4497"/>
      <c r="N83" s="4503"/>
    </row>
    <row r="84" spans="2:14">
      <c r="B84" s="4483" t="s">
        <v>6553</v>
      </c>
      <c r="C84" s="4504" t="s">
        <v>2507</v>
      </c>
      <c r="D84" s="4497">
        <v>3422.43</v>
      </c>
      <c r="E84" s="4497">
        <f>1315.45+8000+7156.55</f>
        <v>16472</v>
      </c>
      <c r="F84" s="4497"/>
      <c r="G84" s="4501">
        <f t="shared" si="5"/>
        <v>19894.43</v>
      </c>
      <c r="H84" s="4497">
        <f t="shared" si="6"/>
        <v>19894.43</v>
      </c>
      <c r="I84" s="4497"/>
      <c r="J84" s="4497"/>
      <c r="K84" s="4502">
        <f>+G84</f>
        <v>19894.43</v>
      </c>
      <c r="L84" s="4497"/>
      <c r="M84" s="4497"/>
      <c r="N84" s="4503"/>
    </row>
    <row r="85" spans="2:14">
      <c r="B85" s="4507" t="s">
        <v>6601</v>
      </c>
      <c r="C85" s="4504" t="s">
        <v>1360</v>
      </c>
      <c r="D85" s="4497">
        <v>12060.16</v>
      </c>
      <c r="E85" s="4497">
        <f>1881.6</f>
        <v>1881.6</v>
      </c>
      <c r="F85" s="4497"/>
      <c r="G85" s="4501">
        <f t="shared" si="5"/>
        <v>13941.76</v>
      </c>
      <c r="H85" s="4497">
        <f t="shared" si="6"/>
        <v>13941.76</v>
      </c>
      <c r="I85" s="4497">
        <f>+G85</f>
        <v>13941.76</v>
      </c>
      <c r="J85" s="4497"/>
      <c r="K85" s="4502"/>
      <c r="L85" s="4497"/>
      <c r="M85" s="4497"/>
      <c r="N85" s="4503"/>
    </row>
    <row r="86" spans="2:14">
      <c r="B86" s="4483" t="s">
        <v>6603</v>
      </c>
      <c r="C86" s="4504" t="s">
        <v>1360</v>
      </c>
      <c r="D86" s="4497">
        <v>12000</v>
      </c>
      <c r="E86" s="4497"/>
      <c r="F86" s="4497">
        <v>6000</v>
      </c>
      <c r="G86" s="4501">
        <f t="shared" si="5"/>
        <v>6000</v>
      </c>
      <c r="H86" s="4497">
        <f t="shared" si="6"/>
        <v>6000</v>
      </c>
      <c r="I86" s="4497"/>
      <c r="J86" s="4497"/>
      <c r="K86" s="4502">
        <f>+G86</f>
        <v>6000</v>
      </c>
      <c r="L86" s="4497"/>
      <c r="M86" s="4497"/>
      <c r="N86" s="4503"/>
    </row>
    <row r="87" spans="2:14">
      <c r="B87" s="4509" t="s">
        <v>5097</v>
      </c>
      <c r="C87" s="4504" t="s">
        <v>1665</v>
      </c>
      <c r="D87" s="4497">
        <v>0</v>
      </c>
      <c r="E87" s="4497">
        <v>2500</v>
      </c>
      <c r="F87" s="4497"/>
      <c r="G87" s="4501">
        <f t="shared" si="5"/>
        <v>2500</v>
      </c>
      <c r="H87" s="4497">
        <f t="shared" si="6"/>
        <v>2500</v>
      </c>
      <c r="I87" s="4511"/>
      <c r="J87" s="4508">
        <f>+G87</f>
        <v>2500</v>
      </c>
      <c r="K87" s="4502"/>
      <c r="L87" s="4497"/>
      <c r="M87" s="4497"/>
      <c r="N87" s="4503"/>
    </row>
    <row r="88" spans="2:14">
      <c r="B88" s="4483" t="s">
        <v>6555</v>
      </c>
      <c r="C88" s="4504" t="s">
        <v>1665</v>
      </c>
      <c r="D88" s="4497">
        <v>0</v>
      </c>
      <c r="E88" s="4497"/>
      <c r="F88" s="4497"/>
      <c r="G88" s="4501">
        <f t="shared" si="5"/>
        <v>0</v>
      </c>
      <c r="H88" s="4497">
        <f t="shared" si="6"/>
        <v>0</v>
      </c>
      <c r="I88" s="4497"/>
      <c r="J88" s="4497"/>
      <c r="K88" s="4502">
        <f>+G88</f>
        <v>0</v>
      </c>
      <c r="L88" s="4497"/>
      <c r="M88" s="4497"/>
      <c r="N88" s="4503"/>
    </row>
    <row r="89" spans="2:14">
      <c r="B89" s="4483" t="s">
        <v>6556</v>
      </c>
      <c r="C89" s="4504" t="s">
        <v>148</v>
      </c>
      <c r="D89" s="4497">
        <v>922</v>
      </c>
      <c r="E89" s="4497">
        <v>2184</v>
      </c>
      <c r="F89" s="4497">
        <v>672</v>
      </c>
      <c r="G89" s="4501">
        <f t="shared" si="5"/>
        <v>2434</v>
      </c>
      <c r="H89" s="4497">
        <f t="shared" si="6"/>
        <v>2434</v>
      </c>
      <c r="I89" s="4497"/>
      <c r="J89" s="4497"/>
      <c r="K89" s="4502">
        <f>+G89</f>
        <v>2434</v>
      </c>
      <c r="L89" s="4497"/>
      <c r="M89" s="4497"/>
      <c r="N89" s="4503"/>
    </row>
    <row r="90" spans="2:14">
      <c r="B90" s="4507" t="s">
        <v>6711</v>
      </c>
      <c r="C90" s="4504" t="s">
        <v>6712</v>
      </c>
      <c r="D90" s="4497">
        <v>287.08</v>
      </c>
      <c r="E90" s="4497"/>
      <c r="F90" s="4497"/>
      <c r="G90" s="4501">
        <f t="shared" ref="G90:G121" si="8">+D90+E90-F90</f>
        <v>287.08</v>
      </c>
      <c r="H90" s="4497">
        <f t="shared" ref="H90:H121" si="9">+SUM(I90:M90)</f>
        <v>287.08</v>
      </c>
      <c r="I90" s="4511">
        <f>+G90</f>
        <v>287.08</v>
      </c>
      <c r="J90" s="4508"/>
      <c r="K90" s="4502"/>
      <c r="L90" s="4497"/>
      <c r="M90" s="4497"/>
      <c r="N90" s="4503"/>
    </row>
    <row r="91" spans="2:14">
      <c r="B91" s="4483" t="s">
        <v>6557</v>
      </c>
      <c r="C91" s="4504" t="s">
        <v>6712</v>
      </c>
      <c r="D91" s="4497">
        <v>73466</v>
      </c>
      <c r="E91" s="4497"/>
      <c r="F91" s="4497">
        <f>3660.23+3264</f>
        <v>6924.23</v>
      </c>
      <c r="G91" s="4501">
        <f t="shared" si="8"/>
        <v>66541.77</v>
      </c>
      <c r="H91" s="4497">
        <f t="shared" si="9"/>
        <v>66541.77</v>
      </c>
      <c r="I91" s="4511"/>
      <c r="J91" s="4508"/>
      <c r="K91" s="4502">
        <f>+G91</f>
        <v>66541.77</v>
      </c>
      <c r="L91" s="4497"/>
      <c r="M91" s="4497"/>
      <c r="N91" s="4503"/>
    </row>
    <row r="92" spans="2:14">
      <c r="B92" s="4483" t="s">
        <v>6558</v>
      </c>
      <c r="C92" s="4504" t="s">
        <v>3862</v>
      </c>
      <c r="D92" s="4497">
        <v>10000</v>
      </c>
      <c r="E92" s="4497"/>
      <c r="F92" s="4497">
        <v>5000</v>
      </c>
      <c r="G92" s="4501">
        <f t="shared" si="8"/>
        <v>5000</v>
      </c>
      <c r="H92" s="4497">
        <f t="shared" si="9"/>
        <v>5000</v>
      </c>
      <c r="I92" s="4511"/>
      <c r="J92" s="4508"/>
      <c r="K92" s="4502">
        <f>+G92</f>
        <v>5000</v>
      </c>
      <c r="L92" s="4497"/>
      <c r="M92" s="4497"/>
      <c r="N92" s="4503"/>
    </row>
    <row r="93" spans="2:14">
      <c r="B93" s="4507" t="s">
        <v>6803</v>
      </c>
      <c r="C93" s="4504" t="s">
        <v>2003</v>
      </c>
      <c r="D93" s="4497">
        <v>30</v>
      </c>
      <c r="E93" s="4497"/>
      <c r="F93" s="4497">
        <v>3.22</v>
      </c>
      <c r="G93" s="4501">
        <f t="shared" si="8"/>
        <v>26.78</v>
      </c>
      <c r="H93" s="4497">
        <f t="shared" si="9"/>
        <v>26.78</v>
      </c>
      <c r="I93" s="4511">
        <f>+G93</f>
        <v>26.78</v>
      </c>
      <c r="J93" s="4508"/>
      <c r="K93" s="4502"/>
      <c r="L93" s="4497"/>
      <c r="M93" s="4497"/>
      <c r="N93" s="4503"/>
    </row>
    <row r="94" spans="2:14">
      <c r="B94" s="4509" t="s">
        <v>6713</v>
      </c>
      <c r="C94" s="4504" t="s">
        <v>2003</v>
      </c>
      <c r="D94" s="4497">
        <v>16816.189999999999</v>
      </c>
      <c r="E94" s="4497"/>
      <c r="F94" s="4497">
        <v>3000</v>
      </c>
      <c r="G94" s="4501">
        <f t="shared" si="8"/>
        <v>13816.189999999999</v>
      </c>
      <c r="H94" s="4497">
        <f t="shared" si="9"/>
        <v>13816.189999999999</v>
      </c>
      <c r="I94" s="4511"/>
      <c r="J94" s="4508">
        <f>+G94</f>
        <v>13816.189999999999</v>
      </c>
      <c r="K94" s="4502"/>
      <c r="L94" s="4497"/>
      <c r="M94" s="4497"/>
      <c r="N94" s="4503"/>
    </row>
    <row r="95" spans="2:14">
      <c r="B95" s="4483" t="s">
        <v>6714</v>
      </c>
      <c r="C95" s="4504" t="s">
        <v>2003</v>
      </c>
      <c r="D95" s="4497">
        <v>0</v>
      </c>
      <c r="E95" s="4497"/>
      <c r="F95" s="4497"/>
      <c r="G95" s="4501">
        <f t="shared" si="8"/>
        <v>0</v>
      </c>
      <c r="H95" s="4497">
        <f t="shared" si="9"/>
        <v>0</v>
      </c>
      <c r="I95" s="4511"/>
      <c r="J95" s="4508"/>
      <c r="K95" s="4502">
        <f>+G95</f>
        <v>0</v>
      </c>
      <c r="L95" s="4497"/>
      <c r="M95" s="4497"/>
      <c r="N95" s="4503"/>
    </row>
    <row r="96" spans="2:14">
      <c r="B96" s="4483" t="s">
        <v>6561</v>
      </c>
      <c r="C96" s="4504" t="s">
        <v>3817</v>
      </c>
      <c r="D96" s="4497">
        <v>14660</v>
      </c>
      <c r="E96" s="4497"/>
      <c r="F96" s="4497">
        <v>2000</v>
      </c>
      <c r="G96" s="4501">
        <f t="shared" si="8"/>
        <v>12660</v>
      </c>
      <c r="H96" s="4497">
        <f t="shared" si="9"/>
        <v>12660</v>
      </c>
      <c r="I96" s="4497"/>
      <c r="J96" s="4511"/>
      <c r="K96" s="4502">
        <f>+G96</f>
        <v>12660</v>
      </c>
      <c r="L96" s="4497"/>
      <c r="M96" s="4497"/>
      <c r="N96" s="4503"/>
    </row>
    <row r="97" spans="2:14">
      <c r="B97" s="4483" t="s">
        <v>6715</v>
      </c>
      <c r="C97" s="4504" t="s">
        <v>1006</v>
      </c>
      <c r="D97" s="4497">
        <v>13380</v>
      </c>
      <c r="E97" s="4497"/>
      <c r="F97" s="4497">
        <v>1400</v>
      </c>
      <c r="G97" s="4501">
        <f t="shared" si="8"/>
        <v>11980</v>
      </c>
      <c r="H97" s="4497">
        <f t="shared" si="9"/>
        <v>11980</v>
      </c>
      <c r="I97" s="4497"/>
      <c r="J97" s="4497"/>
      <c r="K97" s="4502">
        <f>+G97</f>
        <v>11980</v>
      </c>
      <c r="L97" s="4497"/>
      <c r="M97" s="4497"/>
      <c r="N97" s="4503"/>
    </row>
    <row r="98" spans="2:14">
      <c r="B98" s="4483" t="s">
        <v>6563</v>
      </c>
      <c r="C98" s="4504" t="s">
        <v>956</v>
      </c>
      <c r="D98" s="4497">
        <v>6767.9400000000005</v>
      </c>
      <c r="E98" s="4497">
        <v>49108.37</v>
      </c>
      <c r="F98" s="4497"/>
      <c r="G98" s="4501">
        <f t="shared" si="8"/>
        <v>55876.310000000005</v>
      </c>
      <c r="H98" s="4497">
        <f t="shared" si="9"/>
        <v>55876.310000000005</v>
      </c>
      <c r="I98" s="4497"/>
      <c r="J98" s="4497"/>
      <c r="K98" s="4502">
        <f>+G98</f>
        <v>55876.310000000005</v>
      </c>
      <c r="L98" s="4497"/>
      <c r="M98" s="4497"/>
      <c r="N98" s="4503"/>
    </row>
    <row r="99" spans="2:14">
      <c r="B99" s="4507" t="s">
        <v>6716</v>
      </c>
      <c r="C99" s="4504" t="s">
        <v>6717</v>
      </c>
      <c r="D99" s="4497">
        <v>600</v>
      </c>
      <c r="E99" s="4497"/>
      <c r="F99" s="4497"/>
      <c r="G99" s="4501">
        <f t="shared" si="8"/>
        <v>600</v>
      </c>
      <c r="H99" s="4497">
        <f t="shared" si="9"/>
        <v>600</v>
      </c>
      <c r="I99" s="4497">
        <f>+G99</f>
        <v>600</v>
      </c>
      <c r="J99" s="4497"/>
      <c r="K99" s="4502"/>
      <c r="L99" s="4497"/>
      <c r="M99" s="4497"/>
      <c r="N99" s="4503"/>
    </row>
    <row r="100" spans="2:14">
      <c r="B100" s="4483" t="s">
        <v>6718</v>
      </c>
      <c r="C100" s="4504" t="s">
        <v>6717</v>
      </c>
      <c r="D100" s="4497">
        <v>26006.31</v>
      </c>
      <c r="E100" s="4497"/>
      <c r="F100" s="4497">
        <f>61.67+7156.55</f>
        <v>7218.22</v>
      </c>
      <c r="G100" s="4501">
        <f t="shared" si="8"/>
        <v>18788.09</v>
      </c>
      <c r="H100" s="4497">
        <f t="shared" si="9"/>
        <v>18788.09</v>
      </c>
      <c r="I100" s="4497"/>
      <c r="J100" s="4497"/>
      <c r="K100" s="4502">
        <f>+G100</f>
        <v>18788.09</v>
      </c>
      <c r="L100" s="4497"/>
      <c r="M100" s="4497"/>
      <c r="N100" s="4503"/>
    </row>
    <row r="101" spans="2:14">
      <c r="B101" s="4483" t="s">
        <v>5375</v>
      </c>
      <c r="C101" s="4504" t="s">
        <v>1089</v>
      </c>
      <c r="D101" s="4497">
        <v>2901.38</v>
      </c>
      <c r="E101" s="4497"/>
      <c r="F101" s="4497"/>
      <c r="G101" s="4501">
        <f t="shared" si="8"/>
        <v>2901.38</v>
      </c>
      <c r="H101" s="4497">
        <f t="shared" si="9"/>
        <v>2901.38</v>
      </c>
      <c r="I101" s="4497"/>
      <c r="J101" s="4497"/>
      <c r="K101" s="4502">
        <f>+G101</f>
        <v>2901.38</v>
      </c>
      <c r="L101" s="4497"/>
      <c r="M101" s="4497"/>
      <c r="N101" s="4503"/>
    </row>
    <row r="102" spans="2:14">
      <c r="B102" s="4507" t="s">
        <v>6608</v>
      </c>
      <c r="C102" s="4504" t="s">
        <v>2694</v>
      </c>
      <c r="D102" s="4497">
        <v>10197.6</v>
      </c>
      <c r="E102" s="4497"/>
      <c r="F102" s="4497">
        <f>2160.45</f>
        <v>2160.4499999999998</v>
      </c>
      <c r="G102" s="4501">
        <f t="shared" si="8"/>
        <v>8037.1500000000005</v>
      </c>
      <c r="H102" s="4497">
        <f t="shared" si="9"/>
        <v>8037.1500000000005</v>
      </c>
      <c r="I102" s="4497">
        <f>+G102</f>
        <v>8037.1500000000005</v>
      </c>
      <c r="J102" s="4497"/>
      <c r="K102" s="4502"/>
      <c r="L102" s="4497"/>
      <c r="M102" s="4497"/>
      <c r="N102" s="4503"/>
    </row>
    <row r="103" spans="2:14">
      <c r="B103" s="4483" t="s">
        <v>6565</v>
      </c>
      <c r="C103" s="4504" t="s">
        <v>2694</v>
      </c>
      <c r="D103" s="4497">
        <v>3298.72</v>
      </c>
      <c r="E103" s="4497"/>
      <c r="F103" s="4497"/>
      <c r="G103" s="4501">
        <f t="shared" si="8"/>
        <v>3298.72</v>
      </c>
      <c r="H103" s="4497">
        <f t="shared" si="9"/>
        <v>3298.72</v>
      </c>
      <c r="I103" s="4497"/>
      <c r="J103" s="4497"/>
      <c r="K103" s="4502">
        <f t="shared" ref="K103:K112" si="10">+G103</f>
        <v>3298.72</v>
      </c>
      <c r="L103" s="4497"/>
      <c r="M103" s="4497"/>
      <c r="N103" s="4503"/>
    </row>
    <row r="104" spans="2:14">
      <c r="B104" s="4483" t="s">
        <v>6808</v>
      </c>
      <c r="C104" s="4504" t="s">
        <v>4141</v>
      </c>
      <c r="D104" s="4497">
        <v>100</v>
      </c>
      <c r="E104" s="4497"/>
      <c r="F104" s="4497"/>
      <c r="G104" s="4501">
        <f t="shared" si="8"/>
        <v>100</v>
      </c>
      <c r="H104" s="4497">
        <f t="shared" si="9"/>
        <v>100</v>
      </c>
      <c r="I104" s="4497"/>
      <c r="J104" s="4497"/>
      <c r="K104" s="4502">
        <f t="shared" si="10"/>
        <v>100</v>
      </c>
      <c r="L104" s="4497"/>
      <c r="M104" s="4497"/>
      <c r="N104" s="4503"/>
    </row>
    <row r="105" spans="2:14">
      <c r="B105" s="4483" t="s">
        <v>6566</v>
      </c>
      <c r="C105" s="4504" t="s">
        <v>3341</v>
      </c>
      <c r="D105" s="4497">
        <v>2869.12</v>
      </c>
      <c r="E105" s="4497"/>
      <c r="F105" s="4497"/>
      <c r="G105" s="4501">
        <f t="shared" si="8"/>
        <v>2869.12</v>
      </c>
      <c r="H105" s="4497">
        <f t="shared" si="9"/>
        <v>2869.12</v>
      </c>
      <c r="I105" s="4497"/>
      <c r="J105" s="4497"/>
      <c r="K105" s="4502">
        <f t="shared" si="10"/>
        <v>2869.12</v>
      </c>
      <c r="L105" s="4497"/>
      <c r="M105" s="4497"/>
      <c r="N105" s="4503"/>
    </row>
    <row r="106" spans="2:14">
      <c r="B106" s="4483" t="s">
        <v>6998</v>
      </c>
      <c r="C106" s="4504" t="s">
        <v>6999</v>
      </c>
      <c r="D106" s="4497">
        <v>5000</v>
      </c>
      <c r="E106" s="4497"/>
      <c r="F106" s="4497"/>
      <c r="G106" s="4501">
        <f t="shared" si="8"/>
        <v>5000</v>
      </c>
      <c r="H106" s="4497">
        <f t="shared" si="9"/>
        <v>5000</v>
      </c>
      <c r="I106" s="4497"/>
      <c r="J106" s="4497"/>
      <c r="K106" s="4502">
        <f t="shared" si="10"/>
        <v>5000</v>
      </c>
      <c r="L106" s="4497"/>
      <c r="M106" s="4497"/>
      <c r="N106" s="4503"/>
    </row>
    <row r="107" spans="2:14">
      <c r="B107" s="4483" t="s">
        <v>6567</v>
      </c>
      <c r="C107" s="4504" t="s">
        <v>6568</v>
      </c>
      <c r="D107" s="4497">
        <v>0</v>
      </c>
      <c r="E107" s="4497"/>
      <c r="F107" s="4497"/>
      <c r="G107" s="4501">
        <f t="shared" si="8"/>
        <v>0</v>
      </c>
      <c r="H107" s="4497">
        <f t="shared" si="9"/>
        <v>0</v>
      </c>
      <c r="I107" s="4497"/>
      <c r="J107" s="4497"/>
      <c r="K107" s="4502">
        <f t="shared" si="10"/>
        <v>0</v>
      </c>
      <c r="L107" s="4497"/>
      <c r="M107" s="4497"/>
      <c r="N107" s="4503"/>
    </row>
    <row r="108" spans="2:14">
      <c r="B108" s="4483" t="s">
        <v>6721</v>
      </c>
      <c r="C108" s="4504" t="s">
        <v>39</v>
      </c>
      <c r="D108" s="4497">
        <v>1646.22</v>
      </c>
      <c r="E108" s="4497"/>
      <c r="F108" s="4497">
        <v>896</v>
      </c>
      <c r="G108" s="4501">
        <f t="shared" si="8"/>
        <v>750.22</v>
      </c>
      <c r="H108" s="4497">
        <f t="shared" si="9"/>
        <v>750.22</v>
      </c>
      <c r="I108" s="4497"/>
      <c r="J108" s="4497"/>
      <c r="K108" s="4502">
        <f t="shared" si="10"/>
        <v>750.22</v>
      </c>
      <c r="L108" s="4497"/>
      <c r="M108" s="4497"/>
      <c r="N108" s="4503"/>
    </row>
    <row r="109" spans="2:14">
      <c r="B109" s="4483" t="s">
        <v>6570</v>
      </c>
      <c r="C109" s="4504" t="s">
        <v>4163</v>
      </c>
      <c r="D109" s="4497">
        <v>94.08</v>
      </c>
      <c r="E109" s="4497">
        <v>1828.02</v>
      </c>
      <c r="F109" s="4497">
        <v>18.079999999999998</v>
      </c>
      <c r="G109" s="4501">
        <f t="shared" si="8"/>
        <v>1904.02</v>
      </c>
      <c r="H109" s="4497">
        <f t="shared" si="9"/>
        <v>1904.02</v>
      </c>
      <c r="I109" s="4497"/>
      <c r="J109" s="4497"/>
      <c r="K109" s="4502">
        <f t="shared" si="10"/>
        <v>1904.02</v>
      </c>
      <c r="L109" s="4497"/>
      <c r="M109" s="4497"/>
      <c r="N109" s="4503"/>
    </row>
    <row r="110" spans="2:14">
      <c r="B110" s="4483" t="s">
        <v>6662</v>
      </c>
      <c r="C110" s="4504" t="s">
        <v>40</v>
      </c>
      <c r="D110" s="4497">
        <v>4250.8999999999996</v>
      </c>
      <c r="E110" s="4508">
        <f>280</f>
        <v>280</v>
      </c>
      <c r="F110" s="4497">
        <f>564.68+72.75</f>
        <v>637.42999999999995</v>
      </c>
      <c r="G110" s="4501">
        <f t="shared" si="8"/>
        <v>3893.47</v>
      </c>
      <c r="H110" s="4497">
        <f t="shared" si="9"/>
        <v>3893.47</v>
      </c>
      <c r="I110" s="4497"/>
      <c r="J110" s="4497"/>
      <c r="K110" s="4502">
        <f t="shared" si="10"/>
        <v>3893.47</v>
      </c>
      <c r="L110" s="4497"/>
      <c r="M110" s="4497"/>
      <c r="N110" s="4503"/>
    </row>
    <row r="111" spans="2:14">
      <c r="B111" s="4483" t="s">
        <v>6572</v>
      </c>
      <c r="C111" s="4504" t="s">
        <v>6722</v>
      </c>
      <c r="D111" s="4497">
        <v>2620.7999999999993</v>
      </c>
      <c r="E111" s="4497"/>
      <c r="F111" s="4497"/>
      <c r="G111" s="4501">
        <f t="shared" si="8"/>
        <v>2620.7999999999993</v>
      </c>
      <c r="H111" s="4497">
        <f t="shared" si="9"/>
        <v>2620.7999999999993</v>
      </c>
      <c r="I111" s="4497"/>
      <c r="J111" s="4497"/>
      <c r="K111" s="4502">
        <f t="shared" si="10"/>
        <v>2620.7999999999993</v>
      </c>
      <c r="L111" s="4497"/>
      <c r="M111" s="4497"/>
      <c r="N111" s="4503"/>
    </row>
    <row r="112" spans="2:14">
      <c r="B112" s="4483" t="s">
        <v>6573</v>
      </c>
      <c r="C112" s="4504" t="s">
        <v>4183</v>
      </c>
      <c r="D112" s="4497">
        <v>200</v>
      </c>
      <c r="E112" s="4497"/>
      <c r="F112" s="4497"/>
      <c r="G112" s="4501">
        <f t="shared" si="8"/>
        <v>200</v>
      </c>
      <c r="H112" s="4497">
        <f t="shared" si="9"/>
        <v>200</v>
      </c>
      <c r="I112" s="4497"/>
      <c r="J112" s="4497"/>
      <c r="K112" s="4502">
        <f t="shared" si="10"/>
        <v>200</v>
      </c>
      <c r="L112" s="4497"/>
      <c r="M112" s="4497"/>
      <c r="N112" s="4503"/>
    </row>
    <row r="113" spans="2:14">
      <c r="B113" s="4509" t="s">
        <v>6575</v>
      </c>
      <c r="C113" s="4504" t="s">
        <v>6726</v>
      </c>
      <c r="D113" s="4497">
        <v>49163.64</v>
      </c>
      <c r="E113" s="4497">
        <v>2520.2199999999998</v>
      </c>
      <c r="F113" s="4497"/>
      <c r="G113" s="4501">
        <f t="shared" si="8"/>
        <v>51683.86</v>
      </c>
      <c r="H113" s="4497">
        <f t="shared" si="9"/>
        <v>51683.86</v>
      </c>
      <c r="I113" s="4497"/>
      <c r="J113" s="4497">
        <f>+G113</f>
        <v>51683.86</v>
      </c>
      <c r="K113" s="4502"/>
      <c r="L113" s="4497"/>
      <c r="M113" s="4497"/>
      <c r="N113" s="4503"/>
    </row>
    <row r="114" spans="2:14">
      <c r="B114" s="4483" t="s">
        <v>6576</v>
      </c>
      <c r="C114" s="4504" t="s">
        <v>6726</v>
      </c>
      <c r="D114" s="4497">
        <v>6149.98</v>
      </c>
      <c r="E114" s="4497"/>
      <c r="F114" s="4497">
        <v>949.98</v>
      </c>
      <c r="G114" s="4501">
        <f t="shared" si="8"/>
        <v>5200</v>
      </c>
      <c r="H114" s="4497">
        <f t="shared" si="9"/>
        <v>5200</v>
      </c>
      <c r="I114" s="4497"/>
      <c r="J114" s="4497"/>
      <c r="K114" s="4502">
        <f>+G114</f>
        <v>5200</v>
      </c>
      <c r="L114" s="4497"/>
      <c r="M114" s="4497"/>
      <c r="N114" s="4503"/>
    </row>
    <row r="115" spans="2:14">
      <c r="B115" s="4507" t="s">
        <v>6577</v>
      </c>
      <c r="C115" s="4504" t="s">
        <v>894</v>
      </c>
      <c r="D115" s="4497">
        <v>2429.96</v>
      </c>
      <c r="F115" s="4497"/>
      <c r="G115" s="4501">
        <f t="shared" si="8"/>
        <v>2429.96</v>
      </c>
      <c r="H115" s="4497">
        <f t="shared" si="9"/>
        <v>2429.96</v>
      </c>
      <c r="I115" s="4497">
        <f>+G115</f>
        <v>2429.96</v>
      </c>
      <c r="J115" s="4497"/>
      <c r="K115" s="4502"/>
      <c r="L115" s="4497"/>
      <c r="M115" s="4497"/>
      <c r="N115" s="4503"/>
    </row>
    <row r="116" spans="2:14">
      <c r="B116" s="4509" t="s">
        <v>6578</v>
      </c>
      <c r="C116" s="4504" t="s">
        <v>894</v>
      </c>
      <c r="D116" s="4497">
        <v>261840</v>
      </c>
      <c r="E116" s="4497"/>
      <c r="F116" s="4497">
        <v>170000</v>
      </c>
      <c r="G116" s="4501">
        <f t="shared" si="8"/>
        <v>91840</v>
      </c>
      <c r="H116" s="4497">
        <f t="shared" si="9"/>
        <v>91840</v>
      </c>
      <c r="I116" s="4497"/>
      <c r="J116" s="4497">
        <f>+G116</f>
        <v>91840</v>
      </c>
      <c r="K116" s="4502"/>
      <c r="L116" s="4497"/>
      <c r="M116" s="4497"/>
      <c r="N116" s="4503"/>
    </row>
    <row r="117" spans="2:14">
      <c r="B117" s="4483" t="s">
        <v>6579</v>
      </c>
      <c r="C117" s="4504" t="s">
        <v>894</v>
      </c>
      <c r="D117" s="4497">
        <v>24379.45</v>
      </c>
      <c r="E117" s="4497"/>
      <c r="F117" s="4497"/>
      <c r="G117" s="4501">
        <f t="shared" si="8"/>
        <v>24379.45</v>
      </c>
      <c r="H117" s="4497">
        <f t="shared" si="9"/>
        <v>24379.45</v>
      </c>
      <c r="I117" s="4497"/>
      <c r="J117" s="4497"/>
      <c r="K117" s="4502">
        <f>+G117</f>
        <v>24379.45</v>
      </c>
      <c r="L117" s="4497"/>
      <c r="M117" s="4497"/>
      <c r="N117" s="4503"/>
    </row>
    <row r="118" spans="2:14">
      <c r="B118" s="4509" t="s">
        <v>6580</v>
      </c>
      <c r="C118" s="4504" t="s">
        <v>3542</v>
      </c>
      <c r="D118" s="4497">
        <v>159.04</v>
      </c>
      <c r="E118" s="4497"/>
      <c r="F118" s="4497"/>
      <c r="G118" s="4501">
        <f t="shared" si="8"/>
        <v>159.04</v>
      </c>
      <c r="H118" s="4497">
        <f t="shared" si="9"/>
        <v>159.04</v>
      </c>
      <c r="I118" s="4497"/>
      <c r="J118" s="4497">
        <f>+G118</f>
        <v>159.04</v>
      </c>
      <c r="K118" s="4502"/>
      <c r="L118" s="4497"/>
      <c r="M118" s="4497"/>
      <c r="N118" s="4503"/>
    </row>
    <row r="119" spans="2:14">
      <c r="B119" s="4483" t="s">
        <v>6727</v>
      </c>
      <c r="C119" s="4504" t="s">
        <v>419</v>
      </c>
      <c r="D119" s="4497">
        <v>4880</v>
      </c>
      <c r="E119" s="4497"/>
      <c r="F119" s="4497">
        <v>3710</v>
      </c>
      <c r="G119" s="4501">
        <f t="shared" si="8"/>
        <v>1170</v>
      </c>
      <c r="H119" s="4497">
        <f t="shared" si="9"/>
        <v>1170</v>
      </c>
      <c r="I119" s="4497"/>
      <c r="J119" s="4497"/>
      <c r="K119" s="4502">
        <f>+G119</f>
        <v>1170</v>
      </c>
      <c r="L119" s="4497"/>
      <c r="M119" s="4497"/>
      <c r="N119" s="4503"/>
    </row>
    <row r="120" spans="2:14">
      <c r="B120" s="4483" t="s">
        <v>6732</v>
      </c>
      <c r="C120" s="4504" t="s">
        <v>3462</v>
      </c>
      <c r="D120" s="4497">
        <v>1000</v>
      </c>
      <c r="E120" s="4497"/>
      <c r="F120" s="4497">
        <v>500</v>
      </c>
      <c r="G120" s="4501">
        <f t="shared" si="8"/>
        <v>500</v>
      </c>
      <c r="H120" s="4497">
        <f t="shared" si="9"/>
        <v>500</v>
      </c>
      <c r="I120" s="4497"/>
      <c r="J120" s="4497"/>
      <c r="K120" s="4502">
        <f>+G120</f>
        <v>500</v>
      </c>
      <c r="L120" s="4497"/>
      <c r="M120" s="4497"/>
      <c r="N120" s="4503"/>
    </row>
    <row r="121" spans="2:14">
      <c r="B121" s="4507" t="s">
        <v>6581</v>
      </c>
      <c r="C121" s="4504" t="s">
        <v>6733</v>
      </c>
      <c r="D121" s="4497">
        <v>4625</v>
      </c>
      <c r="F121" s="4497"/>
      <c r="G121" s="4501">
        <f t="shared" si="8"/>
        <v>4625</v>
      </c>
      <c r="H121" s="4497">
        <f t="shared" si="9"/>
        <v>4625</v>
      </c>
      <c r="I121" s="4497">
        <f>+G121</f>
        <v>4625</v>
      </c>
      <c r="J121" s="4497"/>
      <c r="K121" s="4502"/>
      <c r="L121" s="4497"/>
      <c r="M121" s="4497"/>
      <c r="N121" s="4503"/>
    </row>
    <row r="122" spans="2:14">
      <c r="B122" s="4507" t="s">
        <v>6582</v>
      </c>
      <c r="C122" s="4504" t="s">
        <v>3079</v>
      </c>
      <c r="D122" s="4497">
        <v>1370884.73</v>
      </c>
      <c r="E122" s="4497"/>
      <c r="F122" s="4497">
        <f>200000+601.03+3196.6</f>
        <v>203797.63</v>
      </c>
      <c r="G122" s="4501">
        <f t="shared" ref="G122:G139" si="11">+D122+E122-F122</f>
        <v>1167087.1000000001</v>
      </c>
      <c r="H122" s="4497">
        <f t="shared" ref="H122:H130" si="12">+SUM(I122:M122)</f>
        <v>1167087.1000000001</v>
      </c>
      <c r="I122" s="4508">
        <f>+G122</f>
        <v>1167087.1000000001</v>
      </c>
      <c r="J122" s="4497"/>
      <c r="K122" s="4502"/>
      <c r="L122" s="4497"/>
      <c r="M122" s="4497"/>
      <c r="N122" s="4503"/>
    </row>
    <row r="123" spans="2:14">
      <c r="B123" s="4512" t="s">
        <v>6734</v>
      </c>
      <c r="C123" s="4504" t="s">
        <v>3034</v>
      </c>
      <c r="D123" s="4497">
        <v>0</v>
      </c>
      <c r="E123" s="4497"/>
      <c r="F123" s="4497"/>
      <c r="G123" s="4501">
        <f t="shared" si="11"/>
        <v>0</v>
      </c>
      <c r="H123" s="4497">
        <f t="shared" si="12"/>
        <v>0</v>
      </c>
      <c r="I123" s="4508"/>
      <c r="J123" s="4497"/>
      <c r="K123" s="4502"/>
      <c r="L123" s="4497">
        <f>+G123</f>
        <v>0</v>
      </c>
      <c r="M123" s="4497"/>
      <c r="N123" s="4503"/>
    </row>
    <row r="124" spans="2:14">
      <c r="B124" s="4512" t="s">
        <v>6735</v>
      </c>
      <c r="C124" s="4504" t="s">
        <v>3036</v>
      </c>
      <c r="D124" s="4497">
        <v>423188.3</v>
      </c>
      <c r="E124" s="4497"/>
      <c r="F124" s="4497"/>
      <c r="G124" s="4501">
        <f t="shared" si="11"/>
        <v>423188.3</v>
      </c>
      <c r="H124" s="4497">
        <f t="shared" si="12"/>
        <v>423188.3</v>
      </c>
      <c r="I124" s="4508"/>
      <c r="J124" s="4497"/>
      <c r="K124" s="4502"/>
      <c r="L124" s="4497">
        <f>+G124</f>
        <v>423188.3</v>
      </c>
      <c r="M124" s="4497"/>
      <c r="N124" s="4503"/>
    </row>
    <row r="125" spans="2:14">
      <c r="B125" s="4512" t="s">
        <v>6736</v>
      </c>
      <c r="C125" s="4504" t="s">
        <v>3879</v>
      </c>
      <c r="D125" s="4497">
        <v>50279.23</v>
      </c>
      <c r="E125" s="4513"/>
      <c r="F125" s="4497"/>
      <c r="G125" s="4501">
        <f t="shared" si="11"/>
        <v>50279.23</v>
      </c>
      <c r="H125" s="4497">
        <f t="shared" si="12"/>
        <v>50279.23</v>
      </c>
      <c r="I125" s="4508"/>
      <c r="J125" s="4497"/>
      <c r="K125" s="4502"/>
      <c r="L125" s="4497">
        <f>+G125</f>
        <v>50279.23</v>
      </c>
      <c r="M125" s="4497"/>
      <c r="N125" s="4503"/>
    </row>
    <row r="126" spans="2:14">
      <c r="B126" s="4507" t="s">
        <v>6737</v>
      </c>
      <c r="C126" s="4504" t="s">
        <v>671</v>
      </c>
      <c r="D126" s="4497">
        <v>545</v>
      </c>
      <c r="E126" s="4497"/>
      <c r="F126" s="4497"/>
      <c r="G126" s="4501">
        <f t="shared" si="11"/>
        <v>545</v>
      </c>
      <c r="H126" s="4497">
        <f t="shared" si="12"/>
        <v>545</v>
      </c>
      <c r="I126" s="4508">
        <f>+G126</f>
        <v>545</v>
      </c>
      <c r="J126" s="4497"/>
      <c r="K126" s="4502"/>
      <c r="L126" s="4497"/>
      <c r="M126" s="4497"/>
      <c r="N126" s="4503"/>
    </row>
    <row r="127" spans="2:14">
      <c r="B127" s="4483" t="s">
        <v>5694</v>
      </c>
      <c r="C127" s="4504" t="s">
        <v>671</v>
      </c>
      <c r="D127" s="4497">
        <v>29117.85</v>
      </c>
      <c r="E127" s="4497">
        <f>159.85+2660.5</f>
        <v>2820.35</v>
      </c>
      <c r="F127" s="4497">
        <f>81.58+87.78+621.2+530+182.16+2125</f>
        <v>3627.7200000000003</v>
      </c>
      <c r="G127" s="4501">
        <f t="shared" si="11"/>
        <v>28310.479999999996</v>
      </c>
      <c r="H127" s="4497">
        <f t="shared" si="12"/>
        <v>28310.479999999996</v>
      </c>
      <c r="I127" s="4508"/>
      <c r="J127" s="4497"/>
      <c r="K127" s="4502">
        <f>+G127</f>
        <v>28310.479999999996</v>
      </c>
      <c r="L127" s="4497"/>
      <c r="M127" s="4497"/>
      <c r="N127" s="4503"/>
    </row>
    <row r="128" spans="2:14">
      <c r="B128" s="4509" t="s">
        <v>5252</v>
      </c>
      <c r="C128" s="4504" t="s">
        <v>39</v>
      </c>
      <c r="D128" s="4497">
        <v>42440</v>
      </c>
      <c r="E128" s="4497">
        <v>313.60000000000002</v>
      </c>
      <c r="F128" s="4497"/>
      <c r="G128" s="4501">
        <f t="shared" si="11"/>
        <v>42753.599999999999</v>
      </c>
      <c r="H128" s="4497">
        <f t="shared" si="12"/>
        <v>42753.599999999999</v>
      </c>
      <c r="I128" s="4514"/>
      <c r="J128" s="4513">
        <f>+G128</f>
        <v>42753.599999999999</v>
      </c>
      <c r="K128" s="4515"/>
      <c r="L128" s="4497"/>
      <c r="M128" s="4497"/>
      <c r="N128" s="4503"/>
    </row>
    <row r="129" spans="2:14">
      <c r="B129" s="4483" t="s">
        <v>5283</v>
      </c>
      <c r="C129" s="4504" t="s">
        <v>39</v>
      </c>
      <c r="D129" s="4497">
        <v>175500.78000000003</v>
      </c>
      <c r="E129" s="4497">
        <f>6888+51788.8+2251.2+4631.75</f>
        <v>65559.75</v>
      </c>
      <c r="F129" s="4497">
        <f>2135+4940.53+136.9+589.26</f>
        <v>7801.69</v>
      </c>
      <c r="G129" s="4501">
        <f t="shared" si="11"/>
        <v>233258.84000000003</v>
      </c>
      <c r="H129" s="4497">
        <f t="shared" si="12"/>
        <v>233258.84000000003</v>
      </c>
      <c r="I129" s="4514"/>
      <c r="J129" s="4513"/>
      <c r="K129" s="4515">
        <f>+G129</f>
        <v>233258.84000000003</v>
      </c>
      <c r="L129" s="4497"/>
      <c r="M129" s="4497"/>
      <c r="N129" s="4503"/>
    </row>
    <row r="130" spans="2:14">
      <c r="B130" s="4512" t="s">
        <v>6739</v>
      </c>
      <c r="C130" s="4504" t="s">
        <v>39</v>
      </c>
      <c r="D130" s="4497">
        <v>42311.18</v>
      </c>
      <c r="E130" s="4513"/>
      <c r="F130" s="4497"/>
      <c r="G130" s="4501">
        <f t="shared" si="11"/>
        <v>42311.18</v>
      </c>
      <c r="H130" s="4497">
        <f t="shared" si="12"/>
        <v>42311.18</v>
      </c>
      <c r="I130" s="4514"/>
      <c r="J130" s="4513"/>
      <c r="K130" s="4515"/>
      <c r="L130" s="4497">
        <f>+G130</f>
        <v>42311.18</v>
      </c>
      <c r="M130" s="4497"/>
      <c r="N130" s="4503"/>
    </row>
    <row r="131" spans="2:14">
      <c r="B131" s="4516" t="s">
        <v>6929</v>
      </c>
      <c r="C131" s="4504" t="s">
        <v>39</v>
      </c>
      <c r="D131" s="4497">
        <v>39500</v>
      </c>
      <c r="E131" s="4513"/>
      <c r="F131" s="4497"/>
      <c r="G131" s="4501">
        <f t="shared" si="11"/>
        <v>39500</v>
      </c>
      <c r="H131" s="4497">
        <f>SUM(I131:M131)</f>
        <v>39500</v>
      </c>
      <c r="I131" s="4514"/>
      <c r="J131" s="4513"/>
      <c r="K131" s="4515"/>
      <c r="L131" s="4497"/>
      <c r="M131" s="4497">
        <f>G131</f>
        <v>39500</v>
      </c>
      <c r="N131" s="4503"/>
    </row>
    <row r="132" spans="2:14">
      <c r="B132" s="4516" t="s">
        <v>7000</v>
      </c>
      <c r="C132" s="4504" t="s">
        <v>39</v>
      </c>
      <c r="D132" s="4497">
        <v>37765.46</v>
      </c>
      <c r="E132" s="4513"/>
      <c r="F132" s="4497"/>
      <c r="G132" s="4501">
        <f t="shared" si="11"/>
        <v>37765.46</v>
      </c>
      <c r="H132" s="4497">
        <f>SUM(I132:M132)</f>
        <v>37765.46</v>
      </c>
      <c r="I132" s="4514"/>
      <c r="J132" s="4513"/>
      <c r="K132" s="4515"/>
      <c r="L132" s="4497"/>
      <c r="M132" s="4497">
        <f>+G132</f>
        <v>37765.46</v>
      </c>
      <c r="N132" s="4503"/>
    </row>
    <row r="133" spans="2:14">
      <c r="B133" s="4509" t="s">
        <v>7205</v>
      </c>
      <c r="C133" s="4504" t="s">
        <v>4118</v>
      </c>
      <c r="D133" s="4497">
        <v>0</v>
      </c>
      <c r="E133" s="4497">
        <v>6300</v>
      </c>
      <c r="F133" s="4497"/>
      <c r="G133" s="4501">
        <f t="shared" si="11"/>
        <v>6300</v>
      </c>
      <c r="H133" s="4497">
        <f t="shared" ref="H133:H139" si="13">+SUM(I133:M133)</f>
        <v>6300</v>
      </c>
      <c r="I133" s="4514"/>
      <c r="J133" s="4513">
        <f>+G133</f>
        <v>6300</v>
      </c>
      <c r="K133" s="4515"/>
      <c r="L133" s="4497"/>
      <c r="M133" s="4497"/>
      <c r="N133" s="4503"/>
    </row>
    <row r="134" spans="2:14">
      <c r="B134" s="4507" t="s">
        <v>5544</v>
      </c>
      <c r="C134" s="4504" t="s">
        <v>40</v>
      </c>
      <c r="D134" s="4497">
        <v>83596.69</v>
      </c>
      <c r="E134" s="4497"/>
      <c r="F134" s="4497">
        <v>8250.99</v>
      </c>
      <c r="G134" s="4501">
        <f t="shared" si="11"/>
        <v>75345.7</v>
      </c>
      <c r="H134" s="4497">
        <f t="shared" si="13"/>
        <v>75345.7</v>
      </c>
      <c r="I134" s="4514">
        <f>+G134</f>
        <v>75345.7</v>
      </c>
      <c r="J134" s="4513"/>
      <c r="K134" s="4515"/>
      <c r="L134" s="4497"/>
      <c r="M134" s="4497"/>
      <c r="N134" s="4503"/>
    </row>
    <row r="135" spans="2:14">
      <c r="B135" s="4483" t="s">
        <v>4825</v>
      </c>
      <c r="C135" s="4504" t="s">
        <v>40</v>
      </c>
      <c r="D135" s="4497">
        <v>16278.91</v>
      </c>
      <c r="E135" s="4497">
        <f>81.1+1771.84+3801.28</f>
        <v>5654.22</v>
      </c>
      <c r="F135" s="4497">
        <f>836.81+572+1254.4</f>
        <v>2663.21</v>
      </c>
      <c r="G135" s="4501">
        <f t="shared" si="11"/>
        <v>19269.920000000002</v>
      </c>
      <c r="H135" s="4497">
        <f t="shared" si="13"/>
        <v>19269.920000000002</v>
      </c>
      <c r="I135" s="4514"/>
      <c r="J135" s="4513"/>
      <c r="K135" s="4515">
        <f>+G135</f>
        <v>19269.920000000002</v>
      </c>
      <c r="L135" s="4497"/>
      <c r="M135" s="4497"/>
      <c r="N135" s="4503"/>
    </row>
    <row r="136" spans="2:14">
      <c r="B136" s="4517" t="s">
        <v>6744</v>
      </c>
      <c r="C136" s="4504" t="s">
        <v>40</v>
      </c>
      <c r="D136" s="4497">
        <v>18470.34</v>
      </c>
      <c r="E136" s="4513"/>
      <c r="F136" s="4497"/>
      <c r="G136" s="4501">
        <f t="shared" si="11"/>
        <v>18470.34</v>
      </c>
      <c r="H136" s="4497">
        <f t="shared" si="13"/>
        <v>18470.34</v>
      </c>
      <c r="I136" s="4514"/>
      <c r="J136" s="4513"/>
      <c r="K136" s="4515"/>
      <c r="L136" s="4497">
        <f>+G136</f>
        <v>18470.34</v>
      </c>
      <c r="M136" s="4497"/>
      <c r="N136" s="4503"/>
    </row>
    <row r="137" spans="2:14">
      <c r="B137" s="4512" t="s">
        <v>7001</v>
      </c>
      <c r="C137" s="4504" t="s">
        <v>40</v>
      </c>
      <c r="D137" s="4497">
        <v>6088</v>
      </c>
      <c r="E137" s="4513"/>
      <c r="F137" s="4497"/>
      <c r="G137" s="4501">
        <f t="shared" si="11"/>
        <v>6088</v>
      </c>
      <c r="H137" s="4497">
        <f t="shared" si="13"/>
        <v>6088</v>
      </c>
      <c r="I137" s="4514"/>
      <c r="J137" s="4513"/>
      <c r="K137" s="4515"/>
      <c r="L137" s="4497">
        <f>+G137</f>
        <v>6088</v>
      </c>
      <c r="M137" s="4497"/>
      <c r="N137" s="4503"/>
    </row>
    <row r="138" spans="2:14">
      <c r="B138" s="4483" t="s">
        <v>6586</v>
      </c>
      <c r="C138" s="4504" t="s">
        <v>5430</v>
      </c>
      <c r="D138" s="4497">
        <v>0</v>
      </c>
      <c r="E138" s="4513"/>
      <c r="F138" s="4497"/>
      <c r="G138" s="4501">
        <f t="shared" si="11"/>
        <v>0</v>
      </c>
      <c r="H138" s="4497">
        <f t="shared" si="13"/>
        <v>0</v>
      </c>
      <c r="I138" s="4514"/>
      <c r="J138" s="4513"/>
      <c r="K138" s="4515">
        <f>+G138</f>
        <v>0</v>
      </c>
      <c r="L138" s="4497"/>
      <c r="M138" s="4497"/>
      <c r="N138" s="4503"/>
    </row>
    <row r="139" spans="2:14">
      <c r="B139" s="4483" t="s">
        <v>6745</v>
      </c>
      <c r="C139" s="4504" t="s">
        <v>6746</v>
      </c>
      <c r="D139" s="4497">
        <v>26000</v>
      </c>
      <c r="E139" s="4497"/>
      <c r="F139" s="4497">
        <v>4000</v>
      </c>
      <c r="G139" s="4501">
        <f t="shared" si="11"/>
        <v>22000</v>
      </c>
      <c r="H139" s="4497">
        <f t="shared" si="13"/>
        <v>22000</v>
      </c>
      <c r="I139" s="4497"/>
      <c r="J139" s="4497"/>
      <c r="K139" s="4497">
        <f>+G139</f>
        <v>22000</v>
      </c>
      <c r="L139" s="4498"/>
      <c r="M139" s="4498"/>
      <c r="N139" s="4503"/>
    </row>
    <row r="140" spans="2:14">
      <c r="B140" s="4504"/>
      <c r="C140" s="4518" t="s">
        <v>6587</v>
      </c>
      <c r="D140" s="1538">
        <f t="shared" ref="D140:M140" si="14">SUM(D26:D139)</f>
        <v>12432484.859999999</v>
      </c>
      <c r="E140" s="1537">
        <f t="shared" si="14"/>
        <v>612625.19999999984</v>
      </c>
      <c r="F140" s="1537">
        <f t="shared" si="14"/>
        <v>772469.80999999971</v>
      </c>
      <c r="G140" s="1537">
        <f t="shared" si="14"/>
        <v>12272640.25</v>
      </c>
      <c r="H140" s="1537">
        <f t="shared" si="14"/>
        <v>12272640.25</v>
      </c>
      <c r="I140" s="1537">
        <f t="shared" si="14"/>
        <v>1463017.83</v>
      </c>
      <c r="J140" s="1537">
        <f t="shared" si="14"/>
        <v>440597.45999999996</v>
      </c>
      <c r="K140" s="1537">
        <f t="shared" si="14"/>
        <v>9751422.4500000011</v>
      </c>
      <c r="L140" s="1537">
        <f t="shared" si="14"/>
        <v>540337.04999999993</v>
      </c>
      <c r="M140" s="1537">
        <f t="shared" si="14"/>
        <v>77265.459999999992</v>
      </c>
      <c r="N140" s="4503"/>
    </row>
    <row r="141" spans="2:14">
      <c r="B141" s="1539"/>
      <c r="C141" s="1539"/>
      <c r="D141" s="3025"/>
      <c r="E141" s="1541"/>
      <c r="F141" s="1542"/>
      <c r="G141" s="3026"/>
      <c r="H141" s="1542"/>
      <c r="I141" s="1542"/>
      <c r="J141" s="4503"/>
      <c r="K141" s="4503"/>
      <c r="L141" s="4503"/>
      <c r="M141" s="4503"/>
      <c r="N141" s="4503"/>
    </row>
    <row r="142" spans="2:14">
      <c r="B142" s="1539"/>
      <c r="C142" s="1539"/>
      <c r="D142" s="3027"/>
      <c r="E142" s="1545"/>
      <c r="F142" s="1545"/>
      <c r="G142" s="1545"/>
      <c r="H142" s="1545"/>
      <c r="I142" s="1545"/>
      <c r="J142" s="4519"/>
      <c r="K142" s="4476"/>
      <c r="N142" s="4503"/>
    </row>
    <row r="143" spans="2:14" ht="25.5">
      <c r="B143" s="4488" t="s">
        <v>7</v>
      </c>
      <c r="C143" s="4488" t="s">
        <v>6505</v>
      </c>
      <c r="D143" s="4489" t="s">
        <v>6667</v>
      </c>
      <c r="E143" s="4489" t="s">
        <v>6678</v>
      </c>
      <c r="F143" s="4489" t="s">
        <v>6679</v>
      </c>
      <c r="G143" s="4489" t="s">
        <v>6680</v>
      </c>
      <c r="H143" s="4489" t="s">
        <v>6681</v>
      </c>
      <c r="I143" s="4490" t="s">
        <v>6488</v>
      </c>
      <c r="J143" s="4491" t="s">
        <v>6489</v>
      </c>
      <c r="K143" s="4492" t="s">
        <v>6508</v>
      </c>
      <c r="L143" s="4493" t="s">
        <v>6491</v>
      </c>
      <c r="M143" s="4494" t="s">
        <v>6492</v>
      </c>
      <c r="N143" s="4503"/>
    </row>
    <row r="144" spans="2:14">
      <c r="B144" s="4520" t="s">
        <v>6758</v>
      </c>
      <c r="C144" s="4521" t="s">
        <v>6759</v>
      </c>
      <c r="D144" s="4522"/>
      <c r="E144" s="4522"/>
      <c r="F144" s="4522"/>
      <c r="G144" s="4522"/>
      <c r="H144" s="4522"/>
      <c r="I144" s="4522"/>
      <c r="J144" s="4522"/>
      <c r="K144" s="4522"/>
      <c r="L144" s="4498"/>
      <c r="M144" s="4498"/>
      <c r="N144" s="4503"/>
    </row>
    <row r="145" spans="2:14">
      <c r="B145" s="4483" t="s">
        <v>6514</v>
      </c>
      <c r="C145" s="4504" t="s">
        <v>6760</v>
      </c>
      <c r="D145" s="4497">
        <v>9200539.5199999884</v>
      </c>
      <c r="E145" s="4497"/>
      <c r="F145" s="4497">
        <f>262000+6000+30000</f>
        <v>298000</v>
      </c>
      <c r="G145" s="4501">
        <f t="shared" ref="G145:G176" si="15">+D145+E145-F145</f>
        <v>8902539.5199999884</v>
      </c>
      <c r="H145" s="4497">
        <f t="shared" ref="H145:H176" si="16">+SUM(I145:M145)</f>
        <v>8902539.5199999884</v>
      </c>
      <c r="I145" s="4497"/>
      <c r="J145" s="4497"/>
      <c r="K145" s="4497">
        <f t="shared" ref="K145:K151" si="17">+G145</f>
        <v>8902539.5199999884</v>
      </c>
      <c r="L145" s="4498"/>
      <c r="M145" s="4498"/>
      <c r="N145" s="4503"/>
    </row>
    <row r="146" spans="2:14">
      <c r="B146" s="4483" t="s">
        <v>6515</v>
      </c>
      <c r="C146" s="4504" t="s">
        <v>3013</v>
      </c>
      <c r="D146" s="4497">
        <v>1135912.31</v>
      </c>
      <c r="E146" s="4497"/>
      <c r="F146" s="4497"/>
      <c r="G146" s="4501">
        <f t="shared" si="15"/>
        <v>1135912.31</v>
      </c>
      <c r="H146" s="4497">
        <f t="shared" si="16"/>
        <v>1135912.31</v>
      </c>
      <c r="I146" s="4497"/>
      <c r="J146" s="4497"/>
      <c r="K146" s="4497">
        <f t="shared" si="17"/>
        <v>1135912.31</v>
      </c>
      <c r="L146" s="4498"/>
      <c r="M146" s="4498"/>
      <c r="N146" s="4503"/>
    </row>
    <row r="147" spans="2:14">
      <c r="B147" s="4483" t="s">
        <v>6517</v>
      </c>
      <c r="C147" s="4504" t="s">
        <v>3014</v>
      </c>
      <c r="D147" s="4497">
        <v>246300</v>
      </c>
      <c r="E147" s="4497">
        <v>6000</v>
      </c>
      <c r="F147" s="4497"/>
      <c r="G147" s="4501">
        <f t="shared" si="15"/>
        <v>252300</v>
      </c>
      <c r="H147" s="4497">
        <f t="shared" si="16"/>
        <v>252300</v>
      </c>
      <c r="I147" s="4497"/>
      <c r="J147" s="4497"/>
      <c r="K147" s="4497">
        <f t="shared" si="17"/>
        <v>252300</v>
      </c>
      <c r="L147" s="4498"/>
      <c r="M147" s="4498"/>
      <c r="N147" s="4503"/>
    </row>
    <row r="148" spans="2:14">
      <c r="B148" s="4483" t="s">
        <v>6593</v>
      </c>
      <c r="C148" s="4504" t="s">
        <v>6750</v>
      </c>
      <c r="D148" s="4497">
        <v>4433677.5999999996</v>
      </c>
      <c r="E148" s="4497">
        <v>262000</v>
      </c>
      <c r="F148" s="4497"/>
      <c r="G148" s="4501">
        <f t="shared" si="15"/>
        <v>4695677.5999999996</v>
      </c>
      <c r="H148" s="4497">
        <f t="shared" si="16"/>
        <v>4695677.5999999996</v>
      </c>
      <c r="I148" s="4497"/>
      <c r="J148" s="4497"/>
      <c r="K148" s="4497">
        <f t="shared" si="17"/>
        <v>4695677.5999999996</v>
      </c>
      <c r="L148" s="4498"/>
      <c r="M148" s="4498"/>
      <c r="N148" s="4503"/>
    </row>
    <row r="149" spans="2:14">
      <c r="B149" s="4483" t="s">
        <v>6527</v>
      </c>
      <c r="C149" s="4504" t="s">
        <v>3032</v>
      </c>
      <c r="D149" s="4497">
        <v>1251170.9600000002</v>
      </c>
      <c r="E149" s="4497"/>
      <c r="F149" s="4497"/>
      <c r="G149" s="4501">
        <f t="shared" si="15"/>
        <v>1251170.9600000002</v>
      </c>
      <c r="H149" s="4497">
        <f t="shared" si="16"/>
        <v>1251170.9600000002</v>
      </c>
      <c r="I149" s="4497"/>
      <c r="J149" s="4497"/>
      <c r="K149" s="4497">
        <f t="shared" si="17"/>
        <v>1251170.9600000002</v>
      </c>
      <c r="L149" s="4498"/>
      <c r="M149" s="4498"/>
      <c r="N149" s="4503"/>
    </row>
    <row r="150" spans="2:14">
      <c r="B150" s="4483" t="s">
        <v>6528</v>
      </c>
      <c r="C150" s="4504" t="s">
        <v>3039</v>
      </c>
      <c r="D150" s="4497">
        <v>1139058.8999999999</v>
      </c>
      <c r="E150" s="4497"/>
      <c r="F150" s="4497"/>
      <c r="G150" s="4501">
        <f t="shared" si="15"/>
        <v>1139058.8999999999</v>
      </c>
      <c r="H150" s="4497">
        <f t="shared" si="16"/>
        <v>1139058.8999999999</v>
      </c>
      <c r="I150" s="4497"/>
      <c r="J150" s="4497"/>
      <c r="K150" s="4497">
        <f t="shared" si="17"/>
        <v>1139058.8999999999</v>
      </c>
      <c r="L150" s="4498"/>
      <c r="M150" s="4498"/>
      <c r="N150" s="4503"/>
    </row>
    <row r="151" spans="2:14">
      <c r="B151" s="4483" t="s">
        <v>6529</v>
      </c>
      <c r="C151" s="4504" t="s">
        <v>6761</v>
      </c>
      <c r="D151" s="4497">
        <v>5500</v>
      </c>
      <c r="E151" s="4497"/>
      <c r="F151" s="4497"/>
      <c r="G151" s="4501">
        <f t="shared" si="15"/>
        <v>5500</v>
      </c>
      <c r="H151" s="4497">
        <f t="shared" si="16"/>
        <v>5500</v>
      </c>
      <c r="I151" s="4497"/>
      <c r="J151" s="4497"/>
      <c r="K151" s="4497">
        <f t="shared" si="17"/>
        <v>5500</v>
      </c>
      <c r="L151" s="4498"/>
      <c r="M151" s="4498"/>
      <c r="N151" s="4503"/>
    </row>
    <row r="152" spans="2:14">
      <c r="B152" s="4507" t="s">
        <v>5012</v>
      </c>
      <c r="C152" s="4504" t="s">
        <v>6764</v>
      </c>
      <c r="D152" s="4497">
        <v>1509.87</v>
      </c>
      <c r="E152" s="4497"/>
      <c r="F152" s="4497">
        <f>1509.87-300</f>
        <v>1209.8699999999999</v>
      </c>
      <c r="G152" s="4501">
        <f t="shared" si="15"/>
        <v>300</v>
      </c>
      <c r="H152" s="4497">
        <f t="shared" si="16"/>
        <v>300</v>
      </c>
      <c r="I152" s="4497">
        <f>+G152</f>
        <v>300</v>
      </c>
      <c r="J152" s="4497"/>
      <c r="K152" s="4497"/>
      <c r="L152" s="4498"/>
      <c r="M152" s="4498"/>
      <c r="N152" s="4503"/>
    </row>
    <row r="153" spans="2:14">
      <c r="B153" s="4507" t="s">
        <v>6765</v>
      </c>
      <c r="C153" s="4504" t="s">
        <v>471</v>
      </c>
      <c r="D153" s="4497">
        <v>3710.56</v>
      </c>
      <c r="E153" s="4497"/>
      <c r="F153" s="4497">
        <f>2710.4+1000.16-300</f>
        <v>3410.56</v>
      </c>
      <c r="G153" s="4501">
        <f t="shared" si="15"/>
        <v>300</v>
      </c>
      <c r="H153" s="4497">
        <f t="shared" si="16"/>
        <v>300</v>
      </c>
      <c r="I153" s="4497">
        <f>+G153</f>
        <v>300</v>
      </c>
      <c r="J153" s="4497"/>
      <c r="K153" s="4497"/>
      <c r="L153" s="4498"/>
      <c r="M153" s="4498"/>
      <c r="N153" s="4503"/>
    </row>
    <row r="154" spans="2:14">
      <c r="B154" s="4509" t="s">
        <v>6766</v>
      </c>
      <c r="C154" s="4504" t="s">
        <v>1323</v>
      </c>
      <c r="D154" s="4497">
        <v>5040</v>
      </c>
      <c r="E154" s="4497"/>
      <c r="F154" s="4497">
        <v>540</v>
      </c>
      <c r="G154" s="4501">
        <f t="shared" si="15"/>
        <v>4500</v>
      </c>
      <c r="H154" s="4497">
        <f t="shared" si="16"/>
        <v>4500</v>
      </c>
      <c r="I154" s="4497"/>
      <c r="J154" s="4497">
        <f>+G154</f>
        <v>4500</v>
      </c>
      <c r="K154" s="4497"/>
      <c r="L154" s="4498"/>
      <c r="M154" s="4498"/>
      <c r="N154" s="4503"/>
    </row>
    <row r="155" spans="2:14">
      <c r="B155" s="4507" t="s">
        <v>6699</v>
      </c>
      <c r="C155" s="4500" t="s">
        <v>281</v>
      </c>
      <c r="D155" s="4497">
        <v>716868</v>
      </c>
      <c r="E155" s="4508">
        <f>77722.59+104473.73+36000+23000+40512+123677.98+2276.32</f>
        <v>407662.62</v>
      </c>
      <c r="F155" s="4497">
        <v>711513</v>
      </c>
      <c r="G155" s="4501">
        <f t="shared" si="15"/>
        <v>413017.62000000011</v>
      </c>
      <c r="H155" s="4497">
        <f t="shared" si="16"/>
        <v>413017.62000000011</v>
      </c>
      <c r="I155" s="4497">
        <f>+G155</f>
        <v>413017.62000000011</v>
      </c>
      <c r="J155" s="4497"/>
      <c r="K155" s="4502"/>
      <c r="L155" s="4497"/>
      <c r="M155" s="4497"/>
      <c r="N155" s="4503"/>
    </row>
    <row r="156" spans="2:14">
      <c r="B156" s="4509" t="s">
        <v>6700</v>
      </c>
      <c r="C156" s="4504" t="s">
        <v>281</v>
      </c>
      <c r="D156" s="4497">
        <v>77722.59</v>
      </c>
      <c r="E156" s="4497"/>
      <c r="F156" s="4497">
        <v>77722.59</v>
      </c>
      <c r="G156" s="4501">
        <f t="shared" si="15"/>
        <v>0</v>
      </c>
      <c r="H156" s="4497">
        <f t="shared" si="16"/>
        <v>0</v>
      </c>
      <c r="I156" s="4497"/>
      <c r="J156" s="4497">
        <f>+G156</f>
        <v>0</v>
      </c>
      <c r="K156" s="4502"/>
      <c r="L156" s="4497"/>
      <c r="M156" s="4497"/>
      <c r="N156" s="4503"/>
    </row>
    <row r="157" spans="2:14">
      <c r="B157" s="4483" t="s">
        <v>6701</v>
      </c>
      <c r="C157" s="4504" t="s">
        <v>281</v>
      </c>
      <c r="D157" s="4497">
        <v>132569.28</v>
      </c>
      <c r="E157" s="4497"/>
      <c r="F157" s="4497">
        <v>123677.98</v>
      </c>
      <c r="G157" s="4501">
        <f t="shared" si="15"/>
        <v>8891.3000000000029</v>
      </c>
      <c r="H157" s="4497">
        <f t="shared" si="16"/>
        <v>8891.3000000000029</v>
      </c>
      <c r="I157" s="4497"/>
      <c r="J157" s="4497"/>
      <c r="K157" s="4502">
        <f>+G157</f>
        <v>8891.3000000000029</v>
      </c>
      <c r="L157" s="4497"/>
      <c r="M157" s="4497"/>
      <c r="N157" s="4503"/>
    </row>
    <row r="158" spans="2:14">
      <c r="B158" s="4507" t="s">
        <v>6704</v>
      </c>
      <c r="C158" s="4504" t="s">
        <v>505</v>
      </c>
      <c r="D158" s="4497">
        <v>9200</v>
      </c>
      <c r="E158" s="4497"/>
      <c r="F158" s="4497"/>
      <c r="G158" s="4501">
        <f t="shared" si="15"/>
        <v>9200</v>
      </c>
      <c r="H158" s="4497">
        <f t="shared" si="16"/>
        <v>9200</v>
      </c>
      <c r="I158" s="4497">
        <f>+G158</f>
        <v>9200</v>
      </c>
      <c r="J158" s="4497"/>
      <c r="K158" s="4502"/>
      <c r="L158" s="4497"/>
      <c r="M158" s="4497"/>
      <c r="N158" s="4503"/>
    </row>
    <row r="159" spans="2:14">
      <c r="B159" s="4483" t="s">
        <v>6708</v>
      </c>
      <c r="C159" s="4504" t="s">
        <v>6709</v>
      </c>
      <c r="D159" s="4497">
        <v>0</v>
      </c>
      <c r="E159" s="4508">
        <v>45000.55</v>
      </c>
      <c r="F159" s="4497"/>
      <c r="G159" s="4501">
        <f t="shared" si="15"/>
        <v>45000.55</v>
      </c>
      <c r="H159" s="4497">
        <f t="shared" si="16"/>
        <v>45000.55</v>
      </c>
      <c r="I159" s="4497"/>
      <c r="J159" s="4497"/>
      <c r="K159" s="4502">
        <f>+G159</f>
        <v>45000.55</v>
      </c>
      <c r="L159" s="4497"/>
      <c r="M159" s="4497"/>
      <c r="N159" s="4503"/>
    </row>
    <row r="160" spans="2:14">
      <c r="B160" s="4507" t="s">
        <v>6600</v>
      </c>
      <c r="C160" s="4504" t="s">
        <v>6752</v>
      </c>
      <c r="D160" s="4497">
        <v>133543.64000000001</v>
      </c>
      <c r="E160" s="4497"/>
      <c r="F160" s="4497"/>
      <c r="G160" s="4501">
        <f t="shared" si="15"/>
        <v>133543.64000000001</v>
      </c>
      <c r="H160" s="4497">
        <f t="shared" si="16"/>
        <v>133543.64000000001</v>
      </c>
      <c r="I160" s="4497">
        <f>+G160</f>
        <v>133543.64000000001</v>
      </c>
      <c r="J160" s="4497"/>
      <c r="K160" s="4497"/>
      <c r="L160" s="4498"/>
      <c r="M160" s="4498"/>
      <c r="N160" s="4503"/>
    </row>
    <row r="161" spans="2:14">
      <c r="B161" s="4507" t="s">
        <v>6601</v>
      </c>
      <c r="C161" s="4504" t="s">
        <v>1360</v>
      </c>
      <c r="D161" s="4497">
        <v>30000</v>
      </c>
      <c r="E161" s="4497"/>
      <c r="F161" s="4497">
        <v>5714.28</v>
      </c>
      <c r="G161" s="4501">
        <f t="shared" si="15"/>
        <v>24285.72</v>
      </c>
      <c r="H161" s="4497">
        <f t="shared" si="16"/>
        <v>24285.72</v>
      </c>
      <c r="I161" s="4497">
        <f>+G161</f>
        <v>24285.72</v>
      </c>
      <c r="J161" s="4497"/>
      <c r="K161" s="4497"/>
      <c r="L161" s="4498"/>
      <c r="M161" s="4498"/>
      <c r="N161" s="4503"/>
    </row>
    <row r="162" spans="2:14">
      <c r="B162" s="4483" t="s">
        <v>6603</v>
      </c>
      <c r="C162" s="4504" t="s">
        <v>1360</v>
      </c>
      <c r="D162" s="4497">
        <v>0</v>
      </c>
      <c r="E162" s="4497"/>
      <c r="F162" s="4497"/>
      <c r="G162" s="4501">
        <f t="shared" si="15"/>
        <v>0</v>
      </c>
      <c r="H162" s="4497">
        <f t="shared" si="16"/>
        <v>0</v>
      </c>
      <c r="I162" s="4497"/>
      <c r="J162" s="4497"/>
      <c r="K162" s="4497">
        <f>+G162</f>
        <v>0</v>
      </c>
      <c r="L162" s="4498"/>
      <c r="M162" s="4498"/>
      <c r="N162" s="4503"/>
    </row>
    <row r="163" spans="2:14">
      <c r="B163" s="4507" t="s">
        <v>6604</v>
      </c>
      <c r="C163" s="4504" t="s">
        <v>2398</v>
      </c>
      <c r="D163" s="4497">
        <v>42311.3</v>
      </c>
      <c r="E163" s="4497"/>
      <c r="F163" s="4497">
        <f>35511.3-300</f>
        <v>35211.300000000003</v>
      </c>
      <c r="G163" s="4501">
        <f t="shared" si="15"/>
        <v>7100</v>
      </c>
      <c r="H163" s="4497">
        <f t="shared" si="16"/>
        <v>7100</v>
      </c>
      <c r="I163" s="4497">
        <f>+G163</f>
        <v>7100</v>
      </c>
      <c r="J163" s="4497"/>
      <c r="K163" s="4497"/>
      <c r="L163" s="4498"/>
      <c r="M163" s="4498"/>
      <c r="N163" s="4503"/>
    </row>
    <row r="164" spans="2:14">
      <c r="B164" s="4507" t="s">
        <v>6772</v>
      </c>
      <c r="C164" s="4504" t="s">
        <v>148</v>
      </c>
      <c r="D164" s="4497">
        <v>13525.77</v>
      </c>
      <c r="E164" s="4497"/>
      <c r="F164" s="4497"/>
      <c r="G164" s="4501">
        <f t="shared" si="15"/>
        <v>13525.77</v>
      </c>
      <c r="H164" s="4497">
        <f t="shared" si="16"/>
        <v>13525.77</v>
      </c>
      <c r="I164" s="4497">
        <f>+G164</f>
        <v>13525.77</v>
      </c>
      <c r="J164" s="4497"/>
      <c r="K164" s="4497"/>
      <c r="L164" s="4498"/>
      <c r="M164" s="4498"/>
      <c r="N164" s="4503"/>
    </row>
    <row r="165" spans="2:14">
      <c r="B165" s="4507" t="s">
        <v>6804</v>
      </c>
      <c r="C165" s="4504" t="s">
        <v>3817</v>
      </c>
      <c r="D165" s="4497">
        <v>157.33000000000001</v>
      </c>
      <c r="E165" s="4497"/>
      <c r="F165" s="4497"/>
      <c r="G165" s="4501">
        <f t="shared" si="15"/>
        <v>157.33000000000001</v>
      </c>
      <c r="H165" s="4497">
        <f t="shared" si="16"/>
        <v>157.33000000000001</v>
      </c>
      <c r="I165" s="4511">
        <f>G165</f>
        <v>157.33000000000001</v>
      </c>
      <c r="J165" s="4508"/>
      <c r="K165" s="4502"/>
      <c r="L165" s="4497"/>
      <c r="M165" s="4497"/>
      <c r="N165" s="4503"/>
    </row>
    <row r="166" spans="2:14">
      <c r="B166" s="4507" t="s">
        <v>6773</v>
      </c>
      <c r="C166" s="4504" t="s">
        <v>1006</v>
      </c>
      <c r="D166" s="4497">
        <v>0</v>
      </c>
      <c r="E166" s="4497"/>
      <c r="F166" s="4497"/>
      <c r="G166" s="4501">
        <f t="shared" si="15"/>
        <v>0</v>
      </c>
      <c r="H166" s="4497">
        <f t="shared" si="16"/>
        <v>0</v>
      </c>
      <c r="I166" s="4497">
        <f>+G166</f>
        <v>0</v>
      </c>
      <c r="J166" s="4497"/>
      <c r="K166" s="4497"/>
      <c r="L166" s="4498"/>
      <c r="M166" s="4498"/>
      <c r="N166" s="4503"/>
    </row>
    <row r="167" spans="2:14">
      <c r="B167" s="4507" t="s">
        <v>6716</v>
      </c>
      <c r="C167" s="4504" t="s">
        <v>6775</v>
      </c>
      <c r="D167" s="4497">
        <v>7651.39</v>
      </c>
      <c r="E167" s="4497"/>
      <c r="F167" s="4497">
        <v>1194</v>
      </c>
      <c r="G167" s="4501">
        <f t="shared" si="15"/>
        <v>6457.39</v>
      </c>
      <c r="H167" s="4497">
        <f t="shared" si="16"/>
        <v>6457.39</v>
      </c>
      <c r="I167" s="4497">
        <f>+G167</f>
        <v>6457.39</v>
      </c>
      <c r="J167" s="4497"/>
      <c r="K167" s="4497"/>
      <c r="L167" s="4498"/>
      <c r="M167" s="4498"/>
      <c r="N167" s="4503"/>
    </row>
    <row r="168" spans="2:14">
      <c r="B168" s="4507" t="s">
        <v>6608</v>
      </c>
      <c r="C168" s="4504" t="s">
        <v>2694</v>
      </c>
      <c r="D168" s="4497">
        <v>326.93</v>
      </c>
      <c r="E168" s="4497"/>
      <c r="F168" s="4497"/>
      <c r="G168" s="4501">
        <f t="shared" si="15"/>
        <v>326.93</v>
      </c>
      <c r="H168" s="4497">
        <f t="shared" si="16"/>
        <v>326.93</v>
      </c>
      <c r="I168" s="4497">
        <f>+G168</f>
        <v>326.93</v>
      </c>
      <c r="J168" s="4497"/>
      <c r="K168" s="4497"/>
      <c r="L168" s="4498"/>
      <c r="M168" s="4498"/>
      <c r="N168" s="4503"/>
    </row>
    <row r="169" spans="2:14">
      <c r="B169" s="4509" t="s">
        <v>6659</v>
      </c>
      <c r="C169" s="4504" t="s">
        <v>591</v>
      </c>
      <c r="D169" s="4497">
        <v>0</v>
      </c>
      <c r="E169" s="4497">
        <v>64443.9</v>
      </c>
      <c r="F169" s="4497"/>
      <c r="G169" s="4501">
        <f t="shared" si="15"/>
        <v>64443.9</v>
      </c>
      <c r="H169" s="4497">
        <f t="shared" si="16"/>
        <v>64443.9</v>
      </c>
      <c r="I169" s="4497"/>
      <c r="J169" s="4497">
        <f>+G169</f>
        <v>64443.9</v>
      </c>
      <c r="K169" s="4502"/>
      <c r="L169" s="4497"/>
      <c r="M169" s="4497"/>
      <c r="N169" s="4503"/>
    </row>
    <row r="170" spans="2:14">
      <c r="B170" s="4483" t="s">
        <v>4833</v>
      </c>
      <c r="C170" s="4504" t="s">
        <v>591</v>
      </c>
      <c r="D170" s="4497">
        <v>2767.2</v>
      </c>
      <c r="E170" s="4497"/>
      <c r="F170" s="4497">
        <v>229.32</v>
      </c>
      <c r="G170" s="4501">
        <f t="shared" si="15"/>
        <v>2537.8799999999997</v>
      </c>
      <c r="H170" s="4497">
        <f t="shared" si="16"/>
        <v>2537.8799999999997</v>
      </c>
      <c r="I170" s="4497"/>
      <c r="J170" s="4497"/>
      <c r="K170" s="4497">
        <f>+G170</f>
        <v>2537.8799999999997</v>
      </c>
      <c r="L170" s="4498"/>
      <c r="M170" s="4498"/>
      <c r="N170" s="4503"/>
    </row>
    <row r="171" spans="2:14">
      <c r="B171" s="4507" t="s">
        <v>6609</v>
      </c>
      <c r="C171" s="4504" t="s">
        <v>39</v>
      </c>
      <c r="D171" s="4497">
        <v>156.80000000000001</v>
      </c>
      <c r="E171" s="4497"/>
      <c r="F171" s="4497">
        <v>56.8</v>
      </c>
      <c r="G171" s="4501">
        <f t="shared" si="15"/>
        <v>100.00000000000001</v>
      </c>
      <c r="H171" s="4497">
        <f t="shared" si="16"/>
        <v>100.00000000000001</v>
      </c>
      <c r="I171" s="4497">
        <f t="shared" ref="I171:I177" si="18">+G171</f>
        <v>100.00000000000001</v>
      </c>
      <c r="J171" s="4497"/>
      <c r="K171" s="4497"/>
      <c r="L171" s="4498"/>
      <c r="M171" s="4498"/>
      <c r="N171" s="4503"/>
    </row>
    <row r="172" spans="2:14">
      <c r="B172" s="4507" t="s">
        <v>6610</v>
      </c>
      <c r="C172" s="4504" t="s">
        <v>4163</v>
      </c>
      <c r="D172" s="4497">
        <v>588</v>
      </c>
      <c r="E172" s="4497"/>
      <c r="F172" s="4497"/>
      <c r="G172" s="4501">
        <f t="shared" si="15"/>
        <v>588</v>
      </c>
      <c r="H172" s="4497">
        <f t="shared" si="16"/>
        <v>588</v>
      </c>
      <c r="I172" s="4497">
        <f t="shared" si="18"/>
        <v>588</v>
      </c>
      <c r="J172" s="4497"/>
      <c r="K172" s="4497"/>
      <c r="L172" s="4498"/>
      <c r="M172" s="4498"/>
      <c r="N172" s="4503"/>
    </row>
    <row r="173" spans="2:14">
      <c r="B173" s="4507" t="s">
        <v>4835</v>
      </c>
      <c r="C173" s="4504" t="s">
        <v>40</v>
      </c>
      <c r="D173" s="4497">
        <v>1097.2</v>
      </c>
      <c r="E173" s="4497"/>
      <c r="F173" s="4497"/>
      <c r="G173" s="4501">
        <f t="shared" si="15"/>
        <v>1097.2</v>
      </c>
      <c r="H173" s="4497">
        <f t="shared" si="16"/>
        <v>1097.2</v>
      </c>
      <c r="I173" s="4497">
        <f t="shared" si="18"/>
        <v>1097.2</v>
      </c>
      <c r="J173" s="4497"/>
      <c r="K173" s="4497"/>
      <c r="L173" s="4498"/>
      <c r="M173" s="4498"/>
      <c r="N173" s="4503"/>
    </row>
    <row r="174" spans="2:14">
      <c r="B174" s="4507" t="s">
        <v>6612</v>
      </c>
      <c r="C174" s="4504" t="s">
        <v>903</v>
      </c>
      <c r="D174" s="4497">
        <v>1179.75</v>
      </c>
      <c r="E174" s="4497"/>
      <c r="F174" s="4497"/>
      <c r="G174" s="4501">
        <f t="shared" si="15"/>
        <v>1179.75</v>
      </c>
      <c r="H174" s="4497">
        <f t="shared" si="16"/>
        <v>1179.75</v>
      </c>
      <c r="I174" s="4497">
        <f t="shared" si="18"/>
        <v>1179.75</v>
      </c>
      <c r="J174" s="4497"/>
      <c r="K174" s="4497"/>
      <c r="L174" s="4498"/>
      <c r="M174" s="4498"/>
      <c r="N174" s="4503"/>
    </row>
    <row r="175" spans="2:14">
      <c r="B175" s="4507" t="s">
        <v>6613</v>
      </c>
      <c r="C175" s="4504" t="s">
        <v>4206</v>
      </c>
      <c r="D175" s="4497">
        <v>200</v>
      </c>
      <c r="E175" s="4497"/>
      <c r="F175" s="4497"/>
      <c r="G175" s="4501">
        <f t="shared" si="15"/>
        <v>200</v>
      </c>
      <c r="H175" s="4497">
        <f t="shared" si="16"/>
        <v>200</v>
      </c>
      <c r="I175" s="4497">
        <f t="shared" si="18"/>
        <v>200</v>
      </c>
      <c r="J175" s="4497"/>
      <c r="K175" s="4502"/>
      <c r="L175" s="4498"/>
      <c r="M175" s="4498"/>
      <c r="N175" s="4503"/>
    </row>
    <row r="176" spans="2:14">
      <c r="B176" s="4507" t="s">
        <v>6577</v>
      </c>
      <c r="C176" s="4504" t="s">
        <v>894</v>
      </c>
      <c r="D176" s="4497">
        <v>149164.16</v>
      </c>
      <c r="E176" s="4497"/>
      <c r="F176" s="4497">
        <v>11591.25</v>
      </c>
      <c r="G176" s="4501">
        <f t="shared" si="15"/>
        <v>137572.91</v>
      </c>
      <c r="H176" s="4497">
        <f t="shared" si="16"/>
        <v>137572.91</v>
      </c>
      <c r="I176" s="4497">
        <f t="shared" si="18"/>
        <v>137572.91</v>
      </c>
      <c r="J176" s="4497"/>
      <c r="K176" s="4502"/>
      <c r="L176" s="4497"/>
      <c r="M176" s="4497"/>
      <c r="N176" s="4503"/>
    </row>
    <row r="177" spans="2:14">
      <c r="B177" s="4507" t="s">
        <v>6581</v>
      </c>
      <c r="C177" s="4504" t="s">
        <v>38</v>
      </c>
      <c r="D177" s="4497">
        <v>251825</v>
      </c>
      <c r="E177" s="4497"/>
      <c r="F177" s="4497"/>
      <c r="G177" s="4501">
        <f t="shared" ref="G177:G193" si="19">+D177+E177-F177</f>
        <v>251825</v>
      </c>
      <c r="H177" s="4497">
        <f t="shared" ref="H177:H193" si="20">+SUM(I177:M177)</f>
        <v>251825</v>
      </c>
      <c r="I177" s="4497">
        <f t="shared" si="18"/>
        <v>251825</v>
      </c>
      <c r="J177" s="4497"/>
      <c r="K177" s="4502"/>
      <c r="L177" s="4497"/>
      <c r="M177" s="4497"/>
      <c r="N177" s="4503"/>
    </row>
    <row r="178" spans="2:14">
      <c r="B178" s="4512" t="s">
        <v>6780</v>
      </c>
      <c r="C178" s="4504" t="s">
        <v>281</v>
      </c>
      <c r="D178" s="4497">
        <v>0</v>
      </c>
      <c r="E178" s="4497"/>
      <c r="F178" s="4497"/>
      <c r="G178" s="4501">
        <f t="shared" si="19"/>
        <v>0</v>
      </c>
      <c r="H178" s="4497">
        <f t="shared" si="20"/>
        <v>0</v>
      </c>
      <c r="I178" s="4497"/>
      <c r="J178" s="4497"/>
      <c r="K178" s="4502"/>
      <c r="L178" s="4497">
        <f>+G178</f>
        <v>0</v>
      </c>
      <c r="M178" s="4497"/>
      <c r="N178" s="4503"/>
    </row>
    <row r="179" spans="2:14">
      <c r="B179" s="4512" t="s">
        <v>6781</v>
      </c>
      <c r="C179" s="4504" t="s">
        <v>281</v>
      </c>
      <c r="D179" s="4497">
        <v>33214.120000000003</v>
      </c>
      <c r="E179" s="4497"/>
      <c r="F179" s="4497"/>
      <c r="G179" s="4501">
        <f t="shared" si="19"/>
        <v>33214.120000000003</v>
      </c>
      <c r="H179" s="4497">
        <f t="shared" si="20"/>
        <v>33214.120000000003</v>
      </c>
      <c r="I179" s="4497"/>
      <c r="J179" s="4497"/>
      <c r="K179" s="4502"/>
      <c r="L179" s="4497">
        <f>+G179</f>
        <v>33214.120000000003</v>
      </c>
      <c r="M179" s="4497"/>
      <c r="N179" s="4503"/>
    </row>
    <row r="180" spans="2:14">
      <c r="B180" s="4523" t="s">
        <v>7002</v>
      </c>
      <c r="C180" s="4504" t="s">
        <v>281</v>
      </c>
      <c r="D180" s="4497">
        <v>26785.57</v>
      </c>
      <c r="E180" s="4497"/>
      <c r="F180" s="4497"/>
      <c r="G180" s="4501">
        <f t="shared" si="19"/>
        <v>26785.57</v>
      </c>
      <c r="H180" s="4497">
        <f t="shared" si="20"/>
        <v>26785.57</v>
      </c>
      <c r="I180" s="4497"/>
      <c r="J180" s="4497"/>
      <c r="K180" s="4502"/>
      <c r="L180" s="4497"/>
      <c r="M180" s="4497">
        <f>+G180</f>
        <v>26785.57</v>
      </c>
      <c r="N180" s="4503"/>
    </row>
    <row r="181" spans="2:14">
      <c r="B181" s="4512" t="s">
        <v>7206</v>
      </c>
      <c r="C181" s="4504" t="s">
        <v>3787</v>
      </c>
      <c r="D181" s="4497">
        <v>0</v>
      </c>
      <c r="E181" s="4497">
        <v>28840</v>
      </c>
      <c r="F181" s="4497"/>
      <c r="G181" s="4501">
        <f t="shared" si="19"/>
        <v>28840</v>
      </c>
      <c r="H181" s="4497">
        <f t="shared" si="20"/>
        <v>28840</v>
      </c>
      <c r="I181" s="4497"/>
      <c r="J181" s="4497"/>
      <c r="K181" s="4502"/>
      <c r="L181" s="4497">
        <f>+G181</f>
        <v>28840</v>
      </c>
      <c r="M181" s="4497"/>
      <c r="N181" s="4503"/>
    </row>
    <row r="182" spans="2:14">
      <c r="B182" s="4512" t="s">
        <v>6783</v>
      </c>
      <c r="C182" s="4504" t="s">
        <v>39</v>
      </c>
      <c r="D182" s="4497">
        <v>0</v>
      </c>
      <c r="E182" s="4497"/>
      <c r="F182" s="4497"/>
      <c r="G182" s="4501">
        <f t="shared" si="19"/>
        <v>0</v>
      </c>
      <c r="H182" s="4497">
        <f t="shared" si="20"/>
        <v>0</v>
      </c>
      <c r="I182" s="4497"/>
      <c r="J182" s="4497"/>
      <c r="K182" s="4502"/>
      <c r="L182" s="4497">
        <f>+G182</f>
        <v>0</v>
      </c>
      <c r="M182" s="4497"/>
      <c r="N182" s="4503"/>
    </row>
    <row r="183" spans="2:14">
      <c r="B183" s="4507" t="s">
        <v>7207</v>
      </c>
      <c r="C183" s="4504" t="s">
        <v>7208</v>
      </c>
      <c r="D183" s="4497">
        <v>0</v>
      </c>
      <c r="E183" s="4508">
        <v>639186.31000000006</v>
      </c>
      <c r="F183" s="4497"/>
      <c r="G183" s="4501">
        <f t="shared" si="19"/>
        <v>639186.31000000006</v>
      </c>
      <c r="H183" s="4497">
        <f t="shared" si="20"/>
        <v>639186.31000000006</v>
      </c>
      <c r="I183" s="4497">
        <f>+G183</f>
        <v>639186.31000000006</v>
      </c>
      <c r="J183" s="4497"/>
      <c r="K183" s="4502"/>
      <c r="L183" s="4497"/>
      <c r="M183" s="4497"/>
      <c r="N183" s="4503"/>
    </row>
    <row r="184" spans="2:14">
      <c r="B184" s="4507" t="s">
        <v>6737</v>
      </c>
      <c r="C184" s="4504" t="s">
        <v>671</v>
      </c>
      <c r="D184" s="4497">
        <v>1140.2</v>
      </c>
      <c r="E184" s="4497"/>
      <c r="F184" s="4497">
        <v>87.4</v>
      </c>
      <c r="G184" s="4501">
        <f t="shared" si="19"/>
        <v>1052.8</v>
      </c>
      <c r="H184" s="4497">
        <f t="shared" si="20"/>
        <v>1052.8</v>
      </c>
      <c r="I184" s="4497">
        <f>+G184</f>
        <v>1052.8</v>
      </c>
      <c r="J184" s="4497"/>
      <c r="K184" s="4502"/>
      <c r="L184" s="4497"/>
      <c r="M184" s="4497"/>
      <c r="N184" s="4503"/>
    </row>
    <row r="185" spans="2:14">
      <c r="B185" s="4483" t="s">
        <v>5694</v>
      </c>
      <c r="C185" s="4504" t="s">
        <v>671</v>
      </c>
      <c r="D185" s="4497">
        <v>14825.18</v>
      </c>
      <c r="E185" s="4497"/>
      <c r="F185" s="4497"/>
      <c r="G185" s="4501">
        <f t="shared" si="19"/>
        <v>14825.18</v>
      </c>
      <c r="H185" s="4497">
        <f t="shared" si="20"/>
        <v>14825.18</v>
      </c>
      <c r="I185" s="4497"/>
      <c r="J185" s="4497"/>
      <c r="K185" s="4497">
        <f>+G185</f>
        <v>14825.18</v>
      </c>
      <c r="L185" s="4497"/>
      <c r="M185" s="4497"/>
      <c r="N185" s="4503"/>
    </row>
    <row r="186" spans="2:14">
      <c r="B186" s="4507" t="s">
        <v>5717</v>
      </c>
      <c r="C186" s="4504" t="s">
        <v>39</v>
      </c>
      <c r="D186" s="4511">
        <v>2075957.83</v>
      </c>
      <c r="E186" s="4511"/>
      <c r="F186" s="4497">
        <v>2075957.83</v>
      </c>
      <c r="G186" s="4501">
        <f t="shared" si="19"/>
        <v>0</v>
      </c>
      <c r="H186" s="4497">
        <f t="shared" si="20"/>
        <v>0</v>
      </c>
      <c r="I186" s="4497">
        <f>+G186</f>
        <v>0</v>
      </c>
      <c r="J186" s="4497"/>
      <c r="K186" s="4497"/>
      <c r="L186" s="4497"/>
      <c r="M186" s="4497"/>
      <c r="N186" s="4503"/>
    </row>
    <row r="187" spans="2:14">
      <c r="B187" s="4483" t="s">
        <v>5283</v>
      </c>
      <c r="C187" s="4504" t="s">
        <v>39</v>
      </c>
      <c r="D187" s="4511">
        <v>3576.1999999999825</v>
      </c>
      <c r="E187" s="4497">
        <f>1097.6</f>
        <v>1097.5999999999999</v>
      </c>
      <c r="F187" s="4497">
        <v>2251.1999999999998</v>
      </c>
      <c r="G187" s="4501">
        <f t="shared" si="19"/>
        <v>2422.5999999999831</v>
      </c>
      <c r="H187" s="4497">
        <f t="shared" si="20"/>
        <v>2422.5999999999831</v>
      </c>
      <c r="I187" s="4497"/>
      <c r="J187" s="4497"/>
      <c r="K187" s="4497">
        <f>+G187</f>
        <v>2422.5999999999831</v>
      </c>
      <c r="L187" s="4497"/>
      <c r="M187" s="4497"/>
      <c r="N187" s="4503"/>
    </row>
    <row r="188" spans="2:14">
      <c r="B188" s="4507" t="s">
        <v>6785</v>
      </c>
      <c r="C188" s="4504" t="s">
        <v>39</v>
      </c>
      <c r="D188" s="4497">
        <v>41623.279999999999</v>
      </c>
      <c r="E188" s="4497"/>
      <c r="F188" s="4497"/>
      <c r="G188" s="4501">
        <f t="shared" si="19"/>
        <v>41623.279999999999</v>
      </c>
      <c r="H188" s="4497">
        <f t="shared" si="20"/>
        <v>41623.279999999999</v>
      </c>
      <c r="I188" s="4497">
        <f>+G188</f>
        <v>41623.279999999999</v>
      </c>
      <c r="J188" s="4497"/>
      <c r="K188" s="4497"/>
      <c r="L188" s="4497"/>
      <c r="M188" s="4497"/>
      <c r="N188" s="4503"/>
    </row>
    <row r="189" spans="2:14">
      <c r="B189" s="4512" t="s">
        <v>6784</v>
      </c>
      <c r="C189" s="4504" t="s">
        <v>39</v>
      </c>
      <c r="D189" s="4497">
        <v>71176.34</v>
      </c>
      <c r="E189" s="4497"/>
      <c r="F189" s="4497"/>
      <c r="G189" s="4501">
        <f t="shared" si="19"/>
        <v>71176.34</v>
      </c>
      <c r="H189" s="4497">
        <f t="shared" si="20"/>
        <v>71176.34</v>
      </c>
      <c r="I189" s="4497"/>
      <c r="J189" s="4497"/>
      <c r="K189" s="4497"/>
      <c r="L189" s="4497">
        <f>+G189</f>
        <v>71176.34</v>
      </c>
      <c r="M189" s="4497"/>
      <c r="N189" s="4503"/>
    </row>
    <row r="190" spans="2:14">
      <c r="B190" s="4523" t="s">
        <v>7003</v>
      </c>
      <c r="C190" s="4504" t="s">
        <v>39</v>
      </c>
      <c r="D190" s="4497">
        <v>90967.42</v>
      </c>
      <c r="E190" s="4497"/>
      <c r="F190" s="4497"/>
      <c r="G190" s="4501">
        <f t="shared" si="19"/>
        <v>90967.42</v>
      </c>
      <c r="H190" s="4497">
        <f t="shared" si="20"/>
        <v>90967.42</v>
      </c>
      <c r="I190" s="4497"/>
      <c r="J190" s="4497"/>
      <c r="K190" s="4497"/>
      <c r="L190" s="4497"/>
      <c r="M190" s="4497">
        <f>+G190</f>
        <v>90967.42</v>
      </c>
      <c r="N190" s="4503"/>
    </row>
    <row r="191" spans="2:14">
      <c r="B191" s="4483" t="s">
        <v>4825</v>
      </c>
      <c r="C191" s="4504" t="s">
        <v>40</v>
      </c>
      <c r="D191" s="4497">
        <v>13346.64</v>
      </c>
      <c r="E191" s="4497">
        <v>500</v>
      </c>
      <c r="F191" s="4497">
        <f>1930.27+1097.6</f>
        <v>3027.87</v>
      </c>
      <c r="G191" s="4501">
        <f t="shared" si="19"/>
        <v>10818.77</v>
      </c>
      <c r="H191" s="4497">
        <f t="shared" si="20"/>
        <v>10818.77</v>
      </c>
      <c r="I191" s="4497"/>
      <c r="J191" s="4497"/>
      <c r="K191" s="4497">
        <f>+G191</f>
        <v>10818.77</v>
      </c>
      <c r="L191" s="4497"/>
      <c r="M191" s="4497"/>
      <c r="N191" s="4503"/>
    </row>
    <row r="192" spans="2:14">
      <c r="B192" s="4507" t="s">
        <v>7209</v>
      </c>
      <c r="C192" s="4504" t="s">
        <v>5812</v>
      </c>
      <c r="D192" s="4497">
        <v>0</v>
      </c>
      <c r="E192" s="4508">
        <v>369996</v>
      </c>
      <c r="F192" s="4497"/>
      <c r="G192" s="4501">
        <f t="shared" si="19"/>
        <v>369996</v>
      </c>
      <c r="H192" s="4497">
        <f t="shared" si="20"/>
        <v>369996</v>
      </c>
      <c r="I192" s="4497">
        <f>+G192</f>
        <v>369996</v>
      </c>
      <c r="J192" s="4497"/>
      <c r="K192" s="4497"/>
      <c r="L192" s="4497"/>
      <c r="M192" s="4497"/>
      <c r="N192" s="4503"/>
    </row>
    <row r="193" spans="2:14">
      <c r="B193" s="4483" t="s">
        <v>6745</v>
      </c>
      <c r="C193" s="4504" t="s">
        <v>6746</v>
      </c>
      <c r="D193" s="4497">
        <v>209449.11</v>
      </c>
      <c r="E193" s="4497">
        <v>4000</v>
      </c>
      <c r="F193" s="4497"/>
      <c r="G193" s="4501">
        <f t="shared" si="19"/>
        <v>213449.11</v>
      </c>
      <c r="H193" s="4497">
        <f t="shared" si="20"/>
        <v>213449.11</v>
      </c>
      <c r="I193" s="4497"/>
      <c r="J193" s="4497"/>
      <c r="K193" s="4497">
        <f>+G193</f>
        <v>213449.11</v>
      </c>
      <c r="L193" s="4497"/>
      <c r="M193" s="4497"/>
      <c r="N193" s="4503"/>
    </row>
    <row r="194" spans="2:14">
      <c r="B194" s="4524"/>
      <c r="C194" s="4518" t="s">
        <v>6787</v>
      </c>
      <c r="D194" s="1538">
        <f t="shared" ref="D194:M194" si="21">SUM(D145:D193)</f>
        <v>21575335.949999988</v>
      </c>
      <c r="E194" s="1538">
        <f t="shared" si="21"/>
        <v>1828726.9800000002</v>
      </c>
      <c r="F194" s="1538">
        <f t="shared" si="21"/>
        <v>3351395.2500000005</v>
      </c>
      <c r="G194" s="1538">
        <f t="shared" si="21"/>
        <v>20052667.679999989</v>
      </c>
      <c r="H194" s="1538">
        <f t="shared" si="21"/>
        <v>20052667.679999989</v>
      </c>
      <c r="I194" s="1538">
        <f t="shared" si="21"/>
        <v>2052635.6500000004</v>
      </c>
      <c r="J194" s="1538">
        <f t="shared" si="21"/>
        <v>68943.899999999994</v>
      </c>
      <c r="K194" s="1538">
        <f t="shared" si="21"/>
        <v>17680104.679999989</v>
      </c>
      <c r="L194" s="1538">
        <f t="shared" si="21"/>
        <v>133230.46</v>
      </c>
      <c r="M194" s="1538">
        <f t="shared" si="21"/>
        <v>117752.98999999999</v>
      </c>
      <c r="N194" s="4503"/>
    </row>
    <row r="195" spans="2:14">
      <c r="B195" s="4525"/>
      <c r="C195" s="4526"/>
      <c r="E195" s="4503"/>
      <c r="F195" s="1539"/>
      <c r="G195" s="3039"/>
      <c r="H195" s="1539"/>
      <c r="I195" s="1539"/>
      <c r="J195" s="1539"/>
      <c r="K195" s="1539"/>
      <c r="N195" s="4503"/>
    </row>
    <row r="196" spans="2:14">
      <c r="B196" s="4527"/>
      <c r="C196" s="4527"/>
      <c r="F196" s="1539"/>
      <c r="G196" s="1539"/>
      <c r="H196" s="1539"/>
      <c r="I196" s="1539"/>
      <c r="J196" s="1539"/>
      <c r="K196" s="1539"/>
      <c r="N196" s="4503"/>
    </row>
    <row r="197" spans="2:14" ht="25.5">
      <c r="B197" s="4528" t="s">
        <v>7</v>
      </c>
      <c r="C197" s="4528" t="s">
        <v>6505</v>
      </c>
      <c r="D197" s="4489" t="s">
        <v>6667</v>
      </c>
      <c r="E197" s="4489" t="s">
        <v>6678</v>
      </c>
      <c r="F197" s="4489" t="s">
        <v>6679</v>
      </c>
      <c r="G197" s="4489" t="s">
        <v>6680</v>
      </c>
      <c r="H197" s="4489" t="s">
        <v>6681</v>
      </c>
      <c r="I197" s="4490" t="s">
        <v>6488</v>
      </c>
      <c r="J197" s="4529" t="s">
        <v>6489</v>
      </c>
      <c r="K197" s="4492" t="s">
        <v>6508</v>
      </c>
      <c r="L197" s="4493" t="s">
        <v>6491</v>
      </c>
      <c r="M197" s="4494" t="s">
        <v>6492</v>
      </c>
      <c r="N197" s="4503"/>
    </row>
    <row r="198" spans="2:14">
      <c r="B198" s="4530" t="s">
        <v>6616</v>
      </c>
      <c r="C198" s="4531" t="s">
        <v>6617</v>
      </c>
      <c r="D198" s="4532"/>
      <c r="E198" s="4522"/>
      <c r="F198" s="4522"/>
      <c r="G198" s="4532"/>
      <c r="H198" s="4522"/>
      <c r="I198" s="4522"/>
      <c r="J198" s="4522"/>
      <c r="K198" s="4522"/>
      <c r="L198" s="4498"/>
      <c r="M198" s="4497"/>
      <c r="N198" s="4503"/>
    </row>
    <row r="199" spans="2:14">
      <c r="B199" s="4507" t="s">
        <v>6618</v>
      </c>
      <c r="C199" s="4504" t="s">
        <v>881</v>
      </c>
      <c r="D199" s="4497">
        <v>283018.39</v>
      </c>
      <c r="E199" s="4497"/>
      <c r="F199" s="4497"/>
      <c r="G199" s="4501">
        <f t="shared" ref="G199:G230" si="22">+D199+E199-F199</f>
        <v>283018.39</v>
      </c>
      <c r="H199" s="4497">
        <f>+SUM(I199:M199)</f>
        <v>283018.39</v>
      </c>
      <c r="I199" s="4497">
        <f>+G199</f>
        <v>283018.39</v>
      </c>
      <c r="J199" s="4497"/>
      <c r="K199" s="4497"/>
      <c r="L199" s="4498"/>
      <c r="M199" s="4497"/>
      <c r="N199" s="4503"/>
    </row>
    <row r="200" spans="2:14">
      <c r="B200" s="4507" t="s">
        <v>5012</v>
      </c>
      <c r="C200" s="4504" t="s">
        <v>6791</v>
      </c>
      <c r="D200" s="4497">
        <v>170480</v>
      </c>
      <c r="E200" s="4497">
        <f>1398.86+500+2000</f>
        <v>3898.8599999999997</v>
      </c>
      <c r="F200" s="4497">
        <f>7523+2436.98</f>
        <v>9959.98</v>
      </c>
      <c r="G200" s="4501">
        <f t="shared" si="22"/>
        <v>164418.87999999998</v>
      </c>
      <c r="H200" s="4497">
        <f>+SUM(I200:M200)</f>
        <v>164418.87999999998</v>
      </c>
      <c r="I200" s="4497">
        <f>+G200</f>
        <v>164418.87999999998</v>
      </c>
      <c r="J200" s="4497"/>
      <c r="K200" s="4497"/>
      <c r="L200" s="4498"/>
      <c r="M200" s="4497"/>
      <c r="N200" s="4503"/>
    </row>
    <row r="201" spans="2:14">
      <c r="B201" s="4509" t="s">
        <v>5020</v>
      </c>
      <c r="C201" s="4500" t="s">
        <v>6791</v>
      </c>
      <c r="D201" s="4497">
        <v>0</v>
      </c>
      <c r="E201" s="4497">
        <f>2352+5000</f>
        <v>7352</v>
      </c>
      <c r="F201" s="4497"/>
      <c r="G201" s="4501">
        <f t="shared" si="22"/>
        <v>7352</v>
      </c>
      <c r="H201" s="4497">
        <f>+SUM(I201:M201)</f>
        <v>7352</v>
      </c>
      <c r="I201" s="4497"/>
      <c r="J201" s="4497">
        <f>+G201</f>
        <v>7352</v>
      </c>
      <c r="K201" s="4497"/>
      <c r="L201" s="4498"/>
      <c r="M201" s="4497"/>
      <c r="N201" s="4503"/>
    </row>
    <row r="202" spans="2:14">
      <c r="B202" s="4507" t="s">
        <v>6795</v>
      </c>
      <c r="C202" s="4504" t="s">
        <v>2855</v>
      </c>
      <c r="D202" s="4497">
        <v>25066.04</v>
      </c>
      <c r="E202" s="4497"/>
      <c r="F202" s="4497"/>
      <c r="G202" s="4501">
        <f t="shared" si="22"/>
        <v>25066.04</v>
      </c>
      <c r="H202" s="4497">
        <f>+SUM(I202:M202)</f>
        <v>25066.04</v>
      </c>
      <c r="I202" s="4497">
        <f>+G202</f>
        <v>25066.04</v>
      </c>
      <c r="J202" s="4497"/>
      <c r="K202" s="4497"/>
      <c r="L202" s="4498"/>
      <c r="M202" s="4497"/>
      <c r="N202" s="4503"/>
    </row>
    <row r="203" spans="2:14">
      <c r="B203" s="4516" t="s">
        <v>6930</v>
      </c>
      <c r="C203" s="4504" t="s">
        <v>2855</v>
      </c>
      <c r="D203" s="4497">
        <v>25066.04</v>
      </c>
      <c r="E203" s="4497"/>
      <c r="F203" s="4497"/>
      <c r="G203" s="4501">
        <f t="shared" si="22"/>
        <v>25066.04</v>
      </c>
      <c r="H203" s="4497">
        <f>SUM(I203:M203)</f>
        <v>25066.04</v>
      </c>
      <c r="I203" s="4497"/>
      <c r="J203" s="4497"/>
      <c r="K203" s="4502"/>
      <c r="L203" s="4498"/>
      <c r="M203" s="4497">
        <f>G203</f>
        <v>25066.04</v>
      </c>
      <c r="N203" s="4503"/>
    </row>
    <row r="204" spans="2:14">
      <c r="B204" s="4483" t="s">
        <v>6543</v>
      </c>
      <c r="C204" s="4504" t="s">
        <v>6796</v>
      </c>
      <c r="D204" s="4497">
        <v>1000</v>
      </c>
      <c r="E204" s="4497"/>
      <c r="F204" s="4497"/>
      <c r="G204" s="4501">
        <f t="shared" si="22"/>
        <v>1000</v>
      </c>
      <c r="H204" s="4497">
        <f t="shared" ref="H204:H249" si="23">+SUM(I204:M204)</f>
        <v>1000</v>
      </c>
      <c r="I204" s="4497"/>
      <c r="J204" s="4497"/>
      <c r="K204" s="4502">
        <f>+G204</f>
        <v>1000</v>
      </c>
      <c r="L204" s="4498"/>
      <c r="M204" s="4497"/>
      <c r="N204" s="4503"/>
    </row>
    <row r="205" spans="2:14">
      <c r="B205" s="4507" t="s">
        <v>6620</v>
      </c>
      <c r="C205" s="4504" t="s">
        <v>1301</v>
      </c>
      <c r="D205" s="4497">
        <v>14540</v>
      </c>
      <c r="E205" s="4497"/>
      <c r="F205" s="4497"/>
      <c r="G205" s="4501">
        <f t="shared" si="22"/>
        <v>14540</v>
      </c>
      <c r="H205" s="4497">
        <f t="shared" si="23"/>
        <v>14540</v>
      </c>
      <c r="I205" s="4497">
        <f>+G205</f>
        <v>14540</v>
      </c>
      <c r="J205" s="4497"/>
      <c r="K205" s="4502"/>
      <c r="L205" s="4498"/>
      <c r="M205" s="4497"/>
      <c r="N205" s="4503"/>
    </row>
    <row r="206" spans="2:14">
      <c r="B206" s="4483" t="s">
        <v>6544</v>
      </c>
      <c r="C206" s="4504" t="s">
        <v>1301</v>
      </c>
      <c r="D206" s="4497">
        <v>10000</v>
      </c>
      <c r="E206" s="4497"/>
      <c r="F206" s="4497"/>
      <c r="G206" s="4501">
        <f t="shared" si="22"/>
        <v>10000</v>
      </c>
      <c r="H206" s="4497">
        <f t="shared" si="23"/>
        <v>10000</v>
      </c>
      <c r="I206" s="4497"/>
      <c r="J206" s="4497"/>
      <c r="K206" s="4502">
        <f>+G206</f>
        <v>10000</v>
      </c>
      <c r="L206" s="4498"/>
      <c r="M206" s="4497"/>
      <c r="N206" s="4503"/>
    </row>
    <row r="207" spans="2:14">
      <c r="B207" s="4507" t="s">
        <v>6621</v>
      </c>
      <c r="C207" s="4504" t="s">
        <v>29</v>
      </c>
      <c r="D207" s="4497">
        <v>1120</v>
      </c>
      <c r="E207" s="4497"/>
      <c r="F207" s="4497"/>
      <c r="G207" s="4501">
        <f t="shared" si="22"/>
        <v>1120</v>
      </c>
      <c r="H207" s="4497">
        <f t="shared" si="23"/>
        <v>1120</v>
      </c>
      <c r="I207" s="4497">
        <f>+G207</f>
        <v>1120</v>
      </c>
      <c r="J207" s="4497"/>
      <c r="K207" s="4502"/>
      <c r="L207" s="4498"/>
      <c r="M207" s="4497"/>
      <c r="N207" s="4503"/>
    </row>
    <row r="208" spans="2:14">
      <c r="B208" s="4507" t="s">
        <v>6768</v>
      </c>
      <c r="C208" s="4504" t="s">
        <v>30</v>
      </c>
      <c r="D208" s="4497">
        <v>5600</v>
      </c>
      <c r="E208" s="4508">
        <f>2200+1000</f>
        <v>3200</v>
      </c>
      <c r="F208" s="4497">
        <v>94</v>
      </c>
      <c r="G208" s="4501">
        <f t="shared" si="22"/>
        <v>8706</v>
      </c>
      <c r="H208" s="4497">
        <f t="shared" si="23"/>
        <v>8706</v>
      </c>
      <c r="I208" s="4497">
        <f>+G208</f>
        <v>8706</v>
      </c>
      <c r="J208" s="4497"/>
      <c r="K208" s="4502"/>
      <c r="L208" s="4498"/>
      <c r="M208" s="4497"/>
      <c r="N208" s="4503"/>
    </row>
    <row r="209" spans="2:14">
      <c r="B209" s="4483" t="s">
        <v>6546</v>
      </c>
      <c r="C209" s="4504" t="s">
        <v>30</v>
      </c>
      <c r="D209" s="4497">
        <v>5000</v>
      </c>
      <c r="E209" s="4497"/>
      <c r="F209" s="4497"/>
      <c r="G209" s="4501">
        <f t="shared" si="22"/>
        <v>5000</v>
      </c>
      <c r="H209" s="4497">
        <f t="shared" si="23"/>
        <v>5000</v>
      </c>
      <c r="I209" s="4497"/>
      <c r="J209" s="4497"/>
      <c r="K209" s="4502">
        <f>+G209</f>
        <v>5000</v>
      </c>
      <c r="L209" s="4498"/>
      <c r="M209" s="4497"/>
      <c r="N209" s="4503"/>
    </row>
    <row r="210" spans="2:14">
      <c r="B210" s="4507" t="s">
        <v>6699</v>
      </c>
      <c r="C210" s="4500" t="s">
        <v>281</v>
      </c>
      <c r="D210" s="4497">
        <v>164538.92999999996</v>
      </c>
      <c r="E210" s="4497"/>
      <c r="F210" s="4497">
        <f>104473.73+210+25570</f>
        <v>130253.73</v>
      </c>
      <c r="G210" s="4501">
        <f t="shared" si="22"/>
        <v>34285.199999999968</v>
      </c>
      <c r="H210" s="4497">
        <f t="shared" si="23"/>
        <v>34285.199999999968</v>
      </c>
      <c r="I210" s="4497">
        <f>+G210</f>
        <v>34285.199999999968</v>
      </c>
      <c r="J210" s="4497"/>
      <c r="K210" s="4497"/>
      <c r="L210" s="4498"/>
      <c r="M210" s="4497"/>
      <c r="N210" s="4503"/>
    </row>
    <row r="211" spans="2:14">
      <c r="B211" s="4509" t="s">
        <v>6700</v>
      </c>
      <c r="C211" s="4500" t="s">
        <v>281</v>
      </c>
      <c r="D211" s="4497">
        <v>0</v>
      </c>
      <c r="E211" s="4497">
        <v>31960.45</v>
      </c>
      <c r="F211" s="4497"/>
      <c r="G211" s="4501">
        <f t="shared" si="22"/>
        <v>31960.45</v>
      </c>
      <c r="H211" s="4497">
        <f t="shared" si="23"/>
        <v>31960.45</v>
      </c>
      <c r="I211" s="4497"/>
      <c r="J211" s="4497">
        <f>+G211</f>
        <v>31960.45</v>
      </c>
      <c r="K211" s="4497"/>
      <c r="L211" s="4498"/>
      <c r="M211" s="4497"/>
      <c r="N211" s="4503"/>
    </row>
    <row r="212" spans="2:14">
      <c r="B212" s="4483" t="s">
        <v>6701</v>
      </c>
      <c r="C212" s="4500" t="s">
        <v>281</v>
      </c>
      <c r="D212" s="4497">
        <v>6080.02</v>
      </c>
      <c r="E212" s="4497"/>
      <c r="F212" s="4497">
        <v>651.45000000000005</v>
      </c>
      <c r="G212" s="4501">
        <f t="shared" si="22"/>
        <v>5428.5700000000006</v>
      </c>
      <c r="H212" s="4497">
        <f t="shared" si="23"/>
        <v>5428.5700000000006</v>
      </c>
      <c r="I212" s="4497"/>
      <c r="J212" s="4497"/>
      <c r="K212" s="4497">
        <f>+G212</f>
        <v>5428.5700000000006</v>
      </c>
      <c r="L212" s="4498"/>
      <c r="M212" s="4497"/>
      <c r="N212" s="4503"/>
    </row>
    <row r="213" spans="2:14">
      <c r="B213" s="4483" t="s">
        <v>6706</v>
      </c>
      <c r="C213" s="4504" t="s">
        <v>505</v>
      </c>
      <c r="D213" s="4497">
        <v>26672.48</v>
      </c>
      <c r="E213" s="4497">
        <v>5860.96</v>
      </c>
      <c r="F213" s="4497">
        <v>10208.48</v>
      </c>
      <c r="G213" s="4501">
        <f t="shared" si="22"/>
        <v>22324.959999999999</v>
      </c>
      <c r="H213" s="4497">
        <f t="shared" si="23"/>
        <v>22324.959999999999</v>
      </c>
      <c r="I213" s="4497"/>
      <c r="J213" s="4497"/>
      <c r="K213" s="4497">
        <f>+G213</f>
        <v>22324.959999999999</v>
      </c>
      <c r="L213" s="4498"/>
      <c r="M213" s="4497"/>
      <c r="N213" s="4503"/>
    </row>
    <row r="214" spans="2:14">
      <c r="B214" s="4507" t="s">
        <v>6623</v>
      </c>
      <c r="C214" s="4504" t="s">
        <v>4343</v>
      </c>
      <c r="D214" s="4497">
        <v>0</v>
      </c>
      <c r="E214" s="4497"/>
      <c r="F214" s="4497"/>
      <c r="G214" s="4501">
        <f t="shared" si="22"/>
        <v>0</v>
      </c>
      <c r="H214" s="4497">
        <f t="shared" si="23"/>
        <v>0</v>
      </c>
      <c r="I214" s="4497">
        <f>+G214</f>
        <v>0</v>
      </c>
      <c r="J214" s="4497"/>
      <c r="K214" s="4497"/>
      <c r="L214" s="4498"/>
      <c r="M214" s="4497"/>
      <c r="N214" s="4503"/>
    </row>
    <row r="215" spans="2:14">
      <c r="B215" s="4509" t="s">
        <v>6624</v>
      </c>
      <c r="C215" s="4504" t="s">
        <v>6752</v>
      </c>
      <c r="D215" s="4497">
        <v>7500</v>
      </c>
      <c r="F215" s="4497"/>
      <c r="G215" s="4501">
        <f t="shared" si="22"/>
        <v>7500</v>
      </c>
      <c r="H215" s="4497">
        <f t="shared" si="23"/>
        <v>7500</v>
      </c>
      <c r="I215" s="4497"/>
      <c r="J215" s="4497">
        <f>+G215</f>
        <v>7500</v>
      </c>
      <c r="K215" s="4497"/>
      <c r="L215" s="4498"/>
      <c r="M215" s="4497"/>
      <c r="N215" s="4503"/>
    </row>
    <row r="216" spans="2:14">
      <c r="B216" s="4507" t="s">
        <v>6625</v>
      </c>
      <c r="C216" s="4504" t="s">
        <v>32</v>
      </c>
      <c r="D216" s="4497">
        <v>3360</v>
      </c>
      <c r="E216" s="4497">
        <v>2800</v>
      </c>
      <c r="F216" s="4497">
        <v>1680</v>
      </c>
      <c r="G216" s="4501">
        <f t="shared" si="22"/>
        <v>4480</v>
      </c>
      <c r="H216" s="4497">
        <f t="shared" si="23"/>
        <v>4480</v>
      </c>
      <c r="I216" s="4497">
        <f>+G216</f>
        <v>4480</v>
      </c>
      <c r="J216" s="4497"/>
      <c r="K216" s="4497"/>
      <c r="L216" s="4498"/>
      <c r="M216" s="4497"/>
      <c r="N216" s="4503"/>
    </row>
    <row r="217" spans="2:14">
      <c r="B217" s="4507" t="s">
        <v>6601</v>
      </c>
      <c r="C217" s="4504" t="s">
        <v>1360</v>
      </c>
      <c r="D217" s="4497">
        <v>14442.970000000001</v>
      </c>
      <c r="E217" s="4497"/>
      <c r="F217" s="4497"/>
      <c r="G217" s="4501">
        <f t="shared" si="22"/>
        <v>14442.970000000001</v>
      </c>
      <c r="H217" s="4497">
        <f t="shared" si="23"/>
        <v>14442.970000000001</v>
      </c>
      <c r="I217" s="4497">
        <f>+G217</f>
        <v>14442.970000000001</v>
      </c>
      <c r="J217" s="4497"/>
      <c r="K217" s="4497"/>
      <c r="L217" s="4498"/>
      <c r="M217" s="4497"/>
      <c r="N217" s="4503"/>
    </row>
    <row r="218" spans="2:14">
      <c r="B218" s="4509" t="s">
        <v>6626</v>
      </c>
      <c r="C218" s="4504" t="s">
        <v>1360</v>
      </c>
      <c r="D218" s="4497">
        <v>150</v>
      </c>
      <c r="E218" s="4497"/>
      <c r="F218" s="4497"/>
      <c r="G218" s="4501">
        <f t="shared" si="22"/>
        <v>150</v>
      </c>
      <c r="H218" s="4497">
        <f t="shared" si="23"/>
        <v>150</v>
      </c>
      <c r="I218" s="4497"/>
      <c r="J218" s="4497">
        <f>+G218</f>
        <v>150</v>
      </c>
      <c r="K218" s="4497"/>
      <c r="L218" s="4498"/>
      <c r="M218" s="4497"/>
      <c r="N218" s="4503"/>
    </row>
    <row r="219" spans="2:14">
      <c r="B219" s="4507" t="s">
        <v>6829</v>
      </c>
      <c r="C219" s="4504" t="s">
        <v>1665</v>
      </c>
      <c r="D219" s="4497">
        <v>16885.510000000002</v>
      </c>
      <c r="E219" s="4497"/>
      <c r="F219" s="4497">
        <v>1953.1</v>
      </c>
      <c r="G219" s="4501">
        <f t="shared" si="22"/>
        <v>14932.410000000002</v>
      </c>
      <c r="H219" s="4497">
        <f t="shared" si="23"/>
        <v>14932.410000000002</v>
      </c>
      <c r="I219" s="4497">
        <f>+G219</f>
        <v>14932.410000000002</v>
      </c>
      <c r="J219" s="4497"/>
      <c r="K219" s="4497"/>
      <c r="L219" s="4498"/>
      <c r="M219" s="4497"/>
      <c r="N219" s="4503"/>
    </row>
    <row r="220" spans="2:14">
      <c r="B220" s="4509" t="s">
        <v>5097</v>
      </c>
      <c r="C220" s="4504" t="s">
        <v>1665</v>
      </c>
      <c r="D220" s="4497">
        <v>64636.320000000007</v>
      </c>
      <c r="E220" s="4508">
        <f>2000+7056+4360.68+5738</f>
        <v>19154.68</v>
      </c>
      <c r="F220" s="4508">
        <f>360+6405.28+2352+1184.96+12732.16</f>
        <v>23034.399999999998</v>
      </c>
      <c r="G220" s="4501">
        <f t="shared" si="22"/>
        <v>60756.600000000006</v>
      </c>
      <c r="H220" s="4497">
        <f t="shared" si="23"/>
        <v>60756.600000000006</v>
      </c>
      <c r="I220" s="4497"/>
      <c r="J220" s="4497">
        <f>+G220</f>
        <v>60756.600000000006</v>
      </c>
      <c r="K220" s="4497"/>
      <c r="L220" s="4498"/>
      <c r="M220" s="4497"/>
      <c r="N220" s="4503"/>
    </row>
    <row r="221" spans="2:14">
      <c r="B221" s="4507" t="s">
        <v>6801</v>
      </c>
      <c r="C221" s="4504" t="s">
        <v>6802</v>
      </c>
      <c r="D221" s="4497">
        <v>56</v>
      </c>
      <c r="E221" s="4497"/>
      <c r="F221" s="4497"/>
      <c r="G221" s="4501">
        <f t="shared" si="22"/>
        <v>56</v>
      </c>
      <c r="H221" s="4497">
        <f t="shared" si="23"/>
        <v>56</v>
      </c>
      <c r="I221" s="4497">
        <f>+G221</f>
        <v>56</v>
      </c>
      <c r="J221" s="4497"/>
      <c r="K221" s="4497"/>
      <c r="L221" s="4498"/>
      <c r="M221" s="4497"/>
      <c r="N221" s="4503"/>
    </row>
    <row r="222" spans="2:14">
      <c r="B222" s="4507" t="s">
        <v>6774</v>
      </c>
      <c r="C222" s="4504" t="s">
        <v>6806</v>
      </c>
      <c r="D222" s="4497">
        <v>1063.76</v>
      </c>
      <c r="E222" s="4497"/>
      <c r="F222" s="4497">
        <v>590</v>
      </c>
      <c r="G222" s="4501">
        <f t="shared" si="22"/>
        <v>473.76</v>
      </c>
      <c r="H222" s="4497">
        <f t="shared" si="23"/>
        <v>473.76</v>
      </c>
      <c r="I222" s="4497">
        <f>+G222</f>
        <v>473.76</v>
      </c>
      <c r="J222" s="4497"/>
      <c r="K222" s="4497"/>
      <c r="L222" s="4498"/>
      <c r="M222" s="4497"/>
      <c r="N222" s="4503"/>
    </row>
    <row r="223" spans="2:14">
      <c r="B223" s="4483" t="s">
        <v>5375</v>
      </c>
      <c r="C223" s="4504" t="s">
        <v>1089</v>
      </c>
      <c r="D223" s="4497">
        <v>2477.5</v>
      </c>
      <c r="E223" s="4497"/>
      <c r="F223" s="4497"/>
      <c r="G223" s="4501">
        <f t="shared" si="22"/>
        <v>2477.5</v>
      </c>
      <c r="H223" s="4497">
        <f t="shared" si="23"/>
        <v>2477.5</v>
      </c>
      <c r="I223" s="4497"/>
      <c r="J223" s="4497"/>
      <c r="K223" s="4497">
        <f>+G223</f>
        <v>2477.5</v>
      </c>
      <c r="L223" s="4498"/>
      <c r="M223" s="4497"/>
      <c r="N223" s="4503"/>
    </row>
    <row r="224" spans="2:14">
      <c r="B224" s="4483" t="s">
        <v>6629</v>
      </c>
      <c r="C224" s="4504" t="s">
        <v>4428</v>
      </c>
      <c r="D224" s="4497">
        <v>190.4</v>
      </c>
      <c r="E224" s="4497"/>
      <c r="F224" s="4497"/>
      <c r="G224" s="4501">
        <f t="shared" si="22"/>
        <v>190.4</v>
      </c>
      <c r="H224" s="4497">
        <f t="shared" si="23"/>
        <v>190.4</v>
      </c>
      <c r="I224" s="4497"/>
      <c r="J224" s="4497"/>
      <c r="K224" s="4497">
        <f>+G224</f>
        <v>190.4</v>
      </c>
      <c r="L224" s="4498"/>
      <c r="M224" s="4497"/>
      <c r="N224" s="4503"/>
    </row>
    <row r="225" spans="1:14">
      <c r="B225" s="4483" t="s">
        <v>6808</v>
      </c>
      <c r="C225" s="4504" t="s">
        <v>4141</v>
      </c>
      <c r="D225" s="4497">
        <v>620.58000000000004</v>
      </c>
      <c r="E225" s="4497"/>
      <c r="F225" s="4497"/>
      <c r="G225" s="4501">
        <f t="shared" si="22"/>
        <v>620.58000000000004</v>
      </c>
      <c r="H225" s="4497">
        <f t="shared" si="23"/>
        <v>620.58000000000004</v>
      </c>
      <c r="I225" s="4497"/>
      <c r="J225" s="4497"/>
      <c r="K225" s="4497">
        <f>+G225</f>
        <v>620.58000000000004</v>
      </c>
      <c r="L225" s="4498"/>
      <c r="M225" s="4497"/>
      <c r="N225" s="4503"/>
    </row>
    <row r="226" spans="1:14">
      <c r="B226" s="4509" t="s">
        <v>6809</v>
      </c>
      <c r="C226" s="4504" t="s">
        <v>4443</v>
      </c>
      <c r="D226" s="4497">
        <v>672</v>
      </c>
      <c r="E226" s="4497"/>
      <c r="F226" s="4497"/>
      <c r="G226" s="4501">
        <f t="shared" si="22"/>
        <v>672</v>
      </c>
      <c r="H226" s="4497">
        <f t="shared" si="23"/>
        <v>672</v>
      </c>
      <c r="I226" s="4497"/>
      <c r="J226" s="4497">
        <f>+G226</f>
        <v>672</v>
      </c>
      <c r="K226" s="4497"/>
      <c r="L226" s="4498"/>
      <c r="M226" s="4497"/>
      <c r="N226" s="4503"/>
    </row>
    <row r="227" spans="1:14">
      <c r="B227" s="4483" t="s">
        <v>6630</v>
      </c>
      <c r="C227" s="4504" t="s">
        <v>4443</v>
      </c>
      <c r="D227" s="4497">
        <v>194.88</v>
      </c>
      <c r="E227" s="4497"/>
      <c r="F227" s="4497"/>
      <c r="G227" s="4501">
        <f t="shared" si="22"/>
        <v>194.88</v>
      </c>
      <c r="H227" s="4497">
        <f t="shared" si="23"/>
        <v>194.88</v>
      </c>
      <c r="I227" s="4497"/>
      <c r="J227" s="4497"/>
      <c r="K227" s="4497">
        <f>+G227</f>
        <v>194.88</v>
      </c>
      <c r="L227" s="4498"/>
      <c r="M227" s="4497"/>
      <c r="N227" s="4503"/>
    </row>
    <row r="228" spans="1:14" s="4533" customFormat="1">
      <c r="B228" s="4509" t="s">
        <v>5257</v>
      </c>
      <c r="C228" s="4504" t="s">
        <v>1667</v>
      </c>
      <c r="D228" s="4497">
        <v>28843.410000000003</v>
      </c>
      <c r="E228" s="4497">
        <v>2500</v>
      </c>
      <c r="F228" s="4497">
        <f>5716.8+4190</f>
        <v>9906.7999999999993</v>
      </c>
      <c r="G228" s="4501">
        <f t="shared" si="22"/>
        <v>21436.610000000004</v>
      </c>
      <c r="H228" s="4497">
        <f t="shared" si="23"/>
        <v>21436.610000000004</v>
      </c>
      <c r="I228" s="4508"/>
      <c r="J228" s="4497">
        <f>+G228</f>
        <v>21436.610000000004</v>
      </c>
      <c r="K228" s="4497"/>
      <c r="L228" s="4498"/>
      <c r="M228" s="4497"/>
      <c r="N228" s="4503"/>
    </row>
    <row r="229" spans="1:14" s="4533" customFormat="1">
      <c r="B229" s="4509" t="s">
        <v>6660</v>
      </c>
      <c r="C229" s="4504" t="s">
        <v>39</v>
      </c>
      <c r="D229" s="4497">
        <v>3105.48</v>
      </c>
      <c r="E229" s="4497"/>
      <c r="F229" s="4497">
        <v>2240</v>
      </c>
      <c r="G229" s="4501">
        <f t="shared" si="22"/>
        <v>865.48</v>
      </c>
      <c r="H229" s="4497">
        <f t="shared" si="23"/>
        <v>865.48</v>
      </c>
      <c r="I229" s="4497"/>
      <c r="J229" s="4497">
        <f>+G229</f>
        <v>865.48</v>
      </c>
      <c r="K229" s="4497"/>
      <c r="L229" s="4498"/>
      <c r="M229" s="4497"/>
      <c r="N229" s="4503"/>
    </row>
    <row r="230" spans="1:14">
      <c r="A230" s="4533"/>
      <c r="B230" s="4509" t="s">
        <v>5399</v>
      </c>
      <c r="C230" s="4504" t="s">
        <v>4163</v>
      </c>
      <c r="D230" s="4497">
        <v>1719.2</v>
      </c>
      <c r="E230" s="4497"/>
      <c r="F230" s="4497">
        <v>1680</v>
      </c>
      <c r="G230" s="4501">
        <f t="shared" si="22"/>
        <v>39.200000000000045</v>
      </c>
      <c r="H230" s="4497">
        <f t="shared" si="23"/>
        <v>39.200000000000045</v>
      </c>
      <c r="I230" s="4497"/>
      <c r="J230" s="4497">
        <f>+G230</f>
        <v>39.200000000000045</v>
      </c>
      <c r="K230" s="4497"/>
      <c r="L230" s="4498"/>
      <c r="M230" s="4497"/>
      <c r="N230" s="4503"/>
    </row>
    <row r="231" spans="1:14">
      <c r="A231" s="4533"/>
      <c r="B231" s="4507" t="s">
        <v>4835</v>
      </c>
      <c r="C231" s="4504" t="s">
        <v>40</v>
      </c>
      <c r="D231" s="4497">
        <v>3584.04</v>
      </c>
      <c r="E231" s="4497"/>
      <c r="F231" s="4497"/>
      <c r="G231" s="4501">
        <f t="shared" ref="G231:G258" si="24">+D231+E231-F231</f>
        <v>3584.04</v>
      </c>
      <c r="H231" s="4497">
        <f t="shared" si="23"/>
        <v>3584.04</v>
      </c>
      <c r="I231" s="4497">
        <f>+G231</f>
        <v>3584.04</v>
      </c>
      <c r="J231" s="4497"/>
      <c r="K231" s="4497"/>
      <c r="L231" s="4498"/>
      <c r="M231" s="4497"/>
      <c r="N231" s="4503"/>
    </row>
    <row r="232" spans="1:14">
      <c r="B232" s="4509" t="s">
        <v>6661</v>
      </c>
      <c r="C232" s="4504" t="s">
        <v>40</v>
      </c>
      <c r="D232" s="4497">
        <v>2456.3199999999997</v>
      </c>
      <c r="E232" s="4508">
        <v>1662.5</v>
      </c>
      <c r="F232" s="4497"/>
      <c r="G232" s="4501">
        <f t="shared" si="24"/>
        <v>4118.82</v>
      </c>
      <c r="H232" s="4497">
        <f t="shared" si="23"/>
        <v>4118.82</v>
      </c>
      <c r="I232" s="4497"/>
      <c r="J232" s="4497">
        <f>+G232</f>
        <v>4118.82</v>
      </c>
      <c r="K232" s="4508"/>
      <c r="L232" s="4534"/>
      <c r="M232" s="4497"/>
      <c r="N232" s="4503"/>
    </row>
    <row r="233" spans="1:14">
      <c r="B233" s="4509" t="s">
        <v>6724</v>
      </c>
      <c r="C233" s="4504" t="s">
        <v>36</v>
      </c>
      <c r="D233" s="4497">
        <v>36867</v>
      </c>
      <c r="E233" s="4497"/>
      <c r="F233" s="4497"/>
      <c r="G233" s="4501">
        <f t="shared" si="24"/>
        <v>36867</v>
      </c>
      <c r="H233" s="4497">
        <f t="shared" si="23"/>
        <v>36867</v>
      </c>
      <c r="I233" s="4497"/>
      <c r="J233" s="4497">
        <f>+G233</f>
        <v>36867</v>
      </c>
      <c r="K233" s="4535"/>
      <c r="L233" s="4534"/>
      <c r="M233" s="4497"/>
      <c r="N233" s="4503"/>
    </row>
    <row r="234" spans="1:14">
      <c r="B234" s="4509" t="s">
        <v>6815</v>
      </c>
      <c r="C234" s="4504" t="s">
        <v>37</v>
      </c>
      <c r="D234" s="4497">
        <v>3500</v>
      </c>
      <c r="E234" s="4497"/>
      <c r="F234" s="4497"/>
      <c r="G234" s="4501">
        <f t="shared" si="24"/>
        <v>3500</v>
      </c>
      <c r="H234" s="4497">
        <f t="shared" si="23"/>
        <v>3500</v>
      </c>
      <c r="I234" s="4497"/>
      <c r="J234" s="4497">
        <f>+G234</f>
        <v>3500</v>
      </c>
      <c r="K234" s="4535"/>
      <c r="L234" s="4534"/>
      <c r="M234" s="4497"/>
      <c r="N234" s="4503"/>
    </row>
    <row r="235" spans="1:14">
      <c r="B235" s="4507" t="s">
        <v>6581</v>
      </c>
      <c r="C235" s="4504" t="s">
        <v>6816</v>
      </c>
      <c r="D235" s="4497">
        <v>71181.210000000006</v>
      </c>
      <c r="E235" s="4497">
        <v>26116.86</v>
      </c>
      <c r="F235" s="4497"/>
      <c r="G235" s="4501">
        <f t="shared" si="24"/>
        <v>97298.07</v>
      </c>
      <c r="H235" s="4497">
        <f t="shared" si="23"/>
        <v>97298.07</v>
      </c>
      <c r="I235" s="4508">
        <f>+G235</f>
        <v>97298.07</v>
      </c>
      <c r="J235" s="4497"/>
      <c r="K235" s="4497"/>
      <c r="L235" s="4498"/>
      <c r="M235" s="4497"/>
      <c r="N235" s="4503"/>
    </row>
    <row r="236" spans="1:14">
      <c r="B236" s="4507" t="s">
        <v>6817</v>
      </c>
      <c r="C236" s="4504" t="s">
        <v>505</v>
      </c>
      <c r="D236" s="4497">
        <v>0</v>
      </c>
      <c r="E236" s="4497"/>
      <c r="F236" s="4497"/>
      <c r="G236" s="4501">
        <f t="shared" si="24"/>
        <v>0</v>
      </c>
      <c r="H236" s="4497">
        <f t="shared" si="23"/>
        <v>0</v>
      </c>
      <c r="I236" s="4508">
        <f>+G236</f>
        <v>0</v>
      </c>
      <c r="J236" s="4497"/>
      <c r="K236" s="4502"/>
      <c r="L236" s="4498"/>
      <c r="M236" s="4497"/>
      <c r="N236" s="4503"/>
    </row>
    <row r="237" spans="1:14">
      <c r="B237" s="4512" t="s">
        <v>6818</v>
      </c>
      <c r="C237" s="4504" t="s">
        <v>6819</v>
      </c>
      <c r="D237" s="4497">
        <v>26785.72</v>
      </c>
      <c r="E237" s="4497"/>
      <c r="F237" s="4497"/>
      <c r="G237" s="4501">
        <f t="shared" si="24"/>
        <v>26785.72</v>
      </c>
      <c r="H237" s="4497">
        <f t="shared" si="23"/>
        <v>26785.72</v>
      </c>
      <c r="I237" s="4497"/>
      <c r="J237" s="4497"/>
      <c r="K237" s="4502"/>
      <c r="L237" s="4497">
        <f>+G237</f>
        <v>26785.72</v>
      </c>
      <c r="M237" s="4497"/>
      <c r="N237" s="4503"/>
    </row>
    <row r="238" spans="1:14">
      <c r="B238" s="4516" t="s">
        <v>7004</v>
      </c>
      <c r="C238" s="4504" t="s">
        <v>6819</v>
      </c>
      <c r="D238" s="4497">
        <v>26785.71</v>
      </c>
      <c r="E238" s="4497"/>
      <c r="F238" s="4513"/>
      <c r="G238" s="4501">
        <f t="shared" si="24"/>
        <v>26785.71</v>
      </c>
      <c r="H238" s="4497">
        <f t="shared" si="23"/>
        <v>26785.71</v>
      </c>
      <c r="I238" s="4513"/>
      <c r="J238" s="4513"/>
      <c r="K238" s="4515"/>
      <c r="L238" s="4513"/>
      <c r="M238" s="4497">
        <f>+G238</f>
        <v>26785.71</v>
      </c>
      <c r="N238" s="4503"/>
    </row>
    <row r="239" spans="1:14">
      <c r="B239" s="4512" t="s">
        <v>6820</v>
      </c>
      <c r="C239" s="4504" t="s">
        <v>2742</v>
      </c>
      <c r="D239" s="4497">
        <v>231043.11</v>
      </c>
      <c r="E239" s="4497">
        <v>316079.06</v>
      </c>
      <c r="F239" s="4513"/>
      <c r="G239" s="4501">
        <f t="shared" si="24"/>
        <v>547122.16999999993</v>
      </c>
      <c r="H239" s="4497">
        <f t="shared" si="23"/>
        <v>547122.16999999993</v>
      </c>
      <c r="I239" s="4514"/>
      <c r="J239" s="4513"/>
      <c r="K239" s="4513"/>
      <c r="L239" s="4513">
        <f>+G239</f>
        <v>547122.16999999993</v>
      </c>
      <c r="M239" s="4497"/>
      <c r="N239" s="4503"/>
    </row>
    <row r="240" spans="1:14">
      <c r="B240" s="4483" t="s">
        <v>7210</v>
      </c>
      <c r="C240" s="4504" t="s">
        <v>3787</v>
      </c>
      <c r="D240" s="4497">
        <v>0</v>
      </c>
      <c r="E240" s="4497">
        <v>62540.299559999999</v>
      </c>
      <c r="F240" s="4513"/>
      <c r="G240" s="4501">
        <f t="shared" si="24"/>
        <v>62540.299559999999</v>
      </c>
      <c r="H240" s="4497">
        <f t="shared" si="23"/>
        <v>62540.299559999999</v>
      </c>
      <c r="I240" s="4514"/>
      <c r="J240" s="4513"/>
      <c r="K240" s="4513">
        <f>+G240</f>
        <v>62540.299559999999</v>
      </c>
      <c r="L240" s="4513"/>
      <c r="M240" s="4497"/>
      <c r="N240" s="4503"/>
    </row>
    <row r="241" spans="2:14">
      <c r="B241" s="4507" t="s">
        <v>6967</v>
      </c>
      <c r="C241" s="4504" t="s">
        <v>39</v>
      </c>
      <c r="D241" s="4497">
        <v>0</v>
      </c>
      <c r="E241" s="4497"/>
      <c r="F241" s="4513"/>
      <c r="G241" s="4501">
        <f t="shared" si="24"/>
        <v>0</v>
      </c>
      <c r="H241" s="4497">
        <f t="shared" si="23"/>
        <v>0</v>
      </c>
      <c r="I241" s="4514">
        <f>+G241</f>
        <v>0</v>
      </c>
      <c r="J241" s="4513"/>
      <c r="K241" s="4513"/>
      <c r="L241" s="4513"/>
      <c r="M241" s="4497"/>
      <c r="N241" s="4503"/>
    </row>
    <row r="242" spans="2:14">
      <c r="B242" s="4507" t="s">
        <v>7211</v>
      </c>
      <c r="C242" s="4504" t="s">
        <v>4106</v>
      </c>
      <c r="D242" s="4497">
        <v>0</v>
      </c>
      <c r="E242" s="4497">
        <v>1563507.51</v>
      </c>
      <c r="F242" s="4513"/>
      <c r="G242" s="4501">
        <f t="shared" si="24"/>
        <v>1563507.51</v>
      </c>
      <c r="H242" s="4497">
        <f t="shared" si="23"/>
        <v>1563507.51</v>
      </c>
      <c r="I242" s="4514">
        <f>+G242</f>
        <v>1563507.51</v>
      </c>
      <c r="J242" s="4513"/>
      <c r="K242" s="4513"/>
      <c r="L242" s="4513"/>
      <c r="M242" s="4497"/>
      <c r="N242" s="4503"/>
    </row>
    <row r="243" spans="2:14">
      <c r="B243" s="4509" t="s">
        <v>6738</v>
      </c>
      <c r="C243" s="4504" t="s">
        <v>591</v>
      </c>
      <c r="D243" s="4497">
        <v>2250</v>
      </c>
      <c r="E243" s="4497"/>
      <c r="F243" s="4513"/>
      <c r="G243" s="4501">
        <f t="shared" si="24"/>
        <v>2250</v>
      </c>
      <c r="H243" s="4497">
        <f t="shared" si="23"/>
        <v>2250</v>
      </c>
      <c r="I243" s="4514"/>
      <c r="J243" s="4513">
        <f>+G243</f>
        <v>2250</v>
      </c>
      <c r="K243" s="4513"/>
      <c r="L243" s="4498"/>
      <c r="M243" s="4497"/>
      <c r="N243" s="4503"/>
    </row>
    <row r="244" spans="2:14">
      <c r="B244" s="4483" t="s">
        <v>5694</v>
      </c>
      <c r="C244" s="4504" t="s">
        <v>591</v>
      </c>
      <c r="D244" s="4497">
        <v>6843.2</v>
      </c>
      <c r="E244" s="4497"/>
      <c r="F244" s="4513">
        <v>756.08</v>
      </c>
      <c r="G244" s="4501">
        <f t="shared" si="24"/>
        <v>6087.12</v>
      </c>
      <c r="H244" s="4497">
        <f t="shared" si="23"/>
        <v>6087.12</v>
      </c>
      <c r="I244" s="4514"/>
      <c r="J244" s="4513"/>
      <c r="K244" s="4513">
        <f>+G244</f>
        <v>6087.12</v>
      </c>
      <c r="L244" s="4498"/>
      <c r="M244" s="4497"/>
      <c r="N244" s="4503"/>
    </row>
    <row r="245" spans="2:14">
      <c r="B245" s="4507" t="s">
        <v>6931</v>
      </c>
      <c r="C245" s="4504" t="s">
        <v>591</v>
      </c>
      <c r="D245" s="4497">
        <v>0</v>
      </c>
      <c r="E245" s="4497"/>
      <c r="F245" s="4513"/>
      <c r="G245" s="4501">
        <f t="shared" si="24"/>
        <v>0</v>
      </c>
      <c r="H245" s="4497">
        <f t="shared" si="23"/>
        <v>0</v>
      </c>
      <c r="I245" s="4514">
        <f>G245</f>
        <v>0</v>
      </c>
      <c r="J245" s="4513"/>
      <c r="K245" s="4513"/>
      <c r="L245" s="4498"/>
      <c r="M245" s="4497"/>
      <c r="N245" s="4503"/>
    </row>
    <row r="246" spans="2:14">
      <c r="B246" s="4507" t="s">
        <v>5717</v>
      </c>
      <c r="C246" s="4504" t="s">
        <v>39</v>
      </c>
      <c r="D246" s="4497">
        <v>48898.029999999992</v>
      </c>
      <c r="E246" s="4497">
        <f>776+112+24700+29760</f>
        <v>55348</v>
      </c>
      <c r="F246" s="4497">
        <f>745.74+108.8+1691.2+1915.2+1915.2+500+1120+6057.97</f>
        <v>14054.11</v>
      </c>
      <c r="G246" s="4501">
        <f t="shared" si="24"/>
        <v>90191.92</v>
      </c>
      <c r="H246" s="4497">
        <f t="shared" si="23"/>
        <v>90191.92</v>
      </c>
      <c r="I246" s="4497">
        <f>+G246</f>
        <v>90191.92</v>
      </c>
      <c r="J246" s="4514"/>
      <c r="K246" s="4513"/>
      <c r="L246" s="4498"/>
      <c r="M246" s="4497"/>
      <c r="N246" s="4503"/>
    </row>
    <row r="247" spans="2:14">
      <c r="B247" s="4507" t="s">
        <v>6822</v>
      </c>
      <c r="C247" s="4504" t="s">
        <v>39</v>
      </c>
      <c r="D247" s="4497">
        <v>1006919.6499999999</v>
      </c>
      <c r="E247" s="4497"/>
      <c r="F247" s="4497"/>
      <c r="G247" s="4501">
        <f t="shared" si="24"/>
        <v>1006919.6499999999</v>
      </c>
      <c r="H247" s="4497">
        <f t="shared" si="23"/>
        <v>1006919.6499999999</v>
      </c>
      <c r="I247" s="4497">
        <f>+G247</f>
        <v>1006919.6499999999</v>
      </c>
      <c r="J247" s="4514"/>
      <c r="K247" s="4513"/>
      <c r="L247" s="4498"/>
      <c r="M247" s="4497"/>
      <c r="N247" s="4503"/>
    </row>
    <row r="248" spans="2:14" ht="13.5" customHeight="1">
      <c r="B248" s="4509" t="s">
        <v>5252</v>
      </c>
      <c r="C248" s="4504" t="s">
        <v>39</v>
      </c>
      <c r="D248" s="4497">
        <v>27328.37</v>
      </c>
      <c r="E248" s="4497">
        <v>28605.919999999998</v>
      </c>
      <c r="F248" s="4497"/>
      <c r="G248" s="4501">
        <f t="shared" si="24"/>
        <v>55934.289999999994</v>
      </c>
      <c r="H248" s="4497">
        <f t="shared" si="23"/>
        <v>55934.289999999994</v>
      </c>
      <c r="I248" s="4497"/>
      <c r="J248" s="4514">
        <f>+G248</f>
        <v>55934.289999999994</v>
      </c>
      <c r="K248" s="4513"/>
      <c r="L248" s="4498"/>
      <c r="M248" s="4497"/>
      <c r="N248" s="4503"/>
    </row>
    <row r="249" spans="2:14">
      <c r="B249" s="4483" t="s">
        <v>5283</v>
      </c>
      <c r="C249" s="4504" t="s">
        <v>39</v>
      </c>
      <c r="D249" s="4497">
        <v>384253.24</v>
      </c>
      <c r="E249" s="4513">
        <f>27791.68+2576</f>
        <v>30367.68</v>
      </c>
      <c r="F249" s="4497">
        <f>62.5+120+4000+4320+12762.4+500+3255.54+1456.87+1691.2+1691.2+4631.75</f>
        <v>34491.460000000006</v>
      </c>
      <c r="G249" s="4501">
        <f t="shared" si="24"/>
        <v>380129.45999999996</v>
      </c>
      <c r="H249" s="4497">
        <f t="shared" si="23"/>
        <v>380129.45999999996</v>
      </c>
      <c r="I249" s="4497"/>
      <c r="J249" s="4513"/>
      <c r="K249" s="4513">
        <f>+G249</f>
        <v>380129.45999999996</v>
      </c>
      <c r="L249" s="4498"/>
      <c r="M249" s="4497"/>
      <c r="N249" s="4503"/>
    </row>
    <row r="250" spans="2:14">
      <c r="B250" s="4516" t="s">
        <v>6929</v>
      </c>
      <c r="C250" s="4504" t="s">
        <v>39</v>
      </c>
      <c r="D250" s="4497">
        <v>24677.5</v>
      </c>
      <c r="E250" s="4536"/>
      <c r="F250" s="4497"/>
      <c r="G250" s="4501">
        <f t="shared" si="24"/>
        <v>24677.5</v>
      </c>
      <c r="H250" s="4497">
        <f>SUM(I250:M250)</f>
        <v>24677.5</v>
      </c>
      <c r="I250" s="4503"/>
      <c r="J250" s="4513"/>
      <c r="K250" s="4513"/>
      <c r="L250" s="4498"/>
      <c r="M250" s="4497">
        <f>G250</f>
        <v>24677.5</v>
      </c>
      <c r="N250" s="4503"/>
    </row>
    <row r="251" spans="2:14">
      <c r="B251" s="4507" t="s">
        <v>5544</v>
      </c>
      <c r="C251" s="4504" t="s">
        <v>40</v>
      </c>
      <c r="D251" s="4497">
        <v>6596.7999999999993</v>
      </c>
      <c r="E251" s="4497"/>
      <c r="F251" s="4497"/>
      <c r="G251" s="4501">
        <f t="shared" si="24"/>
        <v>6596.7999999999993</v>
      </c>
      <c r="H251" s="4497">
        <f t="shared" ref="H251:H258" si="25">+SUM(I251:M251)</f>
        <v>6596.7999999999993</v>
      </c>
      <c r="I251" s="4513">
        <f>+G251</f>
        <v>6596.7999999999993</v>
      </c>
      <c r="J251" s="4514"/>
      <c r="K251" s="4513"/>
      <c r="L251" s="4498"/>
      <c r="M251" s="4497"/>
      <c r="N251" s="4503"/>
    </row>
    <row r="252" spans="2:14">
      <c r="B252" s="4507" t="s">
        <v>6823</v>
      </c>
      <c r="C252" s="4504" t="s">
        <v>40</v>
      </c>
      <c r="D252" s="4497">
        <v>169813.56</v>
      </c>
      <c r="E252" s="4497"/>
      <c r="F252" s="4497"/>
      <c r="G252" s="4501">
        <f t="shared" si="24"/>
        <v>169813.56</v>
      </c>
      <c r="H252" s="4497">
        <f t="shared" si="25"/>
        <v>169813.56</v>
      </c>
      <c r="I252" s="4513">
        <f>+G252</f>
        <v>169813.56</v>
      </c>
      <c r="J252" s="4514"/>
      <c r="K252" s="4513"/>
      <c r="L252" s="4498"/>
      <c r="M252" s="4497"/>
      <c r="N252" s="4503"/>
    </row>
    <row r="253" spans="2:14" ht="13.5" customHeight="1">
      <c r="B253" s="4509" t="s">
        <v>6743</v>
      </c>
      <c r="C253" s="4504" t="s">
        <v>40</v>
      </c>
      <c r="D253" s="4497">
        <v>0</v>
      </c>
      <c r="E253" s="4497">
        <v>119296.8</v>
      </c>
      <c r="F253" s="4497"/>
      <c r="G253" s="4501">
        <f t="shared" si="24"/>
        <v>119296.8</v>
      </c>
      <c r="H253" s="4497">
        <f t="shared" si="25"/>
        <v>119296.8</v>
      </c>
      <c r="I253" s="4497"/>
      <c r="J253" s="4514">
        <f>+G253</f>
        <v>119296.8</v>
      </c>
      <c r="K253" s="4513"/>
      <c r="L253" s="4498"/>
      <c r="M253" s="4497"/>
      <c r="N253" s="4503"/>
    </row>
    <row r="254" spans="2:14">
      <c r="B254" s="4483" t="s">
        <v>4825</v>
      </c>
      <c r="C254" s="4504" t="s">
        <v>40</v>
      </c>
      <c r="D254" s="4497">
        <v>332756.95999999996</v>
      </c>
      <c r="E254" s="4508">
        <f>30329.6+500+8587.38</f>
        <v>39416.979999999996</v>
      </c>
      <c r="F254" s="4508">
        <f>21336+512+1782.22+189.84+833.76+138.96+159+2800</f>
        <v>27751.78</v>
      </c>
      <c r="G254" s="4501">
        <f t="shared" si="24"/>
        <v>344422.15999999992</v>
      </c>
      <c r="H254" s="4497">
        <f t="shared" si="25"/>
        <v>344422.15999999992</v>
      </c>
      <c r="I254" s="4537"/>
      <c r="J254" s="4514"/>
      <c r="K254" s="4513">
        <f>+G254</f>
        <v>344422.15999999992</v>
      </c>
      <c r="L254" s="4498"/>
      <c r="M254" s="4497"/>
      <c r="N254" s="4503"/>
    </row>
    <row r="255" spans="2:14">
      <c r="B255" s="4512" t="s">
        <v>6824</v>
      </c>
      <c r="C255" s="4504" t="s">
        <v>40</v>
      </c>
      <c r="D255" s="4497">
        <v>525609.06000000006</v>
      </c>
      <c r="E255" s="4513"/>
      <c r="F255" s="4513">
        <v>414919.06</v>
      </c>
      <c r="G255" s="4501">
        <f t="shared" si="24"/>
        <v>110690.00000000006</v>
      </c>
      <c r="H255" s="4497">
        <f t="shared" si="25"/>
        <v>110690.00000000006</v>
      </c>
      <c r="I255" s="4537"/>
      <c r="J255" s="4514"/>
      <c r="K255" s="4513"/>
      <c r="L255" s="4513">
        <f>+G255</f>
        <v>110690.00000000006</v>
      </c>
      <c r="M255" s="4497"/>
      <c r="N255" s="4503"/>
    </row>
    <row r="256" spans="2:14">
      <c r="B256" s="4516" t="s">
        <v>7005</v>
      </c>
      <c r="C256" s="4504" t="s">
        <v>40</v>
      </c>
      <c r="D256" s="4497">
        <v>110690</v>
      </c>
      <c r="E256" s="4513"/>
      <c r="F256" s="4513"/>
      <c r="G256" s="4501">
        <f t="shared" si="24"/>
        <v>110690</v>
      </c>
      <c r="H256" s="4497">
        <f t="shared" si="25"/>
        <v>110690</v>
      </c>
      <c r="I256" s="4537"/>
      <c r="J256" s="4514"/>
      <c r="K256" s="4513"/>
      <c r="L256" s="4513"/>
      <c r="M256" s="4497">
        <f>+G256</f>
        <v>110690</v>
      </c>
      <c r="N256" s="4503"/>
    </row>
    <row r="257" spans="2:14">
      <c r="B257" s="4509" t="s">
        <v>7006</v>
      </c>
      <c r="C257" s="4504" t="s">
        <v>36</v>
      </c>
      <c r="D257" s="4497">
        <v>13133</v>
      </c>
      <c r="E257" s="4497"/>
      <c r="F257" s="4497"/>
      <c r="G257" s="4501">
        <f t="shared" si="24"/>
        <v>13133</v>
      </c>
      <c r="H257" s="4497">
        <f t="shared" si="25"/>
        <v>13133</v>
      </c>
      <c r="I257" s="4497"/>
      <c r="J257" s="4497">
        <f>+G257</f>
        <v>13133</v>
      </c>
      <c r="K257" s="4535"/>
      <c r="L257" s="4534"/>
      <c r="M257" s="4497"/>
      <c r="N257" s="4503"/>
    </row>
    <row r="258" spans="2:14">
      <c r="B258" s="4483" t="s">
        <v>6825</v>
      </c>
      <c r="C258" s="4504" t="s">
        <v>37</v>
      </c>
      <c r="D258" s="4497">
        <v>2800</v>
      </c>
      <c r="E258" s="4513"/>
      <c r="F258" s="4513">
        <v>2800</v>
      </c>
      <c r="G258" s="4501">
        <f t="shared" si="24"/>
        <v>0</v>
      </c>
      <c r="H258" s="4497">
        <f t="shared" si="25"/>
        <v>0</v>
      </c>
      <c r="I258" s="4513"/>
      <c r="J258" s="4514"/>
      <c r="K258" s="4513">
        <f>+G258</f>
        <v>0</v>
      </c>
      <c r="L258" s="4513"/>
      <c r="M258" s="4497"/>
      <c r="N258" s="4503"/>
    </row>
    <row r="259" spans="2:14">
      <c r="B259" s="4524"/>
      <c r="C259" s="4518" t="s">
        <v>6636</v>
      </c>
      <c r="D259" s="1537">
        <f t="shared" ref="D259:M259" si="26">SUM(D199:D258)</f>
        <v>3948872.3899999997</v>
      </c>
      <c r="E259" s="1537">
        <f t="shared" si="26"/>
        <v>2319668.55956</v>
      </c>
      <c r="F259" s="1537">
        <f t="shared" si="26"/>
        <v>687024.42999999993</v>
      </c>
      <c r="G259" s="1537">
        <f t="shared" si="26"/>
        <v>5581516.519559999</v>
      </c>
      <c r="H259" s="1537">
        <f t="shared" si="26"/>
        <v>5581516.519559999</v>
      </c>
      <c r="I259" s="1537">
        <f t="shared" si="26"/>
        <v>3503451.1999999997</v>
      </c>
      <c r="J259" s="1537">
        <f t="shared" si="26"/>
        <v>365832.25</v>
      </c>
      <c r="K259" s="1537">
        <f t="shared" si="26"/>
        <v>840415.92955999984</v>
      </c>
      <c r="L259" s="1537">
        <f t="shared" si="26"/>
        <v>684597.8899999999</v>
      </c>
      <c r="M259" s="1537">
        <f t="shared" si="26"/>
        <v>187219.25</v>
      </c>
      <c r="N259" s="4503"/>
    </row>
    <row r="260" spans="2:14" ht="14.25">
      <c r="B260" s="4538"/>
      <c r="C260" s="4539"/>
      <c r="D260" s="1568">
        <f>+D259*0.01</f>
        <v>39488.723899999997</v>
      </c>
      <c r="E260" s="1567"/>
      <c r="F260" s="1567"/>
      <c r="G260" s="1568">
        <f>G259-D306</f>
        <v>3291155.4171599988</v>
      </c>
      <c r="H260" s="1503"/>
      <c r="I260" s="4540"/>
      <c r="J260" s="4540"/>
      <c r="K260" s="4540"/>
      <c r="N260" s="4503"/>
    </row>
    <row r="261" spans="2:14">
      <c r="B261" s="4541"/>
      <c r="C261" s="4539"/>
      <c r="D261" s="1567"/>
      <c r="E261" s="1567"/>
      <c r="F261" s="1567"/>
      <c r="G261" s="1503"/>
      <c r="H261" s="1503"/>
      <c r="I261" s="4540"/>
      <c r="J261" s="4540"/>
      <c r="K261" s="4540"/>
      <c r="N261" s="4503"/>
    </row>
    <row r="262" spans="2:14" ht="25.5">
      <c r="B262" s="4528" t="s">
        <v>7</v>
      </c>
      <c r="C262" s="4528" t="s">
        <v>6505</v>
      </c>
      <c r="D262" s="4489" t="s">
        <v>6667</v>
      </c>
      <c r="E262" s="4489" t="s">
        <v>6678</v>
      </c>
      <c r="F262" s="4489" t="s">
        <v>6679</v>
      </c>
      <c r="G262" s="4489" t="s">
        <v>6680</v>
      </c>
      <c r="H262" s="4489" t="s">
        <v>6681</v>
      </c>
      <c r="I262" s="4490" t="s">
        <v>6488</v>
      </c>
      <c r="J262" s="4529" t="s">
        <v>6489</v>
      </c>
      <c r="K262" s="4492" t="s">
        <v>6508</v>
      </c>
      <c r="L262" s="4493" t="s">
        <v>6491</v>
      </c>
      <c r="M262" s="4494" t="s">
        <v>6492</v>
      </c>
      <c r="N262" s="4503"/>
    </row>
    <row r="263" spans="2:14">
      <c r="B263" s="4530" t="s">
        <v>6637</v>
      </c>
      <c r="C263" s="4531" t="s">
        <v>6638</v>
      </c>
      <c r="D263" s="4532"/>
      <c r="E263" s="4522"/>
      <c r="F263" s="4522"/>
      <c r="G263" s="4532"/>
      <c r="H263" s="4522"/>
      <c r="I263" s="4522"/>
      <c r="J263" s="4522"/>
      <c r="K263" s="4522"/>
      <c r="L263" s="4498"/>
      <c r="M263" s="4498"/>
      <c r="N263" s="4503"/>
    </row>
    <row r="264" spans="2:14">
      <c r="B264" s="4509" t="s">
        <v>5020</v>
      </c>
      <c r="C264" s="4542" t="s">
        <v>6791</v>
      </c>
      <c r="D264" s="4497">
        <v>15000</v>
      </c>
      <c r="E264" s="4497"/>
      <c r="F264" s="4497">
        <v>15000</v>
      </c>
      <c r="G264" s="4501">
        <f t="shared" ref="G264:G300" si="27">+D264+E264-F264</f>
        <v>0</v>
      </c>
      <c r="H264" s="4497">
        <f t="shared" ref="H264:H300" si="28">+SUM(I264:M264)</f>
        <v>0</v>
      </c>
      <c r="I264" s="4497"/>
      <c r="J264" s="4497">
        <f t="shared" ref="J264:J275" si="29">+G264</f>
        <v>0</v>
      </c>
      <c r="K264" s="4497"/>
      <c r="L264" s="4498"/>
      <c r="M264" s="4498"/>
      <c r="N264" s="4503"/>
    </row>
    <row r="265" spans="2:14">
      <c r="B265" s="4509" t="s">
        <v>6766</v>
      </c>
      <c r="C265" s="4504" t="s">
        <v>6826</v>
      </c>
      <c r="D265" s="4497">
        <v>3894.91</v>
      </c>
      <c r="E265" s="4497"/>
      <c r="F265" s="4497">
        <v>817</v>
      </c>
      <c r="G265" s="4501">
        <f t="shared" si="27"/>
        <v>3077.91</v>
      </c>
      <c r="H265" s="4497">
        <f t="shared" si="28"/>
        <v>3077.91</v>
      </c>
      <c r="I265" s="4497"/>
      <c r="J265" s="4497">
        <f t="shared" si="29"/>
        <v>3077.91</v>
      </c>
      <c r="K265" s="4497"/>
      <c r="L265" s="4498"/>
      <c r="M265" s="4498"/>
      <c r="N265" s="4503"/>
    </row>
    <row r="266" spans="2:14">
      <c r="B266" s="4509" t="s">
        <v>6641</v>
      </c>
      <c r="C266" s="4504" t="s">
        <v>27</v>
      </c>
      <c r="D266" s="4497">
        <v>0</v>
      </c>
      <c r="E266" s="4497"/>
      <c r="F266" s="4497"/>
      <c r="G266" s="4501">
        <f t="shared" si="27"/>
        <v>0</v>
      </c>
      <c r="H266" s="4497">
        <f t="shared" si="28"/>
        <v>0</v>
      </c>
      <c r="I266" s="4497"/>
      <c r="J266" s="4497">
        <f t="shared" si="29"/>
        <v>0</v>
      </c>
      <c r="K266" s="4497"/>
      <c r="L266" s="4498"/>
      <c r="M266" s="4498"/>
      <c r="N266" s="4503"/>
    </row>
    <row r="267" spans="2:14">
      <c r="B267" s="4509" t="s">
        <v>6827</v>
      </c>
      <c r="C267" s="4504" t="s">
        <v>1507</v>
      </c>
      <c r="D267" s="4497">
        <v>4480</v>
      </c>
      <c r="E267" s="4497"/>
      <c r="F267" s="4497"/>
      <c r="G267" s="4501">
        <f t="shared" si="27"/>
        <v>4480</v>
      </c>
      <c r="H267" s="4497">
        <f t="shared" si="28"/>
        <v>4480</v>
      </c>
      <c r="I267" s="4497"/>
      <c r="J267" s="4497">
        <f t="shared" si="29"/>
        <v>4480</v>
      </c>
      <c r="K267" s="4497"/>
      <c r="L267" s="4498"/>
      <c r="M267" s="4498"/>
      <c r="N267" s="4503"/>
    </row>
    <row r="268" spans="2:14">
      <c r="B268" s="4509" t="s">
        <v>6643</v>
      </c>
      <c r="C268" s="4504" t="s">
        <v>6828</v>
      </c>
      <c r="D268" s="4497">
        <v>0</v>
      </c>
      <c r="E268" s="4497"/>
      <c r="F268" s="4497"/>
      <c r="G268" s="4501">
        <f t="shared" si="27"/>
        <v>0</v>
      </c>
      <c r="H268" s="4497">
        <f t="shared" si="28"/>
        <v>0</v>
      </c>
      <c r="I268" s="4497"/>
      <c r="J268" s="4497">
        <f t="shared" si="29"/>
        <v>0</v>
      </c>
      <c r="K268" s="4497"/>
      <c r="L268" s="4498"/>
      <c r="M268" s="4498"/>
      <c r="N268" s="4503"/>
    </row>
    <row r="269" spans="2:14">
      <c r="B269" s="4509" t="s">
        <v>6700</v>
      </c>
      <c r="C269" s="4500" t="s">
        <v>281</v>
      </c>
      <c r="D269" s="4497">
        <v>4961.1499999999996</v>
      </c>
      <c r="E269" s="4497"/>
      <c r="F269" s="4497"/>
      <c r="G269" s="4501">
        <f t="shared" si="27"/>
        <v>4961.1499999999996</v>
      </c>
      <c r="H269" s="4497">
        <f t="shared" si="28"/>
        <v>4961.1499999999996</v>
      </c>
      <c r="I269" s="4497"/>
      <c r="J269" s="4497">
        <f t="shared" si="29"/>
        <v>4961.1499999999996</v>
      </c>
      <c r="K269" s="4497"/>
      <c r="L269" s="4498"/>
      <c r="M269" s="4498"/>
      <c r="N269" s="4503"/>
    </row>
    <row r="270" spans="2:14">
      <c r="B270" s="4509" t="s">
        <v>6770</v>
      </c>
      <c r="C270" s="4500" t="s">
        <v>505</v>
      </c>
      <c r="D270" s="4497">
        <v>2352</v>
      </c>
      <c r="E270" s="4497"/>
      <c r="F270" s="4497"/>
      <c r="G270" s="4501">
        <f t="shared" si="27"/>
        <v>2352</v>
      </c>
      <c r="H270" s="4497">
        <f t="shared" si="28"/>
        <v>2352</v>
      </c>
      <c r="I270" s="4497"/>
      <c r="J270" s="4497">
        <f t="shared" si="29"/>
        <v>2352</v>
      </c>
      <c r="K270" s="4497"/>
      <c r="L270" s="4498"/>
      <c r="M270" s="4498"/>
      <c r="N270" s="4503"/>
    </row>
    <row r="271" spans="2:14">
      <c r="B271" s="4509" t="s">
        <v>6646</v>
      </c>
      <c r="C271" s="4504" t="s">
        <v>4343</v>
      </c>
      <c r="D271" s="4497">
        <v>0</v>
      </c>
      <c r="E271" s="4497"/>
      <c r="F271" s="4497"/>
      <c r="G271" s="4501">
        <f t="shared" si="27"/>
        <v>0</v>
      </c>
      <c r="H271" s="4497">
        <f t="shared" si="28"/>
        <v>0</v>
      </c>
      <c r="I271" s="4497"/>
      <c r="J271" s="4497">
        <f t="shared" si="29"/>
        <v>0</v>
      </c>
      <c r="K271" s="4497"/>
      <c r="L271" s="4498"/>
      <c r="M271" s="4498"/>
      <c r="N271" s="4503"/>
    </row>
    <row r="272" spans="2:14">
      <c r="B272" s="4509" t="s">
        <v>6624</v>
      </c>
      <c r="C272" s="4504" t="s">
        <v>2507</v>
      </c>
      <c r="D272" s="4497">
        <v>23120</v>
      </c>
      <c r="E272" s="4497"/>
      <c r="F272" s="4497">
        <v>5000</v>
      </c>
      <c r="G272" s="4501">
        <f t="shared" si="27"/>
        <v>18120</v>
      </c>
      <c r="H272" s="4497">
        <f t="shared" si="28"/>
        <v>18120</v>
      </c>
      <c r="I272" s="4497"/>
      <c r="J272" s="4497">
        <f t="shared" si="29"/>
        <v>18120</v>
      </c>
      <c r="K272" s="4497"/>
      <c r="L272" s="4498"/>
      <c r="M272" s="4498"/>
      <c r="N272" s="4503"/>
    </row>
    <row r="273" spans="2:14">
      <c r="B273" s="4509" t="s">
        <v>5021</v>
      </c>
      <c r="C273" s="4504" t="s">
        <v>5015</v>
      </c>
      <c r="D273" s="4497">
        <v>0</v>
      </c>
      <c r="E273" s="4497"/>
      <c r="F273" s="4497"/>
      <c r="G273" s="4501">
        <f t="shared" si="27"/>
        <v>0</v>
      </c>
      <c r="H273" s="4497">
        <f t="shared" si="28"/>
        <v>0</v>
      </c>
      <c r="I273" s="4497"/>
      <c r="J273" s="4497">
        <f t="shared" si="29"/>
        <v>0</v>
      </c>
      <c r="K273" s="4497"/>
      <c r="L273" s="4498"/>
      <c r="M273" s="4498"/>
      <c r="N273" s="4503"/>
    </row>
    <row r="274" spans="2:14">
      <c r="B274" s="4509" t="s">
        <v>6626</v>
      </c>
      <c r="C274" s="4504" t="s">
        <v>1360</v>
      </c>
      <c r="D274" s="4497">
        <v>8309.5299999999988</v>
      </c>
      <c r="E274" s="4497"/>
      <c r="F274" s="4497"/>
      <c r="G274" s="4501">
        <f t="shared" si="27"/>
        <v>8309.5299999999988</v>
      </c>
      <c r="H274" s="4497">
        <f t="shared" si="28"/>
        <v>8309.5299999999988</v>
      </c>
      <c r="I274" s="4497"/>
      <c r="J274" s="4497">
        <f t="shared" si="29"/>
        <v>8309.5299999999988</v>
      </c>
      <c r="K274" s="4497"/>
      <c r="L274" s="4498"/>
      <c r="M274" s="4498"/>
      <c r="N274" s="4503"/>
    </row>
    <row r="275" spans="2:14">
      <c r="B275" s="4509" t="s">
        <v>6648</v>
      </c>
      <c r="C275" s="4504" t="s">
        <v>2398</v>
      </c>
      <c r="D275" s="4497">
        <v>0</v>
      </c>
      <c r="E275" s="4497"/>
      <c r="F275" s="4497"/>
      <c r="G275" s="4501">
        <f t="shared" si="27"/>
        <v>0</v>
      </c>
      <c r="H275" s="4497">
        <f t="shared" si="28"/>
        <v>0</v>
      </c>
      <c r="I275" s="4497"/>
      <c r="J275" s="4497">
        <f t="shared" si="29"/>
        <v>0</v>
      </c>
      <c r="K275" s="4497"/>
      <c r="L275" s="4498"/>
      <c r="M275" s="4498"/>
      <c r="N275" s="4503"/>
    </row>
    <row r="276" spans="2:14">
      <c r="B276" s="4507" t="s">
        <v>6829</v>
      </c>
      <c r="C276" s="4504" t="s">
        <v>33</v>
      </c>
      <c r="D276" s="4497">
        <v>1398.86</v>
      </c>
      <c r="E276" s="4508">
        <v>15800</v>
      </c>
      <c r="F276" s="4497">
        <v>1398.86</v>
      </c>
      <c r="G276" s="4501">
        <f t="shared" si="27"/>
        <v>15800</v>
      </c>
      <c r="H276" s="4497">
        <f t="shared" si="28"/>
        <v>15800</v>
      </c>
      <c r="I276" s="4497">
        <f>+G276</f>
        <v>15800</v>
      </c>
      <c r="J276" s="4497"/>
      <c r="K276" s="4497"/>
      <c r="L276" s="4498"/>
      <c r="M276" s="4498"/>
      <c r="N276" s="4503"/>
    </row>
    <row r="277" spans="2:14">
      <c r="B277" s="4509" t="s">
        <v>5097</v>
      </c>
      <c r="C277" s="4504" t="s">
        <v>33</v>
      </c>
      <c r="D277" s="4497">
        <v>0</v>
      </c>
      <c r="E277" s="4508">
        <v>3300</v>
      </c>
      <c r="F277" s="4497"/>
      <c r="G277" s="4501">
        <f t="shared" si="27"/>
        <v>3300</v>
      </c>
      <c r="H277" s="4497">
        <f t="shared" si="28"/>
        <v>3300</v>
      </c>
      <c r="I277" s="4497"/>
      <c r="J277" s="4497">
        <f t="shared" ref="J277:J289" si="30">+G277</f>
        <v>3300</v>
      </c>
      <c r="K277" s="4497"/>
      <c r="L277" s="4498"/>
      <c r="M277" s="4498"/>
      <c r="N277" s="4503"/>
    </row>
    <row r="278" spans="2:14">
      <c r="B278" s="4509" t="s">
        <v>6650</v>
      </c>
      <c r="C278" s="4504" t="s">
        <v>148</v>
      </c>
      <c r="D278" s="4497">
        <v>0</v>
      </c>
      <c r="E278" s="4497"/>
      <c r="F278" s="4497"/>
      <c r="G278" s="4501">
        <f t="shared" si="27"/>
        <v>0</v>
      </c>
      <c r="H278" s="4497">
        <f t="shared" si="28"/>
        <v>0</v>
      </c>
      <c r="I278" s="4497"/>
      <c r="J278" s="4497">
        <f t="shared" si="30"/>
        <v>0</v>
      </c>
      <c r="K278" s="4497"/>
      <c r="L278" s="4498"/>
      <c r="M278" s="4498"/>
      <c r="N278" s="4503"/>
    </row>
    <row r="279" spans="2:14">
      <c r="B279" s="4509" t="s">
        <v>6651</v>
      </c>
      <c r="C279" s="4542" t="s">
        <v>6712</v>
      </c>
      <c r="D279" s="4497">
        <v>584</v>
      </c>
      <c r="E279" s="4497"/>
      <c r="F279" s="4497"/>
      <c r="G279" s="4501">
        <f t="shared" si="27"/>
        <v>584</v>
      </c>
      <c r="H279" s="4497">
        <f t="shared" si="28"/>
        <v>584</v>
      </c>
      <c r="I279" s="4497"/>
      <c r="J279" s="4497">
        <f t="shared" si="30"/>
        <v>584</v>
      </c>
      <c r="K279" s="4497"/>
      <c r="L279" s="4498"/>
      <c r="M279" s="4498"/>
      <c r="N279" s="4503"/>
    </row>
    <row r="280" spans="2:14">
      <c r="B280" s="4509" t="s">
        <v>6713</v>
      </c>
      <c r="C280" s="4504" t="s">
        <v>2003</v>
      </c>
      <c r="D280" s="4497">
        <v>335.30999999999995</v>
      </c>
      <c r="E280" s="4508">
        <f>925.12</f>
        <v>925.12</v>
      </c>
      <c r="F280" s="4497">
        <v>60</v>
      </c>
      <c r="G280" s="4501">
        <f t="shared" si="27"/>
        <v>1200.4299999999998</v>
      </c>
      <c r="H280" s="4497">
        <f t="shared" si="28"/>
        <v>1200.4299999999998</v>
      </c>
      <c r="I280" s="4497"/>
      <c r="J280" s="4497">
        <f t="shared" si="30"/>
        <v>1200.4299999999998</v>
      </c>
      <c r="K280" s="4497"/>
      <c r="L280" s="4498"/>
      <c r="M280" s="4498"/>
      <c r="N280" s="4503"/>
    </row>
    <row r="281" spans="2:14">
      <c r="B281" s="4509" t="s">
        <v>6654</v>
      </c>
      <c r="C281" s="4504" t="s">
        <v>3817</v>
      </c>
      <c r="D281" s="4497">
        <v>0</v>
      </c>
      <c r="E281" s="4497"/>
      <c r="F281" s="4497"/>
      <c r="G281" s="4501">
        <f t="shared" si="27"/>
        <v>0</v>
      </c>
      <c r="H281" s="4497">
        <f t="shared" si="28"/>
        <v>0</v>
      </c>
      <c r="I281" s="4497"/>
      <c r="J281" s="4497">
        <f t="shared" si="30"/>
        <v>0</v>
      </c>
      <c r="K281" s="4497"/>
      <c r="L281" s="4498"/>
      <c r="M281" s="4498"/>
      <c r="N281" s="4503"/>
    </row>
    <row r="282" spans="2:14">
      <c r="B282" s="4509" t="s">
        <v>6754</v>
      </c>
      <c r="C282" s="4542" t="s">
        <v>1006</v>
      </c>
      <c r="D282" s="4497">
        <v>1372.64</v>
      </c>
      <c r="E282" s="4497"/>
      <c r="F282" s="4497"/>
      <c r="G282" s="4501">
        <f t="shared" si="27"/>
        <v>1372.64</v>
      </c>
      <c r="H282" s="4497">
        <f t="shared" si="28"/>
        <v>1372.64</v>
      </c>
      <c r="I282" s="4497"/>
      <c r="J282" s="4497">
        <f t="shared" si="30"/>
        <v>1372.64</v>
      </c>
      <c r="K282" s="4497"/>
      <c r="L282" s="4498"/>
      <c r="M282" s="4498"/>
      <c r="N282" s="4503"/>
    </row>
    <row r="283" spans="2:14">
      <c r="B283" s="4509" t="s">
        <v>6656</v>
      </c>
      <c r="C283" s="4542" t="s">
        <v>4321</v>
      </c>
      <c r="D283" s="4497">
        <v>0</v>
      </c>
      <c r="E283" s="4513"/>
      <c r="F283" s="4497"/>
      <c r="G283" s="4501">
        <f t="shared" si="27"/>
        <v>0</v>
      </c>
      <c r="H283" s="4497">
        <f t="shared" si="28"/>
        <v>0</v>
      </c>
      <c r="I283" s="4497"/>
      <c r="J283" s="4513">
        <f t="shared" si="30"/>
        <v>0</v>
      </c>
      <c r="K283" s="4513"/>
      <c r="L283" s="4498"/>
      <c r="M283" s="4498"/>
      <c r="N283" s="4503"/>
    </row>
    <row r="284" spans="2:14">
      <c r="B284" s="4509" t="s">
        <v>6657</v>
      </c>
      <c r="C284" s="4542" t="s">
        <v>1089</v>
      </c>
      <c r="D284" s="4497">
        <v>3382.3999999999996</v>
      </c>
      <c r="E284" s="4513"/>
      <c r="F284" s="4497"/>
      <c r="G284" s="4501">
        <f t="shared" si="27"/>
        <v>3382.3999999999996</v>
      </c>
      <c r="H284" s="4497">
        <f t="shared" si="28"/>
        <v>3382.3999999999996</v>
      </c>
      <c r="I284" s="4497"/>
      <c r="J284" s="4513">
        <f t="shared" si="30"/>
        <v>3382.3999999999996</v>
      </c>
      <c r="K284" s="4513"/>
      <c r="L284" s="4498"/>
      <c r="M284" s="4498"/>
      <c r="N284" s="4503"/>
    </row>
    <row r="285" spans="2:14">
      <c r="B285" s="4509" t="s">
        <v>6830</v>
      </c>
      <c r="C285" s="4542" t="s">
        <v>4141</v>
      </c>
      <c r="D285" s="4497">
        <v>162.4</v>
      </c>
      <c r="E285" s="4497"/>
      <c r="F285" s="4497"/>
      <c r="G285" s="4501">
        <f t="shared" si="27"/>
        <v>162.4</v>
      </c>
      <c r="H285" s="4497">
        <f t="shared" si="28"/>
        <v>162.4</v>
      </c>
      <c r="I285" s="4497"/>
      <c r="J285" s="4513">
        <f t="shared" si="30"/>
        <v>162.4</v>
      </c>
      <c r="K285" s="4513"/>
      <c r="L285" s="4498"/>
      <c r="M285" s="4498"/>
      <c r="N285" s="4503"/>
    </row>
    <row r="286" spans="2:14">
      <c r="B286" s="4509" t="s">
        <v>6809</v>
      </c>
      <c r="C286" s="4542" t="s">
        <v>6831</v>
      </c>
      <c r="D286" s="4497">
        <v>619.36</v>
      </c>
      <c r="E286" s="4497"/>
      <c r="F286" s="4497"/>
      <c r="G286" s="4501">
        <f t="shared" si="27"/>
        <v>619.36</v>
      </c>
      <c r="H286" s="4497">
        <f t="shared" si="28"/>
        <v>619.36</v>
      </c>
      <c r="I286" s="4497"/>
      <c r="J286" s="4513">
        <f t="shared" si="30"/>
        <v>619.36</v>
      </c>
      <c r="K286" s="4513"/>
      <c r="L286" s="4498"/>
      <c r="M286" s="4498"/>
      <c r="N286" s="4503"/>
    </row>
    <row r="287" spans="2:14">
      <c r="B287" s="4509" t="s">
        <v>5260</v>
      </c>
      <c r="C287" s="4542" t="s">
        <v>3341</v>
      </c>
      <c r="D287" s="4497">
        <v>5600</v>
      </c>
      <c r="E287" s="4497"/>
      <c r="F287" s="4497"/>
      <c r="G287" s="4501">
        <f t="shared" si="27"/>
        <v>5600</v>
      </c>
      <c r="H287" s="4497">
        <f t="shared" si="28"/>
        <v>5600</v>
      </c>
      <c r="I287" s="4497"/>
      <c r="J287" s="4513">
        <f t="shared" si="30"/>
        <v>5600</v>
      </c>
      <c r="K287" s="4513"/>
      <c r="L287" s="4498"/>
      <c r="M287" s="4498"/>
      <c r="N287" s="4503"/>
    </row>
    <row r="288" spans="2:14">
      <c r="B288" s="4509" t="s">
        <v>6659</v>
      </c>
      <c r="C288" s="4542" t="s">
        <v>671</v>
      </c>
      <c r="D288" s="4497">
        <v>993.18</v>
      </c>
      <c r="E288" s="4513"/>
      <c r="F288" s="4497">
        <f>41.11+793.19</f>
        <v>834.30000000000007</v>
      </c>
      <c r="G288" s="4501">
        <f t="shared" si="27"/>
        <v>158.87999999999988</v>
      </c>
      <c r="H288" s="4497">
        <f t="shared" si="28"/>
        <v>158.87999999999988</v>
      </c>
      <c r="I288" s="4497"/>
      <c r="J288" s="4513">
        <f t="shared" si="30"/>
        <v>158.87999999999988</v>
      </c>
      <c r="K288" s="4513"/>
      <c r="L288" s="4498"/>
      <c r="M288" s="4498"/>
      <c r="N288" s="4503"/>
    </row>
    <row r="289" spans="1:14">
      <c r="B289" s="4509" t="s">
        <v>6660</v>
      </c>
      <c r="C289" s="4542" t="s">
        <v>39</v>
      </c>
      <c r="D289" s="4497">
        <v>0</v>
      </c>
      <c r="E289" s="4513"/>
      <c r="F289" s="4497"/>
      <c r="G289" s="4501">
        <f t="shared" si="27"/>
        <v>0</v>
      </c>
      <c r="H289" s="4497">
        <f t="shared" si="28"/>
        <v>0</v>
      </c>
      <c r="I289" s="4497"/>
      <c r="J289" s="4513">
        <f t="shared" si="30"/>
        <v>0</v>
      </c>
      <c r="K289" s="4513"/>
      <c r="L289" s="4498"/>
      <c r="M289" s="4498"/>
      <c r="N289" s="4503"/>
    </row>
    <row r="290" spans="1:14">
      <c r="B290" s="4507" t="s">
        <v>4835</v>
      </c>
      <c r="C290" s="4542" t="s">
        <v>40</v>
      </c>
      <c r="D290" s="4497">
        <v>56.95</v>
      </c>
      <c r="E290" s="4513"/>
      <c r="F290" s="4497"/>
      <c r="G290" s="4501">
        <f t="shared" si="27"/>
        <v>56.95</v>
      </c>
      <c r="H290" s="4497">
        <f t="shared" si="28"/>
        <v>56.95</v>
      </c>
      <c r="I290" s="4497">
        <f>+G290</f>
        <v>56.95</v>
      </c>
      <c r="J290" s="4513"/>
      <c r="K290" s="4513"/>
      <c r="L290" s="4498"/>
      <c r="M290" s="4498"/>
      <c r="N290" s="4503"/>
    </row>
    <row r="291" spans="1:14">
      <c r="B291" s="4509" t="s">
        <v>6661</v>
      </c>
      <c r="C291" s="4542" t="s">
        <v>40</v>
      </c>
      <c r="D291" s="4497">
        <v>0</v>
      </c>
      <c r="E291" s="4513"/>
      <c r="F291" s="4497"/>
      <c r="G291" s="4501">
        <f t="shared" si="27"/>
        <v>0</v>
      </c>
      <c r="H291" s="4497">
        <f t="shared" si="28"/>
        <v>0</v>
      </c>
      <c r="I291" s="4497"/>
      <c r="J291" s="4513">
        <f>+G291</f>
        <v>0</v>
      </c>
      <c r="K291" s="4513"/>
      <c r="L291" s="4498"/>
      <c r="M291" s="4498"/>
      <c r="N291" s="4503"/>
    </row>
    <row r="292" spans="1:14">
      <c r="B292" s="4483" t="s">
        <v>6662</v>
      </c>
      <c r="C292" s="4542" t="s">
        <v>40</v>
      </c>
      <c r="D292" s="4497">
        <v>171.51</v>
      </c>
      <c r="E292" s="4513"/>
      <c r="F292" s="4497"/>
      <c r="G292" s="4501">
        <f t="shared" si="27"/>
        <v>171.51</v>
      </c>
      <c r="H292" s="4497">
        <f t="shared" si="28"/>
        <v>171.51</v>
      </c>
      <c r="I292" s="4497"/>
      <c r="J292" s="4513"/>
      <c r="K292" s="4513">
        <f>+G292</f>
        <v>171.51</v>
      </c>
      <c r="L292" s="4498"/>
      <c r="M292" s="4498"/>
      <c r="N292" s="4503"/>
    </row>
    <row r="293" spans="1:14">
      <c r="B293" s="4483" t="s">
        <v>6576</v>
      </c>
      <c r="C293" s="4542" t="s">
        <v>680</v>
      </c>
      <c r="D293" s="4497">
        <v>1120</v>
      </c>
      <c r="E293" s="4513"/>
      <c r="F293" s="4497"/>
      <c r="G293" s="4501">
        <f t="shared" si="27"/>
        <v>1120</v>
      </c>
      <c r="H293" s="4497">
        <f t="shared" si="28"/>
        <v>1120</v>
      </c>
      <c r="I293" s="4497"/>
      <c r="J293" s="4513"/>
      <c r="K293" s="4513">
        <f>+G293</f>
        <v>1120</v>
      </c>
      <c r="L293" s="4498"/>
      <c r="M293" s="4498"/>
      <c r="N293" s="4503"/>
    </row>
    <row r="294" spans="1:14">
      <c r="B294" s="4512" t="s">
        <v>7212</v>
      </c>
      <c r="C294" s="4500" t="s">
        <v>761</v>
      </c>
      <c r="D294" s="4497">
        <v>0</v>
      </c>
      <c r="E294" s="4497">
        <v>70000</v>
      </c>
      <c r="F294" s="4497"/>
      <c r="G294" s="4501">
        <f t="shared" si="27"/>
        <v>70000</v>
      </c>
      <c r="H294" s="4497">
        <f t="shared" si="28"/>
        <v>70000</v>
      </c>
      <c r="I294" s="4497"/>
      <c r="J294" s="4497"/>
      <c r="K294" s="4497"/>
      <c r="L294" s="4513">
        <f>+G294</f>
        <v>70000</v>
      </c>
      <c r="M294" s="4498"/>
      <c r="N294" s="4503"/>
    </row>
    <row r="295" spans="1:14">
      <c r="B295" s="4509" t="s">
        <v>6738</v>
      </c>
      <c r="C295" s="4542" t="s">
        <v>671</v>
      </c>
      <c r="D295" s="4497">
        <v>0</v>
      </c>
      <c r="E295" s="4513">
        <v>804.2</v>
      </c>
      <c r="F295" s="4497"/>
      <c r="G295" s="4501">
        <f t="shared" si="27"/>
        <v>804.2</v>
      </c>
      <c r="H295" s="4497">
        <f t="shared" si="28"/>
        <v>804.2</v>
      </c>
      <c r="I295" s="4497"/>
      <c r="J295" s="4513">
        <f>+G295</f>
        <v>804.2</v>
      </c>
      <c r="K295" s="4513"/>
      <c r="L295" s="4498"/>
      <c r="M295" s="4498"/>
      <c r="N295" s="4503"/>
    </row>
    <row r="296" spans="1:14">
      <c r="B296" s="4483" t="s">
        <v>5694</v>
      </c>
      <c r="C296" s="4542" t="s">
        <v>671</v>
      </c>
      <c r="D296" s="4497">
        <v>17715.23</v>
      </c>
      <c r="E296" s="4513"/>
      <c r="F296" s="4497">
        <v>301.2</v>
      </c>
      <c r="G296" s="4501">
        <f t="shared" si="27"/>
        <v>17414.03</v>
      </c>
      <c r="H296" s="4497">
        <f t="shared" si="28"/>
        <v>17414.03</v>
      </c>
      <c r="I296" s="4497"/>
      <c r="J296" s="4513"/>
      <c r="K296" s="4513">
        <f>+G296</f>
        <v>17414.03</v>
      </c>
      <c r="L296" s="4498"/>
      <c r="M296" s="4498"/>
      <c r="N296" s="4503"/>
    </row>
    <row r="297" spans="1:14">
      <c r="B297" s="4507" t="s">
        <v>5717</v>
      </c>
      <c r="C297" s="4504" t="s">
        <v>39</v>
      </c>
      <c r="D297" s="4497">
        <v>8176.87</v>
      </c>
      <c r="E297" s="4513">
        <v>260.95999999999998</v>
      </c>
      <c r="F297" s="4497">
        <v>2442.4699999999998</v>
      </c>
      <c r="G297" s="4501">
        <f t="shared" si="27"/>
        <v>5995.3600000000006</v>
      </c>
      <c r="H297" s="4497">
        <f t="shared" si="28"/>
        <v>5995.3600000000006</v>
      </c>
      <c r="I297" s="4497">
        <f>+G297</f>
        <v>5995.3600000000006</v>
      </c>
      <c r="J297" s="4513"/>
      <c r="K297" s="4513"/>
      <c r="L297" s="4498"/>
      <c r="M297" s="4497"/>
      <c r="N297" s="4503"/>
    </row>
    <row r="298" spans="1:14">
      <c r="B298" s="4483" t="s">
        <v>5283</v>
      </c>
      <c r="C298" s="4504" t="s">
        <v>39</v>
      </c>
      <c r="D298" s="4497">
        <v>51062.380000000005</v>
      </c>
      <c r="E298" s="4513">
        <f>4032+10.21</f>
        <v>4042.21</v>
      </c>
      <c r="F298" s="4497">
        <f>373+1344+260.96+72.8+126.02+293.48+164.24</f>
        <v>2634.5</v>
      </c>
      <c r="G298" s="4501">
        <f t="shared" si="27"/>
        <v>52470.090000000004</v>
      </c>
      <c r="H298" s="4497">
        <f t="shared" si="28"/>
        <v>52470.090000000004</v>
      </c>
      <c r="I298" s="4497"/>
      <c r="J298" s="4513"/>
      <c r="K298" s="4513">
        <f>+G298</f>
        <v>52470.090000000004</v>
      </c>
      <c r="L298" s="4498"/>
      <c r="M298" s="4497"/>
      <c r="N298" s="4503"/>
    </row>
    <row r="299" spans="1:14">
      <c r="B299" s="4483" t="s">
        <v>4825</v>
      </c>
      <c r="C299" s="4504" t="s">
        <v>40</v>
      </c>
      <c r="D299" s="4497">
        <v>46729.75</v>
      </c>
      <c r="E299" s="4497">
        <v>1344</v>
      </c>
      <c r="F299" s="4497">
        <f>840+318+48+4032</f>
        <v>5238</v>
      </c>
      <c r="G299" s="4501">
        <f t="shared" si="27"/>
        <v>42835.75</v>
      </c>
      <c r="H299" s="4497">
        <f t="shared" si="28"/>
        <v>42835.75</v>
      </c>
      <c r="I299" s="4497"/>
      <c r="J299" s="4497"/>
      <c r="K299" s="4497">
        <f>+G299</f>
        <v>42835.75</v>
      </c>
      <c r="L299" s="4498"/>
      <c r="M299" s="4498"/>
      <c r="N299" s="4503"/>
    </row>
    <row r="300" spans="1:14" s="4475" customFormat="1">
      <c r="A300" s="4476"/>
      <c r="B300" s="4483" t="s">
        <v>6586</v>
      </c>
      <c r="C300" s="4542" t="s">
        <v>5430</v>
      </c>
      <c r="D300" s="4497">
        <v>1994.23</v>
      </c>
      <c r="E300" s="4497"/>
      <c r="F300" s="4497">
        <v>482.23</v>
      </c>
      <c r="G300" s="4501">
        <f t="shared" si="27"/>
        <v>1512</v>
      </c>
      <c r="H300" s="4497">
        <f t="shared" si="28"/>
        <v>1512</v>
      </c>
      <c r="I300" s="4497"/>
      <c r="J300" s="4497"/>
      <c r="K300" s="4497">
        <f>+G300</f>
        <v>1512</v>
      </c>
      <c r="L300" s="4498"/>
      <c r="M300" s="4498"/>
      <c r="N300" s="4503"/>
    </row>
    <row r="301" spans="1:14" s="4475" customFormat="1">
      <c r="A301" s="4476"/>
      <c r="B301" s="4524"/>
      <c r="C301" s="4543" t="s">
        <v>6832</v>
      </c>
      <c r="D301" s="1537">
        <f t="shared" ref="D301:M301" si="31">SUM(D264:D300)</f>
        <v>203592.65999999997</v>
      </c>
      <c r="E301" s="1537">
        <f t="shared" si="31"/>
        <v>96476.49</v>
      </c>
      <c r="F301" s="1537">
        <f t="shared" si="31"/>
        <v>34208.560000000005</v>
      </c>
      <c r="G301" s="1537">
        <f t="shared" si="31"/>
        <v>265860.58999999997</v>
      </c>
      <c r="H301" s="1537">
        <f t="shared" si="31"/>
        <v>265860.58999999997</v>
      </c>
      <c r="I301" s="1537">
        <f t="shared" si="31"/>
        <v>21852.31</v>
      </c>
      <c r="J301" s="1537">
        <f t="shared" si="31"/>
        <v>58484.899999999994</v>
      </c>
      <c r="K301" s="1537">
        <f t="shared" si="31"/>
        <v>115523.38</v>
      </c>
      <c r="L301" s="1537">
        <f t="shared" si="31"/>
        <v>70000</v>
      </c>
      <c r="M301" s="1537">
        <f t="shared" si="31"/>
        <v>0</v>
      </c>
    </row>
    <row r="302" spans="1:14" s="4475" customFormat="1">
      <c r="A302" s="4476"/>
      <c r="B302" s="4544"/>
      <c r="C302" s="4518" t="s">
        <v>6833</v>
      </c>
      <c r="D302" s="4506">
        <f t="shared" ref="D302:M302" si="32">+D140+D194+D259+D301</f>
        <v>38160285.859999985</v>
      </c>
      <c r="E302" s="4506">
        <f t="shared" si="32"/>
        <v>4857497.2295600008</v>
      </c>
      <c r="F302" s="4506">
        <f t="shared" si="32"/>
        <v>4845098.05</v>
      </c>
      <c r="G302" s="4506">
        <f t="shared" si="32"/>
        <v>38172685.03955999</v>
      </c>
      <c r="H302" s="4506">
        <f t="shared" si="32"/>
        <v>38172685.03955999</v>
      </c>
      <c r="I302" s="4545">
        <f t="shared" si="32"/>
        <v>7040956.9899999993</v>
      </c>
      <c r="J302" s="4545">
        <f t="shared" si="32"/>
        <v>933858.51</v>
      </c>
      <c r="K302" s="4545">
        <f t="shared" si="32"/>
        <v>28387466.439559985</v>
      </c>
      <c r="L302" s="4545">
        <f t="shared" si="32"/>
        <v>1428165.4</v>
      </c>
      <c r="M302" s="4545">
        <f t="shared" si="32"/>
        <v>382237.69999999995</v>
      </c>
    </row>
    <row r="303" spans="1:14" s="4475" customFormat="1">
      <c r="A303" s="4476"/>
      <c r="B303" s="4476"/>
      <c r="C303" s="4546"/>
      <c r="D303" s="4547"/>
      <c r="E303" s="4547"/>
      <c r="F303" s="4547"/>
      <c r="G303" s="4547"/>
      <c r="H303" s="4547"/>
      <c r="I303" s="4547"/>
      <c r="J303" s="4547"/>
      <c r="K303" s="4547"/>
      <c r="L303" s="4476"/>
      <c r="M303" s="4476"/>
    </row>
    <row r="304" spans="1:14" s="4475" customFormat="1">
      <c r="A304" s="4476"/>
      <c r="B304" s="4548"/>
      <c r="C304" s="4548"/>
      <c r="D304" s="4549">
        <f>+D21-D302</f>
        <v>12399.180000022054</v>
      </c>
      <c r="E304" s="4549"/>
      <c r="F304" s="4549">
        <f>+E302-F302</f>
        <v>12399.179560001008</v>
      </c>
      <c r="G304" s="4549"/>
      <c r="H304" s="4549">
        <f>+G302-H302</f>
        <v>0</v>
      </c>
      <c r="I304" s="4550">
        <f>+E21-I302</f>
        <v>0</v>
      </c>
      <c r="J304" s="4550">
        <f>+F21-J302</f>
        <v>0</v>
      </c>
      <c r="K304" s="4550">
        <f>+G21-K302</f>
        <v>4.4001638889312744E-4</v>
      </c>
      <c r="L304" s="4550">
        <f>+H21-L302</f>
        <v>0</v>
      </c>
      <c r="M304" s="4550">
        <f>+I21-M302</f>
        <v>0</v>
      </c>
      <c r="N304" s="4551"/>
    </row>
    <row r="305" spans="1:15" s="4475" customFormat="1">
      <c r="A305" s="4476"/>
      <c r="B305" s="4548"/>
      <c r="C305" s="4548"/>
      <c r="D305" s="4549"/>
      <c r="E305" s="4549"/>
      <c r="F305" s="4549"/>
      <c r="G305" s="4549">
        <f>D21-G302</f>
        <v>4.4001638889312744E-4</v>
      </c>
      <c r="H305" s="4549"/>
      <c r="I305" s="3066"/>
      <c r="J305" s="3066"/>
      <c r="K305" s="3066"/>
      <c r="L305" s="3066"/>
      <c r="M305" s="3066"/>
    </row>
    <row r="306" spans="1:15" s="4475" customFormat="1">
      <c r="A306" s="4476"/>
      <c r="B306" s="4548"/>
      <c r="C306" s="4548"/>
      <c r="D306" s="4552">
        <f>+D21*0.06</f>
        <v>2290361.1024000002</v>
      </c>
      <c r="E306" s="4549" t="s">
        <v>6834</v>
      </c>
      <c r="F306" s="4548"/>
      <c r="G306" s="4552"/>
      <c r="H306" s="1581"/>
      <c r="I306" s="1582"/>
      <c r="J306" s="1582"/>
      <c r="L306" s="4476"/>
      <c r="M306" s="4476"/>
    </row>
    <row r="307" spans="1:15" s="4475" customFormat="1">
      <c r="A307" s="4476"/>
      <c r="B307" s="4548" t="s">
        <v>6835</v>
      </c>
      <c r="C307" s="4549"/>
      <c r="D307" s="4553"/>
      <c r="F307" s="4548"/>
      <c r="G307" s="4548"/>
      <c r="H307" s="1581"/>
      <c r="I307" s="1582"/>
      <c r="J307" s="3069"/>
    </row>
    <row r="308" spans="1:15">
      <c r="B308" s="4548" t="s">
        <v>6836</v>
      </c>
      <c r="C308" s="4552"/>
      <c r="D308" s="4552"/>
      <c r="E308" s="4548"/>
      <c r="F308" s="4548"/>
      <c r="G308" s="4548"/>
      <c r="H308" s="4475"/>
      <c r="I308" s="1582"/>
      <c r="J308" s="1582"/>
      <c r="L308" s="4475"/>
      <c r="M308" s="1584" t="s">
        <v>7213</v>
      </c>
    </row>
    <row r="309" spans="1:15">
      <c r="B309" s="4548"/>
      <c r="C309" s="4552"/>
      <c r="D309" s="4554"/>
      <c r="E309" s="4548"/>
      <c r="F309" s="4548"/>
      <c r="G309" s="4548"/>
      <c r="H309" s="4475"/>
      <c r="I309" s="1582"/>
      <c r="J309" s="1582"/>
      <c r="L309" s="4475"/>
      <c r="M309" s="1584"/>
    </row>
    <row r="310" spans="1:15">
      <c r="C310" s="4546"/>
      <c r="D310" s="4548"/>
      <c r="E310" s="4546"/>
      <c r="F310" s="4546"/>
      <c r="G310" s="4546"/>
      <c r="H310" s="4546"/>
      <c r="I310" s="4555"/>
      <c r="J310" s="4546"/>
      <c r="L310" s="4546"/>
      <c r="M310" s="4546"/>
      <c r="N310" s="4546"/>
      <c r="O310" s="4546"/>
    </row>
    <row r="311" spans="1:15">
      <c r="C311" s="4546"/>
      <c r="D311" s="4556"/>
      <c r="E311" s="4548"/>
      <c r="F311" s="4548"/>
      <c r="G311" s="4548"/>
      <c r="H311" s="4546"/>
      <c r="O311" s="4546"/>
    </row>
    <row r="312" spans="1:15">
      <c r="C312" s="4546"/>
      <c r="D312" s="4546"/>
      <c r="E312" s="4475"/>
      <c r="F312" s="4475"/>
      <c r="G312" s="4546"/>
      <c r="H312" s="4546"/>
      <c r="O312" s="4546"/>
    </row>
    <row r="313" spans="1:15">
      <c r="C313" s="4546"/>
      <c r="D313" s="4556"/>
      <c r="E313" s="4475"/>
      <c r="F313" s="4475"/>
      <c r="G313" s="4475"/>
      <c r="H313" s="4546"/>
      <c r="O313" s="4546"/>
    </row>
    <row r="314" spans="1:15">
      <c r="C314" s="4546"/>
      <c r="D314" s="4546"/>
      <c r="E314" s="4475"/>
      <c r="F314" s="4475"/>
      <c r="G314" s="4546"/>
      <c r="H314" s="4546"/>
      <c r="O314" s="4546"/>
    </row>
    <row r="315" spans="1:15">
      <c r="C315" s="4557" t="s">
        <v>7008</v>
      </c>
      <c r="D315" s="4557" t="s">
        <v>7009</v>
      </c>
      <c r="E315" s="4557" t="s">
        <v>7010</v>
      </c>
      <c r="F315" s="4557" t="s">
        <v>7011</v>
      </c>
      <c r="I315" s="4475"/>
      <c r="K315" s="4476"/>
      <c r="M315" s="4546"/>
    </row>
    <row r="316" spans="1:15">
      <c r="C316" s="4504" t="s">
        <v>7012</v>
      </c>
      <c r="D316" s="4497">
        <f>SUM(E26:E139)</f>
        <v>612625.19999999984</v>
      </c>
      <c r="E316" s="4497">
        <f>SUM(F26:F139)</f>
        <v>772469.80999999971</v>
      </c>
      <c r="F316" s="4497">
        <f>E316-D316</f>
        <v>159844.60999999987</v>
      </c>
      <c r="I316" s="4475"/>
      <c r="K316" s="4476"/>
      <c r="M316" s="4546"/>
    </row>
    <row r="317" spans="1:15">
      <c r="C317" s="4504" t="s">
        <v>7013</v>
      </c>
      <c r="D317" s="4497">
        <f>SUM(E145:E193)</f>
        <v>1828726.9800000002</v>
      </c>
      <c r="E317" s="4497">
        <f>SUM(F145:F193)</f>
        <v>3351395.2500000005</v>
      </c>
      <c r="F317" s="4497">
        <f>E317-D317</f>
        <v>1522668.2700000003</v>
      </c>
      <c r="I317" s="4475"/>
      <c r="K317" s="4476"/>
      <c r="M317" s="4546"/>
    </row>
    <row r="318" spans="1:15">
      <c r="C318" s="4504" t="s">
        <v>7014</v>
      </c>
      <c r="D318" s="4497">
        <f>SUM(E199:E258)</f>
        <v>2319668.55956</v>
      </c>
      <c r="E318" s="4497">
        <f>SUM(F199:F258)</f>
        <v>687024.42999999993</v>
      </c>
      <c r="F318" s="4497">
        <f>E318-D318</f>
        <v>-1632644.12956</v>
      </c>
      <c r="I318" s="4475"/>
      <c r="K318" s="4476"/>
      <c r="M318" s="4546"/>
    </row>
    <row r="319" spans="1:15">
      <c r="C319" s="4504" t="s">
        <v>7015</v>
      </c>
      <c r="D319" s="4497">
        <f>SUM(E264:E300)</f>
        <v>96476.49</v>
      </c>
      <c r="E319" s="4497">
        <f>SUM(F264:F300)</f>
        <v>34208.560000000005</v>
      </c>
      <c r="F319" s="4497">
        <f>E319-D319</f>
        <v>-62267.93</v>
      </c>
      <c r="I319" s="4475"/>
      <c r="K319" s="4476"/>
      <c r="M319" s="4546"/>
      <c r="N319" s="4558"/>
    </row>
    <row r="320" spans="1:15">
      <c r="C320" s="4518" t="s">
        <v>7016</v>
      </c>
      <c r="D320" s="4559">
        <f>SUM(D316:D319)</f>
        <v>4857497.2295600008</v>
      </c>
      <c r="E320" s="4559">
        <f>SUM(E316:E319)</f>
        <v>4845098.05</v>
      </c>
      <c r="F320" s="4497">
        <f>E320-D320</f>
        <v>-12399.179560001008</v>
      </c>
      <c r="I320" s="4475"/>
      <c r="K320" s="4476"/>
      <c r="M320" s="4548"/>
      <c r="N320" s="4558"/>
    </row>
    <row r="321" spans="3:16">
      <c r="C321" s="4546"/>
      <c r="D321" s="4546"/>
      <c r="E321" s="4475"/>
      <c r="F321" s="4546"/>
      <c r="G321" s="4546"/>
      <c r="H321" s="4546"/>
      <c r="O321" s="4560"/>
      <c r="P321" s="4561"/>
    </row>
    <row r="322" spans="3:16">
      <c r="C322" s="4546"/>
      <c r="D322" s="4546"/>
      <c r="E322" s="4475"/>
      <c r="F322" s="4546"/>
      <c r="G322" s="4546"/>
      <c r="H322" s="4546"/>
      <c r="O322" s="4560"/>
      <c r="P322" s="4561"/>
    </row>
    <row r="323" spans="3:16">
      <c r="C323" s="4546"/>
      <c r="D323" s="4546"/>
      <c r="E323" s="4548"/>
      <c r="F323" s="4548"/>
      <c r="G323" s="4548"/>
      <c r="H323" s="4548"/>
      <c r="O323" s="4548"/>
      <c r="P323" s="4561"/>
    </row>
    <row r="324" spans="3:16">
      <c r="C324" s="4548" t="s">
        <v>7017</v>
      </c>
      <c r="D324" s="4546"/>
      <c r="E324" s="4546"/>
      <c r="F324" s="4546"/>
      <c r="G324" s="4475"/>
      <c r="H324" s="4475"/>
      <c r="O324" s="4548"/>
      <c r="P324" s="4561"/>
    </row>
    <row r="325" spans="3:16">
      <c r="C325" s="4557" t="s">
        <v>7018</v>
      </c>
      <c r="D325" s="4557" t="s">
        <v>7019</v>
      </c>
      <c r="E325" s="4557" t="s">
        <v>7010</v>
      </c>
      <c r="F325" s="4557" t="s">
        <v>7011</v>
      </c>
      <c r="G325" s="4475"/>
      <c r="H325" s="4475"/>
      <c r="O325" s="4548"/>
      <c r="P325" s="4561"/>
    </row>
    <row r="326" spans="3:16">
      <c r="C326" s="4524">
        <v>53</v>
      </c>
      <c r="D326" s="4497">
        <f>SUM(E48,E53,E56,E60,E72,E80,E85,E90,E93,E99,E102,E152,E153,E155,E158,E160,E161,E163,E164,E165,E166,E167,E168,E171,E172,E173,E174,E175,E199,E200,E202,E205,E207,E208,E210,E214,E216,E217,E219,E221,E222,E231,E276,E290)</f>
        <v>605856.22</v>
      </c>
      <c r="E326" s="4497">
        <f>SUM(F48,F53,F56,F60,F72,F80,F85,F90,F93,F99,F102,F152,F153,F155,F158,F160,F161,F163,F164,F165,F166,F167,F168,F171,F172,F173,F174,F175,F199,F200,F202,F205,F207,F208,F210,F214,F216,F217,F219,F221,F222,F231,F276,F290)</f>
        <v>931691</v>
      </c>
      <c r="F326" s="4497">
        <f t="shared" ref="F326:F332" si="33">E326-D326</f>
        <v>325834.78000000003</v>
      </c>
      <c r="G326" s="4475"/>
      <c r="H326" s="4475"/>
      <c r="O326" s="4548"/>
      <c r="P326" s="4558"/>
    </row>
    <row r="327" spans="3:16">
      <c r="C327" s="4524">
        <v>57</v>
      </c>
      <c r="D327" s="4497">
        <f>SUM(E115,E176)</f>
        <v>0</v>
      </c>
      <c r="E327" s="4497">
        <f>SUM(F115,F176)</f>
        <v>11591.25</v>
      </c>
      <c r="F327" s="4497">
        <f t="shared" si="33"/>
        <v>11591.25</v>
      </c>
      <c r="G327" s="4475"/>
      <c r="H327" s="4475"/>
      <c r="O327" s="4560"/>
      <c r="P327" s="4558"/>
    </row>
    <row r="328" spans="3:16">
      <c r="C328" s="4524">
        <v>58</v>
      </c>
      <c r="D328" s="4497">
        <f>SUM(E121,E122,E177,E235)</f>
        <v>26116.86</v>
      </c>
      <c r="E328" s="4497">
        <f>SUM(F121,F122,F177,F235)</f>
        <v>203797.63</v>
      </c>
      <c r="F328" s="4497">
        <f t="shared" si="33"/>
        <v>177680.77000000002</v>
      </c>
      <c r="G328" s="4475"/>
      <c r="H328" s="4475"/>
      <c r="O328" s="4548"/>
      <c r="P328" s="4558"/>
    </row>
    <row r="329" spans="3:16">
      <c r="C329" s="4524">
        <v>73</v>
      </c>
      <c r="D329" s="4497">
        <f>SUM(E236,E241)</f>
        <v>0</v>
      </c>
      <c r="E329" s="4497">
        <f>SUM(F236,F241)</f>
        <v>0</v>
      </c>
      <c r="F329" s="4497">
        <f t="shared" si="33"/>
        <v>0</v>
      </c>
      <c r="G329" s="4475"/>
      <c r="H329" s="4475"/>
      <c r="O329" s="4546"/>
    </row>
    <row r="330" spans="3:16">
      <c r="C330" s="4524">
        <v>75</v>
      </c>
      <c r="D330" s="4497">
        <f>SUM(E183,E242)</f>
        <v>2202693.8200000003</v>
      </c>
      <c r="E330" s="4497">
        <f>SUM(F183,F242)</f>
        <v>0</v>
      </c>
      <c r="F330" s="4497">
        <f t="shared" si="33"/>
        <v>-2202693.8200000003</v>
      </c>
      <c r="G330" s="4475"/>
      <c r="H330" s="4475"/>
      <c r="O330" s="4546"/>
    </row>
    <row r="331" spans="3:16">
      <c r="C331" s="4524">
        <v>84</v>
      </c>
      <c r="D331" s="4497">
        <f>SUM(E126,E134,E184,E186,E188,E192,E245,E246,E247,E251,E252,E297)</f>
        <v>425604.96</v>
      </c>
      <c r="E331" s="4497">
        <f>SUM(F126,F134,F184,F186,F188,F192,F245,F246,F247,F251,F252,F297)</f>
        <v>2100792.8000000003</v>
      </c>
      <c r="F331" s="4497">
        <f t="shared" si="33"/>
        <v>1675187.8400000003</v>
      </c>
      <c r="G331" s="4562"/>
      <c r="H331" s="4562"/>
      <c r="O331" s="4546"/>
    </row>
    <row r="332" spans="3:16">
      <c r="C332" s="4518" t="s">
        <v>7016</v>
      </c>
      <c r="D332" s="4506">
        <f>SUM(D326:D331)</f>
        <v>3260271.8600000003</v>
      </c>
      <c r="E332" s="4506">
        <f>SUM(E326:E331)</f>
        <v>3247872.68</v>
      </c>
      <c r="F332" s="4506">
        <f t="shared" si="33"/>
        <v>-12399.180000000168</v>
      </c>
      <c r="G332" s="4475"/>
      <c r="H332" s="4546"/>
      <c r="O332" s="4546"/>
    </row>
    <row r="333" spans="3:16">
      <c r="C333" s="4546"/>
      <c r="D333" s="4546"/>
      <c r="E333" s="4546"/>
      <c r="F333" s="4546"/>
      <c r="G333" s="4546"/>
      <c r="H333" s="4546"/>
      <c r="O333" s="4546"/>
    </row>
    <row r="334" spans="3:16">
      <c r="C334" s="4548" t="s">
        <v>7020</v>
      </c>
      <c r="D334" s="4546"/>
      <c r="E334" s="4546"/>
      <c r="F334" s="4546"/>
      <c r="G334" s="4546"/>
      <c r="H334" s="4546"/>
      <c r="O334" s="4546"/>
    </row>
    <row r="335" spans="3:16">
      <c r="C335" s="4557" t="s">
        <v>7018</v>
      </c>
      <c r="D335" s="4557" t="s">
        <v>7009</v>
      </c>
      <c r="E335" s="4557" t="s">
        <v>7010</v>
      </c>
      <c r="F335" s="4557" t="s">
        <v>7011</v>
      </c>
      <c r="G335" s="4548"/>
      <c r="H335" s="4548"/>
      <c r="O335" s="4546"/>
    </row>
    <row r="336" spans="3:16">
      <c r="C336" s="4524">
        <v>53</v>
      </c>
      <c r="D336" s="4497">
        <f>SUM(E46,E51,E54,E57,E70,E73,E77,E87,E94,E154,E156,E169,E201,E211,E215,E218,E220,E226,E228,E229,E230,E232,E233,E234,E264,E265,E266,E267,E268,E269,E270,E271,E272,E273,E274,E275,E277,E278,E280,E279,E281,E282,E283,E284,E285,E286,E287,E288,E289,E291)</f>
        <v>166796.26</v>
      </c>
      <c r="E336" s="4497">
        <f>SUM(F46,F51,F54,F57,F70,F73,F77,F87,F94,F154,F156,F169,F201,F211,F215,F218,F220,F226,F228,F229,F230,F232,F233,F234,F264,F265,F266,F267,F268,F269,F270,F271,F272,F273,F274,F275,F277,F278,F280,F279,F281,F282,F283,F284,F285,F286,F287,F288,F289,F291)</f>
        <v>154637</v>
      </c>
      <c r="F336" s="4497">
        <f>E336-D336</f>
        <v>-12159.260000000009</v>
      </c>
      <c r="O336" s="4546"/>
    </row>
    <row r="337" spans="3:15">
      <c r="C337" s="4524">
        <v>57</v>
      </c>
      <c r="D337" s="4497">
        <f>SUM(E113,E116,E118)</f>
        <v>2520.2199999999998</v>
      </c>
      <c r="E337" s="4497">
        <f>SUM(F113,F116,F118)</f>
        <v>170000</v>
      </c>
      <c r="F337" s="4497">
        <f>E337-D337</f>
        <v>167479.78</v>
      </c>
      <c r="O337" s="4546"/>
    </row>
    <row r="338" spans="3:15">
      <c r="C338" s="4524">
        <v>84</v>
      </c>
      <c r="D338" s="4497">
        <f>SUM(E128,E133,E243,E248,E253,E257,E295)</f>
        <v>155320.52000000002</v>
      </c>
      <c r="E338" s="4497">
        <f>SUM(F128,F133,F243,F248,F253,F257,F295)</f>
        <v>0</v>
      </c>
      <c r="F338" s="4497">
        <f>E338-D338</f>
        <v>-155320.52000000002</v>
      </c>
      <c r="O338" s="4546"/>
    </row>
    <row r="339" spans="3:15">
      <c r="C339" s="4518" t="s">
        <v>7016</v>
      </c>
      <c r="D339" s="4506">
        <f>SUM(D336:D338)</f>
        <v>324637</v>
      </c>
      <c r="E339" s="4506">
        <f>SUM(E336:E338)</f>
        <v>324637</v>
      </c>
      <c r="F339" s="4506">
        <f>E339-D339</f>
        <v>0</v>
      </c>
      <c r="O339" s="4546"/>
    </row>
    <row r="340" spans="3:15">
      <c r="C340" s="4546"/>
      <c r="D340" s="4546"/>
      <c r="E340" s="4546"/>
      <c r="F340" s="4475"/>
      <c r="O340" s="4546"/>
    </row>
    <row r="341" spans="3:15">
      <c r="C341" s="4548"/>
      <c r="D341" s="4548"/>
      <c r="E341" s="4548"/>
      <c r="F341" s="4548"/>
      <c r="O341" s="4546"/>
    </row>
    <row r="342" spans="3:15">
      <c r="C342" s="4548" t="s">
        <v>7021</v>
      </c>
      <c r="D342" s="4546"/>
      <c r="E342" s="4546"/>
      <c r="F342" s="4546"/>
      <c r="O342" s="4546"/>
    </row>
    <row r="343" spans="3:15">
      <c r="C343" s="4557" t="s">
        <v>7018</v>
      </c>
      <c r="D343" s="4557" t="s">
        <v>7019</v>
      </c>
      <c r="E343" s="4557" t="s">
        <v>7010</v>
      </c>
      <c r="F343" s="4557" t="s">
        <v>7011</v>
      </c>
      <c r="O343" s="4546"/>
    </row>
    <row r="344" spans="3:15">
      <c r="C344" s="4524">
        <v>51</v>
      </c>
      <c r="D344" s="4497">
        <f>SUM(E26,E27,E28,E29,E30,E31,E32,E33,E34,E35,E36,E37,E38,E39,E40,E41,E42,E43,E145,E146,E147,E148,E149,E150,E151,E44)</f>
        <v>424000</v>
      </c>
      <c r="E344" s="4497">
        <f>SUM(F26,F27,F28,F29,F30,F31,F32,F33,F34,F35,F36,F37,F38,F39,F40,F41,F42,F43,F145,F146,F147,F148,F149,F150,F151,F44)</f>
        <v>424000</v>
      </c>
      <c r="F344" s="4497">
        <f t="shared" ref="F344:F351" si="34">E344-D344</f>
        <v>0</v>
      </c>
    </row>
    <row r="345" spans="3:15">
      <c r="C345" s="4524">
        <v>53</v>
      </c>
      <c r="D345" s="4497">
        <f>SUM(E45,E47,E49,E50,E52,E55,E58,E59,E61,E62,E63,E64,E65,E66,E67,E68,E69,E71,E74,E75,E76,E78,E79,E81,E82,E83,E84,E86,E88,E89,E91,E92,E95,E96,E97,E98,E100,E101,E103,E104,E105,E106,E107,E108,E109,E110,E111,E112,E157,E159,E162,E170,E204,E206,E209,E212,E213,E223,E224,E225,E227,E292)</f>
        <v>216326.22</v>
      </c>
      <c r="E345" s="4497">
        <f>SUM(F45,F47,F49,F50,F52,F55,F58,F59,F61,F62,F63,F64,F65,F66,F67,F68,F69,F71,F74,F75,F76,F78,F79,F81,F82,F83,F84,F86,F88,F89,F91,F92,F95,F96,F97,F98,F100,F101,F103,F104,F105,F106,F107,F108,F109,F110,F111,F112,F157,F159,F162,F170,F204,F206,F209,F212,F213,F223,F224,F225,F227,F292)</f>
        <v>330682.38999999996</v>
      </c>
      <c r="F345" s="4497">
        <f t="shared" si="34"/>
        <v>114356.16999999995</v>
      </c>
    </row>
    <row r="346" spans="3:15">
      <c r="C346" s="4524">
        <v>57</v>
      </c>
      <c r="D346" s="4497">
        <f>SUM(E114,E117,E119,E293)</f>
        <v>0</v>
      </c>
      <c r="E346" s="4497">
        <f>SUM(F114,F117,F119,F293)</f>
        <v>4659.9799999999996</v>
      </c>
      <c r="F346" s="4497">
        <f t="shared" si="34"/>
        <v>4659.9799999999996</v>
      </c>
    </row>
    <row r="347" spans="3:15">
      <c r="C347" s="4524">
        <v>58</v>
      </c>
      <c r="D347" s="4497">
        <f>SUM(E120)</f>
        <v>0</v>
      </c>
      <c r="E347" s="4497">
        <f>SUM(F120)</f>
        <v>500</v>
      </c>
      <c r="F347" s="4497">
        <f t="shared" si="34"/>
        <v>500</v>
      </c>
    </row>
    <row r="348" spans="3:15">
      <c r="C348" s="4524">
        <v>73</v>
      </c>
      <c r="D348" s="4497">
        <f>SUM(E240)</f>
        <v>62540.299559999999</v>
      </c>
      <c r="E348" s="4497">
        <f>SUM(F240)</f>
        <v>0</v>
      </c>
      <c r="F348" s="4497">
        <f t="shared" si="34"/>
        <v>-62540.299559999999</v>
      </c>
    </row>
    <row r="349" spans="3:15">
      <c r="C349" s="4524">
        <v>84</v>
      </c>
      <c r="D349" s="4497">
        <f>SUM(E127,E129,E135,E138,E185,E187,E191,E244,E249,E254,E258,E296,E298,E299,E300)</f>
        <v>150802.79</v>
      </c>
      <c r="E349" s="4497">
        <f>SUM(F127,F129,F135,F138,F185,F187,F191,F244,F249,F254,F258,F296,F298,F299,F300)</f>
        <v>93826.94</v>
      </c>
      <c r="F349" s="4497">
        <f t="shared" si="34"/>
        <v>-56975.850000000006</v>
      </c>
    </row>
    <row r="350" spans="3:15">
      <c r="C350" s="4524">
        <v>99</v>
      </c>
      <c r="D350" s="4497">
        <f>SUM(E139,E193)</f>
        <v>4000</v>
      </c>
      <c r="E350" s="4497">
        <f>SUM(F139,F193)</f>
        <v>4000</v>
      </c>
      <c r="F350" s="4497">
        <f t="shared" si="34"/>
        <v>0</v>
      </c>
    </row>
    <row r="351" spans="3:15">
      <c r="C351" s="4518" t="s">
        <v>7016</v>
      </c>
      <c r="D351" s="4506">
        <f>SUM(D344:D350)</f>
        <v>857669.30955999997</v>
      </c>
      <c r="E351" s="4506">
        <f>SUM(E344:E350)</f>
        <v>857669.30999999982</v>
      </c>
      <c r="F351" s="4545">
        <f t="shared" si="34"/>
        <v>4.3999985791742802E-4</v>
      </c>
    </row>
    <row r="352" spans="3:15">
      <c r="C352" s="4546"/>
      <c r="D352" s="4475"/>
      <c r="E352" s="4475"/>
      <c r="F352" s="4475"/>
    </row>
    <row r="353" spans="3:15">
      <c r="C353" s="4548" t="s">
        <v>7022</v>
      </c>
      <c r="D353" s="4546"/>
      <c r="E353" s="4546"/>
      <c r="F353" s="4546"/>
    </row>
    <row r="354" spans="3:15">
      <c r="C354" s="4557" t="s">
        <v>7018</v>
      </c>
      <c r="D354" s="4557" t="s">
        <v>7019</v>
      </c>
      <c r="E354" s="4557" t="s">
        <v>7010</v>
      </c>
      <c r="F354" s="4557" t="s">
        <v>7011</v>
      </c>
      <c r="O354" s="4503"/>
    </row>
    <row r="355" spans="3:15">
      <c r="C355" s="4524">
        <v>71</v>
      </c>
      <c r="D355" s="4497">
        <f>SUM(E123,E124)</f>
        <v>0</v>
      </c>
      <c r="E355" s="4497">
        <f>SUM(F123,F124)</f>
        <v>0</v>
      </c>
      <c r="F355" s="4497">
        <f>E355-D355</f>
        <v>0</v>
      </c>
    </row>
    <row r="356" spans="3:15">
      <c r="C356" s="4524">
        <v>73</v>
      </c>
      <c r="D356" s="4497">
        <f>SUM(E125,E178,E179,E181,E182,E237,E239,E294)</f>
        <v>414919.06</v>
      </c>
      <c r="E356" s="4497">
        <f>SUM(F125,F178,F179,F181,F182,F237,F239,F294)</f>
        <v>0</v>
      </c>
      <c r="F356" s="4497">
        <f>E356-D356</f>
        <v>-414919.06</v>
      </c>
    </row>
    <row r="357" spans="3:15">
      <c r="C357" s="4524">
        <v>84</v>
      </c>
      <c r="D357" s="4497">
        <f>SUM(E130,E136,E137,E189,E255)</f>
        <v>0</v>
      </c>
      <c r="E357" s="4497">
        <f>SUM(F130,F136,F137,F189,F255)</f>
        <v>414919.06</v>
      </c>
      <c r="F357" s="4497">
        <f>E357-D357</f>
        <v>414919.06</v>
      </c>
    </row>
    <row r="358" spans="3:15">
      <c r="C358" s="4518" t="s">
        <v>7016</v>
      </c>
      <c r="D358" s="4506">
        <f>SUM(D355:D357)</f>
        <v>414919.06</v>
      </c>
      <c r="E358" s="4506">
        <f>SUM(E355:E357)</f>
        <v>414919.06</v>
      </c>
      <c r="F358" s="4506">
        <f>E358-D358</f>
        <v>0</v>
      </c>
    </row>
    <row r="359" spans="3:15">
      <c r="C359" s="4475"/>
    </row>
    <row r="360" spans="3:15">
      <c r="C360" s="4548" t="s">
        <v>7023</v>
      </c>
      <c r="D360" s="4546"/>
      <c r="E360" s="4546"/>
      <c r="F360" s="4546"/>
    </row>
    <row r="361" spans="3:15">
      <c r="C361" s="4557" t="s">
        <v>7018</v>
      </c>
      <c r="D361" s="4557" t="s">
        <v>7019</v>
      </c>
      <c r="E361" s="4557" t="s">
        <v>7010</v>
      </c>
      <c r="F361" s="4557" t="s">
        <v>7011</v>
      </c>
      <c r="O361" s="4563"/>
    </row>
    <row r="362" spans="3:15">
      <c r="C362" s="4524">
        <v>53</v>
      </c>
      <c r="D362" s="4497">
        <f>SUM(E203)</f>
        <v>0</v>
      </c>
      <c r="E362" s="4497">
        <f>SUM(F203)</f>
        <v>0</v>
      </c>
      <c r="F362" s="4497">
        <f>+D362-E362</f>
        <v>0</v>
      </c>
    </row>
    <row r="363" spans="3:15">
      <c r="C363" s="4524">
        <v>73</v>
      </c>
      <c r="D363" s="4497">
        <f>SUM(E180,E238)</f>
        <v>0</v>
      </c>
      <c r="E363" s="4497">
        <f>SUM(F180,F238)</f>
        <v>0</v>
      </c>
      <c r="F363" s="4497">
        <f>+D363-E363</f>
        <v>0</v>
      </c>
    </row>
    <row r="364" spans="3:15">
      <c r="C364" s="4524">
        <v>84</v>
      </c>
      <c r="D364" s="4497">
        <f>SUM(E131,E190,E250,E256)</f>
        <v>0</v>
      </c>
      <c r="E364" s="4497">
        <f>SUM(F131,F190,F250,F256)</f>
        <v>0</v>
      </c>
      <c r="F364" s="4497">
        <f>+D364-E364</f>
        <v>0</v>
      </c>
    </row>
    <row r="365" spans="3:15">
      <c r="C365" s="4518" t="s">
        <v>7016</v>
      </c>
      <c r="D365" s="4506">
        <f>SUM(D362:D364)</f>
        <v>0</v>
      </c>
      <c r="E365" s="4506">
        <f>SUM(E362:E364)</f>
        <v>0</v>
      </c>
      <c r="F365" s="4506">
        <f>+D365-E365</f>
        <v>0</v>
      </c>
    </row>
    <row r="366" spans="3:15" ht="13.5" thickBot="1">
      <c r="C366" s="4475"/>
    </row>
    <row r="367" spans="3:15" ht="13.5" thickBot="1">
      <c r="C367" s="11404" t="s">
        <v>7024</v>
      </c>
      <c r="D367" s="4564">
        <f>D365+D358+D351+D339+D332</f>
        <v>4857497.2295600008</v>
      </c>
      <c r="E367" s="4565">
        <f>E365+E358+E351+E339+E332</f>
        <v>4845098.05</v>
      </c>
      <c r="F367" s="4566">
        <f>F365+F358+F351+F339+F332</f>
        <v>-12399.17956000031</v>
      </c>
    </row>
    <row r="368" spans="3:15" ht="13.5" thickBot="1">
      <c r="C368" s="11405"/>
      <c r="D368" s="4567">
        <f>D367-E302</f>
        <v>0</v>
      </c>
      <c r="E368" s="4568">
        <f>E367-F302</f>
        <v>0</v>
      </c>
      <c r="F368" s="4569"/>
    </row>
    <row r="369" spans="5:5">
      <c r="E369" s="4475"/>
    </row>
    <row r="370" spans="5:5">
      <c r="E370" s="4475"/>
    </row>
    <row r="371" spans="5:5">
      <c r="E371" s="4475"/>
    </row>
    <row r="372" spans="5:5">
      <c r="E372" s="4475"/>
    </row>
    <row r="373" spans="5:5">
      <c r="E373" s="4475"/>
    </row>
    <row r="374" spans="5:5">
      <c r="E374" s="4475"/>
    </row>
    <row r="375" spans="5:5">
      <c r="E375" s="4475"/>
    </row>
    <row r="376" spans="5:5">
      <c r="E376" s="4475"/>
    </row>
    <row r="377" spans="5:5">
      <c r="E377" s="4475"/>
    </row>
    <row r="378" spans="5:5">
      <c r="E378" s="4475"/>
    </row>
    <row r="379" spans="5:5">
      <c r="E379" s="4475"/>
    </row>
    <row r="380" spans="5:5">
      <c r="E380" s="4475"/>
    </row>
    <row r="381" spans="5:5">
      <c r="E381" s="4475"/>
    </row>
    <row r="382" spans="5:5">
      <c r="E382" s="4475"/>
    </row>
    <row r="383" spans="5:5">
      <c r="E383" s="4475"/>
    </row>
  </sheetData>
  <mergeCells count="6">
    <mergeCell ref="C367:C368"/>
    <mergeCell ref="B1:I1"/>
    <mergeCell ref="B2:I2"/>
    <mergeCell ref="B7:B8"/>
    <mergeCell ref="C7:C8"/>
    <mergeCell ref="D7:D8"/>
  </mergeCells>
  <printOptions horizontalCentered="1"/>
  <pageMargins left="0.25" right="0.25" top="0.75" bottom="0.75" header="0.3" footer="0.3"/>
  <pageSetup scale="80" fitToHeight="0" orientation="portrait" horizontalDpi="300" verticalDpi="300" r:id="rId1"/>
  <headerFooter>
    <oddFooter>&amp;C&amp;"Century Schoolbook,Normal"&amp;P</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753E0-5D13-3249-8EE9-E9CDCB37F4AB}">
  <sheetPr>
    <pageSetUpPr fitToPage="1"/>
  </sheetPr>
  <dimension ref="A1:F165"/>
  <sheetViews>
    <sheetView topLeftCell="A64" zoomScaleNormal="100" workbookViewId="0">
      <selection activeCell="H19" sqref="H19"/>
    </sheetView>
  </sheetViews>
  <sheetFormatPr baseColWidth="10" defaultColWidth="12.42578125" defaultRowHeight="12"/>
  <cols>
    <col min="1" max="1" width="0.7109375" style="4476" customWidth="1"/>
    <col min="2" max="2" width="16.7109375" style="4476" customWidth="1"/>
    <col min="3" max="3" width="49" style="4595" customWidth="1"/>
    <col min="4" max="4" width="16.140625" style="4476" customWidth="1"/>
    <col min="5" max="5" width="12.42578125" style="4476"/>
    <col min="6" max="6" width="30.5703125" style="4476" customWidth="1"/>
    <col min="7" max="16384" width="12.42578125" style="4476"/>
  </cols>
  <sheetData>
    <row r="1" spans="2:6" s="4475" customFormat="1" ht="18.75">
      <c r="B1" s="11406" t="s">
        <v>0</v>
      </c>
      <c r="C1" s="11406"/>
      <c r="D1" s="11406"/>
    </row>
    <row r="2" spans="2:6" s="4475" customFormat="1" ht="18.75">
      <c r="B2" s="11406" t="s">
        <v>6665</v>
      </c>
      <c r="C2" s="11406"/>
      <c r="D2" s="11406"/>
    </row>
    <row r="3" spans="2:6" s="4475" customFormat="1" ht="12.75" customHeight="1">
      <c r="B3" s="4474"/>
      <c r="C3" s="4570"/>
      <c r="D3" s="4474"/>
    </row>
    <row r="4" spans="2:6" s="4475" customFormat="1" ht="15">
      <c r="B4" s="1478" t="s">
        <v>6480</v>
      </c>
      <c r="C4" s="4571" t="s">
        <v>413</v>
      </c>
      <c r="D4" s="1479"/>
    </row>
    <row r="5" spans="2:6" s="4475" customFormat="1" ht="12.75">
      <c r="B5" s="1479" t="s">
        <v>6479</v>
      </c>
      <c r="C5" s="4571"/>
      <c r="D5" s="1479"/>
    </row>
    <row r="6" spans="2:6" s="4475" customFormat="1" ht="12.75">
      <c r="B6" s="11383" t="s">
        <v>6932</v>
      </c>
      <c r="C6" s="11383"/>
      <c r="D6" s="2008" t="s">
        <v>7214</v>
      </c>
    </row>
    <row r="7" spans="2:6" s="4475" customFormat="1" ht="12.75">
      <c r="B7" s="1509" t="s">
        <v>7</v>
      </c>
      <c r="C7" s="4572" t="s">
        <v>6505</v>
      </c>
      <c r="D7" s="1510" t="s">
        <v>6678</v>
      </c>
    </row>
    <row r="8" spans="2:6" s="4475" customFormat="1" ht="12.75">
      <c r="B8" s="1526" t="s">
        <v>6934</v>
      </c>
      <c r="C8" s="4573" t="s">
        <v>6969</v>
      </c>
      <c r="D8" s="4574">
        <v>12399.18</v>
      </c>
    </row>
    <row r="9" spans="2:6" s="4475" customFormat="1" ht="12.75">
      <c r="B9" s="1526" t="s">
        <v>6936</v>
      </c>
      <c r="C9" s="4573" t="s">
        <v>6937</v>
      </c>
      <c r="D9" s="1518">
        <v>0</v>
      </c>
    </row>
    <row r="10" spans="2:6" s="4475" customFormat="1" ht="12.75">
      <c r="B10" s="1589"/>
      <c r="C10" s="4575" t="s">
        <v>6847</v>
      </c>
      <c r="D10" s="1518">
        <f>SUM(D8:D9)</f>
        <v>12399.18</v>
      </c>
    </row>
    <row r="11" spans="2:6" s="4475" customFormat="1" ht="12.75">
      <c r="B11" s="1479"/>
      <c r="C11" s="4571"/>
    </row>
    <row r="12" spans="2:6" ht="15">
      <c r="B12" s="4484" t="s">
        <v>6504</v>
      </c>
      <c r="C12" s="4576"/>
      <c r="D12" s="4475"/>
      <c r="E12" s="4487"/>
    </row>
    <row r="13" spans="2:6" ht="38.25">
      <c r="B13" s="4488" t="s">
        <v>7</v>
      </c>
      <c r="C13" s="4577" t="s">
        <v>6505</v>
      </c>
      <c r="D13" s="4489" t="s">
        <v>6678</v>
      </c>
      <c r="E13" s="4489" t="s">
        <v>6679</v>
      </c>
      <c r="F13" s="4648" t="s">
        <v>7215</v>
      </c>
    </row>
    <row r="14" spans="2:6" ht="12.75">
      <c r="B14" s="4495" t="s">
        <v>6510</v>
      </c>
      <c r="C14" s="4578" t="s">
        <v>6511</v>
      </c>
      <c r="D14" s="4497"/>
      <c r="E14" s="4497"/>
      <c r="F14" s="4649"/>
    </row>
    <row r="15" spans="2:6" ht="12.75">
      <c r="B15" s="4483" t="s">
        <v>6512</v>
      </c>
      <c r="C15" s="4579" t="s">
        <v>3008</v>
      </c>
      <c r="D15" s="4497"/>
      <c r="E15" s="4497">
        <v>30000</v>
      </c>
      <c r="F15" s="4650" t="s">
        <v>7216</v>
      </c>
    </row>
    <row r="16" spans="2:6" ht="12.75">
      <c r="B16" s="4483" t="s">
        <v>6513</v>
      </c>
      <c r="C16" s="4580" t="s">
        <v>3010</v>
      </c>
      <c r="D16" s="4497"/>
      <c r="E16" s="4497">
        <v>60000</v>
      </c>
      <c r="F16" s="4650" t="s">
        <v>7216</v>
      </c>
    </row>
    <row r="17" spans="2:6" ht="12.75">
      <c r="B17" s="4483" t="s">
        <v>6524</v>
      </c>
      <c r="C17" s="4580" t="s">
        <v>3026</v>
      </c>
      <c r="D17" s="4497"/>
      <c r="E17" s="4497">
        <v>10000</v>
      </c>
      <c r="F17" s="4650" t="s">
        <v>7216</v>
      </c>
    </row>
    <row r="18" spans="2:6" ht="12.75">
      <c r="B18" s="4483" t="s">
        <v>6527</v>
      </c>
      <c r="C18" s="4580" t="s">
        <v>3032</v>
      </c>
      <c r="D18" s="4497"/>
      <c r="E18" s="4497">
        <v>10000</v>
      </c>
      <c r="F18" s="4650" t="s">
        <v>7216</v>
      </c>
    </row>
    <row r="19" spans="2:6" ht="12.75">
      <c r="B19" s="4483" t="s">
        <v>6528</v>
      </c>
      <c r="C19" s="4580" t="s">
        <v>3039</v>
      </c>
      <c r="D19" s="4497"/>
      <c r="E19" s="4497">
        <v>16000</v>
      </c>
      <c r="F19" s="4650" t="s">
        <v>7216</v>
      </c>
    </row>
    <row r="20" spans="2:6" ht="12.75">
      <c r="B20" s="4483" t="s">
        <v>6687</v>
      </c>
      <c r="C20" s="4580" t="s">
        <v>3034</v>
      </c>
      <c r="D20" s="4497">
        <v>7000</v>
      </c>
      <c r="E20" s="4497"/>
      <c r="F20" s="4650" t="s">
        <v>7216</v>
      </c>
    </row>
    <row r="21" spans="2:6" ht="12.75">
      <c r="B21" s="4483" t="s">
        <v>7201</v>
      </c>
      <c r="C21" s="4580" t="s">
        <v>3036</v>
      </c>
      <c r="D21" s="4497">
        <v>29000</v>
      </c>
      <c r="E21" s="4497"/>
      <c r="F21" s="4650" t="s">
        <v>7216</v>
      </c>
    </row>
    <row r="22" spans="2:6" ht="12.75">
      <c r="B22" s="4483" t="s">
        <v>6689</v>
      </c>
      <c r="C22" s="4580" t="s">
        <v>3038</v>
      </c>
      <c r="D22" s="4497">
        <v>120000</v>
      </c>
      <c r="E22" s="4497"/>
      <c r="F22" s="4650" t="s">
        <v>7216</v>
      </c>
    </row>
    <row r="23" spans="2:6" ht="12.75">
      <c r="B23" s="4507" t="s">
        <v>6618</v>
      </c>
      <c r="C23" s="4580" t="s">
        <v>881</v>
      </c>
      <c r="D23" s="4497"/>
      <c r="E23" s="4508">
        <v>23313.24</v>
      </c>
      <c r="F23" s="4650" t="s">
        <v>7217</v>
      </c>
    </row>
    <row r="24" spans="2:6" ht="12.75">
      <c r="B24" s="4483" t="s">
        <v>6690</v>
      </c>
      <c r="C24" s="4580" t="s">
        <v>881</v>
      </c>
      <c r="D24" s="4497">
        <v>9000</v>
      </c>
      <c r="E24" s="4497"/>
      <c r="F24" s="4650"/>
    </row>
    <row r="25" spans="2:6" ht="12.75">
      <c r="B25" s="4483" t="s">
        <v>6535</v>
      </c>
      <c r="C25" s="4580" t="s">
        <v>606</v>
      </c>
      <c r="D25" s="4497"/>
      <c r="E25" s="4497">
        <v>2160</v>
      </c>
      <c r="F25" s="4650"/>
    </row>
    <row r="26" spans="2:6" ht="25.5">
      <c r="B26" s="4505" t="s">
        <v>5020</v>
      </c>
      <c r="C26" s="4580" t="s">
        <v>6692</v>
      </c>
      <c r="D26" s="4497">
        <v>15000</v>
      </c>
      <c r="E26" s="4497"/>
      <c r="F26" s="4650" t="s">
        <v>7218</v>
      </c>
    </row>
    <row r="27" spans="2:6" ht="25.5">
      <c r="B27" s="4483" t="s">
        <v>5075</v>
      </c>
      <c r="C27" s="4580" t="s">
        <v>6692</v>
      </c>
      <c r="D27" s="4497">
        <v>388.16</v>
      </c>
      <c r="E27" s="4497">
        <f>820+1269+2033.88+100.9</f>
        <v>4223.78</v>
      </c>
      <c r="F27" s="4650"/>
    </row>
    <row r="28" spans="2:6" ht="12.75">
      <c r="B28" s="4507" t="s">
        <v>6765</v>
      </c>
      <c r="C28" s="4580" t="s">
        <v>471</v>
      </c>
      <c r="D28" s="4497">
        <v>3000</v>
      </c>
      <c r="E28" s="4497"/>
      <c r="F28" s="4650" t="s">
        <v>7217</v>
      </c>
    </row>
    <row r="29" spans="2:6" ht="12.75">
      <c r="B29" s="4505" t="s">
        <v>6993</v>
      </c>
      <c r="C29" s="4580" t="s">
        <v>471</v>
      </c>
      <c r="D29" s="4497"/>
      <c r="E29" s="4497">
        <v>6000</v>
      </c>
      <c r="F29" s="4650" t="s">
        <v>7218</v>
      </c>
    </row>
    <row r="30" spans="2:6" ht="12.75">
      <c r="B30" s="4483" t="s">
        <v>6540</v>
      </c>
      <c r="C30" s="4580" t="s">
        <v>2621</v>
      </c>
      <c r="D30" s="4497"/>
      <c r="E30" s="4508">
        <v>128000</v>
      </c>
      <c r="F30" s="4650"/>
    </row>
    <row r="31" spans="2:6" ht="63.75">
      <c r="B31" s="4507" t="s">
        <v>7202</v>
      </c>
      <c r="C31" s="4580" t="s">
        <v>7203</v>
      </c>
      <c r="D31" s="4497">
        <f>10402.56*3</f>
        <v>31207.68</v>
      </c>
      <c r="E31" s="4497"/>
      <c r="F31" s="4650" t="s">
        <v>7217</v>
      </c>
    </row>
    <row r="32" spans="2:6" ht="25.5">
      <c r="B32" s="4483" t="s">
        <v>7204</v>
      </c>
      <c r="C32" s="4580" t="s">
        <v>3540</v>
      </c>
      <c r="D32" s="4497">
        <v>20.16</v>
      </c>
      <c r="E32" s="4497"/>
      <c r="F32" s="4650"/>
    </row>
    <row r="33" spans="2:6" ht="12.75">
      <c r="B33" s="4483" t="s">
        <v>6543</v>
      </c>
      <c r="C33" s="4580" t="s">
        <v>27</v>
      </c>
      <c r="D33" s="4497"/>
      <c r="E33" s="4497">
        <v>600</v>
      </c>
      <c r="F33" s="4650"/>
    </row>
    <row r="34" spans="2:6" ht="12.75">
      <c r="B34" s="4483" t="s">
        <v>6544</v>
      </c>
      <c r="C34" s="4580" t="s">
        <v>1507</v>
      </c>
      <c r="D34" s="4497"/>
      <c r="E34" s="4497">
        <v>6000</v>
      </c>
      <c r="F34" s="4650"/>
    </row>
    <row r="35" spans="2:6" ht="38.25">
      <c r="B35" s="4509" t="s">
        <v>6643</v>
      </c>
      <c r="C35" s="4580" t="s">
        <v>6698</v>
      </c>
      <c r="D35" s="4510"/>
      <c r="E35" s="4497">
        <v>8801.91</v>
      </c>
      <c r="F35" s="4650" t="s">
        <v>7218</v>
      </c>
    </row>
    <row r="36" spans="2:6" ht="38.25">
      <c r="B36" s="4509" t="s">
        <v>6700</v>
      </c>
      <c r="C36" s="4580" t="s">
        <v>281</v>
      </c>
      <c r="D36" s="4497">
        <v>17997.61</v>
      </c>
      <c r="E36" s="4497"/>
      <c r="F36" s="4650" t="s">
        <v>7218</v>
      </c>
    </row>
    <row r="37" spans="2:6" ht="38.25">
      <c r="B37" s="4483" t="s">
        <v>6701</v>
      </c>
      <c r="C37" s="4580" t="s">
        <v>281</v>
      </c>
      <c r="D37" s="4497"/>
      <c r="E37" s="4497">
        <f>4393.87+449+6500</f>
        <v>11342.869999999999</v>
      </c>
      <c r="F37" s="4650"/>
    </row>
    <row r="38" spans="2:6" ht="12.75">
      <c r="B38" s="4483" t="s">
        <v>6702</v>
      </c>
      <c r="C38" s="4580" t="s">
        <v>6703</v>
      </c>
      <c r="D38" s="4497"/>
      <c r="E38" s="4497">
        <v>1947</v>
      </c>
      <c r="F38" s="4650"/>
    </row>
    <row r="39" spans="2:6" ht="25.5">
      <c r="B39" s="4483" t="s">
        <v>6706</v>
      </c>
      <c r="C39" s="4580" t="s">
        <v>6705</v>
      </c>
      <c r="D39" s="4497">
        <f>1184+1000</f>
        <v>2184</v>
      </c>
      <c r="E39" s="4497">
        <v>7619.55</v>
      </c>
      <c r="F39" s="4650"/>
    </row>
    <row r="40" spans="2:6" ht="12.75">
      <c r="B40" s="4483" t="s">
        <v>6550</v>
      </c>
      <c r="C40" s="4580" t="s">
        <v>3855</v>
      </c>
      <c r="D40" s="4497"/>
      <c r="E40" s="4497">
        <v>2500</v>
      </c>
      <c r="F40" s="4650"/>
    </row>
    <row r="41" spans="2:6" ht="38.25">
      <c r="B41" s="4507" t="s">
        <v>6996</v>
      </c>
      <c r="C41" s="4580" t="s">
        <v>6709</v>
      </c>
      <c r="D41" s="4508">
        <f>136405.46</f>
        <v>136405.46</v>
      </c>
      <c r="E41" s="4497">
        <v>1974.61</v>
      </c>
      <c r="F41" s="4650" t="s">
        <v>7219</v>
      </c>
    </row>
    <row r="42" spans="2:6" ht="12.75">
      <c r="B42" s="4483" t="s">
        <v>6708</v>
      </c>
      <c r="C42" s="4580" t="s">
        <v>6709</v>
      </c>
      <c r="D42" s="4497">
        <f>67200+16800</f>
        <v>84000</v>
      </c>
      <c r="E42" s="4497"/>
      <c r="F42" s="4650"/>
    </row>
    <row r="43" spans="2:6" ht="12.75">
      <c r="B43" s="4483" t="s">
        <v>6997</v>
      </c>
      <c r="C43" s="4580" t="s">
        <v>307</v>
      </c>
      <c r="D43" s="4497"/>
      <c r="E43" s="4497">
        <v>756</v>
      </c>
      <c r="F43" s="4650"/>
    </row>
    <row r="44" spans="2:6" ht="12.75">
      <c r="B44" s="4483" t="s">
        <v>6553</v>
      </c>
      <c r="C44" s="4580" t="s">
        <v>2507</v>
      </c>
      <c r="D44" s="4497">
        <f>1315.45+8000+7156.55</f>
        <v>16472</v>
      </c>
      <c r="E44" s="4497"/>
      <c r="F44" s="4650"/>
    </row>
    <row r="45" spans="2:6" ht="12.75">
      <c r="B45" s="4507" t="s">
        <v>6601</v>
      </c>
      <c r="C45" s="4580" t="s">
        <v>1360</v>
      </c>
      <c r="D45" s="4497">
        <f>1881.6</f>
        <v>1881.6</v>
      </c>
      <c r="E45" s="4497"/>
      <c r="F45" s="4650" t="s">
        <v>7217</v>
      </c>
    </row>
    <row r="46" spans="2:6" ht="12.75">
      <c r="B46" s="4483" t="s">
        <v>6603</v>
      </c>
      <c r="C46" s="4580" t="s">
        <v>1360</v>
      </c>
      <c r="D46" s="4497"/>
      <c r="E46" s="4497">
        <v>6000</v>
      </c>
      <c r="F46" s="4650"/>
    </row>
    <row r="47" spans="2:6" ht="25.5">
      <c r="B47" s="4509" t="s">
        <v>5097</v>
      </c>
      <c r="C47" s="4580" t="s">
        <v>1665</v>
      </c>
      <c r="D47" s="4497">
        <v>2500</v>
      </c>
      <c r="E47" s="4497"/>
      <c r="F47" s="4650" t="s">
        <v>7218</v>
      </c>
    </row>
    <row r="48" spans="2:6" ht="25.5">
      <c r="B48" s="4483" t="s">
        <v>6556</v>
      </c>
      <c r="C48" s="4580" t="s">
        <v>148</v>
      </c>
      <c r="D48" s="4497">
        <v>2184</v>
      </c>
      <c r="E48" s="4497">
        <v>672</v>
      </c>
      <c r="F48" s="4650"/>
    </row>
    <row r="49" spans="2:6" ht="12.75">
      <c r="B49" s="4507" t="s">
        <v>6711</v>
      </c>
      <c r="C49" s="4580" t="s">
        <v>6712</v>
      </c>
      <c r="D49" s="4497"/>
      <c r="E49" s="4497"/>
      <c r="F49" s="4650"/>
    </row>
    <row r="50" spans="2:6" ht="12.75">
      <c r="B50" s="4483" t="s">
        <v>6557</v>
      </c>
      <c r="C50" s="4580" t="s">
        <v>6712</v>
      </c>
      <c r="D50" s="4497"/>
      <c r="E50" s="4497">
        <f>3660.23+3264</f>
        <v>6924.23</v>
      </c>
      <c r="F50" s="4650"/>
    </row>
    <row r="51" spans="2:6" ht="12.75">
      <c r="B51" s="4483" t="s">
        <v>6558</v>
      </c>
      <c r="C51" s="4580" t="s">
        <v>3862</v>
      </c>
      <c r="D51" s="4497"/>
      <c r="E51" s="4497">
        <v>5000</v>
      </c>
      <c r="F51" s="4650"/>
    </row>
    <row r="52" spans="2:6" ht="12.75">
      <c r="B52" s="4507" t="s">
        <v>6803</v>
      </c>
      <c r="C52" s="4580" t="s">
        <v>2003</v>
      </c>
      <c r="D52" s="4497"/>
      <c r="E52" s="4497">
        <v>3.22</v>
      </c>
      <c r="F52" s="4650" t="s">
        <v>7217</v>
      </c>
    </row>
    <row r="53" spans="2:6" ht="12.75">
      <c r="B53" s="4509" t="s">
        <v>6713</v>
      </c>
      <c r="C53" s="4580" t="s">
        <v>2003</v>
      </c>
      <c r="D53" s="4497"/>
      <c r="E53" s="4497">
        <v>3000</v>
      </c>
      <c r="F53" s="4650" t="s">
        <v>7218</v>
      </c>
    </row>
    <row r="54" spans="2:6" ht="12.75">
      <c r="B54" s="4483" t="s">
        <v>6714</v>
      </c>
      <c r="C54" s="4580" t="s">
        <v>2003</v>
      </c>
      <c r="D54" s="4497"/>
      <c r="E54" s="4497"/>
      <c r="F54" s="4650"/>
    </row>
    <row r="55" spans="2:6" ht="12.75">
      <c r="B55" s="4483" t="s">
        <v>6561</v>
      </c>
      <c r="C55" s="4580" t="s">
        <v>3817</v>
      </c>
      <c r="D55" s="4497"/>
      <c r="E55" s="4497">
        <v>2000</v>
      </c>
      <c r="F55" s="4650"/>
    </row>
    <row r="56" spans="2:6" ht="25.5">
      <c r="B56" s="4483" t="s">
        <v>6715</v>
      </c>
      <c r="C56" s="4580" t="s">
        <v>1006</v>
      </c>
      <c r="D56" s="4497"/>
      <c r="E56" s="4497">
        <v>1400</v>
      </c>
      <c r="F56" s="4650"/>
    </row>
    <row r="57" spans="2:6" ht="12.75">
      <c r="B57" s="4483" t="s">
        <v>6563</v>
      </c>
      <c r="C57" s="4580" t="s">
        <v>956</v>
      </c>
      <c r="D57" s="4497">
        <v>49108.37</v>
      </c>
      <c r="E57" s="4497"/>
      <c r="F57" s="4650"/>
    </row>
    <row r="58" spans="2:6" ht="12.75">
      <c r="B58" s="4483" t="s">
        <v>6718</v>
      </c>
      <c r="C58" s="4580" t="s">
        <v>6717</v>
      </c>
      <c r="D58" s="4497"/>
      <c r="E58" s="4497">
        <f>61.67+7156.55</f>
        <v>7218.22</v>
      </c>
      <c r="F58" s="4650"/>
    </row>
    <row r="59" spans="2:6" ht="12.75">
      <c r="B59" s="4507" t="s">
        <v>6608</v>
      </c>
      <c r="C59" s="4580" t="s">
        <v>2694</v>
      </c>
      <c r="D59" s="4497"/>
      <c r="E59" s="4497">
        <f>2160.45</f>
        <v>2160.4499999999998</v>
      </c>
      <c r="F59" s="4650" t="s">
        <v>7217</v>
      </c>
    </row>
    <row r="60" spans="2:6" ht="12.75">
      <c r="B60" s="4483" t="s">
        <v>6721</v>
      </c>
      <c r="C60" s="4580" t="s">
        <v>39</v>
      </c>
      <c r="D60" s="4497"/>
      <c r="E60" s="4497">
        <v>896</v>
      </c>
      <c r="F60" s="4650"/>
    </row>
    <row r="61" spans="2:6" ht="12.75">
      <c r="B61" s="4483" t="s">
        <v>6570</v>
      </c>
      <c r="C61" s="4580" t="s">
        <v>4163</v>
      </c>
      <c r="D61" s="4497">
        <v>1828.02</v>
      </c>
      <c r="E61" s="4497">
        <v>18.079999999999998</v>
      </c>
      <c r="F61" s="4650"/>
    </row>
    <row r="62" spans="2:6" ht="12.75">
      <c r="B62" s="4483" t="s">
        <v>6662</v>
      </c>
      <c r="C62" s="4580" t="s">
        <v>40</v>
      </c>
      <c r="D62" s="4508">
        <f>280</f>
        <v>280</v>
      </c>
      <c r="E62" s="4497">
        <f>564.68+72.75</f>
        <v>637.42999999999995</v>
      </c>
      <c r="F62" s="4650"/>
    </row>
    <row r="63" spans="2:6" ht="12.75">
      <c r="B63" s="4509" t="s">
        <v>6575</v>
      </c>
      <c r="C63" s="4580" t="s">
        <v>6726</v>
      </c>
      <c r="D63" s="4497">
        <v>2520.2199999999998</v>
      </c>
      <c r="E63" s="4497"/>
      <c r="F63" s="4650" t="s">
        <v>7218</v>
      </c>
    </row>
    <row r="64" spans="2:6" ht="12.75">
      <c r="B64" s="4483" t="s">
        <v>6576</v>
      </c>
      <c r="C64" s="4580" t="s">
        <v>6726</v>
      </c>
      <c r="D64" s="4497"/>
      <c r="E64" s="4497">
        <v>949.98</v>
      </c>
      <c r="F64" s="4650"/>
    </row>
    <row r="65" spans="2:6" ht="38.25">
      <c r="B65" s="4509" t="s">
        <v>6578</v>
      </c>
      <c r="C65" s="4580" t="s">
        <v>894</v>
      </c>
      <c r="D65" s="4497"/>
      <c r="E65" s="4497">
        <v>170000</v>
      </c>
      <c r="F65" s="4650" t="s">
        <v>7220</v>
      </c>
    </row>
    <row r="66" spans="2:6" ht="25.5">
      <c r="B66" s="4483" t="s">
        <v>6727</v>
      </c>
      <c r="C66" s="4580" t="s">
        <v>419</v>
      </c>
      <c r="D66" s="4497"/>
      <c r="E66" s="4497">
        <v>3710</v>
      </c>
      <c r="F66" s="4650"/>
    </row>
    <row r="67" spans="2:6" ht="12.75">
      <c r="B67" s="4483" t="s">
        <v>6732</v>
      </c>
      <c r="C67" s="4580" t="s">
        <v>3462</v>
      </c>
      <c r="D67" s="4497"/>
      <c r="E67" s="4497">
        <v>500</v>
      </c>
      <c r="F67" s="4650"/>
    </row>
    <row r="68" spans="2:6" ht="25.5">
      <c r="B68" s="4507" t="s">
        <v>6582</v>
      </c>
      <c r="C68" s="4580" t="s">
        <v>3079</v>
      </c>
      <c r="D68" s="4497"/>
      <c r="E68" s="4497">
        <f>200000+601.03+3196.6</f>
        <v>203797.63</v>
      </c>
      <c r="F68" s="4650" t="s">
        <v>7221</v>
      </c>
    </row>
    <row r="69" spans="2:6" ht="12.75">
      <c r="B69" s="4483" t="s">
        <v>5694</v>
      </c>
      <c r="C69" s="4580" t="s">
        <v>671</v>
      </c>
      <c r="D69" s="4497">
        <f>159.85+2660.5</f>
        <v>2820.35</v>
      </c>
      <c r="E69" s="4497">
        <f>81.58+87.78+621.2+530+182.16+2125</f>
        <v>3627.7200000000003</v>
      </c>
      <c r="F69" s="4650"/>
    </row>
    <row r="70" spans="2:6" ht="12.75">
      <c r="B70" s="4509" t="s">
        <v>5252</v>
      </c>
      <c r="C70" s="4580" t="s">
        <v>39</v>
      </c>
      <c r="D70" s="4497">
        <v>313.60000000000002</v>
      </c>
      <c r="E70" s="4497"/>
      <c r="F70" s="4650" t="s">
        <v>7222</v>
      </c>
    </row>
    <row r="71" spans="2:6" ht="12.75">
      <c r="B71" s="4483" t="s">
        <v>5283</v>
      </c>
      <c r="C71" s="4580" t="s">
        <v>39</v>
      </c>
      <c r="D71" s="4497">
        <f>6888+51788.8+2251.2+4631.75</f>
        <v>65559.75</v>
      </c>
      <c r="E71" s="4497">
        <f>2135+4940.53+136.9+589.26</f>
        <v>7801.69</v>
      </c>
      <c r="F71" s="4650"/>
    </row>
    <row r="72" spans="2:6" ht="12.75">
      <c r="B72" s="4509" t="s">
        <v>7205</v>
      </c>
      <c r="C72" s="4580" t="s">
        <v>4118</v>
      </c>
      <c r="D72" s="4497">
        <v>6300</v>
      </c>
      <c r="E72" s="4497"/>
      <c r="F72" s="4650" t="s">
        <v>7222</v>
      </c>
    </row>
    <row r="73" spans="2:6" ht="12.75">
      <c r="B73" s="4507" t="s">
        <v>5544</v>
      </c>
      <c r="C73" s="4580" t="s">
        <v>40</v>
      </c>
      <c r="D73" s="4497"/>
      <c r="E73" s="4497">
        <v>8250.99</v>
      </c>
      <c r="F73" s="4650"/>
    </row>
    <row r="74" spans="2:6" ht="12.75">
      <c r="B74" s="4483" t="s">
        <v>4825</v>
      </c>
      <c r="C74" s="4580" t="s">
        <v>40</v>
      </c>
      <c r="D74" s="4497">
        <f>81.1+1771.84+3801.28</f>
        <v>5654.22</v>
      </c>
      <c r="E74" s="4497">
        <f>836.81+572+1254.4</f>
        <v>2663.21</v>
      </c>
      <c r="F74" s="4650"/>
    </row>
    <row r="75" spans="2:6" ht="12.75">
      <c r="B75" s="4483" t="s">
        <v>6745</v>
      </c>
      <c r="C75" s="4580" t="s">
        <v>6746</v>
      </c>
      <c r="D75" s="4497"/>
      <c r="E75" s="4497">
        <v>4000</v>
      </c>
      <c r="F75" s="4650" t="s">
        <v>7223</v>
      </c>
    </row>
    <row r="76" spans="2:6" ht="25.5">
      <c r="B76" s="4504"/>
      <c r="C76" s="4581" t="s">
        <v>6587</v>
      </c>
      <c r="D76" s="1537">
        <f>SUM(D15:D75)</f>
        <v>612625.19999999984</v>
      </c>
      <c r="E76" s="1537">
        <f>SUM(E15:E75)</f>
        <v>772469.80999999971</v>
      </c>
      <c r="F76" s="4503"/>
    </row>
    <row r="77" spans="2:6" ht="12.75">
      <c r="B77" s="1539"/>
      <c r="C77" s="4582"/>
      <c r="D77" s="1541"/>
      <c r="E77" s="1542"/>
      <c r="F77" s="4503"/>
    </row>
    <row r="78" spans="2:6" ht="12.75">
      <c r="B78" s="1539"/>
      <c r="C78" s="4582"/>
      <c r="D78" s="1545"/>
      <c r="E78" s="1545"/>
      <c r="F78" s="4503"/>
    </row>
    <row r="79" spans="2:6" ht="38.25">
      <c r="B79" s="4488" t="s">
        <v>7</v>
      </c>
      <c r="C79" s="4577" t="s">
        <v>6505</v>
      </c>
      <c r="D79" s="4489" t="s">
        <v>6678</v>
      </c>
      <c r="E79" s="4489" t="s">
        <v>6679</v>
      </c>
      <c r="F79" s="4648" t="s">
        <v>7215</v>
      </c>
    </row>
    <row r="80" spans="2:6" ht="25.5">
      <c r="B80" s="4520" t="s">
        <v>6758</v>
      </c>
      <c r="C80" s="4583" t="s">
        <v>6759</v>
      </c>
      <c r="D80" s="4522"/>
      <c r="E80" s="4522"/>
      <c r="F80" s="4498"/>
    </row>
    <row r="81" spans="2:6" ht="25.5">
      <c r="B81" s="4483" t="s">
        <v>6514</v>
      </c>
      <c r="C81" s="4580" t="s">
        <v>6760</v>
      </c>
      <c r="D81" s="4497"/>
      <c r="E81" s="4497">
        <f>262000+6000+30000</f>
        <v>298000</v>
      </c>
      <c r="F81" s="4650" t="s">
        <v>7216</v>
      </c>
    </row>
    <row r="82" spans="2:6" ht="12.75">
      <c r="B82" s="4483" t="s">
        <v>6517</v>
      </c>
      <c r="C82" s="4580" t="s">
        <v>3014</v>
      </c>
      <c r="D82" s="4497">
        <v>6000</v>
      </c>
      <c r="E82" s="4497"/>
      <c r="F82" s="4650" t="s">
        <v>7216</v>
      </c>
    </row>
    <row r="83" spans="2:6" ht="25.5">
      <c r="B83" s="4483" t="s">
        <v>6593</v>
      </c>
      <c r="C83" s="4580" t="s">
        <v>6750</v>
      </c>
      <c r="D83" s="4497">
        <v>262000</v>
      </c>
      <c r="E83" s="4497"/>
      <c r="F83" s="4650" t="s">
        <v>7216</v>
      </c>
    </row>
    <row r="84" spans="2:6" ht="12.75">
      <c r="B84" s="4507" t="s">
        <v>5012</v>
      </c>
      <c r="C84" s="4580" t="s">
        <v>6764</v>
      </c>
      <c r="D84" s="4497"/>
      <c r="E84" s="4497">
        <f>1509.87-300</f>
        <v>1209.8699999999999</v>
      </c>
      <c r="F84" s="4650" t="s">
        <v>7217</v>
      </c>
    </row>
    <row r="85" spans="2:6" ht="12.75">
      <c r="B85" s="4507" t="s">
        <v>6765</v>
      </c>
      <c r="C85" s="4580" t="s">
        <v>471</v>
      </c>
      <c r="D85" s="4497"/>
      <c r="E85" s="4497">
        <f>2710.4+1000.16-300</f>
        <v>3410.56</v>
      </c>
      <c r="F85" s="4650" t="s">
        <v>7217</v>
      </c>
    </row>
    <row r="86" spans="2:6" ht="12.75">
      <c r="B86" s="4509" t="s">
        <v>6766</v>
      </c>
      <c r="C86" s="4580" t="s">
        <v>1323</v>
      </c>
      <c r="D86" s="4497"/>
      <c r="E86" s="4497">
        <v>540</v>
      </c>
      <c r="F86" s="4650" t="s">
        <v>7218</v>
      </c>
    </row>
    <row r="87" spans="2:6" ht="30.75" customHeight="1">
      <c r="B87" s="4507" t="s">
        <v>6699</v>
      </c>
      <c r="C87" s="4579" t="s">
        <v>281</v>
      </c>
      <c r="D87" s="4508">
        <f>77722.59+104473.73+36000+23000+40512+123677.98+2276.32</f>
        <v>407662.62</v>
      </c>
      <c r="E87" s="4497">
        <v>711513</v>
      </c>
      <c r="F87" s="4650"/>
    </row>
    <row r="88" spans="2:6" ht="30.75" customHeight="1">
      <c r="B88" s="4509" t="s">
        <v>6700</v>
      </c>
      <c r="C88" s="4580" t="s">
        <v>281</v>
      </c>
      <c r="D88" s="4497"/>
      <c r="E88" s="4497">
        <v>77722.59</v>
      </c>
      <c r="F88" s="4650" t="s">
        <v>7218</v>
      </c>
    </row>
    <row r="89" spans="2:6" ht="30.75" customHeight="1">
      <c r="B89" s="4483" t="s">
        <v>6701</v>
      </c>
      <c r="C89" s="4580" t="s">
        <v>281</v>
      </c>
      <c r="D89" s="4497"/>
      <c r="E89" s="4497">
        <v>123677.98</v>
      </c>
      <c r="F89" s="4650"/>
    </row>
    <row r="90" spans="2:6" ht="12.75">
      <c r="B90" s="4483" t="s">
        <v>6708</v>
      </c>
      <c r="C90" s="4580" t="s">
        <v>6709</v>
      </c>
      <c r="D90" s="4508">
        <v>45000.55</v>
      </c>
      <c r="E90" s="4497"/>
      <c r="F90" s="4650"/>
    </row>
    <row r="91" spans="2:6" ht="12.75">
      <c r="B91" s="4507" t="s">
        <v>6601</v>
      </c>
      <c r="C91" s="4580" t="s">
        <v>1360</v>
      </c>
      <c r="D91" s="4497"/>
      <c r="E91" s="4497">
        <v>5714.28</v>
      </c>
      <c r="F91" s="4650" t="s">
        <v>7224</v>
      </c>
    </row>
    <row r="92" spans="2:6" ht="12.75">
      <c r="B92" s="4507" t="s">
        <v>6604</v>
      </c>
      <c r="C92" s="4580" t="s">
        <v>2398</v>
      </c>
      <c r="D92" s="4497"/>
      <c r="E92" s="4497">
        <f>35511.3-300</f>
        <v>35211.300000000003</v>
      </c>
      <c r="F92" s="4650" t="s">
        <v>7225</v>
      </c>
    </row>
    <row r="93" spans="2:6" ht="25.5">
      <c r="B93" s="4507" t="s">
        <v>6716</v>
      </c>
      <c r="C93" s="4580" t="s">
        <v>6775</v>
      </c>
      <c r="D93" s="4497"/>
      <c r="E93" s="4497">
        <v>1194</v>
      </c>
      <c r="F93" s="4650" t="s">
        <v>7217</v>
      </c>
    </row>
    <row r="94" spans="2:6" ht="12.75">
      <c r="B94" s="4509" t="s">
        <v>6659</v>
      </c>
      <c r="C94" s="4580" t="s">
        <v>591</v>
      </c>
      <c r="D94" s="4497">
        <v>64443.9</v>
      </c>
      <c r="E94" s="4497"/>
      <c r="F94" s="4650" t="s">
        <v>7218</v>
      </c>
    </row>
    <row r="95" spans="2:6" ht="12.75">
      <c r="B95" s="4483" t="s">
        <v>4833</v>
      </c>
      <c r="C95" s="4580" t="s">
        <v>591</v>
      </c>
      <c r="D95" s="4497"/>
      <c r="E95" s="4497">
        <v>229.32</v>
      </c>
      <c r="F95" s="4650"/>
    </row>
    <row r="96" spans="2:6" ht="12.75">
      <c r="B96" s="4507" t="s">
        <v>6609</v>
      </c>
      <c r="C96" s="4580" t="s">
        <v>39</v>
      </c>
      <c r="D96" s="4497"/>
      <c r="E96" s="4497">
        <v>56.8</v>
      </c>
      <c r="F96" s="4650" t="s">
        <v>7217</v>
      </c>
    </row>
    <row r="97" spans="2:6" ht="12.75">
      <c r="B97" s="4507" t="s">
        <v>6577</v>
      </c>
      <c r="C97" s="4580" t="s">
        <v>894</v>
      </c>
      <c r="D97" s="4497"/>
      <c r="E97" s="4497">
        <v>11591.25</v>
      </c>
      <c r="F97" s="4650" t="s">
        <v>7217</v>
      </c>
    </row>
    <row r="98" spans="2:6" ht="12.75">
      <c r="B98" s="4512" t="s">
        <v>7206</v>
      </c>
      <c r="C98" s="4580" t="s">
        <v>3787</v>
      </c>
      <c r="D98" s="4497">
        <v>28840</v>
      </c>
      <c r="E98" s="4497"/>
      <c r="F98" s="4650"/>
    </row>
    <row r="99" spans="2:6" ht="12.75">
      <c r="B99" s="4507" t="s">
        <v>7207</v>
      </c>
      <c r="C99" s="4580" t="s">
        <v>7208</v>
      </c>
      <c r="D99" s="4508">
        <v>639186.31000000006</v>
      </c>
      <c r="E99" s="4497"/>
      <c r="F99" s="4650"/>
    </row>
    <row r="100" spans="2:6" ht="12.75">
      <c r="B100" s="4507" t="s">
        <v>6737</v>
      </c>
      <c r="C100" s="4580" t="s">
        <v>671</v>
      </c>
      <c r="D100" s="4497"/>
      <c r="E100" s="4497">
        <v>87.4</v>
      </c>
      <c r="F100" s="4650"/>
    </row>
    <row r="101" spans="2:6" ht="12.75">
      <c r="B101" s="4507" t="s">
        <v>5717</v>
      </c>
      <c r="C101" s="4580" t="s">
        <v>39</v>
      </c>
      <c r="D101" s="4511"/>
      <c r="E101" s="4497">
        <v>2075957.83</v>
      </c>
      <c r="F101" s="4650"/>
    </row>
    <row r="102" spans="2:6" ht="12.75">
      <c r="B102" s="4483" t="s">
        <v>5283</v>
      </c>
      <c r="C102" s="4580" t="s">
        <v>39</v>
      </c>
      <c r="D102" s="4497">
        <f>1097.6</f>
        <v>1097.5999999999999</v>
      </c>
      <c r="E102" s="4497">
        <v>2251.1999999999998</v>
      </c>
      <c r="F102" s="4650"/>
    </row>
    <row r="103" spans="2:6" ht="12.75">
      <c r="B103" s="4483" t="s">
        <v>4825</v>
      </c>
      <c r="C103" s="4580" t="s">
        <v>40</v>
      </c>
      <c r="D103" s="4497">
        <v>500</v>
      </c>
      <c r="E103" s="4497">
        <f>1930.27+1097.6</f>
        <v>3027.87</v>
      </c>
      <c r="F103" s="4650"/>
    </row>
    <row r="104" spans="2:6" ht="12.75">
      <c r="B104" s="4507" t="s">
        <v>7209</v>
      </c>
      <c r="C104" s="4580" t="s">
        <v>5812</v>
      </c>
      <c r="D104" s="4508">
        <v>369996</v>
      </c>
      <c r="E104" s="4497"/>
      <c r="F104" s="4650"/>
    </row>
    <row r="105" spans="2:6" ht="12.75">
      <c r="B105" s="4483" t="s">
        <v>6745</v>
      </c>
      <c r="C105" s="4580" t="s">
        <v>6746</v>
      </c>
      <c r="D105" s="4497">
        <v>4000</v>
      </c>
      <c r="E105" s="4497"/>
      <c r="F105" s="4650" t="s">
        <v>7223</v>
      </c>
    </row>
    <row r="106" spans="2:6" ht="38.25">
      <c r="B106" s="4524"/>
      <c r="C106" s="4581" t="s">
        <v>6787</v>
      </c>
      <c r="D106" s="1538">
        <f>SUM(D81:D105)</f>
        <v>1828726.9800000002</v>
      </c>
      <c r="E106" s="1538">
        <f>SUM(E81:E105)</f>
        <v>3351395.2500000005</v>
      </c>
      <c r="F106" s="4503"/>
    </row>
    <row r="107" spans="2:6" ht="12.75">
      <c r="B107" s="4525"/>
      <c r="C107" s="4584"/>
      <c r="D107" s="4503"/>
      <c r="E107" s="1539"/>
      <c r="F107" s="4503"/>
    </row>
    <row r="108" spans="2:6" ht="12.75">
      <c r="B108" s="4527"/>
      <c r="C108" s="4585"/>
      <c r="E108" s="1539"/>
      <c r="F108" s="4503"/>
    </row>
    <row r="109" spans="2:6" ht="38.25">
      <c r="B109" s="4528" t="s">
        <v>7</v>
      </c>
      <c r="C109" s="4586" t="s">
        <v>6505</v>
      </c>
      <c r="D109" s="4489" t="s">
        <v>6678</v>
      </c>
      <c r="E109" s="4489" t="s">
        <v>6679</v>
      </c>
      <c r="F109" s="4648" t="s">
        <v>7215</v>
      </c>
    </row>
    <row r="110" spans="2:6" ht="12.75">
      <c r="B110" s="4530" t="s">
        <v>6616</v>
      </c>
      <c r="C110" s="4587" t="s">
        <v>6617</v>
      </c>
      <c r="D110" s="4522"/>
      <c r="E110" s="4522"/>
      <c r="F110" s="4498"/>
    </row>
    <row r="111" spans="2:6" ht="12.75">
      <c r="B111" s="4507" t="s">
        <v>5012</v>
      </c>
      <c r="C111" s="4580" t="s">
        <v>6791</v>
      </c>
      <c r="D111" s="4497">
        <f>1398.86+500+2000</f>
        <v>3898.8599999999997</v>
      </c>
      <c r="E111" s="4497">
        <f>7523+2436.98</f>
        <v>9959.98</v>
      </c>
      <c r="F111" s="4650" t="s">
        <v>7217</v>
      </c>
    </row>
    <row r="112" spans="2:6" ht="12.75">
      <c r="B112" s="4509" t="s">
        <v>5020</v>
      </c>
      <c r="C112" s="4579" t="s">
        <v>6791</v>
      </c>
      <c r="D112" s="4497">
        <f>2352+5000</f>
        <v>7352</v>
      </c>
      <c r="E112" s="4497"/>
      <c r="F112" s="4650" t="s">
        <v>7218</v>
      </c>
    </row>
    <row r="113" spans="1:6" ht="12.75">
      <c r="B113" s="4507" t="s">
        <v>6768</v>
      </c>
      <c r="C113" s="4580" t="s">
        <v>30</v>
      </c>
      <c r="D113" s="4508">
        <f>2200+1000</f>
        <v>3200</v>
      </c>
      <c r="E113" s="4497">
        <v>94</v>
      </c>
      <c r="F113" s="4650" t="s">
        <v>7217</v>
      </c>
    </row>
    <row r="114" spans="1:6" ht="32.25" customHeight="1">
      <c r="B114" s="4507" t="s">
        <v>6699</v>
      </c>
      <c r="C114" s="4579" t="s">
        <v>281</v>
      </c>
      <c r="D114" s="4497"/>
      <c r="E114" s="4497">
        <f>104473.73+210+25570</f>
        <v>130253.73</v>
      </c>
      <c r="F114" s="4650"/>
    </row>
    <row r="115" spans="1:6" ht="32.25" customHeight="1">
      <c r="B115" s="4509" t="s">
        <v>6700</v>
      </c>
      <c r="C115" s="4579" t="s">
        <v>281</v>
      </c>
      <c r="D115" s="4497">
        <v>31960.45</v>
      </c>
      <c r="E115" s="4497"/>
      <c r="F115" s="4650" t="s">
        <v>7218</v>
      </c>
    </row>
    <row r="116" spans="1:6" ht="32.25" customHeight="1">
      <c r="B116" s="4483" t="s">
        <v>6701</v>
      </c>
      <c r="C116" s="4579" t="s">
        <v>281</v>
      </c>
      <c r="D116" s="4497"/>
      <c r="E116" s="4497">
        <v>651.45000000000005</v>
      </c>
      <c r="F116" s="4650"/>
    </row>
    <row r="117" spans="1:6" ht="25.5">
      <c r="B117" s="4483" t="s">
        <v>6706</v>
      </c>
      <c r="C117" s="4580" t="s">
        <v>505</v>
      </c>
      <c r="D117" s="4497">
        <v>5860.96</v>
      </c>
      <c r="E117" s="4497">
        <v>10208.48</v>
      </c>
      <c r="F117" s="4650"/>
    </row>
    <row r="118" spans="1:6" ht="12.75">
      <c r="B118" s="4507" t="s">
        <v>6625</v>
      </c>
      <c r="C118" s="4580" t="s">
        <v>32</v>
      </c>
      <c r="D118" s="4497">
        <v>2800</v>
      </c>
      <c r="E118" s="4497">
        <v>1680</v>
      </c>
      <c r="F118" s="4650" t="s">
        <v>7217</v>
      </c>
    </row>
    <row r="119" spans="1:6" ht="25.5">
      <c r="B119" s="4507" t="s">
        <v>6829</v>
      </c>
      <c r="C119" s="4580" t="s">
        <v>1665</v>
      </c>
      <c r="D119" s="4497"/>
      <c r="E119" s="4497">
        <v>1953.1</v>
      </c>
      <c r="F119" s="4650" t="s">
        <v>7217</v>
      </c>
    </row>
    <row r="120" spans="1:6" ht="25.5">
      <c r="B120" s="4509" t="s">
        <v>5097</v>
      </c>
      <c r="C120" s="4580" t="s">
        <v>1665</v>
      </c>
      <c r="D120" s="4508">
        <f>2000+7056+4360.68+5738</f>
        <v>19154.68</v>
      </c>
      <c r="E120" s="4508">
        <f>360+6405.28+2352+1184.96+12732.16</f>
        <v>23034.399999999998</v>
      </c>
      <c r="F120" s="4650" t="s">
        <v>7226</v>
      </c>
    </row>
    <row r="121" spans="1:6" ht="12.75">
      <c r="B121" s="4507" t="s">
        <v>6774</v>
      </c>
      <c r="C121" s="4580" t="s">
        <v>6806</v>
      </c>
      <c r="D121" s="4497"/>
      <c r="E121" s="4497">
        <v>590</v>
      </c>
      <c r="F121" s="4650" t="s">
        <v>7217</v>
      </c>
    </row>
    <row r="122" spans="1:6" s="4533" customFormat="1" ht="25.5">
      <c r="B122" s="4509" t="s">
        <v>5257</v>
      </c>
      <c r="C122" s="4580" t="s">
        <v>1667</v>
      </c>
      <c r="D122" s="4497">
        <v>2500</v>
      </c>
      <c r="E122" s="4497">
        <f>5716.8+4190</f>
        <v>9906.7999999999993</v>
      </c>
      <c r="F122" s="4650" t="s">
        <v>7227</v>
      </c>
    </row>
    <row r="123" spans="1:6" s="4533" customFormat="1" ht="12.75">
      <c r="B123" s="4509" t="s">
        <v>6660</v>
      </c>
      <c r="C123" s="4580" t="s">
        <v>39</v>
      </c>
      <c r="D123" s="4497"/>
      <c r="E123" s="4497">
        <v>2240</v>
      </c>
      <c r="F123" s="4650" t="s">
        <v>7218</v>
      </c>
    </row>
    <row r="124" spans="1:6" ht="12.75">
      <c r="A124" s="4533"/>
      <c r="B124" s="4509" t="s">
        <v>5399</v>
      </c>
      <c r="C124" s="4580" t="s">
        <v>4163</v>
      </c>
      <c r="D124" s="4497"/>
      <c r="E124" s="4497">
        <v>1680</v>
      </c>
      <c r="F124" s="4650" t="s">
        <v>7218</v>
      </c>
    </row>
    <row r="125" spans="1:6" ht="12.75">
      <c r="B125" s="4509" t="s">
        <v>6661</v>
      </c>
      <c r="C125" s="4580" t="s">
        <v>40</v>
      </c>
      <c r="D125" s="4508">
        <v>1662.5</v>
      </c>
      <c r="E125" s="4497"/>
      <c r="F125" s="4650" t="s">
        <v>7218</v>
      </c>
    </row>
    <row r="126" spans="1:6" ht="12.75">
      <c r="B126" s="4507" t="s">
        <v>6581</v>
      </c>
      <c r="C126" s="4580" t="s">
        <v>6816</v>
      </c>
      <c r="D126" s="4497">
        <v>26116.86</v>
      </c>
      <c r="E126" s="4497"/>
      <c r="F126" s="4650" t="s">
        <v>7217</v>
      </c>
    </row>
    <row r="127" spans="1:6" ht="12.75">
      <c r="B127" s="4512" t="s">
        <v>6820</v>
      </c>
      <c r="C127" s="4580" t="s">
        <v>2742</v>
      </c>
      <c r="D127" s="4497">
        <v>316079.06</v>
      </c>
      <c r="E127" s="4513"/>
      <c r="F127" s="4650"/>
    </row>
    <row r="128" spans="1:6" ht="12.75">
      <c r="B128" s="4483" t="s">
        <v>7210</v>
      </c>
      <c r="C128" s="4580" t="s">
        <v>3787</v>
      </c>
      <c r="D128" s="4497">
        <v>62540.299559999999</v>
      </c>
      <c r="E128" s="4513"/>
      <c r="F128" s="4650"/>
    </row>
    <row r="129" spans="2:6" ht="12.75">
      <c r="B129" s="4507" t="s">
        <v>7211</v>
      </c>
      <c r="C129" s="4580" t="s">
        <v>4106</v>
      </c>
      <c r="D129" s="4497">
        <v>1563507.51</v>
      </c>
      <c r="E129" s="4513"/>
      <c r="F129" s="4650"/>
    </row>
    <row r="130" spans="2:6" ht="12.75">
      <c r="B130" s="4483" t="s">
        <v>5694</v>
      </c>
      <c r="C130" s="4580" t="s">
        <v>591</v>
      </c>
      <c r="D130" s="4497"/>
      <c r="E130" s="4513">
        <v>756.08</v>
      </c>
      <c r="F130" s="4650"/>
    </row>
    <row r="131" spans="2:6" ht="12.75">
      <c r="B131" s="4507" t="s">
        <v>5717</v>
      </c>
      <c r="C131" s="4580" t="s">
        <v>39</v>
      </c>
      <c r="D131" s="4497">
        <f>776+112+24700+29760</f>
        <v>55348</v>
      </c>
      <c r="E131" s="4497">
        <f>745.74+108.8+1691.2+1915.2+1915.2+500+1120+6057.97</f>
        <v>14054.11</v>
      </c>
      <c r="F131" s="4650"/>
    </row>
    <row r="132" spans="2:6" ht="13.5" customHeight="1">
      <c r="B132" s="4509" t="s">
        <v>5252</v>
      </c>
      <c r="C132" s="4580" t="s">
        <v>39</v>
      </c>
      <c r="D132" s="4497">
        <v>28605.919999999998</v>
      </c>
      <c r="E132" s="4497"/>
      <c r="F132" s="4650" t="s">
        <v>7222</v>
      </c>
    </row>
    <row r="133" spans="2:6" ht="12.75">
      <c r="B133" s="4483" t="s">
        <v>5283</v>
      </c>
      <c r="C133" s="4580" t="s">
        <v>39</v>
      </c>
      <c r="D133" s="4513">
        <f>27791.68+2576</f>
        <v>30367.68</v>
      </c>
      <c r="E133" s="4497">
        <f>62.5+120+4000+4320+12762.4+500+3255.54+1456.87+1691.2+1691.2+4631.75</f>
        <v>34491.460000000006</v>
      </c>
      <c r="F133" s="4650"/>
    </row>
    <row r="134" spans="2:6" ht="13.5" customHeight="1">
      <c r="B134" s="4509" t="s">
        <v>6743</v>
      </c>
      <c r="C134" s="4580" t="s">
        <v>40</v>
      </c>
      <c r="D134" s="4497">
        <v>119296.8</v>
      </c>
      <c r="E134" s="4497"/>
      <c r="F134" s="4650" t="s">
        <v>7222</v>
      </c>
    </row>
    <row r="135" spans="2:6" ht="12.75">
      <c r="B135" s="4483" t="s">
        <v>4825</v>
      </c>
      <c r="C135" s="4580" t="s">
        <v>40</v>
      </c>
      <c r="D135" s="4508">
        <f>30329.6+500+8587.38</f>
        <v>39416.979999999996</v>
      </c>
      <c r="E135" s="4508">
        <f>21336+512+1782.22+189.84+833.76+138.96+159+2800</f>
        <v>27751.78</v>
      </c>
      <c r="F135" s="4650"/>
    </row>
    <row r="136" spans="2:6" ht="12.75">
      <c r="B136" s="4512" t="s">
        <v>6824</v>
      </c>
      <c r="C136" s="4580" t="s">
        <v>40</v>
      </c>
      <c r="D136" s="4513"/>
      <c r="E136" s="4513">
        <v>414919.06</v>
      </c>
      <c r="F136" s="4650"/>
    </row>
    <row r="137" spans="2:6" ht="12.75">
      <c r="B137" s="4483" t="s">
        <v>6825</v>
      </c>
      <c r="C137" s="4580" t="s">
        <v>37</v>
      </c>
      <c r="D137" s="4513"/>
      <c r="E137" s="4513">
        <v>2800</v>
      </c>
      <c r="F137" s="4650"/>
    </row>
    <row r="138" spans="2:6" ht="25.5">
      <c r="B138" s="4524"/>
      <c r="C138" s="4581" t="s">
        <v>6636</v>
      </c>
      <c r="D138" s="1537">
        <f>SUM(D111:D137)</f>
        <v>2319668.55956</v>
      </c>
      <c r="E138" s="1537">
        <f>SUM(E111:E137)</f>
        <v>687024.42999999993</v>
      </c>
      <c r="F138" s="4503"/>
    </row>
    <row r="139" spans="2:6" ht="12.75">
      <c r="B139" s="4538"/>
      <c r="C139" s="4588"/>
      <c r="D139" s="1567"/>
      <c r="E139" s="1567"/>
      <c r="F139" s="4503"/>
    </row>
    <row r="140" spans="2:6" ht="12.75">
      <c r="B140" s="4541"/>
      <c r="C140" s="4588"/>
      <c r="D140" s="1567"/>
      <c r="E140" s="1567"/>
      <c r="F140" s="4503"/>
    </row>
    <row r="141" spans="2:6" ht="38.25">
      <c r="B141" s="4528" t="s">
        <v>7</v>
      </c>
      <c r="C141" s="4586" t="s">
        <v>6505</v>
      </c>
      <c r="D141" s="4489" t="s">
        <v>6678</v>
      </c>
      <c r="E141" s="4489" t="s">
        <v>6679</v>
      </c>
      <c r="F141" s="4648" t="s">
        <v>7215</v>
      </c>
    </row>
    <row r="142" spans="2:6" ht="25.5">
      <c r="B142" s="4530" t="s">
        <v>6637</v>
      </c>
      <c r="C142" s="4587" t="s">
        <v>6638</v>
      </c>
      <c r="D142" s="4522"/>
      <c r="E142" s="4522"/>
      <c r="F142" s="4650"/>
    </row>
    <row r="143" spans="2:6" ht="12.75">
      <c r="B143" s="4509" t="s">
        <v>5020</v>
      </c>
      <c r="C143" s="4589" t="s">
        <v>6791</v>
      </c>
      <c r="D143" s="4497"/>
      <c r="E143" s="4497">
        <v>15000</v>
      </c>
      <c r="F143" s="4650" t="s">
        <v>7218</v>
      </c>
    </row>
    <row r="144" spans="2:6" ht="12.75">
      <c r="B144" s="4509" t="s">
        <v>6766</v>
      </c>
      <c r="C144" s="4580" t="s">
        <v>6826</v>
      </c>
      <c r="D144" s="4497"/>
      <c r="E144" s="4497">
        <v>817</v>
      </c>
      <c r="F144" s="4650" t="s">
        <v>7218</v>
      </c>
    </row>
    <row r="145" spans="1:6" ht="12.75">
      <c r="B145" s="4509" t="s">
        <v>6624</v>
      </c>
      <c r="C145" s="4580" t="s">
        <v>2507</v>
      </c>
      <c r="D145" s="4497"/>
      <c r="E145" s="4497">
        <v>5000</v>
      </c>
      <c r="F145" s="4650" t="s">
        <v>7218</v>
      </c>
    </row>
    <row r="146" spans="1:6" ht="25.5">
      <c r="B146" s="4507" t="s">
        <v>6829</v>
      </c>
      <c r="C146" s="4580" t="s">
        <v>33</v>
      </c>
      <c r="D146" s="4508">
        <v>15800</v>
      </c>
      <c r="E146" s="4497">
        <v>1398.86</v>
      </c>
      <c r="F146" s="4650" t="s">
        <v>7217</v>
      </c>
    </row>
    <row r="147" spans="1:6" ht="25.5">
      <c r="B147" s="4509" t="s">
        <v>5097</v>
      </c>
      <c r="C147" s="4580" t="s">
        <v>33</v>
      </c>
      <c r="D147" s="4508">
        <v>3300</v>
      </c>
      <c r="E147" s="4497"/>
      <c r="F147" s="4650" t="s">
        <v>7218</v>
      </c>
    </row>
    <row r="148" spans="1:6" ht="12.75">
      <c r="B148" s="4509" t="s">
        <v>6713</v>
      </c>
      <c r="C148" s="4580" t="s">
        <v>2003</v>
      </c>
      <c r="D148" s="4508">
        <f>925.12</f>
        <v>925.12</v>
      </c>
      <c r="E148" s="4497">
        <v>60</v>
      </c>
      <c r="F148" s="4650" t="s">
        <v>7218</v>
      </c>
    </row>
    <row r="149" spans="1:6" ht="12.75">
      <c r="B149" s="4509" t="s">
        <v>6659</v>
      </c>
      <c r="C149" s="4589" t="s">
        <v>671</v>
      </c>
      <c r="D149" s="4513"/>
      <c r="E149" s="4497">
        <f>41.11+793.19</f>
        <v>834.30000000000007</v>
      </c>
      <c r="F149" s="4650" t="s">
        <v>7218</v>
      </c>
    </row>
    <row r="150" spans="1:6" ht="12.75">
      <c r="B150" s="4512" t="s">
        <v>7212</v>
      </c>
      <c r="C150" s="4579" t="s">
        <v>761</v>
      </c>
      <c r="D150" s="4497">
        <v>70000</v>
      </c>
      <c r="E150" s="4497"/>
      <c r="F150" s="4650"/>
    </row>
    <row r="151" spans="1:6" ht="12.75">
      <c r="B151" s="4509" t="s">
        <v>6738</v>
      </c>
      <c r="C151" s="4589" t="s">
        <v>671</v>
      </c>
      <c r="D151" s="4513">
        <v>804.2</v>
      </c>
      <c r="E151" s="4497"/>
      <c r="F151" s="4650" t="s">
        <v>7222</v>
      </c>
    </row>
    <row r="152" spans="1:6" ht="12.75">
      <c r="B152" s="4483" t="s">
        <v>5694</v>
      </c>
      <c r="C152" s="4589" t="s">
        <v>671</v>
      </c>
      <c r="D152" s="4513"/>
      <c r="E152" s="4497">
        <v>301.2</v>
      </c>
      <c r="F152" s="4650"/>
    </row>
    <row r="153" spans="1:6" ht="12.75">
      <c r="B153" s="4507" t="s">
        <v>5717</v>
      </c>
      <c r="C153" s="4580" t="s">
        <v>39</v>
      </c>
      <c r="D153" s="4513">
        <v>260.95999999999998</v>
      </c>
      <c r="E153" s="4497">
        <v>2442.4699999999998</v>
      </c>
      <c r="F153" s="4650"/>
    </row>
    <row r="154" spans="1:6" ht="12.75">
      <c r="B154" s="4483" t="s">
        <v>5283</v>
      </c>
      <c r="C154" s="4580" t="s">
        <v>39</v>
      </c>
      <c r="D154" s="4513">
        <f>4032+10.21</f>
        <v>4042.21</v>
      </c>
      <c r="E154" s="4497">
        <f>373+1344+260.96+72.8+126.02+293.48+164.24</f>
        <v>2634.5</v>
      </c>
      <c r="F154" s="4650"/>
    </row>
    <row r="155" spans="1:6" ht="12.75">
      <c r="B155" s="4483" t="s">
        <v>4825</v>
      </c>
      <c r="C155" s="4580" t="s">
        <v>40</v>
      </c>
      <c r="D155" s="4497">
        <v>1344</v>
      </c>
      <c r="E155" s="4497">
        <f>840+318+48+4032</f>
        <v>5238</v>
      </c>
      <c r="F155" s="4650"/>
    </row>
    <row r="156" spans="1:6" s="4475" customFormat="1" ht="12.75">
      <c r="A156" s="4476"/>
      <c r="B156" s="4483" t="s">
        <v>6586</v>
      </c>
      <c r="C156" s="4589" t="s">
        <v>5430</v>
      </c>
      <c r="D156" s="4497"/>
      <c r="E156" s="4497">
        <v>482.23</v>
      </c>
      <c r="F156" s="4650"/>
    </row>
    <row r="157" spans="1:6" s="4475" customFormat="1" ht="25.5">
      <c r="A157" s="4476"/>
      <c r="B157" s="4524"/>
      <c r="C157" s="4590" t="s">
        <v>6832</v>
      </c>
      <c r="D157" s="1537">
        <f>SUM(D143:D156)</f>
        <v>96476.49</v>
      </c>
      <c r="E157" s="1537">
        <f>SUM(E143:E156)</f>
        <v>34208.560000000005</v>
      </c>
    </row>
    <row r="158" spans="1:6" s="4475" customFormat="1" ht="12.75">
      <c r="A158" s="4476"/>
      <c r="B158" s="4544"/>
      <c r="C158" s="4581" t="s">
        <v>6833</v>
      </c>
      <c r="D158" s="4506">
        <f>+D76+D106+D138+D157</f>
        <v>4857497.2295600008</v>
      </c>
      <c r="E158" s="4506">
        <f>+E76+E106+E138+E157</f>
        <v>4845098.05</v>
      </c>
    </row>
    <row r="159" spans="1:6" s="4475" customFormat="1" ht="12.75">
      <c r="A159" s="4476"/>
      <c r="B159" s="4476"/>
      <c r="C159" s="4591"/>
      <c r="D159" s="4547"/>
      <c r="E159" s="4547"/>
    </row>
    <row r="160" spans="1:6" s="4475" customFormat="1" ht="12.75">
      <c r="A160" s="4476"/>
      <c r="B160" s="4548"/>
      <c r="C160" s="4592"/>
      <c r="D160" s="4549"/>
      <c r="E160" s="1584" t="s">
        <v>7213</v>
      </c>
      <c r="F160" s="4551"/>
    </row>
    <row r="161" spans="1:5" s="4475" customFormat="1" ht="12.75">
      <c r="A161" s="4476"/>
      <c r="B161" s="4548"/>
      <c r="C161" s="4592"/>
      <c r="D161" s="4549"/>
      <c r="E161" s="4549"/>
    </row>
    <row r="162" spans="1:5" s="4475" customFormat="1" ht="12.75">
      <c r="A162" s="4476"/>
      <c r="B162" s="4548"/>
      <c r="C162" s="4592"/>
      <c r="D162" s="4549"/>
      <c r="E162" s="4548"/>
    </row>
    <row r="163" spans="1:5" s="4475" customFormat="1" ht="12.75">
      <c r="A163" s="4476"/>
      <c r="B163" s="4548" t="s">
        <v>6835</v>
      </c>
      <c r="C163" s="4593"/>
      <c r="E163" s="4548"/>
    </row>
    <row r="164" spans="1:5" ht="12.75">
      <c r="B164" s="4548" t="s">
        <v>6836</v>
      </c>
      <c r="C164" s="4594"/>
      <c r="D164" s="4548"/>
      <c r="E164" s="4548"/>
    </row>
    <row r="165" spans="1:5" ht="12.75">
      <c r="B165" s="4548"/>
      <c r="C165" s="4594"/>
      <c r="D165" s="4548"/>
      <c r="E165" s="4548"/>
    </row>
  </sheetData>
  <mergeCells count="3">
    <mergeCell ref="B1:D1"/>
    <mergeCell ref="B2:D2"/>
    <mergeCell ref="B6:C6"/>
  </mergeCells>
  <printOptions horizontalCentered="1"/>
  <pageMargins left="0.23622047244094491" right="0.23622047244094491" top="0.74803149606299213" bottom="0.74803149606299213" header="0.31496062992125984" footer="0.31496062992125984"/>
  <pageSetup fitToHeight="0" orientation="portrait" horizontalDpi="300" verticalDpi="300" r:id="rId1"/>
  <headerFooter>
    <oddFooter>&amp;C&amp;"Century Schoolbook,Normal"&amp;P</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AF0E-C2E7-4E47-9410-CC3677AB7E4E}">
  <sheetPr>
    <pageSetUpPr fitToPage="1"/>
  </sheetPr>
  <dimension ref="A1:G63"/>
  <sheetViews>
    <sheetView showGridLines="0" zoomScaleNormal="100" workbookViewId="0"/>
  </sheetViews>
  <sheetFormatPr baseColWidth="10" defaultColWidth="12.7109375" defaultRowHeight="15" customHeight="1"/>
  <cols>
    <col min="1" max="1" width="5.7109375" style="4596" customWidth="1"/>
    <col min="2" max="2" width="35.7109375" style="4596" customWidth="1"/>
    <col min="3" max="3" width="13.140625" style="4596" customWidth="1"/>
    <col min="4" max="4" width="17.7109375" style="4596" customWidth="1"/>
    <col min="5" max="5" width="65.140625" style="4596" customWidth="1"/>
    <col min="6" max="6" width="37.5703125" style="4596" customWidth="1"/>
    <col min="7" max="16384" width="12.7109375" style="4596"/>
  </cols>
  <sheetData>
    <row r="1" spans="1:7" ht="14.25">
      <c r="A1" s="4646"/>
      <c r="B1" s="4646"/>
      <c r="C1" s="4647"/>
      <c r="D1" s="4646"/>
      <c r="E1" s="4646"/>
      <c r="F1" s="4646"/>
    </row>
    <row r="2" spans="1:7" ht="14.25">
      <c r="A2" s="4646"/>
      <c r="B2" s="4646"/>
      <c r="C2" s="4647"/>
      <c r="D2" s="4646"/>
      <c r="E2" s="4646"/>
      <c r="F2" s="4646"/>
    </row>
    <row r="3" spans="1:7" ht="14.25">
      <c r="A3" s="4646"/>
      <c r="B3" s="4646"/>
      <c r="C3" s="4647"/>
      <c r="D3" s="4646"/>
      <c r="E3" s="4646"/>
      <c r="F3" s="4646"/>
    </row>
    <row r="4" spans="1:7" ht="14.25">
      <c r="A4" s="4646"/>
      <c r="B4" s="4646"/>
      <c r="C4" s="4647"/>
      <c r="D4" s="4646"/>
      <c r="E4" s="4646"/>
      <c r="F4" s="4646"/>
    </row>
    <row r="5" spans="1:7" ht="14.25">
      <c r="A5" s="4646"/>
      <c r="B5" s="4646"/>
      <c r="C5" s="4647"/>
      <c r="D5" s="4646"/>
      <c r="E5" s="4646"/>
      <c r="F5" s="4646"/>
    </row>
    <row r="6" spans="1:7" ht="23.25">
      <c r="A6" s="11409" t="s">
        <v>0</v>
      </c>
      <c r="B6" s="11410"/>
      <c r="C6" s="11410"/>
      <c r="D6" s="11410"/>
      <c r="E6" s="11410"/>
      <c r="F6" s="11410"/>
    </row>
    <row r="7" spans="1:7" ht="19.5">
      <c r="A7" s="11411" t="s">
        <v>1</v>
      </c>
      <c r="B7" s="11412"/>
      <c r="C7" s="11412"/>
      <c r="D7" s="11412"/>
      <c r="E7" s="11412"/>
      <c r="F7" s="11412"/>
    </row>
    <row r="8" spans="1:7" ht="18.75">
      <c r="A8" s="11413" t="s">
        <v>662</v>
      </c>
      <c r="B8" s="11410"/>
      <c r="C8" s="11410"/>
      <c r="D8" s="11410"/>
      <c r="E8" s="11410"/>
      <c r="F8" s="11410"/>
    </row>
    <row r="9" spans="1:7" ht="14.25">
      <c r="A9" s="4646"/>
      <c r="B9" s="4646"/>
      <c r="C9" s="4647"/>
      <c r="D9" s="4646"/>
      <c r="E9" s="4646"/>
      <c r="F9" s="4646"/>
    </row>
    <row r="10" spans="1:7" ht="20.25">
      <c r="A10" s="11414" t="s">
        <v>7228</v>
      </c>
      <c r="B10" s="11410"/>
      <c r="C10" s="11410"/>
      <c r="D10" s="11410"/>
      <c r="E10" s="11410"/>
      <c r="F10" s="11410"/>
    </row>
    <row r="11" spans="1:7">
      <c r="A11" s="4598"/>
      <c r="B11" s="4598"/>
      <c r="C11" s="4599"/>
      <c r="D11" s="4598"/>
      <c r="E11" s="4598"/>
      <c r="F11" s="4598"/>
    </row>
    <row r="12" spans="1:7" ht="39" customHeight="1">
      <c r="A12" s="4644" t="s">
        <v>6854</v>
      </c>
      <c r="B12" s="4643" t="s">
        <v>7229</v>
      </c>
      <c r="C12" s="4645" t="s">
        <v>6856</v>
      </c>
      <c r="D12" s="4643" t="s">
        <v>4</v>
      </c>
      <c r="E12" s="4644" t="s">
        <v>6858</v>
      </c>
      <c r="F12" s="4643" t="s">
        <v>6859</v>
      </c>
    </row>
    <row r="13" spans="1:7" ht="123" customHeight="1">
      <c r="A13" s="4613">
        <v>1</v>
      </c>
      <c r="B13" s="4628" t="s">
        <v>7230</v>
      </c>
      <c r="C13" s="4612">
        <v>45111</v>
      </c>
      <c r="D13" s="4611" t="s">
        <v>7148</v>
      </c>
      <c r="E13" s="4609" t="s">
        <v>7231</v>
      </c>
      <c r="F13" s="4626" t="s">
        <v>7232</v>
      </c>
      <c r="G13" s="4604"/>
    </row>
    <row r="14" spans="1:7" ht="113.25" customHeight="1">
      <c r="A14" s="4613">
        <v>2</v>
      </c>
      <c r="B14" s="4628" t="s">
        <v>7233</v>
      </c>
      <c r="C14" s="4612">
        <v>45113</v>
      </c>
      <c r="D14" s="4611" t="s">
        <v>7028</v>
      </c>
      <c r="E14" s="4628" t="s">
        <v>7234</v>
      </c>
      <c r="F14" s="4609" t="s">
        <v>6891</v>
      </c>
      <c r="G14" s="4604"/>
    </row>
    <row r="15" spans="1:7" ht="225.75" customHeight="1">
      <c r="A15" s="4613">
        <v>3</v>
      </c>
      <c r="B15" s="4628" t="s">
        <v>7235</v>
      </c>
      <c r="C15" s="4612" t="s">
        <v>7236</v>
      </c>
      <c r="D15" s="4640" t="s">
        <v>7089</v>
      </c>
      <c r="E15" s="4628" t="s">
        <v>7237</v>
      </c>
      <c r="F15" s="4626" t="s">
        <v>7238</v>
      </c>
      <c r="G15" s="4604"/>
    </row>
    <row r="16" spans="1:7" ht="77.25" customHeight="1">
      <c r="A16" s="4613">
        <v>4</v>
      </c>
      <c r="B16" s="4642" t="s">
        <v>7239</v>
      </c>
      <c r="C16" s="4641">
        <v>45125</v>
      </c>
      <c r="D16" s="4640" t="s">
        <v>7148</v>
      </c>
      <c r="E16" s="4609" t="s">
        <v>7240</v>
      </c>
      <c r="F16" s="4626" t="s">
        <v>6891</v>
      </c>
      <c r="G16" s="4604"/>
    </row>
    <row r="17" spans="1:7" ht="111" customHeight="1">
      <c r="A17" s="4613">
        <v>5</v>
      </c>
      <c r="B17" s="4642" t="s">
        <v>7241</v>
      </c>
      <c r="C17" s="4641">
        <v>45127</v>
      </c>
      <c r="D17" s="4640" t="s">
        <v>7028</v>
      </c>
      <c r="E17" s="4628" t="s">
        <v>7242</v>
      </c>
      <c r="F17" s="4626" t="s">
        <v>6891</v>
      </c>
      <c r="G17" s="4604"/>
    </row>
    <row r="18" spans="1:7" ht="72.75" customHeight="1">
      <c r="A18" s="4613">
        <v>6</v>
      </c>
      <c r="B18" s="4639" t="s">
        <v>7243</v>
      </c>
      <c r="C18" s="4638">
        <v>45126</v>
      </c>
      <c r="D18" s="4615" t="s">
        <v>6918</v>
      </c>
      <c r="E18" s="4628" t="s">
        <v>7244</v>
      </c>
      <c r="F18" s="4626" t="s">
        <v>6891</v>
      </c>
      <c r="G18" s="4604"/>
    </row>
    <row r="19" spans="1:7" ht="124.5" customHeight="1">
      <c r="A19" s="4613">
        <v>7</v>
      </c>
      <c r="B19" s="4632" t="s">
        <v>7245</v>
      </c>
      <c r="C19" s="4635">
        <v>45132</v>
      </c>
      <c r="D19" s="4615" t="s">
        <v>6912</v>
      </c>
      <c r="E19" s="4632" t="s">
        <v>7246</v>
      </c>
      <c r="F19" s="4636" t="s">
        <v>6891</v>
      </c>
      <c r="G19" s="4604"/>
    </row>
    <row r="20" spans="1:7" ht="74.25" customHeight="1">
      <c r="A20" s="4613">
        <v>8</v>
      </c>
      <c r="B20" s="4637" t="s">
        <v>7247</v>
      </c>
      <c r="C20" s="4616">
        <v>45133</v>
      </c>
      <c r="D20" s="4629" t="s">
        <v>7102</v>
      </c>
      <c r="E20" s="4637" t="s">
        <v>7248</v>
      </c>
      <c r="F20" s="4636" t="s">
        <v>6891</v>
      </c>
      <c r="G20" s="4604"/>
    </row>
    <row r="21" spans="1:7" ht="77.25" customHeight="1">
      <c r="A21" s="4613">
        <v>9</v>
      </c>
      <c r="B21" s="4632" t="s">
        <v>7249</v>
      </c>
      <c r="C21" s="4616">
        <v>45134</v>
      </c>
      <c r="D21" s="4633" t="s">
        <v>6912</v>
      </c>
      <c r="E21" s="4626" t="s">
        <v>7250</v>
      </c>
      <c r="F21" s="4626" t="s">
        <v>7251</v>
      </c>
      <c r="G21" s="4604"/>
    </row>
    <row r="22" spans="1:7" ht="125.25" customHeight="1">
      <c r="A22" s="4613">
        <v>10</v>
      </c>
      <c r="B22" s="4632" t="s">
        <v>7252</v>
      </c>
      <c r="C22" s="4635">
        <v>45135</v>
      </c>
      <c r="D22" s="4633" t="s">
        <v>7105</v>
      </c>
      <c r="E22" s="4632" t="s">
        <v>7253</v>
      </c>
      <c r="F22" s="4626" t="s">
        <v>7254</v>
      </c>
      <c r="G22" s="4604"/>
    </row>
    <row r="23" spans="1:7" ht="182.25" customHeight="1">
      <c r="A23" s="4613">
        <v>11</v>
      </c>
      <c r="B23" s="4632" t="s">
        <v>7255</v>
      </c>
      <c r="C23" s="4635">
        <v>45135</v>
      </c>
      <c r="D23" s="4633" t="s">
        <v>6864</v>
      </c>
      <c r="E23" s="4626" t="s">
        <v>7256</v>
      </c>
      <c r="F23" s="4626" t="s">
        <v>7257</v>
      </c>
      <c r="G23" s="4604"/>
    </row>
    <row r="24" spans="1:7" ht="77.25" customHeight="1">
      <c r="A24" s="4613">
        <v>12</v>
      </c>
      <c r="B24" s="4634" t="s">
        <v>7258</v>
      </c>
      <c r="C24" s="4616" t="s">
        <v>7259</v>
      </c>
      <c r="D24" s="4611" t="s">
        <v>7048</v>
      </c>
      <c r="E24" s="4628" t="s">
        <v>7260</v>
      </c>
      <c r="F24" s="4632" t="s">
        <v>6891</v>
      </c>
      <c r="G24" s="4604"/>
    </row>
    <row r="25" spans="1:7" ht="145.5" customHeight="1">
      <c r="A25" s="4613">
        <v>13</v>
      </c>
      <c r="B25" s="4628" t="s">
        <v>7261</v>
      </c>
      <c r="C25" s="4616" t="s">
        <v>7262</v>
      </c>
      <c r="D25" s="4623" t="s">
        <v>6902</v>
      </c>
      <c r="E25" s="4610" t="s">
        <v>7263</v>
      </c>
      <c r="F25" s="4609" t="s">
        <v>7264</v>
      </c>
      <c r="G25" s="4604"/>
    </row>
    <row r="26" spans="1:7" ht="74.25" customHeight="1">
      <c r="A26" s="4613">
        <v>14</v>
      </c>
      <c r="B26" s="4628" t="s">
        <v>7265</v>
      </c>
      <c r="C26" s="4616">
        <v>45136</v>
      </c>
      <c r="D26" s="4633" t="s">
        <v>6864</v>
      </c>
      <c r="E26" s="4624" t="s">
        <v>7266</v>
      </c>
      <c r="F26" s="4622" t="s">
        <v>7267</v>
      </c>
      <c r="G26" s="4604"/>
    </row>
    <row r="27" spans="1:7" ht="158.25" customHeight="1">
      <c r="A27" s="4613">
        <v>15</v>
      </c>
      <c r="B27" s="4628" t="s">
        <v>7268</v>
      </c>
      <c r="C27" s="4616">
        <v>45136</v>
      </c>
      <c r="D27" s="4611" t="s">
        <v>7269</v>
      </c>
      <c r="E27" s="4624" t="s">
        <v>7270</v>
      </c>
      <c r="F27" s="4625" t="s">
        <v>6891</v>
      </c>
      <c r="G27" s="4604"/>
    </row>
    <row r="28" spans="1:7" ht="62.25" customHeight="1">
      <c r="A28" s="4613">
        <v>16</v>
      </c>
      <c r="B28" s="4628" t="s">
        <v>7271</v>
      </c>
      <c r="C28" s="4616">
        <v>45138</v>
      </c>
      <c r="D28" s="4623" t="s">
        <v>6864</v>
      </c>
      <c r="E28" s="4630" t="s">
        <v>7272</v>
      </c>
      <c r="F28" s="4625" t="s">
        <v>6891</v>
      </c>
      <c r="G28" s="4604"/>
    </row>
    <row r="29" spans="1:7" ht="129.75" customHeight="1">
      <c r="A29" s="4613">
        <v>17</v>
      </c>
      <c r="B29" s="4610" t="s">
        <v>7273</v>
      </c>
      <c r="C29" s="4616">
        <v>45138</v>
      </c>
      <c r="D29" s="4623" t="s">
        <v>6864</v>
      </c>
      <c r="E29" s="4632" t="s">
        <v>7274</v>
      </c>
      <c r="F29" s="4626" t="s">
        <v>7275</v>
      </c>
      <c r="G29" s="4604"/>
    </row>
    <row r="30" spans="1:7" ht="92.25" customHeight="1">
      <c r="A30" s="4613">
        <v>18</v>
      </c>
      <c r="B30" s="4628" t="s">
        <v>7276</v>
      </c>
      <c r="C30" s="4616" t="s">
        <v>7277</v>
      </c>
      <c r="D30" s="4631" t="s">
        <v>7052</v>
      </c>
      <c r="E30" s="4630" t="s">
        <v>7278</v>
      </c>
      <c r="F30" s="4626" t="s">
        <v>6891</v>
      </c>
      <c r="G30" s="4604"/>
    </row>
    <row r="31" spans="1:7" ht="90" customHeight="1">
      <c r="A31" s="4613">
        <v>19</v>
      </c>
      <c r="B31" s="4628" t="s">
        <v>7279</v>
      </c>
      <c r="C31" s="4616">
        <v>45138</v>
      </c>
      <c r="D31" s="4623" t="s">
        <v>6883</v>
      </c>
      <c r="E31" s="4610" t="s">
        <v>7280</v>
      </c>
      <c r="F31" s="4626" t="s">
        <v>6891</v>
      </c>
      <c r="G31" s="4604"/>
    </row>
    <row r="32" spans="1:7" ht="123" customHeight="1">
      <c r="A32" s="4613">
        <v>20</v>
      </c>
      <c r="B32" s="4628" t="s">
        <v>7281</v>
      </c>
      <c r="C32" s="4616">
        <v>45139</v>
      </c>
      <c r="D32" s="4623" t="s">
        <v>6864</v>
      </c>
      <c r="E32" s="4610" t="s">
        <v>7282</v>
      </c>
      <c r="F32" s="4625" t="s">
        <v>7283</v>
      </c>
      <c r="G32" s="4604"/>
    </row>
    <row r="33" spans="1:7" ht="60" customHeight="1">
      <c r="A33" s="4613">
        <v>21</v>
      </c>
      <c r="B33" s="4628" t="s">
        <v>7284</v>
      </c>
      <c r="C33" s="4616">
        <v>45139</v>
      </c>
      <c r="D33" s="4629" t="s">
        <v>7072</v>
      </c>
      <c r="E33" s="4626" t="s">
        <v>7285</v>
      </c>
      <c r="F33" s="4626" t="s">
        <v>6891</v>
      </c>
      <c r="G33" s="4604"/>
    </row>
    <row r="34" spans="1:7" ht="78" customHeight="1">
      <c r="A34" s="4613">
        <v>22</v>
      </c>
      <c r="B34" s="4628" t="s">
        <v>7286</v>
      </c>
      <c r="C34" s="4616">
        <v>45141</v>
      </c>
      <c r="D34" s="4623" t="s">
        <v>6870</v>
      </c>
      <c r="E34" s="4617" t="s">
        <v>7287</v>
      </c>
      <c r="F34" s="4626" t="s">
        <v>6891</v>
      </c>
      <c r="G34" s="4627"/>
    </row>
    <row r="35" spans="1:7" ht="179.25" customHeight="1">
      <c r="A35" s="4613">
        <v>23</v>
      </c>
      <c r="B35" s="4609" t="s">
        <v>7288</v>
      </c>
      <c r="C35" s="4616">
        <v>45141</v>
      </c>
      <c r="D35" s="4623" t="s">
        <v>7105</v>
      </c>
      <c r="E35" s="4610" t="s">
        <v>7289</v>
      </c>
      <c r="F35" s="4626" t="s">
        <v>6891</v>
      </c>
      <c r="G35" s="4604"/>
    </row>
    <row r="36" spans="1:7" ht="87.75" customHeight="1">
      <c r="A36" s="4613">
        <v>24</v>
      </c>
      <c r="B36" s="4609" t="s">
        <v>7290</v>
      </c>
      <c r="C36" s="4616">
        <v>45147</v>
      </c>
      <c r="D36" s="4623" t="s">
        <v>6902</v>
      </c>
      <c r="E36" s="4610" t="s">
        <v>7291</v>
      </c>
      <c r="F36" s="4625" t="s">
        <v>6891</v>
      </c>
      <c r="G36" s="4604"/>
    </row>
    <row r="37" spans="1:7" ht="59.25" customHeight="1">
      <c r="A37" s="4613">
        <v>25</v>
      </c>
      <c r="B37" s="4609" t="s">
        <v>7292</v>
      </c>
      <c r="C37" s="4616" t="s">
        <v>7293</v>
      </c>
      <c r="D37" s="4623" t="s">
        <v>7148</v>
      </c>
      <c r="E37" s="4624" t="s">
        <v>7294</v>
      </c>
      <c r="F37" s="4625" t="s">
        <v>6891</v>
      </c>
      <c r="G37" s="4604"/>
    </row>
    <row r="38" spans="1:7" ht="75.75" customHeight="1">
      <c r="A38" s="4613">
        <v>26</v>
      </c>
      <c r="B38" s="4609" t="s">
        <v>7295</v>
      </c>
      <c r="C38" s="4616" t="s">
        <v>7293</v>
      </c>
      <c r="D38" s="4623" t="s">
        <v>6883</v>
      </c>
      <c r="E38" s="4624" t="s">
        <v>7296</v>
      </c>
      <c r="F38" s="4625" t="s">
        <v>6891</v>
      </c>
      <c r="G38" s="4604"/>
    </row>
    <row r="39" spans="1:7" ht="76.5" customHeight="1">
      <c r="A39" s="4613">
        <v>27</v>
      </c>
      <c r="B39" s="4609" t="s">
        <v>7297</v>
      </c>
      <c r="C39" s="4616" t="s">
        <v>7298</v>
      </c>
      <c r="D39" s="4623" t="s">
        <v>7032</v>
      </c>
      <c r="E39" s="4624" t="s">
        <v>7299</v>
      </c>
      <c r="F39" s="4625" t="s">
        <v>7300</v>
      </c>
      <c r="G39" s="4604"/>
    </row>
    <row r="40" spans="1:7" ht="156" customHeight="1">
      <c r="A40" s="4613">
        <v>28</v>
      </c>
      <c r="B40" s="4609" t="s">
        <v>7301</v>
      </c>
      <c r="C40" s="4616" t="s">
        <v>7302</v>
      </c>
      <c r="D40" s="4623" t="s">
        <v>6918</v>
      </c>
      <c r="E40" s="4624" t="s">
        <v>7303</v>
      </c>
      <c r="F40" s="4625" t="s">
        <v>6891</v>
      </c>
      <c r="G40" s="4604"/>
    </row>
    <row r="41" spans="1:7" ht="78.75" customHeight="1">
      <c r="A41" s="4613">
        <v>29</v>
      </c>
      <c r="B41" s="4609" t="s">
        <v>7304</v>
      </c>
      <c r="C41" s="4616" t="s">
        <v>7305</v>
      </c>
      <c r="D41" s="4623" t="s">
        <v>7105</v>
      </c>
      <c r="E41" s="4624" t="s">
        <v>7306</v>
      </c>
      <c r="F41" s="4622" t="s">
        <v>6891</v>
      </c>
      <c r="G41" s="4604"/>
    </row>
    <row r="42" spans="1:7" ht="91.5" customHeight="1">
      <c r="A42" s="4613">
        <v>30</v>
      </c>
      <c r="B42" s="4609" t="s">
        <v>7307</v>
      </c>
      <c r="C42" s="4616" t="s">
        <v>7302</v>
      </c>
      <c r="D42" s="4623" t="s">
        <v>6864</v>
      </c>
      <c r="E42" s="4624" t="s">
        <v>7308</v>
      </c>
      <c r="F42" s="4622" t="s">
        <v>7309</v>
      </c>
      <c r="G42" s="4604"/>
    </row>
    <row r="43" spans="1:7" ht="71.25" customHeight="1">
      <c r="A43" s="4613">
        <v>31</v>
      </c>
      <c r="B43" s="4609" t="s">
        <v>7310</v>
      </c>
      <c r="C43" s="4616" t="s">
        <v>7311</v>
      </c>
      <c r="D43" s="4623" t="s">
        <v>6906</v>
      </c>
      <c r="E43" s="4624" t="s">
        <v>7312</v>
      </c>
      <c r="F43" s="4622" t="s">
        <v>6891</v>
      </c>
      <c r="G43" s="4604"/>
    </row>
    <row r="44" spans="1:7" ht="56.25" customHeight="1">
      <c r="A44" s="4613">
        <v>32</v>
      </c>
      <c r="B44" s="4609" t="s">
        <v>7313</v>
      </c>
      <c r="C44" s="4616" t="s">
        <v>7311</v>
      </c>
      <c r="D44" s="4623" t="s">
        <v>6864</v>
      </c>
      <c r="E44" s="4610" t="s">
        <v>7314</v>
      </c>
      <c r="F44" s="4622" t="s">
        <v>7315</v>
      </c>
      <c r="G44" s="4604"/>
    </row>
    <row r="45" spans="1:7" ht="75.75" customHeight="1">
      <c r="A45" s="4613">
        <v>33</v>
      </c>
      <c r="B45" s="4609" t="s">
        <v>7316</v>
      </c>
      <c r="C45" s="4616" t="s">
        <v>7311</v>
      </c>
      <c r="D45" s="4621" t="s">
        <v>7072</v>
      </c>
      <c r="E45" s="4620" t="s">
        <v>7317</v>
      </c>
      <c r="F45" s="4622" t="s">
        <v>6891</v>
      </c>
      <c r="G45" s="4604"/>
    </row>
    <row r="46" spans="1:7" ht="57" customHeight="1">
      <c r="A46" s="4613">
        <v>34</v>
      </c>
      <c r="B46" s="4609" t="s">
        <v>7318</v>
      </c>
      <c r="C46" s="4616" t="s">
        <v>7319</v>
      </c>
      <c r="D46" s="4621" t="s">
        <v>7063</v>
      </c>
      <c r="E46" s="4620" t="s">
        <v>7320</v>
      </c>
      <c r="F46" s="4622" t="s">
        <v>7321</v>
      </c>
      <c r="G46" s="4604"/>
    </row>
    <row r="47" spans="1:7" ht="63.75" customHeight="1">
      <c r="A47" s="4613">
        <v>35</v>
      </c>
      <c r="B47" s="4609" t="s">
        <v>7322</v>
      </c>
      <c r="C47" s="4616" t="s">
        <v>7319</v>
      </c>
      <c r="D47" s="4621" t="s">
        <v>7323</v>
      </c>
      <c r="E47" s="4620" t="s">
        <v>7324</v>
      </c>
      <c r="F47" s="4619" t="s">
        <v>7325</v>
      </c>
      <c r="G47" s="4604"/>
    </row>
    <row r="48" spans="1:7" ht="75" customHeight="1">
      <c r="A48" s="4618">
        <v>36</v>
      </c>
      <c r="B48" s="4617" t="s">
        <v>7326</v>
      </c>
      <c r="C48" s="4616" t="s">
        <v>7327</v>
      </c>
      <c r="D48" s="4615" t="s">
        <v>7096</v>
      </c>
      <c r="E48" s="4614" t="s">
        <v>7328</v>
      </c>
      <c r="F48" s="4609" t="s">
        <v>6891</v>
      </c>
      <c r="G48" s="4604"/>
    </row>
    <row r="49" spans="1:7" ht="63.75" customHeight="1">
      <c r="A49" s="4613">
        <v>37</v>
      </c>
      <c r="B49" s="4609" t="s">
        <v>7329</v>
      </c>
      <c r="C49" s="4612" t="s">
        <v>7319</v>
      </c>
      <c r="D49" s="4611" t="s">
        <v>6918</v>
      </c>
      <c r="E49" s="4610" t="s">
        <v>7330</v>
      </c>
      <c r="F49" s="4609" t="s">
        <v>6891</v>
      </c>
      <c r="G49" s="4604"/>
    </row>
    <row r="50" spans="1:7" ht="45" customHeight="1">
      <c r="A50" s="4613">
        <v>38</v>
      </c>
      <c r="B50" s="4609" t="s">
        <v>7331</v>
      </c>
      <c r="C50" s="4612" t="s">
        <v>7327</v>
      </c>
      <c r="D50" s="4611" t="s">
        <v>6864</v>
      </c>
      <c r="E50" s="4610" t="s">
        <v>7332</v>
      </c>
      <c r="F50" s="4609" t="s">
        <v>7333</v>
      </c>
      <c r="G50" s="4604"/>
    </row>
    <row r="51" spans="1:7" ht="45" customHeight="1">
      <c r="A51" s="4613">
        <v>39</v>
      </c>
      <c r="B51" s="4609" t="s">
        <v>7334</v>
      </c>
      <c r="C51" s="4612" t="s">
        <v>7335</v>
      </c>
      <c r="D51" s="4611" t="s">
        <v>6874</v>
      </c>
      <c r="E51" s="4610" t="s">
        <v>7336</v>
      </c>
      <c r="F51" s="4609" t="s">
        <v>7333</v>
      </c>
      <c r="G51" s="4604"/>
    </row>
    <row r="52" spans="1:7" ht="41.25" customHeight="1">
      <c r="A52" s="4613">
        <v>40</v>
      </c>
      <c r="B52" s="4609" t="s">
        <v>7337</v>
      </c>
      <c r="C52" s="4612" t="s">
        <v>7335</v>
      </c>
      <c r="D52" s="4611" t="s">
        <v>6902</v>
      </c>
      <c r="E52" s="4610" t="s">
        <v>7338</v>
      </c>
      <c r="F52" s="4609" t="s">
        <v>7333</v>
      </c>
      <c r="G52" s="4604"/>
    </row>
    <row r="53" spans="1:7" ht="21" customHeight="1">
      <c r="A53" s="4600" t="s">
        <v>7339</v>
      </c>
      <c r="B53" s="4605"/>
      <c r="C53" s="4608"/>
      <c r="D53" s="4607"/>
      <c r="E53" s="4606"/>
      <c r="F53" s="4605"/>
      <c r="G53" s="4604"/>
    </row>
    <row r="54" spans="1:7" ht="16.5" customHeight="1">
      <c r="A54" s="4603" t="s">
        <v>7340</v>
      </c>
      <c r="B54" s="4602"/>
      <c r="C54" s="4599"/>
      <c r="D54" s="4598"/>
      <c r="E54" s="4598"/>
      <c r="F54" s="4598"/>
    </row>
    <row r="55" spans="1:7" ht="15.75" customHeight="1">
      <c r="A55" s="4603" t="s">
        <v>7197</v>
      </c>
      <c r="B55" s="4602"/>
      <c r="C55" s="4599"/>
      <c r="D55" s="4598"/>
      <c r="E55" s="4598"/>
      <c r="F55" s="4598"/>
    </row>
    <row r="56" spans="1:7" ht="15.75" customHeight="1">
      <c r="A56" s="4603" t="s">
        <v>7198</v>
      </c>
      <c r="B56" s="4602"/>
      <c r="C56" s="4599"/>
      <c r="D56" s="4598"/>
      <c r="E56" s="4598"/>
      <c r="F56" s="4598"/>
    </row>
    <row r="57" spans="1:7" ht="15.75" customHeight="1">
      <c r="A57" s="4600" t="s">
        <v>7341</v>
      </c>
      <c r="B57" s="4601"/>
      <c r="C57" s="4599"/>
      <c r="D57" s="4598"/>
      <c r="E57" s="4598"/>
      <c r="F57" s="4598"/>
    </row>
    <row r="58" spans="1:7" ht="15.75" customHeight="1">
      <c r="A58" s="4600" t="s">
        <v>7342</v>
      </c>
      <c r="B58" s="4598"/>
      <c r="C58" s="4599"/>
      <c r="D58" s="4598"/>
      <c r="E58" s="4598"/>
      <c r="F58" s="4598"/>
    </row>
    <row r="63" spans="1:7" ht="15" customHeight="1">
      <c r="B63" s="4597"/>
    </row>
  </sheetData>
  <mergeCells count="4">
    <mergeCell ref="A6:F6"/>
    <mergeCell ref="A7:F7"/>
    <mergeCell ref="A8:F8"/>
    <mergeCell ref="A10:F10"/>
  </mergeCells>
  <printOptions horizontalCentered="1"/>
  <pageMargins left="0.31496062992125984" right="0.31496062992125984" top="0.55118110236220474" bottom="0.55118110236220474" header="0" footer="0"/>
  <pageSetup paperSize="9" scale="76" fitToHeight="0" orientation="landscape" horizontalDpi="300" verticalDpi="300"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AB4B-53FC-4D32-994E-30DC06FA01D6}">
  <sheetPr>
    <pageSetUpPr fitToPage="1"/>
  </sheetPr>
  <dimension ref="A1:O323"/>
  <sheetViews>
    <sheetView topLeftCell="A169" zoomScale="145" zoomScaleNormal="145" workbookViewId="0">
      <selection activeCell="C202" sqref="C202"/>
    </sheetView>
  </sheetViews>
  <sheetFormatPr baseColWidth="10" defaultColWidth="14.28515625" defaultRowHeight="12.75"/>
  <cols>
    <col min="1" max="1" width="0.7109375" style="4476" customWidth="1"/>
    <col min="2" max="2" width="23" style="4476" customWidth="1"/>
    <col min="3" max="3" width="31.5703125" style="4476" customWidth="1"/>
    <col min="4" max="4" width="17.140625" style="4476" customWidth="1"/>
    <col min="5" max="5" width="17.7109375" style="4476" customWidth="1"/>
    <col min="6" max="6" width="19.42578125" style="4476" customWidth="1"/>
    <col min="7" max="7" width="19.42578125" style="4476" bestFit="1" customWidth="1"/>
    <col min="8" max="8" width="18.85546875" style="4476" bestFit="1" customWidth="1"/>
    <col min="9" max="9" width="16.7109375" style="4476" customWidth="1"/>
    <col min="10" max="10" width="19.42578125" style="4476" customWidth="1"/>
    <col min="11" max="11" width="18.85546875" style="4475" bestFit="1" customWidth="1"/>
    <col min="12" max="13" width="19.5703125" style="4476" customWidth="1"/>
    <col min="14" max="14" width="18.42578125" style="4476" customWidth="1"/>
    <col min="15" max="15" width="15.85546875" style="4476" bestFit="1" customWidth="1"/>
    <col min="16" max="16" width="17.140625" style="4476" bestFit="1" customWidth="1"/>
    <col min="17" max="16384" width="14.28515625" style="4476"/>
  </cols>
  <sheetData>
    <row r="1" spans="2:10" s="4475" customFormat="1" ht="18.75">
      <c r="B1" s="11406" t="s">
        <v>0</v>
      </c>
      <c r="C1" s="11406"/>
      <c r="D1" s="11406"/>
      <c r="E1" s="11406"/>
      <c r="F1" s="11406"/>
      <c r="G1" s="11406"/>
      <c r="H1" s="11406"/>
      <c r="I1" s="11406"/>
      <c r="J1" s="4474"/>
    </row>
    <row r="2" spans="2:10" s="4475" customFormat="1" ht="18.75">
      <c r="B2" s="11406" t="s">
        <v>6665</v>
      </c>
      <c r="C2" s="11406"/>
      <c r="D2" s="11406"/>
      <c r="E2" s="11406"/>
      <c r="F2" s="11406"/>
      <c r="G2" s="11406"/>
      <c r="H2" s="11406"/>
      <c r="I2" s="11406"/>
      <c r="J2" s="4474"/>
    </row>
    <row r="3" spans="2:10" s="4475" customFormat="1" ht="12.75" customHeight="1">
      <c r="B3" s="4474"/>
      <c r="C3" s="4474"/>
      <c r="D3" s="4474"/>
      <c r="E3" s="4474"/>
      <c r="F3" s="4474"/>
      <c r="G3" s="4474"/>
      <c r="H3" s="4474"/>
      <c r="I3" s="4476"/>
      <c r="J3" s="4476"/>
    </row>
    <row r="4" spans="2:10" s="4475" customFormat="1" ht="15">
      <c r="B4" s="1478" t="s">
        <v>6480</v>
      </c>
      <c r="C4" s="1479" t="s">
        <v>413</v>
      </c>
      <c r="D4" s="1479"/>
      <c r="E4" s="1479"/>
      <c r="F4" s="1479"/>
      <c r="G4" s="1479"/>
      <c r="H4" s="1480"/>
      <c r="I4" s="1480"/>
      <c r="J4" s="1480"/>
    </row>
    <row r="5" spans="2:10" s="4475" customFormat="1">
      <c r="B5" s="1479" t="s">
        <v>6479</v>
      </c>
      <c r="C5" s="1479"/>
      <c r="D5" s="1479"/>
      <c r="E5" s="1479"/>
      <c r="F5" s="1479"/>
      <c r="G5" s="1479"/>
      <c r="H5" s="1480"/>
      <c r="I5" s="1480"/>
      <c r="J5" s="1480"/>
    </row>
    <row r="6" spans="2:10" s="4475" customFormat="1">
      <c r="B6" s="1479"/>
      <c r="C6" s="1479"/>
      <c r="D6" s="1479"/>
      <c r="E6" s="1479"/>
      <c r="F6" s="1479"/>
      <c r="G6" s="1479"/>
      <c r="H6" s="1480"/>
      <c r="I6" s="1480"/>
      <c r="J6" s="4476"/>
    </row>
    <row r="7" spans="2:10" s="4479" customFormat="1" ht="39.75" customHeight="1">
      <c r="B7" s="11369" t="s">
        <v>6970</v>
      </c>
      <c r="C7" s="11369" t="s">
        <v>6</v>
      </c>
      <c r="D7" s="11407" t="s">
        <v>6667</v>
      </c>
      <c r="E7" s="1481" t="s">
        <v>6483</v>
      </c>
      <c r="F7" s="1482" t="s">
        <v>6484</v>
      </c>
      <c r="G7" s="1483" t="s">
        <v>6485</v>
      </c>
      <c r="H7" s="4477" t="s">
        <v>6668</v>
      </c>
      <c r="I7" s="4478" t="s">
        <v>6487</v>
      </c>
    </row>
    <row r="8" spans="2:10" s="4479" customFormat="1" ht="20.100000000000001" customHeight="1">
      <c r="B8" s="11370"/>
      <c r="C8" s="11370"/>
      <c r="D8" s="11408"/>
      <c r="E8" s="1487" t="s">
        <v>6488</v>
      </c>
      <c r="F8" s="1482" t="s">
        <v>6489</v>
      </c>
      <c r="G8" s="1483" t="s">
        <v>6490</v>
      </c>
      <c r="H8" s="4480" t="s">
        <v>6491</v>
      </c>
      <c r="I8" s="4481" t="s">
        <v>6492</v>
      </c>
    </row>
    <row r="9" spans="2:10" s="4475" customFormat="1">
      <c r="B9" s="1490" t="s">
        <v>6971</v>
      </c>
      <c r="C9" s="1491" t="s">
        <v>6670</v>
      </c>
      <c r="D9" s="1492">
        <f t="shared" ref="D9:D19" si="0">+SUM(E9:I9)</f>
        <v>6984971.6600000001</v>
      </c>
      <c r="E9" s="4482">
        <f>6972572.48+12399.18</f>
        <v>6984971.6600000001</v>
      </c>
      <c r="F9" s="1492"/>
      <c r="G9" s="1492"/>
      <c r="H9" s="1492"/>
      <c r="I9" s="1492"/>
    </row>
    <row r="10" spans="2:10" s="4475" customFormat="1">
      <c r="B10" s="1490" t="s">
        <v>6972</v>
      </c>
      <c r="C10" s="1491" t="s">
        <v>6973</v>
      </c>
      <c r="D10" s="1492">
        <f t="shared" si="0"/>
        <v>55985.33</v>
      </c>
      <c r="E10" s="1492">
        <v>55985.33</v>
      </c>
      <c r="F10" s="1492"/>
      <c r="G10" s="1492"/>
      <c r="H10" s="1492"/>
      <c r="I10" s="1492"/>
    </row>
    <row r="11" spans="2:10" s="4475" customFormat="1">
      <c r="B11" s="1495" t="s">
        <v>6974</v>
      </c>
      <c r="C11" s="1491" t="s">
        <v>6674</v>
      </c>
      <c r="D11" s="1492">
        <f t="shared" si="0"/>
        <v>50000</v>
      </c>
      <c r="E11" s="1492"/>
      <c r="F11" s="1492">
        <v>50000</v>
      </c>
      <c r="G11" s="1492"/>
      <c r="H11" s="1492"/>
      <c r="I11" s="1492"/>
    </row>
    <row r="12" spans="2:10" s="4475" customFormat="1">
      <c r="B12" s="1495" t="s">
        <v>6975</v>
      </c>
      <c r="C12" s="1491" t="s">
        <v>6976</v>
      </c>
      <c r="D12" s="1492">
        <f t="shared" si="0"/>
        <v>680000</v>
      </c>
      <c r="E12" s="1492"/>
      <c r="F12" s="1492">
        <v>680000</v>
      </c>
      <c r="G12" s="1492"/>
      <c r="H12" s="1492"/>
      <c r="I12" s="1492"/>
    </row>
    <row r="13" spans="2:10" s="4475" customFormat="1">
      <c r="B13" s="1495" t="s">
        <v>6977</v>
      </c>
      <c r="C13" s="1491" t="s">
        <v>6676</v>
      </c>
      <c r="D13" s="1492">
        <f t="shared" si="0"/>
        <v>38169</v>
      </c>
      <c r="E13" s="1492"/>
      <c r="F13" s="1492">
        <v>38169</v>
      </c>
      <c r="G13" s="1492"/>
      <c r="H13" s="1492"/>
      <c r="I13" s="1492"/>
    </row>
    <row r="14" spans="2:10" s="4475" customFormat="1">
      <c r="B14" s="1495" t="s">
        <v>6978</v>
      </c>
      <c r="C14" s="2986" t="s">
        <v>6979</v>
      </c>
      <c r="D14" s="1492">
        <f t="shared" si="0"/>
        <v>2000</v>
      </c>
      <c r="E14" s="1492"/>
      <c r="F14" s="1492">
        <v>2000</v>
      </c>
      <c r="G14" s="1492"/>
      <c r="H14" s="1492"/>
      <c r="I14" s="1492"/>
    </row>
    <row r="15" spans="2:10" s="4475" customFormat="1">
      <c r="B15" s="1495" t="s">
        <v>6980</v>
      </c>
      <c r="C15" s="2986" t="s">
        <v>6981</v>
      </c>
      <c r="D15" s="1492">
        <f t="shared" si="0"/>
        <v>163689.51</v>
      </c>
      <c r="E15" s="1492"/>
      <c r="F15" s="1492">
        <v>163689.51</v>
      </c>
      <c r="G15" s="1492"/>
      <c r="H15" s="1492"/>
      <c r="I15" s="1492"/>
    </row>
    <row r="16" spans="2:10" s="4475" customFormat="1">
      <c r="B16" s="4483" t="s">
        <v>6982</v>
      </c>
      <c r="C16" s="1491" t="s">
        <v>6670</v>
      </c>
      <c r="D16" s="1492">
        <f t="shared" si="0"/>
        <v>28382726.440000001</v>
      </c>
      <c r="E16" s="1492"/>
      <c r="F16" s="1492"/>
      <c r="G16" s="1492">
        <v>28382726.440000001</v>
      </c>
      <c r="H16" s="1492"/>
      <c r="I16" s="1492"/>
    </row>
    <row r="17" spans="2:14" s="4475" customFormat="1">
      <c r="B17" s="4483" t="s">
        <v>6983</v>
      </c>
      <c r="C17" s="1491" t="s">
        <v>6984</v>
      </c>
      <c r="D17" s="1492">
        <f t="shared" si="0"/>
        <v>4740</v>
      </c>
      <c r="E17" s="1492"/>
      <c r="F17" s="1492"/>
      <c r="G17" s="1492">
        <v>4740</v>
      </c>
      <c r="H17" s="1492"/>
      <c r="I17" s="1492"/>
    </row>
    <row r="18" spans="2:14" s="4475" customFormat="1" ht="14.45" customHeight="1">
      <c r="B18" s="1494" t="s">
        <v>6985</v>
      </c>
      <c r="C18" s="1491" t="s">
        <v>6670</v>
      </c>
      <c r="D18" s="1492">
        <f t="shared" si="0"/>
        <v>856577.7</v>
      </c>
      <c r="E18" s="1492"/>
      <c r="F18" s="1492"/>
      <c r="G18" s="1492"/>
      <c r="H18" s="1492">
        <v>856577.7</v>
      </c>
      <c r="I18" s="1492"/>
    </row>
    <row r="19" spans="2:14" s="4475" customFormat="1" ht="14.45" customHeight="1">
      <c r="B19" s="1494" t="s">
        <v>6986</v>
      </c>
      <c r="C19" s="1491" t="s">
        <v>6987</v>
      </c>
      <c r="D19" s="1492">
        <f t="shared" si="0"/>
        <v>571587.69999999995</v>
      </c>
      <c r="E19" s="1492"/>
      <c r="F19" s="1492"/>
      <c r="G19" s="1492"/>
      <c r="H19" s="1492">
        <v>571587.69999999995</v>
      </c>
      <c r="I19" s="1492"/>
    </row>
    <row r="20" spans="2:14" s="4475" customFormat="1" ht="14.45" customHeight="1">
      <c r="B20" s="2003" t="s">
        <v>6988</v>
      </c>
      <c r="C20" s="1491" t="s">
        <v>6928</v>
      </c>
      <c r="D20" s="1492">
        <f>I20</f>
        <v>382237.7</v>
      </c>
      <c r="E20" s="1492"/>
      <c r="F20" s="1492"/>
      <c r="G20" s="1492"/>
      <c r="H20" s="1492"/>
      <c r="I20" s="1492">
        <v>382237.7</v>
      </c>
    </row>
    <row r="21" spans="2:14">
      <c r="B21" s="1496"/>
      <c r="C21" s="1497" t="s">
        <v>6677</v>
      </c>
      <c r="D21" s="1498">
        <f t="shared" ref="D21:I21" si="1">SUM(D9:D20)</f>
        <v>38172685.040000007</v>
      </c>
      <c r="E21" s="1498">
        <f t="shared" si="1"/>
        <v>7040956.9900000002</v>
      </c>
      <c r="F21" s="1498">
        <f t="shared" si="1"/>
        <v>933858.51</v>
      </c>
      <c r="G21" s="1498">
        <f t="shared" si="1"/>
        <v>28387466.440000001</v>
      </c>
      <c r="H21" s="1498">
        <f t="shared" si="1"/>
        <v>1428165.4</v>
      </c>
      <c r="I21" s="1498">
        <f t="shared" si="1"/>
        <v>382237.7</v>
      </c>
      <c r="K21" s="4476"/>
    </row>
    <row r="22" spans="2:14">
      <c r="B22" s="1499"/>
      <c r="C22" s="1500"/>
      <c r="D22" s="1501"/>
      <c r="E22" s="1501"/>
      <c r="F22" s="1479"/>
      <c r="G22" s="1479"/>
      <c r="H22" s="1502"/>
      <c r="I22" s="1503"/>
    </row>
    <row r="23" spans="2:14" ht="15">
      <c r="B23" s="4484" t="s">
        <v>6504</v>
      </c>
      <c r="C23" s="4485"/>
      <c r="D23" s="4486"/>
      <c r="E23" s="4475"/>
      <c r="F23" s="4487"/>
      <c r="G23" s="2992"/>
    </row>
    <row r="24" spans="2:14" ht="25.5">
      <c r="B24" s="4488" t="s">
        <v>7</v>
      </c>
      <c r="C24" s="4488" t="s">
        <v>6505</v>
      </c>
      <c r="D24" s="4489" t="s">
        <v>6989</v>
      </c>
      <c r="E24" s="4489" t="s">
        <v>6678</v>
      </c>
      <c r="F24" s="4489" t="s">
        <v>6679</v>
      </c>
      <c r="G24" s="4489" t="s">
        <v>6680</v>
      </c>
      <c r="H24" s="4489" t="s">
        <v>6990</v>
      </c>
      <c r="I24" s="4490" t="s">
        <v>6488</v>
      </c>
      <c r="J24" s="4491" t="s">
        <v>6489</v>
      </c>
      <c r="K24" s="4492" t="s">
        <v>6508</v>
      </c>
      <c r="L24" s="4493" t="s">
        <v>6491</v>
      </c>
      <c r="M24" s="4494" t="s">
        <v>6492</v>
      </c>
    </row>
    <row r="25" spans="2:14">
      <c r="B25" s="4495" t="s">
        <v>6510</v>
      </c>
      <c r="C25" s="4496" t="s">
        <v>6511</v>
      </c>
      <c r="D25" s="4497"/>
      <c r="E25" s="4497"/>
      <c r="F25" s="4497"/>
      <c r="G25" s="4497"/>
      <c r="H25" s="4497"/>
      <c r="I25" s="4498"/>
      <c r="J25" s="4498"/>
      <c r="K25" s="4498"/>
      <c r="L25" s="4499"/>
      <c r="M25" s="4499"/>
    </row>
    <row r="26" spans="2:14">
      <c r="B26" s="4483" t="s">
        <v>6512</v>
      </c>
      <c r="C26" s="4500" t="s">
        <v>3008</v>
      </c>
      <c r="D26" s="4497">
        <v>3558628.48</v>
      </c>
      <c r="E26" s="4497"/>
      <c r="F26" s="4497"/>
      <c r="G26" s="4501">
        <f t="shared" ref="G26:G89" si="2">+D26+E26-F26</f>
        <v>3558628.48</v>
      </c>
      <c r="H26" s="4497">
        <f t="shared" ref="H26:H89" si="3">+SUM(I26:M26)</f>
        <v>3558628.48</v>
      </c>
      <c r="I26" s="4497"/>
      <c r="J26" s="4497"/>
      <c r="K26" s="4502">
        <f t="shared" ref="K26:K44" si="4">G26</f>
        <v>3558628.48</v>
      </c>
      <c r="L26" s="4497"/>
      <c r="M26" s="4497"/>
      <c r="N26" s="4503"/>
    </row>
    <row r="27" spans="2:14">
      <c r="B27" s="4483" t="s">
        <v>6513</v>
      </c>
      <c r="C27" s="4504" t="s">
        <v>3010</v>
      </c>
      <c r="D27" s="4497">
        <v>929212.08000000007</v>
      </c>
      <c r="E27" s="4497"/>
      <c r="F27" s="4497"/>
      <c r="G27" s="4501">
        <f t="shared" si="2"/>
        <v>929212.08000000007</v>
      </c>
      <c r="H27" s="4497">
        <f t="shared" si="3"/>
        <v>929212.08000000007</v>
      </c>
      <c r="I27" s="4497"/>
      <c r="J27" s="4497"/>
      <c r="K27" s="4502">
        <f t="shared" si="4"/>
        <v>929212.08000000007</v>
      </c>
      <c r="L27" s="4497"/>
      <c r="M27" s="4497"/>
      <c r="N27" s="4503"/>
    </row>
    <row r="28" spans="2:14">
      <c r="B28" s="4483" t="s">
        <v>6514</v>
      </c>
      <c r="C28" s="4504" t="s">
        <v>6682</v>
      </c>
      <c r="D28" s="4497">
        <v>828059.49</v>
      </c>
      <c r="E28" s="4497"/>
      <c r="F28" s="4497"/>
      <c r="G28" s="4501">
        <f t="shared" si="2"/>
        <v>828059.49</v>
      </c>
      <c r="H28" s="4497">
        <f t="shared" si="3"/>
        <v>828059.49</v>
      </c>
      <c r="I28" s="4497"/>
      <c r="J28" s="4497"/>
      <c r="K28" s="4502">
        <f t="shared" si="4"/>
        <v>828059.49</v>
      </c>
      <c r="L28" s="4497"/>
      <c r="M28" s="4497"/>
      <c r="N28" s="4503"/>
    </row>
    <row r="29" spans="2:14">
      <c r="B29" s="4483" t="s">
        <v>6515</v>
      </c>
      <c r="C29" s="4504" t="s">
        <v>3013</v>
      </c>
      <c r="D29" s="4497">
        <v>514670.12</v>
      </c>
      <c r="E29" s="4497"/>
      <c r="F29" s="4497"/>
      <c r="G29" s="4501">
        <f t="shared" si="2"/>
        <v>514670.12</v>
      </c>
      <c r="H29" s="4497">
        <f t="shared" si="3"/>
        <v>514670.12</v>
      </c>
      <c r="I29" s="4497"/>
      <c r="J29" s="4497"/>
      <c r="K29" s="4502">
        <f t="shared" si="4"/>
        <v>514670.12</v>
      </c>
      <c r="L29" s="4497"/>
      <c r="M29" s="4497"/>
      <c r="N29" s="4503"/>
    </row>
    <row r="30" spans="2:14">
      <c r="B30" s="4483" t="s">
        <v>6517</v>
      </c>
      <c r="C30" s="4504" t="s">
        <v>3014</v>
      </c>
      <c r="D30" s="4497">
        <v>181875.81</v>
      </c>
      <c r="E30" s="4497"/>
      <c r="F30" s="4497"/>
      <c r="G30" s="4501">
        <f t="shared" si="2"/>
        <v>181875.81</v>
      </c>
      <c r="H30" s="4497">
        <f t="shared" si="3"/>
        <v>181875.81</v>
      </c>
      <c r="I30" s="4497"/>
      <c r="J30" s="4497"/>
      <c r="K30" s="4502">
        <f t="shared" si="4"/>
        <v>181875.81</v>
      </c>
      <c r="L30" s="4497"/>
      <c r="M30" s="4497"/>
      <c r="N30" s="4503"/>
    </row>
    <row r="31" spans="2:14">
      <c r="B31" s="4483" t="s">
        <v>6519</v>
      </c>
      <c r="C31" s="4504" t="s">
        <v>3016</v>
      </c>
      <c r="D31" s="4497">
        <v>15000</v>
      </c>
      <c r="E31" s="4497"/>
      <c r="F31" s="4497"/>
      <c r="G31" s="4501">
        <f t="shared" si="2"/>
        <v>15000</v>
      </c>
      <c r="H31" s="4497">
        <f t="shared" si="3"/>
        <v>15000</v>
      </c>
      <c r="I31" s="4497"/>
      <c r="J31" s="4497"/>
      <c r="K31" s="4502">
        <f t="shared" si="4"/>
        <v>15000</v>
      </c>
      <c r="L31" s="4497"/>
      <c r="M31" s="4497"/>
      <c r="N31" s="4503"/>
    </row>
    <row r="32" spans="2:14">
      <c r="B32" s="4483" t="s">
        <v>6520</v>
      </c>
      <c r="C32" s="4504" t="s">
        <v>3018</v>
      </c>
      <c r="D32" s="4497">
        <v>95000</v>
      </c>
      <c r="E32" s="4497"/>
      <c r="F32" s="4497"/>
      <c r="G32" s="4501">
        <f t="shared" si="2"/>
        <v>95000</v>
      </c>
      <c r="H32" s="4497">
        <f t="shared" si="3"/>
        <v>95000</v>
      </c>
      <c r="I32" s="4497"/>
      <c r="J32" s="4497"/>
      <c r="K32" s="4502">
        <f t="shared" si="4"/>
        <v>95000</v>
      </c>
      <c r="L32" s="4497"/>
      <c r="M32" s="4497"/>
      <c r="N32" s="4503"/>
    </row>
    <row r="33" spans="2:14">
      <c r="B33" s="4483" t="s">
        <v>6521</v>
      </c>
      <c r="C33" s="4504" t="s">
        <v>3020</v>
      </c>
      <c r="D33" s="4497">
        <v>5000</v>
      </c>
      <c r="E33" s="4497"/>
      <c r="F33" s="4497"/>
      <c r="G33" s="4501">
        <f t="shared" si="2"/>
        <v>5000</v>
      </c>
      <c r="H33" s="4497">
        <f t="shared" si="3"/>
        <v>5000</v>
      </c>
      <c r="I33" s="4497"/>
      <c r="J33" s="4497"/>
      <c r="K33" s="4502">
        <f t="shared" si="4"/>
        <v>5000</v>
      </c>
      <c r="L33" s="4497"/>
      <c r="M33" s="4497"/>
      <c r="N33" s="4503"/>
    </row>
    <row r="34" spans="2:14">
      <c r="B34" s="4483" t="s">
        <v>6522</v>
      </c>
      <c r="C34" s="4504" t="s">
        <v>6683</v>
      </c>
      <c r="D34" s="4497">
        <v>24000</v>
      </c>
      <c r="E34" s="4497"/>
      <c r="F34" s="4497"/>
      <c r="G34" s="4501">
        <f t="shared" si="2"/>
        <v>24000</v>
      </c>
      <c r="H34" s="4497">
        <f t="shared" si="3"/>
        <v>24000</v>
      </c>
      <c r="I34" s="4497"/>
      <c r="J34" s="4497"/>
      <c r="K34" s="4502">
        <f t="shared" si="4"/>
        <v>24000</v>
      </c>
      <c r="L34" s="4497"/>
      <c r="M34" s="4497"/>
      <c r="N34" s="4503"/>
    </row>
    <row r="35" spans="2:14">
      <c r="B35" s="4483" t="s">
        <v>6523</v>
      </c>
      <c r="C35" s="4504" t="s">
        <v>6684</v>
      </c>
      <c r="D35" s="4497">
        <v>31000</v>
      </c>
      <c r="E35" s="4497"/>
      <c r="F35" s="4497"/>
      <c r="G35" s="4501">
        <f t="shared" si="2"/>
        <v>31000</v>
      </c>
      <c r="H35" s="4497">
        <f t="shared" si="3"/>
        <v>31000</v>
      </c>
      <c r="I35" s="4497"/>
      <c r="J35" s="4497"/>
      <c r="K35" s="4502">
        <f t="shared" si="4"/>
        <v>31000</v>
      </c>
      <c r="L35" s="4497"/>
      <c r="M35" s="4497"/>
      <c r="N35" s="4503"/>
    </row>
    <row r="36" spans="2:14">
      <c r="B36" s="4483" t="s">
        <v>6524</v>
      </c>
      <c r="C36" s="4504" t="s">
        <v>3026</v>
      </c>
      <c r="D36" s="4497">
        <v>665424</v>
      </c>
      <c r="E36" s="4497"/>
      <c r="F36" s="4497"/>
      <c r="G36" s="4501">
        <f t="shared" si="2"/>
        <v>665424</v>
      </c>
      <c r="H36" s="4497">
        <f t="shared" si="3"/>
        <v>665424</v>
      </c>
      <c r="I36" s="4497"/>
      <c r="J36" s="4497"/>
      <c r="K36" s="4502">
        <f t="shared" si="4"/>
        <v>665424</v>
      </c>
      <c r="L36" s="4497"/>
      <c r="M36" s="4497"/>
      <c r="N36" s="4503"/>
    </row>
    <row r="37" spans="2:14">
      <c r="B37" s="4483" t="s">
        <v>6525</v>
      </c>
      <c r="C37" s="4504" t="s">
        <v>6685</v>
      </c>
      <c r="D37" s="4497">
        <v>15000</v>
      </c>
      <c r="E37" s="4497"/>
      <c r="F37" s="4497"/>
      <c r="G37" s="4501">
        <f t="shared" si="2"/>
        <v>15000</v>
      </c>
      <c r="H37" s="4497">
        <f t="shared" si="3"/>
        <v>15000</v>
      </c>
      <c r="I37" s="4497"/>
      <c r="J37" s="4497"/>
      <c r="K37" s="4502">
        <f t="shared" si="4"/>
        <v>15000</v>
      </c>
      <c r="L37" s="4497"/>
      <c r="M37" s="4497"/>
      <c r="N37" s="4503"/>
    </row>
    <row r="38" spans="2:14">
      <c r="B38" s="4483" t="s">
        <v>6526</v>
      </c>
      <c r="C38" s="4504" t="s">
        <v>6686</v>
      </c>
      <c r="D38" s="4497">
        <v>4804</v>
      </c>
      <c r="E38" s="4497"/>
      <c r="F38" s="4497"/>
      <c r="G38" s="4501">
        <f t="shared" si="2"/>
        <v>4804</v>
      </c>
      <c r="H38" s="4497">
        <f t="shared" si="3"/>
        <v>4804</v>
      </c>
      <c r="I38" s="4497"/>
      <c r="J38" s="4497"/>
      <c r="K38" s="4502">
        <f t="shared" si="4"/>
        <v>4804</v>
      </c>
      <c r="L38" s="4497"/>
      <c r="M38" s="4497"/>
      <c r="N38" s="4503"/>
    </row>
    <row r="39" spans="2:14">
      <c r="B39" s="4483" t="s">
        <v>6527</v>
      </c>
      <c r="C39" s="4504" t="s">
        <v>3032</v>
      </c>
      <c r="D39" s="4497">
        <v>604823.06999999995</v>
      </c>
      <c r="E39" s="4497"/>
      <c r="F39" s="4497"/>
      <c r="G39" s="4501">
        <f t="shared" si="2"/>
        <v>604823.06999999995</v>
      </c>
      <c r="H39" s="4497">
        <f t="shared" si="3"/>
        <v>604823.06999999995</v>
      </c>
      <c r="I39" s="4497"/>
      <c r="J39" s="4497"/>
      <c r="K39" s="4502">
        <f t="shared" si="4"/>
        <v>604823.06999999995</v>
      </c>
      <c r="L39" s="4497"/>
      <c r="M39" s="4497"/>
      <c r="N39" s="4503"/>
    </row>
    <row r="40" spans="2:14">
      <c r="B40" s="4483" t="s">
        <v>6528</v>
      </c>
      <c r="C40" s="4504" t="s">
        <v>3039</v>
      </c>
      <c r="D40" s="4497">
        <v>496432.75</v>
      </c>
      <c r="E40" s="4497"/>
      <c r="F40" s="4497">
        <v>2650.25</v>
      </c>
      <c r="G40" s="4501">
        <f t="shared" si="2"/>
        <v>493782.5</v>
      </c>
      <c r="H40" s="4497">
        <f t="shared" si="3"/>
        <v>493782.5</v>
      </c>
      <c r="I40" s="4497"/>
      <c r="J40" s="4497"/>
      <c r="K40" s="4502">
        <f t="shared" si="4"/>
        <v>493782.5</v>
      </c>
      <c r="L40" s="4497"/>
      <c r="M40" s="4497"/>
      <c r="N40" s="4503"/>
    </row>
    <row r="41" spans="2:14">
      <c r="B41" s="4483" t="s">
        <v>6687</v>
      </c>
      <c r="C41" s="4504" t="s">
        <v>3034</v>
      </c>
      <c r="D41" s="4497">
        <v>7000</v>
      </c>
      <c r="E41" s="4497"/>
      <c r="F41" s="4497">
        <v>1249.75</v>
      </c>
      <c r="G41" s="4501">
        <f t="shared" si="2"/>
        <v>5750.25</v>
      </c>
      <c r="H41" s="4497">
        <f t="shared" si="3"/>
        <v>5750.25</v>
      </c>
      <c r="I41" s="4497"/>
      <c r="J41" s="4497"/>
      <c r="K41" s="4502">
        <f t="shared" si="4"/>
        <v>5750.25</v>
      </c>
      <c r="L41" s="4497"/>
      <c r="M41" s="4497"/>
      <c r="N41" s="4503"/>
    </row>
    <row r="42" spans="2:14">
      <c r="B42" s="4483" t="s">
        <v>7201</v>
      </c>
      <c r="C42" s="4504" t="s">
        <v>3036</v>
      </c>
      <c r="D42" s="4497">
        <v>29000</v>
      </c>
      <c r="E42" s="4497"/>
      <c r="F42" s="4497"/>
      <c r="G42" s="4501">
        <f t="shared" si="2"/>
        <v>29000</v>
      </c>
      <c r="H42" s="4497">
        <f t="shared" si="3"/>
        <v>29000</v>
      </c>
      <c r="I42" s="4497"/>
      <c r="J42" s="4497"/>
      <c r="K42" s="4502">
        <f t="shared" si="4"/>
        <v>29000</v>
      </c>
      <c r="L42" s="4497"/>
      <c r="M42" s="4497"/>
      <c r="N42" s="4503"/>
    </row>
    <row r="43" spans="2:14">
      <c r="B43" s="4483" t="s">
        <v>6529</v>
      </c>
      <c r="C43" s="4504" t="s">
        <v>6688</v>
      </c>
      <c r="D43" s="4497">
        <v>2000</v>
      </c>
      <c r="E43" s="4497"/>
      <c r="F43" s="4497"/>
      <c r="G43" s="4501">
        <f t="shared" si="2"/>
        <v>2000</v>
      </c>
      <c r="H43" s="4497">
        <f t="shared" si="3"/>
        <v>2000</v>
      </c>
      <c r="I43" s="4497"/>
      <c r="J43" s="4497"/>
      <c r="K43" s="4502">
        <f t="shared" si="4"/>
        <v>2000</v>
      </c>
      <c r="L43" s="4497"/>
      <c r="M43" s="4497"/>
      <c r="N43" s="4503"/>
    </row>
    <row r="44" spans="2:14">
      <c r="B44" s="4483" t="s">
        <v>6689</v>
      </c>
      <c r="C44" s="4504" t="s">
        <v>3038</v>
      </c>
      <c r="D44" s="4497">
        <v>120000</v>
      </c>
      <c r="E44" s="4497">
        <v>3900</v>
      </c>
      <c r="F44" s="4497"/>
      <c r="G44" s="4501">
        <f t="shared" si="2"/>
        <v>123900</v>
      </c>
      <c r="H44" s="4497">
        <f t="shared" si="3"/>
        <v>123900</v>
      </c>
      <c r="I44" s="4497"/>
      <c r="J44" s="4497"/>
      <c r="K44" s="4502">
        <f t="shared" si="4"/>
        <v>123900</v>
      </c>
      <c r="L44" s="4497"/>
      <c r="M44" s="4497"/>
      <c r="N44" s="4503"/>
    </row>
    <row r="45" spans="2:14">
      <c r="B45" s="4483" t="s">
        <v>6532</v>
      </c>
      <c r="C45" s="4504" t="s">
        <v>3775</v>
      </c>
      <c r="D45" s="4497">
        <v>61600</v>
      </c>
      <c r="E45" s="4497">
        <v>11000</v>
      </c>
      <c r="F45" s="4497"/>
      <c r="G45" s="4501">
        <f t="shared" si="2"/>
        <v>72600</v>
      </c>
      <c r="H45" s="4497">
        <f t="shared" si="3"/>
        <v>72600</v>
      </c>
      <c r="I45" s="4497"/>
      <c r="J45" s="4497"/>
      <c r="K45" s="4502">
        <f>+G45</f>
        <v>72600</v>
      </c>
      <c r="L45" s="4497"/>
      <c r="M45" s="4497"/>
      <c r="N45" s="4503"/>
    </row>
    <row r="46" spans="2:14">
      <c r="B46" s="4505" t="s">
        <v>6991</v>
      </c>
      <c r="C46" s="4504" t="s">
        <v>3778</v>
      </c>
      <c r="D46" s="4497">
        <v>83286.39</v>
      </c>
      <c r="E46" s="8656">
        <f>45000-3850.32</f>
        <v>41149.68</v>
      </c>
      <c r="F46" s="4497"/>
      <c r="G46" s="4501">
        <f t="shared" si="2"/>
        <v>124436.07</v>
      </c>
      <c r="H46" s="4497">
        <f t="shared" si="3"/>
        <v>124436.07</v>
      </c>
      <c r="I46" s="4497"/>
      <c r="J46" s="4497">
        <f>+G46</f>
        <v>124436.07</v>
      </c>
      <c r="K46" s="4502"/>
      <c r="L46" s="4497"/>
      <c r="M46" s="4497"/>
      <c r="N46" s="4503"/>
    </row>
    <row r="47" spans="2:14">
      <c r="B47" s="4483" t="s">
        <v>6533</v>
      </c>
      <c r="C47" s="4504" t="s">
        <v>3778</v>
      </c>
      <c r="D47" s="4497">
        <v>200000</v>
      </c>
      <c r="E47" s="8656">
        <v>3857.37</v>
      </c>
      <c r="F47" s="4497"/>
      <c r="G47" s="4501">
        <f t="shared" si="2"/>
        <v>203857.37</v>
      </c>
      <c r="H47" s="4497">
        <f t="shared" si="3"/>
        <v>203857.37</v>
      </c>
      <c r="I47" s="4497"/>
      <c r="J47" s="4497"/>
      <c r="K47" s="4502">
        <f>+G47</f>
        <v>203857.37</v>
      </c>
      <c r="L47" s="4506"/>
      <c r="M47" s="4506"/>
      <c r="N47" s="4503"/>
    </row>
    <row r="48" spans="2:14">
      <c r="B48" s="4507" t="s">
        <v>6618</v>
      </c>
      <c r="C48" s="4504" t="s">
        <v>881</v>
      </c>
      <c r="D48" s="4497">
        <v>2686.7599999999984</v>
      </c>
      <c r="E48" s="4497"/>
      <c r="F48" s="4508"/>
      <c r="G48" s="4501">
        <f t="shared" si="2"/>
        <v>2686.7599999999984</v>
      </c>
      <c r="H48" s="4497">
        <f t="shared" si="3"/>
        <v>2686.7599999999984</v>
      </c>
      <c r="I48" s="4497">
        <f>G48</f>
        <v>2686.7599999999984</v>
      </c>
      <c r="J48" s="4497"/>
      <c r="K48" s="4502"/>
      <c r="L48" s="4497"/>
      <c r="M48" s="4497"/>
      <c r="N48" s="4503"/>
    </row>
    <row r="49" spans="2:14">
      <c r="B49" s="4483" t="s">
        <v>6690</v>
      </c>
      <c r="C49" s="4504" t="s">
        <v>881</v>
      </c>
      <c r="D49" s="4497">
        <v>25000</v>
      </c>
      <c r="E49" s="4497"/>
      <c r="F49" s="4497">
        <v>2800</v>
      </c>
      <c r="G49" s="4501">
        <f t="shared" si="2"/>
        <v>22200</v>
      </c>
      <c r="H49" s="4497">
        <f t="shared" si="3"/>
        <v>22200</v>
      </c>
      <c r="I49" s="4497"/>
      <c r="J49" s="4497"/>
      <c r="K49" s="4502">
        <f>+G49</f>
        <v>22200</v>
      </c>
      <c r="L49" s="4497"/>
      <c r="M49" s="4497"/>
      <c r="N49" s="4503"/>
    </row>
    <row r="50" spans="2:14">
      <c r="B50" s="4483" t="s">
        <v>6535</v>
      </c>
      <c r="C50" s="4504" t="s">
        <v>606</v>
      </c>
      <c r="D50" s="4497">
        <v>450</v>
      </c>
      <c r="E50" s="4497"/>
      <c r="F50" s="4497"/>
      <c r="G50" s="4501">
        <f t="shared" si="2"/>
        <v>450</v>
      </c>
      <c r="H50" s="4497">
        <f t="shared" si="3"/>
        <v>450</v>
      </c>
      <c r="I50" s="4497"/>
      <c r="J50" s="4497"/>
      <c r="K50" s="4502">
        <f>+G50</f>
        <v>450</v>
      </c>
      <c r="L50" s="4497"/>
      <c r="M50" s="4497"/>
      <c r="N50" s="4503"/>
    </row>
    <row r="51" spans="2:14">
      <c r="B51" s="4505" t="s">
        <v>6992</v>
      </c>
      <c r="C51" s="4504" t="s">
        <v>6691</v>
      </c>
      <c r="D51" s="4497">
        <v>2509.8200000000002</v>
      </c>
      <c r="E51" s="4497"/>
      <c r="F51" s="4497">
        <v>1209.82</v>
      </c>
      <c r="G51" s="4501">
        <f t="shared" si="2"/>
        <v>1300.0000000000002</v>
      </c>
      <c r="H51" s="4497">
        <f t="shared" si="3"/>
        <v>1300.0000000000002</v>
      </c>
      <c r="I51" s="4497"/>
      <c r="J51" s="4497">
        <f>+G51</f>
        <v>1300.0000000000002</v>
      </c>
      <c r="K51" s="4502"/>
      <c r="L51" s="4497"/>
      <c r="M51" s="4497"/>
      <c r="N51" s="4503"/>
    </row>
    <row r="52" spans="2:14">
      <c r="B52" s="4483" t="s">
        <v>6536</v>
      </c>
      <c r="C52" s="4504" t="s">
        <v>6691</v>
      </c>
      <c r="D52" s="4497">
        <v>0</v>
      </c>
      <c r="E52" s="4497"/>
      <c r="F52" s="4497"/>
      <c r="G52" s="4501">
        <f t="shared" si="2"/>
        <v>0</v>
      </c>
      <c r="H52" s="4497">
        <f t="shared" si="3"/>
        <v>0</v>
      </c>
      <c r="I52" s="4497"/>
      <c r="J52" s="4497"/>
      <c r="K52" s="4502">
        <f>+G52</f>
        <v>0</v>
      </c>
      <c r="L52" s="4497"/>
      <c r="M52" s="4497"/>
      <c r="N52" s="4503"/>
    </row>
    <row r="53" spans="2:14">
      <c r="B53" s="4507" t="s">
        <v>5012</v>
      </c>
      <c r="C53" s="4504" t="s">
        <v>6692</v>
      </c>
      <c r="D53" s="4497">
        <v>1292.4000000000001</v>
      </c>
      <c r="E53" s="4497"/>
      <c r="F53" s="4497">
        <v>1292.4000000000001</v>
      </c>
      <c r="G53" s="4501">
        <f t="shared" si="2"/>
        <v>0</v>
      </c>
      <c r="H53" s="4497">
        <f t="shared" si="3"/>
        <v>0</v>
      </c>
      <c r="I53" s="4497">
        <f>G53</f>
        <v>0</v>
      </c>
      <c r="J53" s="4497"/>
      <c r="K53" s="4502"/>
      <c r="L53" s="4497"/>
      <c r="M53" s="4497"/>
      <c r="N53" s="4503"/>
    </row>
    <row r="54" spans="2:14">
      <c r="B54" s="4505" t="s">
        <v>5020</v>
      </c>
      <c r="C54" s="4504" t="s">
        <v>6692</v>
      </c>
      <c r="D54" s="4497">
        <v>15000</v>
      </c>
      <c r="E54" s="4497"/>
      <c r="F54" s="4497"/>
      <c r="G54" s="4501">
        <f t="shared" si="2"/>
        <v>15000</v>
      </c>
      <c r="H54" s="4497">
        <f t="shared" si="3"/>
        <v>15000</v>
      </c>
      <c r="I54" s="4497"/>
      <c r="J54" s="4497">
        <f>+G54</f>
        <v>15000</v>
      </c>
      <c r="K54" s="4502"/>
      <c r="L54" s="4497"/>
      <c r="M54" s="4497"/>
      <c r="N54" s="4503"/>
    </row>
    <row r="55" spans="2:14">
      <c r="B55" s="4483" t="s">
        <v>5075</v>
      </c>
      <c r="C55" s="4504" t="s">
        <v>6692</v>
      </c>
      <c r="D55" s="4497">
        <v>28803.420000000006</v>
      </c>
      <c r="E55" s="4497"/>
      <c r="F55" s="4497"/>
      <c r="G55" s="4501">
        <f t="shared" si="2"/>
        <v>28803.420000000006</v>
      </c>
      <c r="H55" s="4497">
        <f t="shared" si="3"/>
        <v>28803.420000000006</v>
      </c>
      <c r="I55" s="4497"/>
      <c r="J55" s="4497"/>
      <c r="K55" s="4502">
        <f>G55</f>
        <v>28803.420000000006</v>
      </c>
      <c r="L55" s="4497"/>
      <c r="M55" s="4497"/>
      <c r="N55" s="4503"/>
    </row>
    <row r="56" spans="2:14">
      <c r="B56" s="4507" t="s">
        <v>6765</v>
      </c>
      <c r="C56" s="4504" t="s">
        <v>471</v>
      </c>
      <c r="D56" s="4497">
        <v>3000</v>
      </c>
      <c r="E56" s="4497"/>
      <c r="F56" s="4497">
        <v>376.06</v>
      </c>
      <c r="G56" s="4501">
        <f t="shared" si="2"/>
        <v>2623.94</v>
      </c>
      <c r="H56" s="4497">
        <f t="shared" si="3"/>
        <v>2623.94</v>
      </c>
      <c r="I56" s="4497">
        <f>G56</f>
        <v>2623.94</v>
      </c>
      <c r="J56" s="4497"/>
      <c r="K56" s="4502"/>
      <c r="L56" s="4497"/>
      <c r="M56" s="4497"/>
      <c r="N56" s="4503"/>
    </row>
    <row r="57" spans="2:14">
      <c r="B57" s="4505" t="s">
        <v>6993</v>
      </c>
      <c r="C57" s="4504" t="s">
        <v>471</v>
      </c>
      <c r="D57" s="4497">
        <v>28000</v>
      </c>
      <c r="E57" s="4497"/>
      <c r="F57" s="4497"/>
      <c r="G57" s="4501">
        <f t="shared" si="2"/>
        <v>28000</v>
      </c>
      <c r="H57" s="4497">
        <f t="shared" si="3"/>
        <v>28000</v>
      </c>
      <c r="I57" s="4497"/>
      <c r="J57" s="4497">
        <f>G57</f>
        <v>28000</v>
      </c>
      <c r="K57" s="4502"/>
      <c r="L57" s="4497"/>
      <c r="M57" s="4497"/>
      <c r="N57" s="4503"/>
    </row>
    <row r="58" spans="2:14">
      <c r="B58" s="4483" t="s">
        <v>6693</v>
      </c>
      <c r="C58" s="4504" t="s">
        <v>471</v>
      </c>
      <c r="D58" s="4497">
        <v>300</v>
      </c>
      <c r="E58" s="4497"/>
      <c r="F58" s="4497">
        <v>300</v>
      </c>
      <c r="G58" s="4501">
        <f t="shared" si="2"/>
        <v>0</v>
      </c>
      <c r="H58" s="4497">
        <f t="shared" si="3"/>
        <v>0</v>
      </c>
      <c r="I58" s="4497"/>
      <c r="J58" s="4497"/>
      <c r="K58" s="4502">
        <f>+G58</f>
        <v>0</v>
      </c>
      <c r="L58" s="4497"/>
      <c r="M58" s="4497"/>
      <c r="N58" s="4503"/>
    </row>
    <row r="59" spans="2:14">
      <c r="B59" s="4483" t="s">
        <v>6540</v>
      </c>
      <c r="C59" s="4504" t="s">
        <v>2621</v>
      </c>
      <c r="D59" s="4497">
        <v>459793.83</v>
      </c>
      <c r="E59" s="4497"/>
      <c r="F59" s="4508">
        <v>182685.07</v>
      </c>
      <c r="G59" s="4501">
        <f t="shared" si="2"/>
        <v>277108.76</v>
      </c>
      <c r="H59" s="4497">
        <f t="shared" si="3"/>
        <v>277108.76</v>
      </c>
      <c r="I59" s="4497"/>
      <c r="J59" s="4497"/>
      <c r="K59" s="4502">
        <f>+G59</f>
        <v>277108.76</v>
      </c>
      <c r="L59" s="4497"/>
      <c r="M59" s="4497"/>
      <c r="N59" s="4503"/>
    </row>
    <row r="60" spans="2:14">
      <c r="B60" s="4507" t="s">
        <v>7202</v>
      </c>
      <c r="C60" s="4504" t="s">
        <v>7203</v>
      </c>
      <c r="D60" s="4497">
        <v>31207.68</v>
      </c>
      <c r="E60" s="4497"/>
      <c r="F60" s="8656">
        <v>6826.68</v>
      </c>
      <c r="G60" s="4501">
        <f t="shared" si="2"/>
        <v>24381</v>
      </c>
      <c r="H60" s="4497">
        <f t="shared" si="3"/>
        <v>24381</v>
      </c>
      <c r="I60" s="4497">
        <f>G60</f>
        <v>24381</v>
      </c>
      <c r="J60" s="4497"/>
      <c r="K60" s="4502"/>
      <c r="L60" s="4497"/>
      <c r="M60" s="4497"/>
      <c r="N60" s="4503"/>
    </row>
    <row r="61" spans="2:14" ht="13.5">
      <c r="B61" s="4483" t="s">
        <v>7204</v>
      </c>
      <c r="C61" s="4504" t="s">
        <v>3540</v>
      </c>
      <c r="D61" s="4497">
        <v>20.16</v>
      </c>
      <c r="E61" s="8657"/>
      <c r="F61" s="4497"/>
      <c r="G61" s="4501">
        <f t="shared" si="2"/>
        <v>20.16</v>
      </c>
      <c r="H61" s="4497">
        <f t="shared" si="3"/>
        <v>20.16</v>
      </c>
      <c r="I61" s="4497"/>
      <c r="J61" s="4497"/>
      <c r="K61" s="4502">
        <f t="shared" ref="K61:K69" si="5">+G61</f>
        <v>20.16</v>
      </c>
      <c r="L61" s="4497"/>
      <c r="M61" s="4497"/>
      <c r="N61" s="4503"/>
    </row>
    <row r="62" spans="2:14">
      <c r="B62" s="4483" t="s">
        <v>6694</v>
      </c>
      <c r="C62" s="4504" t="s">
        <v>841</v>
      </c>
      <c r="D62" s="4497">
        <v>20446.2</v>
      </c>
      <c r="E62" s="4497"/>
      <c r="F62" s="4497"/>
      <c r="G62" s="4501">
        <f t="shared" si="2"/>
        <v>20446.2</v>
      </c>
      <c r="H62" s="4497">
        <f t="shared" si="3"/>
        <v>20446.2</v>
      </c>
      <c r="I62" s="4497"/>
      <c r="J62" s="4497"/>
      <c r="K62" s="4502">
        <f t="shared" si="5"/>
        <v>20446.2</v>
      </c>
      <c r="L62" s="4497"/>
      <c r="M62" s="4497"/>
      <c r="N62" s="4503"/>
    </row>
    <row r="63" spans="2:14">
      <c r="B63" s="4483" t="s">
        <v>6541</v>
      </c>
      <c r="C63" s="4504" t="s">
        <v>5150</v>
      </c>
      <c r="D63" s="4497">
        <v>0</v>
      </c>
      <c r="E63" s="4497"/>
      <c r="F63" s="4497"/>
      <c r="G63" s="4501">
        <f t="shared" si="2"/>
        <v>0</v>
      </c>
      <c r="H63" s="4497">
        <f t="shared" si="3"/>
        <v>0</v>
      </c>
      <c r="I63" s="4497"/>
      <c r="J63" s="4497"/>
      <c r="K63" s="4502">
        <f t="shared" si="5"/>
        <v>0</v>
      </c>
      <c r="L63" s="4497"/>
      <c r="M63" s="4497"/>
      <c r="N63" s="4503"/>
    </row>
    <row r="64" spans="2:14">
      <c r="B64" s="4483" t="s">
        <v>6542</v>
      </c>
      <c r="C64" s="4504" t="s">
        <v>6695</v>
      </c>
      <c r="D64" s="4497">
        <v>59844.68</v>
      </c>
      <c r="E64" s="4497"/>
      <c r="F64" s="4497"/>
      <c r="G64" s="4501">
        <f t="shared" si="2"/>
        <v>59844.68</v>
      </c>
      <c r="H64" s="4497">
        <f t="shared" si="3"/>
        <v>59844.68</v>
      </c>
      <c r="I64" s="4497"/>
      <c r="J64" s="4497"/>
      <c r="K64" s="4502">
        <f t="shared" si="5"/>
        <v>59844.68</v>
      </c>
      <c r="L64" s="4497"/>
      <c r="M64" s="4497"/>
      <c r="N64" s="4503"/>
    </row>
    <row r="65" spans="2:14">
      <c r="B65" s="4483" t="s">
        <v>6696</v>
      </c>
      <c r="C65" s="4504" t="s">
        <v>6697</v>
      </c>
      <c r="D65" s="4497">
        <v>37040</v>
      </c>
      <c r="E65" s="4497"/>
      <c r="F65" s="4497">
        <v>7000</v>
      </c>
      <c r="G65" s="4501">
        <f t="shared" si="2"/>
        <v>30040</v>
      </c>
      <c r="H65" s="4497">
        <f t="shared" si="3"/>
        <v>30040</v>
      </c>
      <c r="I65" s="4497"/>
      <c r="J65" s="4497"/>
      <c r="K65" s="4502">
        <f t="shared" si="5"/>
        <v>30040</v>
      </c>
      <c r="L65" s="4497"/>
      <c r="M65" s="4497"/>
      <c r="N65" s="4503"/>
    </row>
    <row r="66" spans="2:14">
      <c r="B66" s="4483" t="s">
        <v>6543</v>
      </c>
      <c r="C66" s="4504" t="s">
        <v>27</v>
      </c>
      <c r="D66" s="4497">
        <v>11700</v>
      </c>
      <c r="E66" s="4497"/>
      <c r="F66" s="4497"/>
      <c r="G66" s="4501">
        <f t="shared" si="2"/>
        <v>11700</v>
      </c>
      <c r="H66" s="4497">
        <f t="shared" si="3"/>
        <v>11700</v>
      </c>
      <c r="I66" s="4497"/>
      <c r="J66" s="4497"/>
      <c r="K66" s="4502">
        <f t="shared" si="5"/>
        <v>11700</v>
      </c>
      <c r="L66" s="4497"/>
      <c r="M66" s="4497"/>
      <c r="N66" s="4503"/>
    </row>
    <row r="67" spans="2:14">
      <c r="B67" s="4483" t="s">
        <v>6544</v>
      </c>
      <c r="C67" s="4504" t="s">
        <v>1507</v>
      </c>
      <c r="D67" s="4497">
        <v>2000</v>
      </c>
      <c r="E67" s="4497"/>
      <c r="F67" s="4497"/>
      <c r="G67" s="4501">
        <f t="shared" si="2"/>
        <v>2000</v>
      </c>
      <c r="H67" s="4497">
        <f t="shared" si="3"/>
        <v>2000</v>
      </c>
      <c r="I67" s="4497"/>
      <c r="J67" s="4497"/>
      <c r="K67" s="4502">
        <f t="shared" si="5"/>
        <v>2000</v>
      </c>
      <c r="L67" s="4497"/>
      <c r="M67" s="4497"/>
      <c r="N67" s="4503"/>
    </row>
    <row r="68" spans="2:14">
      <c r="B68" s="4483" t="s">
        <v>6545</v>
      </c>
      <c r="C68" s="4504" t="s">
        <v>29</v>
      </c>
      <c r="D68" s="4497">
        <v>20000</v>
      </c>
      <c r="E68" s="4497"/>
      <c r="F68" s="4497"/>
      <c r="G68" s="4501">
        <f t="shared" si="2"/>
        <v>20000</v>
      </c>
      <c r="H68" s="4497">
        <f t="shared" si="3"/>
        <v>20000</v>
      </c>
      <c r="I68" s="4497"/>
      <c r="J68" s="4497"/>
      <c r="K68" s="4502">
        <f t="shared" si="5"/>
        <v>20000</v>
      </c>
      <c r="L68" s="4497"/>
      <c r="M68" s="4497"/>
      <c r="N68" s="4503"/>
    </row>
    <row r="69" spans="2:14">
      <c r="B69" s="4483" t="s">
        <v>6546</v>
      </c>
      <c r="C69" s="4504" t="s">
        <v>30</v>
      </c>
      <c r="D69" s="4497">
        <v>8400</v>
      </c>
      <c r="E69" s="4497"/>
      <c r="F69" s="4497"/>
      <c r="G69" s="4501">
        <f t="shared" si="2"/>
        <v>8400</v>
      </c>
      <c r="H69" s="4497">
        <f t="shared" si="3"/>
        <v>8400</v>
      </c>
      <c r="I69" s="4497"/>
      <c r="J69" s="4497"/>
      <c r="K69" s="4502">
        <f t="shared" si="5"/>
        <v>8400</v>
      </c>
      <c r="L69" s="4497"/>
      <c r="M69" s="4497"/>
      <c r="N69" s="4503"/>
    </row>
    <row r="70" spans="2:14">
      <c r="B70" s="4509" t="s">
        <v>6643</v>
      </c>
      <c r="C70" s="4504" t="s">
        <v>6698</v>
      </c>
      <c r="D70" s="4497">
        <v>0</v>
      </c>
      <c r="E70" s="4510"/>
      <c r="F70" s="4497"/>
      <c r="G70" s="4501">
        <f t="shared" si="2"/>
        <v>0</v>
      </c>
      <c r="H70" s="4497">
        <f t="shared" si="3"/>
        <v>0</v>
      </c>
      <c r="I70" s="4497"/>
      <c r="J70" s="4497">
        <f>G70</f>
        <v>0</v>
      </c>
      <c r="K70" s="4502"/>
      <c r="L70" s="4497"/>
      <c r="M70" s="4497"/>
      <c r="N70" s="4503"/>
    </row>
    <row r="71" spans="2:14">
      <c r="B71" s="4483" t="s">
        <v>6547</v>
      </c>
      <c r="C71" s="4504" t="s">
        <v>6698</v>
      </c>
      <c r="D71" s="4497">
        <v>12000</v>
      </c>
      <c r="E71" s="4497"/>
      <c r="F71" s="4497"/>
      <c r="G71" s="4501">
        <f t="shared" si="2"/>
        <v>12000</v>
      </c>
      <c r="H71" s="4497">
        <f t="shared" si="3"/>
        <v>12000</v>
      </c>
      <c r="I71" s="4497"/>
      <c r="J71" s="4497"/>
      <c r="K71" s="4502">
        <f>+G71</f>
        <v>12000</v>
      </c>
      <c r="L71" s="4497"/>
      <c r="M71" s="4497"/>
      <c r="N71" s="4503"/>
    </row>
    <row r="72" spans="2:14">
      <c r="B72" s="4507" t="s">
        <v>6699</v>
      </c>
      <c r="C72" s="4504" t="s">
        <v>281</v>
      </c>
      <c r="D72" s="4497">
        <v>0</v>
      </c>
      <c r="E72" s="4497"/>
      <c r="F72" s="4497"/>
      <c r="G72" s="4501">
        <f t="shared" si="2"/>
        <v>0</v>
      </c>
      <c r="H72" s="4497">
        <f t="shared" si="3"/>
        <v>0</v>
      </c>
      <c r="I72" s="4497">
        <f>+G72</f>
        <v>0</v>
      </c>
      <c r="J72" s="4497"/>
      <c r="K72" s="4502"/>
      <c r="L72" s="4497"/>
      <c r="M72" s="4497"/>
      <c r="N72" s="4503"/>
    </row>
    <row r="73" spans="2:14">
      <c r="B73" s="4509" t="s">
        <v>6700</v>
      </c>
      <c r="C73" s="4504" t="s">
        <v>281</v>
      </c>
      <c r="D73" s="4497">
        <v>96639.37</v>
      </c>
      <c r="E73" s="4497"/>
      <c r="F73" s="4497">
        <f>3.11+6407.54</f>
        <v>6410.65</v>
      </c>
      <c r="G73" s="4501">
        <f t="shared" si="2"/>
        <v>90228.72</v>
      </c>
      <c r="H73" s="4497">
        <f t="shared" si="3"/>
        <v>90228.72</v>
      </c>
      <c r="I73" s="4497"/>
      <c r="J73" s="4497">
        <f>+G73</f>
        <v>90228.72</v>
      </c>
      <c r="K73" s="4502"/>
      <c r="L73" s="4497"/>
      <c r="M73" s="4497"/>
      <c r="N73" s="4503"/>
    </row>
    <row r="74" spans="2:14">
      <c r="B74" s="4483" t="s">
        <v>6701</v>
      </c>
      <c r="C74" s="4504" t="s">
        <v>281</v>
      </c>
      <c r="D74" s="4497">
        <v>5085.0000000000255</v>
      </c>
      <c r="E74" s="4497"/>
      <c r="F74" s="4497"/>
      <c r="G74" s="4501">
        <f t="shared" si="2"/>
        <v>5085.0000000000255</v>
      </c>
      <c r="H74" s="4497">
        <f t="shared" si="3"/>
        <v>5085.0000000000255</v>
      </c>
      <c r="I74" s="4497"/>
      <c r="J74" s="4497"/>
      <c r="K74" s="4502">
        <f>+G74</f>
        <v>5085.0000000000255</v>
      </c>
      <c r="L74" s="4497"/>
      <c r="M74" s="4497"/>
      <c r="N74" s="4503"/>
    </row>
    <row r="75" spans="2:14">
      <c r="B75" s="4483" t="s">
        <v>6702</v>
      </c>
      <c r="C75" s="4504" t="s">
        <v>6703</v>
      </c>
      <c r="D75" s="4497">
        <v>13393</v>
      </c>
      <c r="E75" s="4497"/>
      <c r="F75" s="4497"/>
      <c r="G75" s="4501">
        <f t="shared" si="2"/>
        <v>13393</v>
      </c>
      <c r="H75" s="4497">
        <f t="shared" si="3"/>
        <v>13393</v>
      </c>
      <c r="I75" s="4497"/>
      <c r="J75" s="4497"/>
      <c r="K75" s="4502">
        <f>+G75</f>
        <v>13393</v>
      </c>
      <c r="L75" s="4497"/>
      <c r="M75" s="4497"/>
      <c r="N75" s="4503"/>
    </row>
    <row r="76" spans="2:14">
      <c r="B76" s="4483" t="s">
        <v>6706</v>
      </c>
      <c r="C76" s="4504" t="s">
        <v>6705</v>
      </c>
      <c r="D76" s="4497">
        <v>27912.880000000001</v>
      </c>
      <c r="E76" s="4497"/>
      <c r="F76" s="4497"/>
      <c r="G76" s="4501">
        <f t="shared" si="2"/>
        <v>27912.880000000001</v>
      </c>
      <c r="H76" s="4497">
        <f t="shared" si="3"/>
        <v>27912.880000000001</v>
      </c>
      <c r="I76" s="4497"/>
      <c r="J76" s="4497"/>
      <c r="K76" s="4502">
        <f>+G76</f>
        <v>27912.880000000001</v>
      </c>
      <c r="L76" s="4497"/>
      <c r="M76" s="4497"/>
      <c r="N76" s="4503"/>
    </row>
    <row r="77" spans="2:14">
      <c r="B77" s="4509" t="s">
        <v>6707</v>
      </c>
      <c r="C77" s="4504" t="s">
        <v>3855</v>
      </c>
      <c r="D77" s="4497">
        <v>6109.19</v>
      </c>
      <c r="E77" s="4497"/>
      <c r="F77" s="4497"/>
      <c r="G77" s="4501">
        <f t="shared" si="2"/>
        <v>6109.19</v>
      </c>
      <c r="H77" s="4497">
        <f t="shared" si="3"/>
        <v>6109.19</v>
      </c>
      <c r="I77" s="4497"/>
      <c r="J77" s="4497">
        <f>+G77</f>
        <v>6109.19</v>
      </c>
      <c r="K77" s="4502"/>
      <c r="L77" s="4497"/>
      <c r="M77" s="4497"/>
      <c r="N77" s="4503"/>
    </row>
    <row r="78" spans="2:14">
      <c r="B78" s="4483" t="s">
        <v>6550</v>
      </c>
      <c r="C78" s="4504" t="s">
        <v>3855</v>
      </c>
      <c r="D78" s="4497">
        <v>50402.86</v>
      </c>
      <c r="E78" s="4497"/>
      <c r="F78" s="4497">
        <v>6000</v>
      </c>
      <c r="G78" s="4501">
        <f t="shared" si="2"/>
        <v>44402.86</v>
      </c>
      <c r="H78" s="4497">
        <f t="shared" si="3"/>
        <v>44402.86</v>
      </c>
      <c r="I78" s="4497"/>
      <c r="J78" s="4497"/>
      <c r="K78" s="4502">
        <f>+G78</f>
        <v>44402.86</v>
      </c>
      <c r="L78" s="4497"/>
      <c r="M78" s="4497"/>
      <c r="N78" s="4503"/>
    </row>
    <row r="79" spans="2:14">
      <c r="B79" s="4483" t="s">
        <v>6994</v>
      </c>
      <c r="C79" s="4504" t="s">
        <v>6995</v>
      </c>
      <c r="D79" s="4497">
        <v>200</v>
      </c>
      <c r="E79" s="4497"/>
      <c r="F79" s="4497"/>
      <c r="G79" s="4501">
        <f t="shared" si="2"/>
        <v>200</v>
      </c>
      <c r="H79" s="4497">
        <f t="shared" si="3"/>
        <v>200</v>
      </c>
      <c r="I79" s="4497"/>
      <c r="J79" s="4497"/>
      <c r="K79" s="4502">
        <f>+G79</f>
        <v>200</v>
      </c>
      <c r="L79" s="4497"/>
      <c r="M79" s="4497"/>
      <c r="N79" s="4503"/>
    </row>
    <row r="80" spans="2:14">
      <c r="B80" s="4507" t="s">
        <v>6996</v>
      </c>
      <c r="C80" s="4504" t="s">
        <v>6709</v>
      </c>
      <c r="D80" s="4497">
        <v>151905.46000000002</v>
      </c>
      <c r="E80" s="4508"/>
      <c r="F80" s="4497">
        <v>14614.87</v>
      </c>
      <c r="G80" s="4501">
        <f t="shared" si="2"/>
        <v>137290.59000000003</v>
      </c>
      <c r="H80" s="4497">
        <f t="shared" si="3"/>
        <v>137290.59000000003</v>
      </c>
      <c r="I80" s="4497">
        <f>G80</f>
        <v>137290.59000000003</v>
      </c>
      <c r="J80" s="4497"/>
      <c r="K80" s="4502"/>
      <c r="L80" s="4497"/>
      <c r="M80" s="4497"/>
      <c r="N80" s="4503"/>
    </row>
    <row r="81" spans="2:14">
      <c r="B81" s="4483" t="s">
        <v>6708</v>
      </c>
      <c r="C81" s="4504" t="s">
        <v>6709</v>
      </c>
      <c r="D81" s="4497">
        <v>84000</v>
      </c>
      <c r="E81" s="4497"/>
      <c r="F81" s="4497">
        <v>9000</v>
      </c>
      <c r="G81" s="4501">
        <f t="shared" si="2"/>
        <v>75000</v>
      </c>
      <c r="H81" s="4497">
        <f t="shared" si="3"/>
        <v>75000</v>
      </c>
      <c r="I81" s="4497"/>
      <c r="J81" s="4497"/>
      <c r="K81" s="4502">
        <f>+G81</f>
        <v>75000</v>
      </c>
      <c r="L81" s="4497"/>
      <c r="M81" s="4497"/>
      <c r="N81" s="4503"/>
    </row>
    <row r="82" spans="2:14">
      <c r="B82" s="4483" t="s">
        <v>6997</v>
      </c>
      <c r="C82" s="4504" t="s">
        <v>307</v>
      </c>
      <c r="D82" s="4497">
        <v>6300</v>
      </c>
      <c r="E82" s="4497"/>
      <c r="F82" s="4497"/>
      <c r="G82" s="4501">
        <f t="shared" si="2"/>
        <v>6300</v>
      </c>
      <c r="H82" s="4497">
        <f t="shared" si="3"/>
        <v>6300</v>
      </c>
      <c r="I82" s="4497"/>
      <c r="J82" s="4497"/>
      <c r="K82" s="4502">
        <f>+G82</f>
        <v>6300</v>
      </c>
      <c r="L82" s="4497"/>
      <c r="M82" s="4497"/>
      <c r="N82" s="4503"/>
    </row>
    <row r="83" spans="2:14">
      <c r="B83" s="4483" t="s">
        <v>6552</v>
      </c>
      <c r="C83" s="4504" t="s">
        <v>6710</v>
      </c>
      <c r="D83" s="4497">
        <v>0</v>
      </c>
      <c r="E83" s="4497"/>
      <c r="F83" s="4497"/>
      <c r="G83" s="4501">
        <f t="shared" si="2"/>
        <v>0</v>
      </c>
      <c r="H83" s="4497">
        <f t="shared" si="3"/>
        <v>0</v>
      </c>
      <c r="I83" s="4497"/>
      <c r="J83" s="4497"/>
      <c r="K83" s="4502">
        <f>+G83</f>
        <v>0</v>
      </c>
      <c r="L83" s="4497"/>
      <c r="M83" s="4497"/>
      <c r="N83" s="4503"/>
    </row>
    <row r="84" spans="2:14">
      <c r="B84" s="4483" t="s">
        <v>6553</v>
      </c>
      <c r="C84" s="4504" t="s">
        <v>2507</v>
      </c>
      <c r="D84" s="4497">
        <v>3422.43</v>
      </c>
      <c r="E84" s="4497">
        <v>16472</v>
      </c>
      <c r="F84" s="4497"/>
      <c r="G84" s="4501">
        <f t="shared" si="2"/>
        <v>19894.43</v>
      </c>
      <c r="H84" s="4497">
        <f t="shared" si="3"/>
        <v>19894.43</v>
      </c>
      <c r="I84" s="4497"/>
      <c r="J84" s="4497"/>
      <c r="K84" s="4502">
        <f>+G84</f>
        <v>19894.43</v>
      </c>
      <c r="L84" s="4497"/>
      <c r="M84" s="4497"/>
      <c r="N84" s="4503"/>
    </row>
    <row r="85" spans="2:14">
      <c r="B85" s="4507" t="s">
        <v>6601</v>
      </c>
      <c r="C85" s="4504" t="s">
        <v>1360</v>
      </c>
      <c r="D85" s="4497">
        <v>13941.76</v>
      </c>
      <c r="E85" s="4497"/>
      <c r="F85" s="4497">
        <v>2887.36</v>
      </c>
      <c r="G85" s="4501">
        <f t="shared" si="2"/>
        <v>11054.4</v>
      </c>
      <c r="H85" s="4497">
        <f t="shared" si="3"/>
        <v>11054.4</v>
      </c>
      <c r="I85" s="4497">
        <f>+G85</f>
        <v>11054.4</v>
      </c>
      <c r="J85" s="4497"/>
      <c r="K85" s="4502"/>
      <c r="L85" s="4497"/>
      <c r="M85" s="4497"/>
      <c r="N85" s="4503"/>
    </row>
    <row r="86" spans="2:14">
      <c r="B86" s="4483" t="s">
        <v>6603</v>
      </c>
      <c r="C86" s="4504" t="s">
        <v>1360</v>
      </c>
      <c r="D86" s="4497">
        <v>6000</v>
      </c>
      <c r="E86" s="4497"/>
      <c r="F86" s="4497"/>
      <c r="G86" s="4501">
        <f t="shared" si="2"/>
        <v>6000</v>
      </c>
      <c r="H86" s="4497">
        <f t="shared" si="3"/>
        <v>6000</v>
      </c>
      <c r="I86" s="4497"/>
      <c r="J86" s="4497"/>
      <c r="K86" s="4502">
        <f>+G86</f>
        <v>6000</v>
      </c>
      <c r="L86" s="4497"/>
      <c r="M86" s="4497"/>
      <c r="N86" s="4503"/>
    </row>
    <row r="87" spans="2:14">
      <c r="B87" s="4509" t="s">
        <v>5097</v>
      </c>
      <c r="C87" s="4504" t="s">
        <v>1665</v>
      </c>
      <c r="D87" s="4497">
        <v>2500</v>
      </c>
      <c r="E87" s="4497"/>
      <c r="F87" s="4497"/>
      <c r="G87" s="4501">
        <f t="shared" si="2"/>
        <v>2500</v>
      </c>
      <c r="H87" s="4497">
        <f t="shared" si="3"/>
        <v>2500</v>
      </c>
      <c r="I87" s="4511"/>
      <c r="J87" s="4508">
        <f>+G87</f>
        <v>2500</v>
      </c>
      <c r="K87" s="4502"/>
      <c r="L87" s="4497"/>
      <c r="M87" s="4497"/>
      <c r="N87" s="4503"/>
    </row>
    <row r="88" spans="2:14">
      <c r="B88" s="4483" t="s">
        <v>6555</v>
      </c>
      <c r="C88" s="4504" t="s">
        <v>1665</v>
      </c>
      <c r="D88" s="4497">
        <v>0</v>
      </c>
      <c r="E88" s="4497"/>
      <c r="F88" s="4497"/>
      <c r="G88" s="4501">
        <f t="shared" si="2"/>
        <v>0</v>
      </c>
      <c r="H88" s="4497">
        <f t="shared" si="3"/>
        <v>0</v>
      </c>
      <c r="I88" s="4497"/>
      <c r="J88" s="4497"/>
      <c r="K88" s="4502">
        <f>+G88</f>
        <v>0</v>
      </c>
      <c r="L88" s="4497"/>
      <c r="M88" s="4497"/>
      <c r="N88" s="4503"/>
    </row>
    <row r="89" spans="2:14">
      <c r="B89" s="4483" t="s">
        <v>6556</v>
      </c>
      <c r="C89" s="4504" t="s">
        <v>148</v>
      </c>
      <c r="D89" s="4497">
        <v>1013.97</v>
      </c>
      <c r="E89" s="4497">
        <v>1420.03</v>
      </c>
      <c r="F89" s="4497"/>
      <c r="G89" s="4501">
        <f t="shared" si="2"/>
        <v>2434</v>
      </c>
      <c r="H89" s="4497">
        <f t="shared" si="3"/>
        <v>2434</v>
      </c>
      <c r="I89" s="4497"/>
      <c r="J89" s="4497"/>
      <c r="K89" s="4502">
        <f>+G89</f>
        <v>2434</v>
      </c>
      <c r="L89" s="4497"/>
      <c r="M89" s="4497"/>
      <c r="N89" s="4503"/>
    </row>
    <row r="90" spans="2:14">
      <c r="B90" s="4507" t="s">
        <v>6711</v>
      </c>
      <c r="C90" s="4504" t="s">
        <v>6712</v>
      </c>
      <c r="D90" s="4497">
        <v>287.08</v>
      </c>
      <c r="E90" s="4497"/>
      <c r="F90" s="4497">
        <v>88.09</v>
      </c>
      <c r="G90" s="4501">
        <f t="shared" ref="G90:G145" si="6">+D90+E90-F90</f>
        <v>198.98999999999998</v>
      </c>
      <c r="H90" s="4497">
        <f t="shared" ref="H90:H136" si="7">+SUM(I90:M90)</f>
        <v>198.98999999999998</v>
      </c>
      <c r="I90" s="4511">
        <f>+G90</f>
        <v>198.98999999999998</v>
      </c>
      <c r="J90" s="4508"/>
      <c r="K90" s="4502"/>
      <c r="L90" s="4497"/>
      <c r="M90" s="4497"/>
      <c r="N90" s="4503"/>
    </row>
    <row r="91" spans="2:14">
      <c r="B91" s="4483" t="s">
        <v>6557</v>
      </c>
      <c r="C91" s="4504" t="s">
        <v>6712</v>
      </c>
      <c r="D91" s="4497">
        <v>66541.77</v>
      </c>
      <c r="E91" s="4497"/>
      <c r="F91" s="4522">
        <v>6145.54</v>
      </c>
      <c r="G91" s="4501">
        <f t="shared" si="6"/>
        <v>60396.23</v>
      </c>
      <c r="H91" s="4497">
        <f t="shared" si="7"/>
        <v>60396.23</v>
      </c>
      <c r="I91" s="4511"/>
      <c r="J91" s="4508"/>
      <c r="K91" s="4502">
        <f>+G91</f>
        <v>60396.23</v>
      </c>
      <c r="L91" s="4497"/>
      <c r="M91" s="4497"/>
      <c r="N91" s="4503"/>
    </row>
    <row r="92" spans="2:14">
      <c r="B92" s="4483" t="s">
        <v>6558</v>
      </c>
      <c r="C92" s="4504" t="s">
        <v>3862</v>
      </c>
      <c r="D92" s="4497">
        <v>5000</v>
      </c>
      <c r="E92" s="4497"/>
      <c r="F92" s="4497"/>
      <c r="G92" s="4501">
        <f t="shared" si="6"/>
        <v>5000</v>
      </c>
      <c r="H92" s="4497">
        <f t="shared" si="7"/>
        <v>5000</v>
      </c>
      <c r="I92" s="4511"/>
      <c r="J92" s="4508"/>
      <c r="K92" s="4502">
        <f>+G92</f>
        <v>5000</v>
      </c>
      <c r="L92" s="4497"/>
      <c r="M92" s="4497"/>
      <c r="N92" s="4503"/>
    </row>
    <row r="93" spans="2:14">
      <c r="B93" s="4507" t="s">
        <v>6803</v>
      </c>
      <c r="C93" s="4504" t="s">
        <v>2003</v>
      </c>
      <c r="D93" s="4497">
        <v>26.78</v>
      </c>
      <c r="E93" s="4497"/>
      <c r="F93" s="4497">
        <v>5.66</v>
      </c>
      <c r="G93" s="4501">
        <f t="shared" si="6"/>
        <v>21.12</v>
      </c>
      <c r="H93" s="4497">
        <f t="shared" si="7"/>
        <v>21.12</v>
      </c>
      <c r="I93" s="4511">
        <f>+G93</f>
        <v>21.12</v>
      </c>
      <c r="J93" s="4508"/>
      <c r="K93" s="4502"/>
      <c r="L93" s="4497"/>
      <c r="M93" s="4497"/>
      <c r="N93" s="4503"/>
    </row>
    <row r="94" spans="2:14">
      <c r="B94" s="4509" t="s">
        <v>6713</v>
      </c>
      <c r="C94" s="4504" t="s">
        <v>2003</v>
      </c>
      <c r="D94" s="4497">
        <v>13816.189999999999</v>
      </c>
      <c r="E94" s="4497"/>
      <c r="F94" s="4497"/>
      <c r="G94" s="4501">
        <f t="shared" si="6"/>
        <v>13816.189999999999</v>
      </c>
      <c r="H94" s="4497">
        <f t="shared" si="7"/>
        <v>13816.189999999999</v>
      </c>
      <c r="I94" s="4511"/>
      <c r="J94" s="4508">
        <f>+G94</f>
        <v>13816.189999999999</v>
      </c>
      <c r="K94" s="4502"/>
      <c r="L94" s="4497"/>
      <c r="M94" s="4497"/>
      <c r="N94" s="4503"/>
    </row>
    <row r="95" spans="2:14">
      <c r="B95" s="4483" t="s">
        <v>6714</v>
      </c>
      <c r="C95" s="4504" t="s">
        <v>2003</v>
      </c>
      <c r="D95" s="4497">
        <v>0</v>
      </c>
      <c r="E95" s="4497"/>
      <c r="F95" s="4497"/>
      <c r="G95" s="4501">
        <f t="shared" si="6"/>
        <v>0</v>
      </c>
      <c r="H95" s="4497">
        <f t="shared" si="7"/>
        <v>0</v>
      </c>
      <c r="I95" s="4511"/>
      <c r="J95" s="4508"/>
      <c r="K95" s="4502">
        <f>+G95</f>
        <v>0</v>
      </c>
      <c r="L95" s="4497"/>
      <c r="M95" s="4497"/>
      <c r="N95" s="4503"/>
    </row>
    <row r="96" spans="2:14">
      <c r="B96" s="4483" t="s">
        <v>6561</v>
      </c>
      <c r="C96" s="4504" t="s">
        <v>3817</v>
      </c>
      <c r="D96" s="4497">
        <v>12660</v>
      </c>
      <c r="E96" s="4497"/>
      <c r="F96" s="4497"/>
      <c r="G96" s="4501">
        <f t="shared" si="6"/>
        <v>12660</v>
      </c>
      <c r="H96" s="4497">
        <f t="shared" si="7"/>
        <v>12660</v>
      </c>
      <c r="I96" s="4497"/>
      <c r="J96" s="4511"/>
      <c r="K96" s="4502">
        <f>+G96</f>
        <v>12660</v>
      </c>
      <c r="L96" s="4497"/>
      <c r="M96" s="4497"/>
      <c r="N96" s="4503"/>
    </row>
    <row r="97" spans="2:14">
      <c r="B97" s="4483" t="s">
        <v>6715</v>
      </c>
      <c r="C97" s="4504" t="s">
        <v>1006</v>
      </c>
      <c r="D97" s="4497">
        <v>11980</v>
      </c>
      <c r="E97" s="4497"/>
      <c r="F97" s="4497"/>
      <c r="G97" s="4501">
        <f t="shared" si="6"/>
        <v>11980</v>
      </c>
      <c r="H97" s="4497">
        <f t="shared" si="7"/>
        <v>11980</v>
      </c>
      <c r="I97" s="4497"/>
      <c r="J97" s="4497"/>
      <c r="K97" s="4502">
        <f>+G97</f>
        <v>11980</v>
      </c>
      <c r="L97" s="4497"/>
      <c r="M97" s="4497"/>
      <c r="N97" s="4503"/>
    </row>
    <row r="98" spans="2:14">
      <c r="B98" s="4507" t="s">
        <v>6805</v>
      </c>
      <c r="C98" s="4504" t="s">
        <v>956</v>
      </c>
      <c r="D98" s="4497">
        <v>0</v>
      </c>
      <c r="E98" s="4522">
        <v>49108.37</v>
      </c>
      <c r="F98" s="4497"/>
      <c r="G98" s="4501">
        <f t="shared" si="6"/>
        <v>49108.37</v>
      </c>
      <c r="H98" s="4497">
        <f t="shared" si="7"/>
        <v>49108.37</v>
      </c>
      <c r="I98" s="4497">
        <f>+G98</f>
        <v>49108.37</v>
      </c>
      <c r="J98" s="4497"/>
      <c r="K98" s="4502"/>
      <c r="L98" s="4497"/>
      <c r="M98" s="4497"/>
      <c r="N98" s="4503"/>
    </row>
    <row r="99" spans="2:14">
      <c r="B99" s="4483" t="s">
        <v>6563</v>
      </c>
      <c r="C99" s="4504" t="s">
        <v>956</v>
      </c>
      <c r="D99" s="4497">
        <v>6767.94</v>
      </c>
      <c r="E99" s="4497"/>
      <c r="F99" s="4497">
        <v>1593.1</v>
      </c>
      <c r="G99" s="4501">
        <f t="shared" si="6"/>
        <v>5174.84</v>
      </c>
      <c r="H99" s="4497">
        <f t="shared" si="7"/>
        <v>5174.84</v>
      </c>
      <c r="I99" s="4497"/>
      <c r="J99" s="4497"/>
      <c r="K99" s="4502">
        <f>+G99</f>
        <v>5174.84</v>
      </c>
      <c r="L99" s="4497"/>
      <c r="M99" s="4497"/>
      <c r="N99" s="4503"/>
    </row>
    <row r="100" spans="2:14">
      <c r="B100" s="4507" t="s">
        <v>6716</v>
      </c>
      <c r="C100" s="4504" t="s">
        <v>6717</v>
      </c>
      <c r="D100" s="4497">
        <v>600</v>
      </c>
      <c r="E100" s="4497"/>
      <c r="F100" s="4497">
        <v>600</v>
      </c>
      <c r="G100" s="4501">
        <f t="shared" si="6"/>
        <v>0</v>
      </c>
      <c r="H100" s="4497">
        <f t="shared" si="7"/>
        <v>0</v>
      </c>
      <c r="I100" s="4497">
        <f>+G100</f>
        <v>0</v>
      </c>
      <c r="J100" s="4497"/>
      <c r="K100" s="4502"/>
      <c r="L100" s="4497"/>
      <c r="M100" s="4497"/>
      <c r="N100" s="4503"/>
    </row>
    <row r="101" spans="2:14">
      <c r="B101" s="4483" t="s">
        <v>6718</v>
      </c>
      <c r="C101" s="4504" t="s">
        <v>6717</v>
      </c>
      <c r="D101" s="4497">
        <v>18788.09</v>
      </c>
      <c r="E101" s="4497"/>
      <c r="F101" s="4497"/>
      <c r="G101" s="4501">
        <f t="shared" si="6"/>
        <v>18788.09</v>
      </c>
      <c r="H101" s="4497">
        <f t="shared" si="7"/>
        <v>18788.09</v>
      </c>
      <c r="I101" s="4497"/>
      <c r="J101" s="4497"/>
      <c r="K101" s="4502">
        <f>+G101</f>
        <v>18788.09</v>
      </c>
      <c r="L101" s="4497"/>
      <c r="M101" s="4497"/>
      <c r="N101" s="4503"/>
    </row>
    <row r="102" spans="2:14">
      <c r="B102" s="4483" t="s">
        <v>5375</v>
      </c>
      <c r="C102" s="4504" t="s">
        <v>1089</v>
      </c>
      <c r="D102" s="4497">
        <v>2901.38</v>
      </c>
      <c r="E102" s="4497"/>
      <c r="F102" s="4497"/>
      <c r="G102" s="4501">
        <f t="shared" si="6"/>
        <v>2901.38</v>
      </c>
      <c r="H102" s="4497">
        <f t="shared" si="7"/>
        <v>2901.38</v>
      </c>
      <c r="I102" s="4497"/>
      <c r="J102" s="4497"/>
      <c r="K102" s="4502">
        <f>+G102</f>
        <v>2901.38</v>
      </c>
      <c r="L102" s="4497"/>
      <c r="M102" s="4497"/>
      <c r="N102" s="4503"/>
    </row>
    <row r="103" spans="2:14">
      <c r="B103" s="4507" t="s">
        <v>6608</v>
      </c>
      <c r="C103" s="4504" t="s">
        <v>2694</v>
      </c>
      <c r="D103" s="4497">
        <v>8037.1500000000005</v>
      </c>
      <c r="E103" s="4497"/>
      <c r="F103" s="4497">
        <v>580.87</v>
      </c>
      <c r="G103" s="4501">
        <f t="shared" si="6"/>
        <v>7456.2800000000007</v>
      </c>
      <c r="H103" s="4497">
        <f t="shared" si="7"/>
        <v>7456.2800000000007</v>
      </c>
      <c r="I103" s="4497">
        <f>+G103</f>
        <v>7456.2800000000007</v>
      </c>
      <c r="J103" s="4497"/>
      <c r="K103" s="4502"/>
      <c r="L103" s="4497"/>
      <c r="M103" s="4497"/>
      <c r="N103" s="4503"/>
    </row>
    <row r="104" spans="2:14">
      <c r="B104" s="4483" t="s">
        <v>6565</v>
      </c>
      <c r="C104" s="4504" t="s">
        <v>2694</v>
      </c>
      <c r="D104" s="4497">
        <v>3298.72</v>
      </c>
      <c r="E104" s="4497"/>
      <c r="F104" s="4497"/>
      <c r="G104" s="4501">
        <f t="shared" si="6"/>
        <v>3298.72</v>
      </c>
      <c r="H104" s="4497">
        <f t="shared" si="7"/>
        <v>3298.72</v>
      </c>
      <c r="I104" s="4497"/>
      <c r="J104" s="4497"/>
      <c r="K104" s="4502">
        <f t="shared" ref="K104:K113" si="8">+G104</f>
        <v>3298.72</v>
      </c>
      <c r="L104" s="4497"/>
      <c r="M104" s="4497"/>
      <c r="N104" s="4503"/>
    </row>
    <row r="105" spans="2:14">
      <c r="B105" s="4483" t="s">
        <v>6808</v>
      </c>
      <c r="C105" s="4504" t="s">
        <v>4141</v>
      </c>
      <c r="D105" s="4497">
        <v>100</v>
      </c>
      <c r="E105" s="4497"/>
      <c r="F105" s="4497"/>
      <c r="G105" s="4501">
        <f t="shared" si="6"/>
        <v>100</v>
      </c>
      <c r="H105" s="4497">
        <f t="shared" si="7"/>
        <v>100</v>
      </c>
      <c r="I105" s="4497"/>
      <c r="J105" s="4497"/>
      <c r="K105" s="4502">
        <f t="shared" si="8"/>
        <v>100</v>
      </c>
      <c r="L105" s="4497"/>
      <c r="M105" s="4497"/>
      <c r="N105" s="4503"/>
    </row>
    <row r="106" spans="2:14">
      <c r="B106" s="4483" t="s">
        <v>6566</v>
      </c>
      <c r="C106" s="4504" t="s">
        <v>3341</v>
      </c>
      <c r="D106" s="4497">
        <v>2869.12</v>
      </c>
      <c r="E106" s="4497"/>
      <c r="F106" s="4497"/>
      <c r="G106" s="4501">
        <f t="shared" si="6"/>
        <v>2869.12</v>
      </c>
      <c r="H106" s="4497">
        <f t="shared" si="7"/>
        <v>2869.12</v>
      </c>
      <c r="I106" s="4497"/>
      <c r="J106" s="4497"/>
      <c r="K106" s="4502">
        <f t="shared" si="8"/>
        <v>2869.12</v>
      </c>
      <c r="L106" s="4497"/>
      <c r="M106" s="4497"/>
      <c r="N106" s="4503"/>
    </row>
    <row r="107" spans="2:14">
      <c r="B107" s="4483" t="s">
        <v>6998</v>
      </c>
      <c r="C107" s="4504" t="s">
        <v>3364</v>
      </c>
      <c r="D107" s="4497">
        <v>5000</v>
      </c>
      <c r="E107" s="4497"/>
      <c r="F107" s="4497"/>
      <c r="G107" s="4501">
        <f t="shared" si="6"/>
        <v>5000</v>
      </c>
      <c r="H107" s="4497">
        <f t="shared" si="7"/>
        <v>5000</v>
      </c>
      <c r="I107" s="4497"/>
      <c r="J107" s="4497"/>
      <c r="K107" s="4502">
        <f t="shared" si="8"/>
        <v>5000</v>
      </c>
      <c r="L107" s="4497"/>
      <c r="M107" s="4497"/>
      <c r="N107" s="4503"/>
    </row>
    <row r="108" spans="2:14">
      <c r="B108" s="4483" t="s">
        <v>6567</v>
      </c>
      <c r="C108" s="4504" t="s">
        <v>6568</v>
      </c>
      <c r="D108" s="4497">
        <v>0</v>
      </c>
      <c r="E108" s="4497"/>
      <c r="F108" s="4497"/>
      <c r="G108" s="4501">
        <f t="shared" si="6"/>
        <v>0</v>
      </c>
      <c r="H108" s="4497">
        <f t="shared" si="7"/>
        <v>0</v>
      </c>
      <c r="I108" s="4497"/>
      <c r="J108" s="4497"/>
      <c r="K108" s="4502">
        <f t="shared" si="8"/>
        <v>0</v>
      </c>
      <c r="L108" s="4497"/>
      <c r="M108" s="4497"/>
      <c r="N108" s="4503"/>
    </row>
    <row r="109" spans="2:14">
      <c r="B109" s="4483" t="s">
        <v>6721</v>
      </c>
      <c r="C109" s="4504" t="s">
        <v>39</v>
      </c>
      <c r="D109" s="4497">
        <v>750.22</v>
      </c>
      <c r="E109" s="4497"/>
      <c r="F109" s="4497"/>
      <c r="G109" s="4501">
        <f t="shared" si="6"/>
        <v>750.22</v>
      </c>
      <c r="H109" s="4497">
        <f t="shared" si="7"/>
        <v>750.22</v>
      </c>
      <c r="I109" s="4497"/>
      <c r="J109" s="4497"/>
      <c r="K109" s="4502">
        <f t="shared" si="8"/>
        <v>750.22</v>
      </c>
      <c r="L109" s="4497"/>
      <c r="M109" s="4497"/>
      <c r="N109" s="4503"/>
    </row>
    <row r="110" spans="2:14">
      <c r="B110" s="4483" t="s">
        <v>6570</v>
      </c>
      <c r="C110" s="4504" t="s">
        <v>4163</v>
      </c>
      <c r="D110" s="4497">
        <v>1904.02</v>
      </c>
      <c r="E110" s="4497"/>
      <c r="F110" s="4497"/>
      <c r="G110" s="4501">
        <f t="shared" si="6"/>
        <v>1904.02</v>
      </c>
      <c r="H110" s="4497">
        <f t="shared" si="7"/>
        <v>1904.02</v>
      </c>
      <c r="I110" s="4497"/>
      <c r="J110" s="4497"/>
      <c r="K110" s="4502">
        <f t="shared" si="8"/>
        <v>1904.02</v>
      </c>
      <c r="L110" s="4497"/>
      <c r="M110" s="4497"/>
      <c r="N110" s="4503"/>
    </row>
    <row r="111" spans="2:14">
      <c r="B111" s="4483" t="s">
        <v>6662</v>
      </c>
      <c r="C111" s="4504" t="s">
        <v>40</v>
      </c>
      <c r="D111" s="4497">
        <v>3893.47</v>
      </c>
      <c r="E111" s="4508"/>
      <c r="F111" s="4497"/>
      <c r="G111" s="4501">
        <f t="shared" si="6"/>
        <v>3893.47</v>
      </c>
      <c r="H111" s="4497">
        <f t="shared" si="7"/>
        <v>3893.47</v>
      </c>
      <c r="I111" s="4497"/>
      <c r="J111" s="4497"/>
      <c r="K111" s="4502">
        <f t="shared" si="8"/>
        <v>3893.47</v>
      </c>
      <c r="L111" s="4497"/>
      <c r="M111" s="4497"/>
      <c r="N111" s="4503"/>
    </row>
    <row r="112" spans="2:14">
      <c r="B112" s="4483" t="s">
        <v>6572</v>
      </c>
      <c r="C112" s="4504" t="s">
        <v>6722</v>
      </c>
      <c r="D112" s="4497">
        <v>2620.7999999999993</v>
      </c>
      <c r="E112" s="4497"/>
      <c r="F112" s="4497"/>
      <c r="G112" s="4501">
        <f t="shared" si="6"/>
        <v>2620.7999999999993</v>
      </c>
      <c r="H112" s="4497">
        <f t="shared" si="7"/>
        <v>2620.7999999999993</v>
      </c>
      <c r="I112" s="4497"/>
      <c r="J112" s="4497"/>
      <c r="K112" s="4502">
        <f t="shared" si="8"/>
        <v>2620.7999999999993</v>
      </c>
      <c r="L112" s="4497"/>
      <c r="M112" s="4497"/>
      <c r="N112" s="4503"/>
    </row>
    <row r="113" spans="2:14">
      <c r="B113" s="4483" t="s">
        <v>6573</v>
      </c>
      <c r="C113" s="4504" t="s">
        <v>4183</v>
      </c>
      <c r="D113" s="4497">
        <v>200</v>
      </c>
      <c r="E113" s="4497"/>
      <c r="F113" s="4497">
        <v>200</v>
      </c>
      <c r="G113" s="4501">
        <f t="shared" si="6"/>
        <v>0</v>
      </c>
      <c r="H113" s="4497">
        <f t="shared" si="7"/>
        <v>0</v>
      </c>
      <c r="I113" s="4497"/>
      <c r="J113" s="4497"/>
      <c r="K113" s="4502">
        <f t="shared" si="8"/>
        <v>0</v>
      </c>
      <c r="L113" s="4497"/>
      <c r="M113" s="4497"/>
      <c r="N113" s="4503"/>
    </row>
    <row r="114" spans="2:14">
      <c r="B114" s="4509" t="s">
        <v>6575</v>
      </c>
      <c r="C114" s="4504" t="s">
        <v>6726</v>
      </c>
      <c r="D114" s="4497">
        <v>51683.86</v>
      </c>
      <c r="E114" s="4497"/>
      <c r="F114" s="4497"/>
      <c r="G114" s="4501">
        <f t="shared" si="6"/>
        <v>51683.86</v>
      </c>
      <c r="H114" s="4497">
        <f t="shared" si="7"/>
        <v>51683.86</v>
      </c>
      <c r="I114" s="4497"/>
      <c r="J114" s="4497">
        <f>+G114</f>
        <v>51683.86</v>
      </c>
      <c r="K114" s="4502"/>
      <c r="L114" s="4497"/>
      <c r="M114" s="4497"/>
      <c r="N114" s="4503"/>
    </row>
    <row r="115" spans="2:14">
      <c r="B115" s="4483" t="s">
        <v>6576</v>
      </c>
      <c r="C115" s="4504" t="s">
        <v>6726</v>
      </c>
      <c r="D115" s="4497">
        <v>5200</v>
      </c>
      <c r="E115" s="4497"/>
      <c r="F115" s="4497"/>
      <c r="G115" s="4501">
        <f t="shared" si="6"/>
        <v>5200</v>
      </c>
      <c r="H115" s="4497">
        <f t="shared" si="7"/>
        <v>5200</v>
      </c>
      <c r="I115" s="4497"/>
      <c r="J115" s="4497"/>
      <c r="K115" s="4502">
        <f>+G115</f>
        <v>5200</v>
      </c>
      <c r="L115" s="4497"/>
      <c r="M115" s="4497"/>
      <c r="N115" s="4503"/>
    </row>
    <row r="116" spans="2:14">
      <c r="B116" s="4507" t="s">
        <v>6577</v>
      </c>
      <c r="C116" s="4504" t="s">
        <v>894</v>
      </c>
      <c r="D116" s="4497">
        <v>2429.96</v>
      </c>
      <c r="F116" s="4497">
        <v>860.69</v>
      </c>
      <c r="G116" s="4501">
        <f t="shared" si="6"/>
        <v>1569.27</v>
      </c>
      <c r="H116" s="4497">
        <f t="shared" si="7"/>
        <v>1569.27</v>
      </c>
      <c r="I116" s="4497">
        <f>+G116</f>
        <v>1569.27</v>
      </c>
      <c r="J116" s="4497"/>
      <c r="K116" s="4502"/>
      <c r="L116" s="4497"/>
      <c r="M116" s="4497"/>
      <c r="N116" s="4503"/>
    </row>
    <row r="117" spans="2:14">
      <c r="B117" s="4509" t="s">
        <v>6578</v>
      </c>
      <c r="C117" s="4504" t="s">
        <v>894</v>
      </c>
      <c r="D117" s="4497">
        <v>91840</v>
      </c>
      <c r="E117" s="4497"/>
      <c r="F117" s="4497">
        <v>9840</v>
      </c>
      <c r="G117" s="4501">
        <f t="shared" si="6"/>
        <v>82000</v>
      </c>
      <c r="H117" s="4497">
        <f t="shared" si="7"/>
        <v>82000</v>
      </c>
      <c r="I117" s="4497"/>
      <c r="J117" s="4497">
        <f>+G117</f>
        <v>82000</v>
      </c>
      <c r="K117" s="4502"/>
      <c r="L117" s="4497"/>
      <c r="M117" s="4497"/>
      <c r="N117" s="4503"/>
    </row>
    <row r="118" spans="2:14">
      <c r="B118" s="4483" t="s">
        <v>6579</v>
      </c>
      <c r="C118" s="4504" t="s">
        <v>894</v>
      </c>
      <c r="D118" s="4497">
        <v>24379.45</v>
      </c>
      <c r="E118" s="4497"/>
      <c r="F118" s="4522">
        <v>9819.4500000000007</v>
      </c>
      <c r="G118" s="4501">
        <f t="shared" si="6"/>
        <v>14560</v>
      </c>
      <c r="H118" s="4497">
        <f t="shared" si="7"/>
        <v>14560</v>
      </c>
      <c r="I118" s="4497"/>
      <c r="J118" s="4497"/>
      <c r="K118" s="4502">
        <f>+G118</f>
        <v>14560</v>
      </c>
      <c r="L118" s="4497"/>
      <c r="M118" s="4497"/>
      <c r="N118" s="4503"/>
    </row>
    <row r="119" spans="2:14">
      <c r="B119" s="4509" t="s">
        <v>6580</v>
      </c>
      <c r="C119" s="4504" t="s">
        <v>3542</v>
      </c>
      <c r="D119" s="4497">
        <v>159.04</v>
      </c>
      <c r="E119" s="4497"/>
      <c r="F119" s="4497"/>
      <c r="G119" s="4501">
        <f t="shared" si="6"/>
        <v>159.04</v>
      </c>
      <c r="H119" s="4497">
        <f t="shared" si="7"/>
        <v>159.04</v>
      </c>
      <c r="I119" s="4497"/>
      <c r="J119" s="4497">
        <f>+G119</f>
        <v>159.04</v>
      </c>
      <c r="K119" s="4502"/>
      <c r="L119" s="4497"/>
      <c r="M119" s="4497"/>
      <c r="N119" s="4503"/>
    </row>
    <row r="120" spans="2:14">
      <c r="B120" s="4483" t="s">
        <v>6727</v>
      </c>
      <c r="C120" s="4504" t="s">
        <v>419</v>
      </c>
      <c r="D120" s="4497">
        <v>1170</v>
      </c>
      <c r="E120" s="4497"/>
      <c r="F120" s="4497"/>
      <c r="G120" s="4501">
        <f t="shared" si="6"/>
        <v>1170</v>
      </c>
      <c r="H120" s="4497">
        <f t="shared" si="7"/>
        <v>1170</v>
      </c>
      <c r="I120" s="4497"/>
      <c r="J120" s="4497"/>
      <c r="K120" s="4502">
        <f>+G120</f>
        <v>1170</v>
      </c>
      <c r="L120" s="4497"/>
      <c r="M120" s="4497"/>
      <c r="N120" s="4503"/>
    </row>
    <row r="121" spans="2:14">
      <c r="B121" s="4483" t="s">
        <v>6732</v>
      </c>
      <c r="C121" s="4504" t="s">
        <v>3462</v>
      </c>
      <c r="D121" s="4497">
        <v>500</v>
      </c>
      <c r="E121" s="4497"/>
      <c r="F121" s="4497"/>
      <c r="G121" s="4501">
        <f t="shared" si="6"/>
        <v>500</v>
      </c>
      <c r="H121" s="4497">
        <f t="shared" si="7"/>
        <v>500</v>
      </c>
      <c r="I121" s="4497"/>
      <c r="J121" s="4497"/>
      <c r="K121" s="4502">
        <f>+G121</f>
        <v>500</v>
      </c>
      <c r="L121" s="4497"/>
      <c r="M121" s="4497"/>
      <c r="N121" s="4503"/>
    </row>
    <row r="122" spans="2:14">
      <c r="B122" s="4507" t="s">
        <v>6581</v>
      </c>
      <c r="C122" s="4504" t="s">
        <v>6733</v>
      </c>
      <c r="D122" s="4497">
        <v>4980</v>
      </c>
      <c r="F122" s="4497"/>
      <c r="G122" s="4501">
        <f t="shared" si="6"/>
        <v>4980</v>
      </c>
      <c r="H122" s="4497">
        <f t="shared" si="7"/>
        <v>4980</v>
      </c>
      <c r="I122" s="4497">
        <f>+G122</f>
        <v>4980</v>
      </c>
      <c r="J122" s="4497"/>
      <c r="K122" s="4502"/>
      <c r="L122" s="4497"/>
      <c r="M122" s="4497"/>
      <c r="N122" s="4503"/>
    </row>
    <row r="123" spans="2:14">
      <c r="B123" s="4507" t="s">
        <v>6582</v>
      </c>
      <c r="C123" s="4504" t="s">
        <v>3079</v>
      </c>
      <c r="D123" s="4497">
        <v>1167087.1000000001</v>
      </c>
      <c r="E123" s="4497"/>
      <c r="F123" s="4522">
        <f>8869.75+49108.37</f>
        <v>57978.12</v>
      </c>
      <c r="G123" s="4501">
        <f t="shared" si="6"/>
        <v>1109108.98</v>
      </c>
      <c r="H123" s="4497">
        <f t="shared" si="7"/>
        <v>1109108.98</v>
      </c>
      <c r="I123" s="4508">
        <f>+G123</f>
        <v>1109108.98</v>
      </c>
      <c r="J123" s="4497"/>
      <c r="K123" s="4502"/>
      <c r="L123" s="4497"/>
      <c r="M123" s="4497"/>
      <c r="N123" s="4503"/>
    </row>
    <row r="124" spans="2:14">
      <c r="B124" s="4512" t="s">
        <v>6734</v>
      </c>
      <c r="C124" s="4504" t="s">
        <v>3034</v>
      </c>
      <c r="D124" s="4497">
        <v>0</v>
      </c>
      <c r="E124" s="4497"/>
      <c r="F124" s="4497"/>
      <c r="G124" s="4501">
        <f t="shared" si="6"/>
        <v>0</v>
      </c>
      <c r="H124" s="4497">
        <f t="shared" si="7"/>
        <v>0</v>
      </c>
      <c r="I124" s="4508"/>
      <c r="J124" s="4497"/>
      <c r="K124" s="4502"/>
      <c r="L124" s="4497">
        <f>+G124</f>
        <v>0</v>
      </c>
      <c r="M124" s="4497"/>
      <c r="N124" s="4503"/>
    </row>
    <row r="125" spans="2:14">
      <c r="B125" s="4512" t="s">
        <v>6735</v>
      </c>
      <c r="C125" s="4504" t="s">
        <v>3036</v>
      </c>
      <c r="D125" s="4497">
        <v>423188.3</v>
      </c>
      <c r="E125" s="4522"/>
      <c r="F125" s="4497"/>
      <c r="G125" s="4501">
        <f t="shared" si="6"/>
        <v>423188.3</v>
      </c>
      <c r="H125" s="4497">
        <f t="shared" si="7"/>
        <v>423188.3</v>
      </c>
      <c r="I125" s="4508"/>
      <c r="J125" s="4497"/>
      <c r="K125" s="4502"/>
      <c r="L125" s="4497">
        <f>+G125</f>
        <v>423188.3</v>
      </c>
      <c r="M125" s="4497"/>
      <c r="N125" s="4503"/>
    </row>
    <row r="126" spans="2:14">
      <c r="B126" s="4512" t="s">
        <v>6736</v>
      </c>
      <c r="C126" s="4504" t="s">
        <v>3879</v>
      </c>
      <c r="D126" s="4497">
        <v>50279.23</v>
      </c>
      <c r="E126" s="4513"/>
      <c r="F126" s="4497"/>
      <c r="G126" s="4501">
        <f t="shared" si="6"/>
        <v>50279.23</v>
      </c>
      <c r="H126" s="4497">
        <f t="shared" si="7"/>
        <v>50279.23</v>
      </c>
      <c r="I126" s="4508"/>
      <c r="J126" s="4497"/>
      <c r="K126" s="4502"/>
      <c r="L126" s="4497">
        <f>+G126</f>
        <v>50279.23</v>
      </c>
      <c r="M126" s="4497"/>
      <c r="N126" s="4503"/>
    </row>
    <row r="127" spans="2:14">
      <c r="B127" s="4507" t="s">
        <v>7343</v>
      </c>
      <c r="C127" s="4504" t="s">
        <v>3034</v>
      </c>
      <c r="D127" s="4497">
        <v>0</v>
      </c>
      <c r="E127" s="4537"/>
      <c r="F127" s="4497"/>
      <c r="G127" s="4501">
        <f t="shared" si="6"/>
        <v>0</v>
      </c>
      <c r="H127" s="4497">
        <f t="shared" si="7"/>
        <v>0</v>
      </c>
      <c r="I127" s="4508">
        <f>+G127</f>
        <v>0</v>
      </c>
      <c r="J127" s="4497"/>
      <c r="K127" s="4502"/>
      <c r="L127" s="4497"/>
      <c r="M127" s="4497"/>
      <c r="N127" s="4503"/>
    </row>
    <row r="128" spans="2:14">
      <c r="B128" s="4507" t="s">
        <v>7344</v>
      </c>
      <c r="C128" s="4504" t="s">
        <v>3036</v>
      </c>
      <c r="D128" s="4497">
        <v>0</v>
      </c>
      <c r="E128" s="4537"/>
      <c r="F128" s="4497"/>
      <c r="G128" s="4501">
        <f t="shared" si="6"/>
        <v>0</v>
      </c>
      <c r="H128" s="4497">
        <f t="shared" si="7"/>
        <v>0</v>
      </c>
      <c r="I128" s="4508">
        <f>+G128</f>
        <v>0</v>
      </c>
      <c r="J128" s="4497"/>
      <c r="K128" s="4502"/>
      <c r="L128" s="4497"/>
      <c r="M128" s="4497"/>
      <c r="N128" s="4503"/>
    </row>
    <row r="129" spans="2:14">
      <c r="B129" s="4483" t="s">
        <v>7345</v>
      </c>
      <c r="C129" s="4504" t="s">
        <v>3034</v>
      </c>
      <c r="D129" s="4497">
        <v>0</v>
      </c>
      <c r="E129" s="4537"/>
      <c r="F129" s="4497"/>
      <c r="G129" s="4501">
        <f t="shared" si="6"/>
        <v>0</v>
      </c>
      <c r="H129" s="4497">
        <f t="shared" si="7"/>
        <v>0</v>
      </c>
      <c r="I129" s="4508"/>
      <c r="J129" s="4497"/>
      <c r="K129" s="4502">
        <f>+G129</f>
        <v>0</v>
      </c>
      <c r="L129" s="4497"/>
      <c r="M129" s="4497"/>
      <c r="N129" s="4503"/>
    </row>
    <row r="130" spans="2:14">
      <c r="B130" s="4483" t="s">
        <v>7346</v>
      </c>
      <c r="C130" s="4504" t="s">
        <v>3036</v>
      </c>
      <c r="D130" s="4497">
        <v>0</v>
      </c>
      <c r="E130" s="4537"/>
      <c r="F130" s="4497"/>
      <c r="G130" s="4501">
        <f t="shared" si="6"/>
        <v>0</v>
      </c>
      <c r="H130" s="4497">
        <f t="shared" si="7"/>
        <v>0</v>
      </c>
      <c r="I130" s="4508"/>
      <c r="J130" s="4497"/>
      <c r="K130" s="4502">
        <f>+G130</f>
        <v>0</v>
      </c>
      <c r="L130" s="4497"/>
      <c r="M130" s="4497"/>
      <c r="N130" s="4503"/>
    </row>
    <row r="131" spans="2:14">
      <c r="B131" s="4483" t="s">
        <v>7347</v>
      </c>
      <c r="C131" s="4504" t="s">
        <v>3053</v>
      </c>
      <c r="D131" s="4497">
        <v>0</v>
      </c>
      <c r="E131" s="4537"/>
      <c r="F131" s="4497"/>
      <c r="G131" s="4501">
        <f t="shared" si="6"/>
        <v>0</v>
      </c>
      <c r="H131" s="4497">
        <f t="shared" si="7"/>
        <v>0</v>
      </c>
      <c r="I131" s="4508"/>
      <c r="J131" s="4497"/>
      <c r="K131" s="4502">
        <f>+G131</f>
        <v>0</v>
      </c>
      <c r="L131" s="4497"/>
      <c r="M131" s="4497"/>
      <c r="N131" s="4503"/>
    </row>
    <row r="132" spans="2:14">
      <c r="B132" s="4507" t="s">
        <v>6737</v>
      </c>
      <c r="C132" s="4504" t="s">
        <v>671</v>
      </c>
      <c r="D132" s="4497">
        <v>545</v>
      </c>
      <c r="E132" s="4497"/>
      <c r="F132" s="4497">
        <v>59</v>
      </c>
      <c r="G132" s="4501">
        <f t="shared" si="6"/>
        <v>486</v>
      </c>
      <c r="H132" s="4497">
        <f t="shared" si="7"/>
        <v>486</v>
      </c>
      <c r="I132" s="4508">
        <f>+G132</f>
        <v>486</v>
      </c>
      <c r="J132" s="4497"/>
      <c r="K132" s="4502"/>
      <c r="L132" s="4497"/>
      <c r="M132" s="4497"/>
      <c r="N132" s="4503"/>
    </row>
    <row r="133" spans="2:14">
      <c r="B133" s="4483" t="s">
        <v>5694</v>
      </c>
      <c r="C133" s="4504" t="s">
        <v>671</v>
      </c>
      <c r="D133" s="4497">
        <v>28310.479999999996</v>
      </c>
      <c r="E133" s="4497"/>
      <c r="F133" s="4497"/>
      <c r="G133" s="4501">
        <f t="shared" si="6"/>
        <v>28310.479999999996</v>
      </c>
      <c r="H133" s="4497">
        <f t="shared" si="7"/>
        <v>28310.479999999996</v>
      </c>
      <c r="I133" s="4508"/>
      <c r="J133" s="4497"/>
      <c r="K133" s="4502">
        <f>+G133</f>
        <v>28310.479999999996</v>
      </c>
      <c r="L133" s="4497"/>
      <c r="M133" s="4497"/>
      <c r="N133" s="4503"/>
    </row>
    <row r="134" spans="2:14">
      <c r="B134" s="4509" t="s">
        <v>5252</v>
      </c>
      <c r="C134" s="4504" t="s">
        <v>39</v>
      </c>
      <c r="D134" s="4497">
        <v>42753.599999999999</v>
      </c>
      <c r="E134" s="4497"/>
      <c r="F134" s="4497">
        <v>315</v>
      </c>
      <c r="G134" s="4501">
        <f t="shared" si="6"/>
        <v>42438.6</v>
      </c>
      <c r="H134" s="4497">
        <f t="shared" si="7"/>
        <v>42438.6</v>
      </c>
      <c r="I134" s="4514"/>
      <c r="J134" s="4513">
        <f>+G134</f>
        <v>42438.6</v>
      </c>
      <c r="K134" s="4515"/>
      <c r="L134" s="4497"/>
      <c r="M134" s="4497"/>
      <c r="N134" s="4503"/>
    </row>
    <row r="135" spans="2:14">
      <c r="B135" s="4483" t="s">
        <v>5283</v>
      </c>
      <c r="C135" s="4504" t="s">
        <v>39</v>
      </c>
      <c r="D135" s="4497">
        <v>233258.84000000003</v>
      </c>
      <c r="E135" s="4497"/>
      <c r="F135" s="4497"/>
      <c r="G135" s="4501">
        <f t="shared" si="6"/>
        <v>233258.84000000003</v>
      </c>
      <c r="H135" s="4497">
        <f t="shared" si="7"/>
        <v>233258.84000000003</v>
      </c>
      <c r="I135" s="4514"/>
      <c r="J135" s="4513"/>
      <c r="K135" s="4515">
        <f>+G135</f>
        <v>233258.84000000003</v>
      </c>
      <c r="L135" s="4497"/>
      <c r="M135" s="4497"/>
      <c r="N135" s="4503"/>
    </row>
    <row r="136" spans="2:14">
      <c r="B136" s="4512" t="s">
        <v>6739</v>
      </c>
      <c r="C136" s="4504" t="s">
        <v>39</v>
      </c>
      <c r="D136" s="4497">
        <v>42311.18</v>
      </c>
      <c r="E136" s="4513"/>
      <c r="F136" s="4497"/>
      <c r="G136" s="4501">
        <f t="shared" si="6"/>
        <v>42311.18</v>
      </c>
      <c r="H136" s="4497">
        <f t="shared" si="7"/>
        <v>42311.18</v>
      </c>
      <c r="I136" s="4514"/>
      <c r="J136" s="4513"/>
      <c r="K136" s="4515"/>
      <c r="L136" s="4497">
        <f>+G136</f>
        <v>42311.18</v>
      </c>
      <c r="M136" s="4497"/>
      <c r="N136" s="4503"/>
    </row>
    <row r="137" spans="2:14">
      <c r="B137" s="4516" t="s">
        <v>6929</v>
      </c>
      <c r="C137" s="4504" t="s">
        <v>39</v>
      </c>
      <c r="D137" s="4497">
        <v>39500</v>
      </c>
      <c r="E137" s="4513"/>
      <c r="F137" s="4497"/>
      <c r="G137" s="4501">
        <f t="shared" si="6"/>
        <v>39500</v>
      </c>
      <c r="H137" s="4497">
        <f>SUM(I137:M137)</f>
        <v>39500</v>
      </c>
      <c r="I137" s="4514"/>
      <c r="J137" s="4513"/>
      <c r="K137" s="4515"/>
      <c r="L137" s="4497"/>
      <c r="M137" s="4497">
        <f>G137</f>
        <v>39500</v>
      </c>
      <c r="N137" s="4503"/>
    </row>
    <row r="138" spans="2:14">
      <c r="B138" s="4516" t="s">
        <v>7000</v>
      </c>
      <c r="C138" s="4504" t="s">
        <v>39</v>
      </c>
      <c r="D138" s="4497">
        <v>37765.46</v>
      </c>
      <c r="E138" s="4513"/>
      <c r="F138" s="4497"/>
      <c r="G138" s="4501">
        <f t="shared" si="6"/>
        <v>37765.46</v>
      </c>
      <c r="H138" s="4497">
        <f>SUM(I138:M138)</f>
        <v>37765.46</v>
      </c>
      <c r="I138" s="4514"/>
      <c r="J138" s="4513"/>
      <c r="K138" s="4515"/>
      <c r="L138" s="4497"/>
      <c r="M138" s="4497">
        <f>+G138</f>
        <v>37765.46</v>
      </c>
      <c r="N138" s="4503"/>
    </row>
    <row r="139" spans="2:14">
      <c r="B139" s="4509" t="s">
        <v>7205</v>
      </c>
      <c r="C139" s="4504" t="s">
        <v>4118</v>
      </c>
      <c r="D139" s="4497">
        <v>6300</v>
      </c>
      <c r="E139" s="4497"/>
      <c r="F139" s="4497"/>
      <c r="G139" s="4501">
        <f t="shared" si="6"/>
        <v>6300</v>
      </c>
      <c r="H139" s="4497">
        <f t="shared" ref="H139:H145" si="9">+SUM(I139:M139)</f>
        <v>6300</v>
      </c>
      <c r="I139" s="4514"/>
      <c r="J139" s="4513">
        <f>+G139</f>
        <v>6300</v>
      </c>
      <c r="K139" s="4515"/>
      <c r="L139" s="4497"/>
      <c r="M139" s="4497"/>
      <c r="N139" s="4503"/>
    </row>
    <row r="140" spans="2:14">
      <c r="B140" s="4507" t="s">
        <v>5544</v>
      </c>
      <c r="C140" s="4504" t="s">
        <v>40</v>
      </c>
      <c r="D140" s="4497">
        <v>75345.7</v>
      </c>
      <c r="E140" s="4497"/>
      <c r="F140" s="4497"/>
      <c r="G140" s="4501">
        <f t="shared" si="6"/>
        <v>75345.7</v>
      </c>
      <c r="H140" s="4497">
        <f t="shared" si="9"/>
        <v>75345.7</v>
      </c>
      <c r="I140" s="4514">
        <f>+G140</f>
        <v>75345.7</v>
      </c>
      <c r="J140" s="4513"/>
      <c r="K140" s="4515"/>
      <c r="L140" s="4497"/>
      <c r="M140" s="4497"/>
      <c r="N140" s="4503"/>
    </row>
    <row r="141" spans="2:14">
      <c r="B141" s="4483" t="s">
        <v>4825</v>
      </c>
      <c r="C141" s="4504" t="s">
        <v>40</v>
      </c>
      <c r="D141" s="4497">
        <v>19269.920000000002</v>
      </c>
      <c r="E141" s="4522">
        <v>10313.89</v>
      </c>
      <c r="F141" s="4497"/>
      <c r="G141" s="4501">
        <f t="shared" si="6"/>
        <v>29583.81</v>
      </c>
      <c r="H141" s="4497">
        <f t="shared" si="9"/>
        <v>29583.81</v>
      </c>
      <c r="I141" s="4514"/>
      <c r="J141" s="4513"/>
      <c r="K141" s="4515">
        <f>+G141</f>
        <v>29583.81</v>
      </c>
      <c r="L141" s="4497"/>
      <c r="M141" s="4497"/>
      <c r="N141" s="4503"/>
    </row>
    <row r="142" spans="2:14">
      <c r="B142" s="4517" t="s">
        <v>6744</v>
      </c>
      <c r="C142" s="4504" t="s">
        <v>40</v>
      </c>
      <c r="D142" s="4497">
        <v>18470.34</v>
      </c>
      <c r="E142" s="4513"/>
      <c r="F142" s="4497"/>
      <c r="G142" s="4501">
        <f t="shared" si="6"/>
        <v>18470.34</v>
      </c>
      <c r="H142" s="4497">
        <f t="shared" si="9"/>
        <v>18470.34</v>
      </c>
      <c r="I142" s="4514"/>
      <c r="J142" s="4513"/>
      <c r="K142" s="4515"/>
      <c r="L142" s="4497">
        <f>+G142</f>
        <v>18470.34</v>
      </c>
      <c r="M142" s="4497"/>
      <c r="N142" s="4503"/>
    </row>
    <row r="143" spans="2:14">
      <c r="B143" s="4512" t="s">
        <v>7001</v>
      </c>
      <c r="C143" s="4504" t="s">
        <v>40</v>
      </c>
      <c r="D143" s="4497">
        <v>6088</v>
      </c>
      <c r="E143" s="4513"/>
      <c r="F143" s="4497"/>
      <c r="G143" s="4501">
        <f t="shared" si="6"/>
        <v>6088</v>
      </c>
      <c r="H143" s="4497">
        <f t="shared" si="9"/>
        <v>6088</v>
      </c>
      <c r="I143" s="4514"/>
      <c r="J143" s="4513"/>
      <c r="K143" s="4515"/>
      <c r="L143" s="4497">
        <f>+G143</f>
        <v>6088</v>
      </c>
      <c r="M143" s="4497"/>
      <c r="N143" s="4503"/>
    </row>
    <row r="144" spans="2:14">
      <c r="B144" s="4483" t="s">
        <v>6586</v>
      </c>
      <c r="C144" s="4504" t="s">
        <v>5430</v>
      </c>
      <c r="D144" s="4497">
        <v>0</v>
      </c>
      <c r="E144" s="4513"/>
      <c r="F144" s="4497"/>
      <c r="G144" s="4501">
        <f t="shared" si="6"/>
        <v>0</v>
      </c>
      <c r="H144" s="4497">
        <f t="shared" si="9"/>
        <v>0</v>
      </c>
      <c r="I144" s="4514"/>
      <c r="J144" s="4513"/>
      <c r="K144" s="4515">
        <f>+G144</f>
        <v>0</v>
      </c>
      <c r="L144" s="4497"/>
      <c r="M144" s="4497"/>
      <c r="N144" s="4503"/>
    </row>
    <row r="145" spans="2:14">
      <c r="B145" s="4483" t="s">
        <v>6745</v>
      </c>
      <c r="C145" s="4504" t="s">
        <v>6746</v>
      </c>
      <c r="D145" s="4497">
        <v>22000</v>
      </c>
      <c r="E145" s="4497"/>
      <c r="F145" s="4497"/>
      <c r="G145" s="4501">
        <f t="shared" si="6"/>
        <v>22000</v>
      </c>
      <c r="H145" s="4497">
        <f t="shared" si="9"/>
        <v>22000</v>
      </c>
      <c r="I145" s="4497"/>
      <c r="J145" s="4497"/>
      <c r="K145" s="4497">
        <f>+G145</f>
        <v>22000</v>
      </c>
      <c r="L145" s="4498"/>
      <c r="M145" s="4498"/>
      <c r="N145" s="4503"/>
    </row>
    <row r="146" spans="2:14">
      <c r="B146" s="4504"/>
      <c r="C146" s="4518" t="s">
        <v>6587</v>
      </c>
      <c r="D146" s="1538">
        <f t="shared" ref="D146:M146" si="10">SUM(D26:D145)</f>
        <v>12272995.25</v>
      </c>
      <c r="E146" s="1537">
        <f t="shared" si="10"/>
        <v>137221.34000000003</v>
      </c>
      <c r="F146" s="1537">
        <f t="shared" si="10"/>
        <v>333388.43</v>
      </c>
      <c r="G146" s="1537">
        <f t="shared" si="10"/>
        <v>12076828.159999998</v>
      </c>
      <c r="H146" s="1537">
        <f t="shared" si="10"/>
        <v>12076828.159999998</v>
      </c>
      <c r="I146" s="1537">
        <f t="shared" si="10"/>
        <v>1426311.4</v>
      </c>
      <c r="J146" s="1537">
        <f t="shared" si="10"/>
        <v>463971.66999999993</v>
      </c>
      <c r="K146" s="1537">
        <f t="shared" si="10"/>
        <v>9568942.5800000019</v>
      </c>
      <c r="L146" s="1537">
        <f t="shared" si="10"/>
        <v>540337.04999999993</v>
      </c>
      <c r="M146" s="1537">
        <f t="shared" si="10"/>
        <v>77265.459999999992</v>
      </c>
      <c r="N146" s="4503"/>
    </row>
    <row r="147" spans="2:14">
      <c r="B147" s="1539"/>
      <c r="C147" s="1539"/>
      <c r="D147" s="3025"/>
      <c r="E147" s="1541"/>
      <c r="F147" s="1542"/>
      <c r="G147" s="3026"/>
      <c r="H147" s="1542"/>
      <c r="I147" s="1542"/>
      <c r="J147" s="4503"/>
      <c r="K147" s="4503"/>
      <c r="L147" s="4503"/>
      <c r="M147" s="4503"/>
      <c r="N147" s="4503"/>
    </row>
    <row r="148" spans="2:14">
      <c r="B148" s="1539"/>
      <c r="C148" s="1539"/>
      <c r="D148" s="3027"/>
      <c r="E148" s="1545"/>
      <c r="F148" s="8658"/>
      <c r="G148" s="1545"/>
      <c r="H148" s="1545"/>
      <c r="I148" s="1545"/>
      <c r="J148" s="4519"/>
      <c r="K148" s="4476"/>
      <c r="N148" s="4503"/>
    </row>
    <row r="149" spans="2:14" ht="25.5">
      <c r="B149" s="4488" t="s">
        <v>7</v>
      </c>
      <c r="C149" s="4488" t="s">
        <v>6505</v>
      </c>
      <c r="D149" s="4489" t="s">
        <v>6667</v>
      </c>
      <c r="E149" s="4489" t="s">
        <v>6678</v>
      </c>
      <c r="F149" s="4489" t="s">
        <v>6679</v>
      </c>
      <c r="G149" s="4489" t="s">
        <v>6680</v>
      </c>
      <c r="H149" s="4489" t="s">
        <v>6681</v>
      </c>
      <c r="I149" s="4490" t="s">
        <v>6488</v>
      </c>
      <c r="J149" s="4491" t="s">
        <v>6489</v>
      </c>
      <c r="K149" s="4492" t="s">
        <v>6508</v>
      </c>
      <c r="L149" s="4493" t="s">
        <v>6491</v>
      </c>
      <c r="M149" s="4494" t="s">
        <v>6492</v>
      </c>
      <c r="N149" s="4503"/>
    </row>
    <row r="150" spans="2:14">
      <c r="B150" s="4520" t="s">
        <v>6758</v>
      </c>
      <c r="C150" s="4521" t="s">
        <v>6759</v>
      </c>
      <c r="D150" s="4522"/>
      <c r="E150" s="4522"/>
      <c r="F150" s="4522"/>
      <c r="G150" s="4522"/>
      <c r="H150" s="4522"/>
      <c r="I150" s="4522"/>
      <c r="J150" s="4522"/>
      <c r="K150" s="4522"/>
      <c r="L150" s="4498"/>
      <c r="M150" s="4498"/>
      <c r="N150" s="4503"/>
    </row>
    <row r="151" spans="2:14">
      <c r="B151" s="4483" t="s">
        <v>6514</v>
      </c>
      <c r="C151" s="4504" t="s">
        <v>6760</v>
      </c>
      <c r="D151" s="4497">
        <v>8902539.5199999884</v>
      </c>
      <c r="E151" s="4497"/>
      <c r="F151" s="8659"/>
      <c r="G151" s="4501">
        <f t="shared" ref="G151:G200" si="11">+D151+E151-F151</f>
        <v>8902539.5199999884</v>
      </c>
      <c r="H151" s="4497">
        <f t="shared" ref="H151:H200" si="12">+SUM(I151:M151)</f>
        <v>8902539.5199999884</v>
      </c>
      <c r="I151" s="4497"/>
      <c r="J151" s="4497"/>
      <c r="K151" s="4497">
        <f t="shared" ref="K151:K157" si="13">+G151</f>
        <v>8902539.5199999884</v>
      </c>
      <c r="L151" s="4498"/>
      <c r="M151" s="4498"/>
      <c r="N151" s="4503"/>
    </row>
    <row r="152" spans="2:14">
      <c r="B152" s="4483" t="s">
        <v>6515</v>
      </c>
      <c r="C152" s="4504" t="s">
        <v>3013</v>
      </c>
      <c r="D152" s="4497">
        <v>1135912.31</v>
      </c>
      <c r="E152" s="4497"/>
      <c r="F152" s="4497"/>
      <c r="G152" s="4501">
        <f t="shared" si="11"/>
        <v>1135912.31</v>
      </c>
      <c r="H152" s="4497">
        <f t="shared" si="12"/>
        <v>1135912.31</v>
      </c>
      <c r="I152" s="4497"/>
      <c r="J152" s="4497"/>
      <c r="K152" s="4497">
        <f t="shared" si="13"/>
        <v>1135912.31</v>
      </c>
      <c r="L152" s="4498"/>
      <c r="M152" s="4498"/>
      <c r="N152" s="4503"/>
    </row>
    <row r="153" spans="2:14">
      <c r="B153" s="4483" t="s">
        <v>6517</v>
      </c>
      <c r="C153" s="4504" t="s">
        <v>3014</v>
      </c>
      <c r="D153" s="4497">
        <v>252300</v>
      </c>
      <c r="E153" s="4497"/>
      <c r="F153" s="4497"/>
      <c r="G153" s="4501">
        <f t="shared" si="11"/>
        <v>252300</v>
      </c>
      <c r="H153" s="4497">
        <f t="shared" si="12"/>
        <v>252300</v>
      </c>
      <c r="I153" s="4497"/>
      <c r="J153" s="4497"/>
      <c r="K153" s="4497">
        <f t="shared" si="13"/>
        <v>252300</v>
      </c>
      <c r="L153" s="4498"/>
      <c r="M153" s="4498"/>
      <c r="N153" s="4503"/>
    </row>
    <row r="154" spans="2:14">
      <c r="B154" s="4483" t="s">
        <v>6593</v>
      </c>
      <c r="C154" s="4504" t="s">
        <v>6750</v>
      </c>
      <c r="D154" s="4497">
        <v>4695677.5999999996</v>
      </c>
      <c r="E154" s="4497"/>
      <c r="F154" s="4497"/>
      <c r="G154" s="4501">
        <f t="shared" si="11"/>
        <v>4695677.5999999996</v>
      </c>
      <c r="H154" s="4497">
        <f t="shared" si="12"/>
        <v>4695677.5999999996</v>
      </c>
      <c r="I154" s="4497"/>
      <c r="J154" s="4497"/>
      <c r="K154" s="4497">
        <f t="shared" si="13"/>
        <v>4695677.5999999996</v>
      </c>
      <c r="L154" s="4498"/>
      <c r="M154" s="4498"/>
      <c r="N154" s="4503"/>
    </row>
    <row r="155" spans="2:14">
      <c r="B155" s="4483" t="s">
        <v>6527</v>
      </c>
      <c r="C155" s="4504" t="s">
        <v>3032</v>
      </c>
      <c r="D155" s="4497">
        <v>1251170.9600000002</v>
      </c>
      <c r="E155" s="4497"/>
      <c r="F155" s="4497"/>
      <c r="G155" s="4501">
        <f t="shared" si="11"/>
        <v>1251170.9600000002</v>
      </c>
      <c r="H155" s="4497">
        <f t="shared" si="12"/>
        <v>1251170.9600000002</v>
      </c>
      <c r="I155" s="4497"/>
      <c r="J155" s="4497"/>
      <c r="K155" s="4497">
        <f t="shared" si="13"/>
        <v>1251170.9600000002</v>
      </c>
      <c r="L155" s="4498"/>
      <c r="M155" s="4498"/>
      <c r="N155" s="4503"/>
    </row>
    <row r="156" spans="2:14">
      <c r="B156" s="4483" t="s">
        <v>6528</v>
      </c>
      <c r="C156" s="4504" t="s">
        <v>3039</v>
      </c>
      <c r="D156" s="4497">
        <v>1139058.8999999999</v>
      </c>
      <c r="E156" s="4497"/>
      <c r="F156" s="4497"/>
      <c r="G156" s="4501">
        <f t="shared" si="11"/>
        <v>1139058.8999999999</v>
      </c>
      <c r="H156" s="4497">
        <f t="shared" si="12"/>
        <v>1139058.8999999999</v>
      </c>
      <c r="I156" s="4497"/>
      <c r="J156" s="4497"/>
      <c r="K156" s="4497">
        <f t="shared" si="13"/>
        <v>1139058.8999999999</v>
      </c>
      <c r="L156" s="4498"/>
      <c r="M156" s="4498"/>
      <c r="N156" s="4503"/>
    </row>
    <row r="157" spans="2:14">
      <c r="B157" s="4483" t="s">
        <v>6529</v>
      </c>
      <c r="C157" s="4504" t="s">
        <v>6761</v>
      </c>
      <c r="D157" s="4497">
        <v>5500</v>
      </c>
      <c r="E157" s="4497"/>
      <c r="F157" s="4497"/>
      <c r="G157" s="4501">
        <f t="shared" si="11"/>
        <v>5500</v>
      </c>
      <c r="H157" s="4497">
        <f t="shared" si="12"/>
        <v>5500</v>
      </c>
      <c r="I157" s="4497"/>
      <c r="J157" s="4497"/>
      <c r="K157" s="4497">
        <f t="shared" si="13"/>
        <v>5500</v>
      </c>
      <c r="L157" s="4498"/>
      <c r="M157" s="4498"/>
      <c r="N157" s="4503"/>
    </row>
    <row r="158" spans="2:14">
      <c r="B158" s="4507" t="s">
        <v>5012</v>
      </c>
      <c r="C158" s="4504" t="s">
        <v>6764</v>
      </c>
      <c r="D158" s="4497">
        <v>300</v>
      </c>
      <c r="E158" s="4497"/>
      <c r="F158" s="4497"/>
      <c r="G158" s="4501">
        <f t="shared" si="11"/>
        <v>300</v>
      </c>
      <c r="H158" s="4497">
        <f t="shared" si="12"/>
        <v>300</v>
      </c>
      <c r="I158" s="4497">
        <f>+G158</f>
        <v>300</v>
      </c>
      <c r="J158" s="4497"/>
      <c r="K158" s="4497"/>
      <c r="L158" s="4498"/>
      <c r="M158" s="4498"/>
      <c r="N158" s="4503"/>
    </row>
    <row r="159" spans="2:14">
      <c r="B159" s="4507" t="s">
        <v>6765</v>
      </c>
      <c r="C159" s="4504" t="s">
        <v>471</v>
      </c>
      <c r="D159" s="4497">
        <v>300</v>
      </c>
      <c r="E159" s="4497"/>
      <c r="F159" s="4497"/>
      <c r="G159" s="4501">
        <f t="shared" si="11"/>
        <v>300</v>
      </c>
      <c r="H159" s="4497">
        <f t="shared" si="12"/>
        <v>300</v>
      </c>
      <c r="I159" s="4497">
        <f>+G159</f>
        <v>300</v>
      </c>
      <c r="J159" s="4497"/>
      <c r="K159" s="4497"/>
      <c r="L159" s="4498"/>
      <c r="M159" s="4498"/>
      <c r="N159" s="4503"/>
    </row>
    <row r="160" spans="2:14">
      <c r="B160" s="4509" t="s">
        <v>6766</v>
      </c>
      <c r="C160" s="4504" t="s">
        <v>1323</v>
      </c>
      <c r="D160" s="4497">
        <v>4500</v>
      </c>
      <c r="E160" s="4497"/>
      <c r="F160" s="4497"/>
      <c r="G160" s="4501">
        <f t="shared" si="11"/>
        <v>4500</v>
      </c>
      <c r="H160" s="4497">
        <f t="shared" si="12"/>
        <v>4500</v>
      </c>
      <c r="I160" s="4497"/>
      <c r="J160" s="4497">
        <f>+G160</f>
        <v>4500</v>
      </c>
      <c r="K160" s="4497"/>
      <c r="L160" s="4498"/>
      <c r="M160" s="4498"/>
      <c r="N160" s="4503"/>
    </row>
    <row r="161" spans="2:14">
      <c r="B161" s="4507" t="s">
        <v>6699</v>
      </c>
      <c r="C161" s="4500" t="s">
        <v>281</v>
      </c>
      <c r="D161" s="4497">
        <v>413017.62000000011</v>
      </c>
      <c r="E161" s="4508"/>
      <c r="F161" s="4497">
        <f>2550+520.1+43678.14</f>
        <v>46748.24</v>
      </c>
      <c r="G161" s="4501">
        <f t="shared" si="11"/>
        <v>366269.38000000012</v>
      </c>
      <c r="H161" s="4497">
        <f t="shared" si="12"/>
        <v>366269.38000000012</v>
      </c>
      <c r="I161" s="4497">
        <f>+G161</f>
        <v>366269.38000000012</v>
      </c>
      <c r="J161" s="4497"/>
      <c r="K161" s="4502"/>
      <c r="L161" s="4497"/>
      <c r="M161" s="4497"/>
      <c r="N161" s="4503"/>
    </row>
    <row r="162" spans="2:14">
      <c r="B162" s="4509" t="s">
        <v>6700</v>
      </c>
      <c r="C162" s="4504" t="s">
        <v>281</v>
      </c>
      <c r="D162" s="4497">
        <v>0</v>
      </c>
      <c r="E162" s="4497"/>
      <c r="F162" s="4497"/>
      <c r="G162" s="4501">
        <f t="shared" si="11"/>
        <v>0</v>
      </c>
      <c r="H162" s="4497">
        <f t="shared" si="12"/>
        <v>0</v>
      </c>
      <c r="I162" s="4497"/>
      <c r="J162" s="4497">
        <f>+G162</f>
        <v>0</v>
      </c>
      <c r="K162" s="4502"/>
      <c r="L162" s="4497"/>
      <c r="M162" s="4497"/>
      <c r="N162" s="4503"/>
    </row>
    <row r="163" spans="2:14">
      <c r="B163" s="4483" t="s">
        <v>6701</v>
      </c>
      <c r="C163" s="4504" t="s">
        <v>281</v>
      </c>
      <c r="D163" s="4497">
        <v>8891.3000000000029</v>
      </c>
      <c r="E163" s="4497"/>
      <c r="F163" s="4497"/>
      <c r="G163" s="4501">
        <f t="shared" si="11"/>
        <v>8891.3000000000029</v>
      </c>
      <c r="H163" s="4497">
        <f t="shared" si="12"/>
        <v>8891.3000000000029</v>
      </c>
      <c r="I163" s="4497"/>
      <c r="J163" s="4497"/>
      <c r="K163" s="4502">
        <f>+G163</f>
        <v>8891.3000000000029</v>
      </c>
      <c r="L163" s="4497"/>
      <c r="M163" s="4497"/>
      <c r="N163" s="4503"/>
    </row>
    <row r="164" spans="2:14">
      <c r="B164" s="4507" t="s">
        <v>6704</v>
      </c>
      <c r="C164" s="4504" t="s">
        <v>505</v>
      </c>
      <c r="D164" s="4497">
        <v>9200</v>
      </c>
      <c r="E164" s="4497"/>
      <c r="F164" s="4497"/>
      <c r="G164" s="4501">
        <f t="shared" si="11"/>
        <v>9200</v>
      </c>
      <c r="H164" s="4497">
        <f t="shared" si="12"/>
        <v>9200</v>
      </c>
      <c r="I164" s="4497">
        <f>+G164</f>
        <v>9200</v>
      </c>
      <c r="J164" s="4497"/>
      <c r="K164" s="4502"/>
      <c r="L164" s="4497"/>
      <c r="M164" s="4497"/>
      <c r="N164" s="4503"/>
    </row>
    <row r="165" spans="2:14">
      <c r="B165" s="4483" t="s">
        <v>6708</v>
      </c>
      <c r="C165" s="4504" t="s">
        <v>6709</v>
      </c>
      <c r="D165" s="4497">
        <v>45000.55</v>
      </c>
      <c r="E165" s="4508"/>
      <c r="F165" s="4497"/>
      <c r="G165" s="4501">
        <f t="shared" si="11"/>
        <v>45000.55</v>
      </c>
      <c r="H165" s="4497">
        <f t="shared" si="12"/>
        <v>45000.55</v>
      </c>
      <c r="I165" s="4497"/>
      <c r="J165" s="4497"/>
      <c r="K165" s="4502">
        <f>+G165</f>
        <v>45000.55</v>
      </c>
      <c r="L165" s="4497"/>
      <c r="M165" s="4497"/>
      <c r="N165" s="4503"/>
    </row>
    <row r="166" spans="2:14">
      <c r="B166" s="4507" t="s">
        <v>6600</v>
      </c>
      <c r="C166" s="4504" t="s">
        <v>6752</v>
      </c>
      <c r="D166" s="4497">
        <v>133543.64000000001</v>
      </c>
      <c r="E166" s="4497"/>
      <c r="F166" s="4497"/>
      <c r="G166" s="4501">
        <f t="shared" si="11"/>
        <v>133543.64000000001</v>
      </c>
      <c r="H166" s="4497">
        <f t="shared" si="12"/>
        <v>133543.64000000001</v>
      </c>
      <c r="I166" s="4497">
        <f>+G166</f>
        <v>133543.64000000001</v>
      </c>
      <c r="J166" s="4497"/>
      <c r="K166" s="4497"/>
      <c r="L166" s="4498"/>
      <c r="M166" s="4498"/>
      <c r="N166" s="4503"/>
    </row>
    <row r="167" spans="2:14">
      <c r="B167" s="4507" t="s">
        <v>6601</v>
      </c>
      <c r="C167" s="4504" t="s">
        <v>1360</v>
      </c>
      <c r="D167" s="4497">
        <v>31385.72</v>
      </c>
      <c r="E167" s="4497"/>
      <c r="F167" s="4497"/>
      <c r="G167" s="4501">
        <f t="shared" si="11"/>
        <v>31385.72</v>
      </c>
      <c r="H167" s="4497">
        <f t="shared" si="12"/>
        <v>31385.72</v>
      </c>
      <c r="I167" s="4497">
        <f>+G167</f>
        <v>31385.72</v>
      </c>
      <c r="J167" s="4497"/>
      <c r="K167" s="4497"/>
      <c r="L167" s="4498"/>
      <c r="M167" s="4498"/>
      <c r="N167" s="4503"/>
    </row>
    <row r="168" spans="2:14">
      <c r="B168" s="4483" t="s">
        <v>6603</v>
      </c>
      <c r="C168" s="4504" t="s">
        <v>1360</v>
      </c>
      <c r="D168" s="4497">
        <v>0</v>
      </c>
      <c r="E168" s="4497"/>
      <c r="F168" s="4497"/>
      <c r="G168" s="4501">
        <f t="shared" si="11"/>
        <v>0</v>
      </c>
      <c r="H168" s="4497">
        <f t="shared" si="12"/>
        <v>0</v>
      </c>
      <c r="I168" s="4497"/>
      <c r="J168" s="4497"/>
      <c r="K168" s="4497">
        <f>+G168</f>
        <v>0</v>
      </c>
      <c r="L168" s="4498"/>
      <c r="M168" s="4498"/>
      <c r="N168" s="4503"/>
    </row>
    <row r="169" spans="2:14">
      <c r="B169" s="4507" t="s">
        <v>6604</v>
      </c>
      <c r="C169" s="4504" t="s">
        <v>2398</v>
      </c>
      <c r="D169" s="4497">
        <v>0</v>
      </c>
      <c r="E169" s="4497"/>
      <c r="F169" s="4497"/>
      <c r="G169" s="4501">
        <f t="shared" si="11"/>
        <v>0</v>
      </c>
      <c r="H169" s="4497">
        <f t="shared" si="12"/>
        <v>0</v>
      </c>
      <c r="I169" s="4497">
        <f>+G169</f>
        <v>0</v>
      </c>
      <c r="J169" s="4497"/>
      <c r="K169" s="4497"/>
      <c r="L169" s="4498"/>
      <c r="M169" s="4498"/>
      <c r="N169" s="4503"/>
    </row>
    <row r="170" spans="2:14">
      <c r="B170" s="4507" t="s">
        <v>6772</v>
      </c>
      <c r="C170" s="4504" t="s">
        <v>148</v>
      </c>
      <c r="D170" s="4497">
        <v>13525.77</v>
      </c>
      <c r="E170" s="4497"/>
      <c r="F170" s="4497">
        <v>2068.4</v>
      </c>
      <c r="G170" s="4501">
        <f t="shared" si="11"/>
        <v>11457.37</v>
      </c>
      <c r="H170" s="4497">
        <f t="shared" si="12"/>
        <v>11457.37</v>
      </c>
      <c r="I170" s="4497">
        <f>+G170</f>
        <v>11457.37</v>
      </c>
      <c r="J170" s="4497"/>
      <c r="K170" s="4497"/>
      <c r="L170" s="4498"/>
      <c r="M170" s="4498"/>
      <c r="N170" s="4503"/>
    </row>
    <row r="171" spans="2:14">
      <c r="B171" s="4507" t="s">
        <v>6804</v>
      </c>
      <c r="C171" s="4504" t="s">
        <v>3817</v>
      </c>
      <c r="D171" s="4497">
        <v>157.33000000000001</v>
      </c>
      <c r="E171" s="4497"/>
      <c r="F171" s="4497"/>
      <c r="G171" s="4501">
        <f t="shared" si="11"/>
        <v>157.33000000000001</v>
      </c>
      <c r="H171" s="4497">
        <f t="shared" si="12"/>
        <v>157.33000000000001</v>
      </c>
      <c r="I171" s="4511">
        <f>G171</f>
        <v>157.33000000000001</v>
      </c>
      <c r="J171" s="4508"/>
      <c r="K171" s="4502"/>
      <c r="L171" s="4497"/>
      <c r="M171" s="4497"/>
      <c r="N171" s="4503"/>
    </row>
    <row r="172" spans="2:14">
      <c r="B172" s="4507" t="s">
        <v>6773</v>
      </c>
      <c r="C172" s="4504" t="s">
        <v>1006</v>
      </c>
      <c r="D172" s="4497">
        <v>0</v>
      </c>
      <c r="E172" s="4497"/>
      <c r="F172" s="4497"/>
      <c r="G172" s="4501">
        <f t="shared" si="11"/>
        <v>0</v>
      </c>
      <c r="H172" s="4497">
        <f t="shared" si="12"/>
        <v>0</v>
      </c>
      <c r="I172" s="4497">
        <f>+G172</f>
        <v>0</v>
      </c>
      <c r="J172" s="4497"/>
      <c r="K172" s="4497"/>
      <c r="L172" s="4498"/>
      <c r="M172" s="4498"/>
      <c r="N172" s="4503"/>
    </row>
    <row r="173" spans="2:14">
      <c r="B173" s="4507" t="s">
        <v>6716</v>
      </c>
      <c r="C173" s="4504" t="s">
        <v>6775</v>
      </c>
      <c r="D173" s="4497">
        <v>6457.39</v>
      </c>
      <c r="E173" s="4497"/>
      <c r="F173" s="4497"/>
      <c r="G173" s="4501">
        <f t="shared" si="11"/>
        <v>6457.39</v>
      </c>
      <c r="H173" s="4497">
        <f t="shared" si="12"/>
        <v>6457.39</v>
      </c>
      <c r="I173" s="4497">
        <f>+G173</f>
        <v>6457.39</v>
      </c>
      <c r="J173" s="4497"/>
      <c r="K173" s="4497"/>
      <c r="L173" s="4498"/>
      <c r="M173" s="4498"/>
      <c r="N173" s="4503"/>
    </row>
    <row r="174" spans="2:14">
      <c r="B174" s="4507" t="s">
        <v>6608</v>
      </c>
      <c r="C174" s="4504" t="s">
        <v>2694</v>
      </c>
      <c r="D174" s="4497">
        <v>326.93</v>
      </c>
      <c r="E174" s="4497"/>
      <c r="F174" s="4497">
        <v>18.170000000000002</v>
      </c>
      <c r="G174" s="4501">
        <f t="shared" si="11"/>
        <v>308.76</v>
      </c>
      <c r="H174" s="4497">
        <f t="shared" si="12"/>
        <v>308.76</v>
      </c>
      <c r="I174" s="4497">
        <f>+G174</f>
        <v>308.76</v>
      </c>
      <c r="J174" s="4497"/>
      <c r="K174" s="4497"/>
      <c r="L174" s="4498"/>
      <c r="M174" s="4498"/>
      <c r="N174" s="4503"/>
    </row>
    <row r="175" spans="2:14">
      <c r="B175" s="4507" t="s">
        <v>6813</v>
      </c>
      <c r="C175" s="4504" t="s">
        <v>591</v>
      </c>
      <c r="D175" s="4497">
        <v>0</v>
      </c>
      <c r="E175" s="4497">
        <v>554</v>
      </c>
      <c r="F175" s="4497"/>
      <c r="G175" s="4501">
        <f t="shared" si="11"/>
        <v>554</v>
      </c>
      <c r="H175" s="4497">
        <f t="shared" si="12"/>
        <v>554</v>
      </c>
      <c r="I175" s="4497">
        <f>+G175</f>
        <v>554</v>
      </c>
      <c r="J175" s="4497"/>
      <c r="K175" s="4502"/>
      <c r="L175" s="4498"/>
      <c r="M175" s="4498"/>
      <c r="N175" s="4503"/>
    </row>
    <row r="176" spans="2:14">
      <c r="B176" s="4509" t="s">
        <v>6659</v>
      </c>
      <c r="C176" s="4504" t="s">
        <v>591</v>
      </c>
      <c r="D176" s="4497">
        <v>64443.9</v>
      </c>
      <c r="E176" s="4497"/>
      <c r="F176" s="4497">
        <v>6904.7</v>
      </c>
      <c r="G176" s="4501">
        <f t="shared" si="11"/>
        <v>57539.200000000004</v>
      </c>
      <c r="H176" s="4497">
        <f t="shared" si="12"/>
        <v>57539.200000000004</v>
      </c>
      <c r="I176" s="4497"/>
      <c r="J176" s="4497">
        <f>+G176</f>
        <v>57539.200000000004</v>
      </c>
      <c r="K176" s="4502"/>
      <c r="L176" s="4497"/>
      <c r="M176" s="4497"/>
      <c r="N176" s="4503"/>
    </row>
    <row r="177" spans="2:14">
      <c r="B177" s="4483" t="s">
        <v>4833</v>
      </c>
      <c r="C177" s="4504" t="s">
        <v>591</v>
      </c>
      <c r="D177" s="4497">
        <v>2537.8799999999997</v>
      </c>
      <c r="E177" s="4497"/>
      <c r="F177" s="4497"/>
      <c r="G177" s="4501">
        <f t="shared" si="11"/>
        <v>2537.8799999999997</v>
      </c>
      <c r="H177" s="4497">
        <f t="shared" si="12"/>
        <v>2537.8799999999997</v>
      </c>
      <c r="I177" s="4497"/>
      <c r="J177" s="4497"/>
      <c r="K177" s="4497">
        <f>+G177</f>
        <v>2537.8799999999997</v>
      </c>
      <c r="L177" s="4498"/>
      <c r="M177" s="4498"/>
      <c r="N177" s="4503"/>
    </row>
    <row r="178" spans="2:14">
      <c r="B178" s="4507" t="s">
        <v>6609</v>
      </c>
      <c r="C178" s="4504" t="s">
        <v>39</v>
      </c>
      <c r="D178" s="4497">
        <v>100.00000000000001</v>
      </c>
      <c r="E178" s="4497"/>
      <c r="F178" s="4497"/>
      <c r="G178" s="4501">
        <f t="shared" si="11"/>
        <v>100.00000000000001</v>
      </c>
      <c r="H178" s="4497">
        <f t="shared" si="12"/>
        <v>100.00000000000001</v>
      </c>
      <c r="I178" s="4497">
        <f t="shared" ref="I178:I184" si="14">+G178</f>
        <v>100.00000000000001</v>
      </c>
      <c r="J178" s="4497"/>
      <c r="K178" s="4497"/>
      <c r="L178" s="4498"/>
      <c r="M178" s="4498"/>
      <c r="N178" s="4503"/>
    </row>
    <row r="179" spans="2:14">
      <c r="B179" s="4507" t="s">
        <v>6610</v>
      </c>
      <c r="C179" s="4504" t="s">
        <v>4163</v>
      </c>
      <c r="D179" s="4497">
        <v>588</v>
      </c>
      <c r="E179" s="4497"/>
      <c r="F179" s="4497">
        <v>67</v>
      </c>
      <c r="G179" s="4501">
        <f t="shared" si="11"/>
        <v>521</v>
      </c>
      <c r="H179" s="4497">
        <f t="shared" si="12"/>
        <v>521</v>
      </c>
      <c r="I179" s="4497">
        <f t="shared" si="14"/>
        <v>521</v>
      </c>
      <c r="J179" s="4497"/>
      <c r="K179" s="4497"/>
      <c r="L179" s="4498"/>
      <c r="M179" s="4498"/>
      <c r="N179" s="4503"/>
    </row>
    <row r="180" spans="2:14">
      <c r="B180" s="4507" t="s">
        <v>4835</v>
      </c>
      <c r="C180" s="4504" t="s">
        <v>40</v>
      </c>
      <c r="D180" s="4497">
        <v>1097.2</v>
      </c>
      <c r="E180" s="4497"/>
      <c r="F180" s="4497">
        <v>105.24</v>
      </c>
      <c r="G180" s="4501">
        <f t="shared" si="11"/>
        <v>991.96</v>
      </c>
      <c r="H180" s="4497">
        <f t="shared" si="12"/>
        <v>991.96</v>
      </c>
      <c r="I180" s="4497">
        <f t="shared" si="14"/>
        <v>991.96</v>
      </c>
      <c r="J180" s="4497"/>
      <c r="K180" s="4497"/>
      <c r="L180" s="4498"/>
      <c r="M180" s="4498"/>
      <c r="N180" s="4503"/>
    </row>
    <row r="181" spans="2:14">
      <c r="B181" s="4507" t="s">
        <v>6612</v>
      </c>
      <c r="C181" s="4504" t="s">
        <v>903</v>
      </c>
      <c r="D181" s="4497">
        <v>1179.75</v>
      </c>
      <c r="E181" s="4497"/>
      <c r="F181" s="4497"/>
      <c r="G181" s="4501">
        <f t="shared" si="11"/>
        <v>1179.75</v>
      </c>
      <c r="H181" s="4497">
        <f t="shared" si="12"/>
        <v>1179.75</v>
      </c>
      <c r="I181" s="4497">
        <f t="shared" si="14"/>
        <v>1179.75</v>
      </c>
      <c r="J181" s="4497"/>
      <c r="K181" s="4497"/>
      <c r="L181" s="4498"/>
      <c r="M181" s="4498"/>
      <c r="N181" s="4503"/>
    </row>
    <row r="182" spans="2:14">
      <c r="B182" s="4507" t="s">
        <v>6613</v>
      </c>
      <c r="C182" s="4504" t="s">
        <v>4206</v>
      </c>
      <c r="D182" s="4497">
        <v>200</v>
      </c>
      <c r="E182" s="4497"/>
      <c r="F182" s="4497"/>
      <c r="G182" s="4501">
        <f t="shared" si="11"/>
        <v>200</v>
      </c>
      <c r="H182" s="4497">
        <f t="shared" si="12"/>
        <v>200</v>
      </c>
      <c r="I182" s="4497">
        <f t="shared" si="14"/>
        <v>200</v>
      </c>
      <c r="J182" s="4497"/>
      <c r="K182" s="4502"/>
      <c r="L182" s="4498"/>
      <c r="M182" s="4498"/>
      <c r="N182" s="4503"/>
    </row>
    <row r="183" spans="2:14">
      <c r="B183" s="4507" t="s">
        <v>6577</v>
      </c>
      <c r="C183" s="4504" t="s">
        <v>894</v>
      </c>
      <c r="D183" s="4497">
        <v>137572.91</v>
      </c>
      <c r="E183" s="4497">
        <v>10000</v>
      </c>
      <c r="F183" s="4497"/>
      <c r="G183" s="4501">
        <f t="shared" si="11"/>
        <v>147572.91</v>
      </c>
      <c r="H183" s="4497">
        <f t="shared" si="12"/>
        <v>147572.91</v>
      </c>
      <c r="I183" s="4497">
        <f t="shared" si="14"/>
        <v>147572.91</v>
      </c>
      <c r="J183" s="4497"/>
      <c r="K183" s="4502"/>
      <c r="L183" s="4497"/>
      <c r="M183" s="4497"/>
      <c r="N183" s="4503"/>
    </row>
    <row r="184" spans="2:14">
      <c r="B184" s="4507" t="s">
        <v>6581</v>
      </c>
      <c r="C184" s="4504" t="s">
        <v>38</v>
      </c>
      <c r="D184" s="4497">
        <v>251470</v>
      </c>
      <c r="E184" s="4497"/>
      <c r="F184" s="4497"/>
      <c r="G184" s="4501">
        <f t="shared" si="11"/>
        <v>251470</v>
      </c>
      <c r="H184" s="4497">
        <f t="shared" si="12"/>
        <v>251470</v>
      </c>
      <c r="I184" s="4497">
        <f t="shared" si="14"/>
        <v>251470</v>
      </c>
      <c r="J184" s="4497"/>
      <c r="K184" s="4502"/>
      <c r="L184" s="4497"/>
      <c r="M184" s="4497"/>
      <c r="N184" s="4503"/>
    </row>
    <row r="185" spans="2:14">
      <c r="B185" s="4512" t="s">
        <v>6780</v>
      </c>
      <c r="C185" s="4504" t="s">
        <v>281</v>
      </c>
      <c r="D185" s="4497">
        <v>0</v>
      </c>
      <c r="E185" s="4497"/>
      <c r="F185" s="4497"/>
      <c r="G185" s="4501">
        <f t="shared" si="11"/>
        <v>0</v>
      </c>
      <c r="H185" s="4497">
        <f t="shared" si="12"/>
        <v>0</v>
      </c>
      <c r="I185" s="4497"/>
      <c r="J185" s="4497"/>
      <c r="K185" s="4502"/>
      <c r="L185" s="4497">
        <f>+G185</f>
        <v>0</v>
      </c>
      <c r="M185" s="4497"/>
      <c r="N185" s="4503"/>
    </row>
    <row r="186" spans="2:14">
      <c r="B186" s="4512" t="s">
        <v>6781</v>
      </c>
      <c r="C186" s="4504" t="s">
        <v>281</v>
      </c>
      <c r="D186" s="4497">
        <v>33214.120000000003</v>
      </c>
      <c r="E186" s="4497"/>
      <c r="F186" s="4497"/>
      <c r="G186" s="4501">
        <f t="shared" si="11"/>
        <v>33214.120000000003</v>
      </c>
      <c r="H186" s="4497">
        <f t="shared" si="12"/>
        <v>33214.120000000003</v>
      </c>
      <c r="I186" s="4497"/>
      <c r="J186" s="4497"/>
      <c r="K186" s="4502"/>
      <c r="L186" s="4497">
        <f>+G186</f>
        <v>33214.120000000003</v>
      </c>
      <c r="M186" s="4497"/>
      <c r="N186" s="4503"/>
    </row>
    <row r="187" spans="2:14">
      <c r="B187" s="4523" t="s">
        <v>7002</v>
      </c>
      <c r="C187" s="4504" t="s">
        <v>281</v>
      </c>
      <c r="D187" s="4497">
        <v>26785.57</v>
      </c>
      <c r="E187" s="4497"/>
      <c r="F187" s="4497"/>
      <c r="G187" s="4501">
        <f t="shared" si="11"/>
        <v>26785.57</v>
      </c>
      <c r="H187" s="4497">
        <f t="shared" si="12"/>
        <v>26785.57</v>
      </c>
      <c r="I187" s="4497"/>
      <c r="J187" s="4497"/>
      <c r="K187" s="4502"/>
      <c r="L187" s="4497"/>
      <c r="M187" s="4497">
        <f>+G187</f>
        <v>26785.57</v>
      </c>
      <c r="N187" s="4503"/>
    </row>
    <row r="188" spans="2:14">
      <c r="B188" s="4512" t="s">
        <v>7348</v>
      </c>
      <c r="C188" s="4504" t="s">
        <v>3787</v>
      </c>
      <c r="D188" s="4497">
        <v>28840</v>
      </c>
      <c r="E188" s="4497"/>
      <c r="F188" s="4497"/>
      <c r="G188" s="4501">
        <f t="shared" si="11"/>
        <v>28840</v>
      </c>
      <c r="H188" s="4497">
        <f t="shared" si="12"/>
        <v>28840</v>
      </c>
      <c r="I188" s="4497"/>
      <c r="J188" s="4497"/>
      <c r="K188" s="4502"/>
      <c r="L188" s="4497">
        <f>+G188</f>
        <v>28840</v>
      </c>
      <c r="M188" s="4497"/>
      <c r="N188" s="4503"/>
    </row>
    <row r="189" spans="2:14">
      <c r="B189" s="4512" t="s">
        <v>6783</v>
      </c>
      <c r="C189" s="4504" t="s">
        <v>39</v>
      </c>
      <c r="D189" s="4497">
        <v>0</v>
      </c>
      <c r="E189" s="4497"/>
      <c r="F189" s="4497"/>
      <c r="G189" s="4501">
        <f t="shared" si="11"/>
        <v>0</v>
      </c>
      <c r="H189" s="4497">
        <f t="shared" si="12"/>
        <v>0</v>
      </c>
      <c r="I189" s="4497"/>
      <c r="J189" s="4497"/>
      <c r="K189" s="4502"/>
      <c r="L189" s="4497">
        <f>+G189</f>
        <v>0</v>
      </c>
      <c r="M189" s="4497"/>
      <c r="N189" s="4503"/>
    </row>
    <row r="190" spans="2:14">
      <c r="B190" s="4507" t="s">
        <v>7349</v>
      </c>
      <c r="C190" s="4504" t="s">
        <v>7208</v>
      </c>
      <c r="D190" s="4497">
        <v>639186.31000000006</v>
      </c>
      <c r="E190" s="4508"/>
      <c r="F190" s="4497">
        <v>68484.25</v>
      </c>
      <c r="G190" s="4501">
        <f t="shared" si="11"/>
        <v>570702.06000000006</v>
      </c>
      <c r="H190" s="4497">
        <f t="shared" si="12"/>
        <v>570702.06000000006</v>
      </c>
      <c r="I190" s="4497">
        <f>+G190</f>
        <v>570702.06000000006</v>
      </c>
      <c r="J190" s="4497"/>
      <c r="K190" s="4502"/>
      <c r="L190" s="4497"/>
      <c r="M190" s="4497"/>
      <c r="N190" s="4503"/>
    </row>
    <row r="191" spans="2:14">
      <c r="B191" s="4507" t="s">
        <v>6737</v>
      </c>
      <c r="C191" s="4504" t="s">
        <v>671</v>
      </c>
      <c r="D191" s="4497">
        <v>1052.8</v>
      </c>
      <c r="E191" s="4497">
        <v>1996</v>
      </c>
      <c r="F191" s="4497">
        <v>192.8</v>
      </c>
      <c r="G191" s="4501">
        <f t="shared" si="11"/>
        <v>2856</v>
      </c>
      <c r="H191" s="4497">
        <f t="shared" si="12"/>
        <v>2856</v>
      </c>
      <c r="I191" s="4497">
        <f>+G191</f>
        <v>2856</v>
      </c>
      <c r="J191" s="4497"/>
      <c r="K191" s="4502"/>
      <c r="L191" s="4497"/>
      <c r="M191" s="4497"/>
      <c r="N191" s="4503"/>
    </row>
    <row r="192" spans="2:14">
      <c r="B192" s="4483" t="s">
        <v>5694</v>
      </c>
      <c r="C192" s="4504" t="s">
        <v>671</v>
      </c>
      <c r="D192" s="4497">
        <v>14825.18</v>
      </c>
      <c r="E192" s="4497"/>
      <c r="F192" s="4497"/>
      <c r="G192" s="4501">
        <f t="shared" si="11"/>
        <v>14825.18</v>
      </c>
      <c r="H192" s="4497">
        <f t="shared" si="12"/>
        <v>14825.18</v>
      </c>
      <c r="I192" s="4497"/>
      <c r="J192" s="4497"/>
      <c r="K192" s="4497">
        <f>+G192</f>
        <v>14825.18</v>
      </c>
      <c r="L192" s="4497"/>
      <c r="M192" s="4497"/>
      <c r="N192" s="4503"/>
    </row>
    <row r="193" spans="2:14">
      <c r="B193" s="4507" t="s">
        <v>5717</v>
      </c>
      <c r="C193" s="4504" t="s">
        <v>39</v>
      </c>
      <c r="D193" s="4511">
        <v>0</v>
      </c>
      <c r="E193" s="4522">
        <f>714.29+334912.2</f>
        <v>335626.49</v>
      </c>
      <c r="F193" s="4497"/>
      <c r="G193" s="4501">
        <f t="shared" si="11"/>
        <v>335626.49</v>
      </c>
      <c r="H193" s="4497">
        <f t="shared" si="12"/>
        <v>335626.49</v>
      </c>
      <c r="I193" s="4497">
        <f>+G193</f>
        <v>335626.49</v>
      </c>
      <c r="J193" s="4497"/>
      <c r="K193" s="4497"/>
      <c r="L193" s="4497"/>
      <c r="M193" s="4497"/>
      <c r="N193" s="4503"/>
    </row>
    <row r="194" spans="2:14">
      <c r="B194" s="4483" t="s">
        <v>5283</v>
      </c>
      <c r="C194" s="4504" t="s">
        <v>39</v>
      </c>
      <c r="D194" s="4511">
        <v>2422.5999999999831</v>
      </c>
      <c r="E194" s="4522">
        <v>182479.87</v>
      </c>
      <c r="F194" s="4497"/>
      <c r="G194" s="4501">
        <f t="shared" si="11"/>
        <v>184902.46999999997</v>
      </c>
      <c r="H194" s="4497">
        <f t="shared" si="12"/>
        <v>184902.46999999997</v>
      </c>
      <c r="I194" s="4497"/>
      <c r="J194" s="4497"/>
      <c r="K194" s="4497">
        <f>+G194</f>
        <v>184902.46999999997</v>
      </c>
      <c r="L194" s="4497"/>
      <c r="M194" s="4497"/>
      <c r="N194" s="4503"/>
    </row>
    <row r="195" spans="2:14">
      <c r="B195" s="4507" t="s">
        <v>6785</v>
      </c>
      <c r="C195" s="4504" t="s">
        <v>39</v>
      </c>
      <c r="D195" s="4497">
        <v>41623.279999999999</v>
      </c>
      <c r="E195" s="4497"/>
      <c r="F195" s="4497">
        <v>4459.63</v>
      </c>
      <c r="G195" s="4501">
        <f t="shared" si="11"/>
        <v>37163.65</v>
      </c>
      <c r="H195" s="4497">
        <f t="shared" si="12"/>
        <v>37163.65</v>
      </c>
      <c r="I195" s="4497">
        <f>+G195</f>
        <v>37163.65</v>
      </c>
      <c r="J195" s="4497"/>
      <c r="K195" s="4497"/>
      <c r="L195" s="4497"/>
      <c r="M195" s="4497"/>
      <c r="N195" s="4503"/>
    </row>
    <row r="196" spans="2:14">
      <c r="B196" s="4512" t="s">
        <v>6784</v>
      </c>
      <c r="C196" s="4504" t="s">
        <v>39</v>
      </c>
      <c r="D196" s="4497">
        <v>71176.34</v>
      </c>
      <c r="E196" s="4497"/>
      <c r="F196" s="4497"/>
      <c r="G196" s="4501">
        <f t="shared" si="11"/>
        <v>71176.34</v>
      </c>
      <c r="H196" s="4497">
        <f t="shared" si="12"/>
        <v>71176.34</v>
      </c>
      <c r="I196" s="4497"/>
      <c r="J196" s="4497"/>
      <c r="K196" s="4497"/>
      <c r="L196" s="4497">
        <f>+G196</f>
        <v>71176.34</v>
      </c>
      <c r="M196" s="4497"/>
      <c r="N196" s="4503"/>
    </row>
    <row r="197" spans="2:14">
      <c r="B197" s="4523" t="s">
        <v>7003</v>
      </c>
      <c r="C197" s="4504" t="s">
        <v>39</v>
      </c>
      <c r="D197" s="4497">
        <v>90967.42</v>
      </c>
      <c r="E197" s="4497"/>
      <c r="F197" s="4497"/>
      <c r="G197" s="4501">
        <f t="shared" si="11"/>
        <v>90967.42</v>
      </c>
      <c r="H197" s="4497">
        <f t="shared" si="12"/>
        <v>90967.42</v>
      </c>
      <c r="I197" s="4497"/>
      <c r="J197" s="4497"/>
      <c r="K197" s="4497"/>
      <c r="L197" s="4497"/>
      <c r="M197" s="4497">
        <f>+G197</f>
        <v>90967.42</v>
      </c>
      <c r="N197" s="4503"/>
    </row>
    <row r="198" spans="2:14">
      <c r="B198" s="4483" t="s">
        <v>4825</v>
      </c>
      <c r="C198" s="4504" t="s">
        <v>40</v>
      </c>
      <c r="D198" s="4497">
        <v>10818.77</v>
      </c>
      <c r="E198" s="4497"/>
      <c r="F198" s="4497"/>
      <c r="G198" s="4501">
        <f t="shared" si="11"/>
        <v>10818.77</v>
      </c>
      <c r="H198" s="4497">
        <f t="shared" si="12"/>
        <v>10818.77</v>
      </c>
      <c r="I198" s="4497"/>
      <c r="J198" s="4497"/>
      <c r="K198" s="4497">
        <f>+G198</f>
        <v>10818.77</v>
      </c>
      <c r="L198" s="4497"/>
      <c r="M198" s="4497"/>
      <c r="N198" s="4503"/>
    </row>
    <row r="199" spans="2:14">
      <c r="B199" s="4507" t="s">
        <v>7209</v>
      </c>
      <c r="C199" s="4504" t="s">
        <v>5812</v>
      </c>
      <c r="D199" s="4497">
        <v>369996</v>
      </c>
      <c r="E199" s="4508"/>
      <c r="F199" s="4497">
        <v>39643</v>
      </c>
      <c r="G199" s="4501">
        <f t="shared" si="11"/>
        <v>330353</v>
      </c>
      <c r="H199" s="4497">
        <f t="shared" si="12"/>
        <v>330353</v>
      </c>
      <c r="I199" s="4497">
        <f>+G199</f>
        <v>330353</v>
      </c>
      <c r="J199" s="4497"/>
      <c r="K199" s="4497"/>
      <c r="L199" s="4497"/>
      <c r="M199" s="4497"/>
      <c r="N199" s="4503"/>
    </row>
    <row r="200" spans="2:14">
      <c r="B200" s="4483" t="s">
        <v>6745</v>
      </c>
      <c r="C200" s="4504" t="s">
        <v>6746</v>
      </c>
      <c r="D200" s="4497">
        <v>213449.11</v>
      </c>
      <c r="E200" s="4497"/>
      <c r="F200" s="4497"/>
      <c r="G200" s="4501">
        <f t="shared" si="11"/>
        <v>213449.11</v>
      </c>
      <c r="H200" s="4497">
        <f t="shared" si="12"/>
        <v>213449.11</v>
      </c>
      <c r="I200" s="4497"/>
      <c r="J200" s="4497"/>
      <c r="K200" s="4497">
        <f>+G200</f>
        <v>213449.11</v>
      </c>
      <c r="L200" s="4497"/>
      <c r="M200" s="4497"/>
      <c r="N200" s="4503"/>
    </row>
    <row r="201" spans="2:14">
      <c r="B201" s="4524"/>
      <c r="C201" s="4518" t="s">
        <v>6787</v>
      </c>
      <c r="D201" s="1538">
        <f t="shared" ref="D201:M201" si="15">SUM(D151:D200)</f>
        <v>20052312.679999989</v>
      </c>
      <c r="E201" s="1538">
        <f t="shared" si="15"/>
        <v>530656.36</v>
      </c>
      <c r="F201" s="1538">
        <f t="shared" si="15"/>
        <v>168691.43</v>
      </c>
      <c r="G201" s="1538">
        <f t="shared" si="15"/>
        <v>20414277.609999985</v>
      </c>
      <c r="H201" s="1538">
        <f t="shared" si="15"/>
        <v>20414277.609999985</v>
      </c>
      <c r="I201" s="1538">
        <f t="shared" si="15"/>
        <v>2238670.41</v>
      </c>
      <c r="J201" s="1538">
        <f t="shared" si="15"/>
        <v>62039.200000000004</v>
      </c>
      <c r="K201" s="1538">
        <f t="shared" si="15"/>
        <v>17862584.549999986</v>
      </c>
      <c r="L201" s="1538">
        <f t="shared" si="15"/>
        <v>133230.46</v>
      </c>
      <c r="M201" s="1538">
        <f t="shared" si="15"/>
        <v>117752.98999999999</v>
      </c>
      <c r="N201" s="4503"/>
    </row>
    <row r="202" spans="2:14">
      <c r="B202" s="4525"/>
      <c r="C202" s="4526"/>
      <c r="E202" s="4503"/>
      <c r="F202" s="1539"/>
      <c r="G202" s="3039"/>
      <c r="H202" s="1539"/>
      <c r="I202" s="1539"/>
      <c r="J202" s="1539"/>
      <c r="K202" s="1539"/>
      <c r="N202" s="4503"/>
    </row>
    <row r="203" spans="2:14">
      <c r="B203" s="4527"/>
      <c r="C203" s="4527"/>
      <c r="F203" s="1539"/>
      <c r="G203" s="1539"/>
      <c r="H203" s="1539"/>
      <c r="I203" s="1539"/>
      <c r="J203" s="1539"/>
      <c r="K203" s="1539"/>
      <c r="N203" s="4503"/>
    </row>
    <row r="204" spans="2:14" ht="25.5">
      <c r="B204" s="4528" t="s">
        <v>7</v>
      </c>
      <c r="C204" s="4528" t="s">
        <v>6505</v>
      </c>
      <c r="D204" s="4489" t="s">
        <v>6667</v>
      </c>
      <c r="E204" s="4489" t="s">
        <v>6678</v>
      </c>
      <c r="F204" s="4489" t="s">
        <v>6679</v>
      </c>
      <c r="G204" s="4489" t="s">
        <v>6680</v>
      </c>
      <c r="H204" s="4489" t="s">
        <v>6681</v>
      </c>
      <c r="I204" s="4490" t="s">
        <v>6488</v>
      </c>
      <c r="J204" s="4529" t="s">
        <v>6489</v>
      </c>
      <c r="K204" s="4492" t="s">
        <v>6508</v>
      </c>
      <c r="L204" s="4493" t="s">
        <v>6491</v>
      </c>
      <c r="M204" s="4494" t="s">
        <v>6492</v>
      </c>
      <c r="N204" s="4503"/>
    </row>
    <row r="205" spans="2:14">
      <c r="B205" s="4530" t="s">
        <v>6616</v>
      </c>
      <c r="C205" s="4531" t="s">
        <v>6617</v>
      </c>
      <c r="D205" s="4532"/>
      <c r="E205" s="4522"/>
      <c r="F205" s="4522"/>
      <c r="G205" s="4532"/>
      <c r="H205" s="4522"/>
      <c r="I205" s="4522"/>
      <c r="J205" s="4522"/>
      <c r="K205" s="4522"/>
      <c r="L205" s="4498"/>
      <c r="M205" s="4497"/>
      <c r="N205" s="4503"/>
    </row>
    <row r="206" spans="2:14">
      <c r="B206" s="4507" t="s">
        <v>6618</v>
      </c>
      <c r="C206" s="4504" t="s">
        <v>881</v>
      </c>
      <c r="D206" s="4497">
        <v>283018.39</v>
      </c>
      <c r="E206" s="4497"/>
      <c r="F206" s="4497"/>
      <c r="G206" s="4501">
        <f t="shared" ref="G206:G265" si="16">+D206+E206-F206</f>
        <v>283018.39</v>
      </c>
      <c r="H206" s="4497">
        <f>+SUM(I206:M206)</f>
        <v>283018.39</v>
      </c>
      <c r="I206" s="4497">
        <f>+G206</f>
        <v>283018.39</v>
      </c>
      <c r="J206" s="4497"/>
      <c r="K206" s="4497"/>
      <c r="L206" s="4498"/>
      <c r="M206" s="4497"/>
      <c r="N206" s="4503"/>
    </row>
    <row r="207" spans="2:14">
      <c r="B207" s="4507" t="s">
        <v>5012</v>
      </c>
      <c r="C207" s="4504" t="s">
        <v>6791</v>
      </c>
      <c r="D207" s="4497">
        <v>164418.87999999998</v>
      </c>
      <c r="E207" s="4497"/>
      <c r="F207" s="4497">
        <f>960.4+1128</f>
        <v>2088.4</v>
      </c>
      <c r="G207" s="4501">
        <f t="shared" si="16"/>
        <v>162330.47999999998</v>
      </c>
      <c r="H207" s="4497">
        <f>+SUM(I207:M207)</f>
        <v>162330.47999999998</v>
      </c>
      <c r="I207" s="4497">
        <f>+G207</f>
        <v>162330.47999999998</v>
      </c>
      <c r="J207" s="4497"/>
      <c r="K207" s="4497"/>
      <c r="L207" s="4498"/>
      <c r="M207" s="4497"/>
      <c r="N207" s="4503"/>
    </row>
    <row r="208" spans="2:14">
      <c r="B208" s="4509" t="s">
        <v>5020</v>
      </c>
      <c r="C208" s="4500" t="s">
        <v>6791</v>
      </c>
      <c r="D208" s="4497">
        <v>7352</v>
      </c>
      <c r="E208" s="4497"/>
      <c r="F208" s="4497"/>
      <c r="G208" s="4501">
        <f t="shared" si="16"/>
        <v>7352</v>
      </c>
      <c r="H208" s="4497">
        <f>+SUM(I208:M208)</f>
        <v>7352</v>
      </c>
      <c r="I208" s="4497"/>
      <c r="J208" s="4497">
        <f>+G208</f>
        <v>7352</v>
      </c>
      <c r="K208" s="4497"/>
      <c r="L208" s="4498"/>
      <c r="M208" s="4497"/>
      <c r="N208" s="4503"/>
    </row>
    <row r="209" spans="2:14">
      <c r="B209" s="4507" t="s">
        <v>6795</v>
      </c>
      <c r="C209" s="4504" t="s">
        <v>2855</v>
      </c>
      <c r="D209" s="4497">
        <v>25066.04</v>
      </c>
      <c r="E209" s="4497"/>
      <c r="F209" s="4497"/>
      <c r="G209" s="4501">
        <f t="shared" si="16"/>
        <v>25066.04</v>
      </c>
      <c r="H209" s="4497">
        <f>+SUM(I209:M209)</f>
        <v>25066.04</v>
      </c>
      <c r="I209" s="4497">
        <f>+G209</f>
        <v>25066.04</v>
      </c>
      <c r="J209" s="4497"/>
      <c r="K209" s="4497"/>
      <c r="L209" s="4498"/>
      <c r="M209" s="4497"/>
      <c r="N209" s="4503"/>
    </row>
    <row r="210" spans="2:14">
      <c r="B210" s="4516" t="s">
        <v>6930</v>
      </c>
      <c r="C210" s="4504" t="s">
        <v>2855</v>
      </c>
      <c r="D210" s="4497">
        <v>25066.04</v>
      </c>
      <c r="E210" s="4497"/>
      <c r="F210" s="4497"/>
      <c r="G210" s="4501">
        <f t="shared" si="16"/>
        <v>25066.04</v>
      </c>
      <c r="H210" s="4497">
        <f>SUM(I210:M210)</f>
        <v>25066.04</v>
      </c>
      <c r="I210" s="4497"/>
      <c r="J210" s="4497"/>
      <c r="K210" s="4502"/>
      <c r="L210" s="4498"/>
      <c r="M210" s="4497">
        <f>G210</f>
        <v>25066.04</v>
      </c>
      <c r="N210" s="4503"/>
    </row>
    <row r="211" spans="2:14">
      <c r="B211" s="4483" t="s">
        <v>6543</v>
      </c>
      <c r="C211" s="4504" t="s">
        <v>6796</v>
      </c>
      <c r="D211" s="4497">
        <v>1000</v>
      </c>
      <c r="E211" s="4497"/>
      <c r="F211" s="4497"/>
      <c r="G211" s="4501">
        <f t="shared" si="16"/>
        <v>1000</v>
      </c>
      <c r="H211" s="4497">
        <f t="shared" ref="H211:H256" si="17">+SUM(I211:M211)</f>
        <v>1000</v>
      </c>
      <c r="I211" s="4497"/>
      <c r="J211" s="4497"/>
      <c r="K211" s="4502">
        <f>+G211</f>
        <v>1000</v>
      </c>
      <c r="L211" s="4498"/>
      <c r="M211" s="4497"/>
      <c r="N211" s="4503"/>
    </row>
    <row r="212" spans="2:14">
      <c r="B212" s="4507" t="s">
        <v>6620</v>
      </c>
      <c r="C212" s="4504" t="s">
        <v>1301</v>
      </c>
      <c r="D212" s="4497">
        <v>14540</v>
      </c>
      <c r="E212" s="4497"/>
      <c r="F212" s="4497">
        <v>972.4</v>
      </c>
      <c r="G212" s="4501">
        <f t="shared" si="16"/>
        <v>13567.6</v>
      </c>
      <c r="H212" s="4497">
        <f t="shared" si="17"/>
        <v>13567.6</v>
      </c>
      <c r="I212" s="4497">
        <f>+G212</f>
        <v>13567.6</v>
      </c>
      <c r="J212" s="4497"/>
      <c r="K212" s="4502"/>
      <c r="L212" s="4498"/>
      <c r="M212" s="4497"/>
      <c r="N212" s="4503"/>
    </row>
    <row r="213" spans="2:14">
      <c r="B213" s="4483" t="s">
        <v>6544</v>
      </c>
      <c r="C213" s="4504" t="s">
        <v>1301</v>
      </c>
      <c r="D213" s="4497">
        <v>10000</v>
      </c>
      <c r="E213" s="4497"/>
      <c r="F213" s="4497"/>
      <c r="G213" s="4501">
        <f t="shared" si="16"/>
        <v>10000</v>
      </c>
      <c r="H213" s="4497">
        <f t="shared" si="17"/>
        <v>10000</v>
      </c>
      <c r="I213" s="4497"/>
      <c r="J213" s="4497"/>
      <c r="K213" s="4502">
        <f>+G213</f>
        <v>10000</v>
      </c>
      <c r="L213" s="4498"/>
      <c r="M213" s="4497"/>
      <c r="N213" s="4503"/>
    </row>
    <row r="214" spans="2:14">
      <c r="B214" s="4507" t="s">
        <v>6621</v>
      </c>
      <c r="C214" s="4504" t="s">
        <v>29</v>
      </c>
      <c r="D214" s="4497">
        <v>1120</v>
      </c>
      <c r="E214" s="4497"/>
      <c r="F214" s="4497"/>
      <c r="G214" s="4501">
        <f t="shared" si="16"/>
        <v>1120</v>
      </c>
      <c r="H214" s="4497">
        <f t="shared" si="17"/>
        <v>1120</v>
      </c>
      <c r="I214" s="4497">
        <f>+G214</f>
        <v>1120</v>
      </c>
      <c r="J214" s="4497"/>
      <c r="K214" s="4502"/>
      <c r="L214" s="4498"/>
      <c r="M214" s="4497"/>
      <c r="N214" s="4503"/>
    </row>
    <row r="215" spans="2:14">
      <c r="B215" s="4507" t="s">
        <v>6768</v>
      </c>
      <c r="C215" s="4504" t="s">
        <v>30</v>
      </c>
      <c r="D215" s="4497">
        <v>8706</v>
      </c>
      <c r="E215" s="4508"/>
      <c r="F215" s="4497"/>
      <c r="G215" s="4501">
        <f t="shared" si="16"/>
        <v>8706</v>
      </c>
      <c r="H215" s="4497">
        <f t="shared" si="17"/>
        <v>8706</v>
      </c>
      <c r="I215" s="4497">
        <f>+G215</f>
        <v>8706</v>
      </c>
      <c r="J215" s="4497"/>
      <c r="K215" s="4502"/>
      <c r="L215" s="4498"/>
      <c r="M215" s="4497"/>
      <c r="N215" s="4503"/>
    </row>
    <row r="216" spans="2:14">
      <c r="B216" s="4483" t="s">
        <v>6546</v>
      </c>
      <c r="C216" s="4504" t="s">
        <v>30</v>
      </c>
      <c r="D216" s="4497">
        <v>5000</v>
      </c>
      <c r="E216" s="4497"/>
      <c r="F216" s="4497"/>
      <c r="G216" s="4501">
        <f t="shared" si="16"/>
        <v>5000</v>
      </c>
      <c r="H216" s="4497">
        <f t="shared" si="17"/>
        <v>5000</v>
      </c>
      <c r="I216" s="4497"/>
      <c r="J216" s="4497"/>
      <c r="K216" s="4502">
        <f>+G216</f>
        <v>5000</v>
      </c>
      <c r="L216" s="4498"/>
      <c r="M216" s="4497"/>
      <c r="N216" s="4503"/>
    </row>
    <row r="217" spans="2:14">
      <c r="B217" s="4507" t="s">
        <v>6699</v>
      </c>
      <c r="C217" s="4500" t="s">
        <v>281</v>
      </c>
      <c r="D217" s="4497">
        <v>34285.199999999968</v>
      </c>
      <c r="E217" s="4497">
        <v>6265.65</v>
      </c>
      <c r="F217" s="4497"/>
      <c r="G217" s="4501">
        <f t="shared" si="16"/>
        <v>40550.849999999969</v>
      </c>
      <c r="H217" s="4497">
        <f t="shared" si="17"/>
        <v>40550.849999999969</v>
      </c>
      <c r="I217" s="4497">
        <f>+G217</f>
        <v>40550.849999999969</v>
      </c>
      <c r="J217" s="4497"/>
      <c r="K217" s="4497"/>
      <c r="L217" s="4498"/>
      <c r="M217" s="4497"/>
      <c r="N217" s="4503"/>
    </row>
    <row r="218" spans="2:14">
      <c r="B218" s="4509" t="s">
        <v>6700</v>
      </c>
      <c r="C218" s="4500" t="s">
        <v>281</v>
      </c>
      <c r="D218" s="4497">
        <v>31960.45</v>
      </c>
      <c r="E218" s="4497"/>
      <c r="F218" s="4497"/>
      <c r="G218" s="4501">
        <f t="shared" si="16"/>
        <v>31960.45</v>
      </c>
      <c r="H218" s="4497">
        <f t="shared" si="17"/>
        <v>31960.45</v>
      </c>
      <c r="I218" s="4497"/>
      <c r="J218" s="4497">
        <f>+G218</f>
        <v>31960.45</v>
      </c>
      <c r="K218" s="4497"/>
      <c r="L218" s="4498"/>
      <c r="M218" s="4497"/>
      <c r="N218" s="4503"/>
    </row>
    <row r="219" spans="2:14">
      <c r="B219" s="4483" t="s">
        <v>6701</v>
      </c>
      <c r="C219" s="4500" t="s">
        <v>281</v>
      </c>
      <c r="D219" s="4497">
        <v>5428.5700000000006</v>
      </c>
      <c r="E219" s="4497"/>
      <c r="F219" s="4497"/>
      <c r="G219" s="4501">
        <f t="shared" si="16"/>
        <v>5428.5700000000006</v>
      </c>
      <c r="H219" s="4497">
        <f t="shared" si="17"/>
        <v>5428.5700000000006</v>
      </c>
      <c r="I219" s="4497"/>
      <c r="J219" s="4497"/>
      <c r="K219" s="4497">
        <f>+G219</f>
        <v>5428.5700000000006</v>
      </c>
      <c r="L219" s="4498"/>
      <c r="M219" s="4497"/>
      <c r="N219" s="4503"/>
    </row>
    <row r="220" spans="2:14">
      <c r="B220" s="4483" t="s">
        <v>6706</v>
      </c>
      <c r="C220" s="4504" t="s">
        <v>505</v>
      </c>
      <c r="D220" s="4497">
        <v>22324.959999999999</v>
      </c>
      <c r="E220" s="4497"/>
      <c r="F220" s="4497"/>
      <c r="G220" s="4501">
        <f t="shared" si="16"/>
        <v>22324.959999999999</v>
      </c>
      <c r="H220" s="4497">
        <f t="shared" si="17"/>
        <v>22324.959999999999</v>
      </c>
      <c r="I220" s="4497"/>
      <c r="J220" s="4497"/>
      <c r="K220" s="4497">
        <f>+G220</f>
        <v>22324.959999999999</v>
      </c>
      <c r="L220" s="4498"/>
      <c r="M220" s="4497"/>
      <c r="N220" s="4503"/>
    </row>
    <row r="221" spans="2:14">
      <c r="B221" s="4507" t="s">
        <v>6623</v>
      </c>
      <c r="C221" s="4504" t="s">
        <v>4343</v>
      </c>
      <c r="D221" s="4497">
        <v>0</v>
      </c>
      <c r="E221" s="4497"/>
      <c r="F221" s="4497"/>
      <c r="G221" s="4501">
        <f t="shared" si="16"/>
        <v>0</v>
      </c>
      <c r="H221" s="4497">
        <f t="shared" si="17"/>
        <v>0</v>
      </c>
      <c r="I221" s="4497">
        <f>+G221</f>
        <v>0</v>
      </c>
      <c r="J221" s="4497"/>
      <c r="K221" s="4497"/>
      <c r="L221" s="4498"/>
      <c r="M221" s="4497"/>
      <c r="N221" s="4503"/>
    </row>
    <row r="222" spans="2:14">
      <c r="B222" s="4509" t="s">
        <v>6624</v>
      </c>
      <c r="C222" s="4504" t="s">
        <v>6752</v>
      </c>
      <c r="D222" s="4497">
        <v>7500</v>
      </c>
      <c r="F222" s="4497"/>
      <c r="G222" s="4501">
        <f t="shared" si="16"/>
        <v>7500</v>
      </c>
      <c r="H222" s="4497">
        <f t="shared" si="17"/>
        <v>7500</v>
      </c>
      <c r="I222" s="4497"/>
      <c r="J222" s="4497">
        <f>+G222</f>
        <v>7500</v>
      </c>
      <c r="K222" s="4497"/>
      <c r="L222" s="4498"/>
      <c r="M222" s="4497"/>
      <c r="N222" s="4503"/>
    </row>
    <row r="223" spans="2:14">
      <c r="B223" s="4507" t="s">
        <v>6625</v>
      </c>
      <c r="C223" s="4504" t="s">
        <v>32</v>
      </c>
      <c r="D223" s="4497">
        <v>4480</v>
      </c>
      <c r="E223" s="4497"/>
      <c r="F223" s="4497"/>
      <c r="G223" s="4501">
        <f t="shared" si="16"/>
        <v>4480</v>
      </c>
      <c r="H223" s="4497">
        <f t="shared" si="17"/>
        <v>4480</v>
      </c>
      <c r="I223" s="4497">
        <f>+G223</f>
        <v>4480</v>
      </c>
      <c r="J223" s="4497"/>
      <c r="K223" s="4497"/>
      <c r="L223" s="4498"/>
      <c r="M223" s="4497"/>
      <c r="N223" s="4503"/>
    </row>
    <row r="224" spans="2:14">
      <c r="B224" s="4507" t="s">
        <v>6601</v>
      </c>
      <c r="C224" s="4504" t="s">
        <v>1360</v>
      </c>
      <c r="D224" s="4497">
        <v>14442.970000000001</v>
      </c>
      <c r="E224" s="4497"/>
      <c r="F224" s="4497">
        <v>948.23</v>
      </c>
      <c r="G224" s="4501">
        <f t="shared" si="16"/>
        <v>13494.740000000002</v>
      </c>
      <c r="H224" s="4497">
        <f t="shared" si="17"/>
        <v>13494.740000000002</v>
      </c>
      <c r="I224" s="4497">
        <f>+G224</f>
        <v>13494.740000000002</v>
      </c>
      <c r="J224" s="4497"/>
      <c r="K224" s="4497"/>
      <c r="L224" s="4498"/>
      <c r="M224" s="4497"/>
      <c r="N224" s="4503"/>
    </row>
    <row r="225" spans="1:14">
      <c r="B225" s="4509" t="s">
        <v>6626</v>
      </c>
      <c r="C225" s="4504" t="s">
        <v>1360</v>
      </c>
      <c r="D225" s="4497">
        <v>150</v>
      </c>
      <c r="E225" s="4497"/>
      <c r="F225" s="4497"/>
      <c r="G225" s="4501">
        <f t="shared" si="16"/>
        <v>150</v>
      </c>
      <c r="H225" s="4497">
        <f t="shared" si="17"/>
        <v>150</v>
      </c>
      <c r="I225" s="4497"/>
      <c r="J225" s="4497">
        <f>+G225</f>
        <v>150</v>
      </c>
      <c r="K225" s="4497"/>
      <c r="L225" s="4498"/>
      <c r="M225" s="4497"/>
      <c r="N225" s="4503"/>
    </row>
    <row r="226" spans="1:14">
      <c r="B226" s="4507" t="s">
        <v>6829</v>
      </c>
      <c r="C226" s="4504" t="s">
        <v>1665</v>
      </c>
      <c r="D226" s="4497">
        <v>14932.410000000002</v>
      </c>
      <c r="E226" s="4497"/>
      <c r="F226" s="4497">
        <f>2100+285.39</f>
        <v>2385.39</v>
      </c>
      <c r="G226" s="4501">
        <f t="shared" si="16"/>
        <v>12547.020000000002</v>
      </c>
      <c r="H226" s="4497">
        <f t="shared" si="17"/>
        <v>12547.020000000002</v>
      </c>
      <c r="I226" s="4497">
        <f>+G226</f>
        <v>12547.020000000002</v>
      </c>
      <c r="J226" s="4497"/>
      <c r="K226" s="4497"/>
      <c r="L226" s="4498"/>
      <c r="M226" s="4497"/>
      <c r="N226" s="4503"/>
    </row>
    <row r="227" spans="1:14">
      <c r="B227" s="4509" t="s">
        <v>5097</v>
      </c>
      <c r="C227" s="4504" t="s">
        <v>1665</v>
      </c>
      <c r="D227" s="4497">
        <v>60756.600000000006</v>
      </c>
      <c r="E227" s="4508"/>
      <c r="F227" s="4508"/>
      <c r="G227" s="4501">
        <f t="shared" si="16"/>
        <v>60756.600000000006</v>
      </c>
      <c r="H227" s="4497">
        <f t="shared" si="17"/>
        <v>60756.600000000006</v>
      </c>
      <c r="I227" s="4497"/>
      <c r="J227" s="4497">
        <f>+G227</f>
        <v>60756.600000000006</v>
      </c>
      <c r="K227" s="4497"/>
      <c r="L227" s="4498"/>
      <c r="M227" s="4497"/>
      <c r="N227" s="4503"/>
    </row>
    <row r="228" spans="1:14">
      <c r="B228" s="4507" t="s">
        <v>6801</v>
      </c>
      <c r="C228" s="4504" t="s">
        <v>6802</v>
      </c>
      <c r="D228" s="4497">
        <v>56</v>
      </c>
      <c r="E228" s="4497"/>
      <c r="F228" s="4497"/>
      <c r="G228" s="4501">
        <f t="shared" si="16"/>
        <v>56</v>
      </c>
      <c r="H228" s="4497">
        <f t="shared" si="17"/>
        <v>56</v>
      </c>
      <c r="I228" s="4497">
        <f>+G228</f>
        <v>56</v>
      </c>
      <c r="J228" s="4497"/>
      <c r="K228" s="4497"/>
      <c r="L228" s="4498"/>
      <c r="M228" s="4497"/>
      <c r="N228" s="4503"/>
    </row>
    <row r="229" spans="1:14">
      <c r="B229" s="4507" t="s">
        <v>6774</v>
      </c>
      <c r="C229" s="4504" t="s">
        <v>6806</v>
      </c>
      <c r="D229" s="4497">
        <v>473.76</v>
      </c>
      <c r="E229" s="4497"/>
      <c r="F229" s="4497">
        <v>473.76</v>
      </c>
      <c r="G229" s="4501">
        <f t="shared" si="16"/>
        <v>0</v>
      </c>
      <c r="H229" s="4497">
        <f t="shared" si="17"/>
        <v>0</v>
      </c>
      <c r="I229" s="4497">
        <f>+G229</f>
        <v>0</v>
      </c>
      <c r="J229" s="4497"/>
      <c r="K229" s="4497"/>
      <c r="L229" s="4498"/>
      <c r="M229" s="4497"/>
      <c r="N229" s="4503"/>
    </row>
    <row r="230" spans="1:14">
      <c r="B230" s="4483" t="s">
        <v>5375</v>
      </c>
      <c r="C230" s="4504" t="s">
        <v>1089</v>
      </c>
      <c r="D230" s="4497">
        <v>2477.5</v>
      </c>
      <c r="E230" s="4497"/>
      <c r="F230" s="4497"/>
      <c r="G230" s="4501">
        <f t="shared" si="16"/>
        <v>2477.5</v>
      </c>
      <c r="H230" s="4497">
        <f t="shared" si="17"/>
        <v>2477.5</v>
      </c>
      <c r="I230" s="4497"/>
      <c r="J230" s="4497"/>
      <c r="K230" s="4497">
        <f>+G230</f>
        <v>2477.5</v>
      </c>
      <c r="L230" s="4498"/>
      <c r="M230" s="4497"/>
      <c r="N230" s="4503"/>
    </row>
    <row r="231" spans="1:14">
      <c r="B231" s="4483" t="s">
        <v>6629</v>
      </c>
      <c r="C231" s="4504" t="s">
        <v>4428</v>
      </c>
      <c r="D231" s="4497">
        <v>190.4</v>
      </c>
      <c r="E231" s="4497"/>
      <c r="F231" s="4497"/>
      <c r="G231" s="4501">
        <f t="shared" si="16"/>
        <v>190.4</v>
      </c>
      <c r="H231" s="4497">
        <f t="shared" si="17"/>
        <v>190.4</v>
      </c>
      <c r="I231" s="4497"/>
      <c r="J231" s="4497"/>
      <c r="K231" s="4497">
        <f>+G231</f>
        <v>190.4</v>
      </c>
      <c r="L231" s="4498"/>
      <c r="M231" s="4497"/>
      <c r="N231" s="4503"/>
    </row>
    <row r="232" spans="1:14">
      <c r="B232" s="4483" t="s">
        <v>6808</v>
      </c>
      <c r="C232" s="4504" t="s">
        <v>4141</v>
      </c>
      <c r="D232" s="4497">
        <v>620.58000000000004</v>
      </c>
      <c r="E232" s="4497"/>
      <c r="F232" s="4497"/>
      <c r="G232" s="4501">
        <f t="shared" si="16"/>
        <v>620.58000000000004</v>
      </c>
      <c r="H232" s="4497">
        <f t="shared" si="17"/>
        <v>620.58000000000004</v>
      </c>
      <c r="I232" s="4497"/>
      <c r="J232" s="4497"/>
      <c r="K232" s="4497">
        <f>+G232</f>
        <v>620.58000000000004</v>
      </c>
      <c r="L232" s="4498"/>
      <c r="M232" s="4497"/>
      <c r="N232" s="4503"/>
    </row>
    <row r="233" spans="1:14">
      <c r="B233" s="4509" t="s">
        <v>6809</v>
      </c>
      <c r="C233" s="4504" t="s">
        <v>4443</v>
      </c>
      <c r="D233" s="4497">
        <v>672</v>
      </c>
      <c r="E233" s="4497"/>
      <c r="F233" s="4497"/>
      <c r="G233" s="4501">
        <f t="shared" si="16"/>
        <v>672</v>
      </c>
      <c r="H233" s="4497">
        <f t="shared" si="17"/>
        <v>672</v>
      </c>
      <c r="I233" s="4497"/>
      <c r="J233" s="4497">
        <f>+G233</f>
        <v>672</v>
      </c>
      <c r="K233" s="4497"/>
      <c r="L233" s="4498"/>
      <c r="M233" s="4497"/>
      <c r="N233" s="4503"/>
    </row>
    <row r="234" spans="1:14">
      <c r="B234" s="4483" t="s">
        <v>6630</v>
      </c>
      <c r="C234" s="4504" t="s">
        <v>4443</v>
      </c>
      <c r="D234" s="4497">
        <v>194.88</v>
      </c>
      <c r="E234" s="4497"/>
      <c r="F234" s="4497"/>
      <c r="G234" s="4501">
        <f t="shared" si="16"/>
        <v>194.88</v>
      </c>
      <c r="H234" s="4497">
        <f t="shared" si="17"/>
        <v>194.88</v>
      </c>
      <c r="I234" s="4497"/>
      <c r="J234" s="4497"/>
      <c r="K234" s="4497">
        <f>+G234</f>
        <v>194.88</v>
      </c>
      <c r="L234" s="4498"/>
      <c r="M234" s="4497"/>
      <c r="N234" s="4503"/>
    </row>
    <row r="235" spans="1:14" s="4533" customFormat="1">
      <c r="B235" s="4509" t="s">
        <v>5257</v>
      </c>
      <c r="C235" s="4504" t="s">
        <v>1667</v>
      </c>
      <c r="D235" s="4497">
        <v>21436.610000000004</v>
      </c>
      <c r="E235" s="4497"/>
      <c r="F235" s="4497"/>
      <c r="G235" s="4501">
        <f t="shared" si="16"/>
        <v>21436.610000000004</v>
      </c>
      <c r="H235" s="4497">
        <f t="shared" si="17"/>
        <v>21436.610000000004</v>
      </c>
      <c r="I235" s="4508"/>
      <c r="J235" s="4497">
        <f>+G235</f>
        <v>21436.610000000004</v>
      </c>
      <c r="K235" s="4497"/>
      <c r="L235" s="4498"/>
      <c r="M235" s="4497"/>
      <c r="N235" s="4503"/>
    </row>
    <row r="236" spans="1:14" s="4533" customFormat="1">
      <c r="B236" s="4509" t="s">
        <v>6660</v>
      </c>
      <c r="C236" s="4504" t="s">
        <v>39</v>
      </c>
      <c r="D236" s="4497">
        <v>865.48</v>
      </c>
      <c r="E236" s="4497"/>
      <c r="F236" s="4497"/>
      <c r="G236" s="4501">
        <f t="shared" si="16"/>
        <v>865.48</v>
      </c>
      <c r="H236" s="4497">
        <f t="shared" si="17"/>
        <v>865.48</v>
      </c>
      <c r="I236" s="4497"/>
      <c r="J236" s="4497">
        <f>+G236</f>
        <v>865.48</v>
      </c>
      <c r="K236" s="4497"/>
      <c r="L236" s="4498"/>
      <c r="M236" s="4497"/>
      <c r="N236" s="4503"/>
    </row>
    <row r="237" spans="1:14">
      <c r="A237" s="4533"/>
      <c r="B237" s="4509" t="s">
        <v>5399</v>
      </c>
      <c r="C237" s="4504" t="s">
        <v>4163</v>
      </c>
      <c r="D237" s="4497">
        <v>39.200000000000045</v>
      </c>
      <c r="E237" s="4497"/>
      <c r="F237" s="4497"/>
      <c r="G237" s="4501">
        <f t="shared" si="16"/>
        <v>39.200000000000045</v>
      </c>
      <c r="H237" s="4497">
        <f t="shared" si="17"/>
        <v>39.200000000000045</v>
      </c>
      <c r="I237" s="4497"/>
      <c r="J237" s="4497">
        <f>+G237</f>
        <v>39.200000000000045</v>
      </c>
      <c r="K237" s="4497"/>
      <c r="L237" s="4498"/>
      <c r="M237" s="4497"/>
      <c r="N237" s="4503"/>
    </row>
    <row r="238" spans="1:14">
      <c r="A238" s="4533"/>
      <c r="B238" s="4507" t="s">
        <v>4835</v>
      </c>
      <c r="C238" s="4504" t="s">
        <v>40</v>
      </c>
      <c r="D238" s="4497">
        <v>3584.04</v>
      </c>
      <c r="E238" s="4497"/>
      <c r="F238" s="4497">
        <f>85.76</f>
        <v>85.76</v>
      </c>
      <c r="G238" s="4501">
        <f t="shared" si="16"/>
        <v>3498.2799999999997</v>
      </c>
      <c r="H238" s="4497">
        <f t="shared" si="17"/>
        <v>3498.2799999999997</v>
      </c>
      <c r="I238" s="4497">
        <f>+G238</f>
        <v>3498.2799999999997</v>
      </c>
      <c r="J238" s="4497"/>
      <c r="K238" s="4497"/>
      <c r="L238" s="4498"/>
      <c r="M238" s="4497"/>
      <c r="N238" s="4503"/>
    </row>
    <row r="239" spans="1:14">
      <c r="B239" s="4509" t="s">
        <v>6661</v>
      </c>
      <c r="C239" s="4504" t="s">
        <v>40</v>
      </c>
      <c r="D239" s="4497">
        <v>4118.82</v>
      </c>
      <c r="E239" s="4508"/>
      <c r="F239" s="4497"/>
      <c r="G239" s="4501">
        <f t="shared" si="16"/>
        <v>4118.82</v>
      </c>
      <c r="H239" s="4497">
        <f t="shared" si="17"/>
        <v>4118.82</v>
      </c>
      <c r="I239" s="4497"/>
      <c r="J239" s="4497">
        <f>+G239</f>
        <v>4118.82</v>
      </c>
      <c r="K239" s="4508"/>
      <c r="L239" s="4534"/>
      <c r="M239" s="4497"/>
      <c r="N239" s="4503"/>
    </row>
    <row r="240" spans="1:14">
      <c r="B240" s="4509" t="s">
        <v>6724</v>
      </c>
      <c r="C240" s="4504" t="s">
        <v>36</v>
      </c>
      <c r="D240" s="4497">
        <v>36867</v>
      </c>
      <c r="E240" s="4497"/>
      <c r="F240" s="4497"/>
      <c r="G240" s="4501">
        <f t="shared" si="16"/>
        <v>36867</v>
      </c>
      <c r="H240" s="4497">
        <f t="shared" si="17"/>
        <v>36867</v>
      </c>
      <c r="I240" s="4497"/>
      <c r="J240" s="4497">
        <f>+G240</f>
        <v>36867</v>
      </c>
      <c r="K240" s="4535"/>
      <c r="L240" s="4534"/>
      <c r="M240" s="4497"/>
      <c r="N240" s="4503"/>
    </row>
    <row r="241" spans="2:14">
      <c r="B241" s="4509" t="s">
        <v>6815</v>
      </c>
      <c r="C241" s="4504" t="s">
        <v>37</v>
      </c>
      <c r="D241" s="4497">
        <v>3500</v>
      </c>
      <c r="E241" s="4497"/>
      <c r="F241" s="4497"/>
      <c r="G241" s="4501">
        <f t="shared" si="16"/>
        <v>3500</v>
      </c>
      <c r="H241" s="4497">
        <f t="shared" si="17"/>
        <v>3500</v>
      </c>
      <c r="I241" s="4497"/>
      <c r="J241" s="4497">
        <f>+G241</f>
        <v>3500</v>
      </c>
      <c r="K241" s="4535"/>
      <c r="L241" s="4534"/>
      <c r="M241" s="4497"/>
      <c r="N241" s="4503"/>
    </row>
    <row r="242" spans="2:14">
      <c r="B242" s="4507" t="s">
        <v>6581</v>
      </c>
      <c r="C242" s="4504" t="s">
        <v>6816</v>
      </c>
      <c r="D242" s="4497">
        <v>97298.07</v>
      </c>
      <c r="E242" s="4497"/>
      <c r="F242" s="4497"/>
      <c r="G242" s="4501">
        <f t="shared" si="16"/>
        <v>97298.07</v>
      </c>
      <c r="H242" s="4497">
        <f t="shared" si="17"/>
        <v>97298.07</v>
      </c>
      <c r="I242" s="4508">
        <f>+G242</f>
        <v>97298.07</v>
      </c>
      <c r="J242" s="4497"/>
      <c r="K242" s="4497"/>
      <c r="L242" s="4498"/>
      <c r="M242" s="4497"/>
      <c r="N242" s="4503"/>
    </row>
    <row r="243" spans="2:14">
      <c r="B243" s="4507" t="s">
        <v>6817</v>
      </c>
      <c r="C243" s="4504" t="s">
        <v>505</v>
      </c>
      <c r="D243" s="4497">
        <v>0</v>
      </c>
      <c r="E243" s="4497"/>
      <c r="F243" s="4497"/>
      <c r="G243" s="4501">
        <f t="shared" si="16"/>
        <v>0</v>
      </c>
      <c r="H243" s="4497">
        <f t="shared" si="17"/>
        <v>0</v>
      </c>
      <c r="I243" s="4508">
        <f>+G243</f>
        <v>0</v>
      </c>
      <c r="J243" s="4497"/>
      <c r="K243" s="4502"/>
      <c r="L243" s="4498"/>
      <c r="M243" s="4497"/>
      <c r="N243" s="4503"/>
    </row>
    <row r="244" spans="2:14">
      <c r="B244" s="4512" t="s">
        <v>6818</v>
      </c>
      <c r="C244" s="4504" t="s">
        <v>6819</v>
      </c>
      <c r="D244" s="4497">
        <v>26785.72</v>
      </c>
      <c r="E244" s="4497"/>
      <c r="F244" s="4497"/>
      <c r="G244" s="4501">
        <f t="shared" si="16"/>
        <v>26785.72</v>
      </c>
      <c r="H244" s="4497">
        <f t="shared" si="17"/>
        <v>26785.72</v>
      </c>
      <c r="I244" s="4497"/>
      <c r="J244" s="4497"/>
      <c r="K244" s="4502"/>
      <c r="L244" s="4497">
        <f>+G244</f>
        <v>26785.72</v>
      </c>
      <c r="M244" s="4497"/>
      <c r="N244" s="4503"/>
    </row>
    <row r="245" spans="2:14">
      <c r="B245" s="4516" t="s">
        <v>7004</v>
      </c>
      <c r="C245" s="4504" t="s">
        <v>6819</v>
      </c>
      <c r="D245" s="4497">
        <v>26785.71</v>
      </c>
      <c r="E245" s="4497"/>
      <c r="F245" s="4513"/>
      <c r="G245" s="4501">
        <f t="shared" si="16"/>
        <v>26785.71</v>
      </c>
      <c r="H245" s="4497">
        <f t="shared" si="17"/>
        <v>26785.71</v>
      </c>
      <c r="I245" s="4513"/>
      <c r="J245" s="4513"/>
      <c r="K245" s="4515"/>
      <c r="L245" s="4513"/>
      <c r="M245" s="4497">
        <f>+G245</f>
        <v>26785.71</v>
      </c>
      <c r="N245" s="4503"/>
    </row>
    <row r="246" spans="2:14">
      <c r="B246" s="4512" t="s">
        <v>6820</v>
      </c>
      <c r="C246" s="4504" t="s">
        <v>2742</v>
      </c>
      <c r="D246" s="4497">
        <v>547122.16999999993</v>
      </c>
      <c r="E246" s="4497"/>
      <c r="F246" s="4513"/>
      <c r="G246" s="4501">
        <f t="shared" si="16"/>
        <v>547122.16999999993</v>
      </c>
      <c r="H246" s="4497">
        <f t="shared" si="17"/>
        <v>547122.16999999993</v>
      </c>
      <c r="I246" s="4514"/>
      <c r="J246" s="4513"/>
      <c r="K246" s="4513"/>
      <c r="L246" s="4513">
        <f>+G246</f>
        <v>547122.16999999993</v>
      </c>
      <c r="M246" s="4497"/>
      <c r="N246" s="4503"/>
    </row>
    <row r="247" spans="2:14">
      <c r="B247" s="4483" t="s">
        <v>7350</v>
      </c>
      <c r="C247" s="4504" t="s">
        <v>3787</v>
      </c>
      <c r="D247" s="4497">
        <v>62540.299559999999</v>
      </c>
      <c r="E247" s="4497"/>
      <c r="F247" s="4513"/>
      <c r="G247" s="4501">
        <f t="shared" si="16"/>
        <v>62540.299559999999</v>
      </c>
      <c r="H247" s="4497">
        <f t="shared" si="17"/>
        <v>62540.299559999999</v>
      </c>
      <c r="I247" s="4514"/>
      <c r="J247" s="4513"/>
      <c r="K247" s="4513">
        <f>+G247</f>
        <v>62540.299559999999</v>
      </c>
      <c r="L247" s="4513"/>
      <c r="M247" s="4497"/>
      <c r="N247" s="4503"/>
    </row>
    <row r="248" spans="2:14">
      <c r="B248" s="4507" t="s">
        <v>6967</v>
      </c>
      <c r="C248" s="4504" t="s">
        <v>39</v>
      </c>
      <c r="D248" s="4497">
        <v>0</v>
      </c>
      <c r="E248" s="4497"/>
      <c r="F248" s="4513"/>
      <c r="G248" s="4501">
        <f t="shared" si="16"/>
        <v>0</v>
      </c>
      <c r="H248" s="4497">
        <f t="shared" si="17"/>
        <v>0</v>
      </c>
      <c r="I248" s="4514">
        <f>+G248</f>
        <v>0</v>
      </c>
      <c r="J248" s="4513"/>
      <c r="K248" s="4513"/>
      <c r="L248" s="4513"/>
      <c r="M248" s="4497"/>
      <c r="N248" s="4503"/>
    </row>
    <row r="249" spans="2:14">
      <c r="B249" s="4507" t="s">
        <v>7351</v>
      </c>
      <c r="C249" s="4504" t="s">
        <v>4106</v>
      </c>
      <c r="D249" s="4497">
        <v>1563507.51</v>
      </c>
      <c r="E249" s="4497"/>
      <c r="F249" s="4513"/>
      <c r="G249" s="4501">
        <f t="shared" si="16"/>
        <v>1563507.51</v>
      </c>
      <c r="H249" s="4497">
        <f t="shared" si="17"/>
        <v>1563507.51</v>
      </c>
      <c r="I249" s="4514">
        <f>+G249</f>
        <v>1563507.51</v>
      </c>
      <c r="J249" s="4513"/>
      <c r="K249" s="4513"/>
      <c r="L249" s="4513"/>
      <c r="M249" s="4497"/>
      <c r="N249" s="4503"/>
    </row>
    <row r="250" spans="2:14">
      <c r="B250" s="4509" t="s">
        <v>6738</v>
      </c>
      <c r="C250" s="4504" t="s">
        <v>591</v>
      </c>
      <c r="D250" s="4497">
        <v>2250</v>
      </c>
      <c r="E250" s="4497"/>
      <c r="F250" s="4513"/>
      <c r="G250" s="4501">
        <f t="shared" si="16"/>
        <v>2250</v>
      </c>
      <c r="H250" s="4497">
        <f t="shared" si="17"/>
        <v>2250</v>
      </c>
      <c r="I250" s="4514"/>
      <c r="J250" s="4513">
        <f>+G250</f>
        <v>2250</v>
      </c>
      <c r="K250" s="4513"/>
      <c r="L250" s="4498"/>
      <c r="M250" s="4497"/>
      <c r="N250" s="4503"/>
    </row>
    <row r="251" spans="2:14">
      <c r="B251" s="4483" t="s">
        <v>5694</v>
      </c>
      <c r="C251" s="4504" t="s">
        <v>591</v>
      </c>
      <c r="D251" s="4497">
        <v>6087.12</v>
      </c>
      <c r="E251" s="4497"/>
      <c r="F251" s="4513"/>
      <c r="G251" s="4501">
        <f t="shared" si="16"/>
        <v>6087.12</v>
      </c>
      <c r="H251" s="4497">
        <f t="shared" si="17"/>
        <v>6087.12</v>
      </c>
      <c r="I251" s="4514"/>
      <c r="J251" s="4513"/>
      <c r="K251" s="4513">
        <f>+G251</f>
        <v>6087.12</v>
      </c>
      <c r="L251" s="4498"/>
      <c r="M251" s="4497"/>
      <c r="N251" s="4503"/>
    </row>
    <row r="252" spans="2:14">
      <c r="B252" s="4507" t="s">
        <v>6931</v>
      </c>
      <c r="C252" s="4504" t="s">
        <v>591</v>
      </c>
      <c r="D252" s="4497">
        <v>0</v>
      </c>
      <c r="E252" s="4497"/>
      <c r="F252" s="4513"/>
      <c r="G252" s="4501">
        <f t="shared" si="16"/>
        <v>0</v>
      </c>
      <c r="H252" s="4497">
        <f t="shared" si="17"/>
        <v>0</v>
      </c>
      <c r="I252" s="4514">
        <f>G252</f>
        <v>0</v>
      </c>
      <c r="J252" s="4513"/>
      <c r="K252" s="4513"/>
      <c r="L252" s="4498"/>
      <c r="M252" s="4497"/>
      <c r="N252" s="4503"/>
    </row>
    <row r="253" spans="2:14">
      <c r="B253" s="4507" t="s">
        <v>5717</v>
      </c>
      <c r="C253" s="4504" t="s">
        <v>39</v>
      </c>
      <c r="D253" s="4497">
        <v>90191.92</v>
      </c>
      <c r="E253" s="4497"/>
      <c r="F253" s="4497">
        <f>3000+280.1+149.34</f>
        <v>3429.44</v>
      </c>
      <c r="G253" s="4501">
        <f t="shared" si="16"/>
        <v>86762.48</v>
      </c>
      <c r="H253" s="4497">
        <f t="shared" si="17"/>
        <v>86762.48</v>
      </c>
      <c r="I253" s="4497">
        <f>+G253</f>
        <v>86762.48</v>
      </c>
      <c r="J253" s="4514"/>
      <c r="K253" s="4513"/>
      <c r="L253" s="4498"/>
      <c r="M253" s="4497"/>
      <c r="N253" s="4503"/>
    </row>
    <row r="254" spans="2:14">
      <c r="B254" s="4507" t="s">
        <v>6822</v>
      </c>
      <c r="C254" s="4504" t="s">
        <v>39</v>
      </c>
      <c r="D254" s="4497">
        <v>1006919.6499999999</v>
      </c>
      <c r="E254" s="4497"/>
      <c r="F254" s="4497">
        <f>30694.38+7756.64+69433.23</f>
        <v>107884.25</v>
      </c>
      <c r="G254" s="4501">
        <f t="shared" si="16"/>
        <v>899035.39999999991</v>
      </c>
      <c r="H254" s="4497">
        <f t="shared" si="17"/>
        <v>899035.39999999991</v>
      </c>
      <c r="I254" s="4497">
        <f>+G254</f>
        <v>899035.39999999991</v>
      </c>
      <c r="J254" s="4514"/>
      <c r="K254" s="4513"/>
      <c r="L254" s="4498"/>
      <c r="M254" s="4497"/>
      <c r="N254" s="4503"/>
    </row>
    <row r="255" spans="2:14" ht="13.5" customHeight="1">
      <c r="B255" s="4509" t="s">
        <v>5252</v>
      </c>
      <c r="C255" s="4504" t="s">
        <v>39</v>
      </c>
      <c r="D255" s="4497">
        <v>55934.289999999994</v>
      </c>
      <c r="E255" s="4497"/>
      <c r="F255" s="4497">
        <v>1680</v>
      </c>
      <c r="G255" s="4501">
        <f t="shared" si="16"/>
        <v>54254.289999999994</v>
      </c>
      <c r="H255" s="4497">
        <f t="shared" si="17"/>
        <v>54254.289999999994</v>
      </c>
      <c r="I255" s="4497"/>
      <c r="J255" s="4514">
        <f>+G255</f>
        <v>54254.289999999994</v>
      </c>
      <c r="K255" s="4513"/>
      <c r="L255" s="4498"/>
      <c r="M255" s="4497"/>
      <c r="N255" s="4503"/>
    </row>
    <row r="256" spans="2:14">
      <c r="B256" s="4483" t="s">
        <v>5283</v>
      </c>
      <c r="C256" s="4504" t="s">
        <v>39</v>
      </c>
      <c r="D256" s="4497">
        <v>380129.45999999996</v>
      </c>
      <c r="E256" s="4513"/>
      <c r="F256" s="4497"/>
      <c r="G256" s="4501">
        <f t="shared" si="16"/>
        <v>380129.45999999996</v>
      </c>
      <c r="H256" s="4497">
        <f t="shared" si="17"/>
        <v>380129.45999999996</v>
      </c>
      <c r="I256" s="4497"/>
      <c r="J256" s="4513"/>
      <c r="K256" s="4513">
        <f>+G256</f>
        <v>380129.45999999996</v>
      </c>
      <c r="L256" s="4498"/>
      <c r="M256" s="4497"/>
      <c r="N256" s="4503"/>
    </row>
    <row r="257" spans="2:14">
      <c r="B257" s="4516" t="s">
        <v>6929</v>
      </c>
      <c r="C257" s="4504" t="s">
        <v>39</v>
      </c>
      <c r="D257" s="4497">
        <v>24677.5</v>
      </c>
      <c r="E257" s="4536"/>
      <c r="F257" s="4497"/>
      <c r="G257" s="4501">
        <f t="shared" si="16"/>
        <v>24677.5</v>
      </c>
      <c r="H257" s="4497">
        <f>SUM(I257:M257)</f>
        <v>24677.5</v>
      </c>
      <c r="I257" s="4503"/>
      <c r="J257" s="4513"/>
      <c r="K257" s="4513"/>
      <c r="L257" s="4498"/>
      <c r="M257" s="4497">
        <f>G257</f>
        <v>24677.5</v>
      </c>
      <c r="N257" s="4503"/>
    </row>
    <row r="258" spans="2:14">
      <c r="B258" s="4507" t="s">
        <v>5544</v>
      </c>
      <c r="C258" s="4504" t="s">
        <v>40</v>
      </c>
      <c r="D258" s="4497">
        <v>6596.7999999999993</v>
      </c>
      <c r="E258" s="4497"/>
      <c r="F258" s="4497">
        <v>91.12</v>
      </c>
      <c r="G258" s="4501">
        <f t="shared" si="16"/>
        <v>6505.6799999999994</v>
      </c>
      <c r="H258" s="4497">
        <f t="shared" ref="H258:H265" si="18">+SUM(I258:M258)</f>
        <v>6505.6799999999994</v>
      </c>
      <c r="I258" s="4513">
        <f>+G258</f>
        <v>6505.6799999999994</v>
      </c>
      <c r="J258" s="4514"/>
      <c r="K258" s="4513"/>
      <c r="L258" s="4498"/>
      <c r="M258" s="4497"/>
      <c r="N258" s="4503"/>
    </row>
    <row r="259" spans="2:14">
      <c r="B259" s="4507" t="s">
        <v>6823</v>
      </c>
      <c r="C259" s="4504" t="s">
        <v>40</v>
      </c>
      <c r="D259" s="4497">
        <v>169813.56</v>
      </c>
      <c r="E259" s="4497"/>
      <c r="F259" s="4497">
        <v>36925.56</v>
      </c>
      <c r="G259" s="4501">
        <f t="shared" si="16"/>
        <v>132888</v>
      </c>
      <c r="H259" s="4497">
        <f t="shared" si="18"/>
        <v>132888</v>
      </c>
      <c r="I259" s="4513">
        <f>+G259</f>
        <v>132888</v>
      </c>
      <c r="J259" s="4514"/>
      <c r="K259" s="4513"/>
      <c r="L259" s="4498"/>
      <c r="M259" s="4497"/>
      <c r="N259" s="4503"/>
    </row>
    <row r="260" spans="2:14" ht="13.5" customHeight="1">
      <c r="B260" s="4509" t="s">
        <v>6743</v>
      </c>
      <c r="C260" s="4504" t="s">
        <v>40</v>
      </c>
      <c r="D260" s="4497">
        <v>119296.8</v>
      </c>
      <c r="E260" s="4497"/>
      <c r="F260" s="4497">
        <v>13537.8</v>
      </c>
      <c r="G260" s="4501">
        <f t="shared" si="16"/>
        <v>105759</v>
      </c>
      <c r="H260" s="4497">
        <f t="shared" si="18"/>
        <v>105759</v>
      </c>
      <c r="I260" s="4497"/>
      <c r="J260" s="4514">
        <f>+G260</f>
        <v>105759</v>
      </c>
      <c r="K260" s="4513"/>
      <c r="L260" s="4498"/>
      <c r="M260" s="4497"/>
      <c r="N260" s="4503"/>
    </row>
    <row r="261" spans="2:14">
      <c r="B261" s="4483" t="s">
        <v>4825</v>
      </c>
      <c r="C261" s="4504" t="s">
        <v>40</v>
      </c>
      <c r="D261" s="4497">
        <v>344422.15999999992</v>
      </c>
      <c r="E261" s="4508"/>
      <c r="F261" s="4508"/>
      <c r="G261" s="4501">
        <f t="shared" si="16"/>
        <v>344422.15999999992</v>
      </c>
      <c r="H261" s="4497">
        <f t="shared" si="18"/>
        <v>344422.15999999992</v>
      </c>
      <c r="I261" s="4537"/>
      <c r="J261" s="4514"/>
      <c r="K261" s="4513">
        <f>+G261</f>
        <v>344422.15999999992</v>
      </c>
      <c r="L261" s="4498"/>
      <c r="M261" s="4497"/>
      <c r="N261" s="4503"/>
    </row>
    <row r="262" spans="2:14">
      <c r="B262" s="4512" t="s">
        <v>6824</v>
      </c>
      <c r="C262" s="4504" t="s">
        <v>40</v>
      </c>
      <c r="D262" s="4497">
        <v>110690.00000000006</v>
      </c>
      <c r="E262" s="4513"/>
      <c r="F262" s="4513"/>
      <c r="G262" s="4501">
        <f t="shared" si="16"/>
        <v>110690.00000000006</v>
      </c>
      <c r="H262" s="4497">
        <f t="shared" si="18"/>
        <v>110690.00000000006</v>
      </c>
      <c r="I262" s="4537"/>
      <c r="J262" s="4514"/>
      <c r="K262" s="4513"/>
      <c r="L262" s="4513">
        <f>+G262</f>
        <v>110690.00000000006</v>
      </c>
      <c r="M262" s="4497"/>
      <c r="N262" s="4503"/>
    </row>
    <row r="263" spans="2:14">
      <c r="B263" s="4516" t="s">
        <v>7005</v>
      </c>
      <c r="C263" s="4504" t="s">
        <v>40</v>
      </c>
      <c r="D263" s="4497">
        <v>110690</v>
      </c>
      <c r="E263" s="4513"/>
      <c r="F263" s="4513"/>
      <c r="G263" s="4501">
        <f t="shared" si="16"/>
        <v>110690</v>
      </c>
      <c r="H263" s="4497">
        <f t="shared" si="18"/>
        <v>110690</v>
      </c>
      <c r="I263" s="4537"/>
      <c r="J263" s="4514"/>
      <c r="K263" s="4513"/>
      <c r="L263" s="4513"/>
      <c r="M263" s="4497">
        <f>+G263</f>
        <v>110690</v>
      </c>
      <c r="N263" s="4503"/>
    </row>
    <row r="264" spans="2:14">
      <c r="B264" s="4509" t="s">
        <v>7006</v>
      </c>
      <c r="C264" s="4504" t="s">
        <v>36</v>
      </c>
      <c r="D264" s="4497">
        <v>13133</v>
      </c>
      <c r="E264" s="4497"/>
      <c r="F264" s="4497"/>
      <c r="G264" s="4501">
        <f t="shared" si="16"/>
        <v>13133</v>
      </c>
      <c r="H264" s="4497">
        <f t="shared" si="18"/>
        <v>13133</v>
      </c>
      <c r="I264" s="4497"/>
      <c r="J264" s="4497">
        <f>+G264</f>
        <v>13133</v>
      </c>
      <c r="K264" s="4535"/>
      <c r="L264" s="4534"/>
      <c r="M264" s="4497"/>
      <c r="N264" s="4503"/>
    </row>
    <row r="265" spans="2:14">
      <c r="B265" s="4483" t="s">
        <v>6825</v>
      </c>
      <c r="C265" s="4504" t="s">
        <v>37</v>
      </c>
      <c r="D265" s="4497">
        <v>0</v>
      </c>
      <c r="E265" s="4513"/>
      <c r="F265" s="4513"/>
      <c r="G265" s="4501">
        <f t="shared" si="16"/>
        <v>0</v>
      </c>
      <c r="H265" s="4497">
        <f t="shared" si="18"/>
        <v>0</v>
      </c>
      <c r="I265" s="4513"/>
      <c r="J265" s="4514"/>
      <c r="K265" s="4513">
        <f>+G265</f>
        <v>0</v>
      </c>
      <c r="L265" s="4513"/>
      <c r="M265" s="4497"/>
      <c r="N265" s="4503"/>
    </row>
    <row r="266" spans="2:14">
      <c r="B266" s="4524"/>
      <c r="C266" s="4518" t="s">
        <v>6636</v>
      </c>
      <c r="D266" s="1537">
        <f t="shared" ref="D266:M266" si="19">SUM(D206:D265)</f>
        <v>5581516.519559999</v>
      </c>
      <c r="E266" s="1537">
        <f t="shared" si="19"/>
        <v>6265.65</v>
      </c>
      <c r="F266" s="1537">
        <f t="shared" si="19"/>
        <v>170502.11</v>
      </c>
      <c r="G266" s="1537">
        <f t="shared" si="19"/>
        <v>5417280.059559999</v>
      </c>
      <c r="H266" s="1537">
        <f t="shared" si="19"/>
        <v>5417280.059559999</v>
      </c>
      <c r="I266" s="1537">
        <f t="shared" si="19"/>
        <v>3354432.54</v>
      </c>
      <c r="J266" s="1537">
        <f t="shared" si="19"/>
        <v>350614.45</v>
      </c>
      <c r="K266" s="1537">
        <f t="shared" si="19"/>
        <v>840415.92955999984</v>
      </c>
      <c r="L266" s="1537">
        <f t="shared" si="19"/>
        <v>684597.8899999999</v>
      </c>
      <c r="M266" s="1537">
        <f t="shared" si="19"/>
        <v>187219.25</v>
      </c>
      <c r="N266" s="4503"/>
    </row>
    <row r="267" spans="2:14" ht="14.25">
      <c r="B267" s="4538"/>
      <c r="C267" s="4539"/>
      <c r="D267" s="1568"/>
      <c r="E267" s="1567"/>
      <c r="F267" s="1567"/>
      <c r="G267" s="1568"/>
      <c r="H267" s="1503"/>
      <c r="I267" s="4540"/>
      <c r="J267" s="4540"/>
      <c r="K267" s="4540"/>
      <c r="N267" s="4503"/>
    </row>
    <row r="268" spans="2:14">
      <c r="B268" s="4541"/>
      <c r="C268" s="4539"/>
      <c r="D268" s="1567"/>
      <c r="E268" s="1567"/>
      <c r="F268" s="1567"/>
      <c r="G268" s="1503"/>
      <c r="H268" s="1503"/>
      <c r="I268" s="4540"/>
      <c r="J268" s="4540"/>
      <c r="K268" s="4540"/>
      <c r="N268" s="4503"/>
    </row>
    <row r="269" spans="2:14" ht="25.5">
      <c r="B269" s="4528" t="s">
        <v>7</v>
      </c>
      <c r="C269" s="4528" t="s">
        <v>6505</v>
      </c>
      <c r="D269" s="4489" t="s">
        <v>6667</v>
      </c>
      <c r="E269" s="4489" t="s">
        <v>6678</v>
      </c>
      <c r="F269" s="4489" t="s">
        <v>6679</v>
      </c>
      <c r="G269" s="4489" t="s">
        <v>6680</v>
      </c>
      <c r="H269" s="4489" t="s">
        <v>6681</v>
      </c>
      <c r="I269" s="4490" t="s">
        <v>6488</v>
      </c>
      <c r="J269" s="4529" t="s">
        <v>6489</v>
      </c>
      <c r="K269" s="4492" t="s">
        <v>6508</v>
      </c>
      <c r="L269" s="4493" t="s">
        <v>6491</v>
      </c>
      <c r="M269" s="4494" t="s">
        <v>6492</v>
      </c>
      <c r="N269" s="4503"/>
    </row>
    <row r="270" spans="2:14">
      <c r="B270" s="4530" t="s">
        <v>6637</v>
      </c>
      <c r="C270" s="4531" t="s">
        <v>6638</v>
      </c>
      <c r="D270" s="4532"/>
      <c r="E270" s="4522"/>
      <c r="F270" s="4522"/>
      <c r="G270" s="4532"/>
      <c r="H270" s="4522"/>
      <c r="I270" s="4522"/>
      <c r="J270" s="4522"/>
      <c r="K270" s="4522"/>
      <c r="L270" s="4498"/>
      <c r="M270" s="4498"/>
      <c r="N270" s="4503"/>
    </row>
    <row r="271" spans="2:14">
      <c r="B271" s="4509" t="s">
        <v>5020</v>
      </c>
      <c r="C271" s="4542" t="s">
        <v>6791</v>
      </c>
      <c r="D271" s="4497">
        <v>0</v>
      </c>
      <c r="E271" s="4497"/>
      <c r="F271" s="4497"/>
      <c r="G271" s="4501">
        <f t="shared" ref="G271:G307" si="20">+D271+E271-F271</f>
        <v>0</v>
      </c>
      <c r="H271" s="4497">
        <f t="shared" ref="H271:H307" si="21">+SUM(I271:M271)</f>
        <v>0</v>
      </c>
      <c r="I271" s="4497"/>
      <c r="J271" s="4497">
        <f t="shared" ref="J271:J282" si="22">+G271</f>
        <v>0</v>
      </c>
      <c r="K271" s="4497"/>
      <c r="L271" s="4498"/>
      <c r="M271" s="4498"/>
      <c r="N271" s="4503"/>
    </row>
    <row r="272" spans="2:14">
      <c r="B272" s="4509" t="s">
        <v>6766</v>
      </c>
      <c r="C272" s="4504" t="s">
        <v>6826</v>
      </c>
      <c r="D272" s="4497">
        <v>3077.91</v>
      </c>
      <c r="E272" s="4497"/>
      <c r="F272" s="4497"/>
      <c r="G272" s="4501">
        <f t="shared" si="20"/>
        <v>3077.91</v>
      </c>
      <c r="H272" s="4497">
        <f t="shared" si="21"/>
        <v>3077.91</v>
      </c>
      <c r="I272" s="4497"/>
      <c r="J272" s="4497">
        <f t="shared" si="22"/>
        <v>3077.91</v>
      </c>
      <c r="K272" s="4497"/>
      <c r="L272" s="4498"/>
      <c r="M272" s="4498"/>
      <c r="N272" s="4503"/>
    </row>
    <row r="273" spans="2:14">
      <c r="B273" s="4509" t="s">
        <v>6641</v>
      </c>
      <c r="C273" s="4504" t="s">
        <v>27</v>
      </c>
      <c r="D273" s="4497">
        <v>0</v>
      </c>
      <c r="E273" s="4497"/>
      <c r="F273" s="4497"/>
      <c r="G273" s="4501">
        <f t="shared" si="20"/>
        <v>0</v>
      </c>
      <c r="H273" s="4497">
        <f t="shared" si="21"/>
        <v>0</v>
      </c>
      <c r="I273" s="4497"/>
      <c r="J273" s="4497">
        <f t="shared" si="22"/>
        <v>0</v>
      </c>
      <c r="K273" s="4497"/>
      <c r="L273" s="4498"/>
      <c r="M273" s="4498"/>
      <c r="N273" s="4503"/>
    </row>
    <row r="274" spans="2:14">
      <c r="B274" s="4509" t="s">
        <v>6827</v>
      </c>
      <c r="C274" s="4504" t="s">
        <v>1507</v>
      </c>
      <c r="D274" s="4497">
        <v>4480</v>
      </c>
      <c r="E274" s="4497"/>
      <c r="F274" s="4497"/>
      <c r="G274" s="4501">
        <f t="shared" si="20"/>
        <v>4480</v>
      </c>
      <c r="H274" s="4497">
        <f t="shared" si="21"/>
        <v>4480</v>
      </c>
      <c r="I274" s="4497"/>
      <c r="J274" s="4497">
        <f t="shared" si="22"/>
        <v>4480</v>
      </c>
      <c r="K274" s="4497"/>
      <c r="L274" s="4498"/>
      <c r="M274" s="4498"/>
      <c r="N274" s="4503"/>
    </row>
    <row r="275" spans="2:14">
      <c r="B275" s="4509" t="s">
        <v>6643</v>
      </c>
      <c r="C275" s="4504" t="s">
        <v>6828</v>
      </c>
      <c r="D275" s="4497">
        <v>0</v>
      </c>
      <c r="E275" s="4497"/>
      <c r="F275" s="4497"/>
      <c r="G275" s="4501">
        <f t="shared" si="20"/>
        <v>0</v>
      </c>
      <c r="H275" s="4497">
        <f t="shared" si="21"/>
        <v>0</v>
      </c>
      <c r="I275" s="4497"/>
      <c r="J275" s="4497">
        <f t="shared" si="22"/>
        <v>0</v>
      </c>
      <c r="K275" s="4497"/>
      <c r="L275" s="4498"/>
      <c r="M275" s="4498"/>
      <c r="N275" s="4503"/>
    </row>
    <row r="276" spans="2:14">
      <c r="B276" s="4509" t="s">
        <v>6700</v>
      </c>
      <c r="C276" s="4500" t="s">
        <v>281</v>
      </c>
      <c r="D276" s="4497">
        <v>4961.1499999999996</v>
      </c>
      <c r="E276" s="4497"/>
      <c r="F276" s="4497"/>
      <c r="G276" s="4501">
        <f t="shared" si="20"/>
        <v>4961.1499999999996</v>
      </c>
      <c r="H276" s="4497">
        <f t="shared" si="21"/>
        <v>4961.1499999999996</v>
      </c>
      <c r="I276" s="4497"/>
      <c r="J276" s="4497">
        <f t="shared" si="22"/>
        <v>4961.1499999999996</v>
      </c>
      <c r="K276" s="4497"/>
      <c r="L276" s="4498"/>
      <c r="M276" s="4498"/>
      <c r="N276" s="4503"/>
    </row>
    <row r="277" spans="2:14">
      <c r="B277" s="4509" t="s">
        <v>6770</v>
      </c>
      <c r="C277" s="4500" t="s">
        <v>505</v>
      </c>
      <c r="D277" s="4497">
        <v>2352</v>
      </c>
      <c r="E277" s="4497"/>
      <c r="F277" s="4497">
        <v>352</v>
      </c>
      <c r="G277" s="4501">
        <f t="shared" si="20"/>
        <v>2000</v>
      </c>
      <c r="H277" s="4497">
        <f t="shared" si="21"/>
        <v>2000</v>
      </c>
      <c r="I277" s="4497"/>
      <c r="J277" s="4497">
        <f t="shared" si="22"/>
        <v>2000</v>
      </c>
      <c r="K277" s="4497"/>
      <c r="L277" s="4498"/>
      <c r="M277" s="4498"/>
      <c r="N277" s="4503"/>
    </row>
    <row r="278" spans="2:14">
      <c r="B278" s="4509" t="s">
        <v>6646</v>
      </c>
      <c r="C278" s="4504" t="s">
        <v>4343</v>
      </c>
      <c r="D278" s="4497">
        <v>0</v>
      </c>
      <c r="E278" s="4497"/>
      <c r="F278" s="4497"/>
      <c r="G278" s="4501">
        <f t="shared" si="20"/>
        <v>0</v>
      </c>
      <c r="H278" s="4497">
        <f t="shared" si="21"/>
        <v>0</v>
      </c>
      <c r="I278" s="4497"/>
      <c r="J278" s="4497">
        <f t="shared" si="22"/>
        <v>0</v>
      </c>
      <c r="K278" s="4497"/>
      <c r="L278" s="4498"/>
      <c r="M278" s="4498"/>
      <c r="N278" s="4503"/>
    </row>
    <row r="279" spans="2:14">
      <c r="B279" s="4509" t="s">
        <v>6624</v>
      </c>
      <c r="C279" s="4504" t="s">
        <v>2507</v>
      </c>
      <c r="D279" s="4497">
        <v>18120</v>
      </c>
      <c r="E279" s="4497"/>
      <c r="F279" s="4497"/>
      <c r="G279" s="4501">
        <f t="shared" si="20"/>
        <v>18120</v>
      </c>
      <c r="H279" s="4497">
        <f t="shared" si="21"/>
        <v>18120</v>
      </c>
      <c r="I279" s="4497"/>
      <c r="J279" s="4497">
        <f t="shared" si="22"/>
        <v>18120</v>
      </c>
      <c r="K279" s="4497"/>
      <c r="L279" s="4498"/>
      <c r="M279" s="4498"/>
      <c r="N279" s="4503"/>
    </row>
    <row r="280" spans="2:14">
      <c r="B280" s="4509" t="s">
        <v>5021</v>
      </c>
      <c r="C280" s="4504" t="s">
        <v>5015</v>
      </c>
      <c r="D280" s="4497">
        <v>0</v>
      </c>
      <c r="E280" s="4497"/>
      <c r="F280" s="4497"/>
      <c r="G280" s="4501">
        <f t="shared" si="20"/>
        <v>0</v>
      </c>
      <c r="H280" s="4497">
        <f t="shared" si="21"/>
        <v>0</v>
      </c>
      <c r="I280" s="4497"/>
      <c r="J280" s="4497">
        <f t="shared" si="22"/>
        <v>0</v>
      </c>
      <c r="K280" s="4497"/>
      <c r="L280" s="4498"/>
      <c r="M280" s="4498"/>
      <c r="N280" s="4503"/>
    </row>
    <row r="281" spans="2:14">
      <c r="B281" s="4509" t="s">
        <v>6626</v>
      </c>
      <c r="C281" s="4504" t="s">
        <v>1360</v>
      </c>
      <c r="D281" s="4497">
        <v>8309.5299999999988</v>
      </c>
      <c r="E281" s="4497"/>
      <c r="F281" s="4497">
        <v>899.71</v>
      </c>
      <c r="G281" s="4501">
        <f t="shared" si="20"/>
        <v>7409.8199999999988</v>
      </c>
      <c r="H281" s="4497">
        <f t="shared" si="21"/>
        <v>7409.8199999999988</v>
      </c>
      <c r="I281" s="4497"/>
      <c r="J281" s="4497">
        <f t="shared" si="22"/>
        <v>7409.8199999999988</v>
      </c>
      <c r="K281" s="4497"/>
      <c r="L281" s="4498"/>
      <c r="M281" s="4498"/>
      <c r="N281" s="4503"/>
    </row>
    <row r="282" spans="2:14">
      <c r="B282" s="4509" t="s">
        <v>6648</v>
      </c>
      <c r="C282" s="4504" t="s">
        <v>2398</v>
      </c>
      <c r="D282" s="4497">
        <v>0</v>
      </c>
      <c r="E282" s="4497"/>
      <c r="F282" s="4497"/>
      <c r="G282" s="4501">
        <f t="shared" si="20"/>
        <v>0</v>
      </c>
      <c r="H282" s="4497">
        <f t="shared" si="21"/>
        <v>0</v>
      </c>
      <c r="I282" s="4497"/>
      <c r="J282" s="4497">
        <f t="shared" si="22"/>
        <v>0</v>
      </c>
      <c r="K282" s="4497"/>
      <c r="L282" s="4498"/>
      <c r="M282" s="4498"/>
      <c r="N282" s="4503"/>
    </row>
    <row r="283" spans="2:14">
      <c r="B283" s="4507" t="s">
        <v>6829</v>
      </c>
      <c r="C283" s="4504" t="s">
        <v>33</v>
      </c>
      <c r="D283" s="4497">
        <v>15800</v>
      </c>
      <c r="E283" s="4508"/>
      <c r="F283" s="4497"/>
      <c r="G283" s="4501">
        <f t="shared" si="20"/>
        <v>15800</v>
      </c>
      <c r="H283" s="4497">
        <f t="shared" si="21"/>
        <v>15800</v>
      </c>
      <c r="I283" s="4497">
        <f>+G283</f>
        <v>15800</v>
      </c>
      <c r="J283" s="4497"/>
      <c r="K283" s="4497"/>
      <c r="L283" s="4498"/>
      <c r="M283" s="4498"/>
      <c r="N283" s="4503"/>
    </row>
    <row r="284" spans="2:14">
      <c r="B284" s="4509" t="s">
        <v>5097</v>
      </c>
      <c r="C284" s="4504" t="s">
        <v>33</v>
      </c>
      <c r="D284" s="4497">
        <v>3300</v>
      </c>
      <c r="E284" s="4508"/>
      <c r="F284" s="4497"/>
      <c r="G284" s="4501">
        <f t="shared" si="20"/>
        <v>3300</v>
      </c>
      <c r="H284" s="4497">
        <f t="shared" si="21"/>
        <v>3300</v>
      </c>
      <c r="I284" s="4497"/>
      <c r="J284" s="4497">
        <f t="shared" ref="J284:J296" si="23">+G284</f>
        <v>3300</v>
      </c>
      <c r="K284" s="4497"/>
      <c r="L284" s="4498"/>
      <c r="M284" s="4498"/>
      <c r="N284" s="4503"/>
    </row>
    <row r="285" spans="2:14">
      <c r="B285" s="4509" t="s">
        <v>6650</v>
      </c>
      <c r="C285" s="4504" t="s">
        <v>148</v>
      </c>
      <c r="D285" s="4497">
        <v>0</v>
      </c>
      <c r="E285" s="4497"/>
      <c r="F285" s="4497"/>
      <c r="G285" s="4501">
        <f t="shared" si="20"/>
        <v>0</v>
      </c>
      <c r="H285" s="4497">
        <f t="shared" si="21"/>
        <v>0</v>
      </c>
      <c r="I285" s="4497"/>
      <c r="J285" s="4497">
        <f t="shared" si="23"/>
        <v>0</v>
      </c>
      <c r="K285" s="4497"/>
      <c r="L285" s="4498"/>
      <c r="M285" s="4498"/>
      <c r="N285" s="4503"/>
    </row>
    <row r="286" spans="2:14">
      <c r="B286" s="4509" t="s">
        <v>6651</v>
      </c>
      <c r="C286" s="4542" t="s">
        <v>6712</v>
      </c>
      <c r="D286" s="4497">
        <v>584</v>
      </c>
      <c r="E286" s="4497"/>
      <c r="F286" s="4497"/>
      <c r="G286" s="4501">
        <f t="shared" si="20"/>
        <v>584</v>
      </c>
      <c r="H286" s="4497">
        <f t="shared" si="21"/>
        <v>584</v>
      </c>
      <c r="I286" s="4497"/>
      <c r="J286" s="4497">
        <f t="shared" si="23"/>
        <v>584</v>
      </c>
      <c r="K286" s="4497"/>
      <c r="L286" s="4498"/>
      <c r="M286" s="4498"/>
      <c r="N286" s="4503"/>
    </row>
    <row r="287" spans="2:14">
      <c r="B287" s="4509" t="s">
        <v>6713</v>
      </c>
      <c r="C287" s="4504" t="s">
        <v>2003</v>
      </c>
      <c r="D287" s="4497">
        <v>1200.4299999999998</v>
      </c>
      <c r="E287" s="4508"/>
      <c r="F287" s="4497"/>
      <c r="G287" s="4501">
        <f t="shared" si="20"/>
        <v>1200.4299999999998</v>
      </c>
      <c r="H287" s="4497">
        <f t="shared" si="21"/>
        <v>1200.4299999999998</v>
      </c>
      <c r="I287" s="4497"/>
      <c r="J287" s="4497">
        <f t="shared" si="23"/>
        <v>1200.4299999999998</v>
      </c>
      <c r="K287" s="4497"/>
      <c r="L287" s="4498"/>
      <c r="M287" s="4498"/>
      <c r="N287" s="4503"/>
    </row>
    <row r="288" spans="2:14">
      <c r="B288" s="4509" t="s">
        <v>6654</v>
      </c>
      <c r="C288" s="4504" t="s">
        <v>3817</v>
      </c>
      <c r="D288" s="4497">
        <v>0</v>
      </c>
      <c r="E288" s="4497"/>
      <c r="F288" s="4497"/>
      <c r="G288" s="4501">
        <f t="shared" si="20"/>
        <v>0</v>
      </c>
      <c r="H288" s="4497">
        <f t="shared" si="21"/>
        <v>0</v>
      </c>
      <c r="I288" s="4497"/>
      <c r="J288" s="4497">
        <f t="shared" si="23"/>
        <v>0</v>
      </c>
      <c r="K288" s="4497"/>
      <c r="L288" s="4498"/>
      <c r="M288" s="4498"/>
      <c r="N288" s="4503"/>
    </row>
    <row r="289" spans="2:14">
      <c r="B289" s="4509" t="s">
        <v>6754</v>
      </c>
      <c r="C289" s="4542" t="s">
        <v>1006</v>
      </c>
      <c r="D289" s="4497">
        <v>1372.64</v>
      </c>
      <c r="E289" s="4497"/>
      <c r="F289" s="4497"/>
      <c r="G289" s="4501">
        <f t="shared" si="20"/>
        <v>1372.64</v>
      </c>
      <c r="H289" s="4497">
        <f t="shared" si="21"/>
        <v>1372.64</v>
      </c>
      <c r="I289" s="4497"/>
      <c r="J289" s="4497">
        <f t="shared" si="23"/>
        <v>1372.64</v>
      </c>
      <c r="K289" s="4497"/>
      <c r="L289" s="4498"/>
      <c r="M289" s="4498"/>
      <c r="N289" s="4503"/>
    </row>
    <row r="290" spans="2:14">
      <c r="B290" s="4509" t="s">
        <v>6656</v>
      </c>
      <c r="C290" s="4542" t="s">
        <v>4321</v>
      </c>
      <c r="D290" s="4497">
        <v>0</v>
      </c>
      <c r="E290" s="4513"/>
      <c r="F290" s="4497"/>
      <c r="G290" s="4501">
        <f t="shared" si="20"/>
        <v>0</v>
      </c>
      <c r="H290" s="4497">
        <f t="shared" si="21"/>
        <v>0</v>
      </c>
      <c r="I290" s="4497"/>
      <c r="J290" s="4513">
        <f t="shared" si="23"/>
        <v>0</v>
      </c>
      <c r="K290" s="4513"/>
      <c r="L290" s="4498"/>
      <c r="M290" s="4498"/>
      <c r="N290" s="4503"/>
    </row>
    <row r="291" spans="2:14">
      <c r="B291" s="4509" t="s">
        <v>6657</v>
      </c>
      <c r="C291" s="4542" t="s">
        <v>1089</v>
      </c>
      <c r="D291" s="4497">
        <v>3382.3999999999996</v>
      </c>
      <c r="E291" s="4513"/>
      <c r="F291" s="4497"/>
      <c r="G291" s="4501">
        <f t="shared" si="20"/>
        <v>3382.3999999999996</v>
      </c>
      <c r="H291" s="4497">
        <f t="shared" si="21"/>
        <v>3382.3999999999996</v>
      </c>
      <c r="I291" s="4497"/>
      <c r="J291" s="4513">
        <f t="shared" si="23"/>
        <v>3382.3999999999996</v>
      </c>
      <c r="K291" s="4513"/>
      <c r="L291" s="4498"/>
      <c r="M291" s="4498"/>
      <c r="N291" s="4503"/>
    </row>
    <row r="292" spans="2:14">
      <c r="B292" s="4509" t="s">
        <v>6830</v>
      </c>
      <c r="C292" s="4542" t="s">
        <v>4141</v>
      </c>
      <c r="D292" s="4497">
        <v>162.4</v>
      </c>
      <c r="E292" s="4497"/>
      <c r="F292" s="4497"/>
      <c r="G292" s="4501">
        <f t="shared" si="20"/>
        <v>162.4</v>
      </c>
      <c r="H292" s="4497">
        <f t="shared" si="21"/>
        <v>162.4</v>
      </c>
      <c r="I292" s="4497"/>
      <c r="J292" s="4513">
        <f t="shared" si="23"/>
        <v>162.4</v>
      </c>
      <c r="K292" s="4513"/>
      <c r="L292" s="4498"/>
      <c r="M292" s="4498"/>
      <c r="N292" s="4503"/>
    </row>
    <row r="293" spans="2:14">
      <c r="B293" s="4509" t="s">
        <v>6809</v>
      </c>
      <c r="C293" s="4542" t="s">
        <v>6831</v>
      </c>
      <c r="D293" s="4497">
        <v>619.36</v>
      </c>
      <c r="E293" s="4497"/>
      <c r="F293" s="4497"/>
      <c r="G293" s="4501">
        <f t="shared" si="20"/>
        <v>619.36</v>
      </c>
      <c r="H293" s="4497">
        <f t="shared" si="21"/>
        <v>619.36</v>
      </c>
      <c r="I293" s="4497"/>
      <c r="J293" s="4513">
        <f t="shared" si="23"/>
        <v>619.36</v>
      </c>
      <c r="K293" s="4513"/>
      <c r="L293" s="4498"/>
      <c r="M293" s="4498"/>
      <c r="N293" s="4503"/>
    </row>
    <row r="294" spans="2:14">
      <c r="B294" s="4509" t="s">
        <v>5260</v>
      </c>
      <c r="C294" s="4542" t="s">
        <v>3341</v>
      </c>
      <c r="D294" s="4497">
        <v>5600</v>
      </c>
      <c r="E294" s="4497"/>
      <c r="F294" s="4497"/>
      <c r="G294" s="4501">
        <f t="shared" si="20"/>
        <v>5600</v>
      </c>
      <c r="H294" s="4497">
        <f t="shared" si="21"/>
        <v>5600</v>
      </c>
      <c r="I294" s="4497"/>
      <c r="J294" s="4513">
        <f t="shared" si="23"/>
        <v>5600</v>
      </c>
      <c r="K294" s="4513"/>
      <c r="L294" s="4498"/>
      <c r="M294" s="4498"/>
      <c r="N294" s="4503"/>
    </row>
    <row r="295" spans="2:14">
      <c r="B295" s="4509" t="s">
        <v>6659</v>
      </c>
      <c r="C295" s="4542" t="s">
        <v>671</v>
      </c>
      <c r="D295" s="4497">
        <v>158.87999999999988</v>
      </c>
      <c r="E295" s="4513"/>
      <c r="F295" s="4497"/>
      <c r="G295" s="4501">
        <f t="shared" si="20"/>
        <v>158.87999999999988</v>
      </c>
      <c r="H295" s="4497">
        <f t="shared" si="21"/>
        <v>158.87999999999988</v>
      </c>
      <c r="I295" s="4497"/>
      <c r="J295" s="4513">
        <f t="shared" si="23"/>
        <v>158.87999999999988</v>
      </c>
      <c r="K295" s="4513"/>
      <c r="L295" s="4498"/>
      <c r="M295" s="4498"/>
      <c r="N295" s="4503"/>
    </row>
    <row r="296" spans="2:14">
      <c r="B296" s="4509" t="s">
        <v>6660</v>
      </c>
      <c r="C296" s="4542" t="s">
        <v>39</v>
      </c>
      <c r="D296" s="4497">
        <v>0</v>
      </c>
      <c r="E296" s="4513"/>
      <c r="F296" s="4497"/>
      <c r="G296" s="4501">
        <f t="shared" si="20"/>
        <v>0</v>
      </c>
      <c r="H296" s="4497">
        <f t="shared" si="21"/>
        <v>0</v>
      </c>
      <c r="I296" s="4497"/>
      <c r="J296" s="4513">
        <f t="shared" si="23"/>
        <v>0</v>
      </c>
      <c r="K296" s="4513"/>
      <c r="L296" s="4498"/>
      <c r="M296" s="4498"/>
      <c r="N296" s="4503"/>
    </row>
    <row r="297" spans="2:14">
      <c r="B297" s="4507" t="s">
        <v>4835</v>
      </c>
      <c r="C297" s="4542" t="s">
        <v>40</v>
      </c>
      <c r="D297" s="4497">
        <v>56.95</v>
      </c>
      <c r="E297" s="4513"/>
      <c r="F297" s="4497"/>
      <c r="G297" s="4501">
        <f t="shared" si="20"/>
        <v>56.95</v>
      </c>
      <c r="H297" s="4497">
        <f t="shared" si="21"/>
        <v>56.95</v>
      </c>
      <c r="I297" s="4497">
        <f>+G297</f>
        <v>56.95</v>
      </c>
      <c r="J297" s="4513"/>
      <c r="K297" s="4513"/>
      <c r="L297" s="4498"/>
      <c r="M297" s="4498"/>
      <c r="N297" s="4503"/>
    </row>
    <row r="298" spans="2:14">
      <c r="B298" s="4509" t="s">
        <v>6661</v>
      </c>
      <c r="C298" s="4542" t="s">
        <v>40</v>
      </c>
      <c r="D298" s="4497">
        <v>0</v>
      </c>
      <c r="E298" s="4513"/>
      <c r="F298" s="4497"/>
      <c r="G298" s="4501">
        <f t="shared" si="20"/>
        <v>0</v>
      </c>
      <c r="H298" s="4497">
        <f t="shared" si="21"/>
        <v>0</v>
      </c>
      <c r="I298" s="4497"/>
      <c r="J298" s="4513">
        <f>+G298</f>
        <v>0</v>
      </c>
      <c r="K298" s="4513"/>
      <c r="L298" s="4498"/>
      <c r="M298" s="4498"/>
      <c r="N298" s="4503"/>
    </row>
    <row r="299" spans="2:14">
      <c r="B299" s="4483" t="s">
        <v>6662</v>
      </c>
      <c r="C299" s="4542" t="s">
        <v>40</v>
      </c>
      <c r="D299" s="4497">
        <v>171.51</v>
      </c>
      <c r="E299" s="4513"/>
      <c r="F299" s="4497"/>
      <c r="G299" s="4501">
        <f t="shared" si="20"/>
        <v>171.51</v>
      </c>
      <c r="H299" s="4497">
        <f t="shared" si="21"/>
        <v>171.51</v>
      </c>
      <c r="I299" s="4497"/>
      <c r="J299" s="4513"/>
      <c r="K299" s="4513">
        <f>+G299</f>
        <v>171.51</v>
      </c>
      <c r="L299" s="4498"/>
      <c r="M299" s="4498"/>
      <c r="N299" s="4503"/>
    </row>
    <row r="300" spans="2:14">
      <c r="B300" s="4483" t="s">
        <v>6576</v>
      </c>
      <c r="C300" s="4542" t="s">
        <v>680</v>
      </c>
      <c r="D300" s="4497">
        <v>1120</v>
      </c>
      <c r="E300" s="4513"/>
      <c r="F300" s="4497"/>
      <c r="G300" s="4501">
        <f t="shared" si="20"/>
        <v>1120</v>
      </c>
      <c r="H300" s="4497">
        <f t="shared" si="21"/>
        <v>1120</v>
      </c>
      <c r="I300" s="4497"/>
      <c r="J300" s="4513"/>
      <c r="K300" s="4513">
        <f>+G300</f>
        <v>1120</v>
      </c>
      <c r="L300" s="4498"/>
      <c r="M300" s="4498"/>
      <c r="N300" s="4503"/>
    </row>
    <row r="301" spans="2:14">
      <c r="B301" s="4512" t="s">
        <v>7352</v>
      </c>
      <c r="C301" s="4500" t="s">
        <v>761</v>
      </c>
      <c r="D301" s="4497">
        <v>70000</v>
      </c>
      <c r="E301" s="4497"/>
      <c r="F301" s="4497"/>
      <c r="G301" s="4501">
        <f t="shared" si="20"/>
        <v>70000</v>
      </c>
      <c r="H301" s="4497">
        <f t="shared" si="21"/>
        <v>70000</v>
      </c>
      <c r="I301" s="4497"/>
      <c r="J301" s="4497"/>
      <c r="K301" s="4497"/>
      <c r="L301" s="4513">
        <f>+G301</f>
        <v>70000</v>
      </c>
      <c r="M301" s="4498"/>
      <c r="N301" s="4503"/>
    </row>
    <row r="302" spans="2:14">
      <c r="B302" s="4509" t="s">
        <v>6738</v>
      </c>
      <c r="C302" s="4542" t="s">
        <v>671</v>
      </c>
      <c r="D302" s="4497">
        <v>804.2</v>
      </c>
      <c r="E302" s="4513"/>
      <c r="F302" s="4497"/>
      <c r="G302" s="4501">
        <f t="shared" si="20"/>
        <v>804.2</v>
      </c>
      <c r="H302" s="4497">
        <f t="shared" si="21"/>
        <v>804.2</v>
      </c>
      <c r="I302" s="4497"/>
      <c r="J302" s="4513">
        <f>+G302</f>
        <v>804.2</v>
      </c>
      <c r="K302" s="4513"/>
      <c r="L302" s="4498"/>
      <c r="M302" s="4498"/>
      <c r="N302" s="4503"/>
    </row>
    <row r="303" spans="2:14">
      <c r="B303" s="4483" t="s">
        <v>5694</v>
      </c>
      <c r="C303" s="4542" t="s">
        <v>671</v>
      </c>
      <c r="D303" s="4497">
        <v>17414.03</v>
      </c>
      <c r="E303" s="4513"/>
      <c r="F303" s="4497"/>
      <c r="G303" s="4501">
        <f t="shared" si="20"/>
        <v>17414.03</v>
      </c>
      <c r="H303" s="4497">
        <f t="shared" si="21"/>
        <v>17414.03</v>
      </c>
      <c r="I303" s="4497"/>
      <c r="J303" s="4513"/>
      <c r="K303" s="4513">
        <f>+G303</f>
        <v>17414.03</v>
      </c>
      <c r="L303" s="4498"/>
      <c r="M303" s="4498"/>
      <c r="N303" s="4503"/>
    </row>
    <row r="304" spans="2:14">
      <c r="B304" s="4507" t="s">
        <v>5717</v>
      </c>
      <c r="C304" s="4504" t="s">
        <v>39</v>
      </c>
      <c r="D304" s="4497">
        <v>5995.3600000000006</v>
      </c>
      <c r="E304" s="4513"/>
      <c r="F304" s="4497">
        <v>309.67</v>
      </c>
      <c r="G304" s="4501">
        <f t="shared" si="20"/>
        <v>5685.6900000000005</v>
      </c>
      <c r="H304" s="4497">
        <f t="shared" si="21"/>
        <v>5685.6900000000005</v>
      </c>
      <c r="I304" s="4497">
        <f>+G304</f>
        <v>5685.6900000000005</v>
      </c>
      <c r="J304" s="4513"/>
      <c r="K304" s="4513"/>
      <c r="L304" s="4498"/>
      <c r="M304" s="4497"/>
      <c r="N304" s="4503"/>
    </row>
    <row r="305" spans="1:15">
      <c r="B305" s="4483" t="s">
        <v>5283</v>
      </c>
      <c r="C305" s="4504" t="s">
        <v>39</v>
      </c>
      <c r="D305" s="4497">
        <v>52470.090000000004</v>
      </c>
      <c r="E305" s="4513"/>
      <c r="F305" s="4497"/>
      <c r="G305" s="4501">
        <f t="shared" si="20"/>
        <v>52470.090000000004</v>
      </c>
      <c r="H305" s="4497">
        <f t="shared" si="21"/>
        <v>52470.090000000004</v>
      </c>
      <c r="I305" s="4497"/>
      <c r="J305" s="4513"/>
      <c r="K305" s="4513">
        <f>+G305</f>
        <v>52470.090000000004</v>
      </c>
      <c r="L305" s="4498"/>
      <c r="M305" s="4497"/>
      <c r="N305" s="4503"/>
    </row>
    <row r="306" spans="1:15">
      <c r="B306" s="4483" t="s">
        <v>4825</v>
      </c>
      <c r="C306" s="4504" t="s">
        <v>40</v>
      </c>
      <c r="D306" s="4497">
        <v>42835.75</v>
      </c>
      <c r="E306" s="4497"/>
      <c r="F306" s="4497"/>
      <c r="G306" s="4501">
        <f t="shared" si="20"/>
        <v>42835.75</v>
      </c>
      <c r="H306" s="4497">
        <f t="shared" si="21"/>
        <v>42835.75</v>
      </c>
      <c r="I306" s="4497"/>
      <c r="J306" s="4497"/>
      <c r="K306" s="4497">
        <f>+G306</f>
        <v>42835.75</v>
      </c>
      <c r="L306" s="4498"/>
      <c r="M306" s="4498"/>
      <c r="N306" s="4503"/>
    </row>
    <row r="307" spans="1:15" s="4475" customFormat="1">
      <c r="A307" s="4476"/>
      <c r="B307" s="4483" t="s">
        <v>6586</v>
      </c>
      <c r="C307" s="4542" t="s">
        <v>5430</v>
      </c>
      <c r="D307" s="4497">
        <v>1512</v>
      </c>
      <c r="E307" s="4497"/>
      <c r="F307" s="4497"/>
      <c r="G307" s="4501">
        <f t="shared" si="20"/>
        <v>1512</v>
      </c>
      <c r="H307" s="4497">
        <f t="shared" si="21"/>
        <v>1512</v>
      </c>
      <c r="I307" s="4497"/>
      <c r="J307" s="4497"/>
      <c r="K307" s="4497">
        <f>+G307</f>
        <v>1512</v>
      </c>
      <c r="L307" s="4498"/>
      <c r="M307" s="4498"/>
      <c r="N307" s="4503"/>
    </row>
    <row r="308" spans="1:15" s="4475" customFormat="1">
      <c r="A308" s="4476"/>
      <c r="B308" s="4524"/>
      <c r="C308" s="4543" t="s">
        <v>6832</v>
      </c>
      <c r="D308" s="1537">
        <f t="shared" ref="D308:M308" si="24">SUM(D271:D307)</f>
        <v>265860.58999999997</v>
      </c>
      <c r="E308" s="1537">
        <f t="shared" si="24"/>
        <v>0</v>
      </c>
      <c r="F308" s="1537">
        <f t="shared" si="24"/>
        <v>1561.38</v>
      </c>
      <c r="G308" s="1537">
        <f t="shared" si="24"/>
        <v>264299.20999999996</v>
      </c>
      <c r="H308" s="1537">
        <f t="shared" si="24"/>
        <v>264299.20999999996</v>
      </c>
      <c r="I308" s="1537">
        <f t="shared" si="24"/>
        <v>21542.639999999999</v>
      </c>
      <c r="J308" s="1537">
        <f t="shared" si="24"/>
        <v>57233.189999999995</v>
      </c>
      <c r="K308" s="1537">
        <f t="shared" si="24"/>
        <v>115523.38</v>
      </c>
      <c r="L308" s="1537">
        <f t="shared" si="24"/>
        <v>70000</v>
      </c>
      <c r="M308" s="1537">
        <f t="shared" si="24"/>
        <v>0</v>
      </c>
    </row>
    <row r="309" spans="1:15" s="4475" customFormat="1">
      <c r="A309" s="4476"/>
      <c r="B309" s="4544"/>
      <c r="C309" s="4518" t="s">
        <v>6833</v>
      </c>
      <c r="D309" s="4506">
        <f t="shared" ref="D309:M309" si="25">+D146+D201+D266+D308</f>
        <v>38172685.03955999</v>
      </c>
      <c r="E309" s="4506">
        <f t="shared" si="25"/>
        <v>674143.35</v>
      </c>
      <c r="F309" s="4506">
        <f t="shared" si="25"/>
        <v>674143.35</v>
      </c>
      <c r="G309" s="4506">
        <f t="shared" si="25"/>
        <v>38172685.039559983</v>
      </c>
      <c r="H309" s="4506">
        <f t="shared" si="25"/>
        <v>38172685.039559983</v>
      </c>
      <c r="I309" s="4545">
        <f t="shared" si="25"/>
        <v>7040956.9899999993</v>
      </c>
      <c r="J309" s="4545">
        <f t="shared" si="25"/>
        <v>933858.50999999978</v>
      </c>
      <c r="K309" s="4545">
        <f t="shared" si="25"/>
        <v>28387466.439559985</v>
      </c>
      <c r="L309" s="4545">
        <f t="shared" si="25"/>
        <v>1428165.4</v>
      </c>
      <c r="M309" s="4545">
        <f t="shared" si="25"/>
        <v>382237.69999999995</v>
      </c>
    </row>
    <row r="310" spans="1:15" s="4475" customFormat="1">
      <c r="A310" s="4476"/>
      <c r="B310" s="4476"/>
      <c r="C310" s="4546"/>
      <c r="D310" s="4547"/>
      <c r="E310" s="4547"/>
      <c r="F310" s="4547"/>
      <c r="G310" s="4547"/>
      <c r="H310" s="4547"/>
      <c r="I310" s="4547"/>
      <c r="J310" s="4547"/>
      <c r="K310" s="4547"/>
      <c r="L310" s="4476"/>
      <c r="M310" s="4476"/>
    </row>
    <row r="311" spans="1:15" s="4475" customFormat="1">
      <c r="A311" s="4476"/>
      <c r="B311" s="4548"/>
      <c r="C311" s="4548"/>
      <c r="D311" s="4549">
        <f>+D21-D309</f>
        <v>4.4001638889312744E-4</v>
      </c>
      <c r="E311" s="4549"/>
      <c r="F311" s="4549">
        <f>+E309-F309</f>
        <v>0</v>
      </c>
      <c r="G311" s="4549"/>
      <c r="H311" s="4549">
        <f>+G309-H309</f>
        <v>0</v>
      </c>
      <c r="I311" s="4550">
        <f>+E21-I309</f>
        <v>0</v>
      </c>
      <c r="J311" s="4550">
        <f>+F21-J309</f>
        <v>0</v>
      </c>
      <c r="K311" s="4550">
        <f>+G21-K309</f>
        <v>4.4001638889312744E-4</v>
      </c>
      <c r="L311" s="4550">
        <f>+H21-L309</f>
        <v>0</v>
      </c>
      <c r="M311" s="4550">
        <f>+I21-M309</f>
        <v>0</v>
      </c>
      <c r="N311" s="4551"/>
    </row>
    <row r="312" spans="1:15" s="4475" customFormat="1">
      <c r="A312" s="4476"/>
      <c r="B312" s="4548"/>
      <c r="C312" s="4548"/>
      <c r="D312" s="4549"/>
      <c r="E312" s="4549"/>
      <c r="F312" s="4549"/>
      <c r="G312" s="4549">
        <f>D21-G309</f>
        <v>4.4002383947372437E-4</v>
      </c>
      <c r="H312" s="4549"/>
      <c r="I312" s="3066"/>
      <c r="J312" s="3066"/>
      <c r="K312" s="3066"/>
      <c r="L312" s="3066"/>
      <c r="M312" s="3066"/>
    </row>
    <row r="313" spans="1:15" s="4475" customFormat="1">
      <c r="A313" s="4476"/>
      <c r="B313" s="4548"/>
      <c r="C313" s="4548"/>
      <c r="D313" s="4552">
        <f>+D21*0.06</f>
        <v>2290361.1024000002</v>
      </c>
      <c r="E313" s="4549" t="s">
        <v>6834</v>
      </c>
      <c r="F313" s="4548"/>
      <c r="G313" s="4552"/>
      <c r="H313" s="1581"/>
      <c r="I313" s="1582"/>
      <c r="J313" s="1582"/>
      <c r="L313" s="4476"/>
      <c r="M313" s="4476"/>
    </row>
    <row r="314" spans="1:15" s="4475" customFormat="1">
      <c r="A314" s="4476"/>
      <c r="B314" s="4548" t="s">
        <v>6835</v>
      </c>
      <c r="C314" s="4549"/>
      <c r="D314" s="4553"/>
      <c r="F314" s="4548"/>
      <c r="G314" s="4548"/>
      <c r="H314" s="1581"/>
      <c r="I314" s="1582"/>
      <c r="J314" s="3069"/>
    </row>
    <row r="315" spans="1:15">
      <c r="B315" s="4548" t="s">
        <v>6836</v>
      </c>
      <c r="C315" s="4552"/>
      <c r="D315" s="4552"/>
      <c r="E315" s="4548"/>
      <c r="F315" s="4548"/>
      <c r="G315" s="4548"/>
      <c r="H315" s="4475"/>
      <c r="I315" s="1582"/>
      <c r="J315" s="1582"/>
      <c r="L315" s="4475"/>
      <c r="M315" s="1584" t="s">
        <v>7353</v>
      </c>
    </row>
    <row r="316" spans="1:15">
      <c r="B316" s="4548"/>
      <c r="C316" s="4552"/>
      <c r="D316" s="4554"/>
      <c r="E316" s="4548"/>
      <c r="F316" s="4548"/>
      <c r="G316" s="4548"/>
      <c r="H316" s="4475"/>
      <c r="I316" s="1582"/>
      <c r="J316" s="1582"/>
      <c r="L316" s="4475"/>
      <c r="M316" s="1584"/>
    </row>
    <row r="317" spans="1:15">
      <c r="C317" s="4546"/>
      <c r="D317" s="4548"/>
      <c r="E317" s="4546"/>
      <c r="F317" s="4546"/>
      <c r="G317" s="4546"/>
      <c r="H317" s="4546"/>
      <c r="I317" s="4555"/>
      <c r="J317" s="4546"/>
      <c r="L317" s="4546"/>
      <c r="M317" s="4546"/>
      <c r="N317" s="4546"/>
      <c r="O317" s="4546"/>
    </row>
    <row r="318" spans="1:15">
      <c r="E318" s="4475"/>
    </row>
    <row r="319" spans="1:15">
      <c r="E319" s="4475"/>
    </row>
    <row r="320" spans="1:15">
      <c r="E320" s="4475"/>
    </row>
    <row r="321" spans="5:5">
      <c r="E321" s="4475"/>
    </row>
    <row r="322" spans="5:5">
      <c r="E322" s="4475"/>
    </row>
    <row r="323" spans="5:5">
      <c r="E323" s="4475"/>
    </row>
  </sheetData>
  <mergeCells count="5">
    <mergeCell ref="B1:I1"/>
    <mergeCell ref="B2:I2"/>
    <mergeCell ref="B7:B8"/>
    <mergeCell ref="C7:C8"/>
    <mergeCell ref="D7:D8"/>
  </mergeCells>
  <printOptions horizontalCentered="1"/>
  <pageMargins left="0.25" right="0.25" top="0.75" bottom="0.75" header="0.3" footer="0.3"/>
  <pageSetup scale="78" fitToHeight="0" orientation="portrait" r:id="rId1"/>
  <headerFooter>
    <oddFooter>&amp;C&amp;"Century Schoolbook,Normal"&amp;P</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4B56-72A4-494D-B1D7-75657A40834C}">
  <sheetPr>
    <pageSetUpPr fitToPage="1"/>
  </sheetPr>
  <dimension ref="A1:F104"/>
  <sheetViews>
    <sheetView zoomScale="145" zoomScaleNormal="145" workbookViewId="0">
      <selection activeCell="C202" sqref="C202"/>
    </sheetView>
  </sheetViews>
  <sheetFormatPr baseColWidth="10" defaultColWidth="14.28515625" defaultRowHeight="12"/>
  <cols>
    <col min="1" max="1" width="0.7109375" style="4476" customWidth="1"/>
    <col min="2" max="2" width="23" style="4476" customWidth="1"/>
    <col min="3" max="3" width="38.85546875" style="4476" customWidth="1"/>
    <col min="4" max="5" width="13.85546875" style="4476" customWidth="1"/>
    <col min="6" max="6" width="17.140625" style="4476" bestFit="1" customWidth="1"/>
    <col min="7" max="16384" width="14.28515625" style="4476"/>
  </cols>
  <sheetData>
    <row r="1" spans="2:5" s="4475" customFormat="1" ht="18.75">
      <c r="B1" s="11406" t="s">
        <v>0</v>
      </c>
      <c r="C1" s="11406"/>
      <c r="D1" s="11406"/>
      <c r="E1" s="11406"/>
    </row>
    <row r="2" spans="2:5" s="4475" customFormat="1" ht="18.75">
      <c r="B2" s="11406" t="s">
        <v>7354</v>
      </c>
      <c r="C2" s="11406"/>
      <c r="D2" s="11406"/>
      <c r="E2" s="11406"/>
    </row>
    <row r="3" spans="2:5" s="4475" customFormat="1" ht="12.75" customHeight="1">
      <c r="B3" s="4474"/>
      <c r="C3" s="4474"/>
      <c r="D3" s="4474"/>
      <c r="E3" s="4474"/>
    </row>
    <row r="4" spans="2:5" ht="15">
      <c r="B4" s="4484" t="s">
        <v>6504</v>
      </c>
      <c r="C4" s="4485"/>
      <c r="D4" s="4475" t="s">
        <v>7355</v>
      </c>
      <c r="E4" s="4487"/>
    </row>
    <row r="5" spans="2:5" ht="12.75">
      <c r="B5" s="4488" t="s">
        <v>7</v>
      </c>
      <c r="C5" s="4488" t="s">
        <v>6505</v>
      </c>
      <c r="D5" s="4489" t="s">
        <v>6678</v>
      </c>
      <c r="E5" s="4489" t="s">
        <v>6679</v>
      </c>
    </row>
    <row r="6" spans="2:5" ht="12.75">
      <c r="B6" s="4495" t="s">
        <v>6510</v>
      </c>
      <c r="C6" s="4496" t="s">
        <v>6511</v>
      </c>
      <c r="D6" s="4497"/>
      <c r="E6" s="4497"/>
    </row>
    <row r="7" spans="2:5" ht="12.75">
      <c r="B7" s="4483" t="s">
        <v>6528</v>
      </c>
      <c r="C7" s="4504" t="s">
        <v>3039</v>
      </c>
      <c r="D7" s="4497"/>
      <c r="E7" s="4497">
        <v>2650.25</v>
      </c>
    </row>
    <row r="8" spans="2:5" ht="12.75">
      <c r="B8" s="4483" t="s">
        <v>6687</v>
      </c>
      <c r="C8" s="4504" t="s">
        <v>3034</v>
      </c>
      <c r="D8" s="4497"/>
      <c r="E8" s="4497">
        <v>1249.75</v>
      </c>
    </row>
    <row r="9" spans="2:5" ht="12.75">
      <c r="B9" s="4483" t="s">
        <v>6689</v>
      </c>
      <c r="C9" s="4504" t="s">
        <v>3038</v>
      </c>
      <c r="D9" s="4497">
        <v>3900</v>
      </c>
      <c r="E9" s="4497"/>
    </row>
    <row r="10" spans="2:5" ht="12.75">
      <c r="B10" s="4483" t="s">
        <v>6532</v>
      </c>
      <c r="C10" s="4504" t="s">
        <v>3775</v>
      </c>
      <c r="D10" s="4497">
        <v>11000</v>
      </c>
      <c r="E10" s="4497"/>
    </row>
    <row r="11" spans="2:5" ht="12.75">
      <c r="B11" s="4505" t="s">
        <v>6991</v>
      </c>
      <c r="C11" s="4504" t="s">
        <v>3778</v>
      </c>
      <c r="D11" s="4497">
        <f>45000-3850.32</f>
        <v>41149.68</v>
      </c>
      <c r="E11" s="4497"/>
    </row>
    <row r="12" spans="2:5" ht="12.75">
      <c r="B12" s="4483" t="s">
        <v>6533</v>
      </c>
      <c r="C12" s="4504" t="s">
        <v>3778</v>
      </c>
      <c r="D12" s="4497">
        <v>3857.37</v>
      </c>
      <c r="E12" s="4497"/>
    </row>
    <row r="13" spans="2:5" ht="12.75">
      <c r="B13" s="4483" t="s">
        <v>6690</v>
      </c>
      <c r="C13" s="4504" t="s">
        <v>881</v>
      </c>
      <c r="D13" s="4497"/>
      <c r="E13" s="4497">
        <v>2800</v>
      </c>
    </row>
    <row r="14" spans="2:5" ht="12.75">
      <c r="B14" s="4505" t="s">
        <v>6992</v>
      </c>
      <c r="C14" s="4504" t="s">
        <v>6691</v>
      </c>
      <c r="D14" s="4497" t="s">
        <v>413</v>
      </c>
      <c r="E14" s="4497">
        <v>1209.82</v>
      </c>
    </row>
    <row r="15" spans="2:5" ht="12.75">
      <c r="B15" s="4507" t="s">
        <v>5012</v>
      </c>
      <c r="C15" s="4504" t="s">
        <v>6692</v>
      </c>
      <c r="D15" s="4497" t="s">
        <v>413</v>
      </c>
      <c r="E15" s="4497">
        <v>1292.4000000000001</v>
      </c>
    </row>
    <row r="16" spans="2:5" ht="12.75">
      <c r="B16" s="4507" t="s">
        <v>6765</v>
      </c>
      <c r="C16" s="4504" t="s">
        <v>471</v>
      </c>
      <c r="D16" s="4497"/>
      <c r="E16" s="4497">
        <v>376.06</v>
      </c>
    </row>
    <row r="17" spans="2:5" ht="12.75">
      <c r="B17" s="4483" t="s">
        <v>6693</v>
      </c>
      <c r="C17" s="4504" t="s">
        <v>471</v>
      </c>
      <c r="D17" s="4497"/>
      <c r="E17" s="4497">
        <v>300</v>
      </c>
    </row>
    <row r="18" spans="2:5" ht="12.75">
      <c r="B18" s="4483" t="s">
        <v>6540</v>
      </c>
      <c r="C18" s="4504" t="s">
        <v>2621</v>
      </c>
      <c r="D18" s="4497"/>
      <c r="E18" s="4508">
        <v>182685.07</v>
      </c>
    </row>
    <row r="19" spans="2:5" ht="12.75">
      <c r="B19" s="4507" t="s">
        <v>7202</v>
      </c>
      <c r="C19" s="4504" t="s">
        <v>7203</v>
      </c>
      <c r="D19" s="4497" t="s">
        <v>413</v>
      </c>
      <c r="E19" s="4497">
        <v>6826.68</v>
      </c>
    </row>
    <row r="20" spans="2:5" ht="12.75">
      <c r="B20" s="4483" t="s">
        <v>6696</v>
      </c>
      <c r="C20" s="4504" t="s">
        <v>6697</v>
      </c>
      <c r="D20" s="4497"/>
      <c r="E20" s="4497">
        <v>7000</v>
      </c>
    </row>
    <row r="21" spans="2:5" ht="12.75">
      <c r="B21" s="4509" t="s">
        <v>6700</v>
      </c>
      <c r="C21" s="4504" t="s">
        <v>281</v>
      </c>
      <c r="D21" s="4497" t="s">
        <v>413</v>
      </c>
      <c r="E21" s="4497">
        <f>3.11+6407.54</f>
        <v>6410.65</v>
      </c>
    </row>
    <row r="22" spans="2:5" ht="12.75">
      <c r="B22" s="4483" t="s">
        <v>6550</v>
      </c>
      <c r="C22" s="4504" t="s">
        <v>3855</v>
      </c>
      <c r="D22" s="4497" t="s">
        <v>413</v>
      </c>
      <c r="E22" s="4497">
        <v>6000</v>
      </c>
    </row>
    <row r="23" spans="2:5" ht="12.75">
      <c r="B23" s="4507" t="s">
        <v>6996</v>
      </c>
      <c r="C23" s="4504" t="s">
        <v>6709</v>
      </c>
      <c r="D23" s="4508" t="s">
        <v>413</v>
      </c>
      <c r="E23" s="4497">
        <v>14614.87</v>
      </c>
    </row>
    <row r="24" spans="2:5" ht="12.75">
      <c r="B24" s="4483" t="s">
        <v>6708</v>
      </c>
      <c r="C24" s="4504" t="s">
        <v>6709</v>
      </c>
      <c r="D24" s="4497" t="s">
        <v>413</v>
      </c>
      <c r="E24" s="4497">
        <v>9000</v>
      </c>
    </row>
    <row r="25" spans="2:5" ht="12.75">
      <c r="B25" s="4483" t="s">
        <v>6553</v>
      </c>
      <c r="C25" s="4504" t="s">
        <v>2507</v>
      </c>
      <c r="D25" s="4497">
        <v>16472</v>
      </c>
      <c r="E25" s="4497"/>
    </row>
    <row r="26" spans="2:5" ht="12.75">
      <c r="B26" s="4507" t="s">
        <v>6601</v>
      </c>
      <c r="C26" s="4504" t="s">
        <v>1360</v>
      </c>
      <c r="D26" s="4497"/>
      <c r="E26" s="4497">
        <v>2887.36</v>
      </c>
    </row>
    <row r="27" spans="2:5" ht="12.75">
      <c r="B27" s="4483" t="s">
        <v>6556</v>
      </c>
      <c r="C27" s="4504" t="s">
        <v>148</v>
      </c>
      <c r="D27" s="4497">
        <v>1420.03</v>
      </c>
      <c r="E27" s="4497"/>
    </row>
    <row r="28" spans="2:5" ht="12.75">
      <c r="B28" s="4507" t="s">
        <v>6711</v>
      </c>
      <c r="C28" s="4504" t="s">
        <v>6712</v>
      </c>
      <c r="D28" s="4497"/>
      <c r="E28" s="4497">
        <v>88.09</v>
      </c>
    </row>
    <row r="29" spans="2:5" ht="12.75">
      <c r="B29" s="4483" t="s">
        <v>6557</v>
      </c>
      <c r="C29" s="4504" t="s">
        <v>6712</v>
      </c>
      <c r="D29" s="4497"/>
      <c r="E29" s="4497">
        <v>6145.54</v>
      </c>
    </row>
    <row r="30" spans="2:5" ht="12.75">
      <c r="B30" s="4507" t="s">
        <v>6803</v>
      </c>
      <c r="C30" s="4504" t="s">
        <v>2003</v>
      </c>
      <c r="D30" s="4497"/>
      <c r="E30" s="4497">
        <v>5.66</v>
      </c>
    </row>
    <row r="31" spans="2:5" ht="12.75">
      <c r="B31" s="4507" t="s">
        <v>6805</v>
      </c>
      <c r="C31" s="4504" t="s">
        <v>956</v>
      </c>
      <c r="D31" s="4497">
        <v>49108.37</v>
      </c>
      <c r="E31" s="4497"/>
    </row>
    <row r="32" spans="2:5" ht="12.75">
      <c r="B32" s="4483" t="s">
        <v>6563</v>
      </c>
      <c r="C32" s="4504" t="s">
        <v>956</v>
      </c>
      <c r="D32" s="4497"/>
      <c r="E32" s="4497">
        <v>1593.1</v>
      </c>
    </row>
    <row r="33" spans="2:5" ht="12.75">
      <c r="B33" s="4507" t="s">
        <v>6716</v>
      </c>
      <c r="C33" s="4504" t="s">
        <v>6717</v>
      </c>
      <c r="D33" s="4497" t="s">
        <v>413</v>
      </c>
      <c r="E33" s="4497">
        <v>600</v>
      </c>
    </row>
    <row r="34" spans="2:5" ht="12.75">
      <c r="B34" s="4507" t="s">
        <v>6608</v>
      </c>
      <c r="C34" s="4504" t="s">
        <v>2694</v>
      </c>
      <c r="D34" s="4497"/>
      <c r="E34" s="4497">
        <v>580.87</v>
      </c>
    </row>
    <row r="35" spans="2:5" ht="12.75">
      <c r="B35" s="4483" t="s">
        <v>6573</v>
      </c>
      <c r="C35" s="4504" t="s">
        <v>4183</v>
      </c>
      <c r="D35" s="4497"/>
      <c r="E35" s="4497">
        <v>200</v>
      </c>
    </row>
    <row r="36" spans="2:5" ht="12.75">
      <c r="B36" s="4507" t="s">
        <v>6577</v>
      </c>
      <c r="C36" s="4504" t="s">
        <v>894</v>
      </c>
      <c r="E36" s="4497">
        <v>860.69</v>
      </c>
    </row>
    <row r="37" spans="2:5" ht="12.75">
      <c r="B37" s="4509" t="s">
        <v>6578</v>
      </c>
      <c r="C37" s="4504" t="s">
        <v>894</v>
      </c>
      <c r="D37" s="4497"/>
      <c r="E37" s="4497">
        <v>9840</v>
      </c>
    </row>
    <row r="38" spans="2:5" ht="12.75">
      <c r="B38" s="4483" t="s">
        <v>6579</v>
      </c>
      <c r="C38" s="4504" t="s">
        <v>894</v>
      </c>
      <c r="D38" s="4497"/>
      <c r="E38" s="4497">
        <v>9819.4500000000007</v>
      </c>
    </row>
    <row r="39" spans="2:5" ht="12.75">
      <c r="B39" s="4507" t="s">
        <v>6582</v>
      </c>
      <c r="C39" s="4504" t="s">
        <v>3079</v>
      </c>
      <c r="D39" s="4497"/>
      <c r="E39" s="4497">
        <f>8869.75+49108.37</f>
        <v>57978.12</v>
      </c>
    </row>
    <row r="40" spans="2:5" ht="12.75">
      <c r="B40" s="4507" t="s">
        <v>6737</v>
      </c>
      <c r="C40" s="4504" t="s">
        <v>671</v>
      </c>
      <c r="D40" s="4497"/>
      <c r="E40" s="4497">
        <v>59</v>
      </c>
    </row>
    <row r="41" spans="2:5" ht="12.75">
      <c r="B41" s="4509" t="s">
        <v>5252</v>
      </c>
      <c r="C41" s="4504" t="s">
        <v>39</v>
      </c>
      <c r="D41" s="4497"/>
      <c r="E41" s="4497">
        <v>315</v>
      </c>
    </row>
    <row r="42" spans="2:5" ht="12.75">
      <c r="B42" s="4483" t="s">
        <v>4825</v>
      </c>
      <c r="C42" s="4504" t="s">
        <v>40</v>
      </c>
      <c r="D42" s="4497">
        <v>10313.89</v>
      </c>
      <c r="E42" s="4497"/>
    </row>
    <row r="43" spans="2:5" ht="12.75">
      <c r="B43" s="4504"/>
      <c r="C43" s="4518" t="s">
        <v>6587</v>
      </c>
      <c r="D43" s="1537">
        <f>SUM(D7:D42)</f>
        <v>137221.34000000003</v>
      </c>
      <c r="E43" s="1537">
        <f>SUM(E7:E42)</f>
        <v>333388.43</v>
      </c>
    </row>
    <row r="44" spans="2:5" ht="12.75">
      <c r="B44" s="1539"/>
      <c r="C44" s="1539"/>
      <c r="D44" s="1541"/>
      <c r="E44" s="1542"/>
    </row>
    <row r="45" spans="2:5" ht="12.75">
      <c r="B45" s="1539"/>
      <c r="C45" s="1539"/>
      <c r="D45" s="1545"/>
      <c r="E45" s="8658"/>
    </row>
    <row r="46" spans="2:5" ht="12.75">
      <c r="B46" s="4488" t="s">
        <v>7</v>
      </c>
      <c r="C46" s="4488" t="s">
        <v>6505</v>
      </c>
      <c r="D46" s="4489" t="s">
        <v>6678</v>
      </c>
      <c r="E46" s="4489" t="s">
        <v>6679</v>
      </c>
    </row>
    <row r="47" spans="2:5" ht="12.75">
      <c r="B47" s="4520" t="s">
        <v>6758</v>
      </c>
      <c r="C47" s="4521" t="s">
        <v>6759</v>
      </c>
      <c r="D47" s="4522"/>
      <c r="E47" s="4522"/>
    </row>
    <row r="48" spans="2:5" ht="12.75">
      <c r="B48" s="4507" t="s">
        <v>6699</v>
      </c>
      <c r="C48" s="4500" t="s">
        <v>281</v>
      </c>
      <c r="D48" s="4508" t="s">
        <v>413</v>
      </c>
      <c r="E48" s="4497">
        <f>2550+520.1+43678.14</f>
        <v>46748.24</v>
      </c>
    </row>
    <row r="49" spans="2:6" ht="12.75">
      <c r="B49" s="4507" t="s">
        <v>6772</v>
      </c>
      <c r="C49" s="4504" t="s">
        <v>148</v>
      </c>
      <c r="D49" s="4497" t="s">
        <v>413</v>
      </c>
      <c r="E49" s="4497">
        <v>2068.4</v>
      </c>
    </row>
    <row r="50" spans="2:6" ht="12.75">
      <c r="B50" s="4507" t="s">
        <v>6608</v>
      </c>
      <c r="C50" s="4504" t="s">
        <v>2694</v>
      </c>
      <c r="D50" s="4497"/>
      <c r="E50" s="4497">
        <v>18.170000000000002</v>
      </c>
    </row>
    <row r="51" spans="2:6" ht="12.75">
      <c r="B51" s="4507" t="s">
        <v>6813</v>
      </c>
      <c r="C51" s="4504" t="s">
        <v>591</v>
      </c>
      <c r="D51" s="4497">
        <v>554</v>
      </c>
      <c r="E51" s="4497"/>
    </row>
    <row r="52" spans="2:6" ht="12.75">
      <c r="B52" s="4509" t="s">
        <v>6659</v>
      </c>
      <c r="C52" s="4504" t="s">
        <v>591</v>
      </c>
      <c r="D52" s="4497"/>
      <c r="E52" s="4497">
        <v>6904.7</v>
      </c>
    </row>
    <row r="53" spans="2:6" ht="12.75">
      <c r="B53" s="4507" t="s">
        <v>6610</v>
      </c>
      <c r="C53" s="4504" t="s">
        <v>4163</v>
      </c>
      <c r="D53" s="4497"/>
      <c r="E53" s="4497">
        <v>67</v>
      </c>
    </row>
    <row r="54" spans="2:6" ht="12.75">
      <c r="B54" s="4507" t="s">
        <v>4835</v>
      </c>
      <c r="C54" s="4504" t="s">
        <v>40</v>
      </c>
      <c r="D54" s="4497"/>
      <c r="E54" s="4497">
        <v>105.24</v>
      </c>
    </row>
    <row r="55" spans="2:6" ht="12.75">
      <c r="B55" s="4507" t="s">
        <v>6577</v>
      </c>
      <c r="C55" s="4504" t="s">
        <v>894</v>
      </c>
      <c r="D55" s="4497">
        <v>10000</v>
      </c>
      <c r="E55" s="4497"/>
    </row>
    <row r="56" spans="2:6" ht="12.75">
      <c r="B56" s="4507" t="s">
        <v>7349</v>
      </c>
      <c r="C56" s="4504" t="s">
        <v>7208</v>
      </c>
      <c r="D56" s="4508"/>
      <c r="E56" s="4497">
        <v>68484.25</v>
      </c>
    </row>
    <row r="57" spans="2:6" ht="12.75">
      <c r="B57" s="4507" t="s">
        <v>6737</v>
      </c>
      <c r="C57" s="4504" t="s">
        <v>671</v>
      </c>
      <c r="D57" s="4497">
        <v>1803.2</v>
      </c>
      <c r="E57" s="4497"/>
      <c r="F57" s="4503"/>
    </row>
    <row r="58" spans="2:6" ht="12.75">
      <c r="B58" s="4483" t="s">
        <v>5694</v>
      </c>
      <c r="C58" s="4504" t="s">
        <v>671</v>
      </c>
      <c r="D58" s="4497"/>
      <c r="E58" s="4497"/>
    </row>
    <row r="59" spans="2:6" ht="12.75">
      <c r="B59" s="4507" t="s">
        <v>5717</v>
      </c>
      <c r="C59" s="4504" t="s">
        <v>39</v>
      </c>
      <c r="D59" s="4497">
        <f>714.29+334912.2</f>
        <v>335626.49</v>
      </c>
      <c r="E59" s="4497"/>
    </row>
    <row r="60" spans="2:6" ht="12.75">
      <c r="B60" s="4483" t="s">
        <v>5283</v>
      </c>
      <c r="C60" s="4504" t="s">
        <v>39</v>
      </c>
      <c r="D60" s="4497">
        <v>182479.87</v>
      </c>
      <c r="E60" s="4497"/>
    </row>
    <row r="61" spans="2:6" ht="12.75">
      <c r="B61" s="4507" t="s">
        <v>6785</v>
      </c>
      <c r="C61" s="4504" t="s">
        <v>39</v>
      </c>
      <c r="D61" s="4497"/>
      <c r="E61" s="4497">
        <v>4459.63</v>
      </c>
    </row>
    <row r="62" spans="2:6" ht="12.75">
      <c r="B62" s="4507" t="s">
        <v>7209</v>
      </c>
      <c r="C62" s="4504" t="s">
        <v>5812</v>
      </c>
      <c r="D62" s="4508"/>
      <c r="E62" s="4497">
        <v>39643</v>
      </c>
    </row>
    <row r="63" spans="2:6" ht="12.75">
      <c r="B63" s="4524"/>
      <c r="C63" s="4518" t="s">
        <v>6787</v>
      </c>
      <c r="D63" s="1538">
        <f>SUM(D48:D62)</f>
        <v>530463.56000000006</v>
      </c>
      <c r="E63" s="1538">
        <f>SUM(E48:E62)</f>
        <v>168498.63</v>
      </c>
    </row>
    <row r="64" spans="2:6" ht="12.75">
      <c r="B64" s="4525"/>
      <c r="C64" s="4526"/>
      <c r="D64" s="4503"/>
      <c r="E64" s="1539"/>
    </row>
    <row r="65" spans="1:5" ht="12.75">
      <c r="B65" s="4527"/>
      <c r="C65" s="4527"/>
      <c r="E65" s="1539"/>
    </row>
    <row r="66" spans="1:5" ht="12.75">
      <c r="B66" s="4528" t="s">
        <v>7</v>
      </c>
      <c r="C66" s="4528" t="s">
        <v>6505</v>
      </c>
      <c r="D66" s="4489" t="s">
        <v>6678</v>
      </c>
      <c r="E66" s="4489" t="s">
        <v>6679</v>
      </c>
    </row>
    <row r="67" spans="1:5" ht="12.75">
      <c r="B67" s="4530" t="s">
        <v>6616</v>
      </c>
      <c r="C67" s="4531" t="s">
        <v>6617</v>
      </c>
      <c r="D67" s="4522"/>
      <c r="E67" s="4522"/>
    </row>
    <row r="68" spans="1:5" ht="12.75">
      <c r="B68" s="4507" t="s">
        <v>5012</v>
      </c>
      <c r="C68" s="4504" t="s">
        <v>6791</v>
      </c>
      <c r="D68" s="4497" t="s">
        <v>413</v>
      </c>
      <c r="E68" s="4497">
        <f>960.4+1128</f>
        <v>2088.4</v>
      </c>
    </row>
    <row r="69" spans="1:5" ht="12.75">
      <c r="B69" s="4507" t="s">
        <v>6620</v>
      </c>
      <c r="C69" s="4504" t="s">
        <v>1301</v>
      </c>
      <c r="D69" s="4497"/>
      <c r="E69" s="4497">
        <v>972.4</v>
      </c>
    </row>
    <row r="70" spans="1:5" ht="12.75">
      <c r="B70" s="4507" t="s">
        <v>6699</v>
      </c>
      <c r="C70" s="4500" t="s">
        <v>281</v>
      </c>
      <c r="D70" s="4497">
        <v>6265.65</v>
      </c>
      <c r="E70" s="4497"/>
    </row>
    <row r="71" spans="1:5" ht="12.75">
      <c r="B71" s="4507" t="s">
        <v>6601</v>
      </c>
      <c r="C71" s="4504" t="s">
        <v>1360</v>
      </c>
      <c r="D71" s="4497"/>
      <c r="E71" s="4497">
        <v>948.23</v>
      </c>
    </row>
    <row r="72" spans="1:5" ht="12.75">
      <c r="B72" s="4507" t="s">
        <v>6829</v>
      </c>
      <c r="C72" s="4504" t="s">
        <v>1665</v>
      </c>
      <c r="D72" s="4497" t="s">
        <v>413</v>
      </c>
      <c r="E72" s="4497">
        <f>2100+285.39</f>
        <v>2385.39</v>
      </c>
    </row>
    <row r="73" spans="1:5" ht="12.75">
      <c r="B73" s="4507" t="s">
        <v>6774</v>
      </c>
      <c r="C73" s="4504" t="s">
        <v>6806</v>
      </c>
      <c r="D73" s="4497"/>
      <c r="E73" s="4497">
        <v>473.76</v>
      </c>
    </row>
    <row r="74" spans="1:5" ht="12.75">
      <c r="A74" s="4533"/>
      <c r="B74" s="4507" t="s">
        <v>4835</v>
      </c>
      <c r="C74" s="4504" t="s">
        <v>40</v>
      </c>
      <c r="D74" s="4497"/>
      <c r="E74" s="4497">
        <f>85.76</f>
        <v>85.76</v>
      </c>
    </row>
    <row r="75" spans="1:5" ht="12.75">
      <c r="B75" s="4507" t="s">
        <v>5717</v>
      </c>
      <c r="C75" s="4504" t="s">
        <v>39</v>
      </c>
      <c r="D75" s="4497"/>
      <c r="E75" s="4497">
        <f>3000+280.1+149.34</f>
        <v>3429.44</v>
      </c>
    </row>
    <row r="76" spans="1:5" ht="12.75">
      <c r="B76" s="4507" t="s">
        <v>6822</v>
      </c>
      <c r="C76" s="4504" t="s">
        <v>39</v>
      </c>
      <c r="D76" s="4497"/>
      <c r="E76" s="4497">
        <f>30694.38+7756.64+69433.23</f>
        <v>107884.25</v>
      </c>
    </row>
    <row r="77" spans="1:5" ht="13.5" customHeight="1">
      <c r="B77" s="4509" t="s">
        <v>5252</v>
      </c>
      <c r="C77" s="4504" t="s">
        <v>39</v>
      </c>
      <c r="D77" s="4497"/>
      <c r="E77" s="4497">
        <v>1680</v>
      </c>
    </row>
    <row r="78" spans="1:5" ht="12.75">
      <c r="B78" s="4507" t="s">
        <v>5544</v>
      </c>
      <c r="C78" s="4504" t="s">
        <v>40</v>
      </c>
      <c r="D78" s="4497"/>
      <c r="E78" s="4497">
        <v>91.12</v>
      </c>
    </row>
    <row r="79" spans="1:5" ht="12.75">
      <c r="B79" s="4507" t="s">
        <v>6823</v>
      </c>
      <c r="C79" s="4504" t="s">
        <v>40</v>
      </c>
      <c r="D79" s="4497"/>
      <c r="E79" s="4497">
        <v>36925.56</v>
      </c>
    </row>
    <row r="80" spans="1:5" ht="13.5" customHeight="1">
      <c r="B80" s="4509" t="s">
        <v>6743</v>
      </c>
      <c r="C80" s="4504" t="s">
        <v>40</v>
      </c>
      <c r="D80" s="4497"/>
      <c r="E80" s="4497">
        <v>13537.8</v>
      </c>
    </row>
    <row r="81" spans="1:5" ht="12.75">
      <c r="B81" s="4524"/>
      <c r="C81" s="4518" t="s">
        <v>6636</v>
      </c>
      <c r="D81" s="1537">
        <f>SUM(D68:D80)</f>
        <v>6265.65</v>
      </c>
      <c r="E81" s="1537">
        <f>SUM(E68:E80)</f>
        <v>170502.11</v>
      </c>
    </row>
    <row r="82" spans="1:5" ht="12.75">
      <c r="B82" s="4538"/>
      <c r="C82" s="4539"/>
      <c r="D82" s="1567"/>
      <c r="E82" s="1567"/>
    </row>
    <row r="83" spans="1:5" ht="12.75">
      <c r="B83" s="4541"/>
      <c r="C83" s="4539"/>
      <c r="D83" s="1567"/>
      <c r="E83" s="1567"/>
    </row>
    <row r="84" spans="1:5" ht="12.75">
      <c r="B84" s="4528" t="s">
        <v>7</v>
      </c>
      <c r="C84" s="4528" t="s">
        <v>6505</v>
      </c>
      <c r="D84" s="4489" t="s">
        <v>6678</v>
      </c>
      <c r="E84" s="4489" t="s">
        <v>6679</v>
      </c>
    </row>
    <row r="85" spans="1:5" ht="12.75">
      <c r="B85" s="4530" t="s">
        <v>6637</v>
      </c>
      <c r="C85" s="4531" t="s">
        <v>6638</v>
      </c>
      <c r="D85" s="4522"/>
      <c r="E85" s="4522"/>
    </row>
    <row r="86" spans="1:5" ht="12.75">
      <c r="B86" s="4509" t="s">
        <v>6770</v>
      </c>
      <c r="C86" s="4500" t="s">
        <v>505</v>
      </c>
      <c r="D86" s="4497" t="s">
        <v>413</v>
      </c>
      <c r="E86" s="4497">
        <v>352</v>
      </c>
    </row>
    <row r="87" spans="1:5" ht="12.75">
      <c r="B87" s="4509" t="s">
        <v>6626</v>
      </c>
      <c r="C87" s="4504" t="s">
        <v>1360</v>
      </c>
      <c r="D87" s="4497"/>
      <c r="E87" s="4497">
        <v>899.71</v>
      </c>
    </row>
    <row r="88" spans="1:5" ht="12.75">
      <c r="B88" s="4507" t="s">
        <v>5717</v>
      </c>
      <c r="C88" s="4504" t="s">
        <v>39</v>
      </c>
      <c r="D88" s="4513"/>
      <c r="E88" s="4497">
        <v>309.67</v>
      </c>
    </row>
    <row r="89" spans="1:5" s="4475" customFormat="1" ht="12.75">
      <c r="A89" s="4476"/>
      <c r="B89" s="4524"/>
      <c r="C89" s="4543" t="s">
        <v>6832</v>
      </c>
      <c r="D89" s="1537">
        <f>SUM(D86:D88)</f>
        <v>0</v>
      </c>
      <c r="E89" s="1537">
        <f>SUM(E86:E88)</f>
        <v>1561.38</v>
      </c>
    </row>
    <row r="90" spans="1:5" s="4475" customFormat="1" ht="12.75">
      <c r="A90" s="4476"/>
      <c r="B90" s="4544"/>
      <c r="C90" s="4518" t="s">
        <v>6833</v>
      </c>
      <c r="D90" s="4506">
        <f>+D43+D63+D81+D89</f>
        <v>673950.55000000016</v>
      </c>
      <c r="E90" s="4506">
        <f>+E43+E63+E81+E89</f>
        <v>673950.54999999993</v>
      </c>
    </row>
    <row r="91" spans="1:5" s="4475" customFormat="1" ht="12.75">
      <c r="A91" s="4476"/>
      <c r="B91" s="4476"/>
      <c r="C91" s="4546"/>
      <c r="D91" s="4547"/>
      <c r="E91" s="4547"/>
    </row>
    <row r="92" spans="1:5" s="4475" customFormat="1" ht="12.75">
      <c r="A92" s="4476"/>
      <c r="B92" s="4548"/>
      <c r="C92" s="4548"/>
      <c r="D92" s="4549"/>
      <c r="E92" s="1584" t="s">
        <v>7353</v>
      </c>
    </row>
    <row r="93" spans="1:5" s="4475" customFormat="1" ht="12.75">
      <c r="A93" s="4476"/>
      <c r="B93" s="4548"/>
      <c r="C93" s="4548"/>
      <c r="D93" s="4549"/>
      <c r="E93" s="4549"/>
    </row>
    <row r="94" spans="1:5" s="4475" customFormat="1" ht="12.75">
      <c r="A94" s="4476"/>
      <c r="B94" s="4548"/>
      <c r="C94" s="4548"/>
      <c r="D94" s="4549"/>
      <c r="E94" s="4548"/>
    </row>
    <row r="95" spans="1:5" s="4475" customFormat="1" ht="12.75">
      <c r="A95" s="4476"/>
      <c r="B95" s="4548" t="s">
        <v>6835</v>
      </c>
      <c r="C95" s="4549"/>
      <c r="E95" s="4548"/>
    </row>
    <row r="96" spans="1:5" ht="12.75">
      <c r="B96" s="4548" t="s">
        <v>6836</v>
      </c>
      <c r="C96" s="4552"/>
      <c r="D96" s="4548"/>
      <c r="E96" s="4548"/>
    </row>
    <row r="97" spans="2:5" ht="12.75">
      <c r="B97" s="4548"/>
      <c r="C97" s="4552"/>
      <c r="D97" s="4548"/>
      <c r="E97" s="4548"/>
    </row>
    <row r="98" spans="2:5" ht="12.75">
      <c r="C98" s="4546"/>
      <c r="D98" s="4546"/>
      <c r="E98" s="4546"/>
    </row>
    <row r="99" spans="2:5" ht="12.75">
      <c r="D99" s="4475"/>
    </row>
    <row r="100" spans="2:5" ht="12.75">
      <c r="D100" s="4475"/>
    </row>
    <row r="101" spans="2:5" ht="12.75">
      <c r="D101" s="4475"/>
    </row>
    <row r="102" spans="2:5" ht="12.75">
      <c r="D102" s="4475"/>
    </row>
    <row r="103" spans="2:5" ht="12.75">
      <c r="D103" s="4475"/>
    </row>
    <row r="104" spans="2:5" ht="12.75">
      <c r="D104" s="4475"/>
    </row>
  </sheetData>
  <mergeCells count="2">
    <mergeCell ref="B1:E1"/>
    <mergeCell ref="B2:E2"/>
  </mergeCells>
  <printOptions horizontalCentered="1"/>
  <pageMargins left="0.25" right="0.25" top="0.75" bottom="0.75" header="0.3" footer="0.3"/>
  <pageSetup scale="78" fitToHeight="0" orientation="portrait" r:id="rId1"/>
  <headerFooter>
    <oddFooter>&amp;C&amp;"Century Schoolbook,Normal"&amp;P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C09"/>
  </sheetPr>
  <dimension ref="A1:AH96"/>
  <sheetViews>
    <sheetView showGridLines="0" topLeftCell="R62" zoomScaleNormal="100" workbookViewId="0">
      <selection activeCell="W82" sqref="W82"/>
    </sheetView>
  </sheetViews>
  <sheetFormatPr baseColWidth="10" defaultColWidth="12.7109375" defaultRowHeight="15.75" customHeight="1"/>
  <cols>
    <col min="1" max="2" width="5" style="434" customWidth="1"/>
    <col min="3" max="6" width="25.7109375" style="434" customWidth="1"/>
    <col min="7" max="7" width="26.7109375" style="434" customWidth="1"/>
    <col min="8" max="12" width="25.7109375" style="434" customWidth="1"/>
    <col min="13" max="15" width="8.7109375" style="434" customWidth="1"/>
    <col min="16" max="18" width="25.7109375" style="434" customWidth="1"/>
    <col min="19" max="19" width="26" style="434" customWidth="1"/>
    <col min="20" max="21" width="18.7109375" style="434" customWidth="1"/>
    <col min="22" max="22" width="40.7109375" style="434" customWidth="1"/>
    <col min="23" max="23" width="20.7109375" style="434" customWidth="1"/>
    <col min="24" max="28" width="12.7109375" style="434" customWidth="1"/>
    <col min="29" max="29" width="12.140625" style="803" customWidth="1"/>
    <col min="30" max="30" width="10.28515625" style="803" customWidth="1"/>
    <col min="31" max="33" width="8.7109375" style="434" customWidth="1"/>
    <col min="34" max="34" width="24.42578125" style="434" customWidth="1"/>
    <col min="35" max="16384" width="12.7109375" style="434"/>
  </cols>
  <sheetData>
    <row r="1" spans="1:34" ht="39" customHeight="1">
      <c r="A1" s="8824" t="s">
        <v>0</v>
      </c>
      <c r="B1" s="9000"/>
      <c r="C1" s="9000"/>
      <c r="D1" s="9000"/>
      <c r="E1" s="9000"/>
      <c r="F1" s="9000"/>
      <c r="G1" s="9000"/>
      <c r="H1" s="9000"/>
      <c r="I1" s="9000"/>
      <c r="J1" s="9000"/>
      <c r="K1" s="9000"/>
      <c r="L1" s="9000"/>
      <c r="M1" s="9000"/>
      <c r="N1" s="9000"/>
      <c r="O1" s="9000"/>
      <c r="P1" s="9000"/>
      <c r="Q1" s="9000"/>
      <c r="R1" s="9000"/>
      <c r="S1" s="9000"/>
      <c r="T1" s="9000"/>
      <c r="U1" s="9000"/>
      <c r="V1" s="9000"/>
      <c r="W1" s="9000"/>
      <c r="X1" s="9000"/>
      <c r="Y1" s="9000"/>
      <c r="Z1" s="9000"/>
      <c r="AA1" s="9000"/>
      <c r="AB1" s="9000"/>
      <c r="AC1" s="9000"/>
      <c r="AD1" s="9000"/>
      <c r="AE1" s="9000"/>
      <c r="AF1" s="9000"/>
      <c r="AG1" s="9000"/>
      <c r="AH1" s="9000"/>
    </row>
    <row r="2" spans="1:34" ht="30">
      <c r="A2" s="8826" t="s">
        <v>1</v>
      </c>
      <c r="B2" s="9001"/>
      <c r="C2" s="9001"/>
      <c r="D2" s="9001"/>
      <c r="E2" s="9001"/>
      <c r="F2" s="9001"/>
      <c r="G2" s="9001"/>
      <c r="H2" s="9001"/>
      <c r="I2" s="9001"/>
      <c r="J2" s="9001"/>
      <c r="K2" s="9001"/>
      <c r="L2" s="9001"/>
      <c r="M2" s="9001"/>
      <c r="N2" s="9001"/>
      <c r="O2" s="9001"/>
      <c r="P2" s="9001"/>
      <c r="Q2" s="9001"/>
      <c r="R2" s="9001"/>
      <c r="S2" s="9001"/>
      <c r="T2" s="9001"/>
      <c r="U2" s="9001"/>
      <c r="V2" s="9001"/>
      <c r="W2" s="9001"/>
      <c r="X2" s="9001"/>
      <c r="Y2" s="9001"/>
      <c r="Z2" s="9001"/>
      <c r="AA2" s="9001"/>
      <c r="AB2" s="9001"/>
      <c r="AC2" s="9001"/>
      <c r="AD2" s="9001"/>
      <c r="AE2" s="9001"/>
      <c r="AF2" s="9001"/>
      <c r="AG2" s="9001"/>
      <c r="AH2" s="9001"/>
    </row>
    <row r="3" spans="1:34" ht="30.75">
      <c r="A3" s="8828" t="s">
        <v>462</v>
      </c>
      <c r="B3" s="9000"/>
      <c r="C3" s="9000"/>
      <c r="D3" s="9000"/>
      <c r="E3" s="9000"/>
      <c r="F3" s="9000"/>
      <c r="G3" s="9000"/>
      <c r="H3" s="9000"/>
      <c r="I3" s="9000"/>
      <c r="J3" s="9000"/>
      <c r="K3" s="9000"/>
      <c r="L3" s="9000"/>
      <c r="M3" s="9000"/>
      <c r="N3" s="9000"/>
      <c r="O3" s="9000"/>
      <c r="P3" s="9000"/>
      <c r="Q3" s="9000"/>
      <c r="R3" s="9000"/>
      <c r="S3" s="9000"/>
      <c r="T3" s="9000"/>
      <c r="U3" s="9000"/>
      <c r="V3" s="9000"/>
      <c r="W3" s="9000"/>
      <c r="X3" s="9000"/>
      <c r="Y3" s="9000"/>
      <c r="Z3" s="9000"/>
      <c r="AA3" s="9000"/>
      <c r="AB3" s="9000"/>
      <c r="AC3" s="9000"/>
      <c r="AD3" s="9000"/>
      <c r="AE3" s="9000"/>
      <c r="AF3" s="9000"/>
      <c r="AG3" s="9000"/>
      <c r="AH3" s="9000"/>
    </row>
    <row r="4" spans="1:34" ht="26.25">
      <c r="A4" s="8829" t="s">
        <v>88</v>
      </c>
      <c r="B4" s="9000"/>
      <c r="C4" s="9000"/>
      <c r="D4" s="9000"/>
      <c r="E4" s="9000"/>
      <c r="F4" s="9000"/>
      <c r="G4" s="9000"/>
      <c r="H4" s="9000"/>
      <c r="I4" s="9000"/>
      <c r="J4" s="9000"/>
      <c r="K4" s="9000"/>
      <c r="L4" s="9000"/>
      <c r="M4" s="9000"/>
      <c r="N4" s="9000"/>
      <c r="O4" s="9000"/>
      <c r="P4" s="9000"/>
      <c r="Q4" s="9000"/>
      <c r="R4" s="9000"/>
      <c r="S4" s="9000"/>
      <c r="T4" s="9000"/>
      <c r="U4" s="9000"/>
      <c r="V4" s="9000"/>
      <c r="W4" s="9000"/>
      <c r="X4" s="9000"/>
      <c r="Y4" s="9000"/>
      <c r="Z4" s="9000"/>
      <c r="AA4" s="9000"/>
      <c r="AB4" s="9000"/>
      <c r="AC4" s="9000"/>
      <c r="AD4" s="9000"/>
      <c r="AE4" s="9000"/>
      <c r="AF4" s="9000"/>
      <c r="AG4" s="9000"/>
      <c r="AH4" s="9000"/>
    </row>
    <row r="5" spans="1:34" ht="16.5" customHeight="1" thickBot="1">
      <c r="A5" s="11"/>
      <c r="B5" s="11"/>
      <c r="C5" s="11"/>
      <c r="D5" s="11"/>
      <c r="E5" s="11"/>
      <c r="F5" s="11"/>
      <c r="G5" s="11"/>
      <c r="H5" s="11"/>
      <c r="I5" s="11"/>
      <c r="J5" s="11"/>
      <c r="K5" s="11"/>
      <c r="L5" s="11"/>
      <c r="M5" s="11"/>
      <c r="N5" s="11"/>
      <c r="O5" s="11"/>
      <c r="P5" s="11"/>
      <c r="Q5" s="11"/>
      <c r="R5" s="11"/>
      <c r="S5" s="11"/>
      <c r="T5" s="42"/>
      <c r="U5" s="11"/>
      <c r="V5" s="11"/>
      <c r="W5" s="11"/>
      <c r="X5" s="11"/>
      <c r="Y5" s="11"/>
      <c r="Z5" s="11"/>
      <c r="AA5" s="11"/>
      <c r="AB5" s="11"/>
      <c r="AC5" s="355"/>
      <c r="AD5" s="355"/>
      <c r="AE5" s="11"/>
      <c r="AF5" s="11"/>
      <c r="AG5" s="11"/>
      <c r="AH5" s="88"/>
    </row>
    <row r="6" spans="1:34" ht="24.75" customHeight="1" thickTop="1">
      <c r="A6" s="9002" t="s">
        <v>89</v>
      </c>
      <c r="B6" s="9003"/>
      <c r="C6" s="9008" t="s">
        <v>90</v>
      </c>
      <c r="D6" s="9009"/>
      <c r="E6" s="9010" t="s">
        <v>91</v>
      </c>
      <c r="F6" s="9011"/>
      <c r="G6" s="9011"/>
      <c r="H6" s="9011"/>
      <c r="I6" s="9011"/>
      <c r="J6" s="8988" t="s">
        <v>92</v>
      </c>
      <c r="K6" s="8989"/>
      <c r="L6" s="8989"/>
      <c r="M6" s="8989"/>
      <c r="N6" s="8989"/>
      <c r="O6" s="8989"/>
      <c r="P6" s="8989"/>
      <c r="Q6" s="8989"/>
      <c r="R6" s="8990"/>
      <c r="S6" s="9150" t="s">
        <v>93</v>
      </c>
      <c r="T6" s="9151"/>
      <c r="U6" s="9151"/>
      <c r="V6" s="9151"/>
      <c r="W6" s="9151"/>
      <c r="X6" s="9151"/>
      <c r="Y6" s="9151"/>
      <c r="Z6" s="9151"/>
      <c r="AA6" s="9151"/>
      <c r="AB6" s="9151"/>
      <c r="AC6" s="9151"/>
      <c r="AD6" s="9151"/>
      <c r="AE6" s="9151"/>
      <c r="AF6" s="9151"/>
      <c r="AG6" s="9151"/>
      <c r="AH6" s="9152"/>
    </row>
    <row r="7" spans="1:34" ht="39.75" customHeight="1">
      <c r="A7" s="9004"/>
      <c r="B7" s="9005"/>
      <c r="C7" s="9146" t="s">
        <v>94</v>
      </c>
      <c r="D7" s="9147" t="s">
        <v>95</v>
      </c>
      <c r="E7" s="9012" t="s">
        <v>96</v>
      </c>
      <c r="F7" s="9012" t="s">
        <v>97</v>
      </c>
      <c r="G7" s="9012" t="s">
        <v>98</v>
      </c>
      <c r="H7" s="9012" t="s">
        <v>99</v>
      </c>
      <c r="I7" s="9012" t="s">
        <v>100</v>
      </c>
      <c r="J7" s="9014" t="s">
        <v>101</v>
      </c>
      <c r="K7" s="9016" t="s">
        <v>102</v>
      </c>
      <c r="L7" s="9016" t="s">
        <v>103</v>
      </c>
      <c r="M7" s="9016" t="s">
        <v>104</v>
      </c>
      <c r="N7" s="9017"/>
      <c r="O7" s="9017"/>
      <c r="P7" s="9016" t="s">
        <v>105</v>
      </c>
      <c r="Q7" s="9016" t="s">
        <v>106</v>
      </c>
      <c r="R7" s="9019" t="s">
        <v>107</v>
      </c>
      <c r="S7" s="9153" t="s">
        <v>108</v>
      </c>
      <c r="T7" s="9154"/>
      <c r="U7" s="9154"/>
      <c r="V7" s="9154"/>
      <c r="W7" s="9154"/>
      <c r="X7" s="9154"/>
      <c r="Y7" s="9155"/>
      <c r="Z7" s="9180" t="s">
        <v>109</v>
      </c>
      <c r="AA7" s="9181"/>
      <c r="AB7" s="9181"/>
      <c r="AC7" s="9181"/>
      <c r="AD7" s="9182"/>
      <c r="AE7" s="9156" t="s">
        <v>110</v>
      </c>
      <c r="AF7" s="9154"/>
      <c r="AG7" s="9155"/>
      <c r="AH7" s="9157" t="s">
        <v>111</v>
      </c>
    </row>
    <row r="8" spans="1:34" ht="51.75" customHeight="1">
      <c r="A8" s="9143"/>
      <c r="B8" s="9144"/>
      <c r="C8" s="9022"/>
      <c r="D8" s="9024"/>
      <c r="E8" s="9013"/>
      <c r="F8" s="9013"/>
      <c r="G8" s="9013"/>
      <c r="H8" s="9013"/>
      <c r="I8" s="9013"/>
      <c r="J8" s="9015"/>
      <c r="K8" s="9018"/>
      <c r="L8" s="9018"/>
      <c r="M8" s="5094" t="s">
        <v>112</v>
      </c>
      <c r="N8" s="5094" t="s">
        <v>113</v>
      </c>
      <c r="O8" s="5094" t="s">
        <v>114</v>
      </c>
      <c r="P8" s="9018"/>
      <c r="Q8" s="9018"/>
      <c r="R8" s="9020"/>
      <c r="S8" s="5091" t="s">
        <v>115</v>
      </c>
      <c r="T8" s="5092" t="s">
        <v>463</v>
      </c>
      <c r="U8" s="5085" t="s">
        <v>117</v>
      </c>
      <c r="V8" s="5092" t="s">
        <v>118</v>
      </c>
      <c r="W8" s="5092" t="s">
        <v>119</v>
      </c>
      <c r="X8" s="5092" t="s">
        <v>372</v>
      </c>
      <c r="Y8" s="5093" t="s">
        <v>121</v>
      </c>
      <c r="Z8" s="5092" t="s">
        <v>122</v>
      </c>
      <c r="AA8" s="5092" t="s">
        <v>123</v>
      </c>
      <c r="AB8" s="5092" t="s">
        <v>124</v>
      </c>
      <c r="AC8" s="5085" t="s">
        <v>125</v>
      </c>
      <c r="AD8" s="5088" t="s">
        <v>373</v>
      </c>
      <c r="AE8" s="5092" t="s">
        <v>112</v>
      </c>
      <c r="AF8" s="5092" t="s">
        <v>113</v>
      </c>
      <c r="AG8" s="5092" t="s">
        <v>114</v>
      </c>
      <c r="AH8" s="9158"/>
    </row>
    <row r="9" spans="1:34" ht="18.75" customHeight="1">
      <c r="A9" s="9098" t="s">
        <v>462</v>
      </c>
      <c r="B9" s="9100" t="s">
        <v>462</v>
      </c>
      <c r="C9" s="9124" t="s">
        <v>127</v>
      </c>
      <c r="D9" s="8835" t="s">
        <v>128</v>
      </c>
      <c r="E9" s="8835" t="s">
        <v>129</v>
      </c>
      <c r="F9" s="8835" t="s">
        <v>464</v>
      </c>
      <c r="G9" s="9164" t="s">
        <v>131</v>
      </c>
      <c r="H9" s="8835" t="s">
        <v>132</v>
      </c>
      <c r="I9" s="8835" t="s">
        <v>133</v>
      </c>
      <c r="J9" s="9166" t="s">
        <v>465</v>
      </c>
      <c r="K9" s="9166" t="s">
        <v>466</v>
      </c>
      <c r="L9" s="8835" t="s">
        <v>467</v>
      </c>
      <c r="M9" s="9169">
        <v>60</v>
      </c>
      <c r="N9" s="9169">
        <v>60</v>
      </c>
      <c r="O9" s="9169">
        <v>60</v>
      </c>
      <c r="P9" s="9173" t="s">
        <v>468</v>
      </c>
      <c r="Q9" s="9173" t="s">
        <v>469</v>
      </c>
      <c r="R9" s="9175" t="s">
        <v>470</v>
      </c>
      <c r="S9" s="3178" t="s">
        <v>15</v>
      </c>
      <c r="T9" s="4947">
        <v>530207</v>
      </c>
      <c r="U9" s="4947"/>
      <c r="V9" s="3179" t="s">
        <v>471</v>
      </c>
      <c r="W9" s="3180"/>
      <c r="X9" s="3181"/>
      <c r="Y9" s="7969"/>
      <c r="Z9" s="7969"/>
      <c r="AA9" s="7969"/>
      <c r="AB9" s="7970">
        <f>SUM($AA$10:$AA$11)</f>
        <v>16267.86</v>
      </c>
      <c r="AC9" s="4971" t="s">
        <v>26</v>
      </c>
      <c r="AD9" s="1040"/>
      <c r="AE9" s="1039"/>
      <c r="AF9" s="1041"/>
      <c r="AG9" s="6196"/>
      <c r="AH9" s="9145"/>
    </row>
    <row r="10" spans="1:34" ht="31.5" customHeight="1">
      <c r="A10" s="9099"/>
      <c r="B10" s="9101"/>
      <c r="C10" s="9125"/>
      <c r="D10" s="8834"/>
      <c r="E10" s="8834"/>
      <c r="F10" s="8834"/>
      <c r="G10" s="8974"/>
      <c r="H10" s="8834"/>
      <c r="I10" s="8834"/>
      <c r="J10" s="9167"/>
      <c r="K10" s="9167"/>
      <c r="L10" s="8834"/>
      <c r="M10" s="8856"/>
      <c r="N10" s="8856"/>
      <c r="O10" s="8856"/>
      <c r="P10" s="8980"/>
      <c r="Q10" s="8980"/>
      <c r="R10" s="8982"/>
      <c r="S10" s="3182"/>
      <c r="T10" s="4948"/>
      <c r="U10" s="4948">
        <v>836100011</v>
      </c>
      <c r="V10" s="3183" t="s">
        <v>472</v>
      </c>
      <c r="W10" s="3184">
        <v>1</v>
      </c>
      <c r="X10" s="3185" t="s">
        <v>152</v>
      </c>
      <c r="Y10" s="7971">
        <f>13267.86/1.12</f>
        <v>11846.303571428571</v>
      </c>
      <c r="Z10" s="7972">
        <f t="shared" ref="Z10" si="0">+W10*Y10</f>
        <v>11846.303571428571</v>
      </c>
      <c r="AA10" s="7972">
        <f t="shared" ref="AA10" si="1">+Z10*1.12</f>
        <v>13267.86</v>
      </c>
      <c r="AB10" s="7973"/>
      <c r="AC10" s="4974"/>
      <c r="AD10" s="1044"/>
      <c r="AE10" s="1043"/>
      <c r="AF10" s="1043" t="s">
        <v>153</v>
      </c>
      <c r="AG10" s="6197" t="s">
        <v>153</v>
      </c>
      <c r="AH10" s="9138"/>
    </row>
    <row r="11" spans="1:34" ht="18" customHeight="1">
      <c r="A11" s="9099"/>
      <c r="B11" s="9101"/>
      <c r="C11" s="9125"/>
      <c r="D11" s="8834"/>
      <c r="E11" s="8834"/>
      <c r="F11" s="8834"/>
      <c r="G11" s="8974"/>
      <c r="H11" s="8834"/>
      <c r="I11" s="8834"/>
      <c r="J11" s="9167"/>
      <c r="K11" s="9167"/>
      <c r="L11" s="8834"/>
      <c r="M11" s="8856"/>
      <c r="N11" s="8856"/>
      <c r="O11" s="8856"/>
      <c r="P11" s="8980"/>
      <c r="Q11" s="8980"/>
      <c r="R11" s="8982"/>
      <c r="S11" s="3182"/>
      <c r="T11" s="8476"/>
      <c r="U11" s="8476"/>
      <c r="V11" s="8477" t="s">
        <v>473</v>
      </c>
      <c r="W11" s="8478">
        <v>1</v>
      </c>
      <c r="X11" s="8479" t="s">
        <v>152</v>
      </c>
      <c r="Y11" s="8480">
        <f>3000/1.12</f>
        <v>2678.5714285714284</v>
      </c>
      <c r="Z11" s="8481">
        <f t="shared" ref="Z11" si="2">+W11*Y11</f>
        <v>2678.5714285714284</v>
      </c>
      <c r="AA11" s="8481">
        <f t="shared" ref="AA11" si="3">+Z11*1.12</f>
        <v>3000</v>
      </c>
      <c r="AB11" s="8482"/>
      <c r="AC11" s="8483"/>
      <c r="AD11" s="8484"/>
      <c r="AE11" s="8485"/>
      <c r="AF11" s="8485"/>
      <c r="AG11" s="8486"/>
      <c r="AH11" s="9138"/>
    </row>
    <row r="12" spans="1:34" ht="18" customHeight="1">
      <c r="A12" s="9099"/>
      <c r="B12" s="9101"/>
      <c r="C12" s="9125"/>
      <c r="D12" s="8834"/>
      <c r="E12" s="8834"/>
      <c r="F12" s="8834"/>
      <c r="G12" s="8974"/>
      <c r="H12" s="8834"/>
      <c r="I12" s="8834"/>
      <c r="J12" s="9167"/>
      <c r="K12" s="9167"/>
      <c r="L12" s="8834"/>
      <c r="M12" s="8856"/>
      <c r="N12" s="8856"/>
      <c r="O12" s="8856"/>
      <c r="P12" s="8980"/>
      <c r="Q12" s="8980"/>
      <c r="R12" s="8982"/>
      <c r="S12" s="3195" t="s">
        <v>15</v>
      </c>
      <c r="T12" s="4949">
        <v>530207</v>
      </c>
      <c r="U12" s="4950"/>
      <c r="V12" s="4295" t="s">
        <v>471</v>
      </c>
      <c r="W12" s="4286"/>
      <c r="X12" s="4287"/>
      <c r="Y12" s="7791"/>
      <c r="Z12" s="7792"/>
      <c r="AA12" s="7792"/>
      <c r="AB12" s="7793">
        <f>+AA13</f>
        <v>2623.94</v>
      </c>
      <c r="AC12" s="4975" t="s">
        <v>25</v>
      </c>
      <c r="AD12" s="4288"/>
      <c r="AE12" s="4289"/>
      <c r="AF12" s="4289"/>
      <c r="AG12" s="6198"/>
      <c r="AH12" s="9138"/>
    </row>
    <row r="13" spans="1:34" ht="46.5" customHeight="1">
      <c r="A13" s="9099"/>
      <c r="B13" s="9101"/>
      <c r="C13" s="9125"/>
      <c r="D13" s="8834"/>
      <c r="E13" s="8834"/>
      <c r="F13" s="8834"/>
      <c r="G13" s="8974"/>
      <c r="H13" s="8834"/>
      <c r="I13" s="8834"/>
      <c r="J13" s="9167"/>
      <c r="K13" s="9167"/>
      <c r="L13" s="8834"/>
      <c r="M13" s="8856"/>
      <c r="N13" s="8856"/>
      <c r="O13" s="8856"/>
      <c r="P13" s="8980"/>
      <c r="Q13" s="8980"/>
      <c r="R13" s="8982"/>
      <c r="S13" s="3182"/>
      <c r="T13" s="4951"/>
      <c r="U13" s="4951">
        <v>836100011</v>
      </c>
      <c r="V13" s="4290" t="s">
        <v>474</v>
      </c>
      <c r="W13" s="4291">
        <v>1</v>
      </c>
      <c r="X13" s="4292" t="s">
        <v>152</v>
      </c>
      <c r="Y13" s="7794">
        <f>(3000-376.06)/1.12</f>
        <v>2342.8035714285711</v>
      </c>
      <c r="Z13" s="7795">
        <f t="shared" ref="Z13" si="4">+W13*Y13</f>
        <v>2342.8035714285711</v>
      </c>
      <c r="AA13" s="7795">
        <f t="shared" ref="AA13" si="5">+Z13*1.12</f>
        <v>2623.94</v>
      </c>
      <c r="AB13" s="7796"/>
      <c r="AC13" s="4976"/>
      <c r="AD13" s="4293"/>
      <c r="AE13" s="4294"/>
      <c r="AF13" s="4294"/>
      <c r="AG13" s="6199" t="s">
        <v>153</v>
      </c>
      <c r="AH13" s="9138"/>
    </row>
    <row r="14" spans="1:34" ht="57" customHeight="1">
      <c r="A14" s="9099"/>
      <c r="B14" s="9101"/>
      <c r="C14" s="9125"/>
      <c r="D14" s="8834"/>
      <c r="E14" s="8834"/>
      <c r="F14" s="8834"/>
      <c r="G14" s="8974"/>
      <c r="H14" s="8834"/>
      <c r="I14" s="8834"/>
      <c r="J14" s="9167"/>
      <c r="K14" s="9167"/>
      <c r="L14" s="8834"/>
      <c r="M14" s="8856"/>
      <c r="N14" s="8856"/>
      <c r="O14" s="8856"/>
      <c r="P14" s="8980"/>
      <c r="Q14" s="8980"/>
      <c r="R14" s="8982"/>
      <c r="S14" s="3186" t="s">
        <v>15</v>
      </c>
      <c r="T14" s="4952">
        <v>530204</v>
      </c>
      <c r="U14" s="4952"/>
      <c r="V14" s="3187" t="s">
        <v>16</v>
      </c>
      <c r="W14" s="3188"/>
      <c r="X14" s="3189"/>
      <c r="Y14" s="4977"/>
      <c r="Z14" s="4977"/>
      <c r="AA14" s="4977"/>
      <c r="AB14" s="7978">
        <f>SUM($AA$15:$AA$16)</f>
        <v>14035.714285714286</v>
      </c>
      <c r="AC14" s="4979" t="s">
        <v>26</v>
      </c>
      <c r="AD14" s="1040"/>
      <c r="AE14" s="1048"/>
      <c r="AF14" s="1049"/>
      <c r="AG14" s="1302"/>
      <c r="AH14" s="9138"/>
    </row>
    <row r="15" spans="1:34" ht="18.75" customHeight="1">
      <c r="A15" s="9099"/>
      <c r="B15" s="9101"/>
      <c r="C15" s="9125"/>
      <c r="D15" s="8834"/>
      <c r="E15" s="8834"/>
      <c r="F15" s="8834"/>
      <c r="G15" s="8974"/>
      <c r="H15" s="8834"/>
      <c r="I15" s="8834"/>
      <c r="J15" s="9167"/>
      <c r="K15" s="9167"/>
      <c r="L15" s="8834"/>
      <c r="M15" s="8856"/>
      <c r="N15" s="8856"/>
      <c r="O15" s="8856"/>
      <c r="P15" s="8980"/>
      <c r="Q15" s="8980"/>
      <c r="R15" s="8982"/>
      <c r="S15" s="3182"/>
      <c r="T15" s="4953"/>
      <c r="U15" s="4953">
        <v>325300019</v>
      </c>
      <c r="V15" s="3190" t="s">
        <v>475</v>
      </c>
      <c r="W15" s="3191">
        <v>1</v>
      </c>
      <c r="X15" s="3192" t="s">
        <v>180</v>
      </c>
      <c r="Y15" s="4980">
        <f>9000/1.12</f>
        <v>8035.7142857142853</v>
      </c>
      <c r="Z15" s="4981">
        <f t="shared" ref="Z15" si="6">+W15*Y15</f>
        <v>8035.7142857142853</v>
      </c>
      <c r="AA15" s="7977">
        <f>Z15</f>
        <v>8035.7142857142853</v>
      </c>
      <c r="AB15" s="4982"/>
      <c r="AC15" s="4983"/>
      <c r="AD15" s="1053"/>
      <c r="AE15" s="1052"/>
      <c r="AF15" s="1052" t="s">
        <v>153</v>
      </c>
      <c r="AG15" s="1303" t="s">
        <v>153</v>
      </c>
      <c r="AH15" s="9138"/>
    </row>
    <row r="16" spans="1:34" ht="18.75" customHeight="1">
      <c r="A16" s="9099"/>
      <c r="B16" s="9101"/>
      <c r="C16" s="9125"/>
      <c r="D16" s="8834"/>
      <c r="E16" s="8834"/>
      <c r="F16" s="8834"/>
      <c r="G16" s="8974"/>
      <c r="H16" s="8834"/>
      <c r="I16" s="8834"/>
      <c r="J16" s="9167"/>
      <c r="K16" s="9167"/>
      <c r="L16" s="8834"/>
      <c r="M16" s="8856"/>
      <c r="N16" s="8856"/>
      <c r="O16" s="8856"/>
      <c r="P16" s="8980"/>
      <c r="Q16" s="8980"/>
      <c r="R16" s="8982"/>
      <c r="S16" s="8463"/>
      <c r="T16" s="8464"/>
      <c r="U16" s="8464"/>
      <c r="V16" s="8465" t="s">
        <v>476</v>
      </c>
      <c r="W16" s="8466">
        <v>1</v>
      </c>
      <c r="X16" s="8183" t="s">
        <v>152</v>
      </c>
      <c r="Y16" s="8467">
        <f>6000/1.12</f>
        <v>5357.1428571428569</v>
      </c>
      <c r="Z16" s="8468">
        <f t="shared" ref="Z16" si="7">+W16*Y16</f>
        <v>5357.1428571428569</v>
      </c>
      <c r="AA16" s="8468">
        <f t="shared" ref="AA16" si="8">+Z16*1.12</f>
        <v>6000</v>
      </c>
      <c r="AB16" s="8469"/>
      <c r="AC16" s="8470"/>
      <c r="AD16" s="8471"/>
      <c r="AE16" s="8163"/>
      <c r="AF16" s="8163"/>
      <c r="AG16" s="8472" t="s">
        <v>153</v>
      </c>
      <c r="AH16" s="9138"/>
    </row>
    <row r="17" spans="1:34" s="8357" customFormat="1" ht="25.5">
      <c r="A17" s="9099"/>
      <c r="B17" s="9101"/>
      <c r="C17" s="9125"/>
      <c r="D17" s="8834"/>
      <c r="E17" s="8834"/>
      <c r="F17" s="8834"/>
      <c r="G17" s="8974"/>
      <c r="H17" s="8834"/>
      <c r="I17" s="8834"/>
      <c r="J17" s="9167"/>
      <c r="K17" s="9167"/>
      <c r="L17" s="8834"/>
      <c r="M17" s="8856"/>
      <c r="N17" s="8856"/>
      <c r="O17" s="8856"/>
      <c r="P17" s="8980"/>
      <c r="Q17" s="8980"/>
      <c r="R17" s="8982"/>
      <c r="S17" s="8439" t="s">
        <v>15</v>
      </c>
      <c r="T17" s="8440">
        <v>530807</v>
      </c>
      <c r="U17" s="8440"/>
      <c r="V17" s="8226" t="s">
        <v>477</v>
      </c>
      <c r="W17" s="8473"/>
      <c r="X17" s="8228"/>
      <c r="Y17" s="8474"/>
      <c r="Z17" s="8475"/>
      <c r="AA17" s="8475"/>
      <c r="AB17" s="8441">
        <f>SUM(AA18:AA19)</f>
        <v>6053.6</v>
      </c>
      <c r="AC17" s="8442" t="s">
        <v>18</v>
      </c>
      <c r="AD17" s="8443"/>
      <c r="AE17" s="8444"/>
      <c r="AF17" s="8444"/>
      <c r="AG17" s="8445"/>
      <c r="AH17" s="8356"/>
    </row>
    <row r="18" spans="1:34" s="8359" customFormat="1" ht="76.5">
      <c r="A18" s="9099"/>
      <c r="B18" s="9101"/>
      <c r="C18" s="9125"/>
      <c r="D18" s="8834"/>
      <c r="E18" s="8834"/>
      <c r="F18" s="8834"/>
      <c r="G18" s="8974"/>
      <c r="H18" s="8834"/>
      <c r="I18" s="8834"/>
      <c r="J18" s="9167"/>
      <c r="K18" s="9167"/>
      <c r="L18" s="8834"/>
      <c r="M18" s="8856"/>
      <c r="N18" s="8856"/>
      <c r="O18" s="8856"/>
      <c r="P18" s="8980"/>
      <c r="Q18" s="8980"/>
      <c r="R18" s="8982"/>
      <c r="S18" s="8446"/>
      <c r="T18" s="8037"/>
      <c r="U18" s="8037"/>
      <c r="V18" s="8231" t="s">
        <v>478</v>
      </c>
      <c r="W18" s="8447">
        <v>1</v>
      </c>
      <c r="X18" s="8040" t="s">
        <v>479</v>
      </c>
      <c r="Y18" s="8448">
        <f>3889.76/1.12</f>
        <v>3473</v>
      </c>
      <c r="Z18" s="8449">
        <f>Y18*W18</f>
        <v>3473</v>
      </c>
      <c r="AA18" s="8449">
        <f>Z18*1.12</f>
        <v>3889.76</v>
      </c>
      <c r="AB18" s="8450"/>
      <c r="AC18" s="8042"/>
      <c r="AD18" s="8451"/>
      <c r="AE18" s="8040"/>
      <c r="AF18" s="8040"/>
      <c r="AG18" s="8452" t="s">
        <v>153</v>
      </c>
      <c r="AH18" s="8358"/>
    </row>
    <row r="19" spans="1:34" ht="76.5">
      <c r="A19" s="9099"/>
      <c r="B19" s="9101"/>
      <c r="C19" s="9126"/>
      <c r="D19" s="9127"/>
      <c r="E19" s="9127"/>
      <c r="F19" s="9127"/>
      <c r="G19" s="9165"/>
      <c r="H19" s="9127"/>
      <c r="I19" s="9127"/>
      <c r="J19" s="9168"/>
      <c r="K19" s="9168"/>
      <c r="L19" s="9127"/>
      <c r="M19" s="9170"/>
      <c r="N19" s="9170"/>
      <c r="O19" s="9170"/>
      <c r="P19" s="9174"/>
      <c r="Q19" s="9174"/>
      <c r="R19" s="9176"/>
      <c r="S19" s="8453"/>
      <c r="T19" s="8045"/>
      <c r="U19" s="8045"/>
      <c r="V19" s="8454" t="s">
        <v>480</v>
      </c>
      <c r="W19" s="8455">
        <v>1</v>
      </c>
      <c r="X19" s="8456" t="s">
        <v>479</v>
      </c>
      <c r="Y19" s="8457">
        <f>2163.84/1.12</f>
        <v>1932</v>
      </c>
      <c r="Z19" s="8458">
        <f>Y19*W19</f>
        <v>1932</v>
      </c>
      <c r="AA19" s="8458">
        <f>Z19*1.12</f>
        <v>2163.84</v>
      </c>
      <c r="AB19" s="8459"/>
      <c r="AC19" s="8460"/>
      <c r="AD19" s="8461"/>
      <c r="AE19" s="3727"/>
      <c r="AF19" s="3727"/>
      <c r="AG19" s="8462" t="s">
        <v>153</v>
      </c>
      <c r="AH19" s="8333"/>
    </row>
    <row r="20" spans="1:34" ht="36.75" customHeight="1">
      <c r="A20" s="9099"/>
      <c r="B20" s="9101"/>
      <c r="C20" s="9140" t="s">
        <v>127</v>
      </c>
      <c r="D20" s="9090" t="s">
        <v>128</v>
      </c>
      <c r="E20" s="9090" t="s">
        <v>140</v>
      </c>
      <c r="F20" s="9090" t="s">
        <v>212</v>
      </c>
      <c r="G20" s="9116" t="s">
        <v>131</v>
      </c>
      <c r="H20" s="9090" t="s">
        <v>213</v>
      </c>
      <c r="I20" s="9090" t="s">
        <v>159</v>
      </c>
      <c r="J20" s="9097" t="s">
        <v>481</v>
      </c>
      <c r="K20" s="9186" t="s">
        <v>482</v>
      </c>
      <c r="L20" s="9090" t="s">
        <v>483</v>
      </c>
      <c r="M20" s="9094">
        <v>0</v>
      </c>
      <c r="N20" s="9094">
        <v>0</v>
      </c>
      <c r="O20" s="9161">
        <v>1000</v>
      </c>
      <c r="P20" s="9097" t="s">
        <v>484</v>
      </c>
      <c r="Q20" s="9097" t="s">
        <v>485</v>
      </c>
      <c r="R20" s="9103" t="s">
        <v>486</v>
      </c>
      <c r="S20" s="1059" t="s">
        <v>15</v>
      </c>
      <c r="T20" s="4956">
        <v>840104</v>
      </c>
      <c r="U20" s="4957"/>
      <c r="V20" s="1047" t="s">
        <v>39</v>
      </c>
      <c r="W20" s="1687"/>
      <c r="X20" s="1048"/>
      <c r="Y20" s="8360"/>
      <c r="Z20" s="8360"/>
      <c r="AA20" s="8360"/>
      <c r="AB20" s="8028">
        <f>SUM($AA$21:$AA$21)-0.01</f>
        <v>14988.99</v>
      </c>
      <c r="AC20" s="4990" t="s">
        <v>18</v>
      </c>
      <c r="AD20" s="1062"/>
      <c r="AE20" s="1061"/>
      <c r="AF20" s="1063"/>
      <c r="AG20" s="6201"/>
      <c r="AH20" s="9183" t="s">
        <v>487</v>
      </c>
    </row>
    <row r="21" spans="1:34" ht="48" customHeight="1">
      <c r="A21" s="9099"/>
      <c r="B21" s="9101"/>
      <c r="C21" s="9134"/>
      <c r="D21" s="9091"/>
      <c r="E21" s="9091"/>
      <c r="F21" s="9091"/>
      <c r="G21" s="9091"/>
      <c r="H21" s="9091"/>
      <c r="I21" s="9091"/>
      <c r="J21" s="9091"/>
      <c r="K21" s="9091"/>
      <c r="L21" s="9091"/>
      <c r="M21" s="9095"/>
      <c r="N21" s="9095"/>
      <c r="O21" s="9162"/>
      <c r="P21" s="9091"/>
      <c r="Q21" s="9091"/>
      <c r="R21" s="9104"/>
      <c r="S21" s="1042"/>
      <c r="T21" s="4958"/>
      <c r="U21" s="4959"/>
      <c r="V21" s="1051" t="s">
        <v>488</v>
      </c>
      <c r="W21" s="1688">
        <v>1</v>
      </c>
      <c r="X21" s="1052" t="s">
        <v>479</v>
      </c>
      <c r="Y21" s="8029">
        <v>14989</v>
      </c>
      <c r="Z21" s="8029">
        <f t="shared" ref="Z21" si="9">+W21*Y21</f>
        <v>14989</v>
      </c>
      <c r="AA21" s="8029">
        <f>Z21</f>
        <v>14989</v>
      </c>
      <c r="AB21" s="8030"/>
      <c r="AC21" s="4993"/>
      <c r="AD21" s="1053"/>
      <c r="AE21" s="1052"/>
      <c r="AF21" s="2092" t="s">
        <v>153</v>
      </c>
      <c r="AG21" s="6202"/>
      <c r="AH21" s="9138"/>
    </row>
    <row r="22" spans="1:34" ht="62.25" customHeight="1">
      <c r="A22" s="9099"/>
      <c r="B22" s="9101"/>
      <c r="C22" s="9134"/>
      <c r="D22" s="9091"/>
      <c r="E22" s="9091"/>
      <c r="F22" s="9091"/>
      <c r="G22" s="9091"/>
      <c r="H22" s="9091"/>
      <c r="I22" s="9091"/>
      <c r="J22" s="9091"/>
      <c r="K22" s="9091"/>
      <c r="L22" s="9091"/>
      <c r="M22" s="9095"/>
      <c r="N22" s="9095"/>
      <c r="O22" s="9162"/>
      <c r="P22" s="9091"/>
      <c r="Q22" s="9091"/>
      <c r="R22" s="9104"/>
      <c r="S22" s="3195" t="s">
        <v>15</v>
      </c>
      <c r="T22" s="4952">
        <v>530204</v>
      </c>
      <c r="U22" s="4961"/>
      <c r="V22" s="3187" t="s">
        <v>16</v>
      </c>
      <c r="W22" s="3188"/>
      <c r="X22" s="3189"/>
      <c r="Y22" s="4977"/>
      <c r="Z22" s="4977"/>
      <c r="AA22" s="4977"/>
      <c r="AB22" s="4978">
        <f>SUM($AA$23:$AA$24)</f>
        <v>6367.2</v>
      </c>
      <c r="AC22" s="4979" t="s">
        <v>18</v>
      </c>
      <c r="AD22" s="1040"/>
      <c r="AE22" s="1048"/>
      <c r="AF22" s="1049"/>
      <c r="AG22" s="1302"/>
      <c r="AH22" s="9138"/>
    </row>
    <row r="23" spans="1:34" ht="36.75" customHeight="1">
      <c r="A23" s="9099"/>
      <c r="B23" s="9101"/>
      <c r="C23" s="9134"/>
      <c r="D23" s="9091"/>
      <c r="E23" s="9091"/>
      <c r="F23" s="9091"/>
      <c r="G23" s="9091"/>
      <c r="H23" s="9091"/>
      <c r="I23" s="9091"/>
      <c r="J23" s="9091"/>
      <c r="K23" s="9091"/>
      <c r="L23" s="9091"/>
      <c r="M23" s="9095"/>
      <c r="N23" s="9095"/>
      <c r="O23" s="9162"/>
      <c r="P23" s="9091"/>
      <c r="Q23" s="9091"/>
      <c r="R23" s="9104"/>
      <c r="S23" s="3182"/>
      <c r="T23" s="4953"/>
      <c r="U23" s="4953">
        <v>323000011</v>
      </c>
      <c r="V23" s="3190" t="s">
        <v>489</v>
      </c>
      <c r="W23" s="3196">
        <v>1</v>
      </c>
      <c r="X23" s="3192" t="s">
        <v>152</v>
      </c>
      <c r="Y23" s="4980">
        <f>191/1.12</f>
        <v>170.53571428571428</v>
      </c>
      <c r="Z23" s="8468">
        <f t="shared" ref="Z23" si="10">+W23*Y23</f>
        <v>170.53571428571428</v>
      </c>
      <c r="AA23" s="8468">
        <f t="shared" ref="AA23" si="11">+Z23*1.12</f>
        <v>191</v>
      </c>
      <c r="AB23" s="4994"/>
      <c r="AC23" s="4983"/>
      <c r="AD23" s="1053"/>
      <c r="AE23" s="1052"/>
      <c r="AF23" s="1052" t="s">
        <v>153</v>
      </c>
      <c r="AG23" s="1303" t="s">
        <v>153</v>
      </c>
      <c r="AH23" s="9138"/>
    </row>
    <row r="24" spans="1:34" ht="36.75" customHeight="1">
      <c r="A24" s="9099"/>
      <c r="B24" s="9101"/>
      <c r="C24" s="9141"/>
      <c r="D24" s="9102"/>
      <c r="E24" s="9102"/>
      <c r="F24" s="9102"/>
      <c r="G24" s="9102"/>
      <c r="H24" s="9102"/>
      <c r="I24" s="9102"/>
      <c r="J24" s="9102"/>
      <c r="K24" s="9102"/>
      <c r="L24" s="9102"/>
      <c r="M24" s="9107"/>
      <c r="N24" s="9107"/>
      <c r="O24" s="9163"/>
      <c r="P24" s="9102"/>
      <c r="Q24" s="9102"/>
      <c r="R24" s="9105"/>
      <c r="S24" s="3197"/>
      <c r="T24" s="4962"/>
      <c r="U24" s="4962">
        <v>325300019</v>
      </c>
      <c r="V24" s="3198" t="s">
        <v>475</v>
      </c>
      <c r="W24" s="3199">
        <v>1</v>
      </c>
      <c r="X24" s="3200" t="s">
        <v>180</v>
      </c>
      <c r="Y24" s="4995">
        <f>(6001+175.2)/1.12</f>
        <v>5514.4642857142853</v>
      </c>
      <c r="Z24" s="8487">
        <f t="shared" ref="Z24" si="12">+W24*Y24</f>
        <v>5514.4642857142853</v>
      </c>
      <c r="AA24" s="8487">
        <f t="shared" ref="AA24" si="13">+Z24*1.12</f>
        <v>6176.2</v>
      </c>
      <c r="AB24" s="4996"/>
      <c r="AC24" s="4997"/>
      <c r="AD24" s="1070"/>
      <c r="AE24" s="1069"/>
      <c r="AF24" s="1069" t="s">
        <v>153</v>
      </c>
      <c r="AG24" s="1304" t="s">
        <v>153</v>
      </c>
      <c r="AH24" s="9139"/>
    </row>
    <row r="25" spans="1:34" ht="18" customHeight="1">
      <c r="A25" s="9099"/>
      <c r="B25" s="9101"/>
      <c r="C25" s="9159" t="s">
        <v>183</v>
      </c>
      <c r="D25" s="9132" t="s">
        <v>184</v>
      </c>
      <c r="E25" s="9131" t="s">
        <v>490</v>
      </c>
      <c r="F25" s="9132" t="s">
        <v>491</v>
      </c>
      <c r="G25" s="9142" t="s">
        <v>187</v>
      </c>
      <c r="H25" s="9132" t="s">
        <v>247</v>
      </c>
      <c r="I25" s="9131" t="s">
        <v>159</v>
      </c>
      <c r="J25" s="9136" t="s">
        <v>492</v>
      </c>
      <c r="K25" s="9130" t="s">
        <v>493</v>
      </c>
      <c r="L25" s="9132" t="s">
        <v>494</v>
      </c>
      <c r="M25" s="9119">
        <v>150</v>
      </c>
      <c r="N25" s="9117">
        <v>150</v>
      </c>
      <c r="O25" s="9119">
        <v>150</v>
      </c>
      <c r="P25" s="9121" t="s">
        <v>495</v>
      </c>
      <c r="Q25" s="9172" t="s">
        <v>496</v>
      </c>
      <c r="R25" s="9132" t="s">
        <v>497</v>
      </c>
      <c r="S25" s="3201" t="s">
        <v>15</v>
      </c>
      <c r="T25" s="4952">
        <v>840107</v>
      </c>
      <c r="U25" s="4952"/>
      <c r="V25" s="3187" t="s">
        <v>40</v>
      </c>
      <c r="W25" s="3188"/>
      <c r="X25" s="3189"/>
      <c r="Y25" s="4977"/>
      <c r="Z25" s="4977"/>
      <c r="AA25" s="4977"/>
      <c r="AB25" s="4978">
        <f>SUM($AA$26:$AA$26)</f>
        <v>3083.19</v>
      </c>
      <c r="AC25" s="4979" t="s">
        <v>18</v>
      </c>
      <c r="AD25" s="1040"/>
      <c r="AE25" s="1048"/>
      <c r="AF25" s="1049"/>
      <c r="AG25" s="1302"/>
      <c r="AH25" s="9137"/>
    </row>
    <row r="26" spans="1:34" ht="30" customHeight="1">
      <c r="A26" s="9099"/>
      <c r="B26" s="9101"/>
      <c r="C26" s="9114"/>
      <c r="D26" s="9104"/>
      <c r="E26" s="9091"/>
      <c r="F26" s="9104"/>
      <c r="G26" s="9091"/>
      <c r="H26" s="9104"/>
      <c r="I26" s="9091"/>
      <c r="J26" s="9104"/>
      <c r="K26" s="9091"/>
      <c r="L26" s="9104"/>
      <c r="M26" s="9095"/>
      <c r="N26" s="9109"/>
      <c r="O26" s="9095"/>
      <c r="P26" s="9104"/>
      <c r="Q26" s="9091"/>
      <c r="R26" s="9104"/>
      <c r="S26" s="3182"/>
      <c r="T26" s="4948"/>
      <c r="U26" s="4948">
        <v>4523000391</v>
      </c>
      <c r="V26" s="3202" t="s">
        <v>498</v>
      </c>
      <c r="W26" s="3184">
        <v>1</v>
      </c>
      <c r="X26" s="3185" t="s">
        <v>180</v>
      </c>
      <c r="Y26" s="4972">
        <f>3083.19/1.12</f>
        <v>2752.8482142857142</v>
      </c>
      <c r="Z26" s="4972">
        <f t="shared" ref="Z26" si="14">+W26*Y26</f>
        <v>2752.8482142857142</v>
      </c>
      <c r="AA26" s="4972">
        <f t="shared" ref="AA26" si="15">+Z26*1.12</f>
        <v>3083.19</v>
      </c>
      <c r="AB26" s="4973"/>
      <c r="AC26" s="4974"/>
      <c r="AD26" s="1044"/>
      <c r="AE26" s="1043" t="s">
        <v>153</v>
      </c>
      <c r="AF26" s="1072"/>
      <c r="AG26" s="6197"/>
      <c r="AH26" s="9138"/>
    </row>
    <row r="27" spans="1:34" ht="21" customHeight="1" thickBot="1">
      <c r="A27" s="9148"/>
      <c r="B27" s="9149"/>
      <c r="C27" s="9114"/>
      <c r="D27" s="9104"/>
      <c r="E27" s="9091"/>
      <c r="F27" s="9104"/>
      <c r="G27" s="9091"/>
      <c r="H27" s="9104"/>
      <c r="I27" s="9091"/>
      <c r="J27" s="9104"/>
      <c r="K27" s="9091"/>
      <c r="L27" s="9104"/>
      <c r="M27" s="9095"/>
      <c r="N27" s="9109"/>
      <c r="O27" s="9095"/>
      <c r="P27" s="9104"/>
      <c r="Q27" s="9091"/>
      <c r="R27" s="9104"/>
      <c r="S27" s="1042"/>
      <c r="T27" s="4959"/>
      <c r="U27" s="4959"/>
      <c r="V27" s="1073"/>
      <c r="W27" s="1688"/>
      <c r="X27" s="1052"/>
      <c r="Y27" s="4991"/>
      <c r="Z27" s="4991"/>
      <c r="AA27" s="4991"/>
      <c r="AB27" s="4992"/>
      <c r="AC27" s="4993"/>
      <c r="AD27" s="1053"/>
      <c r="AE27" s="1052"/>
      <c r="AF27" s="1074"/>
      <c r="AG27" s="1303"/>
      <c r="AH27" s="9138"/>
    </row>
    <row r="28" spans="1:34" ht="21" customHeight="1">
      <c r="A28" s="9098" t="s">
        <v>462</v>
      </c>
      <c r="B28" s="9100" t="s">
        <v>462</v>
      </c>
      <c r="C28" s="9114"/>
      <c r="D28" s="9104"/>
      <c r="E28" s="9091"/>
      <c r="F28" s="9104"/>
      <c r="G28" s="9091"/>
      <c r="H28" s="9104"/>
      <c r="I28" s="9091"/>
      <c r="J28" s="9104"/>
      <c r="K28" s="9091"/>
      <c r="L28" s="9104"/>
      <c r="M28" s="9095"/>
      <c r="N28" s="9109"/>
      <c r="O28" s="9095"/>
      <c r="P28" s="9104"/>
      <c r="Q28" s="9091"/>
      <c r="R28" s="9104"/>
      <c r="S28" s="1042"/>
      <c r="T28" s="4959"/>
      <c r="U28" s="4959"/>
      <c r="V28" s="1051"/>
      <c r="W28" s="1688"/>
      <c r="X28" s="1052"/>
      <c r="Y28" s="4991"/>
      <c r="Z28" s="4991"/>
      <c r="AA28" s="4991"/>
      <c r="AB28" s="4992"/>
      <c r="AC28" s="4993"/>
      <c r="AD28" s="1053"/>
      <c r="AE28" s="1052"/>
      <c r="AF28" s="1074"/>
      <c r="AG28" s="1303"/>
      <c r="AH28" s="9138"/>
    </row>
    <row r="29" spans="1:34" ht="21" customHeight="1">
      <c r="A29" s="9099"/>
      <c r="B29" s="9101"/>
      <c r="C29" s="9160"/>
      <c r="D29" s="9122"/>
      <c r="E29" s="9129"/>
      <c r="F29" s="9122"/>
      <c r="G29" s="9129"/>
      <c r="H29" s="9122"/>
      <c r="I29" s="9129"/>
      <c r="J29" s="9122"/>
      <c r="K29" s="9129"/>
      <c r="L29" s="9122"/>
      <c r="M29" s="9120"/>
      <c r="N29" s="9118"/>
      <c r="O29" s="9120"/>
      <c r="P29" s="9122"/>
      <c r="Q29" s="9129"/>
      <c r="R29" s="9122"/>
      <c r="S29" s="1055"/>
      <c r="T29" s="4955"/>
      <c r="U29" s="4955"/>
      <c r="V29" s="1056"/>
      <c r="W29" s="1689"/>
      <c r="X29" s="1057"/>
      <c r="Y29" s="4985"/>
      <c r="Z29" s="4985"/>
      <c r="AA29" s="4985"/>
      <c r="AB29" s="4986"/>
      <c r="AC29" s="4987"/>
      <c r="AD29" s="1058"/>
      <c r="AE29" s="1057"/>
      <c r="AF29" s="1075"/>
      <c r="AG29" s="6200"/>
      <c r="AH29" s="9138"/>
    </row>
    <row r="30" spans="1:34" ht="45" customHeight="1">
      <c r="A30" s="9099"/>
      <c r="B30" s="9101"/>
      <c r="C30" s="9140" t="s">
        <v>127</v>
      </c>
      <c r="D30" s="9090" t="s">
        <v>128</v>
      </c>
      <c r="E30" s="9090" t="s">
        <v>140</v>
      </c>
      <c r="F30" s="9090" t="s">
        <v>212</v>
      </c>
      <c r="G30" s="9116" t="s">
        <v>131</v>
      </c>
      <c r="H30" s="9090" t="s">
        <v>213</v>
      </c>
      <c r="I30" s="9090" t="s">
        <v>159</v>
      </c>
      <c r="J30" s="9093" t="s">
        <v>499</v>
      </c>
      <c r="K30" s="9186" t="s">
        <v>500</v>
      </c>
      <c r="L30" s="9090" t="s">
        <v>501</v>
      </c>
      <c r="M30" s="9094">
        <v>200</v>
      </c>
      <c r="N30" s="9094">
        <v>200</v>
      </c>
      <c r="O30" s="9094">
        <v>200</v>
      </c>
      <c r="P30" s="9097" t="s">
        <v>502</v>
      </c>
      <c r="Q30" s="9097" t="s">
        <v>503</v>
      </c>
      <c r="R30" s="9103" t="s">
        <v>504</v>
      </c>
      <c r="S30" s="3203" t="s">
        <v>15</v>
      </c>
      <c r="T30" s="4964">
        <v>530404</v>
      </c>
      <c r="U30" s="4964"/>
      <c r="V30" s="3204" t="s">
        <v>505</v>
      </c>
      <c r="W30" s="3205"/>
      <c r="X30" s="3206"/>
      <c r="Y30" s="4998"/>
      <c r="Z30" s="4998"/>
      <c r="AA30" s="4998"/>
      <c r="AB30" s="4999">
        <f>SUM($AA$31:$AA$31)</f>
        <v>10000</v>
      </c>
      <c r="AC30" s="5000" t="s">
        <v>18</v>
      </c>
      <c r="AD30" s="1062"/>
      <c r="AE30" s="1061"/>
      <c r="AF30" s="1076"/>
      <c r="AG30" s="6203"/>
      <c r="AH30" s="9183" t="s">
        <v>506</v>
      </c>
    </row>
    <row r="31" spans="1:34" ht="45" customHeight="1">
      <c r="A31" s="9099"/>
      <c r="B31" s="9101"/>
      <c r="C31" s="9134"/>
      <c r="D31" s="9091"/>
      <c r="E31" s="9091"/>
      <c r="F31" s="9091"/>
      <c r="G31" s="9091"/>
      <c r="H31" s="9091"/>
      <c r="I31" s="9091"/>
      <c r="J31" s="9091"/>
      <c r="K31" s="9091"/>
      <c r="L31" s="9091"/>
      <c r="M31" s="9095"/>
      <c r="N31" s="9095"/>
      <c r="O31" s="9095"/>
      <c r="P31" s="9091"/>
      <c r="Q31" s="9091"/>
      <c r="R31" s="9104"/>
      <c r="S31" s="3182"/>
      <c r="T31" s="4948"/>
      <c r="U31" s="4948">
        <v>871591413</v>
      </c>
      <c r="V31" s="3183" t="s">
        <v>507</v>
      </c>
      <c r="W31" s="3184">
        <v>1</v>
      </c>
      <c r="X31" s="3185" t="s">
        <v>152</v>
      </c>
      <c r="Y31" s="4972">
        <f>10000/1.12</f>
        <v>8928.5714285714275</v>
      </c>
      <c r="Z31" s="4972">
        <f t="shared" ref="Z31" si="16">+W31*Y31</f>
        <v>8928.5714285714275</v>
      </c>
      <c r="AA31" s="4972">
        <f>(+Z31*1.12)</f>
        <v>10000</v>
      </c>
      <c r="AB31" s="4973"/>
      <c r="AC31" s="4974"/>
      <c r="AD31" s="1044"/>
      <c r="AE31" s="1043"/>
      <c r="AF31" s="1072"/>
      <c r="AG31" s="6197" t="s">
        <v>153</v>
      </c>
      <c r="AH31" s="9138"/>
    </row>
    <row r="32" spans="1:34" ht="45" customHeight="1">
      <c r="A32" s="9099"/>
      <c r="B32" s="9101"/>
      <c r="C32" s="9134"/>
      <c r="D32" s="9091"/>
      <c r="E32" s="9091"/>
      <c r="F32" s="9091"/>
      <c r="G32" s="9091"/>
      <c r="H32" s="9091"/>
      <c r="I32" s="9091"/>
      <c r="J32" s="9091"/>
      <c r="K32" s="9091"/>
      <c r="L32" s="9091"/>
      <c r="M32" s="9095"/>
      <c r="N32" s="9095"/>
      <c r="O32" s="9095"/>
      <c r="P32" s="9091"/>
      <c r="Q32" s="9091"/>
      <c r="R32" s="9104"/>
      <c r="S32" s="1042"/>
      <c r="T32" s="4959"/>
      <c r="U32" s="4959"/>
      <c r="V32" s="1051"/>
      <c r="W32" s="1688"/>
      <c r="X32" s="1052"/>
      <c r="Y32" s="4991"/>
      <c r="Z32" s="4991"/>
      <c r="AA32" s="4991"/>
      <c r="AB32" s="4992"/>
      <c r="AC32" s="4993"/>
      <c r="AD32" s="1053"/>
      <c r="AE32" s="1052"/>
      <c r="AF32" s="1074"/>
      <c r="AG32" s="1303"/>
      <c r="AH32" s="9138"/>
    </row>
    <row r="33" spans="1:34" ht="45" customHeight="1">
      <c r="A33" s="9099"/>
      <c r="B33" s="9101"/>
      <c r="C33" s="9134"/>
      <c r="D33" s="9091"/>
      <c r="E33" s="9091"/>
      <c r="F33" s="9091"/>
      <c r="G33" s="9091"/>
      <c r="H33" s="9091"/>
      <c r="I33" s="9091"/>
      <c r="J33" s="9091"/>
      <c r="K33" s="9091"/>
      <c r="L33" s="9091"/>
      <c r="M33" s="9095"/>
      <c r="N33" s="9095"/>
      <c r="O33" s="9095"/>
      <c r="P33" s="9091"/>
      <c r="Q33" s="9091"/>
      <c r="R33" s="9104"/>
      <c r="S33" s="1042"/>
      <c r="T33" s="4959"/>
      <c r="U33" s="4959"/>
      <c r="V33" s="1051"/>
      <c r="W33" s="1692"/>
      <c r="X33" s="1052"/>
      <c r="Y33" s="5001"/>
      <c r="Z33" s="4991"/>
      <c r="AA33" s="4991"/>
      <c r="AB33" s="4992"/>
      <c r="AC33" s="4993"/>
      <c r="AD33" s="1053"/>
      <c r="AE33" s="1052"/>
      <c r="AF33" s="1074"/>
      <c r="AG33" s="1303"/>
      <c r="AH33" s="9138"/>
    </row>
    <row r="34" spans="1:34" ht="45" customHeight="1">
      <c r="A34" s="9099"/>
      <c r="B34" s="9101"/>
      <c r="C34" s="9141"/>
      <c r="D34" s="9102"/>
      <c r="E34" s="9102"/>
      <c r="F34" s="9102"/>
      <c r="G34" s="9102"/>
      <c r="H34" s="9102"/>
      <c r="I34" s="9102"/>
      <c r="J34" s="9102"/>
      <c r="K34" s="9102"/>
      <c r="L34" s="9102"/>
      <c r="M34" s="9107"/>
      <c r="N34" s="9107"/>
      <c r="O34" s="9107"/>
      <c r="P34" s="9102"/>
      <c r="Q34" s="9102"/>
      <c r="R34" s="9105"/>
      <c r="S34" s="1067"/>
      <c r="T34" s="4967"/>
      <c r="U34" s="4967"/>
      <c r="V34" s="1078"/>
      <c r="W34" s="1693"/>
      <c r="X34" s="1069"/>
      <c r="Y34" s="5002"/>
      <c r="Z34" s="5003"/>
      <c r="AA34" s="5003"/>
      <c r="AB34" s="5004"/>
      <c r="AC34" s="5005"/>
      <c r="AD34" s="1070"/>
      <c r="AE34" s="1069"/>
      <c r="AF34" s="1079"/>
      <c r="AG34" s="1304"/>
      <c r="AH34" s="9139"/>
    </row>
    <row r="35" spans="1:34" ht="25.5" customHeight="1">
      <c r="A35" s="9099"/>
      <c r="B35" s="9101"/>
      <c r="C35" s="9133" t="s">
        <v>127</v>
      </c>
      <c r="D35" s="9131" t="s">
        <v>128</v>
      </c>
      <c r="E35" s="9131" t="s">
        <v>129</v>
      </c>
      <c r="F35" s="9131" t="s">
        <v>508</v>
      </c>
      <c r="G35" s="9142" t="s">
        <v>131</v>
      </c>
      <c r="H35" s="9131" t="s">
        <v>171</v>
      </c>
      <c r="I35" s="9131" t="s">
        <v>133</v>
      </c>
      <c r="J35" s="9128" t="s">
        <v>509</v>
      </c>
      <c r="K35" s="9130" t="s">
        <v>510</v>
      </c>
      <c r="L35" s="9131" t="s">
        <v>511</v>
      </c>
      <c r="M35" s="9119">
        <v>1</v>
      </c>
      <c r="N35" s="9119">
        <v>1</v>
      </c>
      <c r="O35" s="9119">
        <v>1</v>
      </c>
      <c r="P35" s="9172" t="s">
        <v>512</v>
      </c>
      <c r="Q35" s="9172" t="s">
        <v>513</v>
      </c>
      <c r="R35" s="9132" t="s">
        <v>470</v>
      </c>
      <c r="S35" s="3201" t="s">
        <v>15</v>
      </c>
      <c r="T35" s="4952">
        <v>531404</v>
      </c>
      <c r="U35" s="4952"/>
      <c r="V35" s="3187" t="s">
        <v>39</v>
      </c>
      <c r="W35" s="3188"/>
      <c r="X35" s="3189"/>
      <c r="Y35" s="4977"/>
      <c r="Z35" s="4977"/>
      <c r="AA35" s="4977"/>
      <c r="AB35" s="4978">
        <v>0</v>
      </c>
      <c r="AC35" s="4979" t="s">
        <v>18</v>
      </c>
      <c r="AD35" s="1040"/>
      <c r="AE35" s="1048"/>
      <c r="AF35" s="1049"/>
      <c r="AG35" s="1302"/>
      <c r="AH35" s="9137"/>
    </row>
    <row r="36" spans="1:34" ht="25.5" customHeight="1">
      <c r="A36" s="9099"/>
      <c r="B36" s="9101"/>
      <c r="C36" s="9134"/>
      <c r="D36" s="9091"/>
      <c r="E36" s="9091"/>
      <c r="F36" s="9091"/>
      <c r="G36" s="9091"/>
      <c r="H36" s="9091"/>
      <c r="I36" s="9091"/>
      <c r="J36" s="9091"/>
      <c r="K36" s="9091"/>
      <c r="L36" s="9091"/>
      <c r="M36" s="9095"/>
      <c r="N36" s="9095"/>
      <c r="O36" s="9095"/>
      <c r="P36" s="9091"/>
      <c r="Q36" s="9091"/>
      <c r="R36" s="9104"/>
      <c r="S36" s="3182"/>
      <c r="T36" s="4953"/>
      <c r="U36" s="4953">
        <v>483530011</v>
      </c>
      <c r="V36" s="3190" t="s">
        <v>514</v>
      </c>
      <c r="W36" s="3191">
        <v>1</v>
      </c>
      <c r="X36" s="3192" t="s">
        <v>479</v>
      </c>
      <c r="Y36" s="4980">
        <v>800</v>
      </c>
      <c r="Z36" s="4980">
        <f t="shared" ref="Z36" si="17">+W36*Y36</f>
        <v>800</v>
      </c>
      <c r="AA36" s="4980">
        <v>0</v>
      </c>
      <c r="AB36" s="4994"/>
      <c r="AC36" s="4983"/>
      <c r="AD36" s="1053"/>
      <c r="AE36" s="1052"/>
      <c r="AF36" s="1074" t="s">
        <v>153</v>
      </c>
      <c r="AG36" s="1303"/>
      <c r="AH36" s="9138"/>
    </row>
    <row r="37" spans="1:34" ht="25.5" customHeight="1">
      <c r="A37" s="9099"/>
      <c r="B37" s="9101"/>
      <c r="C37" s="9134"/>
      <c r="D37" s="9091"/>
      <c r="E37" s="9091"/>
      <c r="F37" s="9091"/>
      <c r="G37" s="9091"/>
      <c r="H37" s="9091"/>
      <c r="I37" s="9091"/>
      <c r="J37" s="9091"/>
      <c r="K37" s="9091"/>
      <c r="L37" s="9091"/>
      <c r="M37" s="9095"/>
      <c r="N37" s="9095"/>
      <c r="O37" s="9095"/>
      <c r="P37" s="9091"/>
      <c r="Q37" s="9091"/>
      <c r="R37" s="9104"/>
      <c r="S37" s="1042"/>
      <c r="T37" s="4959"/>
      <c r="U37" s="4959"/>
      <c r="V37" s="1051"/>
      <c r="W37" s="1688"/>
      <c r="X37" s="1052"/>
      <c r="Y37" s="4991"/>
      <c r="Z37" s="4991"/>
      <c r="AA37" s="4991"/>
      <c r="AB37" s="4992"/>
      <c r="AC37" s="4993"/>
      <c r="AD37" s="1053"/>
      <c r="AE37" s="1052"/>
      <c r="AF37" s="1074"/>
      <c r="AG37" s="1303"/>
      <c r="AH37" s="9138"/>
    </row>
    <row r="38" spans="1:34" ht="25.5" customHeight="1">
      <c r="A38" s="9099"/>
      <c r="B38" s="9101"/>
      <c r="C38" s="9134"/>
      <c r="D38" s="9091"/>
      <c r="E38" s="9091"/>
      <c r="F38" s="9091"/>
      <c r="G38" s="9091"/>
      <c r="H38" s="9091"/>
      <c r="I38" s="9091"/>
      <c r="J38" s="9091"/>
      <c r="K38" s="9091"/>
      <c r="L38" s="9091"/>
      <c r="M38" s="9095"/>
      <c r="N38" s="9095"/>
      <c r="O38" s="9095"/>
      <c r="P38" s="9091"/>
      <c r="Q38" s="9091"/>
      <c r="R38" s="9104"/>
      <c r="S38" s="1042"/>
      <c r="T38" s="4959"/>
      <c r="U38" s="4959"/>
      <c r="V38" s="1051"/>
      <c r="W38" s="1688"/>
      <c r="X38" s="1052"/>
      <c r="Y38" s="4991"/>
      <c r="Z38" s="4991"/>
      <c r="AA38" s="4991"/>
      <c r="AB38" s="4992"/>
      <c r="AC38" s="4993"/>
      <c r="AD38" s="1053"/>
      <c r="AE38" s="1052"/>
      <c r="AF38" s="1074"/>
      <c r="AG38" s="1303"/>
      <c r="AH38" s="9138"/>
    </row>
    <row r="39" spans="1:34" ht="25.5" customHeight="1">
      <c r="A39" s="9099"/>
      <c r="B39" s="9101"/>
      <c r="C39" s="9135"/>
      <c r="D39" s="9129"/>
      <c r="E39" s="9129"/>
      <c r="F39" s="9129"/>
      <c r="G39" s="9129"/>
      <c r="H39" s="9129"/>
      <c r="I39" s="9129"/>
      <c r="J39" s="9129"/>
      <c r="K39" s="9129"/>
      <c r="L39" s="9129"/>
      <c r="M39" s="9120"/>
      <c r="N39" s="9120"/>
      <c r="O39" s="9120"/>
      <c r="P39" s="9129"/>
      <c r="Q39" s="9129"/>
      <c r="R39" s="9122"/>
      <c r="S39" s="1067"/>
      <c r="T39" s="4967"/>
      <c r="U39" s="4967"/>
      <c r="V39" s="1068"/>
      <c r="W39" s="1691"/>
      <c r="X39" s="1069"/>
      <c r="Y39" s="5003"/>
      <c r="Z39" s="5003"/>
      <c r="AA39" s="5003"/>
      <c r="AB39" s="5004"/>
      <c r="AC39" s="5005"/>
      <c r="AD39" s="1070"/>
      <c r="AE39" s="1069"/>
      <c r="AF39" s="1079"/>
      <c r="AG39" s="1304"/>
      <c r="AH39" s="9139"/>
    </row>
    <row r="40" spans="1:34" ht="20.100000000000001" customHeight="1">
      <c r="A40" s="9099"/>
      <c r="B40" s="9101"/>
      <c r="C40" s="9140" t="s">
        <v>183</v>
      </c>
      <c r="D40" s="9090" t="s">
        <v>184</v>
      </c>
      <c r="E40" s="9090" t="s">
        <v>490</v>
      </c>
      <c r="F40" s="9090" t="s">
        <v>491</v>
      </c>
      <c r="G40" s="9116" t="s">
        <v>187</v>
      </c>
      <c r="H40" s="9090" t="s">
        <v>247</v>
      </c>
      <c r="I40" s="9090" t="s">
        <v>159</v>
      </c>
      <c r="J40" s="9093" t="s">
        <v>515</v>
      </c>
      <c r="K40" s="9090" t="s">
        <v>516</v>
      </c>
      <c r="L40" s="9090" t="s">
        <v>517</v>
      </c>
      <c r="M40" s="9094">
        <v>0</v>
      </c>
      <c r="N40" s="9094">
        <v>0</v>
      </c>
      <c r="O40" s="9161">
        <v>1000</v>
      </c>
      <c r="P40" s="9097" t="s">
        <v>484</v>
      </c>
      <c r="Q40" s="9097" t="s">
        <v>518</v>
      </c>
      <c r="R40" s="9103" t="s">
        <v>519</v>
      </c>
      <c r="S40" s="1059"/>
      <c r="T40" s="4957"/>
      <c r="U40" s="4957"/>
      <c r="V40" s="1060"/>
      <c r="W40" s="1690"/>
      <c r="X40" s="1061"/>
      <c r="Y40" s="4988"/>
      <c r="Z40" s="4988"/>
      <c r="AA40" s="4988"/>
      <c r="AB40" s="4989"/>
      <c r="AC40" s="4990"/>
      <c r="AD40" s="1062"/>
      <c r="AE40" s="1061"/>
      <c r="AF40" s="1076"/>
      <c r="AG40" s="6203"/>
      <c r="AH40" s="9137"/>
    </row>
    <row r="41" spans="1:34" ht="20.100000000000001" customHeight="1">
      <c r="A41" s="9099"/>
      <c r="B41" s="9101"/>
      <c r="C41" s="9134"/>
      <c r="D41" s="9091"/>
      <c r="E41" s="9091"/>
      <c r="F41" s="9091"/>
      <c r="G41" s="9091"/>
      <c r="H41" s="9091"/>
      <c r="I41" s="9091"/>
      <c r="J41" s="9091"/>
      <c r="K41" s="9091"/>
      <c r="L41" s="9091"/>
      <c r="M41" s="9095"/>
      <c r="N41" s="9095"/>
      <c r="O41" s="9162"/>
      <c r="P41" s="9091"/>
      <c r="Q41" s="9091"/>
      <c r="R41" s="9104"/>
      <c r="S41" s="1042"/>
      <c r="T41" s="4959"/>
      <c r="U41" s="4959"/>
      <c r="V41" s="1051"/>
      <c r="W41" s="1688"/>
      <c r="X41" s="1052"/>
      <c r="Y41" s="4991"/>
      <c r="Z41" s="4991"/>
      <c r="AA41" s="4991"/>
      <c r="AB41" s="4992"/>
      <c r="AC41" s="4993"/>
      <c r="AD41" s="1053"/>
      <c r="AE41" s="1052"/>
      <c r="AF41" s="1074"/>
      <c r="AG41" s="1303"/>
      <c r="AH41" s="9138"/>
    </row>
    <row r="42" spans="1:34" ht="20.100000000000001" customHeight="1">
      <c r="A42" s="9099"/>
      <c r="B42" s="9101"/>
      <c r="C42" s="9134"/>
      <c r="D42" s="9091"/>
      <c r="E42" s="9091"/>
      <c r="F42" s="9091"/>
      <c r="G42" s="9091"/>
      <c r="H42" s="9091"/>
      <c r="I42" s="9091"/>
      <c r="J42" s="9091"/>
      <c r="K42" s="9091"/>
      <c r="L42" s="9091"/>
      <c r="M42" s="9095"/>
      <c r="N42" s="9095"/>
      <c r="O42" s="9162"/>
      <c r="P42" s="9091"/>
      <c r="Q42" s="9091"/>
      <c r="R42" s="9104"/>
      <c r="S42" s="1042"/>
      <c r="T42" s="4959"/>
      <c r="U42" s="4959"/>
      <c r="V42" s="1051"/>
      <c r="W42" s="1688"/>
      <c r="X42" s="1052"/>
      <c r="Y42" s="4991"/>
      <c r="Z42" s="4991"/>
      <c r="AA42" s="4991"/>
      <c r="AB42" s="4992"/>
      <c r="AC42" s="4993"/>
      <c r="AD42" s="1053"/>
      <c r="AE42" s="1052"/>
      <c r="AF42" s="1074"/>
      <c r="AG42" s="1303"/>
      <c r="AH42" s="9138"/>
    </row>
    <row r="43" spans="1:34" ht="20.100000000000001" customHeight="1">
      <c r="A43" s="9099"/>
      <c r="B43" s="9101"/>
      <c r="C43" s="9134"/>
      <c r="D43" s="9091"/>
      <c r="E43" s="9091"/>
      <c r="F43" s="9091"/>
      <c r="G43" s="9091"/>
      <c r="H43" s="9091"/>
      <c r="I43" s="9091"/>
      <c r="J43" s="9091"/>
      <c r="K43" s="9091"/>
      <c r="L43" s="9091"/>
      <c r="M43" s="9095"/>
      <c r="N43" s="9095"/>
      <c r="O43" s="9162"/>
      <c r="P43" s="9091"/>
      <c r="Q43" s="9091"/>
      <c r="R43" s="9104"/>
      <c r="S43" s="1066"/>
      <c r="T43" s="4968"/>
      <c r="U43" s="4968"/>
      <c r="V43" s="1051"/>
      <c r="W43" s="1688"/>
      <c r="X43" s="1052"/>
      <c r="Y43" s="4991"/>
      <c r="Z43" s="4991"/>
      <c r="AA43" s="4991"/>
      <c r="AB43" s="4992"/>
      <c r="AC43" s="4993"/>
      <c r="AD43" s="1053"/>
      <c r="AE43" s="1052"/>
      <c r="AF43" s="1074"/>
      <c r="AG43" s="1303"/>
      <c r="AH43" s="9138"/>
    </row>
    <row r="44" spans="1:34" ht="20.100000000000001" customHeight="1">
      <c r="A44" s="9099"/>
      <c r="B44" s="9101"/>
      <c r="C44" s="9135"/>
      <c r="D44" s="9129"/>
      <c r="E44" s="9129"/>
      <c r="F44" s="9129"/>
      <c r="G44" s="9129"/>
      <c r="H44" s="9129"/>
      <c r="I44" s="9129"/>
      <c r="J44" s="9129"/>
      <c r="K44" s="9129"/>
      <c r="L44" s="9129"/>
      <c r="M44" s="9120"/>
      <c r="N44" s="9120"/>
      <c r="O44" s="9171"/>
      <c r="P44" s="9129"/>
      <c r="Q44" s="9129"/>
      <c r="R44" s="9122"/>
      <c r="S44" s="1067"/>
      <c r="T44" s="4967"/>
      <c r="U44" s="4967"/>
      <c r="V44" s="1068"/>
      <c r="W44" s="1691"/>
      <c r="X44" s="1069"/>
      <c r="Y44" s="5003"/>
      <c r="Z44" s="5003"/>
      <c r="AA44" s="5003"/>
      <c r="AB44" s="5004"/>
      <c r="AC44" s="5005"/>
      <c r="AD44" s="1070"/>
      <c r="AE44" s="1069"/>
      <c r="AF44" s="1079"/>
      <c r="AG44" s="1304"/>
      <c r="AH44" s="9139"/>
    </row>
    <row r="45" spans="1:34" ht="26.1" customHeight="1">
      <c r="A45" s="9099"/>
      <c r="B45" s="9101"/>
      <c r="C45" s="9113" t="s">
        <v>127</v>
      </c>
      <c r="D45" s="9090" t="s">
        <v>128</v>
      </c>
      <c r="E45" s="9090" t="s">
        <v>129</v>
      </c>
      <c r="F45" s="9090" t="s">
        <v>157</v>
      </c>
      <c r="G45" s="9116" t="s">
        <v>131</v>
      </c>
      <c r="H45" s="9103" t="s">
        <v>158</v>
      </c>
      <c r="I45" s="9090" t="s">
        <v>159</v>
      </c>
      <c r="J45" s="9106" t="s">
        <v>520</v>
      </c>
      <c r="K45" s="9090" t="s">
        <v>286</v>
      </c>
      <c r="L45" s="9103" t="s">
        <v>521</v>
      </c>
      <c r="M45" s="9094">
        <v>0</v>
      </c>
      <c r="N45" s="9108">
        <v>1</v>
      </c>
      <c r="O45" s="9094">
        <v>1</v>
      </c>
      <c r="P45" s="9111" t="s">
        <v>522</v>
      </c>
      <c r="Q45" s="9097" t="s">
        <v>523</v>
      </c>
      <c r="R45" s="9103" t="s">
        <v>524</v>
      </c>
      <c r="S45" s="813"/>
      <c r="T45" s="4956"/>
      <c r="U45" s="4956"/>
      <c r="V45" s="815"/>
      <c r="W45" s="1694"/>
      <c r="X45" s="93"/>
      <c r="Y45" s="5006"/>
      <c r="Z45" s="5006"/>
      <c r="AA45" s="5006"/>
      <c r="AB45" s="5007"/>
      <c r="AC45" s="5008"/>
      <c r="AD45" s="817"/>
      <c r="AE45" s="93"/>
      <c r="AF45" s="96"/>
      <c r="AG45" s="6204"/>
      <c r="AH45" s="9184"/>
    </row>
    <row r="46" spans="1:34" ht="26.1" customHeight="1">
      <c r="A46" s="9099"/>
      <c r="B46" s="9101"/>
      <c r="C46" s="9114"/>
      <c r="D46" s="9091"/>
      <c r="E46" s="9091"/>
      <c r="F46" s="9091"/>
      <c r="G46" s="9091"/>
      <c r="H46" s="9104"/>
      <c r="I46" s="9091"/>
      <c r="J46" s="9104"/>
      <c r="K46" s="9091"/>
      <c r="L46" s="9104"/>
      <c r="M46" s="9095"/>
      <c r="N46" s="9109"/>
      <c r="O46" s="9095"/>
      <c r="P46" s="9104"/>
      <c r="Q46" s="9091"/>
      <c r="R46" s="9104"/>
      <c r="S46" s="811"/>
      <c r="T46" s="4958"/>
      <c r="U46" s="4958"/>
      <c r="V46" s="585"/>
      <c r="W46" s="1695"/>
      <c r="X46" s="90"/>
      <c r="Y46" s="5009"/>
      <c r="Z46" s="5009"/>
      <c r="AA46" s="5009"/>
      <c r="AB46" s="5010"/>
      <c r="AC46" s="5011"/>
      <c r="AD46" s="816"/>
      <c r="AE46" s="90"/>
      <c r="AF46" s="90"/>
      <c r="AG46" s="6205"/>
      <c r="AH46" s="9081"/>
    </row>
    <row r="47" spans="1:34" ht="26.1" customHeight="1">
      <c r="A47" s="9099"/>
      <c r="B47" s="9101"/>
      <c r="C47" s="9114"/>
      <c r="D47" s="9091"/>
      <c r="E47" s="9091"/>
      <c r="F47" s="9091"/>
      <c r="G47" s="9091"/>
      <c r="H47" s="9104"/>
      <c r="I47" s="9091"/>
      <c r="J47" s="9104"/>
      <c r="K47" s="9091"/>
      <c r="L47" s="9104"/>
      <c r="M47" s="9095"/>
      <c r="N47" s="9109"/>
      <c r="O47" s="9095"/>
      <c r="P47" s="9104"/>
      <c r="Q47" s="9091"/>
      <c r="R47" s="9104"/>
      <c r="S47" s="811"/>
      <c r="T47" s="4958"/>
      <c r="U47" s="4958"/>
      <c r="V47" s="585"/>
      <c r="W47" s="1695"/>
      <c r="X47" s="90"/>
      <c r="Y47" s="5009"/>
      <c r="Z47" s="5009"/>
      <c r="AA47" s="5009"/>
      <c r="AB47" s="5010"/>
      <c r="AC47" s="5011"/>
      <c r="AD47" s="816"/>
      <c r="AE47" s="90"/>
      <c r="AF47" s="90"/>
      <c r="AG47" s="5130"/>
      <c r="AH47" s="9081"/>
    </row>
    <row r="48" spans="1:34" ht="26.1" customHeight="1">
      <c r="A48" s="9099"/>
      <c r="B48" s="9101"/>
      <c r="C48" s="9114"/>
      <c r="D48" s="9091"/>
      <c r="E48" s="9091"/>
      <c r="F48" s="9091"/>
      <c r="G48" s="9091"/>
      <c r="H48" s="9104"/>
      <c r="I48" s="9091"/>
      <c r="J48" s="9104"/>
      <c r="K48" s="9091"/>
      <c r="L48" s="9104"/>
      <c r="M48" s="9095"/>
      <c r="N48" s="9109"/>
      <c r="O48" s="9095"/>
      <c r="P48" s="9104"/>
      <c r="Q48" s="9091"/>
      <c r="R48" s="9104"/>
      <c r="S48" s="811"/>
      <c r="T48" s="4958"/>
      <c r="U48" s="4958"/>
      <c r="V48" s="585"/>
      <c r="W48" s="1695"/>
      <c r="X48" s="90"/>
      <c r="Y48" s="5009"/>
      <c r="Z48" s="5009"/>
      <c r="AA48" s="5009"/>
      <c r="AB48" s="5010"/>
      <c r="AC48" s="5011"/>
      <c r="AD48" s="816"/>
      <c r="AE48" s="90"/>
      <c r="AF48" s="90"/>
      <c r="AG48" s="5130"/>
      <c r="AH48" s="9081"/>
    </row>
    <row r="49" spans="1:34" ht="26.1" customHeight="1">
      <c r="A49" s="9099"/>
      <c r="B49" s="9101"/>
      <c r="C49" s="9123"/>
      <c r="D49" s="9102"/>
      <c r="E49" s="9102"/>
      <c r="F49" s="9102"/>
      <c r="G49" s="9102"/>
      <c r="H49" s="9105"/>
      <c r="I49" s="9102"/>
      <c r="J49" s="9105"/>
      <c r="K49" s="9102"/>
      <c r="L49" s="9105"/>
      <c r="M49" s="9107"/>
      <c r="N49" s="9110"/>
      <c r="O49" s="9107"/>
      <c r="P49" s="9105"/>
      <c r="Q49" s="9102"/>
      <c r="R49" s="9105"/>
      <c r="S49" s="812"/>
      <c r="T49" s="4969"/>
      <c r="U49" s="4969"/>
      <c r="V49" s="746"/>
      <c r="W49" s="1696"/>
      <c r="X49" s="95"/>
      <c r="Y49" s="5012"/>
      <c r="Z49" s="5012"/>
      <c r="AA49" s="5012"/>
      <c r="AB49" s="5013"/>
      <c r="AC49" s="5014"/>
      <c r="AD49" s="818"/>
      <c r="AE49" s="95"/>
      <c r="AF49" s="95"/>
      <c r="AG49" s="5131"/>
      <c r="AH49" s="9185"/>
    </row>
    <row r="50" spans="1:34" ht="26.1" customHeight="1">
      <c r="A50" s="9099"/>
      <c r="B50" s="9101"/>
      <c r="C50" s="9113" t="s">
        <v>127</v>
      </c>
      <c r="D50" s="9090" t="s">
        <v>128</v>
      </c>
      <c r="E50" s="9090" t="s">
        <v>129</v>
      </c>
      <c r="F50" s="9090" t="s">
        <v>268</v>
      </c>
      <c r="G50" s="9116" t="s">
        <v>131</v>
      </c>
      <c r="H50" s="9090" t="s">
        <v>132</v>
      </c>
      <c r="I50" s="9090" t="s">
        <v>159</v>
      </c>
      <c r="J50" s="9093" t="s">
        <v>525</v>
      </c>
      <c r="K50" s="9090" t="s">
        <v>338</v>
      </c>
      <c r="L50" s="9090" t="s">
        <v>526</v>
      </c>
      <c r="M50" s="9094">
        <v>100</v>
      </c>
      <c r="N50" s="9094">
        <v>100</v>
      </c>
      <c r="O50" s="9094">
        <v>100</v>
      </c>
      <c r="P50" s="9097" t="s">
        <v>527</v>
      </c>
      <c r="Q50" s="9097" t="s">
        <v>528</v>
      </c>
      <c r="R50" s="9103" t="s">
        <v>529</v>
      </c>
      <c r="S50" s="813"/>
      <c r="T50" s="4956"/>
      <c r="U50" s="4956"/>
      <c r="V50" s="815"/>
      <c r="W50" s="1694"/>
      <c r="X50" s="93"/>
      <c r="Y50" s="5006"/>
      <c r="Z50" s="5006"/>
      <c r="AA50" s="5006"/>
      <c r="AB50" s="5007"/>
      <c r="AC50" s="5008"/>
      <c r="AD50" s="817"/>
      <c r="AE50" s="93"/>
      <c r="AF50" s="94"/>
      <c r="AG50" s="6206"/>
      <c r="AH50" s="9080"/>
    </row>
    <row r="51" spans="1:34" ht="26.1" customHeight="1">
      <c r="A51" s="9099"/>
      <c r="B51" s="9101"/>
      <c r="C51" s="9114"/>
      <c r="D51" s="9091"/>
      <c r="E51" s="9091"/>
      <c r="F51" s="9091"/>
      <c r="G51" s="9091"/>
      <c r="H51" s="9091"/>
      <c r="I51" s="9091"/>
      <c r="J51" s="9091"/>
      <c r="K51" s="9091"/>
      <c r="L51" s="9091"/>
      <c r="M51" s="9095"/>
      <c r="N51" s="9095"/>
      <c r="O51" s="9095"/>
      <c r="P51" s="9091"/>
      <c r="Q51" s="9091"/>
      <c r="R51" s="9104"/>
      <c r="S51" s="811"/>
      <c r="T51" s="4958"/>
      <c r="U51" s="4958"/>
      <c r="V51" s="585"/>
      <c r="W51" s="1695"/>
      <c r="X51" s="90"/>
      <c r="Y51" s="5009"/>
      <c r="Z51" s="5009"/>
      <c r="AA51" s="5009"/>
      <c r="AB51" s="5010"/>
      <c r="AC51" s="5011"/>
      <c r="AD51" s="816"/>
      <c r="AE51" s="90"/>
      <c r="AF51" s="92"/>
      <c r="AG51" s="5130"/>
      <c r="AH51" s="9081"/>
    </row>
    <row r="52" spans="1:34" ht="26.1" customHeight="1">
      <c r="A52" s="9177" t="s">
        <v>530</v>
      </c>
      <c r="B52" s="9179" t="s">
        <v>530</v>
      </c>
      <c r="C52" s="9114"/>
      <c r="D52" s="9091"/>
      <c r="E52" s="9091"/>
      <c r="F52" s="9091"/>
      <c r="G52" s="9091"/>
      <c r="H52" s="9091"/>
      <c r="I52" s="9091"/>
      <c r="J52" s="9091"/>
      <c r="K52" s="9091"/>
      <c r="L52" s="9091"/>
      <c r="M52" s="9095"/>
      <c r="N52" s="9095"/>
      <c r="O52" s="9095"/>
      <c r="P52" s="9091"/>
      <c r="Q52" s="9091"/>
      <c r="R52" s="9104"/>
      <c r="S52" s="811"/>
      <c r="T52" s="4958"/>
      <c r="U52" s="4958"/>
      <c r="V52" s="585"/>
      <c r="W52" s="1695"/>
      <c r="X52" s="90"/>
      <c r="Y52" s="5009"/>
      <c r="Z52" s="5009"/>
      <c r="AA52" s="5009"/>
      <c r="AB52" s="5010"/>
      <c r="AC52" s="5011"/>
      <c r="AD52" s="816"/>
      <c r="AE52" s="90"/>
      <c r="AF52" s="92"/>
      <c r="AG52" s="5130"/>
      <c r="AH52" s="9081"/>
    </row>
    <row r="53" spans="1:34" ht="26.1" customHeight="1">
      <c r="A53" s="9177"/>
      <c r="B53" s="9179"/>
      <c r="C53" s="9114"/>
      <c r="D53" s="9091"/>
      <c r="E53" s="9091"/>
      <c r="F53" s="9091"/>
      <c r="G53" s="9091"/>
      <c r="H53" s="9091"/>
      <c r="I53" s="9091"/>
      <c r="J53" s="9091"/>
      <c r="K53" s="9091"/>
      <c r="L53" s="9091"/>
      <c r="M53" s="9095"/>
      <c r="N53" s="9095"/>
      <c r="O53" s="9095"/>
      <c r="P53" s="9091"/>
      <c r="Q53" s="9091"/>
      <c r="R53" s="9104"/>
      <c r="S53" s="811"/>
      <c r="T53" s="4958"/>
      <c r="U53" s="4958"/>
      <c r="V53" s="585"/>
      <c r="W53" s="1695"/>
      <c r="X53" s="90"/>
      <c r="Y53" s="5009"/>
      <c r="Z53" s="5009"/>
      <c r="AA53" s="5009"/>
      <c r="AB53" s="5010"/>
      <c r="AC53" s="5011"/>
      <c r="AD53" s="816"/>
      <c r="AE53" s="90"/>
      <c r="AF53" s="92"/>
      <c r="AG53" s="5130"/>
      <c r="AH53" s="9081"/>
    </row>
    <row r="54" spans="1:34" ht="26.1" customHeight="1">
      <c r="A54" s="9177"/>
      <c r="B54" s="9179"/>
      <c r="C54" s="9115"/>
      <c r="D54" s="9092"/>
      <c r="E54" s="9092"/>
      <c r="F54" s="9092"/>
      <c r="G54" s="9092"/>
      <c r="H54" s="9092"/>
      <c r="I54" s="9092"/>
      <c r="J54" s="9092"/>
      <c r="K54" s="9092"/>
      <c r="L54" s="9092"/>
      <c r="M54" s="9096"/>
      <c r="N54" s="9096"/>
      <c r="O54" s="9096"/>
      <c r="P54" s="9092"/>
      <c r="Q54" s="9092"/>
      <c r="R54" s="9112"/>
      <c r="S54" s="4941"/>
      <c r="T54" s="4970"/>
      <c r="U54" s="4970"/>
      <c r="V54" s="4942"/>
      <c r="W54" s="4943"/>
      <c r="X54" s="4944"/>
      <c r="Y54" s="5015"/>
      <c r="Z54" s="5015"/>
      <c r="AA54" s="5015"/>
      <c r="AB54" s="5016"/>
      <c r="AC54" s="5017"/>
      <c r="AD54" s="4945"/>
      <c r="AE54" s="4944"/>
      <c r="AF54" s="4946"/>
      <c r="AG54" s="6207"/>
      <c r="AH54" s="9082"/>
    </row>
    <row r="55" spans="1:34" s="4842" customFormat="1" ht="22.5" customHeight="1" thickBot="1">
      <c r="A55" s="9178"/>
      <c r="B55" s="6178"/>
      <c r="C55" s="505"/>
      <c r="D55" s="506"/>
      <c r="E55" s="506"/>
      <c r="F55" s="506"/>
      <c r="G55" s="506"/>
      <c r="H55" s="506"/>
      <c r="I55" s="506"/>
      <c r="J55" s="506"/>
      <c r="K55" s="506"/>
      <c r="L55" s="506"/>
      <c r="M55" s="506"/>
      <c r="N55" s="506"/>
      <c r="O55" s="506"/>
      <c r="P55" s="506"/>
      <c r="Q55" s="506"/>
      <c r="R55" s="506"/>
      <c r="S55" s="9083" t="s">
        <v>531</v>
      </c>
      <c r="T55" s="9084"/>
      <c r="U55" s="9084"/>
      <c r="V55" s="9084"/>
      <c r="W55" s="9084"/>
      <c r="X55" s="9084"/>
      <c r="Y55" s="9084"/>
      <c r="Z55" s="9084"/>
      <c r="AA55" s="507" t="s">
        <v>292</v>
      </c>
      <c r="AB55" s="4939">
        <f>SUM(AB9:AB54)</f>
        <v>73420.494285714289</v>
      </c>
      <c r="AC55" s="4895"/>
      <c r="AD55" s="4895"/>
      <c r="AE55" s="9085"/>
      <c r="AF55" s="9086"/>
      <c r="AG55" s="9086"/>
      <c r="AH55" s="9087"/>
    </row>
    <row r="56" spans="1:34" ht="16.5" thickTop="1">
      <c r="A56" s="13"/>
      <c r="B56" s="98"/>
      <c r="C56" s="98" t="s">
        <v>532</v>
      </c>
      <c r="D56" s="13"/>
      <c r="E56" s="13"/>
      <c r="F56" s="13"/>
      <c r="G56" s="13"/>
      <c r="H56" s="13"/>
      <c r="I56" s="13"/>
      <c r="J56" s="13"/>
      <c r="K56" s="13"/>
      <c r="L56" s="13"/>
      <c r="M56" s="13"/>
      <c r="N56" s="13"/>
      <c r="O56" s="13"/>
      <c r="P56" s="13"/>
      <c r="Q56" s="13"/>
      <c r="R56" s="13"/>
      <c r="S56" s="9088" t="s">
        <v>533</v>
      </c>
      <c r="T56" s="9089"/>
      <c r="U56" s="9089"/>
      <c r="V56" s="9089"/>
      <c r="W56" s="9089"/>
      <c r="X56" s="9089"/>
      <c r="Y56" s="9089"/>
      <c r="Z56" s="9089"/>
      <c r="AA56" s="8952"/>
      <c r="AB56" s="8952"/>
      <c r="AC56" s="8952"/>
      <c r="AD56" s="8952"/>
      <c r="AE56" s="9089"/>
      <c r="AF56" s="9089"/>
      <c r="AG56" s="9089"/>
      <c r="AH56" s="9089"/>
    </row>
    <row r="57" spans="1:34" ht="16.5">
      <c r="A57" s="13"/>
      <c r="B57" s="98"/>
      <c r="C57" s="98" t="s">
        <v>534</v>
      </c>
      <c r="D57" s="13"/>
      <c r="E57" s="13"/>
      <c r="F57" s="13"/>
      <c r="G57" s="13"/>
      <c r="H57" s="13"/>
      <c r="I57" s="13"/>
      <c r="J57" s="13"/>
      <c r="K57" s="13"/>
      <c r="L57" s="13"/>
      <c r="M57" s="13"/>
      <c r="N57" s="13"/>
      <c r="O57" s="13"/>
      <c r="P57" s="13"/>
      <c r="Q57" s="13"/>
      <c r="R57" s="13"/>
      <c r="S57" s="99"/>
      <c r="AA57" s="819"/>
      <c r="AB57" s="819"/>
      <c r="AC57" s="819"/>
      <c r="AD57" s="819"/>
    </row>
    <row r="58" spans="1:34" ht="16.5" customHeight="1">
      <c r="A58" s="13"/>
      <c r="B58" s="98"/>
      <c r="D58" s="13"/>
      <c r="E58" s="13"/>
      <c r="F58" s="13"/>
      <c r="G58" s="13"/>
      <c r="H58" s="13"/>
      <c r="I58" s="13"/>
      <c r="J58" s="13"/>
      <c r="K58" s="13"/>
      <c r="L58" s="13"/>
      <c r="M58" s="13"/>
      <c r="N58" s="13"/>
      <c r="O58" s="13"/>
      <c r="P58" s="13"/>
      <c r="Q58" s="13"/>
      <c r="R58" s="13"/>
      <c r="S58" s="100"/>
      <c r="T58" s="101"/>
      <c r="U58" s="8775" t="s">
        <v>351</v>
      </c>
      <c r="V58" s="8953"/>
      <c r="W58" s="8953"/>
      <c r="X58" s="8953"/>
      <c r="Y58" s="8953"/>
      <c r="Z58" s="8953"/>
      <c r="AA58" s="231"/>
      <c r="AB58" s="231"/>
      <c r="AC58" s="231"/>
      <c r="AD58" s="434"/>
      <c r="AE58" s="100"/>
      <c r="AF58" s="100"/>
      <c r="AG58" s="103"/>
    </row>
    <row r="59" spans="1:34" ht="16.5">
      <c r="A59" s="13"/>
      <c r="B59" s="13"/>
      <c r="C59" s="13"/>
      <c r="D59" s="13"/>
      <c r="E59" s="13"/>
      <c r="F59" s="13"/>
      <c r="G59" s="13"/>
      <c r="H59" s="13"/>
      <c r="I59" s="13"/>
      <c r="J59" s="13"/>
      <c r="K59" s="13"/>
      <c r="L59" s="13"/>
      <c r="M59" s="13"/>
      <c r="N59" s="13"/>
      <c r="O59" s="13"/>
      <c r="P59" s="13"/>
      <c r="Q59" s="13"/>
      <c r="R59" s="13"/>
      <c r="S59" s="100"/>
      <c r="T59" s="104"/>
      <c r="U59" s="100"/>
      <c r="V59" s="100"/>
      <c r="W59" s="100"/>
      <c r="X59" s="100"/>
      <c r="Y59" s="100"/>
      <c r="Z59" s="100"/>
      <c r="AA59" s="100"/>
      <c r="AB59" s="363"/>
      <c r="AC59" s="363"/>
      <c r="AD59" s="100"/>
      <c r="AE59" s="100"/>
      <c r="AF59" s="100"/>
      <c r="AG59" s="103"/>
    </row>
    <row r="60" spans="1:34" ht="18" customHeight="1">
      <c r="A60" s="13"/>
      <c r="B60" s="13"/>
      <c r="C60" s="13"/>
      <c r="D60" s="13"/>
      <c r="E60" s="13"/>
      <c r="F60" s="13"/>
      <c r="G60" s="13"/>
      <c r="H60" s="13"/>
      <c r="I60" s="13"/>
      <c r="J60" s="13"/>
      <c r="K60" s="13"/>
      <c r="L60" s="13"/>
      <c r="M60" s="13"/>
      <c r="N60" s="13"/>
      <c r="O60" s="13"/>
      <c r="P60" s="13"/>
      <c r="Q60" s="13"/>
      <c r="R60" s="13"/>
      <c r="S60" s="125"/>
      <c r="T60" s="85"/>
      <c r="U60" s="5882" t="s">
        <v>5</v>
      </c>
      <c r="V60" s="5883" t="s">
        <v>6</v>
      </c>
      <c r="W60" s="5884" t="s">
        <v>7</v>
      </c>
      <c r="X60" s="5885" t="s">
        <v>352</v>
      </c>
      <c r="Y60" s="5885" t="s">
        <v>9</v>
      </c>
      <c r="Z60" s="5886" t="s">
        <v>353</v>
      </c>
      <c r="AA60" s="334"/>
      <c r="AB60" s="9"/>
      <c r="AC60" s="9"/>
      <c r="AD60" s="334"/>
      <c r="AE60" s="100"/>
      <c r="AF60" s="100"/>
      <c r="AG60" s="103"/>
    </row>
    <row r="61" spans="1:34" ht="69.75" customHeight="1">
      <c r="A61" s="13"/>
      <c r="B61" s="13"/>
      <c r="C61" s="13"/>
      <c r="D61" s="13"/>
      <c r="E61" s="13"/>
      <c r="F61" s="13"/>
      <c r="G61" s="13"/>
      <c r="H61" s="13"/>
      <c r="I61" s="13"/>
      <c r="J61" s="13"/>
      <c r="K61" s="13"/>
      <c r="L61" s="13"/>
      <c r="M61" s="13"/>
      <c r="N61" s="13"/>
      <c r="O61" s="13"/>
      <c r="P61" s="13"/>
      <c r="Q61" s="13"/>
      <c r="R61" s="13"/>
      <c r="S61" s="100"/>
      <c r="T61" s="104"/>
      <c r="U61" s="948" t="s">
        <v>15</v>
      </c>
      <c r="V61" s="953" t="s">
        <v>16</v>
      </c>
      <c r="W61" s="926">
        <v>530204</v>
      </c>
      <c r="X61" s="690" t="s">
        <v>17</v>
      </c>
      <c r="Y61" s="690" t="s">
        <v>26</v>
      </c>
      <c r="Z61" s="883">
        <f>$AB$14</f>
        <v>14035.714285714286</v>
      </c>
      <c r="AA61" s="2086"/>
      <c r="AB61" s="10"/>
      <c r="AC61" s="10"/>
      <c r="AD61" s="335"/>
      <c r="AE61" s="100"/>
      <c r="AF61" s="100"/>
      <c r="AG61" s="103"/>
    </row>
    <row r="62" spans="1:34" ht="69.75" customHeight="1">
      <c r="A62" s="13"/>
      <c r="B62" s="13"/>
      <c r="C62" s="13"/>
      <c r="D62" s="13"/>
      <c r="E62" s="13"/>
      <c r="F62" s="13"/>
      <c r="G62" s="13"/>
      <c r="H62" s="13"/>
      <c r="I62" s="13"/>
      <c r="J62" s="13"/>
      <c r="K62" s="13"/>
      <c r="L62" s="13"/>
      <c r="M62" s="13"/>
      <c r="N62" s="13"/>
      <c r="O62" s="13"/>
      <c r="P62" s="13"/>
      <c r="Q62" s="29"/>
      <c r="R62" s="29"/>
      <c r="S62" s="29"/>
      <c r="T62" s="104"/>
      <c r="U62" s="948" t="s">
        <v>15</v>
      </c>
      <c r="V62" s="953" t="s">
        <v>16</v>
      </c>
      <c r="W62" s="926">
        <v>530204</v>
      </c>
      <c r="X62" s="690" t="s">
        <v>17</v>
      </c>
      <c r="Y62" s="690" t="s">
        <v>18</v>
      </c>
      <c r="Z62" s="883">
        <f>$AB$22</f>
        <v>6367.2</v>
      </c>
      <c r="AA62" s="2183"/>
      <c r="AB62" s="10"/>
      <c r="AC62" s="10"/>
      <c r="AD62" s="335"/>
      <c r="AE62" s="100"/>
      <c r="AF62" s="100"/>
      <c r="AG62" s="103"/>
    </row>
    <row r="63" spans="1:34" ht="33">
      <c r="A63" s="13"/>
      <c r="B63" s="13"/>
      <c r="C63" s="13"/>
      <c r="D63" s="13"/>
      <c r="E63" s="13"/>
      <c r="F63" s="13"/>
      <c r="G63" s="13"/>
      <c r="H63" s="13"/>
      <c r="I63" s="13"/>
      <c r="J63" s="13"/>
      <c r="K63" s="13"/>
      <c r="L63" s="13"/>
      <c r="M63" s="13"/>
      <c r="N63" s="13"/>
      <c r="O63" s="13"/>
      <c r="P63" s="13"/>
      <c r="Q63" s="29"/>
      <c r="R63" s="29"/>
      <c r="S63" s="29"/>
      <c r="T63" s="104"/>
      <c r="U63" s="948" t="s">
        <v>15</v>
      </c>
      <c r="V63" s="953" t="s">
        <v>471</v>
      </c>
      <c r="W63" s="926">
        <v>530207</v>
      </c>
      <c r="X63" s="690" t="s">
        <v>17</v>
      </c>
      <c r="Y63" s="690" t="s">
        <v>25</v>
      </c>
      <c r="Z63" s="883">
        <f>+AB12</f>
        <v>2623.94</v>
      </c>
      <c r="AA63" s="2183"/>
      <c r="AB63" s="10"/>
      <c r="AC63" s="10"/>
      <c r="AD63" s="335"/>
      <c r="AE63" s="100"/>
      <c r="AF63" s="100"/>
      <c r="AG63" s="103"/>
    </row>
    <row r="64" spans="1:34" ht="33">
      <c r="A64" s="13"/>
      <c r="B64" s="13"/>
      <c r="C64" s="13"/>
      <c r="D64" s="13"/>
      <c r="E64" s="13"/>
      <c r="F64" s="13"/>
      <c r="G64" s="13"/>
      <c r="H64" s="13"/>
      <c r="I64" s="13"/>
      <c r="J64" s="13"/>
      <c r="K64" s="13"/>
      <c r="L64" s="13"/>
      <c r="M64" s="13"/>
      <c r="N64" s="13"/>
      <c r="O64" s="13"/>
      <c r="P64" s="13"/>
      <c r="Q64" s="29"/>
      <c r="R64" s="29"/>
      <c r="S64" s="29"/>
      <c r="T64" s="104"/>
      <c r="U64" s="948" t="s">
        <v>15</v>
      </c>
      <c r="V64" s="953" t="s">
        <v>471</v>
      </c>
      <c r="W64" s="926">
        <v>530207</v>
      </c>
      <c r="X64" s="690" t="s">
        <v>17</v>
      </c>
      <c r="Y64" s="690" t="s">
        <v>26</v>
      </c>
      <c r="Z64" s="883">
        <f>$AB$9</f>
        <v>16267.86</v>
      </c>
      <c r="AA64" s="334"/>
      <c r="AB64" s="9"/>
      <c r="AC64" s="9"/>
      <c r="AD64" s="2085"/>
      <c r="AE64" s="100"/>
      <c r="AF64" s="100"/>
      <c r="AG64" s="103"/>
    </row>
    <row r="65" spans="1:33" ht="33">
      <c r="A65" s="13"/>
      <c r="B65" s="13"/>
      <c r="C65" s="13"/>
      <c r="D65" s="13"/>
      <c r="E65" s="13"/>
      <c r="F65" s="13"/>
      <c r="G65" s="13"/>
      <c r="H65" s="13"/>
      <c r="I65" s="13"/>
      <c r="J65" s="13"/>
      <c r="K65" s="13"/>
      <c r="L65" s="13"/>
      <c r="M65" s="13"/>
      <c r="N65" s="13"/>
      <c r="O65" s="13"/>
      <c r="P65" s="13"/>
      <c r="Q65" s="29"/>
      <c r="R65" s="29"/>
      <c r="S65" s="29"/>
      <c r="T65" s="104"/>
      <c r="U65" s="948" t="s">
        <v>15</v>
      </c>
      <c r="V65" s="953" t="s">
        <v>505</v>
      </c>
      <c r="W65" s="926">
        <v>530404</v>
      </c>
      <c r="X65" s="690" t="s">
        <v>17</v>
      </c>
      <c r="Y65" s="690" t="s">
        <v>18</v>
      </c>
      <c r="Z65" s="883">
        <f>$AB$30</f>
        <v>10000</v>
      </c>
      <c r="AA65" s="100"/>
      <c r="AB65" s="363"/>
      <c r="AC65" s="363"/>
      <c r="AD65" s="100"/>
      <c r="AE65" s="100"/>
      <c r="AF65" s="100"/>
      <c r="AG65" s="103"/>
    </row>
    <row r="66" spans="1:33" ht="33.75" customHeight="1">
      <c r="A66" s="13"/>
      <c r="B66" s="13"/>
      <c r="C66" s="13"/>
      <c r="D66" s="13"/>
      <c r="E66" s="13"/>
      <c r="F66" s="13"/>
      <c r="G66" s="13"/>
      <c r="H66" s="13"/>
      <c r="I66" s="13"/>
      <c r="J66" s="13"/>
      <c r="K66" s="13"/>
      <c r="L66" s="13"/>
      <c r="M66" s="13"/>
      <c r="N66" s="13"/>
      <c r="O66" s="13"/>
      <c r="P66" s="13"/>
      <c r="Q66" s="29"/>
      <c r="R66" s="29"/>
      <c r="S66" s="29"/>
      <c r="T66" s="104"/>
      <c r="U66" s="948" t="s">
        <v>15</v>
      </c>
      <c r="V66" s="953" t="s">
        <v>477</v>
      </c>
      <c r="W66" s="926">
        <v>530807</v>
      </c>
      <c r="X66" s="690" t="s">
        <v>17</v>
      </c>
      <c r="Y66" s="690" t="s">
        <v>18</v>
      </c>
      <c r="Z66" s="883">
        <f>AB17</f>
        <v>6053.6</v>
      </c>
      <c r="AA66" s="100"/>
      <c r="AB66" s="363"/>
      <c r="AC66" s="363"/>
      <c r="AD66" s="100"/>
      <c r="AE66" s="100"/>
      <c r="AF66" s="100"/>
      <c r="AG66" s="103"/>
    </row>
    <row r="67" spans="1:33" ht="33">
      <c r="A67" s="13"/>
      <c r="B67" s="13"/>
      <c r="C67" s="13"/>
      <c r="D67" s="13"/>
      <c r="E67" s="13"/>
      <c r="F67" s="13"/>
      <c r="G67" s="13"/>
      <c r="H67" s="13"/>
      <c r="I67" s="13"/>
      <c r="J67" s="13"/>
      <c r="K67" s="13"/>
      <c r="L67" s="13"/>
      <c r="M67" s="13"/>
      <c r="N67" s="13"/>
      <c r="O67" s="13"/>
      <c r="P67" s="13"/>
      <c r="Q67" s="29"/>
      <c r="R67" s="29"/>
      <c r="S67" s="29"/>
      <c r="T67" s="104"/>
      <c r="U67" s="948" t="s">
        <v>15</v>
      </c>
      <c r="V67" s="953" t="s">
        <v>39</v>
      </c>
      <c r="W67" s="926">
        <v>531404</v>
      </c>
      <c r="X67" s="690" t="s">
        <v>17</v>
      </c>
      <c r="Y67" s="690" t="s">
        <v>18</v>
      </c>
      <c r="Z67" s="883">
        <f>$AB$35</f>
        <v>0</v>
      </c>
      <c r="AA67" s="100"/>
      <c r="AB67" s="363"/>
      <c r="AC67" s="363"/>
      <c r="AD67" s="100"/>
      <c r="AE67" s="100"/>
      <c r="AF67" s="100"/>
      <c r="AG67" s="103"/>
    </row>
    <row r="68" spans="1:33" ht="33">
      <c r="A68" s="13"/>
      <c r="B68" s="13"/>
      <c r="C68" s="13"/>
      <c r="D68" s="13"/>
      <c r="E68" s="13"/>
      <c r="F68" s="13"/>
      <c r="G68" s="13"/>
      <c r="H68" s="13"/>
      <c r="I68" s="13"/>
      <c r="J68" s="13"/>
      <c r="K68" s="13"/>
      <c r="L68" s="13"/>
      <c r="M68" s="13"/>
      <c r="N68" s="13"/>
      <c r="O68" s="13"/>
      <c r="P68" s="13"/>
      <c r="Q68" s="29"/>
      <c r="R68" s="29"/>
      <c r="S68" s="29"/>
      <c r="T68" s="104"/>
      <c r="U68" s="948" t="s">
        <v>15</v>
      </c>
      <c r="V68" s="953" t="s">
        <v>39</v>
      </c>
      <c r="W68" s="926">
        <v>840104</v>
      </c>
      <c r="X68" s="690" t="s">
        <v>17</v>
      </c>
      <c r="Y68" s="690" t="s">
        <v>18</v>
      </c>
      <c r="Z68" s="883">
        <f>$AB$20</f>
        <v>14988.99</v>
      </c>
      <c r="AA68" s="2184"/>
      <c r="AB68" s="363"/>
      <c r="AC68" s="363"/>
      <c r="AD68" s="100"/>
      <c r="AE68" s="100"/>
      <c r="AF68" s="100"/>
      <c r="AG68" s="103"/>
    </row>
    <row r="69" spans="1:33" ht="33">
      <c r="A69" s="13"/>
      <c r="B69" s="13"/>
      <c r="C69" s="13"/>
      <c r="D69" s="13"/>
      <c r="E69" s="13"/>
      <c r="F69" s="13"/>
      <c r="G69" s="13"/>
      <c r="H69" s="13"/>
      <c r="I69" s="13"/>
      <c r="J69" s="13"/>
      <c r="K69" s="13"/>
      <c r="L69" s="13"/>
      <c r="M69" s="13"/>
      <c r="N69" s="13"/>
      <c r="O69" s="13"/>
      <c r="P69" s="13"/>
      <c r="Q69" s="29"/>
      <c r="R69" s="29"/>
      <c r="S69" s="29"/>
      <c r="T69" s="104"/>
      <c r="U69" s="948" t="s">
        <v>15</v>
      </c>
      <c r="V69" s="953" t="s">
        <v>40</v>
      </c>
      <c r="W69" s="926">
        <v>840107</v>
      </c>
      <c r="X69" s="690" t="s">
        <v>17</v>
      </c>
      <c r="Y69" s="690" t="s">
        <v>18</v>
      </c>
      <c r="Z69" s="883">
        <f>$AB$25</f>
        <v>3083.19</v>
      </c>
      <c r="AA69" s="105"/>
      <c r="AB69" s="363"/>
      <c r="AC69" s="363"/>
      <c r="AD69" s="100"/>
      <c r="AE69" s="100"/>
      <c r="AF69" s="100"/>
      <c r="AG69" s="103"/>
    </row>
    <row r="70" spans="1:33" ht="18" customHeight="1" thickBot="1">
      <c r="A70" s="13"/>
      <c r="B70" s="13"/>
      <c r="C70" s="13"/>
      <c r="D70" s="13"/>
      <c r="E70" s="13"/>
      <c r="F70" s="13"/>
      <c r="G70" s="13"/>
      <c r="H70" s="13"/>
      <c r="I70" s="13"/>
      <c r="J70" s="13"/>
      <c r="K70" s="13"/>
      <c r="L70" s="13"/>
      <c r="M70" s="13"/>
      <c r="N70" s="13"/>
      <c r="O70" s="13"/>
      <c r="P70" s="13"/>
      <c r="Q70" s="29"/>
      <c r="R70" s="29"/>
      <c r="S70" s="29"/>
      <c r="T70" s="104"/>
      <c r="U70" s="5942"/>
      <c r="V70" s="5943" t="s">
        <v>67</v>
      </c>
      <c r="W70" s="5944"/>
      <c r="X70" s="5944"/>
      <c r="Y70" s="5926" t="s">
        <v>292</v>
      </c>
      <c r="Z70" s="33">
        <f>SUM(Z61:Z69)</f>
        <v>73420.494285714289</v>
      </c>
      <c r="AA70" s="100"/>
      <c r="AB70" s="363"/>
      <c r="AC70" s="363"/>
      <c r="AD70" s="100"/>
      <c r="AE70" s="100"/>
      <c r="AF70" s="100"/>
      <c r="AG70" s="103"/>
    </row>
    <row r="71" spans="1:33" ht="16.5" customHeight="1" thickTop="1">
      <c r="A71" s="13"/>
      <c r="B71" s="13"/>
      <c r="C71" s="13"/>
      <c r="D71" s="13"/>
      <c r="E71" s="13"/>
      <c r="F71" s="13"/>
      <c r="G71" s="13"/>
      <c r="H71" s="13"/>
      <c r="I71" s="13"/>
      <c r="J71" s="13"/>
      <c r="K71" s="13"/>
      <c r="L71" s="13"/>
      <c r="M71" s="13"/>
      <c r="N71" s="13"/>
      <c r="O71" s="13"/>
      <c r="P71" s="13"/>
      <c r="Q71" s="29"/>
      <c r="R71" s="29"/>
      <c r="S71" s="29"/>
      <c r="T71" s="104"/>
      <c r="U71" s="100"/>
      <c r="V71" s="100"/>
      <c r="W71" s="105"/>
      <c r="X71" s="100"/>
      <c r="Y71" s="100"/>
      <c r="Z71" s="100"/>
      <c r="AA71" s="100"/>
      <c r="AB71" s="363"/>
      <c r="AC71" s="363"/>
      <c r="AD71" s="106"/>
      <c r="AE71" s="100"/>
      <c r="AF71" s="100"/>
      <c r="AG71" s="103"/>
    </row>
    <row r="72" spans="1:33" ht="16.5" customHeight="1">
      <c r="A72" s="13"/>
      <c r="B72" s="13"/>
      <c r="C72" s="13"/>
      <c r="D72" s="13"/>
      <c r="E72" s="13"/>
      <c r="F72" s="13"/>
      <c r="G72" s="13"/>
      <c r="H72" s="13"/>
      <c r="I72" s="13"/>
      <c r="J72" s="13"/>
      <c r="K72" s="13"/>
      <c r="L72" s="13"/>
      <c r="M72" s="13"/>
      <c r="N72" s="13"/>
      <c r="O72" s="13"/>
      <c r="P72" s="13"/>
      <c r="Q72" s="29"/>
      <c r="R72" s="29"/>
      <c r="S72" s="29"/>
      <c r="T72" s="85"/>
      <c r="U72" s="100"/>
      <c r="V72" s="100"/>
      <c r="W72" s="100"/>
      <c r="X72" s="100"/>
      <c r="Y72" s="100"/>
      <c r="Z72" s="100"/>
      <c r="AA72" s="100"/>
      <c r="AB72" s="363"/>
      <c r="AC72" s="363"/>
      <c r="AD72" s="100"/>
      <c r="AE72" s="100"/>
      <c r="AF72" s="100"/>
      <c r="AG72" s="103"/>
    </row>
    <row r="73" spans="1:33" ht="16.5" customHeight="1">
      <c r="A73" s="13"/>
      <c r="B73" s="13"/>
      <c r="C73" s="13"/>
      <c r="D73" s="13"/>
      <c r="E73" s="13"/>
      <c r="F73" s="13"/>
      <c r="G73" s="13"/>
      <c r="H73" s="13"/>
      <c r="I73" s="13"/>
      <c r="J73" s="13"/>
      <c r="K73" s="13"/>
      <c r="L73" s="13"/>
      <c r="M73" s="13"/>
      <c r="N73" s="13"/>
      <c r="O73" s="13"/>
      <c r="P73" s="13"/>
      <c r="Q73" s="13"/>
      <c r="R73" s="13"/>
      <c r="S73" s="100"/>
      <c r="T73" s="101"/>
      <c r="U73" s="8764" t="s">
        <v>356</v>
      </c>
      <c r="V73" s="8934"/>
      <c r="W73" s="8935"/>
      <c r="X73" s="100"/>
      <c r="Y73" s="107" t="s">
        <v>357</v>
      </c>
      <c r="Z73" s="101" t="str">
        <f>IF(Z70=AB55,"OK","NO")</f>
        <v>OK</v>
      </c>
      <c r="AA73" s="100"/>
      <c r="AB73" s="363"/>
      <c r="AC73" s="363"/>
      <c r="AD73" s="100"/>
      <c r="AE73" s="100"/>
      <c r="AF73" s="100"/>
      <c r="AG73" s="103"/>
    </row>
    <row r="74" spans="1:33" ht="16.5" customHeight="1">
      <c r="A74" s="13"/>
      <c r="B74" s="13"/>
      <c r="C74" s="13"/>
      <c r="D74" s="13"/>
      <c r="E74" s="13"/>
      <c r="F74" s="13"/>
      <c r="G74" s="13"/>
      <c r="H74" s="13"/>
      <c r="I74" s="13"/>
      <c r="J74" s="13"/>
      <c r="K74" s="13"/>
      <c r="L74" s="13"/>
      <c r="M74" s="13"/>
      <c r="N74" s="13"/>
      <c r="O74" s="13"/>
      <c r="P74" s="13"/>
      <c r="Q74" s="13"/>
      <c r="R74" s="13"/>
      <c r="S74" s="100"/>
      <c r="T74" s="101"/>
      <c r="U74" s="8766" t="s">
        <v>358</v>
      </c>
      <c r="V74" s="9079"/>
      <c r="W74" s="750">
        <f>+Z63</f>
        <v>2623.94</v>
      </c>
      <c r="X74" s="105"/>
      <c r="Y74" s="100"/>
      <c r="Z74" s="101" t="str">
        <f>IF(W78=AB55,"OK","NO")</f>
        <v>OK</v>
      </c>
      <c r="AA74" s="100"/>
      <c r="AB74" s="363"/>
      <c r="AC74" s="363"/>
      <c r="AD74" s="100"/>
      <c r="AE74" s="100"/>
      <c r="AF74" s="100"/>
      <c r="AG74" s="103"/>
    </row>
    <row r="75" spans="1:33" ht="16.5" customHeight="1">
      <c r="A75" s="13"/>
      <c r="B75" s="13"/>
      <c r="C75" s="13"/>
      <c r="D75" s="13"/>
      <c r="E75" s="13"/>
      <c r="F75" s="13"/>
      <c r="G75" s="13"/>
      <c r="H75" s="13"/>
      <c r="I75" s="13"/>
      <c r="J75" s="13"/>
      <c r="K75" s="13"/>
      <c r="L75" s="13"/>
      <c r="M75" s="13"/>
      <c r="N75" s="13"/>
      <c r="O75" s="13"/>
      <c r="P75" s="13"/>
      <c r="Q75" s="13"/>
      <c r="R75" s="13"/>
      <c r="S75" s="100"/>
      <c r="T75" s="101"/>
      <c r="U75" s="8755" t="s">
        <v>359</v>
      </c>
      <c r="V75" s="9078"/>
      <c r="W75" s="751">
        <f>Z64+Z61</f>
        <v>30303.574285714287</v>
      </c>
      <c r="X75" s="105"/>
      <c r="Y75" s="100"/>
      <c r="Z75" s="101" t="str">
        <f>IF(W88=AB55,"OK","NO")</f>
        <v>OK</v>
      </c>
      <c r="AA75" s="100"/>
      <c r="AB75" s="363"/>
      <c r="AC75" s="363"/>
      <c r="AD75" s="100"/>
      <c r="AE75" s="100"/>
      <c r="AF75" s="100"/>
      <c r="AG75" s="103"/>
    </row>
    <row r="76" spans="1:33" ht="16.5" customHeight="1">
      <c r="A76" s="13"/>
      <c r="B76" s="13"/>
      <c r="C76" s="13"/>
      <c r="D76" s="13"/>
      <c r="E76" s="13"/>
      <c r="F76" s="13"/>
      <c r="G76" s="13"/>
      <c r="H76" s="13"/>
      <c r="I76" s="13"/>
      <c r="J76" s="13"/>
      <c r="K76" s="13"/>
      <c r="L76" s="13"/>
      <c r="M76" s="13"/>
      <c r="N76" s="13"/>
      <c r="O76" s="13"/>
      <c r="P76" s="13"/>
      <c r="Q76" s="13"/>
      <c r="R76" s="13"/>
      <c r="S76" s="100"/>
      <c r="T76" s="101"/>
      <c r="U76" s="8755" t="s">
        <v>360</v>
      </c>
      <c r="V76" s="9078"/>
      <c r="W76" s="751">
        <f>SUM(Z62,Z65,Z67,Z68,Z69,Z66)</f>
        <v>40492.980000000003</v>
      </c>
      <c r="X76" s="105"/>
      <c r="Y76" s="105"/>
      <c r="Z76" s="101" t="str">
        <f>IF(Resumen!C403=AB55,"OK","NO")</f>
        <v>OK</v>
      </c>
      <c r="AA76" s="100"/>
      <c r="AB76" s="363"/>
      <c r="AC76" s="363"/>
      <c r="AD76" s="100"/>
      <c r="AE76" s="100"/>
      <c r="AF76" s="100"/>
      <c r="AG76" s="103"/>
    </row>
    <row r="77" spans="1:33" ht="16.5" customHeight="1">
      <c r="A77" s="13"/>
      <c r="B77" s="13"/>
      <c r="C77" s="13"/>
      <c r="D77" s="13"/>
      <c r="E77" s="13"/>
      <c r="F77" s="13"/>
      <c r="G77" s="13"/>
      <c r="H77" s="13"/>
      <c r="I77" s="13"/>
      <c r="J77" s="13"/>
      <c r="K77" s="13"/>
      <c r="L77" s="13"/>
      <c r="M77" s="13"/>
      <c r="N77" s="13"/>
      <c r="O77" s="13"/>
      <c r="P77" s="13"/>
      <c r="Q77" s="13"/>
      <c r="R77" s="13"/>
      <c r="S77" s="100"/>
      <c r="T77" s="101"/>
      <c r="U77" s="8755" t="s">
        <v>361</v>
      </c>
      <c r="V77" s="9078"/>
      <c r="W77" s="752">
        <v>0</v>
      </c>
      <c r="X77" s="105"/>
      <c r="Y77" s="105"/>
      <c r="Z77" s="100"/>
      <c r="AA77" s="100"/>
      <c r="AB77" s="363"/>
      <c r="AC77" s="363"/>
      <c r="AD77" s="100"/>
      <c r="AE77" s="100"/>
      <c r="AF77" s="100"/>
      <c r="AG77" s="103"/>
    </row>
    <row r="78" spans="1:33" ht="16.5" customHeight="1">
      <c r="A78" s="13"/>
      <c r="B78" s="13"/>
      <c r="C78" s="13"/>
      <c r="D78" s="13"/>
      <c r="E78" s="13"/>
      <c r="F78" s="13"/>
      <c r="G78" s="13"/>
      <c r="H78" s="13"/>
      <c r="I78" s="13"/>
      <c r="J78" s="13"/>
      <c r="K78" s="13"/>
      <c r="L78" s="13"/>
      <c r="M78" s="13"/>
      <c r="N78" s="13"/>
      <c r="O78" s="13"/>
      <c r="P78" s="13"/>
      <c r="Q78" s="13"/>
      <c r="R78" s="13"/>
      <c r="S78" s="100"/>
      <c r="T78" s="101"/>
      <c r="U78" s="8937" t="s">
        <v>67</v>
      </c>
      <c r="V78" s="9078"/>
      <c r="W78" s="809">
        <f>SUM(W74:W77)</f>
        <v>73420.494285714289</v>
      </c>
      <c r="X78" s="105"/>
      <c r="Y78" s="105"/>
      <c r="Z78" s="100"/>
      <c r="AA78" s="100"/>
      <c r="AB78" s="363"/>
      <c r="AC78" s="363"/>
      <c r="AD78" s="100"/>
      <c r="AE78" s="100"/>
      <c r="AF78" s="100"/>
      <c r="AG78" s="103"/>
    </row>
    <row r="79" spans="1:33" ht="16.5" customHeight="1">
      <c r="A79" s="13"/>
      <c r="B79" s="13"/>
      <c r="C79" s="13"/>
      <c r="D79" s="13"/>
      <c r="E79" s="13"/>
      <c r="F79" s="13"/>
      <c r="G79" s="13"/>
      <c r="H79" s="13"/>
      <c r="I79" s="13"/>
      <c r="J79" s="13"/>
      <c r="K79" s="13"/>
      <c r="L79" s="13"/>
      <c r="M79" s="13"/>
      <c r="N79" s="13"/>
      <c r="O79" s="13"/>
      <c r="P79" s="13"/>
      <c r="Q79" s="13"/>
      <c r="R79" s="13"/>
      <c r="S79" s="100"/>
      <c r="T79" s="101"/>
      <c r="U79" s="8929" t="s">
        <v>362</v>
      </c>
      <c r="V79" s="8930"/>
      <c r="W79" s="8931"/>
      <c r="X79" s="108"/>
      <c r="Y79" s="108"/>
      <c r="Z79" s="100"/>
      <c r="AA79" s="100"/>
      <c r="AB79" s="363"/>
      <c r="AC79" s="363"/>
      <c r="AD79" s="100"/>
      <c r="AE79" s="100"/>
      <c r="AF79" s="100"/>
      <c r="AG79" s="103"/>
    </row>
    <row r="80" spans="1:33" ht="16.5" customHeight="1">
      <c r="A80" s="13"/>
      <c r="B80" s="13"/>
      <c r="C80" s="13"/>
      <c r="D80" s="13"/>
      <c r="E80" s="13"/>
      <c r="F80" s="13"/>
      <c r="G80" s="13"/>
      <c r="H80" s="13"/>
      <c r="I80" s="13"/>
      <c r="J80" s="13"/>
      <c r="K80" s="13"/>
      <c r="L80" s="13"/>
      <c r="M80" s="13"/>
      <c r="N80" s="13"/>
      <c r="O80" s="13"/>
      <c r="P80" s="13"/>
      <c r="Q80" s="13"/>
      <c r="R80" s="13"/>
      <c r="S80" s="100"/>
      <c r="T80" s="101"/>
      <c r="U80" s="8932" t="s">
        <v>363</v>
      </c>
      <c r="V80" s="9078"/>
      <c r="W80" s="751">
        <v>0</v>
      </c>
      <c r="X80" s="108"/>
      <c r="Y80" s="108"/>
      <c r="Z80" s="100"/>
      <c r="AA80" s="100"/>
      <c r="AB80" s="363"/>
      <c r="AC80" s="363"/>
      <c r="AD80" s="100"/>
      <c r="AE80" s="100"/>
      <c r="AF80" s="100"/>
      <c r="AG80" s="103"/>
    </row>
    <row r="81" spans="1:33" ht="16.5" customHeight="1">
      <c r="A81" s="13"/>
      <c r="B81" s="13"/>
      <c r="C81" s="13"/>
      <c r="D81" s="13"/>
      <c r="E81" s="13"/>
      <c r="F81" s="13"/>
      <c r="G81" s="13"/>
      <c r="H81" s="13"/>
      <c r="I81" s="13"/>
      <c r="J81" s="13"/>
      <c r="K81" s="13"/>
      <c r="L81" s="13"/>
      <c r="M81" s="13"/>
      <c r="N81" s="13"/>
      <c r="O81" s="13"/>
      <c r="P81" s="13"/>
      <c r="Q81" s="13"/>
      <c r="R81" s="13"/>
      <c r="S81" s="100"/>
      <c r="T81" s="101"/>
      <c r="U81" s="8762" t="s">
        <v>364</v>
      </c>
      <c r="V81" s="9078"/>
      <c r="W81" s="751">
        <f>SUM(Z62,Z63,Z64,Z66,Z65,Z67,Z61)</f>
        <v>55348.314285714281</v>
      </c>
      <c r="X81" s="108"/>
      <c r="Y81" s="108"/>
      <c r="Z81" s="100"/>
      <c r="AA81" s="100"/>
      <c r="AB81" s="363"/>
      <c r="AC81" s="363"/>
      <c r="AD81" s="100"/>
      <c r="AE81" s="100"/>
      <c r="AF81" s="100"/>
      <c r="AG81" s="103"/>
    </row>
    <row r="82" spans="1:33" ht="16.5" customHeight="1">
      <c r="A82" s="13"/>
      <c r="B82" s="13"/>
      <c r="C82" s="13"/>
      <c r="D82" s="13"/>
      <c r="E82" s="13"/>
      <c r="F82" s="13"/>
      <c r="G82" s="13"/>
      <c r="H82" s="13"/>
      <c r="I82" s="13"/>
      <c r="J82" s="13"/>
      <c r="K82" s="13"/>
      <c r="L82" s="13"/>
      <c r="M82" s="13"/>
      <c r="N82" s="13"/>
      <c r="O82" s="13"/>
      <c r="P82" s="13"/>
      <c r="Q82" s="13"/>
      <c r="R82" s="13"/>
      <c r="S82" s="100"/>
      <c r="T82" s="101"/>
      <c r="U82" s="8762" t="s">
        <v>365</v>
      </c>
      <c r="V82" s="9078"/>
      <c r="W82" s="751">
        <v>0</v>
      </c>
      <c r="X82" s="109"/>
      <c r="Y82" s="109"/>
      <c r="Z82" s="100"/>
      <c r="AA82" s="100"/>
      <c r="AB82" s="363"/>
      <c r="AC82" s="363"/>
      <c r="AD82" s="100"/>
      <c r="AE82" s="100"/>
      <c r="AF82" s="100"/>
      <c r="AG82" s="103"/>
    </row>
    <row r="83" spans="1:33" ht="16.5" customHeight="1">
      <c r="A83" s="13"/>
      <c r="B83" s="13"/>
      <c r="C83" s="13"/>
      <c r="D83" s="13"/>
      <c r="E83" s="13"/>
      <c r="F83" s="13"/>
      <c r="G83" s="13"/>
      <c r="H83" s="13"/>
      <c r="I83" s="13"/>
      <c r="J83" s="13"/>
      <c r="K83" s="13"/>
      <c r="L83" s="13"/>
      <c r="M83" s="13"/>
      <c r="N83" s="13"/>
      <c r="O83" s="13"/>
      <c r="P83" s="13"/>
      <c r="Q83" s="13"/>
      <c r="R83" s="13"/>
      <c r="S83" s="100"/>
      <c r="T83" s="101"/>
      <c r="U83" s="8762" t="s">
        <v>366</v>
      </c>
      <c r="V83" s="9078"/>
      <c r="W83" s="751">
        <v>0</v>
      </c>
      <c r="X83" s="105"/>
      <c r="Y83" s="105"/>
      <c r="Z83" s="100"/>
      <c r="AA83" s="100"/>
      <c r="AB83" s="363"/>
      <c r="AC83" s="363"/>
      <c r="AD83" s="100"/>
      <c r="AE83" s="100"/>
      <c r="AF83" s="100"/>
      <c r="AG83" s="103"/>
    </row>
    <row r="84" spans="1:33" ht="16.5" customHeight="1">
      <c r="A84" s="13"/>
      <c r="B84" s="13"/>
      <c r="C84" s="13"/>
      <c r="D84" s="13"/>
      <c r="E84" s="13"/>
      <c r="F84" s="13"/>
      <c r="G84" s="13"/>
      <c r="H84" s="13"/>
      <c r="I84" s="13"/>
      <c r="J84" s="13"/>
      <c r="K84" s="13"/>
      <c r="L84" s="13"/>
      <c r="M84" s="13"/>
      <c r="N84" s="13"/>
      <c r="O84" s="13"/>
      <c r="P84" s="13"/>
      <c r="Q84" s="13"/>
      <c r="R84" s="13"/>
      <c r="S84" s="100"/>
      <c r="T84" s="101"/>
      <c r="U84" s="8762" t="s">
        <v>367</v>
      </c>
      <c r="V84" s="9078"/>
      <c r="W84" s="751">
        <v>0</v>
      </c>
      <c r="X84" s="110"/>
      <c r="Y84" s="110"/>
      <c r="Z84" s="6"/>
      <c r="AC84" s="434"/>
      <c r="AD84" s="434"/>
      <c r="AE84" s="100"/>
      <c r="AF84" s="100"/>
      <c r="AG84" s="103"/>
    </row>
    <row r="85" spans="1:33" ht="16.5" customHeight="1">
      <c r="A85" s="13"/>
      <c r="B85" s="13"/>
      <c r="C85" s="13"/>
      <c r="D85" s="13"/>
      <c r="E85" s="13"/>
      <c r="F85" s="13"/>
      <c r="G85" s="13"/>
      <c r="H85" s="13"/>
      <c r="I85" s="13"/>
      <c r="J85" s="13"/>
      <c r="K85" s="13"/>
      <c r="L85" s="13"/>
      <c r="M85" s="13"/>
      <c r="N85" s="13"/>
      <c r="O85" s="13"/>
      <c r="P85" s="13"/>
      <c r="Q85" s="13"/>
      <c r="R85" s="13"/>
      <c r="S85" s="100"/>
      <c r="T85" s="101"/>
      <c r="U85" s="8762" t="s">
        <v>368</v>
      </c>
      <c r="V85" s="9078"/>
      <c r="W85" s="751">
        <v>0</v>
      </c>
      <c r="X85" s="110"/>
      <c r="Y85" s="110"/>
      <c r="Z85" s="334"/>
      <c r="AA85" s="334"/>
      <c r="AB85" s="9"/>
      <c r="AC85" s="9"/>
      <c r="AD85" s="334"/>
      <c r="AE85" s="100"/>
      <c r="AF85" s="100"/>
      <c r="AG85" s="103"/>
    </row>
    <row r="86" spans="1:33" ht="16.5" customHeight="1">
      <c r="A86" s="13"/>
      <c r="B86" s="13"/>
      <c r="C86" s="13"/>
      <c r="D86" s="13"/>
      <c r="E86" s="13"/>
      <c r="F86" s="13"/>
      <c r="G86" s="13"/>
      <c r="H86" s="13"/>
      <c r="I86" s="13"/>
      <c r="J86" s="13"/>
      <c r="K86" s="13"/>
      <c r="L86" s="13"/>
      <c r="M86" s="13"/>
      <c r="N86" s="13"/>
      <c r="O86" s="13"/>
      <c r="P86" s="13"/>
      <c r="Q86" s="13"/>
      <c r="R86" s="13"/>
      <c r="S86" s="100"/>
      <c r="T86" s="101"/>
      <c r="U86" s="8762" t="s">
        <v>369</v>
      </c>
      <c r="V86" s="9078"/>
      <c r="W86" s="751">
        <f>SUM(Z68:Z69)</f>
        <v>18072.18</v>
      </c>
      <c r="X86" s="110"/>
      <c r="Y86" s="110"/>
      <c r="Z86" s="2185"/>
      <c r="AA86" s="101"/>
      <c r="AB86" s="10"/>
      <c r="AC86" s="10"/>
      <c r="AD86" s="106"/>
      <c r="AE86" s="100"/>
      <c r="AF86" s="100"/>
      <c r="AG86" s="103"/>
    </row>
    <row r="87" spans="1:33" ht="16.5" customHeight="1">
      <c r="A87" s="13"/>
      <c r="B87" s="13"/>
      <c r="C87" s="13"/>
      <c r="D87" s="13"/>
      <c r="E87" s="13"/>
      <c r="F87" s="13"/>
      <c r="G87" s="13"/>
      <c r="H87" s="13"/>
      <c r="I87" s="13"/>
      <c r="J87" s="13"/>
      <c r="K87" s="13"/>
      <c r="L87" s="13"/>
      <c r="M87" s="13"/>
      <c r="N87" s="13"/>
      <c r="O87" s="13"/>
      <c r="P87" s="13"/>
      <c r="Q87" s="13"/>
      <c r="R87" s="13"/>
      <c r="S87" s="100"/>
      <c r="T87" s="101"/>
      <c r="U87" s="8762" t="s">
        <v>370</v>
      </c>
      <c r="V87" s="9078"/>
      <c r="W87" s="752">
        <v>0</v>
      </c>
      <c r="X87" s="111"/>
      <c r="Y87" s="111"/>
      <c r="Z87" s="100"/>
      <c r="AA87" s="100"/>
      <c r="AB87" s="363"/>
      <c r="AC87" s="363"/>
      <c r="AD87" s="100"/>
      <c r="AE87" s="100"/>
      <c r="AF87" s="100"/>
      <c r="AG87" s="103"/>
    </row>
    <row r="88" spans="1:33" ht="16.5" customHeight="1">
      <c r="A88" s="13"/>
      <c r="B88" s="13"/>
      <c r="C88" s="13"/>
      <c r="D88" s="13"/>
      <c r="E88" s="13"/>
      <c r="F88" s="13"/>
      <c r="G88" s="13"/>
      <c r="H88" s="13"/>
      <c r="I88" s="13"/>
      <c r="J88" s="13"/>
      <c r="K88" s="13"/>
      <c r="L88" s="13"/>
      <c r="M88" s="13"/>
      <c r="N88" s="13"/>
      <c r="O88" s="13"/>
      <c r="P88" s="13"/>
      <c r="Q88" s="13"/>
      <c r="R88" s="13"/>
      <c r="S88" s="100"/>
      <c r="T88" s="101"/>
      <c r="U88" s="8927" t="s">
        <v>67</v>
      </c>
      <c r="V88" s="9077"/>
      <c r="W88" s="754">
        <f>SUM(W80:W87)</f>
        <v>73420.494285714289</v>
      </c>
      <c r="X88" s="109"/>
      <c r="Y88" s="109"/>
      <c r="Z88" s="100"/>
      <c r="AA88" s="100"/>
      <c r="AB88" s="363"/>
      <c r="AC88" s="363"/>
      <c r="AD88" s="100"/>
      <c r="AE88" s="100"/>
      <c r="AF88" s="100"/>
      <c r="AG88" s="103"/>
    </row>
    <row r="89" spans="1:33" ht="15.75" customHeight="1">
      <c r="AB89" s="803"/>
      <c r="AD89" s="434"/>
    </row>
    <row r="90" spans="1:33" ht="15.75" customHeight="1">
      <c r="AB90" s="803"/>
      <c r="AD90" s="434"/>
    </row>
    <row r="91" spans="1:33" ht="15.75" customHeight="1">
      <c r="AB91" s="803"/>
      <c r="AD91" s="434"/>
    </row>
    <row r="92" spans="1:33" ht="15.75" customHeight="1">
      <c r="AB92" s="803"/>
      <c r="AD92" s="434"/>
    </row>
    <row r="93" spans="1:33" ht="15.75" customHeight="1">
      <c r="AB93" s="803"/>
      <c r="AD93" s="434"/>
    </row>
    <row r="94" spans="1:33" ht="15.75" customHeight="1">
      <c r="AB94" s="803"/>
      <c r="AD94" s="434"/>
    </row>
    <row r="95" spans="1:33" ht="15.75" customHeight="1">
      <c r="AB95" s="803"/>
      <c r="AD95" s="434"/>
    </row>
    <row r="96" spans="1:33" ht="15.75" customHeight="1">
      <c r="AB96" s="803"/>
      <c r="AD96" s="434"/>
    </row>
  </sheetData>
  <mergeCells count="189">
    <mergeCell ref="A52:A55"/>
    <mergeCell ref="B52:B54"/>
    <mergeCell ref="Z7:AD7"/>
    <mergeCell ref="AH20:AH24"/>
    <mergeCell ref="AH25:AH29"/>
    <mergeCell ref="AH30:AH34"/>
    <mergeCell ref="AH35:AH39"/>
    <mergeCell ref="AH45:AH49"/>
    <mergeCell ref="E20:E24"/>
    <mergeCell ref="F20:F24"/>
    <mergeCell ref="G20:G24"/>
    <mergeCell ref="H20:H24"/>
    <mergeCell ref="I20:I24"/>
    <mergeCell ref="J20:J24"/>
    <mergeCell ref="K20:K24"/>
    <mergeCell ref="K30:K34"/>
    <mergeCell ref="L30:L34"/>
    <mergeCell ref="M30:M34"/>
    <mergeCell ref="N30:N34"/>
    <mergeCell ref="O30:O34"/>
    <mergeCell ref="P30:P34"/>
    <mergeCell ref="Q30:Q34"/>
    <mergeCell ref="R30:R34"/>
    <mergeCell ref="Q35:Q39"/>
    <mergeCell ref="M40:M44"/>
    <mergeCell ref="N40:N44"/>
    <mergeCell ref="O40:O44"/>
    <mergeCell ref="P40:P44"/>
    <mergeCell ref="K7:K8"/>
    <mergeCell ref="R35:R39"/>
    <mergeCell ref="M35:M39"/>
    <mergeCell ref="N35:N39"/>
    <mergeCell ref="O35:O39"/>
    <mergeCell ref="P35:P39"/>
    <mergeCell ref="Q7:Q8"/>
    <mergeCell ref="R7:R8"/>
    <mergeCell ref="L20:L24"/>
    <mergeCell ref="M20:M24"/>
    <mergeCell ref="P9:P19"/>
    <mergeCell ref="Q9:Q19"/>
    <mergeCell ref="R9:R19"/>
    <mergeCell ref="Q25:Q29"/>
    <mergeCell ref="R25:R29"/>
    <mergeCell ref="K40:K44"/>
    <mergeCell ref="K9:K19"/>
    <mergeCell ref="L9:L19"/>
    <mergeCell ref="R40:R44"/>
    <mergeCell ref="M25:M29"/>
    <mergeCell ref="G7:G8"/>
    <mergeCell ref="H7:H8"/>
    <mergeCell ref="I7:I8"/>
    <mergeCell ref="J7:J8"/>
    <mergeCell ref="L7:L8"/>
    <mergeCell ref="M7:O7"/>
    <mergeCell ref="P7:P8"/>
    <mergeCell ref="N20:N24"/>
    <mergeCell ref="O20:O24"/>
    <mergeCell ref="P20:P24"/>
    <mergeCell ref="G9:G19"/>
    <mergeCell ref="H9:H19"/>
    <mergeCell ref="I9:I19"/>
    <mergeCell ref="J9:J19"/>
    <mergeCell ref="M9:M19"/>
    <mergeCell ref="N9:N19"/>
    <mergeCell ref="O9:O19"/>
    <mergeCell ref="A1:AH1"/>
    <mergeCell ref="A2:AH2"/>
    <mergeCell ref="A3:AH3"/>
    <mergeCell ref="A4:AH4"/>
    <mergeCell ref="A6:B8"/>
    <mergeCell ref="C6:D6"/>
    <mergeCell ref="E6:I6"/>
    <mergeCell ref="AH9:AH16"/>
    <mergeCell ref="E7:E8"/>
    <mergeCell ref="F7:F8"/>
    <mergeCell ref="C7:C8"/>
    <mergeCell ref="D7:D8"/>
    <mergeCell ref="A9:A27"/>
    <mergeCell ref="B9:B27"/>
    <mergeCell ref="J6:R6"/>
    <mergeCell ref="S6:AH6"/>
    <mergeCell ref="S7:Y7"/>
    <mergeCell ref="AE7:AG7"/>
    <mergeCell ref="AH7:AH8"/>
    <mergeCell ref="C20:C24"/>
    <mergeCell ref="C25:C29"/>
    <mergeCell ref="E25:E29"/>
    <mergeCell ref="F25:F29"/>
    <mergeCell ref="G25:G29"/>
    <mergeCell ref="AH40:AH44"/>
    <mergeCell ref="C40:C44"/>
    <mergeCell ref="D40:D44"/>
    <mergeCell ref="E40:E44"/>
    <mergeCell ref="F40:F44"/>
    <mergeCell ref="G40:G44"/>
    <mergeCell ref="H40:H44"/>
    <mergeCell ref="I40:I44"/>
    <mergeCell ref="C30:C34"/>
    <mergeCell ref="J40:J44"/>
    <mergeCell ref="D30:D34"/>
    <mergeCell ref="E30:E34"/>
    <mergeCell ref="F30:F34"/>
    <mergeCell ref="G30:G34"/>
    <mergeCell ref="H30:H34"/>
    <mergeCell ref="I30:I34"/>
    <mergeCell ref="J30:J34"/>
    <mergeCell ref="D35:D39"/>
    <mergeCell ref="E35:E39"/>
    <mergeCell ref="F35:F39"/>
    <mergeCell ref="G35:G39"/>
    <mergeCell ref="H35:H39"/>
    <mergeCell ref="I35:I39"/>
    <mergeCell ref="Q40:Q44"/>
    <mergeCell ref="D45:D49"/>
    <mergeCell ref="E45:E49"/>
    <mergeCell ref="F45:F49"/>
    <mergeCell ref="C35:C39"/>
    <mergeCell ref="I45:I49"/>
    <mergeCell ref="L40:L44"/>
    <mergeCell ref="J25:J29"/>
    <mergeCell ref="K25:K29"/>
    <mergeCell ref="H25:H29"/>
    <mergeCell ref="I25:I29"/>
    <mergeCell ref="L25:L29"/>
    <mergeCell ref="Q20:Q24"/>
    <mergeCell ref="R20:R24"/>
    <mergeCell ref="C9:C19"/>
    <mergeCell ref="D9:D19"/>
    <mergeCell ref="E9:E19"/>
    <mergeCell ref="F9:F19"/>
    <mergeCell ref="J35:J39"/>
    <mergeCell ref="K35:K39"/>
    <mergeCell ref="L35:L39"/>
    <mergeCell ref="D20:D24"/>
    <mergeCell ref="D25:D29"/>
    <mergeCell ref="A28:A51"/>
    <mergeCell ref="B28:B51"/>
    <mergeCell ref="Q45:Q49"/>
    <mergeCell ref="R45:R49"/>
    <mergeCell ref="J45:J49"/>
    <mergeCell ref="K45:K49"/>
    <mergeCell ref="L45:L49"/>
    <mergeCell ref="M45:M49"/>
    <mergeCell ref="N45:N49"/>
    <mergeCell ref="O45:O49"/>
    <mergeCell ref="P45:P49"/>
    <mergeCell ref="Q50:Q54"/>
    <mergeCell ref="R50:R54"/>
    <mergeCell ref="C50:C54"/>
    <mergeCell ref="D50:D54"/>
    <mergeCell ref="E50:E54"/>
    <mergeCell ref="F50:F54"/>
    <mergeCell ref="G50:G54"/>
    <mergeCell ref="G45:G49"/>
    <mergeCell ref="H45:H49"/>
    <mergeCell ref="N25:N29"/>
    <mergeCell ref="O25:O29"/>
    <mergeCell ref="P25:P29"/>
    <mergeCell ref="C45:C49"/>
    <mergeCell ref="AH50:AH54"/>
    <mergeCell ref="S55:Z55"/>
    <mergeCell ref="AE55:AH55"/>
    <mergeCell ref="S56:AH56"/>
    <mergeCell ref="U58:Z58"/>
    <mergeCell ref="H50:H54"/>
    <mergeCell ref="I50:I54"/>
    <mergeCell ref="J50:J54"/>
    <mergeCell ref="K50:K54"/>
    <mergeCell ref="L50:L54"/>
    <mergeCell ref="M50:M54"/>
    <mergeCell ref="N50:N54"/>
    <mergeCell ref="O50:O54"/>
    <mergeCell ref="P50:P54"/>
    <mergeCell ref="U88:V88"/>
    <mergeCell ref="U76:V76"/>
    <mergeCell ref="U77:V77"/>
    <mergeCell ref="U78:V78"/>
    <mergeCell ref="U79:W79"/>
    <mergeCell ref="U80:V80"/>
    <mergeCell ref="U81:V81"/>
    <mergeCell ref="U82:V82"/>
    <mergeCell ref="U73:W73"/>
    <mergeCell ref="U74:V74"/>
    <mergeCell ref="U75:V75"/>
    <mergeCell ref="U83:V83"/>
    <mergeCell ref="U84:V84"/>
    <mergeCell ref="U85:V85"/>
    <mergeCell ref="U86:V86"/>
    <mergeCell ref="U87:V87"/>
  </mergeCells>
  <dataValidations count="3">
    <dataValidation type="list" allowBlank="1" showErrorMessage="1" sqref="F9 F20 F25 F30 F35 F40 F45 F50" xr:uid="{00000000-0002-0000-0300-000000000000}">
      <formula1>INDIRECT($E9)</formula1>
    </dataValidation>
    <dataValidation type="list" allowBlank="1" showErrorMessage="1" sqref="E9 E20 E25 E30 E35 E40 E45 E50" xr:uid="{00000000-0002-0000-0300-000001000000}">
      <formula1>INDIRECT($G9)</formula1>
    </dataValidation>
    <dataValidation type="decimal" allowBlank="1" showInputMessage="1" showErrorMessage="1" prompt="DPLAN - Sólo debe ingresar valores, NO porcentajes." sqref="M20:O20 M25:O25 M30:O30 M35:O35 M45:O45 M50:O50" xr:uid="{00000000-0002-0000-0300-000002000000}">
      <formula1>0</formula1>
      <formula2>1000000</formula2>
    </dataValidation>
  </dataValidations>
  <printOptions horizontalCentered="1"/>
  <pageMargins left="0" right="0" top="0.78740157480314965" bottom="0.35433070866141736" header="0" footer="0"/>
  <pageSetup paperSize="9" scale="65" pageOrder="overThenDown" orientation="landscape" horizontalDpi="300" verticalDpi="300" r:id="rId1"/>
  <headerFooter>
    <oddHeader>&amp;LDirección de Comunicación&amp;C&amp;P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300-000003000000}">
          <x14:formula1>
            <xm:f>'https://utmachalaeduec-my.sharepoint.com/personal/planificacion_utmachala_edu_ec/Documents/Gestión 2023/G.06 EMISION DE INSUMOS PARA ELAB. DE LA PROF, PRESUPUESTARIA Y SUS REFORMAS/REFORMA N° 002-2023/[PND]PND'!#REF!</xm:f>
          </x14:formula1>
          <xm:sqref>C9:D9 C20:D20 C25:D25 C30:D30 C35:D35 C40:D40 C45:D45 C50:D50</xm:sqref>
        </x14:dataValidation>
        <x14:dataValidation type="list" allowBlank="1" showErrorMessage="1" xr:uid="{00000000-0002-0000-0300-000004000000}">
          <x14:formula1>
            <xm:f>('https://utmachalaeduec-my.sharepoint.com/personal/planificacion_utmachala_edu_ec/Documents/Gestión 2023/G.06 EMISION DE INSUMOS PARA ELAB. DE LA PROF, PRESUPUESTARIA Y SUS REFORMAS/REFORMA N° 002-2023/[PEDI]PEDI'!#REF!)</xm:f>
          </x14:formula1>
          <xm:sqref>H9 H20 H25 H30 H35 H40 H45 H50</xm:sqref>
        </x14:dataValidation>
        <x14:dataValidation type="list" allowBlank="1" showErrorMessage="1" xr:uid="{00000000-0002-0000-0300-000005000000}">
          <x14:formula1>
            <xm:f>'https://utmachalaeduec-my.sharepoint.com/personal/planificacion_utmachala_edu_ec/Documents/Gestión 2023/G.06 EMISION DE INSUMOS PARA ELAB. DE LA PROF, PRESUPUESTARIA Y SUS REFORMAS/REFORMA N° 002-2023/[PEDI]PEDI'!#REF!</xm:f>
          </x14:formula1>
          <xm:sqref>G9 G20 G25 G30 G35 G40 G45 G50</xm:sqref>
        </x14:dataValidation>
        <x14:dataValidation type="list" allowBlank="1" showErrorMessage="1" xr:uid="{00000000-0002-0000-03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I20 I25 I30 I35 I40 I45 I50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1CDC7-640B-4EC6-99C5-D12E6040A8E1}">
  <sheetPr>
    <pageSetUpPr fitToPage="1"/>
  </sheetPr>
  <dimension ref="A1:J38"/>
  <sheetViews>
    <sheetView showGridLines="0" topLeftCell="A24" zoomScaleNormal="100" workbookViewId="0">
      <selection activeCell="C40" sqref="C40"/>
    </sheetView>
  </sheetViews>
  <sheetFormatPr baseColWidth="10" defaultColWidth="14.5703125" defaultRowHeight="15" customHeight="1"/>
  <cols>
    <col min="1" max="1" width="6.5703125" style="8662" customWidth="1"/>
    <col min="2" max="2" width="30.28515625" style="8662" customWidth="1"/>
    <col min="3" max="3" width="12.28515625" style="8662" customWidth="1"/>
    <col min="4" max="4" width="20.28515625" style="8662" customWidth="1"/>
    <col min="5" max="5" width="12.5703125" style="8662" customWidth="1"/>
    <col min="6" max="7" width="12" style="8662" customWidth="1"/>
    <col min="8" max="8" width="74.5703125" style="8662" customWidth="1"/>
    <col min="9" max="9" width="42" style="8662" customWidth="1"/>
    <col min="10" max="16384" width="14.5703125" style="8662"/>
  </cols>
  <sheetData>
    <row r="1" spans="1:10" ht="14.25">
      <c r="A1" s="8660"/>
      <c r="B1" s="8660"/>
      <c r="C1" s="8661"/>
      <c r="D1" s="8660"/>
      <c r="E1" s="8660"/>
      <c r="F1" s="8660"/>
      <c r="G1" s="8660"/>
      <c r="H1" s="8660"/>
      <c r="I1" s="8660"/>
    </row>
    <row r="2" spans="1:10" ht="14.25">
      <c r="A2" s="8660"/>
      <c r="B2" s="8660"/>
      <c r="C2" s="8661"/>
      <c r="D2" s="8660"/>
      <c r="E2" s="8660"/>
      <c r="F2" s="8660"/>
      <c r="G2" s="8660"/>
      <c r="H2" s="8660"/>
      <c r="I2" s="8660"/>
    </row>
    <row r="3" spans="1:10" ht="14.25">
      <c r="A3" s="8660"/>
      <c r="B3" s="8660"/>
      <c r="C3" s="8661"/>
      <c r="D3" s="8660"/>
      <c r="E3" s="8660"/>
      <c r="F3" s="8660"/>
      <c r="G3" s="8660"/>
      <c r="H3" s="8660"/>
      <c r="I3" s="8660"/>
    </row>
    <row r="4" spans="1:10" ht="14.25">
      <c r="A4" s="8660"/>
      <c r="B4" s="8660"/>
      <c r="C4" s="8661"/>
      <c r="D4" s="8660"/>
      <c r="E4" s="8660"/>
      <c r="F4" s="8660"/>
      <c r="G4" s="8660"/>
      <c r="H4" s="8660"/>
      <c r="I4" s="8660"/>
    </row>
    <row r="5" spans="1:10" ht="14.25">
      <c r="A5" s="8660"/>
      <c r="B5" s="8660"/>
      <c r="C5" s="8661"/>
      <c r="D5" s="8660"/>
      <c r="E5" s="8660"/>
      <c r="F5" s="8660"/>
      <c r="G5" s="8660"/>
      <c r="H5" s="8660"/>
      <c r="I5" s="8660"/>
    </row>
    <row r="6" spans="1:10" ht="23.25">
      <c r="A6" s="11416" t="s">
        <v>0</v>
      </c>
      <c r="B6" s="11417"/>
      <c r="C6" s="11417"/>
      <c r="D6" s="11417"/>
      <c r="E6" s="11417"/>
      <c r="F6" s="11417"/>
      <c r="G6" s="11417"/>
      <c r="H6" s="11417"/>
      <c r="I6" s="11417"/>
    </row>
    <row r="7" spans="1:10" ht="19.5">
      <c r="A7" s="11418" t="s">
        <v>1</v>
      </c>
      <c r="B7" s="11419"/>
      <c r="C7" s="11419"/>
      <c r="D7" s="11419"/>
      <c r="E7" s="11419"/>
      <c r="F7" s="11419"/>
      <c r="G7" s="11419"/>
      <c r="H7" s="11419"/>
      <c r="I7" s="11419"/>
    </row>
    <row r="8" spans="1:10" ht="18.75">
      <c r="A8" s="11420" t="s">
        <v>662</v>
      </c>
      <c r="B8" s="11417"/>
      <c r="C8" s="11417"/>
      <c r="D8" s="11417"/>
      <c r="E8" s="11417"/>
      <c r="F8" s="11417"/>
      <c r="G8" s="11417"/>
      <c r="H8" s="11417"/>
      <c r="I8" s="11417"/>
    </row>
    <row r="9" spans="1:10" ht="14.25">
      <c r="A9" s="8660"/>
      <c r="B9" s="8660"/>
      <c r="C9" s="8661"/>
      <c r="D9" s="8660"/>
      <c r="E9" s="8660"/>
      <c r="F9" s="8660"/>
      <c r="G9" s="8660"/>
      <c r="H9" s="8660"/>
      <c r="I9" s="8660"/>
    </row>
    <row r="10" spans="1:10" ht="20.25">
      <c r="A10" s="11421" t="s">
        <v>7356</v>
      </c>
      <c r="B10" s="11417"/>
      <c r="C10" s="11417"/>
      <c r="D10" s="11417"/>
      <c r="E10" s="11417"/>
      <c r="F10" s="11417"/>
      <c r="G10" s="11417"/>
      <c r="H10" s="11417"/>
      <c r="I10" s="11417"/>
    </row>
    <row r="11" spans="1:10">
      <c r="A11" s="8663"/>
      <c r="B11" s="8663"/>
      <c r="C11" s="8664"/>
      <c r="D11" s="8663"/>
      <c r="E11" s="8663"/>
      <c r="F11" s="8663"/>
      <c r="G11" s="8663"/>
      <c r="H11" s="8663"/>
      <c r="I11" s="8663"/>
    </row>
    <row r="12" spans="1:10" ht="21.75" customHeight="1">
      <c r="A12" s="11422" t="s">
        <v>6854</v>
      </c>
      <c r="B12" s="11424" t="s">
        <v>7229</v>
      </c>
      <c r="C12" s="11426" t="s">
        <v>6856</v>
      </c>
      <c r="D12" s="11424" t="s">
        <v>4</v>
      </c>
      <c r="E12" s="11428" t="s">
        <v>6857</v>
      </c>
      <c r="F12" s="11429"/>
      <c r="G12" s="11430"/>
      <c r="H12" s="11431" t="s">
        <v>6858</v>
      </c>
      <c r="I12" s="11415" t="s">
        <v>6859</v>
      </c>
    </row>
    <row r="13" spans="1:10" ht="48.75" customHeight="1">
      <c r="A13" s="11423"/>
      <c r="B13" s="11425"/>
      <c r="C13" s="11427"/>
      <c r="D13" s="11425"/>
      <c r="E13" s="8665" t="s">
        <v>6860</v>
      </c>
      <c r="F13" s="8665" t="s">
        <v>6861</v>
      </c>
      <c r="G13" s="8665" t="s">
        <v>7026</v>
      </c>
      <c r="H13" s="11432"/>
      <c r="I13" s="11415"/>
    </row>
    <row r="14" spans="1:10" ht="90" customHeight="1">
      <c r="A14" s="8666">
        <v>1</v>
      </c>
      <c r="B14" s="8667" t="s">
        <v>7357</v>
      </c>
      <c r="C14" s="8668">
        <v>45168</v>
      </c>
      <c r="D14" s="8669" t="s">
        <v>7105</v>
      </c>
      <c r="E14" s="8669"/>
      <c r="F14" s="8669" t="s">
        <v>6865</v>
      </c>
      <c r="G14" s="8669"/>
      <c r="H14" s="8667" t="s">
        <v>7358</v>
      </c>
      <c r="I14" s="8670" t="s">
        <v>6891</v>
      </c>
      <c r="J14" s="8671"/>
    </row>
    <row r="15" spans="1:10" ht="120.75" customHeight="1">
      <c r="A15" s="8666">
        <v>2</v>
      </c>
      <c r="B15" s="8667" t="s">
        <v>7359</v>
      </c>
      <c r="C15" s="8668">
        <v>45183</v>
      </c>
      <c r="D15" s="8669" t="s">
        <v>7052</v>
      </c>
      <c r="E15" s="8669" t="s">
        <v>6865</v>
      </c>
      <c r="F15" s="8669"/>
      <c r="G15" s="8669" t="s">
        <v>6865</v>
      </c>
      <c r="H15" s="8667" t="s">
        <v>7360</v>
      </c>
      <c r="I15" s="8672" t="s">
        <v>6891</v>
      </c>
      <c r="J15" s="8671"/>
    </row>
    <row r="16" spans="1:10" ht="84" customHeight="1">
      <c r="A16" s="8666">
        <v>3</v>
      </c>
      <c r="B16" s="8667" t="s">
        <v>7361</v>
      </c>
      <c r="C16" s="8668" t="s">
        <v>7362</v>
      </c>
      <c r="D16" s="8673" t="s">
        <v>6883</v>
      </c>
      <c r="E16" s="8674" t="s">
        <v>6865</v>
      </c>
      <c r="F16" s="8674"/>
      <c r="G16" s="8674"/>
      <c r="H16" s="8667" t="s">
        <v>7363</v>
      </c>
      <c r="I16" s="8675" t="s">
        <v>7364</v>
      </c>
      <c r="J16" s="8671"/>
    </row>
    <row r="17" spans="1:10" ht="52.5" customHeight="1">
      <c r="A17" s="8666">
        <v>4</v>
      </c>
      <c r="B17" s="8676" t="s">
        <v>7365</v>
      </c>
      <c r="C17" s="8677" t="s">
        <v>7366</v>
      </c>
      <c r="D17" s="8678" t="s">
        <v>7028</v>
      </c>
      <c r="E17" s="8678"/>
      <c r="F17" s="8678"/>
      <c r="G17" s="8678" t="s">
        <v>6865</v>
      </c>
      <c r="H17" s="8667" t="s">
        <v>7367</v>
      </c>
      <c r="I17" s="8672" t="s">
        <v>6891</v>
      </c>
      <c r="J17" s="8671"/>
    </row>
    <row r="18" spans="1:10" ht="147.75" customHeight="1">
      <c r="A18" s="8666">
        <v>5</v>
      </c>
      <c r="B18" s="8679" t="s">
        <v>7368</v>
      </c>
      <c r="C18" s="8680" t="s">
        <v>7369</v>
      </c>
      <c r="D18" s="8674" t="s">
        <v>7063</v>
      </c>
      <c r="E18" s="8669"/>
      <c r="F18" s="8669" t="s">
        <v>6865</v>
      </c>
      <c r="G18" s="8669"/>
      <c r="H18" s="8681" t="s">
        <v>7370</v>
      </c>
      <c r="I18" s="8672" t="s">
        <v>6891</v>
      </c>
      <c r="J18" s="8671"/>
    </row>
    <row r="19" spans="1:10" ht="54.95" customHeight="1">
      <c r="A19" s="8666">
        <v>6</v>
      </c>
      <c r="B19" s="8682" t="s">
        <v>7371</v>
      </c>
      <c r="C19" s="8683" t="s">
        <v>7362</v>
      </c>
      <c r="D19" s="8684" t="s">
        <v>7372</v>
      </c>
      <c r="E19" s="8685" t="s">
        <v>6865</v>
      </c>
      <c r="F19" s="8685"/>
      <c r="G19" s="8685"/>
      <c r="H19" s="8675" t="s">
        <v>7373</v>
      </c>
      <c r="I19" s="8675" t="s">
        <v>6891</v>
      </c>
      <c r="J19" s="8671"/>
    </row>
    <row r="20" spans="1:10" ht="120.75" customHeight="1">
      <c r="A20" s="8666">
        <v>7</v>
      </c>
      <c r="B20" s="8682" t="s">
        <v>7374</v>
      </c>
      <c r="C20" s="8683" t="s">
        <v>7375</v>
      </c>
      <c r="D20" s="8684" t="s">
        <v>7148</v>
      </c>
      <c r="E20" s="8684" t="s">
        <v>6865</v>
      </c>
      <c r="F20" s="8684"/>
      <c r="G20" s="8684"/>
      <c r="H20" s="8679" t="s">
        <v>7376</v>
      </c>
      <c r="I20" s="8675" t="s">
        <v>6891</v>
      </c>
      <c r="J20" s="8671"/>
    </row>
    <row r="21" spans="1:10" ht="110.25" customHeight="1">
      <c r="A21" s="8666">
        <v>8</v>
      </c>
      <c r="B21" s="8682" t="s">
        <v>7377</v>
      </c>
      <c r="C21" s="8680" t="s">
        <v>7366</v>
      </c>
      <c r="D21" s="8684" t="s">
        <v>7378</v>
      </c>
      <c r="E21" s="8684" t="s">
        <v>6865</v>
      </c>
      <c r="F21" s="8684"/>
      <c r="G21" s="8684"/>
      <c r="H21" s="8675" t="s">
        <v>7379</v>
      </c>
      <c r="I21" s="8675" t="s">
        <v>6891</v>
      </c>
      <c r="J21" s="8671"/>
    </row>
    <row r="22" spans="1:10" ht="69.75" customHeight="1">
      <c r="A22" s="8666">
        <v>9</v>
      </c>
      <c r="B22" s="8667" t="s">
        <v>7380</v>
      </c>
      <c r="C22" s="8683" t="s">
        <v>7381</v>
      </c>
      <c r="D22" s="8669" t="s">
        <v>7052</v>
      </c>
      <c r="E22" s="8686"/>
      <c r="F22" s="8686"/>
      <c r="G22" s="8686" t="s">
        <v>6865</v>
      </c>
      <c r="H22" s="8667" t="s">
        <v>7382</v>
      </c>
      <c r="I22" s="8675" t="s">
        <v>6891</v>
      </c>
      <c r="J22" s="8671"/>
    </row>
    <row r="23" spans="1:10" ht="45.75" customHeight="1">
      <c r="A23" s="8666">
        <v>10</v>
      </c>
      <c r="B23" s="8667" t="s">
        <v>7383</v>
      </c>
      <c r="C23" s="8683" t="s">
        <v>7384</v>
      </c>
      <c r="D23" s="8669" t="s">
        <v>6870</v>
      </c>
      <c r="E23" s="8686"/>
      <c r="F23" s="8686"/>
      <c r="G23" s="8686" t="s">
        <v>6865</v>
      </c>
      <c r="H23" s="8667" t="s">
        <v>7385</v>
      </c>
      <c r="I23" s="8687" t="s">
        <v>7386</v>
      </c>
      <c r="J23" s="8671"/>
    </row>
    <row r="24" spans="1:10" ht="39" customHeight="1">
      <c r="A24" s="8666">
        <v>11</v>
      </c>
      <c r="B24" s="8667" t="s">
        <v>7387</v>
      </c>
      <c r="C24" s="8683" t="s">
        <v>7366</v>
      </c>
      <c r="D24" s="8669" t="s">
        <v>6902</v>
      </c>
      <c r="E24" s="8686"/>
      <c r="F24" s="8686"/>
      <c r="G24" s="8686" t="s">
        <v>6865</v>
      </c>
      <c r="H24" s="8667" t="s">
        <v>7388</v>
      </c>
      <c r="I24" s="8675" t="s">
        <v>6891</v>
      </c>
      <c r="J24" s="8671"/>
    </row>
    <row r="25" spans="1:10" ht="117" customHeight="1">
      <c r="A25" s="8666">
        <v>12</v>
      </c>
      <c r="B25" s="8667" t="s">
        <v>7389</v>
      </c>
      <c r="C25" s="8683" t="s">
        <v>7390</v>
      </c>
      <c r="D25" s="8669" t="s">
        <v>7096</v>
      </c>
      <c r="E25" s="8686" t="s">
        <v>6865</v>
      </c>
      <c r="F25" s="8686"/>
      <c r="G25" s="8686"/>
      <c r="H25" s="8688" t="s">
        <v>7391</v>
      </c>
      <c r="I25" s="8667" t="s">
        <v>7392</v>
      </c>
      <c r="J25" s="8671"/>
    </row>
    <row r="26" spans="1:10" ht="76.5" customHeight="1">
      <c r="A26" s="8689">
        <v>13</v>
      </c>
      <c r="B26" s="8676" t="s">
        <v>7393</v>
      </c>
      <c r="C26" s="8683" t="s">
        <v>7394</v>
      </c>
      <c r="D26" s="8678" t="s">
        <v>7035</v>
      </c>
      <c r="E26" s="8690" t="s">
        <v>6865</v>
      </c>
      <c r="F26" s="8690"/>
      <c r="G26" s="8690"/>
      <c r="H26" s="8676" t="s">
        <v>7395</v>
      </c>
      <c r="I26" s="8691" t="s">
        <v>6891</v>
      </c>
      <c r="J26" s="8671"/>
    </row>
    <row r="27" spans="1:10" ht="48" customHeight="1">
      <c r="A27" s="8666">
        <v>14</v>
      </c>
      <c r="B27" s="8667" t="s">
        <v>7396</v>
      </c>
      <c r="C27" s="8668" t="s">
        <v>7397</v>
      </c>
      <c r="D27" s="8669" t="s">
        <v>6918</v>
      </c>
      <c r="E27" s="8669" t="s">
        <v>6865</v>
      </c>
      <c r="F27" s="8669"/>
      <c r="G27" s="8669"/>
      <c r="H27" s="8692" t="s">
        <v>7398</v>
      </c>
      <c r="I27" s="8672" t="s">
        <v>6891</v>
      </c>
      <c r="J27" s="8671"/>
    </row>
    <row r="28" spans="1:10" ht="21" customHeight="1">
      <c r="A28" s="8693" t="s">
        <v>7339</v>
      </c>
      <c r="B28" s="8694"/>
      <c r="C28" s="8695"/>
      <c r="D28" s="8696"/>
      <c r="E28" s="8696"/>
      <c r="F28" s="8696"/>
      <c r="G28" s="8696"/>
      <c r="H28" s="8697"/>
      <c r="I28" s="8694"/>
      <c r="J28" s="8671"/>
    </row>
    <row r="29" spans="1:10" ht="16.5" customHeight="1">
      <c r="A29" s="8698" t="s">
        <v>7340</v>
      </c>
      <c r="B29" s="8699"/>
      <c r="C29" s="8664"/>
      <c r="D29" s="8663"/>
      <c r="E29" s="8663"/>
      <c r="F29" s="8663"/>
      <c r="G29" s="8663"/>
      <c r="H29" s="8663"/>
      <c r="I29" s="8663"/>
    </row>
    <row r="30" spans="1:10" ht="15.75" customHeight="1">
      <c r="A30" s="8698" t="s">
        <v>7197</v>
      </c>
      <c r="B30" s="8699"/>
      <c r="C30" s="8664"/>
      <c r="D30" s="8663"/>
      <c r="E30" s="8663"/>
      <c r="F30" s="8663"/>
      <c r="G30" s="8663"/>
      <c r="H30" s="8663"/>
      <c r="I30" s="8663"/>
    </row>
    <row r="31" spans="1:10" ht="15.75" customHeight="1">
      <c r="A31" s="8698" t="s">
        <v>7198</v>
      </c>
      <c r="B31" s="8699"/>
      <c r="C31" s="8664"/>
      <c r="D31" s="8663"/>
      <c r="E31" s="8663"/>
      <c r="F31" s="8663"/>
      <c r="G31" s="8663"/>
      <c r="H31" s="8663"/>
      <c r="I31" s="8663"/>
    </row>
    <row r="32" spans="1:10" ht="15.75" customHeight="1">
      <c r="A32" s="8693" t="s">
        <v>7399</v>
      </c>
      <c r="B32" s="8700"/>
      <c r="C32" s="8664"/>
      <c r="D32" s="8663"/>
      <c r="E32" s="8663"/>
      <c r="F32" s="8663"/>
      <c r="G32" s="8663"/>
      <c r="H32" s="8663"/>
      <c r="I32" s="8663"/>
    </row>
    <row r="33" spans="1:9" ht="15.75" customHeight="1">
      <c r="A33" s="8693" t="s">
        <v>7400</v>
      </c>
      <c r="B33" s="8663"/>
      <c r="C33" s="8664"/>
      <c r="D33" s="8663"/>
      <c r="E33" s="8663"/>
      <c r="F33" s="8663"/>
      <c r="G33" s="8663"/>
      <c r="H33" s="8663"/>
      <c r="I33" s="8663"/>
    </row>
    <row r="37" spans="1:9" ht="15" customHeight="1">
      <c r="B37" s="8701"/>
    </row>
    <row r="38" spans="1:9" ht="15" customHeight="1">
      <c r="B38" s="8702"/>
    </row>
  </sheetData>
  <mergeCells count="11">
    <mergeCell ref="I12:I13"/>
    <mergeCell ref="A6:I6"/>
    <mergeCell ref="A7:I7"/>
    <mergeCell ref="A8:I8"/>
    <mergeCell ref="A10:I10"/>
    <mergeCell ref="A12:A13"/>
    <mergeCell ref="B12:B13"/>
    <mergeCell ref="C12:C13"/>
    <mergeCell ref="D12:D13"/>
    <mergeCell ref="E12:G12"/>
    <mergeCell ref="H12:H13"/>
  </mergeCells>
  <printOptions horizontalCentered="1"/>
  <pageMargins left="0.31496062992125984" right="0.31496062992125984" top="0.55118110236220474" bottom="0.55118110236220474" header="0" footer="0"/>
  <pageSetup paperSize="9" scale="81" fitToHeight="0" orientation="landscape"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FC87D-BD49-4AC5-9B78-2C18D760421C}">
  <sheetPr>
    <pageSetUpPr fitToPage="1"/>
  </sheetPr>
  <dimension ref="A1:O384"/>
  <sheetViews>
    <sheetView topLeftCell="A250" zoomScale="145" zoomScaleNormal="145" workbookViewId="0">
      <selection activeCell="C273" sqref="C273"/>
    </sheetView>
  </sheetViews>
  <sheetFormatPr baseColWidth="10" defaultColWidth="14.28515625" defaultRowHeight="12.75"/>
  <cols>
    <col min="1" max="1" width="0.7109375" style="4476" customWidth="1"/>
    <col min="2" max="2" width="19.28515625" style="4476" customWidth="1"/>
    <col min="3" max="3" width="28.5703125" style="4476" customWidth="1"/>
    <col min="4" max="4" width="14.85546875" style="4476" customWidth="1"/>
    <col min="5" max="5" width="17.7109375" style="4476" bestFit="1" customWidth="1"/>
    <col min="6" max="6" width="14.140625" style="4476" customWidth="1"/>
    <col min="7" max="7" width="14.28515625" style="4476" customWidth="1"/>
    <col min="8" max="8" width="13.85546875" style="4476" customWidth="1"/>
    <col min="9" max="9" width="21.42578125" style="4476" customWidth="1"/>
    <col min="10" max="10" width="13.5703125" style="4476" customWidth="1"/>
    <col min="11" max="11" width="13.5703125" style="4475" customWidth="1"/>
    <col min="12" max="13" width="13.5703125" style="4476" customWidth="1"/>
    <col min="14" max="14" width="15.85546875" style="4476" bestFit="1" customWidth="1"/>
    <col min="15" max="15" width="17.140625" style="4476" bestFit="1" customWidth="1"/>
    <col min="16" max="16384" width="14.28515625" style="4476"/>
  </cols>
  <sheetData>
    <row r="1" spans="2:10" s="4475" customFormat="1" ht="18.75">
      <c r="B1" s="11406" t="s">
        <v>0</v>
      </c>
      <c r="C1" s="11406"/>
      <c r="D1" s="11406"/>
      <c r="E1" s="11406"/>
      <c r="F1" s="11406"/>
      <c r="G1" s="11406"/>
      <c r="H1" s="11406"/>
      <c r="I1" s="11406"/>
      <c r="J1" s="4474"/>
    </row>
    <row r="2" spans="2:10" s="4475" customFormat="1" ht="18.75">
      <c r="B2" s="11406" t="s">
        <v>6665</v>
      </c>
      <c r="C2" s="11406"/>
      <c r="D2" s="11406"/>
      <c r="E2" s="11406"/>
      <c r="F2" s="11406"/>
      <c r="G2" s="11406"/>
      <c r="H2" s="11406"/>
      <c r="I2" s="11406"/>
      <c r="J2" s="4474"/>
    </row>
    <row r="3" spans="2:10" s="4475" customFormat="1" ht="12.75" customHeight="1">
      <c r="B3" s="4474"/>
      <c r="C3" s="4474"/>
      <c r="D3" s="4474"/>
      <c r="E3" s="4474"/>
      <c r="F3" s="4474"/>
      <c r="G3" s="4474"/>
      <c r="H3" s="4474"/>
      <c r="I3" s="4476"/>
      <c r="J3" s="4476"/>
    </row>
    <row r="4" spans="2:10" s="4475" customFormat="1" ht="15">
      <c r="B4" s="1478" t="s">
        <v>6480</v>
      </c>
      <c r="C4" s="1479" t="s">
        <v>413</v>
      </c>
      <c r="D4" s="1479"/>
      <c r="E4" s="1479"/>
      <c r="F4" s="1479"/>
      <c r="G4" s="1479"/>
      <c r="H4" s="1480"/>
      <c r="I4" s="1480"/>
      <c r="J4" s="1480"/>
    </row>
    <row r="5" spans="2:10" s="4475" customFormat="1">
      <c r="B5" s="1479" t="s">
        <v>6479</v>
      </c>
      <c r="C5" s="1479"/>
      <c r="D5" s="1479"/>
      <c r="E5" s="1479"/>
      <c r="F5" s="1479"/>
      <c r="G5" s="1479"/>
      <c r="H5" s="1480"/>
      <c r="I5" s="1480"/>
      <c r="J5" s="1480"/>
    </row>
    <row r="6" spans="2:10" s="4475" customFormat="1">
      <c r="B6" s="1479"/>
      <c r="C6" s="1479"/>
      <c r="D6" s="1479"/>
      <c r="E6" s="1479"/>
      <c r="F6" s="1479"/>
      <c r="G6" s="1479"/>
      <c r="H6" s="1480"/>
      <c r="I6" s="1480"/>
      <c r="J6" s="4476"/>
    </row>
    <row r="7" spans="2:10" s="4479" customFormat="1" ht="39.75" customHeight="1">
      <c r="B7" s="11369" t="s">
        <v>6970</v>
      </c>
      <c r="C7" s="11369" t="s">
        <v>6</v>
      </c>
      <c r="D7" s="11407" t="s">
        <v>6667</v>
      </c>
      <c r="E7" s="1481" t="s">
        <v>6483</v>
      </c>
      <c r="F7" s="1482" t="s">
        <v>6484</v>
      </c>
      <c r="G7" s="1483" t="s">
        <v>6485</v>
      </c>
      <c r="H7" s="4477" t="s">
        <v>6668</v>
      </c>
      <c r="I7" s="4478" t="s">
        <v>6487</v>
      </c>
    </row>
    <row r="8" spans="2:10" s="4479" customFormat="1" ht="20.100000000000001" customHeight="1">
      <c r="B8" s="11370"/>
      <c r="C8" s="11370"/>
      <c r="D8" s="11408"/>
      <c r="E8" s="1487" t="s">
        <v>6488</v>
      </c>
      <c r="F8" s="1482" t="s">
        <v>6489</v>
      </c>
      <c r="G8" s="1483" t="s">
        <v>6490</v>
      </c>
      <c r="H8" s="4480" t="s">
        <v>6491</v>
      </c>
      <c r="I8" s="4481" t="s">
        <v>6492</v>
      </c>
    </row>
    <row r="9" spans="2:10" s="4475" customFormat="1">
      <c r="B9" s="1490" t="s">
        <v>6971</v>
      </c>
      <c r="C9" s="1491" t="s">
        <v>6670</v>
      </c>
      <c r="D9" s="1492">
        <f t="shared" ref="D9:D19" si="0">+SUM(E9:I9)</f>
        <v>6984971.6600000001</v>
      </c>
      <c r="E9" s="4482">
        <f>6972572.48+12399.18</f>
        <v>6984971.6600000001</v>
      </c>
      <c r="F9" s="1492"/>
      <c r="G9" s="1492"/>
      <c r="H9" s="1492"/>
      <c r="I9" s="1492"/>
    </row>
    <row r="10" spans="2:10" s="4475" customFormat="1">
      <c r="B10" s="1490" t="s">
        <v>6972</v>
      </c>
      <c r="C10" s="1491" t="s">
        <v>6973</v>
      </c>
      <c r="D10" s="1492">
        <f t="shared" si="0"/>
        <v>55985.33</v>
      </c>
      <c r="E10" s="1492">
        <v>55985.33</v>
      </c>
      <c r="F10" s="1492"/>
      <c r="G10" s="1492"/>
      <c r="H10" s="1492"/>
      <c r="I10" s="1492"/>
    </row>
    <row r="11" spans="2:10" s="4475" customFormat="1">
      <c r="B11" s="1495" t="s">
        <v>6974</v>
      </c>
      <c r="C11" s="1491" t="s">
        <v>6674</v>
      </c>
      <c r="D11" s="1492">
        <f t="shared" si="0"/>
        <v>50000</v>
      </c>
      <c r="E11" s="1492"/>
      <c r="F11" s="1492">
        <v>50000</v>
      </c>
      <c r="G11" s="1492"/>
      <c r="H11" s="1492"/>
      <c r="I11" s="1492"/>
    </row>
    <row r="12" spans="2:10" s="4475" customFormat="1">
      <c r="B12" s="1495" t="s">
        <v>6975</v>
      </c>
      <c r="C12" s="1491" t="s">
        <v>6976</v>
      </c>
      <c r="D12" s="1492">
        <f t="shared" si="0"/>
        <v>680000</v>
      </c>
      <c r="E12" s="1492"/>
      <c r="F12" s="1492">
        <v>680000</v>
      </c>
      <c r="G12" s="1492"/>
      <c r="H12" s="1492"/>
      <c r="I12" s="1492"/>
    </row>
    <row r="13" spans="2:10" s="4475" customFormat="1">
      <c r="B13" s="1495" t="s">
        <v>6977</v>
      </c>
      <c r="C13" s="1491" t="s">
        <v>6676</v>
      </c>
      <c r="D13" s="1492">
        <f t="shared" si="0"/>
        <v>38169</v>
      </c>
      <c r="E13" s="1492"/>
      <c r="F13" s="1492">
        <v>38169</v>
      </c>
      <c r="G13" s="1492"/>
      <c r="H13" s="1492"/>
      <c r="I13" s="1492"/>
    </row>
    <row r="14" spans="2:10" s="4475" customFormat="1">
      <c r="B14" s="1495" t="s">
        <v>6978</v>
      </c>
      <c r="C14" s="2986" t="s">
        <v>6979</v>
      </c>
      <c r="D14" s="1492">
        <f t="shared" si="0"/>
        <v>2000</v>
      </c>
      <c r="E14" s="1492"/>
      <c r="F14" s="1492">
        <v>2000</v>
      </c>
      <c r="G14" s="1492"/>
      <c r="H14" s="1492"/>
      <c r="I14" s="1492"/>
    </row>
    <row r="15" spans="2:10" s="4475" customFormat="1">
      <c r="B15" s="1495" t="s">
        <v>6980</v>
      </c>
      <c r="C15" s="2986" t="s">
        <v>6981</v>
      </c>
      <c r="D15" s="1492">
        <f t="shared" si="0"/>
        <v>163689.51</v>
      </c>
      <c r="E15" s="1492"/>
      <c r="F15" s="1492">
        <v>163689.51</v>
      </c>
      <c r="G15" s="1492"/>
      <c r="H15" s="1492"/>
      <c r="I15" s="1492"/>
    </row>
    <row r="16" spans="2:10" s="4475" customFormat="1">
      <c r="B16" s="4483" t="s">
        <v>6982</v>
      </c>
      <c r="C16" s="1491" t="s">
        <v>6670</v>
      </c>
      <c r="D16" s="1492">
        <f t="shared" si="0"/>
        <v>28382726.440000001</v>
      </c>
      <c r="E16" s="1492"/>
      <c r="F16" s="1492"/>
      <c r="G16" s="1492">
        <v>28382726.440000001</v>
      </c>
      <c r="H16" s="1492"/>
      <c r="I16" s="1492"/>
    </row>
    <row r="17" spans="2:13" s="4475" customFormat="1">
      <c r="B17" s="4483" t="s">
        <v>6983</v>
      </c>
      <c r="C17" s="1491" t="s">
        <v>6984</v>
      </c>
      <c r="D17" s="1492">
        <f t="shared" si="0"/>
        <v>4740</v>
      </c>
      <c r="E17" s="1492"/>
      <c r="F17" s="1492"/>
      <c r="G17" s="1492">
        <v>4740</v>
      </c>
      <c r="H17" s="1492"/>
      <c r="I17" s="1492"/>
    </row>
    <row r="18" spans="2:13" s="4475" customFormat="1" ht="14.45" customHeight="1">
      <c r="B18" s="1494" t="s">
        <v>6985</v>
      </c>
      <c r="C18" s="1491" t="s">
        <v>6670</v>
      </c>
      <c r="D18" s="1492">
        <f t="shared" si="0"/>
        <v>856577.7</v>
      </c>
      <c r="E18" s="1492"/>
      <c r="F18" s="1492"/>
      <c r="G18" s="1492"/>
      <c r="H18" s="1492">
        <v>856577.7</v>
      </c>
      <c r="I18" s="1492"/>
    </row>
    <row r="19" spans="2:13" s="4475" customFormat="1" ht="14.45" customHeight="1">
      <c r="B19" s="1494" t="s">
        <v>6986</v>
      </c>
      <c r="C19" s="1491" t="s">
        <v>6987</v>
      </c>
      <c r="D19" s="1492">
        <f t="shared" si="0"/>
        <v>571587.69999999995</v>
      </c>
      <c r="E19" s="1492"/>
      <c r="F19" s="1492"/>
      <c r="G19" s="1492"/>
      <c r="H19" s="1492">
        <v>571587.69999999995</v>
      </c>
      <c r="I19" s="1492"/>
    </row>
    <row r="20" spans="2:13" s="4475" customFormat="1" ht="14.45" customHeight="1">
      <c r="B20" s="2003" t="s">
        <v>6988</v>
      </c>
      <c r="C20" s="1491" t="s">
        <v>6928</v>
      </c>
      <c r="D20" s="1492">
        <f>I20</f>
        <v>382237.7</v>
      </c>
      <c r="E20" s="1492"/>
      <c r="F20" s="1492"/>
      <c r="G20" s="1492"/>
      <c r="H20" s="1492"/>
      <c r="I20" s="1492">
        <v>382237.7</v>
      </c>
    </row>
    <row r="21" spans="2:13">
      <c r="B21" s="1496"/>
      <c r="C21" s="1497" t="s">
        <v>6677</v>
      </c>
      <c r="D21" s="1498">
        <f t="shared" ref="D21:I21" si="1">SUM(D9:D20)</f>
        <v>38172685.040000007</v>
      </c>
      <c r="E21" s="1498">
        <f t="shared" si="1"/>
        <v>7040956.9900000002</v>
      </c>
      <c r="F21" s="1498">
        <f t="shared" si="1"/>
        <v>933858.51</v>
      </c>
      <c r="G21" s="1498">
        <f t="shared" si="1"/>
        <v>28387466.440000001</v>
      </c>
      <c r="H21" s="1498">
        <f t="shared" si="1"/>
        <v>1428165.4</v>
      </c>
      <c r="I21" s="1498">
        <f t="shared" si="1"/>
        <v>382237.7</v>
      </c>
      <c r="K21" s="4476"/>
    </row>
    <row r="22" spans="2:13">
      <c r="B22" s="1499"/>
      <c r="C22" s="1500"/>
      <c r="D22" s="1501"/>
      <c r="E22" s="1501"/>
      <c r="F22" s="1479"/>
      <c r="G22" s="1479"/>
      <c r="H22" s="1502"/>
      <c r="I22" s="1503"/>
    </row>
    <row r="23" spans="2:13" ht="15">
      <c r="B23" s="4484" t="s">
        <v>6504</v>
      </c>
      <c r="C23" s="4485"/>
      <c r="D23" s="4486"/>
      <c r="E23" s="4475"/>
      <c r="F23" s="4475"/>
      <c r="G23" s="2992"/>
    </row>
    <row r="24" spans="2:13" ht="38.25">
      <c r="B24" s="4488" t="s">
        <v>7</v>
      </c>
      <c r="C24" s="4488" t="s">
        <v>6505</v>
      </c>
      <c r="D24" s="4489" t="s">
        <v>6989</v>
      </c>
      <c r="E24" s="4489" t="s">
        <v>6678</v>
      </c>
      <c r="F24" s="4489" t="s">
        <v>6679</v>
      </c>
      <c r="G24" s="4489" t="s">
        <v>6680</v>
      </c>
      <c r="H24" s="4489" t="s">
        <v>6990</v>
      </c>
      <c r="I24" s="4490" t="s">
        <v>6488</v>
      </c>
      <c r="J24" s="4491" t="s">
        <v>6489</v>
      </c>
      <c r="K24" s="4492" t="s">
        <v>6508</v>
      </c>
      <c r="L24" s="4493" t="s">
        <v>6491</v>
      </c>
      <c r="M24" s="4494" t="s">
        <v>6492</v>
      </c>
    </row>
    <row r="25" spans="2:13">
      <c r="B25" s="4495" t="s">
        <v>6510</v>
      </c>
      <c r="C25" s="4496" t="s">
        <v>6511</v>
      </c>
      <c r="D25" s="4497"/>
      <c r="E25" s="4497"/>
      <c r="F25" s="4497"/>
      <c r="G25" s="4497"/>
      <c r="H25" s="4497"/>
      <c r="I25" s="4498"/>
      <c r="J25" s="4498"/>
      <c r="K25" s="4498"/>
      <c r="L25" s="4499"/>
      <c r="M25" s="4499"/>
    </row>
    <row r="26" spans="2:13">
      <c r="B26" s="4483" t="s">
        <v>6512</v>
      </c>
      <c r="C26" s="4500" t="s">
        <v>3008</v>
      </c>
      <c r="D26" s="4497">
        <v>3558628.48</v>
      </c>
      <c r="E26" s="4497"/>
      <c r="F26" s="4497">
        <v>8686.24</v>
      </c>
      <c r="G26" s="4501">
        <f t="shared" ref="G26:G91" si="2">+D26+E26-F26</f>
        <v>3549942.2399999998</v>
      </c>
      <c r="H26" s="4497">
        <f t="shared" ref="H26:H91" si="3">+SUM(I26:M26)</f>
        <v>3549942.2399999998</v>
      </c>
      <c r="I26" s="4497"/>
      <c r="J26" s="4497"/>
      <c r="K26" s="4502">
        <f t="shared" ref="K26:K45" si="4">G26</f>
        <v>3549942.2399999998</v>
      </c>
      <c r="L26" s="4497"/>
      <c r="M26" s="4497"/>
    </row>
    <row r="27" spans="2:13">
      <c r="B27" s="4483" t="s">
        <v>6513</v>
      </c>
      <c r="C27" s="4504" t="s">
        <v>3010</v>
      </c>
      <c r="D27" s="4497">
        <v>929212.08000000007</v>
      </c>
      <c r="E27" s="4497"/>
      <c r="F27" s="4497"/>
      <c r="G27" s="4501">
        <f t="shared" si="2"/>
        <v>929212.08000000007</v>
      </c>
      <c r="H27" s="4497">
        <f t="shared" si="3"/>
        <v>929212.08000000007</v>
      </c>
      <c r="I27" s="4497"/>
      <c r="J27" s="4497"/>
      <c r="K27" s="4502">
        <f t="shared" si="4"/>
        <v>929212.08000000007</v>
      </c>
      <c r="L27" s="4497"/>
      <c r="M27" s="4497"/>
    </row>
    <row r="28" spans="2:13">
      <c r="B28" s="4483" t="s">
        <v>6514</v>
      </c>
      <c r="C28" s="4504" t="s">
        <v>6682</v>
      </c>
      <c r="D28" s="4497">
        <v>828059.49</v>
      </c>
      <c r="E28" s="4497"/>
      <c r="F28" s="4497"/>
      <c r="G28" s="4501">
        <f t="shared" si="2"/>
        <v>828059.49</v>
      </c>
      <c r="H28" s="4497">
        <f t="shared" si="3"/>
        <v>828059.49</v>
      </c>
      <c r="I28" s="4497"/>
      <c r="J28" s="4497"/>
      <c r="K28" s="4502">
        <f t="shared" si="4"/>
        <v>828059.49</v>
      </c>
      <c r="L28" s="4497"/>
      <c r="M28" s="4497"/>
    </row>
    <row r="29" spans="2:13">
      <c r="B29" s="4483" t="s">
        <v>6515</v>
      </c>
      <c r="C29" s="4504" t="s">
        <v>3013</v>
      </c>
      <c r="D29" s="4497">
        <v>514670.12</v>
      </c>
      <c r="E29" s="4497"/>
      <c r="F29" s="4497"/>
      <c r="G29" s="4501">
        <f t="shared" si="2"/>
        <v>514670.12</v>
      </c>
      <c r="H29" s="4497">
        <f t="shared" si="3"/>
        <v>514670.12</v>
      </c>
      <c r="I29" s="4497"/>
      <c r="J29" s="4497"/>
      <c r="K29" s="4502">
        <f t="shared" si="4"/>
        <v>514670.12</v>
      </c>
      <c r="L29" s="4497"/>
      <c r="M29" s="4497"/>
    </row>
    <row r="30" spans="2:13">
      <c r="B30" s="4483" t="s">
        <v>6517</v>
      </c>
      <c r="C30" s="4504" t="s">
        <v>3014</v>
      </c>
      <c r="D30" s="4497">
        <v>181875.81</v>
      </c>
      <c r="E30" s="4497"/>
      <c r="F30" s="4497"/>
      <c r="G30" s="4501">
        <f t="shared" si="2"/>
        <v>181875.81</v>
      </c>
      <c r="H30" s="4497">
        <f t="shared" si="3"/>
        <v>181875.81</v>
      </c>
      <c r="I30" s="4497"/>
      <c r="J30" s="4497"/>
      <c r="K30" s="4502">
        <f t="shared" si="4"/>
        <v>181875.81</v>
      </c>
      <c r="L30" s="4497"/>
      <c r="M30" s="4497"/>
    </row>
    <row r="31" spans="2:13">
      <c r="B31" s="4483" t="s">
        <v>6519</v>
      </c>
      <c r="C31" s="4504" t="s">
        <v>3016</v>
      </c>
      <c r="D31" s="4497">
        <v>15000</v>
      </c>
      <c r="E31" s="4497"/>
      <c r="F31" s="4497"/>
      <c r="G31" s="4501">
        <f t="shared" si="2"/>
        <v>15000</v>
      </c>
      <c r="H31" s="4497">
        <f t="shared" si="3"/>
        <v>15000</v>
      </c>
      <c r="I31" s="4497"/>
      <c r="J31" s="4497"/>
      <c r="K31" s="4502">
        <f t="shared" si="4"/>
        <v>15000</v>
      </c>
      <c r="L31" s="4497"/>
      <c r="M31" s="4497"/>
    </row>
    <row r="32" spans="2:13">
      <c r="B32" s="4483" t="s">
        <v>6520</v>
      </c>
      <c r="C32" s="4504" t="s">
        <v>3018</v>
      </c>
      <c r="D32" s="4497">
        <v>95000</v>
      </c>
      <c r="E32" s="4497"/>
      <c r="F32" s="4497"/>
      <c r="G32" s="4501">
        <f t="shared" si="2"/>
        <v>95000</v>
      </c>
      <c r="H32" s="4497">
        <f t="shared" si="3"/>
        <v>95000</v>
      </c>
      <c r="I32" s="4497"/>
      <c r="J32" s="4497"/>
      <c r="K32" s="4502">
        <f t="shared" si="4"/>
        <v>95000</v>
      </c>
      <c r="L32" s="4497"/>
      <c r="M32" s="4497"/>
    </row>
    <row r="33" spans="2:13">
      <c r="B33" s="4483" t="s">
        <v>6521</v>
      </c>
      <c r="C33" s="4504" t="s">
        <v>3020</v>
      </c>
      <c r="D33" s="4497">
        <v>5000</v>
      </c>
      <c r="E33" s="4497"/>
      <c r="F33" s="4497"/>
      <c r="G33" s="4501">
        <f t="shared" si="2"/>
        <v>5000</v>
      </c>
      <c r="H33" s="4497">
        <f t="shared" si="3"/>
        <v>5000</v>
      </c>
      <c r="I33" s="4497"/>
      <c r="J33" s="4497"/>
      <c r="K33" s="4502">
        <f t="shared" si="4"/>
        <v>5000</v>
      </c>
      <c r="L33" s="4497"/>
      <c r="M33" s="4497"/>
    </row>
    <row r="34" spans="2:13">
      <c r="B34" s="4483" t="s">
        <v>6522</v>
      </c>
      <c r="C34" s="4504" t="s">
        <v>6683</v>
      </c>
      <c r="D34" s="4497">
        <v>24000</v>
      </c>
      <c r="E34" s="4497"/>
      <c r="F34" s="4497"/>
      <c r="G34" s="4501">
        <f t="shared" si="2"/>
        <v>24000</v>
      </c>
      <c r="H34" s="4497">
        <f t="shared" si="3"/>
        <v>24000</v>
      </c>
      <c r="I34" s="4497"/>
      <c r="J34" s="4497"/>
      <c r="K34" s="4502">
        <f t="shared" si="4"/>
        <v>24000</v>
      </c>
      <c r="L34" s="4497"/>
      <c r="M34" s="4497"/>
    </row>
    <row r="35" spans="2:13">
      <c r="B35" s="4483" t="s">
        <v>6523</v>
      </c>
      <c r="C35" s="4504" t="s">
        <v>6684</v>
      </c>
      <c r="D35" s="4497">
        <v>31000</v>
      </c>
      <c r="E35" s="4497"/>
      <c r="F35" s="4497"/>
      <c r="G35" s="4501">
        <f t="shared" si="2"/>
        <v>31000</v>
      </c>
      <c r="H35" s="4497">
        <f t="shared" si="3"/>
        <v>31000</v>
      </c>
      <c r="I35" s="4497"/>
      <c r="J35" s="4497"/>
      <c r="K35" s="4502">
        <f t="shared" si="4"/>
        <v>31000</v>
      </c>
      <c r="L35" s="4497"/>
      <c r="M35" s="4497"/>
    </row>
    <row r="36" spans="2:13">
      <c r="B36" s="4483" t="s">
        <v>6524</v>
      </c>
      <c r="C36" s="4504" t="s">
        <v>3026</v>
      </c>
      <c r="D36" s="4497">
        <v>665424</v>
      </c>
      <c r="E36" s="4497"/>
      <c r="F36" s="4497"/>
      <c r="G36" s="4501">
        <f t="shared" si="2"/>
        <v>665424</v>
      </c>
      <c r="H36" s="4497">
        <f t="shared" si="3"/>
        <v>665424</v>
      </c>
      <c r="I36" s="4497"/>
      <c r="J36" s="4497"/>
      <c r="K36" s="4502">
        <f t="shared" si="4"/>
        <v>665424</v>
      </c>
      <c r="L36" s="4497"/>
      <c r="M36" s="4497"/>
    </row>
    <row r="37" spans="2:13">
      <c r="B37" s="4483" t="s">
        <v>6525</v>
      </c>
      <c r="C37" s="4504" t="s">
        <v>6685</v>
      </c>
      <c r="D37" s="4497">
        <v>15000</v>
      </c>
      <c r="E37" s="4497"/>
      <c r="F37" s="4497"/>
      <c r="G37" s="4501">
        <f t="shared" si="2"/>
        <v>15000</v>
      </c>
      <c r="H37" s="4497">
        <f t="shared" si="3"/>
        <v>15000</v>
      </c>
      <c r="I37" s="4497"/>
      <c r="J37" s="4497"/>
      <c r="K37" s="4502">
        <f t="shared" si="4"/>
        <v>15000</v>
      </c>
      <c r="L37" s="4497"/>
      <c r="M37" s="4497"/>
    </row>
    <row r="38" spans="2:13">
      <c r="B38" s="4483" t="s">
        <v>6526</v>
      </c>
      <c r="C38" s="4504" t="s">
        <v>6686</v>
      </c>
      <c r="D38" s="4497">
        <v>4804</v>
      </c>
      <c r="E38" s="4497"/>
      <c r="F38" s="4497"/>
      <c r="G38" s="4501">
        <f t="shared" si="2"/>
        <v>4804</v>
      </c>
      <c r="H38" s="4497">
        <f t="shared" si="3"/>
        <v>4804</v>
      </c>
      <c r="I38" s="4497"/>
      <c r="J38" s="4497"/>
      <c r="K38" s="4502">
        <f t="shared" si="4"/>
        <v>4804</v>
      </c>
      <c r="L38" s="4497"/>
      <c r="M38" s="4497"/>
    </row>
    <row r="39" spans="2:13">
      <c r="B39" s="4483" t="s">
        <v>6527</v>
      </c>
      <c r="C39" s="4504" t="s">
        <v>3032</v>
      </c>
      <c r="D39" s="4497">
        <v>604823.06999999995</v>
      </c>
      <c r="E39" s="4497"/>
      <c r="F39" s="4497"/>
      <c r="G39" s="4501">
        <f t="shared" si="2"/>
        <v>604823.06999999995</v>
      </c>
      <c r="H39" s="4497">
        <f t="shared" si="3"/>
        <v>604823.06999999995</v>
      </c>
      <c r="I39" s="4497"/>
      <c r="J39" s="4497"/>
      <c r="K39" s="4502">
        <f t="shared" si="4"/>
        <v>604823.06999999995</v>
      </c>
      <c r="L39" s="4497"/>
      <c r="M39" s="4497"/>
    </row>
    <row r="40" spans="2:13">
      <c r="B40" s="4483" t="s">
        <v>6528</v>
      </c>
      <c r="C40" s="4504" t="s">
        <v>3039</v>
      </c>
      <c r="D40" s="4497">
        <v>493782.5</v>
      </c>
      <c r="E40" s="4497"/>
      <c r="F40" s="4497">
        <v>1000</v>
      </c>
      <c r="G40" s="4501">
        <f t="shared" si="2"/>
        <v>492782.5</v>
      </c>
      <c r="H40" s="4497">
        <f t="shared" si="3"/>
        <v>492782.5</v>
      </c>
      <c r="I40" s="4497"/>
      <c r="J40" s="4497"/>
      <c r="K40" s="4502">
        <f t="shared" si="4"/>
        <v>492782.5</v>
      </c>
      <c r="L40" s="4497"/>
      <c r="M40" s="4497"/>
    </row>
    <row r="41" spans="2:13">
      <c r="B41" s="4483" t="s">
        <v>6687</v>
      </c>
      <c r="C41" s="4504" t="s">
        <v>3034</v>
      </c>
      <c r="D41" s="4497">
        <v>5750.25</v>
      </c>
      <c r="E41" s="4497">
        <v>6678.75</v>
      </c>
      <c r="F41" s="4497"/>
      <c r="G41" s="4501">
        <f t="shared" si="2"/>
        <v>12429</v>
      </c>
      <c r="H41" s="4497">
        <f t="shared" si="3"/>
        <v>12429</v>
      </c>
      <c r="I41" s="4497"/>
      <c r="J41" s="4497"/>
      <c r="K41" s="4502">
        <f t="shared" si="4"/>
        <v>12429</v>
      </c>
      <c r="L41" s="4497"/>
      <c r="M41" s="4497"/>
    </row>
    <row r="42" spans="2:13">
      <c r="B42" s="4483" t="s">
        <v>7201</v>
      </c>
      <c r="C42" s="4504" t="s">
        <v>3036</v>
      </c>
      <c r="D42" s="4497">
        <v>29000</v>
      </c>
      <c r="E42" s="4497">
        <f>126488.63+23686.24</f>
        <v>150174.87</v>
      </c>
      <c r="F42" s="4497"/>
      <c r="G42" s="4501">
        <f t="shared" si="2"/>
        <v>179174.87</v>
      </c>
      <c r="H42" s="4497">
        <f t="shared" si="3"/>
        <v>179174.87</v>
      </c>
      <c r="I42" s="4497"/>
      <c r="J42" s="4497"/>
      <c r="K42" s="4502">
        <f t="shared" si="4"/>
        <v>179174.87</v>
      </c>
      <c r="L42" s="4497"/>
      <c r="M42" s="4497"/>
    </row>
    <row r="43" spans="2:13">
      <c r="B43" s="4483" t="s">
        <v>6529</v>
      </c>
      <c r="C43" s="8722" t="s">
        <v>6688</v>
      </c>
      <c r="D43" s="4497">
        <v>2000</v>
      </c>
      <c r="E43" s="4497">
        <v>1000</v>
      </c>
      <c r="F43" s="4497"/>
      <c r="G43" s="4501">
        <f t="shared" si="2"/>
        <v>3000</v>
      </c>
      <c r="H43" s="4497">
        <f t="shared" si="3"/>
        <v>3000</v>
      </c>
      <c r="I43" s="4497"/>
      <c r="J43" s="4497"/>
      <c r="K43" s="4502">
        <f t="shared" si="4"/>
        <v>3000</v>
      </c>
      <c r="L43" s="4497"/>
      <c r="M43" s="4497"/>
    </row>
    <row r="44" spans="2:13">
      <c r="B44" s="4483" t="s">
        <v>6689</v>
      </c>
      <c r="C44" s="4504" t="s">
        <v>3038</v>
      </c>
      <c r="D44" s="4497">
        <v>123900</v>
      </c>
      <c r="E44" s="4497"/>
      <c r="F44" s="4497"/>
      <c r="G44" s="4501">
        <f t="shared" si="2"/>
        <v>123900</v>
      </c>
      <c r="H44" s="4497">
        <f t="shared" si="3"/>
        <v>123900</v>
      </c>
      <c r="I44" s="4497"/>
      <c r="J44" s="4497"/>
      <c r="K44" s="4502">
        <f t="shared" si="4"/>
        <v>123900</v>
      </c>
      <c r="L44" s="4497"/>
      <c r="M44" s="4497"/>
    </row>
    <row r="45" spans="2:13">
      <c r="B45" s="4483" t="s">
        <v>7401</v>
      </c>
      <c r="C45" s="4504" t="s">
        <v>3053</v>
      </c>
      <c r="D45" s="4497">
        <v>0</v>
      </c>
      <c r="E45" s="4497">
        <v>53100</v>
      </c>
      <c r="F45" s="4497"/>
      <c r="G45" s="4501">
        <f t="shared" si="2"/>
        <v>53100</v>
      </c>
      <c r="H45" s="4497">
        <f t="shared" si="3"/>
        <v>53100</v>
      </c>
      <c r="I45" s="4497"/>
      <c r="J45" s="4497"/>
      <c r="K45" s="4502">
        <f t="shared" si="4"/>
        <v>53100</v>
      </c>
      <c r="L45" s="4497"/>
      <c r="M45" s="4497"/>
    </row>
    <row r="46" spans="2:13">
      <c r="B46" s="4483" t="s">
        <v>6532</v>
      </c>
      <c r="C46" s="4504" t="s">
        <v>3775</v>
      </c>
      <c r="D46" s="4497">
        <v>67708.69</v>
      </c>
      <c r="E46" s="4497">
        <v>5000</v>
      </c>
      <c r="F46" s="4497"/>
      <c r="G46" s="4501">
        <f t="shared" si="2"/>
        <v>72708.69</v>
      </c>
      <c r="H46" s="4497">
        <f t="shared" si="3"/>
        <v>72708.69</v>
      </c>
      <c r="I46" s="4497"/>
      <c r="J46" s="4497"/>
      <c r="K46" s="4502">
        <f>+G46</f>
        <v>72708.69</v>
      </c>
      <c r="L46" s="4497"/>
      <c r="M46" s="4497"/>
    </row>
    <row r="47" spans="2:13">
      <c r="B47" s="4505" t="s">
        <v>6991</v>
      </c>
      <c r="C47" s="4504" t="s">
        <v>3778</v>
      </c>
      <c r="D47" s="4497">
        <v>108903.27</v>
      </c>
      <c r="E47" s="8656"/>
      <c r="F47" s="4497"/>
      <c r="G47" s="4501">
        <f t="shared" si="2"/>
        <v>108903.27</v>
      </c>
      <c r="H47" s="4497">
        <f t="shared" si="3"/>
        <v>108903.27</v>
      </c>
      <c r="I47" s="4497"/>
      <c r="J47" s="4497">
        <f>+G47</f>
        <v>108903.27</v>
      </c>
      <c r="K47" s="4502"/>
      <c r="L47" s="4497"/>
      <c r="M47" s="4497"/>
    </row>
    <row r="48" spans="2:13">
      <c r="B48" s="4483" t="s">
        <v>6533</v>
      </c>
      <c r="C48" s="4504" t="s">
        <v>3778</v>
      </c>
      <c r="D48" s="4497">
        <v>203857.37</v>
      </c>
      <c r="E48" s="8656">
        <v>16000</v>
      </c>
      <c r="F48" s="4497"/>
      <c r="G48" s="4501">
        <f t="shared" si="2"/>
        <v>219857.37</v>
      </c>
      <c r="H48" s="4497">
        <f t="shared" si="3"/>
        <v>219857.37</v>
      </c>
      <c r="I48" s="4497"/>
      <c r="J48" s="4497"/>
      <c r="K48" s="4502">
        <f>+G48</f>
        <v>219857.37</v>
      </c>
      <c r="L48" s="4506"/>
      <c r="M48" s="4506"/>
    </row>
    <row r="49" spans="2:13">
      <c r="B49" s="4507" t="s">
        <v>6618</v>
      </c>
      <c r="C49" s="4504" t="s">
        <v>881</v>
      </c>
      <c r="D49" s="4497">
        <v>2686.7599999999984</v>
      </c>
      <c r="E49" s="4497"/>
      <c r="F49" s="4508"/>
      <c r="G49" s="4501">
        <f t="shared" si="2"/>
        <v>2686.7599999999984</v>
      </c>
      <c r="H49" s="4497">
        <f t="shared" si="3"/>
        <v>2686.7599999999984</v>
      </c>
      <c r="I49" s="4497">
        <f>G49</f>
        <v>2686.7599999999984</v>
      </c>
      <c r="J49" s="4497"/>
      <c r="K49" s="4502"/>
      <c r="L49" s="4497"/>
      <c r="M49" s="4497"/>
    </row>
    <row r="50" spans="2:13">
      <c r="B50" s="4483" t="s">
        <v>6690</v>
      </c>
      <c r="C50" s="4504" t="s">
        <v>881</v>
      </c>
      <c r="D50" s="4497">
        <v>22200</v>
      </c>
      <c r="E50" s="4497"/>
      <c r="F50" s="4497"/>
      <c r="G50" s="4501">
        <f t="shared" si="2"/>
        <v>22200</v>
      </c>
      <c r="H50" s="4497">
        <f t="shared" si="3"/>
        <v>22200</v>
      </c>
      <c r="I50" s="4497"/>
      <c r="J50" s="4497"/>
      <c r="K50" s="4502">
        <f>+G50</f>
        <v>22200</v>
      </c>
      <c r="L50" s="4497"/>
      <c r="M50" s="4497"/>
    </row>
    <row r="51" spans="2:13">
      <c r="B51" s="4483" t="s">
        <v>6535</v>
      </c>
      <c r="C51" s="4504" t="s">
        <v>606</v>
      </c>
      <c r="D51" s="4497">
        <v>450</v>
      </c>
      <c r="E51" s="4497"/>
      <c r="F51" s="4497"/>
      <c r="G51" s="4501">
        <f t="shared" si="2"/>
        <v>450</v>
      </c>
      <c r="H51" s="4497">
        <f t="shared" si="3"/>
        <v>450</v>
      </c>
      <c r="I51" s="4497"/>
      <c r="J51" s="4497"/>
      <c r="K51" s="4502">
        <f>+G51</f>
        <v>450</v>
      </c>
      <c r="L51" s="4497"/>
      <c r="M51" s="4497"/>
    </row>
    <row r="52" spans="2:13">
      <c r="B52" s="4505" t="s">
        <v>6992</v>
      </c>
      <c r="C52" s="4504" t="s">
        <v>6691</v>
      </c>
      <c r="D52" s="4497">
        <v>1300.0000000000002</v>
      </c>
      <c r="E52" s="4497"/>
      <c r="F52" s="4497"/>
      <c r="G52" s="4501">
        <f t="shared" si="2"/>
        <v>1300.0000000000002</v>
      </c>
      <c r="H52" s="4497">
        <f t="shared" si="3"/>
        <v>1300.0000000000002</v>
      </c>
      <c r="I52" s="4497"/>
      <c r="J52" s="4497">
        <f>+G52</f>
        <v>1300.0000000000002</v>
      </c>
      <c r="K52" s="4502"/>
      <c r="L52" s="4497"/>
      <c r="M52" s="4497"/>
    </row>
    <row r="53" spans="2:13">
      <c r="B53" s="4483" t="s">
        <v>6536</v>
      </c>
      <c r="C53" s="4504" t="s">
        <v>6691</v>
      </c>
      <c r="D53" s="4497">
        <v>0</v>
      </c>
      <c r="E53" s="4497"/>
      <c r="F53" s="4497"/>
      <c r="G53" s="4501">
        <f t="shared" si="2"/>
        <v>0</v>
      </c>
      <c r="H53" s="4497">
        <f t="shared" si="3"/>
        <v>0</v>
      </c>
      <c r="I53" s="4497"/>
      <c r="J53" s="4497"/>
      <c r="K53" s="4502">
        <f>+G53</f>
        <v>0</v>
      </c>
      <c r="L53" s="4497"/>
      <c r="M53" s="4497"/>
    </row>
    <row r="54" spans="2:13">
      <c r="B54" s="4507" t="s">
        <v>5012</v>
      </c>
      <c r="C54" s="4504" t="s">
        <v>6692</v>
      </c>
      <c r="D54" s="4497">
        <v>0</v>
      </c>
      <c r="E54" s="4508">
        <v>1292.4000000000001</v>
      </c>
      <c r="F54" s="4497"/>
      <c r="G54" s="4501">
        <f t="shared" si="2"/>
        <v>1292.4000000000001</v>
      </c>
      <c r="H54" s="4497">
        <f t="shared" si="3"/>
        <v>1292.4000000000001</v>
      </c>
      <c r="I54" s="4497">
        <f>G54</f>
        <v>1292.4000000000001</v>
      </c>
      <c r="J54" s="4497"/>
      <c r="K54" s="4502"/>
      <c r="L54" s="4497"/>
      <c r="M54" s="4497"/>
    </row>
    <row r="55" spans="2:13">
      <c r="B55" s="4505" t="s">
        <v>5020</v>
      </c>
      <c r="C55" s="4504" t="s">
        <v>6692</v>
      </c>
      <c r="D55" s="4497">
        <v>15000</v>
      </c>
      <c r="E55" s="4508">
        <v>6300</v>
      </c>
      <c r="F55" s="4497">
        <v>964.29</v>
      </c>
      <c r="G55" s="4501">
        <f t="shared" si="2"/>
        <v>20335.71</v>
      </c>
      <c r="H55" s="4497">
        <f t="shared" si="3"/>
        <v>20335.71</v>
      </c>
      <c r="I55" s="4497"/>
      <c r="J55" s="4497">
        <f>+G55</f>
        <v>20335.71</v>
      </c>
      <c r="K55" s="4502"/>
      <c r="L55" s="4497"/>
      <c r="M55" s="4497"/>
    </row>
    <row r="56" spans="2:13">
      <c r="B56" s="4483" t="s">
        <v>5075</v>
      </c>
      <c r="C56" s="4504" t="s">
        <v>6692</v>
      </c>
      <c r="D56" s="4497">
        <v>28803.420000000006</v>
      </c>
      <c r="E56" s="4508"/>
      <c r="F56" s="4497"/>
      <c r="G56" s="4501">
        <f t="shared" si="2"/>
        <v>28803.420000000006</v>
      </c>
      <c r="H56" s="4497">
        <f t="shared" si="3"/>
        <v>28803.420000000006</v>
      </c>
      <c r="I56" s="4497"/>
      <c r="J56" s="4497"/>
      <c r="K56" s="4502">
        <f>G56</f>
        <v>28803.420000000006</v>
      </c>
      <c r="L56" s="4497"/>
      <c r="M56" s="4497"/>
    </row>
    <row r="57" spans="2:13">
      <c r="B57" s="4507" t="s">
        <v>6765</v>
      </c>
      <c r="C57" s="4504" t="s">
        <v>471</v>
      </c>
      <c r="D57" s="4497">
        <v>2623.94</v>
      </c>
      <c r="E57" s="4508"/>
      <c r="F57" s="4497"/>
      <c r="G57" s="4501">
        <f t="shared" si="2"/>
        <v>2623.94</v>
      </c>
      <c r="H57" s="4497">
        <f t="shared" si="3"/>
        <v>2623.94</v>
      </c>
      <c r="I57" s="4497">
        <f>G57</f>
        <v>2623.94</v>
      </c>
      <c r="J57" s="4497"/>
      <c r="K57" s="4502"/>
      <c r="L57" s="4497"/>
      <c r="M57" s="4497"/>
    </row>
    <row r="58" spans="2:13">
      <c r="B58" s="4505" t="s">
        <v>6993</v>
      </c>
      <c r="C58" s="4504" t="s">
        <v>471</v>
      </c>
      <c r="D58" s="4497">
        <v>28000</v>
      </c>
      <c r="E58" s="4508"/>
      <c r="F58" s="4497">
        <v>11732.14</v>
      </c>
      <c r="G58" s="4501">
        <f t="shared" si="2"/>
        <v>16267.86</v>
      </c>
      <c r="H58" s="4497">
        <f t="shared" si="3"/>
        <v>16267.86</v>
      </c>
      <c r="I58" s="4497"/>
      <c r="J58" s="4497">
        <f>G58</f>
        <v>16267.86</v>
      </c>
      <c r="K58" s="4502"/>
      <c r="L58" s="4497"/>
      <c r="M58" s="4497"/>
    </row>
    <row r="59" spans="2:13">
      <c r="B59" s="4483" t="s">
        <v>6693</v>
      </c>
      <c r="C59" s="4504" t="s">
        <v>471</v>
      </c>
      <c r="D59" s="4497">
        <v>0</v>
      </c>
      <c r="E59" s="4508"/>
      <c r="F59" s="4497"/>
      <c r="G59" s="4501">
        <f t="shared" si="2"/>
        <v>0</v>
      </c>
      <c r="H59" s="4497">
        <f t="shared" si="3"/>
        <v>0</v>
      </c>
      <c r="I59" s="4497"/>
      <c r="J59" s="4497"/>
      <c r="K59" s="4502">
        <f>+G59</f>
        <v>0</v>
      </c>
      <c r="L59" s="4497"/>
      <c r="M59" s="4497"/>
    </row>
    <row r="60" spans="2:13">
      <c r="B60" s="4483" t="s">
        <v>6540</v>
      </c>
      <c r="C60" s="4504" t="s">
        <v>2621</v>
      </c>
      <c r="D60" s="4497">
        <v>458479.94</v>
      </c>
      <c r="E60" s="4508"/>
      <c r="F60" s="4497">
        <v>131300.82</v>
      </c>
      <c r="G60" s="4501">
        <f t="shared" si="2"/>
        <v>327179.12</v>
      </c>
      <c r="H60" s="4497">
        <f t="shared" si="3"/>
        <v>327179.12</v>
      </c>
      <c r="I60" s="4497"/>
      <c r="J60" s="4497"/>
      <c r="K60" s="4502">
        <f>+G60</f>
        <v>327179.12</v>
      </c>
      <c r="L60" s="4497"/>
      <c r="M60" s="4497"/>
    </row>
    <row r="61" spans="2:13">
      <c r="B61" s="4507" t="s">
        <v>7202</v>
      </c>
      <c r="C61" s="4504" t="s">
        <v>7203</v>
      </c>
      <c r="D61" s="4497">
        <v>24381</v>
      </c>
      <c r="E61" s="4508">
        <v>6300</v>
      </c>
      <c r="F61" s="8656"/>
      <c r="G61" s="4501">
        <f t="shared" si="2"/>
        <v>30681</v>
      </c>
      <c r="H61" s="4497">
        <f t="shared" si="3"/>
        <v>30681</v>
      </c>
      <c r="I61" s="4497">
        <f>G61</f>
        <v>30681</v>
      </c>
      <c r="J61" s="4497"/>
      <c r="K61" s="4502"/>
      <c r="L61" s="4497"/>
      <c r="M61" s="4497"/>
    </row>
    <row r="62" spans="2:13" ht="13.5">
      <c r="B62" s="4483" t="s">
        <v>7204</v>
      </c>
      <c r="C62" s="4504" t="s">
        <v>3540</v>
      </c>
      <c r="D62" s="4497">
        <v>20.16</v>
      </c>
      <c r="E62" s="8723"/>
      <c r="F62" s="4497"/>
      <c r="G62" s="4501">
        <f t="shared" si="2"/>
        <v>20.16</v>
      </c>
      <c r="H62" s="4497">
        <f t="shared" si="3"/>
        <v>20.16</v>
      </c>
      <c r="I62" s="4497"/>
      <c r="J62" s="4497"/>
      <c r="K62" s="4502">
        <f t="shared" ref="K62:K70" si="5">+G62</f>
        <v>20.16</v>
      </c>
      <c r="L62" s="4497"/>
      <c r="M62" s="4497"/>
    </row>
    <row r="63" spans="2:13">
      <c r="B63" s="4483" t="s">
        <v>6694</v>
      </c>
      <c r="C63" s="4504" t="s">
        <v>841</v>
      </c>
      <c r="D63" s="4497">
        <v>20446.2</v>
      </c>
      <c r="E63" s="4508">
        <v>2580</v>
      </c>
      <c r="F63" s="4497"/>
      <c r="G63" s="4501">
        <f t="shared" si="2"/>
        <v>23026.2</v>
      </c>
      <c r="H63" s="4497">
        <f t="shared" si="3"/>
        <v>23026.2</v>
      </c>
      <c r="I63" s="4497"/>
      <c r="J63" s="4497"/>
      <c r="K63" s="4502">
        <f t="shared" si="5"/>
        <v>23026.2</v>
      </c>
      <c r="L63" s="4497"/>
      <c r="M63" s="4497"/>
    </row>
    <row r="64" spans="2:13">
      <c r="B64" s="4483" t="s">
        <v>6541</v>
      </c>
      <c r="C64" s="4504" t="s">
        <v>5150</v>
      </c>
      <c r="D64" s="4497">
        <v>0</v>
      </c>
      <c r="E64" s="4508"/>
      <c r="F64" s="4497"/>
      <c r="G64" s="4501">
        <f t="shared" si="2"/>
        <v>0</v>
      </c>
      <c r="H64" s="4497">
        <f t="shared" si="3"/>
        <v>0</v>
      </c>
      <c r="I64" s="4497"/>
      <c r="J64" s="4497"/>
      <c r="K64" s="4502">
        <f t="shared" si="5"/>
        <v>0</v>
      </c>
      <c r="L64" s="4497"/>
      <c r="M64" s="4497"/>
    </row>
    <row r="65" spans="2:13">
      <c r="B65" s="4483" t="s">
        <v>6542</v>
      </c>
      <c r="C65" s="4504" t="s">
        <v>6695</v>
      </c>
      <c r="D65" s="4497">
        <v>59844.68</v>
      </c>
      <c r="E65" s="4508"/>
      <c r="F65" s="4497">
        <v>7844.68</v>
      </c>
      <c r="G65" s="4501">
        <f t="shared" si="2"/>
        <v>52000</v>
      </c>
      <c r="H65" s="4497">
        <f t="shared" si="3"/>
        <v>52000</v>
      </c>
      <c r="I65" s="4497"/>
      <c r="J65" s="4497"/>
      <c r="K65" s="4502">
        <f t="shared" si="5"/>
        <v>52000</v>
      </c>
      <c r="L65" s="4497"/>
      <c r="M65" s="4497"/>
    </row>
    <row r="66" spans="2:13">
      <c r="B66" s="4483" t="s">
        <v>6696</v>
      </c>
      <c r="C66" s="4504" t="s">
        <v>6697</v>
      </c>
      <c r="D66" s="4497">
        <v>30040</v>
      </c>
      <c r="E66" s="4508"/>
      <c r="F66" s="4497"/>
      <c r="G66" s="4501">
        <f t="shared" si="2"/>
        <v>30040</v>
      </c>
      <c r="H66" s="4497">
        <f t="shared" si="3"/>
        <v>30040</v>
      </c>
      <c r="I66" s="4497"/>
      <c r="J66" s="4497"/>
      <c r="K66" s="4502">
        <f t="shared" si="5"/>
        <v>30040</v>
      </c>
      <c r="L66" s="4497"/>
      <c r="M66" s="4497"/>
    </row>
    <row r="67" spans="2:13">
      <c r="B67" s="4483" t="s">
        <v>6543</v>
      </c>
      <c r="C67" s="4504" t="s">
        <v>27</v>
      </c>
      <c r="D67" s="4497">
        <v>11700</v>
      </c>
      <c r="E67" s="4497"/>
      <c r="F67" s="4497"/>
      <c r="G67" s="4501">
        <f t="shared" si="2"/>
        <v>11700</v>
      </c>
      <c r="H67" s="4497">
        <f t="shared" si="3"/>
        <v>11700</v>
      </c>
      <c r="I67" s="4497"/>
      <c r="J67" s="4497"/>
      <c r="K67" s="4502">
        <f t="shared" si="5"/>
        <v>11700</v>
      </c>
      <c r="L67" s="4497"/>
      <c r="M67" s="4497"/>
    </row>
    <row r="68" spans="2:13">
      <c r="B68" s="4483" t="s">
        <v>6544</v>
      </c>
      <c r="C68" s="4504" t="s">
        <v>1507</v>
      </c>
      <c r="D68" s="4497">
        <v>2000</v>
      </c>
      <c r="E68" s="4497"/>
      <c r="F68" s="4497"/>
      <c r="G68" s="4501">
        <f t="shared" si="2"/>
        <v>2000</v>
      </c>
      <c r="H68" s="4497">
        <f t="shared" si="3"/>
        <v>2000</v>
      </c>
      <c r="I68" s="4497"/>
      <c r="J68" s="4497"/>
      <c r="K68" s="4502">
        <f t="shared" si="5"/>
        <v>2000</v>
      </c>
      <c r="L68" s="4497"/>
      <c r="M68" s="4497"/>
    </row>
    <row r="69" spans="2:13">
      <c r="B69" s="4483" t="s">
        <v>6545</v>
      </c>
      <c r="C69" s="4504" t="s">
        <v>29</v>
      </c>
      <c r="D69" s="4497">
        <v>20000</v>
      </c>
      <c r="E69" s="4497"/>
      <c r="F69" s="4497"/>
      <c r="G69" s="4501">
        <f t="shared" si="2"/>
        <v>20000</v>
      </c>
      <c r="H69" s="4497">
        <f t="shared" si="3"/>
        <v>20000</v>
      </c>
      <c r="I69" s="4497"/>
      <c r="J69" s="4497"/>
      <c r="K69" s="4502">
        <f t="shared" si="5"/>
        <v>20000</v>
      </c>
      <c r="L69" s="4497"/>
      <c r="M69" s="4497"/>
    </row>
    <row r="70" spans="2:13">
      <c r="B70" s="4483" t="s">
        <v>6546</v>
      </c>
      <c r="C70" s="4504" t="s">
        <v>30</v>
      </c>
      <c r="D70" s="4497">
        <v>8400</v>
      </c>
      <c r="E70" s="4497"/>
      <c r="F70" s="4497"/>
      <c r="G70" s="4501">
        <f t="shared" si="2"/>
        <v>8400</v>
      </c>
      <c r="H70" s="4497">
        <f t="shared" si="3"/>
        <v>8400</v>
      </c>
      <c r="I70" s="4497"/>
      <c r="J70" s="4497"/>
      <c r="K70" s="4502">
        <f t="shared" si="5"/>
        <v>8400</v>
      </c>
      <c r="L70" s="4497"/>
      <c r="M70" s="4497"/>
    </row>
    <row r="71" spans="2:13">
      <c r="B71" s="4509" t="s">
        <v>6643</v>
      </c>
      <c r="C71" s="4504" t="s">
        <v>6698</v>
      </c>
      <c r="D71" s="4497">
        <v>0</v>
      </c>
      <c r="E71" s="4510"/>
      <c r="F71" s="4497"/>
      <c r="G71" s="4501">
        <f t="shared" si="2"/>
        <v>0</v>
      </c>
      <c r="H71" s="4497">
        <f t="shared" si="3"/>
        <v>0</v>
      </c>
      <c r="I71" s="4497"/>
      <c r="J71" s="4497">
        <f>G71</f>
        <v>0</v>
      </c>
      <c r="K71" s="4502"/>
      <c r="L71" s="4497"/>
      <c r="M71" s="4497"/>
    </row>
    <row r="72" spans="2:13">
      <c r="B72" s="4483" t="s">
        <v>6547</v>
      </c>
      <c r="C72" s="4504" t="s">
        <v>6698</v>
      </c>
      <c r="D72" s="4497">
        <v>12000</v>
      </c>
      <c r="E72" s="4497"/>
      <c r="F72" s="4497"/>
      <c r="G72" s="4501">
        <f t="shared" si="2"/>
        <v>12000</v>
      </c>
      <c r="H72" s="4497">
        <f t="shared" si="3"/>
        <v>12000</v>
      </c>
      <c r="I72" s="4497"/>
      <c r="J72" s="4497"/>
      <c r="K72" s="4502">
        <f>+G72</f>
        <v>12000</v>
      </c>
      <c r="L72" s="4497"/>
      <c r="M72" s="4497"/>
    </row>
    <row r="73" spans="2:13">
      <c r="B73" s="4507" t="s">
        <v>6699</v>
      </c>
      <c r="C73" s="4504" t="s">
        <v>281</v>
      </c>
      <c r="D73" s="4497">
        <v>0</v>
      </c>
      <c r="E73" s="4497">
        <v>70203.710000000006</v>
      </c>
      <c r="F73" s="4497"/>
      <c r="G73" s="4501">
        <f t="shared" si="2"/>
        <v>70203.710000000006</v>
      </c>
      <c r="H73" s="4497">
        <f t="shared" si="3"/>
        <v>70203.710000000006</v>
      </c>
      <c r="I73" s="4497">
        <f>+G73</f>
        <v>70203.710000000006</v>
      </c>
      <c r="J73" s="4497"/>
      <c r="K73" s="4502"/>
      <c r="L73" s="4497"/>
      <c r="M73" s="4497"/>
    </row>
    <row r="74" spans="2:13">
      <c r="B74" s="4509" t="s">
        <v>6700</v>
      </c>
      <c r="C74" s="4504" t="s">
        <v>281</v>
      </c>
      <c r="D74" s="4497">
        <v>90228.72</v>
      </c>
      <c r="E74" s="4497">
        <v>7543.88</v>
      </c>
      <c r="F74" s="4497"/>
      <c r="G74" s="4501">
        <f t="shared" si="2"/>
        <v>97772.6</v>
      </c>
      <c r="H74" s="4497">
        <f t="shared" si="3"/>
        <v>97772.6</v>
      </c>
      <c r="I74" s="4497"/>
      <c r="J74" s="4497">
        <f>+G74</f>
        <v>97772.6</v>
      </c>
      <c r="K74" s="4502"/>
      <c r="L74" s="4497"/>
      <c r="M74" s="4497"/>
    </row>
    <row r="75" spans="2:13">
      <c r="B75" s="4483" t="s">
        <v>6701</v>
      </c>
      <c r="C75" s="4504" t="s">
        <v>281</v>
      </c>
      <c r="D75" s="4497">
        <v>5085.0000000000255</v>
      </c>
      <c r="E75" s="4508">
        <v>83275.509999999995</v>
      </c>
      <c r="F75" s="4508">
        <v>1610</v>
      </c>
      <c r="G75" s="4501">
        <f t="shared" si="2"/>
        <v>86750.510000000024</v>
      </c>
      <c r="H75" s="4497">
        <f t="shared" si="3"/>
        <v>86750.510000000024</v>
      </c>
      <c r="I75" s="4497"/>
      <c r="J75" s="4497"/>
      <c r="K75" s="4502">
        <f>+G75</f>
        <v>86750.510000000024</v>
      </c>
      <c r="L75" s="4497"/>
      <c r="M75" s="4497"/>
    </row>
    <row r="76" spans="2:13">
      <c r="B76" s="4483" t="s">
        <v>6702</v>
      </c>
      <c r="C76" s="4504" t="s">
        <v>6703</v>
      </c>
      <c r="D76" s="4497">
        <v>13393</v>
      </c>
      <c r="E76" s="4497"/>
      <c r="F76" s="4497">
        <v>0.14000000000000001</v>
      </c>
      <c r="G76" s="4501">
        <f t="shared" si="2"/>
        <v>13392.86</v>
      </c>
      <c r="H76" s="4497">
        <f t="shared" si="3"/>
        <v>13392.86</v>
      </c>
      <c r="I76" s="4497"/>
      <c r="J76" s="4497"/>
      <c r="K76" s="4502">
        <f>+G76</f>
        <v>13392.86</v>
      </c>
      <c r="L76" s="4497"/>
      <c r="M76" s="4497"/>
    </row>
    <row r="77" spans="2:13">
      <c r="B77" s="4483" t="s">
        <v>6706</v>
      </c>
      <c r="C77" s="8724" t="s">
        <v>6705</v>
      </c>
      <c r="D77" s="4497">
        <v>27912.880000000001</v>
      </c>
      <c r="E77" s="4497"/>
      <c r="F77" s="4522"/>
      <c r="G77" s="4501">
        <f t="shared" si="2"/>
        <v>27912.880000000001</v>
      </c>
      <c r="H77" s="4497">
        <f t="shared" si="3"/>
        <v>27912.880000000001</v>
      </c>
      <c r="I77" s="4497"/>
      <c r="J77" s="4497"/>
      <c r="K77" s="4502">
        <f>+G77</f>
        <v>27912.880000000001</v>
      </c>
      <c r="L77" s="4497"/>
      <c r="M77" s="4497"/>
    </row>
    <row r="78" spans="2:13">
      <c r="B78" s="4509" t="s">
        <v>6707</v>
      </c>
      <c r="C78" s="4504" t="s">
        <v>3855</v>
      </c>
      <c r="D78" s="4497">
        <v>6109.19</v>
      </c>
      <c r="E78" s="4497"/>
      <c r="F78" s="4497"/>
      <c r="G78" s="4501">
        <f t="shared" si="2"/>
        <v>6109.19</v>
      </c>
      <c r="H78" s="4497">
        <f t="shared" si="3"/>
        <v>6109.19</v>
      </c>
      <c r="I78" s="4497"/>
      <c r="J78" s="4497">
        <f>+G78</f>
        <v>6109.19</v>
      </c>
      <c r="K78" s="4502"/>
      <c r="L78" s="4497"/>
      <c r="M78" s="4497"/>
    </row>
    <row r="79" spans="2:13">
      <c r="B79" s="4483" t="s">
        <v>6550</v>
      </c>
      <c r="C79" s="4504" t="s">
        <v>3855</v>
      </c>
      <c r="D79" s="4497">
        <v>50402.86</v>
      </c>
      <c r="E79" s="4497"/>
      <c r="F79" s="4497">
        <v>45.24</v>
      </c>
      <c r="G79" s="4501">
        <f t="shared" si="2"/>
        <v>50357.62</v>
      </c>
      <c r="H79" s="4497">
        <f t="shared" si="3"/>
        <v>50357.62</v>
      </c>
      <c r="I79" s="4497"/>
      <c r="J79" s="4497"/>
      <c r="K79" s="4502">
        <f>+G79</f>
        <v>50357.62</v>
      </c>
      <c r="L79" s="4497"/>
      <c r="M79" s="4497"/>
    </row>
    <row r="80" spans="2:13">
      <c r="B80" s="4483" t="s">
        <v>6994</v>
      </c>
      <c r="C80" s="4504" t="s">
        <v>6995</v>
      </c>
      <c r="D80" s="4497">
        <v>200</v>
      </c>
      <c r="E80" s="4497"/>
      <c r="F80" s="4497"/>
      <c r="G80" s="4501">
        <f t="shared" si="2"/>
        <v>200</v>
      </c>
      <c r="H80" s="4497">
        <f t="shared" si="3"/>
        <v>200</v>
      </c>
      <c r="I80" s="4497"/>
      <c r="J80" s="4497"/>
      <c r="K80" s="4502">
        <f>+G80</f>
        <v>200</v>
      </c>
      <c r="L80" s="4497"/>
      <c r="M80" s="4497"/>
    </row>
    <row r="81" spans="2:13">
      <c r="B81" s="4507" t="s">
        <v>7402</v>
      </c>
      <c r="C81" s="4504" t="s">
        <v>905</v>
      </c>
      <c r="D81" s="4497">
        <v>0</v>
      </c>
      <c r="E81" s="4508">
        <v>6300</v>
      </c>
      <c r="F81" s="4508"/>
      <c r="G81" s="4501">
        <f t="shared" si="2"/>
        <v>6300</v>
      </c>
      <c r="H81" s="4497">
        <f t="shared" si="3"/>
        <v>6300</v>
      </c>
      <c r="I81" s="4497">
        <f>+G81</f>
        <v>6300</v>
      </c>
      <c r="J81" s="4497"/>
      <c r="K81" s="4502"/>
      <c r="L81" s="4497"/>
      <c r="M81" s="4497"/>
    </row>
    <row r="82" spans="2:13">
      <c r="B82" s="4507" t="s">
        <v>6996</v>
      </c>
      <c r="C82" s="4504" t="s">
        <v>6709</v>
      </c>
      <c r="D82" s="4497">
        <v>137290.59000000003</v>
      </c>
      <c r="E82" s="4508"/>
      <c r="F82" s="4508"/>
      <c r="G82" s="4501">
        <f t="shared" si="2"/>
        <v>137290.59000000003</v>
      </c>
      <c r="H82" s="4497">
        <f t="shared" si="3"/>
        <v>137290.59000000003</v>
      </c>
      <c r="I82" s="4497">
        <f>G82</f>
        <v>137290.59000000003</v>
      </c>
      <c r="J82" s="4497"/>
      <c r="K82" s="4502"/>
      <c r="L82" s="4497"/>
      <c r="M82" s="4497"/>
    </row>
    <row r="83" spans="2:13">
      <c r="B83" s="4483" t="s">
        <v>6708</v>
      </c>
      <c r="C83" s="4504" t="s">
        <v>6709</v>
      </c>
      <c r="D83" s="4497">
        <v>75000</v>
      </c>
      <c r="E83" s="4508"/>
      <c r="F83" s="4508"/>
      <c r="G83" s="4501">
        <f t="shared" si="2"/>
        <v>75000</v>
      </c>
      <c r="H83" s="4497">
        <f t="shared" si="3"/>
        <v>75000</v>
      </c>
      <c r="I83" s="4497"/>
      <c r="J83" s="4497"/>
      <c r="K83" s="4502">
        <f>+G83</f>
        <v>75000</v>
      </c>
      <c r="L83" s="4497"/>
      <c r="M83" s="4497"/>
    </row>
    <row r="84" spans="2:13">
      <c r="B84" s="4483" t="s">
        <v>6997</v>
      </c>
      <c r="C84" s="4504" t="s">
        <v>307</v>
      </c>
      <c r="D84" s="4497">
        <v>6300</v>
      </c>
      <c r="E84" s="4508"/>
      <c r="F84" s="4508"/>
      <c r="G84" s="4501">
        <f t="shared" si="2"/>
        <v>6300</v>
      </c>
      <c r="H84" s="4497">
        <f t="shared" si="3"/>
        <v>6300</v>
      </c>
      <c r="I84" s="4497"/>
      <c r="J84" s="4497"/>
      <c r="K84" s="4502">
        <f>+G84</f>
        <v>6300</v>
      </c>
      <c r="L84" s="4497"/>
      <c r="M84" s="4497"/>
    </row>
    <row r="85" spans="2:13">
      <c r="B85" s="4483" t="s">
        <v>6552</v>
      </c>
      <c r="C85" s="4504" t="s">
        <v>6710</v>
      </c>
      <c r="D85" s="4497">
        <v>0</v>
      </c>
      <c r="E85" s="4508"/>
      <c r="F85" s="4508"/>
      <c r="G85" s="4501">
        <f t="shared" si="2"/>
        <v>0</v>
      </c>
      <c r="H85" s="4497">
        <f t="shared" si="3"/>
        <v>0</v>
      </c>
      <c r="I85" s="4497"/>
      <c r="J85" s="4497"/>
      <c r="K85" s="4502">
        <f>+G85</f>
        <v>0</v>
      </c>
      <c r="L85" s="4497"/>
      <c r="M85" s="4497"/>
    </row>
    <row r="86" spans="2:13">
      <c r="B86" s="4483" t="s">
        <v>6553</v>
      </c>
      <c r="C86" s="4504" t="s">
        <v>2507</v>
      </c>
      <c r="D86" s="4497">
        <v>19894.43</v>
      </c>
      <c r="E86" s="4508"/>
      <c r="F86" s="4508">
        <f>761.33+260</f>
        <v>1021.33</v>
      </c>
      <c r="G86" s="4501">
        <f t="shared" si="2"/>
        <v>18873.099999999999</v>
      </c>
      <c r="H86" s="4497">
        <f t="shared" si="3"/>
        <v>18873.099999999999</v>
      </c>
      <c r="I86" s="4497"/>
      <c r="J86" s="4497"/>
      <c r="K86" s="4502">
        <f>+G86</f>
        <v>18873.099999999999</v>
      </c>
      <c r="L86" s="4497"/>
      <c r="M86" s="4497"/>
    </row>
    <row r="87" spans="2:13">
      <c r="B87" s="4507" t="s">
        <v>6601</v>
      </c>
      <c r="C87" s="4504" t="s">
        <v>1360</v>
      </c>
      <c r="D87" s="4497">
        <v>11054.4</v>
      </c>
      <c r="E87" s="4508"/>
      <c r="F87" s="4508">
        <f>+D87-9870</f>
        <v>1184.3999999999996</v>
      </c>
      <c r="G87" s="4501">
        <f t="shared" si="2"/>
        <v>9870</v>
      </c>
      <c r="H87" s="4497">
        <f t="shared" si="3"/>
        <v>9870</v>
      </c>
      <c r="I87" s="4497">
        <f>+G87</f>
        <v>9870</v>
      </c>
      <c r="J87" s="4497"/>
      <c r="K87" s="4502"/>
      <c r="L87" s="4497"/>
      <c r="M87" s="4497"/>
    </row>
    <row r="88" spans="2:13">
      <c r="B88" s="4483" t="s">
        <v>6603</v>
      </c>
      <c r="C88" s="4504" t="s">
        <v>1360</v>
      </c>
      <c r="D88" s="4497">
        <v>6000</v>
      </c>
      <c r="E88" s="4508">
        <v>5000</v>
      </c>
      <c r="F88" s="4508"/>
      <c r="G88" s="4501">
        <f t="shared" si="2"/>
        <v>11000</v>
      </c>
      <c r="H88" s="4497">
        <f t="shared" si="3"/>
        <v>11000</v>
      </c>
      <c r="I88" s="4497"/>
      <c r="J88" s="4497"/>
      <c r="K88" s="4502">
        <f>+G88</f>
        <v>11000</v>
      </c>
      <c r="L88" s="4497"/>
      <c r="M88" s="4497"/>
    </row>
    <row r="89" spans="2:13">
      <c r="B89" s="4509" t="s">
        <v>5097</v>
      </c>
      <c r="C89" s="4504" t="s">
        <v>1665</v>
      </c>
      <c r="D89" s="4497">
        <v>2500</v>
      </c>
      <c r="E89" s="4497"/>
      <c r="F89" s="4497">
        <v>267.86</v>
      </c>
      <c r="G89" s="4501">
        <f t="shared" si="2"/>
        <v>2232.14</v>
      </c>
      <c r="H89" s="4497">
        <f t="shared" si="3"/>
        <v>2232.14</v>
      </c>
      <c r="I89" s="4511"/>
      <c r="J89" s="4508">
        <f>+G89</f>
        <v>2232.14</v>
      </c>
      <c r="K89" s="4502"/>
      <c r="L89" s="4497"/>
      <c r="M89" s="4497"/>
    </row>
    <row r="90" spans="2:13">
      <c r="B90" s="4483" t="s">
        <v>6555</v>
      </c>
      <c r="C90" s="4504" t="s">
        <v>1665</v>
      </c>
      <c r="D90" s="4497">
        <v>0</v>
      </c>
      <c r="E90" s="4497"/>
      <c r="F90" s="4497"/>
      <c r="G90" s="4501">
        <f t="shared" si="2"/>
        <v>0</v>
      </c>
      <c r="H90" s="4497">
        <f t="shared" si="3"/>
        <v>0</v>
      </c>
      <c r="I90" s="4497"/>
      <c r="J90" s="4497"/>
      <c r="K90" s="4502">
        <f>+G90</f>
        <v>0</v>
      </c>
      <c r="L90" s="4497"/>
      <c r="M90" s="4497"/>
    </row>
    <row r="91" spans="2:13">
      <c r="B91" s="4483" t="s">
        <v>6556</v>
      </c>
      <c r="C91" s="4504" t="s">
        <v>148</v>
      </c>
      <c r="D91" s="4497">
        <v>2434</v>
      </c>
      <c r="E91" s="4497"/>
      <c r="F91" s="4497">
        <v>2184</v>
      </c>
      <c r="G91" s="4501">
        <f t="shared" si="2"/>
        <v>250</v>
      </c>
      <c r="H91" s="4497">
        <f t="shared" si="3"/>
        <v>250</v>
      </c>
      <c r="I91" s="4497"/>
      <c r="J91" s="4497"/>
      <c r="K91" s="4502">
        <f>+G91</f>
        <v>250</v>
      </c>
      <c r="L91" s="4497"/>
      <c r="M91" s="4497"/>
    </row>
    <row r="92" spans="2:13">
      <c r="B92" s="4507" t="s">
        <v>6711</v>
      </c>
      <c r="C92" s="4504" t="s">
        <v>6712</v>
      </c>
      <c r="D92" s="4497">
        <v>198.98999999999998</v>
      </c>
      <c r="E92" s="4497"/>
      <c r="F92" s="4497"/>
      <c r="G92" s="4501">
        <f t="shared" ref="G92:G153" si="6">+D92+E92-F92</f>
        <v>198.98999999999998</v>
      </c>
      <c r="H92" s="4497">
        <f t="shared" ref="H92:H142" si="7">+SUM(I92:M92)</f>
        <v>198.98999999999998</v>
      </c>
      <c r="I92" s="4511">
        <f>+G92</f>
        <v>198.98999999999998</v>
      </c>
      <c r="J92" s="4508"/>
      <c r="K92" s="4502"/>
      <c r="L92" s="4497"/>
      <c r="M92" s="4497"/>
    </row>
    <row r="93" spans="2:13">
      <c r="B93" s="4483" t="s">
        <v>6557</v>
      </c>
      <c r="C93" s="4504" t="s">
        <v>6712</v>
      </c>
      <c r="D93" s="4497">
        <v>60396.23</v>
      </c>
      <c r="E93" s="4497"/>
      <c r="F93" s="4522"/>
      <c r="G93" s="4501">
        <f t="shared" si="6"/>
        <v>60396.23</v>
      </c>
      <c r="H93" s="4497">
        <f t="shared" si="7"/>
        <v>60396.23</v>
      </c>
      <c r="I93" s="4511"/>
      <c r="J93" s="4508"/>
      <c r="K93" s="4502">
        <f>+G93</f>
        <v>60396.23</v>
      </c>
      <c r="L93" s="4497"/>
      <c r="M93" s="4497"/>
    </row>
    <row r="94" spans="2:13">
      <c r="B94" s="4483" t="s">
        <v>6558</v>
      </c>
      <c r="C94" s="8724" t="s">
        <v>3862</v>
      </c>
      <c r="D94" s="4497">
        <v>5000</v>
      </c>
      <c r="E94" s="4497"/>
      <c r="F94" s="4497"/>
      <c r="G94" s="4501">
        <f t="shared" si="6"/>
        <v>5000</v>
      </c>
      <c r="H94" s="4497">
        <f t="shared" si="7"/>
        <v>5000</v>
      </c>
      <c r="I94" s="4511"/>
      <c r="J94" s="4508"/>
      <c r="K94" s="4502">
        <f>+G94</f>
        <v>5000</v>
      </c>
      <c r="L94" s="4497"/>
      <c r="M94" s="4497"/>
    </row>
    <row r="95" spans="2:13">
      <c r="B95" s="4507" t="s">
        <v>6803</v>
      </c>
      <c r="C95" s="4504" t="s">
        <v>2003</v>
      </c>
      <c r="D95" s="4497">
        <v>21.12</v>
      </c>
      <c r="E95" s="4497"/>
      <c r="F95" s="4497"/>
      <c r="G95" s="4501">
        <f t="shared" si="6"/>
        <v>21.12</v>
      </c>
      <c r="H95" s="4497">
        <f t="shared" si="7"/>
        <v>21.12</v>
      </c>
      <c r="I95" s="4511">
        <f>+G95</f>
        <v>21.12</v>
      </c>
      <c r="J95" s="4508"/>
      <c r="K95" s="4502"/>
      <c r="L95" s="4497"/>
      <c r="M95" s="4497"/>
    </row>
    <row r="96" spans="2:13">
      <c r="B96" s="4509" t="s">
        <v>6713</v>
      </c>
      <c r="C96" s="4504" t="s">
        <v>2003</v>
      </c>
      <c r="D96" s="4497">
        <v>13816.189999999999</v>
      </c>
      <c r="E96" s="4497"/>
      <c r="F96" s="4497">
        <v>388.64</v>
      </c>
      <c r="G96" s="4501">
        <f t="shared" si="6"/>
        <v>13427.55</v>
      </c>
      <c r="H96" s="4497">
        <f t="shared" si="7"/>
        <v>13427.55</v>
      </c>
      <c r="I96" s="4511"/>
      <c r="J96" s="4508">
        <f>+G96</f>
        <v>13427.55</v>
      </c>
      <c r="K96" s="4502"/>
      <c r="L96" s="4497"/>
      <c r="M96" s="4497"/>
    </row>
    <row r="97" spans="2:13">
      <c r="B97" s="4483" t="s">
        <v>6714</v>
      </c>
      <c r="C97" s="4504" t="s">
        <v>2003</v>
      </c>
      <c r="D97" s="4497">
        <v>0</v>
      </c>
      <c r="E97" s="4497"/>
      <c r="F97" s="4497"/>
      <c r="G97" s="4501">
        <f t="shared" si="6"/>
        <v>0</v>
      </c>
      <c r="H97" s="4497">
        <f t="shared" si="7"/>
        <v>0</v>
      </c>
      <c r="I97" s="4511"/>
      <c r="J97" s="4508"/>
      <c r="K97" s="4502">
        <f>+G97</f>
        <v>0</v>
      </c>
      <c r="L97" s="4497"/>
      <c r="M97" s="4497"/>
    </row>
    <row r="98" spans="2:13">
      <c r="B98" s="4483" t="s">
        <v>6561</v>
      </c>
      <c r="C98" s="4504" t="s">
        <v>3817</v>
      </c>
      <c r="D98" s="4497">
        <v>12660</v>
      </c>
      <c r="E98" s="4497"/>
      <c r="F98" s="4497">
        <v>125.51</v>
      </c>
      <c r="G98" s="4501">
        <f t="shared" si="6"/>
        <v>12534.49</v>
      </c>
      <c r="H98" s="4497">
        <f t="shared" si="7"/>
        <v>12534.49</v>
      </c>
      <c r="I98" s="4497"/>
      <c r="J98" s="4511"/>
      <c r="K98" s="4502">
        <f>+G98</f>
        <v>12534.49</v>
      </c>
      <c r="L98" s="4497"/>
      <c r="M98" s="4497"/>
    </row>
    <row r="99" spans="2:13">
      <c r="B99" s="4483" t="s">
        <v>6715</v>
      </c>
      <c r="C99" s="4504" t="s">
        <v>1006</v>
      </c>
      <c r="D99" s="4497">
        <v>11980</v>
      </c>
      <c r="E99" s="4497">
        <f>800+6053.6</f>
        <v>6853.6</v>
      </c>
      <c r="F99" s="4497">
        <v>82.22</v>
      </c>
      <c r="G99" s="4501">
        <f t="shared" si="6"/>
        <v>18751.379999999997</v>
      </c>
      <c r="H99" s="4497">
        <f t="shared" si="7"/>
        <v>18751.379999999997</v>
      </c>
      <c r="I99" s="4497"/>
      <c r="J99" s="4497"/>
      <c r="K99" s="4502">
        <f>+G99</f>
        <v>18751.379999999997</v>
      </c>
      <c r="L99" s="4497"/>
      <c r="M99" s="4497"/>
    </row>
    <row r="100" spans="2:13">
      <c r="B100" s="4507" t="s">
        <v>6805</v>
      </c>
      <c r="C100" s="4504" t="s">
        <v>956</v>
      </c>
      <c r="D100" s="4497">
        <v>49108.37</v>
      </c>
      <c r="E100" s="4522"/>
      <c r="F100" s="4497"/>
      <c r="G100" s="4501">
        <f t="shared" si="6"/>
        <v>49108.37</v>
      </c>
      <c r="H100" s="4497">
        <f t="shared" si="7"/>
        <v>49108.37</v>
      </c>
      <c r="I100" s="4497">
        <f>+G100</f>
        <v>49108.37</v>
      </c>
      <c r="J100" s="4497"/>
      <c r="K100" s="4502"/>
      <c r="L100" s="4497"/>
      <c r="M100" s="4497"/>
    </row>
    <row r="101" spans="2:13">
      <c r="B101" s="4483" t="s">
        <v>6563</v>
      </c>
      <c r="C101" s="4504" t="s">
        <v>956</v>
      </c>
      <c r="D101" s="4497">
        <v>5174.84</v>
      </c>
      <c r="E101" s="4497"/>
      <c r="F101" s="4497"/>
      <c r="G101" s="4501">
        <f t="shared" si="6"/>
        <v>5174.84</v>
      </c>
      <c r="H101" s="4497">
        <f t="shared" si="7"/>
        <v>5174.84</v>
      </c>
      <c r="I101" s="4497"/>
      <c r="J101" s="4497"/>
      <c r="K101" s="4502">
        <f>+G101</f>
        <v>5174.84</v>
      </c>
      <c r="L101" s="4497"/>
      <c r="M101" s="4497"/>
    </row>
    <row r="102" spans="2:13">
      <c r="B102" s="4507" t="s">
        <v>6716</v>
      </c>
      <c r="C102" s="4504" t="s">
        <v>6717</v>
      </c>
      <c r="D102" s="4497">
        <v>0</v>
      </c>
      <c r="E102" s="4497">
        <v>600</v>
      </c>
      <c r="F102" s="4497"/>
      <c r="G102" s="4501">
        <f t="shared" si="6"/>
        <v>600</v>
      </c>
      <c r="H102" s="4497">
        <f t="shared" si="7"/>
        <v>600</v>
      </c>
      <c r="I102" s="4497">
        <f>+G102</f>
        <v>600</v>
      </c>
      <c r="J102" s="4497"/>
      <c r="K102" s="4502"/>
      <c r="L102" s="4497"/>
      <c r="M102" s="4497"/>
    </row>
    <row r="103" spans="2:13">
      <c r="B103" s="4483" t="s">
        <v>6718</v>
      </c>
      <c r="C103" s="4504" t="s">
        <v>6717</v>
      </c>
      <c r="D103" s="4497">
        <v>18788.09</v>
      </c>
      <c r="E103" s="4508"/>
      <c r="F103" s="4508">
        <f>5877.89+4.55</f>
        <v>5882.4400000000005</v>
      </c>
      <c r="G103" s="4501">
        <f t="shared" si="6"/>
        <v>12905.65</v>
      </c>
      <c r="H103" s="4497">
        <f t="shared" si="7"/>
        <v>12905.65</v>
      </c>
      <c r="I103" s="4497"/>
      <c r="J103" s="4497"/>
      <c r="K103" s="4502">
        <f>+G103</f>
        <v>12905.65</v>
      </c>
      <c r="L103" s="4497"/>
      <c r="M103" s="4497"/>
    </row>
    <row r="104" spans="2:13">
      <c r="B104" s="4483" t="s">
        <v>5375</v>
      </c>
      <c r="C104" s="4504" t="s">
        <v>1089</v>
      </c>
      <c r="D104" s="4497">
        <v>2901.38</v>
      </c>
      <c r="E104" s="4508"/>
      <c r="F104" s="4508">
        <f>143.94+1567.94</f>
        <v>1711.88</v>
      </c>
      <c r="G104" s="4501">
        <f t="shared" si="6"/>
        <v>1189.5</v>
      </c>
      <c r="H104" s="4497">
        <f t="shared" si="7"/>
        <v>1189.5</v>
      </c>
      <c r="I104" s="4497"/>
      <c r="J104" s="4497"/>
      <c r="K104" s="4502">
        <f>+G104</f>
        <v>1189.5</v>
      </c>
      <c r="L104" s="4497"/>
      <c r="M104" s="4497"/>
    </row>
    <row r="105" spans="2:13">
      <c r="B105" s="4507" t="s">
        <v>6608</v>
      </c>
      <c r="C105" s="4504" t="s">
        <v>2694</v>
      </c>
      <c r="D105" s="4497">
        <v>7456.2800000000007</v>
      </c>
      <c r="E105" s="4508"/>
      <c r="F105" s="4508">
        <v>1206.51</v>
      </c>
      <c r="G105" s="4501">
        <f t="shared" si="6"/>
        <v>6249.77</v>
      </c>
      <c r="H105" s="4497">
        <f t="shared" si="7"/>
        <v>6249.77</v>
      </c>
      <c r="I105" s="4497">
        <f>+G105</f>
        <v>6249.77</v>
      </c>
      <c r="J105" s="4497"/>
      <c r="K105" s="4502"/>
      <c r="L105" s="4497"/>
      <c r="M105" s="4497"/>
    </row>
    <row r="106" spans="2:13">
      <c r="B106" s="4483" t="s">
        <v>6565</v>
      </c>
      <c r="C106" s="4504" t="s">
        <v>2694</v>
      </c>
      <c r="D106" s="4497">
        <v>3298.72</v>
      </c>
      <c r="E106" s="4508"/>
      <c r="F106" s="4508">
        <v>435.48</v>
      </c>
      <c r="G106" s="4501">
        <f t="shared" si="6"/>
        <v>2863.24</v>
      </c>
      <c r="H106" s="4497">
        <f t="shared" si="7"/>
        <v>2863.24</v>
      </c>
      <c r="I106" s="4497"/>
      <c r="J106" s="4497"/>
      <c r="K106" s="4502">
        <f t="shared" ref="K106:K115" si="8">+G106</f>
        <v>2863.24</v>
      </c>
      <c r="L106" s="4497"/>
      <c r="M106" s="4497"/>
    </row>
    <row r="107" spans="2:13">
      <c r="B107" s="4483" t="s">
        <v>6808</v>
      </c>
      <c r="C107" s="4504" t="s">
        <v>4141</v>
      </c>
      <c r="D107" s="4497">
        <v>100</v>
      </c>
      <c r="E107" s="4508"/>
      <c r="F107" s="4508"/>
      <c r="G107" s="4501">
        <f t="shared" si="6"/>
        <v>100</v>
      </c>
      <c r="H107" s="4497">
        <f t="shared" si="7"/>
        <v>100</v>
      </c>
      <c r="I107" s="4497"/>
      <c r="J107" s="4497"/>
      <c r="K107" s="4502">
        <f t="shared" si="8"/>
        <v>100</v>
      </c>
      <c r="L107" s="4497"/>
      <c r="M107" s="4497"/>
    </row>
    <row r="108" spans="2:13">
      <c r="B108" s="4483" t="s">
        <v>6566</v>
      </c>
      <c r="C108" s="4504" t="s">
        <v>3341</v>
      </c>
      <c r="D108" s="4497">
        <v>2869.12</v>
      </c>
      <c r="E108" s="4508"/>
      <c r="F108" s="4508"/>
      <c r="G108" s="4501">
        <f t="shared" si="6"/>
        <v>2869.12</v>
      </c>
      <c r="H108" s="4497">
        <f t="shared" si="7"/>
        <v>2869.12</v>
      </c>
      <c r="I108" s="4497"/>
      <c r="J108" s="4497"/>
      <c r="K108" s="4502">
        <f t="shared" si="8"/>
        <v>2869.12</v>
      </c>
      <c r="L108" s="4497"/>
      <c r="M108" s="4497"/>
    </row>
    <row r="109" spans="2:13">
      <c r="B109" s="4483" t="s">
        <v>6998</v>
      </c>
      <c r="C109" s="4504" t="s">
        <v>3364</v>
      </c>
      <c r="D109" s="4497">
        <v>5000</v>
      </c>
      <c r="E109" s="4508"/>
      <c r="F109" s="4508"/>
      <c r="G109" s="4501">
        <f t="shared" si="6"/>
        <v>5000</v>
      </c>
      <c r="H109" s="4497">
        <f t="shared" si="7"/>
        <v>5000</v>
      </c>
      <c r="I109" s="4497"/>
      <c r="J109" s="4497"/>
      <c r="K109" s="4502">
        <f t="shared" si="8"/>
        <v>5000</v>
      </c>
      <c r="L109" s="4497"/>
      <c r="M109" s="4497"/>
    </row>
    <row r="110" spans="2:13">
      <c r="B110" s="4483" t="s">
        <v>6567</v>
      </c>
      <c r="C110" s="4504" t="s">
        <v>6568</v>
      </c>
      <c r="D110" s="4497">
        <v>0</v>
      </c>
      <c r="E110" s="4508"/>
      <c r="F110" s="4508"/>
      <c r="G110" s="4501">
        <f t="shared" si="6"/>
        <v>0</v>
      </c>
      <c r="H110" s="4497">
        <f t="shared" si="7"/>
        <v>0</v>
      </c>
      <c r="I110" s="4497"/>
      <c r="J110" s="4497"/>
      <c r="K110" s="4502">
        <f t="shared" si="8"/>
        <v>0</v>
      </c>
      <c r="L110" s="4497"/>
      <c r="M110" s="4497"/>
    </row>
    <row r="111" spans="2:13">
      <c r="B111" s="4483" t="s">
        <v>6721</v>
      </c>
      <c r="C111" s="4504" t="s">
        <v>39</v>
      </c>
      <c r="D111" s="4497">
        <v>750.22</v>
      </c>
      <c r="E111" s="4508"/>
      <c r="F111" s="4508">
        <v>750.22</v>
      </c>
      <c r="G111" s="4501">
        <f t="shared" si="6"/>
        <v>0</v>
      </c>
      <c r="H111" s="4497">
        <f t="shared" si="7"/>
        <v>0</v>
      </c>
      <c r="I111" s="4497"/>
      <c r="J111" s="4497"/>
      <c r="K111" s="4502">
        <f t="shared" si="8"/>
        <v>0</v>
      </c>
      <c r="L111" s="4497"/>
      <c r="M111" s="4497"/>
    </row>
    <row r="112" spans="2:13">
      <c r="B112" s="4483" t="s">
        <v>6570</v>
      </c>
      <c r="C112" s="4504" t="s">
        <v>4163</v>
      </c>
      <c r="D112" s="4497">
        <v>1904.02</v>
      </c>
      <c r="E112" s="4508"/>
      <c r="F112" s="4508"/>
      <c r="G112" s="4501">
        <f t="shared" si="6"/>
        <v>1904.02</v>
      </c>
      <c r="H112" s="4497">
        <f t="shared" si="7"/>
        <v>1904.02</v>
      </c>
      <c r="I112" s="4497"/>
      <c r="J112" s="4497"/>
      <c r="K112" s="4502">
        <f t="shared" si="8"/>
        <v>1904.02</v>
      </c>
      <c r="L112" s="4497"/>
      <c r="M112" s="4497"/>
    </row>
    <row r="113" spans="2:13">
      <c r="B113" s="4483" t="s">
        <v>6662</v>
      </c>
      <c r="C113" s="4504" t="s">
        <v>40</v>
      </c>
      <c r="D113" s="4497">
        <v>3893.47</v>
      </c>
      <c r="E113" s="4508"/>
      <c r="F113" s="4508">
        <f>367.12+100.4</f>
        <v>467.52</v>
      </c>
      <c r="G113" s="4501">
        <f t="shared" si="6"/>
        <v>3425.95</v>
      </c>
      <c r="H113" s="4497">
        <f t="shared" si="7"/>
        <v>3425.95</v>
      </c>
      <c r="I113" s="4497"/>
      <c r="J113" s="4497"/>
      <c r="K113" s="4502">
        <f t="shared" si="8"/>
        <v>3425.95</v>
      </c>
      <c r="L113" s="4497"/>
      <c r="M113" s="4497"/>
    </row>
    <row r="114" spans="2:13">
      <c r="B114" s="4483" t="s">
        <v>6572</v>
      </c>
      <c r="C114" s="4504" t="s">
        <v>6722</v>
      </c>
      <c r="D114" s="4497">
        <v>2620.7999999999993</v>
      </c>
      <c r="E114" s="4508"/>
      <c r="F114" s="4508">
        <v>703.3</v>
      </c>
      <c r="G114" s="4501">
        <f t="shared" si="6"/>
        <v>1917.4999999999993</v>
      </c>
      <c r="H114" s="4497">
        <f t="shared" si="7"/>
        <v>1917.4999999999993</v>
      </c>
      <c r="I114" s="4497"/>
      <c r="J114" s="4497"/>
      <c r="K114" s="4502">
        <f t="shared" si="8"/>
        <v>1917.4999999999993</v>
      </c>
      <c r="L114" s="4497"/>
      <c r="M114" s="4497"/>
    </row>
    <row r="115" spans="2:13">
      <c r="B115" s="4483" t="s">
        <v>6573</v>
      </c>
      <c r="C115" s="4504" t="s">
        <v>4183</v>
      </c>
      <c r="D115" s="4497">
        <v>0</v>
      </c>
      <c r="E115" s="4508"/>
      <c r="F115" s="4508"/>
      <c r="G115" s="4501">
        <f t="shared" si="6"/>
        <v>0</v>
      </c>
      <c r="H115" s="4497">
        <f t="shared" si="7"/>
        <v>0</v>
      </c>
      <c r="I115" s="4497"/>
      <c r="J115" s="4497"/>
      <c r="K115" s="4502">
        <f t="shared" si="8"/>
        <v>0</v>
      </c>
      <c r="L115" s="4497"/>
      <c r="M115" s="4497"/>
    </row>
    <row r="116" spans="2:13">
      <c r="B116" s="4507" t="s">
        <v>6779</v>
      </c>
      <c r="C116" s="4504" t="s">
        <v>6726</v>
      </c>
      <c r="D116" s="4497">
        <v>0</v>
      </c>
      <c r="E116" s="4508">
        <v>4000</v>
      </c>
      <c r="F116" s="4508"/>
      <c r="G116" s="4501">
        <f>+D116+E116-F116</f>
        <v>4000</v>
      </c>
      <c r="H116" s="4497">
        <f>+SUM(I116:M116)</f>
        <v>4000</v>
      </c>
      <c r="I116" s="4497">
        <f>+G116</f>
        <v>4000</v>
      </c>
      <c r="J116" s="4497"/>
      <c r="K116" s="4502"/>
      <c r="L116" s="4497"/>
      <c r="M116" s="4497"/>
    </row>
    <row r="117" spans="2:13">
      <c r="B117" s="4509" t="s">
        <v>6575</v>
      </c>
      <c r="C117" s="4504" t="s">
        <v>6726</v>
      </c>
      <c r="D117" s="4497">
        <v>51683.86</v>
      </c>
      <c r="E117" s="4508">
        <v>22150</v>
      </c>
      <c r="F117" s="4508"/>
      <c r="G117" s="4501">
        <f t="shared" si="6"/>
        <v>73833.86</v>
      </c>
      <c r="H117" s="4497">
        <f t="shared" si="7"/>
        <v>73833.86</v>
      </c>
      <c r="I117" s="4497"/>
      <c r="J117" s="4497">
        <f>+G117</f>
        <v>73833.86</v>
      </c>
      <c r="K117" s="4502"/>
      <c r="L117" s="4497"/>
      <c r="M117" s="4497"/>
    </row>
    <row r="118" spans="2:13">
      <c r="B118" s="4483" t="s">
        <v>6576</v>
      </c>
      <c r="C118" s="4504" t="s">
        <v>6726</v>
      </c>
      <c r="D118" s="4497">
        <v>5200</v>
      </c>
      <c r="E118" s="4497">
        <v>46300</v>
      </c>
      <c r="F118" s="4497"/>
      <c r="G118" s="4501">
        <f t="shared" si="6"/>
        <v>51500</v>
      </c>
      <c r="H118" s="4497">
        <f t="shared" si="7"/>
        <v>51500</v>
      </c>
      <c r="I118" s="4497"/>
      <c r="J118" s="4497"/>
      <c r="K118" s="4502">
        <f>+G118</f>
        <v>51500</v>
      </c>
      <c r="L118" s="4497"/>
      <c r="M118" s="4497"/>
    </row>
    <row r="119" spans="2:13">
      <c r="B119" s="4507" t="s">
        <v>6577</v>
      </c>
      <c r="C119" s="4504" t="s">
        <v>894</v>
      </c>
      <c r="D119" s="4497">
        <v>1569.27</v>
      </c>
      <c r="F119" s="4497"/>
      <c r="G119" s="4501">
        <f t="shared" si="6"/>
        <v>1569.27</v>
      </c>
      <c r="H119" s="4497">
        <f t="shared" si="7"/>
        <v>1569.27</v>
      </c>
      <c r="I119" s="4497">
        <f>+G119</f>
        <v>1569.27</v>
      </c>
      <c r="J119" s="4497"/>
      <c r="K119" s="4502"/>
      <c r="L119" s="4497"/>
      <c r="M119" s="4497"/>
    </row>
    <row r="120" spans="2:13">
      <c r="B120" s="4509" t="s">
        <v>6578</v>
      </c>
      <c r="C120" s="4504" t="s">
        <v>894</v>
      </c>
      <c r="D120" s="4497">
        <v>82000</v>
      </c>
      <c r="E120" s="4497"/>
      <c r="F120" s="4497"/>
      <c r="G120" s="4501">
        <f t="shared" si="6"/>
        <v>82000</v>
      </c>
      <c r="H120" s="4497">
        <f t="shared" si="7"/>
        <v>82000</v>
      </c>
      <c r="I120" s="4497"/>
      <c r="J120" s="4497">
        <f>+G120</f>
        <v>82000</v>
      </c>
      <c r="K120" s="4502"/>
      <c r="L120" s="4497"/>
      <c r="M120" s="4497"/>
    </row>
    <row r="121" spans="2:13">
      <c r="B121" s="4483" t="s">
        <v>6579</v>
      </c>
      <c r="C121" s="4504" t="s">
        <v>894</v>
      </c>
      <c r="D121" s="4497">
        <v>14560</v>
      </c>
      <c r="E121" s="4497"/>
      <c r="F121" s="4497">
        <f>3058.67</f>
        <v>3058.67</v>
      </c>
      <c r="G121" s="4501">
        <f>+D121+E121-F121</f>
        <v>11501.33</v>
      </c>
      <c r="H121" s="4497">
        <f t="shared" si="7"/>
        <v>11501.33</v>
      </c>
      <c r="I121" s="4497"/>
      <c r="J121" s="4497"/>
      <c r="K121" s="4502">
        <f>+G121</f>
        <v>11501.33</v>
      </c>
      <c r="L121" s="4497"/>
      <c r="M121" s="4497"/>
    </row>
    <row r="122" spans="2:13">
      <c r="B122" s="4509" t="s">
        <v>6580</v>
      </c>
      <c r="C122" s="4504" t="s">
        <v>3542</v>
      </c>
      <c r="D122" s="4497">
        <v>159.04</v>
      </c>
      <c r="E122" s="4497"/>
      <c r="F122" s="4497">
        <v>70</v>
      </c>
      <c r="G122" s="4501">
        <f t="shared" si="6"/>
        <v>89.039999999999992</v>
      </c>
      <c r="H122" s="4497">
        <f t="shared" si="7"/>
        <v>89.039999999999992</v>
      </c>
      <c r="I122" s="4497"/>
      <c r="J122" s="4497">
        <f>+G122</f>
        <v>89.039999999999992</v>
      </c>
      <c r="K122" s="4502"/>
      <c r="L122" s="4497"/>
      <c r="M122" s="4497"/>
    </row>
    <row r="123" spans="2:13">
      <c r="B123" s="4483" t="s">
        <v>6727</v>
      </c>
      <c r="C123" s="4504" t="s">
        <v>419</v>
      </c>
      <c r="D123" s="4497">
        <v>1170</v>
      </c>
      <c r="E123" s="4497">
        <v>2000</v>
      </c>
      <c r="F123" s="4497"/>
      <c r="G123" s="4501">
        <f t="shared" si="6"/>
        <v>3170</v>
      </c>
      <c r="H123" s="4497">
        <f t="shared" si="7"/>
        <v>3170</v>
      </c>
      <c r="I123" s="4497"/>
      <c r="J123" s="4497"/>
      <c r="K123" s="4502">
        <f>+G123</f>
        <v>3170</v>
      </c>
      <c r="L123" s="4497"/>
      <c r="M123" s="4497"/>
    </row>
    <row r="124" spans="2:13">
      <c r="B124" s="4483" t="s">
        <v>7403</v>
      </c>
      <c r="C124" s="4504" t="s">
        <v>7404</v>
      </c>
      <c r="D124" s="4508">
        <v>0</v>
      </c>
      <c r="E124" s="4508">
        <f>3440+1560</f>
        <v>5000</v>
      </c>
      <c r="F124" s="4508"/>
      <c r="G124" s="4501">
        <f t="shared" si="6"/>
        <v>5000</v>
      </c>
      <c r="H124" s="4497">
        <f t="shared" si="7"/>
        <v>5000</v>
      </c>
      <c r="I124" s="4497"/>
      <c r="J124" s="4497"/>
      <c r="K124" s="4502">
        <f>+G124</f>
        <v>5000</v>
      </c>
      <c r="L124" s="4497"/>
      <c r="M124" s="4497"/>
    </row>
    <row r="125" spans="2:13">
      <c r="B125" s="4483" t="s">
        <v>6732</v>
      </c>
      <c r="C125" s="4504" t="s">
        <v>3462</v>
      </c>
      <c r="D125" s="4497">
        <v>500</v>
      </c>
      <c r="E125" s="4497">
        <v>1000</v>
      </c>
      <c r="F125" s="4497"/>
      <c r="G125" s="4501">
        <f t="shared" si="6"/>
        <v>1500</v>
      </c>
      <c r="H125" s="4497">
        <f t="shared" si="7"/>
        <v>1500</v>
      </c>
      <c r="I125" s="4497"/>
      <c r="J125" s="4497"/>
      <c r="K125" s="4502">
        <f>+G125</f>
        <v>1500</v>
      </c>
      <c r="L125" s="4497"/>
      <c r="M125" s="4497"/>
    </row>
    <row r="126" spans="2:13">
      <c r="B126" s="4507" t="s">
        <v>6581</v>
      </c>
      <c r="C126" s="4504" t="s">
        <v>6733</v>
      </c>
      <c r="D126" s="4497">
        <v>4980</v>
      </c>
      <c r="F126" s="4497"/>
      <c r="G126" s="4501">
        <f t="shared" si="6"/>
        <v>4980</v>
      </c>
      <c r="H126" s="4497">
        <f t="shared" si="7"/>
        <v>4980</v>
      </c>
      <c r="I126" s="4497">
        <f>+G126</f>
        <v>4980</v>
      </c>
      <c r="J126" s="4497"/>
      <c r="K126" s="4502"/>
      <c r="L126" s="4497"/>
      <c r="M126" s="4497"/>
    </row>
    <row r="127" spans="2:13">
      <c r="B127" s="4507" t="s">
        <v>6582</v>
      </c>
      <c r="C127" s="4504" t="s">
        <v>3079</v>
      </c>
      <c r="D127" s="4497">
        <v>1167087.1000000001</v>
      </c>
      <c r="E127" s="4497"/>
      <c r="F127" s="4497">
        <v>57978.12</v>
      </c>
      <c r="G127" s="4501">
        <f t="shared" si="6"/>
        <v>1109108.98</v>
      </c>
      <c r="H127" s="4497">
        <f t="shared" si="7"/>
        <v>1109108.98</v>
      </c>
      <c r="I127" s="4508">
        <f>+G127</f>
        <v>1109108.98</v>
      </c>
      <c r="J127" s="4497"/>
      <c r="K127" s="4502"/>
      <c r="L127" s="4497"/>
      <c r="M127" s="4497"/>
    </row>
    <row r="128" spans="2:13">
      <c r="B128" s="4512" t="s">
        <v>6734</v>
      </c>
      <c r="C128" s="4504" t="s">
        <v>3034</v>
      </c>
      <c r="D128" s="4497">
        <v>0</v>
      </c>
      <c r="E128" s="4497">
        <v>10271.700000000001</v>
      </c>
      <c r="F128" s="4497"/>
      <c r="G128" s="4501">
        <f t="shared" si="6"/>
        <v>10271.700000000001</v>
      </c>
      <c r="H128" s="4497">
        <f t="shared" si="7"/>
        <v>10271.700000000001</v>
      </c>
      <c r="I128" s="4508"/>
      <c r="J128" s="4497"/>
      <c r="K128" s="4502"/>
      <c r="L128" s="4497">
        <f>+G128</f>
        <v>10271.700000000001</v>
      </c>
      <c r="M128" s="4497"/>
    </row>
    <row r="129" spans="2:13">
      <c r="B129" s="4512" t="s">
        <v>6735</v>
      </c>
      <c r="C129" s="4504" t="s">
        <v>3036</v>
      </c>
      <c r="D129" s="4497">
        <v>423188.3</v>
      </c>
      <c r="E129" s="4522"/>
      <c r="F129" s="4497">
        <v>10271.700000000001</v>
      </c>
      <c r="G129" s="4501">
        <f t="shared" si="6"/>
        <v>412916.6</v>
      </c>
      <c r="H129" s="4497">
        <f t="shared" si="7"/>
        <v>412916.6</v>
      </c>
      <c r="I129" s="4508"/>
      <c r="J129" s="4497"/>
      <c r="K129" s="4502"/>
      <c r="L129" s="4497">
        <f>+G129</f>
        <v>412916.6</v>
      </c>
      <c r="M129" s="4497"/>
    </row>
    <row r="130" spans="2:13">
      <c r="B130" s="4512" t="s">
        <v>7405</v>
      </c>
      <c r="C130" s="4504" t="s">
        <v>3036</v>
      </c>
      <c r="D130" s="4497">
        <v>0</v>
      </c>
      <c r="E130" s="8725">
        <f>68673.74+50050.95-23686.24</f>
        <v>95038.45</v>
      </c>
      <c r="F130" s="4497"/>
      <c r="G130" s="4501">
        <f t="shared" si="6"/>
        <v>95038.45</v>
      </c>
      <c r="H130" s="4497">
        <f t="shared" si="7"/>
        <v>95038.45</v>
      </c>
      <c r="I130" s="4508"/>
      <c r="J130" s="4497"/>
      <c r="K130" s="4502"/>
      <c r="L130" s="4497">
        <f>+G130</f>
        <v>95038.45</v>
      </c>
      <c r="M130" s="4497"/>
    </row>
    <row r="131" spans="2:13">
      <c r="B131" s="4507" t="s">
        <v>7343</v>
      </c>
      <c r="C131" s="4504" t="s">
        <v>3034</v>
      </c>
      <c r="D131" s="4497">
        <v>0</v>
      </c>
      <c r="E131" s="4537"/>
      <c r="F131" s="4497"/>
      <c r="G131" s="4501">
        <f t="shared" si="6"/>
        <v>0</v>
      </c>
      <c r="H131" s="4497">
        <f t="shared" si="7"/>
        <v>0</v>
      </c>
      <c r="I131" s="4508">
        <f>+G131</f>
        <v>0</v>
      </c>
      <c r="J131" s="4497"/>
      <c r="K131" s="4502"/>
      <c r="L131" s="4497"/>
      <c r="M131" s="4497"/>
    </row>
    <row r="132" spans="2:13">
      <c r="B132" s="4507" t="s">
        <v>7344</v>
      </c>
      <c r="C132" s="4504" t="s">
        <v>3036</v>
      </c>
      <c r="D132" s="4497">
        <v>0</v>
      </c>
      <c r="E132" s="8725">
        <v>212400</v>
      </c>
      <c r="F132" s="4497"/>
      <c r="G132" s="4501">
        <f t="shared" si="6"/>
        <v>212400</v>
      </c>
      <c r="H132" s="4497">
        <f t="shared" si="7"/>
        <v>212400</v>
      </c>
      <c r="I132" s="4508">
        <f>+G132</f>
        <v>212400</v>
      </c>
      <c r="J132" s="4497"/>
      <c r="K132" s="4502"/>
      <c r="L132" s="4497"/>
      <c r="M132" s="4497"/>
    </row>
    <row r="133" spans="2:13">
      <c r="B133" s="4483" t="s">
        <v>7345</v>
      </c>
      <c r="C133" s="4504" t="s">
        <v>3034</v>
      </c>
      <c r="D133" s="4497">
        <v>0</v>
      </c>
      <c r="E133" s="8726"/>
      <c r="F133" s="4497"/>
      <c r="G133" s="4501">
        <f t="shared" si="6"/>
        <v>0</v>
      </c>
      <c r="H133" s="4497">
        <f t="shared" si="7"/>
        <v>0</v>
      </c>
      <c r="I133" s="4508"/>
      <c r="J133" s="4497"/>
      <c r="K133" s="4502">
        <f>+G133</f>
        <v>0</v>
      </c>
      <c r="L133" s="4497"/>
      <c r="M133" s="4497"/>
    </row>
    <row r="134" spans="2:13">
      <c r="B134" s="4483" t="s">
        <v>7346</v>
      </c>
      <c r="C134" s="4504" t="s">
        <v>3036</v>
      </c>
      <c r="D134" s="4497">
        <v>0</v>
      </c>
      <c r="E134" s="8725"/>
      <c r="F134" s="4497"/>
      <c r="G134" s="4501">
        <f t="shared" si="6"/>
        <v>0</v>
      </c>
      <c r="H134" s="4497">
        <f t="shared" si="7"/>
        <v>0</v>
      </c>
      <c r="I134" s="4508"/>
      <c r="J134" s="4497"/>
      <c r="K134" s="4502">
        <f>+G134</f>
        <v>0</v>
      </c>
      <c r="L134" s="4497"/>
      <c r="M134" s="4497"/>
    </row>
    <row r="135" spans="2:13">
      <c r="B135" s="4512" t="s">
        <v>6736</v>
      </c>
      <c r="C135" s="4504" t="s">
        <v>3879</v>
      </c>
      <c r="D135" s="4497">
        <v>50279.23</v>
      </c>
      <c r="E135" s="4513"/>
      <c r="F135" s="4497"/>
      <c r="G135" s="4501">
        <f>+D135+E135-F135</f>
        <v>50279.23</v>
      </c>
      <c r="H135" s="4497">
        <f>+SUM(I135:M135)</f>
        <v>50279.23</v>
      </c>
      <c r="I135" s="4508"/>
      <c r="J135" s="4497"/>
      <c r="K135" s="4502"/>
      <c r="L135" s="4497">
        <f>+G135</f>
        <v>50279.23</v>
      </c>
      <c r="M135" s="4497"/>
    </row>
    <row r="136" spans="2:13">
      <c r="B136" s="4507" t="s">
        <v>6737</v>
      </c>
      <c r="C136" s="4504" t="s">
        <v>671</v>
      </c>
      <c r="D136" s="4497">
        <v>486</v>
      </c>
      <c r="E136" s="4497">
        <f>2878.5-2520</f>
        <v>358.5</v>
      </c>
      <c r="F136" s="4497"/>
      <c r="G136" s="4501">
        <f t="shared" si="6"/>
        <v>844.5</v>
      </c>
      <c r="H136" s="4497">
        <f t="shared" si="7"/>
        <v>844.5</v>
      </c>
      <c r="I136" s="4508">
        <f>+G136</f>
        <v>844.5</v>
      </c>
      <c r="J136" s="4497"/>
      <c r="K136" s="4502"/>
      <c r="L136" s="4497"/>
      <c r="M136" s="4497"/>
    </row>
    <row r="137" spans="2:13">
      <c r="B137" s="4509" t="s">
        <v>6738</v>
      </c>
      <c r="C137" s="4504" t="s">
        <v>671</v>
      </c>
      <c r="D137" s="4497">
        <v>0</v>
      </c>
      <c r="E137" s="4497">
        <f>388.97+90</f>
        <v>478.97</v>
      </c>
      <c r="F137" s="4497"/>
      <c r="G137" s="4501">
        <f>+D137+E137-F137</f>
        <v>478.97</v>
      </c>
      <c r="H137" s="4497">
        <f>+SUM(I137:M137)</f>
        <v>478.97</v>
      </c>
      <c r="I137" s="4508"/>
      <c r="J137" s="4497">
        <f>+G137</f>
        <v>478.97</v>
      </c>
      <c r="K137" s="4502"/>
      <c r="L137" s="4497"/>
      <c r="M137" s="4497"/>
    </row>
    <row r="138" spans="2:13">
      <c r="B138" s="4483" t="s">
        <v>5694</v>
      </c>
      <c r="C138" s="4504" t="s">
        <v>671</v>
      </c>
      <c r="D138" s="4497">
        <v>28310.479999999996</v>
      </c>
      <c r="E138" s="4497"/>
      <c r="F138" s="4497">
        <v>1737.73</v>
      </c>
      <c r="G138" s="4501">
        <f t="shared" si="6"/>
        <v>26572.749999999996</v>
      </c>
      <c r="H138" s="4497">
        <f t="shared" si="7"/>
        <v>26572.749999999996</v>
      </c>
      <c r="I138" s="4508"/>
      <c r="J138" s="4497"/>
      <c r="K138" s="4502">
        <f>+G138</f>
        <v>26572.749999999996</v>
      </c>
      <c r="L138" s="4497"/>
      <c r="M138" s="4497"/>
    </row>
    <row r="139" spans="2:13">
      <c r="B139" s="4512" t="s">
        <v>7406</v>
      </c>
      <c r="C139" s="4504" t="s">
        <v>671</v>
      </c>
      <c r="D139" s="4497">
        <v>0</v>
      </c>
      <c r="E139" s="4497">
        <v>770.34</v>
      </c>
      <c r="F139" s="4497"/>
      <c r="G139" s="4501">
        <f t="shared" si="6"/>
        <v>770.34</v>
      </c>
      <c r="H139" s="4497">
        <f t="shared" si="7"/>
        <v>770.34</v>
      </c>
      <c r="I139" s="4514"/>
      <c r="J139" s="4513"/>
      <c r="K139" s="4515"/>
      <c r="L139" s="4497">
        <f>+G139</f>
        <v>770.34</v>
      </c>
      <c r="M139" s="4497"/>
    </row>
    <row r="140" spans="2:13">
      <c r="B140" s="4509" t="s">
        <v>5252</v>
      </c>
      <c r="C140" s="4504" t="s">
        <v>39</v>
      </c>
      <c r="D140" s="4497">
        <v>42753.599999999999</v>
      </c>
      <c r="E140" s="4497">
        <v>320</v>
      </c>
      <c r="F140" s="4497">
        <v>315</v>
      </c>
      <c r="G140" s="4501">
        <f t="shared" si="6"/>
        <v>42758.6</v>
      </c>
      <c r="H140" s="4497">
        <f t="shared" si="7"/>
        <v>42758.6</v>
      </c>
      <c r="I140" s="4514"/>
      <c r="J140" s="4513">
        <f>+G140</f>
        <v>42758.6</v>
      </c>
      <c r="K140" s="4515"/>
      <c r="L140" s="4497"/>
      <c r="M140" s="4497"/>
    </row>
    <row r="141" spans="2:13">
      <c r="B141" s="4483" t="s">
        <v>5283</v>
      </c>
      <c r="C141" s="4504" t="s">
        <v>39</v>
      </c>
      <c r="D141" s="4497">
        <v>233258.84000000003</v>
      </c>
      <c r="E141" s="4497"/>
      <c r="F141" s="4497">
        <f>4565.08+5548.8+1466.4+738</f>
        <v>12318.28</v>
      </c>
      <c r="G141" s="4501">
        <f t="shared" si="6"/>
        <v>220940.56000000003</v>
      </c>
      <c r="H141" s="4497">
        <f t="shared" si="7"/>
        <v>220940.56000000003</v>
      </c>
      <c r="I141" s="4514"/>
      <c r="J141" s="4513"/>
      <c r="K141" s="4515">
        <f>+G141</f>
        <v>220940.56000000003</v>
      </c>
      <c r="L141" s="4497"/>
      <c r="M141" s="4497"/>
    </row>
    <row r="142" spans="2:13">
      <c r="B142" s="4512" t="s">
        <v>6739</v>
      </c>
      <c r="C142" s="4504" t="s">
        <v>39</v>
      </c>
      <c r="D142" s="4497">
        <v>42311.18</v>
      </c>
      <c r="E142" s="4513"/>
      <c r="F142" s="4497">
        <v>8579.64</v>
      </c>
      <c r="G142" s="4501">
        <f t="shared" si="6"/>
        <v>33731.54</v>
      </c>
      <c r="H142" s="4497">
        <f t="shared" si="7"/>
        <v>33731.54</v>
      </c>
      <c r="I142" s="4514"/>
      <c r="J142" s="4513"/>
      <c r="K142" s="4515"/>
      <c r="L142" s="4497">
        <f>+G142</f>
        <v>33731.54</v>
      </c>
      <c r="M142" s="4497"/>
    </row>
    <row r="143" spans="2:13">
      <c r="B143" s="4516" t="s">
        <v>6929</v>
      </c>
      <c r="C143" s="4504" t="s">
        <v>39</v>
      </c>
      <c r="D143" s="4497">
        <v>39500</v>
      </c>
      <c r="E143" s="4513"/>
      <c r="F143" s="4497"/>
      <c r="G143" s="4501">
        <f t="shared" si="6"/>
        <v>39500</v>
      </c>
      <c r="H143" s="4497">
        <f>SUM(I143:M143)</f>
        <v>39500</v>
      </c>
      <c r="I143" s="4514"/>
      <c r="J143" s="4513"/>
      <c r="K143" s="4515"/>
      <c r="L143" s="4497"/>
      <c r="M143" s="4497">
        <f>G143</f>
        <v>39500</v>
      </c>
    </row>
    <row r="144" spans="2:13">
      <c r="B144" s="4516" t="s">
        <v>7000</v>
      </c>
      <c r="C144" s="4504" t="s">
        <v>39</v>
      </c>
      <c r="D144" s="4497">
        <v>37765.46</v>
      </c>
      <c r="E144" s="4513"/>
      <c r="F144" s="4497"/>
      <c r="G144" s="4501">
        <f t="shared" si="6"/>
        <v>37765.46</v>
      </c>
      <c r="H144" s="4497">
        <f>SUM(I144:M144)</f>
        <v>37765.46</v>
      </c>
      <c r="I144" s="4514"/>
      <c r="J144" s="4513"/>
      <c r="K144" s="4515"/>
      <c r="L144" s="4497"/>
      <c r="M144" s="4497">
        <f>+G144</f>
        <v>37765.46</v>
      </c>
    </row>
    <row r="145" spans="2:13">
      <c r="B145" s="4509" t="s">
        <v>7205</v>
      </c>
      <c r="C145" s="4504" t="s">
        <v>4118</v>
      </c>
      <c r="D145" s="4497">
        <v>6300</v>
      </c>
      <c r="E145" s="4497"/>
      <c r="F145" s="4497"/>
      <c r="G145" s="4501">
        <f t="shared" si="6"/>
        <v>6300</v>
      </c>
      <c r="H145" s="4497">
        <f t="shared" ref="H145:H153" si="9">+SUM(I145:M145)</f>
        <v>6300</v>
      </c>
      <c r="I145" s="4514"/>
      <c r="J145" s="4513">
        <f>+G145</f>
        <v>6300</v>
      </c>
      <c r="K145" s="4515"/>
      <c r="L145" s="4497"/>
      <c r="M145" s="4497"/>
    </row>
    <row r="146" spans="2:13">
      <c r="B146" s="4507" t="s">
        <v>5544</v>
      </c>
      <c r="C146" s="4504" t="s">
        <v>40</v>
      </c>
      <c r="D146" s="4497">
        <v>75345.7</v>
      </c>
      <c r="E146" s="4497"/>
      <c r="F146" s="4497"/>
      <c r="G146" s="4501">
        <f t="shared" si="6"/>
        <v>75345.7</v>
      </c>
      <c r="H146" s="4497">
        <f t="shared" si="9"/>
        <v>75345.7</v>
      </c>
      <c r="I146" s="4514">
        <f>+G146</f>
        <v>75345.7</v>
      </c>
      <c r="J146" s="4513"/>
      <c r="K146" s="4515"/>
      <c r="L146" s="4497"/>
      <c r="M146" s="4497"/>
    </row>
    <row r="147" spans="2:13">
      <c r="B147" s="4509" t="s">
        <v>6743</v>
      </c>
      <c r="C147" s="4504" t="s">
        <v>40</v>
      </c>
      <c r="D147" s="4497">
        <v>0</v>
      </c>
      <c r="E147" s="4497">
        <f>700+180</f>
        <v>880</v>
      </c>
      <c r="F147" s="4497"/>
      <c r="G147" s="4501">
        <f t="shared" si="6"/>
        <v>880</v>
      </c>
      <c r="H147" s="4497">
        <f t="shared" si="9"/>
        <v>880</v>
      </c>
      <c r="I147" s="4514"/>
      <c r="J147" s="4513">
        <f>+G147</f>
        <v>880</v>
      </c>
      <c r="K147" s="4515"/>
      <c r="L147" s="4497"/>
      <c r="M147" s="4497"/>
    </row>
    <row r="148" spans="2:13">
      <c r="B148" s="4483" t="s">
        <v>4825</v>
      </c>
      <c r="C148" s="4504" t="s">
        <v>40</v>
      </c>
      <c r="D148" s="4497">
        <v>29583.81</v>
      </c>
      <c r="E148" s="4522"/>
      <c r="F148" s="4497"/>
      <c r="G148" s="4501">
        <f t="shared" si="6"/>
        <v>29583.81</v>
      </c>
      <c r="H148" s="4497">
        <f t="shared" si="9"/>
        <v>29583.81</v>
      </c>
      <c r="I148" s="4514"/>
      <c r="J148" s="4513"/>
      <c r="K148" s="4515">
        <f>+G148</f>
        <v>29583.81</v>
      </c>
      <c r="L148" s="4497"/>
      <c r="M148" s="4497"/>
    </row>
    <row r="149" spans="2:13">
      <c r="B149" s="4517" t="s">
        <v>6744</v>
      </c>
      <c r="C149" s="4504" t="s">
        <v>40</v>
      </c>
      <c r="D149" s="4497">
        <v>18470.34</v>
      </c>
      <c r="E149" s="4513"/>
      <c r="F149" s="4497">
        <v>18470.34</v>
      </c>
      <c r="G149" s="4501">
        <f t="shared" si="6"/>
        <v>0</v>
      </c>
      <c r="H149" s="4497">
        <f t="shared" si="9"/>
        <v>0</v>
      </c>
      <c r="I149" s="4514"/>
      <c r="J149" s="4513"/>
      <c r="K149" s="4515"/>
      <c r="L149" s="4497">
        <f>+G149</f>
        <v>0</v>
      </c>
      <c r="M149" s="4497"/>
    </row>
    <row r="150" spans="2:13">
      <c r="B150" s="4512" t="s">
        <v>7001</v>
      </c>
      <c r="C150" s="4504" t="s">
        <v>40</v>
      </c>
      <c r="D150" s="4497">
        <v>6088</v>
      </c>
      <c r="E150" s="4513"/>
      <c r="F150" s="4497"/>
      <c r="G150" s="4501">
        <f t="shared" si="6"/>
        <v>6088</v>
      </c>
      <c r="H150" s="4497">
        <f t="shared" si="9"/>
        <v>6088</v>
      </c>
      <c r="I150" s="4514"/>
      <c r="J150" s="4513"/>
      <c r="K150" s="4515"/>
      <c r="L150" s="4497">
        <f>+G150</f>
        <v>6088</v>
      </c>
      <c r="M150" s="4497"/>
    </row>
    <row r="151" spans="2:13">
      <c r="B151" s="4507" t="s">
        <v>7407</v>
      </c>
      <c r="C151" s="4504" t="s">
        <v>822</v>
      </c>
      <c r="D151" s="4497">
        <v>0</v>
      </c>
      <c r="E151" s="4513">
        <v>2520</v>
      </c>
      <c r="F151" s="4497"/>
      <c r="G151" s="4501">
        <f t="shared" si="6"/>
        <v>2520</v>
      </c>
      <c r="H151" s="4497">
        <f t="shared" ref="H151" si="10">+SUM(I151:M151)</f>
        <v>2520</v>
      </c>
      <c r="I151" s="4514">
        <f>+G151</f>
        <v>2520</v>
      </c>
      <c r="J151" s="4513"/>
      <c r="K151" s="4515"/>
      <c r="L151" s="4497"/>
      <c r="M151" s="4497"/>
    </row>
    <row r="152" spans="2:13">
      <c r="B152" s="4483" t="s">
        <v>6586</v>
      </c>
      <c r="C152" s="4504" t="s">
        <v>5430</v>
      </c>
      <c r="D152" s="4497">
        <v>0</v>
      </c>
      <c r="E152" s="4513"/>
      <c r="F152" s="4497"/>
      <c r="G152" s="4501">
        <f t="shared" si="6"/>
        <v>0</v>
      </c>
      <c r="H152" s="4497">
        <f t="shared" si="9"/>
        <v>0</v>
      </c>
      <c r="I152" s="4514"/>
      <c r="J152" s="4513"/>
      <c r="K152" s="4515">
        <f>+G152</f>
        <v>0</v>
      </c>
      <c r="L152" s="4497"/>
      <c r="M152" s="4497"/>
    </row>
    <row r="153" spans="2:13">
      <c r="B153" s="4483" t="s">
        <v>6745</v>
      </c>
      <c r="C153" s="8722" t="s">
        <v>6746</v>
      </c>
      <c r="D153" s="4508">
        <v>22000</v>
      </c>
      <c r="E153" s="4508">
        <v>1000</v>
      </c>
      <c r="F153" s="4508"/>
      <c r="G153" s="4501">
        <f t="shared" si="6"/>
        <v>23000</v>
      </c>
      <c r="H153" s="4497">
        <f t="shared" si="9"/>
        <v>23000</v>
      </c>
      <c r="I153" s="4497"/>
      <c r="J153" s="4497"/>
      <c r="K153" s="4497">
        <f>+G153</f>
        <v>23000</v>
      </c>
      <c r="L153" s="4498"/>
      <c r="M153" s="4498"/>
    </row>
    <row r="154" spans="2:13">
      <c r="B154" s="4504"/>
      <c r="C154" s="4518" t="s">
        <v>6587</v>
      </c>
      <c r="D154" s="1538">
        <f t="shared" ref="D154:M154" si="11">SUM(D26:D153)</f>
        <v>12302068.349999998</v>
      </c>
      <c r="E154" s="1537">
        <f t="shared" si="11"/>
        <v>832690.67999999993</v>
      </c>
      <c r="F154" s="1537">
        <f t="shared" si="11"/>
        <v>292394.34000000008</v>
      </c>
      <c r="G154" s="1537">
        <f t="shared" si="11"/>
        <v>12842364.689999994</v>
      </c>
      <c r="H154" s="1537">
        <f t="shared" si="11"/>
        <v>12842364.689999994</v>
      </c>
      <c r="I154" s="1537">
        <f t="shared" si="11"/>
        <v>1727895.0999999999</v>
      </c>
      <c r="J154" s="1537">
        <f t="shared" si="11"/>
        <v>472688.79</v>
      </c>
      <c r="K154" s="1537">
        <f t="shared" si="11"/>
        <v>9955419.4799999986</v>
      </c>
      <c r="L154" s="8727">
        <f t="shared" si="11"/>
        <v>609095.86</v>
      </c>
      <c r="M154" s="1537">
        <f t="shared" si="11"/>
        <v>77265.459999999992</v>
      </c>
    </row>
    <row r="155" spans="2:13">
      <c r="B155" s="1539"/>
      <c r="C155" s="1539"/>
      <c r="D155" s="3025"/>
      <c r="E155" s="1541"/>
      <c r="F155" s="1542"/>
      <c r="G155" s="3026"/>
      <c r="H155" s="1542"/>
      <c r="I155" s="1542"/>
      <c r="J155" s="4503"/>
      <c r="K155" s="4503"/>
      <c r="L155" s="4503"/>
      <c r="M155" s="4503"/>
    </row>
    <row r="156" spans="2:13">
      <c r="B156" s="1539"/>
      <c r="C156" s="1539"/>
      <c r="D156" s="3027"/>
      <c r="E156" s="1545"/>
      <c r="F156" s="8658"/>
      <c r="G156" s="1545"/>
      <c r="H156" s="1545"/>
      <c r="I156" s="1545"/>
      <c r="J156" s="4519"/>
      <c r="K156" s="4476"/>
    </row>
    <row r="157" spans="2:13" ht="38.25">
      <c r="B157" s="4488" t="s">
        <v>7</v>
      </c>
      <c r="C157" s="4488" t="s">
        <v>6505</v>
      </c>
      <c r="D157" s="4489" t="s">
        <v>6667</v>
      </c>
      <c r="E157" s="4489" t="s">
        <v>6678</v>
      </c>
      <c r="F157" s="4489" t="s">
        <v>6679</v>
      </c>
      <c r="G157" s="4489" t="s">
        <v>6680</v>
      </c>
      <c r="H157" s="4489" t="s">
        <v>6681</v>
      </c>
      <c r="I157" s="4490" t="s">
        <v>6488</v>
      </c>
      <c r="J157" s="4491" t="s">
        <v>6489</v>
      </c>
      <c r="K157" s="4492" t="s">
        <v>6508</v>
      </c>
      <c r="L157" s="4493" t="s">
        <v>6491</v>
      </c>
      <c r="M157" s="4494" t="s">
        <v>6492</v>
      </c>
    </row>
    <row r="158" spans="2:13">
      <c r="B158" s="4520" t="s">
        <v>6758</v>
      </c>
      <c r="C158" s="4521" t="s">
        <v>6759</v>
      </c>
      <c r="D158" s="4522"/>
      <c r="E158" s="4522"/>
      <c r="F158" s="4522"/>
      <c r="G158" s="4522"/>
      <c r="H158" s="4522"/>
      <c r="I158" s="4522"/>
      <c r="J158" s="4522"/>
      <c r="K158" s="4522"/>
      <c r="L158" s="4498"/>
      <c r="M158" s="4498"/>
    </row>
    <row r="159" spans="2:13">
      <c r="B159" s="4483" t="s">
        <v>6514</v>
      </c>
      <c r="C159" s="4504" t="s">
        <v>6760</v>
      </c>
      <c r="D159" s="4497">
        <v>8902539.5199999884</v>
      </c>
      <c r="E159" s="4497"/>
      <c r="F159" s="4497"/>
      <c r="G159" s="4501">
        <f t="shared" ref="G159:G208" si="12">+D159+E159-F159</f>
        <v>8902539.5199999884</v>
      </c>
      <c r="H159" s="4497">
        <f t="shared" ref="H159:H208" si="13">+SUM(I159:M159)</f>
        <v>8902539.5199999884</v>
      </c>
      <c r="I159" s="4497"/>
      <c r="J159" s="4497"/>
      <c r="K159" s="4497">
        <f t="shared" ref="K159:K165" si="14">+G159</f>
        <v>8902539.5199999884</v>
      </c>
      <c r="L159" s="4498"/>
      <c r="M159" s="4498"/>
    </row>
    <row r="160" spans="2:13">
      <c r="B160" s="4483" t="s">
        <v>6515</v>
      </c>
      <c r="C160" s="4504" t="s">
        <v>3013</v>
      </c>
      <c r="D160" s="4497">
        <v>1135912.31</v>
      </c>
      <c r="E160" s="4497"/>
      <c r="F160" s="4497"/>
      <c r="G160" s="4501">
        <f t="shared" si="12"/>
        <v>1135912.31</v>
      </c>
      <c r="H160" s="4497">
        <f t="shared" si="13"/>
        <v>1135912.31</v>
      </c>
      <c r="I160" s="4497"/>
      <c r="J160" s="4497"/>
      <c r="K160" s="4497">
        <f t="shared" si="14"/>
        <v>1135912.31</v>
      </c>
      <c r="L160" s="4498"/>
      <c r="M160" s="4498"/>
    </row>
    <row r="161" spans="2:13">
      <c r="B161" s="4483" t="s">
        <v>6517</v>
      </c>
      <c r="C161" s="4504" t="s">
        <v>3014</v>
      </c>
      <c r="D161" s="4497">
        <v>252300</v>
      </c>
      <c r="E161" s="4497"/>
      <c r="F161" s="4497"/>
      <c r="G161" s="4501">
        <f t="shared" si="12"/>
        <v>252300</v>
      </c>
      <c r="H161" s="4497">
        <f t="shared" si="13"/>
        <v>252300</v>
      </c>
      <c r="I161" s="4497"/>
      <c r="J161" s="4497"/>
      <c r="K161" s="4497">
        <f t="shared" si="14"/>
        <v>252300</v>
      </c>
      <c r="L161" s="4498"/>
      <c r="M161" s="4498"/>
    </row>
    <row r="162" spans="2:13">
      <c r="B162" s="4483" t="s">
        <v>6593</v>
      </c>
      <c r="C162" s="4504" t="s">
        <v>6750</v>
      </c>
      <c r="D162" s="4497">
        <v>4695677.5999999996</v>
      </c>
      <c r="E162" s="4497"/>
      <c r="F162" s="4508">
        <v>150000</v>
      </c>
      <c r="G162" s="4501">
        <f t="shared" si="12"/>
        <v>4545677.5999999996</v>
      </c>
      <c r="H162" s="4497">
        <f t="shared" si="13"/>
        <v>4545677.5999999996</v>
      </c>
      <c r="I162" s="4497"/>
      <c r="J162" s="4497"/>
      <c r="K162" s="4497">
        <f t="shared" si="14"/>
        <v>4545677.5999999996</v>
      </c>
      <c r="L162" s="4498"/>
      <c r="M162" s="4498"/>
    </row>
    <row r="163" spans="2:13">
      <c r="B163" s="4483" t="s">
        <v>6527</v>
      </c>
      <c r="C163" s="4504" t="s">
        <v>3032</v>
      </c>
      <c r="D163" s="4497">
        <v>1251170.9600000002</v>
      </c>
      <c r="E163" s="4497"/>
      <c r="F163" s="4508">
        <v>15000</v>
      </c>
      <c r="G163" s="4501">
        <f t="shared" si="12"/>
        <v>1236170.9600000002</v>
      </c>
      <c r="H163" s="4497">
        <f t="shared" si="13"/>
        <v>1236170.9600000002</v>
      </c>
      <c r="I163" s="4497"/>
      <c r="J163" s="4497"/>
      <c r="K163" s="4497">
        <f t="shared" si="14"/>
        <v>1236170.9600000002</v>
      </c>
      <c r="L163" s="4498"/>
      <c r="M163" s="4498"/>
    </row>
    <row r="164" spans="2:13">
      <c r="B164" s="4483" t="s">
        <v>6528</v>
      </c>
      <c r="C164" s="4504" t="s">
        <v>3039</v>
      </c>
      <c r="D164" s="4497">
        <v>1139058.8999999999</v>
      </c>
      <c r="E164" s="4497"/>
      <c r="F164" s="4508">
        <f>4000+36267.38</f>
        <v>40267.379999999997</v>
      </c>
      <c r="G164" s="4501">
        <f t="shared" si="12"/>
        <v>1098791.52</v>
      </c>
      <c r="H164" s="4497">
        <f t="shared" si="13"/>
        <v>1098791.52</v>
      </c>
      <c r="I164" s="4497"/>
      <c r="J164" s="4497"/>
      <c r="K164" s="4497">
        <f t="shared" si="14"/>
        <v>1098791.52</v>
      </c>
      <c r="L164" s="4498"/>
      <c r="M164" s="4498"/>
    </row>
    <row r="165" spans="2:13">
      <c r="B165" s="4483" t="s">
        <v>6529</v>
      </c>
      <c r="C165" s="4504" t="s">
        <v>6761</v>
      </c>
      <c r="D165" s="4497">
        <v>5500</v>
      </c>
      <c r="E165" s="4497">
        <v>4000</v>
      </c>
      <c r="F165" s="4508"/>
      <c r="G165" s="4501">
        <f t="shared" si="12"/>
        <v>9500</v>
      </c>
      <c r="H165" s="4497">
        <f t="shared" si="13"/>
        <v>9500</v>
      </c>
      <c r="I165" s="4497"/>
      <c r="J165" s="4497"/>
      <c r="K165" s="4497">
        <f t="shared" si="14"/>
        <v>9500</v>
      </c>
      <c r="L165" s="4498"/>
      <c r="M165" s="4498"/>
    </row>
    <row r="166" spans="2:13">
      <c r="B166" s="4507" t="s">
        <v>5012</v>
      </c>
      <c r="C166" s="4504" t="s">
        <v>6764</v>
      </c>
      <c r="D166" s="4497">
        <v>300</v>
      </c>
      <c r="E166" s="4497"/>
      <c r="F166" s="4508"/>
      <c r="G166" s="4501">
        <f t="shared" si="12"/>
        <v>300</v>
      </c>
      <c r="H166" s="4497">
        <f t="shared" si="13"/>
        <v>300</v>
      </c>
      <c r="I166" s="4497">
        <f>+G166</f>
        <v>300</v>
      </c>
      <c r="J166" s="4497"/>
      <c r="K166" s="4497"/>
      <c r="L166" s="4498"/>
      <c r="M166" s="4498"/>
    </row>
    <row r="167" spans="2:13">
      <c r="B167" s="4507" t="s">
        <v>6765</v>
      </c>
      <c r="C167" s="4504" t="s">
        <v>471</v>
      </c>
      <c r="D167" s="4497">
        <v>300</v>
      </c>
      <c r="E167" s="4497"/>
      <c r="F167" s="4508">
        <v>300</v>
      </c>
      <c r="G167" s="4501">
        <f t="shared" si="12"/>
        <v>0</v>
      </c>
      <c r="H167" s="4497">
        <f t="shared" si="13"/>
        <v>0</v>
      </c>
      <c r="I167" s="4497">
        <f>+G167</f>
        <v>0</v>
      </c>
      <c r="J167" s="4497"/>
      <c r="K167" s="4497"/>
      <c r="L167" s="4498"/>
      <c r="M167" s="4498"/>
    </row>
    <row r="168" spans="2:13">
      <c r="B168" s="4509" t="s">
        <v>6766</v>
      </c>
      <c r="C168" s="4504" t="s">
        <v>1323</v>
      </c>
      <c r="D168" s="4497">
        <v>4500</v>
      </c>
      <c r="E168" s="4497"/>
      <c r="F168" s="4508"/>
      <c r="G168" s="4501">
        <f t="shared" si="12"/>
        <v>4500</v>
      </c>
      <c r="H168" s="4497">
        <f t="shared" si="13"/>
        <v>4500</v>
      </c>
      <c r="I168" s="4497"/>
      <c r="J168" s="4497">
        <f>+G168</f>
        <v>4500</v>
      </c>
      <c r="K168" s="4497"/>
      <c r="L168" s="4498"/>
      <c r="M168" s="4498"/>
    </row>
    <row r="169" spans="2:13">
      <c r="B169" s="4507" t="s">
        <v>6699</v>
      </c>
      <c r="C169" s="4500" t="s">
        <v>281</v>
      </c>
      <c r="D169" s="8656">
        <v>384435.03</v>
      </c>
      <c r="E169" s="4508"/>
      <c r="F169" s="4508">
        <v>18165.650000000001</v>
      </c>
      <c r="G169" s="4501">
        <f t="shared" si="12"/>
        <v>366269.38</v>
      </c>
      <c r="H169" s="4497">
        <f t="shared" si="13"/>
        <v>366269.38</v>
      </c>
      <c r="I169" s="4497">
        <f>+G169</f>
        <v>366269.38</v>
      </c>
      <c r="J169" s="4497"/>
      <c r="K169" s="4502"/>
      <c r="L169" s="4497"/>
      <c r="M169" s="4497"/>
    </row>
    <row r="170" spans="2:13">
      <c r="B170" s="4509" t="s">
        <v>6700</v>
      </c>
      <c r="C170" s="4504" t="s">
        <v>281</v>
      </c>
      <c r="D170" s="4497">
        <v>0</v>
      </c>
      <c r="E170" s="4497"/>
      <c r="F170" s="4508"/>
      <c r="G170" s="4501">
        <f t="shared" si="12"/>
        <v>0</v>
      </c>
      <c r="H170" s="4497">
        <f t="shared" si="13"/>
        <v>0</v>
      </c>
      <c r="I170" s="4497"/>
      <c r="J170" s="4497">
        <f>+G170</f>
        <v>0</v>
      </c>
      <c r="K170" s="4502"/>
      <c r="L170" s="4497"/>
      <c r="M170" s="4497"/>
    </row>
    <row r="171" spans="2:13">
      <c r="B171" s="4483" t="s">
        <v>6701</v>
      </c>
      <c r="C171" s="4504" t="s">
        <v>281</v>
      </c>
      <c r="D171" s="4497">
        <v>8891.3000000000029</v>
      </c>
      <c r="E171" s="4497"/>
      <c r="F171" s="4508">
        <f>607.17+345.47</f>
        <v>952.64</v>
      </c>
      <c r="G171" s="4501">
        <f t="shared" si="12"/>
        <v>7938.6600000000026</v>
      </c>
      <c r="H171" s="4497">
        <f t="shared" si="13"/>
        <v>7938.6600000000026</v>
      </c>
      <c r="I171" s="4497"/>
      <c r="J171" s="4497"/>
      <c r="K171" s="4502">
        <f>+G171</f>
        <v>7938.6600000000026</v>
      </c>
      <c r="L171" s="4497"/>
      <c r="M171" s="4497"/>
    </row>
    <row r="172" spans="2:13">
      <c r="B172" s="4507" t="s">
        <v>6704</v>
      </c>
      <c r="C172" s="4504" t="s">
        <v>505</v>
      </c>
      <c r="D172" s="4497">
        <v>9200</v>
      </c>
      <c r="E172" s="4497"/>
      <c r="F172" s="4508">
        <v>128</v>
      </c>
      <c r="G172" s="4501">
        <f t="shared" si="12"/>
        <v>9072</v>
      </c>
      <c r="H172" s="4497">
        <f t="shared" si="13"/>
        <v>9072</v>
      </c>
      <c r="I172" s="4497">
        <f>+G172</f>
        <v>9072</v>
      </c>
      <c r="J172" s="4497"/>
      <c r="K172" s="4502"/>
      <c r="L172" s="4497"/>
      <c r="M172" s="4497"/>
    </row>
    <row r="173" spans="2:13">
      <c r="B173" s="4483" t="s">
        <v>6708</v>
      </c>
      <c r="C173" s="4504" t="s">
        <v>6709</v>
      </c>
      <c r="D173" s="4497">
        <v>45000.55</v>
      </c>
      <c r="E173" s="4508"/>
      <c r="F173" s="4497">
        <v>45000.55</v>
      </c>
      <c r="G173" s="4501">
        <f t="shared" si="12"/>
        <v>0</v>
      </c>
      <c r="H173" s="4497">
        <f t="shared" si="13"/>
        <v>0</v>
      </c>
      <c r="I173" s="4497"/>
      <c r="J173" s="4497"/>
      <c r="K173" s="4502">
        <f>+G173</f>
        <v>0</v>
      </c>
      <c r="L173" s="4497"/>
      <c r="M173" s="4497"/>
    </row>
    <row r="174" spans="2:13">
      <c r="B174" s="4507" t="s">
        <v>6600</v>
      </c>
      <c r="C174" s="4504" t="s">
        <v>6752</v>
      </c>
      <c r="D174" s="4497">
        <v>133543.64000000001</v>
      </c>
      <c r="E174" s="4497"/>
      <c r="F174" s="4497">
        <v>4000</v>
      </c>
      <c r="G174" s="4501">
        <f t="shared" si="12"/>
        <v>129543.64000000001</v>
      </c>
      <c r="H174" s="4497">
        <f t="shared" si="13"/>
        <v>129543.64000000001</v>
      </c>
      <c r="I174" s="4497">
        <f>+G174</f>
        <v>129543.64000000001</v>
      </c>
      <c r="J174" s="4497"/>
      <c r="K174" s="4497"/>
      <c r="L174" s="4498"/>
      <c r="M174" s="4498"/>
    </row>
    <row r="175" spans="2:13">
      <c r="B175" s="4507" t="s">
        <v>6601</v>
      </c>
      <c r="C175" s="4504" t="s">
        <v>1360</v>
      </c>
      <c r="D175" s="4497">
        <v>31385.72</v>
      </c>
      <c r="E175" s="4497"/>
      <c r="F175" s="4497"/>
      <c r="G175" s="4501">
        <f t="shared" si="12"/>
        <v>31385.72</v>
      </c>
      <c r="H175" s="4497">
        <f t="shared" si="13"/>
        <v>31385.72</v>
      </c>
      <c r="I175" s="4497">
        <f>+G175</f>
        <v>31385.72</v>
      </c>
      <c r="J175" s="4497"/>
      <c r="K175" s="4497"/>
      <c r="L175" s="4498"/>
      <c r="M175" s="4498"/>
    </row>
    <row r="176" spans="2:13">
      <c r="B176" s="4483" t="s">
        <v>6603</v>
      </c>
      <c r="C176" s="4504" t="s">
        <v>1360</v>
      </c>
      <c r="D176" s="4497">
        <v>0</v>
      </c>
      <c r="E176" s="4497"/>
      <c r="F176" s="4497"/>
      <c r="G176" s="4501">
        <f t="shared" si="12"/>
        <v>0</v>
      </c>
      <c r="H176" s="4497">
        <f t="shared" si="13"/>
        <v>0</v>
      </c>
      <c r="I176" s="4497"/>
      <c r="J176" s="4497"/>
      <c r="K176" s="4497">
        <f>+G176</f>
        <v>0</v>
      </c>
      <c r="L176" s="4498"/>
      <c r="M176" s="4498"/>
    </row>
    <row r="177" spans="2:13">
      <c r="B177" s="4507" t="s">
        <v>6604</v>
      </c>
      <c r="C177" s="4504" t="s">
        <v>2398</v>
      </c>
      <c r="D177" s="4497">
        <v>0</v>
      </c>
      <c r="E177" s="4497"/>
      <c r="F177" s="4497"/>
      <c r="G177" s="4501">
        <f t="shared" si="12"/>
        <v>0</v>
      </c>
      <c r="H177" s="4497">
        <f t="shared" si="13"/>
        <v>0</v>
      </c>
      <c r="I177" s="4497">
        <f>+G177</f>
        <v>0</v>
      </c>
      <c r="J177" s="4497"/>
      <c r="K177" s="4497"/>
      <c r="L177" s="4498"/>
      <c r="M177" s="4498"/>
    </row>
    <row r="178" spans="2:13">
      <c r="B178" s="4507" t="s">
        <v>6772</v>
      </c>
      <c r="C178" s="4504" t="s">
        <v>148</v>
      </c>
      <c r="D178" s="4497">
        <v>11457.37</v>
      </c>
      <c r="E178" s="4497"/>
      <c r="F178" s="4497">
        <v>500.27</v>
      </c>
      <c r="G178" s="4501">
        <f t="shared" si="12"/>
        <v>10957.1</v>
      </c>
      <c r="H178" s="4497">
        <f t="shared" si="13"/>
        <v>10957.1</v>
      </c>
      <c r="I178" s="4497">
        <f>+G178</f>
        <v>10957.1</v>
      </c>
      <c r="J178" s="4497"/>
      <c r="K178" s="4497"/>
      <c r="L178" s="4498"/>
      <c r="M178" s="4498"/>
    </row>
    <row r="179" spans="2:13">
      <c r="B179" s="4507" t="s">
        <v>6804</v>
      </c>
      <c r="C179" s="4504" t="s">
        <v>3817</v>
      </c>
      <c r="D179" s="4497">
        <v>157.33000000000001</v>
      </c>
      <c r="E179" s="4497"/>
      <c r="F179" s="4497"/>
      <c r="G179" s="4501">
        <f t="shared" si="12"/>
        <v>157.33000000000001</v>
      </c>
      <c r="H179" s="4497">
        <f t="shared" si="13"/>
        <v>157.33000000000001</v>
      </c>
      <c r="I179" s="4511">
        <f>G179</f>
        <v>157.33000000000001</v>
      </c>
      <c r="J179" s="4508"/>
      <c r="K179" s="4502"/>
      <c r="L179" s="4497"/>
      <c r="M179" s="4497"/>
    </row>
    <row r="180" spans="2:13">
      <c r="B180" s="4507" t="s">
        <v>6773</v>
      </c>
      <c r="C180" s="4504" t="s">
        <v>1006</v>
      </c>
      <c r="D180" s="4497">
        <v>0</v>
      </c>
      <c r="E180" s="4497"/>
      <c r="F180" s="4497"/>
      <c r="G180" s="4501">
        <f t="shared" si="12"/>
        <v>0</v>
      </c>
      <c r="H180" s="4497">
        <f t="shared" si="13"/>
        <v>0</v>
      </c>
      <c r="I180" s="4497">
        <f>+G180</f>
        <v>0</v>
      </c>
      <c r="J180" s="4497"/>
      <c r="K180" s="4497"/>
      <c r="L180" s="4498"/>
      <c r="M180" s="4498"/>
    </row>
    <row r="181" spans="2:13">
      <c r="B181" s="4507" t="s">
        <v>6716</v>
      </c>
      <c r="C181" s="4504" t="s">
        <v>6775</v>
      </c>
      <c r="D181" s="4497">
        <v>6457.39</v>
      </c>
      <c r="E181" s="4497"/>
      <c r="F181" s="4497"/>
      <c r="G181" s="4501">
        <f t="shared" si="12"/>
        <v>6457.39</v>
      </c>
      <c r="H181" s="4497">
        <f t="shared" si="13"/>
        <v>6457.39</v>
      </c>
      <c r="I181" s="4497">
        <f>+G181</f>
        <v>6457.39</v>
      </c>
      <c r="J181" s="4497"/>
      <c r="K181" s="4497"/>
      <c r="L181" s="4498"/>
      <c r="M181" s="4498"/>
    </row>
    <row r="182" spans="2:13">
      <c r="B182" s="4507" t="s">
        <v>6608</v>
      </c>
      <c r="C182" s="4504" t="s">
        <v>2694</v>
      </c>
      <c r="D182" s="4497">
        <v>308.76</v>
      </c>
      <c r="E182" s="4497"/>
      <c r="F182" s="4497"/>
      <c r="G182" s="4501">
        <f t="shared" si="12"/>
        <v>308.76</v>
      </c>
      <c r="H182" s="4497">
        <f t="shared" si="13"/>
        <v>308.76</v>
      </c>
      <c r="I182" s="4497">
        <f>+G182</f>
        <v>308.76</v>
      </c>
      <c r="J182" s="4497"/>
      <c r="K182" s="4497"/>
      <c r="L182" s="4498"/>
      <c r="M182" s="4498"/>
    </row>
    <row r="183" spans="2:13">
      <c r="B183" s="4507" t="s">
        <v>6813</v>
      </c>
      <c r="C183" s="4504" t="s">
        <v>591</v>
      </c>
      <c r="D183" s="4497">
        <v>554</v>
      </c>
      <c r="E183" s="4497"/>
      <c r="F183" s="4497"/>
      <c r="G183" s="4501">
        <f t="shared" si="12"/>
        <v>554</v>
      </c>
      <c r="H183" s="4497">
        <f t="shared" si="13"/>
        <v>554</v>
      </c>
      <c r="I183" s="4497">
        <f>+G183</f>
        <v>554</v>
      </c>
      <c r="J183" s="4497"/>
      <c r="K183" s="4502"/>
      <c r="L183" s="4498"/>
      <c r="M183" s="4498"/>
    </row>
    <row r="184" spans="2:13">
      <c r="B184" s="4509" t="s">
        <v>6659</v>
      </c>
      <c r="C184" s="4504" t="s">
        <v>591</v>
      </c>
      <c r="D184" s="4497">
        <v>57539.200000000004</v>
      </c>
      <c r="E184" s="4497"/>
      <c r="F184" s="4497"/>
      <c r="G184" s="4501">
        <f t="shared" si="12"/>
        <v>57539.200000000004</v>
      </c>
      <c r="H184" s="4497">
        <f t="shared" si="13"/>
        <v>57539.200000000004</v>
      </c>
      <c r="I184" s="4497"/>
      <c r="J184" s="4497">
        <f>+G184</f>
        <v>57539.200000000004</v>
      </c>
      <c r="K184" s="4502"/>
      <c r="L184" s="4497"/>
      <c r="M184" s="4497"/>
    </row>
    <row r="185" spans="2:13">
      <c r="B185" s="4483" t="s">
        <v>4833</v>
      </c>
      <c r="C185" s="8724" t="s">
        <v>591</v>
      </c>
      <c r="D185" s="4497">
        <v>2537.8799999999997</v>
      </c>
      <c r="E185" s="4497"/>
      <c r="F185" s="4497">
        <v>151.44999999999999</v>
      </c>
      <c r="G185" s="4501">
        <f t="shared" si="12"/>
        <v>2386.4299999999998</v>
      </c>
      <c r="H185" s="4497">
        <f t="shared" si="13"/>
        <v>2386.4299999999998</v>
      </c>
      <c r="I185" s="4497"/>
      <c r="J185" s="4497"/>
      <c r="K185" s="4497">
        <f>+G185</f>
        <v>2386.4299999999998</v>
      </c>
      <c r="L185" s="4498"/>
      <c r="M185" s="4498"/>
    </row>
    <row r="186" spans="2:13">
      <c r="B186" s="4507" t="s">
        <v>6609</v>
      </c>
      <c r="C186" s="4504" t="s">
        <v>39</v>
      </c>
      <c r="D186" s="4497">
        <v>100.00000000000001</v>
      </c>
      <c r="E186" s="4497"/>
      <c r="F186" s="4497"/>
      <c r="G186" s="4501">
        <f t="shared" si="12"/>
        <v>100.00000000000001</v>
      </c>
      <c r="H186" s="4497">
        <f t="shared" si="13"/>
        <v>100.00000000000001</v>
      </c>
      <c r="I186" s="4497">
        <f t="shared" ref="I186:I192" si="15">+G186</f>
        <v>100.00000000000001</v>
      </c>
      <c r="J186" s="4497"/>
      <c r="K186" s="4497"/>
      <c r="L186" s="4498"/>
      <c r="M186" s="4498"/>
    </row>
    <row r="187" spans="2:13">
      <c r="B187" s="4507" t="s">
        <v>6610</v>
      </c>
      <c r="C187" s="4504" t="s">
        <v>4163</v>
      </c>
      <c r="D187" s="4497">
        <v>521</v>
      </c>
      <c r="E187" s="4497"/>
      <c r="F187" s="4497"/>
      <c r="G187" s="4501">
        <f t="shared" si="12"/>
        <v>521</v>
      </c>
      <c r="H187" s="4497">
        <f t="shared" si="13"/>
        <v>521</v>
      </c>
      <c r="I187" s="4497">
        <f t="shared" si="15"/>
        <v>521</v>
      </c>
      <c r="J187" s="4497"/>
      <c r="K187" s="4497"/>
      <c r="L187" s="4498"/>
      <c r="M187" s="4498"/>
    </row>
    <row r="188" spans="2:13">
      <c r="B188" s="4507" t="s">
        <v>4835</v>
      </c>
      <c r="C188" s="4504" t="s">
        <v>40</v>
      </c>
      <c r="D188" s="4497">
        <v>991.96</v>
      </c>
      <c r="E188" s="4497"/>
      <c r="F188" s="4497"/>
      <c r="G188" s="4501">
        <f t="shared" si="12"/>
        <v>991.96</v>
      </c>
      <c r="H188" s="4497">
        <f t="shared" si="13"/>
        <v>991.96</v>
      </c>
      <c r="I188" s="4497">
        <f t="shared" si="15"/>
        <v>991.96</v>
      </c>
      <c r="J188" s="4497"/>
      <c r="K188" s="4497"/>
      <c r="L188" s="4498"/>
      <c r="M188" s="4498"/>
    </row>
    <row r="189" spans="2:13">
      <c r="B189" s="4507" t="s">
        <v>6612</v>
      </c>
      <c r="C189" s="4504" t="s">
        <v>903</v>
      </c>
      <c r="D189" s="4497">
        <v>1179.75</v>
      </c>
      <c r="E189" s="4497"/>
      <c r="F189" s="4497"/>
      <c r="G189" s="4501">
        <f t="shared" si="12"/>
        <v>1179.75</v>
      </c>
      <c r="H189" s="4497">
        <f t="shared" si="13"/>
        <v>1179.75</v>
      </c>
      <c r="I189" s="4497">
        <f t="shared" si="15"/>
        <v>1179.75</v>
      </c>
      <c r="J189" s="4497"/>
      <c r="K189" s="4497"/>
      <c r="L189" s="4498"/>
      <c r="M189" s="4498"/>
    </row>
    <row r="190" spans="2:13">
      <c r="B190" s="4507" t="s">
        <v>6613</v>
      </c>
      <c r="C190" s="4504" t="s">
        <v>4206</v>
      </c>
      <c r="D190" s="4497">
        <v>200</v>
      </c>
      <c r="E190" s="4497"/>
      <c r="F190" s="4497">
        <v>200</v>
      </c>
      <c r="G190" s="4501">
        <f t="shared" si="12"/>
        <v>0</v>
      </c>
      <c r="H190" s="4497">
        <f t="shared" si="13"/>
        <v>0</v>
      </c>
      <c r="I190" s="4497">
        <f t="shared" si="15"/>
        <v>0</v>
      </c>
      <c r="J190" s="4497"/>
      <c r="K190" s="4502"/>
      <c r="L190" s="4498"/>
      <c r="M190" s="4498"/>
    </row>
    <row r="191" spans="2:13">
      <c r="B191" s="4507" t="s">
        <v>6577</v>
      </c>
      <c r="C191" s="4504" t="s">
        <v>894</v>
      </c>
      <c r="D191" s="4497">
        <v>147572.91</v>
      </c>
      <c r="E191" s="4497"/>
      <c r="F191" s="4497">
        <v>718.22</v>
      </c>
      <c r="G191" s="4501">
        <f t="shared" si="12"/>
        <v>146854.69</v>
      </c>
      <c r="H191" s="4497">
        <f t="shared" si="13"/>
        <v>146854.69</v>
      </c>
      <c r="I191" s="4497">
        <f t="shared" si="15"/>
        <v>146854.69</v>
      </c>
      <c r="J191" s="4497"/>
      <c r="K191" s="4502"/>
      <c r="L191" s="4497"/>
      <c r="M191" s="4497"/>
    </row>
    <row r="192" spans="2:13">
      <c r="B192" s="4507" t="s">
        <v>6581</v>
      </c>
      <c r="C192" s="4504" t="s">
        <v>38</v>
      </c>
      <c r="D192" s="4497">
        <v>251470</v>
      </c>
      <c r="E192" s="4497"/>
      <c r="F192" s="4497"/>
      <c r="G192" s="4501">
        <f t="shared" si="12"/>
        <v>251470</v>
      </c>
      <c r="H192" s="4497">
        <f t="shared" si="13"/>
        <v>251470</v>
      </c>
      <c r="I192" s="4497">
        <f t="shared" si="15"/>
        <v>251470</v>
      </c>
      <c r="J192" s="4497"/>
      <c r="K192" s="4502"/>
      <c r="L192" s="4497"/>
      <c r="M192" s="4497"/>
    </row>
    <row r="193" spans="2:13">
      <c r="B193" s="4512" t="s">
        <v>6780</v>
      </c>
      <c r="C193" s="4504" t="s">
        <v>281</v>
      </c>
      <c r="D193" s="4497">
        <v>0</v>
      </c>
      <c r="E193" s="4497"/>
      <c r="F193" s="4497"/>
      <c r="G193" s="4501">
        <f t="shared" si="12"/>
        <v>0</v>
      </c>
      <c r="H193" s="4497">
        <f t="shared" si="13"/>
        <v>0</v>
      </c>
      <c r="I193" s="4497"/>
      <c r="J193" s="4497"/>
      <c r="K193" s="4502"/>
      <c r="L193" s="4497">
        <f>+G193</f>
        <v>0</v>
      </c>
      <c r="M193" s="4497"/>
    </row>
    <row r="194" spans="2:13">
      <c r="B194" s="4512" t="s">
        <v>6781</v>
      </c>
      <c r="C194" s="4504" t="s">
        <v>281</v>
      </c>
      <c r="D194" s="4497">
        <v>33214.120000000003</v>
      </c>
      <c r="E194" s="4497"/>
      <c r="F194" s="4497">
        <f>6428.54-3161.83</f>
        <v>3266.71</v>
      </c>
      <c r="G194" s="4501">
        <f t="shared" si="12"/>
        <v>29947.410000000003</v>
      </c>
      <c r="H194" s="4497">
        <f t="shared" si="13"/>
        <v>29947.410000000003</v>
      </c>
      <c r="I194" s="4497"/>
      <c r="J194" s="4497"/>
      <c r="K194" s="4502"/>
      <c r="L194" s="4497">
        <f>+G194</f>
        <v>29947.410000000003</v>
      </c>
      <c r="M194" s="4497"/>
    </row>
    <row r="195" spans="2:13">
      <c r="B195" s="4523" t="s">
        <v>7002</v>
      </c>
      <c r="C195" s="4504" t="s">
        <v>281</v>
      </c>
      <c r="D195" s="4497">
        <v>26785.57</v>
      </c>
      <c r="E195" s="4497"/>
      <c r="F195" s="4497"/>
      <c r="G195" s="4501">
        <f t="shared" si="12"/>
        <v>26785.57</v>
      </c>
      <c r="H195" s="4497">
        <f t="shared" si="13"/>
        <v>26785.57</v>
      </c>
      <c r="I195" s="4497"/>
      <c r="J195" s="4497"/>
      <c r="K195" s="4502"/>
      <c r="L195" s="4497"/>
      <c r="M195" s="4497">
        <f>+G195</f>
        <v>26785.57</v>
      </c>
    </row>
    <row r="196" spans="2:13">
      <c r="B196" s="4512" t="s">
        <v>7348</v>
      </c>
      <c r="C196" s="4504" t="s">
        <v>3787</v>
      </c>
      <c r="D196" s="4497">
        <v>28840</v>
      </c>
      <c r="E196" s="4497"/>
      <c r="F196" s="4508"/>
      <c r="G196" s="4501">
        <f t="shared" si="12"/>
        <v>28840</v>
      </c>
      <c r="H196" s="4497">
        <f t="shared" si="13"/>
        <v>28840</v>
      </c>
      <c r="I196" s="4497"/>
      <c r="J196" s="4497"/>
      <c r="K196" s="4502"/>
      <c r="L196" s="4497">
        <f>+G196</f>
        <v>28840</v>
      </c>
      <c r="M196" s="4497"/>
    </row>
    <row r="197" spans="2:13">
      <c r="B197" s="4512" t="s">
        <v>6783</v>
      </c>
      <c r="C197" s="4504" t="s">
        <v>39</v>
      </c>
      <c r="D197" s="4497">
        <v>0</v>
      </c>
      <c r="E197" s="4497"/>
      <c r="F197" s="4508"/>
      <c r="G197" s="4501">
        <f t="shared" si="12"/>
        <v>0</v>
      </c>
      <c r="H197" s="4497">
        <f t="shared" si="13"/>
        <v>0</v>
      </c>
      <c r="I197" s="4497"/>
      <c r="J197" s="4497"/>
      <c r="K197" s="4502"/>
      <c r="L197" s="4497">
        <f>+G197</f>
        <v>0</v>
      </c>
      <c r="M197" s="4497"/>
    </row>
    <row r="198" spans="2:13">
      <c r="B198" s="4507" t="s">
        <v>7349</v>
      </c>
      <c r="C198" s="4504" t="s">
        <v>7208</v>
      </c>
      <c r="D198" s="4497">
        <v>639186.31000000006</v>
      </c>
      <c r="E198" s="4508"/>
      <c r="F198" s="4508">
        <v>67590.19</v>
      </c>
      <c r="G198" s="4501">
        <f t="shared" si="12"/>
        <v>571596.12000000011</v>
      </c>
      <c r="H198" s="4497">
        <f t="shared" si="13"/>
        <v>571596.12000000011</v>
      </c>
      <c r="I198" s="4497">
        <f>+G198</f>
        <v>571596.12000000011</v>
      </c>
      <c r="J198" s="4497"/>
      <c r="K198" s="4502"/>
      <c r="L198" s="4497"/>
      <c r="M198" s="4497"/>
    </row>
    <row r="199" spans="2:13">
      <c r="B199" s="4507" t="s">
        <v>6737</v>
      </c>
      <c r="C199" s="4504" t="s">
        <v>671</v>
      </c>
      <c r="D199" s="4497">
        <v>2856</v>
      </c>
      <c r="E199" s="4497"/>
      <c r="F199" s="4508"/>
      <c r="G199" s="4501">
        <f t="shared" si="12"/>
        <v>2856</v>
      </c>
      <c r="H199" s="4497">
        <f t="shared" si="13"/>
        <v>2856</v>
      </c>
      <c r="I199" s="4497">
        <f>+G199</f>
        <v>2856</v>
      </c>
      <c r="J199" s="4497"/>
      <c r="K199" s="4502"/>
      <c r="L199" s="4497"/>
      <c r="M199" s="4497"/>
    </row>
    <row r="200" spans="2:13">
      <c r="B200" s="4483" t="s">
        <v>5694</v>
      </c>
      <c r="C200" s="4504" t="s">
        <v>671</v>
      </c>
      <c r="D200" s="4497">
        <v>14825.18</v>
      </c>
      <c r="E200" s="4497"/>
      <c r="F200" s="4508">
        <v>1866.56</v>
      </c>
      <c r="G200" s="4501">
        <f t="shared" si="12"/>
        <v>12958.62</v>
      </c>
      <c r="H200" s="4497">
        <f t="shared" si="13"/>
        <v>12958.62</v>
      </c>
      <c r="I200" s="4497"/>
      <c r="J200" s="4497"/>
      <c r="K200" s="4497">
        <f>+G200</f>
        <v>12958.62</v>
      </c>
      <c r="L200" s="4497"/>
      <c r="M200" s="4497"/>
    </row>
    <row r="201" spans="2:13">
      <c r="B201" s="4507" t="s">
        <v>5717</v>
      </c>
      <c r="C201" s="4504" t="s">
        <v>39</v>
      </c>
      <c r="D201" s="8656">
        <v>714.29</v>
      </c>
      <c r="E201" s="4522"/>
      <c r="F201" s="4508"/>
      <c r="G201" s="4501">
        <f t="shared" si="12"/>
        <v>714.29</v>
      </c>
      <c r="H201" s="4497">
        <f t="shared" si="13"/>
        <v>714.29</v>
      </c>
      <c r="I201" s="4497">
        <f>+G201</f>
        <v>714.29</v>
      </c>
      <c r="J201" s="4497"/>
      <c r="K201" s="4497"/>
      <c r="L201" s="4497"/>
      <c r="M201" s="4497"/>
    </row>
    <row r="202" spans="2:13">
      <c r="B202" s="4483" t="s">
        <v>5283</v>
      </c>
      <c r="C202" s="4504" t="s">
        <v>39</v>
      </c>
      <c r="D202" s="8656">
        <v>2422.6</v>
      </c>
      <c r="E202" s="4522"/>
      <c r="F202" s="4508">
        <v>117.6</v>
      </c>
      <c r="G202" s="4501">
        <f t="shared" si="12"/>
        <v>2305</v>
      </c>
      <c r="H202" s="4497">
        <f t="shared" si="13"/>
        <v>2305</v>
      </c>
      <c r="I202" s="4497"/>
      <c r="J202" s="4497"/>
      <c r="K202" s="4497">
        <f>+G202</f>
        <v>2305</v>
      </c>
      <c r="L202" s="4497"/>
      <c r="M202" s="4497"/>
    </row>
    <row r="203" spans="2:13">
      <c r="B203" s="4507" t="s">
        <v>6785</v>
      </c>
      <c r="C203" s="4504" t="s">
        <v>39</v>
      </c>
      <c r="D203" s="8656">
        <v>41623.279999999999</v>
      </c>
      <c r="E203" s="4497"/>
      <c r="F203" s="4508"/>
      <c r="G203" s="4501">
        <f t="shared" si="12"/>
        <v>41623.279999999999</v>
      </c>
      <c r="H203" s="4497">
        <f t="shared" si="13"/>
        <v>41623.279999999999</v>
      </c>
      <c r="I203" s="4497">
        <f>+G203</f>
        <v>41623.279999999999</v>
      </c>
      <c r="J203" s="4497"/>
      <c r="K203" s="4497"/>
      <c r="L203" s="4497"/>
      <c r="M203" s="4497"/>
    </row>
    <row r="204" spans="2:13">
      <c r="B204" s="4512" t="s">
        <v>6784</v>
      </c>
      <c r="C204" s="4504" t="s">
        <v>39</v>
      </c>
      <c r="D204" s="8656">
        <v>71176.34</v>
      </c>
      <c r="E204" s="4497"/>
      <c r="F204" s="4508">
        <v>13541.15</v>
      </c>
      <c r="G204" s="4501">
        <f t="shared" si="12"/>
        <v>57635.189999999995</v>
      </c>
      <c r="H204" s="4497">
        <f t="shared" si="13"/>
        <v>57635.189999999995</v>
      </c>
      <c r="I204" s="4497"/>
      <c r="J204" s="4497"/>
      <c r="K204" s="4497"/>
      <c r="L204" s="4497">
        <f>+G204</f>
        <v>57635.189999999995</v>
      </c>
      <c r="M204" s="4497"/>
    </row>
    <row r="205" spans="2:13">
      <c r="B205" s="4523" t="s">
        <v>7003</v>
      </c>
      <c r="C205" s="4504" t="s">
        <v>39</v>
      </c>
      <c r="D205" s="8656">
        <v>90967.42</v>
      </c>
      <c r="E205" s="4497"/>
      <c r="F205" s="4508"/>
      <c r="G205" s="4501">
        <f t="shared" si="12"/>
        <v>90967.42</v>
      </c>
      <c r="H205" s="4497">
        <f t="shared" si="13"/>
        <v>90967.42</v>
      </c>
      <c r="I205" s="4497"/>
      <c r="J205" s="4497"/>
      <c r="K205" s="4497"/>
      <c r="L205" s="4497"/>
      <c r="M205" s="4497">
        <f>+G205</f>
        <v>90967.42</v>
      </c>
    </row>
    <row r="206" spans="2:13">
      <c r="B206" s="4483" t="s">
        <v>4825</v>
      </c>
      <c r="C206" s="4504" t="s">
        <v>40</v>
      </c>
      <c r="D206" s="8656">
        <v>10818.77</v>
      </c>
      <c r="E206" s="4497"/>
      <c r="F206" s="4508">
        <f>422.75-146.08</f>
        <v>276.66999999999996</v>
      </c>
      <c r="G206" s="4501">
        <f t="shared" si="12"/>
        <v>10542.1</v>
      </c>
      <c r="H206" s="4497">
        <f t="shared" si="13"/>
        <v>10542.1</v>
      </c>
      <c r="I206" s="4497"/>
      <c r="J206" s="4497"/>
      <c r="K206" s="4497">
        <f>+G206</f>
        <v>10542.1</v>
      </c>
      <c r="L206" s="4497"/>
      <c r="M206" s="4497"/>
    </row>
    <row r="207" spans="2:13">
      <c r="B207" s="4507" t="s">
        <v>7209</v>
      </c>
      <c r="C207" s="4504" t="s">
        <v>5812</v>
      </c>
      <c r="D207" s="8656">
        <v>369996</v>
      </c>
      <c r="E207" s="4508"/>
      <c r="F207" s="4497">
        <v>40307.589999999997</v>
      </c>
      <c r="G207" s="4501">
        <f t="shared" si="12"/>
        <v>329688.41000000003</v>
      </c>
      <c r="H207" s="4497">
        <f t="shared" si="13"/>
        <v>329688.41000000003</v>
      </c>
      <c r="I207" s="4497">
        <f>+G207</f>
        <v>329688.41000000003</v>
      </c>
      <c r="J207" s="4497"/>
      <c r="K207" s="4497"/>
      <c r="L207" s="4497"/>
      <c r="M207" s="4497"/>
    </row>
    <row r="208" spans="2:13">
      <c r="B208" s="4483" t="s">
        <v>6745</v>
      </c>
      <c r="C208" s="4504" t="s">
        <v>6746</v>
      </c>
      <c r="D208" s="4497">
        <v>213449.11</v>
      </c>
      <c r="E208" s="4497">
        <f>23000-1848+15000</f>
        <v>36152</v>
      </c>
      <c r="F208" s="4497"/>
      <c r="G208" s="4501">
        <f t="shared" si="12"/>
        <v>249601.11</v>
      </c>
      <c r="H208" s="4497">
        <f t="shared" si="13"/>
        <v>249601.11</v>
      </c>
      <c r="I208" s="4497"/>
      <c r="J208" s="4497"/>
      <c r="K208" s="4497">
        <f>+G208</f>
        <v>249601.11</v>
      </c>
      <c r="L208" s="4497"/>
      <c r="M208" s="4497"/>
    </row>
    <row r="209" spans="2:13">
      <c r="B209" s="4524"/>
      <c r="C209" s="4518" t="s">
        <v>6787</v>
      </c>
      <c r="D209" s="1538">
        <f t="shared" ref="D209:M209" si="16">SUM(D159:D208)</f>
        <v>20027638.069999993</v>
      </c>
      <c r="E209" s="1538">
        <f t="shared" si="16"/>
        <v>40152</v>
      </c>
      <c r="F209" s="1538">
        <f t="shared" si="16"/>
        <v>402350.63</v>
      </c>
      <c r="G209" s="1538">
        <f t="shared" si="16"/>
        <v>19665439.439999998</v>
      </c>
      <c r="H209" s="1538">
        <f t="shared" si="16"/>
        <v>19665439.439999998</v>
      </c>
      <c r="I209" s="1538">
        <f t="shared" si="16"/>
        <v>1902600.8200000003</v>
      </c>
      <c r="J209" s="1538">
        <f t="shared" si="16"/>
        <v>62039.200000000004</v>
      </c>
      <c r="K209" s="1538">
        <f t="shared" si="16"/>
        <v>17466623.829999991</v>
      </c>
      <c r="L209" s="8727">
        <f>SUM(L159:L208)</f>
        <v>116422.6</v>
      </c>
      <c r="M209" s="1538">
        <f t="shared" si="16"/>
        <v>117752.98999999999</v>
      </c>
    </row>
    <row r="210" spans="2:13">
      <c r="B210" s="4525"/>
      <c r="C210" s="4526"/>
      <c r="E210" s="4503"/>
      <c r="F210" s="1539"/>
      <c r="G210" s="3039"/>
      <c r="H210" s="1539"/>
      <c r="I210" s="1539"/>
      <c r="J210" s="1539"/>
      <c r="K210" s="1539"/>
    </row>
    <row r="211" spans="2:13">
      <c r="B211" s="4527"/>
      <c r="C211" s="4527"/>
      <c r="F211" s="1539"/>
      <c r="G211" s="1539"/>
      <c r="H211" s="1539"/>
      <c r="I211" s="1539"/>
      <c r="J211" s="1539"/>
      <c r="K211" s="1539"/>
    </row>
    <row r="212" spans="2:13" ht="38.25">
      <c r="B212" s="4528" t="s">
        <v>7</v>
      </c>
      <c r="C212" s="4528" t="s">
        <v>6505</v>
      </c>
      <c r="D212" s="4489" t="s">
        <v>6667</v>
      </c>
      <c r="E212" s="4489" t="s">
        <v>6678</v>
      </c>
      <c r="F212" s="4489" t="s">
        <v>6679</v>
      </c>
      <c r="G212" s="4489" t="s">
        <v>6680</v>
      </c>
      <c r="H212" s="4489" t="s">
        <v>6681</v>
      </c>
      <c r="I212" s="4490" t="s">
        <v>6488</v>
      </c>
      <c r="J212" s="4529" t="s">
        <v>6489</v>
      </c>
      <c r="K212" s="4492" t="s">
        <v>6508</v>
      </c>
      <c r="L212" s="4493" t="s">
        <v>6491</v>
      </c>
      <c r="M212" s="4494" t="s">
        <v>6492</v>
      </c>
    </row>
    <row r="213" spans="2:13">
      <c r="B213" s="4530" t="s">
        <v>6616</v>
      </c>
      <c r="C213" s="4531" t="s">
        <v>6617</v>
      </c>
      <c r="D213" s="4532"/>
      <c r="E213" s="4522"/>
      <c r="F213" s="4522"/>
      <c r="G213" s="4532"/>
      <c r="H213" s="4522"/>
      <c r="I213" s="4522"/>
      <c r="J213" s="4522"/>
      <c r="K213" s="4522"/>
      <c r="L213" s="4498"/>
      <c r="M213" s="4497"/>
    </row>
    <row r="214" spans="2:13">
      <c r="B214" s="4507" t="s">
        <v>6618</v>
      </c>
      <c r="C214" s="4504" t="s">
        <v>881</v>
      </c>
      <c r="D214" s="4497">
        <v>283018.39</v>
      </c>
      <c r="E214" s="4497"/>
      <c r="F214" s="4497"/>
      <c r="G214" s="4501">
        <f t="shared" ref="G214:G277" si="17">+D214+E214-F214</f>
        <v>283018.39</v>
      </c>
      <c r="H214" s="4497">
        <f>+SUM(I214:M214)</f>
        <v>283018.39</v>
      </c>
      <c r="I214" s="4497">
        <f>+G214</f>
        <v>283018.39</v>
      </c>
      <c r="J214" s="4497"/>
      <c r="K214" s="4497"/>
      <c r="L214" s="4498"/>
      <c r="M214" s="4497"/>
    </row>
    <row r="215" spans="2:13">
      <c r="B215" s="4507" t="s">
        <v>5012</v>
      </c>
      <c r="C215" s="4504" t="s">
        <v>6791</v>
      </c>
      <c r="D215" s="4497">
        <v>162330.47999999998</v>
      </c>
      <c r="E215" s="4497"/>
      <c r="F215" s="4497">
        <v>4212.42</v>
      </c>
      <c r="G215" s="4501">
        <f t="shared" si="17"/>
        <v>158118.05999999997</v>
      </c>
      <c r="H215" s="4497">
        <f>+SUM(I215:M215)</f>
        <v>158118.05999999997</v>
      </c>
      <c r="I215" s="4497">
        <f>+G215</f>
        <v>158118.05999999997</v>
      </c>
      <c r="J215" s="4497"/>
      <c r="K215" s="4497"/>
      <c r="L215" s="4498"/>
      <c r="M215" s="4497"/>
    </row>
    <row r="216" spans="2:13">
      <c r="B216" s="4509" t="s">
        <v>5020</v>
      </c>
      <c r="C216" s="4500" t="s">
        <v>6791</v>
      </c>
      <c r="D216" s="4497">
        <v>7352</v>
      </c>
      <c r="E216" s="4497"/>
      <c r="F216" s="4497"/>
      <c r="G216" s="4501">
        <f t="shared" si="17"/>
        <v>7352</v>
      </c>
      <c r="H216" s="4497">
        <f>+SUM(I216:M216)</f>
        <v>7352</v>
      </c>
      <c r="I216" s="4497"/>
      <c r="J216" s="4497">
        <f>+G216</f>
        <v>7352</v>
      </c>
      <c r="K216" s="4497"/>
      <c r="L216" s="4498"/>
      <c r="M216" s="4497"/>
    </row>
    <row r="217" spans="2:13">
      <c r="B217" s="4507" t="s">
        <v>6795</v>
      </c>
      <c r="C217" s="4504" t="s">
        <v>2855</v>
      </c>
      <c r="D217" s="4497">
        <v>25066.04</v>
      </c>
      <c r="E217" s="4497"/>
      <c r="F217" s="4497"/>
      <c r="G217" s="4501">
        <f t="shared" si="17"/>
        <v>25066.04</v>
      </c>
      <c r="H217" s="4497">
        <f>+SUM(I217:M217)</f>
        <v>25066.04</v>
      </c>
      <c r="I217" s="4497">
        <f>+G217</f>
        <v>25066.04</v>
      </c>
      <c r="J217" s="4497"/>
      <c r="K217" s="4497"/>
      <c r="L217" s="4498"/>
      <c r="M217" s="4497"/>
    </row>
    <row r="218" spans="2:13">
      <c r="B218" s="4516" t="s">
        <v>6930</v>
      </c>
      <c r="C218" s="4504" t="s">
        <v>2855</v>
      </c>
      <c r="D218" s="4497">
        <v>25066.04</v>
      </c>
      <c r="E218" s="4497"/>
      <c r="F218" s="4497"/>
      <c r="G218" s="4501">
        <f t="shared" si="17"/>
        <v>25066.04</v>
      </c>
      <c r="H218" s="4497">
        <f>SUM(I218:M218)</f>
        <v>25066.04</v>
      </c>
      <c r="I218" s="4497"/>
      <c r="J218" s="4497"/>
      <c r="K218" s="4502"/>
      <c r="L218" s="4498"/>
      <c r="M218" s="4497">
        <f>G218</f>
        <v>25066.04</v>
      </c>
    </row>
    <row r="219" spans="2:13">
      <c r="B219" s="4509" t="s">
        <v>6766</v>
      </c>
      <c r="C219" s="4504" t="s">
        <v>7408</v>
      </c>
      <c r="D219" s="4497">
        <v>0</v>
      </c>
      <c r="E219" s="4497">
        <v>1500</v>
      </c>
      <c r="F219" s="4497"/>
      <c r="G219" s="4501">
        <f t="shared" si="17"/>
        <v>1500</v>
      </c>
      <c r="H219" s="4497">
        <f>SUM(I219:M219)</f>
        <v>1500</v>
      </c>
      <c r="I219" s="4497"/>
      <c r="J219" s="4497">
        <f>+G219</f>
        <v>1500</v>
      </c>
      <c r="K219" s="4502"/>
      <c r="L219" s="4498"/>
      <c r="M219" s="4497"/>
    </row>
    <row r="220" spans="2:13">
      <c r="B220" s="4483" t="s">
        <v>6543</v>
      </c>
      <c r="C220" s="4504" t="s">
        <v>6796</v>
      </c>
      <c r="D220" s="4497">
        <v>1000</v>
      </c>
      <c r="E220" s="4497"/>
      <c r="F220" s="4497">
        <v>500</v>
      </c>
      <c r="G220" s="4501">
        <f t="shared" si="17"/>
        <v>500</v>
      </c>
      <c r="H220" s="4497">
        <f t="shared" ref="H220:H267" si="18">+SUM(I220:M220)</f>
        <v>500</v>
      </c>
      <c r="I220" s="4497"/>
      <c r="J220" s="4497"/>
      <c r="K220" s="4502">
        <f>+G220</f>
        <v>500</v>
      </c>
      <c r="L220" s="4498"/>
      <c r="M220" s="4497"/>
    </row>
    <row r="221" spans="2:13">
      <c r="B221" s="4507" t="s">
        <v>6620</v>
      </c>
      <c r="C221" s="4504" t="s">
        <v>1301</v>
      </c>
      <c r="D221" s="4497">
        <v>13567.6</v>
      </c>
      <c r="E221" s="4497"/>
      <c r="F221" s="4497"/>
      <c r="G221" s="4501">
        <f t="shared" si="17"/>
        <v>13567.6</v>
      </c>
      <c r="H221" s="4497">
        <f t="shared" si="18"/>
        <v>13567.6</v>
      </c>
      <c r="I221" s="4497">
        <f>+G221</f>
        <v>13567.6</v>
      </c>
      <c r="J221" s="4497"/>
      <c r="K221" s="4502"/>
      <c r="L221" s="4498"/>
      <c r="M221" s="4497"/>
    </row>
    <row r="222" spans="2:13">
      <c r="B222" s="4483" t="s">
        <v>6544</v>
      </c>
      <c r="C222" s="4504" t="s">
        <v>1301</v>
      </c>
      <c r="D222" s="4497">
        <v>10000</v>
      </c>
      <c r="E222" s="4497"/>
      <c r="F222" s="4497">
        <v>48.13</v>
      </c>
      <c r="G222" s="4501">
        <f t="shared" si="17"/>
        <v>9951.8700000000008</v>
      </c>
      <c r="H222" s="4497">
        <f t="shared" si="18"/>
        <v>9951.8700000000008</v>
      </c>
      <c r="I222" s="4497"/>
      <c r="J222" s="4497"/>
      <c r="K222" s="4502">
        <f>+G222</f>
        <v>9951.8700000000008</v>
      </c>
      <c r="L222" s="4498"/>
      <c r="M222" s="4497"/>
    </row>
    <row r="223" spans="2:13">
      <c r="B223" s="4507" t="s">
        <v>6621</v>
      </c>
      <c r="C223" s="4504" t="s">
        <v>29</v>
      </c>
      <c r="D223" s="4497">
        <v>1120</v>
      </c>
      <c r="E223" s="4497">
        <v>800</v>
      </c>
      <c r="F223" s="4497"/>
      <c r="G223" s="4501">
        <f t="shared" si="17"/>
        <v>1920</v>
      </c>
      <c r="H223" s="4497">
        <f t="shared" si="18"/>
        <v>1920</v>
      </c>
      <c r="I223" s="4497">
        <f>+G223</f>
        <v>1920</v>
      </c>
      <c r="J223" s="4497"/>
      <c r="K223" s="4502"/>
      <c r="L223" s="4498"/>
      <c r="M223" s="4497"/>
    </row>
    <row r="224" spans="2:13">
      <c r="B224" s="4507" t="s">
        <v>6768</v>
      </c>
      <c r="C224" s="4504" t="s">
        <v>30</v>
      </c>
      <c r="D224" s="4497">
        <v>8706</v>
      </c>
      <c r="E224" s="4508"/>
      <c r="F224" s="4497"/>
      <c r="G224" s="4501">
        <f t="shared" si="17"/>
        <v>8706</v>
      </c>
      <c r="H224" s="4497">
        <f t="shared" si="18"/>
        <v>8706</v>
      </c>
      <c r="I224" s="4497">
        <f>+G224</f>
        <v>8706</v>
      </c>
      <c r="J224" s="4497"/>
      <c r="K224" s="4502"/>
      <c r="L224" s="4498"/>
      <c r="M224" s="4497"/>
    </row>
    <row r="225" spans="2:13">
      <c r="B225" s="4483" t="s">
        <v>6546</v>
      </c>
      <c r="C225" s="4504" t="s">
        <v>30</v>
      </c>
      <c r="D225" s="4497">
        <v>5000</v>
      </c>
      <c r="E225" s="4497"/>
      <c r="F225" s="4497"/>
      <c r="G225" s="4501">
        <f t="shared" si="17"/>
        <v>5000</v>
      </c>
      <c r="H225" s="4497">
        <f t="shared" si="18"/>
        <v>5000</v>
      </c>
      <c r="I225" s="4497"/>
      <c r="J225" s="4497"/>
      <c r="K225" s="4502">
        <f>+G225</f>
        <v>5000</v>
      </c>
      <c r="L225" s="4498"/>
      <c r="M225" s="4497"/>
    </row>
    <row r="226" spans="2:13">
      <c r="B226" s="4507" t="s">
        <v>6699</v>
      </c>
      <c r="C226" s="4500" t="s">
        <v>281</v>
      </c>
      <c r="D226" s="4497">
        <v>40550.849999999969</v>
      </c>
      <c r="E226" s="4497"/>
      <c r="F226" s="4497"/>
      <c r="G226" s="4501">
        <f t="shared" si="17"/>
        <v>40550.849999999969</v>
      </c>
      <c r="H226" s="4497">
        <f t="shared" si="18"/>
        <v>40550.849999999969</v>
      </c>
      <c r="I226" s="4497">
        <f>+G226</f>
        <v>40550.849999999969</v>
      </c>
      <c r="J226" s="4497"/>
      <c r="K226" s="4497"/>
      <c r="L226" s="4498"/>
      <c r="M226" s="4497"/>
    </row>
    <row r="227" spans="2:13">
      <c r="B227" s="4509" t="s">
        <v>6700</v>
      </c>
      <c r="C227" s="4500" t="s">
        <v>281</v>
      </c>
      <c r="D227" s="4497">
        <v>31960.45</v>
      </c>
      <c r="E227" s="4497"/>
      <c r="F227" s="4497"/>
      <c r="G227" s="4501">
        <f t="shared" si="17"/>
        <v>31960.45</v>
      </c>
      <c r="H227" s="4497">
        <f t="shared" si="18"/>
        <v>31960.45</v>
      </c>
      <c r="I227" s="4497"/>
      <c r="J227" s="4497">
        <f>+G227</f>
        <v>31960.45</v>
      </c>
      <c r="K227" s="4497"/>
      <c r="L227" s="4498"/>
      <c r="M227" s="4497"/>
    </row>
    <row r="228" spans="2:13">
      <c r="B228" s="4483" t="s">
        <v>6701</v>
      </c>
      <c r="C228" s="4500" t="s">
        <v>281</v>
      </c>
      <c r="D228" s="4497">
        <v>5428.5700000000006</v>
      </c>
      <c r="E228" s="4497"/>
      <c r="F228" s="4497"/>
      <c r="G228" s="4501">
        <f t="shared" si="17"/>
        <v>5428.5700000000006</v>
      </c>
      <c r="H228" s="4497">
        <f t="shared" si="18"/>
        <v>5428.5700000000006</v>
      </c>
      <c r="I228" s="4497"/>
      <c r="J228" s="4497"/>
      <c r="K228" s="4497">
        <f>+G228</f>
        <v>5428.5700000000006</v>
      </c>
      <c r="L228" s="4498"/>
      <c r="M228" s="4497"/>
    </row>
    <row r="229" spans="2:13">
      <c r="B229" s="4483" t="s">
        <v>6706</v>
      </c>
      <c r="C229" s="4504" t="s">
        <v>505</v>
      </c>
      <c r="D229" s="4497">
        <v>22324.959999999999</v>
      </c>
      <c r="E229" s="4497"/>
      <c r="F229" s="4497">
        <f>1320+3696+800+448</f>
        <v>6264</v>
      </c>
      <c r="G229" s="4501">
        <f t="shared" si="17"/>
        <v>16060.96</v>
      </c>
      <c r="H229" s="4497">
        <f t="shared" si="18"/>
        <v>16060.96</v>
      </c>
      <c r="I229" s="4497"/>
      <c r="J229" s="4497"/>
      <c r="K229" s="4497">
        <f>+G229</f>
        <v>16060.96</v>
      </c>
      <c r="L229" s="4498"/>
      <c r="M229" s="4497"/>
    </row>
    <row r="230" spans="2:13">
      <c r="B230" s="4507" t="s">
        <v>6623</v>
      </c>
      <c r="C230" s="4504" t="s">
        <v>4343</v>
      </c>
      <c r="D230" s="4497">
        <v>0</v>
      </c>
      <c r="E230" s="4497"/>
      <c r="F230" s="4497"/>
      <c r="G230" s="4501">
        <f t="shared" si="17"/>
        <v>0</v>
      </c>
      <c r="H230" s="4497">
        <f t="shared" si="18"/>
        <v>0</v>
      </c>
      <c r="I230" s="4497">
        <f>+G230</f>
        <v>0</v>
      </c>
      <c r="J230" s="4497"/>
      <c r="K230" s="4497"/>
      <c r="L230" s="4498"/>
      <c r="M230" s="4497"/>
    </row>
    <row r="231" spans="2:13">
      <c r="B231" s="4509" t="s">
        <v>6624</v>
      </c>
      <c r="C231" s="4504" t="s">
        <v>6752</v>
      </c>
      <c r="D231" s="4497">
        <v>7500</v>
      </c>
      <c r="F231" s="4497">
        <v>5100</v>
      </c>
      <c r="G231" s="4501">
        <f t="shared" si="17"/>
        <v>2400</v>
      </c>
      <c r="H231" s="4497">
        <f t="shared" si="18"/>
        <v>2400</v>
      </c>
      <c r="I231" s="4497"/>
      <c r="J231" s="4497">
        <f>+G231</f>
        <v>2400</v>
      </c>
      <c r="K231" s="4497"/>
      <c r="L231" s="4498"/>
      <c r="M231" s="4497"/>
    </row>
    <row r="232" spans="2:13">
      <c r="B232" s="4507" t="s">
        <v>6625</v>
      </c>
      <c r="C232" s="4504" t="s">
        <v>32</v>
      </c>
      <c r="D232" s="4497">
        <v>4480</v>
      </c>
      <c r="E232" s="4497"/>
      <c r="F232" s="4497"/>
      <c r="G232" s="4501">
        <f t="shared" si="17"/>
        <v>4480</v>
      </c>
      <c r="H232" s="4497">
        <f t="shared" si="18"/>
        <v>4480</v>
      </c>
      <c r="I232" s="4497">
        <f>+G232</f>
        <v>4480</v>
      </c>
      <c r="J232" s="4497"/>
      <c r="K232" s="4497"/>
      <c r="L232" s="4498"/>
      <c r="M232" s="4497"/>
    </row>
    <row r="233" spans="2:13">
      <c r="B233" s="4507" t="s">
        <v>6601</v>
      </c>
      <c r="C233" s="4504" t="s">
        <v>1360</v>
      </c>
      <c r="D233" s="4497">
        <v>13494.740000000002</v>
      </c>
      <c r="E233" s="4497"/>
      <c r="F233" s="4497"/>
      <c r="G233" s="4501">
        <f t="shared" si="17"/>
        <v>13494.740000000002</v>
      </c>
      <c r="H233" s="4497">
        <f t="shared" si="18"/>
        <v>13494.740000000002</v>
      </c>
      <c r="I233" s="4497">
        <f>+G233</f>
        <v>13494.740000000002</v>
      </c>
      <c r="J233" s="4497"/>
      <c r="K233" s="4497"/>
      <c r="L233" s="4498"/>
      <c r="M233" s="4497"/>
    </row>
    <row r="234" spans="2:13">
      <c r="B234" s="4509" t="s">
        <v>6626</v>
      </c>
      <c r="C234" s="4504" t="s">
        <v>1360</v>
      </c>
      <c r="D234" s="4497">
        <v>150</v>
      </c>
      <c r="E234" s="4497"/>
      <c r="F234" s="4497"/>
      <c r="G234" s="4501">
        <f t="shared" si="17"/>
        <v>150</v>
      </c>
      <c r="H234" s="4497">
        <f t="shared" si="18"/>
        <v>150</v>
      </c>
      <c r="I234" s="4497"/>
      <c r="J234" s="4497">
        <f>+G234</f>
        <v>150</v>
      </c>
      <c r="K234" s="4497"/>
      <c r="L234" s="4498"/>
      <c r="M234" s="4497"/>
    </row>
    <row r="235" spans="2:13">
      <c r="B235" s="4507" t="s">
        <v>6829</v>
      </c>
      <c r="C235" s="4504" t="s">
        <v>1665</v>
      </c>
      <c r="D235" s="4497">
        <v>12547.020000000002</v>
      </c>
      <c r="E235" s="4497"/>
      <c r="F235" s="4497"/>
      <c r="G235" s="4501">
        <f t="shared" si="17"/>
        <v>12547.020000000002</v>
      </c>
      <c r="H235" s="4497">
        <f t="shared" si="18"/>
        <v>12547.020000000002</v>
      </c>
      <c r="I235" s="4497">
        <f>+G235</f>
        <v>12547.020000000002</v>
      </c>
      <c r="J235" s="4497"/>
      <c r="K235" s="4497"/>
      <c r="L235" s="4498"/>
      <c r="M235" s="4497"/>
    </row>
    <row r="236" spans="2:13">
      <c r="B236" s="4509" t="s">
        <v>5097</v>
      </c>
      <c r="C236" s="4504" t="s">
        <v>1665</v>
      </c>
      <c r="D236" s="4497">
        <v>60756.600000000006</v>
      </c>
      <c r="E236" s="4508">
        <v>956</v>
      </c>
      <c r="F236" s="4508">
        <f>1080+1500</f>
        <v>2580</v>
      </c>
      <c r="G236" s="4501">
        <f t="shared" si="17"/>
        <v>59132.600000000006</v>
      </c>
      <c r="H236" s="4497">
        <f t="shared" si="18"/>
        <v>59132.600000000006</v>
      </c>
      <c r="I236" s="4497"/>
      <c r="J236" s="4497">
        <f>+G236</f>
        <v>59132.600000000006</v>
      </c>
      <c r="K236" s="4497"/>
      <c r="L236" s="4498"/>
      <c r="M236" s="4497"/>
    </row>
    <row r="237" spans="2:13">
      <c r="B237" s="4507" t="s">
        <v>6801</v>
      </c>
      <c r="C237" s="4504" t="s">
        <v>6802</v>
      </c>
      <c r="D237" s="4497">
        <v>56</v>
      </c>
      <c r="E237" s="4497"/>
      <c r="F237" s="4497">
        <v>56</v>
      </c>
      <c r="G237" s="4501">
        <f t="shared" si="17"/>
        <v>0</v>
      </c>
      <c r="H237" s="4497">
        <f t="shared" si="18"/>
        <v>0</v>
      </c>
      <c r="I237" s="4497">
        <f>+G237</f>
        <v>0</v>
      </c>
      <c r="J237" s="4497"/>
      <c r="K237" s="4497"/>
      <c r="L237" s="4498"/>
      <c r="M237" s="4497"/>
    </row>
    <row r="238" spans="2:13">
      <c r="B238" s="4507" t="s">
        <v>6774</v>
      </c>
      <c r="C238" s="4504" t="s">
        <v>6806</v>
      </c>
      <c r="D238" s="4497">
        <v>0</v>
      </c>
      <c r="E238" s="4497"/>
      <c r="F238" s="4497"/>
      <c r="G238" s="4501">
        <f t="shared" si="17"/>
        <v>0</v>
      </c>
      <c r="H238" s="4497">
        <f t="shared" si="18"/>
        <v>0</v>
      </c>
      <c r="I238" s="4497">
        <f>+G238</f>
        <v>0</v>
      </c>
      <c r="J238" s="4497"/>
      <c r="K238" s="4497"/>
      <c r="L238" s="4498"/>
      <c r="M238" s="4497"/>
    </row>
    <row r="239" spans="2:13">
      <c r="B239" s="4507" t="s">
        <v>5396</v>
      </c>
      <c r="C239" s="4504" t="s">
        <v>1089</v>
      </c>
      <c r="D239" s="4497">
        <v>0</v>
      </c>
      <c r="E239" s="4497">
        <v>56</v>
      </c>
      <c r="F239" s="4497"/>
      <c r="G239" s="4501">
        <f t="shared" si="17"/>
        <v>56</v>
      </c>
      <c r="H239" s="4497">
        <f t="shared" si="18"/>
        <v>56</v>
      </c>
      <c r="I239" s="4497">
        <f>+G239</f>
        <v>56</v>
      </c>
      <c r="J239" s="4497"/>
      <c r="K239" s="4497"/>
      <c r="L239" s="4498"/>
      <c r="M239" s="4497"/>
    </row>
    <row r="240" spans="2:13">
      <c r="B240" s="4483" t="s">
        <v>5375</v>
      </c>
      <c r="C240" s="4504" t="s">
        <v>1089</v>
      </c>
      <c r="D240" s="4497">
        <v>2477.5</v>
      </c>
      <c r="E240" s="4497">
        <v>318.18</v>
      </c>
      <c r="F240" s="4497"/>
      <c r="G240" s="4501">
        <f t="shared" si="17"/>
        <v>2795.68</v>
      </c>
      <c r="H240" s="4497">
        <f t="shared" si="18"/>
        <v>2795.68</v>
      </c>
      <c r="I240" s="4497"/>
      <c r="J240" s="4497"/>
      <c r="K240" s="4497">
        <f>+G240</f>
        <v>2795.68</v>
      </c>
      <c r="L240" s="4498"/>
      <c r="M240" s="4497"/>
    </row>
    <row r="241" spans="1:13">
      <c r="B241" s="4483" t="s">
        <v>6629</v>
      </c>
      <c r="C241" s="4504" t="s">
        <v>4428</v>
      </c>
      <c r="D241" s="4497">
        <v>190.4</v>
      </c>
      <c r="E241" s="4497"/>
      <c r="F241" s="4497"/>
      <c r="G241" s="4501">
        <f t="shared" si="17"/>
        <v>190.4</v>
      </c>
      <c r="H241" s="4497">
        <f t="shared" si="18"/>
        <v>190.4</v>
      </c>
      <c r="I241" s="4497"/>
      <c r="J241" s="4497"/>
      <c r="K241" s="4497">
        <f>+G241</f>
        <v>190.4</v>
      </c>
      <c r="L241" s="4498"/>
      <c r="M241" s="4497"/>
    </row>
    <row r="242" spans="1:13">
      <c r="B242" s="4483" t="s">
        <v>6808</v>
      </c>
      <c r="C242" s="4504" t="s">
        <v>4141</v>
      </c>
      <c r="D242" s="4497">
        <v>620.58000000000004</v>
      </c>
      <c r="E242" s="4497"/>
      <c r="F242" s="4497">
        <v>318.18</v>
      </c>
      <c r="G242" s="4501">
        <f t="shared" si="17"/>
        <v>302.40000000000003</v>
      </c>
      <c r="H242" s="4497">
        <f t="shared" si="18"/>
        <v>302.40000000000003</v>
      </c>
      <c r="I242" s="4497"/>
      <c r="J242" s="4497"/>
      <c r="K242" s="4497">
        <f>+G242</f>
        <v>302.40000000000003</v>
      </c>
      <c r="L242" s="4498"/>
      <c r="M242" s="4497"/>
    </row>
    <row r="243" spans="1:13">
      <c r="B243" s="4509" t="s">
        <v>6809</v>
      </c>
      <c r="C243" s="4504" t="s">
        <v>4443</v>
      </c>
      <c r="D243" s="4497">
        <v>672</v>
      </c>
      <c r="E243" s="4497"/>
      <c r="F243" s="4497"/>
      <c r="G243" s="4501">
        <f t="shared" si="17"/>
        <v>672</v>
      </c>
      <c r="H243" s="4497">
        <f t="shared" si="18"/>
        <v>672</v>
      </c>
      <c r="I243" s="4497"/>
      <c r="J243" s="4497">
        <f>+G243</f>
        <v>672</v>
      </c>
      <c r="K243" s="4497"/>
      <c r="L243" s="4498"/>
      <c r="M243" s="4497"/>
    </row>
    <row r="244" spans="1:13">
      <c r="B244" s="4483" t="s">
        <v>6630</v>
      </c>
      <c r="C244" s="4504" t="s">
        <v>4443</v>
      </c>
      <c r="D244" s="4497">
        <v>194.88</v>
      </c>
      <c r="E244" s="4497"/>
      <c r="F244" s="4497">
        <v>20.89</v>
      </c>
      <c r="G244" s="4501">
        <f t="shared" si="17"/>
        <v>173.99</v>
      </c>
      <c r="H244" s="4497">
        <f t="shared" si="18"/>
        <v>173.99</v>
      </c>
      <c r="I244" s="4497"/>
      <c r="J244" s="4497"/>
      <c r="K244" s="4497">
        <f>+G244</f>
        <v>173.99</v>
      </c>
      <c r="L244" s="4498"/>
      <c r="M244" s="4497"/>
    </row>
    <row r="245" spans="1:13" s="4533" customFormat="1">
      <c r="B245" s="4509" t="s">
        <v>5257</v>
      </c>
      <c r="C245" s="4504" t="s">
        <v>1667</v>
      </c>
      <c r="D245" s="4497">
        <v>21436.610000000004</v>
      </c>
      <c r="E245" s="4497"/>
      <c r="F245" s="4497">
        <f>364.76+2137+49.41+10477</f>
        <v>13028.17</v>
      </c>
      <c r="G245" s="4501">
        <f t="shared" si="17"/>
        <v>8408.4400000000041</v>
      </c>
      <c r="H245" s="4497">
        <f t="shared" si="18"/>
        <v>8408.4400000000041</v>
      </c>
      <c r="I245" s="4508"/>
      <c r="J245" s="4497">
        <f>+G245</f>
        <v>8408.4400000000041</v>
      </c>
      <c r="K245" s="4497"/>
      <c r="L245" s="4498"/>
      <c r="M245" s="4497"/>
    </row>
    <row r="246" spans="1:13" s="4533" customFormat="1">
      <c r="B246" s="4509" t="s">
        <v>6659</v>
      </c>
      <c r="C246" s="4504" t="s">
        <v>591</v>
      </c>
      <c r="D246" s="4497">
        <v>0</v>
      </c>
      <c r="E246" s="4497">
        <v>371.76</v>
      </c>
      <c r="F246" s="4497"/>
      <c r="G246" s="4501">
        <f t="shared" si="17"/>
        <v>371.76</v>
      </c>
      <c r="H246" s="4497">
        <f t="shared" ref="H246" si="19">+SUM(I246:M246)</f>
        <v>371.76</v>
      </c>
      <c r="I246" s="4508"/>
      <c r="J246" s="4497">
        <f>+G246</f>
        <v>371.76</v>
      </c>
      <c r="K246" s="4497"/>
      <c r="L246" s="4498"/>
      <c r="M246" s="4497"/>
    </row>
    <row r="247" spans="1:13" s="4533" customFormat="1">
      <c r="B247" s="4509" t="s">
        <v>6660</v>
      </c>
      <c r="C247" s="4504" t="s">
        <v>39</v>
      </c>
      <c r="D247" s="4497">
        <v>865.48</v>
      </c>
      <c r="E247" s="4497"/>
      <c r="F247" s="4497">
        <v>67.2</v>
      </c>
      <c r="G247" s="4501">
        <f t="shared" si="17"/>
        <v>798.28</v>
      </c>
      <c r="H247" s="4497">
        <f t="shared" si="18"/>
        <v>798.28</v>
      </c>
      <c r="I247" s="4497"/>
      <c r="J247" s="4497">
        <f>+G247</f>
        <v>798.28</v>
      </c>
      <c r="K247" s="4497"/>
      <c r="L247" s="4498"/>
      <c r="M247" s="4497"/>
    </row>
    <row r="248" spans="1:13">
      <c r="A248" s="4533"/>
      <c r="B248" s="4509" t="s">
        <v>5399</v>
      </c>
      <c r="C248" s="4504" t="s">
        <v>4163</v>
      </c>
      <c r="D248" s="4497">
        <v>39.200000000000045</v>
      </c>
      <c r="E248" s="4497"/>
      <c r="F248" s="4497">
        <v>39.200000000000003</v>
      </c>
      <c r="G248" s="4501">
        <f t="shared" si="17"/>
        <v>0</v>
      </c>
      <c r="H248" s="4497">
        <f t="shared" si="18"/>
        <v>0</v>
      </c>
      <c r="I248" s="4497"/>
      <c r="J248" s="4497">
        <f>+G248</f>
        <v>0</v>
      </c>
      <c r="K248" s="4497"/>
      <c r="L248" s="4498"/>
      <c r="M248" s="4497"/>
    </row>
    <row r="249" spans="1:13">
      <c r="A249" s="4533"/>
      <c r="B249" s="4507" t="s">
        <v>4835</v>
      </c>
      <c r="C249" s="4504" t="s">
        <v>40</v>
      </c>
      <c r="D249" s="4497">
        <v>3498.2799999999997</v>
      </c>
      <c r="E249" s="4497"/>
      <c r="F249" s="4497">
        <v>902.52</v>
      </c>
      <c r="G249" s="4501">
        <f t="shared" si="17"/>
        <v>2595.7599999999998</v>
      </c>
      <c r="H249" s="4497">
        <f t="shared" si="18"/>
        <v>2595.7599999999998</v>
      </c>
      <c r="I249" s="4497">
        <f>+G249</f>
        <v>2595.7599999999998</v>
      </c>
      <c r="J249" s="4497"/>
      <c r="K249" s="4497"/>
      <c r="L249" s="4498"/>
      <c r="M249" s="4497"/>
    </row>
    <row r="250" spans="1:13">
      <c r="B250" s="4509" t="s">
        <v>6661</v>
      </c>
      <c r="C250" s="4504" t="s">
        <v>40</v>
      </c>
      <c r="D250" s="4497">
        <v>4118.82</v>
      </c>
      <c r="E250" s="4508"/>
      <c r="F250" s="4497"/>
      <c r="G250" s="4501">
        <f t="shared" si="17"/>
        <v>4118.82</v>
      </c>
      <c r="H250" s="4497">
        <f t="shared" si="18"/>
        <v>4118.82</v>
      </c>
      <c r="I250" s="4497"/>
      <c r="J250" s="4497">
        <f>+G250</f>
        <v>4118.82</v>
      </c>
      <c r="K250" s="4508"/>
      <c r="L250" s="4534"/>
      <c r="M250" s="4497"/>
    </row>
    <row r="251" spans="1:13">
      <c r="B251" s="4509" t="s">
        <v>6724</v>
      </c>
      <c r="C251" s="4504" t="s">
        <v>36</v>
      </c>
      <c r="D251" s="4497">
        <v>36867</v>
      </c>
      <c r="E251" s="4497"/>
      <c r="F251" s="4497"/>
      <c r="G251" s="4501">
        <f t="shared" si="17"/>
        <v>36867</v>
      </c>
      <c r="H251" s="4497">
        <f t="shared" si="18"/>
        <v>36867</v>
      </c>
      <c r="I251" s="4497"/>
      <c r="J251" s="4497">
        <f>+G251</f>
        <v>36867</v>
      </c>
      <c r="K251" s="4535"/>
      <c r="L251" s="4534"/>
      <c r="M251" s="4497"/>
    </row>
    <row r="252" spans="1:13">
      <c r="B252" s="4509" t="s">
        <v>6815</v>
      </c>
      <c r="C252" s="4504" t="s">
        <v>37</v>
      </c>
      <c r="D252" s="4497">
        <v>3500</v>
      </c>
      <c r="E252" s="4497"/>
      <c r="F252" s="4497">
        <v>3500</v>
      </c>
      <c r="G252" s="4501">
        <f t="shared" si="17"/>
        <v>0</v>
      </c>
      <c r="H252" s="4497">
        <f t="shared" si="18"/>
        <v>0</v>
      </c>
      <c r="I252" s="4497"/>
      <c r="J252" s="4497">
        <f>+G252</f>
        <v>0</v>
      </c>
      <c r="K252" s="4535"/>
      <c r="L252" s="4534"/>
      <c r="M252" s="4497"/>
    </row>
    <row r="253" spans="1:13">
      <c r="B253" s="4507" t="s">
        <v>6581</v>
      </c>
      <c r="C253" s="4504" t="s">
        <v>6816</v>
      </c>
      <c r="D253" s="4497">
        <v>97298.07</v>
      </c>
      <c r="E253" s="4497"/>
      <c r="F253" s="4497"/>
      <c r="G253" s="4501">
        <f t="shared" si="17"/>
        <v>97298.07</v>
      </c>
      <c r="H253" s="4497">
        <f t="shared" si="18"/>
        <v>97298.07</v>
      </c>
      <c r="I253" s="4508">
        <f>+G253</f>
        <v>97298.07</v>
      </c>
      <c r="J253" s="4497"/>
      <c r="K253" s="4497"/>
      <c r="L253" s="4498"/>
      <c r="M253" s="4497"/>
    </row>
    <row r="254" spans="1:13">
      <c r="B254" s="4507" t="s">
        <v>6817</v>
      </c>
      <c r="C254" s="4504" t="s">
        <v>505</v>
      </c>
      <c r="D254" s="4497">
        <v>0</v>
      </c>
      <c r="E254" s="4497"/>
      <c r="F254" s="4497"/>
      <c r="G254" s="4501">
        <f t="shared" si="17"/>
        <v>0</v>
      </c>
      <c r="H254" s="4497">
        <f t="shared" si="18"/>
        <v>0</v>
      </c>
      <c r="I254" s="4508">
        <f>+G254</f>
        <v>0</v>
      </c>
      <c r="J254" s="4497"/>
      <c r="K254" s="4502"/>
      <c r="L254" s="4498"/>
      <c r="M254" s="4497"/>
    </row>
    <row r="255" spans="1:13">
      <c r="B255" s="4512" t="s">
        <v>6818</v>
      </c>
      <c r="C255" s="4504" t="s">
        <v>6819</v>
      </c>
      <c r="D255" s="4497">
        <v>26785.72</v>
      </c>
      <c r="E255" s="4497"/>
      <c r="F255" s="4497"/>
      <c r="G255" s="4501">
        <f t="shared" si="17"/>
        <v>26785.72</v>
      </c>
      <c r="H255" s="4497">
        <f t="shared" si="18"/>
        <v>26785.72</v>
      </c>
      <c r="I255" s="4497"/>
      <c r="J255" s="4497"/>
      <c r="K255" s="4502"/>
      <c r="L255" s="4497">
        <f>+G255</f>
        <v>26785.72</v>
      </c>
      <c r="M255" s="4497"/>
    </row>
    <row r="256" spans="1:13">
      <c r="B256" s="4516" t="s">
        <v>7004</v>
      </c>
      <c r="C256" s="4504" t="s">
        <v>6819</v>
      </c>
      <c r="D256" s="4497">
        <v>26785.71</v>
      </c>
      <c r="E256" s="4497"/>
      <c r="F256" s="4513"/>
      <c r="G256" s="4501">
        <f t="shared" si="17"/>
        <v>26785.71</v>
      </c>
      <c r="H256" s="4497">
        <f t="shared" si="18"/>
        <v>26785.71</v>
      </c>
      <c r="I256" s="4513"/>
      <c r="J256" s="4513"/>
      <c r="K256" s="4515"/>
      <c r="L256" s="4513"/>
      <c r="M256" s="4497">
        <f>+G256</f>
        <v>26785.71</v>
      </c>
    </row>
    <row r="257" spans="2:13">
      <c r="B257" s="4512" t="s">
        <v>6820</v>
      </c>
      <c r="C257" s="4504" t="s">
        <v>2742</v>
      </c>
      <c r="D257" s="4497">
        <v>547122.16999999993</v>
      </c>
      <c r="E257" s="4497"/>
      <c r="F257" s="4513"/>
      <c r="G257" s="4501">
        <f t="shared" si="17"/>
        <v>547122.16999999993</v>
      </c>
      <c r="H257" s="4497">
        <f t="shared" si="18"/>
        <v>547122.16999999993</v>
      </c>
      <c r="I257" s="4514"/>
      <c r="J257" s="4513"/>
      <c r="K257" s="4513"/>
      <c r="L257" s="4513">
        <f>+G257</f>
        <v>547122.16999999993</v>
      </c>
      <c r="M257" s="4497"/>
    </row>
    <row r="258" spans="2:13">
      <c r="B258" s="4483" t="s">
        <v>7350</v>
      </c>
      <c r="C258" s="4504" t="s">
        <v>3787</v>
      </c>
      <c r="D258" s="4497">
        <v>62540.299559999999</v>
      </c>
      <c r="E258" s="4497"/>
      <c r="F258" s="4513"/>
      <c r="G258" s="4501">
        <f t="shared" si="17"/>
        <v>62540.299559999999</v>
      </c>
      <c r="H258" s="4497">
        <f t="shared" si="18"/>
        <v>62540.299559999999</v>
      </c>
      <c r="I258" s="4514"/>
      <c r="J258" s="4513"/>
      <c r="K258" s="4513">
        <f>+G258</f>
        <v>62540.299559999999</v>
      </c>
      <c r="L258" s="4513"/>
      <c r="M258" s="4497"/>
    </row>
    <row r="259" spans="2:13">
      <c r="B259" s="4507" t="s">
        <v>6967</v>
      </c>
      <c r="C259" s="4504" t="s">
        <v>39</v>
      </c>
      <c r="D259" s="4497">
        <v>0</v>
      </c>
      <c r="E259" s="4497"/>
      <c r="F259" s="4513"/>
      <c r="G259" s="4501">
        <f t="shared" si="17"/>
        <v>0</v>
      </c>
      <c r="H259" s="4497">
        <f t="shared" si="18"/>
        <v>0</v>
      </c>
      <c r="I259" s="4514">
        <f>+G259</f>
        <v>0</v>
      </c>
      <c r="J259" s="4513"/>
      <c r="K259" s="4513"/>
      <c r="L259" s="4513"/>
      <c r="M259" s="4497"/>
    </row>
    <row r="260" spans="2:13">
      <c r="B260" s="4507" t="s">
        <v>7351</v>
      </c>
      <c r="C260" s="4504" t="s">
        <v>4106</v>
      </c>
      <c r="D260" s="4497">
        <v>1563507.51</v>
      </c>
      <c r="E260" s="4497"/>
      <c r="F260" s="4513"/>
      <c r="G260" s="4501">
        <f t="shared" si="17"/>
        <v>1563507.51</v>
      </c>
      <c r="H260" s="4497">
        <f t="shared" si="18"/>
        <v>1563507.51</v>
      </c>
      <c r="I260" s="4514">
        <f>+G260</f>
        <v>1563507.51</v>
      </c>
      <c r="J260" s="4513"/>
      <c r="K260" s="4513"/>
      <c r="L260" s="4513"/>
      <c r="M260" s="4497"/>
    </row>
    <row r="261" spans="2:13">
      <c r="B261" s="4509" t="s">
        <v>6738</v>
      </c>
      <c r="C261" s="4504" t="s">
        <v>591</v>
      </c>
      <c r="D261" s="4497">
        <v>2250</v>
      </c>
      <c r="E261" s="4497">
        <v>550</v>
      </c>
      <c r="F261" s="4514"/>
      <c r="G261" s="4501">
        <f t="shared" si="17"/>
        <v>2800</v>
      </c>
      <c r="H261" s="4497">
        <f t="shared" si="18"/>
        <v>2800</v>
      </c>
      <c r="I261" s="4514"/>
      <c r="J261" s="4513">
        <f>+G261</f>
        <v>2800</v>
      </c>
      <c r="K261" s="4513"/>
      <c r="L261" s="4498"/>
      <c r="M261" s="4497"/>
    </row>
    <row r="262" spans="2:13">
      <c r="B262" s="4483" t="s">
        <v>5694</v>
      </c>
      <c r="C262" s="4504" t="s">
        <v>591</v>
      </c>
      <c r="D262" s="8656">
        <v>6087.12</v>
      </c>
      <c r="E262" s="4497"/>
      <c r="F262" s="4514"/>
      <c r="G262" s="4501">
        <f t="shared" si="17"/>
        <v>6087.12</v>
      </c>
      <c r="H262" s="4497">
        <f t="shared" si="18"/>
        <v>6087.12</v>
      </c>
      <c r="I262" s="4514"/>
      <c r="J262" s="4513"/>
      <c r="K262" s="4513">
        <f>+G262</f>
        <v>6087.12</v>
      </c>
      <c r="L262" s="4498"/>
      <c r="M262" s="4497"/>
    </row>
    <row r="263" spans="2:13">
      <c r="B263" s="4507" t="s">
        <v>6931</v>
      </c>
      <c r="C263" s="4504" t="s">
        <v>591</v>
      </c>
      <c r="D263" s="8656">
        <v>0</v>
      </c>
      <c r="E263" s="4497"/>
      <c r="F263" s="4514"/>
      <c r="G263" s="4501">
        <f t="shared" si="17"/>
        <v>0</v>
      </c>
      <c r="H263" s="4497">
        <f t="shared" si="18"/>
        <v>0</v>
      </c>
      <c r="I263" s="4514">
        <f>G263</f>
        <v>0</v>
      </c>
      <c r="J263" s="4513"/>
      <c r="K263" s="4513"/>
      <c r="L263" s="4498"/>
      <c r="M263" s="4497"/>
    </row>
    <row r="264" spans="2:13">
      <c r="B264" s="4507" t="s">
        <v>5717</v>
      </c>
      <c r="C264" s="8728" t="s">
        <v>39</v>
      </c>
      <c r="D264" s="8656">
        <v>88134.22</v>
      </c>
      <c r="E264" s="4497">
        <f>5500+37400</f>
        <v>42900</v>
      </c>
      <c r="F264" s="4508">
        <f>2722+1371.74+1335.41</f>
        <v>5429.15</v>
      </c>
      <c r="G264" s="4501">
        <f t="shared" si="17"/>
        <v>125605.07</v>
      </c>
      <c r="H264" s="4497">
        <f t="shared" si="18"/>
        <v>125605.07</v>
      </c>
      <c r="I264" s="4497">
        <f>+G264</f>
        <v>125605.07</v>
      </c>
      <c r="J264" s="4514"/>
      <c r="K264" s="4513"/>
      <c r="L264" s="4498"/>
      <c r="M264" s="4497"/>
    </row>
    <row r="265" spans="2:13">
      <c r="B265" s="4507" t="s">
        <v>6822</v>
      </c>
      <c r="C265" s="4504" t="s">
        <v>39</v>
      </c>
      <c r="D265" s="8656">
        <v>1006919.65</v>
      </c>
      <c r="E265" s="4497"/>
      <c r="F265" s="4508">
        <v>107884.25</v>
      </c>
      <c r="G265" s="4501">
        <f t="shared" si="17"/>
        <v>899035.4</v>
      </c>
      <c r="H265" s="4497">
        <f t="shared" si="18"/>
        <v>899035.4</v>
      </c>
      <c r="I265" s="4497">
        <f>+G265</f>
        <v>899035.4</v>
      </c>
      <c r="J265" s="4514"/>
      <c r="K265" s="4513"/>
      <c r="L265" s="4498"/>
      <c r="M265" s="4497"/>
    </row>
    <row r="266" spans="2:13" ht="13.5" customHeight="1">
      <c r="B266" s="4509" t="s">
        <v>5252</v>
      </c>
      <c r="C266" s="8724" t="s">
        <v>39</v>
      </c>
      <c r="D266" s="8656">
        <v>55934.29</v>
      </c>
      <c r="E266" s="4497">
        <v>11800</v>
      </c>
      <c r="F266" s="4508"/>
      <c r="G266" s="4501">
        <f t="shared" si="17"/>
        <v>67734.290000000008</v>
      </c>
      <c r="H266" s="4497">
        <f t="shared" si="18"/>
        <v>67734.290000000008</v>
      </c>
      <c r="I266" s="4497"/>
      <c r="J266" s="4514">
        <f>+G266</f>
        <v>67734.290000000008</v>
      </c>
      <c r="K266" s="4513"/>
      <c r="L266" s="4498"/>
      <c r="M266" s="4497"/>
    </row>
    <row r="267" spans="2:13">
      <c r="B267" s="4483" t="s">
        <v>5283</v>
      </c>
      <c r="C267" s="4504" t="s">
        <v>39</v>
      </c>
      <c r="D267" s="8656">
        <v>380129.45999999996</v>
      </c>
      <c r="E267" s="4513">
        <v>23600</v>
      </c>
      <c r="F267" s="4508">
        <f>1290+1054.07+1087.51+4625.57+25446.43</f>
        <v>33503.58</v>
      </c>
      <c r="G267" s="4501">
        <f t="shared" si="17"/>
        <v>370225.87999999995</v>
      </c>
      <c r="H267" s="4497">
        <f t="shared" si="18"/>
        <v>370225.87999999995</v>
      </c>
      <c r="I267" s="4497"/>
      <c r="J267" s="4513"/>
      <c r="K267" s="4513">
        <f>+G267</f>
        <v>370225.87999999995</v>
      </c>
      <c r="L267" s="4498"/>
      <c r="M267" s="4497"/>
    </row>
    <row r="268" spans="2:13">
      <c r="B268" s="4512" t="s">
        <v>7409</v>
      </c>
      <c r="C268" s="4504" t="s">
        <v>39</v>
      </c>
      <c r="D268" s="8656">
        <v>0</v>
      </c>
      <c r="E268" s="4513">
        <v>17700</v>
      </c>
      <c r="F268" s="4508"/>
      <c r="G268" s="4501">
        <f t="shared" si="17"/>
        <v>17700</v>
      </c>
      <c r="H268" s="4497">
        <f t="shared" ref="H268" si="20">+SUM(I268:M268)</f>
        <v>17700</v>
      </c>
      <c r="I268" s="8729"/>
      <c r="J268" s="4513"/>
      <c r="K268" s="4513"/>
      <c r="L268" s="4513">
        <f>+G268</f>
        <v>17700</v>
      </c>
      <c r="M268" s="4497"/>
    </row>
    <row r="269" spans="2:13">
      <c r="B269" s="4516" t="s">
        <v>6929</v>
      </c>
      <c r="C269" s="4504" t="s">
        <v>39</v>
      </c>
      <c r="D269" s="8656">
        <v>24677.5</v>
      </c>
      <c r="E269" s="4536"/>
      <c r="F269" s="4508"/>
      <c r="G269" s="4501">
        <f t="shared" si="17"/>
        <v>24677.5</v>
      </c>
      <c r="H269" s="4497">
        <f>SUM(I269:M269)</f>
        <v>24677.5</v>
      </c>
      <c r="I269" s="4503"/>
      <c r="J269" s="4513"/>
      <c r="K269" s="4513"/>
      <c r="L269" s="4498"/>
      <c r="M269" s="4497">
        <f>G269</f>
        <v>24677.5</v>
      </c>
    </row>
    <row r="270" spans="2:13">
      <c r="B270" s="4507" t="s">
        <v>5544</v>
      </c>
      <c r="C270" s="4504" t="s">
        <v>40</v>
      </c>
      <c r="D270" s="8656">
        <v>6505.6799999999994</v>
      </c>
      <c r="E270" s="4497"/>
      <c r="F270" s="4508"/>
      <c r="G270" s="4501">
        <f t="shared" si="17"/>
        <v>6505.6799999999994</v>
      </c>
      <c r="H270" s="4497">
        <f t="shared" ref="H270:H277" si="21">+SUM(I270:M270)</f>
        <v>6505.6799999999994</v>
      </c>
      <c r="I270" s="4513">
        <f>+G270</f>
        <v>6505.6799999999994</v>
      </c>
      <c r="J270" s="4514"/>
      <c r="K270" s="4513"/>
      <c r="L270" s="4498"/>
      <c r="M270" s="4497"/>
    </row>
    <row r="271" spans="2:13">
      <c r="B271" s="4507" t="s">
        <v>6823</v>
      </c>
      <c r="C271" s="4504" t="s">
        <v>40</v>
      </c>
      <c r="D271" s="8656">
        <v>169813.56</v>
      </c>
      <c r="E271" s="4497"/>
      <c r="F271" s="4508">
        <v>36925.56</v>
      </c>
      <c r="G271" s="4501">
        <f t="shared" si="17"/>
        <v>132888</v>
      </c>
      <c r="H271" s="4497">
        <f t="shared" si="21"/>
        <v>132888</v>
      </c>
      <c r="I271" s="4513">
        <f>+G271</f>
        <v>132888</v>
      </c>
      <c r="J271" s="4514"/>
      <c r="K271" s="4513"/>
      <c r="L271" s="4498"/>
      <c r="M271" s="4497"/>
    </row>
    <row r="272" spans="2:13" ht="13.5" customHeight="1">
      <c r="B272" s="4509" t="s">
        <v>6743</v>
      </c>
      <c r="C272" s="4504" t="s">
        <v>40</v>
      </c>
      <c r="D272" s="8656">
        <v>119296.8</v>
      </c>
      <c r="E272" s="4497"/>
      <c r="F272" s="4508">
        <v>13537.8</v>
      </c>
      <c r="G272" s="4501">
        <f t="shared" si="17"/>
        <v>105759</v>
      </c>
      <c r="H272" s="4497">
        <f t="shared" si="21"/>
        <v>105759</v>
      </c>
      <c r="I272" s="4497"/>
      <c r="J272" s="4514">
        <f>+G272</f>
        <v>105759</v>
      </c>
      <c r="K272" s="4513"/>
      <c r="L272" s="4498"/>
      <c r="M272" s="4497"/>
    </row>
    <row r="273" spans="2:13">
      <c r="B273" s="4483" t="s">
        <v>4825</v>
      </c>
      <c r="C273" s="4504" t="s">
        <v>40</v>
      </c>
      <c r="D273" s="4497">
        <v>344422.15999999992</v>
      </c>
      <c r="E273" s="4508">
        <f>30470</f>
        <v>30470</v>
      </c>
      <c r="F273" s="4508">
        <f>199+761.6</f>
        <v>960.6</v>
      </c>
      <c r="G273" s="4501">
        <f t="shared" si="17"/>
        <v>373931.55999999994</v>
      </c>
      <c r="H273" s="4497">
        <f t="shared" si="21"/>
        <v>373931.55999999994</v>
      </c>
      <c r="I273" s="4537"/>
      <c r="J273" s="4514"/>
      <c r="K273" s="4513">
        <f>+G273</f>
        <v>373931.55999999994</v>
      </c>
      <c r="L273" s="4498"/>
      <c r="M273" s="4497"/>
    </row>
    <row r="274" spans="2:13">
      <c r="B274" s="4512" t="s">
        <v>6824</v>
      </c>
      <c r="C274" s="4504" t="s">
        <v>40</v>
      </c>
      <c r="D274" s="4497">
        <v>110690.00000000006</v>
      </c>
      <c r="E274" s="4513"/>
      <c r="F274" s="4514"/>
      <c r="G274" s="4501">
        <f t="shared" si="17"/>
        <v>110690.00000000006</v>
      </c>
      <c r="H274" s="4497">
        <f t="shared" si="21"/>
        <v>110690.00000000006</v>
      </c>
      <c r="I274" s="4537"/>
      <c r="J274" s="4514"/>
      <c r="K274" s="4513"/>
      <c r="L274" s="4513">
        <f>+G274</f>
        <v>110690.00000000006</v>
      </c>
      <c r="M274" s="4497"/>
    </row>
    <row r="275" spans="2:13">
      <c r="B275" s="4516" t="s">
        <v>7005</v>
      </c>
      <c r="C275" s="4504" t="s">
        <v>40</v>
      </c>
      <c r="D275" s="4497">
        <v>110690</v>
      </c>
      <c r="E275" s="4513"/>
      <c r="F275" s="4514"/>
      <c r="G275" s="4501">
        <f t="shared" si="17"/>
        <v>110690</v>
      </c>
      <c r="H275" s="4497">
        <f t="shared" si="21"/>
        <v>110690</v>
      </c>
      <c r="I275" s="4537"/>
      <c r="J275" s="4514"/>
      <c r="K275" s="4513"/>
      <c r="L275" s="4513"/>
      <c r="M275" s="4497">
        <f>+G275</f>
        <v>110690</v>
      </c>
    </row>
    <row r="276" spans="2:13">
      <c r="B276" s="4509" t="s">
        <v>7006</v>
      </c>
      <c r="C276" s="4504" t="s">
        <v>36</v>
      </c>
      <c r="D276" s="4497">
        <v>13133</v>
      </c>
      <c r="E276" s="4497"/>
      <c r="F276" s="4497"/>
      <c r="G276" s="4501">
        <f t="shared" si="17"/>
        <v>13133</v>
      </c>
      <c r="H276" s="4497">
        <f t="shared" si="21"/>
        <v>13133</v>
      </c>
      <c r="I276" s="4497"/>
      <c r="J276" s="4497">
        <f>+G276</f>
        <v>13133</v>
      </c>
      <c r="K276" s="4535"/>
      <c r="L276" s="4534"/>
      <c r="M276" s="4497"/>
    </row>
    <row r="277" spans="2:13">
      <c r="B277" s="4483" t="s">
        <v>6825</v>
      </c>
      <c r="C277" s="4504" t="s">
        <v>37</v>
      </c>
      <c r="D277" s="4497">
        <v>0</v>
      </c>
      <c r="E277" s="4513"/>
      <c r="F277" s="4513"/>
      <c r="G277" s="4501">
        <f t="shared" si="17"/>
        <v>0</v>
      </c>
      <c r="H277" s="4497">
        <f t="shared" si="21"/>
        <v>0</v>
      </c>
      <c r="I277" s="4513"/>
      <c r="J277" s="4514"/>
      <c r="K277" s="4513">
        <f>+G277</f>
        <v>0</v>
      </c>
      <c r="L277" s="4513"/>
      <c r="M277" s="4497"/>
    </row>
    <row r="278" spans="2:13">
      <c r="B278" s="4524"/>
      <c r="C278" s="4518" t="s">
        <v>6636</v>
      </c>
      <c r="D278" s="1537">
        <f t="shared" ref="D278:M278" si="22">SUM(D214:D277)</f>
        <v>5578679.4095599987</v>
      </c>
      <c r="E278" s="1537">
        <f t="shared" si="22"/>
        <v>131021.94</v>
      </c>
      <c r="F278" s="1537">
        <f t="shared" si="22"/>
        <v>234877.65</v>
      </c>
      <c r="G278" s="1537">
        <f t="shared" si="22"/>
        <v>5474823.6995599987</v>
      </c>
      <c r="H278" s="1537">
        <f t="shared" si="22"/>
        <v>5474823.6995599987</v>
      </c>
      <c r="I278" s="1537">
        <f t="shared" si="22"/>
        <v>3388960.19</v>
      </c>
      <c r="J278" s="1537">
        <f t="shared" si="22"/>
        <v>343157.64</v>
      </c>
      <c r="K278" s="1537">
        <f t="shared" si="22"/>
        <v>853188.72955999989</v>
      </c>
      <c r="L278" s="8727">
        <f>SUM(L214:L277)</f>
        <v>702297.8899999999</v>
      </c>
      <c r="M278" s="1537">
        <f t="shared" si="22"/>
        <v>187219.25</v>
      </c>
    </row>
    <row r="279" spans="2:13" ht="14.25">
      <c r="B279" s="4538"/>
      <c r="C279" s="4539"/>
      <c r="D279" s="1568"/>
      <c r="E279" s="1567"/>
      <c r="F279" s="1567"/>
      <c r="G279" s="1568"/>
      <c r="H279" s="1503"/>
      <c r="I279" s="4540"/>
      <c r="J279" s="4540"/>
      <c r="K279" s="4540"/>
    </row>
    <row r="280" spans="2:13">
      <c r="B280" s="4541"/>
      <c r="C280" s="4539"/>
      <c r="D280" s="1567"/>
      <c r="E280" s="1567"/>
      <c r="F280" s="1567"/>
      <c r="G280" s="1503"/>
      <c r="H280" s="1503"/>
      <c r="I280" s="4540"/>
      <c r="J280" s="4540"/>
      <c r="K280" s="4540"/>
    </row>
    <row r="281" spans="2:13" ht="38.25">
      <c r="B281" s="4528" t="s">
        <v>7</v>
      </c>
      <c r="C281" s="4528" t="s">
        <v>6505</v>
      </c>
      <c r="D281" s="4489" t="s">
        <v>6667</v>
      </c>
      <c r="E281" s="4489" t="s">
        <v>6678</v>
      </c>
      <c r="F281" s="4489" t="s">
        <v>6679</v>
      </c>
      <c r="G281" s="4489" t="s">
        <v>6680</v>
      </c>
      <c r="H281" s="4489" t="s">
        <v>6681</v>
      </c>
      <c r="I281" s="4490" t="s">
        <v>6488</v>
      </c>
      <c r="J281" s="4529" t="s">
        <v>6489</v>
      </c>
      <c r="K281" s="4492" t="s">
        <v>6508</v>
      </c>
      <c r="L281" s="4493" t="s">
        <v>6491</v>
      </c>
      <c r="M281" s="4494" t="s">
        <v>6492</v>
      </c>
    </row>
    <row r="282" spans="2:13">
      <c r="B282" s="4530" t="s">
        <v>6637</v>
      </c>
      <c r="C282" s="4531" t="s">
        <v>6638</v>
      </c>
      <c r="D282" s="4532"/>
      <c r="E282" s="4522"/>
      <c r="F282" s="4522"/>
      <c r="G282" s="4532"/>
      <c r="H282" s="4522"/>
      <c r="I282" s="4522"/>
      <c r="J282" s="4522"/>
      <c r="K282" s="4522"/>
      <c r="L282" s="4498"/>
      <c r="M282" s="4498"/>
    </row>
    <row r="283" spans="2:13">
      <c r="B283" s="4509" t="s">
        <v>5020</v>
      </c>
      <c r="C283" s="4542" t="s">
        <v>6791</v>
      </c>
      <c r="D283" s="4497">
        <v>0</v>
      </c>
      <c r="E283" s="4497"/>
      <c r="F283" s="4497"/>
      <c r="G283" s="4501">
        <f t="shared" ref="G283:G319" si="23">+D283+E283-F283</f>
        <v>0</v>
      </c>
      <c r="H283" s="4497">
        <f t="shared" ref="H283:H319" si="24">+SUM(I283:M283)</f>
        <v>0</v>
      </c>
      <c r="I283" s="4497"/>
      <c r="J283" s="4497">
        <f t="shared" ref="J283:J294" si="25">+G283</f>
        <v>0</v>
      </c>
      <c r="K283" s="4497"/>
      <c r="L283" s="4498"/>
      <c r="M283" s="4498"/>
    </row>
    <row r="284" spans="2:13">
      <c r="B284" s="4509" t="s">
        <v>6766</v>
      </c>
      <c r="C284" s="4504" t="s">
        <v>6826</v>
      </c>
      <c r="D284" s="4497">
        <v>3077.91</v>
      </c>
      <c r="E284" s="4497"/>
      <c r="F284" s="4497">
        <v>277.91000000000003</v>
      </c>
      <c r="G284" s="4501">
        <f t="shared" si="23"/>
        <v>2800</v>
      </c>
      <c r="H284" s="4497">
        <f t="shared" si="24"/>
        <v>2800</v>
      </c>
      <c r="I284" s="4497"/>
      <c r="J284" s="4497">
        <f t="shared" si="25"/>
        <v>2800</v>
      </c>
      <c r="K284" s="4497"/>
      <c r="L284" s="4498"/>
      <c r="M284" s="4498"/>
    </row>
    <row r="285" spans="2:13">
      <c r="B285" s="4509" t="s">
        <v>6641</v>
      </c>
      <c r="C285" s="4504" t="s">
        <v>27</v>
      </c>
      <c r="D285" s="4497">
        <v>0</v>
      </c>
      <c r="E285" s="4497"/>
      <c r="F285" s="4497"/>
      <c r="G285" s="4501">
        <f t="shared" si="23"/>
        <v>0</v>
      </c>
      <c r="H285" s="4497">
        <f t="shared" si="24"/>
        <v>0</v>
      </c>
      <c r="I285" s="4497"/>
      <c r="J285" s="4497">
        <f t="shared" si="25"/>
        <v>0</v>
      </c>
      <c r="K285" s="4497"/>
      <c r="L285" s="4498"/>
      <c r="M285" s="4498"/>
    </row>
    <row r="286" spans="2:13">
      <c r="B286" s="4509" t="s">
        <v>6827</v>
      </c>
      <c r="C286" s="4504" t="s">
        <v>1507</v>
      </c>
      <c r="D286" s="4497">
        <v>4480</v>
      </c>
      <c r="E286" s="4497"/>
      <c r="F286" s="4497"/>
      <c r="G286" s="4501">
        <f t="shared" si="23"/>
        <v>4480</v>
      </c>
      <c r="H286" s="4497">
        <f t="shared" si="24"/>
        <v>4480</v>
      </c>
      <c r="I286" s="4497"/>
      <c r="J286" s="4497">
        <f t="shared" si="25"/>
        <v>4480</v>
      </c>
      <c r="K286" s="4497"/>
      <c r="L286" s="4498"/>
      <c r="M286" s="4498"/>
    </row>
    <row r="287" spans="2:13">
      <c r="B287" s="4509" t="s">
        <v>6643</v>
      </c>
      <c r="C287" s="4504" t="s">
        <v>6828</v>
      </c>
      <c r="D287" s="4497">
        <v>0</v>
      </c>
      <c r="E287" s="4497"/>
      <c r="F287" s="4497"/>
      <c r="G287" s="4501">
        <f t="shared" si="23"/>
        <v>0</v>
      </c>
      <c r="H287" s="4497">
        <f t="shared" si="24"/>
        <v>0</v>
      </c>
      <c r="I287" s="4497"/>
      <c r="J287" s="4497">
        <f t="shared" si="25"/>
        <v>0</v>
      </c>
      <c r="K287" s="4497"/>
      <c r="L287" s="4498"/>
      <c r="M287" s="4498"/>
    </row>
    <row r="288" spans="2:13">
      <c r="B288" s="4509" t="s">
        <v>6700</v>
      </c>
      <c r="C288" s="4500" t="s">
        <v>281</v>
      </c>
      <c r="D288" s="4497">
        <v>4961.1499999999996</v>
      </c>
      <c r="E288" s="4497"/>
      <c r="F288" s="4497"/>
      <c r="G288" s="4501">
        <f t="shared" si="23"/>
        <v>4961.1499999999996</v>
      </c>
      <c r="H288" s="4497">
        <f t="shared" si="24"/>
        <v>4961.1499999999996</v>
      </c>
      <c r="I288" s="4497"/>
      <c r="J288" s="4497">
        <f t="shared" si="25"/>
        <v>4961.1499999999996</v>
      </c>
      <c r="K288" s="4497"/>
      <c r="L288" s="4498"/>
      <c r="M288" s="4498"/>
    </row>
    <row r="289" spans="2:13">
      <c r="B289" s="4509" t="s">
        <v>6770</v>
      </c>
      <c r="C289" s="4500" t="s">
        <v>505</v>
      </c>
      <c r="D289" s="4497">
        <v>2000</v>
      </c>
      <c r="E289" s="4497"/>
      <c r="F289" s="4497"/>
      <c r="G289" s="4501">
        <f t="shared" si="23"/>
        <v>2000</v>
      </c>
      <c r="H289" s="4497">
        <f t="shared" si="24"/>
        <v>2000</v>
      </c>
      <c r="I289" s="4497"/>
      <c r="J289" s="4497">
        <f t="shared" si="25"/>
        <v>2000</v>
      </c>
      <c r="K289" s="4497"/>
      <c r="L289" s="4498"/>
      <c r="M289" s="4498"/>
    </row>
    <row r="290" spans="2:13">
      <c r="B290" s="4509" t="s">
        <v>6646</v>
      </c>
      <c r="C290" s="4504" t="s">
        <v>4343</v>
      </c>
      <c r="D290" s="4497">
        <v>0</v>
      </c>
      <c r="E290" s="4497"/>
      <c r="F290" s="4497"/>
      <c r="G290" s="4501">
        <f t="shared" si="23"/>
        <v>0</v>
      </c>
      <c r="H290" s="4497">
        <f t="shared" si="24"/>
        <v>0</v>
      </c>
      <c r="I290" s="4497"/>
      <c r="J290" s="4497">
        <f t="shared" si="25"/>
        <v>0</v>
      </c>
      <c r="K290" s="4497"/>
      <c r="L290" s="4498"/>
      <c r="M290" s="4498"/>
    </row>
    <row r="291" spans="2:13">
      <c r="B291" s="4509" t="s">
        <v>6624</v>
      </c>
      <c r="C291" s="4504" t="s">
        <v>2507</v>
      </c>
      <c r="D291" s="4497">
        <v>18120</v>
      </c>
      <c r="E291" s="4497"/>
      <c r="F291" s="4497"/>
      <c r="G291" s="4501">
        <f t="shared" si="23"/>
        <v>18120</v>
      </c>
      <c r="H291" s="4497">
        <f t="shared" si="24"/>
        <v>18120</v>
      </c>
      <c r="I291" s="4497"/>
      <c r="J291" s="4497">
        <f t="shared" si="25"/>
        <v>18120</v>
      </c>
      <c r="K291" s="4497"/>
      <c r="L291" s="4498"/>
      <c r="M291" s="4498"/>
    </row>
    <row r="292" spans="2:13">
      <c r="B292" s="4509" t="s">
        <v>5021</v>
      </c>
      <c r="C292" s="4504" t="s">
        <v>5015</v>
      </c>
      <c r="D292" s="4497">
        <v>0</v>
      </c>
      <c r="E292" s="4497"/>
      <c r="F292" s="4497"/>
      <c r="G292" s="4501">
        <f t="shared" si="23"/>
        <v>0</v>
      </c>
      <c r="H292" s="4497">
        <f t="shared" si="24"/>
        <v>0</v>
      </c>
      <c r="I292" s="4497"/>
      <c r="J292" s="4497">
        <f t="shared" si="25"/>
        <v>0</v>
      </c>
      <c r="K292" s="4497"/>
      <c r="L292" s="4498"/>
      <c r="M292" s="4498"/>
    </row>
    <row r="293" spans="2:13">
      <c r="B293" s="4509" t="s">
        <v>6626</v>
      </c>
      <c r="C293" s="4504" t="s">
        <v>1360</v>
      </c>
      <c r="D293" s="4497">
        <v>7409.8199999999988</v>
      </c>
      <c r="E293" s="4497"/>
      <c r="F293" s="4497"/>
      <c r="G293" s="4501">
        <f t="shared" si="23"/>
        <v>7409.8199999999988</v>
      </c>
      <c r="H293" s="4497">
        <f t="shared" si="24"/>
        <v>7409.8199999999988</v>
      </c>
      <c r="I293" s="4497"/>
      <c r="J293" s="4497">
        <f t="shared" si="25"/>
        <v>7409.8199999999988</v>
      </c>
      <c r="K293" s="4497"/>
      <c r="L293" s="4498"/>
      <c r="M293" s="4498"/>
    </row>
    <row r="294" spans="2:13">
      <c r="B294" s="4509" t="s">
        <v>6648</v>
      </c>
      <c r="C294" s="4504" t="s">
        <v>2398</v>
      </c>
      <c r="D294" s="4497">
        <v>0</v>
      </c>
      <c r="E294" s="4497"/>
      <c r="F294" s="4497"/>
      <c r="G294" s="4501">
        <f t="shared" si="23"/>
        <v>0</v>
      </c>
      <c r="H294" s="4497">
        <f t="shared" si="24"/>
        <v>0</v>
      </c>
      <c r="I294" s="4497"/>
      <c r="J294" s="4497">
        <f t="shared" si="25"/>
        <v>0</v>
      </c>
      <c r="K294" s="4497"/>
      <c r="L294" s="4498"/>
      <c r="M294" s="4498"/>
    </row>
    <row r="295" spans="2:13">
      <c r="B295" s="4507" t="s">
        <v>6829</v>
      </c>
      <c r="C295" s="4504" t="s">
        <v>33</v>
      </c>
      <c r="D295" s="4497">
        <v>15800</v>
      </c>
      <c r="E295" s="4508"/>
      <c r="F295" s="4497"/>
      <c r="G295" s="4501">
        <f t="shared" si="23"/>
        <v>15800</v>
      </c>
      <c r="H295" s="4497">
        <f t="shared" si="24"/>
        <v>15800</v>
      </c>
      <c r="I295" s="4497">
        <f>+G295</f>
        <v>15800</v>
      </c>
      <c r="J295" s="4497"/>
      <c r="K295" s="4497"/>
      <c r="L295" s="4498"/>
      <c r="M295" s="4498"/>
    </row>
    <row r="296" spans="2:13">
      <c r="B296" s="4509" t="s">
        <v>5097</v>
      </c>
      <c r="C296" s="4504" t="s">
        <v>33</v>
      </c>
      <c r="D296" s="4497">
        <v>3300</v>
      </c>
      <c r="E296" s="4508"/>
      <c r="F296" s="4497"/>
      <c r="G296" s="4501">
        <f t="shared" si="23"/>
        <v>3300</v>
      </c>
      <c r="H296" s="4497">
        <f t="shared" si="24"/>
        <v>3300</v>
      </c>
      <c r="I296" s="4497"/>
      <c r="J296" s="4497">
        <f t="shared" ref="J296:J308" si="26">+G296</f>
        <v>3300</v>
      </c>
      <c r="K296" s="4497"/>
      <c r="L296" s="4498"/>
      <c r="M296" s="4498"/>
    </row>
    <row r="297" spans="2:13">
      <c r="B297" s="4509" t="s">
        <v>6650</v>
      </c>
      <c r="C297" s="4504" t="s">
        <v>148</v>
      </c>
      <c r="D297" s="4497">
        <v>0</v>
      </c>
      <c r="E297" s="4497"/>
      <c r="F297" s="4497"/>
      <c r="G297" s="4501">
        <f t="shared" si="23"/>
        <v>0</v>
      </c>
      <c r="H297" s="4497">
        <f t="shared" si="24"/>
        <v>0</v>
      </c>
      <c r="I297" s="4497"/>
      <c r="J297" s="4497">
        <f t="shared" si="26"/>
        <v>0</v>
      </c>
      <c r="K297" s="4497"/>
      <c r="L297" s="4498"/>
      <c r="M297" s="4498"/>
    </row>
    <row r="298" spans="2:13">
      <c r="B298" s="4509" t="s">
        <v>6651</v>
      </c>
      <c r="C298" s="4542" t="s">
        <v>6712</v>
      </c>
      <c r="D298" s="4497">
        <v>584</v>
      </c>
      <c r="E298" s="4497"/>
      <c r="F298" s="4497"/>
      <c r="G298" s="4501">
        <f t="shared" si="23"/>
        <v>584</v>
      </c>
      <c r="H298" s="4497">
        <f t="shared" si="24"/>
        <v>584</v>
      </c>
      <c r="I298" s="4497"/>
      <c r="J298" s="4497">
        <f t="shared" si="26"/>
        <v>584</v>
      </c>
      <c r="K298" s="4497"/>
      <c r="L298" s="4498"/>
      <c r="M298" s="4498"/>
    </row>
    <row r="299" spans="2:13">
      <c r="B299" s="4509" t="s">
        <v>6713</v>
      </c>
      <c r="C299" s="4504" t="s">
        <v>2003</v>
      </c>
      <c r="D299" s="4497">
        <v>1200.4299999999998</v>
      </c>
      <c r="E299" s="4508"/>
      <c r="F299" s="4497"/>
      <c r="G299" s="4501">
        <f t="shared" si="23"/>
        <v>1200.4299999999998</v>
      </c>
      <c r="H299" s="4497">
        <f t="shared" si="24"/>
        <v>1200.4299999999998</v>
      </c>
      <c r="I299" s="4497"/>
      <c r="J299" s="4497">
        <f t="shared" si="26"/>
        <v>1200.4299999999998</v>
      </c>
      <c r="K299" s="4497"/>
      <c r="L299" s="4498"/>
      <c r="M299" s="4498"/>
    </row>
    <row r="300" spans="2:13">
      <c r="B300" s="4509" t="s">
        <v>6654</v>
      </c>
      <c r="C300" s="4504" t="s">
        <v>3817</v>
      </c>
      <c r="D300" s="4497">
        <v>0</v>
      </c>
      <c r="E300" s="4497"/>
      <c r="F300" s="4497"/>
      <c r="G300" s="4501">
        <f t="shared" si="23"/>
        <v>0</v>
      </c>
      <c r="H300" s="4497">
        <f t="shared" si="24"/>
        <v>0</v>
      </c>
      <c r="I300" s="4497"/>
      <c r="J300" s="4497">
        <f t="shared" si="26"/>
        <v>0</v>
      </c>
      <c r="K300" s="4497"/>
      <c r="L300" s="4498"/>
      <c r="M300" s="4498"/>
    </row>
    <row r="301" spans="2:13">
      <c r="B301" s="4509" t="s">
        <v>6754</v>
      </c>
      <c r="C301" s="4542" t="s">
        <v>1006</v>
      </c>
      <c r="D301" s="4497">
        <v>1372.64</v>
      </c>
      <c r="E301" s="4497"/>
      <c r="F301" s="4497">
        <v>896.23</v>
      </c>
      <c r="G301" s="4501">
        <f t="shared" si="23"/>
        <v>476.41000000000008</v>
      </c>
      <c r="H301" s="4497">
        <f t="shared" si="24"/>
        <v>476.41000000000008</v>
      </c>
      <c r="I301" s="4497"/>
      <c r="J301" s="4497">
        <f t="shared" si="26"/>
        <v>476.41000000000008</v>
      </c>
      <c r="K301" s="4497"/>
      <c r="L301" s="4498"/>
      <c r="M301" s="4498"/>
    </row>
    <row r="302" spans="2:13">
      <c r="B302" s="4509" t="s">
        <v>6656</v>
      </c>
      <c r="C302" s="4542" t="s">
        <v>4321</v>
      </c>
      <c r="D302" s="4497">
        <v>0</v>
      </c>
      <c r="E302" s="4513"/>
      <c r="F302" s="4497"/>
      <c r="G302" s="4501">
        <f t="shared" si="23"/>
        <v>0</v>
      </c>
      <c r="H302" s="4497">
        <f t="shared" si="24"/>
        <v>0</v>
      </c>
      <c r="I302" s="4497"/>
      <c r="J302" s="4513">
        <f t="shared" si="26"/>
        <v>0</v>
      </c>
      <c r="K302" s="4513"/>
      <c r="L302" s="4498"/>
      <c r="M302" s="4498"/>
    </row>
    <row r="303" spans="2:13">
      <c r="B303" s="4509" t="s">
        <v>6657</v>
      </c>
      <c r="C303" s="4542" t="s">
        <v>1089</v>
      </c>
      <c r="D303" s="4497">
        <v>3382.3999999999996</v>
      </c>
      <c r="E303" s="4513">
        <v>781.76</v>
      </c>
      <c r="F303" s="4497"/>
      <c r="G303" s="4501">
        <f t="shared" si="23"/>
        <v>4164.16</v>
      </c>
      <c r="H303" s="4497">
        <f t="shared" si="24"/>
        <v>4164.16</v>
      </c>
      <c r="I303" s="4497"/>
      <c r="J303" s="4513">
        <f t="shared" si="26"/>
        <v>4164.16</v>
      </c>
      <c r="K303" s="4513"/>
      <c r="L303" s="4498"/>
      <c r="M303" s="4498"/>
    </row>
    <row r="304" spans="2:13">
      <c r="B304" s="4509" t="s">
        <v>6830</v>
      </c>
      <c r="C304" s="4542" t="s">
        <v>4141</v>
      </c>
      <c r="D304" s="4497">
        <v>162.4</v>
      </c>
      <c r="E304" s="4497"/>
      <c r="F304" s="4497">
        <v>162.4</v>
      </c>
      <c r="G304" s="4501">
        <f t="shared" si="23"/>
        <v>0</v>
      </c>
      <c r="H304" s="4497">
        <f t="shared" si="24"/>
        <v>0</v>
      </c>
      <c r="I304" s="4497"/>
      <c r="J304" s="4513">
        <f t="shared" si="26"/>
        <v>0</v>
      </c>
      <c r="K304" s="4513"/>
      <c r="L304" s="4498"/>
      <c r="M304" s="4498"/>
    </row>
    <row r="305" spans="1:13">
      <c r="B305" s="4509" t="s">
        <v>6809</v>
      </c>
      <c r="C305" s="4542" t="s">
        <v>6831</v>
      </c>
      <c r="D305" s="4497">
        <v>619.36</v>
      </c>
      <c r="E305" s="4497"/>
      <c r="F305" s="4497">
        <v>619.36</v>
      </c>
      <c r="G305" s="4501">
        <f t="shared" si="23"/>
        <v>0</v>
      </c>
      <c r="H305" s="4497">
        <f t="shared" si="24"/>
        <v>0</v>
      </c>
      <c r="I305" s="4497"/>
      <c r="J305" s="4513">
        <f t="shared" si="26"/>
        <v>0</v>
      </c>
      <c r="K305" s="4513"/>
      <c r="L305" s="4498"/>
      <c r="M305" s="4498"/>
    </row>
    <row r="306" spans="1:13">
      <c r="B306" s="4509" t="s">
        <v>5260</v>
      </c>
      <c r="C306" s="4542" t="s">
        <v>3341</v>
      </c>
      <c r="D306" s="4497">
        <v>5600</v>
      </c>
      <c r="E306" s="4497"/>
      <c r="F306" s="4497"/>
      <c r="G306" s="4501">
        <f t="shared" si="23"/>
        <v>5600</v>
      </c>
      <c r="H306" s="4497">
        <f t="shared" si="24"/>
        <v>5600</v>
      </c>
      <c r="I306" s="4497"/>
      <c r="J306" s="4513">
        <f t="shared" si="26"/>
        <v>5600</v>
      </c>
      <c r="K306" s="4513"/>
      <c r="L306" s="4498"/>
      <c r="M306" s="4498"/>
    </row>
    <row r="307" spans="1:13">
      <c r="B307" s="4509" t="s">
        <v>6659</v>
      </c>
      <c r="C307" s="4542" t="s">
        <v>671</v>
      </c>
      <c r="D307" s="4497">
        <v>158.87999999999988</v>
      </c>
      <c r="E307" s="4513"/>
      <c r="F307" s="4497"/>
      <c r="G307" s="4501">
        <f t="shared" si="23"/>
        <v>158.87999999999988</v>
      </c>
      <c r="H307" s="4497">
        <f t="shared" si="24"/>
        <v>158.87999999999988</v>
      </c>
      <c r="I307" s="4497"/>
      <c r="J307" s="4513">
        <f t="shared" si="26"/>
        <v>158.87999999999988</v>
      </c>
      <c r="K307" s="4513"/>
      <c r="L307" s="4498"/>
      <c r="M307" s="4498"/>
    </row>
    <row r="308" spans="1:13">
      <c r="B308" s="4509" t="s">
        <v>6660</v>
      </c>
      <c r="C308" s="4542" t="s">
        <v>39</v>
      </c>
      <c r="D308" s="4497">
        <v>0</v>
      </c>
      <c r="E308" s="4513"/>
      <c r="F308" s="4497"/>
      <c r="G308" s="4501">
        <f t="shared" si="23"/>
        <v>0</v>
      </c>
      <c r="H308" s="4497">
        <f t="shared" si="24"/>
        <v>0</v>
      </c>
      <c r="I308" s="4497"/>
      <c r="J308" s="4513">
        <f t="shared" si="26"/>
        <v>0</v>
      </c>
      <c r="K308" s="4513"/>
      <c r="L308" s="4498"/>
      <c r="M308" s="4498"/>
    </row>
    <row r="309" spans="1:13">
      <c r="B309" s="4507" t="s">
        <v>4835</v>
      </c>
      <c r="C309" s="4542" t="s">
        <v>40</v>
      </c>
      <c r="D309" s="4497">
        <v>56.95</v>
      </c>
      <c r="E309" s="4513"/>
      <c r="F309" s="4497"/>
      <c r="G309" s="4501">
        <f t="shared" si="23"/>
        <v>56.95</v>
      </c>
      <c r="H309" s="4497">
        <f t="shared" si="24"/>
        <v>56.95</v>
      </c>
      <c r="I309" s="4497">
        <f>+G309</f>
        <v>56.95</v>
      </c>
      <c r="J309" s="4513"/>
      <c r="K309" s="4513"/>
      <c r="L309" s="4498"/>
      <c r="M309" s="4498"/>
    </row>
    <row r="310" spans="1:13">
      <c r="B310" s="4509" t="s">
        <v>6661</v>
      </c>
      <c r="C310" s="4542" t="s">
        <v>40</v>
      </c>
      <c r="D310" s="8656">
        <v>0</v>
      </c>
      <c r="E310" s="4513"/>
      <c r="F310" s="4497"/>
      <c r="G310" s="4501">
        <f t="shared" si="23"/>
        <v>0</v>
      </c>
      <c r="H310" s="4497">
        <f t="shared" si="24"/>
        <v>0</v>
      </c>
      <c r="I310" s="4497"/>
      <c r="J310" s="4513">
        <f>+G310</f>
        <v>0</v>
      </c>
      <c r="K310" s="4513"/>
      <c r="L310" s="4498"/>
      <c r="M310" s="4498"/>
    </row>
    <row r="311" spans="1:13">
      <c r="B311" s="4483" t="s">
        <v>6662</v>
      </c>
      <c r="C311" s="4542" t="s">
        <v>40</v>
      </c>
      <c r="D311" s="8656">
        <v>171.51</v>
      </c>
      <c r="E311" s="4513"/>
      <c r="F311" s="4497"/>
      <c r="G311" s="4501">
        <f t="shared" si="23"/>
        <v>171.51</v>
      </c>
      <c r="H311" s="4497">
        <f t="shared" si="24"/>
        <v>171.51</v>
      </c>
      <c r="I311" s="4497"/>
      <c r="J311" s="4513"/>
      <c r="K311" s="4513">
        <f>+G311</f>
        <v>171.51</v>
      </c>
      <c r="L311" s="4498"/>
      <c r="M311" s="4498"/>
    </row>
    <row r="312" spans="1:13">
      <c r="B312" s="4483" t="s">
        <v>6576</v>
      </c>
      <c r="C312" s="4542" t="s">
        <v>680</v>
      </c>
      <c r="D312" s="8656">
        <v>1120</v>
      </c>
      <c r="E312" s="4513"/>
      <c r="F312" s="4497"/>
      <c r="G312" s="4501">
        <f t="shared" si="23"/>
        <v>1120</v>
      </c>
      <c r="H312" s="4497">
        <f t="shared" si="24"/>
        <v>1120</v>
      </c>
      <c r="I312" s="4497"/>
      <c r="J312" s="4513"/>
      <c r="K312" s="4513">
        <f>+G312</f>
        <v>1120</v>
      </c>
      <c r="L312" s="4498"/>
      <c r="M312" s="4498"/>
    </row>
    <row r="313" spans="1:13">
      <c r="B313" s="4512" t="s">
        <v>7352</v>
      </c>
      <c r="C313" s="4500" t="s">
        <v>761</v>
      </c>
      <c r="D313" s="8656">
        <v>70000</v>
      </c>
      <c r="E313" s="4497"/>
      <c r="F313" s="4497">
        <v>69650.95</v>
      </c>
      <c r="G313" s="4501">
        <f t="shared" si="23"/>
        <v>349.05000000000291</v>
      </c>
      <c r="H313" s="4497">
        <f t="shared" si="24"/>
        <v>349.05000000000291</v>
      </c>
      <c r="I313" s="4497"/>
      <c r="J313" s="4497"/>
      <c r="K313" s="4497"/>
      <c r="L313" s="4513">
        <f>+G313</f>
        <v>349.05000000000291</v>
      </c>
      <c r="M313" s="4498"/>
    </row>
    <row r="314" spans="1:13">
      <c r="B314" s="4509" t="s">
        <v>6738</v>
      </c>
      <c r="C314" s="4542" t="s">
        <v>671</v>
      </c>
      <c r="D314" s="8656">
        <v>804.2</v>
      </c>
      <c r="E314" s="4513"/>
      <c r="F314" s="4497">
        <v>86.17</v>
      </c>
      <c r="G314" s="4501">
        <f t="shared" si="23"/>
        <v>718.03000000000009</v>
      </c>
      <c r="H314" s="4497">
        <f t="shared" si="24"/>
        <v>718.03000000000009</v>
      </c>
      <c r="I314" s="4497"/>
      <c r="J314" s="4513">
        <f>+G314</f>
        <v>718.03000000000009</v>
      </c>
      <c r="K314" s="4513"/>
      <c r="L314" s="4498"/>
      <c r="M314" s="4498"/>
    </row>
    <row r="315" spans="1:13">
      <c r="B315" s="4483" t="s">
        <v>5694</v>
      </c>
      <c r="C315" s="4542" t="s">
        <v>671</v>
      </c>
      <c r="D315" s="4497">
        <v>17414.03</v>
      </c>
      <c r="E315" s="4513"/>
      <c r="F315" s="4497">
        <f>552.42+236.56</f>
        <v>788.98</v>
      </c>
      <c r="G315" s="4501">
        <f t="shared" si="23"/>
        <v>16625.05</v>
      </c>
      <c r="H315" s="4497">
        <f t="shared" si="24"/>
        <v>16625.05</v>
      </c>
      <c r="I315" s="4497"/>
      <c r="J315" s="4513"/>
      <c r="K315" s="4513">
        <f>+G315</f>
        <v>16625.05</v>
      </c>
      <c r="L315" s="4498"/>
      <c r="M315" s="4498"/>
    </row>
    <row r="316" spans="1:13">
      <c r="B316" s="4507" t="s">
        <v>5717</v>
      </c>
      <c r="C316" s="4504" t="s">
        <v>39</v>
      </c>
      <c r="D316" s="4497">
        <v>5685.6900000000005</v>
      </c>
      <c r="E316" s="4513"/>
      <c r="F316" s="4497">
        <v>41.76</v>
      </c>
      <c r="G316" s="4501">
        <f t="shared" si="23"/>
        <v>5643.93</v>
      </c>
      <c r="H316" s="4497">
        <f t="shared" si="24"/>
        <v>5643.93</v>
      </c>
      <c r="I316" s="4497">
        <f>+G316</f>
        <v>5643.93</v>
      </c>
      <c r="J316" s="4513"/>
      <c r="K316" s="4513"/>
      <c r="L316" s="4498"/>
      <c r="M316" s="4497"/>
    </row>
    <row r="317" spans="1:13">
      <c r="B317" s="4483" t="s">
        <v>5283</v>
      </c>
      <c r="C317" s="4504" t="s">
        <v>39</v>
      </c>
      <c r="D317" s="4497">
        <v>52470.090000000004</v>
      </c>
      <c r="E317" s="4513"/>
      <c r="F317" s="4497">
        <v>1207</v>
      </c>
      <c r="G317" s="4501">
        <f t="shared" si="23"/>
        <v>51263.090000000004</v>
      </c>
      <c r="H317" s="4497">
        <f t="shared" si="24"/>
        <v>51263.090000000004</v>
      </c>
      <c r="I317" s="4497"/>
      <c r="J317" s="4513"/>
      <c r="K317" s="4513">
        <f>+G317</f>
        <v>51263.090000000004</v>
      </c>
      <c r="L317" s="4498"/>
      <c r="M317" s="4497"/>
    </row>
    <row r="318" spans="1:13">
      <c r="B318" s="4483" t="s">
        <v>4825</v>
      </c>
      <c r="C318" s="4504" t="s">
        <v>40</v>
      </c>
      <c r="D318" s="4497">
        <v>42835.75</v>
      </c>
      <c r="E318" s="4497"/>
      <c r="F318" s="4497">
        <v>1293</v>
      </c>
      <c r="G318" s="4501">
        <f t="shared" si="23"/>
        <v>41542.75</v>
      </c>
      <c r="H318" s="4497">
        <f t="shared" si="24"/>
        <v>41542.75</v>
      </c>
      <c r="I318" s="4497"/>
      <c r="J318" s="4497"/>
      <c r="K318" s="4497">
        <f>+G318</f>
        <v>41542.75</v>
      </c>
      <c r="L318" s="4498"/>
      <c r="M318" s="4498"/>
    </row>
    <row r="319" spans="1:13" s="4475" customFormat="1">
      <c r="A319" s="4476"/>
      <c r="B319" s="4483" t="s">
        <v>6586</v>
      </c>
      <c r="C319" s="4542" t="s">
        <v>5430</v>
      </c>
      <c r="D319" s="4497">
        <v>1512</v>
      </c>
      <c r="E319" s="4497"/>
      <c r="F319" s="4497"/>
      <c r="G319" s="4501">
        <f t="shared" si="23"/>
        <v>1512</v>
      </c>
      <c r="H319" s="4497">
        <f t="shared" si="24"/>
        <v>1512</v>
      </c>
      <c r="I319" s="4497"/>
      <c r="J319" s="4497"/>
      <c r="K319" s="4497">
        <f>+G319</f>
        <v>1512</v>
      </c>
      <c r="L319" s="4498"/>
      <c r="M319" s="4498"/>
    </row>
    <row r="320" spans="1:13" s="4475" customFormat="1">
      <c r="A320" s="4476"/>
      <c r="B320" s="4524"/>
      <c r="C320" s="4543" t="s">
        <v>6832</v>
      </c>
      <c r="D320" s="1537">
        <f t="shared" ref="D320:M320" si="27">SUM(D283:D319)</f>
        <v>264299.20999999996</v>
      </c>
      <c r="E320" s="1537">
        <f t="shared" si="27"/>
        <v>781.76</v>
      </c>
      <c r="F320" s="1537">
        <f t="shared" si="27"/>
        <v>75023.75999999998</v>
      </c>
      <c r="G320" s="1537">
        <f t="shared" si="27"/>
        <v>190057.21</v>
      </c>
      <c r="H320" s="1537">
        <f t="shared" si="27"/>
        <v>190057.21</v>
      </c>
      <c r="I320" s="1537">
        <f t="shared" si="27"/>
        <v>21500.880000000001</v>
      </c>
      <c r="J320" s="1537">
        <f t="shared" si="27"/>
        <v>55972.88</v>
      </c>
      <c r="K320" s="1537">
        <f t="shared" si="27"/>
        <v>112234.4</v>
      </c>
      <c r="L320" s="8727">
        <f>SUM(L283:L319)</f>
        <v>349.05000000000291</v>
      </c>
      <c r="M320" s="1537">
        <f t="shared" si="27"/>
        <v>0</v>
      </c>
    </row>
    <row r="321" spans="1:14" s="4475" customFormat="1">
      <c r="A321" s="4476"/>
      <c r="B321" s="4544"/>
      <c r="C321" s="4518" t="s">
        <v>6833</v>
      </c>
      <c r="D321" s="4506">
        <f t="shared" ref="D321:M321" si="28">+D154+D209+D278+D320</f>
        <v>38172685.03955999</v>
      </c>
      <c r="E321" s="4506">
        <f t="shared" si="28"/>
        <v>1004646.3799999999</v>
      </c>
      <c r="F321" s="4506">
        <f t="shared" si="28"/>
        <v>1004646.3800000001</v>
      </c>
      <c r="G321" s="4506">
        <f t="shared" si="28"/>
        <v>38172685.03955999</v>
      </c>
      <c r="H321" s="4506">
        <f t="shared" si="28"/>
        <v>38172685.03955999</v>
      </c>
      <c r="I321" s="4545">
        <f t="shared" si="28"/>
        <v>7040956.9899999993</v>
      </c>
      <c r="J321" s="4545">
        <f t="shared" si="28"/>
        <v>933858.51</v>
      </c>
      <c r="K321" s="4545">
        <f t="shared" si="28"/>
        <v>28387466.439559985</v>
      </c>
      <c r="L321" s="4545">
        <f>+L154+L209+L278+L320</f>
        <v>1428165.4</v>
      </c>
      <c r="M321" s="4545">
        <f t="shared" si="28"/>
        <v>382237.69999999995</v>
      </c>
    </row>
    <row r="322" spans="1:14" s="4475" customFormat="1">
      <c r="A322" s="4476"/>
      <c r="B322" s="4476"/>
      <c r="C322" s="4546"/>
      <c r="D322" s="4547"/>
      <c r="E322" s="4547"/>
      <c r="F322" s="4547"/>
      <c r="G322" s="4547"/>
      <c r="H322" s="4547"/>
      <c r="I322" s="4547"/>
      <c r="J322" s="4547"/>
      <c r="K322" s="4547"/>
      <c r="L322" s="4476"/>
      <c r="M322" s="4476"/>
    </row>
    <row r="323" spans="1:14" s="4475" customFormat="1">
      <c r="A323" s="4476"/>
      <c r="B323" s="4548"/>
      <c r="C323" s="4548"/>
      <c r="D323" s="4549">
        <f>+D21-D321</f>
        <v>4.4001638889312744E-4</v>
      </c>
      <c r="E323" s="4549"/>
      <c r="F323" s="4549">
        <f>+E321-F321</f>
        <v>0</v>
      </c>
      <c r="G323" s="4549"/>
      <c r="H323" s="4549">
        <f>+G321-H321</f>
        <v>0</v>
      </c>
      <c r="I323" s="4550">
        <f>+E21-I321</f>
        <v>0</v>
      </c>
      <c r="J323" s="4550">
        <f>+F21-J321</f>
        <v>0</v>
      </c>
      <c r="K323" s="4550">
        <f>+G21-K321</f>
        <v>4.4001638889312744E-4</v>
      </c>
      <c r="L323" s="8730">
        <f>+H21-L321</f>
        <v>0</v>
      </c>
      <c r="M323" s="4550">
        <f>+I21-M321</f>
        <v>0</v>
      </c>
    </row>
    <row r="324" spans="1:14" s="4475" customFormat="1">
      <c r="A324" s="4476"/>
      <c r="B324" s="4548"/>
      <c r="C324" s="4548"/>
      <c r="D324" s="4549"/>
      <c r="E324" s="4549"/>
      <c r="F324" s="4549"/>
      <c r="G324" s="4549"/>
      <c r="H324" s="4549"/>
      <c r="I324" s="3066"/>
      <c r="J324" s="3066"/>
      <c r="K324" s="3066"/>
      <c r="L324" s="8731"/>
      <c r="M324" s="3066"/>
    </row>
    <row r="325" spans="1:14" s="4475" customFormat="1">
      <c r="A325" s="4476"/>
      <c r="B325" s="4548"/>
      <c r="C325" s="4548"/>
      <c r="D325" s="4552">
        <f>+D21*0.06</f>
        <v>2290361.1024000002</v>
      </c>
      <c r="E325" s="4549" t="s">
        <v>6834</v>
      </c>
      <c r="F325" s="4548"/>
      <c r="G325" s="4552"/>
      <c r="H325" s="1581"/>
      <c r="I325" s="8732"/>
      <c r="J325" s="8732"/>
      <c r="L325" s="4476"/>
      <c r="M325" s="4476"/>
    </row>
    <row r="326" spans="1:14" s="4475" customFormat="1">
      <c r="A326" s="4476"/>
      <c r="B326" s="4548" t="s">
        <v>6835</v>
      </c>
      <c r="C326" s="4549"/>
      <c r="D326" s="4553"/>
      <c r="F326" s="4548"/>
      <c r="G326" s="4548"/>
      <c r="H326" s="1581"/>
      <c r="I326" s="1582"/>
      <c r="J326" s="3069"/>
    </row>
    <row r="327" spans="1:14">
      <c r="B327" s="4548" t="s">
        <v>6836</v>
      </c>
      <c r="C327" s="4552"/>
      <c r="D327" s="4552"/>
      <c r="E327" s="4548"/>
      <c r="F327" s="4548"/>
      <c r="G327" s="4548"/>
      <c r="H327" s="4475"/>
      <c r="I327" s="1582"/>
      <c r="J327" s="1582"/>
      <c r="L327" s="4475"/>
      <c r="M327" s="1584" t="s">
        <v>7410</v>
      </c>
    </row>
    <row r="328" spans="1:14">
      <c r="B328" s="4548"/>
      <c r="C328" s="4552"/>
      <c r="D328" s="4554"/>
      <c r="E328" s="4548"/>
      <c r="F328" s="4548"/>
      <c r="G328" s="4548"/>
      <c r="H328" s="4475"/>
      <c r="I328" s="1582"/>
      <c r="J328" s="1582"/>
      <c r="L328" s="4475"/>
      <c r="M328" s="1584"/>
    </row>
    <row r="329" spans="1:14">
      <c r="C329" s="4546"/>
      <c r="D329" s="4548"/>
      <c r="E329" s="4546"/>
      <c r="F329" s="4546"/>
      <c r="G329" s="4546"/>
      <c r="H329" s="4546"/>
      <c r="I329" s="4555"/>
      <c r="J329" s="4546"/>
      <c r="L329" s="4546"/>
      <c r="M329" s="4546"/>
      <c r="N329" s="4546"/>
    </row>
    <row r="330" spans="1:14">
      <c r="E330" s="4475"/>
    </row>
    <row r="331" spans="1:14">
      <c r="C331" s="8733" t="s">
        <v>7411</v>
      </c>
      <c r="E331" s="4475"/>
      <c r="H331" s="8733" t="s">
        <v>7412</v>
      </c>
    </row>
    <row r="332" spans="1:14">
      <c r="E332" s="4475"/>
    </row>
    <row r="333" spans="1:14">
      <c r="C333" s="4557" t="s">
        <v>7008</v>
      </c>
      <c r="D333" s="4557" t="s">
        <v>7009</v>
      </c>
      <c r="E333" s="4557" t="s">
        <v>7413</v>
      </c>
      <c r="F333" s="4557" t="s">
        <v>7011</v>
      </c>
      <c r="H333" s="4557" t="s">
        <v>7008</v>
      </c>
      <c r="I333" s="4557" t="s">
        <v>7414</v>
      </c>
      <c r="J333" s="11433" t="s">
        <v>7415</v>
      </c>
      <c r="K333" s="11434"/>
      <c r="L333" s="4557" t="s">
        <v>7009</v>
      </c>
      <c r="M333" s="4557" t="s">
        <v>7413</v>
      </c>
    </row>
    <row r="334" spans="1:14">
      <c r="C334" s="4504" t="s">
        <v>7012</v>
      </c>
      <c r="D334" s="4497">
        <f>SUM(E26:E153)</f>
        <v>832690.67999999993</v>
      </c>
      <c r="E334" s="4497">
        <f>SUM(F26:F153)</f>
        <v>292394.34000000008</v>
      </c>
      <c r="F334" s="4497">
        <f>E334-D334</f>
        <v>-540296.33999999985</v>
      </c>
      <c r="H334" s="8734" t="s">
        <v>7416</v>
      </c>
      <c r="I334" s="4524" t="str">
        <f>B130</f>
        <v>013 710706 0701 202</v>
      </c>
      <c r="J334" s="4504" t="str">
        <f>C130</f>
        <v>Beneficio por Jubilación</v>
      </c>
      <c r="K334" s="4504"/>
      <c r="L334" s="4497">
        <f>E130</f>
        <v>95038.45</v>
      </c>
      <c r="M334" s="4497"/>
    </row>
    <row r="335" spans="1:14">
      <c r="C335" s="4504" t="s">
        <v>7417</v>
      </c>
      <c r="D335" s="4497">
        <f>SUM(E159:E208)</f>
        <v>40152</v>
      </c>
      <c r="E335" s="4497">
        <f>SUM(F159:F208)</f>
        <v>402350.63</v>
      </c>
      <c r="F335" s="4497">
        <f>E335-D335</f>
        <v>362198.63</v>
      </c>
      <c r="H335" s="8734" t="s">
        <v>7416</v>
      </c>
      <c r="I335" s="4524" t="str">
        <f>+B142</f>
        <v>012 840104 0701 202</v>
      </c>
      <c r="J335" s="4497" t="str">
        <f>+C142</f>
        <v>Maquinarias y Equipos</v>
      </c>
      <c r="K335" s="4497"/>
      <c r="L335" s="4497"/>
      <c r="M335" s="4497">
        <f>+F142</f>
        <v>8579.64</v>
      </c>
    </row>
    <row r="336" spans="1:14">
      <c r="C336" s="4504" t="s">
        <v>7418</v>
      </c>
      <c r="D336" s="4497">
        <f>SUM(E214:E277)</f>
        <v>131021.94</v>
      </c>
      <c r="E336" s="4497">
        <f>SUM(F214:F277)</f>
        <v>234877.65</v>
      </c>
      <c r="F336" s="4497">
        <f>E336-D336</f>
        <v>103855.70999999999</v>
      </c>
      <c r="H336" s="4524">
        <v>82</v>
      </c>
      <c r="I336" s="4524" t="str">
        <f>+B194</f>
        <v>009 730402 0701 202</v>
      </c>
      <c r="J336" s="4497" t="str">
        <f>+C194</f>
        <v>Edificios, Locales, Residencias y Cableado Estructurado (Instalación, Mantenimiento y Reparación)</v>
      </c>
      <c r="K336" s="4497"/>
      <c r="L336" s="4497"/>
      <c r="M336" s="4497">
        <f>+F194</f>
        <v>3266.71</v>
      </c>
    </row>
    <row r="337" spans="3:14">
      <c r="C337" s="4504" t="s">
        <v>7419</v>
      </c>
      <c r="D337" s="4497">
        <f>SUM(E283:E319)</f>
        <v>781.76</v>
      </c>
      <c r="E337" s="4497">
        <f>SUM(F283:F319)</f>
        <v>75023.75999999998</v>
      </c>
      <c r="F337" s="4497">
        <f>E337-D337</f>
        <v>74241.999999999985</v>
      </c>
      <c r="H337" s="4524">
        <v>82</v>
      </c>
      <c r="I337" s="4524" t="str">
        <f>+B204</f>
        <v>009 840104 0701 202</v>
      </c>
      <c r="J337" s="8735" t="str">
        <f>+C204</f>
        <v>Maquinarias y Equipos</v>
      </c>
      <c r="K337" s="8735"/>
      <c r="L337" s="4497"/>
      <c r="M337" s="4497">
        <f>F204</f>
        <v>13541.15</v>
      </c>
    </row>
    <row r="338" spans="3:14">
      <c r="C338" s="4518" t="s">
        <v>7016</v>
      </c>
      <c r="D338" s="4559">
        <f>SUM(D334:D337)</f>
        <v>1004646.3799999999</v>
      </c>
      <c r="E338" s="4559">
        <f>SUM(E334:E337)</f>
        <v>1004646.3800000001</v>
      </c>
      <c r="F338" s="4506">
        <f>E338-D338</f>
        <v>0</v>
      </c>
      <c r="H338" s="4524">
        <v>84</v>
      </c>
      <c r="I338" s="4524" t="str">
        <f>+B313</f>
        <v>001 730601 0701 202</v>
      </c>
      <c r="J338" s="8735" t="str">
        <f>+C313</f>
        <v>Consultoría, Asesoría e Investigación Especializada</v>
      </c>
      <c r="K338" s="8735"/>
      <c r="L338" s="4497"/>
      <c r="M338" s="4497">
        <f>+F313</f>
        <v>69650.95</v>
      </c>
    </row>
    <row r="339" spans="3:14">
      <c r="C339" s="4546"/>
      <c r="D339" s="4546"/>
      <c r="E339" s="4475"/>
      <c r="F339" s="4546"/>
      <c r="H339" s="8734"/>
      <c r="I339" s="8736" t="s">
        <v>7420</v>
      </c>
      <c r="J339" s="8735"/>
      <c r="K339" s="8735"/>
      <c r="L339" s="4506">
        <f>SUM(L334:L338)</f>
        <v>95038.45</v>
      </c>
      <c r="M339" s="4506">
        <f>SUM(M335:M338)</f>
        <v>95038.45</v>
      </c>
    </row>
    <row r="340" spans="3:14">
      <c r="C340" s="4548" t="s">
        <v>7017</v>
      </c>
      <c r="D340" s="4546"/>
      <c r="E340" s="4546"/>
      <c r="F340" s="4546"/>
      <c r="H340" s="4524" t="s">
        <v>7416</v>
      </c>
      <c r="I340" s="4524" t="str">
        <f>B132</f>
        <v>013 710706 0701 001</v>
      </c>
      <c r="J340" s="8735" t="str">
        <f>C132</f>
        <v>Beneficio por Jubilación</v>
      </c>
      <c r="K340" s="8735"/>
      <c r="L340" s="4497">
        <f>E132</f>
        <v>212400</v>
      </c>
      <c r="M340" s="4497"/>
    </row>
    <row r="341" spans="3:14">
      <c r="C341" s="4557" t="s">
        <v>7018</v>
      </c>
      <c r="D341" s="4557" t="s">
        <v>7019</v>
      </c>
      <c r="E341" s="4557" t="s">
        <v>7413</v>
      </c>
      <c r="F341" s="4557" t="s">
        <v>7011</v>
      </c>
      <c r="H341" s="4524">
        <v>82</v>
      </c>
      <c r="I341" s="4524" t="str">
        <f>+B198</f>
        <v>010 750501 0701 001</v>
      </c>
      <c r="J341" s="8735" t="str">
        <f>+C198</f>
        <v>Obras de Infraesructura</v>
      </c>
      <c r="K341" s="8735"/>
      <c r="L341" s="4497"/>
      <c r="M341" s="4497">
        <f>+F198</f>
        <v>67590.19</v>
      </c>
    </row>
    <row r="342" spans="3:14">
      <c r="C342" s="4524">
        <v>53</v>
      </c>
      <c r="D342" s="4497">
        <f>SUM(E49,E54,E57,E61,E73,E81,E82,E87,E92,E95,E100,E102,E105,E166,E167,E169,E172,E174,E175,E177,E178,E179,E180,E181,E182,E183,E186,E187,E188,E189,E190,E214,E215,E217,E221,E223,E224,E226,E230,E232,E233,E235,E237,E238,E239,E249,E295,E309)</f>
        <v>85552.11</v>
      </c>
      <c r="E342" s="4497">
        <f>SUM(F49,F54,F57,F61,F73,F82,F87,F92,F95,F100,F102,F105,F166,F167,F169,F172,F174,F175,F177,F178,F179,F180,F181,F182,F183,F186,F187,F188,F189,F190,F214,F215,F217,F221,F223,F224,F226,F230,F232,F233,F235,F237,F238,F249,F295,F309)</f>
        <v>30855.77</v>
      </c>
      <c r="F342" s="4497">
        <f t="shared" ref="F342:F347" si="29">E342-D342</f>
        <v>-54696.34</v>
      </c>
      <c r="H342" s="4524">
        <v>83</v>
      </c>
      <c r="I342" s="4524" t="str">
        <f>+B265</f>
        <v>005 840104 0701 001</v>
      </c>
      <c r="J342" s="8735" t="str">
        <f>+C265</f>
        <v>Maquinarias y Equipos</v>
      </c>
      <c r="K342" s="8735"/>
      <c r="L342" s="4497"/>
      <c r="M342" s="4497">
        <f>+F265</f>
        <v>107884.25</v>
      </c>
    </row>
    <row r="343" spans="3:14">
      <c r="C343" s="4524">
        <v>57</v>
      </c>
      <c r="D343" s="4497">
        <f>SUM(E119,E116,E191)</f>
        <v>4000</v>
      </c>
      <c r="E343" s="4497">
        <f>SUM(F119,F116,F191)</f>
        <v>718.22</v>
      </c>
      <c r="F343" s="4497">
        <f t="shared" si="29"/>
        <v>-3281.7799999999997</v>
      </c>
      <c r="H343" s="4524">
        <v>83</v>
      </c>
      <c r="I343" s="4524" t="str">
        <f>+B271</f>
        <v>005 840107 0701 001</v>
      </c>
      <c r="J343" s="8735" t="str">
        <f>+C271</f>
        <v>Equipos, Sistemas y Paquetes Informáticos</v>
      </c>
      <c r="K343" s="8735"/>
      <c r="L343" s="4497"/>
      <c r="M343" s="4497">
        <f>+F271</f>
        <v>36925.56</v>
      </c>
    </row>
    <row r="344" spans="3:14">
      <c r="C344" s="4524">
        <v>58</v>
      </c>
      <c r="D344" s="4497">
        <f>SUM(E126,E127,E192,E253)</f>
        <v>0</v>
      </c>
      <c r="E344" s="4497">
        <f>SUM(F126,F127,F192,F253)</f>
        <v>57978.12</v>
      </c>
      <c r="F344" s="4497">
        <f t="shared" si="29"/>
        <v>57978.12</v>
      </c>
      <c r="H344" s="8734"/>
      <c r="I344" s="8736" t="s">
        <v>7420</v>
      </c>
      <c r="J344" s="4504"/>
      <c r="K344" s="4504"/>
      <c r="L344" s="4506">
        <f>SUM(L340:L343)</f>
        <v>212400</v>
      </c>
      <c r="M344" s="4506">
        <f>SUM(M341:M343)</f>
        <v>212400</v>
      </c>
    </row>
    <row r="345" spans="3:14">
      <c r="C345" s="4524">
        <v>84</v>
      </c>
      <c r="D345" s="4497">
        <f>SUM(E136,E146,E151,E199,E201,E207,E264,E270,E316)</f>
        <v>45778.5</v>
      </c>
      <c r="E345" s="4497">
        <f>SUM(F136,F146,F199,F201,F207,F264,F270,F316)</f>
        <v>45778.5</v>
      </c>
      <c r="F345" s="4497">
        <f t="shared" si="29"/>
        <v>0</v>
      </c>
      <c r="G345" s="8737"/>
      <c r="H345" s="8734"/>
      <c r="I345" s="8736" t="s">
        <v>7421</v>
      </c>
      <c r="J345" s="8735"/>
      <c r="K345" s="8735"/>
      <c r="L345" s="4506">
        <f>+L339+L344</f>
        <v>307438.45</v>
      </c>
      <c r="M345" s="4506">
        <f>+M339+M344</f>
        <v>307438.45</v>
      </c>
    </row>
    <row r="346" spans="3:14">
      <c r="C346" s="4524" t="s">
        <v>7422</v>
      </c>
      <c r="D346" s="4497">
        <f>SUM(E131,E132,E198,E203,E254,E259,E260,E263,E265,E271)</f>
        <v>212400</v>
      </c>
      <c r="E346" s="4497">
        <f>SUM(F131,F132,F198,F203,F254,F259,F260,F263,F265,F271)</f>
        <v>212400</v>
      </c>
      <c r="F346" s="4497">
        <f t="shared" si="29"/>
        <v>0</v>
      </c>
      <c r="M346" s="8738"/>
      <c r="N346" s="4503"/>
    </row>
    <row r="347" spans="3:14">
      <c r="C347" s="4518" t="s">
        <v>7016</v>
      </c>
      <c r="D347" s="4506">
        <f>SUM(D342:D346)</f>
        <v>347730.61</v>
      </c>
      <c r="E347" s="4506">
        <f>SUM(E342:E346)</f>
        <v>347730.61</v>
      </c>
      <c r="F347" s="4506">
        <f t="shared" si="29"/>
        <v>0</v>
      </c>
      <c r="G347" s="4503"/>
      <c r="L347" s="4560">
        <f>+E130+E132</f>
        <v>307438.45</v>
      </c>
      <c r="M347" s="4560">
        <f>+F142+F149+F150+F194+F198+F203+F204+F265+F271+F313</f>
        <v>325908.78999999998</v>
      </c>
      <c r="N347" s="4503">
        <f>+M347-L347</f>
        <v>18470.339999999967</v>
      </c>
    </row>
    <row r="348" spans="3:14">
      <c r="C348" s="4546"/>
      <c r="D348" s="4546"/>
      <c r="E348" s="4546"/>
      <c r="F348" s="4546"/>
      <c r="K348" s="4476"/>
      <c r="L348" s="4503"/>
      <c r="M348" s="8738">
        <v>517392.07</v>
      </c>
    </row>
    <row r="349" spans="3:14">
      <c r="C349" s="4548" t="s">
        <v>7020</v>
      </c>
      <c r="D349" s="4546"/>
      <c r="E349" s="4546"/>
      <c r="F349" s="4546"/>
      <c r="M349" s="4503">
        <f>+M348-M345</f>
        <v>209953.62</v>
      </c>
    </row>
    <row r="350" spans="3:14">
      <c r="C350" s="4557" t="s">
        <v>7018</v>
      </c>
      <c r="D350" s="4557" t="s">
        <v>7009</v>
      </c>
      <c r="E350" s="4557" t="s">
        <v>7413</v>
      </c>
      <c r="F350" s="4557" t="s">
        <v>7011</v>
      </c>
    </row>
    <row r="351" spans="3:14">
      <c r="C351" s="4524">
        <v>53</v>
      </c>
      <c r="D351" s="4497">
        <f>SUM(E47,E52,E55,E58,E71,E74,E78,E89,E96,E168,E170,E184,E216,E219,E227,E231,E234,E236,E243,E245,E246,E247,E248,E250,E251,E252,E283,E284,E285,E286,E287,E288,E289,E290,E291,E292,E293,E294,E296,E297,E298,E299,E300,E301,E302,E303,E304,E305,E306,E307,E308,E310)</f>
        <v>17453.399999999998</v>
      </c>
      <c r="E351" s="4497">
        <f>SUM(F47,F52,F55,F58,F71,F74,F78,F89,F96,F168,F170,F184,F216,F219,F227,F231,F234,F236,F243,F245,F246,F247,F248,F250,F251,F252,F283,F284,F285,F286,F287,F288,F289,F290,F291,F292,F293,F294,F296,F297,F298,F299,F300,F301,F302,F303,F304,F305,F306,F307,F308,F310)</f>
        <v>39623.4</v>
      </c>
      <c r="F351" s="4497">
        <f>E351-D351</f>
        <v>22170.000000000004</v>
      </c>
    </row>
    <row r="352" spans="3:14">
      <c r="C352" s="4524">
        <v>57</v>
      </c>
      <c r="D352" s="4497">
        <f>SUM(E117,E120,E122)</f>
        <v>22150</v>
      </c>
      <c r="E352" s="4497">
        <f>SUM(F117,F120,F122)</f>
        <v>70</v>
      </c>
      <c r="F352" s="4497">
        <f>E352-D352</f>
        <v>-22080</v>
      </c>
      <c r="G352" s="4503"/>
    </row>
    <row r="353" spans="3:15">
      <c r="C353" s="4524">
        <v>84</v>
      </c>
      <c r="D353" s="4497">
        <f>SUM(E137,E140,E145,E147,E261,E266,E272,E276,E314)</f>
        <v>14028.970000000001</v>
      </c>
      <c r="E353" s="4497">
        <f>SUM(F140,F145,F147,F261,F266,F272,F276,F314)</f>
        <v>13938.97</v>
      </c>
      <c r="F353" s="4497">
        <f>E353-D353</f>
        <v>-90.000000000001819</v>
      </c>
      <c r="G353" s="8739"/>
    </row>
    <row r="354" spans="3:15">
      <c r="C354" s="4518" t="s">
        <v>7016</v>
      </c>
      <c r="D354" s="4506">
        <f>SUM(D351:D353)</f>
        <v>53632.369999999995</v>
      </c>
      <c r="E354" s="4506">
        <f>SUM(E351:E353)</f>
        <v>53632.37</v>
      </c>
      <c r="F354" s="4506">
        <f>E354-D354</f>
        <v>0</v>
      </c>
    </row>
    <row r="355" spans="3:15">
      <c r="C355" s="4546"/>
      <c r="D355" s="4546"/>
      <c r="E355" s="4546"/>
      <c r="F355" s="4475"/>
    </row>
    <row r="356" spans="3:15">
      <c r="C356" s="4548" t="s">
        <v>7021</v>
      </c>
      <c r="D356" s="4546"/>
      <c r="E356" s="4546"/>
      <c r="F356" s="4546"/>
    </row>
    <row r="357" spans="3:15">
      <c r="C357" s="4557" t="s">
        <v>7018</v>
      </c>
      <c r="D357" s="4557" t="s">
        <v>7019</v>
      </c>
      <c r="E357" s="4557" t="s">
        <v>7413</v>
      </c>
      <c r="F357" s="4557" t="s">
        <v>7011</v>
      </c>
      <c r="O357" s="4503"/>
    </row>
    <row r="358" spans="3:15">
      <c r="C358" s="4524">
        <v>51</v>
      </c>
      <c r="D358" s="4497">
        <f>SUM(E26,E27,E28,E29,E30,E31,E32,E33,E34,E35,E36,E37,E38,E39,E40,E41,E42,E43,E44,E45,E159,E160,E161,E162,E163,E164,E165)</f>
        <v>214953.62</v>
      </c>
      <c r="E358" s="4497">
        <f>SUM(F26,F27,F28,F29,F30,F31,F32,F33,F34,F35,F36,F37,F38,F39,F40,F41,F42,F43,F44,F159,F160,F161,F162,F163,F164,F165)</f>
        <v>214953.62</v>
      </c>
      <c r="F358" s="4497">
        <f>E358-D358</f>
        <v>0</v>
      </c>
    </row>
    <row r="359" spans="3:15">
      <c r="C359" s="4524">
        <v>53</v>
      </c>
      <c r="D359" s="4497">
        <f>SUM(E46,E48,E50,E51,E53,E56,E59,E60,E62,E63,E64,E65,E66,E67,E68,E69,E70,E72,E75,E76,E77,E79,E80,E83,E84,E85,E86,E88,E90,E91,E93,E94,E97,E98,E99,E101,E103,E104,E106,E107,E108,E109,E110,E111,E112,E113,E114,E115,E171,E173,E176,E185,E220,E222,E225,E228,E229,E240,E241,E242,E244,E311)</f>
        <v>119027.29</v>
      </c>
      <c r="E359" s="4497">
        <f>SUM(F46,F48,F50,F51,F53,F56,F59,F60,F62,F63,F64,F65,F66,F67,F68,F69,F70,F72,F75,F76,F77,F79,F80,F83,F84,F85,F86,F88,F90,F91,F93,F94,F97,F98,F99,F101,F103,F104,F106,F107,F108,F109,F110,F111,F112,F113,F114,F115,F171,F173,F176,F185,F220,F222,F225,F228,F229,F240,F241,F242,F244,F311)</f>
        <v>207420.62000000005</v>
      </c>
      <c r="F359" s="4497">
        <f>E359-D359</f>
        <v>88393.33000000006</v>
      </c>
    </row>
    <row r="360" spans="3:15" ht="12.75" customHeight="1">
      <c r="C360" s="4524">
        <v>57</v>
      </c>
      <c r="D360" s="4497">
        <f>SUM(E118,E121,E123,E124,E312)</f>
        <v>53300</v>
      </c>
      <c r="E360" s="4497">
        <f>SUM(F118,F121,F123,F124,F312)</f>
        <v>3058.67</v>
      </c>
      <c r="F360" s="4497">
        <f>E360-D360</f>
        <v>-50241.33</v>
      </c>
    </row>
    <row r="361" spans="3:15">
      <c r="C361" s="4524">
        <v>58</v>
      </c>
      <c r="D361" s="4497">
        <f>SUM(E125)</f>
        <v>1000</v>
      </c>
      <c r="E361" s="4497">
        <f>SUM(F125)</f>
        <v>0</v>
      </c>
      <c r="F361" s="4497">
        <f>E361-D361</f>
        <v>-1000</v>
      </c>
    </row>
    <row r="362" spans="3:15">
      <c r="C362" s="4524">
        <v>84</v>
      </c>
      <c r="D362" s="4497">
        <f>SUM(E138,E141,E148,E152,E200,E202,E206,E262,E267,E273,E277,E315,E317,E318,E319)</f>
        <v>54070</v>
      </c>
      <c r="E362" s="4497">
        <f>SUM(F138,F141,F148,F152,F200,F202,F206,F262,F267,F273,F277,F315,F317,F318,F319)</f>
        <v>54070</v>
      </c>
      <c r="F362" s="4497">
        <f>E362-D362</f>
        <v>0</v>
      </c>
      <c r="G362" s="8739"/>
    </row>
    <row r="363" spans="3:15">
      <c r="C363" s="4524" t="s">
        <v>7422</v>
      </c>
      <c r="D363" s="4497">
        <f>SUM(E133,E134,E258)</f>
        <v>0</v>
      </c>
      <c r="E363" s="4497">
        <f>SUM(F133,F134,F258)</f>
        <v>0</v>
      </c>
      <c r="F363" s="4497"/>
    </row>
    <row r="364" spans="3:15">
      <c r="C364" s="4524">
        <v>99</v>
      </c>
      <c r="D364" s="4497">
        <f>SUM(E153,E208)</f>
        <v>37152</v>
      </c>
      <c r="E364" s="4497">
        <f>SUM(F153,F208)</f>
        <v>0</v>
      </c>
      <c r="F364" s="4497">
        <f>E364-D364</f>
        <v>-37152</v>
      </c>
    </row>
    <row r="365" spans="3:15">
      <c r="C365" s="4518" t="s">
        <v>7016</v>
      </c>
      <c r="D365" s="4506">
        <f>SUM(D358:D364)</f>
        <v>479502.91</v>
      </c>
      <c r="E365" s="4506">
        <f>SUM(E358:E364)</f>
        <v>479502.91000000003</v>
      </c>
      <c r="F365" s="4545">
        <f>E365-D365</f>
        <v>0</v>
      </c>
      <c r="I365" s="8740"/>
      <c r="J365" s="8740"/>
      <c r="K365" s="4560"/>
    </row>
    <row r="366" spans="3:15">
      <c r="C366" s="4546"/>
      <c r="D366" s="4475"/>
      <c r="E366" s="4475"/>
      <c r="F366" s="4475"/>
    </row>
    <row r="367" spans="3:15">
      <c r="C367" s="4548" t="s">
        <v>7022</v>
      </c>
      <c r="D367" s="4546"/>
      <c r="E367" s="4546"/>
      <c r="F367" s="4546"/>
    </row>
    <row r="368" spans="3:15">
      <c r="C368" s="4557" t="s">
        <v>7018</v>
      </c>
      <c r="D368" s="4557" t="s">
        <v>7019</v>
      </c>
      <c r="E368" s="4557" t="s">
        <v>7413</v>
      </c>
      <c r="F368" s="4557" t="s">
        <v>7011</v>
      </c>
    </row>
    <row r="369" spans="3:11">
      <c r="C369" s="4524">
        <v>84</v>
      </c>
      <c r="D369" s="8741">
        <f>SUM(E139,E149,E268)</f>
        <v>18470.34</v>
      </c>
      <c r="E369" s="8741">
        <f>SUM(F149,F268)</f>
        <v>18470.34</v>
      </c>
      <c r="F369" s="4497">
        <f>E369-D369</f>
        <v>0</v>
      </c>
    </row>
    <row r="370" spans="3:11">
      <c r="C370" s="4524" t="s">
        <v>7422</v>
      </c>
      <c r="D370" s="4497">
        <f>SUM(E128,E129,E130,E135,E142,E149,E150,E193,E194,E196,E197,E204,E255,E257,E274,E313)</f>
        <v>105310.15</v>
      </c>
      <c r="E370" s="4497">
        <f>SUM(F128,F129,F130,F135,F142,F150,F193,F194,F196,F197,F204,F255,F257,F274,F313)</f>
        <v>105310.15</v>
      </c>
      <c r="F370" s="4497">
        <f>E370-D370</f>
        <v>0</v>
      </c>
      <c r="G370" s="8739"/>
    </row>
    <row r="371" spans="3:11">
      <c r="C371" s="4518" t="s">
        <v>7016</v>
      </c>
      <c r="D371" s="4506">
        <f>SUM(D369:D370)</f>
        <v>123780.48999999999</v>
      </c>
      <c r="E371" s="4506">
        <f t="shared" ref="E371:F371" si="30">SUM(E369:E370)</f>
        <v>123780.48999999999</v>
      </c>
      <c r="F371" s="4506">
        <f t="shared" si="30"/>
        <v>0</v>
      </c>
    </row>
    <row r="372" spans="3:11">
      <c r="C372" s="4475"/>
    </row>
    <row r="373" spans="3:11">
      <c r="C373" s="4548" t="s">
        <v>7023</v>
      </c>
      <c r="D373" s="4546"/>
      <c r="E373" s="4546"/>
      <c r="F373" s="4546"/>
    </row>
    <row r="374" spans="3:11">
      <c r="C374" s="4557" t="s">
        <v>7018</v>
      </c>
      <c r="D374" s="4557" t="s">
        <v>7019</v>
      </c>
      <c r="E374" s="4557" t="s">
        <v>7413</v>
      </c>
      <c r="F374" s="4557" t="s">
        <v>7011</v>
      </c>
    </row>
    <row r="375" spans="3:11">
      <c r="C375" s="4524">
        <v>53</v>
      </c>
      <c r="D375" s="4497">
        <f>E218</f>
        <v>0</v>
      </c>
      <c r="E375" s="4497">
        <f>F218</f>
        <v>0</v>
      </c>
      <c r="F375" s="4497">
        <f>+D375-E375</f>
        <v>0</v>
      </c>
      <c r="K375" s="4476"/>
    </row>
    <row r="376" spans="3:11">
      <c r="C376" s="4524">
        <v>73</v>
      </c>
      <c r="D376" s="4497">
        <f>E195+E256</f>
        <v>0</v>
      </c>
      <c r="E376" s="4497">
        <f>F195+F256</f>
        <v>0</v>
      </c>
      <c r="F376" s="4497">
        <f>+D376-E376</f>
        <v>0</v>
      </c>
    </row>
    <row r="377" spans="3:11">
      <c r="C377" s="4524">
        <v>84</v>
      </c>
      <c r="D377" s="4497">
        <f>E143+E144+E205+E269+E275</f>
        <v>0</v>
      </c>
      <c r="E377" s="4497">
        <f>F143+F144+F205+F269+F275</f>
        <v>0</v>
      </c>
      <c r="F377" s="4497">
        <f>+D377-E377</f>
        <v>0</v>
      </c>
    </row>
    <row r="378" spans="3:11">
      <c r="C378" s="4518" t="s">
        <v>7016</v>
      </c>
      <c r="D378" s="4506">
        <f>SUM(D375:D377)</f>
        <v>0</v>
      </c>
      <c r="E378" s="4506">
        <f>SUM(E375:E377)</f>
        <v>0</v>
      </c>
      <c r="F378" s="4506">
        <f>+D378-E378</f>
        <v>0</v>
      </c>
    </row>
    <row r="379" spans="3:11" ht="13.5" thickBot="1">
      <c r="C379" s="4475"/>
    </row>
    <row r="380" spans="3:11" ht="13.5" thickBot="1">
      <c r="C380" s="11404" t="s">
        <v>7024</v>
      </c>
      <c r="D380" s="4564">
        <f>D378+D371+D365+D354+D347</f>
        <v>1004646.3799999999</v>
      </c>
      <c r="E380" s="4565">
        <f>E378+E371+E365+E354+E347</f>
        <v>1004646.38</v>
      </c>
      <c r="F380" s="4566">
        <f>F378+F371+F365+F354+F347</f>
        <v>0</v>
      </c>
    </row>
    <row r="381" spans="3:11" ht="13.5" thickBot="1">
      <c r="C381" s="11405"/>
      <c r="D381" s="4567">
        <f>D380-E321</f>
        <v>0</v>
      </c>
      <c r="E381" s="4568">
        <f>E380-F321</f>
        <v>0</v>
      </c>
      <c r="F381" s="4569"/>
    </row>
    <row r="384" spans="3:11" ht="12.75" customHeight="1"/>
  </sheetData>
  <mergeCells count="7">
    <mergeCell ref="J333:K333"/>
    <mergeCell ref="C380:C381"/>
    <mergeCell ref="B1:I1"/>
    <mergeCell ref="B2:I2"/>
    <mergeCell ref="B7:B8"/>
    <mergeCell ref="C7:C8"/>
    <mergeCell ref="D7:D8"/>
  </mergeCells>
  <printOptions horizontalCentered="1"/>
  <pageMargins left="0.25" right="0.25" top="0.75" bottom="0.75" header="0.3" footer="0.3"/>
  <pageSetup scale="78" fitToHeight="0" orientation="portrait" r:id="rId1"/>
  <headerFooter>
    <oddFooter>&amp;C&amp;"Century Schoolbook,Normal"&amp;P</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8A12A-B6BB-4F92-9FED-5C4735C76C0C}">
  <sheetPr>
    <pageSetUpPr fitToPage="1"/>
  </sheetPr>
  <dimension ref="A1:F152"/>
  <sheetViews>
    <sheetView topLeftCell="A134" zoomScale="150" zoomScaleNormal="150" workbookViewId="0">
      <selection activeCell="C273" sqref="C273"/>
    </sheetView>
  </sheetViews>
  <sheetFormatPr baseColWidth="10" defaultColWidth="14.28515625" defaultRowHeight="12"/>
  <cols>
    <col min="1" max="1" width="0.7109375" style="4476" customWidth="1"/>
    <col min="2" max="2" width="19.28515625" style="4476" customWidth="1"/>
    <col min="3" max="3" width="50.85546875" style="4476" customWidth="1"/>
    <col min="4" max="4" width="17.7109375" style="4476" bestFit="1" customWidth="1"/>
    <col min="5" max="5" width="14.140625" style="4476" customWidth="1"/>
    <col min="6" max="6" width="17.140625" style="4476" bestFit="1" customWidth="1"/>
    <col min="7" max="16384" width="14.28515625" style="4476"/>
  </cols>
  <sheetData>
    <row r="1" spans="2:6" s="4475" customFormat="1" ht="18.75">
      <c r="B1" s="11406" t="s">
        <v>0</v>
      </c>
      <c r="C1" s="11406"/>
      <c r="D1" s="11406"/>
      <c r="E1" s="11406"/>
    </row>
    <row r="2" spans="2:6" s="4475" customFormat="1" ht="18.75">
      <c r="B2" s="11406" t="s">
        <v>6665</v>
      </c>
      <c r="C2" s="11406"/>
      <c r="D2" s="11406"/>
      <c r="E2" s="11406"/>
    </row>
    <row r="3" spans="2:6" s="4475" customFormat="1" ht="12.75" customHeight="1">
      <c r="B3" s="4474"/>
      <c r="C3" s="4474"/>
      <c r="D3" s="4474"/>
      <c r="E3" s="4474"/>
    </row>
    <row r="4" spans="2:6" ht="15">
      <c r="B4" s="4484" t="s">
        <v>6504</v>
      </c>
      <c r="C4" s="4485"/>
      <c r="D4" s="4475"/>
      <c r="E4" s="4475"/>
    </row>
    <row r="5" spans="2:6" ht="12.75">
      <c r="B5" s="4488" t="s">
        <v>7</v>
      </c>
      <c r="C5" s="4488" t="s">
        <v>6505</v>
      </c>
      <c r="D5" s="4489" t="s">
        <v>6678</v>
      </c>
      <c r="E5" s="4489" t="s">
        <v>6679</v>
      </c>
    </row>
    <row r="6" spans="2:6" ht="12.75">
      <c r="B6" s="4495" t="s">
        <v>6510</v>
      </c>
      <c r="C6" s="4496" t="s">
        <v>6511</v>
      </c>
      <c r="D6" s="4497"/>
      <c r="E6" s="4497"/>
    </row>
    <row r="7" spans="2:6" ht="12.75">
      <c r="B7" s="4483" t="s">
        <v>6512</v>
      </c>
      <c r="C7" s="4500" t="s">
        <v>3008</v>
      </c>
      <c r="D7" s="4497"/>
      <c r="E7" s="4497">
        <v>8686.24</v>
      </c>
    </row>
    <row r="8" spans="2:6" ht="12.75">
      <c r="B8" s="4483" t="s">
        <v>6528</v>
      </c>
      <c r="C8" s="4504" t="s">
        <v>3039</v>
      </c>
      <c r="D8" s="4497"/>
      <c r="E8" s="4497">
        <v>1000</v>
      </c>
    </row>
    <row r="9" spans="2:6" ht="12.75">
      <c r="B9" s="4483" t="s">
        <v>6687</v>
      </c>
      <c r="C9" s="4504" t="s">
        <v>3034</v>
      </c>
      <c r="D9" s="4497">
        <v>6678.75</v>
      </c>
      <c r="E9" s="4497"/>
    </row>
    <row r="10" spans="2:6" ht="12.75">
      <c r="B10" s="4483" t="s">
        <v>7201</v>
      </c>
      <c r="C10" s="4504" t="s">
        <v>3036</v>
      </c>
      <c r="D10" s="4497">
        <f>126488.63+23686.24</f>
        <v>150174.87</v>
      </c>
      <c r="E10" s="4497"/>
    </row>
    <row r="11" spans="2:6" ht="12.75">
      <c r="B11" s="4483" t="s">
        <v>6529</v>
      </c>
      <c r="C11" s="8722" t="s">
        <v>6688</v>
      </c>
      <c r="D11" s="4497">
        <v>1000</v>
      </c>
      <c r="E11" s="4497"/>
    </row>
    <row r="12" spans="2:6" ht="12.75">
      <c r="B12" s="4483" t="s">
        <v>7401</v>
      </c>
      <c r="C12" s="4504" t="s">
        <v>3053</v>
      </c>
      <c r="D12" s="4497">
        <v>53100</v>
      </c>
      <c r="E12" s="4497"/>
    </row>
    <row r="13" spans="2:6" ht="12.75">
      <c r="B13" s="4483" t="s">
        <v>6532</v>
      </c>
      <c r="C13" s="4504" t="s">
        <v>3775</v>
      </c>
      <c r="D13" s="4497">
        <v>5000</v>
      </c>
      <c r="E13" s="4497"/>
    </row>
    <row r="14" spans="2:6" ht="12.75">
      <c r="B14" s="4483" t="s">
        <v>6533</v>
      </c>
      <c r="C14" s="4504" t="s">
        <v>3778</v>
      </c>
      <c r="D14" s="8656">
        <v>16000</v>
      </c>
      <c r="E14" s="4497"/>
    </row>
    <row r="15" spans="2:6" ht="12.75">
      <c r="B15" s="4507" t="s">
        <v>5012</v>
      </c>
      <c r="C15" s="4504" t="s">
        <v>6692</v>
      </c>
      <c r="D15" s="4508">
        <v>1292.4000000000001</v>
      </c>
      <c r="E15" s="4497"/>
    </row>
    <row r="16" spans="2:6" ht="12.75">
      <c r="B16" s="4505" t="s">
        <v>5020</v>
      </c>
      <c r="C16" s="4504" t="s">
        <v>6692</v>
      </c>
      <c r="D16" s="4508">
        <v>5335.71</v>
      </c>
      <c r="E16" s="4497"/>
      <c r="F16" s="4503"/>
    </row>
    <row r="17" spans="2:6" ht="12.75">
      <c r="B17" s="4505" t="s">
        <v>6993</v>
      </c>
      <c r="C17" s="4504" t="s">
        <v>471</v>
      </c>
      <c r="D17" s="4508"/>
      <c r="E17" s="4497">
        <v>11732.14</v>
      </c>
    </row>
    <row r="18" spans="2:6" ht="12.75">
      <c r="B18" s="4483" t="s">
        <v>6540</v>
      </c>
      <c r="C18" s="4504" t="s">
        <v>2621</v>
      </c>
      <c r="D18" s="4508"/>
      <c r="E18" s="4497">
        <v>131300.82</v>
      </c>
    </row>
    <row r="19" spans="2:6" ht="12.75">
      <c r="B19" s="4507" t="s">
        <v>7202</v>
      </c>
      <c r="C19" s="4504" t="s">
        <v>7203</v>
      </c>
      <c r="D19" s="4508">
        <v>6300</v>
      </c>
      <c r="E19" s="8656"/>
    </row>
    <row r="20" spans="2:6" ht="12.75">
      <c r="B20" s="4483" t="s">
        <v>6694</v>
      </c>
      <c r="C20" s="4504" t="s">
        <v>841</v>
      </c>
      <c r="D20" s="4508">
        <v>2580</v>
      </c>
      <c r="E20" s="4497"/>
    </row>
    <row r="21" spans="2:6" ht="12.75">
      <c r="B21" s="4483" t="s">
        <v>6542</v>
      </c>
      <c r="C21" s="4504" t="s">
        <v>6695</v>
      </c>
      <c r="D21" s="4508"/>
      <c r="E21" s="4497">
        <v>7844.68</v>
      </c>
    </row>
    <row r="22" spans="2:6" ht="12.75">
      <c r="B22" s="4507" t="s">
        <v>6699</v>
      </c>
      <c r="C22" s="4504" t="s">
        <v>281</v>
      </c>
      <c r="D22" s="4497">
        <v>70203.710000000006</v>
      </c>
      <c r="E22" s="4497"/>
    </row>
    <row r="23" spans="2:6" ht="12.75">
      <c r="B23" s="4509" t="s">
        <v>6700</v>
      </c>
      <c r="C23" s="4504" t="s">
        <v>281</v>
      </c>
      <c r="D23" s="4497">
        <v>7543.88</v>
      </c>
      <c r="E23" s="4497"/>
    </row>
    <row r="24" spans="2:6" ht="12.75">
      <c r="B24" s="4483" t="s">
        <v>6701</v>
      </c>
      <c r="C24" s="4504" t="s">
        <v>281</v>
      </c>
      <c r="D24" s="4508">
        <v>81665.509999999995</v>
      </c>
      <c r="E24" s="4508"/>
      <c r="F24" s="4503"/>
    </row>
    <row r="25" spans="2:6" ht="12.75">
      <c r="B25" s="4483" t="s">
        <v>6702</v>
      </c>
      <c r="C25" s="4504" t="s">
        <v>6703</v>
      </c>
      <c r="D25" s="4497"/>
      <c r="E25" s="4497">
        <v>0.14000000000000001</v>
      </c>
    </row>
    <row r="26" spans="2:6" ht="12.75">
      <c r="B26" s="4483" t="s">
        <v>6550</v>
      </c>
      <c r="C26" s="4504" t="s">
        <v>3855</v>
      </c>
      <c r="D26" s="4497"/>
      <c r="E26" s="4497">
        <v>45.24</v>
      </c>
    </row>
    <row r="27" spans="2:6" ht="12.75">
      <c r="B27" s="4507" t="s">
        <v>7402</v>
      </c>
      <c r="C27" s="4504" t="s">
        <v>905</v>
      </c>
      <c r="D27" s="4508">
        <v>6300</v>
      </c>
      <c r="E27" s="4508"/>
    </row>
    <row r="28" spans="2:6" ht="12.75">
      <c r="B28" s="4483" t="s">
        <v>6553</v>
      </c>
      <c r="C28" s="4504" t="s">
        <v>2507</v>
      </c>
      <c r="D28" s="4508"/>
      <c r="E28" s="4508">
        <f>761.33+260</f>
        <v>1021.33</v>
      </c>
    </row>
    <row r="29" spans="2:6" ht="12.75">
      <c r="B29" s="4507" t="s">
        <v>6601</v>
      </c>
      <c r="C29" s="4504" t="s">
        <v>1360</v>
      </c>
      <c r="D29" s="4508"/>
      <c r="E29" s="4508">
        <v>1184.3999999999996</v>
      </c>
    </row>
    <row r="30" spans="2:6" ht="12.75">
      <c r="B30" s="4483" t="s">
        <v>6603</v>
      </c>
      <c r="C30" s="4504" t="s">
        <v>1360</v>
      </c>
      <c r="D30" s="4508">
        <v>5000</v>
      </c>
      <c r="E30" s="4508"/>
    </row>
    <row r="31" spans="2:6" ht="12.75">
      <c r="B31" s="4509" t="s">
        <v>5097</v>
      </c>
      <c r="C31" s="4504" t="s">
        <v>1665</v>
      </c>
      <c r="D31" s="4497"/>
      <c r="E31" s="4497">
        <v>267.86</v>
      </c>
    </row>
    <row r="32" spans="2:6" ht="12.75">
      <c r="B32" s="4483" t="s">
        <v>6556</v>
      </c>
      <c r="C32" s="4504" t="s">
        <v>148</v>
      </c>
      <c r="D32" s="4497"/>
      <c r="E32" s="4497">
        <v>2184</v>
      </c>
    </row>
    <row r="33" spans="2:6" ht="12.75">
      <c r="B33" s="4509" t="s">
        <v>6713</v>
      </c>
      <c r="C33" s="4504" t="s">
        <v>2003</v>
      </c>
      <c r="D33" s="4497"/>
      <c r="E33" s="4497">
        <v>388.64</v>
      </c>
    </row>
    <row r="34" spans="2:6" ht="12.75">
      <c r="B34" s="4483" t="s">
        <v>6561</v>
      </c>
      <c r="C34" s="4504" t="s">
        <v>3817</v>
      </c>
      <c r="D34" s="4497"/>
      <c r="E34" s="4497">
        <v>125.51</v>
      </c>
    </row>
    <row r="35" spans="2:6" ht="12.75">
      <c r="B35" s="4483" t="s">
        <v>6715</v>
      </c>
      <c r="C35" s="4504" t="s">
        <v>1006</v>
      </c>
      <c r="D35" s="4497">
        <v>6771.38</v>
      </c>
      <c r="E35" s="4497"/>
      <c r="F35" s="4503"/>
    </row>
    <row r="36" spans="2:6" ht="12.75">
      <c r="B36" s="4507" t="s">
        <v>6716</v>
      </c>
      <c r="C36" s="4504" t="s">
        <v>6717</v>
      </c>
      <c r="D36" s="4497">
        <v>600</v>
      </c>
      <c r="E36" s="4497"/>
    </row>
    <row r="37" spans="2:6" ht="12.75">
      <c r="B37" s="4483" t="s">
        <v>6718</v>
      </c>
      <c r="C37" s="4504" t="s">
        <v>6717</v>
      </c>
      <c r="D37" s="4508"/>
      <c r="E37" s="4508">
        <f>5877.89+4.55</f>
        <v>5882.4400000000005</v>
      </c>
    </row>
    <row r="38" spans="2:6" ht="12.75">
      <c r="B38" s="4483" t="s">
        <v>5375</v>
      </c>
      <c r="C38" s="4504" t="s">
        <v>1089</v>
      </c>
      <c r="D38" s="4508"/>
      <c r="E38" s="4508">
        <f>143.94+1567.94</f>
        <v>1711.88</v>
      </c>
    </row>
    <row r="39" spans="2:6" ht="12.75">
      <c r="B39" s="4507" t="s">
        <v>6608</v>
      </c>
      <c r="C39" s="4504" t="s">
        <v>2694</v>
      </c>
      <c r="D39" s="4508"/>
      <c r="E39" s="4508">
        <v>1206.51</v>
      </c>
    </row>
    <row r="40" spans="2:6" ht="12.75">
      <c r="B40" s="4483" t="s">
        <v>6565</v>
      </c>
      <c r="C40" s="4504" t="s">
        <v>2694</v>
      </c>
      <c r="D40" s="4508"/>
      <c r="E40" s="4508">
        <v>435.48</v>
      </c>
    </row>
    <row r="41" spans="2:6" ht="12.75">
      <c r="B41" s="4483" t="s">
        <v>6721</v>
      </c>
      <c r="C41" s="4504" t="s">
        <v>39</v>
      </c>
      <c r="D41" s="4508"/>
      <c r="E41" s="4508">
        <v>750.22</v>
      </c>
    </row>
    <row r="42" spans="2:6" ht="12.75">
      <c r="B42" s="4483" t="s">
        <v>6662</v>
      </c>
      <c r="C42" s="4504" t="s">
        <v>40</v>
      </c>
      <c r="D42" s="4508"/>
      <c r="E42" s="4508">
        <f>367.12+100.4</f>
        <v>467.52</v>
      </c>
    </row>
    <row r="43" spans="2:6" ht="12.75">
      <c r="B43" s="4483" t="s">
        <v>6572</v>
      </c>
      <c r="C43" s="4504" t="s">
        <v>6722</v>
      </c>
      <c r="D43" s="4508"/>
      <c r="E43" s="4508">
        <v>703.3</v>
      </c>
    </row>
    <row r="44" spans="2:6" ht="12.75">
      <c r="B44" s="4507" t="s">
        <v>6779</v>
      </c>
      <c r="C44" s="4504" t="s">
        <v>6726</v>
      </c>
      <c r="D44" s="4508">
        <v>4000</v>
      </c>
      <c r="E44" s="4508"/>
    </row>
    <row r="45" spans="2:6" ht="12.75">
      <c r="B45" s="4509" t="s">
        <v>6575</v>
      </c>
      <c r="C45" s="4504" t="s">
        <v>6726</v>
      </c>
      <c r="D45" s="4508">
        <v>22150</v>
      </c>
      <c r="E45" s="4508"/>
    </row>
    <row r="46" spans="2:6" ht="12.75">
      <c r="B46" s="4483" t="s">
        <v>6576</v>
      </c>
      <c r="C46" s="4504" t="s">
        <v>6726</v>
      </c>
      <c r="D46" s="4497">
        <v>46300</v>
      </c>
      <c r="E46" s="4497"/>
    </row>
    <row r="47" spans="2:6" ht="12.75">
      <c r="B47" s="4483" t="s">
        <v>6579</v>
      </c>
      <c r="C47" s="4504" t="s">
        <v>894</v>
      </c>
      <c r="D47" s="4497"/>
      <c r="E47" s="4497">
        <f>3058.67</f>
        <v>3058.67</v>
      </c>
    </row>
    <row r="48" spans="2:6" ht="12.75">
      <c r="B48" s="4509" t="s">
        <v>6580</v>
      </c>
      <c r="C48" s="4504" t="s">
        <v>3542</v>
      </c>
      <c r="D48" s="4497"/>
      <c r="E48" s="4497">
        <v>70</v>
      </c>
    </row>
    <row r="49" spans="2:6" ht="12.75">
      <c r="B49" s="4483" t="s">
        <v>6727</v>
      </c>
      <c r="C49" s="4504" t="s">
        <v>419</v>
      </c>
      <c r="D49" s="4497">
        <v>2000</v>
      </c>
      <c r="E49" s="4497"/>
    </row>
    <row r="50" spans="2:6" ht="12.75">
      <c r="B50" s="4483" t="s">
        <v>7403</v>
      </c>
      <c r="C50" s="4504" t="s">
        <v>7404</v>
      </c>
      <c r="D50" s="4508">
        <f>3440+1560</f>
        <v>5000</v>
      </c>
      <c r="E50" s="4508"/>
    </row>
    <row r="51" spans="2:6" ht="12.75">
      <c r="B51" s="4483" t="s">
        <v>6732</v>
      </c>
      <c r="C51" s="4504" t="s">
        <v>3462</v>
      </c>
      <c r="D51" s="4497">
        <v>1000</v>
      </c>
      <c r="E51" s="4497"/>
    </row>
    <row r="52" spans="2:6" ht="12.75">
      <c r="B52" s="4507" t="s">
        <v>6582</v>
      </c>
      <c r="C52" s="4504" t="s">
        <v>3079</v>
      </c>
      <c r="D52" s="4497"/>
      <c r="E52" s="4497">
        <v>57978.12</v>
      </c>
    </row>
    <row r="53" spans="2:6" ht="12.75">
      <c r="B53" s="4512" t="s">
        <v>6734</v>
      </c>
      <c r="C53" s="4504" t="s">
        <v>3034</v>
      </c>
      <c r="D53" s="4497">
        <v>10271.700000000001</v>
      </c>
      <c r="E53" s="4497"/>
    </row>
    <row r="54" spans="2:6" ht="12.75">
      <c r="B54" s="4512" t="s">
        <v>6735</v>
      </c>
      <c r="C54" s="4504" t="s">
        <v>3036</v>
      </c>
      <c r="D54" s="4522"/>
      <c r="E54" s="4497">
        <v>10271.700000000001</v>
      </c>
    </row>
    <row r="55" spans="2:6" ht="12.75">
      <c r="B55" s="4512" t="s">
        <v>7405</v>
      </c>
      <c r="C55" s="4504" t="s">
        <v>3036</v>
      </c>
      <c r="D55" s="8725">
        <f>68673.74+50050.95-23686.24</f>
        <v>95038.45</v>
      </c>
      <c r="E55" s="4497"/>
    </row>
    <row r="56" spans="2:6" ht="12.75">
      <c r="B56" s="4507" t="s">
        <v>7344</v>
      </c>
      <c r="C56" s="4504" t="s">
        <v>3036</v>
      </c>
      <c r="D56" s="8725">
        <v>212400</v>
      </c>
      <c r="E56" s="4497"/>
    </row>
    <row r="57" spans="2:6" ht="12.75">
      <c r="B57" s="4507" t="s">
        <v>6737</v>
      </c>
      <c r="C57" s="4504" t="s">
        <v>671</v>
      </c>
      <c r="D57" s="4497">
        <f>2878.5-2520</f>
        <v>358.5</v>
      </c>
      <c r="E57" s="4497"/>
    </row>
    <row r="58" spans="2:6" ht="12.75">
      <c r="B58" s="4509" t="s">
        <v>6738</v>
      </c>
      <c r="C58" s="4504" t="s">
        <v>671</v>
      </c>
      <c r="D58" s="4497">
        <v>388.97</v>
      </c>
      <c r="E58" s="4497"/>
    </row>
    <row r="59" spans="2:6" ht="12.75">
      <c r="B59" s="4483" t="s">
        <v>5694</v>
      </c>
      <c r="C59" s="4504" t="s">
        <v>671</v>
      </c>
      <c r="D59" s="4497"/>
      <c r="E59" s="4497">
        <v>1737.73</v>
      </c>
    </row>
    <row r="60" spans="2:6" ht="12.75">
      <c r="B60" s="4512" t="s">
        <v>7406</v>
      </c>
      <c r="C60" s="4504" t="s">
        <v>671</v>
      </c>
      <c r="D60" s="4497">
        <v>770.34</v>
      </c>
      <c r="E60" s="4497"/>
    </row>
    <row r="61" spans="2:6" ht="12.75">
      <c r="B61" s="4509" t="s">
        <v>5252</v>
      </c>
      <c r="C61" s="4504" t="s">
        <v>39</v>
      </c>
      <c r="D61" s="4497">
        <v>5</v>
      </c>
      <c r="E61" s="4497"/>
      <c r="F61" s="4503"/>
    </row>
    <row r="62" spans="2:6" ht="12.75">
      <c r="B62" s="4483" t="s">
        <v>5283</v>
      </c>
      <c r="C62" s="4504" t="s">
        <v>39</v>
      </c>
      <c r="D62" s="4497"/>
      <c r="E62" s="4497">
        <f>4565.08+5548.8+1466.4+738</f>
        <v>12318.28</v>
      </c>
    </row>
    <row r="63" spans="2:6" ht="12.75">
      <c r="B63" s="4512" t="s">
        <v>6739</v>
      </c>
      <c r="C63" s="4504" t="s">
        <v>39</v>
      </c>
      <c r="D63" s="4513"/>
      <c r="E63" s="4497">
        <v>8579.64</v>
      </c>
    </row>
    <row r="64" spans="2:6" ht="12.75">
      <c r="B64" s="4509" t="s">
        <v>6743</v>
      </c>
      <c r="C64" s="4504" t="s">
        <v>40</v>
      </c>
      <c r="D64" s="4497">
        <f>700+180</f>
        <v>880</v>
      </c>
      <c r="E64" s="4497"/>
    </row>
    <row r="65" spans="2:5" ht="12.75">
      <c r="B65" s="4517" t="s">
        <v>6744</v>
      </c>
      <c r="C65" s="4504" t="s">
        <v>40</v>
      </c>
      <c r="D65" s="4513"/>
      <c r="E65" s="4497">
        <v>18470.34</v>
      </c>
    </row>
    <row r="66" spans="2:5" ht="12.75">
      <c r="B66" s="4507" t="s">
        <v>7407</v>
      </c>
      <c r="C66" s="4504" t="s">
        <v>822</v>
      </c>
      <c r="D66" s="4513">
        <v>2520</v>
      </c>
      <c r="E66" s="4497"/>
    </row>
    <row r="67" spans="2:5" ht="12.75">
      <c r="B67" s="4483" t="s">
        <v>6745</v>
      </c>
      <c r="C67" s="8722" t="s">
        <v>6746</v>
      </c>
      <c r="D67" s="4508">
        <v>1000</v>
      </c>
      <c r="E67" s="4508"/>
    </row>
    <row r="68" spans="2:5" ht="12.75">
      <c r="B68" s="4504"/>
      <c r="C68" s="4518" t="s">
        <v>6587</v>
      </c>
      <c r="D68" s="1537">
        <f>SUM(D7:D67)</f>
        <v>829629.16999999993</v>
      </c>
      <c r="E68" s="1537">
        <f>SUM(E7:E67)</f>
        <v>289422.83000000007</v>
      </c>
    </row>
    <row r="69" spans="2:5" ht="12.75">
      <c r="B69" s="1539"/>
      <c r="C69" s="1539"/>
      <c r="D69" s="1541"/>
      <c r="E69" s="1542"/>
    </row>
    <row r="70" spans="2:5" ht="12.75">
      <c r="B70" s="1539"/>
      <c r="C70" s="1539"/>
      <c r="D70" s="1545"/>
      <c r="E70" s="8658"/>
    </row>
    <row r="71" spans="2:5" ht="12.75">
      <c r="B71" s="4488" t="s">
        <v>7</v>
      </c>
      <c r="C71" s="4488" t="s">
        <v>6505</v>
      </c>
      <c r="D71" s="4489" t="s">
        <v>6678</v>
      </c>
      <c r="E71" s="4489" t="s">
        <v>6679</v>
      </c>
    </row>
    <row r="72" spans="2:5" ht="12.75">
      <c r="B72" s="4520" t="s">
        <v>6758</v>
      </c>
      <c r="C72" s="4521" t="s">
        <v>6759</v>
      </c>
      <c r="D72" s="4522"/>
      <c r="E72" s="4522"/>
    </row>
    <row r="73" spans="2:5" ht="12.75">
      <c r="B73" s="4483" t="s">
        <v>6593</v>
      </c>
      <c r="C73" s="4504" t="s">
        <v>6750</v>
      </c>
      <c r="D73" s="4497"/>
      <c r="E73" s="4508">
        <v>150000</v>
      </c>
    </row>
    <row r="74" spans="2:5" ht="12.75">
      <c r="B74" s="4483" t="s">
        <v>6527</v>
      </c>
      <c r="C74" s="4504" t="s">
        <v>3032</v>
      </c>
      <c r="D74" s="4497"/>
      <c r="E74" s="4508">
        <v>15000</v>
      </c>
    </row>
    <row r="75" spans="2:5" ht="12.75">
      <c r="B75" s="4483" t="s">
        <v>6528</v>
      </c>
      <c r="C75" s="4504" t="s">
        <v>3039</v>
      </c>
      <c r="D75" s="4497"/>
      <c r="E75" s="4508">
        <f>4000+36267.38</f>
        <v>40267.379999999997</v>
      </c>
    </row>
    <row r="76" spans="2:5" ht="12.75">
      <c r="B76" s="4483" t="s">
        <v>6529</v>
      </c>
      <c r="C76" s="4504" t="s">
        <v>6761</v>
      </c>
      <c r="D76" s="4497">
        <v>4000</v>
      </c>
      <c r="E76" s="4508"/>
    </row>
    <row r="77" spans="2:5" ht="12.75">
      <c r="B77" s="4507" t="s">
        <v>6765</v>
      </c>
      <c r="C77" s="4504" t="s">
        <v>471</v>
      </c>
      <c r="D77" s="4497"/>
      <c r="E77" s="4508">
        <v>300</v>
      </c>
    </row>
    <row r="78" spans="2:5" ht="12.75">
      <c r="B78" s="4507" t="s">
        <v>6699</v>
      </c>
      <c r="C78" s="4500" t="s">
        <v>281</v>
      </c>
      <c r="D78" s="4508"/>
      <c r="E78" s="4508">
        <v>18165.650000000001</v>
      </c>
    </row>
    <row r="79" spans="2:5" ht="12.75">
      <c r="B79" s="4483" t="s">
        <v>6701</v>
      </c>
      <c r="C79" s="4504" t="s">
        <v>281</v>
      </c>
      <c r="D79" s="4497"/>
      <c r="E79" s="4508">
        <f>607.17+345.47</f>
        <v>952.64</v>
      </c>
    </row>
    <row r="80" spans="2:5" ht="12.75">
      <c r="B80" s="4507" t="s">
        <v>6704</v>
      </c>
      <c r="C80" s="4504" t="s">
        <v>505</v>
      </c>
      <c r="D80" s="4497"/>
      <c r="E80" s="4508">
        <v>128</v>
      </c>
    </row>
    <row r="81" spans="2:5" ht="12.75">
      <c r="B81" s="4483" t="s">
        <v>6708</v>
      </c>
      <c r="C81" s="4504" t="s">
        <v>6709</v>
      </c>
      <c r="D81" s="4508"/>
      <c r="E81" s="4497">
        <v>45000.55</v>
      </c>
    </row>
    <row r="82" spans="2:5" ht="12.75">
      <c r="B82" s="4507" t="s">
        <v>6600</v>
      </c>
      <c r="C82" s="4504" t="s">
        <v>6752</v>
      </c>
      <c r="D82" s="4497"/>
      <c r="E82" s="4497">
        <v>4000</v>
      </c>
    </row>
    <row r="83" spans="2:5" ht="12.75">
      <c r="B83" s="4507" t="s">
        <v>6772</v>
      </c>
      <c r="C83" s="4504" t="s">
        <v>148</v>
      </c>
      <c r="D83" s="4497"/>
      <c r="E83" s="4497">
        <v>500.27</v>
      </c>
    </row>
    <row r="84" spans="2:5" ht="12.75">
      <c r="B84" s="4483" t="s">
        <v>4833</v>
      </c>
      <c r="C84" s="8724" t="s">
        <v>591</v>
      </c>
      <c r="D84" s="4497"/>
      <c r="E84" s="4497">
        <v>151.44999999999999</v>
      </c>
    </row>
    <row r="85" spans="2:5" ht="12.75">
      <c r="B85" s="4507" t="s">
        <v>6613</v>
      </c>
      <c r="C85" s="4504" t="s">
        <v>4206</v>
      </c>
      <c r="D85" s="4497"/>
      <c r="E85" s="4497">
        <v>200</v>
      </c>
    </row>
    <row r="86" spans="2:5" ht="12.75">
      <c r="B86" s="4507" t="s">
        <v>6577</v>
      </c>
      <c r="C86" s="4504" t="s">
        <v>894</v>
      </c>
      <c r="D86" s="4497"/>
      <c r="E86" s="4497">
        <v>718.22</v>
      </c>
    </row>
    <row r="87" spans="2:5" ht="12.75">
      <c r="B87" s="4512" t="s">
        <v>6781</v>
      </c>
      <c r="C87" s="4504" t="s">
        <v>281</v>
      </c>
      <c r="D87" s="4497"/>
      <c r="E87" s="4497">
        <f>6428.54-3161.83</f>
        <v>3266.71</v>
      </c>
    </row>
    <row r="88" spans="2:5" ht="12.75">
      <c r="B88" s="4507" t="s">
        <v>7349</v>
      </c>
      <c r="C88" s="4504" t="s">
        <v>7208</v>
      </c>
      <c r="D88" s="4508"/>
      <c r="E88" s="4508">
        <v>67590.19</v>
      </c>
    </row>
    <row r="89" spans="2:5" ht="12.75">
      <c r="B89" s="4483" t="s">
        <v>5694</v>
      </c>
      <c r="C89" s="4504" t="s">
        <v>671</v>
      </c>
      <c r="D89" s="4497"/>
      <c r="E89" s="4508">
        <v>1866.56</v>
      </c>
    </row>
    <row r="90" spans="2:5" ht="12.75">
      <c r="B90" s="4483" t="s">
        <v>5283</v>
      </c>
      <c r="C90" s="4504" t="s">
        <v>39</v>
      </c>
      <c r="D90" s="4522"/>
      <c r="E90" s="4508">
        <v>117.6</v>
      </c>
    </row>
    <row r="91" spans="2:5" ht="12.75">
      <c r="B91" s="4512" t="s">
        <v>6784</v>
      </c>
      <c r="C91" s="4504" t="s">
        <v>39</v>
      </c>
      <c r="D91" s="4497"/>
      <c r="E91" s="4508">
        <v>13541.15</v>
      </c>
    </row>
    <row r="92" spans="2:5" ht="12.75">
      <c r="B92" s="4483" t="s">
        <v>4825</v>
      </c>
      <c r="C92" s="4504" t="s">
        <v>40</v>
      </c>
      <c r="D92" s="4497"/>
      <c r="E92" s="4508">
        <f>422.75-146.08</f>
        <v>276.66999999999996</v>
      </c>
    </row>
    <row r="93" spans="2:5" ht="12.75">
      <c r="B93" s="4507" t="s">
        <v>7209</v>
      </c>
      <c r="C93" s="4504" t="s">
        <v>5812</v>
      </c>
      <c r="D93" s="4508"/>
      <c r="E93" s="4497">
        <v>40307.589999999997</v>
      </c>
    </row>
    <row r="94" spans="2:5" ht="12.75">
      <c r="B94" s="4483" t="s">
        <v>6745</v>
      </c>
      <c r="C94" s="4504" t="s">
        <v>6746</v>
      </c>
      <c r="D94" s="4497">
        <f>23000-1848+15000</f>
        <v>36152</v>
      </c>
      <c r="E94" s="4497"/>
    </row>
    <row r="95" spans="2:5" ht="12.75">
      <c r="B95" s="4524"/>
      <c r="C95" s="4518" t="s">
        <v>6787</v>
      </c>
      <c r="D95" s="1538">
        <f>SUM(D73:D94)</f>
        <v>40152</v>
      </c>
      <c r="E95" s="1538">
        <f>SUM(E73:E94)</f>
        <v>402350.63</v>
      </c>
    </row>
    <row r="96" spans="2:5" ht="12.75">
      <c r="B96" s="4525"/>
      <c r="C96" s="4526"/>
      <c r="D96" s="4503"/>
      <c r="E96" s="1539"/>
    </row>
    <row r="97" spans="2:6" ht="12.75">
      <c r="B97" s="4527"/>
      <c r="C97" s="4527"/>
      <c r="E97" s="1539"/>
    </row>
    <row r="98" spans="2:6" ht="12.75">
      <c r="B98" s="4528" t="s">
        <v>7</v>
      </c>
      <c r="C98" s="4528" t="s">
        <v>6505</v>
      </c>
      <c r="D98" s="4489" t="s">
        <v>6678</v>
      </c>
      <c r="E98" s="4489" t="s">
        <v>6679</v>
      </c>
    </row>
    <row r="99" spans="2:6" ht="12.75">
      <c r="B99" s="4530" t="s">
        <v>6616</v>
      </c>
      <c r="C99" s="4531" t="s">
        <v>6617</v>
      </c>
      <c r="D99" s="4522"/>
      <c r="E99" s="4522"/>
    </row>
    <row r="100" spans="2:6" ht="12.75">
      <c r="B100" s="4507" t="s">
        <v>5012</v>
      </c>
      <c r="C100" s="4504" t="s">
        <v>6791</v>
      </c>
      <c r="D100" s="4497"/>
      <c r="E100" s="4497">
        <v>4212.42</v>
      </c>
    </row>
    <row r="101" spans="2:6" ht="12.75">
      <c r="B101" s="4509" t="s">
        <v>6766</v>
      </c>
      <c r="C101" s="4504" t="s">
        <v>7408</v>
      </c>
      <c r="D101" s="4497">
        <v>1500</v>
      </c>
      <c r="E101" s="4497"/>
    </row>
    <row r="102" spans="2:6" ht="12.75">
      <c r="B102" s="4483" t="s">
        <v>6543</v>
      </c>
      <c r="C102" s="4504" t="s">
        <v>6796</v>
      </c>
      <c r="D102" s="4497"/>
      <c r="E102" s="4497">
        <v>500</v>
      </c>
    </row>
    <row r="103" spans="2:6" ht="12.75">
      <c r="B103" s="4483" t="s">
        <v>6544</v>
      </c>
      <c r="C103" s="4504" t="s">
        <v>1301</v>
      </c>
      <c r="D103" s="4497"/>
      <c r="E103" s="4497">
        <v>48.13</v>
      </c>
    </row>
    <row r="104" spans="2:6" ht="12.75">
      <c r="B104" s="4507" t="s">
        <v>6621</v>
      </c>
      <c r="C104" s="4504" t="s">
        <v>29</v>
      </c>
      <c r="D104" s="4497">
        <v>800</v>
      </c>
      <c r="E104" s="4497"/>
    </row>
    <row r="105" spans="2:6" ht="12.75">
      <c r="B105" s="4483" t="s">
        <v>6706</v>
      </c>
      <c r="C105" s="4504" t="s">
        <v>505</v>
      </c>
      <c r="D105" s="4497"/>
      <c r="E105" s="4497">
        <f>1320+3696+800+448</f>
        <v>6264</v>
      </c>
    </row>
    <row r="106" spans="2:6" ht="12.75">
      <c r="B106" s="4509" t="s">
        <v>6624</v>
      </c>
      <c r="C106" s="4504" t="s">
        <v>6752</v>
      </c>
      <c r="E106" s="4497">
        <v>5100</v>
      </c>
    </row>
    <row r="107" spans="2:6" ht="12.75">
      <c r="B107" s="4509" t="s">
        <v>5097</v>
      </c>
      <c r="C107" s="4504" t="s">
        <v>1665</v>
      </c>
      <c r="D107" s="4508"/>
      <c r="E107" s="4508">
        <v>1624</v>
      </c>
      <c r="F107" s="4503"/>
    </row>
    <row r="108" spans="2:6" ht="12.75">
      <c r="B108" s="4507" t="s">
        <v>6801</v>
      </c>
      <c r="C108" s="4504" t="s">
        <v>6802</v>
      </c>
      <c r="D108" s="4497"/>
      <c r="E108" s="4497">
        <v>56</v>
      </c>
    </row>
    <row r="109" spans="2:6" ht="12.75">
      <c r="B109" s="4507" t="s">
        <v>5396</v>
      </c>
      <c r="C109" s="4504" t="s">
        <v>1089</v>
      </c>
      <c r="D109" s="4497">
        <v>56</v>
      </c>
      <c r="E109" s="4497"/>
    </row>
    <row r="110" spans="2:6" ht="12.75">
      <c r="B110" s="4483" t="s">
        <v>5375</v>
      </c>
      <c r="C110" s="4504" t="s">
        <v>1089</v>
      </c>
      <c r="D110" s="4497">
        <v>318.18</v>
      </c>
      <c r="E110" s="4497"/>
    </row>
    <row r="111" spans="2:6" ht="12.75">
      <c r="B111" s="4483" t="s">
        <v>6808</v>
      </c>
      <c r="C111" s="4504" t="s">
        <v>4141</v>
      </c>
      <c r="D111" s="4497"/>
      <c r="E111" s="4497">
        <v>318.18</v>
      </c>
    </row>
    <row r="112" spans="2:6" ht="12.75">
      <c r="B112" s="4483" t="s">
        <v>6630</v>
      </c>
      <c r="C112" s="4504" t="s">
        <v>4443</v>
      </c>
      <c r="D112" s="4497"/>
      <c r="E112" s="4497">
        <v>20.89</v>
      </c>
    </row>
    <row r="113" spans="1:6" s="4533" customFormat="1" ht="12.75">
      <c r="B113" s="4509" t="s">
        <v>5257</v>
      </c>
      <c r="C113" s="4504" t="s">
        <v>1667</v>
      </c>
      <c r="D113" s="4497"/>
      <c r="E113" s="4497">
        <f>364.76+2137+49.41+10477</f>
        <v>13028.17</v>
      </c>
    </row>
    <row r="114" spans="1:6" s="4533" customFormat="1" ht="12.75">
      <c r="B114" s="4509" t="s">
        <v>6659</v>
      </c>
      <c r="C114" s="4504" t="s">
        <v>591</v>
      </c>
      <c r="D114" s="4497">
        <v>371.76</v>
      </c>
      <c r="E114" s="4497"/>
    </row>
    <row r="115" spans="1:6" s="4533" customFormat="1" ht="12.75">
      <c r="B115" s="4509" t="s">
        <v>6660</v>
      </c>
      <c r="C115" s="4504" t="s">
        <v>39</v>
      </c>
      <c r="D115" s="4497"/>
      <c r="E115" s="4497">
        <v>67.2</v>
      </c>
    </row>
    <row r="116" spans="1:6" ht="12.75">
      <c r="A116" s="4533"/>
      <c r="B116" s="4509" t="s">
        <v>5399</v>
      </c>
      <c r="C116" s="4504" t="s">
        <v>4163</v>
      </c>
      <c r="D116" s="4497"/>
      <c r="E116" s="4497">
        <v>39.200000000000003</v>
      </c>
    </row>
    <row r="117" spans="1:6" ht="12.75">
      <c r="A117" s="4533"/>
      <c r="B117" s="4507" t="s">
        <v>4835</v>
      </c>
      <c r="C117" s="4504" t="s">
        <v>40</v>
      </c>
      <c r="D117" s="4497"/>
      <c r="E117" s="4497">
        <v>902.52</v>
      </c>
    </row>
    <row r="118" spans="1:6" ht="12.75">
      <c r="B118" s="4509" t="s">
        <v>6815</v>
      </c>
      <c r="C118" s="4504" t="s">
        <v>37</v>
      </c>
      <c r="D118" s="4497"/>
      <c r="E118" s="4497">
        <v>3500</v>
      </c>
    </row>
    <row r="119" spans="1:6" ht="12.75">
      <c r="B119" s="4509" t="s">
        <v>6738</v>
      </c>
      <c r="C119" s="4504" t="s">
        <v>591</v>
      </c>
      <c r="D119" s="4497">
        <v>550</v>
      </c>
      <c r="E119" s="4514"/>
    </row>
    <row r="120" spans="1:6" ht="12.75">
      <c r="B120" s="4507" t="s">
        <v>5717</v>
      </c>
      <c r="C120" s="4504" t="s">
        <v>39</v>
      </c>
      <c r="D120" s="4497">
        <v>37470.85</v>
      </c>
      <c r="E120" s="4508"/>
      <c r="F120" s="4503"/>
    </row>
    <row r="121" spans="1:6" ht="12.75">
      <c r="B121" s="4507" t="s">
        <v>6822</v>
      </c>
      <c r="C121" s="4504" t="s">
        <v>39</v>
      </c>
      <c r="D121" s="4497"/>
      <c r="E121" s="4508">
        <v>107884.25</v>
      </c>
    </row>
    <row r="122" spans="1:6" ht="13.5" customHeight="1">
      <c r="B122" s="4509" t="s">
        <v>5252</v>
      </c>
      <c r="C122" s="4504" t="s">
        <v>39</v>
      </c>
      <c r="D122" s="4497">
        <v>11800</v>
      </c>
      <c r="E122" s="4508"/>
    </row>
    <row r="123" spans="1:6" ht="12.75">
      <c r="B123" s="4483" t="s">
        <v>5283</v>
      </c>
      <c r="C123" s="4504" t="s">
        <v>39</v>
      </c>
      <c r="D123" s="4513"/>
      <c r="E123" s="4508">
        <v>9903.5800000000017</v>
      </c>
      <c r="F123" s="4503"/>
    </row>
    <row r="124" spans="1:6" ht="12.75">
      <c r="B124" s="4512" t="s">
        <v>7409</v>
      </c>
      <c r="C124" s="4504" t="s">
        <v>39</v>
      </c>
      <c r="D124" s="4513">
        <v>17700</v>
      </c>
      <c r="E124" s="4508"/>
    </row>
    <row r="125" spans="1:6" ht="12.75">
      <c r="B125" s="4507" t="s">
        <v>6823</v>
      </c>
      <c r="C125" s="4504" t="s">
        <v>40</v>
      </c>
      <c r="D125" s="4497"/>
      <c r="E125" s="4508">
        <v>36925.56</v>
      </c>
    </row>
    <row r="126" spans="1:6" ht="13.5" customHeight="1">
      <c r="B126" s="4509" t="s">
        <v>6743</v>
      </c>
      <c r="C126" s="4504" t="s">
        <v>40</v>
      </c>
      <c r="D126" s="4497"/>
      <c r="E126" s="4508">
        <v>13537.8</v>
      </c>
    </row>
    <row r="127" spans="1:6" ht="12.75">
      <c r="B127" s="4483" t="s">
        <v>4825</v>
      </c>
      <c r="C127" s="4504" t="s">
        <v>40</v>
      </c>
      <c r="D127" s="4508">
        <v>29509.4</v>
      </c>
      <c r="E127" s="4508"/>
      <c r="F127" s="4503"/>
    </row>
    <row r="128" spans="1:6" ht="12.75">
      <c r="B128" s="4524"/>
      <c r="C128" s="4518" t="s">
        <v>6636</v>
      </c>
      <c r="D128" s="1537">
        <f>SUM(D100:D127)</f>
        <v>100076.19</v>
      </c>
      <c r="E128" s="1537">
        <f>SUM(E100:E127)</f>
        <v>203931.90000000002</v>
      </c>
    </row>
    <row r="129" spans="1:5" ht="12.75">
      <c r="B129" s="4538"/>
      <c r="C129" s="4539"/>
      <c r="D129" s="1567"/>
      <c r="E129" s="1567"/>
    </row>
    <row r="130" spans="1:5" ht="12.75">
      <c r="B130" s="4541"/>
      <c r="C130" s="4539"/>
      <c r="D130" s="1567"/>
      <c r="E130" s="1567"/>
    </row>
    <row r="131" spans="1:5" ht="12.75">
      <c r="B131" s="4528" t="s">
        <v>7</v>
      </c>
      <c r="C131" s="4528" t="s">
        <v>6505</v>
      </c>
      <c r="D131" s="4489" t="s">
        <v>6678</v>
      </c>
      <c r="E131" s="4489" t="s">
        <v>6679</v>
      </c>
    </row>
    <row r="132" spans="1:5" ht="12.75">
      <c r="B132" s="4530" t="s">
        <v>6637</v>
      </c>
      <c r="C132" s="4531" t="s">
        <v>6638</v>
      </c>
      <c r="D132" s="4522"/>
      <c r="E132" s="4522"/>
    </row>
    <row r="133" spans="1:5" ht="12.75">
      <c r="B133" s="4509" t="s">
        <v>6766</v>
      </c>
      <c r="C133" s="4504" t="s">
        <v>6826</v>
      </c>
      <c r="D133" s="4497"/>
      <c r="E133" s="4497">
        <v>277.91000000000003</v>
      </c>
    </row>
    <row r="134" spans="1:5" ht="12.75">
      <c r="B134" s="4509" t="s">
        <v>6754</v>
      </c>
      <c r="C134" s="4542" t="s">
        <v>1006</v>
      </c>
      <c r="D134" s="4497"/>
      <c r="E134" s="4497">
        <v>896.23</v>
      </c>
    </row>
    <row r="135" spans="1:5" ht="12.75">
      <c r="B135" s="4509" t="s">
        <v>6657</v>
      </c>
      <c r="C135" s="4542" t="s">
        <v>1089</v>
      </c>
      <c r="D135" s="4513">
        <v>871.76</v>
      </c>
      <c r="E135" s="4497"/>
    </row>
    <row r="136" spans="1:5" ht="12.75">
      <c r="B136" s="4509" t="s">
        <v>6830</v>
      </c>
      <c r="C136" s="4542" t="s">
        <v>4141</v>
      </c>
      <c r="D136" s="4497"/>
      <c r="E136" s="4497">
        <v>162.4</v>
      </c>
    </row>
    <row r="137" spans="1:5" ht="12.75">
      <c r="B137" s="4509" t="s">
        <v>6809</v>
      </c>
      <c r="C137" s="4542" t="s">
        <v>6831</v>
      </c>
      <c r="D137" s="4497"/>
      <c r="E137" s="4497">
        <v>619.36</v>
      </c>
    </row>
    <row r="138" spans="1:5" ht="12.75">
      <c r="B138" s="4512" t="s">
        <v>7352</v>
      </c>
      <c r="C138" s="4500" t="s">
        <v>761</v>
      </c>
      <c r="D138" s="4497"/>
      <c r="E138" s="4497">
        <v>69650.95</v>
      </c>
    </row>
    <row r="139" spans="1:5" ht="12.75">
      <c r="B139" s="4509" t="s">
        <v>6738</v>
      </c>
      <c r="C139" s="4542" t="s">
        <v>671</v>
      </c>
      <c r="D139" s="4513"/>
      <c r="E139" s="4497">
        <v>86.17</v>
      </c>
    </row>
    <row r="140" spans="1:5" ht="12.75">
      <c r="B140" s="4483" t="s">
        <v>5694</v>
      </c>
      <c r="C140" s="4542" t="s">
        <v>671</v>
      </c>
      <c r="D140" s="4513"/>
      <c r="E140" s="4497">
        <f>552.42+236.56</f>
        <v>788.98</v>
      </c>
    </row>
    <row r="141" spans="1:5" ht="12.75">
      <c r="B141" s="4507" t="s">
        <v>5717</v>
      </c>
      <c r="C141" s="4504" t="s">
        <v>39</v>
      </c>
      <c r="D141" s="4513"/>
      <c r="E141" s="4497">
        <v>41.76</v>
      </c>
    </row>
    <row r="142" spans="1:5" ht="12.75">
      <c r="B142" s="4483" t="s">
        <v>5283</v>
      </c>
      <c r="C142" s="4504" t="s">
        <v>39</v>
      </c>
      <c r="D142" s="4513"/>
      <c r="E142" s="4497">
        <v>1207</v>
      </c>
    </row>
    <row r="143" spans="1:5" ht="12.75">
      <c r="B143" s="4483" t="s">
        <v>4825</v>
      </c>
      <c r="C143" s="4504" t="s">
        <v>40</v>
      </c>
      <c r="D143" s="4497"/>
      <c r="E143" s="4497">
        <v>1293</v>
      </c>
    </row>
    <row r="144" spans="1:5" s="4475" customFormat="1" ht="12.75">
      <c r="A144" s="4476"/>
      <c r="B144" s="4524"/>
      <c r="C144" s="4543" t="s">
        <v>6832</v>
      </c>
      <c r="D144" s="1537">
        <f>SUM(D133:D143)</f>
        <v>871.76</v>
      </c>
      <c r="E144" s="1537">
        <f>SUM(E133:E143)</f>
        <v>75023.75999999998</v>
      </c>
    </row>
    <row r="145" spans="1:5" s="4475" customFormat="1" ht="12.75">
      <c r="A145" s="4476"/>
      <c r="B145" s="4544"/>
      <c r="C145" s="4518" t="s">
        <v>6833</v>
      </c>
      <c r="D145" s="4506">
        <f>+D68+D95+D128+D144</f>
        <v>970729.11999999988</v>
      </c>
      <c r="E145" s="4506">
        <f>+E68+E95+E128+E144</f>
        <v>970729.12000000011</v>
      </c>
    </row>
    <row r="146" spans="1:5" s="4475" customFormat="1" ht="12.75">
      <c r="A146" s="4476"/>
      <c r="B146" s="4476"/>
      <c r="C146" s="4546"/>
      <c r="D146" s="4547"/>
      <c r="E146" s="4547"/>
    </row>
    <row r="147" spans="1:5" s="4475" customFormat="1" ht="12.75">
      <c r="A147" s="4476"/>
      <c r="B147" s="4548"/>
      <c r="C147" s="4548"/>
      <c r="D147" s="4549"/>
      <c r="E147" s="1584" t="s">
        <v>7410</v>
      </c>
    </row>
    <row r="148" spans="1:5" s="4475" customFormat="1" ht="12.75">
      <c r="A148" s="4476"/>
      <c r="B148" s="4548"/>
      <c r="C148" s="4548"/>
      <c r="D148" s="4549"/>
      <c r="E148" s="4549"/>
    </row>
    <row r="149" spans="1:5" s="4475" customFormat="1" ht="12.75">
      <c r="A149" s="4476"/>
      <c r="B149" s="4548"/>
      <c r="C149" s="4548"/>
      <c r="D149" s="4549"/>
      <c r="E149" s="4548"/>
    </row>
    <row r="150" spans="1:5" s="4475" customFormat="1" ht="12.75">
      <c r="A150" s="4476"/>
      <c r="B150" s="4548" t="s">
        <v>6835</v>
      </c>
      <c r="C150" s="4549"/>
      <c r="E150" s="4548"/>
    </row>
    <row r="151" spans="1:5" ht="12.75">
      <c r="B151" s="4548" t="s">
        <v>6836</v>
      </c>
      <c r="C151" s="4552"/>
      <c r="D151" s="4548"/>
      <c r="E151" s="4548"/>
    </row>
    <row r="152" spans="1:5" ht="12.75">
      <c r="B152" s="4548"/>
      <c r="C152" s="4552"/>
      <c r="D152" s="4548"/>
      <c r="E152" s="4548"/>
    </row>
  </sheetData>
  <mergeCells count="2">
    <mergeCell ref="B1:E1"/>
    <mergeCell ref="B2:E2"/>
  </mergeCells>
  <printOptions horizontalCentered="1"/>
  <pageMargins left="0.25" right="0.25" top="0.75" bottom="0.75" header="0.3" footer="0.3"/>
  <pageSetup scale="78" fitToHeight="0" orientation="portrait" r:id="rId1"/>
  <headerFooter>
    <oddFooter>&amp;C&amp;"Century Schoolbook,Normal"&amp;P</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D2120-4D1C-4D47-B4E8-46C18764F4E3}">
  <sheetPr>
    <pageSetUpPr fitToPage="1"/>
  </sheetPr>
  <dimension ref="A1:J53"/>
  <sheetViews>
    <sheetView showGridLines="0" topLeftCell="A39" zoomScaleNormal="100" workbookViewId="0">
      <selection activeCell="H40" sqref="H40"/>
    </sheetView>
  </sheetViews>
  <sheetFormatPr baseColWidth="10" defaultColWidth="14.5703125" defaultRowHeight="15" customHeight="1"/>
  <cols>
    <col min="1" max="1" width="6.5703125" style="8662" customWidth="1"/>
    <col min="2" max="2" width="30.28515625" style="8662" customWidth="1"/>
    <col min="3" max="3" width="12.28515625" style="8662" customWidth="1"/>
    <col min="4" max="4" width="20.28515625" style="8662" customWidth="1"/>
    <col min="5" max="5" width="12.5703125" style="8662" customWidth="1"/>
    <col min="6" max="7" width="12" style="8662" customWidth="1"/>
    <col min="8" max="8" width="74.5703125" style="8662" customWidth="1"/>
    <col min="9" max="9" width="42" style="8662" customWidth="1"/>
    <col min="10" max="16384" width="14.5703125" style="8662"/>
  </cols>
  <sheetData>
    <row r="1" spans="1:10" ht="14.25">
      <c r="A1" s="8660"/>
      <c r="B1" s="8660"/>
      <c r="C1" s="8661"/>
      <c r="D1" s="8660"/>
      <c r="E1" s="8660"/>
      <c r="F1" s="8660"/>
      <c r="G1" s="8660"/>
      <c r="H1" s="8660"/>
      <c r="I1" s="8660"/>
    </row>
    <row r="2" spans="1:10" ht="14.25">
      <c r="A2" s="8660"/>
      <c r="B2" s="8660"/>
      <c r="C2" s="8661"/>
      <c r="D2" s="8660"/>
      <c r="E2" s="8660"/>
      <c r="F2" s="8660"/>
      <c r="G2" s="8660"/>
      <c r="H2" s="8660"/>
      <c r="I2" s="8660"/>
    </row>
    <row r="3" spans="1:10" ht="14.25">
      <c r="A3" s="8660"/>
      <c r="B3" s="8660"/>
      <c r="C3" s="8661"/>
      <c r="D3" s="8660"/>
      <c r="E3" s="8660"/>
      <c r="F3" s="8660"/>
      <c r="G3" s="8660"/>
      <c r="H3" s="8660"/>
      <c r="I3" s="8660"/>
    </row>
    <row r="4" spans="1:10" ht="14.25">
      <c r="A4" s="8660"/>
      <c r="B4" s="8660"/>
      <c r="C4" s="8661"/>
      <c r="D4" s="8660"/>
      <c r="E4" s="8660"/>
      <c r="F4" s="8660"/>
      <c r="G4" s="8660"/>
      <c r="H4" s="8660"/>
      <c r="I4" s="8660"/>
    </row>
    <row r="5" spans="1:10" ht="14.25">
      <c r="A5" s="8660"/>
      <c r="B5" s="8660"/>
      <c r="C5" s="8661"/>
      <c r="D5" s="8660"/>
      <c r="E5" s="8660"/>
      <c r="F5" s="8660"/>
      <c r="G5" s="8660"/>
      <c r="H5" s="8660"/>
      <c r="I5" s="8660"/>
    </row>
    <row r="6" spans="1:10" ht="23.25">
      <c r="A6" s="11416" t="s">
        <v>0</v>
      </c>
      <c r="B6" s="11417"/>
      <c r="C6" s="11417"/>
      <c r="D6" s="11417"/>
      <c r="E6" s="11417"/>
      <c r="F6" s="11417"/>
      <c r="G6" s="11417"/>
      <c r="H6" s="11417"/>
      <c r="I6" s="11417"/>
    </row>
    <row r="7" spans="1:10" ht="19.5">
      <c r="A7" s="11418" t="s">
        <v>1</v>
      </c>
      <c r="B7" s="11419"/>
      <c r="C7" s="11419"/>
      <c r="D7" s="11419"/>
      <c r="E7" s="11419"/>
      <c r="F7" s="11419"/>
      <c r="G7" s="11419"/>
      <c r="H7" s="11419"/>
      <c r="I7" s="11419"/>
    </row>
    <row r="8" spans="1:10" ht="18.75">
      <c r="A8" s="11420" t="s">
        <v>662</v>
      </c>
      <c r="B8" s="11417"/>
      <c r="C8" s="11417"/>
      <c r="D8" s="11417"/>
      <c r="E8" s="11417"/>
      <c r="F8" s="11417"/>
      <c r="G8" s="11417"/>
      <c r="H8" s="11417"/>
      <c r="I8" s="11417"/>
    </row>
    <row r="9" spans="1:10" ht="14.25">
      <c r="A9" s="8660"/>
      <c r="B9" s="8660"/>
      <c r="C9" s="8661"/>
      <c r="D9" s="8660"/>
      <c r="E9" s="8660"/>
      <c r="F9" s="8660"/>
      <c r="G9" s="8660"/>
      <c r="H9" s="8660"/>
      <c r="I9" s="8660"/>
    </row>
    <row r="10" spans="1:10" ht="20.25">
      <c r="A10" s="11421" t="s">
        <v>7423</v>
      </c>
      <c r="B10" s="11417"/>
      <c r="C10" s="11417"/>
      <c r="D10" s="11417"/>
      <c r="E10" s="11417"/>
      <c r="F10" s="11417"/>
      <c r="G10" s="11417"/>
      <c r="H10" s="11417"/>
      <c r="I10" s="11417"/>
    </row>
    <row r="11" spans="1:10">
      <c r="A11" s="8663"/>
      <c r="B11" s="8663"/>
      <c r="C11" s="8664"/>
      <c r="D11" s="8663"/>
      <c r="E11" s="8663"/>
      <c r="F11" s="8663"/>
      <c r="G11" s="8663"/>
      <c r="H11" s="8663"/>
      <c r="I11" s="8663"/>
    </row>
    <row r="12" spans="1:10" ht="21.75" customHeight="1">
      <c r="A12" s="11422" t="s">
        <v>6854</v>
      </c>
      <c r="B12" s="11424" t="s">
        <v>7229</v>
      </c>
      <c r="C12" s="11426" t="s">
        <v>6856</v>
      </c>
      <c r="D12" s="11424" t="s">
        <v>4</v>
      </c>
      <c r="E12" s="11428" t="s">
        <v>6857</v>
      </c>
      <c r="F12" s="11429"/>
      <c r="G12" s="11430"/>
      <c r="H12" s="11431" t="s">
        <v>6858</v>
      </c>
      <c r="I12" s="11415" t="s">
        <v>6859</v>
      </c>
    </row>
    <row r="13" spans="1:10" ht="48.75" customHeight="1">
      <c r="A13" s="11423"/>
      <c r="B13" s="11425"/>
      <c r="C13" s="11427"/>
      <c r="D13" s="11425"/>
      <c r="E13" s="8665" t="s">
        <v>6860</v>
      </c>
      <c r="F13" s="8665" t="s">
        <v>6861</v>
      </c>
      <c r="G13" s="8665" t="s">
        <v>7026</v>
      </c>
      <c r="H13" s="11432"/>
      <c r="I13" s="11415"/>
    </row>
    <row r="14" spans="1:10" ht="84" customHeight="1">
      <c r="A14" s="8666">
        <v>1</v>
      </c>
      <c r="B14" s="8667" t="s">
        <v>7424</v>
      </c>
      <c r="C14" s="8668" t="s">
        <v>7362</v>
      </c>
      <c r="D14" s="8673" t="s">
        <v>6883</v>
      </c>
      <c r="E14" s="8674" t="s">
        <v>6865</v>
      </c>
      <c r="F14" s="8674"/>
      <c r="G14" s="8674"/>
      <c r="H14" s="8667" t="s">
        <v>7425</v>
      </c>
      <c r="I14" s="8675" t="s">
        <v>7426</v>
      </c>
      <c r="J14" s="8671"/>
    </row>
    <row r="15" spans="1:10" ht="59.25" customHeight="1">
      <c r="A15" s="8666">
        <v>2</v>
      </c>
      <c r="B15" s="8703" t="s">
        <v>7427</v>
      </c>
      <c r="C15" s="8668" t="s">
        <v>7362</v>
      </c>
      <c r="D15" s="8673" t="s">
        <v>6864</v>
      </c>
      <c r="E15" s="8674" t="s">
        <v>6865</v>
      </c>
      <c r="F15" s="8674"/>
      <c r="G15" s="8674"/>
      <c r="H15" s="8688" t="s">
        <v>7428</v>
      </c>
      <c r="I15" s="8675" t="s">
        <v>6891</v>
      </c>
      <c r="J15" s="8671"/>
    </row>
    <row r="16" spans="1:10" ht="54.95" customHeight="1">
      <c r="A16" s="8666">
        <v>3</v>
      </c>
      <c r="B16" s="8703" t="s">
        <v>7429</v>
      </c>
      <c r="C16" s="8677" t="s">
        <v>7366</v>
      </c>
      <c r="D16" s="8673" t="s">
        <v>6864</v>
      </c>
      <c r="E16" s="8674" t="s">
        <v>6865</v>
      </c>
      <c r="F16" s="8674"/>
      <c r="G16" s="8674"/>
      <c r="H16" s="8672" t="s">
        <v>7430</v>
      </c>
      <c r="I16" s="8675" t="s">
        <v>7431</v>
      </c>
      <c r="J16" s="8671"/>
    </row>
    <row r="17" spans="1:10" ht="85.5" customHeight="1">
      <c r="A17" s="8666">
        <v>4</v>
      </c>
      <c r="B17" s="8682" t="s">
        <v>7432</v>
      </c>
      <c r="C17" s="8680" t="s">
        <v>7369</v>
      </c>
      <c r="D17" s="8674" t="s">
        <v>7063</v>
      </c>
      <c r="E17" s="8669" t="s">
        <v>6865</v>
      </c>
      <c r="F17" s="8669"/>
      <c r="G17" s="8704"/>
      <c r="H17" s="8705" t="s">
        <v>7433</v>
      </c>
      <c r="I17" s="8675" t="s">
        <v>6891</v>
      </c>
      <c r="J17" s="8671"/>
    </row>
    <row r="18" spans="1:10" ht="65.25" customHeight="1">
      <c r="A18" s="8666">
        <v>5</v>
      </c>
      <c r="B18" s="8706" t="s">
        <v>7434</v>
      </c>
      <c r="C18" s="8683" t="s">
        <v>7381</v>
      </c>
      <c r="D18" s="8669" t="s">
        <v>6864</v>
      </c>
      <c r="E18" s="8678" t="s">
        <v>6865</v>
      </c>
      <c r="F18" s="8678"/>
      <c r="G18" s="8674"/>
      <c r="H18" s="8667" t="s">
        <v>7435</v>
      </c>
      <c r="I18" s="8679" t="s">
        <v>6867</v>
      </c>
      <c r="J18" s="8671"/>
    </row>
    <row r="19" spans="1:10" ht="66.75" customHeight="1">
      <c r="A19" s="8666">
        <v>6</v>
      </c>
      <c r="B19" s="8667" t="s">
        <v>7436</v>
      </c>
      <c r="C19" s="8683" t="s">
        <v>7381</v>
      </c>
      <c r="D19" s="8674" t="s">
        <v>6874</v>
      </c>
      <c r="E19" s="8669" t="s">
        <v>6865</v>
      </c>
      <c r="F19" s="8669"/>
      <c r="G19" s="8704"/>
      <c r="H19" s="8692" t="s">
        <v>7437</v>
      </c>
      <c r="I19" s="8672" t="s">
        <v>6891</v>
      </c>
      <c r="J19" s="8671"/>
    </row>
    <row r="20" spans="1:10" ht="73.5" customHeight="1">
      <c r="A20" s="8666">
        <v>7</v>
      </c>
      <c r="B20" s="8667" t="s">
        <v>7438</v>
      </c>
      <c r="C20" s="8683" t="s">
        <v>7381</v>
      </c>
      <c r="D20" s="8669" t="s">
        <v>6864</v>
      </c>
      <c r="E20" s="8686" t="s">
        <v>6865</v>
      </c>
      <c r="F20" s="8686"/>
      <c r="G20" s="8686"/>
      <c r="H20" s="8707" t="s">
        <v>7439</v>
      </c>
      <c r="I20" s="8687" t="s">
        <v>7440</v>
      </c>
      <c r="J20" s="8671"/>
    </row>
    <row r="21" spans="1:10" ht="174" customHeight="1">
      <c r="A21" s="8666">
        <v>8</v>
      </c>
      <c r="B21" s="8667" t="s">
        <v>7441</v>
      </c>
      <c r="C21" s="8683" t="s">
        <v>7381</v>
      </c>
      <c r="D21" s="8669" t="s">
        <v>6902</v>
      </c>
      <c r="E21" s="8686" t="s">
        <v>6865</v>
      </c>
      <c r="F21" s="8686"/>
      <c r="G21" s="8686"/>
      <c r="H21" s="8707" t="s">
        <v>7442</v>
      </c>
      <c r="I21" s="8687" t="s">
        <v>7443</v>
      </c>
      <c r="J21" s="8671"/>
    </row>
    <row r="22" spans="1:10" ht="125.25" customHeight="1">
      <c r="A22" s="8666">
        <v>9</v>
      </c>
      <c r="B22" s="8667" t="s">
        <v>7444</v>
      </c>
      <c r="C22" s="8683" t="s">
        <v>7445</v>
      </c>
      <c r="D22" s="8669" t="s">
        <v>6870</v>
      </c>
      <c r="E22" s="8686" t="s">
        <v>6865</v>
      </c>
      <c r="F22" s="8686"/>
      <c r="G22" s="8686" t="s">
        <v>6865</v>
      </c>
      <c r="H22" s="8688" t="s">
        <v>7446</v>
      </c>
      <c r="I22" s="8708" t="s">
        <v>7447</v>
      </c>
      <c r="J22" s="8671"/>
    </row>
    <row r="23" spans="1:10" ht="57" customHeight="1">
      <c r="A23" s="8666">
        <v>10</v>
      </c>
      <c r="B23" s="8667" t="s">
        <v>7448</v>
      </c>
      <c r="C23" s="8683" t="s">
        <v>7375</v>
      </c>
      <c r="D23" s="8669" t="s">
        <v>7032</v>
      </c>
      <c r="E23" s="8686" t="s">
        <v>6865</v>
      </c>
      <c r="F23" s="8686"/>
      <c r="G23" s="8686"/>
      <c r="H23" s="8667" t="s">
        <v>7449</v>
      </c>
      <c r="I23" s="8679" t="s">
        <v>6867</v>
      </c>
      <c r="J23" s="8671"/>
    </row>
    <row r="24" spans="1:10" ht="102.75" customHeight="1">
      <c r="A24" s="8666">
        <v>11</v>
      </c>
      <c r="B24" s="8667" t="s">
        <v>7389</v>
      </c>
      <c r="C24" s="8683" t="s">
        <v>7390</v>
      </c>
      <c r="D24" s="8669" t="s">
        <v>7096</v>
      </c>
      <c r="E24" s="8686" t="s">
        <v>6865</v>
      </c>
      <c r="F24" s="8686"/>
      <c r="G24" s="8686"/>
      <c r="H24" s="8688" t="s">
        <v>7391</v>
      </c>
      <c r="I24" s="8667" t="s">
        <v>7450</v>
      </c>
      <c r="J24" s="8671"/>
    </row>
    <row r="25" spans="1:10" ht="104.25" customHeight="1">
      <c r="A25" s="8666">
        <v>12</v>
      </c>
      <c r="B25" s="8667" t="s">
        <v>7451</v>
      </c>
      <c r="C25" s="8683" t="s">
        <v>7452</v>
      </c>
      <c r="D25" s="8669" t="s">
        <v>6906</v>
      </c>
      <c r="E25" s="8686" t="s">
        <v>6865</v>
      </c>
      <c r="F25" s="8686"/>
      <c r="G25" s="8686"/>
      <c r="H25" s="8667" t="s">
        <v>7453</v>
      </c>
      <c r="I25" s="8679" t="s">
        <v>6891</v>
      </c>
      <c r="J25" s="8671"/>
    </row>
    <row r="26" spans="1:10" ht="83.25" customHeight="1">
      <c r="A26" s="8666">
        <v>13</v>
      </c>
      <c r="B26" s="8667" t="s">
        <v>7454</v>
      </c>
      <c r="C26" s="8683" t="s">
        <v>7455</v>
      </c>
      <c r="D26" s="8669" t="s">
        <v>7105</v>
      </c>
      <c r="E26" s="8686" t="s">
        <v>6865</v>
      </c>
      <c r="F26" s="8686"/>
      <c r="G26" s="8686"/>
      <c r="H26" s="8667" t="s">
        <v>7456</v>
      </c>
      <c r="I26" s="8679" t="s">
        <v>6891</v>
      </c>
      <c r="J26" s="8671"/>
    </row>
    <row r="27" spans="1:10" ht="142.5" customHeight="1">
      <c r="A27" s="8666">
        <v>14</v>
      </c>
      <c r="B27" s="8676" t="s">
        <v>7457</v>
      </c>
      <c r="C27" s="8683" t="s">
        <v>7458</v>
      </c>
      <c r="D27" s="8669" t="s">
        <v>7096</v>
      </c>
      <c r="E27" s="8686" t="s">
        <v>6865</v>
      </c>
      <c r="F27" s="8686"/>
      <c r="G27" s="8686"/>
      <c r="H27" s="8688" t="s">
        <v>7459</v>
      </c>
      <c r="I27" s="8679" t="s">
        <v>7460</v>
      </c>
      <c r="J27" s="8671"/>
    </row>
    <row r="28" spans="1:10" ht="78.75" customHeight="1">
      <c r="A28" s="8666">
        <v>15</v>
      </c>
      <c r="B28" s="8667" t="s">
        <v>7461</v>
      </c>
      <c r="C28" s="8709" t="s">
        <v>7462</v>
      </c>
      <c r="D28" s="8669" t="s">
        <v>6918</v>
      </c>
      <c r="E28" s="8686" t="s">
        <v>6865</v>
      </c>
      <c r="F28" s="8686"/>
      <c r="G28" s="8686"/>
      <c r="H28" s="8667" t="s">
        <v>7463</v>
      </c>
      <c r="I28" s="8687" t="s">
        <v>6891</v>
      </c>
      <c r="J28" s="8671"/>
    </row>
    <row r="29" spans="1:10" ht="54.95" customHeight="1">
      <c r="A29" s="8666">
        <v>16</v>
      </c>
      <c r="B29" s="8710" t="s">
        <v>7464</v>
      </c>
      <c r="C29" s="8711">
        <v>45209</v>
      </c>
      <c r="D29" s="8669" t="s">
        <v>7063</v>
      </c>
      <c r="E29" s="8686" t="s">
        <v>6865</v>
      </c>
      <c r="F29" s="8686"/>
      <c r="G29" s="8686"/>
      <c r="H29" s="8667" t="s">
        <v>7465</v>
      </c>
      <c r="I29" s="8687" t="s">
        <v>6891</v>
      </c>
      <c r="J29" s="8671"/>
    </row>
    <row r="30" spans="1:10" ht="66.75" customHeight="1">
      <c r="A30" s="8666">
        <v>17</v>
      </c>
      <c r="B30" s="8676" t="s">
        <v>7466</v>
      </c>
      <c r="C30" s="8695" t="s">
        <v>7467</v>
      </c>
      <c r="D30" s="8712" t="s">
        <v>7105</v>
      </c>
      <c r="E30" s="8690" t="s">
        <v>6865</v>
      </c>
      <c r="F30" s="8690"/>
      <c r="G30" s="8690"/>
      <c r="H30" s="8710" t="s">
        <v>7468</v>
      </c>
      <c r="I30" s="8667" t="s">
        <v>7469</v>
      </c>
      <c r="J30" s="8671"/>
    </row>
    <row r="31" spans="1:10" ht="51.75" customHeight="1">
      <c r="A31" s="8666">
        <v>18</v>
      </c>
      <c r="B31" s="8713"/>
      <c r="C31" s="8668"/>
      <c r="D31" s="8669" t="s">
        <v>7470</v>
      </c>
      <c r="E31" s="8669" t="s">
        <v>6865</v>
      </c>
      <c r="F31" s="8669"/>
      <c r="G31" s="8669"/>
      <c r="H31" s="8688" t="s">
        <v>7471</v>
      </c>
      <c r="I31" s="8667" t="s">
        <v>6891</v>
      </c>
      <c r="J31" s="8671"/>
    </row>
    <row r="32" spans="1:10" ht="51.75" customHeight="1">
      <c r="A32" s="8666">
        <v>19</v>
      </c>
      <c r="B32" s="8676" t="s">
        <v>7472</v>
      </c>
      <c r="C32" s="8695" t="s">
        <v>7473</v>
      </c>
      <c r="D32" s="8712" t="s">
        <v>7474</v>
      </c>
      <c r="E32" s="8690" t="s">
        <v>6865</v>
      </c>
      <c r="F32" s="8690"/>
      <c r="G32" s="8690"/>
      <c r="H32" s="8714" t="s">
        <v>7475</v>
      </c>
      <c r="I32" s="8667" t="s">
        <v>6891</v>
      </c>
      <c r="J32" s="8671"/>
    </row>
    <row r="33" spans="1:10" ht="89.25" customHeight="1">
      <c r="A33" s="8666">
        <v>20</v>
      </c>
      <c r="B33" s="8676" t="s">
        <v>7476</v>
      </c>
      <c r="C33" s="8715" t="s">
        <v>7477</v>
      </c>
      <c r="D33" s="8678" t="s">
        <v>6918</v>
      </c>
      <c r="E33" s="8678" t="s">
        <v>6865</v>
      </c>
      <c r="F33" s="8678"/>
      <c r="G33" s="8678"/>
      <c r="H33" s="8676" t="s">
        <v>7478</v>
      </c>
      <c r="I33" s="8667" t="s">
        <v>6891</v>
      </c>
      <c r="J33" s="8671"/>
    </row>
    <row r="34" spans="1:10" ht="111" customHeight="1">
      <c r="A34" s="8666">
        <v>21</v>
      </c>
      <c r="B34" s="8676" t="s">
        <v>7479</v>
      </c>
      <c r="C34" s="8715" t="s">
        <v>7480</v>
      </c>
      <c r="D34" s="8678" t="s">
        <v>6864</v>
      </c>
      <c r="E34" s="8678"/>
      <c r="F34" s="8678"/>
      <c r="G34" s="8678" t="s">
        <v>6865</v>
      </c>
      <c r="H34" s="8716" t="s">
        <v>7481</v>
      </c>
      <c r="I34" s="8667" t="s">
        <v>6891</v>
      </c>
      <c r="J34" s="8671"/>
    </row>
    <row r="35" spans="1:10" ht="64.5" customHeight="1">
      <c r="A35" s="8666">
        <v>22</v>
      </c>
      <c r="B35" s="8676" t="s">
        <v>7482</v>
      </c>
      <c r="C35" s="8715" t="s">
        <v>7483</v>
      </c>
      <c r="D35" s="8678" t="s">
        <v>7378</v>
      </c>
      <c r="E35" s="8678" t="s">
        <v>6865</v>
      </c>
      <c r="F35" s="8678"/>
      <c r="G35" s="8678"/>
      <c r="H35" s="8707" t="s">
        <v>7484</v>
      </c>
      <c r="I35" s="8717" t="s">
        <v>6891</v>
      </c>
      <c r="J35" s="8671"/>
    </row>
    <row r="36" spans="1:10" ht="87.75" customHeight="1">
      <c r="A36" s="8666">
        <v>23</v>
      </c>
      <c r="B36" s="8676" t="s">
        <v>7485</v>
      </c>
      <c r="C36" s="8715" t="s">
        <v>7480</v>
      </c>
      <c r="D36" s="8678" t="s">
        <v>7486</v>
      </c>
      <c r="E36" s="8678" t="s">
        <v>6865</v>
      </c>
      <c r="F36" s="8678"/>
      <c r="G36" s="8678"/>
      <c r="H36" s="8716" t="s">
        <v>7487</v>
      </c>
      <c r="I36" s="8676" t="s">
        <v>6891</v>
      </c>
      <c r="J36" s="8671"/>
    </row>
    <row r="37" spans="1:10" ht="52.5" customHeight="1">
      <c r="A37" s="8666">
        <v>24</v>
      </c>
      <c r="B37" s="8676"/>
      <c r="C37" s="8715"/>
      <c r="D37" s="8678" t="s">
        <v>7378</v>
      </c>
      <c r="E37" s="8678" t="s">
        <v>6865</v>
      </c>
      <c r="F37" s="8678"/>
      <c r="G37" s="8674"/>
      <c r="H37" s="8707" t="s">
        <v>7488</v>
      </c>
      <c r="I37" s="8676" t="s">
        <v>7489</v>
      </c>
      <c r="J37" s="8671"/>
    </row>
    <row r="38" spans="1:10" ht="64.5" customHeight="1">
      <c r="A38" s="8666">
        <v>25</v>
      </c>
      <c r="B38" s="8676" t="s">
        <v>7490</v>
      </c>
      <c r="C38" s="8715" t="s">
        <v>7473</v>
      </c>
      <c r="D38" s="8678" t="s">
        <v>7474</v>
      </c>
      <c r="E38" s="8678" t="s">
        <v>6865</v>
      </c>
      <c r="F38" s="8678"/>
      <c r="G38" s="8678"/>
      <c r="H38" s="8707" t="s">
        <v>7491</v>
      </c>
      <c r="I38" s="8676" t="s">
        <v>7492</v>
      </c>
      <c r="J38" s="8671"/>
    </row>
    <row r="39" spans="1:10" ht="122.25" customHeight="1">
      <c r="A39" s="8689">
        <v>26</v>
      </c>
      <c r="B39" s="8676" t="s">
        <v>7493</v>
      </c>
      <c r="C39" s="8715" t="s">
        <v>7494</v>
      </c>
      <c r="D39" s="8678" t="s">
        <v>7072</v>
      </c>
      <c r="E39" s="8678" t="s">
        <v>6865</v>
      </c>
      <c r="F39" s="8678"/>
      <c r="G39" s="8678"/>
      <c r="H39" s="8707" t="s">
        <v>7495</v>
      </c>
      <c r="I39" s="8676" t="s">
        <v>6891</v>
      </c>
      <c r="J39" s="8671"/>
    </row>
    <row r="40" spans="1:10" ht="51" customHeight="1">
      <c r="A40" s="8689">
        <v>27</v>
      </c>
      <c r="B40" s="8676" t="s">
        <v>7496</v>
      </c>
      <c r="C40" s="8718" t="s">
        <v>7497</v>
      </c>
      <c r="D40" s="8678" t="s">
        <v>7474</v>
      </c>
      <c r="E40" s="8719" t="s">
        <v>6865</v>
      </c>
      <c r="F40" s="8678"/>
      <c r="G40" s="8678"/>
      <c r="H40" s="8716" t="s">
        <v>7498</v>
      </c>
      <c r="I40" s="8676" t="s">
        <v>6891</v>
      </c>
      <c r="J40" s="8671"/>
    </row>
    <row r="41" spans="1:10" ht="95.25" customHeight="1">
      <c r="A41" s="8689">
        <v>28</v>
      </c>
      <c r="B41" s="8676" t="s">
        <v>7499</v>
      </c>
      <c r="C41" s="8718" t="s">
        <v>7497</v>
      </c>
      <c r="D41" s="8678" t="s">
        <v>6864</v>
      </c>
      <c r="E41" s="8678" t="s">
        <v>6865</v>
      </c>
      <c r="F41" s="8678"/>
      <c r="G41" s="8678"/>
      <c r="H41" s="8716" t="s">
        <v>7500</v>
      </c>
      <c r="I41" s="8676" t="s">
        <v>6891</v>
      </c>
      <c r="J41" s="8671"/>
    </row>
    <row r="42" spans="1:10" ht="222.75" customHeight="1">
      <c r="A42" s="8666">
        <v>29</v>
      </c>
      <c r="B42" s="8667" t="s">
        <v>7501</v>
      </c>
      <c r="C42" s="8720" t="s">
        <v>7502</v>
      </c>
      <c r="D42" s="8669" t="s">
        <v>6864</v>
      </c>
      <c r="E42" s="8721" t="s">
        <v>6865</v>
      </c>
      <c r="F42" s="8669"/>
      <c r="G42" s="8669"/>
      <c r="H42" s="8688" t="s">
        <v>7503</v>
      </c>
      <c r="I42" s="8667" t="s">
        <v>6867</v>
      </c>
      <c r="J42" s="8671"/>
    </row>
    <row r="43" spans="1:10" s="8693" customFormat="1" ht="21" customHeight="1">
      <c r="A43" s="8693" t="s">
        <v>7339</v>
      </c>
    </row>
    <row r="44" spans="1:10" ht="16.5" customHeight="1">
      <c r="A44" s="8698" t="s">
        <v>7340</v>
      </c>
      <c r="B44" s="8699"/>
      <c r="C44" s="8664"/>
      <c r="D44" s="8663"/>
      <c r="E44" s="8663"/>
      <c r="F44" s="8663"/>
      <c r="G44" s="8663"/>
      <c r="H44" s="8663"/>
      <c r="I44" s="8663"/>
    </row>
    <row r="45" spans="1:10" ht="15.75" customHeight="1">
      <c r="A45" s="8698" t="s">
        <v>7197</v>
      </c>
      <c r="B45" s="8699"/>
      <c r="C45" s="8664"/>
      <c r="D45" s="8663"/>
      <c r="E45" s="8663"/>
      <c r="F45" s="8663"/>
      <c r="G45" s="8663"/>
      <c r="H45" s="8663"/>
      <c r="I45" s="8663"/>
    </row>
    <row r="46" spans="1:10" ht="15.75" customHeight="1">
      <c r="A46" s="8698" t="s">
        <v>7198</v>
      </c>
      <c r="B46" s="8699"/>
      <c r="C46" s="8664"/>
      <c r="D46" s="8663"/>
      <c r="E46" s="8663"/>
      <c r="F46" s="8663"/>
      <c r="G46" s="8663"/>
      <c r="H46" s="8663"/>
      <c r="I46" s="8663"/>
    </row>
    <row r="47" spans="1:10" ht="15.75" customHeight="1">
      <c r="A47" s="8693" t="s">
        <v>7504</v>
      </c>
      <c r="B47" s="8700"/>
      <c r="C47" s="8664"/>
      <c r="D47" s="8663"/>
      <c r="E47" s="8663"/>
      <c r="F47" s="8663"/>
      <c r="G47" s="8663"/>
      <c r="H47" s="8663"/>
      <c r="I47" s="8663"/>
    </row>
    <row r="48" spans="1:10" ht="15.75" customHeight="1">
      <c r="A48" s="8693" t="s">
        <v>7505</v>
      </c>
      <c r="B48" s="8663"/>
      <c r="C48" s="8664"/>
      <c r="D48" s="8663"/>
      <c r="E48" s="8663"/>
      <c r="F48" s="8663"/>
      <c r="G48" s="8663"/>
      <c r="H48" s="8663"/>
      <c r="I48" s="8663"/>
    </row>
    <row r="52" spans="2:2" ht="15" customHeight="1">
      <c r="B52" s="8701"/>
    </row>
    <row r="53" spans="2:2" ht="15" customHeight="1">
      <c r="B53" s="8702"/>
    </row>
  </sheetData>
  <mergeCells count="11">
    <mergeCell ref="I12:I13"/>
    <mergeCell ref="A6:I6"/>
    <mergeCell ref="A7:I7"/>
    <mergeCell ref="A8:I8"/>
    <mergeCell ref="A10:I10"/>
    <mergeCell ref="A12:A13"/>
    <mergeCell ref="B12:B13"/>
    <mergeCell ref="C12:C13"/>
    <mergeCell ref="D12:D13"/>
    <mergeCell ref="E12:G12"/>
    <mergeCell ref="H12:H13"/>
  </mergeCells>
  <printOptions horizontalCentered="1"/>
  <pageMargins left="0.31496062992125984" right="0.31496062992125984" top="0.55118110236220474" bottom="0.55118110236220474" header="0" footer="0"/>
  <pageSetup paperSize="9" scale="81" fitToHeight="0" orientation="landscape"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C09"/>
  </sheetPr>
  <dimension ref="A1:AH145"/>
  <sheetViews>
    <sheetView showGridLines="0" topLeftCell="S122" zoomScaleNormal="100" workbookViewId="0">
      <selection activeCell="A51" sqref="A51"/>
    </sheetView>
  </sheetViews>
  <sheetFormatPr baseColWidth="10" defaultColWidth="12.7109375" defaultRowHeight="15.75" customHeight="1"/>
  <cols>
    <col min="1" max="2" width="5" style="434" customWidth="1"/>
    <col min="3" max="6" width="25.7109375" style="434" customWidth="1"/>
    <col min="7" max="7" width="26.7109375" style="434" customWidth="1"/>
    <col min="8" max="12" width="25.7109375" style="434" customWidth="1"/>
    <col min="13" max="15" width="8.7109375" style="434" customWidth="1"/>
    <col min="16" max="19" width="25.7109375" style="434" customWidth="1"/>
    <col min="20" max="21" width="18.7109375" style="434" customWidth="1"/>
    <col min="22" max="22" width="40.7109375" style="434" customWidth="1"/>
    <col min="23" max="23" width="19.7109375" style="434" customWidth="1"/>
    <col min="24" max="28" width="12.7109375" style="434" customWidth="1"/>
    <col min="29" max="29" width="12.140625" style="803" customWidth="1"/>
    <col min="30" max="30" width="10.28515625" style="803" customWidth="1"/>
    <col min="31" max="33" width="8.7109375" style="434" customWidth="1"/>
    <col min="34" max="34" width="24.7109375" style="434" customWidth="1"/>
    <col min="35" max="16384" width="12.7109375" style="434"/>
  </cols>
  <sheetData>
    <row r="1" spans="1:34" ht="39" customHeight="1">
      <c r="A1" s="8824" t="s">
        <v>0</v>
      </c>
      <c r="B1" s="9000"/>
      <c r="C1" s="9000"/>
      <c r="D1" s="9000"/>
      <c r="E1" s="9000"/>
      <c r="F1" s="9000"/>
      <c r="G1" s="9000"/>
      <c r="H1" s="9000"/>
      <c r="I1" s="9000"/>
      <c r="J1" s="9000"/>
      <c r="K1" s="9000"/>
      <c r="L1" s="9000"/>
      <c r="M1" s="9000"/>
      <c r="N1" s="9000"/>
      <c r="O1" s="9000"/>
      <c r="P1" s="9000"/>
      <c r="Q1" s="9000"/>
      <c r="R1" s="9000"/>
      <c r="S1" s="9000"/>
      <c r="T1" s="9000"/>
      <c r="U1" s="9000"/>
      <c r="V1" s="9000"/>
      <c r="W1" s="9000"/>
      <c r="X1" s="9000"/>
      <c r="Y1" s="9000"/>
      <c r="Z1" s="9000"/>
      <c r="AA1" s="9000"/>
      <c r="AB1" s="9000"/>
      <c r="AC1" s="9000"/>
      <c r="AD1" s="9000"/>
      <c r="AE1" s="9000"/>
      <c r="AF1" s="9000"/>
      <c r="AG1" s="9000"/>
      <c r="AH1" s="9000"/>
    </row>
    <row r="2" spans="1:34" ht="30">
      <c r="A2" s="8826" t="s">
        <v>1</v>
      </c>
      <c r="B2" s="9001"/>
      <c r="C2" s="9001"/>
      <c r="D2" s="9001"/>
      <c r="E2" s="9001"/>
      <c r="F2" s="9001"/>
      <c r="G2" s="9001"/>
      <c r="H2" s="9001"/>
      <c r="I2" s="9001"/>
      <c r="J2" s="9001"/>
      <c r="K2" s="9001"/>
      <c r="L2" s="9001"/>
      <c r="M2" s="9001"/>
      <c r="N2" s="9001"/>
      <c r="O2" s="9001"/>
      <c r="P2" s="9001"/>
      <c r="Q2" s="9001"/>
      <c r="R2" s="9001"/>
      <c r="S2" s="9001"/>
      <c r="T2" s="9001"/>
      <c r="U2" s="9001"/>
      <c r="V2" s="9001"/>
      <c r="W2" s="9001"/>
      <c r="X2" s="9001"/>
      <c r="Y2" s="9001"/>
      <c r="Z2" s="9001"/>
      <c r="AA2" s="9001"/>
      <c r="AB2" s="9001"/>
      <c r="AC2" s="9001"/>
      <c r="AD2" s="9001"/>
      <c r="AE2" s="9001"/>
      <c r="AF2" s="9001"/>
      <c r="AG2" s="9001"/>
      <c r="AH2" s="9001"/>
    </row>
    <row r="3" spans="1:34" ht="30.75">
      <c r="A3" s="8828" t="s">
        <v>535</v>
      </c>
      <c r="B3" s="9000"/>
      <c r="C3" s="9000"/>
      <c r="D3" s="9000"/>
      <c r="E3" s="9000"/>
      <c r="F3" s="9000"/>
      <c r="G3" s="9000"/>
      <c r="H3" s="9000"/>
      <c r="I3" s="9000"/>
      <c r="J3" s="9000"/>
      <c r="K3" s="9000"/>
      <c r="L3" s="9000"/>
      <c r="M3" s="9000"/>
      <c r="N3" s="9000"/>
      <c r="O3" s="9000"/>
      <c r="P3" s="9000"/>
      <c r="Q3" s="9000"/>
      <c r="R3" s="9000"/>
      <c r="S3" s="9000"/>
      <c r="T3" s="9000"/>
      <c r="U3" s="9000"/>
      <c r="V3" s="9000"/>
      <c r="W3" s="9000"/>
      <c r="X3" s="9000"/>
      <c r="Y3" s="9000"/>
      <c r="Z3" s="9000"/>
      <c r="AA3" s="9000"/>
      <c r="AB3" s="9000"/>
      <c r="AC3" s="9000"/>
      <c r="AD3" s="9000"/>
      <c r="AE3" s="9000"/>
      <c r="AF3" s="9000"/>
      <c r="AG3" s="9000"/>
      <c r="AH3" s="9000"/>
    </row>
    <row r="4" spans="1:34" ht="26.25">
      <c r="A4" s="8829" t="s">
        <v>88</v>
      </c>
      <c r="B4" s="9000"/>
      <c r="C4" s="9000"/>
      <c r="D4" s="9000"/>
      <c r="E4" s="9000"/>
      <c r="F4" s="9000"/>
      <c r="G4" s="9000"/>
      <c r="H4" s="9000"/>
      <c r="I4" s="9000"/>
      <c r="J4" s="9000"/>
      <c r="K4" s="9000"/>
      <c r="L4" s="9000"/>
      <c r="M4" s="9000"/>
      <c r="N4" s="9000"/>
      <c r="O4" s="9000"/>
      <c r="P4" s="9000"/>
      <c r="Q4" s="9000"/>
      <c r="R4" s="9000"/>
      <c r="S4" s="9000"/>
      <c r="T4" s="9000"/>
      <c r="U4" s="9000"/>
      <c r="V4" s="9000"/>
      <c r="W4" s="9000"/>
      <c r="X4" s="9000"/>
      <c r="Y4" s="9000"/>
      <c r="Z4" s="9000"/>
      <c r="AA4" s="9000"/>
      <c r="AB4" s="9000"/>
      <c r="AC4" s="9000"/>
      <c r="AD4" s="9000"/>
      <c r="AE4" s="9000"/>
      <c r="AF4" s="9000"/>
      <c r="AG4" s="9000"/>
      <c r="AH4" s="9000"/>
    </row>
    <row r="5" spans="1:34" ht="16.5" customHeight="1" thickBot="1">
      <c r="A5" s="604"/>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738"/>
      <c r="AD5" s="738"/>
      <c r="AE5" s="604"/>
      <c r="AF5" s="604"/>
      <c r="AG5" s="604"/>
      <c r="AH5" s="834"/>
    </row>
    <row r="6" spans="1:34" ht="24.75" customHeight="1" thickTop="1">
      <c r="A6" s="9002" t="s">
        <v>89</v>
      </c>
      <c r="B6" s="9003"/>
      <c r="C6" s="9008" t="s">
        <v>90</v>
      </c>
      <c r="D6" s="9009"/>
      <c r="E6" s="9010" t="s">
        <v>91</v>
      </c>
      <c r="F6" s="9011"/>
      <c r="G6" s="9011"/>
      <c r="H6" s="9011"/>
      <c r="I6" s="9011"/>
      <c r="J6" s="8988" t="s">
        <v>92</v>
      </c>
      <c r="K6" s="8989"/>
      <c r="L6" s="8989"/>
      <c r="M6" s="8989"/>
      <c r="N6" s="8989"/>
      <c r="O6" s="8989"/>
      <c r="P6" s="8989"/>
      <c r="Q6" s="8989"/>
      <c r="R6" s="8990"/>
      <c r="S6" s="9150" t="s">
        <v>93</v>
      </c>
      <c r="T6" s="9151"/>
      <c r="U6" s="9151"/>
      <c r="V6" s="9151"/>
      <c r="W6" s="9151"/>
      <c r="X6" s="9151"/>
      <c r="Y6" s="9151"/>
      <c r="Z6" s="9151"/>
      <c r="AA6" s="9151"/>
      <c r="AB6" s="9151"/>
      <c r="AC6" s="9151"/>
      <c r="AD6" s="9151"/>
      <c r="AE6" s="9151"/>
      <c r="AF6" s="9151"/>
      <c r="AG6" s="9151"/>
      <c r="AH6" s="9152"/>
    </row>
    <row r="7" spans="1:34" ht="39.75" customHeight="1">
      <c r="A7" s="9004"/>
      <c r="B7" s="9005"/>
      <c r="C7" s="9146" t="s">
        <v>94</v>
      </c>
      <c r="D7" s="9147" t="s">
        <v>95</v>
      </c>
      <c r="E7" s="9012" t="s">
        <v>96</v>
      </c>
      <c r="F7" s="9012" t="s">
        <v>97</v>
      </c>
      <c r="G7" s="9012" t="s">
        <v>98</v>
      </c>
      <c r="H7" s="9012" t="s">
        <v>99</v>
      </c>
      <c r="I7" s="9012" t="s">
        <v>100</v>
      </c>
      <c r="J7" s="9014" t="s">
        <v>101</v>
      </c>
      <c r="K7" s="9016" t="s">
        <v>102</v>
      </c>
      <c r="L7" s="9016" t="s">
        <v>103</v>
      </c>
      <c r="M7" s="9016" t="s">
        <v>104</v>
      </c>
      <c r="N7" s="9017"/>
      <c r="O7" s="9017"/>
      <c r="P7" s="9016" t="s">
        <v>105</v>
      </c>
      <c r="Q7" s="9016" t="s">
        <v>106</v>
      </c>
      <c r="R7" s="9019" t="s">
        <v>107</v>
      </c>
      <c r="S7" s="9153" t="s">
        <v>108</v>
      </c>
      <c r="T7" s="9154"/>
      <c r="U7" s="9154"/>
      <c r="V7" s="9154"/>
      <c r="W7" s="9154"/>
      <c r="X7" s="9154"/>
      <c r="Y7" s="9155"/>
      <c r="Z7" s="9180" t="s">
        <v>109</v>
      </c>
      <c r="AA7" s="9181"/>
      <c r="AB7" s="9181"/>
      <c r="AC7" s="9181"/>
      <c r="AD7" s="9182"/>
      <c r="AE7" s="9156" t="s">
        <v>110</v>
      </c>
      <c r="AF7" s="9154"/>
      <c r="AG7" s="9155"/>
      <c r="AH7" s="9157" t="s">
        <v>111</v>
      </c>
    </row>
    <row r="8" spans="1:34" ht="51.75" customHeight="1" thickBot="1">
      <c r="A8" s="9006"/>
      <c r="B8" s="9007"/>
      <c r="C8" s="9022"/>
      <c r="D8" s="9024"/>
      <c r="E8" s="9013"/>
      <c r="F8" s="9013"/>
      <c r="G8" s="9013"/>
      <c r="H8" s="9013"/>
      <c r="I8" s="9013"/>
      <c r="J8" s="9015"/>
      <c r="K8" s="9018"/>
      <c r="L8" s="9018"/>
      <c r="M8" s="5086" t="s">
        <v>112</v>
      </c>
      <c r="N8" s="5086" t="s">
        <v>113</v>
      </c>
      <c r="O8" s="5086" t="s">
        <v>114</v>
      </c>
      <c r="P8" s="9018"/>
      <c r="Q8" s="9018"/>
      <c r="R8" s="9020"/>
      <c r="S8" s="5087" t="s">
        <v>115</v>
      </c>
      <c r="T8" s="5088" t="s">
        <v>116</v>
      </c>
      <c r="U8" s="5089" t="s">
        <v>117</v>
      </c>
      <c r="V8" s="5088" t="s">
        <v>118</v>
      </c>
      <c r="W8" s="5088" t="s">
        <v>119</v>
      </c>
      <c r="X8" s="5088" t="s">
        <v>372</v>
      </c>
      <c r="Y8" s="5090" t="s">
        <v>121</v>
      </c>
      <c r="Z8" s="5088" t="s">
        <v>122</v>
      </c>
      <c r="AA8" s="5088" t="s">
        <v>123</v>
      </c>
      <c r="AB8" s="5088" t="s">
        <v>124</v>
      </c>
      <c r="AC8" s="5085" t="s">
        <v>125</v>
      </c>
      <c r="AD8" s="5088" t="s">
        <v>373</v>
      </c>
      <c r="AE8" s="5088" t="s">
        <v>112</v>
      </c>
      <c r="AF8" s="5088" t="s">
        <v>113</v>
      </c>
      <c r="AG8" s="5088" t="s">
        <v>114</v>
      </c>
      <c r="AH8" s="9219"/>
    </row>
    <row r="9" spans="1:34" ht="25.5" customHeight="1">
      <c r="A9" s="9237" t="s">
        <v>535</v>
      </c>
      <c r="B9" s="9234" t="s">
        <v>535</v>
      </c>
      <c r="C9" s="9125" t="s">
        <v>127</v>
      </c>
      <c r="D9" s="8834" t="s">
        <v>128</v>
      </c>
      <c r="E9" s="8834" t="s">
        <v>140</v>
      </c>
      <c r="F9" s="8834" t="s">
        <v>141</v>
      </c>
      <c r="G9" s="8974" t="s">
        <v>131</v>
      </c>
      <c r="H9" s="8834" t="s">
        <v>132</v>
      </c>
      <c r="I9" s="8834" t="s">
        <v>159</v>
      </c>
      <c r="J9" s="9217" t="s">
        <v>536</v>
      </c>
      <c r="K9" s="8782" t="s">
        <v>537</v>
      </c>
      <c r="L9" s="8834" t="s">
        <v>538</v>
      </c>
      <c r="M9" s="8856">
        <v>15</v>
      </c>
      <c r="N9" s="8856">
        <v>15</v>
      </c>
      <c r="O9" s="8856">
        <v>15</v>
      </c>
      <c r="P9" s="8980" t="s">
        <v>539</v>
      </c>
      <c r="Q9" s="9204" t="s">
        <v>540</v>
      </c>
      <c r="R9" s="9205" t="s">
        <v>541</v>
      </c>
      <c r="S9" s="1080"/>
      <c r="T9" s="4965"/>
      <c r="U9" s="4965"/>
      <c r="V9" s="1047"/>
      <c r="W9" s="1687"/>
      <c r="X9" s="1048"/>
      <c r="Y9" s="5040"/>
      <c r="Z9" s="5040"/>
      <c r="AA9" s="5040"/>
      <c r="AB9" s="5041"/>
      <c r="AC9" s="5042"/>
      <c r="AD9" s="1040"/>
      <c r="AE9" s="443"/>
      <c r="AF9" s="444"/>
      <c r="AG9" s="801"/>
      <c r="AH9" s="9212"/>
    </row>
    <row r="10" spans="1:34" ht="25.5" customHeight="1">
      <c r="A10" s="9099"/>
      <c r="B10" s="9101"/>
      <c r="C10" s="9220"/>
      <c r="D10" s="8938"/>
      <c r="E10" s="8938"/>
      <c r="F10" s="8938"/>
      <c r="G10" s="8938"/>
      <c r="H10" s="8938"/>
      <c r="I10" s="8938"/>
      <c r="J10" s="9206"/>
      <c r="K10" s="8938"/>
      <c r="L10" s="8938"/>
      <c r="M10" s="8954"/>
      <c r="N10" s="8954"/>
      <c r="O10" s="8954"/>
      <c r="P10" s="8938"/>
      <c r="Q10" s="8938"/>
      <c r="R10" s="9206"/>
      <c r="S10" s="1083"/>
      <c r="T10" s="4959"/>
      <c r="U10" s="4959"/>
      <c r="V10" s="1073"/>
      <c r="W10" s="1688"/>
      <c r="X10" s="1052"/>
      <c r="Y10" s="5043"/>
      <c r="Z10" s="5043"/>
      <c r="AA10" s="5043"/>
      <c r="AB10" s="5044"/>
      <c r="AC10" s="5045"/>
      <c r="AD10" s="1053"/>
      <c r="AE10" s="116"/>
      <c r="AF10" s="117"/>
      <c r="AG10" s="118"/>
      <c r="AH10" s="9209"/>
    </row>
    <row r="11" spans="1:34" ht="25.5" customHeight="1">
      <c r="A11" s="9099"/>
      <c r="B11" s="9101"/>
      <c r="C11" s="9220"/>
      <c r="D11" s="8938"/>
      <c r="E11" s="8938"/>
      <c r="F11" s="8938"/>
      <c r="G11" s="8938"/>
      <c r="H11" s="8938"/>
      <c r="I11" s="8938"/>
      <c r="J11" s="9206"/>
      <c r="K11" s="8938"/>
      <c r="L11" s="8938"/>
      <c r="M11" s="8954"/>
      <c r="N11" s="8954"/>
      <c r="O11" s="8954"/>
      <c r="P11" s="8938"/>
      <c r="Q11" s="8938"/>
      <c r="R11" s="9206"/>
      <c r="S11" s="1083"/>
      <c r="T11" s="4959"/>
      <c r="U11" s="4959"/>
      <c r="V11" s="1051"/>
      <c r="W11" s="1688"/>
      <c r="X11" s="1052"/>
      <c r="Y11" s="5043"/>
      <c r="Z11" s="5043"/>
      <c r="AA11" s="5043"/>
      <c r="AB11" s="5044"/>
      <c r="AC11" s="5045"/>
      <c r="AD11" s="1053"/>
      <c r="AE11" s="116"/>
      <c r="AF11" s="117"/>
      <c r="AG11" s="118"/>
      <c r="AH11" s="9209"/>
    </row>
    <row r="12" spans="1:34" ht="25.5" customHeight="1">
      <c r="A12" s="9099"/>
      <c r="B12" s="9101"/>
      <c r="C12" s="9220"/>
      <c r="D12" s="8938"/>
      <c r="E12" s="8938"/>
      <c r="F12" s="8938"/>
      <c r="G12" s="8938"/>
      <c r="H12" s="8938"/>
      <c r="I12" s="8938"/>
      <c r="J12" s="9206"/>
      <c r="K12" s="8938"/>
      <c r="L12" s="8938"/>
      <c r="M12" s="8954"/>
      <c r="N12" s="8954"/>
      <c r="O12" s="8954"/>
      <c r="P12" s="8938"/>
      <c r="Q12" s="8938"/>
      <c r="R12" s="9206"/>
      <c r="S12" s="1046"/>
      <c r="T12" s="4968"/>
      <c r="U12" s="4968"/>
      <c r="V12" s="1051"/>
      <c r="W12" s="1688"/>
      <c r="X12" s="1052"/>
      <c r="Y12" s="5043"/>
      <c r="Z12" s="5043"/>
      <c r="AA12" s="5043"/>
      <c r="AB12" s="5044"/>
      <c r="AC12" s="5045"/>
      <c r="AD12" s="1053"/>
      <c r="AE12" s="116"/>
      <c r="AF12" s="117"/>
      <c r="AG12" s="118"/>
      <c r="AH12" s="9209"/>
    </row>
    <row r="13" spans="1:34" ht="25.5" customHeight="1">
      <c r="A13" s="9099"/>
      <c r="B13" s="9101"/>
      <c r="C13" s="9221"/>
      <c r="D13" s="8939"/>
      <c r="E13" s="8939"/>
      <c r="F13" s="8939"/>
      <c r="G13" s="8939"/>
      <c r="H13" s="8939"/>
      <c r="I13" s="8939"/>
      <c r="J13" s="9207"/>
      <c r="K13" s="8939"/>
      <c r="L13" s="8939"/>
      <c r="M13" s="8955"/>
      <c r="N13" s="8955"/>
      <c r="O13" s="8955"/>
      <c r="P13" s="8939"/>
      <c r="Q13" s="8939"/>
      <c r="R13" s="9207"/>
      <c r="S13" s="1085"/>
      <c r="T13" s="4969"/>
      <c r="U13" s="4967"/>
      <c r="V13" s="1068"/>
      <c r="W13" s="1691"/>
      <c r="X13" s="1069"/>
      <c r="Y13" s="5046"/>
      <c r="Z13" s="5046"/>
      <c r="AA13" s="5046"/>
      <c r="AB13" s="5047"/>
      <c r="AC13" s="5048"/>
      <c r="AD13" s="1070"/>
      <c r="AE13" s="119"/>
      <c r="AF13" s="120"/>
      <c r="AG13" s="121"/>
      <c r="AH13" s="9210"/>
    </row>
    <row r="14" spans="1:34" ht="25.5" customHeight="1">
      <c r="A14" s="9099"/>
      <c r="B14" s="9101"/>
      <c r="C14" s="9125" t="s">
        <v>127</v>
      </c>
      <c r="D14" s="8834" t="s">
        <v>128</v>
      </c>
      <c r="E14" s="8834" t="s">
        <v>140</v>
      </c>
      <c r="F14" s="8834" t="s">
        <v>238</v>
      </c>
      <c r="G14" s="8974" t="s">
        <v>131</v>
      </c>
      <c r="H14" s="8834" t="s">
        <v>132</v>
      </c>
      <c r="I14" s="8834" t="s">
        <v>159</v>
      </c>
      <c r="J14" s="9218" t="s">
        <v>542</v>
      </c>
      <c r="K14" s="8834" t="s">
        <v>543</v>
      </c>
      <c r="L14" s="8834" t="s">
        <v>544</v>
      </c>
      <c r="M14" s="8979">
        <v>0</v>
      </c>
      <c r="N14" s="8979">
        <v>0</v>
      </c>
      <c r="O14" s="8979">
        <v>10</v>
      </c>
      <c r="P14" s="8980" t="s">
        <v>545</v>
      </c>
      <c r="Q14" s="9204" t="s">
        <v>546</v>
      </c>
      <c r="R14" s="9205" t="s">
        <v>547</v>
      </c>
      <c r="S14" s="2248" t="s">
        <v>15</v>
      </c>
      <c r="T14" s="5029">
        <v>840107</v>
      </c>
      <c r="U14" s="6253"/>
      <c r="V14" s="2249" t="s">
        <v>40</v>
      </c>
      <c r="W14" s="2250"/>
      <c r="X14" s="2251"/>
      <c r="Y14" s="5049"/>
      <c r="Z14" s="5049"/>
      <c r="AA14" s="5049"/>
      <c r="AB14" s="5050">
        <f>SUM($AA$15:$AA$17)</f>
        <v>0</v>
      </c>
      <c r="AC14" s="5051" t="s">
        <v>18</v>
      </c>
      <c r="AD14" s="1062"/>
      <c r="AE14" s="113"/>
      <c r="AF14" s="122"/>
      <c r="AG14" s="123"/>
      <c r="AH14" s="9208" t="s">
        <v>548</v>
      </c>
    </row>
    <row r="15" spans="1:34" ht="25.5" customHeight="1">
      <c r="A15" s="9099"/>
      <c r="B15" s="9101"/>
      <c r="C15" s="9220"/>
      <c r="D15" s="8938"/>
      <c r="E15" s="8938"/>
      <c r="F15" s="8938"/>
      <c r="G15" s="8938"/>
      <c r="H15" s="8938"/>
      <c r="I15" s="8938"/>
      <c r="J15" s="9025"/>
      <c r="K15" s="8938"/>
      <c r="L15" s="8938"/>
      <c r="M15" s="8954"/>
      <c r="N15" s="8954"/>
      <c r="O15" s="8954"/>
      <c r="P15" s="8938"/>
      <c r="Q15" s="8938"/>
      <c r="R15" s="9206"/>
      <c r="S15" s="1083"/>
      <c r="T15" s="4958"/>
      <c r="U15" s="4959">
        <v>452200016</v>
      </c>
      <c r="V15" s="1073" t="s">
        <v>198</v>
      </c>
      <c r="W15" s="1688"/>
      <c r="X15" s="1052" t="s">
        <v>180</v>
      </c>
      <c r="Y15" s="5043">
        <v>1600</v>
      </c>
      <c r="Z15" s="5043">
        <f t="shared" ref="Z15" si="0">+W15*Y15</f>
        <v>0</v>
      </c>
      <c r="AA15" s="5043">
        <f t="shared" ref="AA15" si="1">+Z15*1.12</f>
        <v>0</v>
      </c>
      <c r="AB15" s="5044"/>
      <c r="AC15" s="5045"/>
      <c r="AD15" s="1053"/>
      <c r="AE15" s="116"/>
      <c r="AF15" s="116"/>
      <c r="AG15" s="124"/>
      <c r="AH15" s="9209"/>
    </row>
    <row r="16" spans="1:34" ht="25.5" customHeight="1">
      <c r="A16" s="9099"/>
      <c r="B16" s="9101"/>
      <c r="C16" s="9220"/>
      <c r="D16" s="8938"/>
      <c r="E16" s="8938"/>
      <c r="F16" s="8938"/>
      <c r="G16" s="8938"/>
      <c r="H16" s="8938"/>
      <c r="I16" s="8938"/>
      <c r="J16" s="9025"/>
      <c r="K16" s="8938"/>
      <c r="L16" s="8938"/>
      <c r="M16" s="8954"/>
      <c r="N16" s="8954"/>
      <c r="O16" s="8954"/>
      <c r="P16" s="8938"/>
      <c r="Q16" s="8938"/>
      <c r="R16" s="9206"/>
      <c r="S16" s="1083"/>
      <c r="T16" s="4958"/>
      <c r="U16" s="4959"/>
      <c r="V16" s="2094"/>
      <c r="W16" s="2095"/>
      <c r="X16" s="2093"/>
      <c r="Y16" s="5052"/>
      <c r="Z16" s="5052"/>
      <c r="AA16" s="5052"/>
      <c r="AB16" s="5044"/>
      <c r="AC16" s="5045"/>
      <c r="AD16" s="1053"/>
      <c r="AE16" s="116"/>
      <c r="AF16" s="2144"/>
      <c r="AG16" s="118"/>
      <c r="AH16" s="9209"/>
    </row>
    <row r="17" spans="1:34" ht="25.5" customHeight="1">
      <c r="A17" s="9099"/>
      <c r="B17" s="9101"/>
      <c r="C17" s="9220"/>
      <c r="D17" s="8938"/>
      <c r="E17" s="8938"/>
      <c r="F17" s="8938"/>
      <c r="G17" s="8938"/>
      <c r="H17" s="8938"/>
      <c r="I17" s="8938"/>
      <c r="J17" s="9025"/>
      <c r="K17" s="8938"/>
      <c r="L17" s="8938"/>
      <c r="M17" s="8954"/>
      <c r="N17" s="8954"/>
      <c r="O17" s="8954"/>
      <c r="P17" s="8938"/>
      <c r="Q17" s="8938"/>
      <c r="R17" s="9206"/>
      <c r="S17" s="1083"/>
      <c r="T17" s="4958"/>
      <c r="U17" s="4959"/>
      <c r="V17" s="1051"/>
      <c r="W17" s="1688"/>
      <c r="X17" s="1052"/>
      <c r="Y17" s="5043"/>
      <c r="Z17" s="5043"/>
      <c r="AA17" s="5043"/>
      <c r="AB17" s="5044"/>
      <c r="AC17" s="5045"/>
      <c r="AD17" s="1053"/>
      <c r="AE17" s="116"/>
      <c r="AF17" s="116"/>
      <c r="AG17" s="118"/>
      <c r="AH17" s="9209"/>
    </row>
    <row r="18" spans="1:34" ht="25.5" customHeight="1">
      <c r="A18" s="9099"/>
      <c r="B18" s="9101"/>
      <c r="C18" s="9221"/>
      <c r="D18" s="8939"/>
      <c r="E18" s="8939"/>
      <c r="F18" s="8939"/>
      <c r="G18" s="8939"/>
      <c r="H18" s="8939"/>
      <c r="I18" s="8939"/>
      <c r="J18" s="9026"/>
      <c r="K18" s="8939"/>
      <c r="L18" s="8939"/>
      <c r="M18" s="8955"/>
      <c r="N18" s="8955"/>
      <c r="O18" s="8955"/>
      <c r="P18" s="8939"/>
      <c r="Q18" s="8939"/>
      <c r="R18" s="9207"/>
      <c r="S18" s="1085"/>
      <c r="T18" s="4969"/>
      <c r="U18" s="4967"/>
      <c r="V18" s="1068"/>
      <c r="W18" s="1691"/>
      <c r="X18" s="1069"/>
      <c r="Y18" s="5046"/>
      <c r="Z18" s="5046"/>
      <c r="AA18" s="5046"/>
      <c r="AB18" s="5047"/>
      <c r="AC18" s="5048"/>
      <c r="AD18" s="1070"/>
      <c r="AE18" s="119"/>
      <c r="AF18" s="119"/>
      <c r="AG18" s="121"/>
      <c r="AH18" s="9210"/>
    </row>
    <row r="19" spans="1:34" ht="18" customHeight="1">
      <c r="A19" s="9099"/>
      <c r="B19" s="9101"/>
      <c r="C19" s="9223" t="s">
        <v>127</v>
      </c>
      <c r="D19" s="8782" t="s">
        <v>128</v>
      </c>
      <c r="E19" s="8782" t="s">
        <v>140</v>
      </c>
      <c r="F19" s="8782" t="s">
        <v>238</v>
      </c>
      <c r="G19" s="8977" t="s">
        <v>131</v>
      </c>
      <c r="H19" s="8782" t="s">
        <v>213</v>
      </c>
      <c r="I19" s="8782" t="s">
        <v>159</v>
      </c>
      <c r="J19" s="9228" t="s">
        <v>549</v>
      </c>
      <c r="K19" s="8782" t="s">
        <v>550</v>
      </c>
      <c r="L19" s="8782" t="s">
        <v>551</v>
      </c>
      <c r="M19" s="8823">
        <v>150</v>
      </c>
      <c r="N19" s="8823">
        <v>150</v>
      </c>
      <c r="O19" s="8823">
        <v>150</v>
      </c>
      <c r="P19" s="8956" t="s">
        <v>552</v>
      </c>
      <c r="Q19" s="9204" t="s">
        <v>546</v>
      </c>
      <c r="R19" s="9205" t="s">
        <v>541</v>
      </c>
      <c r="S19" s="1086" t="s">
        <v>15</v>
      </c>
      <c r="T19" s="4956">
        <v>840107</v>
      </c>
      <c r="U19" s="4957"/>
      <c r="V19" s="1060" t="s">
        <v>40</v>
      </c>
      <c r="W19" s="1690"/>
      <c r="X19" s="1061"/>
      <c r="Y19" s="5053"/>
      <c r="Z19" s="5053"/>
      <c r="AA19" s="5053"/>
      <c r="AB19" s="5054">
        <f>SUM($AA$20:$AA$21)</f>
        <v>1949.2640000000004</v>
      </c>
      <c r="AC19" s="5055" t="s">
        <v>18</v>
      </c>
      <c r="AD19" s="1062"/>
      <c r="AE19" s="113"/>
      <c r="AF19" s="114"/>
      <c r="AG19" s="115"/>
      <c r="AH19" s="9208" t="s">
        <v>553</v>
      </c>
    </row>
    <row r="20" spans="1:34" ht="17.25" customHeight="1">
      <c r="A20" s="9099"/>
      <c r="B20" s="9101"/>
      <c r="C20" s="9220"/>
      <c r="D20" s="8938"/>
      <c r="E20" s="8938"/>
      <c r="F20" s="8938"/>
      <c r="G20" s="8938"/>
      <c r="H20" s="8938"/>
      <c r="I20" s="8938"/>
      <c r="J20" s="8941"/>
      <c r="K20" s="8938"/>
      <c r="L20" s="8938"/>
      <c r="M20" s="8954"/>
      <c r="N20" s="8954"/>
      <c r="O20" s="8954"/>
      <c r="P20" s="8938"/>
      <c r="Q20" s="8938"/>
      <c r="R20" s="9206"/>
      <c r="S20" s="1083"/>
      <c r="T20" s="4958"/>
      <c r="U20" s="4953">
        <v>452200016</v>
      </c>
      <c r="V20" s="3366" t="s">
        <v>554</v>
      </c>
      <c r="W20" s="3191">
        <v>1</v>
      </c>
      <c r="X20" s="3192" t="s">
        <v>180</v>
      </c>
      <c r="Y20" s="5056">
        <f>1311.7+(0.8/1.12)</f>
        <v>1312.4142857142858</v>
      </c>
      <c r="Z20" s="5056">
        <f t="shared" ref="Z20:Z21" si="2">+W20*Y20</f>
        <v>1312.4142857142858</v>
      </c>
      <c r="AA20" s="5056">
        <f t="shared" ref="AA20:AA21" si="3">+Z20*1.12</f>
        <v>1469.9040000000002</v>
      </c>
      <c r="AB20" s="5044"/>
      <c r="AC20" s="5045"/>
      <c r="AD20" s="1053"/>
      <c r="AE20" s="116"/>
      <c r="AF20" s="117"/>
      <c r="AG20" s="118" t="s">
        <v>153</v>
      </c>
      <c r="AH20" s="9209"/>
    </row>
    <row r="21" spans="1:34" ht="17.25" customHeight="1">
      <c r="A21" s="9099"/>
      <c r="B21" s="9101"/>
      <c r="C21" s="9220"/>
      <c r="D21" s="8938"/>
      <c r="E21" s="8938"/>
      <c r="F21" s="8938"/>
      <c r="G21" s="8938"/>
      <c r="H21" s="8938"/>
      <c r="I21" s="8938"/>
      <c r="J21" s="8941"/>
      <c r="K21" s="8938"/>
      <c r="L21" s="8938"/>
      <c r="M21" s="8954"/>
      <c r="N21" s="8954"/>
      <c r="O21" s="8954"/>
      <c r="P21" s="8938"/>
      <c r="Q21" s="8938"/>
      <c r="R21" s="9206"/>
      <c r="S21" s="1083"/>
      <c r="T21" s="5030"/>
      <c r="U21" s="4960">
        <v>4516003171</v>
      </c>
      <c r="V21" s="1095" t="s">
        <v>383</v>
      </c>
      <c r="W21" s="1686">
        <v>1</v>
      </c>
      <c r="X21" s="1043" t="s">
        <v>180</v>
      </c>
      <c r="Y21" s="5057">
        <v>428</v>
      </c>
      <c r="Z21" s="5057">
        <f t="shared" si="2"/>
        <v>428</v>
      </c>
      <c r="AA21" s="5057">
        <f t="shared" si="3"/>
        <v>479.36000000000007</v>
      </c>
      <c r="AB21" s="5058"/>
      <c r="AC21" s="5059"/>
      <c r="AD21" s="1044"/>
      <c r="AE21" s="831"/>
      <c r="AF21" s="832" t="s">
        <v>153</v>
      </c>
      <c r="AG21" s="833"/>
      <c r="AH21" s="9209"/>
    </row>
    <row r="22" spans="1:34" ht="54" customHeight="1">
      <c r="A22" s="9099"/>
      <c r="B22" s="9101"/>
      <c r="C22" s="9220"/>
      <c r="D22" s="8938"/>
      <c r="E22" s="8938"/>
      <c r="F22" s="8938"/>
      <c r="G22" s="8938"/>
      <c r="H22" s="8938"/>
      <c r="I22" s="8938"/>
      <c r="J22" s="8941"/>
      <c r="K22" s="8938"/>
      <c r="L22" s="8938"/>
      <c r="M22" s="8954"/>
      <c r="N22" s="8954"/>
      <c r="O22" s="8954"/>
      <c r="P22" s="8938"/>
      <c r="Q22" s="8938"/>
      <c r="R22" s="9206"/>
      <c r="S22" s="1046" t="s">
        <v>15</v>
      </c>
      <c r="T22" s="4963">
        <v>530204</v>
      </c>
      <c r="U22" s="4965"/>
      <c r="V22" s="1047" t="s">
        <v>390</v>
      </c>
      <c r="W22" s="1687"/>
      <c r="X22" s="1048"/>
      <c r="Y22" s="5040"/>
      <c r="Z22" s="5040"/>
      <c r="AA22" s="5040"/>
      <c r="AB22" s="5060">
        <f>SUM($AA$23:$AA$24)</f>
        <v>388.16</v>
      </c>
      <c r="AC22" s="5061" t="s">
        <v>18</v>
      </c>
      <c r="AD22" s="1040"/>
      <c r="AE22" s="443"/>
      <c r="AF22" s="444"/>
      <c r="AG22" s="801"/>
      <c r="AH22" s="9209"/>
    </row>
    <row r="23" spans="1:34" ht="18" customHeight="1">
      <c r="A23" s="9099"/>
      <c r="B23" s="9101"/>
      <c r="C23" s="9220"/>
      <c r="D23" s="8938"/>
      <c r="E23" s="8938"/>
      <c r="F23" s="8938"/>
      <c r="G23" s="8938"/>
      <c r="H23" s="8938"/>
      <c r="I23" s="8938"/>
      <c r="J23" s="8941"/>
      <c r="K23" s="8938"/>
      <c r="L23" s="8938"/>
      <c r="M23" s="8954"/>
      <c r="N23" s="8954"/>
      <c r="O23" s="8954"/>
      <c r="P23" s="8938"/>
      <c r="Q23" s="8938"/>
      <c r="R23" s="9206"/>
      <c r="S23" s="1046"/>
      <c r="T23" s="4963"/>
      <c r="U23" s="4965"/>
      <c r="V23" s="7655" t="s">
        <v>555</v>
      </c>
      <c r="W23" s="3188">
        <v>1</v>
      </c>
      <c r="X23" s="3189" t="s">
        <v>152</v>
      </c>
      <c r="Y23" s="5062">
        <f>388.16/1.12</f>
        <v>346.57142857142856</v>
      </c>
      <c r="Z23" s="5056">
        <f t="shared" ref="Z23" si="4">+W23*Y23</f>
        <v>346.57142857142856</v>
      </c>
      <c r="AA23" s="5056">
        <f t="shared" ref="AA23" si="5">+Z23*1.12</f>
        <v>388.16</v>
      </c>
      <c r="AB23" s="5041"/>
      <c r="AC23" s="5042"/>
      <c r="AD23" s="1040"/>
      <c r="AE23" s="443"/>
      <c r="AF23" s="444" t="s">
        <v>153</v>
      </c>
      <c r="AG23" s="801" t="s">
        <v>153</v>
      </c>
      <c r="AH23" s="9209"/>
    </row>
    <row r="24" spans="1:34" ht="18" customHeight="1">
      <c r="A24" s="9099"/>
      <c r="B24" s="9101"/>
      <c r="C24" s="9220"/>
      <c r="D24" s="8938"/>
      <c r="E24" s="8938"/>
      <c r="F24" s="8938"/>
      <c r="G24" s="8938"/>
      <c r="H24" s="8938"/>
      <c r="I24" s="8938"/>
      <c r="J24" s="8941"/>
      <c r="K24" s="8938"/>
      <c r="L24" s="8938"/>
      <c r="M24" s="8954"/>
      <c r="N24" s="8954"/>
      <c r="O24" s="8954"/>
      <c r="P24" s="8938"/>
      <c r="Q24" s="8938"/>
      <c r="R24" s="9206"/>
      <c r="S24" s="1083"/>
      <c r="T24" s="4958"/>
      <c r="U24" s="4959">
        <v>843000011</v>
      </c>
      <c r="V24" s="1073" t="s">
        <v>392</v>
      </c>
      <c r="W24" s="1688"/>
      <c r="X24" s="1052" t="s">
        <v>180</v>
      </c>
      <c r="Y24" s="5043">
        <v>300</v>
      </c>
      <c r="Z24" s="5043">
        <f t="shared" ref="Z24" si="6">+W24*Y24</f>
        <v>0</v>
      </c>
      <c r="AA24" s="5043">
        <f t="shared" ref="AA24" si="7">+Z24*1.12</f>
        <v>0</v>
      </c>
      <c r="AB24" s="5044"/>
      <c r="AC24" s="5045"/>
      <c r="AD24" s="1053"/>
      <c r="AE24" s="116"/>
      <c r="AF24" s="117"/>
      <c r="AG24" s="118"/>
      <c r="AH24" s="9209"/>
    </row>
    <row r="25" spans="1:34" ht="25.5" customHeight="1">
      <c r="A25" s="9099"/>
      <c r="B25" s="9235"/>
      <c r="C25" s="9223" t="s">
        <v>127</v>
      </c>
      <c r="D25" s="8782" t="s">
        <v>128</v>
      </c>
      <c r="E25" s="8782" t="s">
        <v>140</v>
      </c>
      <c r="F25" s="8782" t="s">
        <v>212</v>
      </c>
      <c r="G25" s="8977" t="s">
        <v>131</v>
      </c>
      <c r="H25" s="8782" t="s">
        <v>132</v>
      </c>
      <c r="I25" s="8782" t="s">
        <v>159</v>
      </c>
      <c r="J25" s="9228" t="s">
        <v>556</v>
      </c>
      <c r="K25" s="8782" t="s">
        <v>557</v>
      </c>
      <c r="L25" s="8782" t="s">
        <v>558</v>
      </c>
      <c r="M25" s="8823">
        <v>150</v>
      </c>
      <c r="N25" s="8823">
        <v>150</v>
      </c>
      <c r="O25" s="8823">
        <v>150</v>
      </c>
      <c r="P25" s="8956" t="s">
        <v>559</v>
      </c>
      <c r="Q25" s="9027" t="s">
        <v>560</v>
      </c>
      <c r="R25" s="9217" t="s">
        <v>541</v>
      </c>
      <c r="S25" s="1086"/>
      <c r="T25" s="4956"/>
      <c r="U25" s="4957"/>
      <c r="V25" s="1060"/>
      <c r="W25" s="1690"/>
      <c r="X25" s="1061"/>
      <c r="Y25" s="5053"/>
      <c r="Z25" s="5053"/>
      <c r="AA25" s="5053"/>
      <c r="AB25" s="5063"/>
      <c r="AC25" s="5055"/>
      <c r="AD25" s="1062"/>
      <c r="AE25" s="113"/>
      <c r="AF25" s="114"/>
      <c r="AG25" s="115"/>
      <c r="AH25" s="9208"/>
    </row>
    <row r="26" spans="1:34" ht="25.5" customHeight="1">
      <c r="A26" s="9099"/>
      <c r="B26" s="9235"/>
      <c r="C26" s="9220"/>
      <c r="D26" s="8938"/>
      <c r="E26" s="8938"/>
      <c r="F26" s="8938"/>
      <c r="G26" s="8938"/>
      <c r="H26" s="8938"/>
      <c r="I26" s="8938"/>
      <c r="J26" s="8941"/>
      <c r="K26" s="8938"/>
      <c r="L26" s="8938"/>
      <c r="M26" s="8954"/>
      <c r="N26" s="8954"/>
      <c r="O26" s="8954"/>
      <c r="P26" s="8938"/>
      <c r="Q26" s="8938"/>
      <c r="R26" s="9206"/>
      <c r="S26" s="1083"/>
      <c r="T26" s="4959"/>
      <c r="U26" s="4959"/>
      <c r="V26" s="1051"/>
      <c r="W26" s="1688"/>
      <c r="X26" s="1052"/>
      <c r="Y26" s="5043"/>
      <c r="Z26" s="5043"/>
      <c r="AA26" s="5043"/>
      <c r="AB26" s="5044"/>
      <c r="AC26" s="5045"/>
      <c r="AD26" s="1053"/>
      <c r="AE26" s="116"/>
      <c r="AF26" s="117"/>
      <c r="AG26" s="118"/>
      <c r="AH26" s="9209"/>
    </row>
    <row r="27" spans="1:34" ht="25.5" customHeight="1">
      <c r="A27" s="9099"/>
      <c r="B27" s="9235"/>
      <c r="C27" s="9220"/>
      <c r="D27" s="8938"/>
      <c r="E27" s="8938"/>
      <c r="F27" s="8938"/>
      <c r="G27" s="8938"/>
      <c r="H27" s="8938"/>
      <c r="I27" s="8938"/>
      <c r="J27" s="8941"/>
      <c r="K27" s="8938"/>
      <c r="L27" s="8938"/>
      <c r="M27" s="8954"/>
      <c r="N27" s="8954"/>
      <c r="O27" s="8954"/>
      <c r="P27" s="8938"/>
      <c r="Q27" s="8938"/>
      <c r="R27" s="9206"/>
      <c r="S27" s="1083"/>
      <c r="T27" s="4959"/>
      <c r="U27" s="4959"/>
      <c r="V27" s="1051"/>
      <c r="W27" s="1688"/>
      <c r="X27" s="1052"/>
      <c r="Y27" s="5043"/>
      <c r="Z27" s="5043"/>
      <c r="AA27" s="5043"/>
      <c r="AB27" s="5044"/>
      <c r="AC27" s="5045"/>
      <c r="AD27" s="1053"/>
      <c r="AE27" s="116"/>
      <c r="AF27" s="117"/>
      <c r="AG27" s="118"/>
      <c r="AH27" s="9209"/>
    </row>
    <row r="28" spans="1:34" ht="25.5" customHeight="1">
      <c r="A28" s="9099"/>
      <c r="B28" s="9235"/>
      <c r="C28" s="9220"/>
      <c r="D28" s="8938"/>
      <c r="E28" s="8938"/>
      <c r="F28" s="8938"/>
      <c r="G28" s="8938"/>
      <c r="H28" s="8938"/>
      <c r="I28" s="8938"/>
      <c r="J28" s="8941"/>
      <c r="K28" s="8938"/>
      <c r="L28" s="8938"/>
      <c r="M28" s="8954"/>
      <c r="N28" s="8954"/>
      <c r="O28" s="8954"/>
      <c r="P28" s="8938"/>
      <c r="Q28" s="8938"/>
      <c r="R28" s="9206"/>
      <c r="S28" s="1083"/>
      <c r="T28" s="4959"/>
      <c r="U28" s="4959"/>
      <c r="V28" s="1051"/>
      <c r="W28" s="1688"/>
      <c r="X28" s="1052"/>
      <c r="Y28" s="5043"/>
      <c r="Z28" s="5043"/>
      <c r="AA28" s="5043"/>
      <c r="AB28" s="5044"/>
      <c r="AC28" s="5045"/>
      <c r="AD28" s="1053"/>
      <c r="AE28" s="116"/>
      <c r="AF28" s="117"/>
      <c r="AG28" s="118"/>
      <c r="AH28" s="9209"/>
    </row>
    <row r="29" spans="1:34" ht="25.5" customHeight="1">
      <c r="A29" s="9148"/>
      <c r="B29" s="9236"/>
      <c r="C29" s="9221"/>
      <c r="D29" s="8939"/>
      <c r="E29" s="8939"/>
      <c r="F29" s="8939"/>
      <c r="G29" s="8939"/>
      <c r="H29" s="8939"/>
      <c r="I29" s="8939"/>
      <c r="J29" s="8942"/>
      <c r="K29" s="8939"/>
      <c r="L29" s="8939"/>
      <c r="M29" s="8955"/>
      <c r="N29" s="8955"/>
      <c r="O29" s="8955"/>
      <c r="P29" s="8939"/>
      <c r="Q29" s="8939"/>
      <c r="R29" s="9207"/>
      <c r="S29" s="1085"/>
      <c r="T29" s="4967"/>
      <c r="U29" s="4967"/>
      <c r="V29" s="1068"/>
      <c r="W29" s="1691"/>
      <c r="X29" s="1069"/>
      <c r="Y29" s="5046"/>
      <c r="Z29" s="5046"/>
      <c r="AA29" s="5046"/>
      <c r="AB29" s="5047"/>
      <c r="AC29" s="5048"/>
      <c r="AD29" s="1070"/>
      <c r="AE29" s="119"/>
      <c r="AF29" s="120"/>
      <c r="AG29" s="121"/>
      <c r="AH29" s="9210"/>
    </row>
    <row r="30" spans="1:34" ht="25.5" customHeight="1">
      <c r="A30" s="9239" t="s">
        <v>535</v>
      </c>
      <c r="B30" s="9238" t="s">
        <v>535</v>
      </c>
      <c r="C30" s="9223" t="s">
        <v>127</v>
      </c>
      <c r="D30" s="8782" t="s">
        <v>128</v>
      </c>
      <c r="E30" s="8782" t="s">
        <v>129</v>
      </c>
      <c r="F30" s="8782" t="s">
        <v>268</v>
      </c>
      <c r="G30" s="8977" t="s">
        <v>131</v>
      </c>
      <c r="H30" s="8782" t="s">
        <v>132</v>
      </c>
      <c r="I30" s="8782" t="s">
        <v>159</v>
      </c>
      <c r="J30" s="9228" t="s">
        <v>561</v>
      </c>
      <c r="K30" s="8782" t="s">
        <v>562</v>
      </c>
      <c r="L30" s="8782" t="s">
        <v>563</v>
      </c>
      <c r="M30" s="8823">
        <v>40</v>
      </c>
      <c r="N30" s="8823">
        <v>40</v>
      </c>
      <c r="O30" s="8823">
        <v>40</v>
      </c>
      <c r="P30" s="8956" t="s">
        <v>564</v>
      </c>
      <c r="Q30" s="9027" t="s">
        <v>565</v>
      </c>
      <c r="R30" s="9217" t="s">
        <v>566</v>
      </c>
      <c r="S30" s="1086"/>
      <c r="T30" s="4957"/>
      <c r="U30" s="4957"/>
      <c r="V30" s="1060"/>
      <c r="W30" s="1690"/>
      <c r="X30" s="1061"/>
      <c r="Y30" s="5053"/>
      <c r="Z30" s="5053"/>
      <c r="AA30" s="5053"/>
      <c r="AB30" s="5063"/>
      <c r="AC30" s="5055"/>
      <c r="AD30" s="1062"/>
      <c r="AE30" s="113"/>
      <c r="AF30" s="114"/>
      <c r="AG30" s="115"/>
      <c r="AH30" s="9208"/>
    </row>
    <row r="31" spans="1:34" ht="25.5" customHeight="1">
      <c r="A31" s="9099"/>
      <c r="B31" s="9101"/>
      <c r="C31" s="9220"/>
      <c r="D31" s="8938"/>
      <c r="E31" s="8938"/>
      <c r="F31" s="8938"/>
      <c r="G31" s="8938"/>
      <c r="H31" s="8938"/>
      <c r="I31" s="8938"/>
      <c r="J31" s="8941"/>
      <c r="K31" s="8938"/>
      <c r="L31" s="8938"/>
      <c r="M31" s="8954"/>
      <c r="N31" s="8954"/>
      <c r="O31" s="8954"/>
      <c r="P31" s="8938"/>
      <c r="Q31" s="8938"/>
      <c r="R31" s="9206"/>
      <c r="S31" s="1083"/>
      <c r="T31" s="4959"/>
      <c r="U31" s="4959"/>
      <c r="V31" s="1051"/>
      <c r="W31" s="1688"/>
      <c r="X31" s="1052"/>
      <c r="Y31" s="5043"/>
      <c r="Z31" s="5043"/>
      <c r="AA31" s="5043"/>
      <c r="AB31" s="5044"/>
      <c r="AC31" s="5045"/>
      <c r="AD31" s="1053"/>
      <c r="AE31" s="116"/>
      <c r="AF31" s="117"/>
      <c r="AG31" s="118"/>
      <c r="AH31" s="9209"/>
    </row>
    <row r="32" spans="1:34" ht="25.5" customHeight="1">
      <c r="A32" s="9099"/>
      <c r="B32" s="9101"/>
      <c r="C32" s="9220"/>
      <c r="D32" s="8938"/>
      <c r="E32" s="8938"/>
      <c r="F32" s="8938"/>
      <c r="G32" s="8938"/>
      <c r="H32" s="8938"/>
      <c r="I32" s="8938"/>
      <c r="J32" s="8941"/>
      <c r="K32" s="8938"/>
      <c r="L32" s="8938"/>
      <c r="M32" s="8954"/>
      <c r="N32" s="8954"/>
      <c r="O32" s="8954"/>
      <c r="P32" s="8938"/>
      <c r="Q32" s="8938"/>
      <c r="R32" s="9206"/>
      <c r="S32" s="1083"/>
      <c r="T32" s="4959"/>
      <c r="U32" s="4959"/>
      <c r="V32" s="1051"/>
      <c r="W32" s="1688"/>
      <c r="X32" s="1052"/>
      <c r="Y32" s="5043"/>
      <c r="Z32" s="5043"/>
      <c r="AA32" s="5043"/>
      <c r="AB32" s="5044"/>
      <c r="AC32" s="5045"/>
      <c r="AD32" s="1053"/>
      <c r="AE32" s="116"/>
      <c r="AF32" s="117"/>
      <c r="AG32" s="118"/>
      <c r="AH32" s="9209"/>
    </row>
    <row r="33" spans="1:34" ht="25.5" customHeight="1">
      <c r="A33" s="9099"/>
      <c r="B33" s="9101"/>
      <c r="C33" s="9220"/>
      <c r="D33" s="8938"/>
      <c r="E33" s="8938"/>
      <c r="F33" s="8938"/>
      <c r="G33" s="8938"/>
      <c r="H33" s="8938"/>
      <c r="I33" s="8938"/>
      <c r="J33" s="8941"/>
      <c r="K33" s="8938"/>
      <c r="L33" s="8938"/>
      <c r="M33" s="8954"/>
      <c r="N33" s="8954"/>
      <c r="O33" s="8954"/>
      <c r="P33" s="8938"/>
      <c r="Q33" s="8938"/>
      <c r="R33" s="9206"/>
      <c r="S33" s="1083"/>
      <c r="T33" s="4959"/>
      <c r="U33" s="4959"/>
      <c r="V33" s="1051"/>
      <c r="W33" s="1688"/>
      <c r="X33" s="1052"/>
      <c r="Y33" s="5043"/>
      <c r="Z33" s="5043"/>
      <c r="AA33" s="5043"/>
      <c r="AB33" s="5044"/>
      <c r="AC33" s="5045"/>
      <c r="AD33" s="1053"/>
      <c r="AE33" s="116"/>
      <c r="AF33" s="117"/>
      <c r="AG33" s="118"/>
      <c r="AH33" s="9209"/>
    </row>
    <row r="34" spans="1:34" ht="25.5" customHeight="1">
      <c r="A34" s="9099"/>
      <c r="B34" s="9101"/>
      <c r="C34" s="9221"/>
      <c r="D34" s="8939"/>
      <c r="E34" s="8939"/>
      <c r="F34" s="8939"/>
      <c r="G34" s="8939"/>
      <c r="H34" s="8939"/>
      <c r="I34" s="8939"/>
      <c r="J34" s="8942"/>
      <c r="K34" s="8939"/>
      <c r="L34" s="8939"/>
      <c r="M34" s="8955"/>
      <c r="N34" s="8955"/>
      <c r="O34" s="8955"/>
      <c r="P34" s="8939"/>
      <c r="Q34" s="8939"/>
      <c r="R34" s="9207"/>
      <c r="S34" s="1085"/>
      <c r="T34" s="4969"/>
      <c r="U34" s="4967"/>
      <c r="V34" s="1068"/>
      <c r="W34" s="1691"/>
      <c r="X34" s="1069"/>
      <c r="Y34" s="5046"/>
      <c r="Z34" s="5046"/>
      <c r="AA34" s="5046"/>
      <c r="AB34" s="5047"/>
      <c r="AC34" s="5048"/>
      <c r="AD34" s="1070"/>
      <c r="AE34" s="119"/>
      <c r="AF34" s="120"/>
      <c r="AG34" s="121"/>
      <c r="AH34" s="9210"/>
    </row>
    <row r="35" spans="1:34" ht="21" customHeight="1">
      <c r="A35" s="9099"/>
      <c r="B35" s="9101"/>
      <c r="C35" s="9125" t="s">
        <v>127</v>
      </c>
      <c r="D35" s="8834" t="s">
        <v>128</v>
      </c>
      <c r="E35" s="8834" t="s">
        <v>140</v>
      </c>
      <c r="F35" s="8834" t="s">
        <v>141</v>
      </c>
      <c r="G35" s="8974" t="s">
        <v>131</v>
      </c>
      <c r="H35" s="8834" t="s">
        <v>132</v>
      </c>
      <c r="I35" s="8834" t="s">
        <v>159</v>
      </c>
      <c r="J35" s="9228" t="s">
        <v>567</v>
      </c>
      <c r="K35" s="8782" t="s">
        <v>568</v>
      </c>
      <c r="L35" s="8834" t="s">
        <v>569</v>
      </c>
      <c r="M35" s="8979">
        <v>380</v>
      </c>
      <c r="N35" s="8979">
        <v>10</v>
      </c>
      <c r="O35" s="8979">
        <v>380</v>
      </c>
      <c r="P35" s="8980" t="s">
        <v>570</v>
      </c>
      <c r="Q35" s="9204" t="s">
        <v>571</v>
      </c>
      <c r="R35" s="9205" t="s">
        <v>572</v>
      </c>
      <c r="S35" s="1086" t="s">
        <v>15</v>
      </c>
      <c r="T35" s="4956">
        <v>840107</v>
      </c>
      <c r="U35" s="4957"/>
      <c r="V35" s="1060" t="s">
        <v>40</v>
      </c>
      <c r="W35" s="1690"/>
      <c r="X35" s="1061"/>
      <c r="Y35" s="5053"/>
      <c r="Z35" s="5053"/>
      <c r="AA35" s="5053"/>
      <c r="AB35" s="5063">
        <f>SUM($AA$36:$AA$37)</f>
        <v>0</v>
      </c>
      <c r="AC35" s="5055"/>
      <c r="AD35" s="1062"/>
      <c r="AE35" s="113"/>
      <c r="AF35" s="114"/>
      <c r="AG35" s="115"/>
      <c r="AH35" s="9208" t="s">
        <v>548</v>
      </c>
    </row>
    <row r="36" spans="1:34" ht="21" customHeight="1">
      <c r="A36" s="9099"/>
      <c r="B36" s="9101"/>
      <c r="C36" s="9220"/>
      <c r="D36" s="8938"/>
      <c r="E36" s="8938"/>
      <c r="F36" s="8938"/>
      <c r="G36" s="8938"/>
      <c r="H36" s="8938"/>
      <c r="I36" s="8938"/>
      <c r="J36" s="8941"/>
      <c r="K36" s="8938"/>
      <c r="L36" s="8938"/>
      <c r="M36" s="8954"/>
      <c r="N36" s="8954"/>
      <c r="O36" s="8954"/>
      <c r="P36" s="8938"/>
      <c r="Q36" s="8938"/>
      <c r="R36" s="9206"/>
      <c r="S36" s="1083"/>
      <c r="T36" s="4958"/>
      <c r="U36" s="4959">
        <v>45220009</v>
      </c>
      <c r="V36" s="1073" t="s">
        <v>384</v>
      </c>
      <c r="W36" s="1688">
        <v>0</v>
      </c>
      <c r="X36" s="1052" t="s">
        <v>180</v>
      </c>
      <c r="Y36" s="5043">
        <v>1500</v>
      </c>
      <c r="Z36" s="5043">
        <f t="shared" ref="Z36:Z37" si="8">+W36*Y36</f>
        <v>0</v>
      </c>
      <c r="AA36" s="5043">
        <f t="shared" ref="AA36:AA37" si="9">+Z36*1.12</f>
        <v>0</v>
      </c>
      <c r="AB36" s="5044"/>
      <c r="AC36" s="5045"/>
      <c r="AD36" s="1053"/>
      <c r="AE36" s="116"/>
      <c r="AF36" s="117"/>
      <c r="AG36" s="118"/>
      <c r="AH36" s="9209"/>
    </row>
    <row r="37" spans="1:34" ht="21" customHeight="1">
      <c r="A37" s="9099"/>
      <c r="B37" s="9101"/>
      <c r="C37" s="9220"/>
      <c r="D37" s="8938"/>
      <c r="E37" s="8938"/>
      <c r="F37" s="8938"/>
      <c r="G37" s="8938"/>
      <c r="H37" s="8938"/>
      <c r="I37" s="8938"/>
      <c r="J37" s="8941"/>
      <c r="K37" s="8938"/>
      <c r="L37" s="8938"/>
      <c r="M37" s="8954"/>
      <c r="N37" s="8954"/>
      <c r="O37" s="8954"/>
      <c r="P37" s="8938"/>
      <c r="Q37" s="8938"/>
      <c r="R37" s="9206"/>
      <c r="S37" s="1083"/>
      <c r="T37" s="5030"/>
      <c r="U37" s="4960">
        <v>4516003171</v>
      </c>
      <c r="V37" s="1095" t="s">
        <v>383</v>
      </c>
      <c r="W37" s="1686">
        <v>0</v>
      </c>
      <c r="X37" s="1043" t="s">
        <v>180</v>
      </c>
      <c r="Y37" s="5057">
        <v>900</v>
      </c>
      <c r="Z37" s="5057">
        <f t="shared" si="8"/>
        <v>0</v>
      </c>
      <c r="AA37" s="5057">
        <f t="shared" si="9"/>
        <v>0</v>
      </c>
      <c r="AB37" s="5058"/>
      <c r="AC37" s="5059"/>
      <c r="AD37" s="1044"/>
      <c r="AE37" s="831"/>
      <c r="AF37" s="832"/>
      <c r="AG37" s="833"/>
      <c r="AH37" s="9209"/>
    </row>
    <row r="38" spans="1:34" ht="21" customHeight="1">
      <c r="A38" s="9099"/>
      <c r="B38" s="9101"/>
      <c r="C38" s="9220"/>
      <c r="D38" s="8938"/>
      <c r="E38" s="8938"/>
      <c r="F38" s="8938"/>
      <c r="G38" s="8938"/>
      <c r="H38" s="8938"/>
      <c r="I38" s="8938"/>
      <c r="J38" s="8941"/>
      <c r="K38" s="8938"/>
      <c r="L38" s="8938"/>
      <c r="M38" s="8954"/>
      <c r="N38" s="8954"/>
      <c r="O38" s="8954"/>
      <c r="P38" s="8938"/>
      <c r="Q38" s="8938"/>
      <c r="R38" s="9206"/>
      <c r="S38" s="1046" t="s">
        <v>15</v>
      </c>
      <c r="T38" s="4963">
        <v>531407</v>
      </c>
      <c r="U38" s="4966"/>
      <c r="V38" s="1047" t="s">
        <v>40</v>
      </c>
      <c r="W38" s="1687"/>
      <c r="X38" s="1048"/>
      <c r="Y38" s="5040"/>
      <c r="Z38" s="5040"/>
      <c r="AA38" s="5040"/>
      <c r="AB38" s="5041">
        <f>SUM($AA$39:$AA$40)</f>
        <v>235.20000000000002</v>
      </c>
      <c r="AC38" s="5042" t="s">
        <v>18</v>
      </c>
      <c r="AD38" s="1040"/>
      <c r="AE38" s="443"/>
      <c r="AF38" s="444"/>
      <c r="AG38" s="801"/>
      <c r="AH38" s="9209"/>
    </row>
    <row r="39" spans="1:34" ht="21" customHeight="1">
      <c r="A39" s="9099"/>
      <c r="B39" s="9101"/>
      <c r="C39" s="9220"/>
      <c r="D39" s="8938"/>
      <c r="E39" s="8938"/>
      <c r="F39" s="8938"/>
      <c r="G39" s="8938"/>
      <c r="H39" s="8938"/>
      <c r="I39" s="8938"/>
      <c r="J39" s="8941"/>
      <c r="K39" s="8938"/>
      <c r="L39" s="8938"/>
      <c r="M39" s="8954"/>
      <c r="N39" s="8954"/>
      <c r="O39" s="8954"/>
      <c r="P39" s="8938"/>
      <c r="Q39" s="8938"/>
      <c r="R39" s="9206"/>
      <c r="S39" s="1083"/>
      <c r="T39" s="4958"/>
      <c r="U39" s="4959" t="s">
        <v>573</v>
      </c>
      <c r="V39" s="1051" t="s">
        <v>574</v>
      </c>
      <c r="W39" s="1688">
        <v>2</v>
      </c>
      <c r="X39" s="1052" t="s">
        <v>180</v>
      </c>
      <c r="Y39" s="5043">
        <v>60</v>
      </c>
      <c r="Z39" s="5043">
        <f t="shared" ref="Z39:Z40" si="10">+W39*Y39</f>
        <v>120</v>
      </c>
      <c r="AA39" s="5043">
        <f t="shared" ref="AA39:AA40" si="11">+Z39*1.12</f>
        <v>134.4</v>
      </c>
      <c r="AB39" s="5044"/>
      <c r="AC39" s="5045"/>
      <c r="AD39" s="1053"/>
      <c r="AE39" s="116" t="s">
        <v>153</v>
      </c>
      <c r="AF39" s="117"/>
      <c r="AG39" s="118"/>
      <c r="AH39" s="9209"/>
    </row>
    <row r="40" spans="1:34" ht="21" customHeight="1">
      <c r="A40" s="9099"/>
      <c r="B40" s="9101"/>
      <c r="C40" s="9221"/>
      <c r="D40" s="8939"/>
      <c r="E40" s="8939"/>
      <c r="F40" s="8939"/>
      <c r="G40" s="8939"/>
      <c r="H40" s="8939"/>
      <c r="I40" s="8939"/>
      <c r="J40" s="8942"/>
      <c r="K40" s="8939"/>
      <c r="L40" s="8939"/>
      <c r="M40" s="8955"/>
      <c r="N40" s="8955"/>
      <c r="O40" s="8955"/>
      <c r="P40" s="8939"/>
      <c r="Q40" s="8939"/>
      <c r="R40" s="9207"/>
      <c r="S40" s="1085"/>
      <c r="T40" s="4967"/>
      <c r="U40" s="4967" t="s">
        <v>573</v>
      </c>
      <c r="V40" s="1068" t="s">
        <v>575</v>
      </c>
      <c r="W40" s="1691">
        <v>2</v>
      </c>
      <c r="X40" s="1069" t="s">
        <v>180</v>
      </c>
      <c r="Y40" s="5046">
        <v>45</v>
      </c>
      <c r="Z40" s="5046">
        <f t="shared" si="10"/>
        <v>90</v>
      </c>
      <c r="AA40" s="5046">
        <f t="shared" si="11"/>
        <v>100.80000000000001</v>
      </c>
      <c r="AB40" s="5047"/>
      <c r="AC40" s="5048"/>
      <c r="AD40" s="1070"/>
      <c r="AE40" s="119"/>
      <c r="AF40" s="119" t="s">
        <v>153</v>
      </c>
      <c r="AG40" s="121"/>
      <c r="AH40" s="9210"/>
    </row>
    <row r="41" spans="1:34" ht="25.5" customHeight="1">
      <c r="A41" s="9099"/>
      <c r="B41" s="9101"/>
      <c r="C41" s="9125" t="s">
        <v>576</v>
      </c>
      <c r="D41" s="8834" t="s">
        <v>128</v>
      </c>
      <c r="E41" s="8834" t="s">
        <v>140</v>
      </c>
      <c r="F41" s="8834" t="s">
        <v>141</v>
      </c>
      <c r="G41" s="8974" t="s">
        <v>131</v>
      </c>
      <c r="H41" s="8834" t="s">
        <v>132</v>
      </c>
      <c r="I41" s="8834" t="s">
        <v>159</v>
      </c>
      <c r="J41" s="9233" t="s">
        <v>577</v>
      </c>
      <c r="K41" s="8834" t="s">
        <v>578</v>
      </c>
      <c r="L41" s="8834"/>
      <c r="M41" s="8856">
        <v>0</v>
      </c>
      <c r="N41" s="8856">
        <v>0</v>
      </c>
      <c r="O41" s="8856">
        <v>0</v>
      </c>
      <c r="P41" s="8834"/>
      <c r="Q41" s="8834"/>
      <c r="R41" s="9205" t="s">
        <v>579</v>
      </c>
      <c r="S41" s="1096"/>
      <c r="T41" s="4966"/>
      <c r="U41" s="4966"/>
      <c r="V41" s="1097"/>
      <c r="W41" s="1687"/>
      <c r="X41" s="1048"/>
      <c r="Y41" s="5040"/>
      <c r="Z41" s="5040"/>
      <c r="AA41" s="5040"/>
      <c r="AB41" s="5041"/>
      <c r="AC41" s="5042"/>
      <c r="AD41" s="1040"/>
      <c r="AE41" s="443"/>
      <c r="AF41" s="444"/>
      <c r="AG41" s="801"/>
      <c r="AH41" s="9212" t="s">
        <v>580</v>
      </c>
    </row>
    <row r="42" spans="1:34" ht="25.5" customHeight="1">
      <c r="A42" s="9099"/>
      <c r="B42" s="9101"/>
      <c r="C42" s="9220"/>
      <c r="D42" s="8938"/>
      <c r="E42" s="8938"/>
      <c r="F42" s="8938"/>
      <c r="G42" s="8938"/>
      <c r="H42" s="8938"/>
      <c r="I42" s="8938"/>
      <c r="J42" s="8941"/>
      <c r="K42" s="8938"/>
      <c r="L42" s="8938"/>
      <c r="M42" s="8954"/>
      <c r="N42" s="8954"/>
      <c r="O42" s="8954"/>
      <c r="P42" s="8938"/>
      <c r="Q42" s="8938"/>
      <c r="R42" s="9206"/>
      <c r="S42" s="1083"/>
      <c r="T42" s="4959"/>
      <c r="U42" s="4959"/>
      <c r="V42" s="1051"/>
      <c r="W42" s="1688"/>
      <c r="X42" s="1052"/>
      <c r="Y42" s="5043"/>
      <c r="Z42" s="5043"/>
      <c r="AA42" s="5043"/>
      <c r="AB42" s="5044"/>
      <c r="AC42" s="5045"/>
      <c r="AD42" s="1053"/>
      <c r="AE42" s="116"/>
      <c r="AF42" s="117"/>
      <c r="AG42" s="118"/>
      <c r="AH42" s="9209"/>
    </row>
    <row r="43" spans="1:34" ht="25.5" customHeight="1">
      <c r="A43" s="9099"/>
      <c r="B43" s="9101"/>
      <c r="C43" s="9220"/>
      <c r="D43" s="8938"/>
      <c r="E43" s="8938"/>
      <c r="F43" s="8938"/>
      <c r="G43" s="8938"/>
      <c r="H43" s="8938"/>
      <c r="I43" s="8938"/>
      <c r="J43" s="8941"/>
      <c r="K43" s="8938"/>
      <c r="L43" s="8938"/>
      <c r="M43" s="8954"/>
      <c r="N43" s="8954"/>
      <c r="O43" s="8954"/>
      <c r="P43" s="8938"/>
      <c r="Q43" s="8938"/>
      <c r="R43" s="9206"/>
      <c r="S43" s="1083"/>
      <c r="T43" s="4959"/>
      <c r="U43" s="4959"/>
      <c r="V43" s="1051"/>
      <c r="W43" s="1688"/>
      <c r="X43" s="1052"/>
      <c r="Y43" s="5043"/>
      <c r="Z43" s="5043"/>
      <c r="AA43" s="5043"/>
      <c r="AB43" s="5044"/>
      <c r="AC43" s="5045"/>
      <c r="AD43" s="1053"/>
      <c r="AE43" s="116"/>
      <c r="AF43" s="117"/>
      <c r="AG43" s="118"/>
      <c r="AH43" s="9209"/>
    </row>
    <row r="44" spans="1:34" ht="25.5" customHeight="1">
      <c r="A44" s="9099"/>
      <c r="B44" s="9101"/>
      <c r="C44" s="9220"/>
      <c r="D44" s="8938"/>
      <c r="E44" s="8938"/>
      <c r="F44" s="8938"/>
      <c r="G44" s="8938"/>
      <c r="H44" s="8938"/>
      <c r="I44" s="8938"/>
      <c r="J44" s="8941"/>
      <c r="K44" s="8938"/>
      <c r="L44" s="8938"/>
      <c r="M44" s="8954"/>
      <c r="N44" s="8954"/>
      <c r="O44" s="8954"/>
      <c r="P44" s="8938"/>
      <c r="Q44" s="8938"/>
      <c r="R44" s="9206"/>
      <c r="S44" s="1083"/>
      <c r="T44" s="4959"/>
      <c r="U44" s="4959"/>
      <c r="V44" s="1051"/>
      <c r="W44" s="1688"/>
      <c r="X44" s="1052"/>
      <c r="Y44" s="5043"/>
      <c r="Z44" s="5043"/>
      <c r="AA44" s="5043"/>
      <c r="AB44" s="5044"/>
      <c r="AC44" s="5045"/>
      <c r="AD44" s="1053"/>
      <c r="AE44" s="116"/>
      <c r="AF44" s="117"/>
      <c r="AG44" s="118"/>
      <c r="AH44" s="9209"/>
    </row>
    <row r="45" spans="1:34" ht="25.5" customHeight="1">
      <c r="A45" s="9099"/>
      <c r="B45" s="9101"/>
      <c r="C45" s="9221"/>
      <c r="D45" s="8939"/>
      <c r="E45" s="8939"/>
      <c r="F45" s="8939"/>
      <c r="G45" s="8939"/>
      <c r="H45" s="8939"/>
      <c r="I45" s="8939"/>
      <c r="J45" s="8942"/>
      <c r="K45" s="8939"/>
      <c r="L45" s="8939"/>
      <c r="M45" s="8955"/>
      <c r="N45" s="8955"/>
      <c r="O45" s="8955"/>
      <c r="P45" s="8939"/>
      <c r="Q45" s="8939"/>
      <c r="R45" s="9207"/>
      <c r="S45" s="1085"/>
      <c r="T45" s="4967"/>
      <c r="U45" s="4967"/>
      <c r="V45" s="1068"/>
      <c r="W45" s="1691"/>
      <c r="X45" s="1069"/>
      <c r="Y45" s="5046"/>
      <c r="Z45" s="5046"/>
      <c r="AA45" s="5046"/>
      <c r="AB45" s="5047"/>
      <c r="AC45" s="5048"/>
      <c r="AD45" s="1070"/>
      <c r="AE45" s="119"/>
      <c r="AF45" s="120"/>
      <c r="AG45" s="121"/>
      <c r="AH45" s="9210"/>
    </row>
    <row r="46" spans="1:34" ht="25.5" customHeight="1">
      <c r="A46" s="9099"/>
      <c r="B46" s="9101"/>
      <c r="C46" s="9125" t="s">
        <v>581</v>
      </c>
      <c r="D46" s="8834" t="s">
        <v>128</v>
      </c>
      <c r="E46" s="8834" t="s">
        <v>140</v>
      </c>
      <c r="F46" s="8834" t="s">
        <v>141</v>
      </c>
      <c r="G46" s="8974" t="s">
        <v>131</v>
      </c>
      <c r="H46" s="8834" t="s">
        <v>132</v>
      </c>
      <c r="I46" s="8834" t="s">
        <v>159</v>
      </c>
      <c r="J46" s="9232" t="s">
        <v>582</v>
      </c>
      <c r="K46" s="8782" t="s">
        <v>583</v>
      </c>
      <c r="L46" s="8834"/>
      <c r="M46" s="8856">
        <v>0</v>
      </c>
      <c r="N46" s="8856">
        <v>0</v>
      </c>
      <c r="O46" s="8856">
        <v>0</v>
      </c>
      <c r="P46" s="820"/>
      <c r="Q46" s="8834"/>
      <c r="R46" s="9205" t="s">
        <v>579</v>
      </c>
      <c r="S46" s="1090"/>
      <c r="T46" s="5031"/>
      <c r="U46" s="5031"/>
      <c r="V46" s="1091"/>
      <c r="W46" s="1690"/>
      <c r="X46" s="1061"/>
      <c r="Y46" s="5053"/>
      <c r="Z46" s="5053"/>
      <c r="AA46" s="5053"/>
      <c r="AB46" s="5063"/>
      <c r="AC46" s="5055"/>
      <c r="AD46" s="1062"/>
      <c r="AE46" s="113"/>
      <c r="AF46" s="114"/>
      <c r="AG46" s="115"/>
      <c r="AH46" s="9208" t="s">
        <v>580</v>
      </c>
    </row>
    <row r="47" spans="1:34" ht="25.5" customHeight="1">
      <c r="A47" s="9099"/>
      <c r="B47" s="9101"/>
      <c r="C47" s="9220"/>
      <c r="D47" s="8938"/>
      <c r="E47" s="8938"/>
      <c r="F47" s="8938"/>
      <c r="G47" s="8938"/>
      <c r="H47" s="8938"/>
      <c r="I47" s="8938"/>
      <c r="J47" s="8941"/>
      <c r="K47" s="8938"/>
      <c r="L47" s="8938"/>
      <c r="M47" s="8954"/>
      <c r="N47" s="8954"/>
      <c r="O47" s="8954"/>
      <c r="P47" s="820"/>
      <c r="Q47" s="8938"/>
      <c r="R47" s="9206"/>
      <c r="S47" s="1083"/>
      <c r="T47" s="4959"/>
      <c r="U47" s="4959"/>
      <c r="V47" s="1051"/>
      <c r="W47" s="1688"/>
      <c r="X47" s="1052"/>
      <c r="Y47" s="5043"/>
      <c r="Z47" s="5043"/>
      <c r="AA47" s="5043"/>
      <c r="AB47" s="5044"/>
      <c r="AC47" s="5045"/>
      <c r="AD47" s="1053"/>
      <c r="AE47" s="116"/>
      <c r="AF47" s="117"/>
      <c r="AG47" s="118"/>
      <c r="AH47" s="9209"/>
    </row>
    <row r="48" spans="1:34" ht="25.5" customHeight="1">
      <c r="A48" s="9099"/>
      <c r="B48" s="9101"/>
      <c r="C48" s="9220"/>
      <c r="D48" s="8938"/>
      <c r="E48" s="8938"/>
      <c r="F48" s="8938"/>
      <c r="G48" s="8938"/>
      <c r="H48" s="8938"/>
      <c r="I48" s="8938"/>
      <c r="J48" s="8941"/>
      <c r="K48" s="8938"/>
      <c r="L48" s="8938"/>
      <c r="M48" s="8954"/>
      <c r="N48" s="8954"/>
      <c r="O48" s="8954"/>
      <c r="P48" s="820"/>
      <c r="Q48" s="8938"/>
      <c r="R48" s="9206"/>
      <c r="S48" s="1083"/>
      <c r="T48" s="4959"/>
      <c r="U48" s="4959"/>
      <c r="V48" s="1051"/>
      <c r="W48" s="1688"/>
      <c r="X48" s="1052"/>
      <c r="Y48" s="5043"/>
      <c r="Z48" s="5043"/>
      <c r="AA48" s="5043"/>
      <c r="AB48" s="5044"/>
      <c r="AC48" s="5045"/>
      <c r="AD48" s="1053"/>
      <c r="AE48" s="116"/>
      <c r="AF48" s="117"/>
      <c r="AG48" s="118"/>
      <c r="AH48" s="9209"/>
    </row>
    <row r="49" spans="1:34" ht="25.5" customHeight="1">
      <c r="A49" s="9099"/>
      <c r="B49" s="9101"/>
      <c r="C49" s="9220"/>
      <c r="D49" s="8938"/>
      <c r="E49" s="8938"/>
      <c r="F49" s="8938"/>
      <c r="G49" s="8938"/>
      <c r="H49" s="8938"/>
      <c r="I49" s="8938"/>
      <c r="J49" s="8941"/>
      <c r="K49" s="8938"/>
      <c r="L49" s="8938"/>
      <c r="M49" s="8954"/>
      <c r="N49" s="8954"/>
      <c r="O49" s="8954"/>
      <c r="P49" s="820"/>
      <c r="Q49" s="8938"/>
      <c r="R49" s="9206"/>
      <c r="S49" s="1083"/>
      <c r="T49" s="4959"/>
      <c r="U49" s="4959"/>
      <c r="V49" s="1051"/>
      <c r="W49" s="1688"/>
      <c r="X49" s="1052"/>
      <c r="Y49" s="5043"/>
      <c r="Z49" s="5043"/>
      <c r="AA49" s="5043"/>
      <c r="AB49" s="5044"/>
      <c r="AC49" s="5045"/>
      <c r="AD49" s="1053"/>
      <c r="AE49" s="116"/>
      <c r="AF49" s="117"/>
      <c r="AG49" s="118"/>
      <c r="AH49" s="9209"/>
    </row>
    <row r="50" spans="1:34" ht="25.5" customHeight="1">
      <c r="A50" s="9099"/>
      <c r="B50" s="9101"/>
      <c r="C50" s="9221"/>
      <c r="D50" s="8939"/>
      <c r="E50" s="8939"/>
      <c r="F50" s="8939"/>
      <c r="G50" s="8939"/>
      <c r="H50" s="8939"/>
      <c r="I50" s="8939"/>
      <c r="J50" s="8942"/>
      <c r="K50" s="8939"/>
      <c r="L50" s="8939"/>
      <c r="M50" s="8955"/>
      <c r="N50" s="8955"/>
      <c r="O50" s="8955"/>
      <c r="P50" s="820"/>
      <c r="Q50" s="8939"/>
      <c r="R50" s="9207"/>
      <c r="S50" s="1085"/>
      <c r="T50" s="4967"/>
      <c r="U50" s="4967"/>
      <c r="V50" s="1068"/>
      <c r="W50" s="1691"/>
      <c r="X50" s="1069"/>
      <c r="Y50" s="5046"/>
      <c r="Z50" s="5046"/>
      <c r="AA50" s="5046"/>
      <c r="AB50" s="5047"/>
      <c r="AC50" s="5048"/>
      <c r="AD50" s="1070"/>
      <c r="AE50" s="119"/>
      <c r="AF50" s="120"/>
      <c r="AG50" s="121"/>
      <c r="AH50" s="9210"/>
    </row>
    <row r="51" spans="1:34" ht="24" customHeight="1">
      <c r="A51" s="9099"/>
      <c r="B51" s="9101"/>
      <c r="C51" s="9223" t="s">
        <v>127</v>
      </c>
      <c r="D51" s="8782" t="s">
        <v>128</v>
      </c>
      <c r="E51" s="8782" t="s">
        <v>140</v>
      </c>
      <c r="F51" s="8782" t="s">
        <v>141</v>
      </c>
      <c r="G51" s="8977" t="s">
        <v>131</v>
      </c>
      <c r="H51" s="8782" t="s">
        <v>132</v>
      </c>
      <c r="I51" s="8782" t="s">
        <v>159</v>
      </c>
      <c r="J51" s="9225" t="s">
        <v>584</v>
      </c>
      <c r="K51" s="8782" t="s">
        <v>286</v>
      </c>
      <c r="L51" s="8782" t="s">
        <v>585</v>
      </c>
      <c r="M51" s="8823">
        <v>0</v>
      </c>
      <c r="N51" s="8823">
        <v>1</v>
      </c>
      <c r="O51" s="8823">
        <v>1</v>
      </c>
      <c r="P51" s="8956" t="s">
        <v>586</v>
      </c>
      <c r="Q51" s="9027" t="s">
        <v>523</v>
      </c>
      <c r="R51" s="9217" t="s">
        <v>587</v>
      </c>
      <c r="S51" s="1086"/>
      <c r="T51" s="4957"/>
      <c r="U51" s="4957"/>
      <c r="V51" s="1060"/>
      <c r="W51" s="1690"/>
      <c r="X51" s="1061"/>
      <c r="Y51" s="5053"/>
      <c r="Z51" s="5053"/>
      <c r="AA51" s="5053"/>
      <c r="AB51" s="5063"/>
      <c r="AC51" s="5055"/>
      <c r="AD51" s="1062"/>
      <c r="AE51" s="113"/>
      <c r="AF51" s="114"/>
      <c r="AG51" s="115"/>
      <c r="AH51" s="9208"/>
    </row>
    <row r="52" spans="1:34" ht="24" customHeight="1">
      <c r="A52" s="9099"/>
      <c r="B52" s="9101"/>
      <c r="C52" s="9220"/>
      <c r="D52" s="8938"/>
      <c r="E52" s="8938"/>
      <c r="F52" s="8938"/>
      <c r="G52" s="8938"/>
      <c r="H52" s="8938"/>
      <c r="I52" s="8938"/>
      <c r="J52" s="8941"/>
      <c r="K52" s="8938"/>
      <c r="L52" s="8938"/>
      <c r="M52" s="8954"/>
      <c r="N52" s="8954"/>
      <c r="O52" s="8954"/>
      <c r="P52" s="8938"/>
      <c r="Q52" s="8938"/>
      <c r="R52" s="9206"/>
      <c r="S52" s="1083"/>
      <c r="T52" s="4959"/>
      <c r="U52" s="4959"/>
      <c r="V52" s="1051"/>
      <c r="W52" s="1688"/>
      <c r="X52" s="1052"/>
      <c r="Y52" s="5043"/>
      <c r="Z52" s="5043"/>
      <c r="AA52" s="5043"/>
      <c r="AB52" s="5044"/>
      <c r="AC52" s="5045"/>
      <c r="AD52" s="1053"/>
      <c r="AE52" s="116"/>
      <c r="AF52" s="117"/>
      <c r="AG52" s="118"/>
      <c r="AH52" s="9209"/>
    </row>
    <row r="53" spans="1:34" ht="24" customHeight="1">
      <c r="A53" s="9099"/>
      <c r="B53" s="9101"/>
      <c r="C53" s="9220"/>
      <c r="D53" s="8938"/>
      <c r="E53" s="8938"/>
      <c r="F53" s="8938"/>
      <c r="G53" s="8938"/>
      <c r="H53" s="8938"/>
      <c r="I53" s="8938"/>
      <c r="J53" s="8941"/>
      <c r="K53" s="8938"/>
      <c r="L53" s="8938"/>
      <c r="M53" s="8954"/>
      <c r="N53" s="8954"/>
      <c r="O53" s="8954"/>
      <c r="P53" s="8938"/>
      <c r="Q53" s="8938"/>
      <c r="R53" s="9206"/>
      <c r="S53" s="1083"/>
      <c r="T53" s="4959"/>
      <c r="U53" s="4959"/>
      <c r="V53" s="1051"/>
      <c r="W53" s="1688"/>
      <c r="X53" s="1052"/>
      <c r="Y53" s="5043"/>
      <c r="Z53" s="5043"/>
      <c r="AA53" s="5043"/>
      <c r="AB53" s="5044"/>
      <c r="AC53" s="5045"/>
      <c r="AD53" s="1053"/>
      <c r="AE53" s="116"/>
      <c r="AF53" s="117"/>
      <c r="AG53" s="118"/>
      <c r="AH53" s="9209"/>
    </row>
    <row r="54" spans="1:34" ht="24" customHeight="1">
      <c r="A54" s="9099"/>
      <c r="B54" s="9101"/>
      <c r="C54" s="9220"/>
      <c r="D54" s="8938"/>
      <c r="E54" s="8938"/>
      <c r="F54" s="8938"/>
      <c r="G54" s="8938"/>
      <c r="H54" s="8938"/>
      <c r="I54" s="8938"/>
      <c r="J54" s="8941"/>
      <c r="K54" s="8938"/>
      <c r="L54" s="8938"/>
      <c r="M54" s="8954"/>
      <c r="N54" s="8954"/>
      <c r="O54" s="8954"/>
      <c r="P54" s="8938"/>
      <c r="Q54" s="8938"/>
      <c r="R54" s="9206"/>
      <c r="S54" s="1083"/>
      <c r="T54" s="4959"/>
      <c r="U54" s="4959"/>
      <c r="V54" s="1051"/>
      <c r="W54" s="1688"/>
      <c r="X54" s="1052"/>
      <c r="Y54" s="5043"/>
      <c r="Z54" s="5043"/>
      <c r="AA54" s="5043"/>
      <c r="AB54" s="5044"/>
      <c r="AC54" s="5045"/>
      <c r="AD54" s="1053"/>
      <c r="AE54" s="116"/>
      <c r="AF54" s="117"/>
      <c r="AG54" s="118"/>
      <c r="AH54" s="9209"/>
    </row>
    <row r="55" spans="1:34" ht="24" customHeight="1">
      <c r="A55" s="9099"/>
      <c r="B55" s="9101"/>
      <c r="C55" s="9221"/>
      <c r="D55" s="8939"/>
      <c r="E55" s="8939"/>
      <c r="F55" s="8939"/>
      <c r="G55" s="8939"/>
      <c r="H55" s="8939"/>
      <c r="I55" s="8939"/>
      <c r="J55" s="8942"/>
      <c r="K55" s="8939"/>
      <c r="L55" s="8939"/>
      <c r="M55" s="8955"/>
      <c r="N55" s="8955"/>
      <c r="O55" s="8955"/>
      <c r="P55" s="8939"/>
      <c r="Q55" s="8939"/>
      <c r="R55" s="9207"/>
      <c r="S55" s="1085"/>
      <c r="T55" s="4967"/>
      <c r="U55" s="4967"/>
      <c r="V55" s="1068"/>
      <c r="W55" s="1691"/>
      <c r="X55" s="1069"/>
      <c r="Y55" s="5046"/>
      <c r="Z55" s="5046"/>
      <c r="AA55" s="5046"/>
      <c r="AB55" s="5047"/>
      <c r="AC55" s="5048"/>
      <c r="AD55" s="1070"/>
      <c r="AE55" s="119"/>
      <c r="AF55" s="120"/>
      <c r="AG55" s="121"/>
      <c r="AH55" s="9210"/>
    </row>
    <row r="56" spans="1:34" ht="18" customHeight="1">
      <c r="A56" s="9148"/>
      <c r="B56" s="9149"/>
      <c r="C56" s="9223" t="s">
        <v>127</v>
      </c>
      <c r="D56" s="8782" t="s">
        <v>128</v>
      </c>
      <c r="E56" s="8782" t="s">
        <v>140</v>
      </c>
      <c r="F56" s="8782" t="s">
        <v>212</v>
      </c>
      <c r="G56" s="8977" t="s">
        <v>131</v>
      </c>
      <c r="H56" s="8782" t="s">
        <v>132</v>
      </c>
      <c r="I56" s="8782" t="s">
        <v>159</v>
      </c>
      <c r="J56" s="9228" t="s">
        <v>588</v>
      </c>
      <c r="K56" s="8782" t="s">
        <v>338</v>
      </c>
      <c r="L56" s="8782" t="s">
        <v>589</v>
      </c>
      <c r="M56" s="8823">
        <v>1</v>
      </c>
      <c r="N56" s="8823">
        <v>1</v>
      </c>
      <c r="O56" s="8823">
        <v>1</v>
      </c>
      <c r="P56" s="8956" t="s">
        <v>590</v>
      </c>
      <c r="Q56" s="9027" t="s">
        <v>433</v>
      </c>
      <c r="R56" s="9217" t="s">
        <v>547</v>
      </c>
      <c r="S56" s="3207" t="s">
        <v>15</v>
      </c>
      <c r="T56" s="4964">
        <v>840103</v>
      </c>
      <c r="U56" s="4964"/>
      <c r="V56" s="3204" t="s">
        <v>591</v>
      </c>
      <c r="W56" s="3205"/>
      <c r="X56" s="3206"/>
      <c r="Y56" s="5064"/>
      <c r="Z56" s="5064"/>
      <c r="AA56" s="5064"/>
      <c r="AB56" s="5054">
        <f>SUM($AA$57:$AA$57)</f>
        <v>679.79999999999984</v>
      </c>
      <c r="AC56" s="5065" t="s">
        <v>18</v>
      </c>
      <c r="AD56" s="1062"/>
      <c r="AE56" s="113"/>
      <c r="AF56" s="114"/>
      <c r="AG56" s="115"/>
      <c r="AH56" s="9208"/>
    </row>
    <row r="57" spans="1:34" ht="31.5" customHeight="1">
      <c r="A57" s="9239" t="s">
        <v>535</v>
      </c>
      <c r="B57" s="9240" t="s">
        <v>535</v>
      </c>
      <c r="C57" s="9220"/>
      <c r="D57" s="8938"/>
      <c r="E57" s="8938"/>
      <c r="F57" s="8938"/>
      <c r="G57" s="8938"/>
      <c r="H57" s="8938"/>
      <c r="I57" s="8938"/>
      <c r="J57" s="8941"/>
      <c r="K57" s="8938"/>
      <c r="L57" s="8938"/>
      <c r="M57" s="8954"/>
      <c r="N57" s="8954"/>
      <c r="O57" s="8954"/>
      <c r="P57" s="8938"/>
      <c r="Q57" s="8938"/>
      <c r="R57" s="9206"/>
      <c r="S57" s="3208"/>
      <c r="T57" s="4948"/>
      <c r="U57" s="4948">
        <v>4219000212</v>
      </c>
      <c r="V57" s="3183" t="s">
        <v>592</v>
      </c>
      <c r="W57" s="3184">
        <v>5</v>
      </c>
      <c r="X57" s="3185" t="s">
        <v>180</v>
      </c>
      <c r="Y57" s="5066">
        <f>(679.8/5)/1.12</f>
        <v>121.39285714285711</v>
      </c>
      <c r="Z57" s="5066">
        <f t="shared" ref="Z57" si="12">+W57*Y57</f>
        <v>606.96428571428555</v>
      </c>
      <c r="AA57" s="5066">
        <f t="shared" ref="AA57" si="13">+Z57*1.12</f>
        <v>679.79999999999984</v>
      </c>
      <c r="AB57" s="5067"/>
      <c r="AC57" s="5068"/>
      <c r="AD57" s="1044"/>
      <c r="AE57" s="831" t="s">
        <v>153</v>
      </c>
      <c r="AF57" s="832"/>
      <c r="AG57" s="833"/>
      <c r="AH57" s="9209"/>
    </row>
    <row r="58" spans="1:34" ht="45.75" customHeight="1">
      <c r="A58" s="9099"/>
      <c r="B58" s="9241"/>
      <c r="C58" s="9220"/>
      <c r="D58" s="8938"/>
      <c r="E58" s="8938"/>
      <c r="F58" s="8938"/>
      <c r="G58" s="8938"/>
      <c r="H58" s="8938"/>
      <c r="I58" s="8938"/>
      <c r="J58" s="8941"/>
      <c r="K58" s="8938"/>
      <c r="L58" s="8938"/>
      <c r="M58" s="8954"/>
      <c r="N58" s="8954"/>
      <c r="O58" s="8954"/>
      <c r="P58" s="8938"/>
      <c r="Q58" s="8938"/>
      <c r="R58" s="9206"/>
      <c r="S58" s="3186" t="s">
        <v>15</v>
      </c>
      <c r="T58" s="4952">
        <v>530402</v>
      </c>
      <c r="U58" s="4961"/>
      <c r="V58" s="3187" t="s">
        <v>593</v>
      </c>
      <c r="W58" s="3188"/>
      <c r="X58" s="3189"/>
      <c r="Y58" s="7983"/>
      <c r="Z58" s="7983"/>
      <c r="AA58" s="7983"/>
      <c r="AB58" s="7984">
        <f>SUM($AA$59:$AA$59)</f>
        <v>3075</v>
      </c>
      <c r="AC58" s="5061" t="s">
        <v>18</v>
      </c>
      <c r="AD58" s="1040"/>
      <c r="AE58" s="443"/>
      <c r="AF58" s="444"/>
      <c r="AG58" s="801"/>
      <c r="AH58" s="9209"/>
    </row>
    <row r="59" spans="1:34" ht="36.75" customHeight="1">
      <c r="A59" s="9099"/>
      <c r="B59" s="9241"/>
      <c r="C59" s="9220"/>
      <c r="D59" s="8938"/>
      <c r="E59" s="8938"/>
      <c r="F59" s="8938"/>
      <c r="G59" s="8938"/>
      <c r="H59" s="8938"/>
      <c r="I59" s="8938"/>
      <c r="J59" s="8941"/>
      <c r="K59" s="8938"/>
      <c r="L59" s="8938"/>
      <c r="M59" s="8954"/>
      <c r="N59" s="8954"/>
      <c r="O59" s="8954"/>
      <c r="P59" s="8938"/>
      <c r="Q59" s="8938"/>
      <c r="R59" s="9206"/>
      <c r="S59" s="3186"/>
      <c r="T59" s="4953"/>
      <c r="U59" s="4953">
        <v>3812200501</v>
      </c>
      <c r="V59" s="3190" t="s">
        <v>594</v>
      </c>
      <c r="W59" s="3191">
        <v>1</v>
      </c>
      <c r="X59" s="3192" t="s">
        <v>152</v>
      </c>
      <c r="Y59" s="7985">
        <f>3135-60</f>
        <v>3075</v>
      </c>
      <c r="Z59" s="7985">
        <f t="shared" ref="Z59" si="14">+W59*Y59</f>
        <v>3075</v>
      </c>
      <c r="AA59" s="7985">
        <f>Z59</f>
        <v>3075</v>
      </c>
      <c r="AB59" s="7764"/>
      <c r="AC59" s="5070"/>
      <c r="AD59" s="1053"/>
      <c r="AE59" s="116"/>
      <c r="AF59" s="117" t="s">
        <v>153</v>
      </c>
      <c r="AG59" s="118"/>
      <c r="AH59" s="9209"/>
    </row>
    <row r="60" spans="1:34" ht="18" customHeight="1">
      <c r="A60" s="9099"/>
      <c r="B60" s="9241"/>
      <c r="C60" s="9221"/>
      <c r="D60" s="8939"/>
      <c r="E60" s="8939"/>
      <c r="F60" s="8939"/>
      <c r="G60" s="8939"/>
      <c r="H60" s="8939"/>
      <c r="I60" s="8939"/>
      <c r="J60" s="8942"/>
      <c r="K60" s="8939"/>
      <c r="L60" s="8939"/>
      <c r="M60" s="8955"/>
      <c r="N60" s="8955"/>
      <c r="O60" s="8955"/>
      <c r="P60" s="8939"/>
      <c r="Q60" s="8939"/>
      <c r="R60" s="9207"/>
      <c r="S60" s="1085"/>
      <c r="T60" s="4967"/>
      <c r="U60" s="4967"/>
      <c r="V60" s="1068"/>
      <c r="W60" s="1691"/>
      <c r="X60" s="1069"/>
      <c r="Y60" s="5046"/>
      <c r="Z60" s="5046"/>
      <c r="AA60" s="5046"/>
      <c r="AB60" s="5047"/>
      <c r="AC60" s="5048"/>
      <c r="AD60" s="1070"/>
      <c r="AE60" s="119"/>
      <c r="AF60" s="120"/>
      <c r="AG60" s="121"/>
      <c r="AH60" s="9210"/>
    </row>
    <row r="61" spans="1:34" s="4842" customFormat="1" ht="22.5" customHeight="1" thickBot="1">
      <c r="A61" s="9099"/>
      <c r="B61" s="9242"/>
      <c r="C61" s="5022"/>
      <c r="D61" s="5023"/>
      <c r="E61" s="5023"/>
      <c r="F61" s="5023"/>
      <c r="G61" s="5023"/>
      <c r="H61" s="5023"/>
      <c r="I61" s="5023"/>
      <c r="J61" s="5023"/>
      <c r="K61" s="5023"/>
      <c r="L61" s="5023"/>
      <c r="M61" s="5024"/>
      <c r="N61" s="5024"/>
      <c r="O61" s="5024"/>
      <c r="P61" s="5023"/>
      <c r="Q61" s="5023"/>
      <c r="R61" s="5023"/>
      <c r="S61" s="9197" t="s">
        <v>595</v>
      </c>
      <c r="T61" s="9213"/>
      <c r="U61" s="9213"/>
      <c r="V61" s="9213"/>
      <c r="W61" s="9213"/>
      <c r="X61" s="9213"/>
      <c r="Y61" s="9213"/>
      <c r="Z61" s="9214"/>
      <c r="AA61" s="5025" t="s">
        <v>292</v>
      </c>
      <c r="AB61" s="5026">
        <f>SUM(AB9:AB60)</f>
        <v>6327.424</v>
      </c>
      <c r="AC61" s="5027"/>
      <c r="AD61" s="5028"/>
      <c r="AE61" s="9215"/>
      <c r="AF61" s="9216"/>
      <c r="AG61" s="9216"/>
      <c r="AH61" s="9048"/>
    </row>
    <row r="62" spans="1:34" ht="25.5" customHeight="1">
      <c r="A62" s="9099"/>
      <c r="B62" s="9234" t="s">
        <v>596</v>
      </c>
      <c r="C62" s="9125" t="s">
        <v>127</v>
      </c>
      <c r="D62" s="8834" t="s">
        <v>128</v>
      </c>
      <c r="E62" s="8834" t="s">
        <v>140</v>
      </c>
      <c r="F62" s="8834" t="s">
        <v>597</v>
      </c>
      <c r="G62" s="8974" t="s">
        <v>131</v>
      </c>
      <c r="H62" s="8834" t="s">
        <v>132</v>
      </c>
      <c r="I62" s="8834" t="s">
        <v>189</v>
      </c>
      <c r="J62" s="9227" t="s">
        <v>598</v>
      </c>
      <c r="K62" s="8782" t="s">
        <v>599</v>
      </c>
      <c r="L62" s="8782" t="s">
        <v>600</v>
      </c>
      <c r="M62" s="8856">
        <v>60</v>
      </c>
      <c r="N62" s="8823">
        <v>60</v>
      </c>
      <c r="O62" s="8856">
        <v>60</v>
      </c>
      <c r="P62" s="8980" t="s">
        <v>601</v>
      </c>
      <c r="Q62" s="9204" t="s">
        <v>602</v>
      </c>
      <c r="R62" s="9205" t="s">
        <v>603</v>
      </c>
      <c r="S62" s="2253" t="s">
        <v>15</v>
      </c>
      <c r="T62" s="5032">
        <v>840107</v>
      </c>
      <c r="U62" s="6254"/>
      <c r="V62" s="2254" t="s">
        <v>40</v>
      </c>
      <c r="W62" s="2255"/>
      <c r="X62" s="2256"/>
      <c r="Y62" s="5071"/>
      <c r="Z62" s="5071"/>
      <c r="AA62" s="5071"/>
      <c r="AB62" s="5072">
        <f>SUM($AA$63:$AA$63)</f>
        <v>0</v>
      </c>
      <c r="AC62" s="5037" t="s">
        <v>18</v>
      </c>
      <c r="AD62" s="2257"/>
      <c r="AE62" s="2256"/>
      <c r="AF62" s="2256"/>
      <c r="AG62" s="1082"/>
      <c r="AH62" s="9211" t="s">
        <v>604</v>
      </c>
    </row>
    <row r="63" spans="1:34" ht="25.5" customHeight="1">
      <c r="A63" s="9099"/>
      <c r="B63" s="9101"/>
      <c r="C63" s="9220"/>
      <c r="D63" s="8938"/>
      <c r="E63" s="8938"/>
      <c r="F63" s="8938"/>
      <c r="G63" s="8938"/>
      <c r="H63" s="8938"/>
      <c r="I63" s="8938"/>
      <c r="J63" s="9199"/>
      <c r="K63" s="8938"/>
      <c r="L63" s="8938"/>
      <c r="M63" s="8954"/>
      <c r="N63" s="8954"/>
      <c r="O63" s="8954"/>
      <c r="P63" s="8938"/>
      <c r="Q63" s="8938"/>
      <c r="R63" s="9206"/>
      <c r="S63" s="2258"/>
      <c r="T63" s="5033"/>
      <c r="U63" s="6255">
        <v>4523000381</v>
      </c>
      <c r="V63" s="2259" t="s">
        <v>605</v>
      </c>
      <c r="W63" s="2260">
        <v>0</v>
      </c>
      <c r="X63" s="2261" t="s">
        <v>180</v>
      </c>
      <c r="Y63" s="5073">
        <v>1003.07</v>
      </c>
      <c r="Z63" s="5073">
        <f>+W63*Y63</f>
        <v>0</v>
      </c>
      <c r="AA63" s="5073">
        <f t="shared" ref="AA63" si="15">+Z63*1.12</f>
        <v>0</v>
      </c>
      <c r="AB63" s="5074"/>
      <c r="AC63" s="5038"/>
      <c r="AD63" s="2262"/>
      <c r="AE63" s="2261"/>
      <c r="AF63" s="2261" t="s">
        <v>153</v>
      </c>
      <c r="AG63" s="1084"/>
      <c r="AH63" s="9195"/>
    </row>
    <row r="64" spans="1:34" ht="25.5" customHeight="1">
      <c r="A64" s="9099"/>
      <c r="B64" s="9101"/>
      <c r="C64" s="9220"/>
      <c r="D64" s="8938"/>
      <c r="E64" s="8938"/>
      <c r="F64" s="8938"/>
      <c r="G64" s="8938"/>
      <c r="H64" s="8938"/>
      <c r="I64" s="8938"/>
      <c r="J64" s="9199"/>
      <c r="K64" s="8938"/>
      <c r="L64" s="8938"/>
      <c r="M64" s="8954"/>
      <c r="N64" s="8954"/>
      <c r="O64" s="8954"/>
      <c r="P64" s="8938"/>
      <c r="Q64" s="8938"/>
      <c r="R64" s="9206"/>
      <c r="S64" s="2263" t="s">
        <v>15</v>
      </c>
      <c r="T64" s="5032">
        <v>530106</v>
      </c>
      <c r="U64" s="6256"/>
      <c r="V64" s="2264" t="s">
        <v>606</v>
      </c>
      <c r="W64" s="2255"/>
      <c r="X64" s="2256"/>
      <c r="Y64" s="5071"/>
      <c r="Z64" s="5071"/>
      <c r="AA64" s="5071"/>
      <c r="AB64" s="5075">
        <f>SUM($AA$65:$AA$65)</f>
        <v>200</v>
      </c>
      <c r="AC64" s="5037" t="s">
        <v>18</v>
      </c>
      <c r="AD64" s="2257"/>
      <c r="AE64" s="2256"/>
      <c r="AF64" s="2256"/>
      <c r="AG64" s="1050"/>
      <c r="AH64" s="9195"/>
    </row>
    <row r="65" spans="1:34" ht="34.5" customHeight="1">
      <c r="A65" s="9099"/>
      <c r="B65" s="9101"/>
      <c r="C65" s="9220"/>
      <c r="D65" s="8938"/>
      <c r="E65" s="8938"/>
      <c r="F65" s="8938"/>
      <c r="G65" s="8938"/>
      <c r="H65" s="8938"/>
      <c r="I65" s="8938"/>
      <c r="J65" s="9199"/>
      <c r="K65" s="8938"/>
      <c r="L65" s="8938"/>
      <c r="M65" s="8954"/>
      <c r="N65" s="8954"/>
      <c r="O65" s="8954"/>
      <c r="P65" s="8938"/>
      <c r="Q65" s="8938"/>
      <c r="R65" s="9206"/>
      <c r="S65" s="2258"/>
      <c r="T65" s="5034"/>
      <c r="U65" s="6257">
        <v>681110112</v>
      </c>
      <c r="V65" s="3372" t="s">
        <v>607</v>
      </c>
      <c r="W65" s="3373">
        <v>1</v>
      </c>
      <c r="X65" s="3374" t="s">
        <v>152</v>
      </c>
      <c r="Y65" s="5076">
        <f>200/1.12</f>
        <v>178.57142857142856</v>
      </c>
      <c r="Z65" s="5076">
        <f t="shared" ref="Z65" si="16">+W65*Y65</f>
        <v>178.57142857142856</v>
      </c>
      <c r="AA65" s="5076">
        <f t="shared" ref="AA65" si="17">+Z65*1.12</f>
        <v>200</v>
      </c>
      <c r="AB65" s="5077"/>
      <c r="AC65" s="5039"/>
      <c r="AD65" s="2265"/>
      <c r="AE65" s="2252"/>
      <c r="AF65" s="1052" t="s">
        <v>153</v>
      </c>
      <c r="AG65" s="1054" t="s">
        <v>153</v>
      </c>
      <c r="AH65" s="9195"/>
    </row>
    <row r="66" spans="1:34" ht="25.5" customHeight="1">
      <c r="A66" s="9099"/>
      <c r="B66" s="9101"/>
      <c r="C66" s="9221"/>
      <c r="D66" s="8939"/>
      <c r="E66" s="8939"/>
      <c r="F66" s="8939"/>
      <c r="G66" s="8939"/>
      <c r="H66" s="8939"/>
      <c r="I66" s="8939"/>
      <c r="J66" s="9026"/>
      <c r="K66" s="8939"/>
      <c r="L66" s="8939"/>
      <c r="M66" s="8955"/>
      <c r="N66" s="8955"/>
      <c r="O66" s="8955"/>
      <c r="P66" s="8939"/>
      <c r="Q66" s="8939"/>
      <c r="R66" s="9207"/>
      <c r="S66" s="1085"/>
      <c r="T66" s="4969"/>
      <c r="U66" s="4967"/>
      <c r="V66" s="1068"/>
      <c r="W66" s="1691"/>
      <c r="X66" s="1069"/>
      <c r="Y66" s="5046"/>
      <c r="Z66" s="5046"/>
      <c r="AA66" s="5046"/>
      <c r="AB66" s="5047"/>
      <c r="AC66" s="5005"/>
      <c r="AD66" s="1070"/>
      <c r="AE66" s="1069"/>
      <c r="AF66" s="1069"/>
      <c r="AG66" s="1071"/>
      <c r="AH66" s="9196"/>
    </row>
    <row r="67" spans="1:34" ht="25.5" customHeight="1">
      <c r="A67" s="9099"/>
      <c r="B67" s="9101"/>
      <c r="C67" s="9125" t="s">
        <v>127</v>
      </c>
      <c r="D67" s="8834" t="s">
        <v>128</v>
      </c>
      <c r="E67" s="8834" t="s">
        <v>140</v>
      </c>
      <c r="F67" s="8834" t="s">
        <v>141</v>
      </c>
      <c r="G67" s="8974" t="s">
        <v>131</v>
      </c>
      <c r="H67" s="8834" t="s">
        <v>132</v>
      </c>
      <c r="I67" s="8834" t="s">
        <v>159</v>
      </c>
      <c r="J67" s="9198" t="s">
        <v>608</v>
      </c>
      <c r="K67" s="8782" t="s">
        <v>609</v>
      </c>
      <c r="L67" s="9200" t="s">
        <v>610</v>
      </c>
      <c r="M67" s="8856">
        <v>0</v>
      </c>
      <c r="N67" s="8823">
        <v>1</v>
      </c>
      <c r="O67" s="8856">
        <v>0</v>
      </c>
      <c r="P67" s="9203" t="s">
        <v>611</v>
      </c>
      <c r="Q67" s="9224" t="s">
        <v>612</v>
      </c>
      <c r="R67" s="9205" t="s">
        <v>613</v>
      </c>
      <c r="S67" s="1086" t="s">
        <v>15</v>
      </c>
      <c r="T67" s="4956">
        <v>840107</v>
      </c>
      <c r="U67" s="4957"/>
      <c r="V67" s="1087" t="s">
        <v>40</v>
      </c>
      <c r="W67" s="1690"/>
      <c r="X67" s="1061"/>
      <c r="Y67" s="5053"/>
      <c r="Z67" s="5053"/>
      <c r="AA67" s="5053"/>
      <c r="AB67" s="5054">
        <f>SUM($AA$68:$AA$70)</f>
        <v>1771.8400000000001</v>
      </c>
      <c r="AC67" s="5000" t="s">
        <v>18</v>
      </c>
      <c r="AD67" s="1062"/>
      <c r="AE67" s="1061"/>
      <c r="AF67" s="1063"/>
      <c r="AG67" s="1064"/>
      <c r="AH67" s="9194" t="s">
        <v>548</v>
      </c>
    </row>
    <row r="68" spans="1:34" ht="25.5" customHeight="1">
      <c r="A68" s="9099"/>
      <c r="B68" s="9101"/>
      <c r="C68" s="9220"/>
      <c r="D68" s="8938"/>
      <c r="E68" s="8938"/>
      <c r="F68" s="8938"/>
      <c r="G68" s="8938"/>
      <c r="H68" s="8938"/>
      <c r="I68" s="8938"/>
      <c r="J68" s="9199"/>
      <c r="K68" s="8938"/>
      <c r="L68" s="9201"/>
      <c r="M68" s="8954"/>
      <c r="N68" s="8954"/>
      <c r="O68" s="8954"/>
      <c r="P68" s="9201"/>
      <c r="Q68" s="9201"/>
      <c r="R68" s="9206"/>
      <c r="S68" s="1083"/>
      <c r="T68" s="4958"/>
      <c r="U68" s="6255"/>
      <c r="V68" s="3366" t="s">
        <v>614</v>
      </c>
      <c r="W68" s="3191">
        <v>1</v>
      </c>
      <c r="X68" s="3192" t="s">
        <v>180</v>
      </c>
      <c r="Y68" s="5056">
        <v>1582</v>
      </c>
      <c r="Z68" s="5076">
        <f t="shared" ref="Z68" si="18">+W68*Y68</f>
        <v>1582</v>
      </c>
      <c r="AA68" s="5076">
        <f t="shared" ref="AA68" si="19">+Z68*1.12</f>
        <v>1771.8400000000001</v>
      </c>
      <c r="AB68" s="5044"/>
      <c r="AC68" s="4993"/>
      <c r="AD68" s="1053"/>
      <c r="AE68" s="1052"/>
      <c r="AF68" s="1052"/>
      <c r="AG68" s="3375" t="s">
        <v>153</v>
      </c>
      <c r="AH68" s="9195"/>
    </row>
    <row r="69" spans="1:34" ht="25.5" customHeight="1">
      <c r="A69" s="9099"/>
      <c r="B69" s="9101"/>
      <c r="C69" s="9220"/>
      <c r="D69" s="8938"/>
      <c r="E69" s="8938"/>
      <c r="F69" s="8938"/>
      <c r="G69" s="8938"/>
      <c r="H69" s="8938"/>
      <c r="I69" s="8938"/>
      <c r="J69" s="9199"/>
      <c r="K69" s="8938"/>
      <c r="L69" s="9201"/>
      <c r="M69" s="8954"/>
      <c r="N69" s="8954"/>
      <c r="O69" s="8954"/>
      <c r="P69" s="9201"/>
      <c r="Q69" s="9201"/>
      <c r="R69" s="9206"/>
      <c r="S69" s="2105"/>
      <c r="T69" s="5035"/>
      <c r="U69" s="4959"/>
      <c r="V69" s="2106"/>
      <c r="W69" s="1688"/>
      <c r="X69" s="1052"/>
      <c r="Y69" s="5043"/>
      <c r="Z69" s="5043"/>
      <c r="AA69" s="5043"/>
      <c r="AB69" s="5078"/>
      <c r="AC69" s="4993"/>
      <c r="AD69" s="1053"/>
      <c r="AE69" s="1052"/>
      <c r="AF69" s="2092"/>
      <c r="AG69" s="1054"/>
      <c r="AH69" s="9195"/>
    </row>
    <row r="70" spans="1:34" ht="25.5" customHeight="1">
      <c r="A70" s="9099"/>
      <c r="B70" s="9101"/>
      <c r="C70" s="9220"/>
      <c r="D70" s="8938"/>
      <c r="E70" s="8938"/>
      <c r="F70" s="8938"/>
      <c r="G70" s="8938"/>
      <c r="H70" s="8938"/>
      <c r="I70" s="8938"/>
      <c r="J70" s="9199"/>
      <c r="K70" s="8938"/>
      <c r="L70" s="9201"/>
      <c r="M70" s="8954"/>
      <c r="N70" s="8954"/>
      <c r="O70" s="8954"/>
      <c r="P70" s="9201"/>
      <c r="Q70" s="9201"/>
      <c r="R70" s="9206"/>
      <c r="S70" s="1083"/>
      <c r="T70" s="4959"/>
      <c r="U70" s="4959"/>
      <c r="V70" s="1051"/>
      <c r="W70" s="1688"/>
      <c r="X70" s="1052"/>
      <c r="Y70" s="5043"/>
      <c r="Z70" s="5043"/>
      <c r="AA70" s="5043"/>
      <c r="AB70" s="5044"/>
      <c r="AC70" s="4993"/>
      <c r="AD70" s="1053"/>
      <c r="AE70" s="1052"/>
      <c r="AF70" s="1052"/>
      <c r="AG70" s="1054"/>
      <c r="AH70" s="9195"/>
    </row>
    <row r="71" spans="1:34" ht="25.5" customHeight="1">
      <c r="A71" s="9099"/>
      <c r="B71" s="9101"/>
      <c r="C71" s="9221"/>
      <c r="D71" s="8939"/>
      <c r="E71" s="8939"/>
      <c r="F71" s="8939"/>
      <c r="G71" s="8939"/>
      <c r="H71" s="8939"/>
      <c r="I71" s="8939"/>
      <c r="J71" s="9026"/>
      <c r="K71" s="8939"/>
      <c r="L71" s="9202"/>
      <c r="M71" s="8955"/>
      <c r="N71" s="8955"/>
      <c r="O71" s="8955"/>
      <c r="P71" s="9202"/>
      <c r="Q71" s="9202"/>
      <c r="R71" s="9207"/>
      <c r="S71" s="1085"/>
      <c r="T71" s="4967"/>
      <c r="U71" s="4967"/>
      <c r="V71" s="1068"/>
      <c r="W71" s="1691"/>
      <c r="X71" s="1069"/>
      <c r="Y71" s="5046"/>
      <c r="Z71" s="5046"/>
      <c r="AA71" s="5046"/>
      <c r="AB71" s="5047"/>
      <c r="AC71" s="5005"/>
      <c r="AD71" s="1070"/>
      <c r="AE71" s="1069"/>
      <c r="AF71" s="1069"/>
      <c r="AG71" s="1071"/>
      <c r="AH71" s="9196"/>
    </row>
    <row r="72" spans="1:34" ht="25.5" customHeight="1">
      <c r="A72" s="9099"/>
      <c r="B72" s="9101"/>
      <c r="C72" s="9125" t="s">
        <v>127</v>
      </c>
      <c r="D72" s="8834" t="s">
        <v>128</v>
      </c>
      <c r="E72" s="8782" t="s">
        <v>129</v>
      </c>
      <c r="F72" s="8782" t="s">
        <v>268</v>
      </c>
      <c r="G72" s="8974" t="s">
        <v>131</v>
      </c>
      <c r="H72" s="8834" t="s">
        <v>132</v>
      </c>
      <c r="I72" s="8834" t="s">
        <v>133</v>
      </c>
      <c r="J72" s="9198" t="s">
        <v>615</v>
      </c>
      <c r="K72" s="8782" t="s">
        <v>616</v>
      </c>
      <c r="L72" s="8782" t="s">
        <v>617</v>
      </c>
      <c r="M72" s="8856">
        <v>0</v>
      </c>
      <c r="N72" s="8823">
        <v>0</v>
      </c>
      <c r="O72" s="8856">
        <v>1</v>
      </c>
      <c r="P72" s="8980" t="s">
        <v>618</v>
      </c>
      <c r="Q72" s="9204" t="s">
        <v>619</v>
      </c>
      <c r="R72" s="9205" t="s">
        <v>620</v>
      </c>
      <c r="S72" s="1086"/>
      <c r="T72" s="4957"/>
      <c r="U72" s="4957"/>
      <c r="V72" s="1087"/>
      <c r="W72" s="1690"/>
      <c r="X72" s="1061"/>
      <c r="Y72" s="5053"/>
      <c r="Z72" s="5053"/>
      <c r="AA72" s="5053"/>
      <c r="AB72" s="5063"/>
      <c r="AC72" s="4990"/>
      <c r="AD72" s="1062"/>
      <c r="AE72" s="1061"/>
      <c r="AF72" s="1063"/>
      <c r="AG72" s="1064"/>
      <c r="AH72" s="9194"/>
    </row>
    <row r="73" spans="1:34" ht="25.5" customHeight="1">
      <c r="A73" s="9099"/>
      <c r="B73" s="9101"/>
      <c r="C73" s="9220"/>
      <c r="D73" s="8938"/>
      <c r="E73" s="8938"/>
      <c r="F73" s="8938"/>
      <c r="G73" s="8938"/>
      <c r="H73" s="8938"/>
      <c r="I73" s="8938"/>
      <c r="J73" s="9199"/>
      <c r="K73" s="8938"/>
      <c r="L73" s="8938"/>
      <c r="M73" s="8954"/>
      <c r="N73" s="8954"/>
      <c r="O73" s="8954"/>
      <c r="P73" s="8938"/>
      <c r="Q73" s="8938"/>
      <c r="R73" s="9206"/>
      <c r="S73" s="1083"/>
      <c r="T73" s="4959"/>
      <c r="U73" s="4959"/>
      <c r="V73" s="1088"/>
      <c r="W73" s="1688"/>
      <c r="X73" s="1052"/>
      <c r="Y73" s="5043"/>
      <c r="Z73" s="5043"/>
      <c r="AA73" s="5043"/>
      <c r="AB73" s="5044"/>
      <c r="AC73" s="4993"/>
      <c r="AD73" s="1053"/>
      <c r="AE73" s="1052"/>
      <c r="AF73" s="1052"/>
      <c r="AG73" s="1065"/>
      <c r="AH73" s="9195"/>
    </row>
    <row r="74" spans="1:34" ht="25.5" customHeight="1">
      <c r="A74" s="9099"/>
      <c r="B74" s="9101"/>
      <c r="C74" s="9220"/>
      <c r="D74" s="8938"/>
      <c r="E74" s="8938"/>
      <c r="F74" s="8938"/>
      <c r="G74" s="8938"/>
      <c r="H74" s="8938"/>
      <c r="I74" s="8938"/>
      <c r="J74" s="9199"/>
      <c r="K74" s="8938"/>
      <c r="L74" s="8938"/>
      <c r="M74" s="8954"/>
      <c r="N74" s="8954"/>
      <c r="O74" s="8954"/>
      <c r="P74" s="8938"/>
      <c r="Q74" s="8938"/>
      <c r="R74" s="9206"/>
      <c r="S74" s="1083"/>
      <c r="T74" s="4959"/>
      <c r="U74" s="4959"/>
      <c r="V74" s="1051"/>
      <c r="W74" s="1688"/>
      <c r="X74" s="1052"/>
      <c r="Y74" s="5043"/>
      <c r="Z74" s="5043"/>
      <c r="AA74" s="5043"/>
      <c r="AB74" s="5044"/>
      <c r="AC74" s="4993"/>
      <c r="AD74" s="1053"/>
      <c r="AE74" s="1052"/>
      <c r="AF74" s="1052"/>
      <c r="AG74" s="1054"/>
      <c r="AH74" s="9195"/>
    </row>
    <row r="75" spans="1:34" ht="25.5" customHeight="1">
      <c r="A75" s="9099"/>
      <c r="B75" s="9101"/>
      <c r="C75" s="9220"/>
      <c r="D75" s="8938"/>
      <c r="E75" s="8938"/>
      <c r="F75" s="8938"/>
      <c r="G75" s="8938"/>
      <c r="H75" s="8938"/>
      <c r="I75" s="8938"/>
      <c r="J75" s="9199"/>
      <c r="K75" s="8938"/>
      <c r="L75" s="8938"/>
      <c r="M75" s="8954"/>
      <c r="N75" s="8954"/>
      <c r="O75" s="8954"/>
      <c r="P75" s="8938"/>
      <c r="Q75" s="8938"/>
      <c r="R75" s="9206"/>
      <c r="S75" s="1083"/>
      <c r="T75" s="4959"/>
      <c r="U75" s="4959"/>
      <c r="V75" s="1051"/>
      <c r="W75" s="1688"/>
      <c r="X75" s="1052"/>
      <c r="Y75" s="5043"/>
      <c r="Z75" s="5043"/>
      <c r="AA75" s="5043"/>
      <c r="AB75" s="5044"/>
      <c r="AC75" s="4993"/>
      <c r="AD75" s="1053"/>
      <c r="AE75" s="1052"/>
      <c r="AF75" s="1052"/>
      <c r="AG75" s="1054"/>
      <c r="AH75" s="9195"/>
    </row>
    <row r="76" spans="1:34" ht="25.5" customHeight="1">
      <c r="A76" s="9099"/>
      <c r="B76" s="9101"/>
      <c r="C76" s="9221"/>
      <c r="D76" s="8939"/>
      <c r="E76" s="8939"/>
      <c r="F76" s="8939"/>
      <c r="G76" s="8939"/>
      <c r="H76" s="8939"/>
      <c r="I76" s="8939"/>
      <c r="J76" s="9026"/>
      <c r="K76" s="8939"/>
      <c r="L76" s="8939"/>
      <c r="M76" s="8955"/>
      <c r="N76" s="8955"/>
      <c r="O76" s="8955"/>
      <c r="P76" s="8939"/>
      <c r="Q76" s="8939"/>
      <c r="R76" s="9207"/>
      <c r="S76" s="1085"/>
      <c r="T76" s="4967"/>
      <c r="U76" s="4967"/>
      <c r="V76" s="1068"/>
      <c r="W76" s="1691"/>
      <c r="X76" s="1069"/>
      <c r="Y76" s="5046"/>
      <c r="Z76" s="5046"/>
      <c r="AA76" s="5046"/>
      <c r="AB76" s="5047"/>
      <c r="AC76" s="5005"/>
      <c r="AD76" s="1070"/>
      <c r="AE76" s="1069"/>
      <c r="AF76" s="1069"/>
      <c r="AG76" s="1071"/>
      <c r="AH76" s="9196"/>
    </row>
    <row r="77" spans="1:34" ht="25.5" customHeight="1">
      <c r="A77" s="9099"/>
      <c r="B77" s="9101"/>
      <c r="C77" s="9125" t="s">
        <v>127</v>
      </c>
      <c r="D77" s="8834" t="s">
        <v>128</v>
      </c>
      <c r="E77" s="8834" t="s">
        <v>140</v>
      </c>
      <c r="F77" s="8834" t="s">
        <v>597</v>
      </c>
      <c r="G77" s="8974" t="s">
        <v>131</v>
      </c>
      <c r="H77" s="8834" t="s">
        <v>132</v>
      </c>
      <c r="I77" s="8834" t="s">
        <v>214</v>
      </c>
      <c r="J77" s="9198" t="s">
        <v>621</v>
      </c>
      <c r="K77" s="8782" t="s">
        <v>622</v>
      </c>
      <c r="L77" s="9200" t="s">
        <v>623</v>
      </c>
      <c r="M77" s="8856">
        <v>0</v>
      </c>
      <c r="N77" s="9229">
        <v>5</v>
      </c>
      <c r="O77" s="8856">
        <v>0</v>
      </c>
      <c r="P77" s="8980" t="s">
        <v>624</v>
      </c>
      <c r="Q77" s="9224" t="s">
        <v>625</v>
      </c>
      <c r="R77" s="9205" t="s">
        <v>626</v>
      </c>
      <c r="S77" s="1086"/>
      <c r="T77" s="4957"/>
      <c r="U77" s="4957"/>
      <c r="V77" s="1087"/>
      <c r="W77" s="1690"/>
      <c r="X77" s="1061"/>
      <c r="Y77" s="5053"/>
      <c r="Z77" s="5053"/>
      <c r="AA77" s="5053"/>
      <c r="AB77" s="5063"/>
      <c r="AC77" s="4990"/>
      <c r="AD77" s="1062"/>
      <c r="AE77" s="1061"/>
      <c r="AF77" s="1063"/>
      <c r="AG77" s="1064"/>
      <c r="AH77" s="9194" t="s">
        <v>604</v>
      </c>
    </row>
    <row r="78" spans="1:34" ht="25.5" customHeight="1">
      <c r="A78" s="9099"/>
      <c r="B78" s="9101"/>
      <c r="C78" s="9220"/>
      <c r="D78" s="8938"/>
      <c r="E78" s="8938"/>
      <c r="F78" s="8938"/>
      <c r="G78" s="8938"/>
      <c r="H78" s="8938"/>
      <c r="I78" s="8938"/>
      <c r="J78" s="9199"/>
      <c r="K78" s="8938"/>
      <c r="L78" s="9201"/>
      <c r="M78" s="8954"/>
      <c r="N78" s="9230"/>
      <c r="O78" s="8954"/>
      <c r="P78" s="8938"/>
      <c r="Q78" s="9201"/>
      <c r="R78" s="9206"/>
      <c r="S78" s="1083"/>
      <c r="T78" s="4959"/>
      <c r="U78" s="4959"/>
      <c r="V78" s="1088"/>
      <c r="W78" s="1688"/>
      <c r="X78" s="1052"/>
      <c r="Y78" s="5043"/>
      <c r="Z78" s="5043"/>
      <c r="AA78" s="5043"/>
      <c r="AB78" s="5044"/>
      <c r="AC78" s="4993"/>
      <c r="AD78" s="1053"/>
      <c r="AE78" s="1052"/>
      <c r="AF78" s="1052"/>
      <c r="AG78" s="1065"/>
      <c r="AH78" s="9195"/>
    </row>
    <row r="79" spans="1:34" ht="25.5" customHeight="1">
      <c r="A79" s="9099"/>
      <c r="B79" s="9101"/>
      <c r="C79" s="9220"/>
      <c r="D79" s="8938"/>
      <c r="E79" s="8938"/>
      <c r="F79" s="8938"/>
      <c r="G79" s="8938"/>
      <c r="H79" s="8938"/>
      <c r="I79" s="8938"/>
      <c r="J79" s="9199"/>
      <c r="K79" s="8938"/>
      <c r="L79" s="9201"/>
      <c r="M79" s="8954"/>
      <c r="N79" s="9230"/>
      <c r="O79" s="8954"/>
      <c r="P79" s="8938"/>
      <c r="Q79" s="9201"/>
      <c r="R79" s="9206"/>
      <c r="S79" s="1083"/>
      <c r="T79" s="4968"/>
      <c r="U79" s="4959"/>
      <c r="V79" s="1089"/>
      <c r="W79" s="1688"/>
      <c r="X79" s="1052"/>
      <c r="Y79" s="5043"/>
      <c r="Z79" s="5043"/>
      <c r="AA79" s="5043"/>
      <c r="AB79" s="5044"/>
      <c r="AC79" s="4993"/>
      <c r="AD79" s="1053"/>
      <c r="AE79" s="1052"/>
      <c r="AF79" s="1052"/>
      <c r="AG79" s="1054"/>
      <c r="AH79" s="9195"/>
    </row>
    <row r="80" spans="1:34" ht="25.5" customHeight="1">
      <c r="A80" s="9099"/>
      <c r="B80" s="9101"/>
      <c r="C80" s="9220"/>
      <c r="D80" s="8938"/>
      <c r="E80" s="8938"/>
      <c r="F80" s="8938"/>
      <c r="G80" s="8938"/>
      <c r="H80" s="8938"/>
      <c r="I80" s="8938"/>
      <c r="J80" s="9199"/>
      <c r="K80" s="8938"/>
      <c r="L80" s="9201"/>
      <c r="M80" s="8954"/>
      <c r="N80" s="9230"/>
      <c r="O80" s="8954"/>
      <c r="P80" s="8938"/>
      <c r="Q80" s="9201"/>
      <c r="R80" s="9206"/>
      <c r="S80" s="1083"/>
      <c r="T80" s="4959"/>
      <c r="U80" s="4959"/>
      <c r="V80" s="1073"/>
      <c r="W80" s="1688"/>
      <c r="X80" s="1052"/>
      <c r="Y80" s="5043"/>
      <c r="Z80" s="5043"/>
      <c r="AA80" s="5043"/>
      <c r="AB80" s="5044"/>
      <c r="AC80" s="4993"/>
      <c r="AD80" s="1053"/>
      <c r="AE80" s="1052"/>
      <c r="AF80" s="1052"/>
      <c r="AG80" s="1054"/>
      <c r="AH80" s="9195"/>
    </row>
    <row r="81" spans="1:34" ht="25.5" customHeight="1">
      <c r="A81" s="9148"/>
      <c r="B81" s="9149"/>
      <c r="C81" s="9221"/>
      <c r="D81" s="8939"/>
      <c r="E81" s="8939"/>
      <c r="F81" s="8939"/>
      <c r="G81" s="8939"/>
      <c r="H81" s="8939"/>
      <c r="I81" s="8939"/>
      <c r="J81" s="9026"/>
      <c r="K81" s="8939"/>
      <c r="L81" s="9202"/>
      <c r="M81" s="8955"/>
      <c r="N81" s="9231"/>
      <c r="O81" s="8955"/>
      <c r="P81" s="8939"/>
      <c r="Q81" s="9202"/>
      <c r="R81" s="9207"/>
      <c r="S81" s="1085"/>
      <c r="T81" s="4967"/>
      <c r="U81" s="4967"/>
      <c r="V81" s="1068"/>
      <c r="W81" s="1691"/>
      <c r="X81" s="1069"/>
      <c r="Y81" s="5046"/>
      <c r="Z81" s="5046"/>
      <c r="AA81" s="5046"/>
      <c r="AB81" s="5047"/>
      <c r="AC81" s="5005"/>
      <c r="AD81" s="1070"/>
      <c r="AE81" s="1069"/>
      <c r="AF81" s="1069"/>
      <c r="AG81" s="1071"/>
      <c r="AH81" s="9196"/>
    </row>
    <row r="82" spans="1:34" ht="25.5" customHeight="1">
      <c r="A82" s="9243" t="s">
        <v>535</v>
      </c>
      <c r="B82" s="9246" t="s">
        <v>596</v>
      </c>
      <c r="C82" s="9125" t="s">
        <v>576</v>
      </c>
      <c r="D82" s="8834" t="s">
        <v>128</v>
      </c>
      <c r="E82" s="8834" t="s">
        <v>140</v>
      </c>
      <c r="F82" s="8834" t="s">
        <v>238</v>
      </c>
      <c r="G82" s="8974" t="s">
        <v>131</v>
      </c>
      <c r="H82" s="8834" t="s">
        <v>132</v>
      </c>
      <c r="I82" s="8834" t="s">
        <v>214</v>
      </c>
      <c r="J82" s="9198" t="s">
        <v>627</v>
      </c>
      <c r="K82" s="8782" t="s">
        <v>628</v>
      </c>
      <c r="L82" s="8782" t="s">
        <v>629</v>
      </c>
      <c r="M82" s="8856">
        <v>0</v>
      </c>
      <c r="N82" s="8823">
        <v>0</v>
      </c>
      <c r="O82" s="8856">
        <v>0</v>
      </c>
      <c r="P82" s="8834"/>
      <c r="Q82" s="9167"/>
      <c r="R82" s="9205" t="s">
        <v>620</v>
      </c>
      <c r="S82" s="1090"/>
      <c r="T82" s="5031"/>
      <c r="U82" s="5031"/>
      <c r="V82" s="1091"/>
      <c r="W82" s="1690"/>
      <c r="X82" s="1061"/>
      <c r="Y82" s="5053"/>
      <c r="Z82" s="5053"/>
      <c r="AA82" s="5053"/>
      <c r="AB82" s="5063"/>
      <c r="AC82" s="4990"/>
      <c r="AD82" s="1062"/>
      <c r="AE82" s="1061"/>
      <c r="AF82" s="1061"/>
      <c r="AG82" s="1077"/>
      <c r="AH82" s="9194" t="s">
        <v>630</v>
      </c>
    </row>
    <row r="83" spans="1:34" ht="25.5" customHeight="1">
      <c r="A83" s="9244"/>
      <c r="B83" s="9235"/>
      <c r="C83" s="9220"/>
      <c r="D83" s="8938"/>
      <c r="E83" s="8938"/>
      <c r="F83" s="8938"/>
      <c r="G83" s="8938"/>
      <c r="H83" s="8938"/>
      <c r="I83" s="8938"/>
      <c r="J83" s="9199"/>
      <c r="K83" s="8938"/>
      <c r="L83" s="8834"/>
      <c r="M83" s="8954"/>
      <c r="N83" s="8954"/>
      <c r="O83" s="8954"/>
      <c r="P83" s="8938"/>
      <c r="Q83" s="8938"/>
      <c r="R83" s="9206"/>
      <c r="S83" s="1083"/>
      <c r="T83" s="4959"/>
      <c r="U83" s="4959"/>
      <c r="V83" s="1051"/>
      <c r="W83" s="1688"/>
      <c r="X83" s="1052"/>
      <c r="Y83" s="5043"/>
      <c r="Z83" s="5043"/>
      <c r="AA83" s="5043"/>
      <c r="AB83" s="5044"/>
      <c r="AC83" s="4993"/>
      <c r="AD83" s="1053"/>
      <c r="AE83" s="1052"/>
      <c r="AF83" s="1052"/>
      <c r="AG83" s="1054"/>
      <c r="AH83" s="9195"/>
    </row>
    <row r="84" spans="1:34" ht="25.5" customHeight="1">
      <c r="A84" s="9244"/>
      <c r="B84" s="9235"/>
      <c r="C84" s="9220"/>
      <c r="D84" s="8938"/>
      <c r="E84" s="8938"/>
      <c r="F84" s="8938"/>
      <c r="G84" s="8938"/>
      <c r="H84" s="8938"/>
      <c r="I84" s="8938"/>
      <c r="J84" s="9199"/>
      <c r="K84" s="8938"/>
      <c r="L84" s="8834"/>
      <c r="M84" s="8954"/>
      <c r="N84" s="8954"/>
      <c r="O84" s="8954"/>
      <c r="P84" s="8938"/>
      <c r="Q84" s="8938"/>
      <c r="R84" s="9206"/>
      <c r="S84" s="1083"/>
      <c r="T84" s="4959"/>
      <c r="U84" s="4959"/>
      <c r="V84" s="1051"/>
      <c r="W84" s="1688"/>
      <c r="X84" s="1052"/>
      <c r="Y84" s="5043"/>
      <c r="Z84" s="5043"/>
      <c r="AA84" s="5043"/>
      <c r="AB84" s="5044"/>
      <c r="AC84" s="4993"/>
      <c r="AD84" s="1053"/>
      <c r="AE84" s="1052"/>
      <c r="AF84" s="1052"/>
      <c r="AG84" s="1054"/>
      <c r="AH84" s="9195"/>
    </row>
    <row r="85" spans="1:34" ht="25.5" customHeight="1">
      <c r="A85" s="9244"/>
      <c r="B85" s="9235"/>
      <c r="C85" s="9220"/>
      <c r="D85" s="8938"/>
      <c r="E85" s="8938"/>
      <c r="F85" s="8938"/>
      <c r="G85" s="8938"/>
      <c r="H85" s="8938"/>
      <c r="I85" s="8938"/>
      <c r="J85" s="9199"/>
      <c r="K85" s="8938"/>
      <c r="L85" s="8834"/>
      <c r="M85" s="8954"/>
      <c r="N85" s="8954"/>
      <c r="O85" s="8954"/>
      <c r="P85" s="8938"/>
      <c r="Q85" s="8938"/>
      <c r="R85" s="9206"/>
      <c r="S85" s="1083"/>
      <c r="T85" s="4959"/>
      <c r="U85" s="4959"/>
      <c r="V85" s="1051"/>
      <c r="W85" s="1688"/>
      <c r="X85" s="1052"/>
      <c r="Y85" s="5043"/>
      <c r="Z85" s="5043"/>
      <c r="AA85" s="5043"/>
      <c r="AB85" s="5044"/>
      <c r="AC85" s="4993"/>
      <c r="AD85" s="1053"/>
      <c r="AE85" s="1052"/>
      <c r="AF85" s="1052"/>
      <c r="AG85" s="1054"/>
      <c r="AH85" s="9195"/>
    </row>
    <row r="86" spans="1:34" ht="25.5" customHeight="1">
      <c r="A86" s="9244"/>
      <c r="B86" s="9235"/>
      <c r="C86" s="9221"/>
      <c r="D86" s="8939"/>
      <c r="E86" s="8939"/>
      <c r="F86" s="8939"/>
      <c r="G86" s="8939"/>
      <c r="H86" s="8939"/>
      <c r="I86" s="8939"/>
      <c r="J86" s="9026"/>
      <c r="K86" s="8939"/>
      <c r="L86" s="9127"/>
      <c r="M86" s="8955"/>
      <c r="N86" s="8955"/>
      <c r="O86" s="8955"/>
      <c r="P86" s="8939"/>
      <c r="Q86" s="8939"/>
      <c r="R86" s="9207"/>
      <c r="S86" s="1085"/>
      <c r="T86" s="4967"/>
      <c r="U86" s="4967"/>
      <c r="V86" s="1068"/>
      <c r="W86" s="1691"/>
      <c r="X86" s="1069"/>
      <c r="Y86" s="5046"/>
      <c r="Z86" s="5046"/>
      <c r="AA86" s="5046"/>
      <c r="AB86" s="5047"/>
      <c r="AC86" s="5005"/>
      <c r="AD86" s="1070"/>
      <c r="AE86" s="1069"/>
      <c r="AF86" s="1069"/>
      <c r="AG86" s="1071"/>
      <c r="AH86" s="9196"/>
    </row>
    <row r="87" spans="1:34" ht="25.5" customHeight="1">
      <c r="A87" s="9244"/>
      <c r="B87" s="9235"/>
      <c r="C87" s="9125" t="s">
        <v>127</v>
      </c>
      <c r="D87" s="8834" t="s">
        <v>128</v>
      </c>
      <c r="E87" s="8834" t="s">
        <v>140</v>
      </c>
      <c r="F87" s="8834" t="s">
        <v>212</v>
      </c>
      <c r="G87" s="8974" t="s">
        <v>131</v>
      </c>
      <c r="H87" s="8834" t="s">
        <v>132</v>
      </c>
      <c r="I87" s="8834" t="s">
        <v>159</v>
      </c>
      <c r="J87" s="9226" t="s">
        <v>631</v>
      </c>
      <c r="K87" s="8782" t="s">
        <v>632</v>
      </c>
      <c r="L87" s="8782" t="s">
        <v>633</v>
      </c>
      <c r="M87" s="8856">
        <v>3</v>
      </c>
      <c r="N87" s="8823">
        <v>3</v>
      </c>
      <c r="O87" s="8856">
        <v>3</v>
      </c>
      <c r="P87" s="8980" t="s">
        <v>634</v>
      </c>
      <c r="Q87" s="9204" t="s">
        <v>635</v>
      </c>
      <c r="R87" s="9205" t="s">
        <v>636</v>
      </c>
      <c r="S87" s="1086" t="s">
        <v>15</v>
      </c>
      <c r="T87" s="4956">
        <v>840107</v>
      </c>
      <c r="U87" s="4957"/>
      <c r="V87" s="1087" t="s">
        <v>40</v>
      </c>
      <c r="W87" s="1690"/>
      <c r="X87" s="1061"/>
      <c r="Y87" s="5053"/>
      <c r="Z87" s="5053"/>
      <c r="AA87" s="5053"/>
      <c r="AB87" s="5063">
        <f>SUM($AA$88:$AA$90)</f>
        <v>0</v>
      </c>
      <c r="AC87" s="4990"/>
      <c r="AD87" s="1062"/>
      <c r="AE87" s="1061"/>
      <c r="AF87" s="1063"/>
      <c r="AG87" s="1064"/>
      <c r="AH87" s="9194" t="s">
        <v>548</v>
      </c>
    </row>
    <row r="88" spans="1:34" ht="25.5" customHeight="1">
      <c r="A88" s="9244"/>
      <c r="B88" s="9235"/>
      <c r="C88" s="9220"/>
      <c r="D88" s="8938"/>
      <c r="E88" s="8938"/>
      <c r="F88" s="8938"/>
      <c r="G88" s="8938"/>
      <c r="H88" s="8938"/>
      <c r="I88" s="8938"/>
      <c r="J88" s="9199"/>
      <c r="K88" s="8938"/>
      <c r="L88" s="8938"/>
      <c r="M88" s="8954"/>
      <c r="N88" s="8954"/>
      <c r="O88" s="8954"/>
      <c r="P88" s="8938"/>
      <c r="Q88" s="8938"/>
      <c r="R88" s="9206"/>
      <c r="S88" s="1083"/>
      <c r="T88" s="4959"/>
      <c r="U88" s="4959">
        <v>451700424</v>
      </c>
      <c r="V88" s="1073" t="s">
        <v>382</v>
      </c>
      <c r="W88" s="1688"/>
      <c r="X88" s="1052" t="s">
        <v>180</v>
      </c>
      <c r="Y88" s="5043">
        <v>1100</v>
      </c>
      <c r="Z88" s="5043">
        <f t="shared" ref="Z88" si="20">+W88*Y88</f>
        <v>0</v>
      </c>
      <c r="AA88" s="5043">
        <f t="shared" ref="AA88" si="21">+Z88*1.12</f>
        <v>0</v>
      </c>
      <c r="AB88" s="5044"/>
      <c r="AC88" s="4993"/>
      <c r="AD88" s="1053"/>
      <c r="AE88" s="1052"/>
      <c r="AF88" s="1052"/>
      <c r="AG88" s="1065"/>
      <c r="AH88" s="9195"/>
    </row>
    <row r="89" spans="1:34" ht="25.5" customHeight="1">
      <c r="A89" s="9244"/>
      <c r="B89" s="9235"/>
      <c r="C89" s="9220"/>
      <c r="D89" s="8938"/>
      <c r="E89" s="8938"/>
      <c r="F89" s="8938"/>
      <c r="G89" s="8938"/>
      <c r="H89" s="8938"/>
      <c r="I89" s="8938"/>
      <c r="J89" s="9199"/>
      <c r="K89" s="8938"/>
      <c r="L89" s="8938"/>
      <c r="M89" s="8954"/>
      <c r="N89" s="8954"/>
      <c r="O89" s="8954"/>
      <c r="P89" s="8938"/>
      <c r="Q89" s="8938"/>
      <c r="R89" s="9206"/>
      <c r="S89" s="1083"/>
      <c r="T89" s="4959"/>
      <c r="U89" s="4959"/>
      <c r="V89" s="1088"/>
      <c r="W89" s="1688"/>
      <c r="X89" s="1052"/>
      <c r="Y89" s="5043"/>
      <c r="Z89" s="5043"/>
      <c r="AA89" s="5043"/>
      <c r="AB89" s="5044"/>
      <c r="AC89" s="4993"/>
      <c r="AD89" s="1053"/>
      <c r="AE89" s="1052"/>
      <c r="AF89" s="1052"/>
      <c r="AG89" s="1054"/>
      <c r="AH89" s="9195"/>
    </row>
    <row r="90" spans="1:34" ht="25.5" customHeight="1">
      <c r="A90" s="9244"/>
      <c r="B90" s="9235"/>
      <c r="C90" s="9220"/>
      <c r="D90" s="8938"/>
      <c r="E90" s="8938"/>
      <c r="F90" s="8938"/>
      <c r="G90" s="8938"/>
      <c r="H90" s="8938"/>
      <c r="I90" s="8938"/>
      <c r="J90" s="9199"/>
      <c r="K90" s="8938"/>
      <c r="L90" s="8938"/>
      <c r="M90" s="8954"/>
      <c r="N90" s="8954"/>
      <c r="O90" s="8954"/>
      <c r="P90" s="8938"/>
      <c r="Q90" s="8938"/>
      <c r="R90" s="9206"/>
      <c r="S90" s="1083"/>
      <c r="T90" s="4959"/>
      <c r="U90" s="4959"/>
      <c r="V90" s="1051"/>
      <c r="W90" s="1688"/>
      <c r="X90" s="1052"/>
      <c r="Y90" s="5043"/>
      <c r="Z90" s="5043"/>
      <c r="AA90" s="5043"/>
      <c r="AB90" s="5044"/>
      <c r="AC90" s="4993"/>
      <c r="AD90" s="1053"/>
      <c r="AE90" s="1052"/>
      <c r="AF90" s="1052"/>
      <c r="AG90" s="1054"/>
      <c r="AH90" s="9195"/>
    </row>
    <row r="91" spans="1:34" ht="25.5" customHeight="1">
      <c r="A91" s="9244"/>
      <c r="B91" s="9235"/>
      <c r="C91" s="9221"/>
      <c r="D91" s="8939"/>
      <c r="E91" s="8939"/>
      <c r="F91" s="8939"/>
      <c r="G91" s="8939"/>
      <c r="H91" s="8939"/>
      <c r="I91" s="8939"/>
      <c r="J91" s="9026"/>
      <c r="K91" s="8939"/>
      <c r="L91" s="8939"/>
      <c r="M91" s="8955"/>
      <c r="N91" s="8955"/>
      <c r="O91" s="8955"/>
      <c r="P91" s="8939"/>
      <c r="Q91" s="8939"/>
      <c r="R91" s="9207"/>
      <c r="S91" s="1085"/>
      <c r="T91" s="4967"/>
      <c r="U91" s="4967"/>
      <c r="V91" s="1068"/>
      <c r="W91" s="1691"/>
      <c r="X91" s="1069"/>
      <c r="Y91" s="5046"/>
      <c r="Z91" s="5046"/>
      <c r="AA91" s="5046"/>
      <c r="AB91" s="5047"/>
      <c r="AC91" s="5005"/>
      <c r="AD91" s="1070"/>
      <c r="AE91" s="1069"/>
      <c r="AF91" s="1069"/>
      <c r="AG91" s="1071"/>
      <c r="AH91" s="9196"/>
    </row>
    <row r="92" spans="1:34" ht="25.5" customHeight="1">
      <c r="A92" s="9244"/>
      <c r="B92" s="9235"/>
      <c r="C92" s="9125" t="s">
        <v>127</v>
      </c>
      <c r="D92" s="8834" t="s">
        <v>128</v>
      </c>
      <c r="E92" s="8834" t="s">
        <v>140</v>
      </c>
      <c r="F92" s="8834" t="s">
        <v>238</v>
      </c>
      <c r="G92" s="8974" t="s">
        <v>131</v>
      </c>
      <c r="H92" s="8834" t="s">
        <v>132</v>
      </c>
      <c r="I92" s="8834" t="s">
        <v>159</v>
      </c>
      <c r="J92" s="9226" t="s">
        <v>637</v>
      </c>
      <c r="K92" s="8782" t="s">
        <v>638</v>
      </c>
      <c r="L92" s="8782" t="s">
        <v>639</v>
      </c>
      <c r="M92" s="8856">
        <v>0</v>
      </c>
      <c r="N92" s="8823">
        <v>0</v>
      </c>
      <c r="O92" s="8856">
        <v>1</v>
      </c>
      <c r="P92" s="8980" t="s">
        <v>640</v>
      </c>
      <c r="Q92" s="9204" t="s">
        <v>641</v>
      </c>
      <c r="R92" s="9205" t="s">
        <v>642</v>
      </c>
      <c r="S92" s="1086"/>
      <c r="T92" s="4957"/>
      <c r="U92" s="4957"/>
      <c r="V92" s="1087"/>
      <c r="W92" s="1690"/>
      <c r="X92" s="1061"/>
      <c r="Y92" s="5053"/>
      <c r="Z92" s="5053"/>
      <c r="AA92" s="5053"/>
      <c r="AB92" s="5063"/>
      <c r="AC92" s="4990"/>
      <c r="AD92" s="1062"/>
      <c r="AE92" s="1061"/>
      <c r="AF92" s="1063"/>
      <c r="AG92" s="1064"/>
      <c r="AH92" s="9194"/>
    </row>
    <row r="93" spans="1:34" ht="25.5" customHeight="1">
      <c r="A93" s="9244"/>
      <c r="B93" s="9235"/>
      <c r="C93" s="9220"/>
      <c r="D93" s="8938"/>
      <c r="E93" s="8938"/>
      <c r="F93" s="8938"/>
      <c r="G93" s="8938"/>
      <c r="H93" s="8938"/>
      <c r="I93" s="8938"/>
      <c r="J93" s="9199"/>
      <c r="K93" s="8938"/>
      <c r="L93" s="8938"/>
      <c r="M93" s="8954"/>
      <c r="N93" s="8954"/>
      <c r="O93" s="8954"/>
      <c r="P93" s="8938"/>
      <c r="Q93" s="8938"/>
      <c r="R93" s="9206"/>
      <c r="S93" s="1083"/>
      <c r="T93" s="4959"/>
      <c r="U93" s="4959"/>
      <c r="V93" s="1073"/>
      <c r="W93" s="1688"/>
      <c r="X93" s="1052"/>
      <c r="Y93" s="5043"/>
      <c r="Z93" s="5043"/>
      <c r="AA93" s="5043"/>
      <c r="AB93" s="5044"/>
      <c r="AC93" s="4993"/>
      <c r="AD93" s="1053"/>
      <c r="AE93" s="1052"/>
      <c r="AF93" s="1052"/>
      <c r="AG93" s="1065"/>
      <c r="AH93" s="9195"/>
    </row>
    <row r="94" spans="1:34" ht="25.5" customHeight="1">
      <c r="A94" s="9244"/>
      <c r="B94" s="9235"/>
      <c r="C94" s="9220"/>
      <c r="D94" s="8938"/>
      <c r="E94" s="8938"/>
      <c r="F94" s="8938"/>
      <c r="G94" s="8938"/>
      <c r="H94" s="8938"/>
      <c r="I94" s="8938"/>
      <c r="J94" s="9199"/>
      <c r="K94" s="8938"/>
      <c r="L94" s="8938"/>
      <c r="M94" s="8954"/>
      <c r="N94" s="8954"/>
      <c r="O94" s="8954"/>
      <c r="P94" s="8938"/>
      <c r="Q94" s="8938"/>
      <c r="R94" s="9206"/>
      <c r="S94" s="1083"/>
      <c r="T94" s="4959"/>
      <c r="U94" s="4959"/>
      <c r="V94" s="1088"/>
      <c r="W94" s="1688"/>
      <c r="X94" s="1052"/>
      <c r="Y94" s="5043"/>
      <c r="Z94" s="5043"/>
      <c r="AA94" s="5043"/>
      <c r="AB94" s="5044"/>
      <c r="AC94" s="4993"/>
      <c r="AD94" s="1053"/>
      <c r="AE94" s="1052"/>
      <c r="AF94" s="1052"/>
      <c r="AG94" s="1054"/>
      <c r="AH94" s="9195"/>
    </row>
    <row r="95" spans="1:34" ht="25.5" customHeight="1">
      <c r="A95" s="9244"/>
      <c r="B95" s="9235"/>
      <c r="C95" s="9220"/>
      <c r="D95" s="8938"/>
      <c r="E95" s="8938"/>
      <c r="F95" s="8938"/>
      <c r="G95" s="8938"/>
      <c r="H95" s="8938"/>
      <c r="I95" s="8938"/>
      <c r="J95" s="9199"/>
      <c r="K95" s="8938"/>
      <c r="L95" s="8938"/>
      <c r="M95" s="8954"/>
      <c r="N95" s="8954"/>
      <c r="O95" s="8954"/>
      <c r="P95" s="8938"/>
      <c r="Q95" s="8938"/>
      <c r="R95" s="9206"/>
      <c r="S95" s="1083"/>
      <c r="T95" s="4959"/>
      <c r="U95" s="4959"/>
      <c r="V95" s="1051"/>
      <c r="W95" s="1688"/>
      <c r="X95" s="1052"/>
      <c r="Y95" s="5043"/>
      <c r="Z95" s="5043"/>
      <c r="AA95" s="5043"/>
      <c r="AB95" s="5044"/>
      <c r="AC95" s="4993"/>
      <c r="AD95" s="1053"/>
      <c r="AE95" s="1052"/>
      <c r="AF95" s="1052"/>
      <c r="AG95" s="1054"/>
      <c r="AH95" s="9195"/>
    </row>
    <row r="96" spans="1:34" ht="25.5" customHeight="1">
      <c r="A96" s="9244"/>
      <c r="B96" s="9235"/>
      <c r="C96" s="9221"/>
      <c r="D96" s="8939"/>
      <c r="E96" s="8939"/>
      <c r="F96" s="8939"/>
      <c r="G96" s="8939"/>
      <c r="H96" s="8939"/>
      <c r="I96" s="8939"/>
      <c r="J96" s="9026"/>
      <c r="K96" s="8939"/>
      <c r="L96" s="8939"/>
      <c r="M96" s="8955"/>
      <c r="N96" s="8955"/>
      <c r="O96" s="8955"/>
      <c r="P96" s="8939"/>
      <c r="Q96" s="8939"/>
      <c r="R96" s="9207"/>
      <c r="S96" s="1085"/>
      <c r="T96" s="4967"/>
      <c r="U96" s="4967"/>
      <c r="V96" s="1068"/>
      <c r="W96" s="1691"/>
      <c r="X96" s="1069"/>
      <c r="Y96" s="5046"/>
      <c r="Z96" s="5046"/>
      <c r="AA96" s="5046"/>
      <c r="AB96" s="5047"/>
      <c r="AC96" s="5005"/>
      <c r="AD96" s="1070"/>
      <c r="AE96" s="1069"/>
      <c r="AF96" s="1069"/>
      <c r="AG96" s="1071"/>
      <c r="AH96" s="9196"/>
    </row>
    <row r="97" spans="1:34" ht="25.5" customHeight="1">
      <c r="A97" s="9244"/>
      <c r="B97" s="9235"/>
      <c r="C97" s="9223" t="s">
        <v>127</v>
      </c>
      <c r="D97" s="8782" t="s">
        <v>128</v>
      </c>
      <c r="E97" s="8782" t="s">
        <v>140</v>
      </c>
      <c r="F97" s="8782" t="s">
        <v>141</v>
      </c>
      <c r="G97" s="8977" t="s">
        <v>131</v>
      </c>
      <c r="H97" s="8782" t="s">
        <v>132</v>
      </c>
      <c r="I97" s="8782" t="s">
        <v>159</v>
      </c>
      <c r="J97" s="9225" t="s">
        <v>643</v>
      </c>
      <c r="K97" s="8782" t="s">
        <v>286</v>
      </c>
      <c r="L97" s="8782" t="s">
        <v>585</v>
      </c>
      <c r="M97" s="8823">
        <v>0</v>
      </c>
      <c r="N97" s="8823">
        <v>1</v>
      </c>
      <c r="O97" s="8823">
        <v>1</v>
      </c>
      <c r="P97" s="8956" t="s">
        <v>586</v>
      </c>
      <c r="Q97" s="9027" t="s">
        <v>644</v>
      </c>
      <c r="R97" s="9217" t="s">
        <v>645</v>
      </c>
      <c r="S97" s="1086"/>
      <c r="T97" s="4957"/>
      <c r="U97" s="4957"/>
      <c r="V97" s="1087"/>
      <c r="W97" s="1690"/>
      <c r="X97" s="1061"/>
      <c r="Y97" s="5053"/>
      <c r="Z97" s="5053"/>
      <c r="AA97" s="5053"/>
      <c r="AB97" s="5063"/>
      <c r="AC97" s="4990"/>
      <c r="AD97" s="1062"/>
      <c r="AE97" s="1061"/>
      <c r="AF97" s="1076"/>
      <c r="AG97" s="1077"/>
      <c r="AH97" s="9194"/>
    </row>
    <row r="98" spans="1:34" ht="25.5" customHeight="1">
      <c r="A98" s="9244"/>
      <c r="B98" s="9235"/>
      <c r="C98" s="9220"/>
      <c r="D98" s="8938"/>
      <c r="E98" s="8938"/>
      <c r="F98" s="8938"/>
      <c r="G98" s="8938"/>
      <c r="H98" s="8938"/>
      <c r="I98" s="8938"/>
      <c r="J98" s="8941"/>
      <c r="K98" s="8938"/>
      <c r="L98" s="8938"/>
      <c r="M98" s="8954"/>
      <c r="N98" s="8954"/>
      <c r="O98" s="8954"/>
      <c r="P98" s="8938"/>
      <c r="Q98" s="8938"/>
      <c r="R98" s="9206"/>
      <c r="S98" s="1083"/>
      <c r="T98" s="4959"/>
      <c r="U98" s="4959"/>
      <c r="V98" s="1092"/>
      <c r="W98" s="1688"/>
      <c r="X98" s="1052"/>
      <c r="Y98" s="5043"/>
      <c r="Z98" s="5043"/>
      <c r="AA98" s="5043"/>
      <c r="AB98" s="5044"/>
      <c r="AC98" s="4993"/>
      <c r="AD98" s="1053"/>
      <c r="AE98" s="1052"/>
      <c r="AF98" s="1074"/>
      <c r="AG98" s="1054"/>
      <c r="AH98" s="9195"/>
    </row>
    <row r="99" spans="1:34" ht="25.5" customHeight="1">
      <c r="A99" s="9244"/>
      <c r="B99" s="9235"/>
      <c r="C99" s="9220"/>
      <c r="D99" s="8938"/>
      <c r="E99" s="8938"/>
      <c r="F99" s="8938"/>
      <c r="G99" s="8938"/>
      <c r="H99" s="8938"/>
      <c r="I99" s="8938"/>
      <c r="J99" s="8941"/>
      <c r="K99" s="8938"/>
      <c r="L99" s="8938"/>
      <c r="M99" s="8954"/>
      <c r="N99" s="8954"/>
      <c r="O99" s="8954"/>
      <c r="P99" s="8938"/>
      <c r="Q99" s="8938"/>
      <c r="R99" s="9206"/>
      <c r="S99" s="1083"/>
      <c r="T99" s="4959"/>
      <c r="U99" s="4959"/>
      <c r="V99" s="1092"/>
      <c r="W99" s="1688"/>
      <c r="X99" s="1052"/>
      <c r="Y99" s="5043"/>
      <c r="Z99" s="5043"/>
      <c r="AA99" s="5043"/>
      <c r="AB99" s="5044"/>
      <c r="AC99" s="4993"/>
      <c r="AD99" s="1053"/>
      <c r="AE99" s="1052"/>
      <c r="AF99" s="1074"/>
      <c r="AG99" s="1054"/>
      <c r="AH99" s="9195"/>
    </row>
    <row r="100" spans="1:34" ht="25.5" customHeight="1">
      <c r="A100" s="9244"/>
      <c r="B100" s="9235"/>
      <c r="C100" s="9220"/>
      <c r="D100" s="8938"/>
      <c r="E100" s="8938"/>
      <c r="F100" s="8938"/>
      <c r="G100" s="8938"/>
      <c r="H100" s="8938"/>
      <c r="I100" s="8938"/>
      <c r="J100" s="8941"/>
      <c r="K100" s="8938"/>
      <c r="L100" s="8938"/>
      <c r="M100" s="8954"/>
      <c r="N100" s="8954"/>
      <c r="O100" s="8954"/>
      <c r="P100" s="8938"/>
      <c r="Q100" s="8938"/>
      <c r="R100" s="9206"/>
      <c r="S100" s="1083"/>
      <c r="T100" s="4959"/>
      <c r="U100" s="4959"/>
      <c r="V100" s="1092"/>
      <c r="W100" s="1688"/>
      <c r="X100" s="1052"/>
      <c r="Y100" s="5043"/>
      <c r="Z100" s="5043"/>
      <c r="AA100" s="5043"/>
      <c r="AB100" s="5044"/>
      <c r="AC100" s="4993"/>
      <c r="AD100" s="1053"/>
      <c r="AE100" s="1052"/>
      <c r="AF100" s="1074"/>
      <c r="AG100" s="1054"/>
      <c r="AH100" s="9195"/>
    </row>
    <row r="101" spans="1:34" ht="25.5" customHeight="1">
      <c r="A101" s="9244"/>
      <c r="B101" s="9235"/>
      <c r="C101" s="9221"/>
      <c r="D101" s="8939"/>
      <c r="E101" s="8939"/>
      <c r="F101" s="8939"/>
      <c r="G101" s="8939"/>
      <c r="H101" s="8939"/>
      <c r="I101" s="8939"/>
      <c r="J101" s="8942"/>
      <c r="K101" s="8939"/>
      <c r="L101" s="8939"/>
      <c r="M101" s="8955"/>
      <c r="N101" s="8955"/>
      <c r="O101" s="8955"/>
      <c r="P101" s="8939"/>
      <c r="Q101" s="8939"/>
      <c r="R101" s="9207"/>
      <c r="S101" s="1085"/>
      <c r="T101" s="4967"/>
      <c r="U101" s="4967"/>
      <c r="V101" s="1093"/>
      <c r="W101" s="1691"/>
      <c r="X101" s="1069"/>
      <c r="Y101" s="5046"/>
      <c r="Z101" s="5046"/>
      <c r="AA101" s="5046"/>
      <c r="AB101" s="5047"/>
      <c r="AC101" s="5005"/>
      <c r="AD101" s="1070"/>
      <c r="AE101" s="1069"/>
      <c r="AF101" s="1079"/>
      <c r="AG101" s="1071"/>
      <c r="AH101" s="9196"/>
    </row>
    <row r="102" spans="1:34" ht="25.5" customHeight="1">
      <c r="A102" s="9244"/>
      <c r="B102" s="9235"/>
      <c r="C102" s="9223" t="s">
        <v>127</v>
      </c>
      <c r="D102" s="8782" t="s">
        <v>128</v>
      </c>
      <c r="E102" s="8782" t="s">
        <v>140</v>
      </c>
      <c r="F102" s="8782" t="s">
        <v>238</v>
      </c>
      <c r="G102" s="8977" t="s">
        <v>131</v>
      </c>
      <c r="H102" s="8782" t="s">
        <v>132</v>
      </c>
      <c r="I102" s="8782" t="s">
        <v>159</v>
      </c>
      <c r="J102" s="9225" t="s">
        <v>646</v>
      </c>
      <c r="K102" s="8834" t="s">
        <v>338</v>
      </c>
      <c r="L102" s="8834" t="s">
        <v>589</v>
      </c>
      <c r="M102" s="8856">
        <v>5</v>
      </c>
      <c r="N102" s="8823">
        <v>5</v>
      </c>
      <c r="O102" s="8823">
        <v>5</v>
      </c>
      <c r="P102" s="8956" t="s">
        <v>590</v>
      </c>
      <c r="Q102" s="9204" t="s">
        <v>433</v>
      </c>
      <c r="R102" s="9205" t="s">
        <v>647</v>
      </c>
      <c r="S102" s="1086"/>
      <c r="T102" s="4957"/>
      <c r="U102" s="4957"/>
      <c r="V102" s="1060"/>
      <c r="W102" s="1690"/>
      <c r="X102" s="1061"/>
      <c r="Y102" s="5053"/>
      <c r="Z102" s="5053"/>
      <c r="AA102" s="5053"/>
      <c r="AB102" s="5063"/>
      <c r="AC102" s="4990"/>
      <c r="AD102" s="1062"/>
      <c r="AE102" s="1061"/>
      <c r="AF102" s="1076"/>
      <c r="AG102" s="1077"/>
      <c r="AH102" s="9194"/>
    </row>
    <row r="103" spans="1:34" ht="25.5" customHeight="1">
      <c r="A103" s="9244"/>
      <c r="B103" s="9235"/>
      <c r="C103" s="9220"/>
      <c r="D103" s="8938"/>
      <c r="E103" s="8938"/>
      <c r="F103" s="8938"/>
      <c r="G103" s="8938"/>
      <c r="H103" s="8938"/>
      <c r="I103" s="8938"/>
      <c r="J103" s="8941"/>
      <c r="K103" s="8938"/>
      <c r="L103" s="8938"/>
      <c r="M103" s="8954"/>
      <c r="N103" s="8954"/>
      <c r="O103" s="8954"/>
      <c r="P103" s="8938"/>
      <c r="Q103" s="8938"/>
      <c r="R103" s="9206"/>
      <c r="S103" s="1083"/>
      <c r="T103" s="4959"/>
      <c r="U103" s="4959"/>
      <c r="V103" s="1051"/>
      <c r="W103" s="1688"/>
      <c r="X103" s="1052"/>
      <c r="Y103" s="5043"/>
      <c r="Z103" s="5043"/>
      <c r="AA103" s="5043"/>
      <c r="AB103" s="5044"/>
      <c r="AC103" s="4993"/>
      <c r="AD103" s="1053"/>
      <c r="AE103" s="1052"/>
      <c r="AF103" s="1074"/>
      <c r="AG103" s="1054"/>
      <c r="AH103" s="9195"/>
    </row>
    <row r="104" spans="1:34" ht="25.5" customHeight="1">
      <c r="A104" s="9244"/>
      <c r="B104" s="9235"/>
      <c r="C104" s="9220"/>
      <c r="D104" s="8938"/>
      <c r="E104" s="8938"/>
      <c r="F104" s="8938"/>
      <c r="G104" s="8938"/>
      <c r="H104" s="8938"/>
      <c r="I104" s="8938"/>
      <c r="J104" s="8941"/>
      <c r="K104" s="8938"/>
      <c r="L104" s="8938"/>
      <c r="M104" s="8954"/>
      <c r="N104" s="8954"/>
      <c r="O104" s="8954"/>
      <c r="P104" s="8938"/>
      <c r="Q104" s="8938"/>
      <c r="R104" s="9206"/>
      <c r="S104" s="1083"/>
      <c r="T104" s="4959"/>
      <c r="U104" s="4959"/>
      <c r="V104" s="1051"/>
      <c r="W104" s="1688"/>
      <c r="X104" s="1052"/>
      <c r="Y104" s="5043"/>
      <c r="Z104" s="5043"/>
      <c r="AA104" s="5043"/>
      <c r="AB104" s="5044"/>
      <c r="AC104" s="4993"/>
      <c r="AD104" s="1053"/>
      <c r="AE104" s="1052"/>
      <c r="AF104" s="1074"/>
      <c r="AG104" s="1054"/>
      <c r="AH104" s="9195"/>
    </row>
    <row r="105" spans="1:34" ht="25.5" customHeight="1">
      <c r="A105" s="9244"/>
      <c r="B105" s="9235"/>
      <c r="C105" s="9220"/>
      <c r="D105" s="8938"/>
      <c r="E105" s="8938"/>
      <c r="F105" s="8938"/>
      <c r="G105" s="8938"/>
      <c r="H105" s="8938"/>
      <c r="I105" s="8938"/>
      <c r="J105" s="8941"/>
      <c r="K105" s="8938"/>
      <c r="L105" s="8938"/>
      <c r="M105" s="8954"/>
      <c r="N105" s="8954"/>
      <c r="O105" s="8954"/>
      <c r="P105" s="8938"/>
      <c r="Q105" s="8938"/>
      <c r="R105" s="9206"/>
      <c r="S105" s="1083"/>
      <c r="T105" s="4959"/>
      <c r="U105" s="4959"/>
      <c r="V105" s="1051"/>
      <c r="W105" s="1688"/>
      <c r="X105" s="1052"/>
      <c r="Y105" s="5043"/>
      <c r="Z105" s="5043"/>
      <c r="AA105" s="5043"/>
      <c r="AB105" s="5044"/>
      <c r="AC105" s="4993"/>
      <c r="AD105" s="1053"/>
      <c r="AE105" s="1052"/>
      <c r="AF105" s="1074"/>
      <c r="AG105" s="1054"/>
      <c r="AH105" s="9195"/>
    </row>
    <row r="106" spans="1:34" ht="25.5" customHeight="1">
      <c r="A106" s="9244"/>
      <c r="B106" s="9235"/>
      <c r="C106" s="9221"/>
      <c r="D106" s="8939"/>
      <c r="E106" s="8939"/>
      <c r="F106" s="8939"/>
      <c r="G106" s="8939"/>
      <c r="H106" s="8939"/>
      <c r="I106" s="8939"/>
      <c r="J106" s="8942"/>
      <c r="K106" s="8939"/>
      <c r="L106" s="8939"/>
      <c r="M106" s="8955"/>
      <c r="N106" s="8955"/>
      <c r="O106" s="8955"/>
      <c r="P106" s="8939"/>
      <c r="Q106" s="8939"/>
      <c r="R106" s="9207"/>
      <c r="S106" s="1085"/>
      <c r="T106" s="4967"/>
      <c r="U106" s="4967"/>
      <c r="V106" s="1068"/>
      <c r="W106" s="1691"/>
      <c r="X106" s="1069"/>
      <c r="Y106" s="5046"/>
      <c r="Z106" s="5046"/>
      <c r="AA106" s="5046"/>
      <c r="AB106" s="5047"/>
      <c r="AC106" s="5005"/>
      <c r="AD106" s="1070"/>
      <c r="AE106" s="1069"/>
      <c r="AF106" s="1079"/>
      <c r="AG106" s="1071"/>
      <c r="AH106" s="9196"/>
    </row>
    <row r="107" spans="1:34" ht="25.5" customHeight="1">
      <c r="A107" s="9244"/>
      <c r="B107" s="9235"/>
      <c r="C107" s="9125" t="s">
        <v>127</v>
      </c>
      <c r="D107" s="8834" t="s">
        <v>128</v>
      </c>
      <c r="E107" s="8834" t="s">
        <v>140</v>
      </c>
      <c r="F107" s="8834" t="s">
        <v>238</v>
      </c>
      <c r="G107" s="8974" t="s">
        <v>131</v>
      </c>
      <c r="H107" s="8834" t="s">
        <v>132</v>
      </c>
      <c r="I107" s="8782" t="s">
        <v>159</v>
      </c>
      <c r="J107" s="9225" t="s">
        <v>648</v>
      </c>
      <c r="K107" s="8782" t="s">
        <v>649</v>
      </c>
      <c r="L107" s="8782" t="s">
        <v>589</v>
      </c>
      <c r="M107" s="8823">
        <v>3</v>
      </c>
      <c r="N107" s="8823">
        <v>4</v>
      </c>
      <c r="O107" s="8823">
        <v>4</v>
      </c>
      <c r="P107" s="8956" t="s">
        <v>590</v>
      </c>
      <c r="Q107" s="9027" t="s">
        <v>433</v>
      </c>
      <c r="R107" s="9217" t="s">
        <v>650</v>
      </c>
      <c r="S107" s="1086" t="s">
        <v>15</v>
      </c>
      <c r="T107" s="4964">
        <v>840104</v>
      </c>
      <c r="U107" s="4964"/>
      <c r="V107" s="3209" t="s">
        <v>39</v>
      </c>
      <c r="W107" s="3205"/>
      <c r="X107" s="3206"/>
      <c r="Y107" s="5064"/>
      <c r="Z107" s="5064"/>
      <c r="AA107" s="5064"/>
      <c r="AB107" s="5054">
        <f>SUM($AA$108:$AA$110)</f>
        <v>1225</v>
      </c>
      <c r="AC107" s="5000" t="s">
        <v>18</v>
      </c>
      <c r="AD107" s="1062"/>
      <c r="AE107" s="1061"/>
      <c r="AF107" s="1076"/>
      <c r="AG107" s="1077"/>
      <c r="AH107" s="9194" t="s">
        <v>651</v>
      </c>
    </row>
    <row r="108" spans="1:34" ht="25.5" customHeight="1">
      <c r="A108" s="9244"/>
      <c r="B108" s="9235"/>
      <c r="C108" s="9220"/>
      <c r="D108" s="8938"/>
      <c r="E108" s="8938"/>
      <c r="F108" s="8938"/>
      <c r="G108" s="8938"/>
      <c r="H108" s="8938"/>
      <c r="I108" s="8938"/>
      <c r="J108" s="8941"/>
      <c r="K108" s="8938"/>
      <c r="L108" s="8938"/>
      <c r="M108" s="8954"/>
      <c r="N108" s="8954"/>
      <c r="O108" s="8954"/>
      <c r="P108" s="8938"/>
      <c r="Q108" s="8938"/>
      <c r="R108" s="9206"/>
      <c r="S108" s="1046"/>
      <c r="T108" s="4953"/>
      <c r="U108" s="4953">
        <v>439120011</v>
      </c>
      <c r="V108" s="3210" t="s">
        <v>652</v>
      </c>
      <c r="W108" s="3191">
        <v>1</v>
      </c>
      <c r="X108" s="3192" t="s">
        <v>180</v>
      </c>
      <c r="Y108" s="5056">
        <f>425</f>
        <v>425</v>
      </c>
      <c r="Z108" s="5056">
        <f t="shared" ref="Z108:Z110" si="22">+W108*Y108</f>
        <v>425</v>
      </c>
      <c r="AA108" s="5056">
        <f>Z108</f>
        <v>425</v>
      </c>
      <c r="AB108" s="5069"/>
      <c r="AC108" s="4983"/>
      <c r="AD108" s="1053"/>
      <c r="AE108" s="1052" t="s">
        <v>153</v>
      </c>
      <c r="AF108" s="1074"/>
      <c r="AG108" s="1054"/>
      <c r="AH108" s="9195"/>
    </row>
    <row r="109" spans="1:34" ht="25.5" customHeight="1">
      <c r="A109" s="9244"/>
      <c r="B109" s="9235"/>
      <c r="C109" s="9220"/>
      <c r="D109" s="8938"/>
      <c r="E109" s="8938"/>
      <c r="F109" s="8938"/>
      <c r="G109" s="8938"/>
      <c r="H109" s="8938"/>
      <c r="I109" s="8938"/>
      <c r="J109" s="8941"/>
      <c r="K109" s="8938"/>
      <c r="L109" s="8938"/>
      <c r="M109" s="8954"/>
      <c r="N109" s="8954"/>
      <c r="O109" s="8954"/>
      <c r="P109" s="8938"/>
      <c r="Q109" s="8938"/>
      <c r="R109" s="9206"/>
      <c r="S109" s="1046"/>
      <c r="T109" s="4953"/>
      <c r="U109" s="4953">
        <v>432300121</v>
      </c>
      <c r="V109" s="3210" t="s">
        <v>653</v>
      </c>
      <c r="W109" s="3191">
        <v>1</v>
      </c>
      <c r="X109" s="3192" t="s">
        <v>180</v>
      </c>
      <c r="Y109" s="5056">
        <v>650</v>
      </c>
      <c r="Z109" s="5056">
        <f t="shared" si="22"/>
        <v>650</v>
      </c>
      <c r="AA109" s="5056">
        <f>Z109</f>
        <v>650</v>
      </c>
      <c r="AB109" s="5069"/>
      <c r="AC109" s="4983"/>
      <c r="AD109" s="1053"/>
      <c r="AE109" s="1052" t="s">
        <v>153</v>
      </c>
      <c r="AF109" s="1074"/>
      <c r="AG109" s="1054"/>
      <c r="AH109" s="9195"/>
    </row>
    <row r="110" spans="1:34" ht="25.5" customHeight="1">
      <c r="A110" s="9244"/>
      <c r="B110" s="9235"/>
      <c r="C110" s="9220"/>
      <c r="D110" s="8938"/>
      <c r="E110" s="8938"/>
      <c r="F110" s="8938"/>
      <c r="G110" s="8938"/>
      <c r="H110" s="8938"/>
      <c r="I110" s="8938"/>
      <c r="J110" s="8941"/>
      <c r="K110" s="8938"/>
      <c r="L110" s="8938"/>
      <c r="M110" s="8954"/>
      <c r="N110" s="8954"/>
      <c r="O110" s="8954"/>
      <c r="P110" s="8938"/>
      <c r="Q110" s="8938"/>
      <c r="R110" s="9206"/>
      <c r="S110" s="1094"/>
      <c r="T110" s="5036"/>
      <c r="U110" s="4948">
        <v>452300052</v>
      </c>
      <c r="V110" s="3211" t="s">
        <v>654</v>
      </c>
      <c r="W110" s="3184">
        <v>1</v>
      </c>
      <c r="X110" s="3185" t="s">
        <v>180</v>
      </c>
      <c r="Y110" s="5066">
        <v>150</v>
      </c>
      <c r="Z110" s="5066">
        <f t="shared" si="22"/>
        <v>150</v>
      </c>
      <c r="AA110" s="5066">
        <f>Z110</f>
        <v>150</v>
      </c>
      <c r="AB110" s="5067"/>
      <c r="AC110" s="4974"/>
      <c r="AD110" s="1044"/>
      <c r="AE110" s="1043" t="s">
        <v>153</v>
      </c>
      <c r="AF110" s="1072"/>
      <c r="AG110" s="1045"/>
      <c r="AH110" s="9195"/>
    </row>
    <row r="111" spans="1:34" ht="25.5" customHeight="1">
      <c r="A111" s="9244"/>
      <c r="B111" s="9235"/>
      <c r="C111" s="9221"/>
      <c r="D111" s="8939"/>
      <c r="E111" s="8939"/>
      <c r="F111" s="8939"/>
      <c r="G111" s="8939"/>
      <c r="H111" s="8939"/>
      <c r="I111" s="8939"/>
      <c r="J111" s="8942"/>
      <c r="K111" s="8939"/>
      <c r="L111" s="8939"/>
      <c r="M111" s="8955"/>
      <c r="N111" s="8955"/>
      <c r="O111" s="8955"/>
      <c r="P111" s="8939"/>
      <c r="Q111" s="8939"/>
      <c r="R111" s="9207"/>
      <c r="S111" s="1085"/>
      <c r="T111" s="4967"/>
      <c r="U111" s="4969"/>
      <c r="V111" s="746"/>
      <c r="W111" s="1696"/>
      <c r="X111" s="95"/>
      <c r="Y111" s="5079"/>
      <c r="Z111" s="5079"/>
      <c r="AA111" s="5079"/>
      <c r="AB111" s="5080"/>
      <c r="AC111" s="5005"/>
      <c r="AD111" s="1070"/>
      <c r="AE111" s="1069"/>
      <c r="AF111" s="1079"/>
      <c r="AG111" s="1071"/>
      <c r="AH111" s="9196"/>
    </row>
    <row r="112" spans="1:34" s="4842" customFormat="1" ht="22.5" customHeight="1" thickBot="1">
      <c r="A112" s="9244"/>
      <c r="B112" s="9247"/>
      <c r="C112" s="465"/>
      <c r="D112" s="465"/>
      <c r="E112" s="465"/>
      <c r="F112" s="465"/>
      <c r="G112" s="465"/>
      <c r="H112" s="465"/>
      <c r="I112" s="465"/>
      <c r="J112" s="465"/>
      <c r="K112" s="465"/>
      <c r="L112" s="465"/>
      <c r="M112" s="465"/>
      <c r="N112" s="465"/>
      <c r="O112" s="465"/>
      <c r="P112" s="465"/>
      <c r="Q112" s="465"/>
      <c r="R112" s="465"/>
      <c r="S112" s="9197" t="s">
        <v>655</v>
      </c>
      <c r="T112" s="9045"/>
      <c r="U112" s="9045"/>
      <c r="V112" s="9045"/>
      <c r="W112" s="9045"/>
      <c r="X112" s="9045"/>
      <c r="Y112" s="9045"/>
      <c r="Z112" s="9045"/>
      <c r="AA112" s="4890" t="s">
        <v>292</v>
      </c>
      <c r="AB112" s="5018">
        <f>SUM(AB62:AB111)</f>
        <v>3196.84</v>
      </c>
      <c r="AC112" s="5019"/>
      <c r="AD112" s="5020"/>
      <c r="AE112" s="9046"/>
      <c r="AF112" s="9047"/>
      <c r="AG112" s="9047"/>
      <c r="AH112" s="9048"/>
    </row>
    <row r="113" spans="1:34" s="4842" customFormat="1" ht="30" customHeight="1" thickBot="1">
      <c r="A113" s="9245"/>
      <c r="B113" s="9222"/>
      <c r="C113" s="9086"/>
      <c r="D113" s="9086"/>
      <c r="E113" s="9086"/>
      <c r="F113" s="9086"/>
      <c r="G113" s="9086"/>
      <c r="H113" s="9086"/>
      <c r="I113" s="9086"/>
      <c r="J113" s="9086"/>
      <c r="K113" s="9086"/>
      <c r="L113" s="9086"/>
      <c r="M113" s="9086"/>
      <c r="N113" s="9086"/>
      <c r="O113" s="9086"/>
      <c r="P113" s="9086"/>
      <c r="Q113" s="9086"/>
      <c r="R113" s="9086"/>
      <c r="S113" s="9189" t="s">
        <v>595</v>
      </c>
      <c r="T113" s="9190"/>
      <c r="U113" s="9190"/>
      <c r="V113" s="9190"/>
      <c r="W113" s="9190"/>
      <c r="X113" s="9190"/>
      <c r="Y113" s="9190"/>
      <c r="Z113" s="9190"/>
      <c r="AA113" s="502" t="s">
        <v>292</v>
      </c>
      <c r="AB113" s="503">
        <f>SUM(AB61,AB112)</f>
        <v>9524.2639999999992</v>
      </c>
      <c r="AC113" s="367"/>
      <c r="AD113" s="835"/>
      <c r="AE113" s="9191"/>
      <c r="AF113" s="9086"/>
      <c r="AG113" s="9086"/>
      <c r="AH113" s="9087"/>
    </row>
    <row r="114" spans="1:34" ht="17.25" thickTop="1">
      <c r="A114" s="697"/>
      <c r="B114" s="495"/>
      <c r="C114" s="495" t="s">
        <v>656</v>
      </c>
      <c r="D114" s="466" t="s">
        <v>657</v>
      </c>
      <c r="E114" s="466"/>
      <c r="F114" s="466"/>
      <c r="G114" s="466"/>
      <c r="H114" s="466"/>
      <c r="I114" s="466"/>
      <c r="J114" s="466"/>
      <c r="K114" s="466"/>
      <c r="L114" s="466"/>
      <c r="M114" s="466"/>
      <c r="N114" s="466"/>
      <c r="O114" s="466"/>
      <c r="P114" s="466"/>
      <c r="Q114" s="466"/>
      <c r="R114" s="466"/>
      <c r="S114" s="9192" t="s">
        <v>533</v>
      </c>
      <c r="T114" s="8952"/>
      <c r="U114" s="8952"/>
      <c r="V114" s="8952"/>
      <c r="W114" s="8952"/>
      <c r="X114" s="8952"/>
      <c r="Y114" s="8952"/>
      <c r="Z114" s="8952"/>
      <c r="AA114" s="8952"/>
      <c r="AB114" s="8952"/>
      <c r="AC114" s="8952"/>
      <c r="AD114" s="8952"/>
      <c r="AE114" s="8952"/>
      <c r="AF114" s="8952"/>
      <c r="AG114" s="8952"/>
      <c r="AH114" s="8952"/>
    </row>
    <row r="115" spans="1:34" ht="16.5">
      <c r="A115" s="697"/>
      <c r="B115" s="495"/>
      <c r="C115" s="6" t="s">
        <v>658</v>
      </c>
      <c r="D115" s="466" t="s">
        <v>659</v>
      </c>
      <c r="E115" s="466"/>
      <c r="F115" s="466"/>
      <c r="G115" s="466"/>
      <c r="H115" s="466"/>
      <c r="I115" s="466"/>
      <c r="J115" s="466"/>
      <c r="K115" s="466"/>
      <c r="L115" s="466"/>
      <c r="M115" s="466"/>
      <c r="N115" s="466"/>
      <c r="O115" s="466"/>
      <c r="P115" s="466"/>
      <c r="Q115" s="466"/>
      <c r="R115" s="466"/>
      <c r="S115" s="821"/>
      <c r="T115" s="819"/>
      <c r="U115" s="819"/>
      <c r="V115" s="819"/>
      <c r="W115" s="819"/>
      <c r="X115" s="819"/>
      <c r="Y115" s="819"/>
      <c r="Z115" s="819"/>
      <c r="AA115" s="819"/>
      <c r="AB115" s="819"/>
      <c r="AC115" s="819"/>
      <c r="AD115" s="819"/>
      <c r="AE115" s="819"/>
      <c r="AF115" s="819"/>
      <c r="AG115" s="819"/>
      <c r="AH115" s="819"/>
    </row>
    <row r="116" spans="1:34" ht="16.5" customHeight="1">
      <c r="A116" s="1"/>
      <c r="B116" s="6"/>
      <c r="E116" s="100"/>
      <c r="F116" s="100"/>
      <c r="G116" s="100"/>
      <c r="H116" s="100"/>
      <c r="I116" s="100"/>
      <c r="J116" s="100"/>
      <c r="K116" s="100"/>
      <c r="L116" s="100"/>
      <c r="M116" s="100"/>
      <c r="N116" s="100"/>
      <c r="O116" s="100"/>
      <c r="P116" s="100"/>
      <c r="Q116" s="100"/>
      <c r="R116" s="100"/>
      <c r="S116" s="100"/>
      <c r="T116" s="100"/>
      <c r="U116" s="8775" t="s">
        <v>351</v>
      </c>
      <c r="V116" s="8953"/>
      <c r="W116" s="8953"/>
      <c r="X116" s="8953"/>
      <c r="Y116" s="8953"/>
      <c r="Z116" s="8953"/>
      <c r="AA116" s="231"/>
      <c r="AB116" s="231"/>
      <c r="AC116" s="231"/>
      <c r="AD116" s="434"/>
      <c r="AE116" s="100"/>
      <c r="AF116" s="100"/>
      <c r="AG116" s="103"/>
    </row>
    <row r="117" spans="1:34" ht="17.25" thickBot="1">
      <c r="A117" s="1"/>
      <c r="B117" s="1"/>
      <c r="C117" s="100"/>
      <c r="D117" s="100"/>
      <c r="E117" s="100"/>
      <c r="F117" s="100"/>
      <c r="G117" s="100"/>
      <c r="H117" s="100"/>
      <c r="I117" s="100"/>
      <c r="J117" s="100"/>
      <c r="K117" s="100"/>
      <c r="L117" s="100"/>
      <c r="M117" s="100"/>
      <c r="N117" s="100"/>
      <c r="O117" s="100"/>
      <c r="P117" s="100"/>
      <c r="Q117" s="100"/>
      <c r="R117" s="100"/>
      <c r="S117" s="100"/>
      <c r="T117" s="29"/>
      <c r="U117" s="28"/>
      <c r="V117" s="28"/>
      <c r="W117" s="28"/>
      <c r="X117" s="28"/>
      <c r="Y117" s="28"/>
      <c r="Z117" s="28"/>
      <c r="AA117" s="100"/>
      <c r="AB117" s="363"/>
      <c r="AC117" s="363"/>
      <c r="AD117" s="100"/>
      <c r="AE117" s="100"/>
      <c r="AF117" s="100"/>
      <c r="AG117" s="103"/>
    </row>
    <row r="118" spans="1:34" ht="18" customHeight="1" thickTop="1">
      <c r="A118" s="1"/>
      <c r="B118" s="1"/>
      <c r="C118" s="100"/>
      <c r="D118" s="100"/>
      <c r="E118" s="100"/>
      <c r="F118" s="100"/>
      <c r="G118" s="100"/>
      <c r="H118" s="100"/>
      <c r="I118" s="100"/>
      <c r="J118" s="100"/>
      <c r="K118" s="100"/>
      <c r="L118" s="100"/>
      <c r="M118" s="100"/>
      <c r="N118" s="100"/>
      <c r="O118" s="100"/>
      <c r="P118" s="100"/>
      <c r="Q118" s="100"/>
      <c r="R118" s="100"/>
      <c r="S118" s="125"/>
      <c r="T118" s="28"/>
      <c r="U118" s="5882" t="s">
        <v>5</v>
      </c>
      <c r="V118" s="5883" t="s">
        <v>6</v>
      </c>
      <c r="W118" s="5884" t="s">
        <v>7</v>
      </c>
      <c r="X118" s="5885" t="s">
        <v>352</v>
      </c>
      <c r="Y118" s="5885" t="s">
        <v>9</v>
      </c>
      <c r="Z118" s="5886" t="s">
        <v>353</v>
      </c>
      <c r="AA118" s="334"/>
      <c r="AB118" s="9"/>
      <c r="AC118" s="9"/>
      <c r="AD118" s="334"/>
      <c r="AE118" s="100"/>
      <c r="AF118" s="100"/>
      <c r="AG118" s="103"/>
    </row>
    <row r="119" spans="1:34" ht="33">
      <c r="A119" s="1"/>
      <c r="B119" s="1"/>
      <c r="C119" s="100"/>
      <c r="D119" s="100"/>
      <c r="E119" s="100"/>
      <c r="F119" s="100"/>
      <c r="G119" s="100"/>
      <c r="H119" s="100"/>
      <c r="I119" s="100"/>
      <c r="J119" s="100"/>
      <c r="K119" s="100"/>
      <c r="L119" s="100"/>
      <c r="M119" s="100"/>
      <c r="N119" s="100"/>
      <c r="O119" s="100"/>
      <c r="P119" s="141"/>
      <c r="Q119" s="101"/>
      <c r="R119" s="125"/>
      <c r="S119" s="126"/>
      <c r="T119" s="29"/>
      <c r="U119" s="665" t="s">
        <v>15</v>
      </c>
      <c r="V119" s="954" t="s">
        <v>606</v>
      </c>
      <c r="W119" s="955">
        <v>530106</v>
      </c>
      <c r="X119" s="690" t="s">
        <v>17</v>
      </c>
      <c r="Y119" s="1678" t="s">
        <v>18</v>
      </c>
      <c r="Z119" s="956">
        <f>AB64</f>
        <v>200</v>
      </c>
      <c r="AA119" s="101"/>
      <c r="AB119" s="10"/>
      <c r="AC119" s="10"/>
      <c r="AD119" s="335"/>
      <c r="AE119" s="100"/>
      <c r="AF119" s="100"/>
      <c r="AG119" s="103"/>
    </row>
    <row r="120" spans="1:34" ht="66" customHeight="1">
      <c r="A120" s="1"/>
      <c r="B120" s="1"/>
      <c r="C120" s="100"/>
      <c r="D120" s="100"/>
      <c r="E120" s="100"/>
      <c r="F120" s="100"/>
      <c r="G120" s="100"/>
      <c r="H120" s="100"/>
      <c r="I120" s="100"/>
      <c r="J120" s="100"/>
      <c r="K120" s="100"/>
      <c r="L120" s="100"/>
      <c r="M120" s="100"/>
      <c r="N120" s="100"/>
      <c r="O120" s="100"/>
      <c r="P120" s="141"/>
      <c r="Q120" s="101"/>
      <c r="R120" s="125"/>
      <c r="S120" s="126"/>
      <c r="T120" s="29"/>
      <c r="U120" s="665" t="s">
        <v>15</v>
      </c>
      <c r="V120" s="954" t="s">
        <v>16</v>
      </c>
      <c r="W120" s="955">
        <v>530204</v>
      </c>
      <c r="X120" s="690" t="s">
        <v>17</v>
      </c>
      <c r="Y120" s="1678" t="s">
        <v>18</v>
      </c>
      <c r="Z120" s="956">
        <f>+AB22</f>
        <v>388.16</v>
      </c>
      <c r="AA120" s="101"/>
      <c r="AB120" s="10"/>
      <c r="AC120" s="10"/>
      <c r="AD120" s="335"/>
      <c r="AE120" s="100"/>
      <c r="AF120" s="100"/>
      <c r="AG120" s="103"/>
    </row>
    <row r="121" spans="1:34" ht="49.5">
      <c r="A121" s="1"/>
      <c r="B121" s="1"/>
      <c r="C121" s="100"/>
      <c r="D121" s="100"/>
      <c r="E121" s="100"/>
      <c r="F121" s="100"/>
      <c r="G121" s="100"/>
      <c r="H121" s="100"/>
      <c r="I121" s="100"/>
      <c r="J121" s="100"/>
      <c r="K121" s="100"/>
      <c r="L121" s="100"/>
      <c r="M121" s="100"/>
      <c r="N121" s="100"/>
      <c r="O121" s="100"/>
      <c r="P121" s="141"/>
      <c r="Q121" s="101"/>
      <c r="R121" s="125"/>
      <c r="S121" s="126"/>
      <c r="T121" s="29"/>
      <c r="U121" s="665" t="s">
        <v>15</v>
      </c>
      <c r="V121" s="954" t="s">
        <v>593</v>
      </c>
      <c r="W121" s="955">
        <v>530402</v>
      </c>
      <c r="X121" s="690" t="s">
        <v>17</v>
      </c>
      <c r="Y121" s="1678" t="s">
        <v>18</v>
      </c>
      <c r="Z121" s="956">
        <f>AB58</f>
        <v>3075</v>
      </c>
      <c r="AA121" s="334"/>
      <c r="AB121" s="9"/>
      <c r="AC121" s="9"/>
      <c r="AD121" s="2085"/>
      <c r="AE121" s="100"/>
      <c r="AF121" s="100"/>
      <c r="AG121" s="103"/>
    </row>
    <row r="122" spans="1:34" ht="33">
      <c r="A122" s="1"/>
      <c r="B122" s="1"/>
      <c r="C122" s="100"/>
      <c r="D122" s="100"/>
      <c r="E122" s="100"/>
      <c r="F122" s="100"/>
      <c r="G122" s="100"/>
      <c r="H122" s="100"/>
      <c r="I122" s="100"/>
      <c r="J122" s="100"/>
      <c r="K122" s="100"/>
      <c r="L122" s="100"/>
      <c r="M122" s="100"/>
      <c r="N122" s="100"/>
      <c r="O122" s="100"/>
      <c r="P122" s="141"/>
      <c r="Q122" s="101"/>
      <c r="R122" s="125"/>
      <c r="S122" s="126"/>
      <c r="T122" s="29"/>
      <c r="U122" s="665" t="s">
        <v>15</v>
      </c>
      <c r="V122" s="954" t="s">
        <v>40</v>
      </c>
      <c r="W122" s="955">
        <v>531407</v>
      </c>
      <c r="X122" s="690" t="s">
        <v>17</v>
      </c>
      <c r="Y122" s="1678" t="s">
        <v>18</v>
      </c>
      <c r="Z122" s="956">
        <f>AB38</f>
        <v>235.20000000000002</v>
      </c>
      <c r="AA122" s="100"/>
      <c r="AB122" s="363"/>
      <c r="AC122" s="363"/>
      <c r="AD122" s="100"/>
      <c r="AE122" s="100"/>
      <c r="AF122" s="100"/>
      <c r="AG122" s="103"/>
    </row>
    <row r="123" spans="1:34" ht="33">
      <c r="A123" s="1"/>
      <c r="B123" s="1"/>
      <c r="C123" s="100"/>
      <c r="D123" s="100"/>
      <c r="E123" s="100"/>
      <c r="F123" s="100"/>
      <c r="G123" s="100"/>
      <c r="H123" s="100"/>
      <c r="I123" s="100"/>
      <c r="J123" s="100"/>
      <c r="K123" s="100"/>
      <c r="L123" s="100"/>
      <c r="M123" s="100"/>
      <c r="N123" s="100"/>
      <c r="O123" s="100"/>
      <c r="P123" s="141"/>
      <c r="Q123" s="101"/>
      <c r="R123" s="125"/>
      <c r="S123" s="126"/>
      <c r="T123" s="29"/>
      <c r="U123" s="665" t="s">
        <v>15</v>
      </c>
      <c r="V123" s="954" t="s">
        <v>591</v>
      </c>
      <c r="W123" s="955">
        <v>840103</v>
      </c>
      <c r="X123" s="690" t="s">
        <v>17</v>
      </c>
      <c r="Y123" s="1678" t="s">
        <v>18</v>
      </c>
      <c r="Z123" s="956">
        <f>AB56</f>
        <v>679.79999999999984</v>
      </c>
      <c r="AA123" s="100"/>
      <c r="AB123" s="363"/>
      <c r="AC123" s="363"/>
      <c r="AD123" s="100"/>
      <c r="AE123" s="100"/>
      <c r="AF123" s="100"/>
      <c r="AG123" s="103"/>
    </row>
    <row r="124" spans="1:34" ht="33">
      <c r="A124" s="1"/>
      <c r="B124" s="1"/>
      <c r="C124" s="100"/>
      <c r="D124" s="100"/>
      <c r="E124" s="100"/>
      <c r="F124" s="100"/>
      <c r="G124" s="100"/>
      <c r="H124" s="100"/>
      <c r="I124" s="100"/>
      <c r="J124" s="100"/>
      <c r="K124" s="100"/>
      <c r="L124" s="100"/>
      <c r="M124" s="100"/>
      <c r="N124" s="100"/>
      <c r="O124" s="100"/>
      <c r="P124" s="141"/>
      <c r="Q124" s="101"/>
      <c r="R124" s="100"/>
      <c r="S124" s="126"/>
      <c r="T124" s="29"/>
      <c r="U124" s="665" t="s">
        <v>15</v>
      </c>
      <c r="V124" s="957" t="s">
        <v>660</v>
      </c>
      <c r="W124" s="955">
        <v>840104</v>
      </c>
      <c r="X124" s="690" t="s">
        <v>17</v>
      </c>
      <c r="Y124" s="1678" t="s">
        <v>18</v>
      </c>
      <c r="Z124" s="956">
        <f>AB107</f>
        <v>1225</v>
      </c>
      <c r="AA124" s="100"/>
      <c r="AB124" s="363"/>
      <c r="AC124" s="363"/>
      <c r="AD124" s="100"/>
      <c r="AE124" s="100"/>
      <c r="AF124" s="100"/>
      <c r="AG124" s="103"/>
    </row>
    <row r="125" spans="1:34" ht="33">
      <c r="A125" s="1"/>
      <c r="B125" s="1"/>
      <c r="C125" s="100"/>
      <c r="D125" s="100"/>
      <c r="E125" s="100"/>
      <c r="F125" s="100"/>
      <c r="G125" s="100"/>
      <c r="H125" s="100"/>
      <c r="I125" s="100"/>
      <c r="J125" s="100"/>
      <c r="K125" s="100"/>
      <c r="L125" s="100"/>
      <c r="M125" s="100"/>
      <c r="N125" s="100"/>
      <c r="O125" s="100"/>
      <c r="P125" s="141"/>
      <c r="Q125" s="101"/>
      <c r="R125" s="125"/>
      <c r="S125" s="126"/>
      <c r="T125" s="29"/>
      <c r="U125" s="665" t="s">
        <v>15</v>
      </c>
      <c r="V125" s="954" t="s">
        <v>40</v>
      </c>
      <c r="W125" s="955">
        <v>840107</v>
      </c>
      <c r="X125" s="690" t="s">
        <v>17</v>
      </c>
      <c r="Y125" s="1678" t="s">
        <v>18</v>
      </c>
      <c r="Z125" s="956">
        <f>+AB14+AB19+AB62+AB67</f>
        <v>3721.1040000000003</v>
      </c>
      <c r="AA125" s="920"/>
      <c r="AB125" s="363"/>
      <c r="AC125" s="363"/>
      <c r="AD125" s="100"/>
      <c r="AE125" s="100"/>
      <c r="AF125" s="100"/>
      <c r="AG125" s="103"/>
    </row>
    <row r="126" spans="1:34" ht="18" customHeight="1" thickBot="1">
      <c r="A126" s="1"/>
      <c r="B126" s="1"/>
      <c r="C126" s="100"/>
      <c r="D126" s="100"/>
      <c r="E126" s="100"/>
      <c r="F126" s="100"/>
      <c r="G126" s="100"/>
      <c r="H126" s="100"/>
      <c r="I126" s="100"/>
      <c r="J126" s="100"/>
      <c r="K126" s="100"/>
      <c r="L126" s="100"/>
      <c r="M126" s="100"/>
      <c r="N126" s="100"/>
      <c r="O126" s="100"/>
      <c r="P126" s="141"/>
      <c r="Q126" s="101"/>
      <c r="R126" s="125"/>
      <c r="S126" s="126"/>
      <c r="T126" s="29"/>
      <c r="U126" s="5942"/>
      <c r="V126" s="5943" t="s">
        <v>67</v>
      </c>
      <c r="W126" s="5944"/>
      <c r="X126" s="5944"/>
      <c r="Y126" s="5926" t="s">
        <v>292</v>
      </c>
      <c r="Z126" s="33">
        <f>SUM(Z119:Z125)</f>
        <v>9524.2639999999992</v>
      </c>
      <c r="AA126" s="100"/>
      <c r="AB126" s="363"/>
      <c r="AC126" s="363"/>
      <c r="AD126" s="100"/>
      <c r="AE126" s="100"/>
      <c r="AF126" s="100"/>
      <c r="AG126" s="103"/>
    </row>
    <row r="127" spans="1:34" ht="16.5" customHeight="1" thickTop="1">
      <c r="A127" s="1"/>
      <c r="B127" s="1"/>
      <c r="C127" s="100"/>
      <c r="D127" s="100"/>
      <c r="E127" s="100"/>
      <c r="F127" s="100"/>
      <c r="G127" s="100"/>
      <c r="H127" s="100"/>
      <c r="I127" s="100"/>
      <c r="J127" s="100"/>
      <c r="K127" s="100"/>
      <c r="L127" s="100"/>
      <c r="M127" s="100"/>
      <c r="N127" s="100"/>
      <c r="O127" s="100"/>
      <c r="P127" s="29"/>
      <c r="Q127" s="29"/>
      <c r="R127" s="29"/>
      <c r="S127" s="29"/>
      <c r="T127" s="29"/>
      <c r="U127" s="28"/>
      <c r="V127" s="34"/>
      <c r="W127" s="35"/>
      <c r="X127" s="28"/>
      <c r="Y127" s="28"/>
      <c r="Z127" s="28"/>
      <c r="AA127" s="100"/>
      <c r="AB127" s="363"/>
      <c r="AC127" s="363"/>
      <c r="AD127" s="106"/>
      <c r="AE127" s="100"/>
      <c r="AF127" s="100"/>
      <c r="AG127" s="103"/>
    </row>
    <row r="128" spans="1:34" ht="16.5" customHeight="1" thickBot="1">
      <c r="A128" s="1"/>
      <c r="B128" s="1"/>
      <c r="C128" s="100"/>
      <c r="D128" s="100"/>
      <c r="E128" s="100"/>
      <c r="F128" s="100"/>
      <c r="G128" s="100"/>
      <c r="H128" s="100"/>
      <c r="I128" s="100"/>
      <c r="J128" s="100"/>
      <c r="K128" s="100"/>
      <c r="L128" s="100"/>
      <c r="M128" s="100"/>
      <c r="N128" s="100"/>
      <c r="O128" s="100"/>
      <c r="P128" s="29"/>
      <c r="Q128" s="29"/>
      <c r="R128" s="29"/>
      <c r="S128" s="29"/>
      <c r="T128" s="28"/>
      <c r="U128" s="28"/>
      <c r="V128" s="28"/>
      <c r="W128" s="28"/>
      <c r="X128" s="28"/>
      <c r="Y128" s="28"/>
      <c r="Z128" s="28"/>
      <c r="AA128" s="28"/>
      <c r="AB128" s="368"/>
      <c r="AC128" s="368"/>
      <c r="AD128" s="100"/>
      <c r="AE128" s="100"/>
      <c r="AF128" s="100"/>
      <c r="AG128" s="103"/>
    </row>
    <row r="129" spans="1:33" ht="16.5" customHeight="1" thickTop="1">
      <c r="A129" s="1"/>
      <c r="B129" s="1"/>
      <c r="C129" s="100"/>
      <c r="D129" s="100"/>
      <c r="E129" s="100"/>
      <c r="F129" s="100"/>
      <c r="G129" s="100"/>
      <c r="H129" s="100"/>
      <c r="I129" s="100"/>
      <c r="J129" s="100"/>
      <c r="K129" s="100"/>
      <c r="L129" s="100"/>
      <c r="M129" s="100"/>
      <c r="N129" s="100"/>
      <c r="O129" s="100"/>
      <c r="P129" s="29"/>
      <c r="Q129" s="29"/>
      <c r="R129" s="29"/>
      <c r="S129" s="29"/>
      <c r="T129" s="29"/>
      <c r="U129" s="8764" t="s">
        <v>356</v>
      </c>
      <c r="V129" s="8934"/>
      <c r="W129" s="8935"/>
      <c r="X129" s="28"/>
      <c r="Y129" s="36" t="s">
        <v>357</v>
      </c>
      <c r="Z129" s="37" t="str">
        <f>IF(Z126=AB113,"OK","NO")</f>
        <v>OK</v>
      </c>
      <c r="AA129" s="28"/>
      <c r="AB129" s="368"/>
      <c r="AC129" s="368"/>
      <c r="AD129" s="127"/>
      <c r="AE129" s="100"/>
      <c r="AF129" s="100"/>
      <c r="AG129" s="103"/>
    </row>
    <row r="130" spans="1:33" ht="16.5" customHeight="1">
      <c r="A130" s="1"/>
      <c r="B130" s="1"/>
      <c r="C130" s="100"/>
      <c r="D130" s="100"/>
      <c r="E130" s="100"/>
      <c r="F130" s="100"/>
      <c r="G130" s="100"/>
      <c r="H130" s="100"/>
      <c r="I130" s="100"/>
      <c r="J130" s="100"/>
      <c r="K130" s="100"/>
      <c r="L130" s="100"/>
      <c r="M130" s="100"/>
      <c r="N130" s="100"/>
      <c r="O130" s="100"/>
      <c r="P130" s="29"/>
      <c r="Q130" s="29"/>
      <c r="R130" s="29"/>
      <c r="S130" s="29"/>
      <c r="T130" s="29"/>
      <c r="U130" s="8766" t="s">
        <v>358</v>
      </c>
      <c r="V130" s="9193"/>
      <c r="W130" s="750">
        <v>0</v>
      </c>
      <c r="X130" s="35"/>
      <c r="Y130" s="28"/>
      <c r="Z130" s="37" t="str">
        <f>IF(W134=AB113,"OK","NO")</f>
        <v>OK</v>
      </c>
      <c r="AA130" s="28"/>
      <c r="AB130" s="368"/>
      <c r="AC130" s="368"/>
      <c r="AD130" s="127"/>
      <c r="AE130" s="100"/>
      <c r="AF130" s="100"/>
      <c r="AG130" s="103"/>
    </row>
    <row r="131" spans="1:33" ht="16.5" customHeight="1">
      <c r="A131" s="1"/>
      <c r="B131" s="1"/>
      <c r="C131" s="100"/>
      <c r="D131" s="100"/>
      <c r="E131" s="100"/>
      <c r="F131" s="100"/>
      <c r="G131" s="100"/>
      <c r="H131" s="100"/>
      <c r="I131" s="100"/>
      <c r="J131" s="100"/>
      <c r="K131" s="100"/>
      <c r="L131" s="100"/>
      <c r="M131" s="100"/>
      <c r="N131" s="100"/>
      <c r="O131" s="100"/>
      <c r="P131" s="100"/>
      <c r="Q131" s="100"/>
      <c r="R131" s="100"/>
      <c r="S131" s="100"/>
      <c r="T131" s="100"/>
      <c r="U131" s="8755" t="s">
        <v>359</v>
      </c>
      <c r="V131" s="9187"/>
      <c r="W131" s="751">
        <v>0</v>
      </c>
      <c r="X131" s="35"/>
      <c r="Y131" s="28"/>
      <c r="Z131" s="37" t="str">
        <f>IF(W144=AB113,"OK","NO")</f>
        <v>OK</v>
      </c>
      <c r="AA131" s="28"/>
      <c r="AB131" s="368"/>
      <c r="AC131" s="368"/>
      <c r="AD131" s="127"/>
      <c r="AE131" s="100"/>
      <c r="AF131" s="100"/>
      <c r="AG131" s="103"/>
    </row>
    <row r="132" spans="1:33" ht="16.5" customHeight="1">
      <c r="A132" s="1"/>
      <c r="B132" s="1"/>
      <c r="C132" s="100"/>
      <c r="D132" s="100"/>
      <c r="E132" s="100"/>
      <c r="F132" s="100"/>
      <c r="G132" s="100"/>
      <c r="H132" s="100"/>
      <c r="I132" s="100"/>
      <c r="J132" s="100"/>
      <c r="K132" s="100"/>
      <c r="L132" s="100"/>
      <c r="M132" s="100"/>
      <c r="N132" s="100"/>
      <c r="O132" s="100"/>
      <c r="P132" s="100"/>
      <c r="Q132" s="100"/>
      <c r="R132" s="100"/>
      <c r="S132" s="100"/>
      <c r="T132" s="100"/>
      <c r="U132" s="8755" t="s">
        <v>360</v>
      </c>
      <c r="V132" s="9187"/>
      <c r="W132" s="751">
        <f>SUM(Z119:Z125)</f>
        <v>9524.2639999999992</v>
      </c>
      <c r="X132" s="35"/>
      <c r="Y132" s="35"/>
      <c r="Z132" s="37" t="str">
        <f>IF(AB113=Resumen!C404,"OK","NO")</f>
        <v>OK</v>
      </c>
      <c r="AA132" s="28"/>
      <c r="AB132" s="368"/>
      <c r="AC132" s="368"/>
      <c r="AD132" s="127"/>
      <c r="AE132" s="100"/>
      <c r="AF132" s="100"/>
      <c r="AG132" s="103"/>
    </row>
    <row r="133" spans="1:33" ht="16.5" customHeight="1">
      <c r="A133" s="1"/>
      <c r="B133" s="1"/>
      <c r="C133" s="100"/>
      <c r="D133" s="100"/>
      <c r="E133" s="100"/>
      <c r="F133" s="100"/>
      <c r="G133" s="100"/>
      <c r="H133" s="100"/>
      <c r="I133" s="100"/>
      <c r="J133" s="100"/>
      <c r="K133" s="100"/>
      <c r="L133" s="100"/>
      <c r="M133" s="100"/>
      <c r="N133" s="100"/>
      <c r="O133" s="100"/>
      <c r="P133" s="100"/>
      <c r="Q133" s="100"/>
      <c r="R133" s="100"/>
      <c r="S133" s="100"/>
      <c r="T133" s="100"/>
      <c r="U133" s="8755" t="s">
        <v>661</v>
      </c>
      <c r="V133" s="9187"/>
      <c r="W133" s="752">
        <v>0</v>
      </c>
      <c r="X133" s="35"/>
      <c r="Y133" s="35"/>
      <c r="Z133" s="28"/>
      <c r="AA133" s="28"/>
      <c r="AB133" s="368"/>
      <c r="AC133" s="368"/>
      <c r="AD133" s="127"/>
      <c r="AE133" s="100"/>
      <c r="AF133" s="100"/>
      <c r="AG133" s="103"/>
    </row>
    <row r="134" spans="1:33" ht="16.5" customHeight="1">
      <c r="A134" s="1"/>
      <c r="B134" s="1"/>
      <c r="C134" s="100"/>
      <c r="D134" s="100"/>
      <c r="E134" s="100"/>
      <c r="F134" s="100"/>
      <c r="G134" s="100"/>
      <c r="H134" s="100"/>
      <c r="I134" s="100"/>
      <c r="J134" s="100"/>
      <c r="K134" s="100"/>
      <c r="L134" s="100"/>
      <c r="M134" s="100"/>
      <c r="N134" s="100"/>
      <c r="O134" s="100"/>
      <c r="P134" s="100"/>
      <c r="Q134" s="100"/>
      <c r="R134" s="100"/>
      <c r="S134" s="100"/>
      <c r="T134" s="100"/>
      <c r="U134" s="8937" t="s">
        <v>67</v>
      </c>
      <c r="V134" s="9187"/>
      <c r="W134" s="809">
        <f>SUM(W130:W133)</f>
        <v>9524.2639999999992</v>
      </c>
      <c r="X134" s="35"/>
      <c r="Y134" s="35"/>
      <c r="Z134" s="28"/>
      <c r="AA134" s="28"/>
      <c r="AB134" s="368"/>
      <c r="AC134" s="368"/>
      <c r="AD134" s="127"/>
      <c r="AE134" s="100"/>
      <c r="AF134" s="100"/>
      <c r="AG134" s="103"/>
    </row>
    <row r="135" spans="1:33" ht="16.5" customHeight="1">
      <c r="A135" s="1"/>
      <c r="B135" s="1"/>
      <c r="C135" s="100"/>
      <c r="D135" s="100"/>
      <c r="E135" s="100"/>
      <c r="F135" s="100"/>
      <c r="G135" s="100"/>
      <c r="H135" s="100"/>
      <c r="I135" s="100"/>
      <c r="J135" s="100"/>
      <c r="K135" s="100"/>
      <c r="L135" s="100"/>
      <c r="M135" s="100"/>
      <c r="N135" s="100"/>
      <c r="O135" s="100"/>
      <c r="P135" s="100"/>
      <c r="Q135" s="100"/>
      <c r="R135" s="100"/>
      <c r="S135" s="100"/>
      <c r="T135" s="100"/>
      <c r="U135" s="8929" t="s">
        <v>362</v>
      </c>
      <c r="V135" s="8930"/>
      <c r="W135" s="8931"/>
      <c r="X135" s="38"/>
      <c r="Y135" s="38"/>
      <c r="Z135" s="28"/>
      <c r="AA135" s="28"/>
      <c r="AB135" s="368"/>
      <c r="AC135" s="368"/>
      <c r="AD135" s="127"/>
      <c r="AE135" s="100"/>
      <c r="AF135" s="100"/>
      <c r="AG135" s="103"/>
    </row>
    <row r="136" spans="1:33" ht="16.5" customHeight="1">
      <c r="A136" s="1"/>
      <c r="B136" s="1"/>
      <c r="C136" s="100"/>
      <c r="D136" s="100"/>
      <c r="E136" s="100"/>
      <c r="F136" s="100"/>
      <c r="G136" s="100"/>
      <c r="H136" s="100"/>
      <c r="I136" s="100"/>
      <c r="J136" s="100"/>
      <c r="K136" s="100"/>
      <c r="L136" s="100"/>
      <c r="M136" s="100"/>
      <c r="N136" s="100"/>
      <c r="O136" s="100"/>
      <c r="P136" s="100"/>
      <c r="Q136" s="100"/>
      <c r="R136" s="100"/>
      <c r="S136" s="100"/>
      <c r="T136" s="100"/>
      <c r="U136" s="8932" t="s">
        <v>363</v>
      </c>
      <c r="V136" s="9187"/>
      <c r="W136" s="751">
        <v>0</v>
      </c>
      <c r="X136" s="38"/>
      <c r="Y136" s="38"/>
      <c r="Z136" s="28"/>
      <c r="AA136" s="28"/>
      <c r="AB136" s="368"/>
      <c r="AC136" s="368"/>
      <c r="AD136" s="127"/>
      <c r="AE136" s="100"/>
      <c r="AF136" s="100"/>
      <c r="AG136" s="103"/>
    </row>
    <row r="137" spans="1:33" ht="16.5" customHeight="1">
      <c r="A137" s="1"/>
      <c r="B137" s="1"/>
      <c r="C137" s="100"/>
      <c r="D137" s="100"/>
      <c r="E137" s="100"/>
      <c r="F137" s="100"/>
      <c r="G137" s="100"/>
      <c r="H137" s="100"/>
      <c r="I137" s="100"/>
      <c r="J137" s="100"/>
      <c r="K137" s="100"/>
      <c r="L137" s="100"/>
      <c r="M137" s="100"/>
      <c r="N137" s="100"/>
      <c r="O137" s="100"/>
      <c r="P137" s="100"/>
      <c r="Q137" s="100"/>
      <c r="R137" s="100"/>
      <c r="S137" s="100"/>
      <c r="T137" s="100"/>
      <c r="U137" s="8762" t="s">
        <v>364</v>
      </c>
      <c r="V137" s="9187"/>
      <c r="W137" s="751">
        <f>SUM(Z119:Z122)</f>
        <v>3898.3599999999997</v>
      </c>
      <c r="X137" s="38"/>
      <c r="Y137" s="38"/>
      <c r="Z137" s="28"/>
      <c r="AA137" s="28"/>
      <c r="AB137" s="368"/>
      <c r="AC137" s="368"/>
      <c r="AD137" s="127"/>
      <c r="AE137" s="100"/>
      <c r="AF137" s="100"/>
      <c r="AG137" s="103"/>
    </row>
    <row r="138" spans="1:33" ht="16.5" customHeight="1">
      <c r="A138" s="1"/>
      <c r="B138" s="1"/>
      <c r="C138" s="100"/>
      <c r="D138" s="100"/>
      <c r="E138" s="100"/>
      <c r="F138" s="100"/>
      <c r="G138" s="100"/>
      <c r="H138" s="100"/>
      <c r="I138" s="100"/>
      <c r="J138" s="100"/>
      <c r="K138" s="100"/>
      <c r="L138" s="100"/>
      <c r="M138" s="100"/>
      <c r="N138" s="100"/>
      <c r="O138" s="100"/>
      <c r="P138" s="100"/>
      <c r="Q138" s="100"/>
      <c r="R138" s="100"/>
      <c r="S138" s="100"/>
      <c r="T138" s="100"/>
      <c r="U138" s="8762" t="s">
        <v>365</v>
      </c>
      <c r="V138" s="9187"/>
      <c r="W138" s="751">
        <v>0</v>
      </c>
      <c r="X138" s="39"/>
      <c r="Y138" s="39"/>
      <c r="Z138" s="28"/>
      <c r="AA138" s="28"/>
      <c r="AB138" s="368"/>
      <c r="AC138" s="368"/>
      <c r="AD138" s="127"/>
      <c r="AE138" s="100"/>
      <c r="AF138" s="100"/>
      <c r="AG138" s="103"/>
    </row>
    <row r="139" spans="1:33" ht="16.5" customHeight="1">
      <c r="A139" s="1"/>
      <c r="B139" s="1"/>
      <c r="C139" s="100"/>
      <c r="D139" s="100"/>
      <c r="E139" s="100"/>
      <c r="F139" s="100"/>
      <c r="G139" s="100"/>
      <c r="H139" s="100"/>
      <c r="I139" s="100"/>
      <c r="J139" s="100"/>
      <c r="K139" s="100"/>
      <c r="L139" s="100"/>
      <c r="M139" s="100"/>
      <c r="N139" s="100"/>
      <c r="O139" s="100"/>
      <c r="P139" s="100"/>
      <c r="Q139" s="100"/>
      <c r="R139" s="100"/>
      <c r="S139" s="100"/>
      <c r="T139" s="100"/>
      <c r="U139" s="8762" t="s">
        <v>366</v>
      </c>
      <c r="V139" s="9187"/>
      <c r="W139" s="751">
        <v>0</v>
      </c>
      <c r="X139" s="35"/>
      <c r="Y139" s="35"/>
      <c r="Z139" s="28"/>
      <c r="AA139" s="28"/>
      <c r="AB139" s="368"/>
      <c r="AC139" s="368"/>
      <c r="AD139" s="127"/>
      <c r="AE139" s="100"/>
      <c r="AF139" s="100"/>
      <c r="AG139" s="103"/>
    </row>
    <row r="140" spans="1:33" ht="16.5" customHeight="1">
      <c r="A140" s="1"/>
      <c r="B140" s="1"/>
      <c r="C140" s="100"/>
      <c r="D140" s="100"/>
      <c r="E140" s="100"/>
      <c r="F140" s="100"/>
      <c r="G140" s="100"/>
      <c r="H140" s="100"/>
      <c r="I140" s="100"/>
      <c r="J140" s="100"/>
      <c r="K140" s="100"/>
      <c r="L140" s="100"/>
      <c r="M140" s="100"/>
      <c r="N140" s="100"/>
      <c r="O140" s="100"/>
      <c r="P140" s="100"/>
      <c r="Q140" s="100"/>
      <c r="R140" s="100"/>
      <c r="S140" s="100"/>
      <c r="T140" s="100"/>
      <c r="U140" s="8762" t="s">
        <v>367</v>
      </c>
      <c r="V140" s="9187"/>
      <c r="W140" s="751">
        <v>0</v>
      </c>
      <c r="X140" s="40"/>
      <c r="Y140" s="40"/>
      <c r="Z140" s="1745"/>
      <c r="AC140" s="434"/>
      <c r="AD140" s="434"/>
      <c r="AE140" s="100"/>
      <c r="AF140" s="100"/>
      <c r="AG140" s="103"/>
    </row>
    <row r="141" spans="1:33" ht="16.5" customHeight="1">
      <c r="A141" s="1"/>
      <c r="B141" s="1"/>
      <c r="C141" s="100"/>
      <c r="D141" s="100"/>
      <c r="E141" s="100"/>
      <c r="F141" s="100"/>
      <c r="G141" s="100"/>
      <c r="H141" s="100"/>
      <c r="I141" s="100"/>
      <c r="J141" s="100"/>
      <c r="K141" s="100"/>
      <c r="L141" s="100"/>
      <c r="M141" s="100"/>
      <c r="N141" s="100"/>
      <c r="O141" s="100"/>
      <c r="P141" s="100"/>
      <c r="Q141" s="100"/>
      <c r="R141" s="100"/>
      <c r="S141" s="100"/>
      <c r="T141" s="100"/>
      <c r="U141" s="8762" t="s">
        <v>368</v>
      </c>
      <c r="V141" s="9187"/>
      <c r="W141" s="751">
        <v>0</v>
      </c>
      <c r="X141" s="40"/>
      <c r="Y141" s="40"/>
      <c r="Z141" s="2067"/>
      <c r="AA141" s="2067"/>
      <c r="AB141" s="2066"/>
      <c r="AC141" s="2066"/>
      <c r="AD141" s="2067"/>
      <c r="AE141" s="100"/>
      <c r="AF141" s="100"/>
      <c r="AG141" s="103"/>
    </row>
    <row r="142" spans="1:33" ht="16.5" customHeight="1">
      <c r="A142" s="1"/>
      <c r="B142" s="1"/>
      <c r="C142" s="100"/>
      <c r="D142" s="100"/>
      <c r="E142" s="100"/>
      <c r="F142" s="100"/>
      <c r="G142" s="100"/>
      <c r="H142" s="100"/>
      <c r="I142" s="100"/>
      <c r="J142" s="100"/>
      <c r="K142" s="100"/>
      <c r="L142" s="100"/>
      <c r="M142" s="100"/>
      <c r="N142" s="100"/>
      <c r="O142" s="100"/>
      <c r="P142" s="100"/>
      <c r="Q142" s="100"/>
      <c r="R142" s="100"/>
      <c r="S142" s="100"/>
      <c r="T142" s="100"/>
      <c r="U142" s="8762" t="s">
        <v>369</v>
      </c>
      <c r="V142" s="9187"/>
      <c r="W142" s="751">
        <f>SUM(Z123:Z125)</f>
        <v>5625.9040000000005</v>
      </c>
      <c r="X142" s="40"/>
      <c r="Y142" s="40"/>
      <c r="Z142" s="2107"/>
      <c r="AA142" s="85"/>
      <c r="AB142" s="2068"/>
      <c r="AC142" s="2068"/>
      <c r="AD142" s="2108"/>
      <c r="AE142" s="100"/>
      <c r="AF142" s="100"/>
      <c r="AG142" s="103"/>
    </row>
    <row r="143" spans="1:33" ht="16.5" customHeight="1">
      <c r="A143" s="1"/>
      <c r="B143" s="1"/>
      <c r="C143" s="100"/>
      <c r="D143" s="100"/>
      <c r="E143" s="100"/>
      <c r="F143" s="100"/>
      <c r="G143" s="100"/>
      <c r="H143" s="100"/>
      <c r="I143" s="100"/>
      <c r="J143" s="100"/>
      <c r="K143" s="100"/>
      <c r="L143" s="100"/>
      <c r="M143" s="100"/>
      <c r="N143" s="100"/>
      <c r="O143" s="100"/>
      <c r="P143" s="100"/>
      <c r="Q143" s="100"/>
      <c r="R143" s="100"/>
      <c r="S143" s="100"/>
      <c r="T143" s="100"/>
      <c r="U143" s="8762" t="s">
        <v>370</v>
      </c>
      <c r="V143" s="9187"/>
      <c r="W143" s="752">
        <v>0</v>
      </c>
      <c r="X143" s="41"/>
      <c r="Y143" s="41"/>
      <c r="Z143" s="29"/>
      <c r="AA143" s="29"/>
      <c r="AB143" s="372"/>
      <c r="AC143" s="372"/>
      <c r="AD143" s="127"/>
      <c r="AE143" s="100"/>
      <c r="AF143" s="100"/>
      <c r="AG143" s="103"/>
    </row>
    <row r="144" spans="1:33" ht="16.5" customHeight="1" thickBot="1">
      <c r="A144" s="1"/>
      <c r="B144" s="1"/>
      <c r="C144" s="100"/>
      <c r="D144" s="100"/>
      <c r="E144" s="100"/>
      <c r="F144" s="100"/>
      <c r="G144" s="100"/>
      <c r="H144" s="100"/>
      <c r="I144" s="100"/>
      <c r="J144" s="100"/>
      <c r="K144" s="100"/>
      <c r="L144" s="100"/>
      <c r="M144" s="100"/>
      <c r="N144" s="100"/>
      <c r="O144" s="100"/>
      <c r="P144" s="100"/>
      <c r="Q144" s="100"/>
      <c r="R144" s="100"/>
      <c r="S144" s="100"/>
      <c r="T144" s="100"/>
      <c r="U144" s="8927" t="s">
        <v>67</v>
      </c>
      <c r="V144" s="9188"/>
      <c r="W144" s="754">
        <f>SUM(W136:W143)</f>
        <v>9524.2639999999992</v>
      </c>
      <c r="X144" s="39"/>
      <c r="Y144" s="39"/>
      <c r="Z144" s="28"/>
      <c r="AA144" s="28"/>
      <c r="AB144" s="368"/>
      <c r="AC144" s="368"/>
      <c r="AD144" s="127"/>
      <c r="AE144" s="100"/>
      <c r="AF144" s="100"/>
      <c r="AG144" s="103"/>
    </row>
    <row r="145" spans="28:30" ht="15.75" customHeight="1" thickTop="1">
      <c r="AB145" s="803"/>
      <c r="AD145" s="434"/>
    </row>
  </sheetData>
  <mergeCells count="400">
    <mergeCell ref="B9:B29"/>
    <mergeCell ref="A9:A29"/>
    <mergeCell ref="B30:B56"/>
    <mergeCell ref="A30:A56"/>
    <mergeCell ref="B57:B61"/>
    <mergeCell ref="A57:A81"/>
    <mergeCell ref="B62:B81"/>
    <mergeCell ref="A82:A113"/>
    <mergeCell ref="B82:B112"/>
    <mergeCell ref="C14:C18"/>
    <mergeCell ref="C19:C24"/>
    <mergeCell ref="E19:E24"/>
    <mergeCell ref="F19:F24"/>
    <mergeCell ref="G19:G24"/>
    <mergeCell ref="H19:H24"/>
    <mergeCell ref="I19:I24"/>
    <mergeCell ref="D19:D24"/>
    <mergeCell ref="R25:R29"/>
    <mergeCell ref="E25:E29"/>
    <mergeCell ref="F25:F29"/>
    <mergeCell ref="G25:G29"/>
    <mergeCell ref="H25:H29"/>
    <mergeCell ref="I25:I29"/>
    <mergeCell ref="J25:J29"/>
    <mergeCell ref="K25:K29"/>
    <mergeCell ref="J19:J24"/>
    <mergeCell ref="K19:K24"/>
    <mergeCell ref="C25:C29"/>
    <mergeCell ref="D25:D29"/>
    <mergeCell ref="I30:I34"/>
    <mergeCell ref="J30:J34"/>
    <mergeCell ref="K30:K34"/>
    <mergeCell ref="L25:L29"/>
    <mergeCell ref="M25:M29"/>
    <mergeCell ref="N25:N29"/>
    <mergeCell ref="O25:O29"/>
    <mergeCell ref="P25:P29"/>
    <mergeCell ref="Q25:Q29"/>
    <mergeCell ref="C30:C34"/>
    <mergeCell ref="D30:D34"/>
    <mergeCell ref="Q35:Q40"/>
    <mergeCell ref="R35:R40"/>
    <mergeCell ref="N41:N45"/>
    <mergeCell ref="O41:O45"/>
    <mergeCell ref="P41:P45"/>
    <mergeCell ref="Q41:Q45"/>
    <mergeCell ref="R41:R45"/>
    <mergeCell ref="J35:J40"/>
    <mergeCell ref="K35:K40"/>
    <mergeCell ref="L35:L40"/>
    <mergeCell ref="M35:M40"/>
    <mergeCell ref="N35:N40"/>
    <mergeCell ref="O35:O40"/>
    <mergeCell ref="P35:P40"/>
    <mergeCell ref="J41:J45"/>
    <mergeCell ref="K41:K45"/>
    <mergeCell ref="L30:L34"/>
    <mergeCell ref="M30:M34"/>
    <mergeCell ref="N30:N34"/>
    <mergeCell ref="O30:O34"/>
    <mergeCell ref="D35:D40"/>
    <mergeCell ref="E35:E40"/>
    <mergeCell ref="K46:K50"/>
    <mergeCell ref="L46:L50"/>
    <mergeCell ref="M46:M50"/>
    <mergeCell ref="N46:N50"/>
    <mergeCell ref="O46:O50"/>
    <mergeCell ref="Q46:Q50"/>
    <mergeCell ref="R46:R50"/>
    <mergeCell ref="L51:L55"/>
    <mergeCell ref="M51:M55"/>
    <mergeCell ref="N51:N55"/>
    <mergeCell ref="O51:O55"/>
    <mergeCell ref="P51:P55"/>
    <mergeCell ref="Q51:Q55"/>
    <mergeCell ref="R51:R55"/>
    <mergeCell ref="E46:E50"/>
    <mergeCell ref="F46:F50"/>
    <mergeCell ref="G46:G50"/>
    <mergeCell ref="H46:H50"/>
    <mergeCell ref="I46:I50"/>
    <mergeCell ref="G41:G45"/>
    <mergeCell ref="H41:H45"/>
    <mergeCell ref="I41:I45"/>
    <mergeCell ref="J46:J50"/>
    <mergeCell ref="Q77:Q81"/>
    <mergeCell ref="R77:R81"/>
    <mergeCell ref="J77:J81"/>
    <mergeCell ref="K77:K81"/>
    <mergeCell ref="L77:L81"/>
    <mergeCell ref="M77:M81"/>
    <mergeCell ref="N77:N81"/>
    <mergeCell ref="O77:O81"/>
    <mergeCell ref="P77:P81"/>
    <mergeCell ref="D67:D71"/>
    <mergeCell ref="E67:E71"/>
    <mergeCell ref="F67:F71"/>
    <mergeCell ref="G67:G71"/>
    <mergeCell ref="H67:H71"/>
    <mergeCell ref="I67:I71"/>
    <mergeCell ref="C41:C45"/>
    <mergeCell ref="C46:C50"/>
    <mergeCell ref="C51:C55"/>
    <mergeCell ref="C56:C60"/>
    <mergeCell ref="D51:D55"/>
    <mergeCell ref="D56:D60"/>
    <mergeCell ref="E62:E66"/>
    <mergeCell ref="F62:F66"/>
    <mergeCell ref="E41:E45"/>
    <mergeCell ref="F41:F45"/>
    <mergeCell ref="E56:E60"/>
    <mergeCell ref="F56:F60"/>
    <mergeCell ref="G56:G60"/>
    <mergeCell ref="H56:H60"/>
    <mergeCell ref="I56:I60"/>
    <mergeCell ref="E51:E55"/>
    <mergeCell ref="F51:F55"/>
    <mergeCell ref="G51:G55"/>
    <mergeCell ref="C35:C40"/>
    <mergeCell ref="J62:J66"/>
    <mergeCell ref="K62:K66"/>
    <mergeCell ref="L62:L66"/>
    <mergeCell ref="M62:M66"/>
    <mergeCell ref="N62:N66"/>
    <mergeCell ref="O62:O66"/>
    <mergeCell ref="P62:P66"/>
    <mergeCell ref="G62:G66"/>
    <mergeCell ref="H62:H66"/>
    <mergeCell ref="I62:I66"/>
    <mergeCell ref="D62:D66"/>
    <mergeCell ref="J56:J60"/>
    <mergeCell ref="K56:K60"/>
    <mergeCell ref="H51:H55"/>
    <mergeCell ref="I51:I55"/>
    <mergeCell ref="J51:J55"/>
    <mergeCell ref="K51:K55"/>
    <mergeCell ref="F35:F40"/>
    <mergeCell ref="G35:G40"/>
    <mergeCell ref="H35:H40"/>
    <mergeCell ref="I35:I40"/>
    <mergeCell ref="D41:D45"/>
    <mergeCell ref="D46:D50"/>
    <mergeCell ref="D72:D76"/>
    <mergeCell ref="D77:D81"/>
    <mergeCell ref="E77:E81"/>
    <mergeCell ref="F77:F81"/>
    <mergeCell ref="G77:G81"/>
    <mergeCell ref="H77:H81"/>
    <mergeCell ref="I77:I81"/>
    <mergeCell ref="L97:L101"/>
    <mergeCell ref="M97:M101"/>
    <mergeCell ref="M82:M86"/>
    <mergeCell ref="L87:L91"/>
    <mergeCell ref="M87:M91"/>
    <mergeCell ref="L92:L96"/>
    <mergeCell ref="M92:M96"/>
    <mergeCell ref="L82:L86"/>
    <mergeCell ref="P97:P101"/>
    <mergeCell ref="Q97:Q101"/>
    <mergeCell ref="R97:R101"/>
    <mergeCell ref="E97:E101"/>
    <mergeCell ref="F97:F101"/>
    <mergeCell ref="G97:G101"/>
    <mergeCell ref="H97:H101"/>
    <mergeCell ref="I97:I101"/>
    <mergeCell ref="J97:J101"/>
    <mergeCell ref="K97:K101"/>
    <mergeCell ref="N82:N86"/>
    <mergeCell ref="O82:O86"/>
    <mergeCell ref="P82:P86"/>
    <mergeCell ref="Q82:Q86"/>
    <mergeCell ref="R82:R86"/>
    <mergeCell ref="E82:E86"/>
    <mergeCell ref="F82:F86"/>
    <mergeCell ref="G82:G86"/>
    <mergeCell ref="H82:H86"/>
    <mergeCell ref="I82:I86"/>
    <mergeCell ref="J82:J86"/>
    <mergeCell ref="K82:K86"/>
    <mergeCell ref="R92:R96"/>
    <mergeCell ref="E92:E96"/>
    <mergeCell ref="F92:F96"/>
    <mergeCell ref="G92:G96"/>
    <mergeCell ref="H92:H96"/>
    <mergeCell ref="I92:I96"/>
    <mergeCell ref="J92:J96"/>
    <mergeCell ref="K92:K96"/>
    <mergeCell ref="N87:N91"/>
    <mergeCell ref="O87:O91"/>
    <mergeCell ref="P87:P91"/>
    <mergeCell ref="Q87:Q91"/>
    <mergeCell ref="R87:R91"/>
    <mergeCell ref="E87:E91"/>
    <mergeCell ref="F87:F91"/>
    <mergeCell ref="G87:G91"/>
    <mergeCell ref="H87:H91"/>
    <mergeCell ref="I87:I91"/>
    <mergeCell ref="J87:J91"/>
    <mergeCell ref="K87:K91"/>
    <mergeCell ref="E102:E106"/>
    <mergeCell ref="F102:F106"/>
    <mergeCell ref="G102:G106"/>
    <mergeCell ref="H102:H106"/>
    <mergeCell ref="I102:I106"/>
    <mergeCell ref="J102:J106"/>
    <mergeCell ref="K102:K106"/>
    <mergeCell ref="N92:N96"/>
    <mergeCell ref="O92:O96"/>
    <mergeCell ref="N97:N101"/>
    <mergeCell ref="O97:O101"/>
    <mergeCell ref="F107:F111"/>
    <mergeCell ref="G107:G111"/>
    <mergeCell ref="H107:H111"/>
    <mergeCell ref="I107:I111"/>
    <mergeCell ref="Q67:Q71"/>
    <mergeCell ref="R67:R71"/>
    <mergeCell ref="Q107:Q111"/>
    <mergeCell ref="R107:R111"/>
    <mergeCell ref="J107:J111"/>
    <mergeCell ref="K107:K111"/>
    <mergeCell ref="L107:L111"/>
    <mergeCell ref="M107:M111"/>
    <mergeCell ref="N107:N111"/>
    <mergeCell ref="O107:O111"/>
    <mergeCell ref="P107:P111"/>
    <mergeCell ref="L102:L106"/>
    <mergeCell ref="M102:M106"/>
    <mergeCell ref="N102:N106"/>
    <mergeCell ref="O102:O106"/>
    <mergeCell ref="P102:P106"/>
    <mergeCell ref="Q102:Q106"/>
    <mergeCell ref="R102:R106"/>
    <mergeCell ref="P92:P96"/>
    <mergeCell ref="Q92:Q96"/>
    <mergeCell ref="C9:C13"/>
    <mergeCell ref="D9:D13"/>
    <mergeCell ref="D14:D18"/>
    <mergeCell ref="D102:D106"/>
    <mergeCell ref="D107:D111"/>
    <mergeCell ref="B113:R113"/>
    <mergeCell ref="D82:D86"/>
    <mergeCell ref="D87:D91"/>
    <mergeCell ref="C92:C96"/>
    <mergeCell ref="C97:C101"/>
    <mergeCell ref="D92:D96"/>
    <mergeCell ref="D97:D101"/>
    <mergeCell ref="C102:C106"/>
    <mergeCell ref="C107:C111"/>
    <mergeCell ref="C62:C66"/>
    <mergeCell ref="C67:C71"/>
    <mergeCell ref="C72:C76"/>
    <mergeCell ref="C77:C81"/>
    <mergeCell ref="C82:C86"/>
    <mergeCell ref="C87:C91"/>
    <mergeCell ref="E107:E111"/>
    <mergeCell ref="E9:E13"/>
    <mergeCell ref="F9:F13"/>
    <mergeCell ref="G9:G13"/>
    <mergeCell ref="A1:AH1"/>
    <mergeCell ref="A2:AH2"/>
    <mergeCell ref="A3:AH3"/>
    <mergeCell ref="A4:AH4"/>
    <mergeCell ref="A6:B8"/>
    <mergeCell ref="C6:D6"/>
    <mergeCell ref="E6:I6"/>
    <mergeCell ref="AE7:AG7"/>
    <mergeCell ref="G7:G8"/>
    <mergeCell ref="H7:H8"/>
    <mergeCell ref="I7:I8"/>
    <mergeCell ref="J7:J8"/>
    <mergeCell ref="M7:O7"/>
    <mergeCell ref="P7:P8"/>
    <mergeCell ref="Q7:Q8"/>
    <mergeCell ref="R7:R8"/>
    <mergeCell ref="E7:E8"/>
    <mergeCell ref="F7:F8"/>
    <mergeCell ref="C7:C8"/>
    <mergeCell ref="D7:D8"/>
    <mergeCell ref="Z7:AD7"/>
    <mergeCell ref="AH7:AH8"/>
    <mergeCell ref="AH9:AH13"/>
    <mergeCell ref="J9:J13"/>
    <mergeCell ref="K9:K13"/>
    <mergeCell ref="L9:L13"/>
    <mergeCell ref="M9:M13"/>
    <mergeCell ref="N9:N13"/>
    <mergeCell ref="O9:O13"/>
    <mergeCell ref="P9:P13"/>
    <mergeCell ref="J6:R6"/>
    <mergeCell ref="S6:AH6"/>
    <mergeCell ref="S7:Y7"/>
    <mergeCell ref="AH14:AH18"/>
    <mergeCell ref="AH19:AH24"/>
    <mergeCell ref="AH25:AH29"/>
    <mergeCell ref="AH30:AH34"/>
    <mergeCell ref="AH35:AH40"/>
    <mergeCell ref="E14:E18"/>
    <mergeCell ref="F14:F18"/>
    <mergeCell ref="G14:G18"/>
    <mergeCell ref="H14:H18"/>
    <mergeCell ref="I14:I18"/>
    <mergeCell ref="J14:J18"/>
    <mergeCell ref="K14:K18"/>
    <mergeCell ref="N14:N18"/>
    <mergeCell ref="O14:O18"/>
    <mergeCell ref="P14:P18"/>
    <mergeCell ref="Q14:Q18"/>
    <mergeCell ref="R14:R18"/>
    <mergeCell ref="P30:P34"/>
    <mergeCell ref="Q30:Q34"/>
    <mergeCell ref="R30:R34"/>
    <mergeCell ref="E30:E34"/>
    <mergeCell ref="F30:F34"/>
    <mergeCell ref="G30:G34"/>
    <mergeCell ref="H30:H34"/>
    <mergeCell ref="H9:H13"/>
    <mergeCell ref="I9:I13"/>
    <mergeCell ref="Q19:Q24"/>
    <mergeCell ref="R19:R24"/>
    <mergeCell ref="K7:K8"/>
    <mergeCell ref="L7:L8"/>
    <mergeCell ref="L19:L24"/>
    <mergeCell ref="M19:M24"/>
    <mergeCell ref="N19:N24"/>
    <mergeCell ref="O19:O24"/>
    <mergeCell ref="P19:P24"/>
    <mergeCell ref="L14:L18"/>
    <mergeCell ref="M14:M18"/>
    <mergeCell ref="Q9:Q13"/>
    <mergeCell ref="R9:R13"/>
    <mergeCell ref="AH56:AH60"/>
    <mergeCell ref="AH62:AH66"/>
    <mergeCell ref="L41:L45"/>
    <mergeCell ref="M41:M45"/>
    <mergeCell ref="AH41:AH45"/>
    <mergeCell ref="AH46:AH50"/>
    <mergeCell ref="AH51:AH55"/>
    <mergeCell ref="S61:Z61"/>
    <mergeCell ref="AE61:AH61"/>
    <mergeCell ref="Q62:Q66"/>
    <mergeCell ref="R62:R66"/>
    <mergeCell ref="L56:L60"/>
    <mergeCell ref="M56:M60"/>
    <mergeCell ref="N56:N60"/>
    <mergeCell ref="O56:O60"/>
    <mergeCell ref="P56:P60"/>
    <mergeCell ref="Q56:Q60"/>
    <mergeCell ref="R56:R60"/>
    <mergeCell ref="AH67:AH71"/>
    <mergeCell ref="J67:J71"/>
    <mergeCell ref="K67:K71"/>
    <mergeCell ref="L67:L71"/>
    <mergeCell ref="M67:M71"/>
    <mergeCell ref="N67:N71"/>
    <mergeCell ref="O67:O71"/>
    <mergeCell ref="P67:P71"/>
    <mergeCell ref="E72:E76"/>
    <mergeCell ref="F72:F76"/>
    <mergeCell ref="G72:G76"/>
    <mergeCell ref="H72:H76"/>
    <mergeCell ref="I72:I76"/>
    <mergeCell ref="J72:J76"/>
    <mergeCell ref="K72:K76"/>
    <mergeCell ref="L72:L76"/>
    <mergeCell ref="M72:M76"/>
    <mergeCell ref="AH72:AH76"/>
    <mergeCell ref="N72:N76"/>
    <mergeCell ref="O72:O76"/>
    <mergeCell ref="P72:P76"/>
    <mergeCell ref="Q72:Q76"/>
    <mergeCell ref="R72:R76"/>
    <mergeCell ref="S113:Z113"/>
    <mergeCell ref="AE113:AH113"/>
    <mergeCell ref="S114:AH114"/>
    <mergeCell ref="U116:Z116"/>
    <mergeCell ref="U129:W129"/>
    <mergeCell ref="U130:V130"/>
    <mergeCell ref="U131:V131"/>
    <mergeCell ref="AH77:AH81"/>
    <mergeCell ref="AH82:AH86"/>
    <mergeCell ref="AH87:AH91"/>
    <mergeCell ref="AH92:AH96"/>
    <mergeCell ref="AH97:AH101"/>
    <mergeCell ref="AH102:AH106"/>
    <mergeCell ref="AH107:AH111"/>
    <mergeCell ref="S112:Z112"/>
    <mergeCell ref="AE112:AH112"/>
    <mergeCell ref="U139:V139"/>
    <mergeCell ref="U140:V140"/>
    <mergeCell ref="U141:V141"/>
    <mergeCell ref="U142:V142"/>
    <mergeCell ref="U143:V143"/>
    <mergeCell ref="U144:V144"/>
    <mergeCell ref="U132:V132"/>
    <mergeCell ref="U133:V133"/>
    <mergeCell ref="U134:V134"/>
    <mergeCell ref="U135:W135"/>
    <mergeCell ref="U136:V136"/>
    <mergeCell ref="U137:V137"/>
    <mergeCell ref="U138:V138"/>
  </mergeCells>
  <dataValidations count="3">
    <dataValidation type="list" allowBlank="1" showErrorMessage="1" sqref="F9 F14 F19 F25 F30 F35 F41 F46 F51 F56 F62 F67 F72 F77 F82 F87 F92 F97 F102 F107" xr:uid="{00000000-0002-0000-0400-000000000000}">
      <formula1>INDIRECT($E9)</formula1>
    </dataValidation>
    <dataValidation type="list" allowBlank="1" showErrorMessage="1" sqref="E9 E14 E19 E25 E30 E35 E41 E46 E51 E56 E62 E67 E72 E77 E82 E87 E92 E97 E102 E107" xr:uid="{00000000-0002-0000-0400-000001000000}">
      <formula1>INDIRECT($G9)</formula1>
    </dataValidation>
    <dataValidation type="decimal" allowBlank="1" showInputMessage="1" showErrorMessage="1" prompt="DPLAN - Sólo debe ingresar valores, NO porcentajes." sqref="M14:O14 M19:O19 M25:O25 M30:O30 M51:O51 M56:O56 M62:O62 M67:O67 M72:O72 M77:O77 M82:O82 M87:O87 M92:O92 M97:O97 M102:O102" xr:uid="{00000000-0002-0000-0400-000002000000}">
      <formula1>0</formula1>
      <formula2>1000000</formula2>
    </dataValidation>
  </dataValidations>
  <printOptions horizontalCentered="1"/>
  <pageMargins left="0" right="0" top="0.78740157480314965" bottom="0.35433070866141736" header="0" footer="0"/>
  <pageSetup paperSize="9" scale="65" pageOrder="overThenDown" orientation="landscape" horizontalDpi="300" verticalDpi="300" r:id="rId1"/>
  <headerFooter>
    <oddHeader>&amp;LSecretaría General&amp;C&amp;P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400-000003000000}">
          <x14:formula1>
            <xm:f>'https://utmachalaeduec-my.sharepoint.com/personal/planificacion_utmachala_edu_ec/Documents/Gestión 2023/G.06 EMISION DE INSUMOS PARA ELAB. DE LA PROF, PRESUPUESTARIA Y SUS REFORMAS/REFORMA N° 002-2023/[PND]PND'!#REF!</xm:f>
          </x14:formula1>
          <xm:sqref>C9:D9 C14:D14 C19:D19 C25:D25 C30:D30 C35:D35 C41:D41 C46:D46 C51:D51 C56:D56</xm:sqref>
        </x14:dataValidation>
        <x14:dataValidation type="list" allowBlank="1" showErrorMessage="1" xr:uid="{00000000-0002-0000-0400-000004000000}">
          <x14:formula1>
            <xm:f>('https://utmachalaeduec-my.sharepoint.com/personal/planificacion_utmachala_edu_ec/Documents/Gestión 2023/G.06 EMISION DE INSUMOS PARA ELAB. DE LA PROF, PRESUPUESTARIA Y SUS REFORMAS/REFORMA N° 002-2023/[PEDI]PEDI'!#REF!)</xm:f>
          </x14:formula1>
          <xm:sqref>H9 H14 H19 H25 H30 H35 H41 H46 H51 H56</xm:sqref>
        </x14:dataValidation>
        <x14:dataValidation type="list" allowBlank="1" showErrorMessage="1" xr:uid="{00000000-0002-0000-0400-000005000000}">
          <x14:formula1>
            <xm:f>'https://utmachalaeduec-my.sharepoint.com/personal/planificacion_utmachala_edu_ec/Documents/Gestión 2023/G.06 EMISION DE INSUMOS PARA ELAB. DE LA PROF, PRESUPUESTARIA Y SUS REFORMAS/REFORMA N° 002-2023/[PEDI]PEDI'!#REF!</xm:f>
          </x14:formula1>
          <xm:sqref>G9 G14 G19 G25 G30 G35 G41 G46 G51 G56</xm:sqref>
        </x14:dataValidation>
        <x14:dataValidation type="list" allowBlank="1" showErrorMessage="1" xr:uid="{00000000-0002-0000-04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I25 I30 I35 I41 I46 I51 I56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C09"/>
  </sheetPr>
  <dimension ref="A1:AH168"/>
  <sheetViews>
    <sheetView showGridLines="0" topLeftCell="R133" zoomScaleNormal="100" workbookViewId="0">
      <selection activeCell="Z129" sqref="Z129:Z138"/>
    </sheetView>
  </sheetViews>
  <sheetFormatPr baseColWidth="10" defaultColWidth="12.7109375" defaultRowHeight="15.75" customHeight="1"/>
  <cols>
    <col min="1" max="2" width="5" style="434" customWidth="1"/>
    <col min="3" max="6" width="25.7109375" style="434" customWidth="1"/>
    <col min="7" max="7" width="26.7109375" style="434" customWidth="1"/>
    <col min="8" max="12" width="25.7109375" style="434" customWidth="1"/>
    <col min="13" max="15" width="8.7109375" style="434" customWidth="1"/>
    <col min="16" max="18" width="25.7109375" style="434" customWidth="1"/>
    <col min="19" max="19" width="25.28515625" style="434" customWidth="1"/>
    <col min="20" max="21" width="18.7109375" style="434" customWidth="1"/>
    <col min="22" max="22" width="40.7109375" style="434" customWidth="1"/>
    <col min="23" max="23" width="21.5703125" style="434" customWidth="1"/>
    <col min="24" max="25" width="12.7109375" style="434" customWidth="1"/>
    <col min="26" max="26" width="13.42578125" style="434" customWidth="1"/>
    <col min="27" max="27" width="12.7109375" style="434" customWidth="1"/>
    <col min="28" max="28" width="13.42578125" style="434" customWidth="1"/>
    <col min="29" max="29" width="12.140625" style="803" customWidth="1"/>
    <col min="30" max="30" width="10.28515625" style="803" customWidth="1"/>
    <col min="31" max="33" width="8.7109375" style="434" customWidth="1"/>
    <col min="34" max="34" width="19.7109375" style="434" customWidth="1"/>
    <col min="35" max="16384" width="12.7109375" style="434"/>
  </cols>
  <sheetData>
    <row r="1" spans="1:34" ht="39" customHeight="1">
      <c r="A1" s="8824" t="s">
        <v>0</v>
      </c>
      <c r="B1" s="9000"/>
      <c r="C1" s="9000"/>
      <c r="D1" s="9000"/>
      <c r="E1" s="9000"/>
      <c r="F1" s="9000"/>
      <c r="G1" s="9000"/>
      <c r="H1" s="9000"/>
      <c r="I1" s="9000"/>
      <c r="J1" s="9000"/>
      <c r="K1" s="9000"/>
      <c r="L1" s="9000"/>
      <c r="M1" s="9000"/>
      <c r="N1" s="9000"/>
      <c r="O1" s="9000"/>
      <c r="P1" s="9000"/>
      <c r="Q1" s="9000"/>
      <c r="R1" s="9000"/>
      <c r="S1" s="9000"/>
      <c r="T1" s="9000"/>
      <c r="U1" s="9000"/>
      <c r="V1" s="9000"/>
      <c r="W1" s="9000"/>
      <c r="X1" s="9000"/>
      <c r="Y1" s="9000"/>
      <c r="Z1" s="9000"/>
      <c r="AA1" s="9000"/>
      <c r="AB1" s="9000"/>
      <c r="AC1" s="9000"/>
      <c r="AD1" s="9000"/>
      <c r="AE1" s="9000"/>
      <c r="AF1" s="9000"/>
      <c r="AG1" s="9000"/>
      <c r="AH1" s="9000"/>
    </row>
    <row r="2" spans="1:34" ht="30">
      <c r="A2" s="8826" t="s">
        <v>1</v>
      </c>
      <c r="B2" s="9001"/>
      <c r="C2" s="9001"/>
      <c r="D2" s="9001"/>
      <c r="E2" s="9001"/>
      <c r="F2" s="9001"/>
      <c r="G2" s="9001"/>
      <c r="H2" s="9001"/>
      <c r="I2" s="9001"/>
      <c r="J2" s="9001"/>
      <c r="K2" s="9001"/>
      <c r="L2" s="9001"/>
      <c r="M2" s="9001"/>
      <c r="N2" s="9001"/>
      <c r="O2" s="9001"/>
      <c r="P2" s="9001"/>
      <c r="Q2" s="9001"/>
      <c r="R2" s="9001"/>
      <c r="S2" s="9001"/>
      <c r="T2" s="9001"/>
      <c r="U2" s="9001"/>
      <c r="V2" s="9001"/>
      <c r="W2" s="9001"/>
      <c r="X2" s="9001"/>
      <c r="Y2" s="9001"/>
      <c r="Z2" s="9001"/>
      <c r="AA2" s="9001"/>
      <c r="AB2" s="9001"/>
      <c r="AC2" s="9001"/>
      <c r="AD2" s="9001"/>
      <c r="AE2" s="9001"/>
      <c r="AF2" s="9001"/>
      <c r="AG2" s="9001"/>
      <c r="AH2" s="9001"/>
    </row>
    <row r="3" spans="1:34" ht="30.75">
      <c r="A3" s="8828" t="s">
        <v>662</v>
      </c>
      <c r="B3" s="9000"/>
      <c r="C3" s="9000"/>
      <c r="D3" s="9000"/>
      <c r="E3" s="9000"/>
      <c r="F3" s="9000"/>
      <c r="G3" s="9000"/>
      <c r="H3" s="9000"/>
      <c r="I3" s="9000"/>
      <c r="J3" s="9000"/>
      <c r="K3" s="9000"/>
      <c r="L3" s="9000"/>
      <c r="M3" s="9000"/>
      <c r="N3" s="9000"/>
      <c r="O3" s="9000"/>
      <c r="P3" s="9000"/>
      <c r="Q3" s="9000"/>
      <c r="R3" s="9000"/>
      <c r="S3" s="9000"/>
      <c r="T3" s="9000"/>
      <c r="U3" s="9000"/>
      <c r="V3" s="9000"/>
      <c r="W3" s="9000"/>
      <c r="X3" s="9000"/>
      <c r="Y3" s="9000"/>
      <c r="Z3" s="9000"/>
      <c r="AA3" s="9000"/>
      <c r="AB3" s="9000"/>
      <c r="AC3" s="9000"/>
      <c r="AD3" s="9000"/>
      <c r="AE3" s="9000"/>
      <c r="AF3" s="9000"/>
      <c r="AG3" s="9000"/>
      <c r="AH3" s="9000"/>
    </row>
    <row r="4" spans="1:34" ht="26.25">
      <c r="A4" s="8829" t="s">
        <v>88</v>
      </c>
      <c r="B4" s="9000"/>
      <c r="C4" s="9000"/>
      <c r="D4" s="9000"/>
      <c r="E4" s="9000"/>
      <c r="F4" s="9000"/>
      <c r="G4" s="9000"/>
      <c r="H4" s="9000"/>
      <c r="I4" s="9000"/>
      <c r="J4" s="9000"/>
      <c r="K4" s="9000"/>
      <c r="L4" s="9000"/>
      <c r="M4" s="9000"/>
      <c r="N4" s="9000"/>
      <c r="O4" s="9000"/>
      <c r="P4" s="9000"/>
      <c r="Q4" s="9000"/>
      <c r="R4" s="9000"/>
      <c r="S4" s="9000"/>
      <c r="T4" s="9000"/>
      <c r="U4" s="9000"/>
      <c r="V4" s="9000"/>
      <c r="W4" s="9000"/>
      <c r="X4" s="9000"/>
      <c r="Y4" s="9000"/>
      <c r="Z4" s="9000"/>
      <c r="AA4" s="9000"/>
      <c r="AB4" s="9000"/>
      <c r="AC4" s="9000"/>
      <c r="AD4" s="9000"/>
      <c r="AE4" s="9000"/>
      <c r="AF4" s="9000"/>
      <c r="AG4" s="9000"/>
      <c r="AH4" s="9000"/>
    </row>
    <row r="5" spans="1:34" ht="16.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
    </row>
    <row r="6" spans="1:34" ht="24.75" customHeight="1">
      <c r="A6" s="9002" t="s">
        <v>89</v>
      </c>
      <c r="B6" s="9003"/>
      <c r="C6" s="8832" t="s">
        <v>90</v>
      </c>
      <c r="D6" s="9009"/>
      <c r="E6" s="9010" t="s">
        <v>91</v>
      </c>
      <c r="F6" s="9011"/>
      <c r="G6" s="9011"/>
      <c r="H6" s="9011"/>
      <c r="I6" s="9011"/>
      <c r="J6" s="8988" t="s">
        <v>92</v>
      </c>
      <c r="K6" s="8989"/>
      <c r="L6" s="8989"/>
      <c r="M6" s="8989"/>
      <c r="N6" s="8989"/>
      <c r="O6" s="8989"/>
      <c r="P6" s="8989"/>
      <c r="Q6" s="8989"/>
      <c r="R6" s="8990"/>
      <c r="S6" s="9150" t="s">
        <v>93</v>
      </c>
      <c r="T6" s="9151"/>
      <c r="U6" s="9151"/>
      <c r="V6" s="9151"/>
      <c r="W6" s="9151"/>
      <c r="X6" s="9151"/>
      <c r="Y6" s="9151"/>
      <c r="Z6" s="9151"/>
      <c r="AA6" s="9151"/>
      <c r="AB6" s="9151"/>
      <c r="AC6" s="9151"/>
      <c r="AD6" s="9151"/>
      <c r="AE6" s="9151"/>
      <c r="AF6" s="9151"/>
      <c r="AG6" s="9151"/>
      <c r="AH6" s="9152"/>
    </row>
    <row r="7" spans="1:34" ht="39.75" customHeight="1">
      <c r="A7" s="9004"/>
      <c r="B7" s="9005"/>
      <c r="C7" s="9146" t="s">
        <v>94</v>
      </c>
      <c r="D7" s="9147" t="s">
        <v>95</v>
      </c>
      <c r="E7" s="9012" t="s">
        <v>96</v>
      </c>
      <c r="F7" s="9012" t="s">
        <v>97</v>
      </c>
      <c r="G7" s="9012" t="s">
        <v>98</v>
      </c>
      <c r="H7" s="9012" t="s">
        <v>99</v>
      </c>
      <c r="I7" s="9012" t="s">
        <v>100</v>
      </c>
      <c r="J7" s="9014" t="s">
        <v>101</v>
      </c>
      <c r="K7" s="9016" t="s">
        <v>102</v>
      </c>
      <c r="L7" s="9016" t="s">
        <v>103</v>
      </c>
      <c r="M7" s="9016" t="s">
        <v>104</v>
      </c>
      <c r="N7" s="9017"/>
      <c r="O7" s="9017"/>
      <c r="P7" s="9016" t="s">
        <v>105</v>
      </c>
      <c r="Q7" s="9016" t="s">
        <v>106</v>
      </c>
      <c r="R7" s="9019" t="s">
        <v>107</v>
      </c>
      <c r="S7" s="9153" t="s">
        <v>108</v>
      </c>
      <c r="T7" s="9154"/>
      <c r="U7" s="9154"/>
      <c r="V7" s="9154"/>
      <c r="W7" s="9154"/>
      <c r="X7" s="9154"/>
      <c r="Y7" s="9155"/>
      <c r="Z7" s="9180" t="s">
        <v>109</v>
      </c>
      <c r="AA7" s="9181"/>
      <c r="AB7" s="9181"/>
      <c r="AC7" s="9181"/>
      <c r="AD7" s="9182"/>
      <c r="AE7" s="9156" t="s">
        <v>110</v>
      </c>
      <c r="AF7" s="9154"/>
      <c r="AG7" s="9155"/>
      <c r="AH7" s="9157" t="s">
        <v>111</v>
      </c>
    </row>
    <row r="8" spans="1:34" ht="51.75" customHeight="1" thickBot="1">
      <c r="A8" s="9006"/>
      <c r="B8" s="9007"/>
      <c r="C8" s="9022"/>
      <c r="D8" s="9024"/>
      <c r="E8" s="9013"/>
      <c r="F8" s="9013"/>
      <c r="G8" s="9013"/>
      <c r="H8" s="9013"/>
      <c r="I8" s="9013"/>
      <c r="J8" s="9015"/>
      <c r="K8" s="9018"/>
      <c r="L8" s="9018"/>
      <c r="M8" s="5086" t="s">
        <v>112</v>
      </c>
      <c r="N8" s="5086" t="s">
        <v>113</v>
      </c>
      <c r="O8" s="5086" t="s">
        <v>114</v>
      </c>
      <c r="P8" s="9018"/>
      <c r="Q8" s="9018"/>
      <c r="R8" s="9020"/>
      <c r="S8" s="5087" t="s">
        <v>115</v>
      </c>
      <c r="T8" s="5088" t="s">
        <v>116</v>
      </c>
      <c r="U8" s="5089" t="s">
        <v>117</v>
      </c>
      <c r="V8" s="5088" t="s">
        <v>118</v>
      </c>
      <c r="W8" s="5088" t="s">
        <v>119</v>
      </c>
      <c r="X8" s="5088" t="s">
        <v>372</v>
      </c>
      <c r="Y8" s="5090" t="s">
        <v>121</v>
      </c>
      <c r="Z8" s="5088" t="s">
        <v>122</v>
      </c>
      <c r="AA8" s="5088" t="s">
        <v>123</v>
      </c>
      <c r="AB8" s="5088" t="s">
        <v>124</v>
      </c>
      <c r="AC8" s="5085" t="s">
        <v>125</v>
      </c>
      <c r="AD8" s="5088" t="s">
        <v>373</v>
      </c>
      <c r="AE8" s="5088" t="s">
        <v>112</v>
      </c>
      <c r="AF8" s="5088" t="s">
        <v>113</v>
      </c>
      <c r="AG8" s="5088" t="s">
        <v>114</v>
      </c>
      <c r="AH8" s="9158"/>
    </row>
    <row r="9" spans="1:34" ht="63.75">
      <c r="A9" s="9237" t="s">
        <v>662</v>
      </c>
      <c r="B9" s="9307" t="s">
        <v>662</v>
      </c>
      <c r="C9" s="9283" t="s">
        <v>127</v>
      </c>
      <c r="D9" s="8834" t="s">
        <v>128</v>
      </c>
      <c r="E9" s="8834" t="s">
        <v>140</v>
      </c>
      <c r="F9" s="8834" t="s">
        <v>284</v>
      </c>
      <c r="G9" s="8974" t="s">
        <v>131</v>
      </c>
      <c r="H9" s="8834" t="s">
        <v>132</v>
      </c>
      <c r="I9" s="8834" t="s">
        <v>133</v>
      </c>
      <c r="J9" s="9261" t="s">
        <v>663</v>
      </c>
      <c r="K9" s="8782" t="s">
        <v>664</v>
      </c>
      <c r="L9" s="9167" t="s">
        <v>665</v>
      </c>
      <c r="M9" s="9256">
        <v>0</v>
      </c>
      <c r="N9" s="9264">
        <v>1</v>
      </c>
      <c r="O9" s="9256">
        <v>0</v>
      </c>
      <c r="P9" s="9204" t="s">
        <v>666</v>
      </c>
      <c r="Q9" s="9262" t="s">
        <v>667</v>
      </c>
      <c r="R9" s="8982" t="s">
        <v>668</v>
      </c>
      <c r="S9" s="8422" t="s">
        <v>15</v>
      </c>
      <c r="T9" s="8423">
        <v>530204</v>
      </c>
      <c r="U9" s="8424"/>
      <c r="V9" s="8425" t="s">
        <v>16</v>
      </c>
      <c r="W9" s="8426"/>
      <c r="X9" s="8426"/>
      <c r="Y9" s="8436"/>
      <c r="Z9" s="8411"/>
      <c r="AA9" s="8411"/>
      <c r="AB9" s="8437">
        <f>AA10</f>
        <v>6300</v>
      </c>
      <c r="AC9" s="8438" t="s">
        <v>26</v>
      </c>
      <c r="AD9" s="8427"/>
      <c r="AE9" s="8428"/>
      <c r="AF9" s="8429"/>
      <c r="AG9" s="8429"/>
      <c r="AH9" s="9270" t="s">
        <v>669</v>
      </c>
    </row>
    <row r="10" spans="1:34" ht="25.5" customHeight="1">
      <c r="A10" s="9099"/>
      <c r="B10" s="9308"/>
      <c r="C10" s="9281"/>
      <c r="D10" s="9248"/>
      <c r="E10" s="9248"/>
      <c r="F10" s="9248"/>
      <c r="G10" s="9248"/>
      <c r="H10" s="9248"/>
      <c r="I10" s="9248"/>
      <c r="J10" s="9089"/>
      <c r="K10" s="9248"/>
      <c r="L10" s="9248"/>
      <c r="M10" s="9253"/>
      <c r="N10" s="9256"/>
      <c r="O10" s="9253"/>
      <c r="P10" s="8938"/>
      <c r="Q10" s="8938"/>
      <c r="R10" s="8958"/>
      <c r="S10" s="8430"/>
      <c r="T10" s="8431"/>
      <c r="U10" s="8431"/>
      <c r="V10" s="8432" t="s">
        <v>670</v>
      </c>
      <c r="W10" s="8433">
        <v>1</v>
      </c>
      <c r="X10" s="8221" t="s">
        <v>479</v>
      </c>
      <c r="Y10" s="8419">
        <f>6300/1.12</f>
        <v>5624.9999999999991</v>
      </c>
      <c r="Z10" s="8419">
        <f>+W10*Y10</f>
        <v>5624.9999999999991</v>
      </c>
      <c r="AA10" s="8419">
        <f t="shared" ref="AA10" si="0">+Z10*1.12</f>
        <v>6300</v>
      </c>
      <c r="AB10" s="8420"/>
      <c r="AC10" s="8627"/>
      <c r="AD10" s="8434"/>
      <c r="AE10" s="8098"/>
      <c r="AF10" s="8435"/>
      <c r="AG10" s="8435" t="s">
        <v>153</v>
      </c>
      <c r="AH10" s="8984"/>
    </row>
    <row r="11" spans="1:34" ht="25.5" customHeight="1">
      <c r="A11" s="9099"/>
      <c r="B11" s="9308"/>
      <c r="C11" s="9281"/>
      <c r="D11" s="9248"/>
      <c r="E11" s="9248"/>
      <c r="F11" s="9248"/>
      <c r="G11" s="9248"/>
      <c r="H11" s="9248"/>
      <c r="I11" s="9248"/>
      <c r="J11" s="9089"/>
      <c r="K11" s="9248"/>
      <c r="L11" s="9248"/>
      <c r="M11" s="9253"/>
      <c r="N11" s="9256"/>
      <c r="O11" s="9253"/>
      <c r="P11" s="8938"/>
      <c r="Q11" s="8938"/>
      <c r="R11" s="8958"/>
      <c r="S11" s="468"/>
      <c r="T11" s="4860"/>
      <c r="U11" s="4860"/>
      <c r="V11" s="52"/>
      <c r="W11" s="53"/>
      <c r="X11" s="53"/>
      <c r="Y11" s="54"/>
      <c r="Z11" s="49"/>
      <c r="AA11" s="49"/>
      <c r="AB11" s="4911"/>
      <c r="AC11" s="4880"/>
      <c r="AD11" s="374"/>
      <c r="AE11" s="48"/>
      <c r="AF11" s="51"/>
      <c r="AG11" s="51"/>
      <c r="AH11" s="8984"/>
    </row>
    <row r="12" spans="1:34" ht="25.5" customHeight="1">
      <c r="A12" s="9099"/>
      <c r="B12" s="9308"/>
      <c r="C12" s="9281"/>
      <c r="D12" s="9248"/>
      <c r="E12" s="9248"/>
      <c r="F12" s="9248"/>
      <c r="G12" s="9248"/>
      <c r="H12" s="9248"/>
      <c r="I12" s="9248"/>
      <c r="J12" s="9089"/>
      <c r="K12" s="9248"/>
      <c r="L12" s="9248"/>
      <c r="M12" s="9253"/>
      <c r="N12" s="9256"/>
      <c r="O12" s="9253"/>
      <c r="P12" s="8938"/>
      <c r="Q12" s="8938"/>
      <c r="R12" s="8958"/>
      <c r="S12" s="8560" t="s">
        <v>15</v>
      </c>
      <c r="T12" s="8423">
        <v>840103</v>
      </c>
      <c r="U12" s="8423"/>
      <c r="V12" s="8561" t="s">
        <v>671</v>
      </c>
      <c r="W12" s="8562"/>
      <c r="X12" s="8562"/>
      <c r="Y12" s="8563"/>
      <c r="Z12" s="8564"/>
      <c r="AA12" s="8564"/>
      <c r="AB12" s="8420">
        <f>AA13</f>
        <v>358.5</v>
      </c>
      <c r="AC12" s="8628" t="s">
        <v>25</v>
      </c>
      <c r="AD12" s="374"/>
      <c r="AE12" s="48"/>
      <c r="AF12" s="51"/>
      <c r="AG12" s="51"/>
      <c r="AH12" s="8984"/>
    </row>
    <row r="13" spans="1:34" ht="25.5" customHeight="1">
      <c r="A13" s="9099"/>
      <c r="B13" s="9308"/>
      <c r="C13" s="9281"/>
      <c r="D13" s="9248"/>
      <c r="E13" s="9248"/>
      <c r="F13" s="9248"/>
      <c r="G13" s="9248"/>
      <c r="H13" s="9248"/>
      <c r="I13" s="9248"/>
      <c r="J13" s="9089"/>
      <c r="K13" s="9248"/>
      <c r="L13" s="9248"/>
      <c r="M13" s="9253"/>
      <c r="N13" s="9256"/>
      <c r="O13" s="9253"/>
      <c r="P13" s="8938"/>
      <c r="Q13" s="8938"/>
      <c r="R13" s="8958"/>
      <c r="S13" s="8565"/>
      <c r="T13" s="8566"/>
      <c r="U13" s="8566"/>
      <c r="V13" s="8555" t="s">
        <v>672</v>
      </c>
      <c r="W13" s="8433">
        <v>1</v>
      </c>
      <c r="X13" s="8556" t="s">
        <v>479</v>
      </c>
      <c r="Y13" s="8419">
        <f>2878.5-2520</f>
        <v>358.5</v>
      </c>
      <c r="Z13" s="8419">
        <f>Y13</f>
        <v>358.5</v>
      </c>
      <c r="AA13" s="8419">
        <f>Z13</f>
        <v>358.5</v>
      </c>
      <c r="AB13" s="8420"/>
      <c r="AC13" s="8629"/>
      <c r="AD13" s="374"/>
      <c r="AE13" s="48"/>
      <c r="AF13" s="51"/>
      <c r="AG13" s="456" t="s">
        <v>153</v>
      </c>
      <c r="AH13" s="8984"/>
    </row>
    <row r="14" spans="1:34" ht="25.5" customHeight="1">
      <c r="A14" s="9099"/>
      <c r="B14" s="9308"/>
      <c r="C14" s="9281"/>
      <c r="D14" s="9248"/>
      <c r="E14" s="9248"/>
      <c r="F14" s="9248"/>
      <c r="G14" s="9248"/>
      <c r="H14" s="9248"/>
      <c r="I14" s="9248"/>
      <c r="J14" s="9089"/>
      <c r="K14" s="9248"/>
      <c r="L14" s="9248"/>
      <c r="M14" s="9253"/>
      <c r="N14" s="9256"/>
      <c r="O14" s="9253"/>
      <c r="P14" s="8938"/>
      <c r="Q14" s="8938"/>
      <c r="R14" s="8958"/>
      <c r="S14" s="8560" t="s">
        <v>15</v>
      </c>
      <c r="T14" s="8423">
        <v>840103</v>
      </c>
      <c r="U14" s="8423"/>
      <c r="V14" s="8561" t="s">
        <v>671</v>
      </c>
      <c r="W14" s="8433"/>
      <c r="X14" s="8562"/>
      <c r="Y14" s="8419"/>
      <c r="Z14" s="8419"/>
      <c r="AA14" s="8419"/>
      <c r="AB14" s="8420">
        <f>AA15</f>
        <v>478.97</v>
      </c>
      <c r="AC14" s="8628" t="s">
        <v>26</v>
      </c>
      <c r="AD14" s="374"/>
      <c r="AE14" s="48"/>
      <c r="AF14" s="51"/>
      <c r="AG14" s="456"/>
      <c r="AH14" s="8984"/>
    </row>
    <row r="15" spans="1:34" ht="25.5" customHeight="1">
      <c r="A15" s="9099"/>
      <c r="B15" s="9308"/>
      <c r="C15" s="9281"/>
      <c r="D15" s="9248"/>
      <c r="E15" s="9248"/>
      <c r="F15" s="9248"/>
      <c r="G15" s="9248"/>
      <c r="H15" s="9248"/>
      <c r="I15" s="9248"/>
      <c r="J15" s="9089"/>
      <c r="K15" s="9248"/>
      <c r="L15" s="9248"/>
      <c r="M15" s="9253"/>
      <c r="N15" s="9256"/>
      <c r="O15" s="9253"/>
      <c r="P15" s="8938"/>
      <c r="Q15" s="8938"/>
      <c r="R15" s="8958"/>
      <c r="S15" s="8565"/>
      <c r="T15" s="8566"/>
      <c r="U15" s="8566"/>
      <c r="V15" s="8555" t="s">
        <v>672</v>
      </c>
      <c r="W15" s="8433">
        <v>1</v>
      </c>
      <c r="X15" s="8556" t="s">
        <v>479</v>
      </c>
      <c r="Y15" s="8419">
        <f>388.97+90</f>
        <v>478.97</v>
      </c>
      <c r="Z15" s="8419">
        <f>Y15</f>
        <v>478.97</v>
      </c>
      <c r="AA15" s="8419">
        <f>Z15</f>
        <v>478.97</v>
      </c>
      <c r="AB15" s="8420"/>
      <c r="AC15" s="8629"/>
      <c r="AD15" s="374"/>
      <c r="AE15" s="48"/>
      <c r="AF15" s="51"/>
      <c r="AG15" s="456" t="s">
        <v>153</v>
      </c>
      <c r="AH15" s="8984"/>
    </row>
    <row r="16" spans="1:34" ht="25.5" customHeight="1">
      <c r="A16" s="9099"/>
      <c r="B16" s="9308"/>
      <c r="C16" s="9281"/>
      <c r="D16" s="9248"/>
      <c r="E16" s="9248"/>
      <c r="F16" s="9248"/>
      <c r="G16" s="9248"/>
      <c r="H16" s="9248"/>
      <c r="I16" s="9248"/>
      <c r="J16" s="9089"/>
      <c r="K16" s="9248"/>
      <c r="L16" s="9248"/>
      <c r="M16" s="9253"/>
      <c r="N16" s="9256"/>
      <c r="O16" s="9253"/>
      <c r="P16" s="8938"/>
      <c r="Q16" s="8938"/>
      <c r="R16" s="8958"/>
      <c r="S16" s="8560" t="s">
        <v>15</v>
      </c>
      <c r="T16" s="8423">
        <v>840103</v>
      </c>
      <c r="U16" s="8423"/>
      <c r="V16" s="8561" t="s">
        <v>671</v>
      </c>
      <c r="W16" s="8433"/>
      <c r="X16" s="8562"/>
      <c r="Y16" s="8419"/>
      <c r="Z16" s="8419"/>
      <c r="AA16" s="8419"/>
      <c r="AB16" s="8420">
        <f>AA17</f>
        <v>770.34</v>
      </c>
      <c r="AC16" s="8628" t="s">
        <v>673</v>
      </c>
      <c r="AD16" s="374"/>
      <c r="AE16" s="48"/>
      <c r="AF16" s="51"/>
      <c r="AG16" s="456"/>
      <c r="AH16" s="8984"/>
    </row>
    <row r="17" spans="1:34" ht="25.5" customHeight="1">
      <c r="A17" s="9099"/>
      <c r="B17" s="9308"/>
      <c r="C17" s="9282"/>
      <c r="D17" s="9249"/>
      <c r="E17" s="9249"/>
      <c r="F17" s="9249"/>
      <c r="G17" s="9249"/>
      <c r="H17" s="9249"/>
      <c r="I17" s="9249"/>
      <c r="J17" s="9260"/>
      <c r="K17" s="9249"/>
      <c r="L17" s="9249"/>
      <c r="M17" s="9254"/>
      <c r="N17" s="9265"/>
      <c r="O17" s="9254"/>
      <c r="P17" s="8939"/>
      <c r="Q17" s="8939"/>
      <c r="R17" s="8959"/>
      <c r="S17" s="8621"/>
      <c r="T17" s="8622"/>
      <c r="U17" s="8622"/>
      <c r="V17" s="8623" t="s">
        <v>672</v>
      </c>
      <c r="W17" s="8625">
        <v>1</v>
      </c>
      <c r="X17" s="8624" t="s">
        <v>479</v>
      </c>
      <c r="Y17" s="8632">
        <v>770.34</v>
      </c>
      <c r="Z17" s="8632">
        <f>Y17</f>
        <v>770.34</v>
      </c>
      <c r="AA17" s="8632">
        <f>Z17</f>
        <v>770.34</v>
      </c>
      <c r="AB17" s="8633"/>
      <c r="AC17" s="8630"/>
      <c r="AD17" s="376"/>
      <c r="AE17" s="64"/>
      <c r="AF17" s="65"/>
      <c r="AG17" s="65" t="s">
        <v>153</v>
      </c>
      <c r="AH17" s="8985"/>
    </row>
    <row r="18" spans="1:34" ht="31.5" customHeight="1">
      <c r="A18" s="9099"/>
      <c r="B18" s="9308"/>
      <c r="C18" s="9283" t="s">
        <v>127</v>
      </c>
      <c r="D18" s="8834" t="s">
        <v>128</v>
      </c>
      <c r="E18" s="8834" t="s">
        <v>129</v>
      </c>
      <c r="F18" s="8834" t="s">
        <v>508</v>
      </c>
      <c r="G18" s="8974" t="s">
        <v>131</v>
      </c>
      <c r="H18" s="8834" t="s">
        <v>132</v>
      </c>
      <c r="I18" s="8834" t="s">
        <v>133</v>
      </c>
      <c r="J18" s="9259" t="s">
        <v>674</v>
      </c>
      <c r="K18" s="8782" t="s">
        <v>675</v>
      </c>
      <c r="L18" s="8834" t="s">
        <v>676</v>
      </c>
      <c r="M18" s="9256">
        <v>0</v>
      </c>
      <c r="N18" s="9266">
        <v>25</v>
      </c>
      <c r="O18" s="9256">
        <v>0</v>
      </c>
      <c r="P18" s="9204" t="s">
        <v>677</v>
      </c>
      <c r="Q18" s="9262" t="s">
        <v>678</v>
      </c>
      <c r="R18" s="9263" t="s">
        <v>679</v>
      </c>
      <c r="S18" s="8560" t="s">
        <v>15</v>
      </c>
      <c r="T18" s="8423">
        <v>570102</v>
      </c>
      <c r="U18" s="8423"/>
      <c r="V18" s="8561" t="s">
        <v>680</v>
      </c>
      <c r="W18" s="8626"/>
      <c r="X18" s="8562"/>
      <c r="Y18" s="8411"/>
      <c r="Z18" s="8411"/>
      <c r="AA18" s="8411"/>
      <c r="AB18" s="8412">
        <f>AA19</f>
        <v>4000</v>
      </c>
      <c r="AC18" s="8631" t="s">
        <v>25</v>
      </c>
      <c r="AD18" s="398"/>
      <c r="AE18" s="53"/>
      <c r="AF18" s="68"/>
      <c r="AG18" s="68"/>
      <c r="AH18" s="9270" t="s">
        <v>681</v>
      </c>
    </row>
    <row r="19" spans="1:34" ht="31.5" customHeight="1">
      <c r="A19" s="9099"/>
      <c r="B19" s="9308"/>
      <c r="C19" s="9281"/>
      <c r="D19" s="9248"/>
      <c r="E19" s="9248"/>
      <c r="F19" s="9248"/>
      <c r="G19" s="9248"/>
      <c r="H19" s="9248"/>
      <c r="I19" s="9248"/>
      <c r="J19" s="9089"/>
      <c r="K19" s="9248"/>
      <c r="L19" s="9248"/>
      <c r="M19" s="9253"/>
      <c r="N19" s="9267"/>
      <c r="O19" s="9253"/>
      <c r="P19" s="8938"/>
      <c r="Q19" s="8938"/>
      <c r="R19" s="8958"/>
      <c r="S19" s="8565"/>
      <c r="T19" s="8566"/>
      <c r="U19" s="8566"/>
      <c r="V19" s="8555" t="s">
        <v>682</v>
      </c>
      <c r="W19" s="8433">
        <v>1</v>
      </c>
      <c r="X19" s="8556" t="s">
        <v>479</v>
      </c>
      <c r="Y19" s="8419">
        <v>4000</v>
      </c>
      <c r="Z19" s="8419">
        <f>Y19</f>
        <v>4000</v>
      </c>
      <c r="AA19" s="8419">
        <f>Z19</f>
        <v>4000</v>
      </c>
      <c r="AB19" s="8558"/>
      <c r="AC19" s="8559"/>
      <c r="AD19" s="399"/>
      <c r="AE19" s="48"/>
      <c r="AF19" s="48"/>
      <c r="AG19" s="69" t="s">
        <v>153</v>
      </c>
      <c r="AH19" s="8984"/>
    </row>
    <row r="20" spans="1:34" ht="31.5" customHeight="1">
      <c r="A20" s="9099"/>
      <c r="B20" s="9308"/>
      <c r="C20" s="9281"/>
      <c r="D20" s="9248"/>
      <c r="E20" s="9248"/>
      <c r="F20" s="9248"/>
      <c r="G20" s="9248"/>
      <c r="H20" s="9248"/>
      <c r="I20" s="9248"/>
      <c r="J20" s="9089"/>
      <c r="K20" s="9248"/>
      <c r="L20" s="9248"/>
      <c r="M20" s="9253"/>
      <c r="N20" s="9267"/>
      <c r="O20" s="9253"/>
      <c r="P20" s="8938"/>
      <c r="Q20" s="8938"/>
      <c r="R20" s="8958"/>
      <c r="S20" s="46"/>
      <c r="T20" s="4853"/>
      <c r="U20" s="4853"/>
      <c r="V20" s="48"/>
      <c r="W20" s="48"/>
      <c r="X20" s="48"/>
      <c r="Y20" s="133"/>
      <c r="Z20" s="133"/>
      <c r="AA20" s="133"/>
      <c r="AB20" s="6275"/>
      <c r="AC20" s="4880"/>
      <c r="AD20" s="399"/>
      <c r="AE20" s="48"/>
      <c r="AF20" s="48"/>
      <c r="AG20" s="51"/>
      <c r="AH20" s="8984"/>
    </row>
    <row r="21" spans="1:34" ht="31.5" customHeight="1">
      <c r="A21" s="9099"/>
      <c r="B21" s="9308"/>
      <c r="C21" s="9281"/>
      <c r="D21" s="9248"/>
      <c r="E21" s="9248"/>
      <c r="F21" s="9248"/>
      <c r="G21" s="9248"/>
      <c r="H21" s="9248"/>
      <c r="I21" s="9248"/>
      <c r="J21" s="9089"/>
      <c r="K21" s="9248"/>
      <c r="L21" s="9248"/>
      <c r="M21" s="9253"/>
      <c r="N21" s="9267"/>
      <c r="O21" s="9253"/>
      <c r="P21" s="8938"/>
      <c r="Q21" s="8938"/>
      <c r="R21" s="8958"/>
      <c r="S21" s="46"/>
      <c r="T21" s="4853"/>
      <c r="U21" s="4853"/>
      <c r="V21" s="48"/>
      <c r="W21" s="48"/>
      <c r="X21" s="48"/>
      <c r="Y21" s="133"/>
      <c r="Z21" s="133"/>
      <c r="AA21" s="133"/>
      <c r="AB21" s="6275"/>
      <c r="AC21" s="4880"/>
      <c r="AD21" s="399"/>
      <c r="AE21" s="48"/>
      <c r="AF21" s="48"/>
      <c r="AG21" s="51"/>
      <c r="AH21" s="8984"/>
    </row>
    <row r="22" spans="1:34" ht="31.5" customHeight="1">
      <c r="A22" s="9099"/>
      <c r="B22" s="9308"/>
      <c r="C22" s="9282"/>
      <c r="D22" s="9249"/>
      <c r="E22" s="9249"/>
      <c r="F22" s="9249"/>
      <c r="G22" s="9249"/>
      <c r="H22" s="9249"/>
      <c r="I22" s="9249"/>
      <c r="J22" s="9260"/>
      <c r="K22" s="9249"/>
      <c r="L22" s="9249"/>
      <c r="M22" s="9254"/>
      <c r="N22" s="9268"/>
      <c r="O22" s="9254"/>
      <c r="P22" s="8939"/>
      <c r="Q22" s="8939"/>
      <c r="R22" s="8959"/>
      <c r="S22" s="70"/>
      <c r="T22" s="4855"/>
      <c r="U22" s="4855"/>
      <c r="V22" s="64"/>
      <c r="W22" s="64"/>
      <c r="X22" s="64"/>
      <c r="Y22" s="134"/>
      <c r="Z22" s="134"/>
      <c r="AA22" s="134"/>
      <c r="AB22" s="6276"/>
      <c r="AC22" s="4882"/>
      <c r="AD22" s="400"/>
      <c r="AE22" s="64"/>
      <c r="AF22" s="64"/>
      <c r="AG22" s="65"/>
      <c r="AH22" s="8985"/>
    </row>
    <row r="23" spans="1:34" ht="48.75" customHeight="1">
      <c r="A23" s="9099"/>
      <c r="B23" s="9308"/>
      <c r="C23" s="9280" t="s">
        <v>127</v>
      </c>
      <c r="D23" s="8782" t="s">
        <v>128</v>
      </c>
      <c r="E23" s="8782" t="s">
        <v>129</v>
      </c>
      <c r="F23" s="8782" t="s">
        <v>268</v>
      </c>
      <c r="G23" s="8977" t="s">
        <v>131</v>
      </c>
      <c r="H23" s="8782" t="s">
        <v>132</v>
      </c>
      <c r="I23" s="8782" t="s">
        <v>214</v>
      </c>
      <c r="J23" s="9259" t="s">
        <v>683</v>
      </c>
      <c r="K23" s="8782" t="s">
        <v>684</v>
      </c>
      <c r="L23" s="8782" t="s">
        <v>685</v>
      </c>
      <c r="M23" s="9252">
        <v>1</v>
      </c>
      <c r="N23" s="9252">
        <v>0</v>
      </c>
      <c r="O23" s="9252">
        <v>0</v>
      </c>
      <c r="P23" s="8956" t="s">
        <v>686</v>
      </c>
      <c r="Q23" s="8860" t="s">
        <v>687</v>
      </c>
      <c r="R23" s="8957" t="s">
        <v>688</v>
      </c>
      <c r="S23" s="75"/>
      <c r="T23" s="4849"/>
      <c r="U23" s="6258"/>
      <c r="V23" s="451"/>
      <c r="W23" s="53"/>
      <c r="X23" s="53"/>
      <c r="Y23" s="54"/>
      <c r="Z23" s="54"/>
      <c r="AA23" s="54"/>
      <c r="AB23" s="4918"/>
      <c r="AC23" s="6272"/>
      <c r="AD23" s="377"/>
      <c r="AE23" s="53"/>
      <c r="AF23" s="73"/>
      <c r="AG23" s="73"/>
      <c r="AH23" s="9271" t="s">
        <v>689</v>
      </c>
    </row>
    <row r="24" spans="1:34" ht="48.75" customHeight="1">
      <c r="A24" s="9099"/>
      <c r="B24" s="9308"/>
      <c r="C24" s="9281"/>
      <c r="D24" s="9248"/>
      <c r="E24" s="9248"/>
      <c r="F24" s="9248"/>
      <c r="G24" s="9248"/>
      <c r="H24" s="9248"/>
      <c r="I24" s="9248"/>
      <c r="J24" s="9089"/>
      <c r="K24" s="9248"/>
      <c r="L24" s="9248"/>
      <c r="M24" s="9253"/>
      <c r="N24" s="9256"/>
      <c r="O24" s="9253"/>
      <c r="P24" s="8938"/>
      <c r="Q24" s="8938"/>
      <c r="R24" s="8958"/>
      <c r="S24" s="452"/>
      <c r="T24" s="6259"/>
      <c r="U24" s="5681"/>
      <c r="V24" s="5627"/>
      <c r="W24" s="469"/>
      <c r="X24" s="48"/>
      <c r="Y24" s="49"/>
      <c r="Z24" s="133"/>
      <c r="AA24" s="133"/>
      <c r="AB24" s="4911"/>
      <c r="AC24" s="6273"/>
      <c r="AD24" s="374"/>
      <c r="AE24" s="48"/>
      <c r="AF24" s="51"/>
      <c r="AG24" s="51"/>
      <c r="AH24" s="8984"/>
    </row>
    <row r="25" spans="1:34" ht="48.75" customHeight="1">
      <c r="A25" s="9099"/>
      <c r="B25" s="9308"/>
      <c r="C25" s="9281"/>
      <c r="D25" s="9248"/>
      <c r="E25" s="9248"/>
      <c r="F25" s="9248"/>
      <c r="G25" s="9248"/>
      <c r="H25" s="9248"/>
      <c r="I25" s="9248"/>
      <c r="J25" s="9089"/>
      <c r="K25" s="9248"/>
      <c r="L25" s="9248"/>
      <c r="M25" s="9253"/>
      <c r="N25" s="9256"/>
      <c r="O25" s="9253"/>
      <c r="P25" s="8938"/>
      <c r="Q25" s="8938"/>
      <c r="R25" s="8958"/>
      <c r="S25" s="46"/>
      <c r="T25" s="4853"/>
      <c r="U25" s="4860"/>
      <c r="V25" s="52"/>
      <c r="W25" s="48"/>
      <c r="X25" s="48"/>
      <c r="Y25" s="49"/>
      <c r="Z25" s="49"/>
      <c r="AA25" s="49"/>
      <c r="AB25" s="4911"/>
      <c r="AC25" s="6273"/>
      <c r="AD25" s="374"/>
      <c r="AE25" s="48"/>
      <c r="AF25" s="51"/>
      <c r="AG25" s="51"/>
      <c r="AH25" s="8984"/>
    </row>
    <row r="26" spans="1:34" ht="48.75" customHeight="1" thickBot="1">
      <c r="A26" s="9148"/>
      <c r="B26" s="9309"/>
      <c r="C26" s="9281"/>
      <c r="D26" s="9248"/>
      <c r="E26" s="9248"/>
      <c r="F26" s="9248"/>
      <c r="G26" s="9248"/>
      <c r="H26" s="9248"/>
      <c r="I26" s="9248"/>
      <c r="J26" s="9089"/>
      <c r="K26" s="9248"/>
      <c r="L26" s="9248"/>
      <c r="M26" s="9253"/>
      <c r="N26" s="9256"/>
      <c r="O26" s="9253"/>
      <c r="P26" s="8938"/>
      <c r="Q26" s="8938"/>
      <c r="R26" s="8958"/>
      <c r="S26" s="46"/>
      <c r="T26" s="4853"/>
      <c r="U26" s="4853"/>
      <c r="V26" s="47"/>
      <c r="W26" s="48"/>
      <c r="X26" s="48"/>
      <c r="Y26" s="49"/>
      <c r="Z26" s="49"/>
      <c r="AA26" s="49"/>
      <c r="AB26" s="4911"/>
      <c r="AC26" s="6273"/>
      <c r="AD26" s="374"/>
      <c r="AE26" s="48"/>
      <c r="AF26" s="51"/>
      <c r="AG26" s="51"/>
      <c r="AH26" s="8984"/>
    </row>
    <row r="27" spans="1:34" ht="48.75" customHeight="1">
      <c r="A27" s="9237" t="s">
        <v>662</v>
      </c>
      <c r="B27" s="9307" t="s">
        <v>662</v>
      </c>
      <c r="C27" s="9282"/>
      <c r="D27" s="9249"/>
      <c r="E27" s="9249"/>
      <c r="F27" s="9249"/>
      <c r="G27" s="9249"/>
      <c r="H27" s="9249"/>
      <c r="I27" s="9249"/>
      <c r="J27" s="9260"/>
      <c r="K27" s="9249"/>
      <c r="L27" s="9249"/>
      <c r="M27" s="9254"/>
      <c r="N27" s="9265"/>
      <c r="O27" s="9254"/>
      <c r="P27" s="8939"/>
      <c r="Q27" s="8939"/>
      <c r="R27" s="8959"/>
      <c r="S27" s="70"/>
      <c r="T27" s="4855"/>
      <c r="U27" s="4856"/>
      <c r="V27" s="457"/>
      <c r="W27" s="453"/>
      <c r="X27" s="453"/>
      <c r="Y27" s="454"/>
      <c r="Z27" s="72"/>
      <c r="AA27" s="72"/>
      <c r="AB27" s="4913"/>
      <c r="AC27" s="6277"/>
      <c r="AD27" s="375"/>
      <c r="AE27" s="453"/>
      <c r="AF27" s="456"/>
      <c r="AG27" s="456"/>
      <c r="AH27" s="8985"/>
    </row>
    <row r="28" spans="1:34" ht="36.75" customHeight="1">
      <c r="A28" s="9099"/>
      <c r="B28" s="9308"/>
      <c r="C28" s="9280" t="s">
        <v>127</v>
      </c>
      <c r="D28" s="8782" t="s">
        <v>128</v>
      </c>
      <c r="E28" s="8782" t="s">
        <v>129</v>
      </c>
      <c r="F28" s="8782" t="s">
        <v>268</v>
      </c>
      <c r="G28" s="8977" t="s">
        <v>131</v>
      </c>
      <c r="H28" s="8782" t="s">
        <v>132</v>
      </c>
      <c r="I28" s="8782" t="s">
        <v>214</v>
      </c>
      <c r="J28" s="9225" t="s">
        <v>690</v>
      </c>
      <c r="K28" s="9258" t="s">
        <v>691</v>
      </c>
      <c r="L28" s="8782" t="s">
        <v>692</v>
      </c>
      <c r="M28" s="9252">
        <v>1</v>
      </c>
      <c r="N28" s="9252">
        <v>0</v>
      </c>
      <c r="O28" s="9252">
        <v>0</v>
      </c>
      <c r="P28" s="8956" t="s">
        <v>693</v>
      </c>
      <c r="Q28" s="9255" t="s">
        <v>694</v>
      </c>
      <c r="R28" s="8957" t="s">
        <v>688</v>
      </c>
      <c r="S28" s="459"/>
      <c r="T28" s="4849"/>
      <c r="U28" s="4849"/>
      <c r="V28" s="135"/>
      <c r="W28" s="76"/>
      <c r="X28" s="76"/>
      <c r="Y28" s="77"/>
      <c r="Z28" s="54"/>
      <c r="AA28" s="54"/>
      <c r="AB28" s="4923"/>
      <c r="AC28" s="6278"/>
      <c r="AD28" s="378"/>
      <c r="AE28" s="76"/>
      <c r="AF28" s="79"/>
      <c r="AG28" s="79"/>
      <c r="AH28" s="9269"/>
    </row>
    <row r="29" spans="1:34" ht="36.75" customHeight="1">
      <c r="A29" s="9099"/>
      <c r="B29" s="9308"/>
      <c r="C29" s="9281"/>
      <c r="D29" s="9248"/>
      <c r="E29" s="9248"/>
      <c r="F29" s="9248"/>
      <c r="G29" s="9248"/>
      <c r="H29" s="9248"/>
      <c r="I29" s="9248"/>
      <c r="J29" s="9250"/>
      <c r="K29" s="9248"/>
      <c r="L29" s="9248"/>
      <c r="M29" s="9253"/>
      <c r="N29" s="9256"/>
      <c r="O29" s="9253"/>
      <c r="P29" s="8938"/>
      <c r="Q29" s="8938"/>
      <c r="R29" s="8958"/>
      <c r="S29" s="46"/>
      <c r="T29" s="4853"/>
      <c r="U29" s="4853"/>
      <c r="V29" s="47"/>
      <c r="W29" s="48"/>
      <c r="X29" s="48"/>
      <c r="Y29" s="49"/>
      <c r="Z29" s="49"/>
      <c r="AA29" s="49"/>
      <c r="AB29" s="4911"/>
      <c r="AC29" s="6273"/>
      <c r="AD29" s="374"/>
      <c r="AE29" s="48"/>
      <c r="AF29" s="51"/>
      <c r="AG29" s="51"/>
      <c r="AH29" s="8984"/>
    </row>
    <row r="30" spans="1:34" ht="36.75" customHeight="1">
      <c r="A30" s="9099"/>
      <c r="B30" s="9308"/>
      <c r="C30" s="9281"/>
      <c r="D30" s="9248"/>
      <c r="E30" s="9248"/>
      <c r="F30" s="9248"/>
      <c r="G30" s="9248"/>
      <c r="H30" s="9248"/>
      <c r="I30" s="9248"/>
      <c r="J30" s="9250"/>
      <c r="K30" s="9248"/>
      <c r="L30" s="9248"/>
      <c r="M30" s="9253"/>
      <c r="N30" s="9256"/>
      <c r="O30" s="9253"/>
      <c r="P30" s="8938"/>
      <c r="Q30" s="8938"/>
      <c r="R30" s="8958"/>
      <c r="S30" s="46"/>
      <c r="T30" s="4853"/>
      <c r="U30" s="4853"/>
      <c r="V30" s="47"/>
      <c r="W30" s="48"/>
      <c r="X30" s="48"/>
      <c r="Y30" s="49"/>
      <c r="Z30" s="49"/>
      <c r="AA30" s="49"/>
      <c r="AB30" s="4911"/>
      <c r="AC30" s="6273"/>
      <c r="AD30" s="374"/>
      <c r="AE30" s="48"/>
      <c r="AF30" s="51"/>
      <c r="AG30" s="51"/>
      <c r="AH30" s="8984"/>
    </row>
    <row r="31" spans="1:34" ht="36.75" customHeight="1">
      <c r="A31" s="9099"/>
      <c r="B31" s="9308"/>
      <c r="C31" s="9281"/>
      <c r="D31" s="9248"/>
      <c r="E31" s="9248"/>
      <c r="F31" s="9248"/>
      <c r="G31" s="9248"/>
      <c r="H31" s="9248"/>
      <c r="I31" s="9248"/>
      <c r="J31" s="9250"/>
      <c r="K31" s="9248"/>
      <c r="L31" s="9248"/>
      <c r="M31" s="9253"/>
      <c r="N31" s="9256"/>
      <c r="O31" s="9253"/>
      <c r="P31" s="8938"/>
      <c r="Q31" s="8938"/>
      <c r="R31" s="8958"/>
      <c r="S31" s="46"/>
      <c r="T31" s="4853"/>
      <c r="U31" s="4853"/>
      <c r="V31" s="47"/>
      <c r="W31" s="48"/>
      <c r="X31" s="48"/>
      <c r="Y31" s="49"/>
      <c r="Z31" s="49"/>
      <c r="AA31" s="49"/>
      <c r="AB31" s="4911"/>
      <c r="AC31" s="6273"/>
      <c r="AD31" s="374"/>
      <c r="AE31" s="48"/>
      <c r="AF31" s="51"/>
      <c r="AG31" s="51"/>
      <c r="AH31" s="8984"/>
    </row>
    <row r="32" spans="1:34" ht="36.75" customHeight="1">
      <c r="A32" s="9099"/>
      <c r="B32" s="9308"/>
      <c r="C32" s="9282"/>
      <c r="D32" s="9249"/>
      <c r="E32" s="9249"/>
      <c r="F32" s="9249"/>
      <c r="G32" s="9249"/>
      <c r="H32" s="9249"/>
      <c r="I32" s="9249"/>
      <c r="J32" s="9251"/>
      <c r="K32" s="9249"/>
      <c r="L32" s="9249"/>
      <c r="M32" s="9254"/>
      <c r="N32" s="9265"/>
      <c r="O32" s="9254"/>
      <c r="P32" s="8939"/>
      <c r="Q32" s="8939"/>
      <c r="R32" s="8959"/>
      <c r="S32" s="70"/>
      <c r="T32" s="4855"/>
      <c r="U32" s="4855"/>
      <c r="V32" s="71"/>
      <c r="W32" s="64"/>
      <c r="X32" s="64"/>
      <c r="Y32" s="72"/>
      <c r="Z32" s="72"/>
      <c r="AA32" s="72"/>
      <c r="AB32" s="4916"/>
      <c r="AC32" s="6279"/>
      <c r="AD32" s="376"/>
      <c r="AE32" s="64"/>
      <c r="AF32" s="65"/>
      <c r="AG32" s="65"/>
      <c r="AH32" s="8985"/>
    </row>
    <row r="33" spans="1:34" ht="40.5" customHeight="1">
      <c r="A33" s="9099"/>
      <c r="B33" s="9308"/>
      <c r="C33" s="9280" t="s">
        <v>127</v>
      </c>
      <c r="D33" s="8782" t="s">
        <v>128</v>
      </c>
      <c r="E33" s="8782" t="s">
        <v>140</v>
      </c>
      <c r="F33" s="8782" t="s">
        <v>284</v>
      </c>
      <c r="G33" s="8977" t="s">
        <v>131</v>
      </c>
      <c r="H33" s="8782" t="s">
        <v>132</v>
      </c>
      <c r="I33" s="8782" t="s">
        <v>214</v>
      </c>
      <c r="J33" s="9225" t="s">
        <v>695</v>
      </c>
      <c r="K33" s="9258" t="s">
        <v>696</v>
      </c>
      <c r="L33" s="8782" t="s">
        <v>697</v>
      </c>
      <c r="M33" s="9252">
        <v>1</v>
      </c>
      <c r="N33" s="9252">
        <v>1</v>
      </c>
      <c r="O33" s="9252">
        <v>2</v>
      </c>
      <c r="P33" s="8956" t="s">
        <v>698</v>
      </c>
      <c r="Q33" s="8860" t="s">
        <v>699</v>
      </c>
      <c r="R33" s="8957" t="s">
        <v>700</v>
      </c>
      <c r="S33" s="459"/>
      <c r="T33" s="4849"/>
      <c r="U33" s="4849"/>
      <c r="V33" s="135"/>
      <c r="W33" s="76"/>
      <c r="X33" s="76"/>
      <c r="Y33" s="77"/>
      <c r="Z33" s="54"/>
      <c r="AA33" s="54"/>
      <c r="AB33" s="4923"/>
      <c r="AC33" s="6278"/>
      <c r="AD33" s="378"/>
      <c r="AE33" s="76"/>
      <c r="AF33" s="79"/>
      <c r="AG33" s="79"/>
      <c r="AH33" s="9272" t="s">
        <v>701</v>
      </c>
    </row>
    <row r="34" spans="1:34" ht="40.5" customHeight="1">
      <c r="A34" s="9099"/>
      <c r="B34" s="9308"/>
      <c r="C34" s="9281"/>
      <c r="D34" s="9248"/>
      <c r="E34" s="9248"/>
      <c r="F34" s="9248"/>
      <c r="G34" s="9248"/>
      <c r="H34" s="9248"/>
      <c r="I34" s="9248"/>
      <c r="J34" s="9250"/>
      <c r="K34" s="9248"/>
      <c r="L34" s="9248"/>
      <c r="M34" s="9253"/>
      <c r="N34" s="9256"/>
      <c r="O34" s="9253"/>
      <c r="P34" s="8938"/>
      <c r="Q34" s="8938"/>
      <c r="R34" s="8958"/>
      <c r="S34" s="46"/>
      <c r="T34" s="4853"/>
      <c r="U34" s="4853"/>
      <c r="V34" s="47"/>
      <c r="W34" s="48"/>
      <c r="X34" s="48"/>
      <c r="Y34" s="49"/>
      <c r="Z34" s="49"/>
      <c r="AA34" s="49"/>
      <c r="AB34" s="4911"/>
      <c r="AC34" s="6273"/>
      <c r="AD34" s="374"/>
      <c r="AE34" s="48"/>
      <c r="AF34" s="51"/>
      <c r="AG34" s="51"/>
      <c r="AH34" s="8984"/>
    </row>
    <row r="35" spans="1:34" ht="40.5" customHeight="1">
      <c r="A35" s="9099"/>
      <c r="B35" s="9308"/>
      <c r="C35" s="9281"/>
      <c r="D35" s="9248"/>
      <c r="E35" s="9248"/>
      <c r="F35" s="9248"/>
      <c r="G35" s="9248"/>
      <c r="H35" s="9248"/>
      <c r="I35" s="9248"/>
      <c r="J35" s="9250"/>
      <c r="K35" s="9248"/>
      <c r="L35" s="9248"/>
      <c r="M35" s="9253"/>
      <c r="N35" s="9256"/>
      <c r="O35" s="9253"/>
      <c r="P35" s="8938"/>
      <c r="Q35" s="8938"/>
      <c r="R35" s="8958"/>
      <c r="S35" s="46"/>
      <c r="T35" s="4853"/>
      <c r="U35" s="4853"/>
      <c r="V35" s="47"/>
      <c r="W35" s="48"/>
      <c r="X35" s="48"/>
      <c r="Y35" s="49"/>
      <c r="Z35" s="49"/>
      <c r="AA35" s="49"/>
      <c r="AB35" s="4911"/>
      <c r="AC35" s="6273"/>
      <c r="AD35" s="374"/>
      <c r="AE35" s="48"/>
      <c r="AF35" s="51"/>
      <c r="AG35" s="51"/>
      <c r="AH35" s="8984"/>
    </row>
    <row r="36" spans="1:34" ht="40.5" customHeight="1">
      <c r="A36" s="9099"/>
      <c r="B36" s="9308"/>
      <c r="C36" s="9281"/>
      <c r="D36" s="9248"/>
      <c r="E36" s="9248"/>
      <c r="F36" s="9248"/>
      <c r="G36" s="9248"/>
      <c r="H36" s="9248"/>
      <c r="I36" s="9248"/>
      <c r="J36" s="9250"/>
      <c r="K36" s="9248"/>
      <c r="L36" s="9248"/>
      <c r="M36" s="9253"/>
      <c r="N36" s="9256"/>
      <c r="O36" s="9253"/>
      <c r="P36" s="8938"/>
      <c r="Q36" s="8938"/>
      <c r="R36" s="8958"/>
      <c r="S36" s="46"/>
      <c r="T36" s="4853"/>
      <c r="U36" s="4853"/>
      <c r="V36" s="47"/>
      <c r="W36" s="48"/>
      <c r="X36" s="48"/>
      <c r="Y36" s="49"/>
      <c r="Z36" s="49"/>
      <c r="AA36" s="49"/>
      <c r="AB36" s="4911"/>
      <c r="AC36" s="6273"/>
      <c r="AD36" s="374"/>
      <c r="AE36" s="48"/>
      <c r="AF36" s="51"/>
      <c r="AG36" s="51"/>
      <c r="AH36" s="8984"/>
    </row>
    <row r="37" spans="1:34" ht="40.5" customHeight="1">
      <c r="A37" s="9099"/>
      <c r="B37" s="9308"/>
      <c r="C37" s="9282"/>
      <c r="D37" s="9249"/>
      <c r="E37" s="9249"/>
      <c r="F37" s="9249"/>
      <c r="G37" s="9249"/>
      <c r="H37" s="9249"/>
      <c r="I37" s="9249"/>
      <c r="J37" s="9251"/>
      <c r="K37" s="9249"/>
      <c r="L37" s="9249"/>
      <c r="M37" s="9254"/>
      <c r="N37" s="9265"/>
      <c r="O37" s="9254"/>
      <c r="P37" s="8939"/>
      <c r="Q37" s="8939"/>
      <c r="R37" s="8959"/>
      <c r="S37" s="70"/>
      <c r="T37" s="4855"/>
      <c r="U37" s="4855"/>
      <c r="V37" s="71"/>
      <c r="W37" s="64"/>
      <c r="X37" s="64"/>
      <c r="Y37" s="72"/>
      <c r="Z37" s="72"/>
      <c r="AA37" s="72"/>
      <c r="AB37" s="4916"/>
      <c r="AC37" s="6279"/>
      <c r="AD37" s="376"/>
      <c r="AE37" s="64"/>
      <c r="AF37" s="65"/>
      <c r="AG37" s="65"/>
      <c r="AH37" s="8985"/>
    </row>
    <row r="38" spans="1:34" ht="33.75" customHeight="1">
      <c r="A38" s="9099"/>
      <c r="B38" s="9308"/>
      <c r="C38" s="9283" t="s">
        <v>127</v>
      </c>
      <c r="D38" s="8834" t="s">
        <v>128</v>
      </c>
      <c r="E38" s="8834" t="s">
        <v>140</v>
      </c>
      <c r="F38" s="8834" t="s">
        <v>238</v>
      </c>
      <c r="G38" s="8974" t="s">
        <v>131</v>
      </c>
      <c r="H38" s="8834" t="s">
        <v>132</v>
      </c>
      <c r="I38" s="8834" t="s">
        <v>214</v>
      </c>
      <c r="J38" s="9228" t="s">
        <v>702</v>
      </c>
      <c r="K38" s="8782" t="s">
        <v>703</v>
      </c>
      <c r="L38" s="8834" t="s">
        <v>704</v>
      </c>
      <c r="M38" s="9256">
        <v>0</v>
      </c>
      <c r="N38" s="9252">
        <v>3</v>
      </c>
      <c r="O38" s="9256">
        <v>0</v>
      </c>
      <c r="P38" s="9204" t="s">
        <v>705</v>
      </c>
      <c r="Q38" s="9257" t="s">
        <v>706</v>
      </c>
      <c r="R38" s="8982" t="s">
        <v>700</v>
      </c>
      <c r="S38" s="459"/>
      <c r="T38" s="4849"/>
      <c r="U38" s="4849"/>
      <c r="V38" s="66"/>
      <c r="W38" s="53"/>
      <c r="X38" s="53"/>
      <c r="Y38" s="54"/>
      <c r="Z38" s="54"/>
      <c r="AA38" s="54"/>
      <c r="AB38" s="4918"/>
      <c r="AC38" s="6272"/>
      <c r="AD38" s="377"/>
      <c r="AE38" s="53"/>
      <c r="AF38" s="73"/>
      <c r="AG38" s="73"/>
      <c r="AH38" s="8987" t="s">
        <v>707</v>
      </c>
    </row>
    <row r="39" spans="1:34" ht="33.75" customHeight="1">
      <c r="A39" s="9099"/>
      <c r="B39" s="9308"/>
      <c r="C39" s="9281"/>
      <c r="D39" s="9248"/>
      <c r="E39" s="9248"/>
      <c r="F39" s="9248"/>
      <c r="G39" s="9248"/>
      <c r="H39" s="9248"/>
      <c r="I39" s="9248"/>
      <c r="J39" s="9250"/>
      <c r="K39" s="9248"/>
      <c r="L39" s="9248"/>
      <c r="M39" s="9253"/>
      <c r="N39" s="9256"/>
      <c r="O39" s="9253"/>
      <c r="P39" s="8938"/>
      <c r="Q39" s="8938"/>
      <c r="R39" s="8958"/>
      <c r="S39" s="46"/>
      <c r="T39" s="4853"/>
      <c r="U39" s="4853"/>
      <c r="V39" s="47"/>
      <c r="W39" s="48"/>
      <c r="X39" s="48"/>
      <c r="Y39" s="49"/>
      <c r="Z39" s="49"/>
      <c r="AA39" s="49"/>
      <c r="AB39" s="4911"/>
      <c r="AC39" s="6273"/>
      <c r="AD39" s="374"/>
      <c r="AE39" s="48"/>
      <c r="AF39" s="51"/>
      <c r="AG39" s="51"/>
      <c r="AH39" s="8984"/>
    </row>
    <row r="40" spans="1:34" ht="33.75" customHeight="1">
      <c r="A40" s="9099"/>
      <c r="B40" s="9308"/>
      <c r="C40" s="9281"/>
      <c r="D40" s="9248"/>
      <c r="E40" s="9248"/>
      <c r="F40" s="9248"/>
      <c r="G40" s="9248"/>
      <c r="H40" s="9248"/>
      <c r="I40" s="9248"/>
      <c r="J40" s="9250"/>
      <c r="K40" s="9248"/>
      <c r="L40" s="9248"/>
      <c r="M40" s="9253"/>
      <c r="N40" s="9256"/>
      <c r="O40" s="9253"/>
      <c r="P40" s="8938"/>
      <c r="Q40" s="8938"/>
      <c r="R40" s="8958"/>
      <c r="S40" s="452"/>
      <c r="T40" s="4860"/>
      <c r="U40" s="4860"/>
      <c r="V40" s="52"/>
      <c r="W40" s="53"/>
      <c r="X40" s="53"/>
      <c r="Y40" s="54"/>
      <c r="Z40" s="49"/>
      <c r="AA40" s="49"/>
      <c r="AB40" s="4911"/>
      <c r="AC40" s="6273"/>
      <c r="AD40" s="374"/>
      <c r="AE40" s="48"/>
      <c r="AF40" s="51"/>
      <c r="AG40" s="51"/>
      <c r="AH40" s="8984"/>
    </row>
    <row r="41" spans="1:34" ht="33.75" customHeight="1">
      <c r="A41" s="9099"/>
      <c r="B41" s="9308"/>
      <c r="C41" s="9281"/>
      <c r="D41" s="9248"/>
      <c r="E41" s="9248"/>
      <c r="F41" s="9248"/>
      <c r="G41" s="9248"/>
      <c r="H41" s="9248"/>
      <c r="I41" s="9248"/>
      <c r="J41" s="9250"/>
      <c r="K41" s="9248"/>
      <c r="L41" s="9248"/>
      <c r="M41" s="9253"/>
      <c r="N41" s="9256"/>
      <c r="O41" s="9253"/>
      <c r="P41" s="8938"/>
      <c r="Q41" s="8938"/>
      <c r="R41" s="8958"/>
      <c r="S41" s="459"/>
      <c r="T41" s="4849"/>
      <c r="U41" s="4849"/>
      <c r="V41" s="52"/>
      <c r="W41" s="53"/>
      <c r="X41" s="53"/>
      <c r="Y41" s="54"/>
      <c r="Z41" s="49"/>
      <c r="AA41" s="49"/>
      <c r="AB41" s="4911"/>
      <c r="AC41" s="6273"/>
      <c r="AD41" s="374"/>
      <c r="AE41" s="48"/>
      <c r="AF41" s="51"/>
      <c r="AG41" s="51"/>
      <c r="AH41" s="8984"/>
    </row>
    <row r="42" spans="1:34" ht="33.75" customHeight="1" thickBot="1">
      <c r="A42" s="9099"/>
      <c r="B42" s="9308"/>
      <c r="C42" s="9282"/>
      <c r="D42" s="9249"/>
      <c r="E42" s="9249"/>
      <c r="F42" s="9249"/>
      <c r="G42" s="9249"/>
      <c r="H42" s="9249"/>
      <c r="I42" s="9249"/>
      <c r="J42" s="9251"/>
      <c r="K42" s="9249"/>
      <c r="L42" s="9249"/>
      <c r="M42" s="9254"/>
      <c r="N42" s="9265"/>
      <c r="O42" s="9254"/>
      <c r="P42" s="8939"/>
      <c r="Q42" s="8939"/>
      <c r="R42" s="8959"/>
      <c r="S42" s="70"/>
      <c r="T42" s="4855"/>
      <c r="U42" s="4855"/>
      <c r="V42" s="71"/>
      <c r="W42" s="64"/>
      <c r="X42" s="64"/>
      <c r="Y42" s="72"/>
      <c r="Z42" s="72"/>
      <c r="AA42" s="72"/>
      <c r="AB42" s="4916"/>
      <c r="AC42" s="6279"/>
      <c r="AD42" s="376"/>
      <c r="AE42" s="64"/>
      <c r="AF42" s="65"/>
      <c r="AG42" s="65"/>
      <c r="AH42" s="8985"/>
    </row>
    <row r="43" spans="1:34" ht="61.5" customHeight="1">
      <c r="A43" s="9237" t="s">
        <v>662</v>
      </c>
      <c r="B43" s="9307" t="s">
        <v>662</v>
      </c>
      <c r="C43" s="9283" t="s">
        <v>127</v>
      </c>
      <c r="D43" s="8834" t="s">
        <v>128</v>
      </c>
      <c r="E43" s="8834" t="s">
        <v>140</v>
      </c>
      <c r="F43" s="8834" t="s">
        <v>212</v>
      </c>
      <c r="G43" s="8974" t="s">
        <v>131</v>
      </c>
      <c r="H43" s="8834" t="s">
        <v>132</v>
      </c>
      <c r="I43" s="8834" t="s">
        <v>133</v>
      </c>
      <c r="J43" s="9259" t="s">
        <v>708</v>
      </c>
      <c r="K43" s="8782" t="s">
        <v>709</v>
      </c>
      <c r="L43" s="8834" t="s">
        <v>710</v>
      </c>
      <c r="M43" s="9256">
        <v>4</v>
      </c>
      <c r="N43" s="9252">
        <v>0</v>
      </c>
      <c r="O43" s="9256">
        <v>0</v>
      </c>
      <c r="P43" s="8981" t="s">
        <v>711</v>
      </c>
      <c r="Q43" s="9257" t="s">
        <v>712</v>
      </c>
      <c r="R43" s="8982" t="s">
        <v>713</v>
      </c>
      <c r="S43" s="459"/>
      <c r="T43" s="4849"/>
      <c r="U43" s="4849"/>
      <c r="V43" s="66"/>
      <c r="W43" s="53"/>
      <c r="X43" s="53"/>
      <c r="Y43" s="54"/>
      <c r="Z43" s="54"/>
      <c r="AA43" s="54"/>
      <c r="AB43" s="4918"/>
      <c r="AC43" s="6272"/>
      <c r="AD43" s="377"/>
      <c r="AE43" s="53"/>
      <c r="AF43" s="68"/>
      <c r="AG43" s="68"/>
      <c r="AH43" s="8987"/>
    </row>
    <row r="44" spans="1:34" ht="61.5" customHeight="1">
      <c r="A44" s="9099"/>
      <c r="B44" s="9308"/>
      <c r="C44" s="9281"/>
      <c r="D44" s="9248"/>
      <c r="E44" s="9248"/>
      <c r="F44" s="9248"/>
      <c r="G44" s="9248"/>
      <c r="H44" s="9248"/>
      <c r="I44" s="9248"/>
      <c r="J44" s="9089"/>
      <c r="K44" s="9248"/>
      <c r="L44" s="9248"/>
      <c r="M44" s="9253"/>
      <c r="N44" s="9253"/>
      <c r="O44" s="9253"/>
      <c r="P44" s="8938"/>
      <c r="Q44" s="8938"/>
      <c r="R44" s="8958"/>
      <c r="S44" s="46"/>
      <c r="T44" s="4853"/>
      <c r="U44" s="4853"/>
      <c r="V44" s="47"/>
      <c r="W44" s="48"/>
      <c r="X44" s="48"/>
      <c r="Y44" s="49"/>
      <c r="Z44" s="49"/>
      <c r="AA44" s="49"/>
      <c r="AB44" s="4911"/>
      <c r="AC44" s="6273"/>
      <c r="AD44" s="374"/>
      <c r="AE44" s="48"/>
      <c r="AF44" s="48"/>
      <c r="AG44" s="69"/>
      <c r="AH44" s="8984"/>
    </row>
    <row r="45" spans="1:34" ht="61.5" customHeight="1">
      <c r="A45" s="9099"/>
      <c r="B45" s="9308"/>
      <c r="C45" s="9281"/>
      <c r="D45" s="9248"/>
      <c r="E45" s="9248"/>
      <c r="F45" s="9248"/>
      <c r="G45" s="9248"/>
      <c r="H45" s="9248"/>
      <c r="I45" s="9248"/>
      <c r="J45" s="9089"/>
      <c r="K45" s="9248"/>
      <c r="L45" s="9248"/>
      <c r="M45" s="9253"/>
      <c r="N45" s="9253"/>
      <c r="O45" s="9253"/>
      <c r="P45" s="8938"/>
      <c r="Q45" s="8938"/>
      <c r="R45" s="8958"/>
      <c r="S45" s="46"/>
      <c r="T45" s="4853"/>
      <c r="U45" s="4853"/>
      <c r="V45" s="47"/>
      <c r="W45" s="48"/>
      <c r="X45" s="48"/>
      <c r="Y45" s="49"/>
      <c r="Z45" s="49"/>
      <c r="AA45" s="49"/>
      <c r="AB45" s="4911"/>
      <c r="AC45" s="6273"/>
      <c r="AD45" s="374"/>
      <c r="AE45" s="48"/>
      <c r="AF45" s="48"/>
      <c r="AG45" s="51"/>
      <c r="AH45" s="8984"/>
    </row>
    <row r="46" spans="1:34" ht="61.5" customHeight="1">
      <c r="A46" s="9099"/>
      <c r="B46" s="9308"/>
      <c r="C46" s="9281"/>
      <c r="D46" s="9248"/>
      <c r="E46" s="9248"/>
      <c r="F46" s="9248"/>
      <c r="G46" s="9248"/>
      <c r="H46" s="9248"/>
      <c r="I46" s="9248"/>
      <c r="J46" s="9089"/>
      <c r="K46" s="9248"/>
      <c r="L46" s="9248"/>
      <c r="M46" s="9253"/>
      <c r="N46" s="9253"/>
      <c r="O46" s="9253"/>
      <c r="P46" s="8938"/>
      <c r="Q46" s="8938"/>
      <c r="R46" s="8958"/>
      <c r="S46" s="46"/>
      <c r="T46" s="4853"/>
      <c r="U46" s="4853"/>
      <c r="V46" s="47"/>
      <c r="W46" s="48"/>
      <c r="X46" s="48"/>
      <c r="Y46" s="49"/>
      <c r="Z46" s="49"/>
      <c r="AA46" s="49"/>
      <c r="AB46" s="4911"/>
      <c r="AC46" s="6273"/>
      <c r="AD46" s="374"/>
      <c r="AE46" s="48"/>
      <c r="AF46" s="48"/>
      <c r="AG46" s="51"/>
      <c r="AH46" s="8984"/>
    </row>
    <row r="47" spans="1:34" ht="61.5" customHeight="1">
      <c r="A47" s="9099"/>
      <c r="B47" s="9308"/>
      <c r="C47" s="9282"/>
      <c r="D47" s="9249"/>
      <c r="E47" s="9249"/>
      <c r="F47" s="9249"/>
      <c r="G47" s="9249"/>
      <c r="H47" s="9249"/>
      <c r="I47" s="9249"/>
      <c r="J47" s="9260"/>
      <c r="K47" s="9249"/>
      <c r="L47" s="9249"/>
      <c r="M47" s="9254"/>
      <c r="N47" s="9254"/>
      <c r="O47" s="9254"/>
      <c r="P47" s="8939"/>
      <c r="Q47" s="8939"/>
      <c r="R47" s="8959"/>
      <c r="S47" s="70"/>
      <c r="T47" s="4855"/>
      <c r="U47" s="4855"/>
      <c r="V47" s="71"/>
      <c r="W47" s="64"/>
      <c r="X47" s="64"/>
      <c r="Y47" s="72"/>
      <c r="Z47" s="72"/>
      <c r="AA47" s="72"/>
      <c r="AB47" s="4916"/>
      <c r="AC47" s="6279"/>
      <c r="AD47" s="376"/>
      <c r="AE47" s="64"/>
      <c r="AF47" s="64"/>
      <c r="AG47" s="65"/>
      <c r="AH47" s="8985"/>
    </row>
    <row r="48" spans="1:34" ht="27.75" customHeight="1">
      <c r="A48" s="9099"/>
      <c r="B48" s="9308"/>
      <c r="C48" s="9280" t="s">
        <v>127</v>
      </c>
      <c r="D48" s="8782" t="s">
        <v>128</v>
      </c>
      <c r="E48" s="8782" t="s">
        <v>140</v>
      </c>
      <c r="F48" s="8782" t="s">
        <v>212</v>
      </c>
      <c r="G48" s="8977" t="s">
        <v>131</v>
      </c>
      <c r="H48" s="8782" t="s">
        <v>132</v>
      </c>
      <c r="I48" s="8782" t="s">
        <v>214</v>
      </c>
      <c r="J48" s="9228" t="s">
        <v>714</v>
      </c>
      <c r="K48" s="8782" t="s">
        <v>715</v>
      </c>
      <c r="L48" s="8782" t="s">
        <v>716</v>
      </c>
      <c r="M48" s="9252">
        <v>1</v>
      </c>
      <c r="N48" s="9252">
        <v>0</v>
      </c>
      <c r="O48" s="9252">
        <v>1</v>
      </c>
      <c r="P48" s="8956" t="s">
        <v>717</v>
      </c>
      <c r="Q48" s="8860" t="s">
        <v>718</v>
      </c>
      <c r="R48" s="8957" t="s">
        <v>688</v>
      </c>
      <c r="S48" s="1098"/>
      <c r="T48" s="4850"/>
      <c r="U48" s="4850"/>
      <c r="V48" s="1099"/>
      <c r="W48" s="794"/>
      <c r="X48" s="794"/>
      <c r="Y48" s="1100"/>
      <c r="Z48" s="1100"/>
      <c r="AA48" s="1100"/>
      <c r="AB48" s="4906"/>
      <c r="AC48" s="6280"/>
      <c r="AD48" s="1009"/>
      <c r="AE48" s="53"/>
      <c r="AF48" s="73"/>
      <c r="AG48" s="73"/>
      <c r="AH48" s="9269"/>
    </row>
    <row r="49" spans="1:34" ht="27.75" customHeight="1">
      <c r="A49" s="9099"/>
      <c r="B49" s="9308"/>
      <c r="C49" s="9281"/>
      <c r="D49" s="9248"/>
      <c r="E49" s="9248"/>
      <c r="F49" s="9248"/>
      <c r="G49" s="9248"/>
      <c r="H49" s="9248"/>
      <c r="I49" s="9248"/>
      <c r="J49" s="9250"/>
      <c r="K49" s="9248"/>
      <c r="L49" s="9248"/>
      <c r="M49" s="9253"/>
      <c r="N49" s="9256"/>
      <c r="O49" s="9253"/>
      <c r="P49" s="8938"/>
      <c r="Q49" s="8938"/>
      <c r="R49" s="8958"/>
      <c r="S49" s="1102"/>
      <c r="T49" s="4845"/>
      <c r="U49" s="4845"/>
      <c r="V49" s="1103"/>
      <c r="W49" s="799"/>
      <c r="X49" s="799"/>
      <c r="Y49" s="1104"/>
      <c r="Z49" s="1104"/>
      <c r="AA49" s="1104"/>
      <c r="AB49" s="4899"/>
      <c r="AC49" s="6281"/>
      <c r="AD49" s="1012"/>
      <c r="AE49" s="48"/>
      <c r="AF49" s="51"/>
      <c r="AG49" s="51"/>
      <c r="AH49" s="8984"/>
    </row>
    <row r="50" spans="1:34" ht="27.75" customHeight="1">
      <c r="A50" s="9099"/>
      <c r="B50" s="9308"/>
      <c r="C50" s="9281"/>
      <c r="D50" s="9248"/>
      <c r="E50" s="9248"/>
      <c r="F50" s="9248"/>
      <c r="G50" s="9248"/>
      <c r="H50" s="9248"/>
      <c r="I50" s="9248"/>
      <c r="J50" s="9250"/>
      <c r="K50" s="9248"/>
      <c r="L50" s="9248"/>
      <c r="M50" s="9253"/>
      <c r="N50" s="9256"/>
      <c r="O50" s="9253"/>
      <c r="P50" s="8938"/>
      <c r="Q50" s="8938"/>
      <c r="R50" s="8958"/>
      <c r="S50" s="1106"/>
      <c r="T50" s="4844"/>
      <c r="U50" s="4844"/>
      <c r="V50" s="1103"/>
      <c r="W50" s="799"/>
      <c r="X50" s="799"/>
      <c r="Y50" s="1104"/>
      <c r="Z50" s="1104"/>
      <c r="AA50" s="1104"/>
      <c r="AB50" s="4899"/>
      <c r="AC50" s="6281"/>
      <c r="AD50" s="1012"/>
      <c r="AE50" s="48"/>
      <c r="AF50" s="51"/>
      <c r="AG50" s="51"/>
      <c r="AH50" s="8984"/>
    </row>
    <row r="51" spans="1:34" ht="27.75" customHeight="1">
      <c r="A51" s="9099"/>
      <c r="B51" s="9308"/>
      <c r="C51" s="9281"/>
      <c r="D51" s="9248"/>
      <c r="E51" s="9248"/>
      <c r="F51" s="9248"/>
      <c r="G51" s="9248"/>
      <c r="H51" s="9248"/>
      <c r="I51" s="9248"/>
      <c r="J51" s="9250"/>
      <c r="K51" s="9248"/>
      <c r="L51" s="9248"/>
      <c r="M51" s="9253"/>
      <c r="N51" s="9256"/>
      <c r="O51" s="9253"/>
      <c r="P51" s="8938"/>
      <c r="Q51" s="8938"/>
      <c r="R51" s="8958"/>
      <c r="S51" s="1106"/>
      <c r="T51" s="4844"/>
      <c r="U51" s="4844"/>
      <c r="V51" s="1103"/>
      <c r="W51" s="799"/>
      <c r="X51" s="799"/>
      <c r="Y51" s="1104"/>
      <c r="Z51" s="1104"/>
      <c r="AA51" s="1104"/>
      <c r="AB51" s="4899"/>
      <c r="AC51" s="6281"/>
      <c r="AD51" s="1012"/>
      <c r="AE51" s="48"/>
      <c r="AF51" s="51"/>
      <c r="AG51" s="51"/>
      <c r="AH51" s="8984"/>
    </row>
    <row r="52" spans="1:34" ht="27.75" customHeight="1">
      <c r="A52" s="9099"/>
      <c r="B52" s="9308"/>
      <c r="C52" s="9282"/>
      <c r="D52" s="9249"/>
      <c r="E52" s="9249"/>
      <c r="F52" s="9249"/>
      <c r="G52" s="9249"/>
      <c r="H52" s="9249"/>
      <c r="I52" s="9249"/>
      <c r="J52" s="9251"/>
      <c r="K52" s="9249"/>
      <c r="L52" s="9249"/>
      <c r="M52" s="9254"/>
      <c r="N52" s="9265"/>
      <c r="O52" s="9254"/>
      <c r="P52" s="8939"/>
      <c r="Q52" s="8939"/>
      <c r="R52" s="8959"/>
      <c r="S52" s="1107"/>
      <c r="T52" s="4852"/>
      <c r="U52" s="6260"/>
      <c r="V52" s="1109"/>
      <c r="W52" s="1018"/>
      <c r="X52" s="1018"/>
      <c r="Y52" s="1110"/>
      <c r="Z52" s="1111"/>
      <c r="AA52" s="1111"/>
      <c r="AB52" s="4908"/>
      <c r="AC52" s="6282"/>
      <c r="AD52" s="1028"/>
      <c r="AE52" s="453"/>
      <c r="AF52" s="456"/>
      <c r="AG52" s="456"/>
      <c r="AH52" s="8985"/>
    </row>
    <row r="53" spans="1:34" ht="33.75" customHeight="1">
      <c r="A53" s="9099"/>
      <c r="B53" s="9308"/>
      <c r="C53" s="9280" t="s">
        <v>127</v>
      </c>
      <c r="D53" s="8782" t="s">
        <v>128</v>
      </c>
      <c r="E53" s="8782" t="s">
        <v>140</v>
      </c>
      <c r="F53" s="8782" t="s">
        <v>238</v>
      </c>
      <c r="G53" s="8977" t="s">
        <v>131</v>
      </c>
      <c r="H53" s="8782" t="s">
        <v>132</v>
      </c>
      <c r="I53" s="8782" t="s">
        <v>133</v>
      </c>
      <c r="J53" s="9228" t="s">
        <v>719</v>
      </c>
      <c r="K53" s="8782" t="s">
        <v>720</v>
      </c>
      <c r="L53" s="8782" t="s">
        <v>721</v>
      </c>
      <c r="M53" s="9252">
        <v>1</v>
      </c>
      <c r="N53" s="9252">
        <v>1</v>
      </c>
      <c r="O53" s="9252">
        <v>1</v>
      </c>
      <c r="P53" s="8860" t="s">
        <v>722</v>
      </c>
      <c r="Q53" s="8860" t="s">
        <v>723</v>
      </c>
      <c r="R53" s="8957" t="s">
        <v>700</v>
      </c>
      <c r="S53" s="2774"/>
      <c r="T53" s="6261"/>
      <c r="U53" s="6262"/>
      <c r="V53" s="2775"/>
      <c r="W53" s="2776"/>
      <c r="X53" s="2776"/>
      <c r="Y53" s="2777"/>
      <c r="Z53" s="2778"/>
      <c r="AA53" s="2778"/>
      <c r="AB53" s="6283"/>
      <c r="AC53" s="6284"/>
      <c r="AD53" s="2781"/>
      <c r="AE53" s="2694"/>
      <c r="AF53" s="2782"/>
      <c r="AG53" s="79"/>
      <c r="AH53" s="9269"/>
    </row>
    <row r="54" spans="1:34" ht="33.75" customHeight="1">
      <c r="A54" s="9099"/>
      <c r="B54" s="9308"/>
      <c r="C54" s="9281"/>
      <c r="D54" s="9248"/>
      <c r="E54" s="9248"/>
      <c r="F54" s="9248"/>
      <c r="G54" s="9248"/>
      <c r="H54" s="9248"/>
      <c r="I54" s="9248"/>
      <c r="J54" s="9250"/>
      <c r="K54" s="9248"/>
      <c r="L54" s="9248"/>
      <c r="M54" s="9253"/>
      <c r="N54" s="9256"/>
      <c r="O54" s="9253"/>
      <c r="P54" s="8938"/>
      <c r="Q54" s="8938"/>
      <c r="R54" s="8958"/>
      <c r="S54" s="2779"/>
      <c r="T54" s="6263"/>
      <c r="U54" s="6263"/>
      <c r="V54" s="2698"/>
      <c r="W54" s="2704"/>
      <c r="X54" s="2705"/>
      <c r="Y54" s="2706"/>
      <c r="Z54" s="2706"/>
      <c r="AA54" s="2706"/>
      <c r="AB54" s="6285"/>
      <c r="AC54" s="6286"/>
      <c r="AD54" s="2780"/>
      <c r="AE54" s="2784"/>
      <c r="AF54" s="2783"/>
      <c r="AG54" s="51"/>
      <c r="AH54" s="8984"/>
    </row>
    <row r="55" spans="1:34" ht="33.75" customHeight="1">
      <c r="A55" s="9099"/>
      <c r="B55" s="9308"/>
      <c r="C55" s="9281"/>
      <c r="D55" s="9248"/>
      <c r="E55" s="9248"/>
      <c r="F55" s="9248"/>
      <c r="G55" s="9248"/>
      <c r="H55" s="9248"/>
      <c r="I55" s="9248"/>
      <c r="J55" s="9250"/>
      <c r="K55" s="9248"/>
      <c r="L55" s="9248"/>
      <c r="M55" s="9253"/>
      <c r="N55" s="9256"/>
      <c r="O55" s="9253"/>
      <c r="P55" s="8938"/>
      <c r="Q55" s="8938"/>
      <c r="R55" s="8958"/>
      <c r="S55" s="2779"/>
      <c r="T55" s="6263"/>
      <c r="U55" s="6263"/>
      <c r="V55" s="2698"/>
      <c r="W55" s="2705"/>
      <c r="X55" s="2705"/>
      <c r="Y55" s="2810"/>
      <c r="Z55" s="2810"/>
      <c r="AA55" s="2810"/>
      <c r="AB55" s="6287"/>
      <c r="AC55" s="6286"/>
      <c r="AD55" s="2780"/>
      <c r="AE55" s="2784"/>
      <c r="AF55" s="2783"/>
      <c r="AG55" s="51"/>
      <c r="AH55" s="8984"/>
    </row>
    <row r="56" spans="1:34" ht="33.75" customHeight="1">
      <c r="A56" s="9148"/>
      <c r="B56" s="9309"/>
      <c r="C56" s="9281"/>
      <c r="D56" s="9248"/>
      <c r="E56" s="9248"/>
      <c r="F56" s="9248"/>
      <c r="G56" s="9248"/>
      <c r="H56" s="9248"/>
      <c r="I56" s="9248"/>
      <c r="J56" s="9250"/>
      <c r="K56" s="9248"/>
      <c r="L56" s="9248"/>
      <c r="M56" s="9253"/>
      <c r="N56" s="9256"/>
      <c r="O56" s="9253"/>
      <c r="P56" s="8938"/>
      <c r="Q56" s="8938"/>
      <c r="R56" s="8958"/>
      <c r="S56" s="2774"/>
      <c r="T56" s="6264"/>
      <c r="U56" s="6264"/>
      <c r="V56" s="2789"/>
      <c r="W56" s="2790"/>
      <c r="X56" s="2790"/>
      <c r="Y56" s="2790"/>
      <c r="Z56" s="2790"/>
      <c r="AA56" s="2790"/>
      <c r="AB56" s="6288"/>
      <c r="AC56" s="6289"/>
      <c r="AD56" s="2780"/>
      <c r="AE56" s="2784"/>
      <c r="AF56" s="2783"/>
      <c r="AG56" s="51"/>
      <c r="AH56" s="8984"/>
    </row>
    <row r="57" spans="1:34" ht="33.75" customHeight="1">
      <c r="A57" s="9239" t="s">
        <v>662</v>
      </c>
      <c r="B57" s="9310" t="s">
        <v>662</v>
      </c>
      <c r="C57" s="9282"/>
      <c r="D57" s="9249"/>
      <c r="E57" s="9249"/>
      <c r="F57" s="9249"/>
      <c r="G57" s="9249"/>
      <c r="H57" s="9249"/>
      <c r="I57" s="9249"/>
      <c r="J57" s="9251"/>
      <c r="K57" s="9249"/>
      <c r="L57" s="9249"/>
      <c r="M57" s="9254"/>
      <c r="N57" s="9265"/>
      <c r="O57" s="9254"/>
      <c r="P57" s="8939"/>
      <c r="Q57" s="8939"/>
      <c r="R57" s="8959"/>
      <c r="S57" s="2791"/>
      <c r="T57" s="6265"/>
      <c r="U57" s="6265"/>
      <c r="V57" s="2792"/>
      <c r="W57" s="2788"/>
      <c r="X57" s="2793"/>
      <c r="Y57" s="2794"/>
      <c r="Z57" s="2796"/>
      <c r="AA57" s="2796"/>
      <c r="AB57" s="6288"/>
      <c r="AC57" s="6289"/>
      <c r="AD57" s="2811"/>
      <c r="AE57" s="2812"/>
      <c r="AF57" s="2795"/>
      <c r="AG57" s="65"/>
      <c r="AH57" s="8985"/>
    </row>
    <row r="58" spans="1:34" ht="25.5" customHeight="1">
      <c r="A58" s="9099"/>
      <c r="B58" s="9235"/>
      <c r="C58" s="9223" t="s">
        <v>127</v>
      </c>
      <c r="D58" s="8782" t="s">
        <v>128</v>
      </c>
      <c r="E58" s="8782" t="s">
        <v>140</v>
      </c>
      <c r="F58" s="8782" t="s">
        <v>724</v>
      </c>
      <c r="G58" s="8977" t="s">
        <v>131</v>
      </c>
      <c r="H58" s="8782" t="s">
        <v>132</v>
      </c>
      <c r="I58" s="8782" t="s">
        <v>133</v>
      </c>
      <c r="J58" s="9198" t="s">
        <v>725</v>
      </c>
      <c r="K58" s="9258" t="s">
        <v>726</v>
      </c>
      <c r="L58" s="9276" t="s">
        <v>727</v>
      </c>
      <c r="M58" s="9266"/>
      <c r="N58" s="9295"/>
      <c r="O58" s="9266"/>
      <c r="P58" s="9276"/>
      <c r="Q58" s="9276"/>
      <c r="R58" s="9277"/>
      <c r="S58" s="459"/>
      <c r="T58" s="4849"/>
      <c r="U58" s="4849"/>
      <c r="V58" s="66"/>
      <c r="W58" s="76"/>
      <c r="X58" s="76"/>
      <c r="Y58" s="77"/>
      <c r="Z58" s="54"/>
      <c r="AA58" s="54"/>
      <c r="AB58" s="4923"/>
      <c r="AC58" s="6278"/>
      <c r="AD58" s="378"/>
      <c r="AE58" s="76"/>
      <c r="AF58" s="79"/>
      <c r="AG58" s="79"/>
      <c r="AH58" s="9269"/>
    </row>
    <row r="59" spans="1:34" ht="25.5" customHeight="1">
      <c r="A59" s="9099"/>
      <c r="B59" s="9235"/>
      <c r="C59" s="9288"/>
      <c r="D59" s="9248"/>
      <c r="E59" s="9248"/>
      <c r="F59" s="9248"/>
      <c r="G59" s="9248"/>
      <c r="H59" s="9248"/>
      <c r="I59" s="9248"/>
      <c r="J59" s="9290"/>
      <c r="K59" s="9248"/>
      <c r="L59" s="9278"/>
      <c r="M59" s="9253"/>
      <c r="N59" s="9296"/>
      <c r="O59" s="9253"/>
      <c r="P59" s="9206"/>
      <c r="Q59" s="9206"/>
      <c r="R59" s="8958"/>
      <c r="S59" s="46"/>
      <c r="T59" s="4853"/>
      <c r="U59" s="4853"/>
      <c r="V59" s="47"/>
      <c r="W59" s="48"/>
      <c r="X59" s="48"/>
      <c r="Y59" s="49"/>
      <c r="Z59" s="49"/>
      <c r="AA59" s="49"/>
      <c r="AB59" s="4911"/>
      <c r="AC59" s="6273"/>
      <c r="AD59" s="374"/>
      <c r="AE59" s="48"/>
      <c r="AF59" s="51"/>
      <c r="AG59" s="51"/>
      <c r="AH59" s="8984"/>
    </row>
    <row r="60" spans="1:34" ht="25.5" customHeight="1">
      <c r="A60" s="9099"/>
      <c r="B60" s="9235"/>
      <c r="C60" s="9288"/>
      <c r="D60" s="9248"/>
      <c r="E60" s="9248"/>
      <c r="F60" s="9248"/>
      <c r="G60" s="9248"/>
      <c r="H60" s="9248"/>
      <c r="I60" s="9248"/>
      <c r="J60" s="9290"/>
      <c r="K60" s="9248"/>
      <c r="L60" s="9278"/>
      <c r="M60" s="9253"/>
      <c r="N60" s="9296"/>
      <c r="O60" s="9253"/>
      <c r="P60" s="9206"/>
      <c r="Q60" s="9206"/>
      <c r="R60" s="8958"/>
      <c r="S60" s="46"/>
      <c r="T60" s="4853"/>
      <c r="U60" s="4853"/>
      <c r="V60" s="47"/>
      <c r="W60" s="48"/>
      <c r="X60" s="48"/>
      <c r="Y60" s="49"/>
      <c r="Z60" s="49"/>
      <c r="AA60" s="49"/>
      <c r="AB60" s="4911"/>
      <c r="AC60" s="6273"/>
      <c r="AD60" s="374"/>
      <c r="AE60" s="48"/>
      <c r="AF60" s="51"/>
      <c r="AG60" s="51"/>
      <c r="AH60" s="8984"/>
    </row>
    <row r="61" spans="1:34" ht="25.5" customHeight="1">
      <c r="A61" s="9099"/>
      <c r="B61" s="9235"/>
      <c r="C61" s="9288"/>
      <c r="D61" s="9248"/>
      <c r="E61" s="9248"/>
      <c r="F61" s="9248"/>
      <c r="G61" s="9248"/>
      <c r="H61" s="9248"/>
      <c r="I61" s="9248"/>
      <c r="J61" s="9290"/>
      <c r="K61" s="9248"/>
      <c r="L61" s="9278"/>
      <c r="M61" s="9253"/>
      <c r="N61" s="9296"/>
      <c r="O61" s="9253"/>
      <c r="P61" s="9206"/>
      <c r="Q61" s="9206"/>
      <c r="R61" s="8958"/>
      <c r="S61" s="46"/>
      <c r="T61" s="4853"/>
      <c r="U61" s="4853"/>
      <c r="V61" s="47"/>
      <c r="W61" s="48"/>
      <c r="X61" s="48"/>
      <c r="Y61" s="49"/>
      <c r="Z61" s="49"/>
      <c r="AA61" s="49"/>
      <c r="AB61" s="4911"/>
      <c r="AC61" s="6273"/>
      <c r="AD61" s="374"/>
      <c r="AE61" s="48"/>
      <c r="AF61" s="51"/>
      <c r="AG61" s="51"/>
      <c r="AH61" s="8984"/>
    </row>
    <row r="62" spans="1:34" ht="25.5" customHeight="1">
      <c r="A62" s="9099"/>
      <c r="B62" s="9235"/>
      <c r="C62" s="9289"/>
      <c r="D62" s="9249"/>
      <c r="E62" s="9249"/>
      <c r="F62" s="9249"/>
      <c r="G62" s="9249"/>
      <c r="H62" s="9249"/>
      <c r="I62" s="9249"/>
      <c r="J62" s="9260"/>
      <c r="K62" s="9249"/>
      <c r="L62" s="9279"/>
      <c r="M62" s="9254"/>
      <c r="N62" s="9297"/>
      <c r="O62" s="9254"/>
      <c r="P62" s="9207"/>
      <c r="Q62" s="9207"/>
      <c r="R62" s="8959"/>
      <c r="S62" s="70"/>
      <c r="T62" s="4855"/>
      <c r="U62" s="4855"/>
      <c r="V62" s="71"/>
      <c r="W62" s="64"/>
      <c r="X62" s="64"/>
      <c r="Y62" s="72"/>
      <c r="Z62" s="72"/>
      <c r="AA62" s="72"/>
      <c r="AB62" s="4916"/>
      <c r="AC62" s="6279"/>
      <c r="AD62" s="376"/>
      <c r="AE62" s="64"/>
      <c r="AF62" s="65"/>
      <c r="AG62" s="65"/>
      <c r="AH62" s="8985"/>
    </row>
    <row r="63" spans="1:34" ht="35.25" customHeight="1">
      <c r="A63" s="9099"/>
      <c r="B63" s="9235"/>
      <c r="C63" s="9280" t="s">
        <v>127</v>
      </c>
      <c r="D63" s="8782" t="s">
        <v>128</v>
      </c>
      <c r="E63" s="8782" t="s">
        <v>129</v>
      </c>
      <c r="F63" s="8782" t="s">
        <v>268</v>
      </c>
      <c r="G63" s="8977" t="s">
        <v>131</v>
      </c>
      <c r="H63" s="8782" t="s">
        <v>132</v>
      </c>
      <c r="I63" s="8782" t="s">
        <v>159</v>
      </c>
      <c r="J63" s="9228" t="s">
        <v>728</v>
      </c>
      <c r="K63" s="8782" t="s">
        <v>286</v>
      </c>
      <c r="L63" s="8782" t="s">
        <v>729</v>
      </c>
      <c r="M63" s="9252">
        <v>0</v>
      </c>
      <c r="N63" s="9252">
        <v>1</v>
      </c>
      <c r="O63" s="9256">
        <v>1</v>
      </c>
      <c r="P63" s="9262" t="s">
        <v>730</v>
      </c>
      <c r="Q63" s="9262" t="s">
        <v>731</v>
      </c>
      <c r="R63" s="8982" t="s">
        <v>700</v>
      </c>
      <c r="S63" s="75"/>
      <c r="T63" s="4849"/>
      <c r="U63" s="4849"/>
      <c r="V63" s="458"/>
      <c r="W63" s="53"/>
      <c r="X63" s="53"/>
      <c r="Y63" s="54"/>
      <c r="Z63" s="54"/>
      <c r="AA63" s="54"/>
      <c r="AB63" s="4918"/>
      <c r="AC63" s="6272"/>
      <c r="AD63" s="377"/>
      <c r="AE63" s="53"/>
      <c r="AF63" s="73"/>
      <c r="AG63" s="73"/>
      <c r="AH63" s="9272" t="s">
        <v>732</v>
      </c>
    </row>
    <row r="64" spans="1:34" ht="35.25" customHeight="1">
      <c r="A64" s="9099"/>
      <c r="B64" s="9235"/>
      <c r="C64" s="9281"/>
      <c r="D64" s="9248"/>
      <c r="E64" s="9248"/>
      <c r="F64" s="9248"/>
      <c r="G64" s="9248"/>
      <c r="H64" s="9248"/>
      <c r="I64" s="9248"/>
      <c r="J64" s="9250"/>
      <c r="K64" s="9248"/>
      <c r="L64" s="9248"/>
      <c r="M64" s="9253"/>
      <c r="N64" s="9256"/>
      <c r="O64" s="9253"/>
      <c r="P64" s="8938"/>
      <c r="Q64" s="8938"/>
      <c r="R64" s="8958"/>
      <c r="S64" s="452"/>
      <c r="T64" s="4860"/>
      <c r="U64" s="4860"/>
      <c r="V64" s="47"/>
      <c r="W64" s="48"/>
      <c r="X64" s="48"/>
      <c r="Y64" s="49"/>
      <c r="Z64" s="49"/>
      <c r="AA64" s="49"/>
      <c r="AB64" s="4911"/>
      <c r="AC64" s="6273"/>
      <c r="AD64" s="374"/>
      <c r="AE64" s="48"/>
      <c r="AF64" s="51"/>
      <c r="AG64" s="51"/>
      <c r="AH64" s="8984"/>
    </row>
    <row r="65" spans="1:34" ht="35.25" customHeight="1">
      <c r="A65" s="9099"/>
      <c r="B65" s="9235"/>
      <c r="C65" s="9281"/>
      <c r="D65" s="9248"/>
      <c r="E65" s="9248"/>
      <c r="F65" s="9248"/>
      <c r="G65" s="9248"/>
      <c r="H65" s="9248"/>
      <c r="I65" s="9248"/>
      <c r="J65" s="9250"/>
      <c r="K65" s="9248"/>
      <c r="L65" s="9248"/>
      <c r="M65" s="9253"/>
      <c r="N65" s="9256"/>
      <c r="O65" s="9253"/>
      <c r="P65" s="8938"/>
      <c r="Q65" s="8938"/>
      <c r="R65" s="8958"/>
      <c r="S65" s="46"/>
      <c r="T65" s="4853"/>
      <c r="U65" s="4853"/>
      <c r="V65" s="47"/>
      <c r="W65" s="48"/>
      <c r="X65" s="48"/>
      <c r="Y65" s="49"/>
      <c r="Z65" s="49"/>
      <c r="AA65" s="49"/>
      <c r="AB65" s="4911"/>
      <c r="AC65" s="6273"/>
      <c r="AD65" s="374"/>
      <c r="AE65" s="48"/>
      <c r="AF65" s="51"/>
      <c r="AG65" s="51"/>
      <c r="AH65" s="8984"/>
    </row>
    <row r="66" spans="1:34" ht="35.25" customHeight="1">
      <c r="A66" s="9099"/>
      <c r="B66" s="9235"/>
      <c r="C66" s="9281"/>
      <c r="D66" s="9248"/>
      <c r="E66" s="9248"/>
      <c r="F66" s="9248"/>
      <c r="G66" s="9248"/>
      <c r="H66" s="9248"/>
      <c r="I66" s="9248"/>
      <c r="J66" s="9250"/>
      <c r="K66" s="9248"/>
      <c r="L66" s="9248"/>
      <c r="M66" s="9253"/>
      <c r="N66" s="9256"/>
      <c r="O66" s="9253"/>
      <c r="P66" s="8938"/>
      <c r="Q66" s="8938"/>
      <c r="R66" s="8958"/>
      <c r="S66" s="46"/>
      <c r="T66" s="4853"/>
      <c r="U66" s="4853"/>
      <c r="V66" s="47"/>
      <c r="W66" s="48"/>
      <c r="X66" s="48"/>
      <c r="Y66" s="49"/>
      <c r="Z66" s="49"/>
      <c r="AA66" s="49"/>
      <c r="AB66" s="4911"/>
      <c r="AC66" s="6273"/>
      <c r="AD66" s="374"/>
      <c r="AE66" s="48"/>
      <c r="AF66" s="51"/>
      <c r="AG66" s="51"/>
      <c r="AH66" s="8984"/>
    </row>
    <row r="67" spans="1:34" ht="35.25" customHeight="1">
      <c r="A67" s="9099"/>
      <c r="B67" s="9235"/>
      <c r="C67" s="9282"/>
      <c r="D67" s="9249"/>
      <c r="E67" s="9249"/>
      <c r="F67" s="9249"/>
      <c r="G67" s="9249"/>
      <c r="H67" s="9249"/>
      <c r="I67" s="9249"/>
      <c r="J67" s="9293"/>
      <c r="K67" s="9294"/>
      <c r="L67" s="9249"/>
      <c r="M67" s="9254"/>
      <c r="N67" s="9265"/>
      <c r="O67" s="9254"/>
      <c r="P67" s="8939"/>
      <c r="Q67" s="8939"/>
      <c r="R67" s="8959"/>
      <c r="S67" s="70"/>
      <c r="T67" s="4854"/>
      <c r="U67" s="4854"/>
      <c r="V67" s="457"/>
      <c r="W67" s="453"/>
      <c r="X67" s="453"/>
      <c r="Y67" s="454"/>
      <c r="Z67" s="72"/>
      <c r="AA67" s="72"/>
      <c r="AB67" s="4913"/>
      <c r="AC67" s="6277"/>
      <c r="AD67" s="375"/>
      <c r="AE67" s="453"/>
      <c r="AF67" s="456"/>
      <c r="AG67" s="456"/>
      <c r="AH67" s="8985"/>
    </row>
    <row r="68" spans="1:34" ht="24.75" customHeight="1">
      <c r="A68" s="9099"/>
      <c r="B68" s="9235"/>
      <c r="C68" s="9280" t="s">
        <v>127</v>
      </c>
      <c r="D68" s="8782" t="s">
        <v>128</v>
      </c>
      <c r="E68" s="8782" t="s">
        <v>129</v>
      </c>
      <c r="F68" s="8782" t="s">
        <v>268</v>
      </c>
      <c r="G68" s="8977" t="s">
        <v>131</v>
      </c>
      <c r="H68" s="8782" t="s">
        <v>132</v>
      </c>
      <c r="I68" s="8782" t="s">
        <v>214</v>
      </c>
      <c r="J68" s="9291" t="s">
        <v>733</v>
      </c>
      <c r="K68" s="9292" t="s">
        <v>338</v>
      </c>
      <c r="L68" s="8782" t="s">
        <v>734</v>
      </c>
      <c r="M68" s="9252">
        <v>5</v>
      </c>
      <c r="N68" s="9252">
        <v>5</v>
      </c>
      <c r="O68" s="9252">
        <v>5</v>
      </c>
      <c r="P68" s="8860" t="s">
        <v>735</v>
      </c>
      <c r="Q68" s="8860" t="s">
        <v>736</v>
      </c>
      <c r="R68" s="8957" t="s">
        <v>668</v>
      </c>
      <c r="S68" s="75"/>
      <c r="T68" s="4859"/>
      <c r="U68" s="4859"/>
      <c r="V68" s="135"/>
      <c r="W68" s="76"/>
      <c r="X68" s="76"/>
      <c r="Y68" s="77"/>
      <c r="Z68" s="77"/>
      <c r="AA68" s="77"/>
      <c r="AB68" s="4923"/>
      <c r="AC68" s="6278"/>
      <c r="AD68" s="378"/>
      <c r="AE68" s="76"/>
      <c r="AF68" s="79"/>
      <c r="AG68" s="79"/>
      <c r="AH68" s="9269"/>
    </row>
    <row r="69" spans="1:34" ht="24.75" customHeight="1">
      <c r="A69" s="9099"/>
      <c r="B69" s="9235"/>
      <c r="C69" s="9281"/>
      <c r="D69" s="9248"/>
      <c r="E69" s="9248"/>
      <c r="F69" s="9248"/>
      <c r="G69" s="9248"/>
      <c r="H69" s="9248"/>
      <c r="I69" s="9248"/>
      <c r="J69" s="9250"/>
      <c r="K69" s="9248"/>
      <c r="L69" s="9248"/>
      <c r="M69" s="9253"/>
      <c r="N69" s="9256"/>
      <c r="O69" s="9253"/>
      <c r="P69" s="8938"/>
      <c r="Q69" s="8938"/>
      <c r="R69" s="8958"/>
      <c r="S69" s="46"/>
      <c r="T69" s="4853"/>
      <c r="U69" s="4853"/>
      <c r="V69" s="47"/>
      <c r="W69" s="48"/>
      <c r="X69" s="48"/>
      <c r="Y69" s="49"/>
      <c r="Z69" s="49"/>
      <c r="AA69" s="49"/>
      <c r="AB69" s="4911"/>
      <c r="AC69" s="6273"/>
      <c r="AD69" s="374"/>
      <c r="AE69" s="48"/>
      <c r="AF69" s="51"/>
      <c r="AG69" s="51"/>
      <c r="AH69" s="8984"/>
    </row>
    <row r="70" spans="1:34" ht="24.75" customHeight="1">
      <c r="A70" s="9099"/>
      <c r="B70" s="9235"/>
      <c r="C70" s="9281"/>
      <c r="D70" s="9248"/>
      <c r="E70" s="9248"/>
      <c r="F70" s="9248"/>
      <c r="G70" s="9248"/>
      <c r="H70" s="9248"/>
      <c r="I70" s="9248"/>
      <c r="J70" s="9250"/>
      <c r="K70" s="9248"/>
      <c r="L70" s="9248"/>
      <c r="M70" s="9253"/>
      <c r="N70" s="9256"/>
      <c r="O70" s="9253"/>
      <c r="P70" s="8938"/>
      <c r="Q70" s="8938"/>
      <c r="R70" s="8958"/>
      <c r="S70" s="46"/>
      <c r="T70" s="4853"/>
      <c r="U70" s="4853"/>
      <c r="V70" s="47"/>
      <c r="W70" s="48"/>
      <c r="X70" s="48"/>
      <c r="Y70" s="49"/>
      <c r="Z70" s="49"/>
      <c r="AA70" s="49"/>
      <c r="AB70" s="4911"/>
      <c r="AC70" s="6273"/>
      <c r="AD70" s="374"/>
      <c r="AE70" s="48"/>
      <c r="AF70" s="51"/>
      <c r="AG70" s="51"/>
      <c r="AH70" s="8984"/>
    </row>
    <row r="71" spans="1:34" ht="24.75" customHeight="1">
      <c r="A71" s="9099"/>
      <c r="B71" s="9235"/>
      <c r="C71" s="9281"/>
      <c r="D71" s="9248"/>
      <c r="E71" s="9248"/>
      <c r="F71" s="9248"/>
      <c r="G71" s="9248"/>
      <c r="H71" s="9248"/>
      <c r="I71" s="9248"/>
      <c r="J71" s="9250"/>
      <c r="K71" s="9248"/>
      <c r="L71" s="9248"/>
      <c r="M71" s="9253"/>
      <c r="N71" s="9256"/>
      <c r="O71" s="9253"/>
      <c r="P71" s="8938"/>
      <c r="Q71" s="8938"/>
      <c r="R71" s="8958"/>
      <c r="S71" s="46"/>
      <c r="T71" s="4853"/>
      <c r="U71" s="4853"/>
      <c r="V71" s="47"/>
      <c r="W71" s="48"/>
      <c r="X71" s="48"/>
      <c r="Y71" s="49"/>
      <c r="Z71" s="49"/>
      <c r="AA71" s="49"/>
      <c r="AB71" s="4911"/>
      <c r="AC71" s="6273"/>
      <c r="AD71" s="374"/>
      <c r="AE71" s="48"/>
      <c r="AF71" s="51"/>
      <c r="AG71" s="51"/>
      <c r="AH71" s="8984"/>
    </row>
    <row r="72" spans="1:34" ht="24.75" customHeight="1">
      <c r="A72" s="9099"/>
      <c r="B72" s="9235"/>
      <c r="C72" s="9282"/>
      <c r="D72" s="9249"/>
      <c r="E72" s="9249"/>
      <c r="F72" s="9249"/>
      <c r="G72" s="9249"/>
      <c r="H72" s="9249"/>
      <c r="I72" s="9249"/>
      <c r="J72" s="9251"/>
      <c r="K72" s="9249"/>
      <c r="L72" s="9249"/>
      <c r="M72" s="9254"/>
      <c r="N72" s="9265"/>
      <c r="O72" s="9254"/>
      <c r="P72" s="8939"/>
      <c r="Q72" s="8939"/>
      <c r="R72" s="8959"/>
      <c r="S72" s="70"/>
      <c r="T72" s="4855"/>
      <c r="U72" s="4855"/>
      <c r="V72" s="71"/>
      <c r="W72" s="64"/>
      <c r="X72" s="64"/>
      <c r="Y72" s="72"/>
      <c r="Z72" s="72"/>
      <c r="AA72" s="72"/>
      <c r="AB72" s="4916"/>
      <c r="AC72" s="6279"/>
      <c r="AD72" s="376"/>
      <c r="AE72" s="64"/>
      <c r="AF72" s="65"/>
      <c r="AG72" s="65"/>
      <c r="AH72" s="8985"/>
    </row>
    <row r="73" spans="1:34" s="4842" customFormat="1" ht="22.5" customHeight="1" thickBot="1">
      <c r="A73" s="9099"/>
      <c r="B73" s="9247"/>
      <c r="C73" s="5022"/>
      <c r="D73" s="5022"/>
      <c r="E73" s="5022"/>
      <c r="F73" s="5022"/>
      <c r="G73" s="5022"/>
      <c r="H73" s="5022"/>
      <c r="I73" s="5022"/>
      <c r="J73" s="5022"/>
      <c r="K73" s="5022"/>
      <c r="L73" s="5022"/>
      <c r="M73" s="5081"/>
      <c r="N73" s="5081"/>
      <c r="O73" s="5081"/>
      <c r="P73" s="5082"/>
      <c r="Q73" s="5082"/>
      <c r="R73" s="5082"/>
      <c r="S73" s="9044" t="s">
        <v>737</v>
      </c>
      <c r="T73" s="9045"/>
      <c r="U73" s="9045"/>
      <c r="V73" s="9045"/>
      <c r="W73" s="9045"/>
      <c r="X73" s="9045"/>
      <c r="Y73" s="9045"/>
      <c r="Z73" s="9045"/>
      <c r="AA73" s="4890" t="s">
        <v>292</v>
      </c>
      <c r="AB73" s="5018">
        <f>SUM(AB9:AB72)</f>
        <v>11907.810000000001</v>
      </c>
      <c r="AC73" s="6075"/>
      <c r="AD73" s="5019"/>
      <c r="AE73" s="9273"/>
      <c r="AF73" s="9047"/>
      <c r="AG73" s="9047"/>
      <c r="AH73" s="9048"/>
    </row>
    <row r="74" spans="1:34" ht="42.75" customHeight="1">
      <c r="A74" s="9099"/>
      <c r="B74" s="9307" t="s">
        <v>738</v>
      </c>
      <c r="C74" s="9283" t="s">
        <v>127</v>
      </c>
      <c r="D74" s="8834" t="s">
        <v>128</v>
      </c>
      <c r="E74" s="8834" t="s">
        <v>140</v>
      </c>
      <c r="F74" s="8834" t="s">
        <v>597</v>
      </c>
      <c r="G74" s="8974" t="s">
        <v>131</v>
      </c>
      <c r="H74" s="8834" t="s">
        <v>132</v>
      </c>
      <c r="I74" s="8834" t="s">
        <v>159</v>
      </c>
      <c r="J74" s="9227" t="s">
        <v>739</v>
      </c>
      <c r="K74" s="9258" t="s">
        <v>740</v>
      </c>
      <c r="L74" s="8834" t="s">
        <v>741</v>
      </c>
      <c r="M74" s="9256">
        <v>0</v>
      </c>
      <c r="N74" s="9264">
        <v>2</v>
      </c>
      <c r="O74" s="9256">
        <v>0</v>
      </c>
      <c r="P74" s="9257" t="s">
        <v>742</v>
      </c>
      <c r="Q74" s="9257" t="s">
        <v>743</v>
      </c>
      <c r="R74" s="8982" t="s">
        <v>744</v>
      </c>
      <c r="S74" s="3218" t="s">
        <v>15</v>
      </c>
      <c r="T74" s="4849">
        <v>530402</v>
      </c>
      <c r="U74" s="4850"/>
      <c r="V74" s="1113" t="s">
        <v>745</v>
      </c>
      <c r="W74" s="1036"/>
      <c r="X74" s="1036"/>
      <c r="Y74" s="1698"/>
      <c r="Z74" s="1680"/>
      <c r="AA74" s="1680"/>
      <c r="AB74" s="6290">
        <f>SUM(AA75:AA76)</f>
        <v>0</v>
      </c>
      <c r="AC74" s="6291" t="s">
        <v>18</v>
      </c>
      <c r="AD74" s="1037"/>
      <c r="AE74" s="76"/>
      <c r="AF74" s="79"/>
      <c r="AG74" s="73"/>
      <c r="AH74" s="8943"/>
    </row>
    <row r="75" spans="1:34" ht="36" customHeight="1">
      <c r="A75" s="9099"/>
      <c r="B75" s="9308"/>
      <c r="C75" s="9281"/>
      <c r="D75" s="9248"/>
      <c r="E75" s="9248"/>
      <c r="F75" s="9248"/>
      <c r="G75" s="9248"/>
      <c r="H75" s="9248"/>
      <c r="I75" s="9248"/>
      <c r="J75" s="9290"/>
      <c r="K75" s="9248"/>
      <c r="L75" s="9248"/>
      <c r="M75" s="9253"/>
      <c r="N75" s="9256"/>
      <c r="O75" s="9253"/>
      <c r="P75" s="8938"/>
      <c r="Q75" s="8938"/>
      <c r="R75" s="8958"/>
      <c r="S75" s="3219"/>
      <c r="T75" s="4844"/>
      <c r="U75" s="4858">
        <v>831390011</v>
      </c>
      <c r="V75" s="3173" t="s">
        <v>746</v>
      </c>
      <c r="W75" s="3165">
        <v>1</v>
      </c>
      <c r="X75" s="3172" t="s">
        <v>152</v>
      </c>
      <c r="Y75" s="3174">
        <f>(5000+1500)/1.12</f>
        <v>5803.5714285714284</v>
      </c>
      <c r="Z75" s="3174">
        <f>+W75*Y75</f>
        <v>5803.5714285714284</v>
      </c>
      <c r="AA75" s="3174">
        <v>0</v>
      </c>
      <c r="AB75" s="5856"/>
      <c r="AC75" s="6281"/>
      <c r="AD75" s="1012"/>
      <c r="AE75" s="48"/>
      <c r="AF75" s="51" t="s">
        <v>153</v>
      </c>
      <c r="AG75" s="51"/>
      <c r="AH75" s="9274"/>
    </row>
    <row r="76" spans="1:34" ht="24.75" customHeight="1">
      <c r="A76" s="9099"/>
      <c r="B76" s="9308"/>
      <c r="C76" s="9281"/>
      <c r="D76" s="9248"/>
      <c r="E76" s="9248"/>
      <c r="F76" s="9248"/>
      <c r="G76" s="9248"/>
      <c r="H76" s="9248"/>
      <c r="I76" s="9248"/>
      <c r="J76" s="9290"/>
      <c r="K76" s="9248"/>
      <c r="L76" s="9248"/>
      <c r="M76" s="9253"/>
      <c r="N76" s="9256"/>
      <c r="O76" s="9253"/>
      <c r="P76" s="8938"/>
      <c r="Q76" s="8938"/>
      <c r="R76" s="8958"/>
      <c r="S76" s="2779"/>
      <c r="T76" s="6263"/>
      <c r="U76" s="6263"/>
      <c r="V76" s="2698"/>
      <c r="W76" s="2705"/>
      <c r="X76" s="2705"/>
      <c r="Y76" s="2810"/>
      <c r="Z76" s="2810"/>
      <c r="AA76" s="2810"/>
      <c r="AB76" s="6287"/>
      <c r="AC76" s="6286"/>
      <c r="AD76" s="2780"/>
      <c r="AE76" s="2784"/>
      <c r="AF76" s="2783"/>
      <c r="AG76" s="51"/>
      <c r="AH76" s="9274"/>
    </row>
    <row r="77" spans="1:34" ht="24.75" customHeight="1">
      <c r="A77" s="9148"/>
      <c r="B77" s="9309"/>
      <c r="C77" s="9281"/>
      <c r="D77" s="9248"/>
      <c r="E77" s="9248"/>
      <c r="F77" s="9248"/>
      <c r="G77" s="9248"/>
      <c r="H77" s="9248"/>
      <c r="I77" s="9248"/>
      <c r="J77" s="9290"/>
      <c r="K77" s="9248"/>
      <c r="L77" s="9248"/>
      <c r="M77" s="9253"/>
      <c r="N77" s="9256"/>
      <c r="O77" s="9253"/>
      <c r="P77" s="8938"/>
      <c r="Q77" s="8938"/>
      <c r="R77" s="8958"/>
      <c r="S77" s="8409"/>
      <c r="T77" s="8567"/>
      <c r="U77" s="8567"/>
      <c r="V77" s="8568"/>
      <c r="W77" s="8569"/>
      <c r="X77" s="8569"/>
      <c r="Y77" s="8570"/>
      <c r="Z77" s="8570"/>
      <c r="AA77" s="8570"/>
      <c r="AB77" s="8571"/>
      <c r="AC77" s="8401"/>
      <c r="AD77" s="8572"/>
      <c r="AE77" s="8418"/>
      <c r="AF77" s="51"/>
      <c r="AG77" s="51"/>
      <c r="AH77" s="9274"/>
    </row>
    <row r="78" spans="1:34" ht="24.75" customHeight="1">
      <c r="A78" s="9239" t="s">
        <v>662</v>
      </c>
      <c r="B78" s="9298" t="s">
        <v>738</v>
      </c>
      <c r="C78" s="9282"/>
      <c r="D78" s="9249"/>
      <c r="E78" s="9249"/>
      <c r="F78" s="9249"/>
      <c r="G78" s="9249"/>
      <c r="H78" s="9249"/>
      <c r="I78" s="9249"/>
      <c r="J78" s="9260"/>
      <c r="K78" s="9249"/>
      <c r="L78" s="9249"/>
      <c r="M78" s="9254"/>
      <c r="N78" s="9265"/>
      <c r="O78" s="9254"/>
      <c r="P78" s="8939"/>
      <c r="Q78" s="8939"/>
      <c r="R78" s="8959"/>
      <c r="S78" s="8573"/>
      <c r="T78" s="8574"/>
      <c r="U78" s="8574"/>
      <c r="V78" s="8575"/>
      <c r="W78" s="8576"/>
      <c r="X78" s="8577"/>
      <c r="Y78" s="8578"/>
      <c r="Z78" s="8579"/>
      <c r="AA78" s="8579"/>
      <c r="AB78" s="8571"/>
      <c r="AC78" s="8580"/>
      <c r="AD78" s="8581"/>
      <c r="AE78" s="8582"/>
      <c r="AF78" s="65" t="s">
        <v>153</v>
      </c>
      <c r="AG78" s="65"/>
      <c r="AH78" s="9275"/>
    </row>
    <row r="79" spans="1:34" ht="59.25" customHeight="1">
      <c r="A79" s="9099"/>
      <c r="B79" s="9299"/>
      <c r="C79" s="9283" t="s">
        <v>127</v>
      </c>
      <c r="D79" s="8834" t="s">
        <v>128</v>
      </c>
      <c r="E79" s="8834" t="s">
        <v>129</v>
      </c>
      <c r="F79" s="8834" t="s">
        <v>268</v>
      </c>
      <c r="G79" s="8974" t="s">
        <v>131</v>
      </c>
      <c r="H79" s="8834" t="s">
        <v>132</v>
      </c>
      <c r="I79" s="8834" t="s">
        <v>159</v>
      </c>
      <c r="J79" s="9226" t="s">
        <v>747</v>
      </c>
      <c r="K79" s="9258" t="s">
        <v>748</v>
      </c>
      <c r="L79" s="8834" t="s">
        <v>749</v>
      </c>
      <c r="M79" s="9256">
        <v>0</v>
      </c>
      <c r="N79" s="9266">
        <v>25</v>
      </c>
      <c r="O79" s="9256">
        <v>0</v>
      </c>
      <c r="P79" s="9257" t="s">
        <v>750</v>
      </c>
      <c r="Q79" s="9262" t="s">
        <v>751</v>
      </c>
      <c r="R79" s="9263" t="s">
        <v>752</v>
      </c>
      <c r="S79" s="3218" t="s">
        <v>15</v>
      </c>
      <c r="T79" s="4849">
        <v>840107</v>
      </c>
      <c r="U79" s="4850"/>
      <c r="V79" s="1113" t="s">
        <v>40</v>
      </c>
      <c r="W79" s="1036"/>
      <c r="X79" s="1036"/>
      <c r="Y79" s="1698"/>
      <c r="Z79" s="1680"/>
      <c r="AA79" s="1680"/>
      <c r="AB79" s="6290">
        <f>AA80</f>
        <v>1129.9000000000001</v>
      </c>
      <c r="AC79" s="6291" t="s">
        <v>25</v>
      </c>
      <c r="AD79" s="377"/>
      <c r="AE79" s="53"/>
      <c r="AF79" s="68"/>
      <c r="AG79" s="68"/>
      <c r="AH79" s="8943"/>
    </row>
    <row r="80" spans="1:34" ht="59.25" customHeight="1">
      <c r="A80" s="9099"/>
      <c r="B80" s="9299"/>
      <c r="C80" s="9281"/>
      <c r="D80" s="9248"/>
      <c r="E80" s="9248"/>
      <c r="F80" s="9248"/>
      <c r="G80" s="9248"/>
      <c r="H80" s="9248"/>
      <c r="I80" s="9248"/>
      <c r="J80" s="9290"/>
      <c r="K80" s="9248"/>
      <c r="L80" s="9248"/>
      <c r="M80" s="9253"/>
      <c r="N80" s="9267"/>
      <c r="O80" s="9253"/>
      <c r="P80" s="8938"/>
      <c r="Q80" s="8938"/>
      <c r="R80" s="8958"/>
      <c r="S80" s="2779"/>
      <c r="T80" s="6263"/>
      <c r="U80" s="4844" t="s">
        <v>753</v>
      </c>
      <c r="V80" s="798" t="s">
        <v>754</v>
      </c>
      <c r="W80" s="1679">
        <v>1</v>
      </c>
      <c r="X80" s="799" t="s">
        <v>180</v>
      </c>
      <c r="Y80" s="3174">
        <f>1129.9/1.12</f>
        <v>1008.8392857142857</v>
      </c>
      <c r="Z80" s="3174">
        <f>+W80*Y80</f>
        <v>1008.8392857142857</v>
      </c>
      <c r="AA80" s="3174">
        <f t="shared" ref="AA80" si="1">+Z80*1.12</f>
        <v>1129.9000000000001</v>
      </c>
      <c r="AB80" s="5856"/>
      <c r="AC80" s="6281"/>
      <c r="AD80" s="374"/>
      <c r="AE80" s="48"/>
      <c r="AF80" s="48" t="s">
        <v>153</v>
      </c>
      <c r="AG80" s="69"/>
      <c r="AH80" s="9274"/>
    </row>
    <row r="81" spans="1:34" ht="59.25" customHeight="1">
      <c r="A81" s="9099"/>
      <c r="B81" s="9299"/>
      <c r="C81" s="9281"/>
      <c r="D81" s="9248"/>
      <c r="E81" s="9248"/>
      <c r="F81" s="9248"/>
      <c r="G81" s="9248"/>
      <c r="H81" s="9248"/>
      <c r="I81" s="9248"/>
      <c r="J81" s="9290"/>
      <c r="K81" s="9248"/>
      <c r="L81" s="9248"/>
      <c r="M81" s="9253"/>
      <c r="N81" s="9267"/>
      <c r="O81" s="9253"/>
      <c r="P81" s="8938"/>
      <c r="Q81" s="8938"/>
      <c r="R81" s="8958"/>
      <c r="S81" s="8409"/>
      <c r="T81" s="6266"/>
      <c r="U81" s="6266"/>
      <c r="V81" s="8410"/>
      <c r="W81" s="3214"/>
      <c r="X81" s="3214"/>
      <c r="Y81" s="8411"/>
      <c r="Z81" s="8411"/>
      <c r="AA81" s="8411"/>
      <c r="AB81" s="8412"/>
      <c r="AC81" s="6297"/>
      <c r="AD81" s="377"/>
      <c r="AE81" s="53"/>
      <c r="AF81" s="68"/>
      <c r="AG81" s="68"/>
      <c r="AH81" s="9274"/>
    </row>
    <row r="82" spans="1:34" ht="59.25" customHeight="1">
      <c r="A82" s="9099"/>
      <c r="B82" s="9299"/>
      <c r="C82" s="9281"/>
      <c r="D82" s="9248"/>
      <c r="E82" s="9248"/>
      <c r="F82" s="9248"/>
      <c r="G82" s="9248"/>
      <c r="H82" s="9248"/>
      <c r="I82" s="9248"/>
      <c r="J82" s="9290"/>
      <c r="K82" s="9248"/>
      <c r="L82" s="9248"/>
      <c r="M82" s="9253"/>
      <c r="N82" s="9267"/>
      <c r="O82" s="9253"/>
      <c r="P82" s="8938"/>
      <c r="Q82" s="8938"/>
      <c r="R82" s="8958"/>
      <c r="S82" s="8413"/>
      <c r="T82" s="8414"/>
      <c r="U82" s="8415"/>
      <c r="V82" s="8416"/>
      <c r="W82" s="8417"/>
      <c r="X82" s="8418"/>
      <c r="Y82" s="8419"/>
      <c r="Z82" s="8419"/>
      <c r="AA82" s="8419"/>
      <c r="AB82" s="8420"/>
      <c r="AC82" s="8421"/>
      <c r="AD82" s="374"/>
      <c r="AE82" s="48"/>
      <c r="AF82" s="48"/>
      <c r="AG82" s="69"/>
      <c r="AH82" s="9274"/>
    </row>
    <row r="83" spans="1:34" ht="59.25" customHeight="1">
      <c r="A83" s="9099"/>
      <c r="B83" s="9299"/>
      <c r="C83" s="9282"/>
      <c r="D83" s="9249"/>
      <c r="E83" s="9249"/>
      <c r="F83" s="9249"/>
      <c r="G83" s="9249"/>
      <c r="H83" s="9249"/>
      <c r="I83" s="9249"/>
      <c r="J83" s="9260"/>
      <c r="K83" s="9249"/>
      <c r="L83" s="9249"/>
      <c r="M83" s="9254"/>
      <c r="N83" s="9268"/>
      <c r="O83" s="9254"/>
      <c r="P83" s="8939"/>
      <c r="Q83" s="8939"/>
      <c r="R83" s="8959"/>
      <c r="S83" s="70"/>
      <c r="T83" s="4855"/>
      <c r="U83" s="4855"/>
      <c r="V83" s="71"/>
      <c r="W83" s="64"/>
      <c r="X83" s="64"/>
      <c r="Y83" s="72"/>
      <c r="Z83" s="72"/>
      <c r="AA83" s="72"/>
      <c r="AB83" s="4916"/>
      <c r="AC83" s="6279"/>
      <c r="AD83" s="376"/>
      <c r="AE83" s="64"/>
      <c r="AF83" s="64"/>
      <c r="AG83" s="65"/>
      <c r="AH83" s="9275"/>
    </row>
    <row r="84" spans="1:34" ht="18" customHeight="1">
      <c r="A84" s="9099"/>
      <c r="B84" s="9299"/>
      <c r="C84" s="9280" t="s">
        <v>127</v>
      </c>
      <c r="D84" s="8782" t="s">
        <v>128</v>
      </c>
      <c r="E84" s="8782" t="s">
        <v>140</v>
      </c>
      <c r="F84" s="8782" t="s">
        <v>597</v>
      </c>
      <c r="G84" s="8977" t="s">
        <v>131</v>
      </c>
      <c r="H84" s="8782" t="s">
        <v>132</v>
      </c>
      <c r="I84" s="8782" t="s">
        <v>159</v>
      </c>
      <c r="J84" s="9225" t="s">
        <v>755</v>
      </c>
      <c r="K84" s="9258" t="s">
        <v>756</v>
      </c>
      <c r="L84" s="8782" t="s">
        <v>757</v>
      </c>
      <c r="M84" s="9266">
        <v>2</v>
      </c>
      <c r="N84" s="9266">
        <v>0</v>
      </c>
      <c r="O84" s="9252">
        <v>0</v>
      </c>
      <c r="P84" s="9286" t="s">
        <v>758</v>
      </c>
      <c r="Q84" s="8860" t="s">
        <v>759</v>
      </c>
      <c r="R84" s="8957" t="s">
        <v>752</v>
      </c>
      <c r="S84" s="564" t="s">
        <v>80</v>
      </c>
      <c r="T84" s="4849" t="s">
        <v>760</v>
      </c>
      <c r="U84" s="4849"/>
      <c r="V84" s="580" t="s">
        <v>761</v>
      </c>
      <c r="W84" s="2704"/>
      <c r="X84" s="2705"/>
      <c r="Y84" s="2706"/>
      <c r="Z84" s="2706"/>
      <c r="AA84" s="1681"/>
      <c r="AB84" s="6292">
        <f>SUM(AA85)</f>
        <v>26785.72</v>
      </c>
      <c r="AC84" s="6293" t="s">
        <v>673</v>
      </c>
      <c r="AD84" s="2830"/>
      <c r="AE84" s="2831"/>
      <c r="AF84" s="2832"/>
      <c r="AG84" s="2132"/>
      <c r="AH84" s="8972"/>
    </row>
    <row r="85" spans="1:34" ht="48" customHeight="1">
      <c r="A85" s="9099"/>
      <c r="B85" s="9299"/>
      <c r="C85" s="9281"/>
      <c r="D85" s="9248"/>
      <c r="E85" s="9248"/>
      <c r="F85" s="9248"/>
      <c r="G85" s="9248"/>
      <c r="H85" s="9248"/>
      <c r="I85" s="9248"/>
      <c r="J85" s="9250"/>
      <c r="K85" s="9248"/>
      <c r="L85" s="9248"/>
      <c r="M85" s="9253"/>
      <c r="N85" s="9267"/>
      <c r="O85" s="9253"/>
      <c r="P85" s="8938"/>
      <c r="Q85" s="8938"/>
      <c r="R85" s="8958"/>
      <c r="S85" s="806"/>
      <c r="T85" s="4860"/>
      <c r="U85" s="4860"/>
      <c r="V85" s="3477" t="s">
        <v>762</v>
      </c>
      <c r="W85" s="971">
        <v>1</v>
      </c>
      <c r="X85" s="972" t="s">
        <v>180</v>
      </c>
      <c r="Y85" s="2834">
        <v>26785.72</v>
      </c>
      <c r="Z85" s="2834">
        <f>Y85</f>
        <v>26785.72</v>
      </c>
      <c r="AA85" s="2834">
        <f>Z85</f>
        <v>26785.72</v>
      </c>
      <c r="AB85" s="6294"/>
      <c r="AC85" s="6295"/>
      <c r="AD85" s="973"/>
      <c r="AE85" s="69" t="s">
        <v>153</v>
      </c>
      <c r="AF85" s="2835" t="s">
        <v>153</v>
      </c>
      <c r="AG85" s="2835"/>
      <c r="AH85" s="9287"/>
    </row>
    <row r="86" spans="1:34" ht="18" customHeight="1">
      <c r="A86" s="9099"/>
      <c r="B86" s="9299"/>
      <c r="C86" s="9281"/>
      <c r="D86" s="9248"/>
      <c r="E86" s="9248"/>
      <c r="F86" s="9248"/>
      <c r="G86" s="9248"/>
      <c r="H86" s="9248"/>
      <c r="I86" s="9248"/>
      <c r="J86" s="9250"/>
      <c r="K86" s="9248"/>
      <c r="L86" s="9248"/>
      <c r="M86" s="9253"/>
      <c r="N86" s="9267"/>
      <c r="O86" s="9253"/>
      <c r="P86" s="8938"/>
      <c r="Q86" s="8938"/>
      <c r="R86" s="8958"/>
      <c r="S86" s="3473" t="s">
        <v>80</v>
      </c>
      <c r="T86" s="6266" t="s">
        <v>760</v>
      </c>
      <c r="U86" s="6266"/>
      <c r="V86" s="3478" t="s">
        <v>761</v>
      </c>
      <c r="W86" s="3213"/>
      <c r="X86" s="3214"/>
      <c r="Y86" s="3215"/>
      <c r="Z86" s="3215"/>
      <c r="AA86" s="3215"/>
      <c r="AB86" s="6296">
        <f>AA87</f>
        <v>26785.71</v>
      </c>
      <c r="AC86" s="6297" t="s">
        <v>763</v>
      </c>
      <c r="AD86" s="3216"/>
      <c r="AE86" s="3214"/>
      <c r="AF86" s="3217"/>
      <c r="AG86" s="3217"/>
      <c r="AH86" s="9287"/>
    </row>
    <row r="87" spans="1:34" ht="46.5" customHeight="1">
      <c r="A87" s="9099"/>
      <c r="B87" s="9299"/>
      <c r="C87" s="9281"/>
      <c r="D87" s="9248"/>
      <c r="E87" s="9248"/>
      <c r="F87" s="9248"/>
      <c r="G87" s="9248"/>
      <c r="H87" s="9248"/>
      <c r="I87" s="9248"/>
      <c r="J87" s="9250"/>
      <c r="K87" s="9248"/>
      <c r="L87" s="9248"/>
      <c r="M87" s="9253"/>
      <c r="N87" s="9267"/>
      <c r="O87" s="9253"/>
      <c r="P87" s="8938"/>
      <c r="Q87" s="8938"/>
      <c r="R87" s="8958"/>
      <c r="S87" s="3474"/>
      <c r="T87" s="6267"/>
      <c r="U87" s="6267"/>
      <c r="V87" s="3479" t="s">
        <v>762</v>
      </c>
      <c r="W87" s="3213">
        <v>1</v>
      </c>
      <c r="X87" s="3214" t="s">
        <v>180</v>
      </c>
      <c r="Y87" s="3215">
        <v>26785.71</v>
      </c>
      <c r="Z87" s="3215">
        <f>Y87</f>
        <v>26785.71</v>
      </c>
      <c r="AA87" s="3215">
        <f>Z87</f>
        <v>26785.71</v>
      </c>
      <c r="AB87" s="6296"/>
      <c r="AC87" s="6298"/>
      <c r="AD87" s="3216"/>
      <c r="AE87" s="3214"/>
      <c r="AF87" s="3217" t="s">
        <v>153</v>
      </c>
      <c r="AG87" s="3217"/>
      <c r="AH87" s="9287"/>
    </row>
    <row r="88" spans="1:34" ht="18" customHeight="1">
      <c r="A88" s="9099"/>
      <c r="B88" s="9299"/>
      <c r="C88" s="9281"/>
      <c r="D88" s="9248"/>
      <c r="E88" s="9248"/>
      <c r="F88" s="9248"/>
      <c r="G88" s="9248"/>
      <c r="H88" s="9248"/>
      <c r="I88" s="9248"/>
      <c r="J88" s="9250"/>
      <c r="K88" s="9248"/>
      <c r="L88" s="9248"/>
      <c r="M88" s="9253"/>
      <c r="N88" s="9267"/>
      <c r="O88" s="9253"/>
      <c r="P88" s="8938"/>
      <c r="Q88" s="8938"/>
      <c r="R88" s="8958"/>
      <c r="S88" s="4065" t="s">
        <v>15</v>
      </c>
      <c r="T88" s="6268">
        <v>530601</v>
      </c>
      <c r="U88" s="6268"/>
      <c r="V88" s="3480" t="s">
        <v>761</v>
      </c>
      <c r="W88" s="3212"/>
      <c r="X88" s="3212"/>
      <c r="Y88" s="7801"/>
      <c r="Z88" s="7801"/>
      <c r="AA88" s="7801"/>
      <c r="AB88" s="7802">
        <f>+AA89</f>
        <v>15350</v>
      </c>
      <c r="AC88" s="6299" t="s">
        <v>25</v>
      </c>
      <c r="AD88" s="999"/>
      <c r="AE88" s="68"/>
      <c r="AF88" s="2962"/>
      <c r="AG88" s="2962"/>
      <c r="AH88" s="9274"/>
    </row>
    <row r="89" spans="1:34" ht="47.25" customHeight="1">
      <c r="A89" s="9099"/>
      <c r="B89" s="9299"/>
      <c r="C89" s="9281"/>
      <c r="D89" s="9248"/>
      <c r="E89" s="9248"/>
      <c r="F89" s="9248"/>
      <c r="G89" s="9248"/>
      <c r="H89" s="9248"/>
      <c r="I89" s="9248"/>
      <c r="J89" s="9250"/>
      <c r="K89" s="9248"/>
      <c r="L89" s="9248"/>
      <c r="M89" s="9253"/>
      <c r="N89" s="9267"/>
      <c r="O89" s="9253"/>
      <c r="P89" s="8938"/>
      <c r="Q89" s="8938"/>
      <c r="R89" s="8958"/>
      <c r="S89" s="3475"/>
      <c r="T89" s="6269"/>
      <c r="U89" s="6269"/>
      <c r="V89" s="3264" t="s">
        <v>764</v>
      </c>
      <c r="W89" s="3148">
        <v>1</v>
      </c>
      <c r="X89" s="3152" t="s">
        <v>180</v>
      </c>
      <c r="Y89" s="7803">
        <f>15350</f>
        <v>15350</v>
      </c>
      <c r="Z89" s="7803">
        <f>Y89*W89</f>
        <v>15350</v>
      </c>
      <c r="AA89" s="7803">
        <f>Z89</f>
        <v>15350</v>
      </c>
      <c r="AB89" s="7804"/>
      <c r="AC89" s="6300"/>
      <c r="AD89" s="973"/>
      <c r="AE89" s="69"/>
      <c r="AF89" s="2835" t="s">
        <v>153</v>
      </c>
      <c r="AG89" s="2835" t="s">
        <v>153</v>
      </c>
      <c r="AH89" s="9274"/>
    </row>
    <row r="90" spans="1:34" ht="18" customHeight="1">
      <c r="A90" s="9148"/>
      <c r="B90" s="9300"/>
      <c r="C90" s="9281"/>
      <c r="D90" s="9248"/>
      <c r="E90" s="9248"/>
      <c r="F90" s="9248"/>
      <c r="G90" s="9248"/>
      <c r="H90" s="9248"/>
      <c r="I90" s="9248"/>
      <c r="J90" s="9250"/>
      <c r="K90" s="9248"/>
      <c r="L90" s="9248"/>
      <c r="M90" s="9253"/>
      <c r="N90" s="9267"/>
      <c r="O90" s="9253"/>
      <c r="P90" s="8938"/>
      <c r="Q90" s="8938"/>
      <c r="R90" s="8958"/>
      <c r="S90" s="4065" t="s">
        <v>15</v>
      </c>
      <c r="T90" s="6268">
        <v>530601</v>
      </c>
      <c r="U90" s="6268"/>
      <c r="V90" s="3480" t="s">
        <v>761</v>
      </c>
      <c r="W90" s="3212"/>
      <c r="X90" s="3212"/>
      <c r="Y90" s="7801"/>
      <c r="Z90" s="7801"/>
      <c r="AA90" s="7801"/>
      <c r="AB90" s="7802">
        <f>+AA91</f>
        <v>15000</v>
      </c>
      <c r="AC90" s="6299" t="s">
        <v>18</v>
      </c>
      <c r="AD90" s="1297"/>
      <c r="AE90" s="1947"/>
      <c r="AF90" s="4215"/>
      <c r="AG90" s="4215"/>
      <c r="AH90" s="9274"/>
    </row>
    <row r="91" spans="1:34" ht="48" customHeight="1">
      <c r="A91" s="9239" t="s">
        <v>662</v>
      </c>
      <c r="B91" s="9298" t="s">
        <v>738</v>
      </c>
      <c r="C91" s="9282"/>
      <c r="D91" s="9249"/>
      <c r="E91" s="9249"/>
      <c r="F91" s="9249"/>
      <c r="G91" s="9249"/>
      <c r="H91" s="9249"/>
      <c r="I91" s="9249"/>
      <c r="J91" s="9251"/>
      <c r="K91" s="9249"/>
      <c r="L91" s="9249"/>
      <c r="M91" s="9254"/>
      <c r="N91" s="9268"/>
      <c r="O91" s="9254"/>
      <c r="P91" s="8939"/>
      <c r="Q91" s="8939"/>
      <c r="R91" s="8959"/>
      <c r="S91" s="3476"/>
      <c r="T91" s="6270"/>
      <c r="U91" s="6271"/>
      <c r="V91" s="3481" t="s">
        <v>765</v>
      </c>
      <c r="W91" s="3364">
        <v>1</v>
      </c>
      <c r="X91" s="3152" t="s">
        <v>180</v>
      </c>
      <c r="Y91" s="7803">
        <f>15000</f>
        <v>15000</v>
      </c>
      <c r="Z91" s="7913">
        <f>Y91*W91</f>
        <v>15000</v>
      </c>
      <c r="AA91" s="7913">
        <f>Z91</f>
        <v>15000</v>
      </c>
      <c r="AB91" s="7914"/>
      <c r="AC91" s="6301"/>
      <c r="AD91" s="2786"/>
      <c r="AE91" s="2785"/>
      <c r="AF91" s="2787"/>
      <c r="AG91" s="2787" t="s">
        <v>153</v>
      </c>
      <c r="AH91" s="9275"/>
    </row>
    <row r="92" spans="1:34" ht="38.25" customHeight="1">
      <c r="A92" s="9099"/>
      <c r="B92" s="9299"/>
      <c r="C92" s="9280" t="s">
        <v>127</v>
      </c>
      <c r="D92" s="8782" t="s">
        <v>128</v>
      </c>
      <c r="E92" s="8782" t="s">
        <v>140</v>
      </c>
      <c r="F92" s="8782" t="s">
        <v>597</v>
      </c>
      <c r="G92" s="8977" t="s">
        <v>131</v>
      </c>
      <c r="H92" s="8782" t="s">
        <v>132</v>
      </c>
      <c r="I92" s="8782" t="s">
        <v>159</v>
      </c>
      <c r="J92" s="9225" t="s">
        <v>766</v>
      </c>
      <c r="K92" s="9258" t="s">
        <v>767</v>
      </c>
      <c r="L92" s="8782" t="s">
        <v>768</v>
      </c>
      <c r="M92" s="9252">
        <v>1</v>
      </c>
      <c r="N92" s="9252">
        <v>1</v>
      </c>
      <c r="O92" s="9252">
        <v>2</v>
      </c>
      <c r="P92" s="8860" t="s">
        <v>769</v>
      </c>
      <c r="Q92" s="8860" t="s">
        <v>770</v>
      </c>
      <c r="R92" s="8957" t="s">
        <v>771</v>
      </c>
      <c r="S92" s="459"/>
      <c r="T92" s="4849"/>
      <c r="U92" s="4849"/>
      <c r="V92" s="135"/>
      <c r="W92" s="76"/>
      <c r="X92" s="76"/>
      <c r="Y92" s="77"/>
      <c r="Z92" s="54"/>
      <c r="AA92" s="54"/>
      <c r="AB92" s="4923"/>
      <c r="AC92" s="6278"/>
      <c r="AD92" s="378"/>
      <c r="AE92" s="76"/>
      <c r="AF92" s="79"/>
      <c r="AG92" s="79"/>
      <c r="AH92" s="8972"/>
    </row>
    <row r="93" spans="1:34" ht="38.25" customHeight="1">
      <c r="A93" s="9099"/>
      <c r="B93" s="9299"/>
      <c r="C93" s="9281"/>
      <c r="D93" s="9248"/>
      <c r="E93" s="9248"/>
      <c r="F93" s="9248"/>
      <c r="G93" s="9248"/>
      <c r="H93" s="9248"/>
      <c r="I93" s="9248"/>
      <c r="J93" s="9250"/>
      <c r="K93" s="9248"/>
      <c r="L93" s="9248"/>
      <c r="M93" s="9253"/>
      <c r="N93" s="9256"/>
      <c r="O93" s="9253"/>
      <c r="P93" s="8938"/>
      <c r="Q93" s="8938"/>
      <c r="R93" s="8958"/>
      <c r="S93" s="46"/>
      <c r="T93" s="4853"/>
      <c r="U93" s="4853"/>
      <c r="V93" s="47"/>
      <c r="W93" s="48"/>
      <c r="X93" s="48"/>
      <c r="Y93" s="49"/>
      <c r="Z93" s="49"/>
      <c r="AA93" s="49"/>
      <c r="AB93" s="4911"/>
      <c r="AC93" s="6273"/>
      <c r="AD93" s="374"/>
      <c r="AE93" s="48"/>
      <c r="AF93" s="51"/>
      <c r="AG93" s="51"/>
      <c r="AH93" s="9274"/>
    </row>
    <row r="94" spans="1:34" ht="38.25" customHeight="1">
      <c r="A94" s="9099"/>
      <c r="B94" s="9299"/>
      <c r="C94" s="9281"/>
      <c r="D94" s="9248"/>
      <c r="E94" s="9248"/>
      <c r="F94" s="9248"/>
      <c r="G94" s="9248"/>
      <c r="H94" s="9248"/>
      <c r="I94" s="9248"/>
      <c r="J94" s="9250"/>
      <c r="K94" s="9248"/>
      <c r="L94" s="9248"/>
      <c r="M94" s="9253"/>
      <c r="N94" s="9256"/>
      <c r="O94" s="9253"/>
      <c r="P94" s="8938"/>
      <c r="Q94" s="8938"/>
      <c r="R94" s="8958"/>
      <c r="S94" s="46"/>
      <c r="T94" s="4853"/>
      <c r="U94" s="4853"/>
      <c r="V94" s="47"/>
      <c r="W94" s="48"/>
      <c r="X94" s="48"/>
      <c r="Y94" s="49"/>
      <c r="Z94" s="49"/>
      <c r="AA94" s="49"/>
      <c r="AB94" s="4911"/>
      <c r="AC94" s="6273"/>
      <c r="AD94" s="374"/>
      <c r="AE94" s="48"/>
      <c r="AF94" s="51"/>
      <c r="AG94" s="51"/>
      <c r="AH94" s="9274"/>
    </row>
    <row r="95" spans="1:34" ht="38.25" customHeight="1">
      <c r="A95" s="9099"/>
      <c r="B95" s="9299"/>
      <c r="C95" s="9281"/>
      <c r="D95" s="9248"/>
      <c r="E95" s="9248"/>
      <c r="F95" s="9248"/>
      <c r="G95" s="9248"/>
      <c r="H95" s="9248"/>
      <c r="I95" s="9248"/>
      <c r="J95" s="9250"/>
      <c r="K95" s="9248"/>
      <c r="L95" s="9248"/>
      <c r="M95" s="9253"/>
      <c r="N95" s="9256"/>
      <c r="O95" s="9253"/>
      <c r="P95" s="8938"/>
      <c r="Q95" s="8938"/>
      <c r="R95" s="8958"/>
      <c r="S95" s="46"/>
      <c r="T95" s="4853"/>
      <c r="U95" s="4853"/>
      <c r="V95" s="47"/>
      <c r="W95" s="48"/>
      <c r="X95" s="48"/>
      <c r="Y95" s="49"/>
      <c r="Z95" s="49"/>
      <c r="AA95" s="49"/>
      <c r="AB95" s="4911"/>
      <c r="AC95" s="6273"/>
      <c r="AD95" s="374"/>
      <c r="AE95" s="48"/>
      <c r="AF95" s="51"/>
      <c r="AG95" s="51"/>
      <c r="AH95" s="9274"/>
    </row>
    <row r="96" spans="1:34" ht="38.25" customHeight="1">
      <c r="A96" s="9099"/>
      <c r="B96" s="9299"/>
      <c r="C96" s="9282"/>
      <c r="D96" s="9249"/>
      <c r="E96" s="9249"/>
      <c r="F96" s="9249"/>
      <c r="G96" s="9249"/>
      <c r="H96" s="9249"/>
      <c r="I96" s="9249"/>
      <c r="J96" s="9251"/>
      <c r="K96" s="9249"/>
      <c r="L96" s="9249"/>
      <c r="M96" s="9254"/>
      <c r="N96" s="9265"/>
      <c r="O96" s="9254"/>
      <c r="P96" s="8939"/>
      <c r="Q96" s="8939"/>
      <c r="R96" s="8959"/>
      <c r="S96" s="70"/>
      <c r="T96" s="4855"/>
      <c r="U96" s="4855"/>
      <c r="V96" s="71"/>
      <c r="W96" s="64"/>
      <c r="X96" s="64"/>
      <c r="Y96" s="72"/>
      <c r="Z96" s="72"/>
      <c r="AA96" s="72"/>
      <c r="AB96" s="4916"/>
      <c r="AC96" s="6279"/>
      <c r="AD96" s="376"/>
      <c r="AE96" s="64"/>
      <c r="AF96" s="65"/>
      <c r="AG96" s="65"/>
      <c r="AH96" s="9275"/>
    </row>
    <row r="97" spans="1:34" ht="48" customHeight="1">
      <c r="A97" s="9099"/>
      <c r="B97" s="9299"/>
      <c r="C97" s="9280" t="s">
        <v>127</v>
      </c>
      <c r="D97" s="8782" t="s">
        <v>128</v>
      </c>
      <c r="E97" s="8782" t="s">
        <v>140</v>
      </c>
      <c r="F97" s="8782" t="s">
        <v>597</v>
      </c>
      <c r="G97" s="8977" t="s">
        <v>131</v>
      </c>
      <c r="H97" s="8782" t="s">
        <v>132</v>
      </c>
      <c r="I97" s="8782" t="s">
        <v>159</v>
      </c>
      <c r="J97" s="9225" t="s">
        <v>772</v>
      </c>
      <c r="K97" s="9258" t="s">
        <v>773</v>
      </c>
      <c r="L97" s="8782" t="s">
        <v>774</v>
      </c>
      <c r="M97" s="9252">
        <v>1</v>
      </c>
      <c r="N97" s="9252">
        <v>0</v>
      </c>
      <c r="O97" s="9252">
        <v>1</v>
      </c>
      <c r="P97" s="8860" t="s">
        <v>775</v>
      </c>
      <c r="Q97" s="8860" t="s">
        <v>776</v>
      </c>
      <c r="R97" s="8957" t="s">
        <v>752</v>
      </c>
      <c r="S97" s="459"/>
      <c r="T97" s="4849"/>
      <c r="U97" s="4849"/>
      <c r="V97" s="135"/>
      <c r="W97" s="76"/>
      <c r="X97" s="76"/>
      <c r="Y97" s="77"/>
      <c r="Z97" s="54"/>
      <c r="AA97" s="54"/>
      <c r="AB97" s="4923"/>
      <c r="AC97" s="6278"/>
      <c r="AD97" s="378"/>
      <c r="AE97" s="76"/>
      <c r="AF97" s="79"/>
      <c r="AG97" s="79"/>
      <c r="AH97" s="8972"/>
    </row>
    <row r="98" spans="1:34" ht="48" customHeight="1">
      <c r="A98" s="9099"/>
      <c r="B98" s="9299"/>
      <c r="C98" s="9281"/>
      <c r="D98" s="9248"/>
      <c r="E98" s="9248"/>
      <c r="F98" s="9248"/>
      <c r="G98" s="9248"/>
      <c r="H98" s="9248"/>
      <c r="I98" s="9248"/>
      <c r="J98" s="9250"/>
      <c r="K98" s="9248"/>
      <c r="L98" s="9248"/>
      <c r="M98" s="9253"/>
      <c r="N98" s="9256"/>
      <c r="O98" s="9253"/>
      <c r="P98" s="8938"/>
      <c r="Q98" s="8938"/>
      <c r="R98" s="8958"/>
      <c r="S98" s="46"/>
      <c r="T98" s="4853"/>
      <c r="U98" s="4853"/>
      <c r="V98" s="47"/>
      <c r="W98" s="48"/>
      <c r="X98" s="48"/>
      <c r="Y98" s="49"/>
      <c r="Z98" s="49"/>
      <c r="AA98" s="49"/>
      <c r="AB98" s="4911"/>
      <c r="AC98" s="6273"/>
      <c r="AD98" s="374"/>
      <c r="AE98" s="48"/>
      <c r="AF98" s="51"/>
      <c r="AG98" s="51"/>
      <c r="AH98" s="9274"/>
    </row>
    <row r="99" spans="1:34" ht="48" customHeight="1">
      <c r="A99" s="9099"/>
      <c r="B99" s="9299"/>
      <c r="C99" s="9281"/>
      <c r="D99" s="9248"/>
      <c r="E99" s="9248"/>
      <c r="F99" s="9248"/>
      <c r="G99" s="9248"/>
      <c r="H99" s="9248"/>
      <c r="I99" s="9248"/>
      <c r="J99" s="9250"/>
      <c r="K99" s="9248"/>
      <c r="L99" s="9248"/>
      <c r="M99" s="9253"/>
      <c r="N99" s="9256"/>
      <c r="O99" s="9253"/>
      <c r="P99" s="8938"/>
      <c r="Q99" s="8938"/>
      <c r="R99" s="8958"/>
      <c r="S99" s="46"/>
      <c r="T99" s="4853"/>
      <c r="U99" s="4853"/>
      <c r="V99" s="47"/>
      <c r="W99" s="48"/>
      <c r="X99" s="48"/>
      <c r="Y99" s="49"/>
      <c r="Z99" s="49"/>
      <c r="AA99" s="49"/>
      <c r="AB99" s="4911"/>
      <c r="AC99" s="6273"/>
      <c r="AD99" s="374"/>
      <c r="AE99" s="48"/>
      <c r="AF99" s="51"/>
      <c r="AG99" s="51"/>
      <c r="AH99" s="9274"/>
    </row>
    <row r="100" spans="1:34" ht="48" customHeight="1">
      <c r="A100" s="9099"/>
      <c r="B100" s="9299"/>
      <c r="C100" s="9281"/>
      <c r="D100" s="9248"/>
      <c r="E100" s="9248"/>
      <c r="F100" s="9248"/>
      <c r="G100" s="9248"/>
      <c r="H100" s="9248"/>
      <c r="I100" s="9248"/>
      <c r="J100" s="9250"/>
      <c r="K100" s="9248"/>
      <c r="L100" s="9248"/>
      <c r="M100" s="9253"/>
      <c r="N100" s="9256"/>
      <c r="O100" s="9253"/>
      <c r="P100" s="8938"/>
      <c r="Q100" s="8938"/>
      <c r="R100" s="8958"/>
      <c r="S100" s="46"/>
      <c r="T100" s="4853"/>
      <c r="U100" s="4853"/>
      <c r="V100" s="47"/>
      <c r="W100" s="48"/>
      <c r="X100" s="48"/>
      <c r="Y100" s="49"/>
      <c r="Z100" s="49"/>
      <c r="AA100" s="49"/>
      <c r="AB100" s="4911"/>
      <c r="AC100" s="6273"/>
      <c r="AD100" s="374"/>
      <c r="AE100" s="48"/>
      <c r="AF100" s="51"/>
      <c r="AG100" s="51"/>
      <c r="AH100" s="9274"/>
    </row>
    <row r="101" spans="1:34" ht="48" customHeight="1">
      <c r="A101" s="9099"/>
      <c r="B101" s="9299"/>
      <c r="C101" s="9282"/>
      <c r="D101" s="9249"/>
      <c r="E101" s="9249"/>
      <c r="F101" s="9249"/>
      <c r="G101" s="9249"/>
      <c r="H101" s="9249"/>
      <c r="I101" s="9249"/>
      <c r="J101" s="9251"/>
      <c r="K101" s="9249"/>
      <c r="L101" s="9249"/>
      <c r="M101" s="9254"/>
      <c r="N101" s="9265"/>
      <c r="O101" s="9254"/>
      <c r="P101" s="8939"/>
      <c r="Q101" s="8939"/>
      <c r="R101" s="8959"/>
      <c r="S101" s="70"/>
      <c r="T101" s="4855"/>
      <c r="U101" s="4855"/>
      <c r="V101" s="71"/>
      <c r="W101" s="64"/>
      <c r="X101" s="64"/>
      <c r="Y101" s="72"/>
      <c r="Z101" s="72"/>
      <c r="AA101" s="72"/>
      <c r="AB101" s="4916"/>
      <c r="AC101" s="6279"/>
      <c r="AD101" s="376"/>
      <c r="AE101" s="64"/>
      <c r="AF101" s="65"/>
      <c r="AG101" s="65"/>
      <c r="AH101" s="9275"/>
    </row>
    <row r="102" spans="1:34" ht="35.25" customHeight="1">
      <c r="A102" s="9099"/>
      <c r="B102" s="9299"/>
      <c r="C102" s="9283" t="s">
        <v>127</v>
      </c>
      <c r="D102" s="8834" t="s">
        <v>128</v>
      </c>
      <c r="E102" s="8834" t="s">
        <v>140</v>
      </c>
      <c r="F102" s="8834" t="s">
        <v>597</v>
      </c>
      <c r="G102" s="8974" t="s">
        <v>131</v>
      </c>
      <c r="H102" s="8834" t="s">
        <v>132</v>
      </c>
      <c r="I102" s="8834" t="s">
        <v>159</v>
      </c>
      <c r="J102" s="9228" t="s">
        <v>777</v>
      </c>
      <c r="K102" s="8782" t="s">
        <v>778</v>
      </c>
      <c r="L102" s="8834" t="s">
        <v>779</v>
      </c>
      <c r="M102" s="9267">
        <v>1</v>
      </c>
      <c r="N102" s="9266">
        <v>1</v>
      </c>
      <c r="O102" s="9267">
        <v>1</v>
      </c>
      <c r="P102" s="9257" t="s">
        <v>780</v>
      </c>
      <c r="Q102" s="9257" t="s">
        <v>781</v>
      </c>
      <c r="R102" s="8982" t="s">
        <v>744</v>
      </c>
      <c r="S102" s="459"/>
      <c r="T102" s="4849"/>
      <c r="U102" s="4849"/>
      <c r="V102" s="66"/>
      <c r="W102" s="53"/>
      <c r="X102" s="53"/>
      <c r="Y102" s="54"/>
      <c r="Z102" s="54"/>
      <c r="AA102" s="54"/>
      <c r="AB102" s="4918"/>
      <c r="AC102" s="6272"/>
      <c r="AD102" s="377"/>
      <c r="AE102" s="53"/>
      <c r="AF102" s="73"/>
      <c r="AG102" s="73"/>
      <c r="AH102" s="8943"/>
    </row>
    <row r="103" spans="1:34" ht="35.25" customHeight="1">
      <c r="A103" s="9099"/>
      <c r="B103" s="9299"/>
      <c r="C103" s="9281"/>
      <c r="D103" s="9248"/>
      <c r="E103" s="9248"/>
      <c r="F103" s="9248"/>
      <c r="G103" s="9248"/>
      <c r="H103" s="9248"/>
      <c r="I103" s="9248"/>
      <c r="J103" s="9250"/>
      <c r="K103" s="9248"/>
      <c r="L103" s="9248"/>
      <c r="M103" s="9253"/>
      <c r="N103" s="9267"/>
      <c r="O103" s="9253"/>
      <c r="P103" s="8938"/>
      <c r="Q103" s="8938"/>
      <c r="R103" s="8958"/>
      <c r="S103" s="46"/>
      <c r="T103" s="4853"/>
      <c r="U103" s="4853"/>
      <c r="V103" s="47"/>
      <c r="W103" s="48"/>
      <c r="X103" s="48"/>
      <c r="Y103" s="49"/>
      <c r="Z103" s="49"/>
      <c r="AA103" s="49"/>
      <c r="AB103" s="4911"/>
      <c r="AC103" s="6273"/>
      <c r="AD103" s="374"/>
      <c r="AE103" s="48"/>
      <c r="AF103" s="51"/>
      <c r="AG103" s="51"/>
      <c r="AH103" s="9274"/>
    </row>
    <row r="104" spans="1:34" ht="35.25" customHeight="1">
      <c r="A104" s="9099"/>
      <c r="B104" s="9299"/>
      <c r="C104" s="9281"/>
      <c r="D104" s="9248"/>
      <c r="E104" s="9248"/>
      <c r="F104" s="9248"/>
      <c r="G104" s="9248"/>
      <c r="H104" s="9248"/>
      <c r="I104" s="9248"/>
      <c r="J104" s="9250"/>
      <c r="K104" s="9248"/>
      <c r="L104" s="9248"/>
      <c r="M104" s="9253"/>
      <c r="N104" s="9267"/>
      <c r="O104" s="9253"/>
      <c r="P104" s="8938"/>
      <c r="Q104" s="8938"/>
      <c r="R104" s="8958"/>
      <c r="S104" s="452"/>
      <c r="T104" s="4860"/>
      <c r="U104" s="4860"/>
      <c r="V104" s="52"/>
      <c r="W104" s="53"/>
      <c r="X104" s="53"/>
      <c r="Y104" s="54"/>
      <c r="Z104" s="49"/>
      <c r="AA104" s="49"/>
      <c r="AB104" s="4911"/>
      <c r="AC104" s="6273"/>
      <c r="AD104" s="374"/>
      <c r="AE104" s="48"/>
      <c r="AF104" s="51"/>
      <c r="AG104" s="51"/>
      <c r="AH104" s="9274"/>
    </row>
    <row r="105" spans="1:34" ht="35.25" customHeight="1">
      <c r="A105" s="9148"/>
      <c r="B105" s="9300"/>
      <c r="C105" s="9281"/>
      <c r="D105" s="9248"/>
      <c r="E105" s="9248"/>
      <c r="F105" s="9248"/>
      <c r="G105" s="9248"/>
      <c r="H105" s="9248"/>
      <c r="I105" s="9248"/>
      <c r="J105" s="9250"/>
      <c r="K105" s="9248"/>
      <c r="L105" s="9248"/>
      <c r="M105" s="9253"/>
      <c r="N105" s="9267"/>
      <c r="O105" s="9253"/>
      <c r="P105" s="8938"/>
      <c r="Q105" s="8938"/>
      <c r="R105" s="8958"/>
      <c r="S105" s="459"/>
      <c r="T105" s="4849"/>
      <c r="U105" s="4849"/>
      <c r="V105" s="52"/>
      <c r="W105" s="53"/>
      <c r="X105" s="53"/>
      <c r="Y105" s="54"/>
      <c r="Z105" s="49"/>
      <c r="AA105" s="49"/>
      <c r="AB105" s="4911"/>
      <c r="AC105" s="6273"/>
      <c r="AD105" s="374"/>
      <c r="AE105" s="48"/>
      <c r="AF105" s="51"/>
      <c r="AG105" s="51"/>
      <c r="AH105" s="9274"/>
    </row>
    <row r="106" spans="1:34" ht="35.25" customHeight="1">
      <c r="A106" s="9301" t="s">
        <v>662</v>
      </c>
      <c r="B106" s="9304" t="s">
        <v>738</v>
      </c>
      <c r="C106" s="9282"/>
      <c r="D106" s="9249"/>
      <c r="E106" s="9249"/>
      <c r="F106" s="9249"/>
      <c r="G106" s="9249"/>
      <c r="H106" s="9249"/>
      <c r="I106" s="9249"/>
      <c r="J106" s="9251"/>
      <c r="K106" s="9249"/>
      <c r="L106" s="9249"/>
      <c r="M106" s="9254"/>
      <c r="N106" s="9268"/>
      <c r="O106" s="9254"/>
      <c r="P106" s="8939"/>
      <c r="Q106" s="8939"/>
      <c r="R106" s="8959"/>
      <c r="S106" s="70"/>
      <c r="T106" s="4855"/>
      <c r="U106" s="4855"/>
      <c r="V106" s="71"/>
      <c r="W106" s="64"/>
      <c r="X106" s="64"/>
      <c r="Y106" s="72"/>
      <c r="Z106" s="72"/>
      <c r="AA106" s="72"/>
      <c r="AB106" s="4916"/>
      <c r="AC106" s="6279"/>
      <c r="AD106" s="376"/>
      <c r="AE106" s="64"/>
      <c r="AF106" s="65"/>
      <c r="AG106" s="65"/>
      <c r="AH106" s="9275"/>
    </row>
    <row r="107" spans="1:34" ht="24.75" customHeight="1">
      <c r="A107" s="9302"/>
      <c r="B107" s="9305"/>
      <c r="C107" s="9283" t="s">
        <v>127</v>
      </c>
      <c r="D107" s="8834" t="s">
        <v>128</v>
      </c>
      <c r="E107" s="8834" t="s">
        <v>129</v>
      </c>
      <c r="F107" s="8834" t="s">
        <v>268</v>
      </c>
      <c r="G107" s="8974" t="s">
        <v>131</v>
      </c>
      <c r="H107" s="8834" t="s">
        <v>132</v>
      </c>
      <c r="I107" s="8834" t="s">
        <v>159</v>
      </c>
      <c r="J107" s="9227"/>
      <c r="K107" s="8782" t="s">
        <v>782</v>
      </c>
      <c r="L107" s="9167"/>
      <c r="M107" s="9267"/>
      <c r="N107" s="9266"/>
      <c r="O107" s="9267"/>
      <c r="P107" s="9167"/>
      <c r="Q107" s="9167"/>
      <c r="R107" s="9263"/>
      <c r="S107" s="459"/>
      <c r="T107" s="4849"/>
      <c r="U107" s="4849"/>
      <c r="V107" s="66"/>
      <c r="W107" s="53"/>
      <c r="X107" s="53"/>
      <c r="Y107" s="54"/>
      <c r="Z107" s="54"/>
      <c r="AA107" s="54"/>
      <c r="AB107" s="4918"/>
      <c r="AC107" s="6272"/>
      <c r="AD107" s="377"/>
      <c r="AE107" s="53"/>
      <c r="AF107" s="68"/>
      <c r="AG107" s="68"/>
      <c r="AH107" s="9269" t="s">
        <v>783</v>
      </c>
    </row>
    <row r="108" spans="1:34" ht="24.75" customHeight="1">
      <c r="A108" s="9302"/>
      <c r="B108" s="9305"/>
      <c r="C108" s="9281"/>
      <c r="D108" s="9248"/>
      <c r="E108" s="9248"/>
      <c r="F108" s="9248"/>
      <c r="G108" s="9248"/>
      <c r="H108" s="9248"/>
      <c r="I108" s="9248"/>
      <c r="J108" s="9290"/>
      <c r="K108" s="9248"/>
      <c r="L108" s="9248"/>
      <c r="M108" s="9253"/>
      <c r="N108" s="9267"/>
      <c r="O108" s="9253"/>
      <c r="P108" s="8938"/>
      <c r="Q108" s="8938"/>
      <c r="R108" s="8958"/>
      <c r="S108" s="46"/>
      <c r="T108" s="4853"/>
      <c r="U108" s="4853"/>
      <c r="V108" s="47"/>
      <c r="W108" s="48"/>
      <c r="X108" s="48"/>
      <c r="Y108" s="49"/>
      <c r="Z108" s="49"/>
      <c r="AA108" s="49"/>
      <c r="AB108" s="4911"/>
      <c r="AC108" s="6273"/>
      <c r="AD108" s="374"/>
      <c r="AE108" s="48"/>
      <c r="AF108" s="48"/>
      <c r="AG108" s="69"/>
      <c r="AH108" s="9284"/>
    </row>
    <row r="109" spans="1:34" ht="24.75" customHeight="1">
      <c r="A109" s="9302"/>
      <c r="B109" s="9305"/>
      <c r="C109" s="9281"/>
      <c r="D109" s="9248"/>
      <c r="E109" s="9248"/>
      <c r="F109" s="9248"/>
      <c r="G109" s="9248"/>
      <c r="H109" s="9248"/>
      <c r="I109" s="9248"/>
      <c r="J109" s="9290"/>
      <c r="K109" s="9248"/>
      <c r="L109" s="9248"/>
      <c r="M109" s="9253"/>
      <c r="N109" s="9267"/>
      <c r="O109" s="9253"/>
      <c r="P109" s="8938"/>
      <c r="Q109" s="8938"/>
      <c r="R109" s="8958"/>
      <c r="S109" s="46"/>
      <c r="T109" s="4853"/>
      <c r="U109" s="4853"/>
      <c r="V109" s="47"/>
      <c r="W109" s="48"/>
      <c r="X109" s="48"/>
      <c r="Y109" s="49"/>
      <c r="Z109" s="49"/>
      <c r="AA109" s="49"/>
      <c r="AB109" s="4911"/>
      <c r="AC109" s="6273"/>
      <c r="AD109" s="374"/>
      <c r="AE109" s="48"/>
      <c r="AF109" s="48"/>
      <c r="AG109" s="51"/>
      <c r="AH109" s="9284"/>
    </row>
    <row r="110" spans="1:34" ht="24.75" customHeight="1">
      <c r="A110" s="9302"/>
      <c r="B110" s="9305"/>
      <c r="C110" s="9281"/>
      <c r="D110" s="9248"/>
      <c r="E110" s="9248"/>
      <c r="F110" s="9248"/>
      <c r="G110" s="9248"/>
      <c r="H110" s="9248"/>
      <c r="I110" s="9248"/>
      <c r="J110" s="9290"/>
      <c r="K110" s="9248"/>
      <c r="L110" s="9248"/>
      <c r="M110" s="9253"/>
      <c r="N110" s="9267"/>
      <c r="O110" s="9253"/>
      <c r="P110" s="8938"/>
      <c r="Q110" s="8938"/>
      <c r="R110" s="8958"/>
      <c r="S110" s="46"/>
      <c r="T110" s="4853"/>
      <c r="U110" s="4853"/>
      <c r="V110" s="47"/>
      <c r="W110" s="48"/>
      <c r="X110" s="48"/>
      <c r="Y110" s="49"/>
      <c r="Z110" s="49"/>
      <c r="AA110" s="49"/>
      <c r="AB110" s="4911"/>
      <c r="AC110" s="6273"/>
      <c r="AD110" s="374"/>
      <c r="AE110" s="48"/>
      <c r="AF110" s="48"/>
      <c r="AG110" s="51"/>
      <c r="AH110" s="9284"/>
    </row>
    <row r="111" spans="1:34" ht="24.75" customHeight="1">
      <c r="A111" s="9302"/>
      <c r="B111" s="9305"/>
      <c r="C111" s="9282"/>
      <c r="D111" s="9249"/>
      <c r="E111" s="9249"/>
      <c r="F111" s="9249"/>
      <c r="G111" s="9249"/>
      <c r="H111" s="9249"/>
      <c r="I111" s="9249"/>
      <c r="J111" s="9260"/>
      <c r="K111" s="9249"/>
      <c r="L111" s="9249"/>
      <c r="M111" s="9254"/>
      <c r="N111" s="9268"/>
      <c r="O111" s="9254"/>
      <c r="P111" s="8939"/>
      <c r="Q111" s="8939"/>
      <c r="R111" s="8959"/>
      <c r="S111" s="70"/>
      <c r="T111" s="4855"/>
      <c r="U111" s="4855"/>
      <c r="V111" s="71"/>
      <c r="W111" s="64"/>
      <c r="X111" s="64"/>
      <c r="Y111" s="72"/>
      <c r="Z111" s="72"/>
      <c r="AA111" s="72"/>
      <c r="AB111" s="4916"/>
      <c r="AC111" s="6279"/>
      <c r="AD111" s="376"/>
      <c r="AE111" s="64"/>
      <c r="AF111" s="64"/>
      <c r="AG111" s="65"/>
      <c r="AH111" s="9285"/>
    </row>
    <row r="112" spans="1:34" ht="26.25" customHeight="1">
      <c r="A112" s="9302"/>
      <c r="B112" s="9305"/>
      <c r="C112" s="9280" t="s">
        <v>127</v>
      </c>
      <c r="D112" s="8782" t="s">
        <v>128</v>
      </c>
      <c r="E112" s="8782" t="s">
        <v>129</v>
      </c>
      <c r="F112" s="8782" t="s">
        <v>268</v>
      </c>
      <c r="G112" s="8977" t="s">
        <v>131</v>
      </c>
      <c r="H112" s="8782" t="s">
        <v>132</v>
      </c>
      <c r="I112" s="8782" t="s">
        <v>214</v>
      </c>
      <c r="J112" s="9228" t="s">
        <v>426</v>
      </c>
      <c r="K112" s="8782" t="s">
        <v>286</v>
      </c>
      <c r="L112" s="8782" t="s">
        <v>784</v>
      </c>
      <c r="M112" s="9252">
        <v>0</v>
      </c>
      <c r="N112" s="9256">
        <v>1</v>
      </c>
      <c r="O112" s="9252">
        <v>1</v>
      </c>
      <c r="P112" s="8860" t="s">
        <v>785</v>
      </c>
      <c r="Q112" s="8860" t="s">
        <v>786</v>
      </c>
      <c r="R112" s="8957" t="s">
        <v>744</v>
      </c>
      <c r="S112" s="75"/>
      <c r="T112" s="4849"/>
      <c r="U112" s="4849"/>
      <c r="V112" s="458"/>
      <c r="W112" s="53"/>
      <c r="X112" s="53"/>
      <c r="Y112" s="54"/>
      <c r="Z112" s="54"/>
      <c r="AA112" s="54"/>
      <c r="AB112" s="4918"/>
      <c r="AC112" s="6272"/>
      <c r="AD112" s="377"/>
      <c r="AE112" s="53"/>
      <c r="AF112" s="73"/>
      <c r="AG112" s="73"/>
      <c r="AH112" s="9272" t="s">
        <v>787</v>
      </c>
    </row>
    <row r="113" spans="1:34" ht="26.25" customHeight="1">
      <c r="A113" s="9302"/>
      <c r="B113" s="9305"/>
      <c r="C113" s="9281"/>
      <c r="D113" s="9248"/>
      <c r="E113" s="9248"/>
      <c r="F113" s="9248"/>
      <c r="G113" s="9248"/>
      <c r="H113" s="9248"/>
      <c r="I113" s="9248"/>
      <c r="J113" s="9250"/>
      <c r="K113" s="9248"/>
      <c r="L113" s="9248"/>
      <c r="M113" s="9253"/>
      <c r="N113" s="9253"/>
      <c r="O113" s="9253"/>
      <c r="P113" s="8938"/>
      <c r="Q113" s="8938"/>
      <c r="R113" s="8958"/>
      <c r="S113" s="452"/>
      <c r="T113" s="4860"/>
      <c r="U113" s="4860"/>
      <c r="V113" s="47"/>
      <c r="W113" s="48"/>
      <c r="X113" s="48"/>
      <c r="Y113" s="49"/>
      <c r="Z113" s="49"/>
      <c r="AA113" s="49"/>
      <c r="AB113" s="4911"/>
      <c r="AC113" s="6273"/>
      <c r="AD113" s="374"/>
      <c r="AE113" s="48"/>
      <c r="AF113" s="51"/>
      <c r="AG113" s="51"/>
      <c r="AH113" s="9284"/>
    </row>
    <row r="114" spans="1:34" ht="26.25" customHeight="1">
      <c r="A114" s="9302"/>
      <c r="B114" s="9305"/>
      <c r="C114" s="9281"/>
      <c r="D114" s="9248"/>
      <c r="E114" s="9248"/>
      <c r="F114" s="9248"/>
      <c r="G114" s="9248"/>
      <c r="H114" s="9248"/>
      <c r="I114" s="9248"/>
      <c r="J114" s="9250"/>
      <c r="K114" s="9248"/>
      <c r="L114" s="9248"/>
      <c r="M114" s="9253"/>
      <c r="N114" s="9253"/>
      <c r="O114" s="9253"/>
      <c r="P114" s="8938"/>
      <c r="Q114" s="8938"/>
      <c r="R114" s="8958"/>
      <c r="S114" s="46"/>
      <c r="T114" s="4853"/>
      <c r="U114" s="4853"/>
      <c r="V114" s="47"/>
      <c r="W114" s="48"/>
      <c r="X114" s="48"/>
      <c r="Y114" s="49"/>
      <c r="Z114" s="49"/>
      <c r="AA114" s="49"/>
      <c r="AB114" s="4911"/>
      <c r="AC114" s="6273"/>
      <c r="AD114" s="374"/>
      <c r="AE114" s="48"/>
      <c r="AF114" s="51"/>
      <c r="AG114" s="51"/>
      <c r="AH114" s="9284"/>
    </row>
    <row r="115" spans="1:34" ht="26.25" customHeight="1">
      <c r="A115" s="9302"/>
      <c r="B115" s="9305"/>
      <c r="C115" s="9281"/>
      <c r="D115" s="9248"/>
      <c r="E115" s="9248"/>
      <c r="F115" s="9248"/>
      <c r="G115" s="9248"/>
      <c r="H115" s="9248"/>
      <c r="I115" s="9248"/>
      <c r="J115" s="9250"/>
      <c r="K115" s="9248"/>
      <c r="L115" s="9248"/>
      <c r="M115" s="9253"/>
      <c r="N115" s="9253"/>
      <c r="O115" s="9253"/>
      <c r="P115" s="8938"/>
      <c r="Q115" s="8938"/>
      <c r="R115" s="8958"/>
      <c r="S115" s="46"/>
      <c r="T115" s="4853"/>
      <c r="U115" s="4853"/>
      <c r="V115" s="47"/>
      <c r="W115" s="48"/>
      <c r="X115" s="48"/>
      <c r="Y115" s="49"/>
      <c r="Z115" s="49"/>
      <c r="AA115" s="49"/>
      <c r="AB115" s="4911"/>
      <c r="AC115" s="6273"/>
      <c r="AD115" s="374"/>
      <c r="AE115" s="48"/>
      <c r="AF115" s="51"/>
      <c r="AG115" s="51"/>
      <c r="AH115" s="9284"/>
    </row>
    <row r="116" spans="1:34" ht="26.25" customHeight="1">
      <c r="A116" s="9302"/>
      <c r="B116" s="9305"/>
      <c r="C116" s="9282"/>
      <c r="D116" s="9249"/>
      <c r="E116" s="9249"/>
      <c r="F116" s="9249"/>
      <c r="G116" s="9249"/>
      <c r="H116" s="9249"/>
      <c r="I116" s="9249"/>
      <c r="J116" s="9251"/>
      <c r="K116" s="9249"/>
      <c r="L116" s="9249"/>
      <c r="M116" s="9254"/>
      <c r="N116" s="9254"/>
      <c r="O116" s="9254"/>
      <c r="P116" s="8939"/>
      <c r="Q116" s="8939"/>
      <c r="R116" s="8959"/>
      <c r="S116" s="70"/>
      <c r="T116" s="4854"/>
      <c r="U116" s="4854"/>
      <c r="V116" s="457"/>
      <c r="W116" s="453"/>
      <c r="X116" s="453"/>
      <c r="Y116" s="454"/>
      <c r="Z116" s="72"/>
      <c r="AA116" s="72"/>
      <c r="AB116" s="4913"/>
      <c r="AC116" s="6277"/>
      <c r="AD116" s="375"/>
      <c r="AE116" s="453"/>
      <c r="AF116" s="456"/>
      <c r="AG116" s="456"/>
      <c r="AH116" s="9285"/>
    </row>
    <row r="117" spans="1:34" ht="26.25" customHeight="1">
      <c r="A117" s="9302"/>
      <c r="B117" s="9305"/>
      <c r="C117" s="9280" t="s">
        <v>127</v>
      </c>
      <c r="D117" s="8782" t="s">
        <v>128</v>
      </c>
      <c r="E117" s="8782" t="s">
        <v>129</v>
      </c>
      <c r="F117" s="8782" t="s">
        <v>268</v>
      </c>
      <c r="G117" s="8977" t="s">
        <v>131</v>
      </c>
      <c r="H117" s="8782" t="s">
        <v>132</v>
      </c>
      <c r="I117" s="8782" t="s">
        <v>159</v>
      </c>
      <c r="J117" s="9228" t="s">
        <v>430</v>
      </c>
      <c r="K117" s="8782" t="s">
        <v>338</v>
      </c>
      <c r="L117" s="8782" t="s">
        <v>788</v>
      </c>
      <c r="M117" s="9252">
        <v>5</v>
      </c>
      <c r="N117" s="9252">
        <v>5</v>
      </c>
      <c r="O117" s="9252">
        <v>5</v>
      </c>
      <c r="P117" s="8860" t="s">
        <v>789</v>
      </c>
      <c r="Q117" s="8860" t="s">
        <v>790</v>
      </c>
      <c r="R117" s="8957" t="s">
        <v>791</v>
      </c>
      <c r="S117" s="75"/>
      <c r="T117" s="4859"/>
      <c r="U117" s="4859"/>
      <c r="V117" s="135"/>
      <c r="W117" s="76"/>
      <c r="X117" s="76"/>
      <c r="Y117" s="77"/>
      <c r="Z117" s="77"/>
      <c r="AA117" s="77"/>
      <c r="AB117" s="4923"/>
      <c r="AC117" s="6278"/>
      <c r="AD117" s="378"/>
      <c r="AE117" s="76"/>
      <c r="AF117" s="79"/>
      <c r="AG117" s="79"/>
      <c r="AH117" s="8972"/>
    </row>
    <row r="118" spans="1:34" ht="26.25" customHeight="1">
      <c r="A118" s="9302"/>
      <c r="B118" s="9305"/>
      <c r="C118" s="9281"/>
      <c r="D118" s="9248"/>
      <c r="E118" s="9248"/>
      <c r="F118" s="9248"/>
      <c r="G118" s="9248"/>
      <c r="H118" s="9248"/>
      <c r="I118" s="9248"/>
      <c r="J118" s="9250"/>
      <c r="K118" s="9248"/>
      <c r="L118" s="9248"/>
      <c r="M118" s="9253"/>
      <c r="N118" s="9256"/>
      <c r="O118" s="9253"/>
      <c r="P118" s="8938"/>
      <c r="Q118" s="8938"/>
      <c r="R118" s="8958"/>
      <c r="S118" s="46"/>
      <c r="T118" s="4853"/>
      <c r="U118" s="4853"/>
      <c r="V118" s="47"/>
      <c r="W118" s="48"/>
      <c r="X118" s="48"/>
      <c r="Y118" s="49"/>
      <c r="Z118" s="49"/>
      <c r="AA118" s="49"/>
      <c r="AB118" s="4911"/>
      <c r="AC118" s="6273"/>
      <c r="AD118" s="374"/>
      <c r="AE118" s="48"/>
      <c r="AF118" s="51"/>
      <c r="AG118" s="51"/>
      <c r="AH118" s="9274"/>
    </row>
    <row r="119" spans="1:34" ht="26.25" customHeight="1">
      <c r="A119" s="9302"/>
      <c r="B119" s="9305"/>
      <c r="C119" s="9281"/>
      <c r="D119" s="9248"/>
      <c r="E119" s="9248"/>
      <c r="F119" s="9248"/>
      <c r="G119" s="9248"/>
      <c r="H119" s="9248"/>
      <c r="I119" s="9248"/>
      <c r="J119" s="9250"/>
      <c r="K119" s="9248"/>
      <c r="L119" s="9248"/>
      <c r="M119" s="9253"/>
      <c r="N119" s="9256"/>
      <c r="O119" s="9253"/>
      <c r="P119" s="8938"/>
      <c r="Q119" s="8938"/>
      <c r="R119" s="8958"/>
      <c r="S119" s="46"/>
      <c r="T119" s="4853"/>
      <c r="U119" s="4853"/>
      <c r="V119" s="47"/>
      <c r="W119" s="48"/>
      <c r="X119" s="48"/>
      <c r="Y119" s="49"/>
      <c r="Z119" s="49"/>
      <c r="AA119" s="49"/>
      <c r="AB119" s="4911"/>
      <c r="AC119" s="6273"/>
      <c r="AD119" s="374"/>
      <c r="AE119" s="48"/>
      <c r="AF119" s="51"/>
      <c r="AG119" s="51"/>
      <c r="AH119" s="9274"/>
    </row>
    <row r="120" spans="1:34" ht="26.25" customHeight="1">
      <c r="A120" s="9302"/>
      <c r="B120" s="9305"/>
      <c r="C120" s="9281"/>
      <c r="D120" s="9248"/>
      <c r="E120" s="9248"/>
      <c r="F120" s="9248"/>
      <c r="G120" s="9248"/>
      <c r="H120" s="9248"/>
      <c r="I120" s="9248"/>
      <c r="J120" s="9250"/>
      <c r="K120" s="9248"/>
      <c r="L120" s="9248"/>
      <c r="M120" s="9253"/>
      <c r="N120" s="9256"/>
      <c r="O120" s="9253"/>
      <c r="P120" s="8938"/>
      <c r="Q120" s="8938"/>
      <c r="R120" s="8958"/>
      <c r="S120" s="46"/>
      <c r="T120" s="4853"/>
      <c r="U120" s="4853"/>
      <c r="V120" s="47"/>
      <c r="W120" s="48"/>
      <c r="X120" s="48"/>
      <c r="Y120" s="49"/>
      <c r="Z120" s="49"/>
      <c r="AA120" s="49"/>
      <c r="AB120" s="4911"/>
      <c r="AC120" s="6273"/>
      <c r="AD120" s="374"/>
      <c r="AE120" s="48"/>
      <c r="AF120" s="51"/>
      <c r="AG120" s="51"/>
      <c r="AH120" s="9274"/>
    </row>
    <row r="121" spans="1:34" ht="26.25" customHeight="1">
      <c r="A121" s="9302"/>
      <c r="B121" s="9305"/>
      <c r="C121" s="9282"/>
      <c r="D121" s="9249"/>
      <c r="E121" s="9249"/>
      <c r="F121" s="9249"/>
      <c r="G121" s="9249"/>
      <c r="H121" s="9249"/>
      <c r="I121" s="9249"/>
      <c r="J121" s="9251"/>
      <c r="K121" s="9249"/>
      <c r="L121" s="9249"/>
      <c r="M121" s="9254"/>
      <c r="N121" s="9265"/>
      <c r="O121" s="9254"/>
      <c r="P121" s="8939"/>
      <c r="Q121" s="8939"/>
      <c r="R121" s="8959"/>
      <c r="S121" s="70"/>
      <c r="T121" s="4855"/>
      <c r="U121" s="4855"/>
      <c r="V121" s="71"/>
      <c r="W121" s="64"/>
      <c r="X121" s="64"/>
      <c r="Y121" s="72"/>
      <c r="Z121" s="72"/>
      <c r="AA121" s="72"/>
      <c r="AB121" s="4916"/>
      <c r="AC121" s="6279"/>
      <c r="AD121" s="375"/>
      <c r="AE121" s="64"/>
      <c r="AF121" s="65"/>
      <c r="AG121" s="65"/>
      <c r="AH121" s="9275"/>
    </row>
    <row r="122" spans="1:34" s="4842" customFormat="1" ht="22.5" customHeight="1" thickBot="1">
      <c r="A122" s="9302"/>
      <c r="B122" s="9306"/>
      <c r="C122" s="4888"/>
      <c r="D122" s="4889"/>
      <c r="E122" s="4889"/>
      <c r="F122" s="4889"/>
      <c r="G122" s="4889"/>
      <c r="H122" s="4889"/>
      <c r="I122" s="4889"/>
      <c r="J122" s="4889"/>
      <c r="K122" s="4889"/>
      <c r="L122" s="4889"/>
      <c r="M122" s="4889"/>
      <c r="N122" s="4889"/>
      <c r="O122" s="4889"/>
      <c r="P122" s="4889"/>
      <c r="Q122" s="4889"/>
      <c r="R122" s="4889"/>
      <c r="S122" s="9044" t="s">
        <v>792</v>
      </c>
      <c r="T122" s="9045"/>
      <c r="U122" s="9045"/>
      <c r="V122" s="9045"/>
      <c r="W122" s="9045"/>
      <c r="X122" s="9045"/>
      <c r="Y122" s="9045"/>
      <c r="Z122" s="9045"/>
      <c r="AA122" s="4890" t="s">
        <v>292</v>
      </c>
      <c r="AB122" s="5018">
        <f>SUM(AB74:AB121)</f>
        <v>85051.33</v>
      </c>
      <c r="AC122" s="5842"/>
      <c r="AD122" s="4892"/>
      <c r="AE122" s="9046"/>
      <c r="AF122" s="9047"/>
      <c r="AG122" s="9047"/>
      <c r="AH122" s="9048"/>
    </row>
    <row r="123" spans="1:34" s="4842" customFormat="1" ht="22.5" customHeight="1" thickBot="1">
      <c r="A123" s="9303"/>
      <c r="B123" s="6176"/>
      <c r="C123" s="4838"/>
      <c r="D123" s="4838"/>
      <c r="E123" s="4838"/>
      <c r="F123" s="4838"/>
      <c r="G123" s="4838"/>
      <c r="H123" s="4838"/>
      <c r="I123" s="4838"/>
      <c r="J123" s="4838"/>
      <c r="K123" s="4838"/>
      <c r="L123" s="4838"/>
      <c r="M123" s="4838"/>
      <c r="N123" s="4838"/>
      <c r="O123" s="4838"/>
      <c r="P123" s="4838"/>
      <c r="Q123" s="4838"/>
      <c r="R123" s="4839"/>
      <c r="S123" s="8897" t="s">
        <v>737</v>
      </c>
      <c r="T123" s="9049"/>
      <c r="U123" s="9049"/>
      <c r="V123" s="9049"/>
      <c r="W123" s="9049"/>
      <c r="X123" s="9049"/>
      <c r="Y123" s="9049"/>
      <c r="Z123" s="4829"/>
      <c r="AA123" s="4830" t="s">
        <v>292</v>
      </c>
      <c r="AB123" s="4894">
        <f>SUM(AB73,AB122)</f>
        <v>96959.14</v>
      </c>
      <c r="AC123" s="4840"/>
      <c r="AD123" s="4895"/>
      <c r="AE123" s="8898"/>
      <c r="AF123" s="8899"/>
      <c r="AG123" s="8899"/>
      <c r="AH123" s="8900"/>
    </row>
    <row r="124" spans="1:34" ht="17.25" thickTop="1">
      <c r="A124" s="1"/>
      <c r="B124" s="495"/>
      <c r="C124" s="689" t="s">
        <v>793</v>
      </c>
      <c r="D124" s="100"/>
      <c r="E124" s="100"/>
      <c r="F124" s="100"/>
      <c r="G124" s="100"/>
      <c r="H124" s="100"/>
      <c r="I124" s="100"/>
      <c r="J124" s="100"/>
      <c r="K124" s="100"/>
      <c r="L124" s="100"/>
      <c r="M124" s="100"/>
      <c r="N124" s="100"/>
      <c r="O124" s="100"/>
      <c r="P124" s="100"/>
      <c r="Q124" s="100"/>
      <c r="R124" s="100"/>
      <c r="S124" s="9088" t="s">
        <v>533</v>
      </c>
      <c r="T124" s="9089"/>
      <c r="U124" s="9089"/>
      <c r="V124" s="9089"/>
      <c r="W124" s="9089"/>
      <c r="X124" s="9089"/>
      <c r="Y124" s="9089"/>
      <c r="Z124" s="9089"/>
      <c r="AA124" s="9089"/>
      <c r="AB124" s="9089"/>
      <c r="AC124" s="9089"/>
      <c r="AD124" s="9089"/>
      <c r="AE124" s="9089"/>
      <c r="AF124" s="9089"/>
      <c r="AG124" s="9089"/>
      <c r="AH124" s="9089"/>
    </row>
    <row r="125" spans="1:34" ht="16.5">
      <c r="A125" s="1"/>
      <c r="B125" s="495"/>
      <c r="C125" s="689" t="s">
        <v>794</v>
      </c>
      <c r="D125" s="100"/>
      <c r="E125" s="100"/>
      <c r="F125" s="100"/>
      <c r="G125" s="100"/>
      <c r="H125" s="100"/>
      <c r="I125" s="100"/>
      <c r="J125" s="100"/>
      <c r="K125" s="100"/>
      <c r="L125" s="100"/>
      <c r="M125" s="100"/>
      <c r="N125" s="100"/>
      <c r="O125" s="100"/>
      <c r="P125" s="100"/>
      <c r="Q125" s="100"/>
      <c r="R125" s="100"/>
      <c r="S125" s="99"/>
      <c r="AC125" s="434"/>
      <c r="AD125" s="434"/>
    </row>
    <row r="126" spans="1:34" ht="16.5" customHeight="1">
      <c r="A126" s="1"/>
      <c r="B126" s="6"/>
      <c r="D126" s="100"/>
      <c r="E126" s="100"/>
      <c r="F126" s="100"/>
      <c r="G126" s="100"/>
      <c r="H126" s="100"/>
      <c r="I126" s="100"/>
      <c r="J126" s="100"/>
      <c r="K126" s="100"/>
      <c r="L126" s="100"/>
      <c r="M126" s="100"/>
      <c r="N126" s="100"/>
      <c r="O126" s="100"/>
      <c r="P126" s="100"/>
      <c r="Q126" s="100"/>
      <c r="R126" s="100"/>
      <c r="S126" s="100"/>
      <c r="T126" s="100"/>
      <c r="U126" s="8775" t="s">
        <v>351</v>
      </c>
      <c r="V126" s="8953"/>
      <c r="W126" s="8953"/>
      <c r="X126" s="8953"/>
      <c r="Y126" s="8953"/>
      <c r="Z126" s="8953"/>
      <c r="AA126" s="231"/>
      <c r="AB126" s="231"/>
      <c r="AC126" s="231"/>
      <c r="AD126" s="434"/>
      <c r="AE126" s="100"/>
      <c r="AF126" s="100"/>
      <c r="AG126" s="100"/>
    </row>
    <row r="127" spans="1:34" ht="16.5">
      <c r="A127" s="1"/>
      <c r="B127" s="1"/>
      <c r="C127" s="100"/>
      <c r="D127" s="100"/>
      <c r="E127" s="100"/>
      <c r="F127" s="100"/>
      <c r="G127" s="100"/>
      <c r="H127" s="100"/>
      <c r="I127" s="100"/>
      <c r="J127" s="100"/>
      <c r="K127" s="100"/>
      <c r="L127" s="100"/>
      <c r="M127" s="100"/>
      <c r="N127" s="100"/>
      <c r="O127" s="100"/>
      <c r="P127" s="100"/>
      <c r="Q127" s="100"/>
      <c r="R127" s="100"/>
      <c r="S127" s="100"/>
      <c r="T127" s="29"/>
      <c r="U127" s="596"/>
      <c r="V127" s="596"/>
      <c r="W127" s="596"/>
      <c r="X127" s="596"/>
      <c r="Y127" s="596"/>
      <c r="Z127" s="596"/>
      <c r="AA127" s="100"/>
      <c r="AB127" s="363"/>
      <c r="AC127" s="363"/>
      <c r="AD127" s="100"/>
      <c r="AE127" s="100"/>
      <c r="AF127" s="100"/>
      <c r="AG127" s="100"/>
    </row>
    <row r="128" spans="1:34" ht="18" customHeight="1">
      <c r="A128" s="1"/>
      <c r="B128" s="1"/>
      <c r="C128" s="100"/>
      <c r="D128" s="100"/>
      <c r="E128" s="100"/>
      <c r="F128" s="100"/>
      <c r="G128" s="100"/>
      <c r="H128" s="100"/>
      <c r="I128" s="100"/>
      <c r="J128" s="100"/>
      <c r="K128" s="100"/>
      <c r="L128" s="100"/>
      <c r="M128" s="100"/>
      <c r="N128" s="100"/>
      <c r="O128" s="100"/>
      <c r="P128" s="100"/>
      <c r="Q128" s="100"/>
      <c r="R128" s="100"/>
      <c r="S128" s="125"/>
      <c r="T128" s="596"/>
      <c r="U128" s="5882" t="s">
        <v>5</v>
      </c>
      <c r="V128" s="5883" t="s">
        <v>6</v>
      </c>
      <c r="W128" s="5884" t="s">
        <v>7</v>
      </c>
      <c r="X128" s="5885" t="s">
        <v>352</v>
      </c>
      <c r="Y128" s="5885" t="s">
        <v>9</v>
      </c>
      <c r="Z128" s="5886" t="s">
        <v>353</v>
      </c>
      <c r="AA128" s="2912"/>
      <c r="AB128" s="9"/>
      <c r="AC128" s="9"/>
      <c r="AD128" s="334"/>
      <c r="AE128" s="100"/>
      <c r="AF128" s="100"/>
      <c r="AG128" s="100"/>
    </row>
    <row r="129" spans="1:33" ht="82.5">
      <c r="A129" s="1"/>
      <c r="B129" s="1"/>
      <c r="C129" s="100"/>
      <c r="D129" s="100"/>
      <c r="E129" s="100"/>
      <c r="F129" s="100"/>
      <c r="G129" s="100"/>
      <c r="H129" s="100"/>
      <c r="I129" s="100"/>
      <c r="J129" s="100"/>
      <c r="K129" s="100"/>
      <c r="L129" s="100"/>
      <c r="M129" s="100"/>
      <c r="N129" s="100"/>
      <c r="O129" s="100"/>
      <c r="P129" s="100"/>
      <c r="Q129" s="100"/>
      <c r="R129" s="100"/>
      <c r="S129" s="125"/>
      <c r="T129" s="596"/>
      <c r="U129" s="5855" t="s">
        <v>15</v>
      </c>
      <c r="V129" s="1844" t="s">
        <v>16</v>
      </c>
      <c r="W129" s="1754">
        <v>530204</v>
      </c>
      <c r="X129" s="1755" t="s">
        <v>17</v>
      </c>
      <c r="Y129" s="1845" t="s">
        <v>26</v>
      </c>
      <c r="Z129" s="2859">
        <f>AB9</f>
        <v>6300</v>
      </c>
      <c r="AA129" s="2912"/>
      <c r="AB129" s="9"/>
      <c r="AC129" s="9"/>
      <c r="AD129" s="334"/>
      <c r="AE129" s="100"/>
      <c r="AF129" s="100"/>
      <c r="AG129" s="100"/>
    </row>
    <row r="130" spans="1:33" ht="33">
      <c r="A130" s="1"/>
      <c r="B130" s="1"/>
      <c r="C130" s="100"/>
      <c r="D130" s="100"/>
      <c r="E130" s="100"/>
      <c r="F130" s="100"/>
      <c r="G130" s="100"/>
      <c r="H130" s="100"/>
      <c r="I130" s="100"/>
      <c r="J130" s="100"/>
      <c r="K130" s="100"/>
      <c r="L130" s="100"/>
      <c r="M130" s="100"/>
      <c r="N130" s="100"/>
      <c r="O130" s="100"/>
      <c r="P130" s="100"/>
      <c r="Q130" s="141"/>
      <c r="R130" s="101"/>
      <c r="S130" s="2186"/>
      <c r="T130" s="2911"/>
      <c r="U130" s="5855" t="s">
        <v>15</v>
      </c>
      <c r="V130" s="1844" t="s">
        <v>761</v>
      </c>
      <c r="W130" s="1754">
        <v>530601</v>
      </c>
      <c r="X130" s="1755" t="s">
        <v>17</v>
      </c>
      <c r="Y130" s="1845" t="s">
        <v>25</v>
      </c>
      <c r="Z130" s="1685">
        <f>AB88</f>
        <v>15350</v>
      </c>
      <c r="AA130" s="2813"/>
      <c r="AB130" s="9"/>
      <c r="AC130" s="9"/>
      <c r="AD130" s="2085"/>
      <c r="AE130" s="100"/>
      <c r="AF130" s="100"/>
      <c r="AG130" s="100"/>
    </row>
    <row r="131" spans="1:33" ht="33">
      <c r="A131" s="1"/>
      <c r="B131" s="1"/>
      <c r="C131" s="100"/>
      <c r="D131" s="100"/>
      <c r="E131" s="100"/>
      <c r="F131" s="100"/>
      <c r="G131" s="100"/>
      <c r="H131" s="100"/>
      <c r="I131" s="100"/>
      <c r="J131" s="100"/>
      <c r="K131" s="100"/>
      <c r="L131" s="100"/>
      <c r="M131" s="100"/>
      <c r="N131" s="100"/>
      <c r="O131" s="100"/>
      <c r="P131" s="100"/>
      <c r="Q131" s="141"/>
      <c r="R131" s="101"/>
      <c r="S131" s="2186"/>
      <c r="T131" s="2911"/>
      <c r="U131" s="5855" t="s">
        <v>15</v>
      </c>
      <c r="V131" s="1844" t="s">
        <v>761</v>
      </c>
      <c r="W131" s="1754">
        <v>530601</v>
      </c>
      <c r="X131" s="1755" t="s">
        <v>17</v>
      </c>
      <c r="Y131" s="1845" t="s">
        <v>18</v>
      </c>
      <c r="Z131" s="2859">
        <f>+AB90</f>
        <v>15000</v>
      </c>
      <c r="AA131" s="2813"/>
      <c r="AB131" s="9"/>
      <c r="AC131" s="9"/>
      <c r="AD131" s="2085"/>
      <c r="AE131" s="100"/>
      <c r="AF131" s="100"/>
      <c r="AG131" s="100"/>
    </row>
    <row r="132" spans="1:33" ht="33">
      <c r="A132" s="1"/>
      <c r="B132" s="1"/>
      <c r="C132" s="100"/>
      <c r="D132" s="100"/>
      <c r="E132" s="100"/>
      <c r="F132" s="100"/>
      <c r="G132" s="100"/>
      <c r="H132" s="100"/>
      <c r="I132" s="100"/>
      <c r="J132" s="100"/>
      <c r="K132" s="100"/>
      <c r="L132" s="100"/>
      <c r="M132" s="100"/>
      <c r="N132" s="100"/>
      <c r="O132" s="100"/>
      <c r="P132" s="100"/>
      <c r="Q132" s="141"/>
      <c r="R132" s="101"/>
      <c r="S132" s="2186"/>
      <c r="T132" s="2911"/>
      <c r="U132" s="5855" t="s">
        <v>15</v>
      </c>
      <c r="V132" s="8597" t="s">
        <v>680</v>
      </c>
      <c r="W132" s="1684">
        <v>570102</v>
      </c>
      <c r="X132" s="1678" t="s">
        <v>17</v>
      </c>
      <c r="Y132" s="8595" t="s">
        <v>25</v>
      </c>
      <c r="Z132" s="8596">
        <f>AB18</f>
        <v>4000</v>
      </c>
      <c r="AA132" s="2813"/>
      <c r="AB132" s="9"/>
      <c r="AC132" s="9"/>
      <c r="AD132" s="2085"/>
      <c r="AE132" s="100"/>
      <c r="AF132" s="100"/>
      <c r="AG132" s="100"/>
    </row>
    <row r="133" spans="1:33" ht="33">
      <c r="A133" s="1"/>
      <c r="B133" s="1"/>
      <c r="C133" s="100"/>
      <c r="D133" s="100"/>
      <c r="E133" s="100"/>
      <c r="F133" s="100"/>
      <c r="G133" s="100"/>
      <c r="H133" s="100"/>
      <c r="I133" s="100"/>
      <c r="J133" s="100"/>
      <c r="K133" s="100"/>
      <c r="L133" s="100"/>
      <c r="M133" s="100"/>
      <c r="N133" s="100"/>
      <c r="O133" s="100"/>
      <c r="P133" s="100"/>
      <c r="Q133" s="141"/>
      <c r="R133" s="101"/>
      <c r="S133" s="2186"/>
      <c r="T133" s="2911"/>
      <c r="U133" s="2927" t="s">
        <v>80</v>
      </c>
      <c r="V133" s="1844" t="s">
        <v>761</v>
      </c>
      <c r="W133" s="8598" t="s">
        <v>795</v>
      </c>
      <c r="X133" s="8599" t="s">
        <v>17</v>
      </c>
      <c r="Y133" s="8600" t="s">
        <v>673</v>
      </c>
      <c r="Z133" s="2910">
        <f>AB84</f>
        <v>26785.72</v>
      </c>
      <c r="AA133" s="2813"/>
      <c r="AB133" s="9"/>
      <c r="AC133" s="9"/>
      <c r="AD133" s="2085"/>
      <c r="AE133" s="100"/>
      <c r="AF133" s="100"/>
      <c r="AG133" s="100"/>
    </row>
    <row r="134" spans="1:33" ht="33">
      <c r="A134" s="1"/>
      <c r="B134" s="1"/>
      <c r="C134" s="100"/>
      <c r="D134" s="100"/>
      <c r="E134" s="100"/>
      <c r="F134" s="100"/>
      <c r="G134" s="100"/>
      <c r="H134" s="100"/>
      <c r="I134" s="100"/>
      <c r="J134" s="100"/>
      <c r="K134" s="100"/>
      <c r="L134" s="100"/>
      <c r="M134" s="100"/>
      <c r="N134" s="100"/>
      <c r="O134" s="100"/>
      <c r="P134" s="100"/>
      <c r="Q134" s="141"/>
      <c r="R134" s="101"/>
      <c r="S134" s="2186"/>
      <c r="T134" s="2911"/>
      <c r="U134" s="2927" t="s">
        <v>80</v>
      </c>
      <c r="V134" s="3482" t="s">
        <v>761</v>
      </c>
      <c r="W134" s="1847" t="s">
        <v>795</v>
      </c>
      <c r="X134" s="1848" t="s">
        <v>17</v>
      </c>
      <c r="Y134" s="1849" t="s">
        <v>763</v>
      </c>
      <c r="Z134" s="2964">
        <f>+AB86</f>
        <v>26785.71</v>
      </c>
      <c r="AA134" s="2813"/>
      <c r="AB134" s="9"/>
      <c r="AC134" s="9"/>
      <c r="AD134" s="2085"/>
      <c r="AE134" s="100"/>
      <c r="AF134" s="100"/>
      <c r="AG134" s="100"/>
    </row>
    <row r="135" spans="1:33" ht="33">
      <c r="A135" s="1"/>
      <c r="B135" s="1"/>
      <c r="C135" s="100"/>
      <c r="D135" s="100"/>
      <c r="E135" s="100"/>
      <c r="F135" s="100"/>
      <c r="G135" s="100"/>
      <c r="H135" s="100"/>
      <c r="I135" s="100"/>
      <c r="J135" s="100"/>
      <c r="K135" s="100"/>
      <c r="L135" s="100"/>
      <c r="M135" s="100"/>
      <c r="N135" s="100"/>
      <c r="O135" s="100"/>
      <c r="P135" s="100"/>
      <c r="Q135" s="141"/>
      <c r="R135" s="101"/>
      <c r="S135" s="2186"/>
      <c r="T135" s="2911"/>
      <c r="U135" s="5855" t="s">
        <v>15</v>
      </c>
      <c r="V135" s="1844" t="s">
        <v>591</v>
      </c>
      <c r="W135" s="1754">
        <v>840103</v>
      </c>
      <c r="X135" s="1755" t="s">
        <v>17</v>
      </c>
      <c r="Y135" s="1845" t="s">
        <v>25</v>
      </c>
      <c r="Z135" s="2859">
        <f>AB12</f>
        <v>358.5</v>
      </c>
      <c r="AA135" s="2813"/>
      <c r="AB135" s="9"/>
      <c r="AC135" s="9"/>
      <c r="AD135" s="2085"/>
      <c r="AE135" s="100"/>
      <c r="AF135" s="100"/>
      <c r="AG135" s="100"/>
    </row>
    <row r="136" spans="1:33" ht="33">
      <c r="A136" s="1"/>
      <c r="B136" s="1"/>
      <c r="C136" s="100"/>
      <c r="D136" s="100"/>
      <c r="E136" s="100"/>
      <c r="F136" s="100"/>
      <c r="G136" s="100"/>
      <c r="H136" s="100"/>
      <c r="I136" s="100"/>
      <c r="J136" s="100"/>
      <c r="K136" s="100"/>
      <c r="L136" s="100"/>
      <c r="M136" s="100"/>
      <c r="N136" s="100"/>
      <c r="O136" s="100"/>
      <c r="P136" s="100"/>
      <c r="Q136" s="141"/>
      <c r="R136" s="101"/>
      <c r="S136" s="2186"/>
      <c r="T136" s="2911"/>
      <c r="U136" s="890" t="s">
        <v>15</v>
      </c>
      <c r="V136" s="1844" t="s">
        <v>591</v>
      </c>
      <c r="W136" s="1754">
        <v>840103</v>
      </c>
      <c r="X136" s="1678" t="s">
        <v>17</v>
      </c>
      <c r="Y136" s="3483" t="s">
        <v>26</v>
      </c>
      <c r="Z136" s="2859">
        <f>AB14</f>
        <v>478.97</v>
      </c>
      <c r="AA136" s="2813"/>
      <c r="AB136" s="9"/>
      <c r="AC136" s="9"/>
      <c r="AD136" s="2085"/>
      <c r="AE136" s="100"/>
      <c r="AF136" s="100"/>
      <c r="AG136" s="100"/>
    </row>
    <row r="137" spans="1:33" ht="33">
      <c r="A137" s="1"/>
      <c r="B137" s="1"/>
      <c r="C137" s="100"/>
      <c r="D137" s="100"/>
      <c r="E137" s="100"/>
      <c r="F137" s="100"/>
      <c r="G137" s="100"/>
      <c r="H137" s="100"/>
      <c r="I137" s="100"/>
      <c r="J137" s="100"/>
      <c r="K137" s="100"/>
      <c r="L137" s="100"/>
      <c r="M137" s="100"/>
      <c r="N137" s="100"/>
      <c r="O137" s="100"/>
      <c r="P137" s="100"/>
      <c r="Q137" s="141"/>
      <c r="R137" s="101"/>
      <c r="S137" s="2186"/>
      <c r="T137" s="2911"/>
      <c r="U137" s="890" t="s">
        <v>15</v>
      </c>
      <c r="V137" s="1844" t="s">
        <v>591</v>
      </c>
      <c r="W137" s="1754">
        <v>840103</v>
      </c>
      <c r="X137" s="1678" t="s">
        <v>17</v>
      </c>
      <c r="Y137" s="3483" t="s">
        <v>673</v>
      </c>
      <c r="Z137" s="2859">
        <f>AB16</f>
        <v>770.34</v>
      </c>
      <c r="AA137" s="2813"/>
      <c r="AB137" s="9"/>
      <c r="AC137" s="9"/>
      <c r="AD137" s="2085"/>
      <c r="AE137" s="100"/>
      <c r="AF137" s="100"/>
      <c r="AG137" s="100"/>
    </row>
    <row r="138" spans="1:33" ht="33">
      <c r="A138" s="1"/>
      <c r="B138" s="1"/>
      <c r="C138" s="100"/>
      <c r="D138" s="100"/>
      <c r="E138" s="100"/>
      <c r="F138" s="100"/>
      <c r="G138" s="100"/>
      <c r="H138" s="100"/>
      <c r="I138" s="100"/>
      <c r="J138" s="100"/>
      <c r="K138" s="100"/>
      <c r="L138" s="100"/>
      <c r="M138" s="100"/>
      <c r="N138" s="100"/>
      <c r="O138" s="100"/>
      <c r="P138" s="100"/>
      <c r="Q138" s="141"/>
      <c r="R138" s="101"/>
      <c r="S138" s="2186"/>
      <c r="T138" s="2911"/>
      <c r="U138" s="890" t="s">
        <v>15</v>
      </c>
      <c r="V138" s="3482" t="s">
        <v>40</v>
      </c>
      <c r="W138" s="1684">
        <v>840107</v>
      </c>
      <c r="X138" s="1678" t="s">
        <v>17</v>
      </c>
      <c r="Y138" s="3483" t="s">
        <v>25</v>
      </c>
      <c r="Z138" s="1685">
        <f>AB79</f>
        <v>1129.9000000000001</v>
      </c>
      <c r="AA138" s="2813"/>
      <c r="AB138" s="9"/>
      <c r="AC138" s="9"/>
      <c r="AD138" s="2085"/>
      <c r="AE138" s="100"/>
      <c r="AF138" s="100"/>
      <c r="AG138" s="100"/>
    </row>
    <row r="139" spans="1:33" ht="18" customHeight="1">
      <c r="A139" s="1"/>
      <c r="B139" s="1"/>
      <c r="C139" s="100"/>
      <c r="D139" s="100"/>
      <c r="E139" s="100"/>
      <c r="F139" s="100"/>
      <c r="G139" s="100"/>
      <c r="H139" s="100"/>
      <c r="I139" s="100"/>
      <c r="J139" s="100"/>
      <c r="K139" s="100"/>
      <c r="L139" s="100"/>
      <c r="M139" s="100"/>
      <c r="N139" s="100"/>
      <c r="O139" s="100"/>
      <c r="P139" s="100"/>
      <c r="Q139" s="2187"/>
      <c r="R139" s="101"/>
      <c r="S139" s="2186"/>
      <c r="T139" s="2911"/>
      <c r="U139" s="5942"/>
      <c r="V139" s="5943" t="s">
        <v>67</v>
      </c>
      <c r="W139" s="5944"/>
      <c r="X139" s="5944"/>
      <c r="Y139" s="5926" t="s">
        <v>292</v>
      </c>
      <c r="Z139" s="1846">
        <f>SUM(Z129:Z138)</f>
        <v>96959.139999999985</v>
      </c>
      <c r="AA139" s="466"/>
      <c r="AB139" s="363"/>
      <c r="AC139" s="363"/>
      <c r="AD139" s="100"/>
      <c r="AE139" s="100"/>
      <c r="AF139" s="100"/>
      <c r="AG139" s="100"/>
    </row>
    <row r="140" spans="1:33" ht="16.5" customHeight="1">
      <c r="A140" s="1"/>
      <c r="B140" s="1"/>
      <c r="C140" s="100"/>
      <c r="D140" s="100"/>
      <c r="E140" s="100"/>
      <c r="F140" s="100"/>
      <c r="G140" s="100"/>
      <c r="H140" s="100"/>
      <c r="I140" s="100"/>
      <c r="J140" s="100"/>
      <c r="K140" s="100"/>
      <c r="L140" s="100"/>
      <c r="M140" s="100"/>
      <c r="N140" s="100"/>
      <c r="O140" s="100"/>
      <c r="P140" s="100"/>
      <c r="Q140" s="100"/>
      <c r="R140" s="100"/>
      <c r="S140" s="29"/>
      <c r="T140" s="29"/>
      <c r="U140" s="596"/>
      <c r="V140" s="596"/>
      <c r="W140" s="2162"/>
      <c r="X140" s="2903"/>
      <c r="Y140" s="596"/>
      <c r="Z140" s="596"/>
      <c r="AA140" s="28"/>
      <c r="AB140" s="368"/>
      <c r="AC140" s="368"/>
      <c r="AD140" s="100"/>
      <c r="AE140" s="100"/>
      <c r="AF140" s="100"/>
      <c r="AG140" s="100"/>
    </row>
    <row r="141" spans="1:33" ht="16.5" customHeight="1">
      <c r="A141" s="1"/>
      <c r="B141" s="1"/>
      <c r="C141" s="100"/>
      <c r="D141" s="100"/>
      <c r="E141" s="100"/>
      <c r="F141" s="100"/>
      <c r="G141" s="100"/>
      <c r="H141" s="100"/>
      <c r="I141" s="100"/>
      <c r="J141" s="100"/>
      <c r="K141" s="100"/>
      <c r="L141" s="100"/>
      <c r="M141" s="100"/>
      <c r="N141" s="100"/>
      <c r="O141" s="100"/>
      <c r="P141" s="100"/>
      <c r="Q141" s="100"/>
      <c r="R141" s="100"/>
      <c r="S141" s="29"/>
      <c r="T141" s="29"/>
      <c r="U141" s="28"/>
      <c r="V141" s="28"/>
      <c r="W141" s="28"/>
      <c r="X141" s="28"/>
      <c r="Y141" s="28"/>
      <c r="Z141" s="28"/>
      <c r="AA141" s="28"/>
      <c r="AB141" s="368"/>
      <c r="AC141" s="368"/>
      <c r="AD141" s="100"/>
      <c r="AE141" s="100"/>
      <c r="AF141" s="100"/>
      <c r="AG141" s="100"/>
    </row>
    <row r="142" spans="1:33" ht="16.5" customHeight="1">
      <c r="A142" s="1"/>
      <c r="B142" s="1"/>
      <c r="C142" s="100"/>
      <c r="D142" s="100"/>
      <c r="E142" s="100"/>
      <c r="F142" s="100"/>
      <c r="G142" s="100"/>
      <c r="H142" s="100"/>
      <c r="I142" s="100"/>
      <c r="J142" s="100"/>
      <c r="K142" s="100"/>
      <c r="L142" s="100"/>
      <c r="M142" s="100"/>
      <c r="N142" s="100"/>
      <c r="O142" s="100"/>
      <c r="P142" s="100"/>
      <c r="Q142" s="100"/>
      <c r="R142" s="100"/>
      <c r="S142" s="29"/>
      <c r="T142" s="29"/>
      <c r="U142" s="8764" t="s">
        <v>356</v>
      </c>
      <c r="V142" s="8934"/>
      <c r="W142" s="8935"/>
      <c r="X142" s="28"/>
      <c r="Y142" s="36" t="s">
        <v>357</v>
      </c>
      <c r="Z142" s="37" t="str">
        <f>IF(Z139=AB123,"OK","NO")</f>
        <v>OK</v>
      </c>
      <c r="AA142" s="28"/>
      <c r="AB142" s="368"/>
      <c r="AC142" s="368"/>
      <c r="AD142" s="127"/>
      <c r="AE142" s="100"/>
      <c r="AF142" s="100"/>
      <c r="AG142" s="100"/>
    </row>
    <row r="143" spans="1:33" ht="16.5" customHeight="1">
      <c r="A143" s="1"/>
      <c r="B143" s="1"/>
      <c r="C143" s="100"/>
      <c r="D143" s="100"/>
      <c r="E143" s="100"/>
      <c r="F143" s="100"/>
      <c r="G143" s="100"/>
      <c r="H143" s="100"/>
      <c r="I143" s="100"/>
      <c r="J143" s="100"/>
      <c r="K143" s="100"/>
      <c r="L143" s="100"/>
      <c r="M143" s="100"/>
      <c r="N143" s="100"/>
      <c r="O143" s="100"/>
      <c r="P143" s="100"/>
      <c r="Q143" s="100"/>
      <c r="R143" s="100"/>
      <c r="S143" s="29"/>
      <c r="T143" s="29"/>
      <c r="U143" s="8766" t="s">
        <v>358</v>
      </c>
      <c r="V143" s="9193"/>
      <c r="W143" s="750">
        <f>Z138+Z130+Z135+Z132</f>
        <v>20838.400000000001</v>
      </c>
      <c r="X143" s="35"/>
      <c r="Y143" s="28"/>
      <c r="Z143" s="37" t="str">
        <f>IF(W148=AB123,"OK","NO")</f>
        <v>OK</v>
      </c>
      <c r="AA143" s="28"/>
      <c r="AB143" s="368"/>
      <c r="AC143" s="368"/>
      <c r="AD143" s="127"/>
      <c r="AE143" s="100"/>
      <c r="AF143" s="100"/>
      <c r="AG143" s="100"/>
    </row>
    <row r="144" spans="1:33" ht="16.5" customHeight="1">
      <c r="A144" s="1"/>
      <c r="B144" s="1"/>
      <c r="C144" s="100"/>
      <c r="D144" s="100"/>
      <c r="E144" s="100"/>
      <c r="F144" s="100"/>
      <c r="G144" s="100"/>
      <c r="H144" s="100"/>
      <c r="I144" s="100"/>
      <c r="J144" s="100"/>
      <c r="K144" s="100"/>
      <c r="L144" s="100"/>
      <c r="M144" s="100"/>
      <c r="N144" s="100"/>
      <c r="O144" s="100"/>
      <c r="P144" s="100"/>
      <c r="Q144" s="100"/>
      <c r="R144" s="100"/>
      <c r="S144" s="100"/>
      <c r="T144" s="100"/>
      <c r="U144" s="8755" t="s">
        <v>359</v>
      </c>
      <c r="V144" s="9187"/>
      <c r="W144" s="751">
        <f>Z136+Z129</f>
        <v>6778.97</v>
      </c>
      <c r="X144" s="35"/>
      <c r="Y144" s="28"/>
      <c r="Z144" s="37" t="str">
        <f>IF(W158=AB123,"OK","NO")</f>
        <v>OK</v>
      </c>
      <c r="AA144" s="28"/>
      <c r="AB144" s="368"/>
      <c r="AC144" s="368"/>
      <c r="AD144" s="127"/>
      <c r="AE144" s="100"/>
      <c r="AF144" s="100"/>
      <c r="AG144" s="100"/>
    </row>
    <row r="145" spans="1:33" ht="16.5" customHeight="1">
      <c r="A145" s="1"/>
      <c r="B145" s="1"/>
      <c r="C145" s="100"/>
      <c r="D145" s="100"/>
      <c r="E145" s="100"/>
      <c r="F145" s="100"/>
      <c r="G145" s="100"/>
      <c r="H145" s="100"/>
      <c r="I145" s="100"/>
      <c r="J145" s="100"/>
      <c r="K145" s="100"/>
      <c r="L145" s="100"/>
      <c r="M145" s="100"/>
      <c r="N145" s="100"/>
      <c r="O145" s="100"/>
      <c r="P145" s="100"/>
      <c r="Q145" s="100"/>
      <c r="R145" s="100"/>
      <c r="S145" s="100"/>
      <c r="T145" s="100"/>
      <c r="U145" s="8755" t="s">
        <v>360</v>
      </c>
      <c r="V145" s="9187"/>
      <c r="W145" s="751">
        <f>Z131</f>
        <v>15000</v>
      </c>
      <c r="X145" s="35"/>
      <c r="Y145" s="35"/>
      <c r="Z145" s="37" t="str">
        <f>IF(Resumen!C405=AB123,"OK","NO")</f>
        <v>OK</v>
      </c>
      <c r="AA145" s="28"/>
      <c r="AB145" s="368"/>
      <c r="AC145" s="368"/>
      <c r="AD145" s="127"/>
      <c r="AE145" s="100"/>
      <c r="AF145" s="100"/>
      <c r="AG145" s="100"/>
    </row>
    <row r="146" spans="1:33" ht="16.5" customHeight="1">
      <c r="A146" s="1"/>
      <c r="B146" s="1"/>
      <c r="C146" s="100"/>
      <c r="D146" s="100"/>
      <c r="E146" s="100"/>
      <c r="F146" s="100"/>
      <c r="G146" s="100"/>
      <c r="H146" s="100"/>
      <c r="I146" s="100"/>
      <c r="J146" s="100"/>
      <c r="K146" s="100"/>
      <c r="L146" s="100"/>
      <c r="M146" s="100"/>
      <c r="N146" s="100"/>
      <c r="O146" s="100"/>
      <c r="P146" s="100"/>
      <c r="Q146" s="100"/>
      <c r="R146" s="100"/>
      <c r="S146" s="100"/>
      <c r="T146" s="100"/>
      <c r="U146" s="8755" t="s">
        <v>361</v>
      </c>
      <c r="V146" s="9187"/>
      <c r="W146" s="2965">
        <f>Z137+Z133</f>
        <v>27556.06</v>
      </c>
      <c r="X146" s="35"/>
      <c r="Y146" s="35"/>
      <c r="Z146" s="28"/>
      <c r="AA146" s="28"/>
      <c r="AB146" s="368"/>
      <c r="AC146" s="368"/>
      <c r="AD146" s="127"/>
      <c r="AE146" s="100"/>
      <c r="AF146" s="100"/>
      <c r="AG146" s="100"/>
    </row>
    <row r="147" spans="1:33" ht="16.5" customHeight="1">
      <c r="A147" s="1"/>
      <c r="B147" s="1"/>
      <c r="C147" s="100"/>
      <c r="D147" s="100"/>
      <c r="E147" s="100"/>
      <c r="F147" s="100"/>
      <c r="G147" s="100"/>
      <c r="H147" s="100"/>
      <c r="I147" s="100"/>
      <c r="J147" s="100"/>
      <c r="K147" s="100"/>
      <c r="L147" s="100"/>
      <c r="M147" s="100"/>
      <c r="N147" s="100"/>
      <c r="O147" s="100"/>
      <c r="P147" s="100"/>
      <c r="Q147" s="100"/>
      <c r="R147" s="100"/>
      <c r="S147" s="100"/>
      <c r="T147" s="100"/>
      <c r="U147" s="8756" t="s">
        <v>796</v>
      </c>
      <c r="V147" s="9187"/>
      <c r="W147" s="2879">
        <f>+Z134</f>
        <v>26785.71</v>
      </c>
      <c r="X147" s="35"/>
      <c r="Y147" s="35"/>
      <c r="Z147" s="28"/>
      <c r="AA147" s="28"/>
      <c r="AB147" s="368"/>
      <c r="AC147" s="368"/>
      <c r="AD147" s="127"/>
      <c r="AE147" s="100"/>
      <c r="AF147" s="100"/>
      <c r="AG147" s="100"/>
    </row>
    <row r="148" spans="1:33" ht="16.5" customHeight="1">
      <c r="A148" s="1"/>
      <c r="B148" s="1"/>
      <c r="C148" s="100"/>
      <c r="D148" s="100"/>
      <c r="E148" s="100"/>
      <c r="F148" s="100"/>
      <c r="G148" s="100"/>
      <c r="H148" s="100"/>
      <c r="I148" s="100"/>
      <c r="J148" s="100"/>
      <c r="K148" s="100"/>
      <c r="L148" s="100"/>
      <c r="M148" s="100"/>
      <c r="N148" s="100"/>
      <c r="O148" s="100"/>
      <c r="P148" s="100"/>
      <c r="Q148" s="100"/>
      <c r="R148" s="100"/>
      <c r="S148" s="100"/>
      <c r="T148" s="100"/>
      <c r="U148" s="8937" t="s">
        <v>67</v>
      </c>
      <c r="V148" s="9187"/>
      <c r="W148" s="809">
        <f>SUM(W143:W147)</f>
        <v>96959.140000000014</v>
      </c>
      <c r="X148" s="35"/>
      <c r="Y148" s="35"/>
      <c r="Z148" s="28"/>
      <c r="AA148" s="28"/>
      <c r="AB148" s="368"/>
      <c r="AC148" s="368"/>
      <c r="AD148" s="127"/>
      <c r="AE148" s="100"/>
      <c r="AF148" s="100"/>
      <c r="AG148" s="100"/>
    </row>
    <row r="149" spans="1:33" ht="16.5" customHeight="1">
      <c r="A149" s="1"/>
      <c r="B149" s="1"/>
      <c r="C149" s="100"/>
      <c r="D149" s="100"/>
      <c r="E149" s="100"/>
      <c r="F149" s="100"/>
      <c r="G149" s="100"/>
      <c r="H149" s="100"/>
      <c r="I149" s="100"/>
      <c r="J149" s="100"/>
      <c r="K149" s="100"/>
      <c r="L149" s="100"/>
      <c r="M149" s="100"/>
      <c r="N149" s="100"/>
      <c r="O149" s="100"/>
      <c r="P149" s="100"/>
      <c r="Q149" s="100"/>
      <c r="R149" s="100"/>
      <c r="S149" s="100"/>
      <c r="T149" s="100"/>
      <c r="U149" s="8929" t="s">
        <v>362</v>
      </c>
      <c r="V149" s="8930"/>
      <c r="W149" s="8931"/>
      <c r="X149" s="38"/>
      <c r="Y149" s="38"/>
      <c r="Z149" s="28"/>
      <c r="AA149" s="28"/>
      <c r="AB149" s="368"/>
      <c r="AC149" s="368"/>
      <c r="AD149" s="127"/>
      <c r="AE149" s="100"/>
      <c r="AF149" s="100"/>
      <c r="AG149" s="100"/>
    </row>
    <row r="150" spans="1:33" ht="16.5" customHeight="1">
      <c r="A150" s="1"/>
      <c r="B150" s="1"/>
      <c r="C150" s="100"/>
      <c r="D150" s="100"/>
      <c r="E150" s="100"/>
      <c r="F150" s="100"/>
      <c r="G150" s="100"/>
      <c r="H150" s="100"/>
      <c r="I150" s="100"/>
      <c r="J150" s="100"/>
      <c r="K150" s="100"/>
      <c r="L150" s="100"/>
      <c r="M150" s="100"/>
      <c r="N150" s="100"/>
      <c r="O150" s="100"/>
      <c r="P150" s="100"/>
      <c r="Q150" s="100"/>
      <c r="R150" s="100"/>
      <c r="S150" s="100"/>
      <c r="T150" s="100"/>
      <c r="U150" s="8932" t="s">
        <v>363</v>
      </c>
      <c r="V150" s="9187"/>
      <c r="W150" s="751">
        <v>0</v>
      </c>
      <c r="X150" s="38"/>
      <c r="Y150" s="38"/>
      <c r="Z150" s="28"/>
      <c r="AA150" s="28"/>
      <c r="AB150" s="368"/>
      <c r="AC150" s="368"/>
      <c r="AD150" s="127"/>
      <c r="AE150" s="100"/>
      <c r="AF150" s="100"/>
      <c r="AG150" s="100"/>
    </row>
    <row r="151" spans="1:33" ht="16.5" customHeight="1">
      <c r="A151" s="1"/>
      <c r="B151" s="1"/>
      <c r="C151" s="100"/>
      <c r="D151" s="100"/>
      <c r="E151" s="100"/>
      <c r="F151" s="100"/>
      <c r="G151" s="100"/>
      <c r="H151" s="100"/>
      <c r="I151" s="100"/>
      <c r="J151" s="100"/>
      <c r="K151" s="100"/>
      <c r="L151" s="100"/>
      <c r="M151" s="100"/>
      <c r="N151" s="100"/>
      <c r="O151" s="100"/>
      <c r="P151" s="100"/>
      <c r="Q151" s="100"/>
      <c r="R151" s="100"/>
      <c r="S151" s="100"/>
      <c r="T151" s="100"/>
      <c r="U151" s="8762" t="s">
        <v>364</v>
      </c>
      <c r="V151" s="9187"/>
      <c r="W151" s="751">
        <f>Z130+Z131+Z129</f>
        <v>36650</v>
      </c>
      <c r="X151" s="38"/>
      <c r="Y151" s="38"/>
      <c r="Z151" s="28"/>
      <c r="AA151" s="28"/>
      <c r="AB151" s="368"/>
      <c r="AC151" s="368"/>
      <c r="AD151" s="127"/>
      <c r="AE151" s="100"/>
      <c r="AF151" s="100"/>
      <c r="AG151" s="100"/>
    </row>
    <row r="152" spans="1:33" ht="16.5" customHeight="1">
      <c r="A152" s="1"/>
      <c r="B152" s="1"/>
      <c r="C152" s="100"/>
      <c r="D152" s="100"/>
      <c r="E152" s="100"/>
      <c r="F152" s="100"/>
      <c r="G152" s="100"/>
      <c r="H152" s="100"/>
      <c r="I152" s="100"/>
      <c r="J152" s="100"/>
      <c r="K152" s="100"/>
      <c r="L152" s="100"/>
      <c r="M152" s="100"/>
      <c r="N152" s="100"/>
      <c r="O152" s="100"/>
      <c r="P152" s="100"/>
      <c r="Q152" s="100"/>
      <c r="R152" s="100"/>
      <c r="S152" s="100"/>
      <c r="T152" s="100"/>
      <c r="U152" s="8762" t="s">
        <v>365</v>
      </c>
      <c r="V152" s="9187"/>
      <c r="W152" s="751">
        <f>Z132</f>
        <v>4000</v>
      </c>
      <c r="X152" s="39"/>
      <c r="Y152" s="39"/>
      <c r="Z152" s="28"/>
      <c r="AA152" s="28"/>
      <c r="AB152" s="368"/>
      <c r="AC152" s="368"/>
      <c r="AD152" s="127"/>
      <c r="AE152" s="100"/>
      <c r="AF152" s="100"/>
      <c r="AG152" s="100"/>
    </row>
    <row r="153" spans="1:33" ht="16.5" customHeight="1">
      <c r="A153" s="1"/>
      <c r="B153" s="1"/>
      <c r="C153" s="100"/>
      <c r="D153" s="100"/>
      <c r="E153" s="100"/>
      <c r="F153" s="100"/>
      <c r="G153" s="100"/>
      <c r="H153" s="100"/>
      <c r="I153" s="100"/>
      <c r="J153" s="100"/>
      <c r="K153" s="100"/>
      <c r="L153" s="100"/>
      <c r="M153" s="100"/>
      <c r="N153" s="100"/>
      <c r="O153" s="100"/>
      <c r="P153" s="100"/>
      <c r="Q153" s="100"/>
      <c r="R153" s="100"/>
      <c r="S153" s="100"/>
      <c r="T153" s="100"/>
      <c r="U153" s="8762" t="s">
        <v>366</v>
      </c>
      <c r="V153" s="9187"/>
      <c r="W153" s="751">
        <v>0</v>
      </c>
      <c r="X153" s="35"/>
      <c r="Y153" s="35"/>
      <c r="Z153" s="28"/>
      <c r="AA153" s="28"/>
      <c r="AB153" s="368"/>
      <c r="AC153" s="368"/>
      <c r="AD153" s="127"/>
      <c r="AE153" s="100"/>
      <c r="AF153" s="100"/>
      <c r="AG153" s="100"/>
    </row>
    <row r="154" spans="1:33" ht="16.5" customHeight="1">
      <c r="A154" s="1"/>
      <c r="B154" s="1"/>
      <c r="C154" s="100"/>
      <c r="D154" s="100"/>
      <c r="E154" s="100"/>
      <c r="F154" s="100"/>
      <c r="G154" s="100"/>
      <c r="H154" s="100"/>
      <c r="I154" s="100"/>
      <c r="J154" s="100"/>
      <c r="K154" s="100"/>
      <c r="L154" s="100"/>
      <c r="M154" s="100"/>
      <c r="N154" s="100"/>
      <c r="O154" s="100"/>
      <c r="P154" s="100"/>
      <c r="Q154" s="100"/>
      <c r="R154" s="100"/>
      <c r="S154" s="100"/>
      <c r="T154" s="100"/>
      <c r="U154" s="8762" t="s">
        <v>367</v>
      </c>
      <c r="V154" s="9187"/>
      <c r="W154" s="751">
        <v>0</v>
      </c>
      <c r="X154" s="40"/>
      <c r="Y154" s="40"/>
      <c r="Z154" s="1745"/>
      <c r="AC154" s="434"/>
      <c r="AD154" s="434"/>
      <c r="AE154" s="100"/>
      <c r="AF154" s="100"/>
      <c r="AG154" s="100"/>
    </row>
    <row r="155" spans="1:33" ht="16.5" customHeight="1">
      <c r="A155" s="1"/>
      <c r="B155" s="1"/>
      <c r="C155" s="100"/>
      <c r="D155" s="100"/>
      <c r="E155" s="100"/>
      <c r="F155" s="100"/>
      <c r="G155" s="100"/>
      <c r="H155" s="100"/>
      <c r="I155" s="100"/>
      <c r="J155" s="100"/>
      <c r="K155" s="100"/>
      <c r="L155" s="100"/>
      <c r="M155" s="100"/>
      <c r="N155" s="100"/>
      <c r="O155" s="100"/>
      <c r="P155" s="100"/>
      <c r="Q155" s="100"/>
      <c r="R155" s="100"/>
      <c r="S155" s="100"/>
      <c r="T155" s="100"/>
      <c r="U155" s="8762" t="s">
        <v>368</v>
      </c>
      <c r="V155" s="9187"/>
      <c r="W155" s="751">
        <f>Z133+Z134</f>
        <v>53571.43</v>
      </c>
      <c r="X155" s="40"/>
      <c r="Y155" s="40"/>
      <c r="Z155" s="2067"/>
      <c r="AA155" s="2067"/>
      <c r="AB155" s="2066"/>
      <c r="AC155" s="2066"/>
      <c r="AD155" s="2067"/>
      <c r="AE155" s="100"/>
      <c r="AF155" s="100"/>
      <c r="AG155" s="100"/>
    </row>
    <row r="156" spans="1:33" ht="16.5" customHeight="1">
      <c r="A156" s="1"/>
      <c r="B156" s="1"/>
      <c r="C156" s="100"/>
      <c r="D156" s="100"/>
      <c r="E156" s="100"/>
      <c r="F156" s="100"/>
      <c r="G156" s="100"/>
      <c r="H156" s="100"/>
      <c r="I156" s="100"/>
      <c r="J156" s="100"/>
      <c r="K156" s="100"/>
      <c r="L156" s="100"/>
      <c r="M156" s="100"/>
      <c r="N156" s="100"/>
      <c r="O156" s="100"/>
      <c r="P156" s="100"/>
      <c r="Q156" s="100"/>
      <c r="R156" s="100"/>
      <c r="S156" s="100"/>
      <c r="T156" s="100"/>
      <c r="U156" s="8762" t="s">
        <v>369</v>
      </c>
      <c r="V156" s="9187"/>
      <c r="W156" s="751">
        <f>Z135+Z138+Z136+Z137</f>
        <v>2737.71</v>
      </c>
      <c r="X156" s="40"/>
      <c r="Y156" s="40"/>
      <c r="Z156" s="2107"/>
      <c r="AA156" s="85"/>
      <c r="AB156" s="2068"/>
      <c r="AC156" s="2068"/>
      <c r="AD156" s="2108"/>
      <c r="AE156" s="100"/>
      <c r="AF156" s="100"/>
      <c r="AG156" s="100"/>
    </row>
    <row r="157" spans="1:33" ht="16.5" customHeight="1">
      <c r="A157" s="1"/>
      <c r="B157" s="1"/>
      <c r="C157" s="100"/>
      <c r="D157" s="100"/>
      <c r="E157" s="100"/>
      <c r="F157" s="100"/>
      <c r="G157" s="100"/>
      <c r="H157" s="100"/>
      <c r="I157" s="100"/>
      <c r="J157" s="100"/>
      <c r="K157" s="100"/>
      <c r="L157" s="100"/>
      <c r="M157" s="100"/>
      <c r="N157" s="100"/>
      <c r="O157" s="100"/>
      <c r="P157" s="100"/>
      <c r="Q157" s="100"/>
      <c r="R157" s="100"/>
      <c r="S157" s="100"/>
      <c r="T157" s="100"/>
      <c r="U157" s="8762" t="s">
        <v>370</v>
      </c>
      <c r="V157" s="9187"/>
      <c r="W157" s="752">
        <v>0</v>
      </c>
      <c r="X157" s="41"/>
      <c r="Y157" s="41"/>
      <c r="Z157" s="29"/>
      <c r="AA157" s="29"/>
      <c r="AB157" s="372"/>
      <c r="AC157" s="372"/>
      <c r="AD157" s="127"/>
      <c r="AE157" s="100"/>
      <c r="AF157" s="100"/>
      <c r="AG157" s="100"/>
    </row>
    <row r="158" spans="1:33" ht="16.5" customHeight="1">
      <c r="A158" s="1"/>
      <c r="B158" s="1"/>
      <c r="C158" s="100"/>
      <c r="D158" s="100"/>
      <c r="E158" s="100"/>
      <c r="F158" s="100"/>
      <c r="G158" s="100"/>
      <c r="H158" s="100"/>
      <c r="I158" s="100"/>
      <c r="J158" s="100"/>
      <c r="K158" s="100"/>
      <c r="L158" s="100"/>
      <c r="M158" s="100"/>
      <c r="N158" s="100"/>
      <c r="O158" s="100"/>
      <c r="P158" s="100"/>
      <c r="Q158" s="100"/>
      <c r="R158" s="100"/>
      <c r="S158" s="100"/>
      <c r="T158" s="100"/>
      <c r="U158" s="8927" t="s">
        <v>67</v>
      </c>
      <c r="V158" s="9188"/>
      <c r="W158" s="754">
        <f>SUM(W150:W157)</f>
        <v>96959.14</v>
      </c>
      <c r="X158" s="39"/>
      <c r="Y158" s="39"/>
      <c r="Z158" s="28"/>
      <c r="AA158" s="28"/>
      <c r="AB158" s="368"/>
      <c r="AC158" s="368"/>
      <c r="AD158" s="127"/>
      <c r="AE158" s="100"/>
      <c r="AF158" s="100"/>
      <c r="AG158" s="100"/>
    </row>
    <row r="159" spans="1:33" ht="16.5" customHeight="1">
      <c r="A159" s="1"/>
      <c r="B159" s="1"/>
      <c r="C159" s="100"/>
      <c r="D159" s="100"/>
      <c r="E159" s="100"/>
      <c r="F159" s="100"/>
      <c r="G159" s="100"/>
      <c r="H159" s="100"/>
      <c r="I159" s="100"/>
      <c r="J159" s="100"/>
      <c r="K159" s="100"/>
      <c r="L159" s="100"/>
      <c r="M159" s="100"/>
      <c r="N159" s="100"/>
      <c r="O159" s="100"/>
      <c r="P159" s="100"/>
      <c r="Q159" s="100"/>
      <c r="R159" s="100"/>
      <c r="S159" s="100"/>
      <c r="T159" s="100"/>
      <c r="AB159" s="803"/>
      <c r="AD159" s="100"/>
      <c r="AE159" s="100"/>
      <c r="AF159" s="100"/>
      <c r="AG159" s="100"/>
    </row>
    <row r="160" spans="1:33" ht="15.75" customHeight="1">
      <c r="AB160" s="803"/>
      <c r="AD160" s="434"/>
    </row>
    <row r="161" spans="28:30" ht="15.75" customHeight="1">
      <c r="AB161" s="803"/>
      <c r="AD161" s="434"/>
    </row>
    <row r="162" spans="28:30" ht="15.75" customHeight="1">
      <c r="AB162" s="803"/>
      <c r="AD162" s="434"/>
    </row>
    <row r="163" spans="28:30" ht="15.75" customHeight="1">
      <c r="AB163" s="803"/>
      <c r="AD163" s="434"/>
    </row>
    <row r="164" spans="28:30" ht="15.75" customHeight="1">
      <c r="AB164" s="803"/>
      <c r="AD164" s="434"/>
    </row>
    <row r="165" spans="28:30" ht="15.75" customHeight="1">
      <c r="AB165" s="803"/>
      <c r="AD165" s="434"/>
    </row>
    <row r="166" spans="28:30" ht="15.75" customHeight="1">
      <c r="AB166" s="803"/>
      <c r="AD166" s="434"/>
    </row>
    <row r="167" spans="28:30" ht="15.75" customHeight="1">
      <c r="AB167" s="803"/>
      <c r="AD167" s="434"/>
    </row>
    <row r="168" spans="28:30" ht="15.75" customHeight="1">
      <c r="AB168" s="803"/>
      <c r="AD168" s="434"/>
    </row>
  </sheetData>
  <mergeCells count="424">
    <mergeCell ref="A78:A90"/>
    <mergeCell ref="B78:B90"/>
    <mergeCell ref="B91:B105"/>
    <mergeCell ref="A91:A105"/>
    <mergeCell ref="A106:A123"/>
    <mergeCell ref="B106:B122"/>
    <mergeCell ref="A9:A26"/>
    <mergeCell ref="B9:B26"/>
    <mergeCell ref="B27:B42"/>
    <mergeCell ref="A27:A42"/>
    <mergeCell ref="A43:A56"/>
    <mergeCell ref="B43:B56"/>
    <mergeCell ref="B57:B73"/>
    <mergeCell ref="A57:A77"/>
    <mergeCell ref="B74:B77"/>
    <mergeCell ref="N97:N101"/>
    <mergeCell ref="N102:N106"/>
    <mergeCell ref="N107:N111"/>
    <mergeCell ref="N117:N121"/>
    <mergeCell ref="N48:N52"/>
    <mergeCell ref="N53:N57"/>
    <mergeCell ref="N58:N62"/>
    <mergeCell ref="N63:N67"/>
    <mergeCell ref="N68:N72"/>
    <mergeCell ref="N74:N78"/>
    <mergeCell ref="N79:N83"/>
    <mergeCell ref="N84:N91"/>
    <mergeCell ref="N92:N96"/>
    <mergeCell ref="N112:N116"/>
    <mergeCell ref="Z7:AD7"/>
    <mergeCell ref="E63:E67"/>
    <mergeCell ref="F63:F67"/>
    <mergeCell ref="G63:G67"/>
    <mergeCell ref="H63:H67"/>
    <mergeCell ref="I63:I67"/>
    <mergeCell ref="J63:J67"/>
    <mergeCell ref="K63:K67"/>
    <mergeCell ref="J58:J62"/>
    <mergeCell ref="K58:K62"/>
    <mergeCell ref="E58:E62"/>
    <mergeCell ref="F58:F62"/>
    <mergeCell ref="G58:G62"/>
    <mergeCell ref="H58:H62"/>
    <mergeCell ref="I58:I62"/>
    <mergeCell ref="E53:E57"/>
    <mergeCell ref="F53:F57"/>
    <mergeCell ref="E33:E37"/>
    <mergeCell ref="F33:F37"/>
    <mergeCell ref="E38:E42"/>
    <mergeCell ref="F38:F42"/>
    <mergeCell ref="E48:E52"/>
    <mergeCell ref="F48:F52"/>
    <mergeCell ref="E28:E32"/>
    <mergeCell ref="M68:M72"/>
    <mergeCell ref="G74:G78"/>
    <mergeCell ref="H74:H78"/>
    <mergeCell ref="I74:I78"/>
    <mergeCell ref="J74:J78"/>
    <mergeCell ref="K74:K78"/>
    <mergeCell ref="L74:L78"/>
    <mergeCell ref="M74:M78"/>
    <mergeCell ref="L63:L67"/>
    <mergeCell ref="M63:M67"/>
    <mergeCell ref="G68:G72"/>
    <mergeCell ref="H68:H72"/>
    <mergeCell ref="I68:I72"/>
    <mergeCell ref="J68:J72"/>
    <mergeCell ref="K68:K72"/>
    <mergeCell ref="L68:L72"/>
    <mergeCell ref="M79:M83"/>
    <mergeCell ref="G92:G96"/>
    <mergeCell ref="H92:H96"/>
    <mergeCell ref="I92:I96"/>
    <mergeCell ref="J92:J96"/>
    <mergeCell ref="K92:K96"/>
    <mergeCell ref="L92:L96"/>
    <mergeCell ref="M92:M96"/>
    <mergeCell ref="G84:G91"/>
    <mergeCell ref="H84:H91"/>
    <mergeCell ref="I84:I91"/>
    <mergeCell ref="J84:J91"/>
    <mergeCell ref="K84:K91"/>
    <mergeCell ref="L84:L91"/>
    <mergeCell ref="M84:M91"/>
    <mergeCell ref="G79:G83"/>
    <mergeCell ref="H79:H83"/>
    <mergeCell ref="I79:I83"/>
    <mergeCell ref="J79:J83"/>
    <mergeCell ref="K79:K83"/>
    <mergeCell ref="L79:L83"/>
    <mergeCell ref="M97:M101"/>
    <mergeCell ref="E84:E91"/>
    <mergeCell ref="E92:E96"/>
    <mergeCell ref="E97:E101"/>
    <mergeCell ref="G97:G101"/>
    <mergeCell ref="H97:H101"/>
    <mergeCell ref="I97:I101"/>
    <mergeCell ref="J97:J101"/>
    <mergeCell ref="G102:G106"/>
    <mergeCell ref="H102:H106"/>
    <mergeCell ref="I102:I106"/>
    <mergeCell ref="J102:J106"/>
    <mergeCell ref="K102:K106"/>
    <mergeCell ref="L102:L106"/>
    <mergeCell ref="M102:M106"/>
    <mergeCell ref="F84:F91"/>
    <mergeCell ref="K97:K101"/>
    <mergeCell ref="L97:L101"/>
    <mergeCell ref="F92:F96"/>
    <mergeCell ref="F97:F101"/>
    <mergeCell ref="E102:E106"/>
    <mergeCell ref="F102:F106"/>
    <mergeCell ref="G107:G111"/>
    <mergeCell ref="H107:H111"/>
    <mergeCell ref="I107:I111"/>
    <mergeCell ref="J107:J111"/>
    <mergeCell ref="K107:K111"/>
    <mergeCell ref="L107:L111"/>
    <mergeCell ref="M107:M111"/>
    <mergeCell ref="G117:G121"/>
    <mergeCell ref="H117:H121"/>
    <mergeCell ref="I117:I121"/>
    <mergeCell ref="J117:J121"/>
    <mergeCell ref="K117:K121"/>
    <mergeCell ref="L117:L121"/>
    <mergeCell ref="M117:M121"/>
    <mergeCell ref="G112:G116"/>
    <mergeCell ref="H112:H116"/>
    <mergeCell ref="I112:I116"/>
    <mergeCell ref="J112:J116"/>
    <mergeCell ref="K112:K116"/>
    <mergeCell ref="L112:L116"/>
    <mergeCell ref="M112:M116"/>
    <mergeCell ref="F112:F116"/>
    <mergeCell ref="F117:F121"/>
    <mergeCell ref="C18:C22"/>
    <mergeCell ref="C23:C27"/>
    <mergeCell ref="C33:C37"/>
    <mergeCell ref="D33:D37"/>
    <mergeCell ref="C38:C42"/>
    <mergeCell ref="D38:D42"/>
    <mergeCell ref="C43:C47"/>
    <mergeCell ref="D43:D47"/>
    <mergeCell ref="C48:C52"/>
    <mergeCell ref="D48:D52"/>
    <mergeCell ref="E68:E72"/>
    <mergeCell ref="F68:F72"/>
    <mergeCell ref="E74:E78"/>
    <mergeCell ref="F74:F78"/>
    <mergeCell ref="E79:E83"/>
    <mergeCell ref="F79:F83"/>
    <mergeCell ref="C102:C106"/>
    <mergeCell ref="C117:C121"/>
    <mergeCell ref="D107:D111"/>
    <mergeCell ref="D112:D116"/>
    <mergeCell ref="C53:C57"/>
    <mergeCell ref="D53:D57"/>
    <mergeCell ref="C58:C62"/>
    <mergeCell ref="D58:D62"/>
    <mergeCell ref="E112:E116"/>
    <mergeCell ref="E117:E121"/>
    <mergeCell ref="C9:C17"/>
    <mergeCell ref="D9:D17"/>
    <mergeCell ref="D18:D22"/>
    <mergeCell ref="D117:D121"/>
    <mergeCell ref="D23:D27"/>
    <mergeCell ref="C28:C32"/>
    <mergeCell ref="D28:D32"/>
    <mergeCell ref="C63:C67"/>
    <mergeCell ref="D63:D67"/>
    <mergeCell ref="C68:C72"/>
    <mergeCell ref="D68:D72"/>
    <mergeCell ref="D74:D78"/>
    <mergeCell ref="D79:D83"/>
    <mergeCell ref="D84:D91"/>
    <mergeCell ref="D92:D96"/>
    <mergeCell ref="D97:D101"/>
    <mergeCell ref="D102:D106"/>
    <mergeCell ref="C107:C111"/>
    <mergeCell ref="E9:E17"/>
    <mergeCell ref="O117:O121"/>
    <mergeCell ref="P117:P121"/>
    <mergeCell ref="C112:C116"/>
    <mergeCell ref="C74:C78"/>
    <mergeCell ref="C79:C83"/>
    <mergeCell ref="C84:C91"/>
    <mergeCell ref="C92:C96"/>
    <mergeCell ref="C97:C101"/>
    <mergeCell ref="AH97:AH101"/>
    <mergeCell ref="AH102:AH106"/>
    <mergeCell ref="AH107:AH111"/>
    <mergeCell ref="AH112:AH116"/>
    <mergeCell ref="O79:O83"/>
    <mergeCell ref="P79:P83"/>
    <mergeCell ref="Q79:Q83"/>
    <mergeCell ref="R79:R83"/>
    <mergeCell ref="AH79:AH83"/>
    <mergeCell ref="O84:O91"/>
    <mergeCell ref="P84:P91"/>
    <mergeCell ref="Q84:Q91"/>
    <mergeCell ref="R84:R91"/>
    <mergeCell ref="AH84:AH91"/>
    <mergeCell ref="E107:E111"/>
    <mergeCell ref="F107:F111"/>
    <mergeCell ref="O102:O106"/>
    <mergeCell ref="P102:P106"/>
    <mergeCell ref="Q102:Q106"/>
    <mergeCell ref="R102:R106"/>
    <mergeCell ref="O107:O111"/>
    <mergeCell ref="R107:R111"/>
    <mergeCell ref="P107:P111"/>
    <mergeCell ref="Q107:Q111"/>
    <mergeCell ref="O112:O116"/>
    <mergeCell ref="P112:P116"/>
    <mergeCell ref="Q112:Q116"/>
    <mergeCell ref="R112:R116"/>
    <mergeCell ref="O92:O96"/>
    <mergeCell ref="P92:P96"/>
    <mergeCell ref="Q92:Q96"/>
    <mergeCell ref="R92:R96"/>
    <mergeCell ref="AH92:AH96"/>
    <mergeCell ref="O97:O101"/>
    <mergeCell ref="P97:P101"/>
    <mergeCell ref="Q97:Q101"/>
    <mergeCell ref="R97:R101"/>
    <mergeCell ref="Q117:Q121"/>
    <mergeCell ref="R117:R121"/>
    <mergeCell ref="S122:Z122"/>
    <mergeCell ref="AE122:AH122"/>
    <mergeCell ref="AE123:AH123"/>
    <mergeCell ref="S123:Y123"/>
    <mergeCell ref="S124:AH124"/>
    <mergeCell ref="U126:Z126"/>
    <mergeCell ref="U142:W142"/>
    <mergeCell ref="AH117:AH121"/>
    <mergeCell ref="U143:V143"/>
    <mergeCell ref="U152:V152"/>
    <mergeCell ref="U153:V153"/>
    <mergeCell ref="U154:V154"/>
    <mergeCell ref="U155:V155"/>
    <mergeCell ref="U156:V156"/>
    <mergeCell ref="U157:V157"/>
    <mergeCell ref="U158:V158"/>
    <mergeCell ref="U144:V144"/>
    <mergeCell ref="U145:V145"/>
    <mergeCell ref="U146:V146"/>
    <mergeCell ref="U148:V148"/>
    <mergeCell ref="U149:W149"/>
    <mergeCell ref="U150:V150"/>
    <mergeCell ref="U151:V151"/>
    <mergeCell ref="U147:V147"/>
    <mergeCell ref="P58:P62"/>
    <mergeCell ref="Q58:Q62"/>
    <mergeCell ref="AH58:AH62"/>
    <mergeCell ref="AH63:AH67"/>
    <mergeCell ref="L53:L57"/>
    <mergeCell ref="M53:M57"/>
    <mergeCell ref="O53:O57"/>
    <mergeCell ref="P53:P57"/>
    <mergeCell ref="Q53:Q57"/>
    <mergeCell ref="R53:R57"/>
    <mergeCell ref="R58:R62"/>
    <mergeCell ref="O58:O62"/>
    <mergeCell ref="O63:O67"/>
    <mergeCell ref="P63:P67"/>
    <mergeCell ref="Q63:Q67"/>
    <mergeCell ref="R63:R67"/>
    <mergeCell ref="L58:L62"/>
    <mergeCell ref="M58:M62"/>
    <mergeCell ref="Q68:Q72"/>
    <mergeCell ref="R68:R72"/>
    <mergeCell ref="AH68:AH72"/>
    <mergeCell ref="S73:Z73"/>
    <mergeCell ref="AE73:AH73"/>
    <mergeCell ref="O74:O78"/>
    <mergeCell ref="P74:P78"/>
    <mergeCell ref="Q74:Q78"/>
    <mergeCell ref="R74:R78"/>
    <mergeCell ref="AH74:AH78"/>
    <mergeCell ref="O68:O72"/>
    <mergeCell ref="P68:P72"/>
    <mergeCell ref="J6:R6"/>
    <mergeCell ref="S6:AH6"/>
    <mergeCell ref="S7:Y7"/>
    <mergeCell ref="A1:AH1"/>
    <mergeCell ref="A2:AH2"/>
    <mergeCell ref="A3:AH3"/>
    <mergeCell ref="A4:AH4"/>
    <mergeCell ref="A6:B8"/>
    <mergeCell ref="C6:D6"/>
    <mergeCell ref="E6:I6"/>
    <mergeCell ref="I7:I8"/>
    <mergeCell ref="J7:J8"/>
    <mergeCell ref="K7:K8"/>
    <mergeCell ref="L7:L8"/>
    <mergeCell ref="M7:O7"/>
    <mergeCell ref="P7:P8"/>
    <mergeCell ref="Q7:Q8"/>
    <mergeCell ref="R7:R8"/>
    <mergeCell ref="G7:G8"/>
    <mergeCell ref="H7:H8"/>
    <mergeCell ref="E7:E8"/>
    <mergeCell ref="F7:F8"/>
    <mergeCell ref="C7:C8"/>
    <mergeCell ref="D7:D8"/>
    <mergeCell ref="AH43:AH47"/>
    <mergeCell ref="AH48:AH52"/>
    <mergeCell ref="AH53:AH57"/>
    <mergeCell ref="AE7:AG7"/>
    <mergeCell ref="AH7:AH8"/>
    <mergeCell ref="AH9:AH17"/>
    <mergeCell ref="AH18:AH22"/>
    <mergeCell ref="AH23:AH27"/>
    <mergeCell ref="AH28:AH32"/>
    <mergeCell ref="AH33:AH37"/>
    <mergeCell ref="Q9:Q17"/>
    <mergeCell ref="R9:R17"/>
    <mergeCell ref="L18:L22"/>
    <mergeCell ref="M18:M22"/>
    <mergeCell ref="O18:O22"/>
    <mergeCell ref="P18:P22"/>
    <mergeCell ref="Q18:Q22"/>
    <mergeCell ref="R18:R22"/>
    <mergeCell ref="AH38:AH42"/>
    <mergeCell ref="O33:O37"/>
    <mergeCell ref="P33:P37"/>
    <mergeCell ref="Q33:Q37"/>
    <mergeCell ref="R33:R37"/>
    <mergeCell ref="N9:N17"/>
    <mergeCell ref="N18:N22"/>
    <mergeCell ref="N23:N27"/>
    <mergeCell ref="N28:N32"/>
    <mergeCell ref="N33:N37"/>
    <mergeCell ref="N38:N42"/>
    <mergeCell ref="G33:G37"/>
    <mergeCell ref="H33:H37"/>
    <mergeCell ref="I33:I37"/>
    <mergeCell ref="J33:J37"/>
    <mergeCell ref="K33:K37"/>
    <mergeCell ref="L33:L37"/>
    <mergeCell ref="M33:M37"/>
    <mergeCell ref="Q38:Q42"/>
    <mergeCell ref="R38:R42"/>
    <mergeCell ref="G38:G42"/>
    <mergeCell ref="H38:H42"/>
    <mergeCell ref="I38:I42"/>
    <mergeCell ref="J38:J42"/>
    <mergeCell ref="K38:K42"/>
    <mergeCell ref="G48:G52"/>
    <mergeCell ref="H48:H52"/>
    <mergeCell ref="I48:I52"/>
    <mergeCell ref="J48:J52"/>
    <mergeCell ref="K48:K52"/>
    <mergeCell ref="L43:L47"/>
    <mergeCell ref="M43:M47"/>
    <mergeCell ref="E43:E47"/>
    <mergeCell ref="F43:F47"/>
    <mergeCell ref="G43:G47"/>
    <mergeCell ref="H43:H47"/>
    <mergeCell ref="I43:I47"/>
    <mergeCell ref="J43:J47"/>
    <mergeCell ref="K43:K47"/>
    <mergeCell ref="F9:F17"/>
    <mergeCell ref="G9:G17"/>
    <mergeCell ref="H9:H17"/>
    <mergeCell ref="I9:I17"/>
    <mergeCell ref="L23:L27"/>
    <mergeCell ref="M23:M27"/>
    <mergeCell ref="O23:O27"/>
    <mergeCell ref="P23:P27"/>
    <mergeCell ref="E18:E22"/>
    <mergeCell ref="F18:F22"/>
    <mergeCell ref="G18:G22"/>
    <mergeCell ref="H18:H22"/>
    <mergeCell ref="I18:I22"/>
    <mergeCell ref="J18:J22"/>
    <mergeCell ref="K18:K22"/>
    <mergeCell ref="J9:J17"/>
    <mergeCell ref="K9:K17"/>
    <mergeCell ref="L9:L17"/>
    <mergeCell ref="M9:M17"/>
    <mergeCell ref="O9:O17"/>
    <mergeCell ref="P9:P17"/>
    <mergeCell ref="G28:G32"/>
    <mergeCell ref="H28:H32"/>
    <mergeCell ref="I28:I32"/>
    <mergeCell ref="J28:J32"/>
    <mergeCell ref="K28:K32"/>
    <mergeCell ref="Q23:Q27"/>
    <mergeCell ref="R23:R27"/>
    <mergeCell ref="E23:E27"/>
    <mergeCell ref="F23:F27"/>
    <mergeCell ref="G23:G27"/>
    <mergeCell ref="H23:H27"/>
    <mergeCell ref="I23:I27"/>
    <mergeCell ref="J23:J27"/>
    <mergeCell ref="K23:K27"/>
    <mergeCell ref="L28:L32"/>
    <mergeCell ref="M28:M32"/>
    <mergeCell ref="F28:F32"/>
    <mergeCell ref="G53:G57"/>
    <mergeCell ref="H53:H57"/>
    <mergeCell ref="I53:I57"/>
    <mergeCell ref="J53:J57"/>
    <mergeCell ref="K53:K57"/>
    <mergeCell ref="O28:O32"/>
    <mergeCell ref="P28:P32"/>
    <mergeCell ref="Q28:Q32"/>
    <mergeCell ref="R28:R32"/>
    <mergeCell ref="L48:L52"/>
    <mergeCell ref="M48:M52"/>
    <mergeCell ref="O48:O52"/>
    <mergeCell ref="P48:P52"/>
    <mergeCell ref="Q48:Q52"/>
    <mergeCell ref="R48:R52"/>
    <mergeCell ref="N43:N47"/>
    <mergeCell ref="O43:O47"/>
    <mergeCell ref="P43:P47"/>
    <mergeCell ref="Q43:Q47"/>
    <mergeCell ref="R43:R47"/>
    <mergeCell ref="L38:L42"/>
    <mergeCell ref="M38:M42"/>
    <mergeCell ref="O38:O42"/>
    <mergeCell ref="P38:P42"/>
  </mergeCells>
  <dataValidations count="3">
    <dataValidation type="list" allowBlank="1" showErrorMessage="1" sqref="F9 F18 F23 F28 F33 F38 F43 F48 F53 F58 F63 F68 F74 F79 F84 F92 F97 F102 F107 F112 F117" xr:uid="{00000000-0002-0000-0500-000000000000}">
      <formula1>INDIRECT($E9)</formula1>
    </dataValidation>
    <dataValidation type="list" allowBlank="1" showErrorMessage="1" sqref="E9 E18 E23 E28 E33 E38 E43 E48 E53 E58 E63 E68 E74 E79 E84 E92 E97 E102 E107 E112 E117" xr:uid="{00000000-0002-0000-0500-000001000000}">
      <formula1>INDIRECT($G9)</formula1>
    </dataValidation>
    <dataValidation type="decimal" allowBlank="1" showInputMessage="1" showErrorMessage="1" prompt="DPLAN - Sólo debe ingresar valores, NO porcentajes." sqref="M43:O43 M48:O48 M58:O58 M107:O107 M112:O112 M18:O18 M23:O23 M28:O28 M33:O33 M53:O53 M63:O63 M68:O68 M79:O79 M84:O84 M92:O92 M97:O97 M117:O117" xr:uid="{00000000-0002-0000-0500-000002000000}">
      <formula1>0</formula1>
      <formula2>1000000</formula2>
    </dataValidation>
  </dataValidations>
  <printOptions horizontalCentered="1"/>
  <pageMargins left="0" right="0" top="0.78740157480314965" bottom="0.35433070866141736" header="0" footer="0"/>
  <pageSetup paperSize="9" scale="65" fitToHeight="0" pageOrder="overThenDown" orientation="landscape" horizontalDpi="300" verticalDpi="300" r:id="rId1"/>
  <headerFooter>
    <oddHeader>&amp;LDirección de Planificación&amp;C&amp;P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500-000003000000}">
          <x14:formula1>
            <xm:f>'https://utmachalaeduec-my.sharepoint.com/personal/planificacion_utmachala_edu_ec/Documents/Gestión 2023/G.06 EMISION DE INSUMOS PARA ELAB. DE LA PROF, PRESUPUESTARIA Y SUS REFORMAS/REFORMA N° 002-2023/[PND]PND'!#REF!</xm:f>
          </x14:formula1>
          <xm:sqref>C9:D9 C18:D18 C23:D23 C28:D28 C33:D33 C38:D38 C43:D43 C48:D48 C53:D53 C58:D58 C63:D63 C68:D68 C74:D74 C79:D79 C84:D84 C92:D92 C97:D97 C102:D102 C107:D107 C112:D112 C117:D117</xm:sqref>
        </x14:dataValidation>
        <x14:dataValidation type="list" allowBlank="1" showErrorMessage="1" xr:uid="{00000000-0002-0000-0500-000004000000}">
          <x14:formula1>
            <xm:f>('https://utmachalaeduec-my.sharepoint.com/personal/planificacion_utmachala_edu_ec/Documents/Gestión 2023/G.06 EMISION DE INSUMOS PARA ELAB. DE LA PROF, PRESUPUESTARIA Y SUS REFORMAS/REFORMA N° 002-2023/[PEDI]PEDI'!#REF!)</xm:f>
          </x14:formula1>
          <xm:sqref>H9 H18 H23 H28 H33 H38 H43 H48 H53 H58 H63 H68 H74 H79 H84 H92 H97 H102 H107 H112 H117</xm:sqref>
        </x14:dataValidation>
        <x14:dataValidation type="list" allowBlank="1" showErrorMessage="1" xr:uid="{00000000-0002-0000-0500-000005000000}">
          <x14:formula1>
            <xm:f>'https://utmachalaeduec-my.sharepoint.com/personal/planificacion_utmachala_edu_ec/Documents/Gestión 2023/G.06 EMISION DE INSUMOS PARA ELAB. DE LA PROF, PRESUPUESTARIA Y SUS REFORMAS/REFORMA N° 002-2023/[PEDI]PEDI'!#REF!</xm:f>
          </x14:formula1>
          <xm:sqref>G9 G18 G23 G28 G33 G38 G43 G48 G53 G58 G63 G68 G74 G79 G84 G92 G97 G102 G107 G112 G117</xm:sqref>
        </x14:dataValidation>
        <x14:dataValidation type="list" allowBlank="1" showErrorMessage="1" xr:uid="{00000000-0002-0000-05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I18 I23 I28 I33 I38 I43 I48 I53 I58 I63 I68 I74 I79 I84 I92 I97 I102 I107 I112 I117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C09"/>
  </sheetPr>
  <dimension ref="A1:AH305"/>
  <sheetViews>
    <sheetView showGridLines="0" topLeftCell="R276" zoomScaleNormal="100" workbookViewId="0">
      <selection activeCell="Z284" sqref="Z284"/>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3.28515625" customWidth="1"/>
    <col min="24" max="25" width="12.7109375" customWidth="1"/>
    <col min="26" max="26" width="15" customWidth="1"/>
    <col min="27" max="27" width="12.7109375" customWidth="1"/>
    <col min="28" max="28" width="15.42578125" customWidth="1"/>
    <col min="29" max="29" width="12.140625" style="365" customWidth="1"/>
    <col min="30" max="30" width="10.28515625" style="365" customWidth="1"/>
    <col min="31" max="33" width="8.7109375" customWidth="1"/>
    <col min="34" max="34" width="19.7109375" customWidth="1"/>
  </cols>
  <sheetData>
    <row r="1" spans="1:34"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8825"/>
      <c r="AD1" s="8825"/>
      <c r="AE1" s="8825"/>
      <c r="AF1" s="8825"/>
      <c r="AG1" s="8825"/>
      <c r="AH1" s="137"/>
    </row>
    <row r="2" spans="1:34"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350"/>
      <c r="AD2" s="9350"/>
      <c r="AE2" s="9350"/>
      <c r="AF2" s="9350"/>
      <c r="AG2" s="9350"/>
      <c r="AH2" s="138"/>
    </row>
    <row r="3" spans="1:34" ht="30.75">
      <c r="A3" s="8828" t="s">
        <v>797</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8825"/>
      <c r="AD3" s="8825"/>
      <c r="AE3" s="8825"/>
      <c r="AF3" s="8825"/>
      <c r="AG3" s="8825"/>
      <c r="AH3" s="139"/>
    </row>
    <row r="4" spans="1:34"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8825"/>
      <c r="AD4" s="8825"/>
      <c r="AE4" s="8825"/>
      <c r="AF4" s="8825"/>
      <c r="AG4" s="8825"/>
      <c r="AH4" s="140"/>
    </row>
    <row r="5" spans="1:34" ht="16.5" customHeight="1">
      <c r="A5" s="11"/>
      <c r="B5" s="7"/>
      <c r="C5" s="11"/>
      <c r="D5" s="11"/>
      <c r="E5" s="11"/>
      <c r="F5" s="11"/>
      <c r="G5" s="11"/>
      <c r="H5" s="11"/>
      <c r="I5" s="11"/>
      <c r="J5" s="11"/>
      <c r="K5" s="11"/>
      <c r="L5" s="11"/>
      <c r="M5" s="11"/>
      <c r="N5" s="11"/>
      <c r="O5" s="11"/>
      <c r="P5" s="11"/>
      <c r="Q5" s="11"/>
      <c r="R5" s="11"/>
      <c r="S5" s="11"/>
      <c r="T5" s="11"/>
      <c r="U5" s="11"/>
      <c r="V5" s="11"/>
      <c r="W5" s="11"/>
      <c r="X5" s="11"/>
      <c r="Y5" s="11"/>
      <c r="Z5" s="11"/>
      <c r="AA5" s="11"/>
      <c r="AB5" s="11"/>
      <c r="AC5" s="355"/>
      <c r="AD5" s="355"/>
      <c r="AE5" s="11"/>
      <c r="AF5" s="11"/>
      <c r="AG5" s="11"/>
      <c r="AH5" s="11"/>
    </row>
    <row r="6" spans="1:34" ht="24.75" customHeight="1">
      <c r="A6" s="9002" t="s">
        <v>89</v>
      </c>
      <c r="B6" s="9351"/>
      <c r="C6" s="8832" t="s">
        <v>90</v>
      </c>
      <c r="D6" s="9356"/>
      <c r="E6" s="9010" t="s">
        <v>91</v>
      </c>
      <c r="F6" s="9357"/>
      <c r="G6" s="9357"/>
      <c r="H6" s="9357"/>
      <c r="I6" s="9357"/>
      <c r="J6" s="8988" t="s">
        <v>92</v>
      </c>
      <c r="K6" s="9343"/>
      <c r="L6" s="9343"/>
      <c r="M6" s="9343"/>
      <c r="N6" s="9343"/>
      <c r="O6" s="9343"/>
      <c r="P6" s="9343"/>
      <c r="Q6" s="9343"/>
      <c r="R6" s="9344"/>
      <c r="S6" s="9150" t="s">
        <v>93</v>
      </c>
      <c r="T6" s="9345"/>
      <c r="U6" s="9345"/>
      <c r="V6" s="9345"/>
      <c r="W6" s="9345"/>
      <c r="X6" s="9345"/>
      <c r="Y6" s="9345"/>
      <c r="Z6" s="9345"/>
      <c r="AA6" s="9345"/>
      <c r="AB6" s="9345"/>
      <c r="AC6" s="9345"/>
      <c r="AD6" s="9345"/>
      <c r="AE6" s="9345"/>
      <c r="AF6" s="9345"/>
      <c r="AG6" s="9345"/>
      <c r="AH6" s="9346"/>
    </row>
    <row r="7" spans="1:34" ht="39.75" customHeight="1">
      <c r="A7" s="9352"/>
      <c r="B7" s="9353"/>
      <c r="C7" s="9146" t="s">
        <v>94</v>
      </c>
      <c r="D7" s="9147"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019" t="s">
        <v>107</v>
      </c>
      <c r="S7" s="9153" t="s">
        <v>108</v>
      </c>
      <c r="T7" s="9347"/>
      <c r="U7" s="9347"/>
      <c r="V7" s="9347"/>
      <c r="W7" s="9347"/>
      <c r="X7" s="9347"/>
      <c r="Y7" s="9348"/>
      <c r="Z7" s="9180" t="s">
        <v>109</v>
      </c>
      <c r="AA7" s="9181"/>
      <c r="AB7" s="9181"/>
      <c r="AC7" s="9181"/>
      <c r="AD7" s="9182"/>
      <c r="AE7" s="9156" t="s">
        <v>110</v>
      </c>
      <c r="AF7" s="9347"/>
      <c r="AG7" s="9348"/>
      <c r="AH7" s="9157" t="s">
        <v>111</v>
      </c>
    </row>
    <row r="8" spans="1:34" ht="51.75" customHeight="1" thickBot="1">
      <c r="A8" s="9354"/>
      <c r="B8" s="9355"/>
      <c r="C8" s="9414"/>
      <c r="D8" s="9415"/>
      <c r="E8" s="9358"/>
      <c r="F8" s="9358"/>
      <c r="G8" s="9358"/>
      <c r="H8" s="9358"/>
      <c r="I8" s="9358"/>
      <c r="J8" s="9359"/>
      <c r="K8" s="9360"/>
      <c r="L8" s="9360"/>
      <c r="M8" s="5094" t="s">
        <v>112</v>
      </c>
      <c r="N8" s="5094" t="s">
        <v>113</v>
      </c>
      <c r="O8" s="5094" t="s">
        <v>114</v>
      </c>
      <c r="P8" s="9360"/>
      <c r="Q8" s="9360"/>
      <c r="R8" s="9362"/>
      <c r="S8" s="5091" t="s">
        <v>115</v>
      </c>
      <c r="T8" s="5092" t="s">
        <v>116</v>
      </c>
      <c r="U8" s="5095" t="s">
        <v>117</v>
      </c>
      <c r="V8" s="5092" t="s">
        <v>118</v>
      </c>
      <c r="W8" s="5092" t="s">
        <v>119</v>
      </c>
      <c r="X8" s="5092" t="s">
        <v>372</v>
      </c>
      <c r="Y8" s="5093" t="s">
        <v>121</v>
      </c>
      <c r="Z8" s="5092" t="s">
        <v>122</v>
      </c>
      <c r="AA8" s="5092" t="s">
        <v>123</v>
      </c>
      <c r="AB8" s="5092" t="s">
        <v>124</v>
      </c>
      <c r="AC8" s="5085" t="s">
        <v>125</v>
      </c>
      <c r="AD8" s="5092" t="s">
        <v>373</v>
      </c>
      <c r="AE8" s="5092" t="s">
        <v>112</v>
      </c>
      <c r="AF8" s="5092" t="s">
        <v>113</v>
      </c>
      <c r="AG8" s="5092" t="s">
        <v>114</v>
      </c>
      <c r="AH8" s="9349"/>
    </row>
    <row r="9" spans="1:34" ht="25.5" customHeight="1">
      <c r="A9" s="9244" t="s">
        <v>797</v>
      </c>
      <c r="B9" s="9235" t="s">
        <v>797</v>
      </c>
      <c r="C9" s="9394" t="s">
        <v>127</v>
      </c>
      <c r="D9" s="9166" t="s">
        <v>128</v>
      </c>
      <c r="E9" s="9166" t="s">
        <v>140</v>
      </c>
      <c r="F9" s="9166" t="s">
        <v>141</v>
      </c>
      <c r="G9" s="9413" t="s">
        <v>131</v>
      </c>
      <c r="H9" s="9166" t="s">
        <v>798</v>
      </c>
      <c r="I9" s="9166" t="s">
        <v>133</v>
      </c>
      <c r="J9" s="9166" t="s">
        <v>799</v>
      </c>
      <c r="K9" s="9166" t="s">
        <v>800</v>
      </c>
      <c r="L9" s="9166" t="s">
        <v>801</v>
      </c>
      <c r="M9" s="8986">
        <v>1</v>
      </c>
      <c r="N9" s="8986">
        <v>1</v>
      </c>
      <c r="O9" s="8986">
        <v>1</v>
      </c>
      <c r="P9" s="9341" t="s">
        <v>802</v>
      </c>
      <c r="Q9" s="9341" t="s">
        <v>803</v>
      </c>
      <c r="R9" s="9342" t="s">
        <v>804</v>
      </c>
      <c r="S9" s="841"/>
      <c r="T9" s="6303"/>
      <c r="U9" s="6304"/>
      <c r="V9" s="598"/>
      <c r="W9" s="6358"/>
      <c r="X9" s="344"/>
      <c r="Y9" s="6394"/>
      <c r="Z9" s="6394"/>
      <c r="AA9" s="6394"/>
      <c r="AB9" s="6395"/>
      <c r="AC9" s="6422"/>
      <c r="AD9" s="852"/>
      <c r="AE9" s="344"/>
      <c r="AF9" s="308"/>
      <c r="AG9" s="308"/>
      <c r="AH9" s="9321"/>
    </row>
    <row r="10" spans="1:34" ht="25.5" customHeight="1">
      <c r="A10" s="9392"/>
      <c r="B10" s="9398"/>
      <c r="C10" s="9333"/>
      <c r="D10" s="9311"/>
      <c r="E10" s="9311"/>
      <c r="F10" s="9311"/>
      <c r="G10" s="9311"/>
      <c r="H10" s="9311"/>
      <c r="I10" s="9311"/>
      <c r="J10" s="9311"/>
      <c r="K10" s="9311"/>
      <c r="L10" s="9311"/>
      <c r="M10" s="9313"/>
      <c r="N10" s="9313"/>
      <c r="O10" s="9313"/>
      <c r="P10" s="9311"/>
      <c r="Q10" s="9311"/>
      <c r="R10" s="9315"/>
      <c r="S10" s="838"/>
      <c r="T10" s="6305"/>
      <c r="U10" s="4727"/>
      <c r="V10" s="584"/>
      <c r="W10" s="6359"/>
      <c r="X10" s="185"/>
      <c r="Y10" s="6396"/>
      <c r="Z10" s="6396"/>
      <c r="AA10" s="6396"/>
      <c r="AB10" s="6397"/>
      <c r="AC10" s="4817"/>
      <c r="AD10" s="853"/>
      <c r="AE10" s="185"/>
      <c r="AF10" s="186"/>
      <c r="AG10" s="186"/>
      <c r="AH10" s="9318"/>
    </row>
    <row r="11" spans="1:34" ht="25.5" customHeight="1">
      <c r="A11" s="9392"/>
      <c r="B11" s="9398"/>
      <c r="C11" s="9333"/>
      <c r="D11" s="9311"/>
      <c r="E11" s="9311"/>
      <c r="F11" s="9311"/>
      <c r="G11" s="9311"/>
      <c r="H11" s="9311"/>
      <c r="I11" s="9311"/>
      <c r="J11" s="9311"/>
      <c r="K11" s="9311"/>
      <c r="L11" s="9311"/>
      <c r="M11" s="9313"/>
      <c r="N11" s="9313"/>
      <c r="O11" s="9313"/>
      <c r="P11" s="9311"/>
      <c r="Q11" s="9311"/>
      <c r="R11" s="9315"/>
      <c r="S11" s="838"/>
      <c r="T11" s="6305"/>
      <c r="U11" s="4727"/>
      <c r="V11" s="584"/>
      <c r="W11" s="6359"/>
      <c r="X11" s="185"/>
      <c r="Y11" s="6396"/>
      <c r="Z11" s="6396"/>
      <c r="AA11" s="6396"/>
      <c r="AB11" s="6397"/>
      <c r="AC11" s="4817"/>
      <c r="AD11" s="853"/>
      <c r="AE11" s="185"/>
      <c r="AF11" s="186"/>
      <c r="AG11" s="186"/>
      <c r="AH11" s="9318"/>
    </row>
    <row r="12" spans="1:34" ht="25.5" customHeight="1">
      <c r="A12" s="9392"/>
      <c r="B12" s="9398"/>
      <c r="C12" s="9333"/>
      <c r="D12" s="9311"/>
      <c r="E12" s="9311"/>
      <c r="F12" s="9311"/>
      <c r="G12" s="9311"/>
      <c r="H12" s="9311"/>
      <c r="I12" s="9311"/>
      <c r="J12" s="9311"/>
      <c r="K12" s="9311"/>
      <c r="L12" s="9311"/>
      <c r="M12" s="9313"/>
      <c r="N12" s="9313"/>
      <c r="O12" s="9313"/>
      <c r="P12" s="9311"/>
      <c r="Q12" s="9311"/>
      <c r="R12" s="9315"/>
      <c r="S12" s="943"/>
      <c r="T12" s="6305"/>
      <c r="U12" s="6306"/>
      <c r="V12" s="798"/>
      <c r="W12" s="4862"/>
      <c r="X12" s="799"/>
      <c r="Y12" s="4898"/>
      <c r="Z12" s="4898"/>
      <c r="AA12" s="4898"/>
      <c r="AB12" s="4899"/>
      <c r="AC12" s="4876"/>
      <c r="AD12" s="853"/>
      <c r="AE12" s="185"/>
      <c r="AF12" s="186"/>
      <c r="AG12" s="186"/>
      <c r="AH12" s="9318"/>
    </row>
    <row r="13" spans="1:34" ht="25.5" customHeight="1">
      <c r="A13" s="9392"/>
      <c r="B13" s="9398"/>
      <c r="C13" s="9333"/>
      <c r="D13" s="9311"/>
      <c r="E13" s="9311"/>
      <c r="F13" s="9311"/>
      <c r="G13" s="9311"/>
      <c r="H13" s="9311"/>
      <c r="I13" s="9311"/>
      <c r="J13" s="9311"/>
      <c r="K13" s="9311"/>
      <c r="L13" s="9311"/>
      <c r="M13" s="9313"/>
      <c r="N13" s="9313"/>
      <c r="O13" s="9313"/>
      <c r="P13" s="9311"/>
      <c r="Q13" s="9311"/>
      <c r="R13" s="9315"/>
      <c r="S13" s="1134"/>
      <c r="T13" s="6307"/>
      <c r="U13" s="6308"/>
      <c r="V13" s="1027"/>
      <c r="W13" s="4867"/>
      <c r="X13" s="1018"/>
      <c r="Y13" s="4902"/>
      <c r="Z13" s="4902"/>
      <c r="AA13" s="4902"/>
      <c r="AB13" s="4908"/>
      <c r="AC13" s="4879"/>
      <c r="AD13" s="854"/>
      <c r="AE13" s="181"/>
      <c r="AF13" s="345"/>
      <c r="AG13" s="345"/>
      <c r="AH13" s="9340"/>
    </row>
    <row r="14" spans="1:34" ht="63" customHeight="1">
      <c r="A14" s="9392"/>
      <c r="B14" s="9398"/>
      <c r="C14" s="9332" t="s">
        <v>183</v>
      </c>
      <c r="D14" s="9258" t="s">
        <v>227</v>
      </c>
      <c r="E14" s="9258" t="s">
        <v>185</v>
      </c>
      <c r="F14" s="9258" t="s">
        <v>805</v>
      </c>
      <c r="G14" s="9335" t="s">
        <v>230</v>
      </c>
      <c r="H14" s="9258" t="s">
        <v>188</v>
      </c>
      <c r="I14" s="9258" t="s">
        <v>133</v>
      </c>
      <c r="J14" s="9255" t="s">
        <v>806</v>
      </c>
      <c r="K14" s="9258" t="s">
        <v>807</v>
      </c>
      <c r="L14" s="9258" t="s">
        <v>808</v>
      </c>
      <c r="M14" s="8975">
        <v>1</v>
      </c>
      <c r="N14" s="8975">
        <v>1</v>
      </c>
      <c r="O14" s="8975">
        <v>1</v>
      </c>
      <c r="P14" s="9255" t="s">
        <v>809</v>
      </c>
      <c r="Q14" s="9255" t="s">
        <v>810</v>
      </c>
      <c r="R14" s="9277" t="s">
        <v>811</v>
      </c>
      <c r="S14" s="3220" t="s">
        <v>15</v>
      </c>
      <c r="T14" s="6309">
        <v>530204</v>
      </c>
      <c r="U14" s="4725"/>
      <c r="V14" s="3221" t="s">
        <v>812</v>
      </c>
      <c r="W14" s="6360"/>
      <c r="X14" s="3162"/>
      <c r="Y14" s="6398"/>
      <c r="Z14" s="6398"/>
      <c r="AA14" s="6398"/>
      <c r="AB14" s="6399">
        <f>SUM($AA$15:$AA$15)</f>
        <v>15998.8</v>
      </c>
      <c r="AC14" s="4811" t="s">
        <v>18</v>
      </c>
      <c r="AD14" s="855"/>
      <c r="AE14" s="188"/>
      <c r="AF14" s="189"/>
      <c r="AG14" s="189"/>
      <c r="AH14" s="9324"/>
    </row>
    <row r="15" spans="1:34" ht="47.25" customHeight="1">
      <c r="A15" s="9392"/>
      <c r="B15" s="9398"/>
      <c r="C15" s="9333"/>
      <c r="D15" s="9311"/>
      <c r="E15" s="9311"/>
      <c r="F15" s="9311"/>
      <c r="G15" s="9311"/>
      <c r="H15" s="9311"/>
      <c r="I15" s="9311"/>
      <c r="J15" s="9311"/>
      <c r="K15" s="9311"/>
      <c r="L15" s="9311"/>
      <c r="M15" s="9313"/>
      <c r="N15" s="9313"/>
      <c r="O15" s="9313"/>
      <c r="P15" s="9311"/>
      <c r="Q15" s="9311"/>
      <c r="R15" s="9315"/>
      <c r="S15" s="3222"/>
      <c r="T15" s="4711"/>
      <c r="U15" s="4711" t="s">
        <v>813</v>
      </c>
      <c r="V15" s="3173" t="s">
        <v>814</v>
      </c>
      <c r="W15" s="6361">
        <v>1</v>
      </c>
      <c r="X15" s="3172" t="s">
        <v>152</v>
      </c>
      <c r="Y15" s="4907">
        <f>15998.8/1.12</f>
        <v>14284.642857142855</v>
      </c>
      <c r="Z15" s="4907">
        <f t="shared" ref="Z15" si="0">+W15*Y15</f>
        <v>14284.642857142855</v>
      </c>
      <c r="AA15" s="4907">
        <f t="shared" ref="AA15" si="1">+Z15*1.12</f>
        <v>15998.8</v>
      </c>
      <c r="AB15" s="4921"/>
      <c r="AC15" s="4784"/>
      <c r="AD15" s="853"/>
      <c r="AE15" s="185"/>
      <c r="AF15" s="186" t="s">
        <v>153</v>
      </c>
      <c r="AG15" s="186"/>
      <c r="AH15" s="9318"/>
    </row>
    <row r="16" spans="1:34" ht="43.5" customHeight="1">
      <c r="A16" s="9392"/>
      <c r="B16" s="9398"/>
      <c r="C16" s="9333"/>
      <c r="D16" s="9311"/>
      <c r="E16" s="9311"/>
      <c r="F16" s="9311"/>
      <c r="G16" s="9311"/>
      <c r="H16" s="9311"/>
      <c r="I16" s="9311"/>
      <c r="J16" s="9311"/>
      <c r="K16" s="9311"/>
      <c r="L16" s="9311"/>
      <c r="M16" s="9313"/>
      <c r="N16" s="9313"/>
      <c r="O16" s="9313"/>
      <c r="P16" s="9311"/>
      <c r="Q16" s="9311"/>
      <c r="R16" s="9315"/>
      <c r="S16" s="1851" t="s">
        <v>81</v>
      </c>
      <c r="T16" s="6310">
        <v>840103</v>
      </c>
      <c r="U16" s="4711"/>
      <c r="V16" s="3223" t="s">
        <v>591</v>
      </c>
      <c r="W16" s="4866"/>
      <c r="X16" s="3172"/>
      <c r="Y16" s="4907"/>
      <c r="Z16" s="4907"/>
      <c r="AA16" s="4907"/>
      <c r="AB16" s="4921">
        <f>+AA17</f>
        <v>2510</v>
      </c>
      <c r="AC16" s="4784" t="s">
        <v>18</v>
      </c>
      <c r="AD16" s="853"/>
      <c r="AE16" s="185"/>
      <c r="AF16" s="186"/>
      <c r="AG16" s="186"/>
      <c r="AH16" s="9318"/>
    </row>
    <row r="17" spans="1:34" ht="29.25" customHeight="1">
      <c r="A17" s="9392"/>
      <c r="B17" s="9398"/>
      <c r="C17" s="9333"/>
      <c r="D17" s="9311"/>
      <c r="E17" s="9311"/>
      <c r="F17" s="9311"/>
      <c r="G17" s="9311"/>
      <c r="H17" s="9311"/>
      <c r="I17" s="9311"/>
      <c r="J17" s="9311"/>
      <c r="K17" s="9311"/>
      <c r="L17" s="9311"/>
      <c r="M17" s="9313"/>
      <c r="N17" s="9313"/>
      <c r="O17" s="9313"/>
      <c r="P17" s="9311"/>
      <c r="Q17" s="9311"/>
      <c r="R17" s="9315"/>
      <c r="S17" s="748"/>
      <c r="T17" s="6311"/>
      <c r="U17" s="4711"/>
      <c r="V17" s="3173" t="s">
        <v>815</v>
      </c>
      <c r="W17" s="4866">
        <v>1</v>
      </c>
      <c r="X17" s="3172" t="s">
        <v>152</v>
      </c>
      <c r="Y17" s="4907">
        <f>2510</f>
        <v>2510</v>
      </c>
      <c r="Z17" s="4907">
        <f t="shared" ref="Z17" si="2">+W17*Y17</f>
        <v>2510</v>
      </c>
      <c r="AA17" s="4907">
        <f>Z17</f>
        <v>2510</v>
      </c>
      <c r="AB17" s="4921"/>
      <c r="AC17" s="4784"/>
      <c r="AD17" s="853"/>
      <c r="AE17" s="185"/>
      <c r="AF17" s="186" t="s">
        <v>153</v>
      </c>
      <c r="AG17" s="186"/>
      <c r="AH17" s="9318"/>
    </row>
    <row r="18" spans="1:34" ht="18" customHeight="1">
      <c r="A18" s="9392"/>
      <c r="B18" s="9398"/>
      <c r="C18" s="9395"/>
      <c r="D18" s="9312"/>
      <c r="E18" s="9312"/>
      <c r="F18" s="9312"/>
      <c r="G18" s="9312"/>
      <c r="H18" s="9312"/>
      <c r="I18" s="9312"/>
      <c r="J18" s="9312"/>
      <c r="K18" s="9312"/>
      <c r="L18" s="9312"/>
      <c r="M18" s="9314"/>
      <c r="N18" s="9314"/>
      <c r="O18" s="9314"/>
      <c r="P18" s="9312"/>
      <c r="Q18" s="9312"/>
      <c r="R18" s="9316"/>
      <c r="S18" s="1852"/>
      <c r="T18" s="4856"/>
      <c r="U18" s="4856"/>
      <c r="V18" s="577"/>
      <c r="W18" s="4871"/>
      <c r="X18" s="64"/>
      <c r="Y18" s="4914"/>
      <c r="Z18" s="4914"/>
      <c r="AA18" s="4914"/>
      <c r="AB18" s="4916"/>
      <c r="AC18" s="4882"/>
      <c r="AD18" s="856"/>
      <c r="AE18" s="187"/>
      <c r="AF18" s="182" t="s">
        <v>153</v>
      </c>
      <c r="AG18" s="182"/>
      <c r="AH18" s="9319"/>
    </row>
    <row r="19" spans="1:34" ht="21.75" customHeight="1">
      <c r="A19" s="9392"/>
      <c r="B19" s="9398"/>
      <c r="C19" s="9400" t="s">
        <v>183</v>
      </c>
      <c r="D19" s="9167" t="s">
        <v>227</v>
      </c>
      <c r="E19" s="9167" t="s">
        <v>185</v>
      </c>
      <c r="F19" s="9167" t="s">
        <v>805</v>
      </c>
      <c r="G19" s="9320" t="s">
        <v>230</v>
      </c>
      <c r="H19" s="9167" t="s">
        <v>188</v>
      </c>
      <c r="I19" s="9167" t="s">
        <v>133</v>
      </c>
      <c r="J19" s="9262" t="s">
        <v>816</v>
      </c>
      <c r="K19" s="9167" t="s">
        <v>817</v>
      </c>
      <c r="L19" s="9167" t="s">
        <v>818</v>
      </c>
      <c r="M19" s="9339">
        <v>1</v>
      </c>
      <c r="N19" s="9339">
        <v>1</v>
      </c>
      <c r="O19" s="9339">
        <v>1</v>
      </c>
      <c r="P19" s="9262" t="s">
        <v>819</v>
      </c>
      <c r="Q19" s="9262" t="s">
        <v>820</v>
      </c>
      <c r="R19" s="9263" t="s">
        <v>821</v>
      </c>
      <c r="S19" s="8560" t="s">
        <v>15</v>
      </c>
      <c r="T19" s="8423">
        <v>840108</v>
      </c>
      <c r="U19" s="8423"/>
      <c r="V19" s="8561" t="s">
        <v>822</v>
      </c>
      <c r="W19" s="8562"/>
      <c r="X19" s="8562"/>
      <c r="Y19" s="8563"/>
      <c r="Z19" s="8564"/>
      <c r="AA19" s="8564"/>
      <c r="AB19" s="8553">
        <f>AA20</f>
        <v>2520</v>
      </c>
      <c r="AC19" s="8554" t="s">
        <v>25</v>
      </c>
      <c r="AD19" s="857"/>
      <c r="AE19" s="183"/>
      <c r="AF19" s="184"/>
      <c r="AG19" s="184"/>
      <c r="AH19" s="9317"/>
    </row>
    <row r="20" spans="1:34" ht="21.75" customHeight="1">
      <c r="A20" s="9392"/>
      <c r="B20" s="9398"/>
      <c r="C20" s="9333"/>
      <c r="D20" s="9311"/>
      <c r="E20" s="9311"/>
      <c r="F20" s="9311"/>
      <c r="G20" s="9311"/>
      <c r="H20" s="9311"/>
      <c r="I20" s="9311"/>
      <c r="J20" s="9311"/>
      <c r="K20" s="9311"/>
      <c r="L20" s="9311"/>
      <c r="M20" s="9313"/>
      <c r="N20" s="9313"/>
      <c r="O20" s="9313"/>
      <c r="P20" s="9311"/>
      <c r="Q20" s="9311"/>
      <c r="R20" s="9315"/>
      <c r="S20" s="8565"/>
      <c r="T20" s="8566"/>
      <c r="U20" s="8566"/>
      <c r="V20" s="8555" t="s">
        <v>823</v>
      </c>
      <c r="W20" s="8556">
        <v>1</v>
      </c>
      <c r="X20" s="8556" t="s">
        <v>479</v>
      </c>
      <c r="Y20" s="8557">
        <v>2520</v>
      </c>
      <c r="Z20" s="8557">
        <f>Y20</f>
        <v>2520</v>
      </c>
      <c r="AA20" s="8557">
        <f>Z20</f>
        <v>2520</v>
      </c>
      <c r="AB20" s="8558"/>
      <c r="AC20" s="8559"/>
      <c r="AD20" s="853"/>
      <c r="AE20" s="185"/>
      <c r="AF20" s="186" t="s">
        <v>153</v>
      </c>
      <c r="AG20" s="186"/>
      <c r="AH20" s="9318"/>
    </row>
    <row r="21" spans="1:34" ht="21.75" customHeight="1">
      <c r="A21" s="9392"/>
      <c r="B21" s="9398"/>
      <c r="C21" s="9333"/>
      <c r="D21" s="9311"/>
      <c r="E21" s="9311"/>
      <c r="F21" s="9311"/>
      <c r="G21" s="9311"/>
      <c r="H21" s="9311"/>
      <c r="I21" s="9311"/>
      <c r="J21" s="9311"/>
      <c r="K21" s="9311"/>
      <c r="L21" s="9311"/>
      <c r="M21" s="9313"/>
      <c r="N21" s="9313"/>
      <c r="O21" s="9313"/>
      <c r="P21" s="9311"/>
      <c r="Q21" s="9311"/>
      <c r="R21" s="9315"/>
      <c r="S21" s="943"/>
      <c r="T21" s="6305"/>
      <c r="U21" s="6306"/>
      <c r="V21" s="798"/>
      <c r="W21" s="4862"/>
      <c r="X21" s="799"/>
      <c r="Y21" s="4898"/>
      <c r="Z21" s="4898"/>
      <c r="AA21" s="4898"/>
      <c r="AB21" s="4899"/>
      <c r="AC21" s="4876"/>
      <c r="AD21" s="853"/>
      <c r="AE21" s="185"/>
      <c r="AF21" s="186"/>
      <c r="AG21" s="186"/>
      <c r="AH21" s="9318"/>
    </row>
    <row r="22" spans="1:34" ht="21.75" customHeight="1">
      <c r="A22" s="9392"/>
      <c r="B22" s="9398"/>
      <c r="C22" s="9333"/>
      <c r="D22" s="9311"/>
      <c r="E22" s="9311"/>
      <c r="F22" s="9311"/>
      <c r="G22" s="9311"/>
      <c r="H22" s="9311"/>
      <c r="I22" s="9311"/>
      <c r="J22" s="9311"/>
      <c r="K22" s="9311"/>
      <c r="L22" s="9311"/>
      <c r="M22" s="9313"/>
      <c r="N22" s="9313"/>
      <c r="O22" s="9313"/>
      <c r="P22" s="9311"/>
      <c r="Q22" s="9311"/>
      <c r="R22" s="9315"/>
      <c r="S22" s="943"/>
      <c r="T22" s="6313"/>
      <c r="U22" s="6314"/>
      <c r="V22" s="798"/>
      <c r="W22" s="4862"/>
      <c r="X22" s="799"/>
      <c r="Y22" s="4898"/>
      <c r="Z22" s="4898"/>
      <c r="AA22" s="4898"/>
      <c r="AB22" s="4899"/>
      <c r="AC22" s="4876"/>
      <c r="AD22" s="853"/>
      <c r="AE22" s="185"/>
      <c r="AF22" s="186"/>
      <c r="AG22" s="186"/>
      <c r="AH22" s="9318"/>
    </row>
    <row r="23" spans="1:34" ht="21.75" customHeight="1">
      <c r="A23" s="9392"/>
      <c r="B23" s="9398"/>
      <c r="C23" s="9395"/>
      <c r="D23" s="9312"/>
      <c r="E23" s="9312"/>
      <c r="F23" s="9312"/>
      <c r="G23" s="9312"/>
      <c r="H23" s="9312"/>
      <c r="I23" s="9312"/>
      <c r="J23" s="9312"/>
      <c r="K23" s="9312"/>
      <c r="L23" s="9312"/>
      <c r="M23" s="9314"/>
      <c r="N23" s="9314"/>
      <c r="O23" s="9314"/>
      <c r="P23" s="9312"/>
      <c r="Q23" s="9312"/>
      <c r="R23" s="9316"/>
      <c r="S23" s="1129"/>
      <c r="T23" s="4856"/>
      <c r="U23" s="6260"/>
      <c r="V23" s="1031"/>
      <c r="W23" s="4868"/>
      <c r="X23" s="1023"/>
      <c r="Y23" s="4909"/>
      <c r="Z23" s="4909"/>
      <c r="AA23" s="4909"/>
      <c r="AB23" s="4905"/>
      <c r="AC23" s="4877"/>
      <c r="AD23" s="856"/>
      <c r="AE23" s="187"/>
      <c r="AF23" s="182"/>
      <c r="AG23" s="182"/>
      <c r="AH23" s="9319"/>
    </row>
    <row r="24" spans="1:34" ht="21.75" customHeight="1">
      <c r="A24" s="9392"/>
      <c r="B24" s="9398"/>
      <c r="C24" s="9400" t="s">
        <v>183</v>
      </c>
      <c r="D24" s="9167" t="s">
        <v>227</v>
      </c>
      <c r="E24" s="9167" t="s">
        <v>185</v>
      </c>
      <c r="F24" s="9167" t="s">
        <v>186</v>
      </c>
      <c r="G24" s="9320" t="s">
        <v>230</v>
      </c>
      <c r="H24" s="9167" t="s">
        <v>132</v>
      </c>
      <c r="I24" s="9167" t="s">
        <v>133</v>
      </c>
      <c r="J24" s="9412" t="s">
        <v>824</v>
      </c>
      <c r="K24" s="9167" t="s">
        <v>825</v>
      </c>
      <c r="L24" s="9167" t="s">
        <v>826</v>
      </c>
      <c r="M24" s="8979">
        <v>1</v>
      </c>
      <c r="N24" s="8979">
        <v>0</v>
      </c>
      <c r="O24" s="8979">
        <v>1</v>
      </c>
      <c r="P24" s="9262" t="s">
        <v>827</v>
      </c>
      <c r="Q24" s="9262" t="s">
        <v>828</v>
      </c>
      <c r="R24" s="9263" t="s">
        <v>829</v>
      </c>
      <c r="S24" s="939"/>
      <c r="T24" s="6315"/>
      <c r="U24" s="6316"/>
      <c r="V24" s="1144"/>
      <c r="W24" s="6362"/>
      <c r="X24" s="941"/>
      <c r="Y24" s="4900"/>
      <c r="Z24" s="4900"/>
      <c r="AA24" s="4900"/>
      <c r="AB24" s="4906"/>
      <c r="AC24" s="4878"/>
      <c r="AD24" s="857"/>
      <c r="AE24" s="851"/>
      <c r="AF24" s="851"/>
      <c r="AG24" s="851"/>
      <c r="AH24" s="9317"/>
    </row>
    <row r="25" spans="1:34" ht="21.75" customHeight="1">
      <c r="A25" s="9392"/>
      <c r="B25" s="9398"/>
      <c r="C25" s="9333"/>
      <c r="D25" s="9311"/>
      <c r="E25" s="9311"/>
      <c r="F25" s="9311"/>
      <c r="G25" s="9311"/>
      <c r="H25" s="9311"/>
      <c r="I25" s="9311"/>
      <c r="J25" s="9311"/>
      <c r="K25" s="9311"/>
      <c r="L25" s="9311"/>
      <c r="M25" s="9313"/>
      <c r="N25" s="9313"/>
      <c r="O25" s="9313"/>
      <c r="P25" s="9311"/>
      <c r="Q25" s="9311"/>
      <c r="R25" s="9315"/>
      <c r="S25" s="943"/>
      <c r="T25" s="6305"/>
      <c r="U25" s="6306"/>
      <c r="V25" s="1139"/>
      <c r="W25" s="6363"/>
      <c r="X25" s="1142"/>
      <c r="Y25" s="4898"/>
      <c r="Z25" s="4898"/>
      <c r="AA25" s="4898"/>
      <c r="AB25" s="4899"/>
      <c r="AC25" s="4876"/>
      <c r="AD25" s="853"/>
      <c r="AE25" s="849"/>
      <c r="AF25" s="849"/>
      <c r="AG25" s="849"/>
      <c r="AH25" s="9318"/>
    </row>
    <row r="26" spans="1:34" ht="21.75" customHeight="1">
      <c r="A26" s="9392"/>
      <c r="B26" s="9398"/>
      <c r="C26" s="9333"/>
      <c r="D26" s="9311"/>
      <c r="E26" s="9311"/>
      <c r="F26" s="9311"/>
      <c r="G26" s="9311"/>
      <c r="H26" s="9311"/>
      <c r="I26" s="9311"/>
      <c r="J26" s="9311"/>
      <c r="K26" s="9311"/>
      <c r="L26" s="9311"/>
      <c r="M26" s="9313"/>
      <c r="N26" s="9313"/>
      <c r="O26" s="9313"/>
      <c r="P26" s="9311"/>
      <c r="Q26" s="9311"/>
      <c r="R26" s="9315"/>
      <c r="S26" s="943"/>
      <c r="T26" s="6305"/>
      <c r="U26" s="6306"/>
      <c r="V26" s="1139"/>
      <c r="W26" s="6363"/>
      <c r="X26" s="1142"/>
      <c r="Y26" s="4898"/>
      <c r="Z26" s="4898"/>
      <c r="AA26" s="4898"/>
      <c r="AB26" s="4899"/>
      <c r="AC26" s="4876"/>
      <c r="AD26" s="853"/>
      <c r="AE26" s="849"/>
      <c r="AF26" s="849"/>
      <c r="AG26" s="849"/>
      <c r="AH26" s="9318"/>
    </row>
    <row r="27" spans="1:34" ht="21.75" customHeight="1">
      <c r="A27" s="9392"/>
      <c r="B27" s="9398"/>
      <c r="C27" s="9333"/>
      <c r="D27" s="9311"/>
      <c r="E27" s="9311"/>
      <c r="F27" s="9311"/>
      <c r="G27" s="9311"/>
      <c r="H27" s="9311"/>
      <c r="I27" s="9311"/>
      <c r="J27" s="9311"/>
      <c r="K27" s="9311"/>
      <c r="L27" s="9311"/>
      <c r="M27" s="9313"/>
      <c r="N27" s="9313"/>
      <c r="O27" s="9313"/>
      <c r="P27" s="9311"/>
      <c r="Q27" s="9311"/>
      <c r="R27" s="9315"/>
      <c r="S27" s="943"/>
      <c r="T27" s="6305"/>
      <c r="U27" s="6306"/>
      <c r="V27" s="1139"/>
      <c r="W27" s="6363"/>
      <c r="X27" s="1142"/>
      <c r="Y27" s="4898"/>
      <c r="Z27" s="4898"/>
      <c r="AA27" s="4898"/>
      <c r="AB27" s="4899"/>
      <c r="AC27" s="4876"/>
      <c r="AD27" s="853"/>
      <c r="AE27" s="849"/>
      <c r="AF27" s="849"/>
      <c r="AG27" s="849"/>
      <c r="AH27" s="9318"/>
    </row>
    <row r="28" spans="1:34" ht="21.75" customHeight="1">
      <c r="A28" s="9392"/>
      <c r="B28" s="9398"/>
      <c r="C28" s="9395"/>
      <c r="D28" s="9312"/>
      <c r="E28" s="9312"/>
      <c r="F28" s="9312"/>
      <c r="G28" s="9312"/>
      <c r="H28" s="9312"/>
      <c r="I28" s="9312"/>
      <c r="J28" s="9312"/>
      <c r="K28" s="9312"/>
      <c r="L28" s="9312"/>
      <c r="M28" s="9314"/>
      <c r="N28" s="9314"/>
      <c r="O28" s="9314"/>
      <c r="P28" s="9312"/>
      <c r="Q28" s="9312"/>
      <c r="R28" s="9316"/>
      <c r="S28" s="1129"/>
      <c r="T28" s="4856"/>
      <c r="U28" s="6260"/>
      <c r="V28" s="1124"/>
      <c r="W28" s="6364"/>
      <c r="X28" s="1125"/>
      <c r="Y28" s="4909"/>
      <c r="Z28" s="4909"/>
      <c r="AA28" s="4909"/>
      <c r="AB28" s="4909"/>
      <c r="AC28" s="6423"/>
      <c r="AD28" s="858"/>
      <c r="AE28" s="850"/>
      <c r="AF28" s="850"/>
      <c r="AG28" s="850"/>
      <c r="AH28" s="9319"/>
    </row>
    <row r="29" spans="1:34" ht="44.25" customHeight="1">
      <c r="A29" s="9392"/>
      <c r="B29" s="9398"/>
      <c r="C29" s="9332" t="s">
        <v>183</v>
      </c>
      <c r="D29" s="9258" t="s">
        <v>227</v>
      </c>
      <c r="E29" s="9258" t="s">
        <v>185</v>
      </c>
      <c r="F29" s="9258" t="s">
        <v>805</v>
      </c>
      <c r="G29" s="9335" t="s">
        <v>230</v>
      </c>
      <c r="H29" s="9258" t="s">
        <v>132</v>
      </c>
      <c r="I29" s="9258" t="s">
        <v>189</v>
      </c>
      <c r="J29" s="9255" t="s">
        <v>830</v>
      </c>
      <c r="K29" s="9258" t="s">
        <v>831</v>
      </c>
      <c r="L29" s="9258" t="s">
        <v>832</v>
      </c>
      <c r="M29" s="8975">
        <v>1</v>
      </c>
      <c r="N29" s="8975">
        <v>0</v>
      </c>
      <c r="O29" s="8975">
        <v>1</v>
      </c>
      <c r="P29" s="9255" t="s">
        <v>833</v>
      </c>
      <c r="Q29" s="9255" t="s">
        <v>834</v>
      </c>
      <c r="R29" s="9277" t="s">
        <v>835</v>
      </c>
      <c r="S29" s="3222" t="s">
        <v>79</v>
      </c>
      <c r="T29" s="6311">
        <v>530402</v>
      </c>
      <c r="U29" s="6311"/>
      <c r="V29" s="3224" t="s">
        <v>281</v>
      </c>
      <c r="W29" s="6366"/>
      <c r="X29" s="3225"/>
      <c r="Y29" s="8055"/>
      <c r="Z29" s="8056"/>
      <c r="AA29" s="8033"/>
      <c r="AB29" s="7986">
        <f>SUM(AA30)</f>
        <v>363984.4821428571</v>
      </c>
      <c r="AC29" s="4784" t="s">
        <v>25</v>
      </c>
      <c r="AD29" s="853"/>
      <c r="AE29" s="185"/>
      <c r="AF29" s="185"/>
      <c r="AG29" s="186"/>
      <c r="AH29" s="9318"/>
    </row>
    <row r="30" spans="1:34" ht="122.25" customHeight="1">
      <c r="A30" s="9392"/>
      <c r="B30" s="9398"/>
      <c r="C30" s="9400"/>
      <c r="D30" s="9167"/>
      <c r="E30" s="9167"/>
      <c r="F30" s="9167"/>
      <c r="G30" s="9320"/>
      <c r="H30" s="9167"/>
      <c r="I30" s="9167"/>
      <c r="J30" s="9167"/>
      <c r="K30" s="9167"/>
      <c r="L30" s="9167"/>
      <c r="M30" s="8979"/>
      <c r="N30" s="8979"/>
      <c r="O30" s="8979"/>
      <c r="P30" s="9167"/>
      <c r="Q30" s="9167"/>
      <c r="R30" s="9263"/>
      <c r="S30" s="3222"/>
      <c r="T30" s="4711"/>
      <c r="U30" s="4711"/>
      <c r="V30" s="3173" t="s">
        <v>836</v>
      </c>
      <c r="W30" s="6367">
        <v>1</v>
      </c>
      <c r="X30" s="3226" t="s">
        <v>152</v>
      </c>
      <c r="Y30" s="8033">
        <f>(405386.3+2276.32)/1.12</f>
        <v>363984.4821428571</v>
      </c>
      <c r="Z30" s="8033">
        <f t="shared" ref="Z30" si="3">+W30*Y30</f>
        <v>363984.4821428571</v>
      </c>
      <c r="AA30" s="8033">
        <f>Z30</f>
        <v>363984.4821428571</v>
      </c>
      <c r="AB30" s="7986"/>
      <c r="AC30" s="4784"/>
      <c r="AD30" s="853"/>
      <c r="AE30" s="836"/>
      <c r="AF30" s="836" t="s">
        <v>153</v>
      </c>
      <c r="AG30" s="836" t="s">
        <v>153</v>
      </c>
      <c r="AH30" s="9318"/>
    </row>
    <row r="31" spans="1:34" s="8588" customFormat="1" ht="38.25">
      <c r="A31" s="9392"/>
      <c r="B31" s="9398"/>
      <c r="C31" s="9400"/>
      <c r="D31" s="9167"/>
      <c r="E31" s="9167"/>
      <c r="F31" s="9167"/>
      <c r="G31" s="9320"/>
      <c r="H31" s="9167"/>
      <c r="I31" s="9167"/>
      <c r="J31" s="9167"/>
      <c r="K31" s="9167"/>
      <c r="L31" s="9167"/>
      <c r="M31" s="8979"/>
      <c r="N31" s="8979"/>
      <c r="O31" s="8979"/>
      <c r="P31" s="9167"/>
      <c r="Q31" s="9167"/>
      <c r="R31" s="9263"/>
      <c r="S31" s="8497" t="s">
        <v>15</v>
      </c>
      <c r="T31" s="8498">
        <v>530402</v>
      </c>
      <c r="U31" s="8498"/>
      <c r="V31" s="8502" t="s">
        <v>281</v>
      </c>
      <c r="W31" s="8024"/>
      <c r="X31" s="8025"/>
      <c r="Y31" s="7981"/>
      <c r="Z31" s="7981"/>
      <c r="AA31" s="7981"/>
      <c r="AB31" s="7982">
        <f>+AA32</f>
        <v>70203.710000000006</v>
      </c>
      <c r="AC31" s="8100" t="s">
        <v>25</v>
      </c>
      <c r="AD31" s="8587"/>
      <c r="AE31" s="8584"/>
      <c r="AF31" s="8584"/>
      <c r="AG31" s="8584"/>
      <c r="AH31" s="9318"/>
    </row>
    <row r="32" spans="1:34" s="8588" customFormat="1" ht="25.5">
      <c r="A32" s="9392"/>
      <c r="B32" s="9398"/>
      <c r="C32" s="9400"/>
      <c r="D32" s="9167"/>
      <c r="E32" s="9167"/>
      <c r="F32" s="9167"/>
      <c r="G32" s="9320"/>
      <c r="H32" s="9167"/>
      <c r="I32" s="9167"/>
      <c r="J32" s="9167"/>
      <c r="K32" s="9167"/>
      <c r="L32" s="9167"/>
      <c r="M32" s="8979"/>
      <c r="N32" s="8979"/>
      <c r="O32" s="8979"/>
      <c r="P32" s="9167"/>
      <c r="Q32" s="9167"/>
      <c r="R32" s="9263"/>
      <c r="S32" s="8583"/>
      <c r="T32" s="6970"/>
      <c r="U32" s="6970"/>
      <c r="V32" s="8023" t="s">
        <v>837</v>
      </c>
      <c r="W32" s="8097">
        <v>1</v>
      </c>
      <c r="X32" s="8098" t="s">
        <v>152</v>
      </c>
      <c r="Y32" s="8585">
        <v>70203.710000000006</v>
      </c>
      <c r="Z32" s="8585">
        <f>Y32</f>
        <v>70203.710000000006</v>
      </c>
      <c r="AA32" s="8585">
        <f>Z32</f>
        <v>70203.710000000006</v>
      </c>
      <c r="AB32" s="8099"/>
      <c r="AC32" s="8586"/>
      <c r="AD32" s="8587"/>
      <c r="AE32" s="8584"/>
      <c r="AF32" s="8584"/>
      <c r="AG32" s="8589" t="s">
        <v>153</v>
      </c>
      <c r="AH32" s="9318"/>
    </row>
    <row r="33" spans="1:34" s="8588" customFormat="1" ht="38.25">
      <c r="A33" s="9392"/>
      <c r="B33" s="9398"/>
      <c r="C33" s="9400"/>
      <c r="D33" s="9167"/>
      <c r="E33" s="9167"/>
      <c r="F33" s="9167"/>
      <c r="G33" s="9320"/>
      <c r="H33" s="9167"/>
      <c r="I33" s="9167"/>
      <c r="J33" s="9167"/>
      <c r="K33" s="9167"/>
      <c r="L33" s="9167"/>
      <c r="M33" s="8979"/>
      <c r="N33" s="8979"/>
      <c r="O33" s="8979"/>
      <c r="P33" s="9167"/>
      <c r="Q33" s="9167"/>
      <c r="R33" s="9263"/>
      <c r="S33" s="8497" t="s">
        <v>15</v>
      </c>
      <c r="T33" s="8498">
        <v>530402</v>
      </c>
      <c r="U33" s="8498"/>
      <c r="V33" s="8502" t="s">
        <v>281</v>
      </c>
      <c r="W33" s="8024"/>
      <c r="X33" s="8025"/>
      <c r="Y33" s="7981"/>
      <c r="Z33" s="7981"/>
      <c r="AA33" s="7981"/>
      <c r="AB33" s="7982">
        <f>+AA34</f>
        <v>7543.88</v>
      </c>
      <c r="AC33" s="8100" t="s">
        <v>26</v>
      </c>
      <c r="AD33" s="8500"/>
      <c r="AE33" s="7987"/>
      <c r="AF33" s="7987"/>
      <c r="AG33" s="7987"/>
      <c r="AH33" s="9318"/>
    </row>
    <row r="34" spans="1:34" s="8588" customFormat="1" ht="25.5">
      <c r="A34" s="9392"/>
      <c r="B34" s="9398"/>
      <c r="C34" s="9400"/>
      <c r="D34" s="9167"/>
      <c r="E34" s="9167"/>
      <c r="F34" s="9167"/>
      <c r="G34" s="9320"/>
      <c r="H34" s="9167"/>
      <c r="I34" s="9167"/>
      <c r="J34" s="9167"/>
      <c r="K34" s="9167"/>
      <c r="L34" s="9167"/>
      <c r="M34" s="8979"/>
      <c r="N34" s="8979"/>
      <c r="O34" s="8979"/>
      <c r="P34" s="9167"/>
      <c r="Q34" s="9167"/>
      <c r="R34" s="9263"/>
      <c r="S34" s="8497"/>
      <c r="T34" s="8499"/>
      <c r="U34" s="8499"/>
      <c r="V34" s="8023" t="s">
        <v>837</v>
      </c>
      <c r="W34" s="8097">
        <v>1</v>
      </c>
      <c r="X34" s="8098" t="s">
        <v>152</v>
      </c>
      <c r="Y34" s="7981">
        <v>7543.88</v>
      </c>
      <c r="Z34" s="7981">
        <f>+W34*Y34</f>
        <v>7543.88</v>
      </c>
      <c r="AA34" s="7981">
        <f>Z34</f>
        <v>7543.88</v>
      </c>
      <c r="AB34" s="7982"/>
      <c r="AC34" s="8100"/>
      <c r="AD34" s="8500"/>
      <c r="AE34" s="7987"/>
      <c r="AF34" s="7987"/>
      <c r="AG34" s="7987" t="s">
        <v>153</v>
      </c>
      <c r="AH34" s="9318"/>
    </row>
    <row r="35" spans="1:34" ht="39" customHeight="1">
      <c r="A35" s="9392"/>
      <c r="B35" s="9398"/>
      <c r="C35" s="9400"/>
      <c r="D35" s="9167"/>
      <c r="E35" s="9167"/>
      <c r="F35" s="9167"/>
      <c r="G35" s="9320"/>
      <c r="H35" s="9167"/>
      <c r="I35" s="9167"/>
      <c r="J35" s="9167"/>
      <c r="K35" s="9167"/>
      <c r="L35" s="9167"/>
      <c r="M35" s="8979"/>
      <c r="N35" s="8979"/>
      <c r="O35" s="8979"/>
      <c r="P35" s="9167"/>
      <c r="Q35" s="9167"/>
      <c r="R35" s="9263"/>
      <c r="S35" s="8497" t="s">
        <v>15</v>
      </c>
      <c r="T35" s="8498">
        <v>530402</v>
      </c>
      <c r="U35" s="8498"/>
      <c r="V35" s="8502" t="s">
        <v>281</v>
      </c>
      <c r="W35" s="8024"/>
      <c r="X35" s="8025"/>
      <c r="Y35" s="7981"/>
      <c r="Z35" s="7981"/>
      <c r="AA35" s="7981"/>
      <c r="AB35" s="7982">
        <f>+AA36</f>
        <v>83275.509999999995</v>
      </c>
      <c r="AC35" s="8100" t="s">
        <v>18</v>
      </c>
      <c r="AD35" s="8500"/>
      <c r="AE35" s="7987"/>
      <c r="AF35" s="7987"/>
      <c r="AG35" s="7987"/>
      <c r="AH35" s="9318"/>
    </row>
    <row r="36" spans="1:34" ht="33.75" customHeight="1">
      <c r="A36" s="9392"/>
      <c r="B36" s="9398"/>
      <c r="C36" s="9400"/>
      <c r="D36" s="9167"/>
      <c r="E36" s="9167"/>
      <c r="F36" s="9167"/>
      <c r="G36" s="9320"/>
      <c r="H36" s="9167"/>
      <c r="I36" s="9167"/>
      <c r="J36" s="9167"/>
      <c r="K36" s="9167"/>
      <c r="L36" s="9167"/>
      <c r="M36" s="8979"/>
      <c r="N36" s="8979"/>
      <c r="O36" s="8979"/>
      <c r="P36" s="9167"/>
      <c r="Q36" s="9167"/>
      <c r="R36" s="9263"/>
      <c r="S36" s="8497"/>
      <c r="T36" s="8499"/>
      <c r="U36" s="8499"/>
      <c r="V36" s="8023" t="s">
        <v>837</v>
      </c>
      <c r="W36" s="8097">
        <v>1</v>
      </c>
      <c r="X36" s="8098" t="s">
        <v>152</v>
      </c>
      <c r="Y36" s="7981">
        <v>83275.509999999995</v>
      </c>
      <c r="Z36" s="7981">
        <f>+W36*Y36</f>
        <v>83275.509999999995</v>
      </c>
      <c r="AA36" s="7981">
        <f>Z36</f>
        <v>83275.509999999995</v>
      </c>
      <c r="AB36" s="7982"/>
      <c r="AC36" s="8100"/>
      <c r="AD36" s="8500"/>
      <c r="AE36" s="7987"/>
      <c r="AF36" s="7987"/>
      <c r="AG36" s="7987" t="s">
        <v>153</v>
      </c>
      <c r="AH36" s="9318"/>
    </row>
    <row r="37" spans="1:34" ht="53.25" customHeight="1">
      <c r="A37" s="9392"/>
      <c r="B37" s="9398"/>
      <c r="C37" s="9400"/>
      <c r="D37" s="9167"/>
      <c r="E37" s="9167"/>
      <c r="F37" s="9167"/>
      <c r="G37" s="9320"/>
      <c r="H37" s="9167"/>
      <c r="I37" s="9167"/>
      <c r="J37" s="9167"/>
      <c r="K37" s="9167"/>
      <c r="L37" s="9167"/>
      <c r="M37" s="8979"/>
      <c r="N37" s="8979"/>
      <c r="O37" s="8979"/>
      <c r="P37" s="9167"/>
      <c r="Q37" s="9167"/>
      <c r="R37" s="9263"/>
      <c r="S37" s="748" t="s">
        <v>15</v>
      </c>
      <c r="T37" s="6313">
        <v>530204</v>
      </c>
      <c r="U37" s="6313"/>
      <c r="V37" s="583" t="s">
        <v>16</v>
      </c>
      <c r="W37" s="4869"/>
      <c r="X37" s="48"/>
      <c r="Y37" s="7981"/>
      <c r="Z37" s="7981"/>
      <c r="AA37" s="7981"/>
      <c r="AB37" s="7986">
        <f>SUM(AA38:AA38)</f>
        <v>1292.4016000000001</v>
      </c>
      <c r="AC37" s="4880" t="s">
        <v>25</v>
      </c>
      <c r="AD37" s="853"/>
      <c r="AE37" s="185"/>
      <c r="AF37" s="185"/>
      <c r="AG37" s="186"/>
      <c r="AH37" s="9318"/>
    </row>
    <row r="38" spans="1:34" ht="33.75" customHeight="1">
      <c r="A38" s="9392"/>
      <c r="B38" s="9398"/>
      <c r="C38" s="9400"/>
      <c r="D38" s="9167"/>
      <c r="E38" s="9167"/>
      <c r="F38" s="9167"/>
      <c r="G38" s="9320"/>
      <c r="H38" s="9167"/>
      <c r="I38" s="9167"/>
      <c r="J38" s="9167"/>
      <c r="K38" s="9167"/>
      <c r="L38" s="9167"/>
      <c r="M38" s="8979"/>
      <c r="N38" s="8979"/>
      <c r="O38" s="8979"/>
      <c r="P38" s="9167"/>
      <c r="Q38" s="9167"/>
      <c r="R38" s="9263"/>
      <c r="S38" s="748"/>
      <c r="T38" s="6305"/>
      <c r="U38" s="6305"/>
      <c r="V38" s="575" t="s">
        <v>838</v>
      </c>
      <c r="W38" s="4869">
        <v>1</v>
      </c>
      <c r="X38" s="48" t="s">
        <v>152</v>
      </c>
      <c r="Y38" s="7981">
        <v>1153.93</v>
      </c>
      <c r="Z38" s="7981">
        <f t="shared" ref="Z38" si="4">+W38*Y38</f>
        <v>1153.93</v>
      </c>
      <c r="AA38" s="7981">
        <f t="shared" ref="AA38" si="5">+Z38*1.12</f>
        <v>1292.4016000000001</v>
      </c>
      <c r="AB38" s="7982"/>
      <c r="AC38" s="4880"/>
      <c r="AD38" s="853"/>
      <c r="AE38" s="836" t="s">
        <v>153</v>
      </c>
      <c r="AF38" s="836"/>
      <c r="AG38" s="7987" t="s">
        <v>153</v>
      </c>
      <c r="AH38" s="9318"/>
    </row>
    <row r="39" spans="1:34" ht="25.5" customHeight="1">
      <c r="A39" s="9392"/>
      <c r="B39" s="9398"/>
      <c r="C39" s="9400"/>
      <c r="D39" s="9167"/>
      <c r="E39" s="9167"/>
      <c r="F39" s="9167"/>
      <c r="G39" s="9320"/>
      <c r="H39" s="9167"/>
      <c r="I39" s="9167"/>
      <c r="J39" s="9167"/>
      <c r="K39" s="9167"/>
      <c r="L39" s="9167"/>
      <c r="M39" s="8979"/>
      <c r="N39" s="8979"/>
      <c r="O39" s="8979"/>
      <c r="P39" s="9167"/>
      <c r="Q39" s="9167"/>
      <c r="R39" s="9263"/>
      <c r="S39" s="748" t="s">
        <v>15</v>
      </c>
      <c r="T39" s="6313">
        <v>530802</v>
      </c>
      <c r="U39" s="6313"/>
      <c r="V39" s="583" t="s">
        <v>839</v>
      </c>
      <c r="W39" s="4869"/>
      <c r="X39" s="48"/>
      <c r="Y39" s="4910"/>
      <c r="Z39" s="4910"/>
      <c r="AA39" s="4910"/>
      <c r="AB39" s="7864">
        <f>SUM(AA40:AA40)</f>
        <v>198.99</v>
      </c>
      <c r="AC39" s="4880" t="s">
        <v>25</v>
      </c>
      <c r="AD39" s="853"/>
      <c r="AE39" s="185"/>
      <c r="AF39" s="185"/>
      <c r="AG39" s="186"/>
      <c r="AH39" s="9318"/>
    </row>
    <row r="40" spans="1:34" ht="33.75" customHeight="1">
      <c r="A40" s="9392"/>
      <c r="B40" s="9398"/>
      <c r="C40" s="9400"/>
      <c r="D40" s="9167"/>
      <c r="E40" s="9167"/>
      <c r="F40" s="9167"/>
      <c r="G40" s="9320"/>
      <c r="H40" s="9167"/>
      <c r="I40" s="9167"/>
      <c r="J40" s="9167"/>
      <c r="K40" s="9167"/>
      <c r="L40" s="9167"/>
      <c r="M40" s="8979"/>
      <c r="N40" s="8979"/>
      <c r="O40" s="8979"/>
      <c r="P40" s="9167"/>
      <c r="Q40" s="9167"/>
      <c r="R40" s="9263"/>
      <c r="S40" s="748"/>
      <c r="T40" s="6305"/>
      <c r="U40" s="6305"/>
      <c r="V40" s="575" t="s">
        <v>840</v>
      </c>
      <c r="W40" s="4869">
        <v>1</v>
      </c>
      <c r="X40" s="48" t="s">
        <v>152</v>
      </c>
      <c r="Y40" s="7790">
        <v>198.99</v>
      </c>
      <c r="Z40" s="7790">
        <f>Y40</f>
        <v>198.99</v>
      </c>
      <c r="AA40" s="7790">
        <f>Z40</f>
        <v>198.99</v>
      </c>
      <c r="AB40" s="4911"/>
      <c r="AC40" s="4880"/>
      <c r="AD40" s="853"/>
      <c r="AE40" s="836" t="s">
        <v>153</v>
      </c>
      <c r="AF40" s="836"/>
      <c r="AG40" s="836"/>
      <c r="AH40" s="9318"/>
    </row>
    <row r="41" spans="1:34" ht="25.5" customHeight="1">
      <c r="A41" s="9392"/>
      <c r="B41" s="9398"/>
      <c r="C41" s="9400"/>
      <c r="D41" s="9167"/>
      <c r="E41" s="9167"/>
      <c r="F41" s="9167"/>
      <c r="G41" s="9320"/>
      <c r="H41" s="9167"/>
      <c r="I41" s="9167"/>
      <c r="J41" s="9167"/>
      <c r="K41" s="9167"/>
      <c r="L41" s="9167"/>
      <c r="M41" s="8979"/>
      <c r="N41" s="8979"/>
      <c r="O41" s="8979"/>
      <c r="P41" s="9167"/>
      <c r="Q41" s="9167"/>
      <c r="R41" s="9263"/>
      <c r="S41" s="748" t="s">
        <v>15</v>
      </c>
      <c r="T41" s="6313">
        <v>530235</v>
      </c>
      <c r="U41" s="6313"/>
      <c r="V41" s="583" t="s">
        <v>841</v>
      </c>
      <c r="W41" s="4869"/>
      <c r="X41" s="48"/>
      <c r="Y41" s="7981"/>
      <c r="Z41" s="7981"/>
      <c r="AA41" s="7981"/>
      <c r="AB41" s="7982">
        <f>SUM(AA42:AA42)</f>
        <v>23026.2</v>
      </c>
      <c r="AC41" s="4880" t="s">
        <v>18</v>
      </c>
      <c r="AD41" s="853"/>
      <c r="AE41" s="185"/>
      <c r="AF41" s="185"/>
      <c r="AG41" s="186"/>
      <c r="AH41" s="9318"/>
    </row>
    <row r="42" spans="1:34" ht="33.75" customHeight="1">
      <c r="A42" s="9392"/>
      <c r="B42" s="9398"/>
      <c r="C42" s="9408"/>
      <c r="D42" s="9168"/>
      <c r="E42" s="9168"/>
      <c r="F42" s="9168"/>
      <c r="G42" s="9411"/>
      <c r="H42" s="9168"/>
      <c r="I42" s="9168"/>
      <c r="J42" s="9168"/>
      <c r="K42" s="9168"/>
      <c r="L42" s="9168"/>
      <c r="M42" s="9337"/>
      <c r="N42" s="9337"/>
      <c r="O42" s="9337"/>
      <c r="P42" s="9168"/>
      <c r="Q42" s="9168"/>
      <c r="R42" s="9338"/>
      <c r="S42" s="748"/>
      <c r="T42" s="6305"/>
      <c r="U42" s="6305"/>
      <c r="V42" s="575" t="s">
        <v>842</v>
      </c>
      <c r="W42" s="4869">
        <v>1</v>
      </c>
      <c r="X42" s="48" t="s">
        <v>152</v>
      </c>
      <c r="Y42" s="7981">
        <f>(20446.2+2580)/1.12</f>
        <v>20559.107142857141</v>
      </c>
      <c r="Z42" s="7981">
        <f t="shared" ref="Z42" si="6">+W42*Y42</f>
        <v>20559.107142857141</v>
      </c>
      <c r="AA42" s="7981">
        <f t="shared" ref="AA42" si="7">+Z42*1.12</f>
        <v>23026.2</v>
      </c>
      <c r="AB42" s="7982"/>
      <c r="AC42" s="6424"/>
      <c r="AD42" s="853"/>
      <c r="AE42" s="185"/>
      <c r="AF42" s="185" t="s">
        <v>153</v>
      </c>
      <c r="AG42" s="186"/>
      <c r="AH42" s="9319"/>
    </row>
    <row r="43" spans="1:34" ht="33.75" customHeight="1">
      <c r="A43" s="9392"/>
      <c r="B43" s="9398"/>
      <c r="C43" s="9332" t="s">
        <v>183</v>
      </c>
      <c r="D43" s="9258" t="s">
        <v>227</v>
      </c>
      <c r="E43" s="9258" t="s">
        <v>185</v>
      </c>
      <c r="F43" s="9258" t="s">
        <v>805</v>
      </c>
      <c r="G43" s="9335" t="s">
        <v>230</v>
      </c>
      <c r="H43" s="9258" t="s">
        <v>132</v>
      </c>
      <c r="I43" s="9258" t="s">
        <v>159</v>
      </c>
      <c r="J43" s="9329" t="s">
        <v>843</v>
      </c>
      <c r="K43" s="9258" t="s">
        <v>844</v>
      </c>
      <c r="L43" s="9258" t="s">
        <v>845</v>
      </c>
      <c r="M43" s="8975">
        <v>2</v>
      </c>
      <c r="N43" s="8975">
        <v>2</v>
      </c>
      <c r="O43" s="8975">
        <v>2</v>
      </c>
      <c r="P43" s="9255" t="s">
        <v>846</v>
      </c>
      <c r="Q43" s="9255" t="s">
        <v>847</v>
      </c>
      <c r="R43" s="9277" t="s">
        <v>848</v>
      </c>
      <c r="S43" s="747" t="s">
        <v>15</v>
      </c>
      <c r="T43" s="6318">
        <v>530404</v>
      </c>
      <c r="U43" s="6319"/>
      <c r="V43" s="579" t="s">
        <v>505</v>
      </c>
      <c r="W43" s="4874"/>
      <c r="X43" s="76"/>
      <c r="Y43" s="4922"/>
      <c r="Z43" s="4922"/>
      <c r="AA43" s="4922"/>
      <c r="AB43" s="4923">
        <f>SUM($AA$44:$AA$45)</f>
        <v>1982.4</v>
      </c>
      <c r="AC43" s="4883" t="s">
        <v>18</v>
      </c>
      <c r="AD43" s="855"/>
      <c r="AE43" s="188"/>
      <c r="AF43" s="189"/>
      <c r="AG43" s="189"/>
      <c r="AH43" s="9317"/>
    </row>
    <row r="44" spans="1:34" ht="39.75" customHeight="1">
      <c r="A44" s="9392"/>
      <c r="B44" s="9398"/>
      <c r="C44" s="9333"/>
      <c r="D44" s="9311"/>
      <c r="E44" s="9311"/>
      <c r="F44" s="9311"/>
      <c r="G44" s="9311"/>
      <c r="H44" s="9311"/>
      <c r="I44" s="9311"/>
      <c r="J44" s="9311"/>
      <c r="K44" s="9311"/>
      <c r="L44" s="9311"/>
      <c r="M44" s="9313"/>
      <c r="N44" s="9313"/>
      <c r="O44" s="9313"/>
      <c r="P44" s="9311"/>
      <c r="Q44" s="9311"/>
      <c r="R44" s="9315"/>
      <c r="S44" s="748"/>
      <c r="T44" s="6305"/>
      <c r="U44" s="6305"/>
      <c r="V44" s="575" t="s">
        <v>849</v>
      </c>
      <c r="W44" s="4869">
        <v>1</v>
      </c>
      <c r="X44" s="48" t="s">
        <v>152</v>
      </c>
      <c r="Y44" s="4910">
        <v>875</v>
      </c>
      <c r="Z44" s="4910">
        <f t="shared" ref="Z44:Z45" si="8">+W44*Y44</f>
        <v>875</v>
      </c>
      <c r="AA44" s="4910">
        <f t="shared" ref="AA44:AA45" si="9">+Z44*1.12</f>
        <v>980.00000000000011</v>
      </c>
      <c r="AB44" s="4911"/>
      <c r="AC44" s="4880"/>
      <c r="AD44" s="853"/>
      <c r="AE44" s="185"/>
      <c r="AF44" s="2140" t="s">
        <v>153</v>
      </c>
      <c r="AG44" s="186"/>
      <c r="AH44" s="9318"/>
    </row>
    <row r="45" spans="1:34" ht="43.5" customHeight="1">
      <c r="A45" s="9392"/>
      <c r="B45" s="9398"/>
      <c r="C45" s="9333"/>
      <c r="D45" s="9311"/>
      <c r="E45" s="9311"/>
      <c r="F45" s="9311"/>
      <c r="G45" s="9311"/>
      <c r="H45" s="9311"/>
      <c r="I45" s="9311"/>
      <c r="J45" s="9311"/>
      <c r="K45" s="9311"/>
      <c r="L45" s="9311"/>
      <c r="M45" s="9313"/>
      <c r="N45" s="9313"/>
      <c r="O45" s="9313"/>
      <c r="P45" s="9311"/>
      <c r="Q45" s="9311"/>
      <c r="R45" s="9315"/>
      <c r="S45" s="748"/>
      <c r="T45" s="6305"/>
      <c r="U45" s="6305"/>
      <c r="V45" s="575" t="s">
        <v>850</v>
      </c>
      <c r="W45" s="4869">
        <v>1</v>
      </c>
      <c r="X45" s="48" t="s">
        <v>152</v>
      </c>
      <c r="Y45" s="4910">
        <v>895</v>
      </c>
      <c r="Z45" s="4910">
        <f t="shared" si="8"/>
        <v>895</v>
      </c>
      <c r="AA45" s="4910">
        <f t="shared" si="9"/>
        <v>1002.4000000000001</v>
      </c>
      <c r="AB45" s="4911"/>
      <c r="AC45" s="4880"/>
      <c r="AD45" s="853"/>
      <c r="AE45" s="185"/>
      <c r="AF45" s="2140" t="s">
        <v>153</v>
      </c>
      <c r="AG45" s="186"/>
      <c r="AH45" s="9318"/>
    </row>
    <row r="46" spans="1:34" ht="33.75" customHeight="1">
      <c r="A46" s="9392"/>
      <c r="B46" s="9398"/>
      <c r="C46" s="9333"/>
      <c r="D46" s="9311"/>
      <c r="E46" s="9311"/>
      <c r="F46" s="9311"/>
      <c r="G46" s="9311"/>
      <c r="H46" s="9311"/>
      <c r="I46" s="9311"/>
      <c r="J46" s="9311"/>
      <c r="K46" s="9311"/>
      <c r="L46" s="9311"/>
      <c r="M46" s="9313"/>
      <c r="N46" s="9313"/>
      <c r="O46" s="9313"/>
      <c r="P46" s="9311"/>
      <c r="Q46" s="9311"/>
      <c r="R46" s="9315"/>
      <c r="S46" s="1851" t="s">
        <v>81</v>
      </c>
      <c r="T46" s="6320">
        <v>840104</v>
      </c>
      <c r="U46" s="6313"/>
      <c r="V46" s="583" t="s">
        <v>39</v>
      </c>
      <c r="W46" s="4869"/>
      <c r="X46" s="48"/>
      <c r="Y46" s="4910"/>
      <c r="Z46" s="4910"/>
      <c r="AA46" s="4910"/>
      <c r="AB46" s="4911">
        <f>SUM($AA$47:$AA$52)</f>
        <v>2938.3319999999999</v>
      </c>
      <c r="AC46" s="4880" t="s">
        <v>18</v>
      </c>
      <c r="AD46" s="853"/>
      <c r="AE46" s="185"/>
      <c r="AF46" s="186"/>
      <c r="AG46" s="186"/>
      <c r="AH46" s="9318"/>
    </row>
    <row r="47" spans="1:34" ht="18" customHeight="1">
      <c r="A47" s="9392"/>
      <c r="B47" s="9398"/>
      <c r="C47" s="9333"/>
      <c r="D47" s="9311"/>
      <c r="E47" s="9311"/>
      <c r="F47" s="9311"/>
      <c r="G47" s="9311"/>
      <c r="H47" s="9311"/>
      <c r="I47" s="9311"/>
      <c r="J47" s="9311"/>
      <c r="K47" s="9311"/>
      <c r="L47" s="9311"/>
      <c r="M47" s="9313"/>
      <c r="N47" s="9313"/>
      <c r="O47" s="9313"/>
      <c r="P47" s="9311"/>
      <c r="Q47" s="9311"/>
      <c r="R47" s="9315"/>
      <c r="S47" s="748"/>
      <c r="T47" s="6305"/>
      <c r="U47" s="6305" t="s">
        <v>851</v>
      </c>
      <c r="V47" s="575" t="s">
        <v>852</v>
      </c>
      <c r="W47" s="4869">
        <v>1</v>
      </c>
      <c r="X47" s="48" t="s">
        <v>180</v>
      </c>
      <c r="Y47" s="4910">
        <v>600</v>
      </c>
      <c r="Z47" s="4910">
        <f t="shared" ref="Z47:Z52" si="10">+W47*Y47</f>
        <v>600</v>
      </c>
      <c r="AA47" s="4910">
        <f t="shared" ref="AA47:AA52" si="11">+Z47*1.12</f>
        <v>672.00000000000011</v>
      </c>
      <c r="AB47" s="4911"/>
      <c r="AC47" s="4880"/>
      <c r="AD47" s="853"/>
      <c r="AE47" s="186"/>
      <c r="AF47" s="2140" t="s">
        <v>153</v>
      </c>
      <c r="AG47" s="186"/>
      <c r="AH47" s="9318"/>
    </row>
    <row r="48" spans="1:34" ht="18" customHeight="1">
      <c r="A48" s="9392"/>
      <c r="B48" s="9398"/>
      <c r="C48" s="9333"/>
      <c r="D48" s="9311"/>
      <c r="E48" s="9311"/>
      <c r="F48" s="9311"/>
      <c r="G48" s="9311"/>
      <c r="H48" s="9311"/>
      <c r="I48" s="9311"/>
      <c r="J48" s="9311"/>
      <c r="K48" s="9311"/>
      <c r="L48" s="9311"/>
      <c r="M48" s="9313"/>
      <c r="N48" s="9313"/>
      <c r="O48" s="9313"/>
      <c r="P48" s="9311"/>
      <c r="Q48" s="9311"/>
      <c r="R48" s="9315"/>
      <c r="S48" s="748"/>
      <c r="T48" s="6305"/>
      <c r="U48" s="6305"/>
      <c r="V48" s="575" t="s">
        <v>853</v>
      </c>
      <c r="W48" s="4869">
        <v>2</v>
      </c>
      <c r="X48" s="48" t="s">
        <v>180</v>
      </c>
      <c r="Y48" s="4910">
        <v>95</v>
      </c>
      <c r="Z48" s="4910">
        <f t="shared" si="10"/>
        <v>190</v>
      </c>
      <c r="AA48" s="4910">
        <f t="shared" si="11"/>
        <v>212.8</v>
      </c>
      <c r="AB48" s="4911"/>
      <c r="AC48" s="4880"/>
      <c r="AD48" s="853"/>
      <c r="AE48" s="186"/>
      <c r="AF48" s="2140" t="s">
        <v>153</v>
      </c>
      <c r="AG48" s="186"/>
      <c r="AH48" s="9318"/>
    </row>
    <row r="49" spans="1:34" ht="33.75" customHeight="1">
      <c r="A49" s="9392"/>
      <c r="B49" s="9398"/>
      <c r="C49" s="9333"/>
      <c r="D49" s="9311"/>
      <c r="E49" s="9311"/>
      <c r="F49" s="9311"/>
      <c r="G49" s="9311"/>
      <c r="H49" s="9311"/>
      <c r="I49" s="9311"/>
      <c r="J49" s="9311"/>
      <c r="K49" s="9311"/>
      <c r="L49" s="9311"/>
      <c r="M49" s="9313"/>
      <c r="N49" s="9313"/>
      <c r="O49" s="9313"/>
      <c r="P49" s="9311"/>
      <c r="Q49" s="9311"/>
      <c r="R49" s="9315"/>
      <c r="S49" s="748"/>
      <c r="T49" s="6313"/>
      <c r="U49" s="6305">
        <v>481800115</v>
      </c>
      <c r="V49" s="575" t="s">
        <v>854</v>
      </c>
      <c r="W49" s="4869">
        <v>1</v>
      </c>
      <c r="X49" s="48" t="s">
        <v>180</v>
      </c>
      <c r="Y49" s="4910">
        <v>814</v>
      </c>
      <c r="Z49" s="4910">
        <f t="shared" si="10"/>
        <v>814</v>
      </c>
      <c r="AA49" s="4910">
        <f>+Z49*1.12-(0.1)</f>
        <v>911.58</v>
      </c>
      <c r="AB49" s="4910"/>
      <c r="AC49" s="6425"/>
      <c r="AD49" s="859"/>
      <c r="AE49" s="186"/>
      <c r="AF49" s="2140" t="s">
        <v>153</v>
      </c>
      <c r="AG49" s="186"/>
      <c r="AH49" s="9318"/>
    </row>
    <row r="50" spans="1:34" ht="18" customHeight="1">
      <c r="A50" s="9392"/>
      <c r="B50" s="9398"/>
      <c r="C50" s="9333"/>
      <c r="D50" s="9311"/>
      <c r="E50" s="9311"/>
      <c r="F50" s="9311"/>
      <c r="G50" s="9311"/>
      <c r="H50" s="9311"/>
      <c r="I50" s="9311"/>
      <c r="J50" s="9311"/>
      <c r="K50" s="9311"/>
      <c r="L50" s="9311"/>
      <c r="M50" s="9313"/>
      <c r="N50" s="9313"/>
      <c r="O50" s="9313"/>
      <c r="P50" s="9311"/>
      <c r="Q50" s="9311"/>
      <c r="R50" s="9315"/>
      <c r="S50" s="748"/>
      <c r="T50" s="6305"/>
      <c r="U50" s="6305"/>
      <c r="V50" s="575" t="s">
        <v>855</v>
      </c>
      <c r="W50" s="4869">
        <v>2</v>
      </c>
      <c r="X50" s="48" t="s">
        <v>180</v>
      </c>
      <c r="Y50" s="4910">
        <v>115</v>
      </c>
      <c r="Z50" s="4910">
        <f t="shared" si="10"/>
        <v>230</v>
      </c>
      <c r="AA50" s="4910">
        <f t="shared" si="11"/>
        <v>257.60000000000002</v>
      </c>
      <c r="AB50" s="4911"/>
      <c r="AC50" s="4880"/>
      <c r="AD50" s="853"/>
      <c r="AE50" s="186"/>
      <c r="AF50" s="2140" t="s">
        <v>153</v>
      </c>
      <c r="AG50" s="186"/>
      <c r="AH50" s="9318"/>
    </row>
    <row r="51" spans="1:34" ht="18" customHeight="1">
      <c r="A51" s="9392"/>
      <c r="B51" s="9398"/>
      <c r="C51" s="9333"/>
      <c r="D51" s="9311"/>
      <c r="E51" s="9311"/>
      <c r="F51" s="9311"/>
      <c r="G51" s="9311"/>
      <c r="H51" s="9311"/>
      <c r="I51" s="9311"/>
      <c r="J51" s="9311"/>
      <c r="K51" s="9311"/>
      <c r="L51" s="9311"/>
      <c r="M51" s="9313"/>
      <c r="N51" s="9313"/>
      <c r="O51" s="9313"/>
      <c r="P51" s="9311"/>
      <c r="Q51" s="9311"/>
      <c r="R51" s="9315"/>
      <c r="S51" s="748"/>
      <c r="T51" s="6313"/>
      <c r="U51" s="6305">
        <v>3811100081</v>
      </c>
      <c r="V51" s="575" t="s">
        <v>856</v>
      </c>
      <c r="W51" s="4869">
        <v>2</v>
      </c>
      <c r="X51" s="48" t="s">
        <v>180</v>
      </c>
      <c r="Y51" s="4910">
        <v>358</v>
      </c>
      <c r="Z51" s="4910">
        <f t="shared" si="10"/>
        <v>716</v>
      </c>
      <c r="AA51" s="4910">
        <f t="shared" si="11"/>
        <v>801.92000000000007</v>
      </c>
      <c r="AB51" s="4911"/>
      <c r="AC51" s="4880"/>
      <c r="AD51" s="853"/>
      <c r="AE51" s="186"/>
      <c r="AF51" s="2140" t="s">
        <v>153</v>
      </c>
      <c r="AG51" s="15"/>
      <c r="AH51" s="9318"/>
    </row>
    <row r="52" spans="1:34" ht="33.75" customHeight="1">
      <c r="A52" s="9392"/>
      <c r="B52" s="9398"/>
      <c r="C52" s="9333"/>
      <c r="D52" s="9311"/>
      <c r="E52" s="9311"/>
      <c r="F52" s="9311"/>
      <c r="G52" s="9311"/>
      <c r="H52" s="9311"/>
      <c r="I52" s="9311"/>
      <c r="J52" s="9311"/>
      <c r="K52" s="9311"/>
      <c r="L52" s="9311"/>
      <c r="M52" s="9313"/>
      <c r="N52" s="9313"/>
      <c r="O52" s="9313"/>
      <c r="P52" s="9311"/>
      <c r="Q52" s="9311"/>
      <c r="R52" s="9315"/>
      <c r="S52" s="748"/>
      <c r="T52" s="6305"/>
      <c r="U52" s="6305"/>
      <c r="V52" s="575" t="s">
        <v>857</v>
      </c>
      <c r="W52" s="4869">
        <v>4</v>
      </c>
      <c r="X52" s="48" t="s">
        <v>858</v>
      </c>
      <c r="Y52" s="4910">
        <v>18.399999999999999</v>
      </c>
      <c r="Z52" s="4910">
        <f t="shared" si="10"/>
        <v>73.599999999999994</v>
      </c>
      <c r="AA52" s="4910">
        <f t="shared" si="11"/>
        <v>82.432000000000002</v>
      </c>
      <c r="AB52" s="4911"/>
      <c r="AC52" s="4880"/>
      <c r="AD52" s="853"/>
      <c r="AE52" s="186"/>
      <c r="AF52" s="2140" t="s">
        <v>153</v>
      </c>
      <c r="AG52" s="15"/>
      <c r="AH52" s="9318"/>
    </row>
    <row r="53" spans="1:34" ht="18" customHeight="1">
      <c r="A53" s="9392"/>
      <c r="B53" s="9398"/>
      <c r="C53" s="9333"/>
      <c r="D53" s="9311"/>
      <c r="E53" s="9311"/>
      <c r="F53" s="9311"/>
      <c r="G53" s="9311"/>
      <c r="H53" s="9311"/>
      <c r="I53" s="9311"/>
      <c r="J53" s="9311"/>
      <c r="K53" s="9311"/>
      <c r="L53" s="9311"/>
      <c r="M53" s="9313"/>
      <c r="N53" s="9313"/>
      <c r="O53" s="9313"/>
      <c r="P53" s="9311"/>
      <c r="Q53" s="9311"/>
      <c r="R53" s="9315"/>
      <c r="S53" s="748" t="s">
        <v>15</v>
      </c>
      <c r="T53" s="6320">
        <v>840104</v>
      </c>
      <c r="U53" s="6305"/>
      <c r="V53" s="583" t="s">
        <v>39</v>
      </c>
      <c r="W53" s="4869"/>
      <c r="X53" s="48"/>
      <c r="Y53" s="4910"/>
      <c r="Z53" s="4910"/>
      <c r="AA53" s="4910"/>
      <c r="AB53" s="4911">
        <f>SUM($AA$54:$AA$57)</f>
        <v>8999.2000000000007</v>
      </c>
      <c r="AC53" s="4880" t="s">
        <v>18</v>
      </c>
      <c r="AD53" s="853"/>
      <c r="AE53" s="185"/>
      <c r="AF53" s="186"/>
      <c r="AG53" s="186"/>
      <c r="AH53" s="9318"/>
    </row>
    <row r="54" spans="1:34" ht="18" customHeight="1">
      <c r="A54" s="9392"/>
      <c r="B54" s="9398"/>
      <c r="C54" s="9333"/>
      <c r="D54" s="9311"/>
      <c r="E54" s="9311"/>
      <c r="F54" s="9311"/>
      <c r="G54" s="9311"/>
      <c r="H54" s="9311"/>
      <c r="I54" s="9311"/>
      <c r="J54" s="9311"/>
      <c r="K54" s="9311"/>
      <c r="L54" s="9311"/>
      <c r="M54" s="9313"/>
      <c r="N54" s="9313"/>
      <c r="O54" s="9313"/>
      <c r="P54" s="9311"/>
      <c r="Q54" s="9311"/>
      <c r="R54" s="9315"/>
      <c r="S54" s="748"/>
      <c r="T54" s="6320"/>
      <c r="U54" s="6305" t="s">
        <v>859</v>
      </c>
      <c r="V54" s="575" t="s">
        <v>860</v>
      </c>
      <c r="W54" s="4869">
        <v>5</v>
      </c>
      <c r="X54" s="48" t="s">
        <v>180</v>
      </c>
      <c r="Y54" s="4910">
        <v>225</v>
      </c>
      <c r="Z54" s="4910">
        <f t="shared" ref="Z54:Z57" si="12">+W54*Y54</f>
        <v>1125</v>
      </c>
      <c r="AA54" s="4910">
        <f t="shared" ref="AA54:AA57" si="13">+Z54*1.12</f>
        <v>1260.0000000000002</v>
      </c>
      <c r="AB54" s="4911"/>
      <c r="AC54" s="4880"/>
      <c r="AD54" s="853"/>
      <c r="AE54" s="185"/>
      <c r="AF54" s="2140" t="s">
        <v>153</v>
      </c>
      <c r="AG54" s="186"/>
      <c r="AH54" s="9318"/>
    </row>
    <row r="55" spans="1:34" ht="18" customHeight="1">
      <c r="A55" s="9392"/>
      <c r="B55" s="9398"/>
      <c r="C55" s="9333"/>
      <c r="D55" s="9311"/>
      <c r="E55" s="9311"/>
      <c r="F55" s="9311"/>
      <c r="G55" s="9311"/>
      <c r="H55" s="9311"/>
      <c r="I55" s="9311"/>
      <c r="J55" s="9311"/>
      <c r="K55" s="9311"/>
      <c r="L55" s="9311"/>
      <c r="M55" s="9313"/>
      <c r="N55" s="9313"/>
      <c r="O55" s="9313"/>
      <c r="P55" s="9311"/>
      <c r="Q55" s="9311"/>
      <c r="R55" s="9315"/>
      <c r="S55" s="748"/>
      <c r="T55" s="6320"/>
      <c r="U55" s="6305" t="s">
        <v>861</v>
      </c>
      <c r="V55" s="575" t="s">
        <v>862</v>
      </c>
      <c r="W55" s="4869">
        <v>5</v>
      </c>
      <c r="X55" s="48" t="s">
        <v>180</v>
      </c>
      <c r="Y55" s="4910">
        <v>250</v>
      </c>
      <c r="Z55" s="4910">
        <f t="shared" si="12"/>
        <v>1250</v>
      </c>
      <c r="AA55" s="4910">
        <f t="shared" si="13"/>
        <v>1400.0000000000002</v>
      </c>
      <c r="AB55" s="4911"/>
      <c r="AC55" s="4880"/>
      <c r="AD55" s="853"/>
      <c r="AE55" s="185"/>
      <c r="AF55" s="2140" t="s">
        <v>153</v>
      </c>
      <c r="AG55" s="186"/>
      <c r="AH55" s="9318"/>
    </row>
    <row r="56" spans="1:34" ht="18" customHeight="1">
      <c r="A56" s="9392"/>
      <c r="B56" s="9398"/>
      <c r="C56" s="9333"/>
      <c r="D56" s="9311"/>
      <c r="E56" s="9311"/>
      <c r="F56" s="9311"/>
      <c r="G56" s="9311"/>
      <c r="H56" s="9311"/>
      <c r="I56" s="9311"/>
      <c r="J56" s="9311"/>
      <c r="K56" s="9311"/>
      <c r="L56" s="9311"/>
      <c r="M56" s="9313"/>
      <c r="N56" s="9313"/>
      <c r="O56" s="9313"/>
      <c r="P56" s="9311"/>
      <c r="Q56" s="9311"/>
      <c r="R56" s="9315"/>
      <c r="S56" s="748"/>
      <c r="T56" s="6320"/>
      <c r="U56" s="6305" t="s">
        <v>859</v>
      </c>
      <c r="V56" s="575" t="s">
        <v>863</v>
      </c>
      <c r="W56" s="4869">
        <v>2</v>
      </c>
      <c r="X56" s="48" t="s">
        <v>180</v>
      </c>
      <c r="Y56" s="4910">
        <v>480</v>
      </c>
      <c r="Z56" s="4910">
        <f t="shared" si="12"/>
        <v>960</v>
      </c>
      <c r="AA56" s="4910">
        <f t="shared" si="13"/>
        <v>1075.2</v>
      </c>
      <c r="AB56" s="4911"/>
      <c r="AC56" s="4880"/>
      <c r="AD56" s="853"/>
      <c r="AE56" s="185"/>
      <c r="AF56" s="2140" t="s">
        <v>153</v>
      </c>
      <c r="AG56" s="186"/>
      <c r="AH56" s="9318"/>
    </row>
    <row r="57" spans="1:34" ht="18" customHeight="1">
      <c r="A57" s="9392"/>
      <c r="B57" s="9398"/>
      <c r="C57" s="9395"/>
      <c r="D57" s="9312"/>
      <c r="E57" s="9312"/>
      <c r="F57" s="9312"/>
      <c r="G57" s="9312"/>
      <c r="H57" s="9312"/>
      <c r="I57" s="9312"/>
      <c r="J57" s="9312"/>
      <c r="K57" s="9312"/>
      <c r="L57" s="9312"/>
      <c r="M57" s="9314"/>
      <c r="N57" s="9314"/>
      <c r="O57" s="9314"/>
      <c r="P57" s="9312"/>
      <c r="Q57" s="9312"/>
      <c r="R57" s="9316"/>
      <c r="S57" s="1852"/>
      <c r="T57" s="4856"/>
      <c r="U57" s="4856" t="s">
        <v>859</v>
      </c>
      <c r="V57" s="577" t="s">
        <v>864</v>
      </c>
      <c r="W57" s="4871">
        <v>1</v>
      </c>
      <c r="X57" s="64" t="s">
        <v>180</v>
      </c>
      <c r="Y57" s="4914">
        <v>4700</v>
      </c>
      <c r="Z57" s="4914">
        <f t="shared" si="12"/>
        <v>4700</v>
      </c>
      <c r="AA57" s="4914">
        <f t="shared" si="13"/>
        <v>5264.0000000000009</v>
      </c>
      <c r="AB57" s="4916"/>
      <c r="AC57" s="4882"/>
      <c r="AD57" s="856"/>
      <c r="AE57" s="187"/>
      <c r="AF57" s="2109" t="s">
        <v>153</v>
      </c>
      <c r="AG57" s="182"/>
      <c r="AH57" s="9319"/>
    </row>
    <row r="58" spans="1:34" ht="21" customHeight="1">
      <c r="A58" s="9392"/>
      <c r="B58" s="9398"/>
      <c r="C58" s="9400" t="s">
        <v>127</v>
      </c>
      <c r="D58" s="9167" t="s">
        <v>128</v>
      </c>
      <c r="E58" s="9167" t="s">
        <v>129</v>
      </c>
      <c r="F58" s="9167" t="s">
        <v>130</v>
      </c>
      <c r="G58" s="9320" t="s">
        <v>131</v>
      </c>
      <c r="H58" s="9167" t="s">
        <v>132</v>
      </c>
      <c r="I58" s="9167" t="s">
        <v>133</v>
      </c>
      <c r="J58" s="9262" t="s">
        <v>865</v>
      </c>
      <c r="K58" s="9167" t="s">
        <v>866</v>
      </c>
      <c r="L58" s="9167" t="s">
        <v>867</v>
      </c>
      <c r="M58" s="8979">
        <v>1</v>
      </c>
      <c r="N58" s="8979">
        <v>0</v>
      </c>
      <c r="O58" s="8979">
        <v>1</v>
      </c>
      <c r="P58" s="9262" t="s">
        <v>868</v>
      </c>
      <c r="Q58" s="9262" t="s">
        <v>869</v>
      </c>
      <c r="R58" s="9263" t="s">
        <v>870</v>
      </c>
      <c r="S58" s="621" t="s">
        <v>79</v>
      </c>
      <c r="T58" s="6321">
        <v>580208</v>
      </c>
      <c r="U58" s="6315"/>
      <c r="V58" s="1853" t="s">
        <v>38</v>
      </c>
      <c r="W58" s="4872"/>
      <c r="X58" s="53"/>
      <c r="Y58" s="4917"/>
      <c r="Z58" s="4917"/>
      <c r="AA58" s="4917"/>
      <c r="AB58" s="7879">
        <f>SUM($AA$59:$AA$66)</f>
        <v>251470</v>
      </c>
      <c r="AC58" s="4875" t="s">
        <v>25</v>
      </c>
      <c r="AD58" s="857"/>
      <c r="AE58" s="183"/>
      <c r="AF58" s="184"/>
      <c r="AG58" s="184"/>
      <c r="AH58" s="9317"/>
    </row>
    <row r="59" spans="1:34" ht="18" customHeight="1">
      <c r="A59" s="9392"/>
      <c r="B59" s="9398"/>
      <c r="C59" s="9333"/>
      <c r="D59" s="9311"/>
      <c r="E59" s="9311"/>
      <c r="F59" s="9311"/>
      <c r="G59" s="9311"/>
      <c r="H59" s="9311"/>
      <c r="I59" s="9311"/>
      <c r="J59" s="9311"/>
      <c r="K59" s="9311"/>
      <c r="L59" s="9311"/>
      <c r="M59" s="9313"/>
      <c r="N59" s="9313"/>
      <c r="O59" s="9313"/>
      <c r="P59" s="9311"/>
      <c r="Q59" s="9311"/>
      <c r="R59" s="9315"/>
      <c r="S59" s="748"/>
      <c r="T59" s="6322"/>
      <c r="U59" s="6305"/>
      <c r="V59" s="1854" t="s">
        <v>871</v>
      </c>
      <c r="W59" s="4869">
        <v>50</v>
      </c>
      <c r="X59" s="48" t="s">
        <v>180</v>
      </c>
      <c r="Y59" s="4910">
        <v>420</v>
      </c>
      <c r="Z59" s="4910">
        <f t="shared" ref="Z59:Z66" si="14">+W59*Y59</f>
        <v>21000</v>
      </c>
      <c r="AA59" s="4910">
        <f>Z59+5</f>
        <v>21005</v>
      </c>
      <c r="AB59" s="4911"/>
      <c r="AC59" s="4880"/>
      <c r="AD59" s="853"/>
      <c r="AE59" s="186" t="s">
        <v>153</v>
      </c>
      <c r="AF59" s="186" t="s">
        <v>153</v>
      </c>
      <c r="AG59" s="186" t="s">
        <v>153</v>
      </c>
      <c r="AH59" s="9318"/>
    </row>
    <row r="60" spans="1:34" ht="18" customHeight="1">
      <c r="A60" s="9392"/>
      <c r="B60" s="9398"/>
      <c r="C60" s="9333"/>
      <c r="D60" s="9311"/>
      <c r="E60" s="9311"/>
      <c r="F60" s="9311"/>
      <c r="G60" s="9311"/>
      <c r="H60" s="9311"/>
      <c r="I60" s="9311"/>
      <c r="J60" s="9311"/>
      <c r="K60" s="9311"/>
      <c r="L60" s="9311"/>
      <c r="M60" s="9313"/>
      <c r="N60" s="9313"/>
      <c r="O60" s="9313"/>
      <c r="P60" s="9311"/>
      <c r="Q60" s="9311"/>
      <c r="R60" s="9315"/>
      <c r="S60" s="748"/>
      <c r="T60" s="6322"/>
      <c r="U60" s="6305"/>
      <c r="V60" s="1854" t="s">
        <v>872</v>
      </c>
      <c r="W60" s="4869">
        <v>100</v>
      </c>
      <c r="X60" s="48" t="s">
        <v>180</v>
      </c>
      <c r="Y60" s="4910">
        <v>210</v>
      </c>
      <c r="Z60" s="4910">
        <f t="shared" si="14"/>
        <v>21000</v>
      </c>
      <c r="AA60" s="4910">
        <f t="shared" ref="AA60:AA66" si="15">Z60</f>
        <v>21000</v>
      </c>
      <c r="AB60" s="4911"/>
      <c r="AC60" s="4880"/>
      <c r="AD60" s="853"/>
      <c r="AE60" s="186" t="s">
        <v>153</v>
      </c>
      <c r="AF60" s="186" t="s">
        <v>153</v>
      </c>
      <c r="AG60" s="186" t="s">
        <v>153</v>
      </c>
      <c r="AH60" s="9318"/>
    </row>
    <row r="61" spans="1:34" ht="18" customHeight="1">
      <c r="A61" s="9392"/>
      <c r="B61" s="9398"/>
      <c r="C61" s="9333"/>
      <c r="D61" s="9311"/>
      <c r="E61" s="9311"/>
      <c r="F61" s="9311"/>
      <c r="G61" s="9311"/>
      <c r="H61" s="9311"/>
      <c r="I61" s="9311"/>
      <c r="J61" s="9311"/>
      <c r="K61" s="9311"/>
      <c r="L61" s="9311"/>
      <c r="M61" s="9313"/>
      <c r="N61" s="9313"/>
      <c r="O61" s="9313"/>
      <c r="P61" s="9311"/>
      <c r="Q61" s="9311"/>
      <c r="R61" s="9315"/>
      <c r="S61" s="748"/>
      <c r="T61" s="6322"/>
      <c r="U61" s="6305"/>
      <c r="V61" s="1854" t="s">
        <v>873</v>
      </c>
      <c r="W61" s="4869">
        <v>50</v>
      </c>
      <c r="X61" s="48" t="s">
        <v>180</v>
      </c>
      <c r="Y61" s="4910">
        <v>210</v>
      </c>
      <c r="Z61" s="4910">
        <f t="shared" si="14"/>
        <v>10500</v>
      </c>
      <c r="AA61" s="4910">
        <f t="shared" si="15"/>
        <v>10500</v>
      </c>
      <c r="AB61" s="4911"/>
      <c r="AC61" s="4880"/>
      <c r="AD61" s="853"/>
      <c r="AE61" s="186" t="s">
        <v>153</v>
      </c>
      <c r="AF61" s="186" t="s">
        <v>153</v>
      </c>
      <c r="AG61" s="186" t="s">
        <v>153</v>
      </c>
      <c r="AH61" s="9318"/>
    </row>
    <row r="62" spans="1:34" ht="18" customHeight="1">
      <c r="A62" s="9392"/>
      <c r="B62" s="9398"/>
      <c r="C62" s="9333"/>
      <c r="D62" s="9311"/>
      <c r="E62" s="9311"/>
      <c r="F62" s="9311"/>
      <c r="G62" s="9311"/>
      <c r="H62" s="9311"/>
      <c r="I62" s="9311"/>
      <c r="J62" s="9311"/>
      <c r="K62" s="9311"/>
      <c r="L62" s="9311"/>
      <c r="M62" s="9313"/>
      <c r="N62" s="9313"/>
      <c r="O62" s="9313"/>
      <c r="P62" s="9311"/>
      <c r="Q62" s="9311"/>
      <c r="R62" s="9315"/>
      <c r="S62" s="748"/>
      <c r="T62" s="6322"/>
      <c r="U62" s="6305"/>
      <c r="V62" s="1854" t="s">
        <v>874</v>
      </c>
      <c r="W62" s="4869">
        <v>8</v>
      </c>
      <c r="X62" s="48" t="s">
        <v>180</v>
      </c>
      <c r="Y62" s="4910">
        <v>400</v>
      </c>
      <c r="Z62" s="4910">
        <f t="shared" si="14"/>
        <v>3200</v>
      </c>
      <c r="AA62" s="4910">
        <f t="shared" si="15"/>
        <v>3200</v>
      </c>
      <c r="AB62" s="4911"/>
      <c r="AC62" s="4880"/>
      <c r="AD62" s="853"/>
      <c r="AE62" s="186" t="s">
        <v>153</v>
      </c>
      <c r="AF62" s="186" t="s">
        <v>153</v>
      </c>
      <c r="AG62" s="186" t="s">
        <v>153</v>
      </c>
      <c r="AH62" s="9318"/>
    </row>
    <row r="63" spans="1:34" ht="18" customHeight="1">
      <c r="A63" s="9392"/>
      <c r="B63" s="9398"/>
      <c r="C63" s="9333"/>
      <c r="D63" s="9311"/>
      <c r="E63" s="9311"/>
      <c r="F63" s="9311"/>
      <c r="G63" s="9311"/>
      <c r="H63" s="9311"/>
      <c r="I63" s="9311"/>
      <c r="J63" s="9311"/>
      <c r="K63" s="9311"/>
      <c r="L63" s="9311"/>
      <c r="M63" s="9313"/>
      <c r="N63" s="9313"/>
      <c r="O63" s="9313"/>
      <c r="P63" s="9311"/>
      <c r="Q63" s="9311"/>
      <c r="R63" s="9315"/>
      <c r="S63" s="748"/>
      <c r="T63" s="6322"/>
      <c r="U63" s="6305"/>
      <c r="V63" s="1854" t="s">
        <v>875</v>
      </c>
      <c r="W63" s="4869">
        <v>181</v>
      </c>
      <c r="X63" s="48" t="s">
        <v>180</v>
      </c>
      <c r="Y63" s="4910">
        <v>350</v>
      </c>
      <c r="Z63" s="4910">
        <f t="shared" si="14"/>
        <v>63350</v>
      </c>
      <c r="AA63" s="4910">
        <f t="shared" si="15"/>
        <v>63350</v>
      </c>
      <c r="AB63" s="4911"/>
      <c r="AC63" s="4880"/>
      <c r="AD63" s="853"/>
      <c r="AE63" s="186" t="s">
        <v>153</v>
      </c>
      <c r="AF63" s="186" t="s">
        <v>153</v>
      </c>
      <c r="AG63" s="186" t="s">
        <v>153</v>
      </c>
      <c r="AH63" s="9318"/>
    </row>
    <row r="64" spans="1:34" ht="18" customHeight="1">
      <c r="A64" s="9392"/>
      <c r="B64" s="9398"/>
      <c r="C64" s="9333"/>
      <c r="D64" s="9311"/>
      <c r="E64" s="9311"/>
      <c r="F64" s="9311"/>
      <c r="G64" s="9311"/>
      <c r="H64" s="9311"/>
      <c r="I64" s="9311"/>
      <c r="J64" s="9311"/>
      <c r="K64" s="9311"/>
      <c r="L64" s="9311"/>
      <c r="M64" s="9313"/>
      <c r="N64" s="9313"/>
      <c r="O64" s="9313"/>
      <c r="P64" s="9311"/>
      <c r="Q64" s="9311"/>
      <c r="R64" s="9315"/>
      <c r="S64" s="748"/>
      <c r="T64" s="6322"/>
      <c r="U64" s="6305"/>
      <c r="V64" s="1854" t="s">
        <v>876</v>
      </c>
      <c r="W64" s="4869">
        <v>60</v>
      </c>
      <c r="X64" s="48" t="s">
        <v>180</v>
      </c>
      <c r="Y64" s="4910">
        <v>210</v>
      </c>
      <c r="Z64" s="4910">
        <f t="shared" si="14"/>
        <v>12600</v>
      </c>
      <c r="AA64" s="4910">
        <f t="shared" si="15"/>
        <v>12600</v>
      </c>
      <c r="AB64" s="4911"/>
      <c r="AC64" s="4880"/>
      <c r="AD64" s="853"/>
      <c r="AE64" s="186" t="s">
        <v>153</v>
      </c>
      <c r="AF64" s="186" t="s">
        <v>153</v>
      </c>
      <c r="AG64" s="186" t="s">
        <v>153</v>
      </c>
      <c r="AH64" s="9318"/>
    </row>
    <row r="65" spans="1:34" ht="18" customHeight="1">
      <c r="A65" s="9392"/>
      <c r="B65" s="9398"/>
      <c r="C65" s="9333"/>
      <c r="D65" s="9311"/>
      <c r="E65" s="9311"/>
      <c r="F65" s="9311"/>
      <c r="G65" s="9311"/>
      <c r="H65" s="9311"/>
      <c r="I65" s="9311"/>
      <c r="J65" s="9311"/>
      <c r="K65" s="9311"/>
      <c r="L65" s="9311"/>
      <c r="M65" s="9313"/>
      <c r="N65" s="9313"/>
      <c r="O65" s="9313"/>
      <c r="P65" s="9311"/>
      <c r="Q65" s="9311"/>
      <c r="R65" s="9315"/>
      <c r="S65" s="748"/>
      <c r="T65" s="6322"/>
      <c r="U65" s="6305"/>
      <c r="V65" s="1854" t="s">
        <v>877</v>
      </c>
      <c r="W65" s="4869">
        <v>10</v>
      </c>
      <c r="X65" s="48" t="s">
        <v>180</v>
      </c>
      <c r="Y65" s="4910">
        <v>210</v>
      </c>
      <c r="Z65" s="4910">
        <f t="shared" si="14"/>
        <v>2100</v>
      </c>
      <c r="AA65" s="4910">
        <f t="shared" si="15"/>
        <v>2100</v>
      </c>
      <c r="AB65" s="4911"/>
      <c r="AC65" s="4880"/>
      <c r="AD65" s="853"/>
      <c r="AE65" s="186" t="s">
        <v>153</v>
      </c>
      <c r="AF65" s="186" t="s">
        <v>153</v>
      </c>
      <c r="AG65" s="186" t="s">
        <v>153</v>
      </c>
      <c r="AH65" s="9318"/>
    </row>
    <row r="66" spans="1:34" ht="18" customHeight="1">
      <c r="A66" s="9392"/>
      <c r="B66" s="9398"/>
      <c r="C66" s="9333"/>
      <c r="D66" s="9311"/>
      <c r="E66" s="9311"/>
      <c r="F66" s="9311"/>
      <c r="G66" s="9311"/>
      <c r="H66" s="9311"/>
      <c r="I66" s="9311"/>
      <c r="J66" s="9311"/>
      <c r="K66" s="9311"/>
      <c r="L66" s="9311"/>
      <c r="M66" s="9313"/>
      <c r="N66" s="9313"/>
      <c r="O66" s="9313"/>
      <c r="P66" s="9311"/>
      <c r="Q66" s="9311"/>
      <c r="R66" s="9315"/>
      <c r="S66" s="748"/>
      <c r="T66" s="6322"/>
      <c r="U66" s="6305"/>
      <c r="V66" s="1854" t="s">
        <v>878</v>
      </c>
      <c r="W66" s="4869">
        <v>1</v>
      </c>
      <c r="X66" s="48" t="s">
        <v>180</v>
      </c>
      <c r="Y66" s="4910">
        <f>118070-355</f>
        <v>117715</v>
      </c>
      <c r="Z66" s="4910">
        <f t="shared" si="14"/>
        <v>117715</v>
      </c>
      <c r="AA66" s="7790">
        <f t="shared" si="15"/>
        <v>117715</v>
      </c>
      <c r="AB66" s="4911"/>
      <c r="AC66" s="4880"/>
      <c r="AD66" s="853"/>
      <c r="AE66" s="186" t="s">
        <v>153</v>
      </c>
      <c r="AF66" s="186" t="s">
        <v>153</v>
      </c>
      <c r="AG66" s="186" t="s">
        <v>153</v>
      </c>
      <c r="AH66" s="9318"/>
    </row>
    <row r="67" spans="1:34" ht="18" customHeight="1">
      <c r="A67" s="9392"/>
      <c r="B67" s="9398"/>
      <c r="C67" s="9333"/>
      <c r="D67" s="9311"/>
      <c r="E67" s="9311"/>
      <c r="F67" s="9311"/>
      <c r="G67" s="9311"/>
      <c r="H67" s="9311"/>
      <c r="I67" s="9311"/>
      <c r="J67" s="9311"/>
      <c r="K67" s="9311"/>
      <c r="L67" s="9311"/>
      <c r="M67" s="9313"/>
      <c r="N67" s="9313"/>
      <c r="O67" s="9313"/>
      <c r="P67" s="9311"/>
      <c r="Q67" s="9311"/>
      <c r="R67" s="9315"/>
      <c r="S67" s="748" t="s">
        <v>15</v>
      </c>
      <c r="T67" s="6310">
        <v>840107</v>
      </c>
      <c r="U67" s="4711"/>
      <c r="V67" s="3223" t="s">
        <v>40</v>
      </c>
      <c r="W67" s="4866"/>
      <c r="X67" s="3172"/>
      <c r="Y67" s="4907"/>
      <c r="Z67" s="4907"/>
      <c r="AA67" s="4907"/>
      <c r="AB67" s="4921">
        <f>AA68</f>
        <v>73170.899999999994</v>
      </c>
      <c r="AC67" s="4784" t="s">
        <v>25</v>
      </c>
      <c r="AD67" s="853"/>
      <c r="AE67" s="186"/>
      <c r="AF67" s="186"/>
      <c r="AG67" s="186"/>
      <c r="AH67" s="9318"/>
    </row>
    <row r="68" spans="1:34" ht="18" customHeight="1">
      <c r="A68" s="9392"/>
      <c r="B68" s="9398"/>
      <c r="C68" s="9333"/>
      <c r="D68" s="9311"/>
      <c r="E68" s="9311"/>
      <c r="F68" s="9311"/>
      <c r="G68" s="9311"/>
      <c r="H68" s="9311"/>
      <c r="I68" s="9311"/>
      <c r="J68" s="9311"/>
      <c r="K68" s="9311"/>
      <c r="L68" s="9311"/>
      <c r="M68" s="9313"/>
      <c r="N68" s="9313"/>
      <c r="O68" s="9313"/>
      <c r="P68" s="9311"/>
      <c r="Q68" s="9311"/>
      <c r="R68" s="9315"/>
      <c r="S68" s="748"/>
      <c r="T68" s="4711"/>
      <c r="U68" s="4711" t="s">
        <v>879</v>
      </c>
      <c r="V68" s="3173" t="s">
        <v>880</v>
      </c>
      <c r="W68" s="4866">
        <v>342</v>
      </c>
      <c r="X68" s="3172" t="s">
        <v>180</v>
      </c>
      <c r="Y68" s="4907">
        <f>213.95</f>
        <v>213.95</v>
      </c>
      <c r="Z68" s="4907">
        <f t="shared" ref="Z68" si="16">+W68*Y68</f>
        <v>73170.899999999994</v>
      </c>
      <c r="AA68" s="4907">
        <f>Z68</f>
        <v>73170.899999999994</v>
      </c>
      <c r="AB68" s="4921"/>
      <c r="AC68" s="4784"/>
      <c r="AD68" s="853"/>
      <c r="AE68" s="185"/>
      <c r="AF68" s="186" t="s">
        <v>153</v>
      </c>
      <c r="AG68" s="186"/>
      <c r="AH68" s="9318"/>
    </row>
    <row r="69" spans="1:34" ht="18" customHeight="1">
      <c r="A69" s="9392"/>
      <c r="B69" s="9398"/>
      <c r="C69" s="9333"/>
      <c r="D69" s="9311"/>
      <c r="E69" s="9311"/>
      <c r="F69" s="9311"/>
      <c r="G69" s="9311"/>
      <c r="H69" s="9311"/>
      <c r="I69" s="9311"/>
      <c r="J69" s="9311"/>
      <c r="K69" s="9311"/>
      <c r="L69" s="9311"/>
      <c r="M69" s="9313"/>
      <c r="N69" s="9313"/>
      <c r="O69" s="9313"/>
      <c r="P69" s="9311"/>
      <c r="Q69" s="9311"/>
      <c r="R69" s="9315"/>
      <c r="S69" s="748" t="s">
        <v>15</v>
      </c>
      <c r="T69" s="6311">
        <v>530105</v>
      </c>
      <c r="U69" s="4711"/>
      <c r="V69" s="3223" t="s">
        <v>881</v>
      </c>
      <c r="W69" s="4866"/>
      <c r="X69" s="3172"/>
      <c r="Y69" s="4907"/>
      <c r="Z69" s="4907"/>
      <c r="AA69" s="4907"/>
      <c r="AB69" s="7789">
        <f>+AA70</f>
        <v>2686.7599999999998</v>
      </c>
      <c r="AC69" s="4784" t="s">
        <v>25</v>
      </c>
      <c r="AD69" s="810"/>
      <c r="AE69" s="185"/>
      <c r="AF69" s="186"/>
      <c r="AG69" s="186"/>
      <c r="AH69" s="9318"/>
    </row>
    <row r="70" spans="1:34" ht="33.75" customHeight="1">
      <c r="A70" s="9392"/>
      <c r="B70" s="9398"/>
      <c r="C70" s="9333"/>
      <c r="D70" s="9311"/>
      <c r="E70" s="9311"/>
      <c r="F70" s="9311"/>
      <c r="G70" s="9311"/>
      <c r="H70" s="9311"/>
      <c r="I70" s="9311"/>
      <c r="J70" s="9311"/>
      <c r="K70" s="9311"/>
      <c r="L70" s="9311"/>
      <c r="M70" s="9313"/>
      <c r="N70" s="9313"/>
      <c r="O70" s="9313"/>
      <c r="P70" s="9311"/>
      <c r="Q70" s="9311"/>
      <c r="R70" s="9315"/>
      <c r="S70" s="748"/>
      <c r="T70" s="6311"/>
      <c r="U70" s="6311"/>
      <c r="V70" s="3227" t="s">
        <v>882</v>
      </c>
      <c r="W70" s="4866">
        <v>1</v>
      </c>
      <c r="X70" s="3172" t="s">
        <v>180</v>
      </c>
      <c r="Y70" s="7788">
        <f>2686.76/1.12</f>
        <v>2398.8928571428569</v>
      </c>
      <c r="Z70" s="4907">
        <f t="shared" ref="Z70" si="17">+W70*Y70</f>
        <v>2398.8928571428569</v>
      </c>
      <c r="AA70" s="4907">
        <f>+Z70*1.12</f>
        <v>2686.7599999999998</v>
      </c>
      <c r="AB70" s="4921"/>
      <c r="AC70" s="4784"/>
      <c r="AD70" s="810"/>
      <c r="AE70" s="186"/>
      <c r="AF70" s="186" t="s">
        <v>153</v>
      </c>
      <c r="AG70" s="186"/>
      <c r="AH70" s="9319"/>
    </row>
    <row r="71" spans="1:34" ht="36.75" customHeight="1">
      <c r="A71" s="9392"/>
      <c r="B71" s="9398"/>
      <c r="C71" s="9332" t="s">
        <v>127</v>
      </c>
      <c r="D71" s="9258" t="s">
        <v>128</v>
      </c>
      <c r="E71" s="9258" t="s">
        <v>129</v>
      </c>
      <c r="F71" s="9258" t="s">
        <v>130</v>
      </c>
      <c r="G71" s="9335" t="s">
        <v>131</v>
      </c>
      <c r="H71" s="9258" t="s">
        <v>132</v>
      </c>
      <c r="I71" s="9258" t="s">
        <v>189</v>
      </c>
      <c r="J71" s="9336" t="s">
        <v>883</v>
      </c>
      <c r="K71" s="9258" t="s">
        <v>884</v>
      </c>
      <c r="L71" s="9258" t="s">
        <v>885</v>
      </c>
      <c r="M71" s="8975">
        <v>1</v>
      </c>
      <c r="N71" s="8975">
        <v>0</v>
      </c>
      <c r="O71" s="8975">
        <v>1</v>
      </c>
      <c r="P71" s="9255" t="s">
        <v>886</v>
      </c>
      <c r="Q71" s="9255" t="s">
        <v>887</v>
      </c>
      <c r="R71" s="9277" t="s">
        <v>835</v>
      </c>
      <c r="S71" s="654"/>
      <c r="T71" s="6319"/>
      <c r="U71" s="6323"/>
      <c r="V71" s="582"/>
      <c r="W71" s="6370"/>
      <c r="X71" s="188"/>
      <c r="Y71" s="6400"/>
      <c r="Z71" s="6400"/>
      <c r="AA71" s="6400"/>
      <c r="AB71" s="6401"/>
      <c r="AC71" s="6426"/>
      <c r="AD71" s="855"/>
      <c r="AE71" s="188"/>
      <c r="AF71" s="18"/>
      <c r="AG71" s="18"/>
      <c r="AH71" s="9317"/>
    </row>
    <row r="72" spans="1:34" ht="36.75" customHeight="1">
      <c r="A72" s="9392"/>
      <c r="B72" s="9398"/>
      <c r="C72" s="9333"/>
      <c r="D72" s="9311"/>
      <c r="E72" s="9311"/>
      <c r="F72" s="9311"/>
      <c r="G72" s="9311"/>
      <c r="H72" s="9311"/>
      <c r="I72" s="9311"/>
      <c r="J72" s="9311"/>
      <c r="K72" s="9311"/>
      <c r="L72" s="9311"/>
      <c r="M72" s="9313"/>
      <c r="N72" s="9313"/>
      <c r="O72" s="9313"/>
      <c r="P72" s="9311"/>
      <c r="Q72" s="9311"/>
      <c r="R72" s="9315"/>
      <c r="S72" s="838"/>
      <c r="T72" s="6305"/>
      <c r="U72" s="4727"/>
      <c r="V72" s="584"/>
      <c r="W72" s="6359"/>
      <c r="X72" s="185"/>
      <c r="Y72" s="6396"/>
      <c r="Z72" s="6396"/>
      <c r="AA72" s="6396"/>
      <c r="AB72" s="6397"/>
      <c r="AC72" s="4817"/>
      <c r="AD72" s="853"/>
      <c r="AE72" s="185"/>
      <c r="AF72" s="185"/>
      <c r="AG72" s="15"/>
      <c r="AH72" s="9318"/>
    </row>
    <row r="73" spans="1:34" ht="36.75" customHeight="1">
      <c r="A73" s="9392"/>
      <c r="B73" s="9398"/>
      <c r="C73" s="9333"/>
      <c r="D73" s="9311"/>
      <c r="E73" s="9311"/>
      <c r="F73" s="9311"/>
      <c r="G73" s="9311"/>
      <c r="H73" s="9311"/>
      <c r="I73" s="9311"/>
      <c r="J73" s="9311"/>
      <c r="K73" s="9311"/>
      <c r="L73" s="9311"/>
      <c r="M73" s="9313"/>
      <c r="N73" s="9313"/>
      <c r="O73" s="9313"/>
      <c r="P73" s="9311"/>
      <c r="Q73" s="9311"/>
      <c r="R73" s="9315"/>
      <c r="S73" s="943"/>
      <c r="T73" s="6305"/>
      <c r="U73" s="6306"/>
      <c r="V73" s="798"/>
      <c r="W73" s="4862"/>
      <c r="X73" s="799"/>
      <c r="Y73" s="4898"/>
      <c r="Z73" s="4898"/>
      <c r="AA73" s="4898"/>
      <c r="AB73" s="4899"/>
      <c r="AC73" s="4876"/>
      <c r="AD73" s="853"/>
      <c r="AE73" s="185"/>
      <c r="AF73" s="185"/>
      <c r="AG73" s="186"/>
      <c r="AH73" s="9318"/>
    </row>
    <row r="74" spans="1:34" ht="36.75" customHeight="1">
      <c r="A74" s="9392"/>
      <c r="B74" s="9398"/>
      <c r="C74" s="9333"/>
      <c r="D74" s="9311"/>
      <c r="E74" s="9311"/>
      <c r="F74" s="9311"/>
      <c r="G74" s="9311"/>
      <c r="H74" s="9311"/>
      <c r="I74" s="9311"/>
      <c r="J74" s="9311"/>
      <c r="K74" s="9311"/>
      <c r="L74" s="9311"/>
      <c r="M74" s="9313"/>
      <c r="N74" s="9313"/>
      <c r="O74" s="9313"/>
      <c r="P74" s="9311"/>
      <c r="Q74" s="9311"/>
      <c r="R74" s="9315"/>
      <c r="S74" s="943"/>
      <c r="T74" s="6305"/>
      <c r="U74" s="6306"/>
      <c r="V74" s="798"/>
      <c r="W74" s="4862"/>
      <c r="X74" s="799"/>
      <c r="Y74" s="4898"/>
      <c r="Z74" s="4898"/>
      <c r="AA74" s="4898"/>
      <c r="AB74" s="4899"/>
      <c r="AC74" s="4876"/>
      <c r="AD74" s="853"/>
      <c r="AE74" s="185"/>
      <c r="AF74" s="185"/>
      <c r="AG74" s="186"/>
      <c r="AH74" s="9318"/>
    </row>
    <row r="75" spans="1:34" ht="36.75" customHeight="1">
      <c r="A75" s="9392"/>
      <c r="B75" s="9398"/>
      <c r="C75" s="9395"/>
      <c r="D75" s="9312"/>
      <c r="E75" s="9312"/>
      <c r="F75" s="9312"/>
      <c r="G75" s="9312"/>
      <c r="H75" s="9312"/>
      <c r="I75" s="9312"/>
      <c r="J75" s="9312"/>
      <c r="K75" s="9312"/>
      <c r="L75" s="9312"/>
      <c r="M75" s="9314"/>
      <c r="N75" s="9314"/>
      <c r="O75" s="9314"/>
      <c r="P75" s="9312"/>
      <c r="Q75" s="9312"/>
      <c r="R75" s="9316"/>
      <c r="S75" s="1129"/>
      <c r="T75" s="4856"/>
      <c r="U75" s="6260"/>
      <c r="V75" s="1031"/>
      <c r="W75" s="4868"/>
      <c r="X75" s="1023"/>
      <c r="Y75" s="4909"/>
      <c r="Z75" s="4909"/>
      <c r="AA75" s="4909"/>
      <c r="AB75" s="4905"/>
      <c r="AC75" s="4877"/>
      <c r="AD75" s="856"/>
      <c r="AE75" s="187"/>
      <c r="AF75" s="187"/>
      <c r="AG75" s="182"/>
      <c r="AH75" s="9319"/>
    </row>
    <row r="76" spans="1:34" ht="39" customHeight="1">
      <c r="A76" s="9392"/>
      <c r="B76" s="9398"/>
      <c r="C76" s="9400" t="s">
        <v>127</v>
      </c>
      <c r="D76" s="9167" t="s">
        <v>128</v>
      </c>
      <c r="E76" s="9167" t="s">
        <v>129</v>
      </c>
      <c r="F76" s="9167" t="s">
        <v>130</v>
      </c>
      <c r="G76" s="9320" t="s">
        <v>131</v>
      </c>
      <c r="H76" s="9167" t="s">
        <v>132</v>
      </c>
      <c r="I76" s="9167" t="s">
        <v>159</v>
      </c>
      <c r="J76" s="9262" t="s">
        <v>888</v>
      </c>
      <c r="K76" s="9167" t="s">
        <v>889</v>
      </c>
      <c r="L76" s="9167" t="s">
        <v>890</v>
      </c>
      <c r="M76" s="9409">
        <v>11000</v>
      </c>
      <c r="N76" s="9409">
        <v>0</v>
      </c>
      <c r="O76" s="9409">
        <v>11800</v>
      </c>
      <c r="P76" s="9262" t="s">
        <v>891</v>
      </c>
      <c r="Q76" s="9262" t="s">
        <v>892</v>
      </c>
      <c r="R76" s="9263" t="s">
        <v>893</v>
      </c>
      <c r="S76" s="3175" t="s">
        <v>79</v>
      </c>
      <c r="T76" s="6324">
        <v>570201</v>
      </c>
      <c r="U76" s="6325"/>
      <c r="V76" s="3176" t="s">
        <v>894</v>
      </c>
      <c r="W76" s="4873"/>
      <c r="X76" s="3177"/>
      <c r="Y76" s="8031"/>
      <c r="Z76" s="8031"/>
      <c r="AA76" s="8031"/>
      <c r="AB76" s="8032">
        <f>+AA77</f>
        <v>146854.69</v>
      </c>
      <c r="AC76" s="4782" t="s">
        <v>25</v>
      </c>
      <c r="AD76" s="857"/>
      <c r="AE76" s="183"/>
      <c r="AF76" s="184"/>
      <c r="AG76" s="184"/>
      <c r="AH76" s="9317"/>
    </row>
    <row r="77" spans="1:34" ht="39" customHeight="1">
      <c r="A77" s="9392"/>
      <c r="B77" s="9398"/>
      <c r="C77" s="9333"/>
      <c r="D77" s="9311"/>
      <c r="E77" s="9311"/>
      <c r="F77" s="9311"/>
      <c r="G77" s="9311"/>
      <c r="H77" s="9311"/>
      <c r="I77" s="9311"/>
      <c r="J77" s="9311"/>
      <c r="K77" s="9311"/>
      <c r="L77" s="9311"/>
      <c r="M77" s="9410"/>
      <c r="N77" s="9410"/>
      <c r="O77" s="9410"/>
      <c r="P77" s="9311"/>
      <c r="Q77" s="9311"/>
      <c r="R77" s="9315"/>
      <c r="S77" s="3222"/>
      <c r="T77" s="4711"/>
      <c r="U77" s="4711" t="s">
        <v>895</v>
      </c>
      <c r="V77" s="3173" t="s">
        <v>896</v>
      </c>
      <c r="W77" s="4866">
        <v>1</v>
      </c>
      <c r="X77" s="3172" t="s">
        <v>152</v>
      </c>
      <c r="Y77" s="8033">
        <f>147572.91/1.12-(718.22/1.12)</f>
        <v>131120.25892857142</v>
      </c>
      <c r="Z77" s="8033">
        <f>+W77*Y77</f>
        <v>131120.25892857142</v>
      </c>
      <c r="AA77" s="8033">
        <f>+Z77*1.12</f>
        <v>146854.69</v>
      </c>
      <c r="AB77" s="7986"/>
      <c r="AC77" s="4784"/>
      <c r="AD77" s="853"/>
      <c r="AE77" s="185"/>
      <c r="AF77" s="2140" t="s">
        <v>153</v>
      </c>
      <c r="AG77" s="186"/>
      <c r="AH77" s="9318"/>
    </row>
    <row r="78" spans="1:34" ht="39" customHeight="1">
      <c r="A78" s="9392"/>
      <c r="B78" s="9398"/>
      <c r="C78" s="9333"/>
      <c r="D78" s="9311"/>
      <c r="E78" s="9311"/>
      <c r="F78" s="9311"/>
      <c r="G78" s="9311"/>
      <c r="H78" s="9311"/>
      <c r="I78" s="9311"/>
      <c r="J78" s="9311"/>
      <c r="K78" s="9311"/>
      <c r="L78" s="9311"/>
      <c r="M78" s="9410"/>
      <c r="N78" s="9410"/>
      <c r="O78" s="9410"/>
      <c r="P78" s="9311"/>
      <c r="Q78" s="9311"/>
      <c r="R78" s="9315"/>
      <c r="S78" s="943"/>
      <c r="T78" s="6305"/>
      <c r="U78" s="6306"/>
      <c r="V78" s="798"/>
      <c r="W78" s="4862"/>
      <c r="X78" s="799"/>
      <c r="Y78" s="4898"/>
      <c r="Z78" s="4898"/>
      <c r="AA78" s="4898"/>
      <c r="AB78" s="4899"/>
      <c r="AC78" s="4876"/>
      <c r="AD78" s="853"/>
      <c r="AE78" s="185"/>
      <c r="AF78" s="186"/>
      <c r="AG78" s="186"/>
      <c r="AH78" s="9318"/>
    </row>
    <row r="79" spans="1:34" ht="39" customHeight="1">
      <c r="A79" s="9392"/>
      <c r="B79" s="9398"/>
      <c r="C79" s="9333"/>
      <c r="D79" s="9311"/>
      <c r="E79" s="9311"/>
      <c r="F79" s="9311"/>
      <c r="G79" s="9311"/>
      <c r="H79" s="9311"/>
      <c r="I79" s="9311"/>
      <c r="J79" s="9311"/>
      <c r="K79" s="9311"/>
      <c r="L79" s="9311"/>
      <c r="M79" s="9410"/>
      <c r="N79" s="9410"/>
      <c r="O79" s="9410"/>
      <c r="P79" s="9311"/>
      <c r="Q79" s="9311"/>
      <c r="R79" s="9315"/>
      <c r="S79" s="943"/>
      <c r="T79" s="6305"/>
      <c r="U79" s="6306"/>
      <c r="V79" s="798"/>
      <c r="W79" s="4862"/>
      <c r="X79" s="799"/>
      <c r="Y79" s="4898"/>
      <c r="Z79" s="4898"/>
      <c r="AA79" s="4898"/>
      <c r="AB79" s="4899"/>
      <c r="AC79" s="4876"/>
      <c r="AD79" s="853"/>
      <c r="AE79" s="185"/>
      <c r="AF79" s="186"/>
      <c r="AG79" s="186"/>
      <c r="AH79" s="9318"/>
    </row>
    <row r="80" spans="1:34" ht="39" customHeight="1">
      <c r="A80" s="9392"/>
      <c r="B80" s="9398"/>
      <c r="C80" s="9333"/>
      <c r="D80" s="9311"/>
      <c r="E80" s="9311"/>
      <c r="F80" s="9311"/>
      <c r="G80" s="9311"/>
      <c r="H80" s="9311"/>
      <c r="I80" s="9311"/>
      <c r="J80" s="9311"/>
      <c r="K80" s="9311"/>
      <c r="L80" s="9311"/>
      <c r="M80" s="9410"/>
      <c r="N80" s="9410"/>
      <c r="O80" s="9410"/>
      <c r="P80" s="9311"/>
      <c r="Q80" s="9311"/>
      <c r="R80" s="9315"/>
      <c r="S80" s="749"/>
      <c r="T80" s="6326"/>
      <c r="U80" s="6326"/>
      <c r="V80" s="581"/>
      <c r="W80" s="4870"/>
      <c r="X80" s="453"/>
      <c r="Y80" s="4912"/>
      <c r="Z80" s="4912"/>
      <c r="AA80" s="4912"/>
      <c r="AB80" s="4913"/>
      <c r="AC80" s="4881"/>
      <c r="AD80" s="854"/>
      <c r="AE80" s="181"/>
      <c r="AF80" s="345"/>
      <c r="AG80" s="345"/>
      <c r="AH80" s="9340"/>
    </row>
    <row r="81" spans="1:34" ht="34.5" customHeight="1">
      <c r="A81" s="9392"/>
      <c r="B81" s="9398"/>
      <c r="C81" s="9332" t="s">
        <v>127</v>
      </c>
      <c r="D81" s="9258" t="s">
        <v>128</v>
      </c>
      <c r="E81" s="9258" t="s">
        <v>129</v>
      </c>
      <c r="F81" s="9258" t="s">
        <v>327</v>
      </c>
      <c r="G81" s="9335" t="s">
        <v>131</v>
      </c>
      <c r="H81" s="9258" t="s">
        <v>132</v>
      </c>
      <c r="I81" s="9258" t="s">
        <v>133</v>
      </c>
      <c r="J81" s="9336" t="s">
        <v>897</v>
      </c>
      <c r="K81" s="9258" t="s">
        <v>898</v>
      </c>
      <c r="L81" s="9258" t="s">
        <v>899</v>
      </c>
      <c r="M81" s="8975">
        <v>1</v>
      </c>
      <c r="N81" s="8975">
        <v>1</v>
      </c>
      <c r="O81" s="8975">
        <v>1</v>
      </c>
      <c r="P81" s="9255" t="s">
        <v>900</v>
      </c>
      <c r="Q81" s="9255" t="s">
        <v>901</v>
      </c>
      <c r="R81" s="9277" t="s">
        <v>902</v>
      </c>
      <c r="S81" s="747" t="s">
        <v>15</v>
      </c>
      <c r="T81" s="6319">
        <v>531408</v>
      </c>
      <c r="U81" s="6319"/>
      <c r="V81" s="579" t="s">
        <v>903</v>
      </c>
      <c r="W81" s="4874"/>
      <c r="X81" s="76"/>
      <c r="Y81" s="4922"/>
      <c r="Z81" s="4922"/>
      <c r="AA81" s="4922"/>
      <c r="AB81" s="8022">
        <v>1917.5</v>
      </c>
      <c r="AC81" s="4883" t="s">
        <v>18</v>
      </c>
      <c r="AD81" s="855"/>
      <c r="AE81" s="188"/>
      <c r="AF81" s="189"/>
      <c r="AG81" s="189"/>
      <c r="AH81" s="9324"/>
    </row>
    <row r="82" spans="1:34" ht="40.5" customHeight="1">
      <c r="A82" s="9392"/>
      <c r="B82" s="9398"/>
      <c r="C82" s="9333"/>
      <c r="D82" s="9311"/>
      <c r="E82" s="9311"/>
      <c r="F82" s="9311"/>
      <c r="G82" s="9311"/>
      <c r="H82" s="9311"/>
      <c r="I82" s="9311"/>
      <c r="J82" s="9311"/>
      <c r="K82" s="9311"/>
      <c r="L82" s="9311"/>
      <c r="M82" s="9313"/>
      <c r="N82" s="9313"/>
      <c r="O82" s="9313"/>
      <c r="P82" s="9311"/>
      <c r="Q82" s="9311"/>
      <c r="R82" s="9315"/>
      <c r="S82" s="748"/>
      <c r="T82" s="6305"/>
      <c r="U82" s="6305"/>
      <c r="V82" s="8023" t="s">
        <v>904</v>
      </c>
      <c r="W82" s="8024">
        <v>1</v>
      </c>
      <c r="X82" s="8025" t="s">
        <v>479</v>
      </c>
      <c r="Y82" s="7981">
        <v>1917.5</v>
      </c>
      <c r="Z82" s="7981">
        <f t="shared" ref="Z82" si="18">+W82*Y82</f>
        <v>1917.5</v>
      </c>
      <c r="AA82" s="7981">
        <f>Z82</f>
        <v>1917.5</v>
      </c>
      <c r="AB82" s="7982"/>
      <c r="AC82" s="4880"/>
      <c r="AD82" s="853"/>
      <c r="AE82" s="185"/>
      <c r="AF82" s="185" t="s">
        <v>153</v>
      </c>
      <c r="AG82" s="186"/>
      <c r="AH82" s="9318"/>
    </row>
    <row r="83" spans="1:34" ht="38.25">
      <c r="A83" s="9392"/>
      <c r="B83" s="9398"/>
      <c r="C83" s="9333"/>
      <c r="D83" s="9311"/>
      <c r="E83" s="9311"/>
      <c r="F83" s="9311"/>
      <c r="G83" s="9311"/>
      <c r="H83" s="9311"/>
      <c r="I83" s="9311"/>
      <c r="J83" s="9311"/>
      <c r="K83" s="9311"/>
      <c r="L83" s="9311"/>
      <c r="M83" s="9313"/>
      <c r="N83" s="9313"/>
      <c r="O83" s="9313"/>
      <c r="P83" s="9311"/>
      <c r="Q83" s="9311"/>
      <c r="R83" s="9315"/>
      <c r="S83" s="8497" t="s">
        <v>15</v>
      </c>
      <c r="T83" s="8498">
        <v>530425</v>
      </c>
      <c r="U83" s="8499"/>
      <c r="V83" s="8502" t="s">
        <v>905</v>
      </c>
      <c r="W83" s="8024"/>
      <c r="X83" s="8025"/>
      <c r="Y83" s="7981"/>
      <c r="Z83" s="7981"/>
      <c r="AA83" s="7981"/>
      <c r="AB83" s="7982">
        <f>AA84</f>
        <v>6300</v>
      </c>
      <c r="AC83" s="8100" t="s">
        <v>25</v>
      </c>
      <c r="AD83" s="8500"/>
      <c r="AE83" s="8501"/>
      <c r="AF83" s="8501"/>
      <c r="AG83" s="186"/>
      <c r="AH83" s="9318"/>
    </row>
    <row r="84" spans="1:34" ht="18" customHeight="1">
      <c r="A84" s="9392"/>
      <c r="B84" s="9398"/>
      <c r="C84" s="9333"/>
      <c r="D84" s="9311"/>
      <c r="E84" s="9311"/>
      <c r="F84" s="9311"/>
      <c r="G84" s="9311"/>
      <c r="H84" s="9311"/>
      <c r="I84" s="9311"/>
      <c r="J84" s="9311"/>
      <c r="K84" s="9311"/>
      <c r="L84" s="9311"/>
      <c r="M84" s="9313"/>
      <c r="N84" s="9313"/>
      <c r="O84" s="9313"/>
      <c r="P84" s="9311"/>
      <c r="Q84" s="9311"/>
      <c r="R84" s="9315"/>
      <c r="S84" s="2690"/>
      <c r="T84" s="6327"/>
      <c r="U84" s="6313"/>
      <c r="V84" s="8023" t="s">
        <v>906</v>
      </c>
      <c r="W84" s="8097">
        <v>1</v>
      </c>
      <c r="X84" s="8025" t="s">
        <v>479</v>
      </c>
      <c r="Y84" s="7981">
        <f>6300/1.12</f>
        <v>5624.9999999999991</v>
      </c>
      <c r="Z84" s="7981">
        <f>Y84*W84</f>
        <v>5624.9999999999991</v>
      </c>
      <c r="AA84" s="7981">
        <f>Z84*1.12</f>
        <v>6300</v>
      </c>
      <c r="AB84" s="6402"/>
      <c r="AC84" s="6427"/>
      <c r="AD84" s="810"/>
      <c r="AE84" s="48"/>
      <c r="AF84" s="51"/>
      <c r="AG84" s="8503" t="s">
        <v>153</v>
      </c>
      <c r="AH84" s="9318"/>
    </row>
    <row r="85" spans="1:34" ht="18" customHeight="1">
      <c r="A85" s="9392"/>
      <c r="B85" s="9398"/>
      <c r="C85" s="9395"/>
      <c r="D85" s="9312"/>
      <c r="E85" s="9312"/>
      <c r="F85" s="9312"/>
      <c r="G85" s="9312"/>
      <c r="H85" s="9312"/>
      <c r="I85" s="9312"/>
      <c r="J85" s="9312"/>
      <c r="K85" s="9312"/>
      <c r="L85" s="9312"/>
      <c r="M85" s="9314"/>
      <c r="N85" s="9314"/>
      <c r="O85" s="9314"/>
      <c r="P85" s="9312"/>
      <c r="Q85" s="9312"/>
      <c r="R85" s="9316"/>
      <c r="S85" s="1852"/>
      <c r="T85" s="4856"/>
      <c r="U85" s="6328"/>
      <c r="V85" s="2110"/>
      <c r="W85" s="6371"/>
      <c r="X85" s="2691"/>
      <c r="Y85" s="6403"/>
      <c r="Z85" s="6403"/>
      <c r="AA85" s="6403"/>
      <c r="AB85" s="4916"/>
      <c r="AC85" s="4882"/>
      <c r="AD85" s="2692"/>
      <c r="AE85" s="64"/>
      <c r="AF85" s="2693"/>
      <c r="AG85" s="182"/>
      <c r="AH85" s="9319"/>
    </row>
    <row r="86" spans="1:34" ht="26.25" customHeight="1">
      <c r="A86" s="9392"/>
      <c r="B86" s="9398"/>
      <c r="C86" s="9400" t="s">
        <v>127</v>
      </c>
      <c r="D86" s="9167" t="s">
        <v>128</v>
      </c>
      <c r="E86" s="9167" t="s">
        <v>140</v>
      </c>
      <c r="F86" s="9167" t="s">
        <v>724</v>
      </c>
      <c r="G86" s="9320" t="s">
        <v>131</v>
      </c>
      <c r="H86" s="9167" t="s">
        <v>132</v>
      </c>
      <c r="I86" s="9167" t="s">
        <v>189</v>
      </c>
      <c r="J86" s="9391" t="s">
        <v>907</v>
      </c>
      <c r="K86" s="9167" t="s">
        <v>908</v>
      </c>
      <c r="L86" s="9167" t="s">
        <v>909</v>
      </c>
      <c r="M86" s="8979">
        <v>1</v>
      </c>
      <c r="N86" s="8979">
        <v>0</v>
      </c>
      <c r="O86" s="8979">
        <v>1</v>
      </c>
      <c r="P86" s="9262" t="s">
        <v>910</v>
      </c>
      <c r="Q86" s="9262" t="s">
        <v>911</v>
      </c>
      <c r="R86" s="9263" t="s">
        <v>912</v>
      </c>
      <c r="S86" s="3220" t="s">
        <v>15</v>
      </c>
      <c r="T86" s="6324">
        <v>840104</v>
      </c>
      <c r="U86" s="6325"/>
      <c r="V86" s="3176" t="s">
        <v>39</v>
      </c>
      <c r="W86" s="4873"/>
      <c r="X86" s="3177"/>
      <c r="Y86" s="4919"/>
      <c r="Z86" s="8031"/>
      <c r="AA86" s="8031"/>
      <c r="AB86" s="8032">
        <f>+AA87</f>
        <v>46240</v>
      </c>
      <c r="AC86" s="4782" t="s">
        <v>18</v>
      </c>
      <c r="AD86" s="4219"/>
      <c r="AE86" s="3177"/>
      <c r="AF86" s="3387"/>
      <c r="AG86" s="3387"/>
      <c r="AH86" s="9317"/>
    </row>
    <row r="87" spans="1:34" ht="85.5" customHeight="1">
      <c r="A87" s="9392"/>
      <c r="B87" s="9398"/>
      <c r="C87" s="9333"/>
      <c r="D87" s="9311"/>
      <c r="E87" s="9311"/>
      <c r="F87" s="9311"/>
      <c r="G87" s="9311"/>
      <c r="H87" s="9311"/>
      <c r="I87" s="9311"/>
      <c r="J87" s="9311"/>
      <c r="K87" s="9311"/>
      <c r="L87" s="9311"/>
      <c r="M87" s="9313"/>
      <c r="N87" s="9313"/>
      <c r="O87" s="9313"/>
      <c r="P87" s="9311"/>
      <c r="Q87" s="9311"/>
      <c r="R87" s="9315"/>
      <c r="S87" s="3222"/>
      <c r="T87" s="4711"/>
      <c r="U87" s="4711"/>
      <c r="V87" s="3173" t="s">
        <v>913</v>
      </c>
      <c r="W87" s="4866">
        <v>16</v>
      </c>
      <c r="X87" s="3172" t="s">
        <v>180</v>
      </c>
      <c r="Y87" s="4907">
        <f>3236.8/1.12</f>
        <v>2890</v>
      </c>
      <c r="Z87" s="8033">
        <f>+W87*Y87</f>
        <v>46240</v>
      </c>
      <c r="AA87" s="8033">
        <f>Z87</f>
        <v>46240</v>
      </c>
      <c r="AB87" s="7986"/>
      <c r="AC87" s="4784"/>
      <c r="AD87" s="4220"/>
      <c r="AE87" s="3172"/>
      <c r="AF87" s="3381"/>
      <c r="AG87" s="3381" t="s">
        <v>153</v>
      </c>
      <c r="AH87" s="9318"/>
    </row>
    <row r="88" spans="1:34" ht="26.25" customHeight="1">
      <c r="A88" s="9392"/>
      <c r="B88" s="9398"/>
      <c r="C88" s="9333"/>
      <c r="D88" s="9311"/>
      <c r="E88" s="9311"/>
      <c r="F88" s="9311"/>
      <c r="G88" s="9311"/>
      <c r="H88" s="9311"/>
      <c r="I88" s="9311"/>
      <c r="J88" s="9311"/>
      <c r="K88" s="9311"/>
      <c r="L88" s="9311"/>
      <c r="M88" s="9313"/>
      <c r="N88" s="9313"/>
      <c r="O88" s="9313"/>
      <c r="P88" s="9311"/>
      <c r="Q88" s="9311"/>
      <c r="R88" s="9315"/>
      <c r="S88" s="943"/>
      <c r="T88" s="6305"/>
      <c r="U88" s="6306"/>
      <c r="V88" s="798"/>
      <c r="W88" s="4862"/>
      <c r="X88" s="799"/>
      <c r="Y88" s="4898"/>
      <c r="Z88" s="4898"/>
      <c r="AA88" s="4898"/>
      <c r="AB88" s="4899"/>
      <c r="AC88" s="4876"/>
      <c r="AD88" s="853"/>
      <c r="AE88" s="185"/>
      <c r="AF88" s="186"/>
      <c r="AG88" s="186"/>
      <c r="AH88" s="9318"/>
    </row>
    <row r="89" spans="1:34" ht="26.25" customHeight="1">
      <c r="A89" s="9392"/>
      <c r="B89" s="9398"/>
      <c r="C89" s="9333"/>
      <c r="D89" s="9311"/>
      <c r="E89" s="9311"/>
      <c r="F89" s="9311"/>
      <c r="G89" s="9311"/>
      <c r="H89" s="9311"/>
      <c r="I89" s="9311"/>
      <c r="J89" s="9311"/>
      <c r="K89" s="9311"/>
      <c r="L89" s="9311"/>
      <c r="M89" s="9313"/>
      <c r="N89" s="9313"/>
      <c r="O89" s="9313"/>
      <c r="P89" s="9311"/>
      <c r="Q89" s="9311"/>
      <c r="R89" s="9315"/>
      <c r="S89" s="943"/>
      <c r="T89" s="6305"/>
      <c r="U89" s="6306"/>
      <c r="V89" s="1139"/>
      <c r="W89" s="6363"/>
      <c r="X89" s="1142"/>
      <c r="Y89" s="4898"/>
      <c r="Z89" s="4898"/>
      <c r="AA89" s="4898"/>
      <c r="AB89" s="4899"/>
      <c r="AC89" s="4876"/>
      <c r="AD89" s="853"/>
      <c r="AE89" s="185"/>
      <c r="AF89" s="186"/>
      <c r="AG89" s="186"/>
      <c r="AH89" s="9318"/>
    </row>
    <row r="90" spans="1:34" ht="26.25" customHeight="1">
      <c r="A90" s="9392"/>
      <c r="B90" s="9398"/>
      <c r="C90" s="9333"/>
      <c r="D90" s="9311"/>
      <c r="E90" s="9311"/>
      <c r="F90" s="9311"/>
      <c r="G90" s="9311"/>
      <c r="H90" s="9311"/>
      <c r="I90" s="9311"/>
      <c r="J90" s="9311"/>
      <c r="K90" s="9311"/>
      <c r="L90" s="9311"/>
      <c r="M90" s="9313"/>
      <c r="N90" s="9313"/>
      <c r="O90" s="9313"/>
      <c r="P90" s="9311"/>
      <c r="Q90" s="9311"/>
      <c r="R90" s="9315"/>
      <c r="S90" s="1134"/>
      <c r="T90" s="6326"/>
      <c r="U90" s="6329"/>
      <c r="V90" s="1143"/>
      <c r="W90" s="6372"/>
      <c r="X90" s="1141"/>
      <c r="Y90" s="4902"/>
      <c r="Z90" s="4902"/>
      <c r="AA90" s="4902"/>
      <c r="AB90" s="4908"/>
      <c r="AC90" s="4879"/>
      <c r="AD90" s="854"/>
      <c r="AE90" s="181"/>
      <c r="AF90" s="345"/>
      <c r="AG90" s="345"/>
      <c r="AH90" s="9340"/>
    </row>
    <row r="91" spans="1:34" ht="27" customHeight="1">
      <c r="A91" s="9392"/>
      <c r="B91" s="9398"/>
      <c r="C91" s="9332" t="s">
        <v>127</v>
      </c>
      <c r="D91" s="9258" t="s">
        <v>128</v>
      </c>
      <c r="E91" s="9258" t="s">
        <v>129</v>
      </c>
      <c r="F91" s="9258" t="s">
        <v>914</v>
      </c>
      <c r="G91" s="9335" t="s">
        <v>131</v>
      </c>
      <c r="H91" s="9258" t="s">
        <v>132</v>
      </c>
      <c r="I91" s="9258" t="s">
        <v>189</v>
      </c>
      <c r="J91" s="9336" t="s">
        <v>915</v>
      </c>
      <c r="K91" s="9258" t="s">
        <v>916</v>
      </c>
      <c r="L91" s="9258" t="s">
        <v>917</v>
      </c>
      <c r="M91" s="8975">
        <v>2</v>
      </c>
      <c r="N91" s="8975">
        <v>2</v>
      </c>
      <c r="O91" s="8975">
        <v>2</v>
      </c>
      <c r="P91" s="9255" t="s">
        <v>918</v>
      </c>
      <c r="Q91" s="9255" t="s">
        <v>919</v>
      </c>
      <c r="R91" s="9277" t="s">
        <v>920</v>
      </c>
      <c r="S91" s="747" t="s">
        <v>15</v>
      </c>
      <c r="T91" s="6318">
        <v>840104</v>
      </c>
      <c r="U91" s="6319"/>
      <c r="V91" s="579" t="s">
        <v>39</v>
      </c>
      <c r="W91" s="4874"/>
      <c r="X91" s="76"/>
      <c r="Y91" s="4922"/>
      <c r="Z91" s="4922"/>
      <c r="AA91" s="4922"/>
      <c r="AB91" s="4923">
        <f>SUM(AA92:AA94)</f>
        <v>29185.87</v>
      </c>
      <c r="AC91" s="4883" t="s">
        <v>18</v>
      </c>
      <c r="AD91" s="855"/>
      <c r="AE91" s="188"/>
      <c r="AF91" s="189"/>
      <c r="AG91" s="189"/>
      <c r="AH91" s="9324"/>
    </row>
    <row r="92" spans="1:34" ht="21.75" customHeight="1">
      <c r="A92" s="9392"/>
      <c r="B92" s="9398"/>
      <c r="C92" s="9333"/>
      <c r="D92" s="9311"/>
      <c r="E92" s="9311"/>
      <c r="F92" s="9311"/>
      <c r="G92" s="9311"/>
      <c r="H92" s="9311"/>
      <c r="I92" s="9311"/>
      <c r="J92" s="9311"/>
      <c r="K92" s="9311"/>
      <c r="L92" s="9311"/>
      <c r="M92" s="9313"/>
      <c r="N92" s="9313"/>
      <c r="O92" s="9313"/>
      <c r="P92" s="9311"/>
      <c r="Q92" s="9311"/>
      <c r="R92" s="9315"/>
      <c r="S92" s="748"/>
      <c r="T92" s="6305"/>
      <c r="U92" s="6305" t="s">
        <v>921</v>
      </c>
      <c r="V92" s="575" t="s">
        <v>922</v>
      </c>
      <c r="W92" s="4869">
        <v>2</v>
      </c>
      <c r="X92" s="285" t="s">
        <v>180</v>
      </c>
      <c r="Y92" s="4910">
        <v>350</v>
      </c>
      <c r="Z92" s="4910">
        <f t="shared" ref="Z92:Z94" si="19">+W92*Y92</f>
        <v>700</v>
      </c>
      <c r="AA92" s="4910">
        <v>0</v>
      </c>
      <c r="AB92" s="4911"/>
      <c r="AC92" s="4880"/>
      <c r="AD92" s="853"/>
      <c r="AE92" s="185"/>
      <c r="AF92" s="186" t="s">
        <v>153</v>
      </c>
      <c r="AG92" s="186"/>
      <c r="AH92" s="9318"/>
    </row>
    <row r="93" spans="1:34" ht="21.75" customHeight="1">
      <c r="A93" s="9392"/>
      <c r="B93" s="9398"/>
      <c r="C93" s="9333"/>
      <c r="D93" s="9311"/>
      <c r="E93" s="9311"/>
      <c r="F93" s="9311"/>
      <c r="G93" s="9311"/>
      <c r="H93" s="9311"/>
      <c r="I93" s="9311"/>
      <c r="J93" s="9311"/>
      <c r="K93" s="9311"/>
      <c r="L93" s="9311"/>
      <c r="M93" s="9313"/>
      <c r="N93" s="9313"/>
      <c r="O93" s="9313"/>
      <c r="P93" s="9311"/>
      <c r="Q93" s="9311"/>
      <c r="R93" s="9315"/>
      <c r="S93" s="748"/>
      <c r="T93" s="6305"/>
      <c r="U93" s="4711">
        <v>439140211</v>
      </c>
      <c r="V93" s="3173" t="s">
        <v>923</v>
      </c>
      <c r="W93" s="4866">
        <v>10</v>
      </c>
      <c r="X93" s="3226" t="s">
        <v>180</v>
      </c>
      <c r="Y93" s="4907">
        <f>24481.87/W93</f>
        <v>2448.1869999999999</v>
      </c>
      <c r="Z93" s="4907">
        <f t="shared" si="19"/>
        <v>24481.87</v>
      </c>
      <c r="AA93" s="4907">
        <f>Z93</f>
        <v>24481.87</v>
      </c>
      <c r="AB93" s="4911"/>
      <c r="AC93" s="4880"/>
      <c r="AD93" s="853"/>
      <c r="AE93" s="185"/>
      <c r="AF93" s="186" t="s">
        <v>153</v>
      </c>
      <c r="AG93" s="186"/>
      <c r="AH93" s="9318"/>
    </row>
    <row r="94" spans="1:34" ht="34.5" customHeight="1">
      <c r="A94" s="9392"/>
      <c r="B94" s="9398"/>
      <c r="C94" s="9333"/>
      <c r="D94" s="9311"/>
      <c r="E94" s="9311"/>
      <c r="F94" s="9311"/>
      <c r="G94" s="9311"/>
      <c r="H94" s="9311"/>
      <c r="I94" s="9311"/>
      <c r="J94" s="9311"/>
      <c r="K94" s="9311"/>
      <c r="L94" s="9311"/>
      <c r="M94" s="9313"/>
      <c r="N94" s="9313"/>
      <c r="O94" s="9313"/>
      <c r="P94" s="9311"/>
      <c r="Q94" s="9311"/>
      <c r="R94" s="9315"/>
      <c r="S94" s="748"/>
      <c r="T94" s="6305"/>
      <c r="U94" s="6305">
        <v>384400041</v>
      </c>
      <c r="V94" s="575" t="s">
        <v>924</v>
      </c>
      <c r="W94" s="4869">
        <v>2</v>
      </c>
      <c r="X94" s="285" t="s">
        <v>180</v>
      </c>
      <c r="Y94" s="4910">
        <v>2100</v>
      </c>
      <c r="Z94" s="4910">
        <f t="shared" si="19"/>
        <v>4200</v>
      </c>
      <c r="AA94" s="4910">
        <f t="shared" ref="AA94" si="20">+Z94*1.12</f>
        <v>4704</v>
      </c>
      <c r="AB94" s="4911"/>
      <c r="AC94" s="4880"/>
      <c r="AD94" s="853"/>
      <c r="AE94" s="185"/>
      <c r="AF94" s="186" t="s">
        <v>153</v>
      </c>
      <c r="AG94" s="186"/>
      <c r="AH94" s="9318"/>
    </row>
    <row r="95" spans="1:34" ht="27" customHeight="1">
      <c r="A95" s="9392"/>
      <c r="B95" s="9398"/>
      <c r="C95" s="9395"/>
      <c r="D95" s="9312"/>
      <c r="E95" s="9312"/>
      <c r="F95" s="9312"/>
      <c r="G95" s="9312"/>
      <c r="H95" s="9312"/>
      <c r="I95" s="9312"/>
      <c r="J95" s="9312"/>
      <c r="K95" s="9312"/>
      <c r="L95" s="9312"/>
      <c r="M95" s="9314"/>
      <c r="N95" s="9314"/>
      <c r="O95" s="9314"/>
      <c r="P95" s="9312"/>
      <c r="Q95" s="9312"/>
      <c r="R95" s="9316"/>
      <c r="S95" s="1852"/>
      <c r="T95" s="4856"/>
      <c r="U95" s="4856"/>
      <c r="V95" s="577"/>
      <c r="W95" s="4871"/>
      <c r="X95" s="64"/>
      <c r="Y95" s="4914"/>
      <c r="Z95" s="4914"/>
      <c r="AA95" s="4914"/>
      <c r="AB95" s="4916"/>
      <c r="AC95" s="4882"/>
      <c r="AD95" s="856"/>
      <c r="AE95" s="187"/>
      <c r="AF95" s="182"/>
      <c r="AG95" s="182"/>
      <c r="AH95" s="9319"/>
    </row>
    <row r="96" spans="1:34" ht="25.5" customHeight="1">
      <c r="A96" s="9392"/>
      <c r="B96" s="9398"/>
      <c r="C96" s="9400" t="s">
        <v>127</v>
      </c>
      <c r="D96" s="9167" t="s">
        <v>128</v>
      </c>
      <c r="E96" s="9167" t="s">
        <v>129</v>
      </c>
      <c r="F96" s="9167" t="s">
        <v>327</v>
      </c>
      <c r="G96" s="9320" t="s">
        <v>131</v>
      </c>
      <c r="H96" s="9167" t="s">
        <v>188</v>
      </c>
      <c r="I96" s="9167" t="s">
        <v>133</v>
      </c>
      <c r="J96" s="9391" t="s">
        <v>925</v>
      </c>
      <c r="K96" s="9167" t="s">
        <v>926</v>
      </c>
      <c r="L96" s="9167" t="s">
        <v>927</v>
      </c>
      <c r="M96" s="8979">
        <v>0</v>
      </c>
      <c r="N96" s="8979">
        <v>1</v>
      </c>
      <c r="O96" s="8979">
        <v>1</v>
      </c>
      <c r="P96" s="9262" t="s">
        <v>928</v>
      </c>
      <c r="Q96" s="9262" t="s">
        <v>929</v>
      </c>
      <c r="R96" s="9263" t="s">
        <v>930</v>
      </c>
      <c r="S96" s="939"/>
      <c r="T96" s="6312"/>
      <c r="U96" s="6317"/>
      <c r="V96" s="940"/>
      <c r="W96" s="4863"/>
      <c r="X96" s="794"/>
      <c r="Y96" s="4900"/>
      <c r="Z96" s="4900"/>
      <c r="AA96" s="4900"/>
      <c r="AB96" s="4906"/>
      <c r="AC96" s="4878"/>
      <c r="AD96" s="857"/>
      <c r="AE96" s="183"/>
      <c r="AF96" s="184"/>
      <c r="AG96" s="184"/>
      <c r="AH96" s="9317"/>
    </row>
    <row r="97" spans="1:34" ht="25.5" customHeight="1">
      <c r="A97" s="9392"/>
      <c r="B97" s="9398"/>
      <c r="C97" s="9333"/>
      <c r="D97" s="9311"/>
      <c r="E97" s="9311"/>
      <c r="F97" s="9311"/>
      <c r="G97" s="9311"/>
      <c r="H97" s="9311"/>
      <c r="I97" s="9311"/>
      <c r="J97" s="9311"/>
      <c r="K97" s="9311"/>
      <c r="L97" s="9311"/>
      <c r="M97" s="9313"/>
      <c r="N97" s="9313"/>
      <c r="O97" s="9313"/>
      <c r="P97" s="9311"/>
      <c r="Q97" s="9311"/>
      <c r="R97" s="9315"/>
      <c r="S97" s="943"/>
      <c r="T97" s="6305"/>
      <c r="U97" s="6306"/>
      <c r="V97" s="798"/>
      <c r="W97" s="4862"/>
      <c r="X97" s="799"/>
      <c r="Y97" s="4898"/>
      <c r="Z97" s="4898"/>
      <c r="AA97" s="4898"/>
      <c r="AB97" s="4899"/>
      <c r="AC97" s="4876"/>
      <c r="AD97" s="853"/>
      <c r="AE97" s="185"/>
      <c r="AF97" s="186"/>
      <c r="AG97" s="186"/>
      <c r="AH97" s="9318"/>
    </row>
    <row r="98" spans="1:34" ht="25.5" customHeight="1">
      <c r="A98" s="9392"/>
      <c r="B98" s="9398"/>
      <c r="C98" s="9333"/>
      <c r="D98" s="9311"/>
      <c r="E98" s="9311"/>
      <c r="F98" s="9311"/>
      <c r="G98" s="9311"/>
      <c r="H98" s="9311"/>
      <c r="I98" s="9311"/>
      <c r="J98" s="9311"/>
      <c r="K98" s="9311"/>
      <c r="L98" s="9311"/>
      <c r="M98" s="9313"/>
      <c r="N98" s="9313"/>
      <c r="O98" s="9313"/>
      <c r="P98" s="9311"/>
      <c r="Q98" s="9311"/>
      <c r="R98" s="9315"/>
      <c r="S98" s="943"/>
      <c r="T98" s="6305"/>
      <c r="U98" s="6306"/>
      <c r="V98" s="798"/>
      <c r="W98" s="4862"/>
      <c r="X98" s="799"/>
      <c r="Y98" s="4898"/>
      <c r="Z98" s="4898"/>
      <c r="AA98" s="4898"/>
      <c r="AB98" s="4899"/>
      <c r="AC98" s="4876"/>
      <c r="AD98" s="853"/>
      <c r="AE98" s="185"/>
      <c r="AF98" s="186"/>
      <c r="AG98" s="186"/>
      <c r="AH98" s="9318"/>
    </row>
    <row r="99" spans="1:34" ht="25.5" customHeight="1">
      <c r="A99" s="9392"/>
      <c r="B99" s="9398"/>
      <c r="C99" s="9333"/>
      <c r="D99" s="9311"/>
      <c r="E99" s="9311"/>
      <c r="F99" s="9311"/>
      <c r="G99" s="9311"/>
      <c r="H99" s="9311"/>
      <c r="I99" s="9311"/>
      <c r="J99" s="9311"/>
      <c r="K99" s="9311"/>
      <c r="L99" s="9311"/>
      <c r="M99" s="9313"/>
      <c r="N99" s="9313"/>
      <c r="O99" s="9313"/>
      <c r="P99" s="9311"/>
      <c r="Q99" s="9311"/>
      <c r="R99" s="9315"/>
      <c r="S99" s="943"/>
      <c r="T99" s="6305"/>
      <c r="U99" s="6306"/>
      <c r="V99" s="798"/>
      <c r="W99" s="4862"/>
      <c r="X99" s="799"/>
      <c r="Y99" s="4898"/>
      <c r="Z99" s="4898"/>
      <c r="AA99" s="4898"/>
      <c r="AB99" s="4899"/>
      <c r="AC99" s="4876"/>
      <c r="AD99" s="853"/>
      <c r="AE99" s="185"/>
      <c r="AF99" s="186"/>
      <c r="AG99" s="186"/>
      <c r="AH99" s="9318"/>
    </row>
    <row r="100" spans="1:34" ht="25.5" customHeight="1">
      <c r="A100" s="9392"/>
      <c r="B100" s="9398"/>
      <c r="C100" s="9333"/>
      <c r="D100" s="9311"/>
      <c r="E100" s="9311"/>
      <c r="F100" s="9311"/>
      <c r="G100" s="9311"/>
      <c r="H100" s="9311"/>
      <c r="I100" s="9311"/>
      <c r="J100" s="9311"/>
      <c r="K100" s="9311"/>
      <c r="L100" s="9311"/>
      <c r="M100" s="9313"/>
      <c r="N100" s="9313"/>
      <c r="O100" s="9313"/>
      <c r="P100" s="9311"/>
      <c r="Q100" s="9311"/>
      <c r="R100" s="9315"/>
      <c r="S100" s="1134"/>
      <c r="T100" s="6326"/>
      <c r="U100" s="6329"/>
      <c r="V100" s="1027"/>
      <c r="W100" s="4867"/>
      <c r="X100" s="1018"/>
      <c r="Y100" s="4902"/>
      <c r="Z100" s="4902"/>
      <c r="AA100" s="4902"/>
      <c r="AB100" s="4908"/>
      <c r="AC100" s="4879"/>
      <c r="AD100" s="854"/>
      <c r="AE100" s="181"/>
      <c r="AF100" s="345"/>
      <c r="AG100" s="345"/>
      <c r="AH100" s="9340"/>
    </row>
    <row r="101" spans="1:34" ht="27" customHeight="1">
      <c r="A101" s="9392"/>
      <c r="B101" s="9398"/>
      <c r="C101" s="9332" t="s">
        <v>127</v>
      </c>
      <c r="D101" s="9258" t="s">
        <v>128</v>
      </c>
      <c r="E101" s="9258" t="s">
        <v>129</v>
      </c>
      <c r="F101" s="9258" t="s">
        <v>268</v>
      </c>
      <c r="G101" s="9335" t="s">
        <v>131</v>
      </c>
      <c r="H101" s="9258" t="s">
        <v>213</v>
      </c>
      <c r="I101" s="9258" t="s">
        <v>159</v>
      </c>
      <c r="J101" s="9255" t="s">
        <v>931</v>
      </c>
      <c r="K101" s="9258" t="s">
        <v>286</v>
      </c>
      <c r="L101" s="9258" t="s">
        <v>932</v>
      </c>
      <c r="M101" s="8975">
        <v>0</v>
      </c>
      <c r="N101" s="8975">
        <v>1</v>
      </c>
      <c r="O101" s="8975">
        <v>1</v>
      </c>
      <c r="P101" s="9255" t="s">
        <v>933</v>
      </c>
      <c r="Q101" s="9255" t="s">
        <v>934</v>
      </c>
      <c r="R101" s="9277" t="s">
        <v>935</v>
      </c>
      <c r="S101" s="654"/>
      <c r="T101" s="6330"/>
      <c r="U101" s="6331"/>
      <c r="V101" s="846"/>
      <c r="W101" s="6373"/>
      <c r="X101" s="848"/>
      <c r="Y101" s="6400"/>
      <c r="Z101" s="6400"/>
      <c r="AA101" s="6400"/>
      <c r="AB101" s="6401"/>
      <c r="AC101" s="6426"/>
      <c r="AD101" s="855"/>
      <c r="AE101" s="188"/>
      <c r="AF101" s="189"/>
      <c r="AG101" s="189"/>
      <c r="AH101" s="9324"/>
    </row>
    <row r="102" spans="1:34" ht="27" customHeight="1">
      <c r="A102" s="9392"/>
      <c r="B102" s="9398"/>
      <c r="C102" s="9333"/>
      <c r="D102" s="9311"/>
      <c r="E102" s="9311"/>
      <c r="F102" s="9311"/>
      <c r="G102" s="9311"/>
      <c r="H102" s="9311"/>
      <c r="I102" s="9311"/>
      <c r="J102" s="9311"/>
      <c r="K102" s="9311"/>
      <c r="L102" s="9311"/>
      <c r="M102" s="9313"/>
      <c r="N102" s="9313"/>
      <c r="O102" s="9313"/>
      <c r="P102" s="9311"/>
      <c r="Q102" s="9311"/>
      <c r="R102" s="9315"/>
      <c r="S102" s="838"/>
      <c r="T102" s="6305"/>
      <c r="U102" s="4727"/>
      <c r="V102" s="840"/>
      <c r="W102" s="6374"/>
      <c r="X102" s="849"/>
      <c r="Y102" s="6396"/>
      <c r="Z102" s="6396"/>
      <c r="AA102" s="6396"/>
      <c r="AB102" s="6397"/>
      <c r="AC102" s="4817"/>
      <c r="AD102" s="853"/>
      <c r="AE102" s="185"/>
      <c r="AF102" s="186"/>
      <c r="AG102" s="186"/>
      <c r="AH102" s="9318"/>
    </row>
    <row r="103" spans="1:34" ht="27" customHeight="1">
      <c r="A103" s="9392"/>
      <c r="B103" s="9398"/>
      <c r="C103" s="9333"/>
      <c r="D103" s="9311"/>
      <c r="E103" s="9311"/>
      <c r="F103" s="9311"/>
      <c r="G103" s="9311"/>
      <c r="H103" s="9311"/>
      <c r="I103" s="9311"/>
      <c r="J103" s="9311"/>
      <c r="K103" s="9311"/>
      <c r="L103" s="9311"/>
      <c r="M103" s="9313"/>
      <c r="N103" s="9313"/>
      <c r="O103" s="9313"/>
      <c r="P103" s="9311"/>
      <c r="Q103" s="9311"/>
      <c r="R103" s="9315"/>
      <c r="S103" s="838"/>
      <c r="T103" s="6305"/>
      <c r="U103" s="4727"/>
      <c r="V103" s="840"/>
      <c r="W103" s="6374"/>
      <c r="X103" s="849"/>
      <c r="Y103" s="6396"/>
      <c r="Z103" s="6396"/>
      <c r="AA103" s="6396"/>
      <c r="AB103" s="6397"/>
      <c r="AC103" s="4817"/>
      <c r="AD103" s="853"/>
      <c r="AE103" s="185"/>
      <c r="AF103" s="186"/>
      <c r="AG103" s="186"/>
      <c r="AH103" s="9318"/>
    </row>
    <row r="104" spans="1:34" ht="27" customHeight="1">
      <c r="A104" s="9392"/>
      <c r="B104" s="9398"/>
      <c r="C104" s="9333"/>
      <c r="D104" s="9311"/>
      <c r="E104" s="9311"/>
      <c r="F104" s="9311"/>
      <c r="G104" s="9311"/>
      <c r="H104" s="9311"/>
      <c r="I104" s="9311"/>
      <c r="J104" s="9311"/>
      <c r="K104" s="9311"/>
      <c r="L104" s="9311"/>
      <c r="M104" s="9313"/>
      <c r="N104" s="9313"/>
      <c r="O104" s="9313"/>
      <c r="P104" s="9311"/>
      <c r="Q104" s="9311"/>
      <c r="R104" s="9315"/>
      <c r="S104" s="838"/>
      <c r="T104" s="6305"/>
      <c r="U104" s="4727"/>
      <c r="V104" s="840"/>
      <c r="W104" s="6374"/>
      <c r="X104" s="849"/>
      <c r="Y104" s="6396"/>
      <c r="Z104" s="6396"/>
      <c r="AA104" s="6396"/>
      <c r="AB104" s="6397"/>
      <c r="AC104" s="4817"/>
      <c r="AD104" s="853"/>
      <c r="AE104" s="185"/>
      <c r="AF104" s="186"/>
      <c r="AG104" s="186"/>
      <c r="AH104" s="9318"/>
    </row>
    <row r="105" spans="1:34" ht="27" customHeight="1">
      <c r="A105" s="9392"/>
      <c r="B105" s="9398"/>
      <c r="C105" s="9395"/>
      <c r="D105" s="9312"/>
      <c r="E105" s="9312"/>
      <c r="F105" s="9312"/>
      <c r="G105" s="9312"/>
      <c r="H105" s="9312"/>
      <c r="I105" s="9312"/>
      <c r="J105" s="9312"/>
      <c r="K105" s="9312"/>
      <c r="L105" s="9312"/>
      <c r="M105" s="9314"/>
      <c r="N105" s="9314"/>
      <c r="O105" s="9314"/>
      <c r="P105" s="9312"/>
      <c r="Q105" s="9312"/>
      <c r="R105" s="9316"/>
      <c r="S105" s="839"/>
      <c r="T105" s="6332"/>
      <c r="U105" s="6333"/>
      <c r="V105" s="847"/>
      <c r="W105" s="6375"/>
      <c r="X105" s="187"/>
      <c r="Y105" s="6404"/>
      <c r="Z105" s="6404"/>
      <c r="AA105" s="6404"/>
      <c r="AB105" s="6405"/>
      <c r="AC105" s="6428"/>
      <c r="AD105" s="856"/>
      <c r="AE105" s="187"/>
      <c r="AF105" s="182"/>
      <c r="AG105" s="182"/>
      <c r="AH105" s="9319"/>
    </row>
    <row r="106" spans="1:34" ht="26.25" customHeight="1">
      <c r="A106" s="9392"/>
      <c r="B106" s="9398"/>
      <c r="C106" s="9332" t="s">
        <v>127</v>
      </c>
      <c r="D106" s="9258" t="s">
        <v>128</v>
      </c>
      <c r="E106" s="9258" t="s">
        <v>129</v>
      </c>
      <c r="F106" s="9258" t="s">
        <v>268</v>
      </c>
      <c r="G106" s="9335" t="s">
        <v>131</v>
      </c>
      <c r="H106" s="9258" t="s">
        <v>132</v>
      </c>
      <c r="I106" s="9258" t="s">
        <v>159</v>
      </c>
      <c r="J106" s="9329" t="s">
        <v>936</v>
      </c>
      <c r="K106" s="9258" t="s">
        <v>338</v>
      </c>
      <c r="L106" s="9258" t="s">
        <v>937</v>
      </c>
      <c r="M106" s="8975">
        <v>1</v>
      </c>
      <c r="N106" s="8975">
        <v>1</v>
      </c>
      <c r="O106" s="8975">
        <v>1</v>
      </c>
      <c r="P106" s="9255" t="s">
        <v>938</v>
      </c>
      <c r="Q106" s="9255" t="s">
        <v>939</v>
      </c>
      <c r="R106" s="9277" t="s">
        <v>940</v>
      </c>
      <c r="S106" s="654"/>
      <c r="T106" s="6330"/>
      <c r="U106" s="6331"/>
      <c r="V106" s="846"/>
      <c r="W106" s="6373"/>
      <c r="X106" s="848"/>
      <c r="Y106" s="6400"/>
      <c r="Z106" s="6400"/>
      <c r="AA106" s="6400"/>
      <c r="AB106" s="6401"/>
      <c r="AC106" s="6426"/>
      <c r="AD106" s="855"/>
      <c r="AE106" s="188"/>
      <c r="AF106" s="189"/>
      <c r="AG106" s="189"/>
      <c r="AH106" s="9324"/>
    </row>
    <row r="107" spans="1:34" ht="26.25" customHeight="1">
      <c r="A107" s="9392"/>
      <c r="B107" s="9398"/>
      <c r="C107" s="9333"/>
      <c r="D107" s="9311"/>
      <c r="E107" s="9311"/>
      <c r="F107" s="9311"/>
      <c r="G107" s="9311"/>
      <c r="H107" s="9311"/>
      <c r="I107" s="9311"/>
      <c r="J107" s="9311"/>
      <c r="K107" s="9311"/>
      <c r="L107" s="9311"/>
      <c r="M107" s="9313"/>
      <c r="N107" s="9313"/>
      <c r="O107" s="9313"/>
      <c r="P107" s="9311"/>
      <c r="Q107" s="9311"/>
      <c r="R107" s="9315"/>
      <c r="S107" s="838"/>
      <c r="T107" s="6305"/>
      <c r="U107" s="4727"/>
      <c r="V107" s="840"/>
      <c r="W107" s="6374"/>
      <c r="X107" s="849"/>
      <c r="Y107" s="6396"/>
      <c r="Z107" s="6396"/>
      <c r="AA107" s="6396"/>
      <c r="AB107" s="6397"/>
      <c r="AC107" s="4817"/>
      <c r="AD107" s="853"/>
      <c r="AE107" s="185"/>
      <c r="AF107" s="186"/>
      <c r="AG107" s="186"/>
      <c r="AH107" s="9318"/>
    </row>
    <row r="108" spans="1:34" ht="26.25" customHeight="1">
      <c r="A108" s="9392"/>
      <c r="B108" s="9398"/>
      <c r="C108" s="9333"/>
      <c r="D108" s="9311"/>
      <c r="E108" s="9311"/>
      <c r="F108" s="9311"/>
      <c r="G108" s="9311"/>
      <c r="H108" s="9311"/>
      <c r="I108" s="9311"/>
      <c r="J108" s="9311"/>
      <c r="K108" s="9311"/>
      <c r="L108" s="9311"/>
      <c r="M108" s="9313"/>
      <c r="N108" s="9313"/>
      <c r="O108" s="9313"/>
      <c r="P108" s="9311"/>
      <c r="Q108" s="9311"/>
      <c r="R108" s="9315"/>
      <c r="S108" s="838"/>
      <c r="T108" s="6305"/>
      <c r="U108" s="4727"/>
      <c r="V108" s="584"/>
      <c r="W108" s="6359"/>
      <c r="X108" s="185"/>
      <c r="Y108" s="6396"/>
      <c r="Z108" s="6396"/>
      <c r="AA108" s="6396"/>
      <c r="AB108" s="6397"/>
      <c r="AC108" s="4817"/>
      <c r="AD108" s="853"/>
      <c r="AE108" s="185"/>
      <c r="AF108" s="186"/>
      <c r="AG108" s="186"/>
      <c r="AH108" s="9318"/>
    </row>
    <row r="109" spans="1:34" ht="26.25" customHeight="1">
      <c r="A109" s="9392"/>
      <c r="B109" s="9398"/>
      <c r="C109" s="9333"/>
      <c r="D109" s="9311"/>
      <c r="E109" s="9311"/>
      <c r="F109" s="9311"/>
      <c r="G109" s="9311"/>
      <c r="H109" s="9311"/>
      <c r="I109" s="9311"/>
      <c r="J109" s="9311"/>
      <c r="K109" s="9311"/>
      <c r="L109" s="9311"/>
      <c r="M109" s="9313"/>
      <c r="N109" s="9313"/>
      <c r="O109" s="9313"/>
      <c r="P109" s="9311"/>
      <c r="Q109" s="9311"/>
      <c r="R109" s="9315"/>
      <c r="S109" s="838"/>
      <c r="T109" s="6305"/>
      <c r="U109" s="4727"/>
      <c r="V109" s="584"/>
      <c r="W109" s="6359"/>
      <c r="X109" s="185"/>
      <c r="Y109" s="6396"/>
      <c r="Z109" s="6396"/>
      <c r="AA109" s="6396"/>
      <c r="AB109" s="6397"/>
      <c r="AC109" s="4817"/>
      <c r="AD109" s="853"/>
      <c r="AE109" s="185"/>
      <c r="AF109" s="186"/>
      <c r="AG109" s="186"/>
      <c r="AH109" s="9318"/>
    </row>
    <row r="110" spans="1:34" ht="26.25" customHeight="1">
      <c r="A110" s="9392"/>
      <c r="B110" s="9398"/>
      <c r="C110" s="9334"/>
      <c r="D110" s="9322"/>
      <c r="E110" s="9322"/>
      <c r="F110" s="9322"/>
      <c r="G110" s="9322"/>
      <c r="H110" s="9322"/>
      <c r="I110" s="9322"/>
      <c r="J110" s="9322"/>
      <c r="K110" s="9322"/>
      <c r="L110" s="9322"/>
      <c r="M110" s="9330"/>
      <c r="N110" s="9330"/>
      <c r="O110" s="9330"/>
      <c r="P110" s="9322"/>
      <c r="Q110" s="9322"/>
      <c r="R110" s="9323"/>
      <c r="S110" s="6057"/>
      <c r="T110" s="6334"/>
      <c r="U110" s="6334"/>
      <c r="V110" s="5165"/>
      <c r="W110" s="6376"/>
      <c r="X110" s="5166"/>
      <c r="Y110" s="6406"/>
      <c r="Z110" s="6406"/>
      <c r="AA110" s="6406"/>
      <c r="AB110" s="6407"/>
      <c r="AC110" s="6429"/>
      <c r="AD110" s="6058"/>
      <c r="AE110" s="5166"/>
      <c r="AF110" s="5168"/>
      <c r="AG110" s="5168"/>
      <c r="AH110" s="9325"/>
    </row>
    <row r="111" spans="1:34" s="4835" customFormat="1" ht="22.5" customHeight="1" thickBot="1">
      <c r="A111" s="9392"/>
      <c r="B111" s="9399"/>
      <c r="C111" s="9331"/>
      <c r="D111" s="8773"/>
      <c r="E111" s="8773"/>
      <c r="F111" s="8773"/>
      <c r="G111" s="8773"/>
      <c r="H111" s="8773"/>
      <c r="I111" s="8773"/>
      <c r="J111" s="8773"/>
      <c r="K111" s="8773"/>
      <c r="L111" s="8773"/>
      <c r="M111" s="8773"/>
      <c r="N111" s="8773"/>
      <c r="O111" s="8773"/>
      <c r="P111" s="8773"/>
      <c r="Q111" s="8773"/>
      <c r="R111" s="8773"/>
      <c r="S111" s="9326" t="s">
        <v>941</v>
      </c>
      <c r="T111" s="9327"/>
      <c r="U111" s="9327"/>
      <c r="V111" s="9327"/>
      <c r="W111" s="9327"/>
      <c r="X111" s="9327"/>
      <c r="Y111" s="9327"/>
      <c r="Z111" s="9327"/>
      <c r="AA111" s="4890" t="s">
        <v>292</v>
      </c>
      <c r="AB111" s="6392">
        <f>SUM(AB9:AB110)</f>
        <v>1142299.6257428571</v>
      </c>
      <c r="AC111" s="5950"/>
      <c r="AD111" s="5951"/>
      <c r="AE111" s="9328"/>
      <c r="AF111" s="8773"/>
      <c r="AG111" s="8773"/>
      <c r="AH111" s="8774"/>
    </row>
    <row r="112" spans="1:34" ht="26.25" customHeight="1">
      <c r="A112" s="9392"/>
      <c r="B112" s="9246" t="s">
        <v>942</v>
      </c>
      <c r="C112" s="9400" t="s">
        <v>127</v>
      </c>
      <c r="D112" s="9167" t="s">
        <v>128</v>
      </c>
      <c r="E112" s="9167" t="s">
        <v>140</v>
      </c>
      <c r="F112" s="9167" t="s">
        <v>284</v>
      </c>
      <c r="G112" s="9320" t="s">
        <v>131</v>
      </c>
      <c r="H112" s="9167" t="s">
        <v>132</v>
      </c>
      <c r="I112" s="9167" t="s">
        <v>159</v>
      </c>
      <c r="J112" s="9320" t="s">
        <v>943</v>
      </c>
      <c r="K112" s="9167" t="s">
        <v>944</v>
      </c>
      <c r="L112" s="9167" t="s">
        <v>945</v>
      </c>
      <c r="M112" s="8979">
        <v>1</v>
      </c>
      <c r="N112" s="8979">
        <v>1</v>
      </c>
      <c r="O112" s="8979">
        <v>1</v>
      </c>
      <c r="P112" s="9262" t="s">
        <v>946</v>
      </c>
      <c r="Q112" s="9262" t="s">
        <v>947</v>
      </c>
      <c r="R112" s="9263" t="s">
        <v>948</v>
      </c>
      <c r="S112" s="841"/>
      <c r="T112" s="6304"/>
      <c r="U112" s="6304"/>
      <c r="V112" s="598"/>
      <c r="W112" s="6358"/>
      <c r="X112" s="344"/>
      <c r="Y112" s="6394"/>
      <c r="Z112" s="6394"/>
      <c r="AA112" s="6408"/>
      <c r="AB112" s="6409"/>
      <c r="AC112" s="6430"/>
      <c r="AD112" s="857"/>
      <c r="AE112" s="344"/>
      <c r="AF112" s="308"/>
      <c r="AG112" s="308"/>
      <c r="AH112" s="9321"/>
    </row>
    <row r="113" spans="1:34" ht="26.25" customHeight="1">
      <c r="A113" s="9392"/>
      <c r="B113" s="9398"/>
      <c r="C113" s="9333"/>
      <c r="D113" s="9311"/>
      <c r="E113" s="9311"/>
      <c r="F113" s="9311"/>
      <c r="G113" s="9311"/>
      <c r="H113" s="9311"/>
      <c r="I113" s="9311"/>
      <c r="J113" s="9311"/>
      <c r="K113" s="9311"/>
      <c r="L113" s="9311"/>
      <c r="M113" s="9313"/>
      <c r="N113" s="9313"/>
      <c r="O113" s="9313"/>
      <c r="P113" s="9311"/>
      <c r="Q113" s="9311"/>
      <c r="R113" s="9315"/>
      <c r="S113" s="838"/>
      <c r="T113" s="4727"/>
      <c r="U113" s="4727"/>
      <c r="V113" s="584"/>
      <c r="W113" s="6359"/>
      <c r="X113" s="185"/>
      <c r="Y113" s="6396"/>
      <c r="Z113" s="6396"/>
      <c r="AA113" s="6396"/>
      <c r="AB113" s="6397"/>
      <c r="AC113" s="4817"/>
      <c r="AD113" s="853"/>
      <c r="AE113" s="185"/>
      <c r="AF113" s="186"/>
      <c r="AG113" s="186"/>
      <c r="AH113" s="9318"/>
    </row>
    <row r="114" spans="1:34" ht="26.25" customHeight="1">
      <c r="A114" s="9392"/>
      <c r="B114" s="9398"/>
      <c r="C114" s="9333"/>
      <c r="D114" s="9311"/>
      <c r="E114" s="9311"/>
      <c r="F114" s="9311"/>
      <c r="G114" s="9311"/>
      <c r="H114" s="9311"/>
      <c r="I114" s="9311"/>
      <c r="J114" s="9311"/>
      <c r="K114" s="9311"/>
      <c r="L114" s="9311"/>
      <c r="M114" s="9313"/>
      <c r="N114" s="9313"/>
      <c r="O114" s="9313"/>
      <c r="P114" s="9311"/>
      <c r="Q114" s="9311"/>
      <c r="R114" s="9315"/>
      <c r="S114" s="838"/>
      <c r="T114" s="4727"/>
      <c r="U114" s="4727"/>
      <c r="V114" s="584"/>
      <c r="W114" s="6359"/>
      <c r="X114" s="185"/>
      <c r="Y114" s="6396"/>
      <c r="Z114" s="6396"/>
      <c r="AA114" s="6396"/>
      <c r="AB114" s="6397"/>
      <c r="AC114" s="4817"/>
      <c r="AD114" s="853"/>
      <c r="AE114" s="185"/>
      <c r="AF114" s="186"/>
      <c r="AG114" s="186"/>
      <c r="AH114" s="9318"/>
    </row>
    <row r="115" spans="1:34" ht="26.25" customHeight="1">
      <c r="A115" s="9392"/>
      <c r="B115" s="9398"/>
      <c r="C115" s="9333"/>
      <c r="D115" s="9311"/>
      <c r="E115" s="9311"/>
      <c r="F115" s="9311"/>
      <c r="G115" s="9311"/>
      <c r="H115" s="9311"/>
      <c r="I115" s="9311"/>
      <c r="J115" s="9311"/>
      <c r="K115" s="9311"/>
      <c r="L115" s="9311"/>
      <c r="M115" s="9313"/>
      <c r="N115" s="9313"/>
      <c r="O115" s="9313"/>
      <c r="P115" s="9311"/>
      <c r="Q115" s="9311"/>
      <c r="R115" s="9315"/>
      <c r="S115" s="838"/>
      <c r="T115" s="6335"/>
      <c r="U115" s="6335"/>
      <c r="V115" s="584"/>
      <c r="W115" s="6359"/>
      <c r="X115" s="185"/>
      <c r="Y115" s="6396"/>
      <c r="Z115" s="6396"/>
      <c r="AA115" s="6396"/>
      <c r="AB115" s="6397"/>
      <c r="AC115" s="4817"/>
      <c r="AD115" s="853"/>
      <c r="AE115" s="185"/>
      <c r="AF115" s="186"/>
      <c r="AG115" s="186"/>
      <c r="AH115" s="9318"/>
    </row>
    <row r="116" spans="1:34" ht="26.25" customHeight="1">
      <c r="A116" s="9392"/>
      <c r="B116" s="9398"/>
      <c r="C116" s="9395"/>
      <c r="D116" s="9312"/>
      <c r="E116" s="9312"/>
      <c r="F116" s="9312"/>
      <c r="G116" s="9312"/>
      <c r="H116" s="9312"/>
      <c r="I116" s="9312"/>
      <c r="J116" s="9312"/>
      <c r="K116" s="9312"/>
      <c r="L116" s="9312"/>
      <c r="M116" s="9314"/>
      <c r="N116" s="9314"/>
      <c r="O116" s="9314"/>
      <c r="P116" s="9312"/>
      <c r="Q116" s="9312"/>
      <c r="R116" s="9316"/>
      <c r="S116" s="839"/>
      <c r="T116" s="6333"/>
      <c r="U116" s="6333"/>
      <c r="V116" s="593"/>
      <c r="W116" s="6375"/>
      <c r="X116" s="187"/>
      <c r="Y116" s="6404"/>
      <c r="Z116" s="6404"/>
      <c r="AA116" s="6404"/>
      <c r="AB116" s="6405"/>
      <c r="AC116" s="6428"/>
      <c r="AD116" s="856"/>
      <c r="AE116" s="187"/>
      <c r="AF116" s="182"/>
      <c r="AG116" s="182"/>
      <c r="AH116" s="9319"/>
    </row>
    <row r="117" spans="1:34" ht="18" customHeight="1">
      <c r="A117" s="9392"/>
      <c r="B117" s="9398"/>
      <c r="C117" s="9400" t="s">
        <v>127</v>
      </c>
      <c r="D117" s="9167" t="s">
        <v>128</v>
      </c>
      <c r="E117" s="9167" t="s">
        <v>129</v>
      </c>
      <c r="F117" s="9167" t="s">
        <v>130</v>
      </c>
      <c r="G117" s="9320" t="s">
        <v>131</v>
      </c>
      <c r="H117" s="9167" t="s">
        <v>132</v>
      </c>
      <c r="I117" s="9167" t="s">
        <v>159</v>
      </c>
      <c r="J117" s="9262" t="s">
        <v>949</v>
      </c>
      <c r="K117" s="9167" t="s">
        <v>950</v>
      </c>
      <c r="L117" s="9167" t="s">
        <v>951</v>
      </c>
      <c r="M117" s="8979">
        <v>1</v>
      </c>
      <c r="N117" s="8979">
        <v>1</v>
      </c>
      <c r="O117" s="8979">
        <v>1</v>
      </c>
      <c r="P117" s="9167" t="s">
        <v>952</v>
      </c>
      <c r="Q117" s="9167" t="s">
        <v>953</v>
      </c>
      <c r="R117" s="9263" t="s">
        <v>948</v>
      </c>
      <c r="S117" s="747" t="s">
        <v>15</v>
      </c>
      <c r="T117" s="6318">
        <v>840104</v>
      </c>
      <c r="U117" s="6319"/>
      <c r="V117" s="579" t="s">
        <v>39</v>
      </c>
      <c r="W117" s="4874"/>
      <c r="X117" s="76"/>
      <c r="Y117" s="4922"/>
      <c r="Z117" s="8034"/>
      <c r="AA117" s="8034"/>
      <c r="AB117" s="8022">
        <f>+AA118</f>
        <v>12219.999999999998</v>
      </c>
      <c r="AC117" s="4883" t="s">
        <v>18</v>
      </c>
      <c r="AD117" s="855"/>
      <c r="AE117" s="188"/>
      <c r="AF117" s="189"/>
      <c r="AG117" s="183"/>
      <c r="AH117" s="9317"/>
    </row>
    <row r="118" spans="1:34" ht="18" customHeight="1">
      <c r="A118" s="9392"/>
      <c r="B118" s="9398"/>
      <c r="C118" s="9333"/>
      <c r="D118" s="9311"/>
      <c r="E118" s="9311"/>
      <c r="F118" s="9311"/>
      <c r="G118" s="9311"/>
      <c r="H118" s="9311"/>
      <c r="I118" s="9311"/>
      <c r="J118" s="9311"/>
      <c r="K118" s="9311"/>
      <c r="L118" s="9311"/>
      <c r="M118" s="9313"/>
      <c r="N118" s="9313"/>
      <c r="O118" s="9313"/>
      <c r="P118" s="9311"/>
      <c r="Q118" s="9311"/>
      <c r="R118" s="9315"/>
      <c r="S118" s="748"/>
      <c r="T118" s="6305"/>
      <c r="U118" s="6305" t="s">
        <v>954</v>
      </c>
      <c r="V118" s="575" t="s">
        <v>955</v>
      </c>
      <c r="W118" s="4869">
        <v>14</v>
      </c>
      <c r="X118" s="285" t="s">
        <v>180</v>
      </c>
      <c r="Y118" s="7981">
        <f>(13686.4/1.12)/14</f>
        <v>872.85714285714278</v>
      </c>
      <c r="Z118" s="7981">
        <f t="shared" ref="Z118" si="21">+W118*Y118</f>
        <v>12219.999999999998</v>
      </c>
      <c r="AA118" s="7981">
        <f>Z118</f>
        <v>12219.999999999998</v>
      </c>
      <c r="AB118" s="7982"/>
      <c r="AC118" s="4880"/>
      <c r="AD118" s="853"/>
      <c r="AE118" s="185"/>
      <c r="AF118" s="186" t="s">
        <v>153</v>
      </c>
      <c r="AG118" s="185"/>
      <c r="AH118" s="9318"/>
    </row>
    <row r="119" spans="1:34" ht="18" customHeight="1">
      <c r="A119" s="9392"/>
      <c r="B119" s="9398"/>
      <c r="C119" s="9333"/>
      <c r="D119" s="9311"/>
      <c r="E119" s="9311"/>
      <c r="F119" s="9311"/>
      <c r="G119" s="9311"/>
      <c r="H119" s="9311"/>
      <c r="I119" s="9311"/>
      <c r="J119" s="9311"/>
      <c r="K119" s="9311"/>
      <c r="L119" s="9311"/>
      <c r="M119" s="9313"/>
      <c r="N119" s="9313"/>
      <c r="O119" s="9313"/>
      <c r="P119" s="9311"/>
      <c r="Q119" s="9311"/>
      <c r="R119" s="9315"/>
      <c r="S119" s="3222" t="s">
        <v>15</v>
      </c>
      <c r="T119" s="6311">
        <v>530809</v>
      </c>
      <c r="U119" s="4711"/>
      <c r="V119" s="3223" t="s">
        <v>956</v>
      </c>
      <c r="W119" s="4866"/>
      <c r="X119" s="3226"/>
      <c r="Y119" s="4907"/>
      <c r="Z119" s="4907"/>
      <c r="AA119" s="4907"/>
      <c r="AB119" s="4921">
        <f>+SUM(AA120:AA144)</f>
        <v>49108.3675</v>
      </c>
      <c r="AC119" s="7921" t="s">
        <v>25</v>
      </c>
      <c r="AD119" s="853"/>
      <c r="AE119" s="185"/>
      <c r="AF119" s="186"/>
      <c r="AG119" s="185"/>
      <c r="AH119" s="9318"/>
    </row>
    <row r="120" spans="1:34" ht="18" customHeight="1">
      <c r="A120" s="9392"/>
      <c r="B120" s="9398"/>
      <c r="C120" s="9333"/>
      <c r="D120" s="9311"/>
      <c r="E120" s="9311"/>
      <c r="F120" s="9311"/>
      <c r="G120" s="9311"/>
      <c r="H120" s="9311"/>
      <c r="I120" s="9311"/>
      <c r="J120" s="9311"/>
      <c r="K120" s="9311"/>
      <c r="L120" s="9311"/>
      <c r="M120" s="9313"/>
      <c r="N120" s="9313"/>
      <c r="O120" s="9313"/>
      <c r="P120" s="9311"/>
      <c r="Q120" s="9311"/>
      <c r="R120" s="9315"/>
      <c r="S120" s="748"/>
      <c r="T120" s="6305"/>
      <c r="U120" s="6305"/>
      <c r="V120" s="3173" t="s">
        <v>957</v>
      </c>
      <c r="W120" s="4866">
        <v>5000</v>
      </c>
      <c r="X120" s="3226" t="s">
        <v>180</v>
      </c>
      <c r="Y120" s="4907">
        <v>0.85850000000000004</v>
      </c>
      <c r="Z120" s="4907">
        <f t="shared" ref="Z120:Z144" si="22">+W120*Y120</f>
        <v>4292.5</v>
      </c>
      <c r="AA120" s="4907">
        <f>+Z120</f>
        <v>4292.5</v>
      </c>
      <c r="AB120" s="4911"/>
      <c r="AC120" s="4880"/>
      <c r="AD120" s="853"/>
      <c r="AE120" s="185"/>
      <c r="AF120" s="186"/>
      <c r="AG120" s="3381" t="s">
        <v>153</v>
      </c>
      <c r="AH120" s="9318"/>
    </row>
    <row r="121" spans="1:34" ht="18" customHeight="1">
      <c r="A121" s="9392"/>
      <c r="B121" s="9398"/>
      <c r="C121" s="9333"/>
      <c r="D121" s="9311"/>
      <c r="E121" s="9311"/>
      <c r="F121" s="9311"/>
      <c r="G121" s="9311"/>
      <c r="H121" s="9311"/>
      <c r="I121" s="9311"/>
      <c r="J121" s="9311"/>
      <c r="K121" s="9311"/>
      <c r="L121" s="9311"/>
      <c r="M121" s="9313"/>
      <c r="N121" s="9313"/>
      <c r="O121" s="9313"/>
      <c r="P121" s="9311"/>
      <c r="Q121" s="9311"/>
      <c r="R121" s="9315"/>
      <c r="S121" s="748"/>
      <c r="T121" s="6305"/>
      <c r="U121" s="6305"/>
      <c r="V121" s="3173" t="s">
        <v>958</v>
      </c>
      <c r="W121" s="4866">
        <v>10000</v>
      </c>
      <c r="X121" s="3226" t="s">
        <v>180</v>
      </c>
      <c r="Y121" s="4907">
        <v>0.19550000000000001</v>
      </c>
      <c r="Z121" s="4907">
        <f t="shared" si="22"/>
        <v>1955</v>
      </c>
      <c r="AA121" s="4907">
        <f t="shared" ref="AA121:AA144" si="23">+Z121</f>
        <v>1955</v>
      </c>
      <c r="AB121" s="4911"/>
      <c r="AC121" s="4880"/>
      <c r="AD121" s="853"/>
      <c r="AE121" s="185"/>
      <c r="AF121" s="186"/>
      <c r="AG121" s="3381" t="s">
        <v>153</v>
      </c>
      <c r="AH121" s="9318"/>
    </row>
    <row r="122" spans="1:34" ht="18" customHeight="1">
      <c r="A122" s="9392"/>
      <c r="B122" s="9398"/>
      <c r="C122" s="9333"/>
      <c r="D122" s="9311"/>
      <c r="E122" s="9311"/>
      <c r="F122" s="9311"/>
      <c r="G122" s="9311"/>
      <c r="H122" s="9311"/>
      <c r="I122" s="9311"/>
      <c r="J122" s="9311"/>
      <c r="K122" s="9311"/>
      <c r="L122" s="9311"/>
      <c r="M122" s="9313"/>
      <c r="N122" s="9313"/>
      <c r="O122" s="9313"/>
      <c r="P122" s="9311"/>
      <c r="Q122" s="9311"/>
      <c r="R122" s="9315"/>
      <c r="S122" s="748"/>
      <c r="T122" s="6305"/>
      <c r="U122" s="6305"/>
      <c r="V122" s="3173" t="s">
        <v>959</v>
      </c>
      <c r="W122" s="4866">
        <v>250</v>
      </c>
      <c r="X122" s="3226" t="s">
        <v>180</v>
      </c>
      <c r="Y122" s="4907">
        <v>2.0655000000000001</v>
      </c>
      <c r="Z122" s="4907">
        <f t="shared" si="22"/>
        <v>516.375</v>
      </c>
      <c r="AA122" s="4907">
        <f t="shared" si="23"/>
        <v>516.375</v>
      </c>
      <c r="AB122" s="4911"/>
      <c r="AC122" s="4880"/>
      <c r="AD122" s="853"/>
      <c r="AE122" s="185"/>
      <c r="AF122" s="186"/>
      <c r="AG122" s="3381" t="s">
        <v>153</v>
      </c>
      <c r="AH122" s="9318"/>
    </row>
    <row r="123" spans="1:34" ht="18" customHeight="1">
      <c r="A123" s="9392"/>
      <c r="B123" s="9398"/>
      <c r="C123" s="9333"/>
      <c r="D123" s="9311"/>
      <c r="E123" s="9311"/>
      <c r="F123" s="9311"/>
      <c r="G123" s="9311"/>
      <c r="H123" s="9311"/>
      <c r="I123" s="9311"/>
      <c r="J123" s="9311"/>
      <c r="K123" s="9311"/>
      <c r="L123" s="9311"/>
      <c r="M123" s="9313"/>
      <c r="N123" s="9313"/>
      <c r="O123" s="9313"/>
      <c r="P123" s="9311"/>
      <c r="Q123" s="9311"/>
      <c r="R123" s="9315"/>
      <c r="S123" s="748"/>
      <c r="T123" s="6305"/>
      <c r="U123" s="6305"/>
      <c r="V123" s="3173" t="s">
        <v>960</v>
      </c>
      <c r="W123" s="4866">
        <v>200</v>
      </c>
      <c r="X123" s="3226" t="s">
        <v>180</v>
      </c>
      <c r="Y123" s="4907">
        <v>2.601</v>
      </c>
      <c r="Z123" s="4907">
        <f t="shared" si="22"/>
        <v>520.20000000000005</v>
      </c>
      <c r="AA123" s="4907">
        <f t="shared" si="23"/>
        <v>520.20000000000005</v>
      </c>
      <c r="AB123" s="4911"/>
      <c r="AC123" s="4880"/>
      <c r="AD123" s="853"/>
      <c r="AE123" s="185"/>
      <c r="AF123" s="186"/>
      <c r="AG123" s="3381" t="s">
        <v>153</v>
      </c>
      <c r="AH123" s="9318"/>
    </row>
    <row r="124" spans="1:34" ht="18" customHeight="1">
      <c r="A124" s="9392"/>
      <c r="B124" s="9398"/>
      <c r="C124" s="9333"/>
      <c r="D124" s="9311"/>
      <c r="E124" s="9311"/>
      <c r="F124" s="9311"/>
      <c r="G124" s="9311"/>
      <c r="H124" s="9311"/>
      <c r="I124" s="9311"/>
      <c r="J124" s="9311"/>
      <c r="K124" s="9311"/>
      <c r="L124" s="9311"/>
      <c r="M124" s="9313"/>
      <c r="N124" s="9313"/>
      <c r="O124" s="9313"/>
      <c r="P124" s="9311"/>
      <c r="Q124" s="9311"/>
      <c r="R124" s="9315"/>
      <c r="S124" s="748"/>
      <c r="T124" s="6305"/>
      <c r="U124" s="6305"/>
      <c r="V124" s="3173" t="s">
        <v>961</v>
      </c>
      <c r="W124" s="4866">
        <v>1500</v>
      </c>
      <c r="X124" s="3226" t="s">
        <v>180</v>
      </c>
      <c r="Y124" s="4907">
        <v>4.6749999999999998</v>
      </c>
      <c r="Z124" s="4907">
        <f t="shared" si="22"/>
        <v>7012.5</v>
      </c>
      <c r="AA124" s="4907">
        <f t="shared" si="23"/>
        <v>7012.5</v>
      </c>
      <c r="AB124" s="4911"/>
      <c r="AC124" s="4880"/>
      <c r="AD124" s="853"/>
      <c r="AE124" s="185"/>
      <c r="AF124" s="186"/>
      <c r="AG124" s="3381" t="s">
        <v>153</v>
      </c>
      <c r="AH124" s="9318"/>
    </row>
    <row r="125" spans="1:34" ht="18" customHeight="1">
      <c r="A125" s="9392"/>
      <c r="B125" s="9398"/>
      <c r="C125" s="9333"/>
      <c r="D125" s="9311"/>
      <c r="E125" s="9311"/>
      <c r="F125" s="9311"/>
      <c r="G125" s="9311"/>
      <c r="H125" s="9311"/>
      <c r="I125" s="9311"/>
      <c r="J125" s="9311"/>
      <c r="K125" s="9311"/>
      <c r="L125" s="9311"/>
      <c r="M125" s="9313"/>
      <c r="N125" s="9313"/>
      <c r="O125" s="9313"/>
      <c r="P125" s="9311"/>
      <c r="Q125" s="9311"/>
      <c r="R125" s="9315"/>
      <c r="S125" s="748"/>
      <c r="T125" s="6305"/>
      <c r="U125" s="6305"/>
      <c r="V125" s="3173" t="s">
        <v>962</v>
      </c>
      <c r="W125" s="4866">
        <v>8000</v>
      </c>
      <c r="X125" s="3226" t="s">
        <v>180</v>
      </c>
      <c r="Y125" s="4907">
        <v>0.374</v>
      </c>
      <c r="Z125" s="4907">
        <f t="shared" si="22"/>
        <v>2992</v>
      </c>
      <c r="AA125" s="4907">
        <f t="shared" si="23"/>
        <v>2992</v>
      </c>
      <c r="AB125" s="4911"/>
      <c r="AC125" s="4880"/>
      <c r="AD125" s="853"/>
      <c r="AE125" s="185"/>
      <c r="AF125" s="186"/>
      <c r="AG125" s="3381" t="s">
        <v>153</v>
      </c>
      <c r="AH125" s="9318"/>
    </row>
    <row r="126" spans="1:34" ht="18" customHeight="1">
      <c r="A126" s="9392"/>
      <c r="B126" s="9398"/>
      <c r="C126" s="9333"/>
      <c r="D126" s="9311"/>
      <c r="E126" s="9311"/>
      <c r="F126" s="9311"/>
      <c r="G126" s="9311"/>
      <c r="H126" s="9311"/>
      <c r="I126" s="9311"/>
      <c r="J126" s="9311"/>
      <c r="K126" s="9311"/>
      <c r="L126" s="9311"/>
      <c r="M126" s="9313"/>
      <c r="N126" s="9313"/>
      <c r="O126" s="9313"/>
      <c r="P126" s="9311"/>
      <c r="Q126" s="9311"/>
      <c r="R126" s="9315"/>
      <c r="S126" s="748"/>
      <c r="T126" s="6305"/>
      <c r="U126" s="6305"/>
      <c r="V126" s="3173" t="s">
        <v>963</v>
      </c>
      <c r="W126" s="4866">
        <v>150</v>
      </c>
      <c r="X126" s="3226" t="s">
        <v>180</v>
      </c>
      <c r="Y126" s="4907">
        <v>2.5117500000000001</v>
      </c>
      <c r="Z126" s="4907">
        <f t="shared" si="22"/>
        <v>376.76250000000005</v>
      </c>
      <c r="AA126" s="4907">
        <f t="shared" si="23"/>
        <v>376.76250000000005</v>
      </c>
      <c r="AB126" s="4911"/>
      <c r="AC126" s="4880"/>
      <c r="AD126" s="853"/>
      <c r="AE126" s="185"/>
      <c r="AF126" s="186"/>
      <c r="AG126" s="3381" t="s">
        <v>153</v>
      </c>
      <c r="AH126" s="9318"/>
    </row>
    <row r="127" spans="1:34" ht="18" customHeight="1">
      <c r="A127" s="9392"/>
      <c r="B127" s="9398"/>
      <c r="C127" s="9333"/>
      <c r="D127" s="9311"/>
      <c r="E127" s="9311"/>
      <c r="F127" s="9311"/>
      <c r="G127" s="9311"/>
      <c r="H127" s="9311"/>
      <c r="I127" s="9311"/>
      <c r="J127" s="9311"/>
      <c r="K127" s="9311"/>
      <c r="L127" s="9311"/>
      <c r="M127" s="9313"/>
      <c r="N127" s="9313"/>
      <c r="O127" s="9313"/>
      <c r="P127" s="9311"/>
      <c r="Q127" s="9311"/>
      <c r="R127" s="9315"/>
      <c r="S127" s="748"/>
      <c r="T127" s="6305"/>
      <c r="U127" s="6305"/>
      <c r="V127" s="3173" t="s">
        <v>964</v>
      </c>
      <c r="W127" s="4866">
        <v>300</v>
      </c>
      <c r="X127" s="3226" t="s">
        <v>180</v>
      </c>
      <c r="Y127" s="4907">
        <v>10.199999999999999</v>
      </c>
      <c r="Z127" s="4907">
        <f t="shared" si="22"/>
        <v>3060</v>
      </c>
      <c r="AA127" s="4907">
        <f t="shared" si="23"/>
        <v>3060</v>
      </c>
      <c r="AB127" s="4911"/>
      <c r="AC127" s="4880"/>
      <c r="AD127" s="853"/>
      <c r="AE127" s="185"/>
      <c r="AF127" s="186"/>
      <c r="AG127" s="3381" t="s">
        <v>153</v>
      </c>
      <c r="AH127" s="9318"/>
    </row>
    <row r="128" spans="1:34" ht="18" customHeight="1">
      <c r="A128" s="9392"/>
      <c r="B128" s="9398"/>
      <c r="C128" s="9333"/>
      <c r="D128" s="9311"/>
      <c r="E128" s="9311"/>
      <c r="F128" s="9311"/>
      <c r="G128" s="9311"/>
      <c r="H128" s="9311"/>
      <c r="I128" s="9311"/>
      <c r="J128" s="9311"/>
      <c r="K128" s="9311"/>
      <c r="L128" s="9311"/>
      <c r="M128" s="9313"/>
      <c r="N128" s="9313"/>
      <c r="O128" s="9313"/>
      <c r="P128" s="9311"/>
      <c r="Q128" s="9311"/>
      <c r="R128" s="9315"/>
      <c r="S128" s="748"/>
      <c r="T128" s="6305"/>
      <c r="U128" s="6305"/>
      <c r="V128" s="3173" t="s">
        <v>965</v>
      </c>
      <c r="W128" s="4866">
        <v>2000</v>
      </c>
      <c r="X128" s="3226" t="s">
        <v>180</v>
      </c>
      <c r="Y128" s="4907">
        <v>0.14450000000000002</v>
      </c>
      <c r="Z128" s="4907">
        <f t="shared" si="22"/>
        <v>289.00000000000006</v>
      </c>
      <c r="AA128" s="4907">
        <f t="shared" si="23"/>
        <v>289.00000000000006</v>
      </c>
      <c r="AB128" s="4911"/>
      <c r="AC128" s="4880"/>
      <c r="AD128" s="853"/>
      <c r="AE128" s="185"/>
      <c r="AF128" s="186"/>
      <c r="AG128" s="3381" t="s">
        <v>153</v>
      </c>
      <c r="AH128" s="9318"/>
    </row>
    <row r="129" spans="1:34" ht="18" customHeight="1">
      <c r="A129" s="9392"/>
      <c r="B129" s="9398"/>
      <c r="C129" s="9333"/>
      <c r="D129" s="9311"/>
      <c r="E129" s="9311"/>
      <c r="F129" s="9311"/>
      <c r="G129" s="9311"/>
      <c r="H129" s="9311"/>
      <c r="I129" s="9311"/>
      <c r="J129" s="9311"/>
      <c r="K129" s="9311"/>
      <c r="L129" s="9311"/>
      <c r="M129" s="9313"/>
      <c r="N129" s="9313"/>
      <c r="O129" s="9313"/>
      <c r="P129" s="9311"/>
      <c r="Q129" s="9311"/>
      <c r="R129" s="9315"/>
      <c r="S129" s="748"/>
      <c r="T129" s="6305"/>
      <c r="U129" s="6305"/>
      <c r="V129" s="3173" t="s">
        <v>966</v>
      </c>
      <c r="W129" s="4866">
        <v>2000</v>
      </c>
      <c r="X129" s="3226" t="s">
        <v>180</v>
      </c>
      <c r="Y129" s="4907">
        <v>0.42499999999999999</v>
      </c>
      <c r="Z129" s="4907">
        <f t="shared" si="22"/>
        <v>850</v>
      </c>
      <c r="AA129" s="4907">
        <f t="shared" si="23"/>
        <v>850</v>
      </c>
      <c r="AB129" s="4911"/>
      <c r="AC129" s="4880"/>
      <c r="AD129" s="853"/>
      <c r="AE129" s="185"/>
      <c r="AF129" s="186"/>
      <c r="AG129" s="3381" t="s">
        <v>153</v>
      </c>
      <c r="AH129" s="9318"/>
    </row>
    <row r="130" spans="1:34" ht="18" customHeight="1">
      <c r="A130" s="9392"/>
      <c r="B130" s="9398"/>
      <c r="C130" s="9333"/>
      <c r="D130" s="9311"/>
      <c r="E130" s="9311"/>
      <c r="F130" s="9311"/>
      <c r="G130" s="9311"/>
      <c r="H130" s="9311"/>
      <c r="I130" s="9311"/>
      <c r="J130" s="9311"/>
      <c r="K130" s="9311"/>
      <c r="L130" s="9311"/>
      <c r="M130" s="9313"/>
      <c r="N130" s="9313"/>
      <c r="O130" s="9313"/>
      <c r="P130" s="9311"/>
      <c r="Q130" s="9311"/>
      <c r="R130" s="9315"/>
      <c r="S130" s="748"/>
      <c r="T130" s="6305"/>
      <c r="U130" s="6305"/>
      <c r="V130" s="3173" t="s">
        <v>967</v>
      </c>
      <c r="W130" s="4866">
        <v>2000</v>
      </c>
      <c r="X130" s="3226" t="s">
        <v>180</v>
      </c>
      <c r="Y130" s="4907">
        <v>0.26350000000000001</v>
      </c>
      <c r="Z130" s="4907">
        <f t="shared" si="22"/>
        <v>527</v>
      </c>
      <c r="AA130" s="4907">
        <f t="shared" si="23"/>
        <v>527</v>
      </c>
      <c r="AB130" s="4911"/>
      <c r="AC130" s="4880"/>
      <c r="AD130" s="853"/>
      <c r="AE130" s="185"/>
      <c r="AF130" s="186"/>
      <c r="AG130" s="3381" t="s">
        <v>153</v>
      </c>
      <c r="AH130" s="9318"/>
    </row>
    <row r="131" spans="1:34" ht="18" customHeight="1">
      <c r="A131" s="9392"/>
      <c r="B131" s="9398"/>
      <c r="C131" s="9333"/>
      <c r="D131" s="9311"/>
      <c r="E131" s="9311"/>
      <c r="F131" s="9311"/>
      <c r="G131" s="9311"/>
      <c r="H131" s="9311"/>
      <c r="I131" s="9311"/>
      <c r="J131" s="9311"/>
      <c r="K131" s="9311"/>
      <c r="L131" s="9311"/>
      <c r="M131" s="9313"/>
      <c r="N131" s="9313"/>
      <c r="O131" s="9313"/>
      <c r="P131" s="9311"/>
      <c r="Q131" s="9311"/>
      <c r="R131" s="9315"/>
      <c r="S131" s="748"/>
      <c r="T131" s="6305"/>
      <c r="U131" s="6305"/>
      <c r="V131" s="3173" t="s">
        <v>968</v>
      </c>
      <c r="W131" s="4866">
        <v>1000</v>
      </c>
      <c r="X131" s="3226" t="s">
        <v>180</v>
      </c>
      <c r="Y131" s="4907">
        <v>0.42499999999999999</v>
      </c>
      <c r="Z131" s="4907">
        <f t="shared" si="22"/>
        <v>425</v>
      </c>
      <c r="AA131" s="4907">
        <f t="shared" si="23"/>
        <v>425</v>
      </c>
      <c r="AB131" s="4911"/>
      <c r="AC131" s="4880"/>
      <c r="AD131" s="853"/>
      <c r="AE131" s="185"/>
      <c r="AF131" s="186"/>
      <c r="AG131" s="3381" t="s">
        <v>153</v>
      </c>
      <c r="AH131" s="9318"/>
    </row>
    <row r="132" spans="1:34" ht="18" customHeight="1">
      <c r="A132" s="9392"/>
      <c r="B132" s="9398"/>
      <c r="C132" s="9333"/>
      <c r="D132" s="9311"/>
      <c r="E132" s="9311"/>
      <c r="F132" s="9311"/>
      <c r="G132" s="9311"/>
      <c r="H132" s="9311"/>
      <c r="I132" s="9311"/>
      <c r="J132" s="9311"/>
      <c r="K132" s="9311"/>
      <c r="L132" s="9311"/>
      <c r="M132" s="9313"/>
      <c r="N132" s="9313"/>
      <c r="O132" s="9313"/>
      <c r="P132" s="9311"/>
      <c r="Q132" s="9311"/>
      <c r="R132" s="9315"/>
      <c r="S132" s="748"/>
      <c r="T132" s="6305"/>
      <c r="U132" s="6305"/>
      <c r="V132" s="3173" t="s">
        <v>969</v>
      </c>
      <c r="W132" s="4866">
        <v>755</v>
      </c>
      <c r="X132" s="3226" t="s">
        <v>180</v>
      </c>
      <c r="Y132" s="4907">
        <v>5.4060000000000006</v>
      </c>
      <c r="Z132" s="4907">
        <f t="shared" si="22"/>
        <v>4081.5300000000007</v>
      </c>
      <c r="AA132" s="4907">
        <f t="shared" si="23"/>
        <v>4081.5300000000007</v>
      </c>
      <c r="AB132" s="4911"/>
      <c r="AC132" s="4880"/>
      <c r="AD132" s="853"/>
      <c r="AE132" s="185"/>
      <c r="AF132" s="186"/>
      <c r="AG132" s="3381" t="s">
        <v>153</v>
      </c>
      <c r="AH132" s="9318"/>
    </row>
    <row r="133" spans="1:34" ht="18" customHeight="1">
      <c r="A133" s="9392"/>
      <c r="B133" s="9398"/>
      <c r="C133" s="9333"/>
      <c r="D133" s="9311"/>
      <c r="E133" s="9311"/>
      <c r="F133" s="9311"/>
      <c r="G133" s="9311"/>
      <c r="H133" s="9311"/>
      <c r="I133" s="9311"/>
      <c r="J133" s="9311"/>
      <c r="K133" s="9311"/>
      <c r="L133" s="9311"/>
      <c r="M133" s="9313"/>
      <c r="N133" s="9313"/>
      <c r="O133" s="9313"/>
      <c r="P133" s="9311"/>
      <c r="Q133" s="9311"/>
      <c r="R133" s="9315"/>
      <c r="S133" s="748"/>
      <c r="T133" s="6305"/>
      <c r="U133" s="6305"/>
      <c r="V133" s="3173" t="s">
        <v>970</v>
      </c>
      <c r="W133" s="4866">
        <v>1000</v>
      </c>
      <c r="X133" s="3226" t="s">
        <v>180</v>
      </c>
      <c r="Y133" s="4907">
        <v>0.41649999999999998</v>
      </c>
      <c r="Z133" s="4907">
        <f t="shared" si="22"/>
        <v>416.5</v>
      </c>
      <c r="AA133" s="4907">
        <f t="shared" si="23"/>
        <v>416.5</v>
      </c>
      <c r="AB133" s="4911"/>
      <c r="AC133" s="4880"/>
      <c r="AD133" s="853"/>
      <c r="AE133" s="185"/>
      <c r="AF133" s="186"/>
      <c r="AG133" s="3381" t="s">
        <v>153</v>
      </c>
      <c r="AH133" s="9318"/>
    </row>
    <row r="134" spans="1:34" ht="18" customHeight="1">
      <c r="A134" s="9392"/>
      <c r="B134" s="9398"/>
      <c r="C134" s="9333"/>
      <c r="D134" s="9311"/>
      <c r="E134" s="9311"/>
      <c r="F134" s="9311"/>
      <c r="G134" s="9311"/>
      <c r="H134" s="9311"/>
      <c r="I134" s="9311"/>
      <c r="J134" s="9311"/>
      <c r="K134" s="9311"/>
      <c r="L134" s="9311"/>
      <c r="M134" s="9313"/>
      <c r="N134" s="9313"/>
      <c r="O134" s="9313"/>
      <c r="P134" s="9311"/>
      <c r="Q134" s="9311"/>
      <c r="R134" s="9315"/>
      <c r="S134" s="748"/>
      <c r="T134" s="6305"/>
      <c r="U134" s="6305"/>
      <c r="V134" s="3173" t="s">
        <v>971</v>
      </c>
      <c r="W134" s="4866">
        <v>2000</v>
      </c>
      <c r="X134" s="3226" t="s">
        <v>180</v>
      </c>
      <c r="Y134" s="4907">
        <v>1.7254999999999998</v>
      </c>
      <c r="Z134" s="4907">
        <f t="shared" si="22"/>
        <v>3450.9999999999995</v>
      </c>
      <c r="AA134" s="4907">
        <f t="shared" si="23"/>
        <v>3450.9999999999995</v>
      </c>
      <c r="AB134" s="4911"/>
      <c r="AC134" s="4880"/>
      <c r="AD134" s="853"/>
      <c r="AE134" s="185"/>
      <c r="AF134" s="186"/>
      <c r="AG134" s="3381" t="s">
        <v>153</v>
      </c>
      <c r="AH134" s="9318"/>
    </row>
    <row r="135" spans="1:34" ht="18" customHeight="1">
      <c r="A135" s="9392"/>
      <c r="B135" s="9398"/>
      <c r="C135" s="9333"/>
      <c r="D135" s="9311"/>
      <c r="E135" s="9311"/>
      <c r="F135" s="9311"/>
      <c r="G135" s="9311"/>
      <c r="H135" s="9311"/>
      <c r="I135" s="9311"/>
      <c r="J135" s="9311"/>
      <c r="K135" s="9311"/>
      <c r="L135" s="9311"/>
      <c r="M135" s="9313"/>
      <c r="N135" s="9313"/>
      <c r="O135" s="9313"/>
      <c r="P135" s="9311"/>
      <c r="Q135" s="9311"/>
      <c r="R135" s="9315"/>
      <c r="S135" s="748"/>
      <c r="T135" s="6305"/>
      <c r="U135" s="6305"/>
      <c r="V135" s="3173" t="s">
        <v>971</v>
      </c>
      <c r="W135" s="4866">
        <v>2000</v>
      </c>
      <c r="X135" s="3226" t="s">
        <v>180</v>
      </c>
      <c r="Y135" s="4907">
        <v>0.90950000000000009</v>
      </c>
      <c r="Z135" s="4907">
        <f t="shared" si="22"/>
        <v>1819.0000000000002</v>
      </c>
      <c r="AA135" s="4907">
        <f t="shared" si="23"/>
        <v>1819.0000000000002</v>
      </c>
      <c r="AB135" s="4911"/>
      <c r="AC135" s="4880"/>
      <c r="AD135" s="853"/>
      <c r="AE135" s="185"/>
      <c r="AF135" s="186"/>
      <c r="AG135" s="3381" t="s">
        <v>153</v>
      </c>
      <c r="AH135" s="9318"/>
    </row>
    <row r="136" spans="1:34" ht="18" customHeight="1">
      <c r="A136" s="9392"/>
      <c r="B136" s="9398"/>
      <c r="C136" s="9333"/>
      <c r="D136" s="9311"/>
      <c r="E136" s="9311"/>
      <c r="F136" s="9311"/>
      <c r="G136" s="9311"/>
      <c r="H136" s="9311"/>
      <c r="I136" s="9311"/>
      <c r="J136" s="9311"/>
      <c r="K136" s="9311"/>
      <c r="L136" s="9311"/>
      <c r="M136" s="9313"/>
      <c r="N136" s="9313"/>
      <c r="O136" s="9313"/>
      <c r="P136" s="9311"/>
      <c r="Q136" s="9311"/>
      <c r="R136" s="9315"/>
      <c r="S136" s="748"/>
      <c r="T136" s="6305"/>
      <c r="U136" s="6305"/>
      <c r="V136" s="3173" t="s">
        <v>972</v>
      </c>
      <c r="W136" s="4866">
        <v>2000</v>
      </c>
      <c r="X136" s="3226" t="s">
        <v>180</v>
      </c>
      <c r="Y136" s="4907">
        <v>2.6435</v>
      </c>
      <c r="Z136" s="4907">
        <f t="shared" si="22"/>
        <v>5287</v>
      </c>
      <c r="AA136" s="4907">
        <f t="shared" si="23"/>
        <v>5287</v>
      </c>
      <c r="AB136" s="4911"/>
      <c r="AC136" s="4880"/>
      <c r="AD136" s="853"/>
      <c r="AE136" s="185"/>
      <c r="AF136" s="186"/>
      <c r="AG136" s="3381" t="s">
        <v>153</v>
      </c>
      <c r="AH136" s="9318"/>
    </row>
    <row r="137" spans="1:34" ht="18" customHeight="1">
      <c r="A137" s="9392"/>
      <c r="B137" s="9398"/>
      <c r="C137" s="9333"/>
      <c r="D137" s="9311"/>
      <c r="E137" s="9311"/>
      <c r="F137" s="9311"/>
      <c r="G137" s="9311"/>
      <c r="H137" s="9311"/>
      <c r="I137" s="9311"/>
      <c r="J137" s="9311"/>
      <c r="K137" s="9311"/>
      <c r="L137" s="9311"/>
      <c r="M137" s="9313"/>
      <c r="N137" s="9313"/>
      <c r="O137" s="9313"/>
      <c r="P137" s="9311"/>
      <c r="Q137" s="9311"/>
      <c r="R137" s="9315"/>
      <c r="S137" s="748"/>
      <c r="T137" s="6305"/>
      <c r="U137" s="6305"/>
      <c r="V137" s="3173" t="s">
        <v>973</v>
      </c>
      <c r="W137" s="4866">
        <v>300</v>
      </c>
      <c r="X137" s="3226" t="s">
        <v>180</v>
      </c>
      <c r="Y137" s="4907">
        <v>12.58</v>
      </c>
      <c r="Z137" s="4907">
        <f t="shared" si="22"/>
        <v>3774</v>
      </c>
      <c r="AA137" s="4907">
        <f t="shared" si="23"/>
        <v>3774</v>
      </c>
      <c r="AB137" s="4911"/>
      <c r="AC137" s="4880"/>
      <c r="AD137" s="853"/>
      <c r="AE137" s="185"/>
      <c r="AF137" s="186"/>
      <c r="AG137" s="3381" t="s">
        <v>153</v>
      </c>
      <c r="AH137" s="9318"/>
    </row>
    <row r="138" spans="1:34" ht="18" customHeight="1">
      <c r="A138" s="9392"/>
      <c r="B138" s="9398"/>
      <c r="C138" s="9333"/>
      <c r="D138" s="9311"/>
      <c r="E138" s="9311"/>
      <c r="F138" s="9311"/>
      <c r="G138" s="9311"/>
      <c r="H138" s="9311"/>
      <c r="I138" s="9311"/>
      <c r="J138" s="9311"/>
      <c r="K138" s="9311"/>
      <c r="L138" s="9311"/>
      <c r="M138" s="9313"/>
      <c r="N138" s="9313"/>
      <c r="O138" s="9313"/>
      <c r="P138" s="9311"/>
      <c r="Q138" s="9311"/>
      <c r="R138" s="9315"/>
      <c r="S138" s="748"/>
      <c r="T138" s="6305"/>
      <c r="U138" s="6305"/>
      <c r="V138" s="3173" t="s">
        <v>974</v>
      </c>
      <c r="W138" s="4866">
        <v>300</v>
      </c>
      <c r="X138" s="3226" t="s">
        <v>180</v>
      </c>
      <c r="Y138" s="4907">
        <v>5.0999999999999996</v>
      </c>
      <c r="Z138" s="4907">
        <f t="shared" si="22"/>
        <v>1530</v>
      </c>
      <c r="AA138" s="4907">
        <f t="shared" si="23"/>
        <v>1530</v>
      </c>
      <c r="AB138" s="4911"/>
      <c r="AC138" s="4880"/>
      <c r="AD138" s="853"/>
      <c r="AE138" s="185"/>
      <c r="AF138" s="186"/>
      <c r="AG138" s="3381" t="s">
        <v>153</v>
      </c>
      <c r="AH138" s="9318"/>
    </row>
    <row r="139" spans="1:34" ht="18" customHeight="1">
      <c r="A139" s="9392"/>
      <c r="B139" s="9398"/>
      <c r="C139" s="9333"/>
      <c r="D139" s="9311"/>
      <c r="E139" s="9311"/>
      <c r="F139" s="9311"/>
      <c r="G139" s="9311"/>
      <c r="H139" s="9311"/>
      <c r="I139" s="9311"/>
      <c r="J139" s="9311"/>
      <c r="K139" s="9311"/>
      <c r="L139" s="9311"/>
      <c r="M139" s="9313"/>
      <c r="N139" s="9313"/>
      <c r="O139" s="9313"/>
      <c r="P139" s="9311"/>
      <c r="Q139" s="9311"/>
      <c r="R139" s="9315"/>
      <c r="S139" s="748"/>
      <c r="T139" s="6305"/>
      <c r="U139" s="6305"/>
      <c r="V139" s="3173" t="s">
        <v>975</v>
      </c>
      <c r="W139" s="4866">
        <v>1000</v>
      </c>
      <c r="X139" s="3226" t="s">
        <v>180</v>
      </c>
      <c r="Y139" s="4907">
        <v>0.84150000000000003</v>
      </c>
      <c r="Z139" s="4907">
        <f t="shared" si="22"/>
        <v>841.5</v>
      </c>
      <c r="AA139" s="4907">
        <f t="shared" si="23"/>
        <v>841.5</v>
      </c>
      <c r="AB139" s="4911"/>
      <c r="AC139" s="4880"/>
      <c r="AD139" s="853"/>
      <c r="AE139" s="185"/>
      <c r="AF139" s="186"/>
      <c r="AG139" s="3381" t="s">
        <v>153</v>
      </c>
      <c r="AH139" s="9318"/>
    </row>
    <row r="140" spans="1:34" ht="18" customHeight="1">
      <c r="A140" s="9392"/>
      <c r="B140" s="9398"/>
      <c r="C140" s="9333"/>
      <c r="D140" s="9311"/>
      <c r="E140" s="9311"/>
      <c r="F140" s="9311"/>
      <c r="G140" s="9311"/>
      <c r="H140" s="9311"/>
      <c r="I140" s="9311"/>
      <c r="J140" s="9311"/>
      <c r="K140" s="9311"/>
      <c r="L140" s="9311"/>
      <c r="M140" s="9313"/>
      <c r="N140" s="9313"/>
      <c r="O140" s="9313"/>
      <c r="P140" s="9311"/>
      <c r="Q140" s="9311"/>
      <c r="R140" s="9315"/>
      <c r="S140" s="748"/>
      <c r="T140" s="6305"/>
      <c r="U140" s="6305"/>
      <c r="V140" s="3173" t="s">
        <v>976</v>
      </c>
      <c r="W140" s="4866">
        <v>1000</v>
      </c>
      <c r="X140" s="3226" t="s">
        <v>180</v>
      </c>
      <c r="Y140" s="4907">
        <v>1.8785000000000001</v>
      </c>
      <c r="Z140" s="4907">
        <f t="shared" si="22"/>
        <v>1878.5</v>
      </c>
      <c r="AA140" s="4907">
        <f t="shared" si="23"/>
        <v>1878.5</v>
      </c>
      <c r="AB140" s="4911"/>
      <c r="AC140" s="4880"/>
      <c r="AD140" s="853"/>
      <c r="AE140" s="185"/>
      <c r="AF140" s="186"/>
      <c r="AG140" s="3381" t="s">
        <v>153</v>
      </c>
      <c r="AH140" s="9318"/>
    </row>
    <row r="141" spans="1:34" ht="18" customHeight="1">
      <c r="A141" s="9392"/>
      <c r="B141" s="9398"/>
      <c r="C141" s="9333"/>
      <c r="D141" s="9311"/>
      <c r="E141" s="9311"/>
      <c r="F141" s="9311"/>
      <c r="G141" s="9311"/>
      <c r="H141" s="9311"/>
      <c r="I141" s="9311"/>
      <c r="J141" s="9311"/>
      <c r="K141" s="9311"/>
      <c r="L141" s="9311"/>
      <c r="M141" s="9313"/>
      <c r="N141" s="9313"/>
      <c r="O141" s="9313"/>
      <c r="P141" s="9311"/>
      <c r="Q141" s="9311"/>
      <c r="R141" s="9315"/>
      <c r="S141" s="748"/>
      <c r="T141" s="6305"/>
      <c r="U141" s="6305"/>
      <c r="V141" s="3173" t="s">
        <v>977</v>
      </c>
      <c r="W141" s="4866">
        <v>2000</v>
      </c>
      <c r="X141" s="3226" t="s">
        <v>180</v>
      </c>
      <c r="Y141" s="4907">
        <v>0.187</v>
      </c>
      <c r="Z141" s="4907">
        <f t="shared" si="22"/>
        <v>374</v>
      </c>
      <c r="AA141" s="4907">
        <f t="shared" si="23"/>
        <v>374</v>
      </c>
      <c r="AB141" s="4911"/>
      <c r="AC141" s="4880"/>
      <c r="AD141" s="853"/>
      <c r="AE141" s="185"/>
      <c r="AF141" s="186"/>
      <c r="AG141" s="3381" t="s">
        <v>153</v>
      </c>
      <c r="AH141" s="9318"/>
    </row>
    <row r="142" spans="1:34" ht="18" customHeight="1">
      <c r="A142" s="9392"/>
      <c r="B142" s="9398"/>
      <c r="C142" s="9333"/>
      <c r="D142" s="9311"/>
      <c r="E142" s="9311"/>
      <c r="F142" s="9311"/>
      <c r="G142" s="9311"/>
      <c r="H142" s="9311"/>
      <c r="I142" s="9311"/>
      <c r="J142" s="9311"/>
      <c r="K142" s="9311"/>
      <c r="L142" s="9311"/>
      <c r="M142" s="9313"/>
      <c r="N142" s="9313"/>
      <c r="O142" s="9313"/>
      <c r="P142" s="9311"/>
      <c r="Q142" s="9311"/>
      <c r="R142" s="9315"/>
      <c r="S142" s="748"/>
      <c r="T142" s="6305"/>
      <c r="U142" s="6305"/>
      <c r="V142" s="3173" t="s">
        <v>978</v>
      </c>
      <c r="W142" s="4866">
        <v>2000</v>
      </c>
      <c r="X142" s="3226" t="s">
        <v>180</v>
      </c>
      <c r="Y142" s="4907">
        <v>5.9500000000000004E-2</v>
      </c>
      <c r="Z142" s="4907">
        <f t="shared" si="22"/>
        <v>119.00000000000001</v>
      </c>
      <c r="AA142" s="4907">
        <f t="shared" si="23"/>
        <v>119.00000000000001</v>
      </c>
      <c r="AB142" s="4911"/>
      <c r="AC142" s="4880"/>
      <c r="AD142" s="853"/>
      <c r="AE142" s="185"/>
      <c r="AF142" s="186"/>
      <c r="AG142" s="3381" t="s">
        <v>153</v>
      </c>
      <c r="AH142" s="9318"/>
    </row>
    <row r="143" spans="1:34" ht="18" customHeight="1">
      <c r="A143" s="9392"/>
      <c r="B143" s="9398"/>
      <c r="C143" s="9333"/>
      <c r="D143" s="9311"/>
      <c r="E143" s="9311"/>
      <c r="F143" s="9311"/>
      <c r="G143" s="9311"/>
      <c r="H143" s="9311"/>
      <c r="I143" s="9311"/>
      <c r="J143" s="9311"/>
      <c r="K143" s="9311"/>
      <c r="L143" s="9311"/>
      <c r="M143" s="9313"/>
      <c r="N143" s="9313"/>
      <c r="O143" s="9313"/>
      <c r="P143" s="9311"/>
      <c r="Q143" s="9311"/>
      <c r="R143" s="9315"/>
      <c r="S143" s="748"/>
      <c r="T143" s="6305"/>
      <c r="U143" s="6305"/>
      <c r="V143" s="3173" t="s">
        <v>979</v>
      </c>
      <c r="W143" s="4866">
        <v>2000</v>
      </c>
      <c r="X143" s="3226" t="s">
        <v>180</v>
      </c>
      <c r="Y143" s="4907">
        <v>0.51</v>
      </c>
      <c r="Z143" s="4907">
        <f t="shared" si="22"/>
        <v>1020</v>
      </c>
      <c r="AA143" s="4907">
        <f t="shared" si="23"/>
        <v>1020</v>
      </c>
      <c r="AB143" s="4911"/>
      <c r="AC143" s="4880"/>
      <c r="AD143" s="853"/>
      <c r="AE143" s="185"/>
      <c r="AF143" s="186"/>
      <c r="AG143" s="3381" t="s">
        <v>153</v>
      </c>
      <c r="AH143" s="9318"/>
    </row>
    <row r="144" spans="1:34" ht="18" customHeight="1">
      <c r="A144" s="9392"/>
      <c r="B144" s="9398"/>
      <c r="C144" s="9395"/>
      <c r="D144" s="9312"/>
      <c r="E144" s="9312"/>
      <c r="F144" s="9312"/>
      <c r="G144" s="9312"/>
      <c r="H144" s="9312"/>
      <c r="I144" s="9312"/>
      <c r="J144" s="9312"/>
      <c r="K144" s="9312"/>
      <c r="L144" s="9312"/>
      <c r="M144" s="9314"/>
      <c r="N144" s="9314"/>
      <c r="O144" s="9314"/>
      <c r="P144" s="9312"/>
      <c r="Q144" s="9312"/>
      <c r="R144" s="9316"/>
      <c r="S144" s="827"/>
      <c r="T144" s="6336"/>
      <c r="U144" s="6336"/>
      <c r="V144" s="4283" t="s">
        <v>980</v>
      </c>
      <c r="W144" s="6377">
        <v>2000</v>
      </c>
      <c r="X144" s="4284" t="s">
        <v>180</v>
      </c>
      <c r="Y144" s="6410">
        <v>0.85</v>
      </c>
      <c r="Z144" s="6410">
        <f t="shared" si="22"/>
        <v>1700</v>
      </c>
      <c r="AA144" s="6410">
        <f t="shared" si="23"/>
        <v>1700</v>
      </c>
      <c r="AB144" s="6405"/>
      <c r="AC144" s="6428"/>
      <c r="AD144" s="856"/>
      <c r="AE144" s="187"/>
      <c r="AF144" s="187"/>
      <c r="AG144" s="4285" t="s">
        <v>153</v>
      </c>
      <c r="AH144" s="9319"/>
    </row>
    <row r="145" spans="1:34" ht="32.25" customHeight="1">
      <c r="A145" s="9392"/>
      <c r="B145" s="9398"/>
      <c r="C145" s="9400" t="s">
        <v>127</v>
      </c>
      <c r="D145" s="9167" t="s">
        <v>128</v>
      </c>
      <c r="E145" s="9167" t="s">
        <v>129</v>
      </c>
      <c r="F145" s="9167" t="s">
        <v>130</v>
      </c>
      <c r="G145" s="9320" t="s">
        <v>131</v>
      </c>
      <c r="H145" s="9167" t="s">
        <v>132</v>
      </c>
      <c r="I145" s="9167" t="s">
        <v>159</v>
      </c>
      <c r="J145" s="9262" t="s">
        <v>981</v>
      </c>
      <c r="K145" s="9167" t="s">
        <v>982</v>
      </c>
      <c r="L145" s="9167" t="s">
        <v>890</v>
      </c>
      <c r="M145" s="8979">
        <v>1</v>
      </c>
      <c r="N145" s="8979">
        <v>0</v>
      </c>
      <c r="O145" s="8979">
        <v>1</v>
      </c>
      <c r="P145" s="9262" t="s">
        <v>983</v>
      </c>
      <c r="Q145" s="9262" t="s">
        <v>892</v>
      </c>
      <c r="R145" s="9263" t="s">
        <v>893</v>
      </c>
      <c r="S145" s="842"/>
      <c r="T145" s="6337"/>
      <c r="U145" s="6337"/>
      <c r="V145" s="843"/>
      <c r="W145" s="6378"/>
      <c r="X145" s="183"/>
      <c r="Y145" s="6408"/>
      <c r="Z145" s="6408"/>
      <c r="AA145" s="6408"/>
      <c r="AB145" s="6409"/>
      <c r="AC145" s="6430"/>
      <c r="AD145" s="857"/>
      <c r="AE145" s="183"/>
      <c r="AF145" s="184"/>
      <c r="AG145" s="184"/>
      <c r="AH145" s="9317"/>
    </row>
    <row r="146" spans="1:34" ht="32.25" customHeight="1">
      <c r="A146" s="9392"/>
      <c r="B146" s="9398"/>
      <c r="C146" s="9333"/>
      <c r="D146" s="9311"/>
      <c r="E146" s="9311"/>
      <c r="F146" s="9311"/>
      <c r="G146" s="9311"/>
      <c r="H146" s="9311"/>
      <c r="I146" s="9311"/>
      <c r="J146" s="9311"/>
      <c r="K146" s="9311"/>
      <c r="L146" s="9311"/>
      <c r="M146" s="9313"/>
      <c r="N146" s="9313"/>
      <c r="O146" s="9313"/>
      <c r="P146" s="9311"/>
      <c r="Q146" s="9311"/>
      <c r="R146" s="9315"/>
      <c r="S146" s="824"/>
      <c r="T146" s="6338"/>
      <c r="U146" s="6338"/>
      <c r="V146" s="771"/>
      <c r="W146" s="6359"/>
      <c r="X146" s="185"/>
      <c r="Y146" s="6396"/>
      <c r="Z146" s="6396"/>
      <c r="AA146" s="6396"/>
      <c r="AB146" s="6397"/>
      <c r="AC146" s="4817"/>
      <c r="AD146" s="853"/>
      <c r="AE146" s="185"/>
      <c r="AF146" s="186"/>
      <c r="AG146" s="186"/>
      <c r="AH146" s="9318"/>
    </row>
    <row r="147" spans="1:34" ht="32.25" customHeight="1">
      <c r="A147" s="9392"/>
      <c r="B147" s="9398"/>
      <c r="C147" s="9333"/>
      <c r="D147" s="9311"/>
      <c r="E147" s="9311"/>
      <c r="F147" s="9311"/>
      <c r="G147" s="9311"/>
      <c r="H147" s="9311"/>
      <c r="I147" s="9311"/>
      <c r="J147" s="9311"/>
      <c r="K147" s="9311"/>
      <c r="L147" s="9311"/>
      <c r="M147" s="9313"/>
      <c r="N147" s="9313"/>
      <c r="O147" s="9313"/>
      <c r="P147" s="9311"/>
      <c r="Q147" s="9311"/>
      <c r="R147" s="9315"/>
      <c r="S147" s="824"/>
      <c r="T147" s="6338"/>
      <c r="U147" s="6338"/>
      <c r="V147" s="771"/>
      <c r="W147" s="6359"/>
      <c r="X147" s="185"/>
      <c r="Y147" s="6396"/>
      <c r="Z147" s="6396"/>
      <c r="AA147" s="6396"/>
      <c r="AB147" s="6397"/>
      <c r="AC147" s="4817"/>
      <c r="AD147" s="853"/>
      <c r="AE147" s="185"/>
      <c r="AF147" s="186"/>
      <c r="AG147" s="186"/>
      <c r="AH147" s="9318"/>
    </row>
    <row r="148" spans="1:34" ht="32.25" customHeight="1">
      <c r="A148" s="9392"/>
      <c r="B148" s="9398"/>
      <c r="C148" s="9333"/>
      <c r="D148" s="9311"/>
      <c r="E148" s="9311"/>
      <c r="F148" s="9311"/>
      <c r="G148" s="9311"/>
      <c r="H148" s="9311"/>
      <c r="I148" s="9311"/>
      <c r="J148" s="9311"/>
      <c r="K148" s="9311"/>
      <c r="L148" s="9311"/>
      <c r="M148" s="9313"/>
      <c r="N148" s="9313"/>
      <c r="O148" s="9313"/>
      <c r="P148" s="9311"/>
      <c r="Q148" s="9311"/>
      <c r="R148" s="9315"/>
      <c r="S148" s="824"/>
      <c r="T148" s="6338"/>
      <c r="U148" s="6338"/>
      <c r="V148" s="771"/>
      <c r="W148" s="6359"/>
      <c r="X148" s="185"/>
      <c r="Y148" s="6396"/>
      <c r="Z148" s="6396"/>
      <c r="AA148" s="6396"/>
      <c r="AB148" s="6397"/>
      <c r="AC148" s="4817"/>
      <c r="AD148" s="853"/>
      <c r="AE148" s="185"/>
      <c r="AF148" s="186"/>
      <c r="AG148" s="186"/>
      <c r="AH148" s="9318"/>
    </row>
    <row r="149" spans="1:34" ht="32.25" customHeight="1">
      <c r="A149" s="9392"/>
      <c r="B149" s="9398"/>
      <c r="C149" s="9333"/>
      <c r="D149" s="9311"/>
      <c r="E149" s="9311"/>
      <c r="F149" s="9311"/>
      <c r="G149" s="9311"/>
      <c r="H149" s="9311"/>
      <c r="I149" s="9311"/>
      <c r="J149" s="9311"/>
      <c r="K149" s="9311"/>
      <c r="L149" s="9311"/>
      <c r="M149" s="9313"/>
      <c r="N149" s="9313"/>
      <c r="O149" s="9313"/>
      <c r="P149" s="9311"/>
      <c r="Q149" s="9311"/>
      <c r="R149" s="9315"/>
      <c r="S149" s="826"/>
      <c r="T149" s="6339"/>
      <c r="U149" s="6339"/>
      <c r="V149" s="778"/>
      <c r="W149" s="6379"/>
      <c r="X149" s="181"/>
      <c r="Y149" s="6411"/>
      <c r="Z149" s="6411"/>
      <c r="AA149" s="6411"/>
      <c r="AB149" s="6412"/>
      <c r="AC149" s="6431"/>
      <c r="AD149" s="854"/>
      <c r="AE149" s="181"/>
      <c r="AF149" s="345"/>
      <c r="AG149" s="345"/>
      <c r="AH149" s="9340"/>
    </row>
    <row r="150" spans="1:34" ht="32.25" customHeight="1">
      <c r="A150" s="9392"/>
      <c r="B150" s="9398"/>
      <c r="C150" s="9332" t="s">
        <v>127</v>
      </c>
      <c r="D150" s="9258" t="s">
        <v>128</v>
      </c>
      <c r="E150" s="9258" t="s">
        <v>129</v>
      </c>
      <c r="F150" s="9258" t="s">
        <v>130</v>
      </c>
      <c r="G150" s="9335" t="s">
        <v>131</v>
      </c>
      <c r="H150" s="9258" t="s">
        <v>132</v>
      </c>
      <c r="I150" s="9258" t="s">
        <v>159</v>
      </c>
      <c r="J150" s="9336" t="s">
        <v>984</v>
      </c>
      <c r="K150" s="9258" t="s">
        <v>985</v>
      </c>
      <c r="L150" s="9258" t="s">
        <v>867</v>
      </c>
      <c r="M150" s="8975">
        <v>1</v>
      </c>
      <c r="N150" s="8975">
        <v>0</v>
      </c>
      <c r="O150" s="8975">
        <v>1</v>
      </c>
      <c r="P150" s="9255" t="s">
        <v>986</v>
      </c>
      <c r="Q150" s="9258" t="s">
        <v>987</v>
      </c>
      <c r="R150" s="9277" t="s">
        <v>870</v>
      </c>
      <c r="S150" s="823"/>
      <c r="T150" s="6340"/>
      <c r="U150" s="6340"/>
      <c r="V150" s="837"/>
      <c r="W150" s="6370"/>
      <c r="X150" s="188"/>
      <c r="Y150" s="6400"/>
      <c r="Z150" s="6400"/>
      <c r="AA150" s="6400"/>
      <c r="AB150" s="6401"/>
      <c r="AC150" s="6426"/>
      <c r="AD150" s="855"/>
      <c r="AE150" s="188"/>
      <c r="AF150" s="189"/>
      <c r="AG150" s="189"/>
      <c r="AH150" s="9324"/>
    </row>
    <row r="151" spans="1:34" ht="32.25" customHeight="1">
      <c r="A151" s="9392"/>
      <c r="B151" s="9398"/>
      <c r="C151" s="9333"/>
      <c r="D151" s="9311"/>
      <c r="E151" s="9311"/>
      <c r="F151" s="9311"/>
      <c r="G151" s="9311"/>
      <c r="H151" s="9311"/>
      <c r="I151" s="9311"/>
      <c r="J151" s="9311"/>
      <c r="K151" s="9311"/>
      <c r="L151" s="9311"/>
      <c r="M151" s="9313"/>
      <c r="N151" s="9313"/>
      <c r="O151" s="9313"/>
      <c r="P151" s="9311"/>
      <c r="Q151" s="9311"/>
      <c r="R151" s="9315"/>
      <c r="S151" s="824"/>
      <c r="T151" s="6338"/>
      <c r="U151" s="6338"/>
      <c r="V151" s="771"/>
      <c r="W151" s="6359"/>
      <c r="X151" s="185"/>
      <c r="Y151" s="6396"/>
      <c r="Z151" s="6396"/>
      <c r="AA151" s="6396"/>
      <c r="AB151" s="6397"/>
      <c r="AC151" s="4817"/>
      <c r="AD151" s="853"/>
      <c r="AE151" s="185"/>
      <c r="AF151" s="186"/>
      <c r="AG151" s="186"/>
      <c r="AH151" s="9318"/>
    </row>
    <row r="152" spans="1:34" ht="32.25" customHeight="1">
      <c r="A152" s="9392"/>
      <c r="B152" s="9398"/>
      <c r="C152" s="9333"/>
      <c r="D152" s="9311"/>
      <c r="E152" s="9311"/>
      <c r="F152" s="9311"/>
      <c r="G152" s="9311"/>
      <c r="H152" s="9311"/>
      <c r="I152" s="9311"/>
      <c r="J152" s="9311"/>
      <c r="K152" s="9311"/>
      <c r="L152" s="9311"/>
      <c r="M152" s="9313"/>
      <c r="N152" s="9313"/>
      <c r="O152" s="9313"/>
      <c r="P152" s="9311"/>
      <c r="Q152" s="9311"/>
      <c r="R152" s="9315"/>
      <c r="S152" s="824"/>
      <c r="T152" s="6338"/>
      <c r="U152" s="6338"/>
      <c r="V152" s="771"/>
      <c r="W152" s="6359"/>
      <c r="X152" s="185"/>
      <c r="Y152" s="6396"/>
      <c r="Z152" s="6396"/>
      <c r="AA152" s="6396"/>
      <c r="AB152" s="6397"/>
      <c r="AC152" s="4817"/>
      <c r="AD152" s="853"/>
      <c r="AE152" s="185"/>
      <c r="AF152" s="186"/>
      <c r="AG152" s="186"/>
      <c r="AH152" s="9318"/>
    </row>
    <row r="153" spans="1:34" ht="32.25" customHeight="1">
      <c r="A153" s="9392"/>
      <c r="B153" s="9398"/>
      <c r="C153" s="9333"/>
      <c r="D153" s="9311"/>
      <c r="E153" s="9311"/>
      <c r="F153" s="9311"/>
      <c r="G153" s="9311"/>
      <c r="H153" s="9311"/>
      <c r="I153" s="9311"/>
      <c r="J153" s="9311"/>
      <c r="K153" s="9311"/>
      <c r="L153" s="9311"/>
      <c r="M153" s="9313"/>
      <c r="N153" s="9313"/>
      <c r="O153" s="9313"/>
      <c r="P153" s="9311"/>
      <c r="Q153" s="9311"/>
      <c r="R153" s="9315"/>
      <c r="S153" s="824"/>
      <c r="T153" s="6338"/>
      <c r="U153" s="6338"/>
      <c r="V153" s="771"/>
      <c r="W153" s="6359"/>
      <c r="X153" s="185"/>
      <c r="Y153" s="6396"/>
      <c r="Z153" s="6396"/>
      <c r="AA153" s="6396"/>
      <c r="AB153" s="6397"/>
      <c r="AC153" s="4817"/>
      <c r="AD153" s="853"/>
      <c r="AE153" s="185"/>
      <c r="AF153" s="186"/>
      <c r="AG153" s="186"/>
      <c r="AH153" s="9318"/>
    </row>
    <row r="154" spans="1:34" ht="32.25" customHeight="1">
      <c r="A154" s="9392"/>
      <c r="B154" s="9398"/>
      <c r="C154" s="9395"/>
      <c r="D154" s="9312"/>
      <c r="E154" s="9312"/>
      <c r="F154" s="9312"/>
      <c r="G154" s="9312"/>
      <c r="H154" s="9312"/>
      <c r="I154" s="9312"/>
      <c r="J154" s="9312"/>
      <c r="K154" s="9312"/>
      <c r="L154" s="9312"/>
      <c r="M154" s="9314"/>
      <c r="N154" s="9314"/>
      <c r="O154" s="9314"/>
      <c r="P154" s="9312"/>
      <c r="Q154" s="9312"/>
      <c r="R154" s="9316"/>
      <c r="S154" s="827"/>
      <c r="T154" s="6336"/>
      <c r="U154" s="6336"/>
      <c r="V154" s="772"/>
      <c r="W154" s="6375"/>
      <c r="X154" s="187"/>
      <c r="Y154" s="6404"/>
      <c r="Z154" s="6404"/>
      <c r="AA154" s="6404"/>
      <c r="AB154" s="6405"/>
      <c r="AC154" s="6428"/>
      <c r="AD154" s="856"/>
      <c r="AE154" s="187"/>
      <c r="AF154" s="182"/>
      <c r="AG154" s="182"/>
      <c r="AH154" s="9319"/>
    </row>
    <row r="155" spans="1:34" ht="25.5" customHeight="1">
      <c r="A155" s="9392"/>
      <c r="B155" s="9398"/>
      <c r="C155" s="9400" t="s">
        <v>127</v>
      </c>
      <c r="D155" s="9167" t="s">
        <v>128</v>
      </c>
      <c r="E155" s="9167" t="s">
        <v>129</v>
      </c>
      <c r="F155" s="9167" t="s">
        <v>914</v>
      </c>
      <c r="G155" s="9320" t="s">
        <v>131</v>
      </c>
      <c r="H155" s="9167" t="s">
        <v>132</v>
      </c>
      <c r="I155" s="9167" t="s">
        <v>159</v>
      </c>
      <c r="J155" s="9365" t="s">
        <v>988</v>
      </c>
      <c r="K155" s="9167" t="s">
        <v>989</v>
      </c>
      <c r="L155" s="9167" t="s">
        <v>990</v>
      </c>
      <c r="M155" s="8979">
        <v>1</v>
      </c>
      <c r="N155" s="8979">
        <v>0</v>
      </c>
      <c r="O155" s="8979">
        <v>1</v>
      </c>
      <c r="P155" s="9262" t="s">
        <v>991</v>
      </c>
      <c r="Q155" s="9262" t="s">
        <v>992</v>
      </c>
      <c r="R155" s="9263" t="s">
        <v>993</v>
      </c>
      <c r="S155" s="842"/>
      <c r="T155" s="6337"/>
      <c r="U155" s="6337"/>
      <c r="V155" s="843"/>
      <c r="W155" s="6378"/>
      <c r="X155" s="183"/>
      <c r="Y155" s="6408"/>
      <c r="Z155" s="6408"/>
      <c r="AA155" s="6408"/>
      <c r="AB155" s="6409"/>
      <c r="AC155" s="6430"/>
      <c r="AD155" s="857"/>
      <c r="AE155" s="183"/>
      <c r="AF155" s="184"/>
      <c r="AG155" s="184"/>
      <c r="AH155" s="9317"/>
    </row>
    <row r="156" spans="1:34" ht="25.5" customHeight="1">
      <c r="A156" s="9392"/>
      <c r="B156" s="9398"/>
      <c r="C156" s="9333"/>
      <c r="D156" s="9311"/>
      <c r="E156" s="9311"/>
      <c r="F156" s="9311"/>
      <c r="G156" s="9311"/>
      <c r="H156" s="9311"/>
      <c r="I156" s="9311"/>
      <c r="J156" s="9311"/>
      <c r="K156" s="9311"/>
      <c r="L156" s="9311"/>
      <c r="M156" s="9313"/>
      <c r="N156" s="9313"/>
      <c r="O156" s="9313"/>
      <c r="P156" s="9311"/>
      <c r="Q156" s="9311"/>
      <c r="R156" s="9315"/>
      <c r="S156" s="824"/>
      <c r="T156" s="6338"/>
      <c r="U156" s="6338"/>
      <c r="V156" s="771"/>
      <c r="W156" s="6359"/>
      <c r="X156" s="185"/>
      <c r="Y156" s="6396"/>
      <c r="Z156" s="6396"/>
      <c r="AA156" s="6396"/>
      <c r="AB156" s="6397"/>
      <c r="AC156" s="4817"/>
      <c r="AD156" s="853"/>
      <c r="AE156" s="185"/>
      <c r="AF156" s="186"/>
      <c r="AG156" s="186"/>
      <c r="AH156" s="9318"/>
    </row>
    <row r="157" spans="1:34" ht="25.5" customHeight="1">
      <c r="A157" s="9392"/>
      <c r="B157" s="9398"/>
      <c r="C157" s="9333"/>
      <c r="D157" s="9311"/>
      <c r="E157" s="9311"/>
      <c r="F157" s="9311"/>
      <c r="G157" s="9311"/>
      <c r="H157" s="9311"/>
      <c r="I157" s="9311"/>
      <c r="J157" s="9311"/>
      <c r="K157" s="9311"/>
      <c r="L157" s="9311"/>
      <c r="M157" s="9313"/>
      <c r="N157" s="9313"/>
      <c r="O157" s="9313"/>
      <c r="P157" s="9311"/>
      <c r="Q157" s="9311"/>
      <c r="R157" s="9315"/>
      <c r="S157" s="824"/>
      <c r="T157" s="6338"/>
      <c r="U157" s="6338"/>
      <c r="V157" s="771"/>
      <c r="W157" s="6359"/>
      <c r="X157" s="185"/>
      <c r="Y157" s="6396"/>
      <c r="Z157" s="6396"/>
      <c r="AA157" s="6396"/>
      <c r="AB157" s="6397"/>
      <c r="AC157" s="4817"/>
      <c r="AD157" s="853"/>
      <c r="AE157" s="185"/>
      <c r="AF157" s="186"/>
      <c r="AG157" s="186"/>
      <c r="AH157" s="9318"/>
    </row>
    <row r="158" spans="1:34" ht="25.5" customHeight="1">
      <c r="A158" s="9392"/>
      <c r="B158" s="9398"/>
      <c r="C158" s="9333"/>
      <c r="D158" s="9311"/>
      <c r="E158" s="9311"/>
      <c r="F158" s="9311"/>
      <c r="G158" s="9311"/>
      <c r="H158" s="9311"/>
      <c r="I158" s="9311"/>
      <c r="J158" s="9311"/>
      <c r="K158" s="9311"/>
      <c r="L158" s="9311"/>
      <c r="M158" s="9313"/>
      <c r="N158" s="9313"/>
      <c r="O158" s="9313"/>
      <c r="P158" s="9311"/>
      <c r="Q158" s="9311"/>
      <c r="R158" s="9315"/>
      <c r="S158" s="824"/>
      <c r="T158" s="6338"/>
      <c r="U158" s="6338"/>
      <c r="V158" s="771"/>
      <c r="W158" s="6359"/>
      <c r="X158" s="185"/>
      <c r="Y158" s="6396"/>
      <c r="Z158" s="6396"/>
      <c r="AA158" s="6396"/>
      <c r="AB158" s="6397"/>
      <c r="AC158" s="4817"/>
      <c r="AD158" s="853"/>
      <c r="AE158" s="185"/>
      <c r="AF158" s="186"/>
      <c r="AG158" s="186"/>
      <c r="AH158" s="9318"/>
    </row>
    <row r="159" spans="1:34" ht="25.5" customHeight="1">
      <c r="A159" s="9392"/>
      <c r="B159" s="9398"/>
      <c r="C159" s="9333"/>
      <c r="D159" s="9311"/>
      <c r="E159" s="9311"/>
      <c r="F159" s="9311"/>
      <c r="G159" s="9311"/>
      <c r="H159" s="9311"/>
      <c r="I159" s="9311"/>
      <c r="J159" s="9311"/>
      <c r="K159" s="9311"/>
      <c r="L159" s="9311"/>
      <c r="M159" s="9313"/>
      <c r="N159" s="9313"/>
      <c r="O159" s="9313"/>
      <c r="P159" s="9311"/>
      <c r="Q159" s="9311"/>
      <c r="R159" s="9315"/>
      <c r="S159" s="826"/>
      <c r="T159" s="6339"/>
      <c r="U159" s="6339"/>
      <c r="V159" s="778"/>
      <c r="W159" s="6379"/>
      <c r="X159" s="181"/>
      <c r="Y159" s="6411"/>
      <c r="Z159" s="6411"/>
      <c r="AA159" s="6411"/>
      <c r="AB159" s="6412"/>
      <c r="AC159" s="6431"/>
      <c r="AD159" s="854"/>
      <c r="AE159" s="181"/>
      <c r="AF159" s="345"/>
      <c r="AG159" s="345"/>
      <c r="AH159" s="9340"/>
    </row>
    <row r="160" spans="1:34" ht="32.25" customHeight="1">
      <c r="A160" s="9392"/>
      <c r="B160" s="9398"/>
      <c r="C160" s="9332" t="s">
        <v>127</v>
      </c>
      <c r="D160" s="9258" t="s">
        <v>128</v>
      </c>
      <c r="E160" s="9258" t="s">
        <v>129</v>
      </c>
      <c r="F160" s="9258" t="s">
        <v>130</v>
      </c>
      <c r="G160" s="9335" t="s">
        <v>131</v>
      </c>
      <c r="H160" s="9258" t="s">
        <v>132</v>
      </c>
      <c r="I160" s="9258" t="s">
        <v>159</v>
      </c>
      <c r="J160" s="9255" t="s">
        <v>994</v>
      </c>
      <c r="K160" s="9258" t="s">
        <v>995</v>
      </c>
      <c r="L160" s="9258" t="s">
        <v>996</v>
      </c>
      <c r="M160" s="8975">
        <v>1</v>
      </c>
      <c r="N160" s="8975">
        <v>0</v>
      </c>
      <c r="O160" s="8975">
        <v>1</v>
      </c>
      <c r="P160" s="9255" t="s">
        <v>997</v>
      </c>
      <c r="Q160" s="9255" t="s">
        <v>998</v>
      </c>
      <c r="R160" s="9277" t="s">
        <v>835</v>
      </c>
      <c r="S160" s="823"/>
      <c r="T160" s="6340"/>
      <c r="U160" s="6340"/>
      <c r="V160" s="837"/>
      <c r="W160" s="6370"/>
      <c r="X160" s="188"/>
      <c r="Y160" s="6400"/>
      <c r="Z160" s="6400"/>
      <c r="AA160" s="6400"/>
      <c r="AB160" s="6401"/>
      <c r="AC160" s="6426"/>
      <c r="AD160" s="855"/>
      <c r="AE160" s="188"/>
      <c r="AF160" s="189"/>
      <c r="AG160" s="189"/>
      <c r="AH160" s="9324"/>
    </row>
    <row r="161" spans="1:34" ht="32.25" customHeight="1">
      <c r="A161" s="9392"/>
      <c r="B161" s="9398"/>
      <c r="C161" s="9333"/>
      <c r="D161" s="9311"/>
      <c r="E161" s="9311"/>
      <c r="F161" s="9311"/>
      <c r="G161" s="9311"/>
      <c r="H161" s="9311"/>
      <c r="I161" s="9311"/>
      <c r="J161" s="9311"/>
      <c r="K161" s="9311"/>
      <c r="L161" s="9311"/>
      <c r="M161" s="9313"/>
      <c r="N161" s="9313"/>
      <c r="O161" s="9313"/>
      <c r="P161" s="9311"/>
      <c r="Q161" s="9311"/>
      <c r="R161" s="9315"/>
      <c r="S161" s="824"/>
      <c r="T161" s="6338"/>
      <c r="U161" s="6338"/>
      <c r="V161" s="771"/>
      <c r="W161" s="6359"/>
      <c r="X161" s="185"/>
      <c r="Y161" s="6396"/>
      <c r="Z161" s="6396"/>
      <c r="AA161" s="6396"/>
      <c r="AB161" s="6397"/>
      <c r="AC161" s="4817"/>
      <c r="AD161" s="853"/>
      <c r="AE161" s="185"/>
      <c r="AF161" s="186"/>
      <c r="AG161" s="186"/>
      <c r="AH161" s="9318"/>
    </row>
    <row r="162" spans="1:34" ht="32.25" customHeight="1">
      <c r="A162" s="9392"/>
      <c r="B162" s="9398"/>
      <c r="C162" s="9333"/>
      <c r="D162" s="9311"/>
      <c r="E162" s="9311"/>
      <c r="F162" s="9311"/>
      <c r="G162" s="9311"/>
      <c r="H162" s="9311"/>
      <c r="I162" s="9311"/>
      <c r="J162" s="9311"/>
      <c r="K162" s="9311"/>
      <c r="L162" s="9311"/>
      <c r="M162" s="9313"/>
      <c r="N162" s="9313"/>
      <c r="O162" s="9313"/>
      <c r="P162" s="9311"/>
      <c r="Q162" s="9311"/>
      <c r="R162" s="9315"/>
      <c r="S162" s="824"/>
      <c r="T162" s="6338"/>
      <c r="U162" s="6338"/>
      <c r="V162" s="771"/>
      <c r="W162" s="6359"/>
      <c r="X162" s="185"/>
      <c r="Y162" s="6396"/>
      <c r="Z162" s="6396"/>
      <c r="AA162" s="6396"/>
      <c r="AB162" s="6397"/>
      <c r="AC162" s="4817"/>
      <c r="AD162" s="853"/>
      <c r="AE162" s="185"/>
      <c r="AF162" s="186"/>
      <c r="AG162" s="186"/>
      <c r="AH162" s="9318"/>
    </row>
    <row r="163" spans="1:34" ht="32.25" customHeight="1">
      <c r="A163" s="9392"/>
      <c r="B163" s="9398"/>
      <c r="C163" s="9333"/>
      <c r="D163" s="9311"/>
      <c r="E163" s="9311"/>
      <c r="F163" s="9311"/>
      <c r="G163" s="9311"/>
      <c r="H163" s="9311"/>
      <c r="I163" s="9311"/>
      <c r="J163" s="9311"/>
      <c r="K163" s="9311"/>
      <c r="L163" s="9311"/>
      <c r="M163" s="9313"/>
      <c r="N163" s="9313"/>
      <c r="O163" s="9313"/>
      <c r="P163" s="9311"/>
      <c r="Q163" s="9311"/>
      <c r="R163" s="9315"/>
      <c r="S163" s="824"/>
      <c r="T163" s="6338"/>
      <c r="U163" s="6338"/>
      <c r="V163" s="771"/>
      <c r="W163" s="6359"/>
      <c r="X163" s="185"/>
      <c r="Y163" s="6396"/>
      <c r="Z163" s="6396"/>
      <c r="AA163" s="6396"/>
      <c r="AB163" s="6397"/>
      <c r="AC163" s="4817"/>
      <c r="AD163" s="853"/>
      <c r="AE163" s="185"/>
      <c r="AF163" s="186"/>
      <c r="AG163" s="186"/>
      <c r="AH163" s="9318"/>
    </row>
    <row r="164" spans="1:34" ht="32.25" customHeight="1">
      <c r="A164" s="9392"/>
      <c r="B164" s="9398"/>
      <c r="C164" s="9395"/>
      <c r="D164" s="9312"/>
      <c r="E164" s="9312"/>
      <c r="F164" s="9312"/>
      <c r="G164" s="9312"/>
      <c r="H164" s="9312"/>
      <c r="I164" s="9312"/>
      <c r="J164" s="9312"/>
      <c r="K164" s="9312"/>
      <c r="L164" s="9312"/>
      <c r="M164" s="9314"/>
      <c r="N164" s="9314"/>
      <c r="O164" s="9314"/>
      <c r="P164" s="9312"/>
      <c r="Q164" s="9312"/>
      <c r="R164" s="9316"/>
      <c r="S164" s="827"/>
      <c r="T164" s="6336"/>
      <c r="U164" s="6336"/>
      <c r="V164" s="772"/>
      <c r="W164" s="6375"/>
      <c r="X164" s="187"/>
      <c r="Y164" s="6404"/>
      <c r="Z164" s="6404"/>
      <c r="AA164" s="6404"/>
      <c r="AB164" s="6405"/>
      <c r="AC164" s="6428"/>
      <c r="AD164" s="856"/>
      <c r="AE164" s="187"/>
      <c r="AF164" s="182"/>
      <c r="AG164" s="182"/>
      <c r="AH164" s="9319"/>
    </row>
    <row r="165" spans="1:34" ht="21" customHeight="1">
      <c r="A165" s="9392"/>
      <c r="B165" s="9398"/>
      <c r="C165" s="9400" t="s">
        <v>183</v>
      </c>
      <c r="D165" s="9167" t="s">
        <v>227</v>
      </c>
      <c r="E165" s="9167" t="s">
        <v>228</v>
      </c>
      <c r="F165" s="9167" t="s">
        <v>229</v>
      </c>
      <c r="G165" s="9320" t="s">
        <v>230</v>
      </c>
      <c r="H165" s="9167" t="s">
        <v>132</v>
      </c>
      <c r="I165" s="9167" t="s">
        <v>159</v>
      </c>
      <c r="J165" s="9391" t="s">
        <v>999</v>
      </c>
      <c r="K165" s="9167" t="s">
        <v>1000</v>
      </c>
      <c r="L165" s="9167" t="s">
        <v>1001</v>
      </c>
      <c r="M165" s="8979">
        <v>45</v>
      </c>
      <c r="N165" s="8979">
        <v>35</v>
      </c>
      <c r="O165" s="8979">
        <v>40</v>
      </c>
      <c r="P165" s="9262" t="s">
        <v>1002</v>
      </c>
      <c r="Q165" s="9262" t="s">
        <v>1003</v>
      </c>
      <c r="R165" s="9263" t="s">
        <v>902</v>
      </c>
      <c r="S165" s="645"/>
      <c r="T165" s="6341"/>
      <c r="U165" s="6337"/>
      <c r="V165" s="844"/>
      <c r="W165" s="4863"/>
      <c r="X165" s="794"/>
      <c r="Y165" s="4900"/>
      <c r="Z165" s="4900"/>
      <c r="AA165" s="4900"/>
      <c r="AB165" s="4906"/>
      <c r="AC165" s="4878"/>
      <c r="AD165" s="942"/>
      <c r="AE165" s="794"/>
      <c r="AF165" s="1033"/>
      <c r="AG165" s="1033"/>
      <c r="AH165" s="9389"/>
    </row>
    <row r="166" spans="1:34" ht="21" customHeight="1">
      <c r="A166" s="9392"/>
      <c r="B166" s="9398"/>
      <c r="C166" s="9333"/>
      <c r="D166" s="9311"/>
      <c r="E166" s="9311"/>
      <c r="F166" s="9311"/>
      <c r="G166" s="9311"/>
      <c r="H166" s="9311"/>
      <c r="I166" s="9311"/>
      <c r="J166" s="9311"/>
      <c r="K166" s="9311"/>
      <c r="L166" s="9311"/>
      <c r="M166" s="9313"/>
      <c r="N166" s="9313"/>
      <c r="O166" s="9313"/>
      <c r="P166" s="9311"/>
      <c r="Q166" s="9311"/>
      <c r="R166" s="9315"/>
      <c r="S166" s="824"/>
      <c r="T166" s="6342"/>
      <c r="U166" s="4727"/>
      <c r="V166" s="771"/>
      <c r="W166" s="6380"/>
      <c r="X166" s="944"/>
      <c r="Y166" s="4898"/>
      <c r="Z166" s="4898"/>
      <c r="AA166" s="4898"/>
      <c r="AB166" s="4899"/>
      <c r="AC166" s="4876"/>
      <c r="AD166" s="945"/>
      <c r="AE166" s="799"/>
      <c r="AF166" s="1013"/>
      <c r="AG166" s="1013"/>
      <c r="AH166" s="9381"/>
    </row>
    <row r="167" spans="1:34" ht="21" customHeight="1">
      <c r="A167" s="9392"/>
      <c r="B167" s="9398"/>
      <c r="C167" s="9333"/>
      <c r="D167" s="9311"/>
      <c r="E167" s="9311"/>
      <c r="F167" s="9311"/>
      <c r="G167" s="9311"/>
      <c r="H167" s="9311"/>
      <c r="I167" s="9311"/>
      <c r="J167" s="9311"/>
      <c r="K167" s="9311"/>
      <c r="L167" s="9311"/>
      <c r="M167" s="9313"/>
      <c r="N167" s="9313"/>
      <c r="O167" s="9313"/>
      <c r="P167" s="9311"/>
      <c r="Q167" s="9311"/>
      <c r="R167" s="9315"/>
      <c r="S167" s="824"/>
      <c r="T167" s="6342"/>
      <c r="U167" s="4727"/>
      <c r="V167" s="771"/>
      <c r="W167" s="6380"/>
      <c r="X167" s="944"/>
      <c r="Y167" s="4898"/>
      <c r="Z167" s="4898"/>
      <c r="AA167" s="4898"/>
      <c r="AB167" s="4899"/>
      <c r="AC167" s="4876"/>
      <c r="AD167" s="945"/>
      <c r="AE167" s="799"/>
      <c r="AF167" s="1013"/>
      <c r="AG167" s="1013"/>
      <c r="AH167" s="9381"/>
    </row>
    <row r="168" spans="1:34" ht="21" customHeight="1">
      <c r="A168" s="9392"/>
      <c r="B168" s="9398"/>
      <c r="C168" s="9333"/>
      <c r="D168" s="9311"/>
      <c r="E168" s="9311"/>
      <c r="F168" s="9311"/>
      <c r="G168" s="9311"/>
      <c r="H168" s="9311"/>
      <c r="I168" s="9311"/>
      <c r="J168" s="9311"/>
      <c r="K168" s="9311"/>
      <c r="L168" s="9311"/>
      <c r="M168" s="9313"/>
      <c r="N168" s="9313"/>
      <c r="O168" s="9313"/>
      <c r="P168" s="9311"/>
      <c r="Q168" s="9311"/>
      <c r="R168" s="9315"/>
      <c r="S168" s="824"/>
      <c r="T168" s="6342"/>
      <c r="U168" s="4727"/>
      <c r="V168" s="771"/>
      <c r="W168" s="6380"/>
      <c r="X168" s="944"/>
      <c r="Y168" s="4898"/>
      <c r="Z168" s="4898"/>
      <c r="AA168" s="4898"/>
      <c r="AB168" s="4899"/>
      <c r="AC168" s="4876"/>
      <c r="AD168" s="945"/>
      <c r="AE168" s="799"/>
      <c r="AF168" s="1013"/>
      <c r="AG168" s="1013"/>
      <c r="AH168" s="9381"/>
    </row>
    <row r="169" spans="1:34" ht="21" customHeight="1">
      <c r="A169" s="9392"/>
      <c r="B169" s="9398"/>
      <c r="C169" s="9333"/>
      <c r="D169" s="9311"/>
      <c r="E169" s="9311"/>
      <c r="F169" s="9311"/>
      <c r="G169" s="9311"/>
      <c r="H169" s="9311"/>
      <c r="I169" s="9311"/>
      <c r="J169" s="9311"/>
      <c r="K169" s="9311"/>
      <c r="L169" s="9311"/>
      <c r="M169" s="9313"/>
      <c r="N169" s="9313"/>
      <c r="O169" s="9313"/>
      <c r="P169" s="9311"/>
      <c r="Q169" s="9311"/>
      <c r="R169" s="9315"/>
      <c r="S169" s="826"/>
      <c r="T169" s="6343"/>
      <c r="U169" s="6344"/>
      <c r="V169" s="845"/>
      <c r="W169" s="6372"/>
      <c r="X169" s="1141"/>
      <c r="Y169" s="4902"/>
      <c r="Z169" s="4902"/>
      <c r="AA169" s="4902"/>
      <c r="AB169" s="4908"/>
      <c r="AC169" s="4879"/>
      <c r="AD169" s="1119"/>
      <c r="AE169" s="1018"/>
      <c r="AF169" s="1029"/>
      <c r="AG169" s="1029"/>
      <c r="AH169" s="9390"/>
    </row>
    <row r="170" spans="1:34" ht="33.75" customHeight="1">
      <c r="A170" s="9392"/>
      <c r="B170" s="9398"/>
      <c r="C170" s="9332" t="s">
        <v>127</v>
      </c>
      <c r="D170" s="9258" t="s">
        <v>128</v>
      </c>
      <c r="E170" s="9258" t="s">
        <v>129</v>
      </c>
      <c r="F170" s="9258" t="s">
        <v>268</v>
      </c>
      <c r="G170" s="9335" t="s">
        <v>131</v>
      </c>
      <c r="H170" s="9258" t="s">
        <v>132</v>
      </c>
      <c r="I170" s="9258" t="s">
        <v>159</v>
      </c>
      <c r="J170" s="9255" t="s">
        <v>1004</v>
      </c>
      <c r="K170" s="9258" t="s">
        <v>286</v>
      </c>
      <c r="L170" s="9258" t="s">
        <v>932</v>
      </c>
      <c r="M170" s="8975">
        <v>0</v>
      </c>
      <c r="N170" s="8975">
        <v>1</v>
      </c>
      <c r="O170" s="8975">
        <v>1</v>
      </c>
      <c r="P170" s="9255" t="s">
        <v>933</v>
      </c>
      <c r="Q170" s="9255" t="s">
        <v>934</v>
      </c>
      <c r="R170" s="9277" t="s">
        <v>1005</v>
      </c>
      <c r="S170" s="747" t="s">
        <v>15</v>
      </c>
      <c r="T170" s="4697">
        <v>530807</v>
      </c>
      <c r="U170" s="6330"/>
      <c r="V170" s="1843" t="s">
        <v>1006</v>
      </c>
      <c r="W170" s="4874"/>
      <c r="X170" s="76"/>
      <c r="Y170" s="4922"/>
      <c r="Z170" s="4922"/>
      <c r="AA170" s="4922"/>
      <c r="AB170" s="4923">
        <f>SUM($AA$171:$AA$174)</f>
        <v>425.6</v>
      </c>
      <c r="AC170" s="4883" t="s">
        <v>18</v>
      </c>
      <c r="AD170" s="1122"/>
      <c r="AE170" s="1036"/>
      <c r="AF170" s="1038"/>
      <c r="AG170" s="1038"/>
      <c r="AH170" s="9380"/>
    </row>
    <row r="171" spans="1:34" ht="33.75" customHeight="1">
      <c r="A171" s="9392"/>
      <c r="B171" s="9398"/>
      <c r="C171" s="9333"/>
      <c r="D171" s="9311"/>
      <c r="E171" s="9311"/>
      <c r="F171" s="9311"/>
      <c r="G171" s="9311"/>
      <c r="H171" s="9311"/>
      <c r="I171" s="9311"/>
      <c r="J171" s="9311"/>
      <c r="K171" s="9311"/>
      <c r="L171" s="9311"/>
      <c r="M171" s="9313"/>
      <c r="N171" s="9313"/>
      <c r="O171" s="9313"/>
      <c r="P171" s="9311"/>
      <c r="Q171" s="9311"/>
      <c r="R171" s="9315"/>
      <c r="S171" s="748"/>
      <c r="T171" s="6305"/>
      <c r="U171" s="6305">
        <v>3891201410</v>
      </c>
      <c r="V171" s="1855" t="s">
        <v>1007</v>
      </c>
      <c r="W171" s="6381">
        <v>10</v>
      </c>
      <c r="X171" s="285" t="s">
        <v>180</v>
      </c>
      <c r="Y171" s="4910">
        <v>9.5</v>
      </c>
      <c r="Z171" s="4910">
        <f t="shared" ref="Z171:Z174" si="24">+W171*Y171</f>
        <v>95</v>
      </c>
      <c r="AA171" s="4910">
        <f t="shared" ref="AA171:AA174" si="25">+Z171*1.12</f>
        <v>106.4</v>
      </c>
      <c r="AB171" s="4911"/>
      <c r="AC171" s="4880"/>
      <c r="AD171" s="945"/>
      <c r="AE171" s="799"/>
      <c r="AF171" s="1013" t="s">
        <v>153</v>
      </c>
      <c r="AG171" s="1013"/>
      <c r="AH171" s="9381"/>
    </row>
    <row r="172" spans="1:34" ht="33.75" customHeight="1">
      <c r="A172" s="9392"/>
      <c r="B172" s="9398"/>
      <c r="C172" s="9333"/>
      <c r="D172" s="9311"/>
      <c r="E172" s="9311"/>
      <c r="F172" s="9311"/>
      <c r="G172" s="9311"/>
      <c r="H172" s="9311"/>
      <c r="I172" s="9311"/>
      <c r="J172" s="9311"/>
      <c r="K172" s="9311"/>
      <c r="L172" s="9311"/>
      <c r="M172" s="9313"/>
      <c r="N172" s="9313"/>
      <c r="O172" s="9313"/>
      <c r="P172" s="9311"/>
      <c r="Q172" s="9311"/>
      <c r="R172" s="9315"/>
      <c r="S172" s="748"/>
      <c r="T172" s="6305"/>
      <c r="U172" s="6305">
        <v>3891201410</v>
      </c>
      <c r="V172" s="1855" t="s">
        <v>1008</v>
      </c>
      <c r="W172" s="6381">
        <v>10</v>
      </c>
      <c r="X172" s="285" t="s">
        <v>180</v>
      </c>
      <c r="Y172" s="4910">
        <v>9.5</v>
      </c>
      <c r="Z172" s="4910">
        <f t="shared" si="24"/>
        <v>95</v>
      </c>
      <c r="AA172" s="4910">
        <f t="shared" si="25"/>
        <v>106.4</v>
      </c>
      <c r="AB172" s="4911"/>
      <c r="AC172" s="4880"/>
      <c r="AD172" s="945"/>
      <c r="AE172" s="799"/>
      <c r="AF172" s="1013" t="s">
        <v>153</v>
      </c>
      <c r="AG172" s="1013"/>
      <c r="AH172" s="9381"/>
    </row>
    <row r="173" spans="1:34" ht="33.75" customHeight="1">
      <c r="A173" s="9392"/>
      <c r="B173" s="9398"/>
      <c r="C173" s="9333"/>
      <c r="D173" s="9311"/>
      <c r="E173" s="9311"/>
      <c r="F173" s="9311"/>
      <c r="G173" s="9311"/>
      <c r="H173" s="9311"/>
      <c r="I173" s="9311"/>
      <c r="J173" s="9311"/>
      <c r="K173" s="9311"/>
      <c r="L173" s="9311"/>
      <c r="M173" s="9313"/>
      <c r="N173" s="9313"/>
      <c r="O173" s="9313"/>
      <c r="P173" s="9311"/>
      <c r="Q173" s="9311"/>
      <c r="R173" s="9315"/>
      <c r="S173" s="748"/>
      <c r="T173" s="6305"/>
      <c r="U173" s="6305">
        <v>3891201410</v>
      </c>
      <c r="V173" s="1855" t="s">
        <v>1009</v>
      </c>
      <c r="W173" s="6381">
        <v>10</v>
      </c>
      <c r="X173" s="285" t="s">
        <v>180</v>
      </c>
      <c r="Y173" s="4910">
        <v>9.5</v>
      </c>
      <c r="Z173" s="4910">
        <f t="shared" si="24"/>
        <v>95</v>
      </c>
      <c r="AA173" s="4910">
        <f t="shared" si="25"/>
        <v>106.4</v>
      </c>
      <c r="AB173" s="4911"/>
      <c r="AC173" s="4880"/>
      <c r="AD173" s="945"/>
      <c r="AE173" s="799"/>
      <c r="AF173" s="1013" t="s">
        <v>153</v>
      </c>
      <c r="AG173" s="1013"/>
      <c r="AH173" s="9381"/>
    </row>
    <row r="174" spans="1:34" ht="33.75" customHeight="1">
      <c r="A174" s="9392"/>
      <c r="B174" s="9398"/>
      <c r="C174" s="9395"/>
      <c r="D174" s="9312"/>
      <c r="E174" s="9312"/>
      <c r="F174" s="9312"/>
      <c r="G174" s="9312"/>
      <c r="H174" s="9312"/>
      <c r="I174" s="9312"/>
      <c r="J174" s="9312"/>
      <c r="K174" s="9312"/>
      <c r="L174" s="9312"/>
      <c r="M174" s="9314"/>
      <c r="N174" s="9314"/>
      <c r="O174" s="9314"/>
      <c r="P174" s="9312"/>
      <c r="Q174" s="9312"/>
      <c r="R174" s="9316"/>
      <c r="S174" s="1852"/>
      <c r="T174" s="4856"/>
      <c r="U174" s="4856">
        <v>3891201410</v>
      </c>
      <c r="V174" s="1857" t="s">
        <v>1010</v>
      </c>
      <c r="W174" s="6382">
        <v>10</v>
      </c>
      <c r="X174" s="74" t="s">
        <v>180</v>
      </c>
      <c r="Y174" s="4914">
        <v>9.5</v>
      </c>
      <c r="Z174" s="4914">
        <f t="shared" si="24"/>
        <v>95</v>
      </c>
      <c r="AA174" s="4914">
        <f t="shared" si="25"/>
        <v>106.4</v>
      </c>
      <c r="AB174" s="4916"/>
      <c r="AC174" s="4882"/>
      <c r="AD174" s="1126"/>
      <c r="AE174" s="1023"/>
      <c r="AF174" s="1024" t="s">
        <v>153</v>
      </c>
      <c r="AG174" s="1024"/>
      <c r="AH174" s="9388"/>
    </row>
    <row r="175" spans="1:34" ht="27" customHeight="1">
      <c r="A175" s="9392"/>
      <c r="B175" s="9398"/>
      <c r="C175" s="9332" t="s">
        <v>127</v>
      </c>
      <c r="D175" s="9258" t="s">
        <v>128</v>
      </c>
      <c r="E175" s="9258" t="s">
        <v>129</v>
      </c>
      <c r="F175" s="9258" t="s">
        <v>268</v>
      </c>
      <c r="G175" s="9335" t="s">
        <v>131</v>
      </c>
      <c r="H175" s="9258" t="s">
        <v>132</v>
      </c>
      <c r="I175" s="9258" t="s">
        <v>159</v>
      </c>
      <c r="J175" s="9255" t="s">
        <v>1011</v>
      </c>
      <c r="K175" s="9258" t="s">
        <v>338</v>
      </c>
      <c r="L175" s="9258" t="s">
        <v>1012</v>
      </c>
      <c r="M175" s="8975">
        <v>1</v>
      </c>
      <c r="N175" s="8975">
        <v>1</v>
      </c>
      <c r="O175" s="8975">
        <v>1</v>
      </c>
      <c r="P175" s="9255" t="s">
        <v>938</v>
      </c>
      <c r="Q175" s="9255" t="s">
        <v>939</v>
      </c>
      <c r="R175" s="9277" t="s">
        <v>1013</v>
      </c>
      <c r="S175" s="654"/>
      <c r="T175" s="4716"/>
      <c r="U175" s="6331"/>
      <c r="V175" s="775"/>
      <c r="W175" s="6383"/>
      <c r="X175" s="1036"/>
      <c r="Y175" s="6413"/>
      <c r="Z175" s="6413"/>
      <c r="AA175" s="6413"/>
      <c r="AB175" s="6414"/>
      <c r="AC175" s="6291"/>
      <c r="AD175" s="1122"/>
      <c r="AE175" s="1036"/>
      <c r="AF175" s="1038"/>
      <c r="AG175" s="1038"/>
      <c r="AH175" s="9380"/>
    </row>
    <row r="176" spans="1:34" ht="27" customHeight="1">
      <c r="A176" s="9392"/>
      <c r="B176" s="9398"/>
      <c r="C176" s="9333"/>
      <c r="D176" s="9311"/>
      <c r="E176" s="9311"/>
      <c r="F176" s="9311"/>
      <c r="G176" s="9311"/>
      <c r="H176" s="9311"/>
      <c r="I176" s="9311"/>
      <c r="J176" s="9311"/>
      <c r="K176" s="9311"/>
      <c r="L176" s="9311"/>
      <c r="M176" s="9313"/>
      <c r="N176" s="9313"/>
      <c r="O176" s="9313"/>
      <c r="P176" s="9311"/>
      <c r="Q176" s="9311"/>
      <c r="R176" s="9315"/>
      <c r="S176" s="838"/>
      <c r="T176" s="4727"/>
      <c r="U176" s="4727"/>
      <c r="V176" s="771"/>
      <c r="W176" s="4862"/>
      <c r="X176" s="799"/>
      <c r="Y176" s="4898"/>
      <c r="Z176" s="4898"/>
      <c r="AA176" s="4898"/>
      <c r="AB176" s="4899"/>
      <c r="AC176" s="4876"/>
      <c r="AD176" s="945"/>
      <c r="AE176" s="799"/>
      <c r="AF176" s="1013"/>
      <c r="AG176" s="1013"/>
      <c r="AH176" s="9381"/>
    </row>
    <row r="177" spans="1:34" ht="27" customHeight="1">
      <c r="A177" s="9392"/>
      <c r="B177" s="9398"/>
      <c r="C177" s="9333"/>
      <c r="D177" s="9311"/>
      <c r="E177" s="9311"/>
      <c r="F177" s="9311"/>
      <c r="G177" s="9311"/>
      <c r="H177" s="9311"/>
      <c r="I177" s="9311"/>
      <c r="J177" s="9311"/>
      <c r="K177" s="9311"/>
      <c r="L177" s="9311"/>
      <c r="M177" s="9313"/>
      <c r="N177" s="9313"/>
      <c r="O177" s="9313"/>
      <c r="P177" s="9311"/>
      <c r="Q177" s="9311"/>
      <c r="R177" s="9315"/>
      <c r="S177" s="838"/>
      <c r="T177" s="4727"/>
      <c r="U177" s="4727"/>
      <c r="V177" s="771"/>
      <c r="W177" s="4862"/>
      <c r="X177" s="944"/>
      <c r="Y177" s="4898"/>
      <c r="Z177" s="4898"/>
      <c r="AA177" s="4898"/>
      <c r="AB177" s="4899"/>
      <c r="AC177" s="4876"/>
      <c r="AD177" s="945"/>
      <c r="AE177" s="799"/>
      <c r="AF177" s="1013"/>
      <c r="AG177" s="1013"/>
      <c r="AH177" s="9381"/>
    </row>
    <row r="178" spans="1:34" ht="27" customHeight="1">
      <c r="A178" s="9392"/>
      <c r="B178" s="9398"/>
      <c r="C178" s="9333"/>
      <c r="D178" s="9311"/>
      <c r="E178" s="9311"/>
      <c r="F178" s="9311"/>
      <c r="G178" s="9311"/>
      <c r="H178" s="9311"/>
      <c r="I178" s="9311"/>
      <c r="J178" s="9311"/>
      <c r="K178" s="9311"/>
      <c r="L178" s="9311"/>
      <c r="M178" s="9313"/>
      <c r="N178" s="9313"/>
      <c r="O178" s="9313"/>
      <c r="P178" s="9311"/>
      <c r="Q178" s="9311"/>
      <c r="R178" s="9315"/>
      <c r="S178" s="838"/>
      <c r="T178" s="4727"/>
      <c r="U178" s="4727"/>
      <c r="V178" s="584"/>
      <c r="W178" s="4862"/>
      <c r="X178" s="944"/>
      <c r="Y178" s="4898"/>
      <c r="Z178" s="4898"/>
      <c r="AA178" s="4898"/>
      <c r="AB178" s="4899"/>
      <c r="AC178" s="4876"/>
      <c r="AD178" s="945"/>
      <c r="AE178" s="799"/>
      <c r="AF178" s="1013"/>
      <c r="AG178" s="1013"/>
      <c r="AH178" s="9381"/>
    </row>
    <row r="179" spans="1:34" ht="27" customHeight="1">
      <c r="A179" s="9392"/>
      <c r="B179" s="9398"/>
      <c r="C179" s="9334"/>
      <c r="D179" s="9322"/>
      <c r="E179" s="9322"/>
      <c r="F179" s="9322"/>
      <c r="G179" s="9322"/>
      <c r="H179" s="9322"/>
      <c r="I179" s="9322"/>
      <c r="J179" s="9322"/>
      <c r="K179" s="9322"/>
      <c r="L179" s="9322"/>
      <c r="M179" s="9330"/>
      <c r="N179" s="9330"/>
      <c r="O179" s="9330"/>
      <c r="P179" s="9322"/>
      <c r="Q179" s="9322"/>
      <c r="R179" s="9323"/>
      <c r="S179" s="6059"/>
      <c r="T179" s="6334"/>
      <c r="U179" s="6334"/>
      <c r="V179" s="2053"/>
      <c r="W179" s="6384"/>
      <c r="X179" s="6060"/>
      <c r="Y179" s="6415"/>
      <c r="Z179" s="6415"/>
      <c r="AA179" s="6415"/>
      <c r="AB179" s="6416"/>
      <c r="AC179" s="6432"/>
      <c r="AD179" s="6061"/>
      <c r="AE179" s="6062"/>
      <c r="AF179" s="6063"/>
      <c r="AG179" s="6063"/>
      <c r="AH179" s="9382"/>
    </row>
    <row r="180" spans="1:34" s="4835" customFormat="1" ht="22.5" customHeight="1" thickBot="1">
      <c r="A180" s="9392"/>
      <c r="B180" s="9399"/>
      <c r="C180" s="9331"/>
      <c r="D180" s="9396"/>
      <c r="E180" s="9396"/>
      <c r="F180" s="9396"/>
      <c r="G180" s="9396"/>
      <c r="H180" s="9396"/>
      <c r="I180" s="9396"/>
      <c r="J180" s="9396"/>
      <c r="K180" s="9396"/>
      <c r="L180" s="9396"/>
      <c r="M180" s="9396"/>
      <c r="N180" s="9396"/>
      <c r="O180" s="9396"/>
      <c r="P180" s="9396"/>
      <c r="Q180" s="9396"/>
      <c r="R180" s="8773"/>
      <c r="S180" s="9384" t="s">
        <v>1014</v>
      </c>
      <c r="T180" s="9385"/>
      <c r="U180" s="9385"/>
      <c r="V180" s="9385"/>
      <c r="W180" s="9385"/>
      <c r="X180" s="9385"/>
      <c r="Y180" s="9385"/>
      <c r="Z180" s="9385"/>
      <c r="AA180" s="4890" t="s">
        <v>292</v>
      </c>
      <c r="AB180" s="6392">
        <f>SUM(AB112:AB179)</f>
        <v>61753.967499999999</v>
      </c>
      <c r="AC180" s="5950"/>
      <c r="AD180" s="5951"/>
      <c r="AE180" s="9328"/>
      <c r="AF180" s="8773"/>
      <c r="AG180" s="8773"/>
      <c r="AH180" s="8774"/>
    </row>
    <row r="181" spans="1:34" ht="45.75" customHeight="1">
      <c r="A181" s="9392"/>
      <c r="B181" s="9246" t="s">
        <v>1015</v>
      </c>
      <c r="C181" s="9400" t="s">
        <v>127</v>
      </c>
      <c r="D181" s="9167" t="s">
        <v>128</v>
      </c>
      <c r="E181" s="9167" t="s">
        <v>140</v>
      </c>
      <c r="F181" s="9167" t="s">
        <v>212</v>
      </c>
      <c r="G181" s="9320" t="s">
        <v>131</v>
      </c>
      <c r="H181" s="9167" t="s">
        <v>132</v>
      </c>
      <c r="I181" s="9167" t="s">
        <v>159</v>
      </c>
      <c r="J181" s="9167" t="s">
        <v>1016</v>
      </c>
      <c r="K181" s="9167" t="s">
        <v>1017</v>
      </c>
      <c r="L181" s="9167" t="s">
        <v>1018</v>
      </c>
      <c r="M181" s="8979">
        <v>1</v>
      </c>
      <c r="N181" s="8979">
        <v>1</v>
      </c>
      <c r="O181" s="8979">
        <v>1</v>
      </c>
      <c r="P181" s="9364" t="s">
        <v>1019</v>
      </c>
      <c r="Q181" s="9262" t="s">
        <v>1020</v>
      </c>
      <c r="R181" s="9263" t="s">
        <v>1021</v>
      </c>
      <c r="S181" s="1115"/>
      <c r="T181" s="6345"/>
      <c r="U181" s="6346"/>
      <c r="V181" s="1116"/>
      <c r="W181" s="6385"/>
      <c r="X181" s="1008"/>
      <c r="Y181" s="6417"/>
      <c r="Z181" s="6417"/>
      <c r="AA181" s="4900"/>
      <c r="AB181" s="4906"/>
      <c r="AC181" s="4878"/>
      <c r="AD181" s="942"/>
      <c r="AE181" s="1008"/>
      <c r="AF181" s="1010"/>
      <c r="AG181" s="308"/>
      <c r="AH181" s="9321"/>
    </row>
    <row r="182" spans="1:34" ht="45.75" customHeight="1">
      <c r="A182" s="9392"/>
      <c r="B182" s="9398"/>
      <c r="C182" s="9333"/>
      <c r="D182" s="9311"/>
      <c r="E182" s="9311"/>
      <c r="F182" s="9311"/>
      <c r="G182" s="9311"/>
      <c r="H182" s="9311"/>
      <c r="I182" s="9311"/>
      <c r="J182" s="9311"/>
      <c r="K182" s="9311"/>
      <c r="L182" s="9311"/>
      <c r="M182" s="9313"/>
      <c r="N182" s="9313"/>
      <c r="O182" s="9313"/>
      <c r="P182" s="9311"/>
      <c r="Q182" s="9311"/>
      <c r="R182" s="9315"/>
      <c r="S182" s="1117"/>
      <c r="T182" s="6347"/>
      <c r="U182" s="6306"/>
      <c r="V182" s="970"/>
      <c r="W182" s="6380"/>
      <c r="X182" s="972"/>
      <c r="Y182" s="4898"/>
      <c r="Z182" s="4898"/>
      <c r="AA182" s="4898"/>
      <c r="AB182" s="4899"/>
      <c r="AC182" s="4876"/>
      <c r="AD182" s="945"/>
      <c r="AE182" s="799"/>
      <c r="AF182" s="1013"/>
      <c r="AG182" s="186"/>
      <c r="AH182" s="9318"/>
    </row>
    <row r="183" spans="1:34" ht="45.75" customHeight="1">
      <c r="A183" s="9392"/>
      <c r="B183" s="9398"/>
      <c r="C183" s="9333"/>
      <c r="D183" s="9311"/>
      <c r="E183" s="9311"/>
      <c r="F183" s="9311"/>
      <c r="G183" s="9311"/>
      <c r="H183" s="9311"/>
      <c r="I183" s="9311"/>
      <c r="J183" s="9311"/>
      <c r="K183" s="9311"/>
      <c r="L183" s="9311"/>
      <c r="M183" s="9313"/>
      <c r="N183" s="9313"/>
      <c r="O183" s="9313"/>
      <c r="P183" s="9311"/>
      <c r="Q183" s="9311"/>
      <c r="R183" s="9315"/>
      <c r="S183" s="1117"/>
      <c r="T183" s="6347"/>
      <c r="U183" s="6306"/>
      <c r="V183" s="970"/>
      <c r="W183" s="6380"/>
      <c r="X183" s="972"/>
      <c r="Y183" s="4898"/>
      <c r="Z183" s="4898"/>
      <c r="AA183" s="4898"/>
      <c r="AB183" s="4899"/>
      <c r="AC183" s="4876"/>
      <c r="AD183" s="945"/>
      <c r="AE183" s="799"/>
      <c r="AF183" s="1013"/>
      <c r="AG183" s="186"/>
      <c r="AH183" s="9318"/>
    </row>
    <row r="184" spans="1:34" ht="45.75" customHeight="1">
      <c r="A184" s="9392"/>
      <c r="B184" s="9398"/>
      <c r="C184" s="9333"/>
      <c r="D184" s="9311"/>
      <c r="E184" s="9311"/>
      <c r="F184" s="9311"/>
      <c r="G184" s="9311"/>
      <c r="H184" s="9311"/>
      <c r="I184" s="9311"/>
      <c r="J184" s="9311"/>
      <c r="K184" s="9311"/>
      <c r="L184" s="9311"/>
      <c r="M184" s="9313"/>
      <c r="N184" s="9313"/>
      <c r="O184" s="9313"/>
      <c r="P184" s="9311"/>
      <c r="Q184" s="9311"/>
      <c r="R184" s="9315"/>
      <c r="S184" s="1117"/>
      <c r="T184" s="6347"/>
      <c r="U184" s="6306"/>
      <c r="V184" s="970"/>
      <c r="W184" s="6380"/>
      <c r="X184" s="972"/>
      <c r="Y184" s="4898"/>
      <c r="Z184" s="4898"/>
      <c r="AA184" s="4898"/>
      <c r="AB184" s="4899"/>
      <c r="AC184" s="4876"/>
      <c r="AD184" s="945"/>
      <c r="AE184" s="799"/>
      <c r="AF184" s="1013"/>
      <c r="AG184" s="186"/>
      <c r="AH184" s="9318"/>
    </row>
    <row r="185" spans="1:34" ht="45.75" customHeight="1">
      <c r="A185" s="9392"/>
      <c r="B185" s="9398"/>
      <c r="C185" s="9333"/>
      <c r="D185" s="9311"/>
      <c r="E185" s="9311"/>
      <c r="F185" s="9311"/>
      <c r="G185" s="9311"/>
      <c r="H185" s="9311"/>
      <c r="I185" s="9311"/>
      <c r="J185" s="9311"/>
      <c r="K185" s="9311"/>
      <c r="L185" s="9311"/>
      <c r="M185" s="9313"/>
      <c r="N185" s="9313"/>
      <c r="O185" s="9313"/>
      <c r="P185" s="9311"/>
      <c r="Q185" s="9311"/>
      <c r="R185" s="9315"/>
      <c r="S185" s="1118"/>
      <c r="T185" s="6348"/>
      <c r="U185" s="6329"/>
      <c r="V185" s="996"/>
      <c r="W185" s="6386"/>
      <c r="X185" s="998"/>
      <c r="Y185" s="4902"/>
      <c r="Z185" s="4902"/>
      <c r="AA185" s="4902"/>
      <c r="AB185" s="4908"/>
      <c r="AC185" s="4879"/>
      <c r="AD185" s="1119"/>
      <c r="AE185" s="1018"/>
      <c r="AF185" s="1029"/>
      <c r="AG185" s="345"/>
      <c r="AH185" s="9340"/>
    </row>
    <row r="186" spans="1:34" ht="45.75" customHeight="1">
      <c r="A186" s="9392"/>
      <c r="B186" s="9398"/>
      <c r="C186" s="9332" t="s">
        <v>127</v>
      </c>
      <c r="D186" s="9258" t="s">
        <v>128</v>
      </c>
      <c r="E186" s="9258" t="s">
        <v>140</v>
      </c>
      <c r="F186" s="9258" t="s">
        <v>212</v>
      </c>
      <c r="G186" s="9335" t="s">
        <v>131</v>
      </c>
      <c r="H186" s="9258" t="s">
        <v>132</v>
      </c>
      <c r="I186" s="9258" t="s">
        <v>159</v>
      </c>
      <c r="J186" s="9255" t="s">
        <v>1022</v>
      </c>
      <c r="K186" s="9258" t="s">
        <v>1023</v>
      </c>
      <c r="L186" s="9258" t="s">
        <v>1024</v>
      </c>
      <c r="M186" s="8975">
        <v>2</v>
      </c>
      <c r="N186" s="8975">
        <v>1</v>
      </c>
      <c r="O186" s="8975">
        <v>2</v>
      </c>
      <c r="P186" s="9255" t="s">
        <v>1025</v>
      </c>
      <c r="Q186" s="9255" t="s">
        <v>1026</v>
      </c>
      <c r="R186" s="9277" t="s">
        <v>1027</v>
      </c>
      <c r="S186" s="1120"/>
      <c r="T186" s="6349"/>
      <c r="U186" s="6350"/>
      <c r="V186" s="1121"/>
      <c r="W186" s="6387"/>
      <c r="X186" s="980"/>
      <c r="Y186" s="6413"/>
      <c r="Z186" s="6413"/>
      <c r="AA186" s="6413"/>
      <c r="AB186" s="6414"/>
      <c r="AC186" s="6291"/>
      <c r="AD186" s="1122"/>
      <c r="AE186" s="1036"/>
      <c r="AF186" s="980"/>
      <c r="AG186" s="18"/>
      <c r="AH186" s="9324"/>
    </row>
    <row r="187" spans="1:34" ht="45.75" customHeight="1">
      <c r="A187" s="9392"/>
      <c r="B187" s="9398"/>
      <c r="C187" s="9333"/>
      <c r="D187" s="9311"/>
      <c r="E187" s="9311"/>
      <c r="F187" s="9311"/>
      <c r="G187" s="9311"/>
      <c r="H187" s="9311"/>
      <c r="I187" s="9311"/>
      <c r="J187" s="9311"/>
      <c r="K187" s="9311"/>
      <c r="L187" s="9311"/>
      <c r="M187" s="9313"/>
      <c r="N187" s="9313"/>
      <c r="O187" s="9313"/>
      <c r="P187" s="9311"/>
      <c r="Q187" s="9311"/>
      <c r="R187" s="9315"/>
      <c r="S187" s="1117"/>
      <c r="T187" s="6347"/>
      <c r="U187" s="6306"/>
      <c r="V187" s="970"/>
      <c r="W187" s="6380"/>
      <c r="X187" s="972"/>
      <c r="Y187" s="4898"/>
      <c r="Z187" s="4898"/>
      <c r="AA187" s="4898"/>
      <c r="AB187" s="4899"/>
      <c r="AC187" s="4876"/>
      <c r="AD187" s="945"/>
      <c r="AE187" s="799"/>
      <c r="AF187" s="799"/>
      <c r="AG187" s="15"/>
      <c r="AH187" s="9318"/>
    </row>
    <row r="188" spans="1:34" ht="45.75" customHeight="1">
      <c r="A188" s="9392"/>
      <c r="B188" s="9398"/>
      <c r="C188" s="9333"/>
      <c r="D188" s="9311"/>
      <c r="E188" s="9311"/>
      <c r="F188" s="9311"/>
      <c r="G188" s="9311"/>
      <c r="H188" s="9311"/>
      <c r="I188" s="9311"/>
      <c r="J188" s="9311"/>
      <c r="K188" s="9311"/>
      <c r="L188" s="9311"/>
      <c r="M188" s="9313"/>
      <c r="N188" s="9313"/>
      <c r="O188" s="9313"/>
      <c r="P188" s="9311"/>
      <c r="Q188" s="9311"/>
      <c r="R188" s="9315"/>
      <c r="S188" s="1117"/>
      <c r="T188" s="6347"/>
      <c r="U188" s="6306"/>
      <c r="V188" s="970"/>
      <c r="W188" s="6380"/>
      <c r="X188" s="972"/>
      <c r="Y188" s="4898"/>
      <c r="Z188" s="4898"/>
      <c r="AA188" s="4898"/>
      <c r="AB188" s="4899"/>
      <c r="AC188" s="4876"/>
      <c r="AD188" s="945"/>
      <c r="AE188" s="799"/>
      <c r="AF188" s="799"/>
      <c r="AG188" s="186"/>
      <c r="AH188" s="9318"/>
    </row>
    <row r="189" spans="1:34" ht="45.75" customHeight="1">
      <c r="A189" s="9392"/>
      <c r="B189" s="9398"/>
      <c r="C189" s="9333"/>
      <c r="D189" s="9311"/>
      <c r="E189" s="9311"/>
      <c r="F189" s="9311"/>
      <c r="G189" s="9311"/>
      <c r="H189" s="9311"/>
      <c r="I189" s="9311"/>
      <c r="J189" s="9311"/>
      <c r="K189" s="9311"/>
      <c r="L189" s="9311"/>
      <c r="M189" s="9313"/>
      <c r="N189" s="9313"/>
      <c r="O189" s="9313"/>
      <c r="P189" s="9311"/>
      <c r="Q189" s="9311"/>
      <c r="R189" s="9315"/>
      <c r="S189" s="1117"/>
      <c r="T189" s="6347"/>
      <c r="U189" s="6306"/>
      <c r="V189" s="970"/>
      <c r="W189" s="6380"/>
      <c r="X189" s="972"/>
      <c r="Y189" s="4898"/>
      <c r="Z189" s="4898"/>
      <c r="AA189" s="4898"/>
      <c r="AB189" s="4899"/>
      <c r="AC189" s="4876"/>
      <c r="AD189" s="945"/>
      <c r="AE189" s="799"/>
      <c r="AF189" s="799"/>
      <c r="AG189" s="186"/>
      <c r="AH189" s="9318"/>
    </row>
    <row r="190" spans="1:34" ht="45.75" customHeight="1">
      <c r="A190" s="9392"/>
      <c r="B190" s="9398"/>
      <c r="C190" s="9395"/>
      <c r="D190" s="9312"/>
      <c r="E190" s="9312"/>
      <c r="F190" s="9312"/>
      <c r="G190" s="9312"/>
      <c r="H190" s="9312"/>
      <c r="I190" s="9312"/>
      <c r="J190" s="9312"/>
      <c r="K190" s="9312"/>
      <c r="L190" s="9312"/>
      <c r="M190" s="9314"/>
      <c r="N190" s="9314"/>
      <c r="O190" s="9314"/>
      <c r="P190" s="9312"/>
      <c r="Q190" s="9312"/>
      <c r="R190" s="9316"/>
      <c r="S190" s="1123"/>
      <c r="T190" s="6351"/>
      <c r="U190" s="6260"/>
      <c r="V190" s="1124"/>
      <c r="W190" s="6364"/>
      <c r="X190" s="1125"/>
      <c r="Y190" s="4909"/>
      <c r="Z190" s="4909"/>
      <c r="AA190" s="4909"/>
      <c r="AB190" s="4905"/>
      <c r="AC190" s="4877"/>
      <c r="AD190" s="1126"/>
      <c r="AE190" s="1023"/>
      <c r="AF190" s="1023"/>
      <c r="AG190" s="182"/>
      <c r="AH190" s="9319"/>
    </row>
    <row r="191" spans="1:34" ht="45.75" customHeight="1">
      <c r="A191" s="9392"/>
      <c r="B191" s="9398"/>
      <c r="C191" s="9400" t="s">
        <v>127</v>
      </c>
      <c r="D191" s="9167" t="s">
        <v>128</v>
      </c>
      <c r="E191" s="9167" t="s">
        <v>140</v>
      </c>
      <c r="F191" s="9167" t="s">
        <v>212</v>
      </c>
      <c r="G191" s="9320" t="s">
        <v>131</v>
      </c>
      <c r="H191" s="9167" t="s">
        <v>132</v>
      </c>
      <c r="I191" s="9167" t="s">
        <v>159</v>
      </c>
      <c r="J191" s="9363" t="s">
        <v>1028</v>
      </c>
      <c r="K191" s="9167" t="s">
        <v>1029</v>
      </c>
      <c r="L191" s="9167" t="s">
        <v>1030</v>
      </c>
      <c r="M191" s="8979">
        <v>3</v>
      </c>
      <c r="N191" s="8979">
        <v>3</v>
      </c>
      <c r="O191" s="8979">
        <v>3</v>
      </c>
      <c r="P191" s="9167" t="s">
        <v>1031</v>
      </c>
      <c r="Q191" s="9167" t="s">
        <v>1032</v>
      </c>
      <c r="R191" s="9263" t="s">
        <v>1033</v>
      </c>
      <c r="S191" s="621" t="s">
        <v>15</v>
      </c>
      <c r="T191" s="4682">
        <v>530807</v>
      </c>
      <c r="U191" s="6312"/>
      <c r="V191" s="1842" t="s">
        <v>1006</v>
      </c>
      <c r="W191" s="4872"/>
      <c r="X191" s="53"/>
      <c r="Y191" s="4917"/>
      <c r="Z191" s="4917"/>
      <c r="AA191" s="4917"/>
      <c r="AB191" s="8140">
        <f>SUM($AA$192:$AA$199)</f>
        <v>927.68000000000006</v>
      </c>
      <c r="AC191" s="4875" t="s">
        <v>18</v>
      </c>
      <c r="AD191" s="942"/>
      <c r="AE191" s="794"/>
      <c r="AF191" s="1033"/>
      <c r="AG191" s="184"/>
      <c r="AH191" s="9317"/>
    </row>
    <row r="192" spans="1:34" ht="45.75" customHeight="1">
      <c r="A192" s="9392"/>
      <c r="B192" s="9398"/>
      <c r="C192" s="9333"/>
      <c r="D192" s="9311"/>
      <c r="E192" s="9311"/>
      <c r="F192" s="9311"/>
      <c r="G192" s="9311"/>
      <c r="H192" s="9311"/>
      <c r="I192" s="9311"/>
      <c r="J192" s="9311"/>
      <c r="K192" s="9311"/>
      <c r="L192" s="9311"/>
      <c r="M192" s="9313"/>
      <c r="N192" s="9313"/>
      <c r="O192" s="9313"/>
      <c r="P192" s="9311"/>
      <c r="Q192" s="9311"/>
      <c r="R192" s="9315"/>
      <c r="S192" s="748"/>
      <c r="T192" s="6305"/>
      <c r="U192" s="6305">
        <v>3891201410</v>
      </c>
      <c r="V192" s="1855" t="s">
        <v>1007</v>
      </c>
      <c r="W192" s="6381">
        <v>3</v>
      </c>
      <c r="X192" s="285" t="s">
        <v>180</v>
      </c>
      <c r="Y192" s="4910">
        <v>9.5</v>
      </c>
      <c r="Z192" s="4910">
        <f t="shared" ref="Z192:Z194" si="26">+W192*Y192</f>
        <v>28.5</v>
      </c>
      <c r="AA192" s="4910">
        <f t="shared" ref="AA192:AA194" si="27">+Z192*1.12</f>
        <v>31.92</v>
      </c>
      <c r="AB192" s="4911"/>
      <c r="AC192" s="4880"/>
      <c r="AD192" s="945"/>
      <c r="AE192" s="799"/>
      <c r="AF192" s="1013" t="s">
        <v>153</v>
      </c>
      <c r="AG192" s="186"/>
      <c r="AH192" s="9318"/>
    </row>
    <row r="193" spans="1:34" ht="45.75" customHeight="1">
      <c r="A193" s="9392"/>
      <c r="B193" s="9398"/>
      <c r="C193" s="9333"/>
      <c r="D193" s="9311"/>
      <c r="E193" s="9311"/>
      <c r="F193" s="9311"/>
      <c r="G193" s="9311"/>
      <c r="H193" s="9311"/>
      <c r="I193" s="9311"/>
      <c r="J193" s="9311"/>
      <c r="K193" s="9311"/>
      <c r="L193" s="9311"/>
      <c r="M193" s="9313"/>
      <c r="N193" s="9313"/>
      <c r="O193" s="9313"/>
      <c r="P193" s="9311"/>
      <c r="Q193" s="9311"/>
      <c r="R193" s="9315"/>
      <c r="S193" s="748"/>
      <c r="T193" s="6305"/>
      <c r="U193" s="6305">
        <v>3891201410</v>
      </c>
      <c r="V193" s="1855" t="s">
        <v>1008</v>
      </c>
      <c r="W193" s="6381">
        <v>3</v>
      </c>
      <c r="X193" s="285" t="s">
        <v>180</v>
      </c>
      <c r="Y193" s="4910">
        <v>9.5</v>
      </c>
      <c r="Z193" s="4910">
        <f t="shared" si="26"/>
        <v>28.5</v>
      </c>
      <c r="AA193" s="4910">
        <f t="shared" si="27"/>
        <v>31.92</v>
      </c>
      <c r="AB193" s="4911"/>
      <c r="AC193" s="4880"/>
      <c r="AD193" s="945"/>
      <c r="AE193" s="799"/>
      <c r="AF193" s="1013" t="s">
        <v>153</v>
      </c>
      <c r="AG193" s="186"/>
      <c r="AH193" s="9318"/>
    </row>
    <row r="194" spans="1:34" ht="45.75" customHeight="1">
      <c r="A194" s="9392"/>
      <c r="B194" s="9398"/>
      <c r="C194" s="9333"/>
      <c r="D194" s="9311"/>
      <c r="E194" s="9311"/>
      <c r="F194" s="9311"/>
      <c r="G194" s="9311"/>
      <c r="H194" s="9311"/>
      <c r="I194" s="9311"/>
      <c r="J194" s="9311"/>
      <c r="K194" s="9311"/>
      <c r="L194" s="9311"/>
      <c r="M194" s="9313"/>
      <c r="N194" s="9313"/>
      <c r="O194" s="9313"/>
      <c r="P194" s="9311"/>
      <c r="Q194" s="9311"/>
      <c r="R194" s="9315"/>
      <c r="S194" s="748"/>
      <c r="T194" s="6305"/>
      <c r="U194" s="6305">
        <v>3891201410</v>
      </c>
      <c r="V194" s="1855" t="s">
        <v>1009</v>
      </c>
      <c r="W194" s="6381">
        <v>3</v>
      </c>
      <c r="X194" s="285" t="s">
        <v>180</v>
      </c>
      <c r="Y194" s="4910">
        <v>9.5</v>
      </c>
      <c r="Z194" s="4910">
        <f t="shared" si="26"/>
        <v>28.5</v>
      </c>
      <c r="AA194" s="4910">
        <f t="shared" si="27"/>
        <v>31.92</v>
      </c>
      <c r="AB194" s="4911"/>
      <c r="AC194" s="4880"/>
      <c r="AD194" s="945"/>
      <c r="AE194" s="799"/>
      <c r="AF194" s="1013" t="s">
        <v>153</v>
      </c>
      <c r="AG194" s="186"/>
      <c r="AH194" s="9318"/>
    </row>
    <row r="195" spans="1:34" ht="45.75" customHeight="1">
      <c r="A195" s="9392"/>
      <c r="B195" s="9398"/>
      <c r="C195" s="9333"/>
      <c r="D195" s="9311"/>
      <c r="E195" s="9311"/>
      <c r="F195" s="9311"/>
      <c r="G195" s="9311"/>
      <c r="H195" s="9311"/>
      <c r="I195" s="9311"/>
      <c r="J195" s="9311"/>
      <c r="K195" s="9311"/>
      <c r="L195" s="9311"/>
      <c r="M195" s="9313"/>
      <c r="N195" s="9313"/>
      <c r="O195" s="9313"/>
      <c r="P195" s="9311"/>
      <c r="Q195" s="9311"/>
      <c r="R195" s="9315"/>
      <c r="S195" s="748"/>
      <c r="T195" s="6305"/>
      <c r="U195" s="6305">
        <v>3891201410</v>
      </c>
      <c r="V195" s="1855" t="s">
        <v>1010</v>
      </c>
      <c r="W195" s="6381">
        <v>3</v>
      </c>
      <c r="X195" s="285" t="s">
        <v>180</v>
      </c>
      <c r="Y195" s="4910">
        <v>9.5</v>
      </c>
      <c r="Z195" s="4910">
        <f>+W195*Y195</f>
        <v>28.5</v>
      </c>
      <c r="AA195" s="4910">
        <f>+Z195*1.12</f>
        <v>31.92</v>
      </c>
      <c r="AB195" s="4911"/>
      <c r="AC195" s="4880"/>
      <c r="AD195" s="945"/>
      <c r="AE195" s="799"/>
      <c r="AF195" s="1013" t="s">
        <v>153</v>
      </c>
      <c r="AG195" s="186"/>
      <c r="AH195" s="9340"/>
    </row>
    <row r="196" spans="1:34" ht="45.75" customHeight="1">
      <c r="A196" s="9392"/>
      <c r="B196" s="9398"/>
      <c r="C196" s="9333"/>
      <c r="D196" s="9311"/>
      <c r="E196" s="9311"/>
      <c r="F196" s="9311"/>
      <c r="G196" s="9311"/>
      <c r="H196" s="9311"/>
      <c r="I196" s="9311"/>
      <c r="J196" s="9311"/>
      <c r="K196" s="9311"/>
      <c r="L196" s="9311"/>
      <c r="M196" s="9313"/>
      <c r="N196" s="9313"/>
      <c r="O196" s="9313"/>
      <c r="P196" s="9311"/>
      <c r="Q196" s="9311"/>
      <c r="R196" s="9315"/>
      <c r="S196" s="748"/>
      <c r="T196" s="6305"/>
      <c r="U196" s="6305"/>
      <c r="V196" s="8023" t="s">
        <v>1034</v>
      </c>
      <c r="W196" s="8097">
        <v>2</v>
      </c>
      <c r="X196" s="8025" t="s">
        <v>180</v>
      </c>
      <c r="Y196" s="7981">
        <f>100/1.12</f>
        <v>89.285714285714278</v>
      </c>
      <c r="Z196" s="7981">
        <f>+W196*Y196</f>
        <v>178.57142857142856</v>
      </c>
      <c r="AA196" s="7981">
        <f t="shared" ref="AA196:AA199" si="28">+Z196*1.12</f>
        <v>200</v>
      </c>
      <c r="AB196" s="7982"/>
      <c r="AC196" s="8100"/>
      <c r="AD196" s="8220"/>
      <c r="AE196" s="8221"/>
      <c r="AF196" s="8222" t="s">
        <v>153</v>
      </c>
      <c r="AG196" s="186"/>
      <c r="AH196" s="9340"/>
    </row>
    <row r="197" spans="1:34" ht="45.75" customHeight="1">
      <c r="A197" s="9392"/>
      <c r="B197" s="9398"/>
      <c r="C197" s="9333"/>
      <c r="D197" s="9311"/>
      <c r="E197" s="9311"/>
      <c r="F197" s="9311"/>
      <c r="G197" s="9311"/>
      <c r="H197" s="9311"/>
      <c r="I197" s="9311"/>
      <c r="J197" s="9311"/>
      <c r="K197" s="9311"/>
      <c r="L197" s="9311"/>
      <c r="M197" s="9313"/>
      <c r="N197" s="9313"/>
      <c r="O197" s="9313"/>
      <c r="P197" s="9311"/>
      <c r="Q197" s="9311"/>
      <c r="R197" s="9315"/>
      <c r="S197" s="748"/>
      <c r="T197" s="6305"/>
      <c r="U197" s="6305"/>
      <c r="V197" s="8023" t="s">
        <v>1035</v>
      </c>
      <c r="W197" s="8097">
        <v>2</v>
      </c>
      <c r="X197" s="8025" t="s">
        <v>180</v>
      </c>
      <c r="Y197" s="7981">
        <f t="shared" ref="Y197:Y199" si="29">100/1.12</f>
        <v>89.285714285714278</v>
      </c>
      <c r="Z197" s="7981">
        <f t="shared" ref="Z197:Z199" si="30">+W197*Y197</f>
        <v>178.57142857142856</v>
      </c>
      <c r="AA197" s="7981">
        <f t="shared" si="28"/>
        <v>200</v>
      </c>
      <c r="AB197" s="7982"/>
      <c r="AC197" s="8100"/>
      <c r="AD197" s="8220"/>
      <c r="AE197" s="8221"/>
      <c r="AF197" s="8222" t="s">
        <v>153</v>
      </c>
      <c r="AG197" s="186"/>
      <c r="AH197" s="9340"/>
    </row>
    <row r="198" spans="1:34" ht="45.75" customHeight="1">
      <c r="A198" s="9392"/>
      <c r="B198" s="9398"/>
      <c r="C198" s="9333"/>
      <c r="D198" s="9311"/>
      <c r="E198" s="9311"/>
      <c r="F198" s="9311"/>
      <c r="G198" s="9311"/>
      <c r="H198" s="9311"/>
      <c r="I198" s="9311"/>
      <c r="J198" s="9311"/>
      <c r="K198" s="9311"/>
      <c r="L198" s="9311"/>
      <c r="M198" s="9313"/>
      <c r="N198" s="9313"/>
      <c r="O198" s="9313"/>
      <c r="P198" s="9311"/>
      <c r="Q198" s="9311"/>
      <c r="R198" s="9315"/>
      <c r="S198" s="748"/>
      <c r="T198" s="6305"/>
      <c r="U198" s="6305"/>
      <c r="V198" s="8023" t="s">
        <v>1036</v>
      </c>
      <c r="W198" s="8097">
        <v>2</v>
      </c>
      <c r="X198" s="8025" t="s">
        <v>180</v>
      </c>
      <c r="Y198" s="7981">
        <f t="shared" si="29"/>
        <v>89.285714285714278</v>
      </c>
      <c r="Z198" s="7981">
        <f t="shared" si="30"/>
        <v>178.57142857142856</v>
      </c>
      <c r="AA198" s="7981">
        <f t="shared" si="28"/>
        <v>200</v>
      </c>
      <c r="AB198" s="7982"/>
      <c r="AC198" s="8100"/>
      <c r="AD198" s="8220"/>
      <c r="AE198" s="8221"/>
      <c r="AF198" s="8222" t="s">
        <v>153</v>
      </c>
      <c r="AG198" s="186"/>
      <c r="AH198" s="9340"/>
    </row>
    <row r="199" spans="1:34" ht="45.75" customHeight="1">
      <c r="A199" s="9392"/>
      <c r="B199" s="9398"/>
      <c r="C199" s="9333"/>
      <c r="D199" s="9311"/>
      <c r="E199" s="9311"/>
      <c r="F199" s="9311"/>
      <c r="G199" s="9311"/>
      <c r="H199" s="9311"/>
      <c r="I199" s="9311"/>
      <c r="J199" s="9311"/>
      <c r="K199" s="9311"/>
      <c r="L199" s="9311"/>
      <c r="M199" s="9313"/>
      <c r="N199" s="9313"/>
      <c r="O199" s="9313"/>
      <c r="P199" s="9311"/>
      <c r="Q199" s="9312"/>
      <c r="R199" s="9315"/>
      <c r="S199" s="748"/>
      <c r="T199" s="6305"/>
      <c r="U199" s="6305"/>
      <c r="V199" s="8023" t="s">
        <v>1037</v>
      </c>
      <c r="W199" s="8097">
        <v>2</v>
      </c>
      <c r="X199" s="8025" t="s">
        <v>180</v>
      </c>
      <c r="Y199" s="7981">
        <f t="shared" si="29"/>
        <v>89.285714285714278</v>
      </c>
      <c r="Z199" s="7981">
        <f t="shared" si="30"/>
        <v>178.57142857142856</v>
      </c>
      <c r="AA199" s="7981">
        <f t="shared" si="28"/>
        <v>200</v>
      </c>
      <c r="AB199" s="7982"/>
      <c r="AC199" s="8100"/>
      <c r="AD199" s="8220"/>
      <c r="AE199" s="8221"/>
      <c r="AF199" s="8222" t="s">
        <v>153</v>
      </c>
      <c r="AG199" s="186"/>
      <c r="AH199" s="9319"/>
    </row>
    <row r="200" spans="1:34" ht="27.75" customHeight="1">
      <c r="A200" s="9392"/>
      <c r="B200" s="9398"/>
      <c r="C200" s="9332" t="s">
        <v>127</v>
      </c>
      <c r="D200" s="9258" t="s">
        <v>128</v>
      </c>
      <c r="E200" s="9258" t="s">
        <v>140</v>
      </c>
      <c r="F200" s="9258" t="s">
        <v>212</v>
      </c>
      <c r="G200" s="9335" t="s">
        <v>131</v>
      </c>
      <c r="H200" s="9258" t="s">
        <v>132</v>
      </c>
      <c r="I200" s="9258" t="s">
        <v>159</v>
      </c>
      <c r="J200" s="9329" t="s">
        <v>1038</v>
      </c>
      <c r="K200" s="9258" t="s">
        <v>1039</v>
      </c>
      <c r="L200" s="9258" t="s">
        <v>1040</v>
      </c>
      <c r="M200" s="8975">
        <v>3</v>
      </c>
      <c r="N200" s="8975">
        <v>2</v>
      </c>
      <c r="O200" s="8975">
        <v>3</v>
      </c>
      <c r="P200" s="9255" t="s">
        <v>1041</v>
      </c>
      <c r="Q200" s="9262" t="s">
        <v>1042</v>
      </c>
      <c r="R200" s="9277" t="s">
        <v>1043</v>
      </c>
      <c r="S200" s="1127"/>
      <c r="T200" s="6349"/>
      <c r="U200" s="6352"/>
      <c r="V200" s="1128"/>
      <c r="W200" s="6383"/>
      <c r="X200" s="1036"/>
      <c r="Y200" s="6413"/>
      <c r="Z200" s="6413"/>
      <c r="AA200" s="6413"/>
      <c r="AB200" s="6414"/>
      <c r="AC200" s="6291"/>
      <c r="AD200" s="1122"/>
      <c r="AE200" s="1036"/>
      <c r="AF200" s="1038"/>
      <c r="AG200" s="189"/>
      <c r="AH200" s="9317"/>
    </row>
    <row r="201" spans="1:34" ht="27.75" customHeight="1">
      <c r="A201" s="9392"/>
      <c r="B201" s="9398"/>
      <c r="C201" s="9333"/>
      <c r="D201" s="9311"/>
      <c r="E201" s="9311"/>
      <c r="F201" s="9311"/>
      <c r="G201" s="9311"/>
      <c r="H201" s="9311"/>
      <c r="I201" s="9311"/>
      <c r="J201" s="9311"/>
      <c r="K201" s="9311"/>
      <c r="L201" s="9311"/>
      <c r="M201" s="9313"/>
      <c r="N201" s="9313"/>
      <c r="O201" s="9313"/>
      <c r="P201" s="9311"/>
      <c r="Q201" s="9311"/>
      <c r="R201" s="9315"/>
      <c r="S201" s="943"/>
      <c r="T201" s="6306"/>
      <c r="U201" s="6306"/>
      <c r="V201" s="970"/>
      <c r="W201" s="4862"/>
      <c r="X201" s="799"/>
      <c r="Y201" s="4898"/>
      <c r="Z201" s="4898"/>
      <c r="AA201" s="4898"/>
      <c r="AB201" s="4899"/>
      <c r="AC201" s="4876"/>
      <c r="AD201" s="945"/>
      <c r="AE201" s="799"/>
      <c r="AF201" s="1013"/>
      <c r="AG201" s="186"/>
      <c r="AH201" s="9318"/>
    </row>
    <row r="202" spans="1:34" ht="27.75" customHeight="1">
      <c r="A202" s="9392"/>
      <c r="B202" s="9398"/>
      <c r="C202" s="9333"/>
      <c r="D202" s="9311"/>
      <c r="E202" s="9311"/>
      <c r="F202" s="9311"/>
      <c r="G202" s="9311"/>
      <c r="H202" s="9311"/>
      <c r="I202" s="9311"/>
      <c r="J202" s="9311"/>
      <c r="K202" s="9311"/>
      <c r="L202" s="9311"/>
      <c r="M202" s="9313"/>
      <c r="N202" s="9313"/>
      <c r="O202" s="9313"/>
      <c r="P202" s="9311"/>
      <c r="Q202" s="9311"/>
      <c r="R202" s="9315"/>
      <c r="S202" s="943"/>
      <c r="T202" s="6306"/>
      <c r="U202" s="6306"/>
      <c r="V202" s="970"/>
      <c r="W202" s="4862"/>
      <c r="X202" s="944"/>
      <c r="Y202" s="4898"/>
      <c r="Z202" s="4898"/>
      <c r="AA202" s="4898"/>
      <c r="AB202" s="4899"/>
      <c r="AC202" s="4876"/>
      <c r="AD202" s="945"/>
      <c r="AE202" s="799"/>
      <c r="AF202" s="1013"/>
      <c r="AG202" s="186"/>
      <c r="AH202" s="9318"/>
    </row>
    <row r="203" spans="1:34" ht="27.75" customHeight="1">
      <c r="A203" s="9392"/>
      <c r="B203" s="9398"/>
      <c r="C203" s="9333"/>
      <c r="D203" s="9311"/>
      <c r="E203" s="9311"/>
      <c r="F203" s="9311"/>
      <c r="G203" s="9311"/>
      <c r="H203" s="9311"/>
      <c r="I203" s="9311"/>
      <c r="J203" s="9311"/>
      <c r="K203" s="9311"/>
      <c r="L203" s="9311"/>
      <c r="M203" s="9313"/>
      <c r="N203" s="9313"/>
      <c r="O203" s="9313"/>
      <c r="P203" s="9311"/>
      <c r="Q203" s="9311"/>
      <c r="R203" s="9315"/>
      <c r="S203" s="943"/>
      <c r="T203" s="6306"/>
      <c r="U203" s="6306"/>
      <c r="V203" s="798"/>
      <c r="W203" s="4862"/>
      <c r="X203" s="944"/>
      <c r="Y203" s="4898"/>
      <c r="Z203" s="4898"/>
      <c r="AA203" s="4898"/>
      <c r="AB203" s="4899"/>
      <c r="AC203" s="4876"/>
      <c r="AD203" s="945"/>
      <c r="AE203" s="799"/>
      <c r="AF203" s="1013"/>
      <c r="AG203" s="186"/>
      <c r="AH203" s="9318"/>
    </row>
    <row r="204" spans="1:34" ht="27.75" customHeight="1">
      <c r="A204" s="9392"/>
      <c r="B204" s="9398"/>
      <c r="C204" s="9395"/>
      <c r="D204" s="9312"/>
      <c r="E204" s="9312"/>
      <c r="F204" s="9312"/>
      <c r="G204" s="9312"/>
      <c r="H204" s="9312"/>
      <c r="I204" s="9312"/>
      <c r="J204" s="9312"/>
      <c r="K204" s="9312"/>
      <c r="L204" s="9312"/>
      <c r="M204" s="9314"/>
      <c r="N204" s="9314"/>
      <c r="O204" s="9314"/>
      <c r="P204" s="9312"/>
      <c r="Q204" s="9312"/>
      <c r="R204" s="9316"/>
      <c r="S204" s="1129"/>
      <c r="T204" s="6260"/>
      <c r="U204" s="6260"/>
      <c r="V204" s="974"/>
      <c r="W204" s="4868"/>
      <c r="X204" s="1108"/>
      <c r="Y204" s="4909"/>
      <c r="Z204" s="4909"/>
      <c r="AA204" s="4909"/>
      <c r="AB204" s="4905"/>
      <c r="AC204" s="4877"/>
      <c r="AD204" s="1126"/>
      <c r="AE204" s="1023"/>
      <c r="AF204" s="1024"/>
      <c r="AG204" s="182"/>
      <c r="AH204" s="9319"/>
    </row>
    <row r="205" spans="1:34" ht="25.5" customHeight="1">
      <c r="A205" s="9392"/>
      <c r="B205" s="9398"/>
      <c r="C205" s="9400" t="s">
        <v>127</v>
      </c>
      <c r="D205" s="9167" t="s">
        <v>128</v>
      </c>
      <c r="E205" s="9167" t="s">
        <v>140</v>
      </c>
      <c r="F205" s="9167" t="s">
        <v>212</v>
      </c>
      <c r="G205" s="9320" t="s">
        <v>131</v>
      </c>
      <c r="H205" s="9167" t="s">
        <v>132</v>
      </c>
      <c r="I205" s="9167" t="s">
        <v>159</v>
      </c>
      <c r="J205" s="9262" t="s">
        <v>1044</v>
      </c>
      <c r="K205" s="9167" t="s">
        <v>1045</v>
      </c>
      <c r="L205" s="9167" t="s">
        <v>1046</v>
      </c>
      <c r="M205" s="9407">
        <v>1</v>
      </c>
      <c r="N205" s="9407">
        <v>1</v>
      </c>
      <c r="O205" s="9407">
        <v>1</v>
      </c>
      <c r="P205" s="9262" t="s">
        <v>1047</v>
      </c>
      <c r="Q205" s="9262" t="s">
        <v>1048</v>
      </c>
      <c r="R205" s="9263" t="s">
        <v>1043</v>
      </c>
      <c r="S205" s="939"/>
      <c r="T205" s="6316"/>
      <c r="U205" s="6353"/>
      <c r="V205" s="1130"/>
      <c r="W205" s="6388"/>
      <c r="X205" s="1131"/>
      <c r="Y205" s="6418"/>
      <c r="Z205" s="4900"/>
      <c r="AA205" s="4900"/>
      <c r="AB205" s="4906"/>
      <c r="AC205" s="4878"/>
      <c r="AD205" s="942"/>
      <c r="AE205" s="794"/>
      <c r="AF205" s="1033"/>
      <c r="AG205" s="184"/>
      <c r="AH205" s="9383"/>
    </row>
    <row r="206" spans="1:34" ht="25.5" customHeight="1">
      <c r="A206" s="9392"/>
      <c r="B206" s="9398"/>
      <c r="C206" s="9333"/>
      <c r="D206" s="9311"/>
      <c r="E206" s="9311"/>
      <c r="F206" s="9311"/>
      <c r="G206" s="9311"/>
      <c r="H206" s="9311"/>
      <c r="I206" s="9311"/>
      <c r="J206" s="9311"/>
      <c r="K206" s="9311"/>
      <c r="L206" s="9311"/>
      <c r="M206" s="9313"/>
      <c r="N206" s="9313"/>
      <c r="O206" s="9313"/>
      <c r="P206" s="9311"/>
      <c r="Q206" s="9311"/>
      <c r="R206" s="9315"/>
      <c r="S206" s="943"/>
      <c r="T206" s="6306"/>
      <c r="U206" s="6354"/>
      <c r="V206" s="1132"/>
      <c r="W206" s="6389"/>
      <c r="X206" s="1133"/>
      <c r="Y206" s="6419"/>
      <c r="Z206" s="4898"/>
      <c r="AA206" s="4898"/>
      <c r="AB206" s="4899"/>
      <c r="AC206" s="4876"/>
      <c r="AD206" s="945"/>
      <c r="AE206" s="799"/>
      <c r="AF206" s="1013"/>
      <c r="AG206" s="186"/>
      <c r="AH206" s="9318"/>
    </row>
    <row r="207" spans="1:34" ht="25.5" customHeight="1">
      <c r="A207" s="9392"/>
      <c r="B207" s="9398"/>
      <c r="C207" s="9333"/>
      <c r="D207" s="9311"/>
      <c r="E207" s="9311"/>
      <c r="F207" s="9311"/>
      <c r="G207" s="9311"/>
      <c r="H207" s="9311"/>
      <c r="I207" s="9311"/>
      <c r="J207" s="9311"/>
      <c r="K207" s="9311"/>
      <c r="L207" s="9311"/>
      <c r="M207" s="9313"/>
      <c r="N207" s="9313"/>
      <c r="O207" s="9313"/>
      <c r="P207" s="9311"/>
      <c r="Q207" s="9311"/>
      <c r="R207" s="9315"/>
      <c r="S207" s="943"/>
      <c r="T207" s="6306"/>
      <c r="U207" s="6354"/>
      <c r="V207" s="1132"/>
      <c r="W207" s="6389"/>
      <c r="X207" s="1133"/>
      <c r="Y207" s="6419"/>
      <c r="Z207" s="4898"/>
      <c r="AA207" s="4898"/>
      <c r="AB207" s="4899"/>
      <c r="AC207" s="4876"/>
      <c r="AD207" s="945"/>
      <c r="AE207" s="799"/>
      <c r="AF207" s="1013"/>
      <c r="AG207" s="186"/>
      <c r="AH207" s="9318"/>
    </row>
    <row r="208" spans="1:34" ht="25.5" customHeight="1">
      <c r="A208" s="9392"/>
      <c r="B208" s="9398"/>
      <c r="C208" s="9333"/>
      <c r="D208" s="9311"/>
      <c r="E208" s="9311"/>
      <c r="F208" s="9311"/>
      <c r="G208" s="9311"/>
      <c r="H208" s="9311"/>
      <c r="I208" s="9311"/>
      <c r="J208" s="9311"/>
      <c r="K208" s="9311"/>
      <c r="L208" s="9311"/>
      <c r="M208" s="9313"/>
      <c r="N208" s="9313"/>
      <c r="O208" s="9313"/>
      <c r="P208" s="9311"/>
      <c r="Q208" s="9311"/>
      <c r="R208" s="9315"/>
      <c r="S208" s="943"/>
      <c r="T208" s="6306"/>
      <c r="U208" s="6354"/>
      <c r="V208" s="1132"/>
      <c r="W208" s="6389"/>
      <c r="X208" s="1133"/>
      <c r="Y208" s="6419"/>
      <c r="Z208" s="4898"/>
      <c r="AA208" s="4898"/>
      <c r="AB208" s="4899"/>
      <c r="AC208" s="4876"/>
      <c r="AD208" s="945"/>
      <c r="AE208" s="799"/>
      <c r="AF208" s="1013"/>
      <c r="AG208" s="186"/>
      <c r="AH208" s="9318"/>
    </row>
    <row r="209" spans="1:34" ht="25.5" customHeight="1">
      <c r="A209" s="9392"/>
      <c r="B209" s="9398"/>
      <c r="C209" s="9333"/>
      <c r="D209" s="9311"/>
      <c r="E209" s="9311"/>
      <c r="F209" s="9311"/>
      <c r="G209" s="9311"/>
      <c r="H209" s="9311"/>
      <c r="I209" s="9311"/>
      <c r="J209" s="9311"/>
      <c r="K209" s="9311"/>
      <c r="L209" s="9311"/>
      <c r="M209" s="9313"/>
      <c r="N209" s="9313"/>
      <c r="O209" s="9313"/>
      <c r="P209" s="9311"/>
      <c r="Q209" s="9311"/>
      <c r="R209" s="9315"/>
      <c r="S209" s="1134"/>
      <c r="T209" s="6329"/>
      <c r="U209" s="6355"/>
      <c r="V209" s="1135"/>
      <c r="W209" s="6390"/>
      <c r="X209" s="1136"/>
      <c r="Y209" s="6420"/>
      <c r="Z209" s="6420"/>
      <c r="AA209" s="6420"/>
      <c r="AB209" s="4908"/>
      <c r="AC209" s="4879"/>
      <c r="AD209" s="1119"/>
      <c r="AE209" s="1018"/>
      <c r="AF209" s="1029"/>
      <c r="AG209" s="345"/>
      <c r="AH209" s="9340"/>
    </row>
    <row r="210" spans="1:34" ht="26.25" customHeight="1">
      <c r="A210" s="9392"/>
      <c r="B210" s="9398"/>
      <c r="C210" s="9332" t="s">
        <v>127</v>
      </c>
      <c r="D210" s="9258" t="s">
        <v>128</v>
      </c>
      <c r="E210" s="9258" t="s">
        <v>140</v>
      </c>
      <c r="F210" s="9258" t="s">
        <v>212</v>
      </c>
      <c r="G210" s="9335" t="s">
        <v>131</v>
      </c>
      <c r="H210" s="9258" t="s">
        <v>132</v>
      </c>
      <c r="I210" s="9258" t="s">
        <v>159</v>
      </c>
      <c r="J210" s="9255" t="s">
        <v>1049</v>
      </c>
      <c r="K210" s="9258" t="s">
        <v>1050</v>
      </c>
      <c r="L210" s="9258" t="s">
        <v>1051</v>
      </c>
      <c r="M210" s="8975">
        <v>1</v>
      </c>
      <c r="N210" s="8975">
        <v>1</v>
      </c>
      <c r="O210" s="8975">
        <v>1</v>
      </c>
      <c r="P210" s="9255" t="s">
        <v>1052</v>
      </c>
      <c r="Q210" s="9255" t="s">
        <v>1053</v>
      </c>
      <c r="R210" s="9277" t="s">
        <v>1043</v>
      </c>
      <c r="S210" s="1127"/>
      <c r="T210" s="6350"/>
      <c r="U210" s="6356"/>
      <c r="V210" s="1137"/>
      <c r="W210" s="6391"/>
      <c r="X210" s="1138"/>
      <c r="Y210" s="6421"/>
      <c r="Z210" s="6413"/>
      <c r="AA210" s="6413"/>
      <c r="AB210" s="6414"/>
      <c r="AC210" s="6291"/>
      <c r="AD210" s="1122"/>
      <c r="AE210" s="1036"/>
      <c r="AF210" s="1038"/>
      <c r="AG210" s="189"/>
      <c r="AH210" s="9324"/>
    </row>
    <row r="211" spans="1:34" ht="26.25" customHeight="1">
      <c r="A211" s="9392"/>
      <c r="B211" s="9398"/>
      <c r="C211" s="9333"/>
      <c r="D211" s="9311"/>
      <c r="E211" s="9311"/>
      <c r="F211" s="9311"/>
      <c r="G211" s="9311"/>
      <c r="H211" s="9311"/>
      <c r="I211" s="9311"/>
      <c r="J211" s="9311"/>
      <c r="K211" s="9311"/>
      <c r="L211" s="9311"/>
      <c r="M211" s="9313"/>
      <c r="N211" s="9313"/>
      <c r="O211" s="9313"/>
      <c r="P211" s="9311"/>
      <c r="Q211" s="9311"/>
      <c r="R211" s="9315"/>
      <c r="S211" s="943"/>
      <c r="T211" s="6306"/>
      <c r="U211" s="6354"/>
      <c r="V211" s="1132"/>
      <c r="W211" s="6389"/>
      <c r="X211" s="1133"/>
      <c r="Y211" s="6419"/>
      <c r="Z211" s="4898"/>
      <c r="AA211" s="4898"/>
      <c r="AB211" s="4899"/>
      <c r="AC211" s="4876"/>
      <c r="AD211" s="945"/>
      <c r="AE211" s="799"/>
      <c r="AF211" s="1013"/>
      <c r="AG211" s="186"/>
      <c r="AH211" s="9318"/>
    </row>
    <row r="212" spans="1:34" ht="26.25" customHeight="1">
      <c r="A212" s="9392"/>
      <c r="B212" s="9398"/>
      <c r="C212" s="9333"/>
      <c r="D212" s="9311"/>
      <c r="E212" s="9311"/>
      <c r="F212" s="9311"/>
      <c r="G212" s="9311"/>
      <c r="H212" s="9311"/>
      <c r="I212" s="9311"/>
      <c r="J212" s="9311"/>
      <c r="K212" s="9311"/>
      <c r="L212" s="9311"/>
      <c r="M212" s="9313"/>
      <c r="N212" s="9313"/>
      <c r="O212" s="9313"/>
      <c r="P212" s="9311"/>
      <c r="Q212" s="9311"/>
      <c r="R212" s="9315"/>
      <c r="S212" s="943"/>
      <c r="T212" s="6306"/>
      <c r="U212" s="6354"/>
      <c r="V212" s="1132"/>
      <c r="W212" s="6389"/>
      <c r="X212" s="1133"/>
      <c r="Y212" s="6419"/>
      <c r="Z212" s="4898"/>
      <c r="AA212" s="4898"/>
      <c r="AB212" s="4899"/>
      <c r="AC212" s="4876"/>
      <c r="AD212" s="945"/>
      <c r="AE212" s="799"/>
      <c r="AF212" s="1013"/>
      <c r="AG212" s="186"/>
      <c r="AH212" s="9318"/>
    </row>
    <row r="213" spans="1:34" ht="26.25" customHeight="1">
      <c r="A213" s="9392"/>
      <c r="B213" s="9398"/>
      <c r="C213" s="9333"/>
      <c r="D213" s="9311"/>
      <c r="E213" s="9311"/>
      <c r="F213" s="9311"/>
      <c r="G213" s="9311"/>
      <c r="H213" s="9311"/>
      <c r="I213" s="9311"/>
      <c r="J213" s="9311"/>
      <c r="K213" s="9311"/>
      <c r="L213" s="9311"/>
      <c r="M213" s="9313"/>
      <c r="N213" s="9313"/>
      <c r="O213" s="9313"/>
      <c r="P213" s="9311"/>
      <c r="Q213" s="9311"/>
      <c r="R213" s="9315"/>
      <c r="S213" s="943"/>
      <c r="T213" s="6306"/>
      <c r="U213" s="6354"/>
      <c r="V213" s="1132"/>
      <c r="W213" s="6389"/>
      <c r="X213" s="1133"/>
      <c r="Y213" s="6419"/>
      <c r="Z213" s="4898"/>
      <c r="AA213" s="4898"/>
      <c r="AB213" s="4899"/>
      <c r="AC213" s="4876"/>
      <c r="AD213" s="945"/>
      <c r="AE213" s="799"/>
      <c r="AF213" s="1013"/>
      <c r="AG213" s="186"/>
      <c r="AH213" s="9318"/>
    </row>
    <row r="214" spans="1:34" ht="26.25" customHeight="1">
      <c r="A214" s="9392"/>
      <c r="B214" s="9398"/>
      <c r="C214" s="9395"/>
      <c r="D214" s="9312"/>
      <c r="E214" s="9312"/>
      <c r="F214" s="9312"/>
      <c r="G214" s="9312"/>
      <c r="H214" s="9312"/>
      <c r="I214" s="9312"/>
      <c r="J214" s="9312"/>
      <c r="K214" s="9312"/>
      <c r="L214" s="9312"/>
      <c r="M214" s="9314"/>
      <c r="N214" s="9314"/>
      <c r="O214" s="9314"/>
      <c r="P214" s="9312"/>
      <c r="Q214" s="9312"/>
      <c r="R214" s="9316"/>
      <c r="S214" s="1129"/>
      <c r="T214" s="6260"/>
      <c r="U214" s="6260"/>
      <c r="V214" s="1124"/>
      <c r="W214" s="6364"/>
      <c r="X214" s="1125"/>
      <c r="Y214" s="4909"/>
      <c r="Z214" s="4909"/>
      <c r="AA214" s="4909"/>
      <c r="AB214" s="4905"/>
      <c r="AC214" s="4877"/>
      <c r="AD214" s="1126"/>
      <c r="AE214" s="1023"/>
      <c r="AF214" s="1024"/>
      <c r="AG214" s="182"/>
      <c r="AH214" s="9319"/>
    </row>
    <row r="215" spans="1:34" ht="18" customHeight="1">
      <c r="A215" s="9392"/>
      <c r="B215" s="9398"/>
      <c r="C215" s="9332" t="s">
        <v>127</v>
      </c>
      <c r="D215" s="9258" t="s">
        <v>128</v>
      </c>
      <c r="E215" s="9258" t="s">
        <v>140</v>
      </c>
      <c r="F215" s="9258" t="s">
        <v>212</v>
      </c>
      <c r="G215" s="9335" t="s">
        <v>131</v>
      </c>
      <c r="H215" s="9258" t="s">
        <v>132</v>
      </c>
      <c r="I215" s="9258" t="s">
        <v>159</v>
      </c>
      <c r="J215" s="9255" t="s">
        <v>1054</v>
      </c>
      <c r="K215" s="9258" t="s">
        <v>338</v>
      </c>
      <c r="L215" s="9258" t="s">
        <v>1055</v>
      </c>
      <c r="M215" s="8975">
        <v>1</v>
      </c>
      <c r="N215" s="8975">
        <v>1</v>
      </c>
      <c r="O215" s="8975">
        <v>1</v>
      </c>
      <c r="P215" s="9404" t="s">
        <v>1056</v>
      </c>
      <c r="Q215" s="9401" t="s">
        <v>939</v>
      </c>
      <c r="R215" s="9277" t="s">
        <v>1057</v>
      </c>
      <c r="S215" s="747" t="s">
        <v>15</v>
      </c>
      <c r="T215" s="4697">
        <v>840104</v>
      </c>
      <c r="U215" s="6330"/>
      <c r="V215" s="1843" t="s">
        <v>39</v>
      </c>
      <c r="W215" s="4874"/>
      <c r="X215" s="76"/>
      <c r="Y215" s="4922"/>
      <c r="Z215" s="4922"/>
      <c r="AA215" s="4922"/>
      <c r="AB215" s="4923">
        <f>SUM($AA$216:$AA$222)</f>
        <v>36043.672000000006</v>
      </c>
      <c r="AC215" s="4883" t="s">
        <v>18</v>
      </c>
      <c r="AD215" s="1122"/>
      <c r="AE215" s="1036"/>
      <c r="AF215" s="1038"/>
      <c r="AG215" s="189"/>
      <c r="AH215" s="9324"/>
    </row>
    <row r="216" spans="1:34" ht="18" customHeight="1">
      <c r="A216" s="9392"/>
      <c r="B216" s="9398"/>
      <c r="C216" s="9333"/>
      <c r="D216" s="9311"/>
      <c r="E216" s="9311"/>
      <c r="F216" s="9311"/>
      <c r="G216" s="9311"/>
      <c r="H216" s="9311"/>
      <c r="I216" s="9311"/>
      <c r="J216" s="9311"/>
      <c r="K216" s="9311"/>
      <c r="L216" s="9311"/>
      <c r="M216" s="9313"/>
      <c r="N216" s="9313"/>
      <c r="O216" s="9313"/>
      <c r="P216" s="9405"/>
      <c r="Q216" s="9402"/>
      <c r="R216" s="9315"/>
      <c r="S216" s="748"/>
      <c r="T216" s="6305"/>
      <c r="U216" s="6305" t="s">
        <v>1058</v>
      </c>
      <c r="V216" s="1855" t="s">
        <v>1059</v>
      </c>
      <c r="W216" s="6369">
        <v>2</v>
      </c>
      <c r="X216" s="285" t="s">
        <v>180</v>
      </c>
      <c r="Y216" s="4910">
        <v>3517.94</v>
      </c>
      <c r="Z216" s="4910">
        <f t="shared" ref="Z216:Z222" si="31">+W216*Y216</f>
        <v>7035.88</v>
      </c>
      <c r="AA216" s="4910">
        <f t="shared" ref="AA216:AA222" si="32">+Z216*1.12</f>
        <v>7880.1856000000007</v>
      </c>
      <c r="AB216" s="4911"/>
      <c r="AC216" s="4880"/>
      <c r="AD216" s="945"/>
      <c r="AE216" s="799"/>
      <c r="AF216" s="2081" t="s">
        <v>153</v>
      </c>
      <c r="AG216" s="15"/>
      <c r="AH216" s="9318"/>
    </row>
    <row r="217" spans="1:34" ht="18" customHeight="1">
      <c r="A217" s="9392"/>
      <c r="B217" s="9398"/>
      <c r="C217" s="9333"/>
      <c r="D217" s="9311"/>
      <c r="E217" s="9311"/>
      <c r="F217" s="9311"/>
      <c r="G217" s="9311"/>
      <c r="H217" s="9311"/>
      <c r="I217" s="9311"/>
      <c r="J217" s="9311"/>
      <c r="K217" s="9311"/>
      <c r="L217" s="9311"/>
      <c r="M217" s="9313"/>
      <c r="N217" s="9313"/>
      <c r="O217" s="9313"/>
      <c r="P217" s="9405"/>
      <c r="Q217" s="9402"/>
      <c r="R217" s="9315"/>
      <c r="S217" s="748"/>
      <c r="T217" s="6305"/>
      <c r="U217" s="6305" t="s">
        <v>1058</v>
      </c>
      <c r="V217" s="1854" t="s">
        <v>1060</v>
      </c>
      <c r="W217" s="6369">
        <v>8</v>
      </c>
      <c r="X217" s="285" t="s">
        <v>180</v>
      </c>
      <c r="Y217" s="4910">
        <v>2567.2199999999998</v>
      </c>
      <c r="Z217" s="4910">
        <f t="shared" si="31"/>
        <v>20537.759999999998</v>
      </c>
      <c r="AA217" s="4910">
        <f t="shared" si="32"/>
        <v>23002.2912</v>
      </c>
      <c r="AB217" s="4911"/>
      <c r="AC217" s="4880"/>
      <c r="AD217" s="945"/>
      <c r="AE217" s="799"/>
      <c r="AF217" s="2081" t="s">
        <v>153</v>
      </c>
      <c r="AG217" s="15"/>
      <c r="AH217" s="9318"/>
    </row>
    <row r="218" spans="1:34" ht="18" customHeight="1">
      <c r="A218" s="9392"/>
      <c r="B218" s="9398"/>
      <c r="C218" s="9333"/>
      <c r="D218" s="9311"/>
      <c r="E218" s="9311"/>
      <c r="F218" s="9311"/>
      <c r="G218" s="9311"/>
      <c r="H218" s="9311"/>
      <c r="I218" s="9311"/>
      <c r="J218" s="9311"/>
      <c r="K218" s="9311"/>
      <c r="L218" s="9311"/>
      <c r="M218" s="9313"/>
      <c r="N218" s="9313"/>
      <c r="O218" s="9313"/>
      <c r="P218" s="9405"/>
      <c r="Q218" s="9402"/>
      <c r="R218" s="9315"/>
      <c r="S218" s="748"/>
      <c r="T218" s="6305"/>
      <c r="U218" s="6305" t="s">
        <v>1058</v>
      </c>
      <c r="V218" s="1854" t="s">
        <v>1061</v>
      </c>
      <c r="W218" s="6369">
        <v>1</v>
      </c>
      <c r="X218" s="285" t="s">
        <v>180</v>
      </c>
      <c r="Y218" s="4910">
        <v>1070.79</v>
      </c>
      <c r="Z218" s="4910">
        <f t="shared" si="31"/>
        <v>1070.79</v>
      </c>
      <c r="AA218" s="4910">
        <f t="shared" si="32"/>
        <v>1199.2848000000001</v>
      </c>
      <c r="AB218" s="4911"/>
      <c r="AC218" s="4880"/>
      <c r="AD218" s="945"/>
      <c r="AE218" s="799"/>
      <c r="AF218" s="2081" t="s">
        <v>153</v>
      </c>
      <c r="AG218" s="15"/>
      <c r="AH218" s="9318"/>
    </row>
    <row r="219" spans="1:34" ht="18" customHeight="1">
      <c r="A219" s="9392"/>
      <c r="B219" s="9398"/>
      <c r="C219" s="9333"/>
      <c r="D219" s="9311"/>
      <c r="E219" s="9311"/>
      <c r="F219" s="9311"/>
      <c r="G219" s="9311"/>
      <c r="H219" s="9311"/>
      <c r="I219" s="9311"/>
      <c r="J219" s="9311"/>
      <c r="K219" s="9311"/>
      <c r="L219" s="9311"/>
      <c r="M219" s="9313"/>
      <c r="N219" s="9313"/>
      <c r="O219" s="9313"/>
      <c r="P219" s="9405"/>
      <c r="Q219" s="9402"/>
      <c r="R219" s="9315"/>
      <c r="S219" s="748"/>
      <c r="T219" s="6305"/>
      <c r="U219" s="6305" t="s">
        <v>1058</v>
      </c>
      <c r="V219" s="1854" t="s">
        <v>1062</v>
      </c>
      <c r="W219" s="6369">
        <v>1</v>
      </c>
      <c r="X219" s="285" t="s">
        <v>180</v>
      </c>
      <c r="Y219" s="4910">
        <v>1111.8800000000001</v>
      </c>
      <c r="Z219" s="4910">
        <f t="shared" si="31"/>
        <v>1111.8800000000001</v>
      </c>
      <c r="AA219" s="4910">
        <f t="shared" si="32"/>
        <v>1245.3056000000001</v>
      </c>
      <c r="AB219" s="4911"/>
      <c r="AC219" s="4880"/>
      <c r="AD219" s="945"/>
      <c r="AE219" s="799"/>
      <c r="AF219" s="2081" t="s">
        <v>153</v>
      </c>
      <c r="AG219" s="15"/>
      <c r="AH219" s="9318"/>
    </row>
    <row r="220" spans="1:34" ht="18" customHeight="1">
      <c r="A220" s="9392"/>
      <c r="B220" s="9398"/>
      <c r="C220" s="9333"/>
      <c r="D220" s="9311"/>
      <c r="E220" s="9311"/>
      <c r="F220" s="9311"/>
      <c r="G220" s="9311"/>
      <c r="H220" s="9311"/>
      <c r="I220" s="9311"/>
      <c r="J220" s="9311"/>
      <c r="K220" s="9311"/>
      <c r="L220" s="9311"/>
      <c r="M220" s="9313"/>
      <c r="N220" s="9313"/>
      <c r="O220" s="9313"/>
      <c r="P220" s="9405"/>
      <c r="Q220" s="9402"/>
      <c r="R220" s="9315"/>
      <c r="S220" s="748"/>
      <c r="T220" s="6305"/>
      <c r="U220" s="6305" t="s">
        <v>1058</v>
      </c>
      <c r="V220" s="1854" t="s">
        <v>1063</v>
      </c>
      <c r="W220" s="6369">
        <v>1</v>
      </c>
      <c r="X220" s="285" t="s">
        <v>180</v>
      </c>
      <c r="Y220" s="4910">
        <v>314.36</v>
      </c>
      <c r="Z220" s="4910">
        <f t="shared" si="31"/>
        <v>314.36</v>
      </c>
      <c r="AA220" s="4910">
        <f t="shared" si="32"/>
        <v>352.08320000000003</v>
      </c>
      <c r="AB220" s="4911"/>
      <c r="AC220" s="4880"/>
      <c r="AD220" s="945"/>
      <c r="AE220" s="799"/>
      <c r="AF220" s="2081" t="s">
        <v>153</v>
      </c>
      <c r="AG220" s="15"/>
      <c r="AH220" s="9318"/>
    </row>
    <row r="221" spans="1:34" ht="18" customHeight="1">
      <c r="A221" s="9392"/>
      <c r="B221" s="9398"/>
      <c r="C221" s="9333"/>
      <c r="D221" s="9311"/>
      <c r="E221" s="9311"/>
      <c r="F221" s="9311"/>
      <c r="G221" s="9311"/>
      <c r="H221" s="9311"/>
      <c r="I221" s="9311"/>
      <c r="J221" s="9311"/>
      <c r="K221" s="9311"/>
      <c r="L221" s="9311"/>
      <c r="M221" s="9313"/>
      <c r="N221" s="9313"/>
      <c r="O221" s="9313"/>
      <c r="P221" s="9405"/>
      <c r="Q221" s="9402"/>
      <c r="R221" s="9315"/>
      <c r="S221" s="748"/>
      <c r="T221" s="6305"/>
      <c r="U221" s="6305" t="s">
        <v>1058</v>
      </c>
      <c r="V221" s="1854" t="s">
        <v>1064</v>
      </c>
      <c r="W221" s="6369">
        <v>2</v>
      </c>
      <c r="X221" s="285" t="s">
        <v>180</v>
      </c>
      <c r="Y221" s="4910">
        <v>305.58999999999997</v>
      </c>
      <c r="Z221" s="4910">
        <f t="shared" si="31"/>
        <v>611.17999999999995</v>
      </c>
      <c r="AA221" s="4910">
        <f t="shared" si="32"/>
        <v>684.52160000000003</v>
      </c>
      <c r="AB221" s="4911"/>
      <c r="AC221" s="4880"/>
      <c r="AD221" s="945"/>
      <c r="AE221" s="799"/>
      <c r="AF221" s="2081" t="s">
        <v>153</v>
      </c>
      <c r="AG221" s="15"/>
      <c r="AH221" s="9318"/>
    </row>
    <row r="222" spans="1:34" ht="18" customHeight="1">
      <c r="A222" s="9392"/>
      <c r="B222" s="9398"/>
      <c r="C222" s="9333"/>
      <c r="D222" s="9311"/>
      <c r="E222" s="9311"/>
      <c r="F222" s="9311"/>
      <c r="G222" s="9311"/>
      <c r="H222" s="9311"/>
      <c r="I222" s="9311"/>
      <c r="J222" s="9311"/>
      <c r="K222" s="9311"/>
      <c r="L222" s="9311"/>
      <c r="M222" s="9313"/>
      <c r="N222" s="9313"/>
      <c r="O222" s="9313"/>
      <c r="P222" s="9405"/>
      <c r="Q222" s="9402"/>
      <c r="R222" s="9315"/>
      <c r="S222" s="748"/>
      <c r="T222" s="6305"/>
      <c r="U222" s="6305"/>
      <c r="V222" s="1854" t="s">
        <v>1065</v>
      </c>
      <c r="W222" s="6369">
        <v>1</v>
      </c>
      <c r="X222" s="285" t="s">
        <v>180</v>
      </c>
      <c r="Y222" s="4910">
        <v>1500</v>
      </c>
      <c r="Z222" s="4910">
        <f t="shared" si="31"/>
        <v>1500</v>
      </c>
      <c r="AA222" s="4910">
        <f t="shared" si="32"/>
        <v>1680.0000000000002</v>
      </c>
      <c r="AB222" s="4911"/>
      <c r="AC222" s="4880"/>
      <c r="AD222" s="945"/>
      <c r="AE222" s="799"/>
      <c r="AF222" s="2081" t="s">
        <v>153</v>
      </c>
      <c r="AG222" s="15"/>
      <c r="AH222" s="9318"/>
    </row>
    <row r="223" spans="1:34" ht="41.25" customHeight="1">
      <c r="A223" s="9392"/>
      <c r="B223" s="9398"/>
      <c r="C223" s="9333"/>
      <c r="D223" s="9311"/>
      <c r="E223" s="9311"/>
      <c r="F223" s="9311"/>
      <c r="G223" s="9311"/>
      <c r="H223" s="9311"/>
      <c r="I223" s="9311"/>
      <c r="J223" s="9311"/>
      <c r="K223" s="9311"/>
      <c r="L223" s="9311"/>
      <c r="M223" s="9313"/>
      <c r="N223" s="9313"/>
      <c r="O223" s="9313"/>
      <c r="P223" s="9405"/>
      <c r="Q223" s="9402"/>
      <c r="R223" s="9315"/>
      <c r="S223" s="1851" t="s">
        <v>81</v>
      </c>
      <c r="T223" s="6313">
        <v>840104</v>
      </c>
      <c r="U223" s="6305"/>
      <c r="V223" s="583" t="s">
        <v>39</v>
      </c>
      <c r="W223" s="6369"/>
      <c r="X223" s="285"/>
      <c r="Y223" s="4910"/>
      <c r="Z223" s="4910"/>
      <c r="AA223" s="4910"/>
      <c r="AB223" s="4911">
        <f>SUM($AA$224:$AA$237)</f>
        <v>15879.046400000003</v>
      </c>
      <c r="AC223" s="6433" t="s">
        <v>18</v>
      </c>
      <c r="AD223" s="945"/>
      <c r="AE223" s="799"/>
      <c r="AF223" s="1013"/>
      <c r="AG223" s="15"/>
      <c r="AH223" s="9318"/>
    </row>
    <row r="224" spans="1:34" ht="18" customHeight="1">
      <c r="A224" s="9392"/>
      <c r="B224" s="9398"/>
      <c r="C224" s="9333"/>
      <c r="D224" s="9311"/>
      <c r="E224" s="9311"/>
      <c r="F224" s="9311"/>
      <c r="G224" s="9311"/>
      <c r="H224" s="9311"/>
      <c r="I224" s="9311"/>
      <c r="J224" s="9311"/>
      <c r="K224" s="9311"/>
      <c r="L224" s="9311"/>
      <c r="M224" s="9313"/>
      <c r="N224" s="9313"/>
      <c r="O224" s="9313"/>
      <c r="P224" s="9405"/>
      <c r="Q224" s="9402"/>
      <c r="R224" s="9315"/>
      <c r="S224" s="748"/>
      <c r="T224" s="6305"/>
      <c r="U224" s="6305" t="s">
        <v>1058</v>
      </c>
      <c r="V224" s="2142" t="s">
        <v>1066</v>
      </c>
      <c r="W224" s="6369">
        <v>4</v>
      </c>
      <c r="X224" s="285" t="s">
        <v>180</v>
      </c>
      <c r="Y224" s="4910">
        <v>660.95</v>
      </c>
      <c r="Z224" s="4910">
        <f t="shared" ref="Z224:Z237" si="33">+W224*Y224</f>
        <v>2643.8</v>
      </c>
      <c r="AA224" s="4910">
        <f t="shared" ref="AA224:AA237" si="34">+Z224*1.12</f>
        <v>2961.0560000000005</v>
      </c>
      <c r="AB224" s="4911"/>
      <c r="AC224" s="4880"/>
      <c r="AD224" s="945"/>
      <c r="AE224" s="799"/>
      <c r="AF224" s="2081" t="s">
        <v>153</v>
      </c>
      <c r="AG224" s="15"/>
      <c r="AH224" s="9318"/>
    </row>
    <row r="225" spans="1:34" ht="18" customHeight="1">
      <c r="A225" s="9392"/>
      <c r="B225" s="9398"/>
      <c r="C225" s="9333"/>
      <c r="D225" s="9311"/>
      <c r="E225" s="9311"/>
      <c r="F225" s="9311"/>
      <c r="G225" s="9311"/>
      <c r="H225" s="9311"/>
      <c r="I225" s="9311"/>
      <c r="J225" s="9311"/>
      <c r="K225" s="9311"/>
      <c r="L225" s="9311"/>
      <c r="M225" s="9313"/>
      <c r="N225" s="9313"/>
      <c r="O225" s="9313"/>
      <c r="P225" s="9405"/>
      <c r="Q225" s="9402"/>
      <c r="R225" s="9315"/>
      <c r="S225" s="748"/>
      <c r="T225" s="6305"/>
      <c r="U225" s="6305" t="s">
        <v>1067</v>
      </c>
      <c r="V225" s="1854" t="s">
        <v>1068</v>
      </c>
      <c r="W225" s="6369">
        <v>1</v>
      </c>
      <c r="X225" s="285" t="s">
        <v>180</v>
      </c>
      <c r="Y225" s="4910">
        <v>1094.93</v>
      </c>
      <c r="Z225" s="4910">
        <f t="shared" si="33"/>
        <v>1094.93</v>
      </c>
      <c r="AA225" s="4910">
        <f t="shared" si="34"/>
        <v>1226.3216000000002</v>
      </c>
      <c r="AB225" s="4911"/>
      <c r="AC225" s="4880"/>
      <c r="AD225" s="945"/>
      <c r="AE225" s="799"/>
      <c r="AF225" s="2081" t="s">
        <v>153</v>
      </c>
      <c r="AG225" s="15"/>
      <c r="AH225" s="9318"/>
    </row>
    <row r="226" spans="1:34" ht="18" customHeight="1">
      <c r="A226" s="9392"/>
      <c r="B226" s="9398"/>
      <c r="C226" s="9333"/>
      <c r="D226" s="9311"/>
      <c r="E226" s="9311"/>
      <c r="F226" s="9311"/>
      <c r="G226" s="9311"/>
      <c r="H226" s="9311"/>
      <c r="I226" s="9311"/>
      <c r="J226" s="9311"/>
      <c r="K226" s="9311"/>
      <c r="L226" s="9311"/>
      <c r="M226" s="9313"/>
      <c r="N226" s="9313"/>
      <c r="O226" s="9313"/>
      <c r="P226" s="9405"/>
      <c r="Q226" s="9402"/>
      <c r="R226" s="9315"/>
      <c r="S226" s="748"/>
      <c r="T226" s="6305"/>
      <c r="U226" s="6305" t="s">
        <v>1069</v>
      </c>
      <c r="V226" s="575" t="s">
        <v>1070</v>
      </c>
      <c r="W226" s="4869">
        <v>1</v>
      </c>
      <c r="X226" s="285" t="s">
        <v>180</v>
      </c>
      <c r="Y226" s="4910">
        <v>2466.33</v>
      </c>
      <c r="Z226" s="4910">
        <f t="shared" si="33"/>
        <v>2466.33</v>
      </c>
      <c r="AA226" s="4910">
        <f t="shared" si="34"/>
        <v>2762.2896000000001</v>
      </c>
      <c r="AB226" s="4911"/>
      <c r="AC226" s="4880"/>
      <c r="AD226" s="945"/>
      <c r="AE226" s="799"/>
      <c r="AF226" s="2081" t="s">
        <v>153</v>
      </c>
      <c r="AG226" s="186"/>
      <c r="AH226" s="9318"/>
    </row>
    <row r="227" spans="1:34" ht="18" customHeight="1">
      <c r="A227" s="9392"/>
      <c r="B227" s="9398"/>
      <c r="C227" s="9333"/>
      <c r="D227" s="9311"/>
      <c r="E227" s="9311"/>
      <c r="F227" s="9311"/>
      <c r="G227" s="9311"/>
      <c r="H227" s="9311"/>
      <c r="I227" s="9311"/>
      <c r="J227" s="9311"/>
      <c r="K227" s="9311"/>
      <c r="L227" s="9311"/>
      <c r="M227" s="9313"/>
      <c r="N227" s="9313"/>
      <c r="O227" s="9313"/>
      <c r="P227" s="9405"/>
      <c r="Q227" s="9402"/>
      <c r="R227" s="9315"/>
      <c r="S227" s="748"/>
      <c r="T227" s="6305"/>
      <c r="U227" s="6305" t="s">
        <v>1071</v>
      </c>
      <c r="V227" s="575" t="s">
        <v>1072</v>
      </c>
      <c r="W227" s="4869">
        <v>1</v>
      </c>
      <c r="X227" s="285" t="s">
        <v>180</v>
      </c>
      <c r="Y227" s="4910">
        <v>234.38</v>
      </c>
      <c r="Z227" s="4910">
        <f t="shared" si="33"/>
        <v>234.38</v>
      </c>
      <c r="AA227" s="4910">
        <f t="shared" si="34"/>
        <v>262.50560000000002</v>
      </c>
      <c r="AB227" s="4911"/>
      <c r="AC227" s="4880"/>
      <c r="AD227" s="945"/>
      <c r="AE227" s="799"/>
      <c r="AF227" s="2081" t="s">
        <v>153</v>
      </c>
      <c r="AG227" s="186"/>
      <c r="AH227" s="9318"/>
    </row>
    <row r="228" spans="1:34" ht="18" customHeight="1">
      <c r="A228" s="9392"/>
      <c r="B228" s="9398"/>
      <c r="C228" s="9333"/>
      <c r="D228" s="9311"/>
      <c r="E228" s="9311"/>
      <c r="F228" s="9311"/>
      <c r="G228" s="9311"/>
      <c r="H228" s="9311"/>
      <c r="I228" s="9311"/>
      <c r="J228" s="9311"/>
      <c r="K228" s="9311"/>
      <c r="L228" s="9311"/>
      <c r="M228" s="9313"/>
      <c r="N228" s="9313"/>
      <c r="O228" s="9313"/>
      <c r="P228" s="9405"/>
      <c r="Q228" s="9402"/>
      <c r="R228" s="9315"/>
      <c r="S228" s="748"/>
      <c r="T228" s="6305"/>
      <c r="U228" s="6305" t="s">
        <v>1073</v>
      </c>
      <c r="V228" s="2141" t="s">
        <v>1074</v>
      </c>
      <c r="W228" s="4869">
        <v>1</v>
      </c>
      <c r="X228" s="285" t="s">
        <v>180</v>
      </c>
      <c r="Y228" s="4910">
        <v>146.38</v>
      </c>
      <c r="Z228" s="4910">
        <f t="shared" si="33"/>
        <v>146.38</v>
      </c>
      <c r="AA228" s="4910">
        <f t="shared" si="34"/>
        <v>163.94560000000001</v>
      </c>
      <c r="AB228" s="4911"/>
      <c r="AC228" s="4880"/>
      <c r="AD228" s="945"/>
      <c r="AE228" s="799"/>
      <c r="AF228" s="2081" t="s">
        <v>153</v>
      </c>
      <c r="AG228" s="186"/>
      <c r="AH228" s="9318"/>
    </row>
    <row r="229" spans="1:34" ht="18" customHeight="1">
      <c r="A229" s="9392"/>
      <c r="B229" s="9398"/>
      <c r="C229" s="9333"/>
      <c r="D229" s="9311"/>
      <c r="E229" s="9311"/>
      <c r="F229" s="9311"/>
      <c r="G229" s="9311"/>
      <c r="H229" s="9311"/>
      <c r="I229" s="9311"/>
      <c r="J229" s="9311"/>
      <c r="K229" s="9311"/>
      <c r="L229" s="9311"/>
      <c r="M229" s="9313"/>
      <c r="N229" s="9313"/>
      <c r="O229" s="9313"/>
      <c r="P229" s="9405"/>
      <c r="Q229" s="9402"/>
      <c r="R229" s="9315"/>
      <c r="S229" s="748"/>
      <c r="T229" s="6305"/>
      <c r="U229" s="6305" t="s">
        <v>1069</v>
      </c>
      <c r="V229" s="575" t="s">
        <v>1075</v>
      </c>
      <c r="W229" s="4869">
        <v>1</v>
      </c>
      <c r="X229" s="285" t="s">
        <v>180</v>
      </c>
      <c r="Y229" s="4910">
        <v>539.67999999999995</v>
      </c>
      <c r="Z229" s="4910">
        <f t="shared" si="33"/>
        <v>539.67999999999995</v>
      </c>
      <c r="AA229" s="4910">
        <f t="shared" si="34"/>
        <v>604.44159999999999</v>
      </c>
      <c r="AB229" s="4911"/>
      <c r="AC229" s="4880"/>
      <c r="AD229" s="945"/>
      <c r="AE229" s="799"/>
      <c r="AF229" s="2081" t="s">
        <v>153</v>
      </c>
      <c r="AG229" s="186"/>
      <c r="AH229" s="9318"/>
    </row>
    <row r="230" spans="1:34" ht="18" customHeight="1">
      <c r="A230" s="9392"/>
      <c r="B230" s="9398"/>
      <c r="C230" s="9333"/>
      <c r="D230" s="9311"/>
      <c r="E230" s="9311"/>
      <c r="F230" s="9311"/>
      <c r="G230" s="9311"/>
      <c r="H230" s="9311"/>
      <c r="I230" s="9311"/>
      <c r="J230" s="9311"/>
      <c r="K230" s="9311"/>
      <c r="L230" s="9311"/>
      <c r="M230" s="9313"/>
      <c r="N230" s="9313"/>
      <c r="O230" s="9313"/>
      <c r="P230" s="9405"/>
      <c r="Q230" s="9402"/>
      <c r="R230" s="9315"/>
      <c r="S230" s="748"/>
      <c r="T230" s="6305"/>
      <c r="U230" s="6305"/>
      <c r="V230" s="2141" t="s">
        <v>1076</v>
      </c>
      <c r="W230" s="4869">
        <v>2</v>
      </c>
      <c r="X230" s="285" t="s">
        <v>180</v>
      </c>
      <c r="Y230" s="4910">
        <v>330.12</v>
      </c>
      <c r="Z230" s="4910">
        <f t="shared" si="33"/>
        <v>660.24</v>
      </c>
      <c r="AA230" s="4910">
        <f t="shared" si="34"/>
        <v>739.4688000000001</v>
      </c>
      <c r="AB230" s="4911"/>
      <c r="AC230" s="4880"/>
      <c r="AD230" s="945"/>
      <c r="AE230" s="799"/>
      <c r="AF230" s="2081" t="s">
        <v>153</v>
      </c>
      <c r="AG230" s="186"/>
      <c r="AH230" s="9318"/>
    </row>
    <row r="231" spans="1:34" ht="18" customHeight="1">
      <c r="A231" s="9392"/>
      <c r="B231" s="9398"/>
      <c r="C231" s="9333"/>
      <c r="D231" s="9311"/>
      <c r="E231" s="9311"/>
      <c r="F231" s="9311"/>
      <c r="G231" s="9311"/>
      <c r="H231" s="9311"/>
      <c r="I231" s="9311"/>
      <c r="J231" s="9311"/>
      <c r="K231" s="9311"/>
      <c r="L231" s="9311"/>
      <c r="M231" s="9313"/>
      <c r="N231" s="9313"/>
      <c r="O231" s="9313"/>
      <c r="P231" s="9405"/>
      <c r="Q231" s="9402"/>
      <c r="R231" s="9315"/>
      <c r="S231" s="748"/>
      <c r="T231" s="6305"/>
      <c r="U231" s="6305" t="s">
        <v>1077</v>
      </c>
      <c r="V231" s="575" t="s">
        <v>1078</v>
      </c>
      <c r="W231" s="4869">
        <v>8</v>
      </c>
      <c r="X231" s="285" t="s">
        <v>180</v>
      </c>
      <c r="Y231" s="4910">
        <v>150</v>
      </c>
      <c r="Z231" s="4910">
        <f t="shared" si="33"/>
        <v>1200</v>
      </c>
      <c r="AA231" s="4910">
        <f t="shared" si="34"/>
        <v>1344.0000000000002</v>
      </c>
      <c r="AB231" s="4911"/>
      <c r="AC231" s="4880"/>
      <c r="AD231" s="945"/>
      <c r="AE231" s="799"/>
      <c r="AF231" s="2081" t="s">
        <v>153</v>
      </c>
      <c r="AG231" s="186"/>
      <c r="AH231" s="9318"/>
    </row>
    <row r="232" spans="1:34" ht="18" customHeight="1">
      <c r="A232" s="9392"/>
      <c r="B232" s="9398"/>
      <c r="C232" s="9333"/>
      <c r="D232" s="9311"/>
      <c r="E232" s="9311"/>
      <c r="F232" s="9311"/>
      <c r="G232" s="9311"/>
      <c r="H232" s="9311"/>
      <c r="I232" s="9311"/>
      <c r="J232" s="9311"/>
      <c r="K232" s="9311"/>
      <c r="L232" s="9311"/>
      <c r="M232" s="9313"/>
      <c r="N232" s="9313"/>
      <c r="O232" s="9313"/>
      <c r="P232" s="9405"/>
      <c r="Q232" s="9402"/>
      <c r="R232" s="9315"/>
      <c r="S232" s="748"/>
      <c r="T232" s="6305"/>
      <c r="U232" s="6305" t="s">
        <v>1077</v>
      </c>
      <c r="V232" s="575" t="s">
        <v>1079</v>
      </c>
      <c r="W232" s="4869">
        <v>1</v>
      </c>
      <c r="X232" s="285" t="s">
        <v>180</v>
      </c>
      <c r="Y232" s="4910">
        <v>401</v>
      </c>
      <c r="Z232" s="4910">
        <f t="shared" si="33"/>
        <v>401</v>
      </c>
      <c r="AA232" s="4910">
        <f t="shared" si="34"/>
        <v>449.12000000000006</v>
      </c>
      <c r="AB232" s="4911"/>
      <c r="AC232" s="4880"/>
      <c r="AD232" s="945"/>
      <c r="AE232" s="799"/>
      <c r="AF232" s="2081" t="s">
        <v>153</v>
      </c>
      <c r="AG232" s="186"/>
      <c r="AH232" s="9318"/>
    </row>
    <row r="233" spans="1:34" ht="18" customHeight="1">
      <c r="A233" s="9392"/>
      <c r="B233" s="9398"/>
      <c r="C233" s="9333"/>
      <c r="D233" s="9311"/>
      <c r="E233" s="9311"/>
      <c r="F233" s="9311"/>
      <c r="G233" s="9311"/>
      <c r="H233" s="9311"/>
      <c r="I233" s="9311"/>
      <c r="J233" s="9311"/>
      <c r="K233" s="9311"/>
      <c r="L233" s="9311"/>
      <c r="M233" s="9313"/>
      <c r="N233" s="9313"/>
      <c r="O233" s="9313"/>
      <c r="P233" s="9405"/>
      <c r="Q233" s="9402"/>
      <c r="R233" s="9315"/>
      <c r="S233" s="748"/>
      <c r="T233" s="6305"/>
      <c r="U233" s="6305" t="s">
        <v>1080</v>
      </c>
      <c r="V233" s="575" t="s">
        <v>1081</v>
      </c>
      <c r="W233" s="4869">
        <v>1</v>
      </c>
      <c r="X233" s="285" t="s">
        <v>180</v>
      </c>
      <c r="Y233" s="4910">
        <v>782.88</v>
      </c>
      <c r="Z233" s="4910">
        <f t="shared" si="33"/>
        <v>782.88</v>
      </c>
      <c r="AA233" s="4910">
        <f t="shared" si="34"/>
        <v>876.82560000000012</v>
      </c>
      <c r="AB233" s="4911"/>
      <c r="AC233" s="4880"/>
      <c r="AD233" s="945"/>
      <c r="AE233" s="799"/>
      <c r="AF233" s="2081" t="s">
        <v>153</v>
      </c>
      <c r="AG233" s="186"/>
      <c r="AH233" s="9318"/>
    </row>
    <row r="234" spans="1:34" ht="18" customHeight="1">
      <c r="A234" s="9392"/>
      <c r="B234" s="9398"/>
      <c r="C234" s="9333"/>
      <c r="D234" s="9311"/>
      <c r="E234" s="9311"/>
      <c r="F234" s="9311"/>
      <c r="G234" s="9311"/>
      <c r="H234" s="9311"/>
      <c r="I234" s="9311"/>
      <c r="J234" s="9311"/>
      <c r="K234" s="9311"/>
      <c r="L234" s="9311"/>
      <c r="M234" s="9313"/>
      <c r="N234" s="9313"/>
      <c r="O234" s="9313"/>
      <c r="P234" s="9405"/>
      <c r="Q234" s="9402"/>
      <c r="R234" s="9315"/>
      <c r="S234" s="748"/>
      <c r="T234" s="6305"/>
      <c r="U234" s="6305" t="s">
        <v>1071</v>
      </c>
      <c r="V234" s="575" t="s">
        <v>1082</v>
      </c>
      <c r="W234" s="4869">
        <v>1</v>
      </c>
      <c r="X234" s="285" t="s">
        <v>180</v>
      </c>
      <c r="Y234" s="4910">
        <v>946</v>
      </c>
      <c r="Z234" s="4910">
        <f t="shared" si="33"/>
        <v>946</v>
      </c>
      <c r="AA234" s="4910">
        <f t="shared" si="34"/>
        <v>1059.5200000000002</v>
      </c>
      <c r="AB234" s="4911"/>
      <c r="AC234" s="4880"/>
      <c r="AD234" s="945"/>
      <c r="AE234" s="799"/>
      <c r="AF234" s="2081" t="s">
        <v>153</v>
      </c>
      <c r="AG234" s="186"/>
      <c r="AH234" s="9318"/>
    </row>
    <row r="235" spans="1:34" ht="18" customHeight="1">
      <c r="A235" s="9392"/>
      <c r="B235" s="9398"/>
      <c r="C235" s="9333"/>
      <c r="D235" s="9311"/>
      <c r="E235" s="9311"/>
      <c r="F235" s="9311"/>
      <c r="G235" s="9311"/>
      <c r="H235" s="9311"/>
      <c r="I235" s="9311"/>
      <c r="J235" s="9311"/>
      <c r="K235" s="9311"/>
      <c r="L235" s="9311"/>
      <c r="M235" s="9313"/>
      <c r="N235" s="9313"/>
      <c r="O235" s="9313"/>
      <c r="P235" s="9405"/>
      <c r="Q235" s="9402"/>
      <c r="R235" s="9315"/>
      <c r="S235" s="748"/>
      <c r="T235" s="6305"/>
      <c r="U235" s="6305" t="s">
        <v>1071</v>
      </c>
      <c r="V235" s="575" t="s">
        <v>1083</v>
      </c>
      <c r="W235" s="4869">
        <v>1</v>
      </c>
      <c r="X235" s="285" t="s">
        <v>180</v>
      </c>
      <c r="Y235" s="4910">
        <v>500</v>
      </c>
      <c r="Z235" s="4910">
        <f t="shared" si="33"/>
        <v>500</v>
      </c>
      <c r="AA235" s="4910">
        <f t="shared" si="34"/>
        <v>560</v>
      </c>
      <c r="AB235" s="4911"/>
      <c r="AC235" s="4880"/>
      <c r="AD235" s="945"/>
      <c r="AE235" s="799"/>
      <c r="AF235" s="2081" t="s">
        <v>153</v>
      </c>
      <c r="AG235" s="186"/>
      <c r="AH235" s="9318"/>
    </row>
    <row r="236" spans="1:34" ht="19.5" customHeight="1">
      <c r="A236" s="9392"/>
      <c r="B236" s="9398"/>
      <c r="C236" s="9333"/>
      <c r="D236" s="9311"/>
      <c r="E236" s="9311"/>
      <c r="F236" s="9311"/>
      <c r="G236" s="9311"/>
      <c r="H236" s="9311"/>
      <c r="I236" s="9311"/>
      <c r="J236" s="9311"/>
      <c r="K236" s="9311"/>
      <c r="L236" s="9311"/>
      <c r="M236" s="9313"/>
      <c r="N236" s="9313"/>
      <c r="O236" s="9313"/>
      <c r="P236" s="9405"/>
      <c r="Q236" s="9402"/>
      <c r="R236" s="9315"/>
      <c r="S236" s="748"/>
      <c r="T236" s="6305"/>
      <c r="U236" s="6305" t="s">
        <v>1084</v>
      </c>
      <c r="V236" s="575" t="s">
        <v>1085</v>
      </c>
      <c r="W236" s="4869">
        <v>1</v>
      </c>
      <c r="X236" s="285" t="s">
        <v>180</v>
      </c>
      <c r="Y236" s="4910">
        <v>2000</v>
      </c>
      <c r="Z236" s="4910">
        <f t="shared" si="33"/>
        <v>2000</v>
      </c>
      <c r="AA236" s="4910">
        <f t="shared" si="34"/>
        <v>2240</v>
      </c>
      <c r="AB236" s="4911"/>
      <c r="AC236" s="4880"/>
      <c r="AD236" s="945"/>
      <c r="AE236" s="799"/>
      <c r="AF236" s="2081" t="s">
        <v>153</v>
      </c>
      <c r="AG236" s="186"/>
      <c r="AH236" s="9318"/>
    </row>
    <row r="237" spans="1:34" ht="18" customHeight="1">
      <c r="A237" s="9392"/>
      <c r="B237" s="9398"/>
      <c r="C237" s="9333"/>
      <c r="D237" s="9311"/>
      <c r="E237" s="9311"/>
      <c r="F237" s="9311"/>
      <c r="G237" s="9311"/>
      <c r="H237" s="9311"/>
      <c r="I237" s="9311"/>
      <c r="J237" s="9311"/>
      <c r="K237" s="9311"/>
      <c r="L237" s="9311"/>
      <c r="M237" s="9313"/>
      <c r="N237" s="9313"/>
      <c r="O237" s="9313"/>
      <c r="P237" s="9405"/>
      <c r="Q237" s="9402"/>
      <c r="R237" s="9315"/>
      <c r="S237" s="748"/>
      <c r="T237" s="6305"/>
      <c r="U237" s="6305" t="s">
        <v>1086</v>
      </c>
      <c r="V237" s="2141" t="s">
        <v>1087</v>
      </c>
      <c r="W237" s="4869">
        <v>5</v>
      </c>
      <c r="X237" s="285" t="s">
        <v>180</v>
      </c>
      <c r="Y237" s="4910">
        <v>112.42</v>
      </c>
      <c r="Z237" s="4910">
        <f t="shared" si="33"/>
        <v>562.1</v>
      </c>
      <c r="AA237" s="4910">
        <f t="shared" si="34"/>
        <v>629.55200000000013</v>
      </c>
      <c r="AB237" s="4911"/>
      <c r="AC237" s="4880"/>
      <c r="AD237" s="945"/>
      <c r="AE237" s="799"/>
      <c r="AF237" s="2081" t="s">
        <v>153</v>
      </c>
      <c r="AG237" s="186"/>
      <c r="AH237" s="9318"/>
    </row>
    <row r="238" spans="1:34" ht="18" customHeight="1">
      <c r="A238" s="9392"/>
      <c r="B238" s="9398"/>
      <c r="C238" s="9333"/>
      <c r="D238" s="9311"/>
      <c r="E238" s="9311"/>
      <c r="F238" s="9311"/>
      <c r="G238" s="9311"/>
      <c r="H238" s="9311"/>
      <c r="I238" s="9311"/>
      <c r="J238" s="9311"/>
      <c r="K238" s="9311"/>
      <c r="L238" s="9311"/>
      <c r="M238" s="9313"/>
      <c r="N238" s="9313"/>
      <c r="O238" s="9313"/>
      <c r="P238" s="9405"/>
      <c r="Q238" s="9402"/>
      <c r="R238" s="9315"/>
      <c r="S238" s="748" t="s">
        <v>15</v>
      </c>
      <c r="T238" s="6357" t="s">
        <v>1088</v>
      </c>
      <c r="U238" s="6305"/>
      <c r="V238" s="583" t="s">
        <v>1089</v>
      </c>
      <c r="W238" s="4869"/>
      <c r="X238" s="48"/>
      <c r="Y238" s="4910"/>
      <c r="Z238" s="4910"/>
      <c r="AA238" s="4910"/>
      <c r="AB238" s="4911">
        <f>SUM($AA$239:$AA$242)</f>
        <v>1189.5</v>
      </c>
      <c r="AC238" s="4880" t="s">
        <v>18</v>
      </c>
      <c r="AD238" s="945"/>
      <c r="AE238" s="799"/>
      <c r="AF238" s="1013"/>
      <c r="AG238" s="186"/>
      <c r="AH238" s="9318"/>
    </row>
    <row r="239" spans="1:34" ht="18" customHeight="1">
      <c r="A239" s="9392"/>
      <c r="B239" s="9398"/>
      <c r="C239" s="9333"/>
      <c r="D239" s="9311"/>
      <c r="E239" s="9311"/>
      <c r="F239" s="9311"/>
      <c r="G239" s="9311"/>
      <c r="H239" s="9311"/>
      <c r="I239" s="9311"/>
      <c r="J239" s="9311"/>
      <c r="K239" s="9311"/>
      <c r="L239" s="9311"/>
      <c r="M239" s="9313"/>
      <c r="N239" s="9313"/>
      <c r="O239" s="9313"/>
      <c r="P239" s="9405"/>
      <c r="Q239" s="9402"/>
      <c r="R239" s="9315"/>
      <c r="S239" s="748"/>
      <c r="T239" s="6305"/>
      <c r="U239" s="6305"/>
      <c r="V239" s="575"/>
      <c r="W239" s="4869"/>
      <c r="X239" s="285"/>
      <c r="Y239" s="4910"/>
      <c r="Z239" s="4910"/>
      <c r="AA239" s="4910"/>
      <c r="AB239" s="4911"/>
      <c r="AC239" s="4880"/>
      <c r="AD239" s="945"/>
      <c r="AE239" s="799"/>
      <c r="AF239" s="799" t="s">
        <v>153</v>
      </c>
      <c r="AG239" s="186"/>
      <c r="AH239" s="9318"/>
    </row>
    <row r="240" spans="1:34" ht="18" customHeight="1">
      <c r="A240" s="9392"/>
      <c r="B240" s="9398"/>
      <c r="C240" s="9333"/>
      <c r="D240" s="9311"/>
      <c r="E240" s="9311"/>
      <c r="F240" s="9311"/>
      <c r="G240" s="9311"/>
      <c r="H240" s="9311"/>
      <c r="I240" s="9311"/>
      <c r="J240" s="9311"/>
      <c r="K240" s="9311"/>
      <c r="L240" s="9311"/>
      <c r="M240" s="9313"/>
      <c r="N240" s="9313"/>
      <c r="O240" s="9313"/>
      <c r="P240" s="9405"/>
      <c r="Q240" s="9402"/>
      <c r="R240" s="9315"/>
      <c r="S240" s="748"/>
      <c r="T240" s="6305"/>
      <c r="U240" s="6305"/>
      <c r="V240" s="575"/>
      <c r="W240" s="4869"/>
      <c r="X240" s="285"/>
      <c r="Y240" s="4910"/>
      <c r="Z240" s="4910"/>
      <c r="AA240" s="4910"/>
      <c r="AB240" s="4911"/>
      <c r="AC240" s="4880"/>
      <c r="AD240" s="945"/>
      <c r="AE240" s="799"/>
      <c r="AF240" s="799" t="s">
        <v>153</v>
      </c>
      <c r="AG240" s="186"/>
      <c r="AH240" s="9318"/>
    </row>
    <row r="241" spans="1:34" ht="18" customHeight="1">
      <c r="A241" s="9392"/>
      <c r="B241" s="9398"/>
      <c r="C241" s="9333"/>
      <c r="D241" s="9311"/>
      <c r="E241" s="9311"/>
      <c r="F241" s="9311"/>
      <c r="G241" s="9311"/>
      <c r="H241" s="9311"/>
      <c r="I241" s="9311"/>
      <c r="J241" s="9311"/>
      <c r="K241" s="9311"/>
      <c r="L241" s="9311"/>
      <c r="M241" s="9313"/>
      <c r="N241" s="9313"/>
      <c r="O241" s="9313"/>
      <c r="P241" s="9405"/>
      <c r="Q241" s="9402"/>
      <c r="R241" s="9315"/>
      <c r="S241" s="748"/>
      <c r="T241" s="6305"/>
      <c r="U241" s="6305"/>
      <c r="V241" s="575"/>
      <c r="W241" s="4869"/>
      <c r="X241" s="285"/>
      <c r="Y241" s="4910"/>
      <c r="Z241" s="4910"/>
      <c r="AA241" s="4910"/>
      <c r="AB241" s="4911"/>
      <c r="AC241" s="4880"/>
      <c r="AD241" s="945"/>
      <c r="AE241" s="799"/>
      <c r="AF241" s="799" t="s">
        <v>153</v>
      </c>
      <c r="AG241" s="186"/>
      <c r="AH241" s="9318"/>
    </row>
    <row r="242" spans="1:34" ht="26.1" customHeight="1">
      <c r="A242" s="9392"/>
      <c r="B242" s="9398"/>
      <c r="C242" s="9333"/>
      <c r="D242" s="9311"/>
      <c r="E242" s="9311"/>
      <c r="F242" s="9311"/>
      <c r="G242" s="9311"/>
      <c r="H242" s="9311"/>
      <c r="I242" s="9311"/>
      <c r="J242" s="9311"/>
      <c r="K242" s="9311"/>
      <c r="L242" s="9311"/>
      <c r="M242" s="9313"/>
      <c r="N242" s="9313"/>
      <c r="O242" s="9313"/>
      <c r="P242" s="9405"/>
      <c r="Q242" s="9402"/>
      <c r="R242" s="9315"/>
      <c r="S242" s="748"/>
      <c r="T242" s="6305"/>
      <c r="U242" s="6305"/>
      <c r="V242" s="575" t="s">
        <v>1090</v>
      </c>
      <c r="W242" s="4869">
        <v>1</v>
      </c>
      <c r="X242" s="285" t="s">
        <v>479</v>
      </c>
      <c r="Y242" s="7981">
        <v>1189.5</v>
      </c>
      <c r="Z242" s="7981">
        <f t="shared" ref="Z242" si="35">+W242*Y242</f>
        <v>1189.5</v>
      </c>
      <c r="AA242" s="7981">
        <f>Z242</f>
        <v>1189.5</v>
      </c>
      <c r="AB242" s="4911"/>
      <c r="AC242" s="4880"/>
      <c r="AD242" s="945"/>
      <c r="AE242" s="799" t="s">
        <v>153</v>
      </c>
      <c r="AF242" s="799"/>
      <c r="AG242" s="186"/>
      <c r="AH242" s="9318"/>
    </row>
    <row r="243" spans="1:34" ht="36.75" customHeight="1">
      <c r="A243" s="9392"/>
      <c r="B243" s="9398"/>
      <c r="C243" s="9333"/>
      <c r="D243" s="9311"/>
      <c r="E243" s="9311"/>
      <c r="F243" s="9311"/>
      <c r="G243" s="9311"/>
      <c r="H243" s="9311"/>
      <c r="I243" s="9311"/>
      <c r="J243" s="9311"/>
      <c r="K243" s="9311"/>
      <c r="L243" s="9311"/>
      <c r="M243" s="9313"/>
      <c r="N243" s="9313"/>
      <c r="O243" s="9313"/>
      <c r="P243" s="9405"/>
      <c r="Q243" s="9402"/>
      <c r="R243" s="9315"/>
      <c r="S243" s="1851" t="s">
        <v>81</v>
      </c>
      <c r="T243" s="6313">
        <v>840103</v>
      </c>
      <c r="U243" s="6305"/>
      <c r="V243" s="583" t="s">
        <v>591</v>
      </c>
      <c r="W243" s="4869"/>
      <c r="X243" s="48"/>
      <c r="Y243" s="4910"/>
      <c r="Z243" s="4910"/>
      <c r="AA243" s="4910"/>
      <c r="AB243" s="4911">
        <f>SUM($AA$244:$AA$244)</f>
        <v>8359.5344000000005</v>
      </c>
      <c r="AC243" s="4880" t="s">
        <v>18</v>
      </c>
      <c r="AD243" s="945"/>
      <c r="AE243" s="799"/>
      <c r="AF243" s="1013"/>
      <c r="AG243" s="186"/>
      <c r="AH243" s="9318"/>
    </row>
    <row r="244" spans="1:34" ht="18" customHeight="1">
      <c r="A244" s="9392"/>
      <c r="B244" s="9398"/>
      <c r="C244" s="9333"/>
      <c r="D244" s="9311"/>
      <c r="E244" s="9311"/>
      <c r="F244" s="9311"/>
      <c r="G244" s="9311"/>
      <c r="H244" s="9311"/>
      <c r="I244" s="9311"/>
      <c r="J244" s="9311"/>
      <c r="K244" s="9311"/>
      <c r="L244" s="9311"/>
      <c r="M244" s="9313"/>
      <c r="N244" s="9313"/>
      <c r="O244" s="9313"/>
      <c r="P244" s="9405"/>
      <c r="Q244" s="9402"/>
      <c r="R244" s="9315"/>
      <c r="S244" s="748"/>
      <c r="T244" s="6305"/>
      <c r="U244" s="6305" t="s">
        <v>1091</v>
      </c>
      <c r="V244" s="575" t="s">
        <v>1092</v>
      </c>
      <c r="W244" s="4869">
        <v>1</v>
      </c>
      <c r="X244" s="285" t="s">
        <v>180</v>
      </c>
      <c r="Y244" s="4910">
        <f>7350+113.87</f>
        <v>7463.87</v>
      </c>
      <c r="Z244" s="4910">
        <f t="shared" ref="Z244" si="36">+W244*Y244</f>
        <v>7463.87</v>
      </c>
      <c r="AA244" s="4910">
        <f t="shared" ref="AA244" si="37">+Z244*1.12</f>
        <v>8359.5344000000005</v>
      </c>
      <c r="AB244" s="4911"/>
      <c r="AC244" s="4880"/>
      <c r="AD244" s="945"/>
      <c r="AE244" s="799"/>
      <c r="AF244" s="799" t="s">
        <v>153</v>
      </c>
      <c r="AG244" s="186"/>
      <c r="AH244" s="9318"/>
    </row>
    <row r="245" spans="1:34" ht="36.75" customHeight="1">
      <c r="A245" s="9392"/>
      <c r="B245" s="9398"/>
      <c r="C245" s="9333"/>
      <c r="D245" s="9311"/>
      <c r="E245" s="9311"/>
      <c r="F245" s="9311"/>
      <c r="G245" s="9311"/>
      <c r="H245" s="9311"/>
      <c r="I245" s="9311"/>
      <c r="J245" s="9311"/>
      <c r="K245" s="9311"/>
      <c r="L245" s="9311"/>
      <c r="M245" s="9313"/>
      <c r="N245" s="9313"/>
      <c r="O245" s="9313"/>
      <c r="P245" s="9405"/>
      <c r="Q245" s="9402"/>
      <c r="R245" s="9315"/>
      <c r="S245" s="1851" t="s">
        <v>81</v>
      </c>
      <c r="T245" s="6313">
        <v>840104</v>
      </c>
      <c r="U245" s="6305"/>
      <c r="V245" s="583" t="s">
        <v>39</v>
      </c>
      <c r="W245" s="4869"/>
      <c r="X245" s="48"/>
      <c r="Y245" s="4910"/>
      <c r="Z245" s="4910"/>
      <c r="AA245" s="4910"/>
      <c r="AB245" s="4911">
        <f>SUM($AA$246:$AA$247)</f>
        <v>1747.2000000000003</v>
      </c>
      <c r="AC245" s="6275" t="s">
        <v>18</v>
      </c>
      <c r="AD245" s="945"/>
      <c r="AE245" s="799"/>
      <c r="AF245" s="1013"/>
      <c r="AG245" s="186"/>
      <c r="AH245" s="9318"/>
    </row>
    <row r="246" spans="1:34" ht="18" customHeight="1">
      <c r="A246" s="9392"/>
      <c r="B246" s="9398"/>
      <c r="C246" s="9333"/>
      <c r="D246" s="9311"/>
      <c r="E246" s="9311"/>
      <c r="F246" s="9311"/>
      <c r="G246" s="9311"/>
      <c r="H246" s="9311"/>
      <c r="I246" s="9311"/>
      <c r="J246" s="9311"/>
      <c r="K246" s="9311"/>
      <c r="L246" s="9311"/>
      <c r="M246" s="9313"/>
      <c r="N246" s="9313"/>
      <c r="O246" s="9313"/>
      <c r="P246" s="9405"/>
      <c r="Q246" s="9402"/>
      <c r="R246" s="9315"/>
      <c r="S246" s="748"/>
      <c r="T246" s="6305"/>
      <c r="U246" s="6305" t="s">
        <v>1093</v>
      </c>
      <c r="V246" s="575" t="s">
        <v>1094</v>
      </c>
      <c r="W246" s="4869">
        <v>1</v>
      </c>
      <c r="X246" s="285" t="s">
        <v>180</v>
      </c>
      <c r="Y246" s="4910">
        <v>1300</v>
      </c>
      <c r="Z246" s="4910">
        <f t="shared" ref="Z246:Z247" si="38">+W246*Y246</f>
        <v>1300</v>
      </c>
      <c r="AA246" s="4910">
        <f t="shared" ref="AA246:AA247" si="39">+Z246*1.12</f>
        <v>1456.0000000000002</v>
      </c>
      <c r="AB246" s="4911"/>
      <c r="AC246" s="4880"/>
      <c r="AD246" s="945"/>
      <c r="AE246" s="799"/>
      <c r="AF246" s="799" t="s">
        <v>153</v>
      </c>
      <c r="AG246" s="186"/>
      <c r="AH246" s="9318"/>
    </row>
    <row r="247" spans="1:34" ht="18" customHeight="1">
      <c r="A247" s="9392"/>
      <c r="B247" s="9398"/>
      <c r="C247" s="9333"/>
      <c r="D247" s="9311"/>
      <c r="E247" s="9311"/>
      <c r="F247" s="9311"/>
      <c r="G247" s="9311"/>
      <c r="H247" s="9311"/>
      <c r="I247" s="9311"/>
      <c r="J247" s="9311"/>
      <c r="K247" s="9311"/>
      <c r="L247" s="9311"/>
      <c r="M247" s="9313"/>
      <c r="N247" s="9313"/>
      <c r="O247" s="9313"/>
      <c r="P247" s="9405"/>
      <c r="Q247" s="9402"/>
      <c r="R247" s="9315"/>
      <c r="S247" s="748"/>
      <c r="T247" s="6305"/>
      <c r="U247" s="6305" t="s">
        <v>1086</v>
      </c>
      <c r="V247" s="575" t="s">
        <v>1095</v>
      </c>
      <c r="W247" s="4869">
        <v>1</v>
      </c>
      <c r="X247" s="285" t="s">
        <v>180</v>
      </c>
      <c r="Y247" s="4910">
        <v>260</v>
      </c>
      <c r="Z247" s="4910">
        <f t="shared" si="38"/>
        <v>260</v>
      </c>
      <c r="AA247" s="4910">
        <f t="shared" si="39"/>
        <v>291.20000000000005</v>
      </c>
      <c r="AB247" s="4911"/>
      <c r="AC247" s="4880"/>
      <c r="AD247" s="945"/>
      <c r="AE247" s="799"/>
      <c r="AF247" s="799" t="s">
        <v>153</v>
      </c>
      <c r="AG247" s="186"/>
      <c r="AH247" s="9318"/>
    </row>
    <row r="248" spans="1:34" ht="36.75" customHeight="1">
      <c r="A248" s="9392"/>
      <c r="B248" s="9398"/>
      <c r="C248" s="9395"/>
      <c r="D248" s="9312"/>
      <c r="E248" s="9312"/>
      <c r="F248" s="9312"/>
      <c r="G248" s="9312"/>
      <c r="H248" s="9312"/>
      <c r="I248" s="9312"/>
      <c r="J248" s="9312"/>
      <c r="K248" s="9312"/>
      <c r="L248" s="9312"/>
      <c r="M248" s="9314"/>
      <c r="N248" s="9314"/>
      <c r="O248" s="9314"/>
      <c r="P248" s="9406"/>
      <c r="Q248" s="9403"/>
      <c r="R248" s="9316"/>
      <c r="S248" s="1123" t="s">
        <v>81</v>
      </c>
      <c r="T248" s="8144">
        <v>530205</v>
      </c>
      <c r="U248" s="6260"/>
      <c r="V248" s="8145" t="s">
        <v>1096</v>
      </c>
      <c r="W248" s="4868"/>
      <c r="X248" s="1023"/>
      <c r="Y248" s="4909"/>
      <c r="Z248" s="4909"/>
      <c r="AA248" s="4909"/>
      <c r="AB248" s="4905">
        <v>0</v>
      </c>
      <c r="AC248" s="4877"/>
      <c r="AD248" s="1126"/>
      <c r="AE248" s="1023"/>
      <c r="AF248" s="1024"/>
      <c r="AG248" s="182"/>
      <c r="AH248" s="9319"/>
    </row>
    <row r="249" spans="1:34" s="4835" customFormat="1" ht="22.5" customHeight="1" thickBot="1">
      <c r="A249" s="9392"/>
      <c r="B249" s="9399"/>
      <c r="C249" s="9397"/>
      <c r="D249" s="8773"/>
      <c r="E249" s="8773"/>
      <c r="F249" s="8773"/>
      <c r="G249" s="8773"/>
      <c r="H249" s="8773"/>
      <c r="I249" s="8773"/>
      <c r="J249" s="8773"/>
      <c r="K249" s="8773"/>
      <c r="L249" s="8773"/>
      <c r="M249" s="8773"/>
      <c r="N249" s="8773"/>
      <c r="O249" s="8773"/>
      <c r="P249" s="8773"/>
      <c r="Q249" s="8773"/>
      <c r="R249" s="8773"/>
      <c r="S249" s="9197" t="s">
        <v>1097</v>
      </c>
      <c r="T249" s="9327"/>
      <c r="U249" s="9327"/>
      <c r="V249" s="9327"/>
      <c r="W249" s="9327"/>
      <c r="X249" s="9327"/>
      <c r="Y249" s="9327"/>
      <c r="Z249" s="9327"/>
      <c r="AA249" s="4890" t="s">
        <v>292</v>
      </c>
      <c r="AB249" s="6393">
        <f>SUM(AB181:AB248)</f>
        <v>64146.632800000007</v>
      </c>
      <c r="AC249" s="5949"/>
      <c r="AD249" s="5949"/>
      <c r="AE249" s="9046"/>
      <c r="AF249" s="8773"/>
      <c r="AG249" s="8773"/>
      <c r="AH249" s="8774"/>
    </row>
    <row r="250" spans="1:34" s="4835" customFormat="1" ht="22.5" customHeight="1">
      <c r="A250" s="9393"/>
      <c r="B250" s="6176"/>
      <c r="C250" s="500"/>
      <c r="D250" s="500"/>
      <c r="E250" s="500"/>
      <c r="F250" s="500"/>
      <c r="G250" s="500"/>
      <c r="H250" s="500"/>
      <c r="I250" s="500"/>
      <c r="J250" s="500"/>
      <c r="K250" s="500"/>
      <c r="L250" s="500"/>
      <c r="M250" s="500"/>
      <c r="N250" s="500"/>
      <c r="O250" s="500"/>
      <c r="P250" s="500"/>
      <c r="Q250" s="500"/>
      <c r="R250" s="501"/>
      <c r="S250" s="9386" t="s">
        <v>941</v>
      </c>
      <c r="T250" s="9387"/>
      <c r="U250" s="9387"/>
      <c r="V250" s="9387"/>
      <c r="W250" s="9387"/>
      <c r="X250" s="9387"/>
      <c r="Y250" s="9387"/>
      <c r="Z250" s="9387"/>
      <c r="AA250" s="502" t="s">
        <v>292</v>
      </c>
      <c r="AB250" s="5401">
        <f>SUM(AB111,AB180,AB249)</f>
        <v>1268200.2260428572</v>
      </c>
      <c r="AC250" s="4895"/>
      <c r="AD250" s="4895"/>
      <c r="AE250" s="8898"/>
      <c r="AF250" s="9375"/>
      <c r="AG250" s="9375"/>
      <c r="AH250" s="9376"/>
    </row>
    <row r="251" spans="1:34" ht="16.5">
      <c r="A251" s="13"/>
      <c r="B251" s="6"/>
      <c r="C251" s="6" t="s">
        <v>656</v>
      </c>
      <c r="D251" s="141" t="s">
        <v>1098</v>
      </c>
      <c r="E251" s="100"/>
      <c r="F251" s="100"/>
      <c r="G251" s="100"/>
      <c r="H251" s="100"/>
      <c r="I251" s="100"/>
      <c r="J251" s="100"/>
      <c r="K251" s="100"/>
      <c r="L251" s="100"/>
      <c r="M251" s="100"/>
      <c r="N251" s="100"/>
      <c r="O251" s="100"/>
      <c r="P251" s="100"/>
      <c r="Q251" s="100"/>
      <c r="R251" s="100"/>
      <c r="S251" s="9377" t="s">
        <v>533</v>
      </c>
      <c r="T251" s="8825"/>
      <c r="U251" s="8825"/>
      <c r="V251" s="8825"/>
      <c r="W251" s="8825"/>
      <c r="X251" s="8825"/>
      <c r="Y251" s="8825"/>
      <c r="Z251" s="8825"/>
      <c r="AA251" s="9378"/>
      <c r="AB251" s="9378"/>
      <c r="AC251" s="9378"/>
      <c r="AD251" s="9378"/>
      <c r="AE251" s="8825"/>
      <c r="AF251" s="8825"/>
      <c r="AG251" s="8825"/>
      <c r="AH251" s="8825"/>
    </row>
    <row r="252" spans="1:34" ht="16.5">
      <c r="A252" s="13"/>
      <c r="B252" s="6"/>
      <c r="C252" s="6" t="s">
        <v>658</v>
      </c>
      <c r="D252" s="142">
        <v>44818</v>
      </c>
      <c r="E252" s="100"/>
      <c r="F252" s="100"/>
      <c r="G252" s="100"/>
      <c r="H252" s="100"/>
      <c r="I252" s="100"/>
      <c r="J252" s="100"/>
      <c r="K252" s="100"/>
      <c r="L252" s="100"/>
      <c r="M252" s="100"/>
      <c r="N252" s="100"/>
      <c r="O252" s="100"/>
      <c r="P252" s="100"/>
      <c r="Q252" s="100"/>
      <c r="R252" s="100"/>
      <c r="S252" s="99"/>
      <c r="AA252" s="559"/>
      <c r="AB252" s="559"/>
      <c r="AC252" s="559"/>
      <c r="AD252" s="559"/>
    </row>
    <row r="253" spans="1:34" ht="16.5" customHeight="1">
      <c r="A253" s="13"/>
      <c r="B253" s="6"/>
      <c r="E253" s="100"/>
      <c r="F253" s="100"/>
      <c r="G253" s="100"/>
      <c r="H253" s="100"/>
      <c r="I253" s="100"/>
      <c r="J253" s="100"/>
      <c r="K253" s="100"/>
      <c r="L253" s="100"/>
      <c r="M253" s="100"/>
      <c r="N253" s="100"/>
      <c r="O253" s="100"/>
      <c r="P253" s="100"/>
      <c r="Q253" s="100"/>
      <c r="R253" s="100"/>
      <c r="S253" s="143"/>
      <c r="T253" s="143"/>
      <c r="U253" s="8775" t="s">
        <v>351</v>
      </c>
      <c r="V253" s="9379"/>
      <c r="W253" s="9379"/>
      <c r="X253" s="9379"/>
      <c r="Y253" s="9379"/>
      <c r="Z253" s="9379"/>
      <c r="AA253" s="231"/>
      <c r="AB253" s="231"/>
      <c r="AC253" s="231"/>
      <c r="AD253"/>
      <c r="AE253" s="143"/>
      <c r="AF253" s="143"/>
      <c r="AG253" s="143"/>
    </row>
    <row r="254" spans="1:34" ht="16.5">
      <c r="A254" s="13"/>
      <c r="B254" s="100"/>
      <c r="C254" s="100"/>
      <c r="D254" s="100"/>
      <c r="E254" s="100"/>
      <c r="F254" s="100"/>
      <c r="G254" s="100"/>
      <c r="H254" s="100"/>
      <c r="I254" s="100"/>
      <c r="J254" s="100"/>
      <c r="K254" s="100"/>
      <c r="L254" s="100"/>
      <c r="M254" s="100"/>
      <c r="N254" s="100"/>
      <c r="O254" s="100"/>
      <c r="P254" s="100"/>
      <c r="Q254" s="100"/>
      <c r="R254" s="100"/>
      <c r="S254" s="143"/>
      <c r="U254" s="28"/>
      <c r="V254" s="28"/>
      <c r="W254" s="28"/>
      <c r="X254" s="28"/>
      <c r="Y254" s="28"/>
      <c r="Z254" s="28"/>
      <c r="AA254" s="100"/>
      <c r="AB254" s="363"/>
      <c r="AC254" s="363"/>
      <c r="AD254" s="100"/>
      <c r="AE254" s="143"/>
      <c r="AF254" s="143"/>
      <c r="AG254" s="143"/>
    </row>
    <row r="255" spans="1:34" ht="18" customHeight="1">
      <c r="A255" s="13"/>
      <c r="B255" s="100"/>
      <c r="C255" s="100"/>
      <c r="D255" s="100"/>
      <c r="E255" s="100"/>
      <c r="F255" s="100"/>
      <c r="G255" s="100"/>
      <c r="H255" s="100"/>
      <c r="I255" s="100"/>
      <c r="J255" s="100"/>
      <c r="K255" s="100"/>
      <c r="L255" s="100"/>
      <c r="M255" s="100"/>
      <c r="N255" s="100"/>
      <c r="O255" s="100"/>
      <c r="P255" s="100"/>
      <c r="Q255" s="100"/>
      <c r="R255" s="100"/>
      <c r="S255" s="125"/>
      <c r="T255" s="28"/>
      <c r="U255" s="5882" t="s">
        <v>5</v>
      </c>
      <c r="V255" s="5883" t="s">
        <v>6</v>
      </c>
      <c r="W255" s="5884" t="s">
        <v>7</v>
      </c>
      <c r="X255" s="5885" t="s">
        <v>352</v>
      </c>
      <c r="Y255" s="5885" t="s">
        <v>9</v>
      </c>
      <c r="Z255" s="5886" t="s">
        <v>353</v>
      </c>
      <c r="AA255" s="2111"/>
      <c r="AB255" s="9"/>
      <c r="AC255" s="9"/>
      <c r="AD255" s="334"/>
      <c r="AE255" s="143"/>
      <c r="AF255" s="143"/>
      <c r="AG255" s="143"/>
    </row>
    <row r="256" spans="1:34" ht="33">
      <c r="A256" s="13"/>
      <c r="B256" s="100"/>
      <c r="C256" s="100"/>
      <c r="D256" s="100"/>
      <c r="E256" s="100"/>
      <c r="F256" s="100"/>
      <c r="G256" s="100"/>
      <c r="H256" s="100"/>
      <c r="I256" s="100"/>
      <c r="J256" s="100"/>
      <c r="K256" s="100"/>
      <c r="L256" s="100"/>
      <c r="M256" s="100"/>
      <c r="N256" s="100"/>
      <c r="O256" s="100"/>
      <c r="U256" s="948" t="s">
        <v>15</v>
      </c>
      <c r="V256" s="946" t="s">
        <v>881</v>
      </c>
      <c r="W256" s="926">
        <v>530105</v>
      </c>
      <c r="X256" s="690" t="s">
        <v>17</v>
      </c>
      <c r="Y256" s="1678" t="s">
        <v>25</v>
      </c>
      <c r="Z256" s="136">
        <f>+AB69</f>
        <v>2686.7599999999998</v>
      </c>
      <c r="AA256" s="2112"/>
      <c r="AB256" s="10"/>
      <c r="AC256" s="10"/>
      <c r="AD256" s="335"/>
      <c r="AE256" s="143"/>
      <c r="AF256" s="143"/>
      <c r="AG256" s="143"/>
    </row>
    <row r="257" spans="1:33" ht="70.5" customHeight="1">
      <c r="A257" s="13"/>
      <c r="B257" s="100"/>
      <c r="C257" s="100"/>
      <c r="D257" s="100"/>
      <c r="E257" s="100"/>
      <c r="F257" s="100"/>
      <c r="G257" s="100"/>
      <c r="H257" s="100"/>
      <c r="I257" s="100"/>
      <c r="J257" s="100"/>
      <c r="K257" s="100"/>
      <c r="L257" s="100"/>
      <c r="M257" s="100"/>
      <c r="N257" s="100"/>
      <c r="O257" s="100"/>
      <c r="U257" s="948" t="s">
        <v>15</v>
      </c>
      <c r="V257" s="946" t="s">
        <v>16</v>
      </c>
      <c r="W257" s="926">
        <v>530204</v>
      </c>
      <c r="X257" s="690" t="s">
        <v>17</v>
      </c>
      <c r="Y257" s="1678" t="s">
        <v>25</v>
      </c>
      <c r="Z257" s="136">
        <f>+AB37</f>
        <v>1292.4016000000001</v>
      </c>
      <c r="AA257" s="2112"/>
      <c r="AB257" s="10"/>
      <c r="AC257" s="10"/>
      <c r="AD257" s="335"/>
      <c r="AE257" s="143"/>
      <c r="AF257" s="143"/>
      <c r="AG257" s="143"/>
    </row>
    <row r="258" spans="1:33" ht="70.5" customHeight="1">
      <c r="A258" s="13"/>
      <c r="B258" s="100"/>
      <c r="C258" s="100"/>
      <c r="D258" s="100"/>
      <c r="E258" s="100"/>
      <c r="F258" s="100"/>
      <c r="G258" s="100"/>
      <c r="H258" s="100"/>
      <c r="I258" s="100"/>
      <c r="J258" s="100"/>
      <c r="K258" s="100"/>
      <c r="L258" s="100"/>
      <c r="M258" s="100"/>
      <c r="N258" s="100"/>
      <c r="O258" s="100"/>
      <c r="U258" s="948" t="s">
        <v>15</v>
      </c>
      <c r="V258" s="946" t="s">
        <v>16</v>
      </c>
      <c r="W258" s="926">
        <v>530204</v>
      </c>
      <c r="X258" s="690" t="s">
        <v>17</v>
      </c>
      <c r="Y258" s="1678" t="s">
        <v>18</v>
      </c>
      <c r="Z258" s="136">
        <f>+AB14</f>
        <v>15998.8</v>
      </c>
      <c r="AA258" s="2112"/>
      <c r="AB258" s="10"/>
      <c r="AC258" s="10"/>
      <c r="AD258" s="335"/>
      <c r="AE258" s="143"/>
      <c r="AF258" s="143"/>
      <c r="AG258" s="143"/>
    </row>
    <row r="259" spans="1:33" ht="33">
      <c r="A259" s="13"/>
      <c r="B259" s="100"/>
      <c r="C259" s="100"/>
      <c r="D259" s="100"/>
      <c r="E259" s="100"/>
      <c r="F259" s="100"/>
      <c r="G259" s="100"/>
      <c r="H259" s="100"/>
      <c r="I259" s="100"/>
      <c r="J259" s="100"/>
      <c r="K259" s="100"/>
      <c r="L259" s="100"/>
      <c r="M259" s="100"/>
      <c r="N259" s="100"/>
      <c r="O259" s="100"/>
      <c r="U259" s="948" t="s">
        <v>15</v>
      </c>
      <c r="V259" s="946" t="s">
        <v>841</v>
      </c>
      <c r="W259" s="926">
        <v>530235</v>
      </c>
      <c r="X259" s="690" t="s">
        <v>17</v>
      </c>
      <c r="Y259" s="1678" t="s">
        <v>18</v>
      </c>
      <c r="Z259" s="136">
        <f>+AB41</f>
        <v>23026.2</v>
      </c>
      <c r="AA259" s="2112"/>
      <c r="AB259" s="10"/>
      <c r="AC259" s="10"/>
      <c r="AD259" s="335"/>
      <c r="AE259" s="143"/>
      <c r="AF259" s="143"/>
      <c r="AG259" s="143"/>
    </row>
    <row r="260" spans="1:33" ht="49.5">
      <c r="A260" s="13"/>
      <c r="B260" s="100"/>
      <c r="C260" s="100"/>
      <c r="D260" s="100"/>
      <c r="E260" s="100"/>
      <c r="F260" s="100"/>
      <c r="G260" s="100"/>
      <c r="H260" s="100"/>
      <c r="I260" s="100"/>
      <c r="J260" s="100"/>
      <c r="K260" s="100"/>
      <c r="L260" s="100"/>
      <c r="M260" s="100"/>
      <c r="N260" s="100"/>
      <c r="O260" s="100"/>
      <c r="U260" s="948" t="s">
        <v>15</v>
      </c>
      <c r="V260" s="946" t="s">
        <v>281</v>
      </c>
      <c r="W260" s="926">
        <v>530402</v>
      </c>
      <c r="X260" s="690" t="s">
        <v>17</v>
      </c>
      <c r="Y260" s="1678" t="s">
        <v>25</v>
      </c>
      <c r="Z260" s="136">
        <f>AB31</f>
        <v>70203.710000000006</v>
      </c>
      <c r="AA260" s="2112"/>
      <c r="AB260" s="10"/>
      <c r="AC260" s="10"/>
      <c r="AD260" s="335"/>
      <c r="AE260" s="143"/>
      <c r="AF260" s="143"/>
      <c r="AG260" s="143"/>
    </row>
    <row r="261" spans="1:33" ht="49.5">
      <c r="A261" s="13"/>
      <c r="B261" s="100"/>
      <c r="C261" s="100"/>
      <c r="D261" s="100"/>
      <c r="E261" s="100"/>
      <c r="F261" s="100"/>
      <c r="G261" s="100"/>
      <c r="H261" s="100"/>
      <c r="I261" s="100"/>
      <c r="J261" s="100"/>
      <c r="K261" s="100"/>
      <c r="L261" s="100"/>
      <c r="M261" s="100"/>
      <c r="N261" s="100"/>
      <c r="O261" s="100"/>
      <c r="U261" s="948" t="s">
        <v>15</v>
      </c>
      <c r="V261" s="946" t="s">
        <v>281</v>
      </c>
      <c r="W261" s="926">
        <v>530402</v>
      </c>
      <c r="X261" s="690" t="s">
        <v>17</v>
      </c>
      <c r="Y261" s="1678" t="s">
        <v>26</v>
      </c>
      <c r="Z261" s="136">
        <f>AB33</f>
        <v>7543.88</v>
      </c>
      <c r="AA261" s="2112"/>
      <c r="AB261" s="10"/>
      <c r="AC261" s="10"/>
      <c r="AD261" s="335"/>
      <c r="AE261" s="143"/>
      <c r="AF261" s="143"/>
      <c r="AG261" s="143"/>
    </row>
    <row r="262" spans="1:33" ht="49.5">
      <c r="A262" s="13"/>
      <c r="B262" s="100"/>
      <c r="C262" s="100"/>
      <c r="D262" s="100"/>
      <c r="E262" s="100"/>
      <c r="F262" s="100"/>
      <c r="G262" s="100"/>
      <c r="H262" s="100"/>
      <c r="I262" s="100"/>
      <c r="J262" s="100"/>
      <c r="K262" s="100"/>
      <c r="L262" s="100"/>
      <c r="M262" s="100"/>
      <c r="N262" s="100"/>
      <c r="O262" s="100"/>
      <c r="U262" s="948" t="s">
        <v>15</v>
      </c>
      <c r="V262" s="946" t="s">
        <v>281</v>
      </c>
      <c r="W262" s="926">
        <v>530402</v>
      </c>
      <c r="X262" s="690" t="s">
        <v>17</v>
      </c>
      <c r="Y262" s="1678" t="s">
        <v>18</v>
      </c>
      <c r="Z262" s="136">
        <f>+AB35</f>
        <v>83275.509999999995</v>
      </c>
      <c r="AA262" s="2112"/>
      <c r="AB262" s="10"/>
      <c r="AC262" s="10"/>
      <c r="AD262" s="335"/>
      <c r="AE262" s="143"/>
      <c r="AF262" s="143"/>
      <c r="AG262" s="143"/>
    </row>
    <row r="263" spans="1:33" ht="33">
      <c r="A263" s="13"/>
      <c r="B263" s="100"/>
      <c r="C263" s="100"/>
      <c r="D263" s="100"/>
      <c r="E263" s="100"/>
      <c r="F263" s="100"/>
      <c r="G263" s="100"/>
      <c r="H263" s="100"/>
      <c r="I263" s="100"/>
      <c r="J263" s="100"/>
      <c r="K263" s="100"/>
      <c r="L263" s="100"/>
      <c r="M263" s="100"/>
      <c r="N263" s="100"/>
      <c r="O263" s="100"/>
      <c r="U263" s="948" t="s">
        <v>15</v>
      </c>
      <c r="V263" s="946" t="s">
        <v>505</v>
      </c>
      <c r="W263" s="947">
        <v>530404</v>
      </c>
      <c r="X263" s="690" t="s">
        <v>17</v>
      </c>
      <c r="Y263" s="1678" t="s">
        <v>18</v>
      </c>
      <c r="Z263" s="136">
        <f>+AB43</f>
        <v>1982.4</v>
      </c>
      <c r="AA263" s="2112"/>
      <c r="AB263" s="10"/>
      <c r="AC263" s="10"/>
      <c r="AD263" s="335"/>
      <c r="AE263" s="143"/>
      <c r="AF263" s="143"/>
      <c r="AG263" s="143"/>
    </row>
    <row r="264" spans="1:33" ht="49.5">
      <c r="A264" s="13"/>
      <c r="B264" s="100"/>
      <c r="C264" s="100"/>
      <c r="D264" s="100"/>
      <c r="E264" s="100"/>
      <c r="F264" s="100"/>
      <c r="G264" s="100"/>
      <c r="H264" s="100"/>
      <c r="I264" s="100"/>
      <c r="J264" s="100"/>
      <c r="K264" s="100"/>
      <c r="L264" s="100"/>
      <c r="M264" s="100"/>
      <c r="N264" s="100"/>
      <c r="O264" s="100"/>
      <c r="U264" s="948" t="s">
        <v>15</v>
      </c>
      <c r="V264" s="946" t="s">
        <v>905</v>
      </c>
      <c r="W264" s="947">
        <v>530425</v>
      </c>
      <c r="X264" s="690" t="s">
        <v>17</v>
      </c>
      <c r="Y264" s="1678" t="s">
        <v>25</v>
      </c>
      <c r="Z264" s="136">
        <f>AB83</f>
        <v>6300</v>
      </c>
      <c r="AA264" s="2112"/>
      <c r="AB264" s="10"/>
      <c r="AC264" s="10"/>
      <c r="AD264" s="335"/>
      <c r="AE264" s="143"/>
      <c r="AF264" s="143"/>
      <c r="AG264" s="143"/>
    </row>
    <row r="265" spans="1:33" ht="33">
      <c r="A265" s="13"/>
      <c r="B265" s="100"/>
      <c r="C265" s="100"/>
      <c r="D265" s="100"/>
      <c r="E265" s="100"/>
      <c r="F265" s="100"/>
      <c r="G265" s="100"/>
      <c r="H265" s="100"/>
      <c r="I265" s="100"/>
      <c r="J265" s="100"/>
      <c r="K265" s="100"/>
      <c r="L265" s="100"/>
      <c r="M265" s="100"/>
      <c r="N265" s="100"/>
      <c r="O265" s="100"/>
      <c r="U265" s="948" t="s">
        <v>15</v>
      </c>
      <c r="V265" s="946" t="s">
        <v>839</v>
      </c>
      <c r="W265" s="947">
        <v>530802</v>
      </c>
      <c r="X265" s="690" t="s">
        <v>17</v>
      </c>
      <c r="Y265" s="1678" t="s">
        <v>25</v>
      </c>
      <c r="Z265" s="136">
        <f>+AB39</f>
        <v>198.99</v>
      </c>
      <c r="AA265" s="2112"/>
      <c r="AB265" s="10"/>
      <c r="AC265" s="10"/>
      <c r="AD265" s="335"/>
      <c r="AE265" s="143"/>
      <c r="AF265" s="143"/>
      <c r="AG265" s="143"/>
    </row>
    <row r="266" spans="1:33" ht="33">
      <c r="A266" s="13"/>
      <c r="B266" s="100"/>
      <c r="C266" s="100"/>
      <c r="D266" s="100"/>
      <c r="E266" s="100"/>
      <c r="F266" s="100"/>
      <c r="G266" s="100"/>
      <c r="H266" s="100"/>
      <c r="I266" s="100"/>
      <c r="J266" s="100"/>
      <c r="K266" s="100"/>
      <c r="L266" s="100"/>
      <c r="M266" s="100"/>
      <c r="N266" s="100"/>
      <c r="O266" s="100"/>
      <c r="U266" s="948" t="s">
        <v>15</v>
      </c>
      <c r="V266" s="946" t="s">
        <v>1006</v>
      </c>
      <c r="W266" s="947">
        <v>530807</v>
      </c>
      <c r="X266" s="690" t="s">
        <v>17</v>
      </c>
      <c r="Y266" s="1678" t="s">
        <v>18</v>
      </c>
      <c r="Z266" s="136">
        <f>+AB170+AB191</f>
        <v>1353.2800000000002</v>
      </c>
      <c r="AA266" s="2112"/>
      <c r="AB266" s="10"/>
      <c r="AC266" s="10"/>
      <c r="AD266" s="335"/>
      <c r="AE266" s="143"/>
      <c r="AF266" s="143"/>
      <c r="AG266" s="143"/>
    </row>
    <row r="267" spans="1:33" ht="33.75" customHeight="1">
      <c r="A267" s="13"/>
      <c r="B267" s="100"/>
      <c r="C267" s="100"/>
      <c r="D267" s="100"/>
      <c r="E267" s="100"/>
      <c r="F267" s="100"/>
      <c r="G267" s="100"/>
      <c r="H267" s="100"/>
      <c r="I267" s="100"/>
      <c r="J267" s="100"/>
      <c r="K267" s="100"/>
      <c r="L267" s="100"/>
      <c r="M267" s="100"/>
      <c r="N267" s="100"/>
      <c r="O267" s="100"/>
      <c r="U267" s="948" t="s">
        <v>15</v>
      </c>
      <c r="V267" s="946" t="s">
        <v>956</v>
      </c>
      <c r="W267" s="947">
        <v>530809</v>
      </c>
      <c r="X267" s="690" t="s">
        <v>17</v>
      </c>
      <c r="Y267" s="7920" t="s">
        <v>25</v>
      </c>
      <c r="Z267" s="136">
        <f>+AB119</f>
        <v>49108.3675</v>
      </c>
      <c r="AA267" s="2112"/>
      <c r="AB267" s="10"/>
      <c r="AC267" s="10"/>
      <c r="AD267" s="335"/>
      <c r="AE267" s="143"/>
      <c r="AF267" s="143"/>
      <c r="AG267" s="143"/>
    </row>
    <row r="268" spans="1:33" ht="33">
      <c r="A268" s="13"/>
      <c r="B268" s="100"/>
      <c r="C268" s="100"/>
      <c r="D268" s="100"/>
      <c r="E268" s="100"/>
      <c r="F268" s="100"/>
      <c r="G268" s="100"/>
      <c r="H268" s="100"/>
      <c r="I268" s="100"/>
      <c r="J268" s="100"/>
      <c r="K268" s="100"/>
      <c r="L268" s="100"/>
      <c r="M268" s="100"/>
      <c r="N268" s="100"/>
      <c r="O268" s="100"/>
      <c r="U268" s="948" t="s">
        <v>15</v>
      </c>
      <c r="V268" s="946" t="s">
        <v>1089</v>
      </c>
      <c r="W268" s="690" t="s">
        <v>1088</v>
      </c>
      <c r="X268" s="690" t="s">
        <v>17</v>
      </c>
      <c r="Y268" s="1678" t="s">
        <v>18</v>
      </c>
      <c r="Z268" s="136">
        <f>+AB238</f>
        <v>1189.5</v>
      </c>
      <c r="AA268" s="2112"/>
      <c r="AB268" s="10"/>
      <c r="AC268" s="10"/>
      <c r="AD268" s="335"/>
      <c r="AE268" s="143"/>
      <c r="AF268" s="143"/>
      <c r="AG268" s="143"/>
    </row>
    <row r="269" spans="1:33" ht="33">
      <c r="A269" s="13"/>
      <c r="B269" s="100"/>
      <c r="C269" s="100"/>
      <c r="D269" s="100"/>
      <c r="E269" s="100"/>
      <c r="F269" s="100"/>
      <c r="G269" s="100"/>
      <c r="H269" s="100"/>
      <c r="I269" s="100"/>
      <c r="J269" s="100"/>
      <c r="K269" s="100"/>
      <c r="L269" s="100"/>
      <c r="M269" s="100"/>
      <c r="N269" s="100"/>
      <c r="O269" s="100"/>
      <c r="U269" s="948" t="s">
        <v>15</v>
      </c>
      <c r="V269" s="946" t="s">
        <v>903</v>
      </c>
      <c r="W269" s="926">
        <v>531408</v>
      </c>
      <c r="X269" s="690" t="s">
        <v>17</v>
      </c>
      <c r="Y269" s="1678" t="s">
        <v>18</v>
      </c>
      <c r="Z269" s="136">
        <f>+AB81</f>
        <v>1917.5</v>
      </c>
      <c r="AA269" s="2112"/>
      <c r="AB269" s="10"/>
      <c r="AC269" s="10"/>
      <c r="AD269" s="335"/>
      <c r="AE269" s="143"/>
      <c r="AF269" s="143"/>
      <c r="AG269" s="143"/>
    </row>
    <row r="270" spans="1:33" ht="33">
      <c r="A270" s="13"/>
      <c r="B270" s="100"/>
      <c r="C270" s="100"/>
      <c r="D270" s="100"/>
      <c r="E270" s="100"/>
      <c r="F270" s="100"/>
      <c r="G270" s="100"/>
      <c r="H270" s="100"/>
      <c r="I270" s="100"/>
      <c r="J270" s="100"/>
      <c r="K270" s="100"/>
      <c r="L270" s="100"/>
      <c r="M270" s="100"/>
      <c r="N270" s="100"/>
      <c r="O270" s="100"/>
      <c r="U270" s="948" t="s">
        <v>15</v>
      </c>
      <c r="V270" s="946" t="s">
        <v>39</v>
      </c>
      <c r="W270" s="926">
        <v>840104</v>
      </c>
      <c r="X270" s="690" t="s">
        <v>17</v>
      </c>
      <c r="Y270" s="1678" t="s">
        <v>18</v>
      </c>
      <c r="Z270" s="136">
        <f>+AB53+AB86+AB91+AB117+AB215</f>
        <v>132688.742</v>
      </c>
      <c r="AA270" s="2112"/>
      <c r="AB270" s="10"/>
      <c r="AC270" s="10"/>
      <c r="AD270" s="335"/>
      <c r="AE270" s="143"/>
      <c r="AF270" s="143"/>
      <c r="AG270" s="143"/>
    </row>
    <row r="271" spans="1:33" ht="33">
      <c r="A271" s="13"/>
      <c r="B271" s="100"/>
      <c r="C271" s="100"/>
      <c r="D271" s="100"/>
      <c r="E271" s="100"/>
      <c r="F271" s="100"/>
      <c r="G271" s="100"/>
      <c r="H271" s="100"/>
      <c r="I271" s="100"/>
      <c r="J271" s="100"/>
      <c r="K271" s="100"/>
      <c r="L271" s="100"/>
      <c r="M271" s="100"/>
      <c r="N271" s="100"/>
      <c r="O271" s="100"/>
      <c r="U271" s="948" t="s">
        <v>15</v>
      </c>
      <c r="V271" s="946" t="s">
        <v>40</v>
      </c>
      <c r="W271" s="947">
        <v>840107</v>
      </c>
      <c r="X271" s="690" t="s">
        <v>17</v>
      </c>
      <c r="Y271" s="1678" t="s">
        <v>25</v>
      </c>
      <c r="Z271" s="136">
        <f>AB67</f>
        <v>73170.899999999994</v>
      </c>
      <c r="AA271" s="2111"/>
      <c r="AB271" s="9"/>
      <c r="AC271" s="9"/>
      <c r="AD271" s="2085"/>
      <c r="AE271" s="143"/>
      <c r="AF271" s="143"/>
      <c r="AG271" s="143"/>
    </row>
    <row r="272" spans="1:33" ht="33">
      <c r="A272" s="13"/>
      <c r="B272" s="100"/>
      <c r="C272" s="100"/>
      <c r="D272" s="100"/>
      <c r="E272" s="100"/>
      <c r="F272" s="100"/>
      <c r="G272" s="100"/>
      <c r="H272" s="100"/>
      <c r="I272" s="100"/>
      <c r="J272" s="100"/>
      <c r="K272" s="100"/>
      <c r="L272" s="100"/>
      <c r="M272" s="100"/>
      <c r="N272" s="100"/>
      <c r="O272" s="100"/>
      <c r="U272" s="948" t="s">
        <v>15</v>
      </c>
      <c r="V272" s="946" t="s">
        <v>822</v>
      </c>
      <c r="W272" s="947">
        <v>840108</v>
      </c>
      <c r="X272" s="690" t="s">
        <v>17</v>
      </c>
      <c r="Y272" s="1678" t="s">
        <v>25</v>
      </c>
      <c r="Z272" s="136">
        <f>AB19</f>
        <v>2520</v>
      </c>
      <c r="AA272" s="2111"/>
      <c r="AB272" s="9"/>
      <c r="AC272" s="9"/>
      <c r="AD272" s="2085"/>
      <c r="AE272" s="143"/>
      <c r="AF272" s="143"/>
      <c r="AG272" s="143"/>
    </row>
    <row r="273" spans="1:33" ht="49.5">
      <c r="A273" s="13"/>
      <c r="B273" s="100"/>
      <c r="C273" s="100"/>
      <c r="D273" s="100"/>
      <c r="E273" s="100"/>
      <c r="F273" s="100"/>
      <c r="G273" s="100"/>
      <c r="H273" s="100"/>
      <c r="I273" s="100"/>
      <c r="J273" s="100"/>
      <c r="K273" s="100"/>
      <c r="L273" s="100"/>
      <c r="M273" s="100"/>
      <c r="N273" s="100"/>
      <c r="O273" s="100"/>
      <c r="U273" s="948" t="s">
        <v>79</v>
      </c>
      <c r="V273" s="946" t="s">
        <v>281</v>
      </c>
      <c r="W273" s="926">
        <v>530402</v>
      </c>
      <c r="X273" s="690" t="s">
        <v>17</v>
      </c>
      <c r="Y273" s="1678" t="s">
        <v>25</v>
      </c>
      <c r="Z273" s="136">
        <f>+AB29</f>
        <v>363984.4821428571</v>
      </c>
      <c r="AA273" s="2112"/>
      <c r="AB273" s="10"/>
      <c r="AC273" s="10"/>
      <c r="AD273" s="335"/>
      <c r="AE273" s="143"/>
      <c r="AF273" s="143"/>
      <c r="AG273" s="143"/>
    </row>
    <row r="274" spans="1:33" ht="36" customHeight="1">
      <c r="A274" s="13"/>
      <c r="B274" s="100"/>
      <c r="C274" s="100"/>
      <c r="D274" s="100"/>
      <c r="E274" s="100"/>
      <c r="F274" s="100"/>
      <c r="G274" s="100"/>
      <c r="H274" s="100"/>
      <c r="I274" s="100"/>
      <c r="J274" s="100"/>
      <c r="K274" s="100"/>
      <c r="L274" s="100"/>
      <c r="M274" s="100"/>
      <c r="N274" s="100"/>
      <c r="O274" s="100"/>
      <c r="U274" s="948" t="s">
        <v>79</v>
      </c>
      <c r="V274" s="946" t="s">
        <v>894</v>
      </c>
      <c r="W274" s="926">
        <v>570201</v>
      </c>
      <c r="X274" s="690" t="s">
        <v>17</v>
      </c>
      <c r="Y274" s="1678" t="s">
        <v>25</v>
      </c>
      <c r="Z274" s="136">
        <f>+AB76</f>
        <v>146854.69</v>
      </c>
      <c r="AA274" s="2112"/>
      <c r="AB274" s="10"/>
      <c r="AC274" s="10"/>
      <c r="AD274" s="335"/>
      <c r="AE274" s="143"/>
      <c r="AF274" s="143"/>
      <c r="AG274" s="143"/>
    </row>
    <row r="275" spans="1:33" ht="34.5" customHeight="1">
      <c r="A275" s="13"/>
      <c r="B275" s="100"/>
      <c r="C275" s="100"/>
      <c r="D275" s="100"/>
      <c r="E275" s="100"/>
      <c r="F275" s="100"/>
      <c r="G275" s="100"/>
      <c r="H275" s="100"/>
      <c r="I275" s="100"/>
      <c r="J275" s="100"/>
      <c r="K275" s="100"/>
      <c r="L275" s="100"/>
      <c r="M275" s="100"/>
      <c r="N275" s="100"/>
      <c r="O275" s="100"/>
      <c r="U275" s="948" t="s">
        <v>79</v>
      </c>
      <c r="V275" s="949" t="s">
        <v>38</v>
      </c>
      <c r="W275" s="950">
        <v>580208</v>
      </c>
      <c r="X275" s="690" t="s">
        <v>17</v>
      </c>
      <c r="Y275" s="1678" t="s">
        <v>25</v>
      </c>
      <c r="Z275" s="136">
        <f>+AB58</f>
        <v>251470</v>
      </c>
      <c r="AA275" s="2112"/>
      <c r="AB275" s="10"/>
      <c r="AC275" s="10"/>
      <c r="AD275" s="335"/>
      <c r="AE275" s="143"/>
      <c r="AF275" s="143"/>
      <c r="AG275" s="143"/>
    </row>
    <row r="276" spans="1:33" ht="49.5">
      <c r="A276" s="13"/>
      <c r="B276" s="100"/>
      <c r="C276" s="100"/>
      <c r="D276" s="100"/>
      <c r="E276" s="100"/>
      <c r="F276" s="100"/>
      <c r="G276" s="100"/>
      <c r="H276" s="100"/>
      <c r="I276" s="100"/>
      <c r="J276" s="100"/>
      <c r="K276" s="100"/>
      <c r="L276" s="100"/>
      <c r="M276" s="100"/>
      <c r="N276" s="100"/>
      <c r="O276" s="100"/>
      <c r="U276" s="948" t="s">
        <v>81</v>
      </c>
      <c r="V276" s="946" t="s">
        <v>591</v>
      </c>
      <c r="W276" s="947">
        <v>840103</v>
      </c>
      <c r="X276" s="690" t="s">
        <v>17</v>
      </c>
      <c r="Y276" s="1678" t="s">
        <v>18</v>
      </c>
      <c r="Z276" s="136">
        <f>+AB16+AB243</f>
        <v>10869.5344</v>
      </c>
      <c r="AA276" s="2112"/>
      <c r="AB276" s="10"/>
      <c r="AC276" s="10"/>
      <c r="AD276" s="335"/>
      <c r="AE276" s="143"/>
      <c r="AF276" s="143"/>
      <c r="AG276" s="143"/>
    </row>
    <row r="277" spans="1:33" ht="49.5">
      <c r="A277" s="13"/>
      <c r="B277" s="100"/>
      <c r="C277" s="100"/>
      <c r="D277" s="100"/>
      <c r="E277" s="100"/>
      <c r="F277" s="100"/>
      <c r="G277" s="100"/>
      <c r="H277" s="100"/>
      <c r="I277" s="100"/>
      <c r="J277" s="100"/>
      <c r="K277" s="100"/>
      <c r="L277" s="100"/>
      <c r="M277" s="100"/>
      <c r="N277" s="100"/>
      <c r="O277" s="100"/>
      <c r="U277" s="948" t="s">
        <v>81</v>
      </c>
      <c r="V277" s="946" t="s">
        <v>39</v>
      </c>
      <c r="W277" s="947">
        <v>840104</v>
      </c>
      <c r="X277" s="690" t="s">
        <v>17</v>
      </c>
      <c r="Y277" s="1678" t="s">
        <v>18</v>
      </c>
      <c r="Z277" s="136">
        <f>+AB46+AB223+AB245</f>
        <v>20564.578400000002</v>
      </c>
      <c r="AA277" s="2112"/>
      <c r="AB277" s="10"/>
      <c r="AC277" s="10"/>
      <c r="AD277" s="335"/>
      <c r="AE277" s="143"/>
      <c r="AF277" s="143"/>
      <c r="AG277" s="143"/>
    </row>
    <row r="278" spans="1:33" ht="18" customHeight="1">
      <c r="A278" s="13"/>
      <c r="B278" s="100"/>
      <c r="C278" s="100"/>
      <c r="D278" s="100"/>
      <c r="E278" s="100"/>
      <c r="F278" s="100"/>
      <c r="G278" s="100"/>
      <c r="H278" s="100"/>
      <c r="I278" s="100"/>
      <c r="J278" s="100"/>
      <c r="K278" s="100"/>
      <c r="L278" s="100"/>
      <c r="M278" s="100"/>
      <c r="N278" s="100"/>
      <c r="O278" s="100"/>
      <c r="P278" s="100"/>
      <c r="Q278" s="2114"/>
      <c r="R278" s="2115"/>
      <c r="S278" s="126"/>
      <c r="U278" s="5942"/>
      <c r="V278" s="5943" t="s">
        <v>67</v>
      </c>
      <c r="W278" s="5944"/>
      <c r="X278" s="5944"/>
      <c r="Y278" s="5926" t="s">
        <v>292</v>
      </c>
      <c r="Z278" s="1846">
        <f>SUM(Z256:Z277)</f>
        <v>1268200.2260428572</v>
      </c>
      <c r="AA278" s="2113"/>
      <c r="AB278" s="195"/>
      <c r="AC278" s="364"/>
      <c r="AD278" s="143"/>
      <c r="AE278" s="143"/>
      <c r="AF278" s="143"/>
      <c r="AG278" s="143"/>
    </row>
    <row r="279" spans="1:33" ht="16.5">
      <c r="A279" s="13"/>
      <c r="B279" s="100"/>
      <c r="C279" s="100"/>
      <c r="D279" s="100"/>
      <c r="E279" s="100"/>
      <c r="F279" s="100"/>
      <c r="G279" s="100"/>
      <c r="H279" s="100"/>
      <c r="I279" s="100"/>
      <c r="J279" s="100"/>
      <c r="K279" s="100"/>
      <c r="L279" s="100"/>
      <c r="M279" s="100"/>
      <c r="N279" s="100"/>
      <c r="O279" s="100"/>
      <c r="P279" s="100"/>
      <c r="Q279" s="2116"/>
      <c r="R279" s="2117"/>
      <c r="U279" s="28"/>
      <c r="V279" s="34"/>
      <c r="W279" s="35"/>
      <c r="X279" s="28"/>
      <c r="Y279" s="28"/>
      <c r="Z279" s="28"/>
      <c r="AA279" s="143"/>
      <c r="AB279" s="364"/>
      <c r="AC279" s="364"/>
      <c r="AD279" s="145"/>
      <c r="AE279" s="143"/>
      <c r="AF279" s="143"/>
      <c r="AG279" s="143"/>
    </row>
    <row r="280" spans="1:33" ht="16.5">
      <c r="A280" s="13"/>
      <c r="B280" s="100"/>
      <c r="C280" s="100"/>
      <c r="D280" s="100"/>
      <c r="E280" s="100"/>
      <c r="F280" s="100"/>
      <c r="G280" s="100"/>
      <c r="H280" s="100"/>
      <c r="I280" s="100"/>
      <c r="J280" s="100"/>
      <c r="K280" s="100"/>
      <c r="L280" s="100"/>
      <c r="M280" s="100"/>
      <c r="N280" s="100"/>
      <c r="O280" s="100"/>
      <c r="P280" s="100"/>
      <c r="Q280" s="2116"/>
      <c r="R280" s="2118"/>
      <c r="T280" s="28"/>
      <c r="U280" s="28"/>
      <c r="V280" s="28"/>
      <c r="W280" s="28"/>
      <c r="X280" s="28"/>
      <c r="Y280" s="28"/>
      <c r="Z280" s="28"/>
      <c r="AA280" s="28"/>
      <c r="AB280" s="368"/>
      <c r="AC280" s="368"/>
      <c r="AD280" s="143"/>
      <c r="AE280" s="143"/>
      <c r="AF280" s="143"/>
      <c r="AG280" s="143"/>
    </row>
    <row r="281" spans="1:33" ht="16.5">
      <c r="A281" s="13"/>
      <c r="B281" s="100"/>
      <c r="C281" s="100"/>
      <c r="D281" s="100"/>
      <c r="E281" s="100"/>
      <c r="F281" s="100"/>
      <c r="G281" s="100"/>
      <c r="H281" s="100"/>
      <c r="I281" s="100"/>
      <c r="J281" s="100"/>
      <c r="K281" s="100"/>
      <c r="L281" s="100"/>
      <c r="M281" s="100"/>
      <c r="N281" s="100"/>
      <c r="O281" s="100"/>
      <c r="P281" s="100"/>
      <c r="Q281" s="2116"/>
      <c r="R281" s="2115"/>
      <c r="U281" s="8764" t="s">
        <v>356</v>
      </c>
      <c r="V281" s="9366"/>
      <c r="W281" s="9367"/>
      <c r="X281" s="28"/>
      <c r="Y281" s="36" t="s">
        <v>357</v>
      </c>
      <c r="Z281" s="37" t="str">
        <f>IF(Z278=AB250,"OK","NO")</f>
        <v>OK</v>
      </c>
      <c r="AA281" s="28"/>
      <c r="AB281" s="368"/>
      <c r="AC281" s="368"/>
      <c r="AD281" s="146"/>
      <c r="AE281" s="143"/>
      <c r="AF281" s="143"/>
      <c r="AG281" s="143"/>
    </row>
    <row r="282" spans="1:33" ht="16.5">
      <c r="A282" s="13"/>
      <c r="B282" s="100"/>
      <c r="C282" s="100"/>
      <c r="D282" s="100"/>
      <c r="E282" s="100"/>
      <c r="F282" s="100"/>
      <c r="G282" s="100"/>
      <c r="H282" s="100"/>
      <c r="I282" s="100"/>
      <c r="J282" s="100"/>
      <c r="K282" s="100"/>
      <c r="L282" s="100"/>
      <c r="M282" s="100"/>
      <c r="N282" s="100"/>
      <c r="O282" s="100"/>
      <c r="P282" s="100"/>
      <c r="Q282" s="2116"/>
      <c r="R282" s="2115"/>
      <c r="U282" s="8766" t="s">
        <v>358</v>
      </c>
      <c r="V282" s="9368"/>
      <c r="W282" s="750">
        <f>+Z256+Z257+Z265+Z271+Z273+Z274+Z275+Z260+Z264+Z267+Z272</f>
        <v>967790.30124285712</v>
      </c>
      <c r="X282" s="35"/>
      <c r="Y282" s="28"/>
      <c r="Z282" s="37" t="str">
        <f>IF(W286=AB250,"OK","NO")</f>
        <v>OK</v>
      </c>
      <c r="AA282" s="28"/>
      <c r="AB282" s="368"/>
      <c r="AC282" s="368"/>
      <c r="AD282" s="146"/>
      <c r="AE282" s="143"/>
      <c r="AF282" s="143"/>
      <c r="AG282" s="143"/>
    </row>
    <row r="283" spans="1:33" ht="16.5">
      <c r="A283" s="13"/>
      <c r="B283" s="100"/>
      <c r="C283" s="100"/>
      <c r="D283" s="100"/>
      <c r="E283" s="100"/>
      <c r="F283" s="100"/>
      <c r="G283" s="100"/>
      <c r="H283" s="100"/>
      <c r="I283" s="100"/>
      <c r="J283" s="100"/>
      <c r="K283" s="100"/>
      <c r="L283" s="100"/>
      <c r="M283" s="100"/>
      <c r="N283" s="100"/>
      <c r="O283" s="100"/>
      <c r="P283" s="100"/>
      <c r="Q283" s="2114"/>
      <c r="R283" s="2115"/>
      <c r="S283" s="143"/>
      <c r="T283" s="143"/>
      <c r="U283" s="8755" t="s">
        <v>359</v>
      </c>
      <c r="V283" s="9369"/>
      <c r="W283" s="751">
        <f>Z261</f>
        <v>7543.88</v>
      </c>
      <c r="X283" s="35"/>
      <c r="Y283" s="28"/>
      <c r="Z283" s="37" t="str">
        <f>IF(W296=AB250,"OK","NO")</f>
        <v>OK</v>
      </c>
      <c r="AA283" s="28"/>
      <c r="AB283" s="368"/>
      <c r="AC283" s="368"/>
      <c r="AD283" s="146"/>
      <c r="AE283" s="143"/>
      <c r="AF283" s="143"/>
      <c r="AG283" s="143"/>
    </row>
    <row r="284" spans="1:33" ht="16.5">
      <c r="A284" s="13"/>
      <c r="B284" s="100"/>
      <c r="C284" s="100"/>
      <c r="D284" s="100"/>
      <c r="E284" s="100"/>
      <c r="F284" s="100"/>
      <c r="G284" s="100"/>
      <c r="H284" s="100"/>
      <c r="I284" s="100"/>
      <c r="J284" s="100"/>
      <c r="K284" s="100"/>
      <c r="L284" s="100"/>
      <c r="M284" s="100"/>
      <c r="N284" s="100"/>
      <c r="O284" s="100"/>
      <c r="P284" s="100"/>
      <c r="Q284" s="2114"/>
      <c r="R284" s="2115"/>
      <c r="S284" s="143"/>
      <c r="T284" s="143"/>
      <c r="U284" s="8755" t="s">
        <v>360</v>
      </c>
      <c r="V284" s="9369"/>
      <c r="W284" s="751">
        <f>+Z258+Z259+Z262+Z263+Z266+Z268+Z269+Z270+Z276+Z277</f>
        <v>292866.04479999997</v>
      </c>
      <c r="X284" s="35"/>
      <c r="Y284" s="35"/>
      <c r="Z284" s="37" t="str">
        <f>IF(Resumen!C406=AB250,"OK","NO")</f>
        <v>OK</v>
      </c>
      <c r="AA284" s="28"/>
      <c r="AB284" s="368"/>
      <c r="AC284" s="368"/>
      <c r="AD284" s="146"/>
      <c r="AE284" s="143"/>
      <c r="AF284" s="143"/>
      <c r="AG284" s="143"/>
    </row>
    <row r="285" spans="1:33" ht="16.5">
      <c r="A285" s="13"/>
      <c r="B285" s="100"/>
      <c r="C285" s="100"/>
      <c r="D285" s="100"/>
      <c r="E285" s="100"/>
      <c r="F285" s="100"/>
      <c r="G285" s="100"/>
      <c r="H285" s="100"/>
      <c r="I285" s="100"/>
      <c r="J285" s="100"/>
      <c r="K285" s="100"/>
      <c r="L285" s="100"/>
      <c r="M285" s="100"/>
      <c r="N285" s="100"/>
      <c r="O285" s="100"/>
      <c r="P285" s="100"/>
      <c r="Q285" s="2114"/>
      <c r="R285" s="2115"/>
      <c r="S285" s="143"/>
      <c r="T285" s="143"/>
      <c r="U285" s="8755" t="s">
        <v>361</v>
      </c>
      <c r="V285" s="9369"/>
      <c r="W285" s="752">
        <v>0</v>
      </c>
      <c r="X285" s="35"/>
      <c r="Y285" s="35"/>
      <c r="Z285" s="28"/>
      <c r="AA285" s="28"/>
      <c r="AB285" s="368"/>
      <c r="AC285" s="368"/>
      <c r="AD285" s="146"/>
      <c r="AE285" s="143"/>
      <c r="AF285" s="143"/>
      <c r="AG285" s="143"/>
    </row>
    <row r="286" spans="1:33" ht="16.5">
      <c r="A286" s="13"/>
      <c r="B286" s="100"/>
      <c r="C286" s="100"/>
      <c r="D286" s="100"/>
      <c r="E286" s="100"/>
      <c r="F286" s="100"/>
      <c r="G286" s="100"/>
      <c r="H286" s="100"/>
      <c r="I286" s="100"/>
      <c r="J286" s="100"/>
      <c r="K286" s="100"/>
      <c r="L286" s="100"/>
      <c r="M286" s="100"/>
      <c r="N286" s="100"/>
      <c r="O286" s="100"/>
      <c r="P286" s="100"/>
      <c r="S286" s="143"/>
      <c r="T286" s="143"/>
      <c r="U286" s="9371" t="s">
        <v>67</v>
      </c>
      <c r="V286" s="9372"/>
      <c r="W286" s="753">
        <f>SUM(W282:W285)</f>
        <v>1268200.2260428572</v>
      </c>
      <c r="X286" s="35"/>
      <c r="Y286" s="35"/>
      <c r="Z286" s="28"/>
      <c r="AA286" s="28"/>
      <c r="AB286" s="368"/>
      <c r="AC286" s="368"/>
      <c r="AD286" s="146"/>
      <c r="AE286" s="143"/>
      <c r="AF286" s="143"/>
      <c r="AG286" s="143"/>
    </row>
    <row r="287" spans="1:33" ht="16.5">
      <c r="A287" s="13"/>
      <c r="B287" s="100"/>
      <c r="C287" s="100"/>
      <c r="D287" s="100"/>
      <c r="E287" s="100"/>
      <c r="F287" s="100"/>
      <c r="G287" s="100"/>
      <c r="H287" s="100"/>
      <c r="I287" s="100"/>
      <c r="J287" s="100"/>
      <c r="K287" s="100"/>
      <c r="L287" s="100"/>
      <c r="M287" s="100"/>
      <c r="N287" s="100"/>
      <c r="O287" s="100"/>
      <c r="P287" s="100"/>
      <c r="S287" s="143"/>
      <c r="T287" s="143"/>
      <c r="U287" s="8758" t="s">
        <v>362</v>
      </c>
      <c r="V287" s="9373"/>
      <c r="W287" s="9374"/>
      <c r="X287" s="38"/>
      <c r="Y287" s="38"/>
      <c r="Z287" s="28"/>
      <c r="AA287" s="28"/>
      <c r="AB287" s="368"/>
      <c r="AC287" s="368"/>
      <c r="AD287" s="146"/>
      <c r="AE287" s="143"/>
      <c r="AF287" s="143"/>
      <c r="AG287" s="143"/>
    </row>
    <row r="288" spans="1:33" ht="16.5">
      <c r="A288" s="13"/>
      <c r="B288" s="100"/>
      <c r="C288" s="100"/>
      <c r="D288" s="100"/>
      <c r="E288" s="100"/>
      <c r="F288" s="100"/>
      <c r="G288" s="100"/>
      <c r="H288" s="100"/>
      <c r="I288" s="100"/>
      <c r="J288" s="100"/>
      <c r="K288" s="100"/>
      <c r="L288" s="100"/>
      <c r="M288" s="100"/>
      <c r="N288" s="100"/>
      <c r="O288" s="100"/>
      <c r="P288" s="100"/>
      <c r="S288" s="143"/>
      <c r="T288" s="143"/>
      <c r="U288" s="8760" t="s">
        <v>363</v>
      </c>
      <c r="V288" s="9368"/>
      <c r="W288" s="750">
        <v>0</v>
      </c>
      <c r="X288" s="38"/>
      <c r="Y288" s="38"/>
      <c r="Z288" s="28"/>
      <c r="AA288" s="28"/>
      <c r="AB288" s="368"/>
      <c r="AC288" s="368"/>
      <c r="AD288" s="146"/>
      <c r="AE288" s="143"/>
      <c r="AF288" s="143"/>
      <c r="AG288" s="143"/>
    </row>
    <row r="289" spans="1:33" ht="16.5">
      <c r="A289" s="13"/>
      <c r="B289" s="100"/>
      <c r="C289" s="100"/>
      <c r="D289" s="100"/>
      <c r="E289" s="100"/>
      <c r="F289" s="100"/>
      <c r="G289" s="100"/>
      <c r="H289" s="100"/>
      <c r="I289" s="100"/>
      <c r="J289" s="100"/>
      <c r="K289" s="100"/>
      <c r="L289" s="100"/>
      <c r="M289" s="100"/>
      <c r="N289" s="100"/>
      <c r="O289" s="100"/>
      <c r="P289" s="100"/>
      <c r="S289" s="143"/>
      <c r="T289" s="143"/>
      <c r="U289" s="8762" t="s">
        <v>364</v>
      </c>
      <c r="V289" s="9369"/>
      <c r="W289" s="751">
        <f>+Z256+Z257+Z258+Z259+Z262+Z263+Z265+Z266+Z267+Z268+Z269+Z273+Z260+Z261+Z264</f>
        <v>630061.78124285711</v>
      </c>
      <c r="X289" s="38"/>
      <c r="Y289" s="38"/>
      <c r="Z289" s="35"/>
      <c r="AA289" s="28"/>
      <c r="AB289" s="368"/>
      <c r="AC289" s="368"/>
      <c r="AD289" s="146"/>
      <c r="AE289" s="143"/>
      <c r="AF289" s="143"/>
      <c r="AG289" s="143"/>
    </row>
    <row r="290" spans="1:33" ht="16.5">
      <c r="A290" s="13"/>
      <c r="B290" s="100"/>
      <c r="C290" s="100"/>
      <c r="D290" s="100"/>
      <c r="E290" s="100"/>
      <c r="F290" s="100"/>
      <c r="G290" s="100"/>
      <c r="H290" s="100"/>
      <c r="I290" s="100"/>
      <c r="J290" s="100"/>
      <c r="K290" s="100"/>
      <c r="L290" s="100"/>
      <c r="M290" s="100"/>
      <c r="N290" s="100"/>
      <c r="O290" s="100"/>
      <c r="P290" s="100"/>
      <c r="S290" s="143"/>
      <c r="T290" s="143"/>
      <c r="U290" s="8762" t="s">
        <v>365</v>
      </c>
      <c r="V290" s="9369"/>
      <c r="W290" s="751">
        <f>+Z274</f>
        <v>146854.69</v>
      </c>
      <c r="X290" s="39"/>
      <c r="Y290" s="39"/>
      <c r="Z290" s="28"/>
      <c r="AA290" s="28"/>
      <c r="AB290" s="368"/>
      <c r="AC290" s="368"/>
      <c r="AD290" s="146"/>
      <c r="AE290" s="143"/>
      <c r="AF290" s="143"/>
      <c r="AG290" s="143"/>
    </row>
    <row r="291" spans="1:33" ht="16.5">
      <c r="A291" s="13"/>
      <c r="B291" s="100"/>
      <c r="C291" s="100"/>
      <c r="D291" s="100"/>
      <c r="E291" s="100"/>
      <c r="F291" s="100"/>
      <c r="G291" s="100"/>
      <c r="H291" s="100"/>
      <c r="I291" s="100"/>
      <c r="J291" s="100"/>
      <c r="K291" s="100"/>
      <c r="L291" s="100"/>
      <c r="M291" s="100"/>
      <c r="N291" s="100"/>
      <c r="O291" s="100"/>
      <c r="P291" s="100"/>
      <c r="S291" s="143"/>
      <c r="T291" s="143"/>
      <c r="U291" s="8762" t="s">
        <v>366</v>
      </c>
      <c r="V291" s="9369"/>
      <c r="W291" s="751">
        <f>+Z275</f>
        <v>251470</v>
      </c>
      <c r="X291" s="35"/>
      <c r="Y291" s="35"/>
      <c r="Z291" s="28"/>
      <c r="AA291" s="28"/>
      <c r="AB291" s="368"/>
      <c r="AC291" s="368"/>
      <c r="AD291" s="146"/>
      <c r="AE291" s="143"/>
      <c r="AF291" s="143"/>
      <c r="AG291" s="143"/>
    </row>
    <row r="292" spans="1:33" ht="16.5">
      <c r="A292" s="13"/>
      <c r="B292" s="100"/>
      <c r="C292" s="100"/>
      <c r="D292" s="100"/>
      <c r="E292" s="100"/>
      <c r="F292" s="100"/>
      <c r="G292" s="100"/>
      <c r="H292" s="100"/>
      <c r="I292" s="100"/>
      <c r="J292" s="100"/>
      <c r="K292" s="100"/>
      <c r="L292" s="100"/>
      <c r="M292" s="100"/>
      <c r="N292" s="100"/>
      <c r="O292" s="100"/>
      <c r="P292" s="100"/>
      <c r="S292" s="143"/>
      <c r="T292" s="143"/>
      <c r="U292" s="8762" t="s">
        <v>367</v>
      </c>
      <c r="V292" s="9369"/>
      <c r="W292" s="751">
        <v>0</v>
      </c>
      <c r="X292" s="40"/>
      <c r="Y292" s="40"/>
      <c r="Z292" s="1745"/>
      <c r="AC292"/>
      <c r="AD292"/>
      <c r="AE292" s="143"/>
      <c r="AF292" s="143"/>
      <c r="AG292" s="143"/>
    </row>
    <row r="293" spans="1:33" ht="16.5">
      <c r="A293" s="13"/>
      <c r="B293" s="100"/>
      <c r="C293" s="100"/>
      <c r="D293" s="100"/>
      <c r="E293" s="100"/>
      <c r="F293" s="100"/>
      <c r="G293" s="100"/>
      <c r="H293" s="100"/>
      <c r="I293" s="100"/>
      <c r="J293" s="100"/>
      <c r="K293" s="100"/>
      <c r="L293" s="100"/>
      <c r="M293" s="100"/>
      <c r="N293" s="100"/>
      <c r="O293" s="100"/>
      <c r="P293" s="100"/>
      <c r="S293" s="143"/>
      <c r="T293" s="143"/>
      <c r="U293" s="8762" t="s">
        <v>368</v>
      </c>
      <c r="V293" s="9369"/>
      <c r="W293" s="751">
        <v>0</v>
      </c>
      <c r="X293" s="40"/>
      <c r="Y293" s="40"/>
      <c r="Z293" s="2067"/>
      <c r="AA293" s="2067"/>
      <c r="AB293" s="2066"/>
      <c r="AC293" s="2066"/>
      <c r="AD293" s="2067"/>
      <c r="AE293" s="143"/>
      <c r="AF293" s="143"/>
      <c r="AG293" s="143"/>
    </row>
    <row r="294" spans="1:33" ht="16.5">
      <c r="A294" s="13"/>
      <c r="B294" s="100"/>
      <c r="C294" s="100"/>
      <c r="D294" s="100"/>
      <c r="E294" s="100"/>
      <c r="F294" s="100"/>
      <c r="G294" s="100"/>
      <c r="H294" s="100"/>
      <c r="I294" s="100"/>
      <c r="J294" s="100"/>
      <c r="K294" s="100"/>
      <c r="L294" s="100"/>
      <c r="M294" s="100"/>
      <c r="N294" s="100"/>
      <c r="O294" s="100"/>
      <c r="P294" s="100"/>
      <c r="S294" s="143"/>
      <c r="T294" s="143"/>
      <c r="U294" s="8762" t="s">
        <v>369</v>
      </c>
      <c r="V294" s="9369"/>
      <c r="W294" s="751">
        <f>Z270+Z271+Z276+Z277+Z272</f>
        <v>239813.7548</v>
      </c>
      <c r="X294" s="40"/>
      <c r="Y294" s="40"/>
      <c r="Z294" s="2107"/>
      <c r="AA294" s="85"/>
      <c r="AB294" s="2068"/>
      <c r="AC294" s="2068"/>
      <c r="AD294" s="480"/>
      <c r="AE294" s="143"/>
      <c r="AF294" s="143"/>
      <c r="AG294" s="143"/>
    </row>
    <row r="295" spans="1:33" ht="16.5">
      <c r="A295" s="13"/>
      <c r="B295" s="100"/>
      <c r="C295" s="100"/>
      <c r="D295" s="100"/>
      <c r="E295" s="100"/>
      <c r="F295" s="100"/>
      <c r="G295" s="100"/>
      <c r="H295" s="100"/>
      <c r="I295" s="100"/>
      <c r="J295" s="100"/>
      <c r="K295" s="100"/>
      <c r="L295" s="100"/>
      <c r="M295" s="100"/>
      <c r="N295" s="100"/>
      <c r="O295" s="100"/>
      <c r="P295" s="100"/>
      <c r="S295" s="143"/>
      <c r="T295" s="143"/>
      <c r="U295" s="8762" t="s">
        <v>370</v>
      </c>
      <c r="V295" s="9369"/>
      <c r="W295" s="752">
        <v>0</v>
      </c>
      <c r="X295" s="41"/>
      <c r="Y295" s="41"/>
      <c r="Z295" s="2075"/>
      <c r="AA295" s="2075"/>
      <c r="AB295" s="2070"/>
      <c r="AC295" s="2070"/>
      <c r="AD295" s="146"/>
      <c r="AE295" s="143"/>
      <c r="AF295" s="143"/>
      <c r="AG295" s="143"/>
    </row>
    <row r="296" spans="1:33" ht="16.5">
      <c r="A296" s="13"/>
      <c r="B296" s="100"/>
      <c r="C296" s="100"/>
      <c r="D296" s="100"/>
      <c r="E296" s="100"/>
      <c r="F296" s="100"/>
      <c r="G296" s="100"/>
      <c r="H296" s="100"/>
      <c r="I296" s="100"/>
      <c r="J296" s="100"/>
      <c r="K296" s="100"/>
      <c r="L296" s="100"/>
      <c r="M296" s="100"/>
      <c r="N296" s="100"/>
      <c r="O296" s="100"/>
      <c r="P296" s="100"/>
      <c r="S296" s="143"/>
      <c r="T296" s="143"/>
      <c r="U296" s="8927" t="s">
        <v>67</v>
      </c>
      <c r="V296" s="9370"/>
      <c r="W296" s="754">
        <f>SUM(W288:W295)</f>
        <v>1268200.2260428572</v>
      </c>
      <c r="X296" s="39"/>
      <c r="Y296" s="39"/>
      <c r="Z296" s="28"/>
      <c r="AA296" s="28"/>
      <c r="AB296" s="368"/>
      <c r="AC296" s="368"/>
      <c r="AD296" s="146"/>
      <c r="AE296" s="143"/>
      <c r="AF296" s="143"/>
      <c r="AG296" s="143"/>
    </row>
    <row r="297" spans="1:33" ht="15.75" customHeight="1">
      <c r="AB297" s="365"/>
      <c r="AD297"/>
    </row>
    <row r="298" spans="1:33" ht="15.75" customHeight="1">
      <c r="AB298" s="365"/>
      <c r="AD298"/>
    </row>
    <row r="299" spans="1:33" ht="15.75" customHeight="1">
      <c r="AB299" s="365"/>
      <c r="AD299"/>
    </row>
    <row r="300" spans="1:33" ht="15.75" customHeight="1">
      <c r="AB300" s="365"/>
      <c r="AD300"/>
    </row>
    <row r="301" spans="1:33" ht="15.75" customHeight="1">
      <c r="AB301" s="365"/>
      <c r="AD301"/>
    </row>
    <row r="302" spans="1:33" ht="15.75" customHeight="1">
      <c r="AB302" s="365"/>
      <c r="AD302"/>
    </row>
    <row r="303" spans="1:33" ht="15.75" customHeight="1">
      <c r="AB303" s="365"/>
      <c r="AD303"/>
    </row>
    <row r="304" spans="1:33" ht="15.75" customHeight="1">
      <c r="AB304" s="365"/>
      <c r="AD304"/>
    </row>
    <row r="305" spans="28:30" ht="15.75" customHeight="1">
      <c r="AB305" s="365"/>
      <c r="AD305"/>
    </row>
  </sheetData>
  <mergeCells count="587">
    <mergeCell ref="P19:P23"/>
    <mergeCell ref="F7:F8"/>
    <mergeCell ref="E9:E13"/>
    <mergeCell ref="F9:F13"/>
    <mergeCell ref="G9:G13"/>
    <mergeCell ref="H9:H13"/>
    <mergeCell ref="I9:I13"/>
    <mergeCell ref="C14:C18"/>
    <mergeCell ref="C19:C23"/>
    <mergeCell ref="E19:E23"/>
    <mergeCell ref="F19:F23"/>
    <mergeCell ref="G19:G23"/>
    <mergeCell ref="H19:H23"/>
    <mergeCell ref="I19:I23"/>
    <mergeCell ref="D19:D23"/>
    <mergeCell ref="C7:C8"/>
    <mergeCell ref="D7:D8"/>
    <mergeCell ref="L24:L28"/>
    <mergeCell ref="M24:M28"/>
    <mergeCell ref="E24:E28"/>
    <mergeCell ref="F24:F28"/>
    <mergeCell ref="G24:G28"/>
    <mergeCell ref="H24:H28"/>
    <mergeCell ref="I24:I28"/>
    <mergeCell ref="J24:J28"/>
    <mergeCell ref="K24:K28"/>
    <mergeCell ref="E58:E70"/>
    <mergeCell ref="F58:F70"/>
    <mergeCell ref="G58:G70"/>
    <mergeCell ref="H58:H70"/>
    <mergeCell ref="I58:I70"/>
    <mergeCell ref="J71:J75"/>
    <mergeCell ref="K71:K75"/>
    <mergeCell ref="L71:L75"/>
    <mergeCell ref="M71:M75"/>
    <mergeCell ref="E71:E75"/>
    <mergeCell ref="F71:F75"/>
    <mergeCell ref="G71:G75"/>
    <mergeCell ref="H71:H75"/>
    <mergeCell ref="I71:I75"/>
    <mergeCell ref="E43:E57"/>
    <mergeCell ref="F43:F57"/>
    <mergeCell ref="G43:G57"/>
    <mergeCell ref="H43:H57"/>
    <mergeCell ref="I43:I57"/>
    <mergeCell ref="E29:E42"/>
    <mergeCell ref="F29:F42"/>
    <mergeCell ref="G29:G42"/>
    <mergeCell ref="H29:H42"/>
    <mergeCell ref="I29:I42"/>
    <mergeCell ref="J76:J80"/>
    <mergeCell ref="K76:K80"/>
    <mergeCell ref="L76:L80"/>
    <mergeCell ref="M76:M80"/>
    <mergeCell ref="R43:R57"/>
    <mergeCell ref="J43:J57"/>
    <mergeCell ref="K43:K57"/>
    <mergeCell ref="L43:L57"/>
    <mergeCell ref="M43:M57"/>
    <mergeCell ref="N43:N57"/>
    <mergeCell ref="O43:O57"/>
    <mergeCell ref="P43:P57"/>
    <mergeCell ref="Q43:Q57"/>
    <mergeCell ref="AH96:AH100"/>
    <mergeCell ref="E96:E100"/>
    <mergeCell ref="F96:F100"/>
    <mergeCell ref="G96:G100"/>
    <mergeCell ref="H96:H100"/>
    <mergeCell ref="I96:I100"/>
    <mergeCell ref="J96:J100"/>
    <mergeCell ref="K96:K100"/>
    <mergeCell ref="L96:L100"/>
    <mergeCell ref="M96:M100"/>
    <mergeCell ref="N96:N100"/>
    <mergeCell ref="O96:O100"/>
    <mergeCell ref="P96:P100"/>
    <mergeCell ref="Q96:Q100"/>
    <mergeCell ref="R96:R100"/>
    <mergeCell ref="O81:O85"/>
    <mergeCell ref="P81:P85"/>
    <mergeCell ref="Q81:Q85"/>
    <mergeCell ref="R81:R85"/>
    <mergeCell ref="AH81:AH85"/>
    <mergeCell ref="AH71:AH75"/>
    <mergeCell ref="AH76:AH80"/>
    <mergeCell ref="R76:R80"/>
    <mergeCell ref="N71:N75"/>
    <mergeCell ref="O71:O75"/>
    <mergeCell ref="P71:P75"/>
    <mergeCell ref="N81:N85"/>
    <mergeCell ref="Q76:Q80"/>
    <mergeCell ref="E76:E80"/>
    <mergeCell ref="F76:F80"/>
    <mergeCell ref="G76:G80"/>
    <mergeCell ref="H76:H80"/>
    <mergeCell ref="I76:I80"/>
    <mergeCell ref="Q71:Q75"/>
    <mergeCell ref="R71:R75"/>
    <mergeCell ref="N86:N90"/>
    <mergeCell ref="O86:O90"/>
    <mergeCell ref="P86:P90"/>
    <mergeCell ref="Q86:Q90"/>
    <mergeCell ref="R86:R90"/>
    <mergeCell ref="E81:E85"/>
    <mergeCell ref="F81:F85"/>
    <mergeCell ref="G81:G85"/>
    <mergeCell ref="H81:H85"/>
    <mergeCell ref="I81:I85"/>
    <mergeCell ref="J81:J85"/>
    <mergeCell ref="K81:K85"/>
    <mergeCell ref="L81:L85"/>
    <mergeCell ref="M81:M85"/>
    <mergeCell ref="N76:N80"/>
    <mergeCell ref="O76:O80"/>
    <mergeCell ref="P76:P80"/>
    <mergeCell ref="AH86:AH90"/>
    <mergeCell ref="E86:E90"/>
    <mergeCell ref="F86:F90"/>
    <mergeCell ref="G86:G90"/>
    <mergeCell ref="H86:H90"/>
    <mergeCell ref="I86:I90"/>
    <mergeCell ref="J86:J90"/>
    <mergeCell ref="K86:K90"/>
    <mergeCell ref="L86:L90"/>
    <mergeCell ref="M86:M90"/>
    <mergeCell ref="L101:L105"/>
    <mergeCell ref="M101:M105"/>
    <mergeCell ref="N101:N105"/>
    <mergeCell ref="O101:O105"/>
    <mergeCell ref="P101:P105"/>
    <mergeCell ref="Q101:Q105"/>
    <mergeCell ref="R101:R105"/>
    <mergeCell ref="AH101:AH105"/>
    <mergeCell ref="E101:E105"/>
    <mergeCell ref="F101:F105"/>
    <mergeCell ref="G101:G105"/>
    <mergeCell ref="H101:H105"/>
    <mergeCell ref="I101:I105"/>
    <mergeCell ref="J101:J105"/>
    <mergeCell ref="K101:K105"/>
    <mergeCell ref="C24:C28"/>
    <mergeCell ref="D24:D28"/>
    <mergeCell ref="C81:C85"/>
    <mergeCell ref="D81:D85"/>
    <mergeCell ref="C86:C90"/>
    <mergeCell ref="D86:D90"/>
    <mergeCell ref="C91:C95"/>
    <mergeCell ref="D91:D95"/>
    <mergeCell ref="C96:C100"/>
    <mergeCell ref="D96:D100"/>
    <mergeCell ref="C58:C70"/>
    <mergeCell ref="D58:D70"/>
    <mergeCell ref="C43:C57"/>
    <mergeCell ref="D43:D57"/>
    <mergeCell ref="C29:C42"/>
    <mergeCell ref="D29:D42"/>
    <mergeCell ref="C71:C75"/>
    <mergeCell ref="D71:D75"/>
    <mergeCell ref="C76:C80"/>
    <mergeCell ref="D76:D80"/>
    <mergeCell ref="C101:C105"/>
    <mergeCell ref="D101:D105"/>
    <mergeCell ref="D112:D116"/>
    <mergeCell ref="D117:D144"/>
    <mergeCell ref="D145:D149"/>
    <mergeCell ref="D150:D154"/>
    <mergeCell ref="D155:D159"/>
    <mergeCell ref="D160:D164"/>
    <mergeCell ref="C165:C169"/>
    <mergeCell ref="D165:D169"/>
    <mergeCell ref="C170:C174"/>
    <mergeCell ref="B112:B180"/>
    <mergeCell ref="C112:C116"/>
    <mergeCell ref="C117:C144"/>
    <mergeCell ref="C145:C149"/>
    <mergeCell ref="C150:C154"/>
    <mergeCell ref="C155:C159"/>
    <mergeCell ref="C160:C164"/>
    <mergeCell ref="C175:C179"/>
    <mergeCell ref="D170:D174"/>
    <mergeCell ref="C181:C185"/>
    <mergeCell ref="D181:D185"/>
    <mergeCell ref="C186:C190"/>
    <mergeCell ref="D186:D190"/>
    <mergeCell ref="Q215:Q248"/>
    <mergeCell ref="R215:R248"/>
    <mergeCell ref="J215:J248"/>
    <mergeCell ref="K215:K248"/>
    <mergeCell ref="L215:L248"/>
    <mergeCell ref="M215:M248"/>
    <mergeCell ref="N215:N248"/>
    <mergeCell ref="O215:O248"/>
    <mergeCell ref="P215:P248"/>
    <mergeCell ref="O170:O174"/>
    <mergeCell ref="P170:P174"/>
    <mergeCell ref="Q170:Q174"/>
    <mergeCell ref="R170:R174"/>
    <mergeCell ref="L205:L209"/>
    <mergeCell ref="M205:M209"/>
    <mergeCell ref="N205:N209"/>
    <mergeCell ref="O205:O209"/>
    <mergeCell ref="P205:P209"/>
    <mergeCell ref="Q205:Q209"/>
    <mergeCell ref="C249:R249"/>
    <mergeCell ref="B9:B111"/>
    <mergeCell ref="B181:B249"/>
    <mergeCell ref="C191:C199"/>
    <mergeCell ref="D191:D199"/>
    <mergeCell ref="C200:C204"/>
    <mergeCell ref="D200:D204"/>
    <mergeCell ref="C205:C209"/>
    <mergeCell ref="D205:D209"/>
    <mergeCell ref="C210:C214"/>
    <mergeCell ref="D210:D214"/>
    <mergeCell ref="G215:G248"/>
    <mergeCell ref="H215:H248"/>
    <mergeCell ref="I215:I248"/>
    <mergeCell ref="L160:L164"/>
    <mergeCell ref="M160:M164"/>
    <mergeCell ref="N160:N164"/>
    <mergeCell ref="O160:O164"/>
    <mergeCell ref="P160:P164"/>
    <mergeCell ref="Q160:Q164"/>
    <mergeCell ref="R160:R164"/>
    <mergeCell ref="L170:L174"/>
    <mergeCell ref="M170:M174"/>
    <mergeCell ref="N170:N174"/>
    <mergeCell ref="A9:A250"/>
    <mergeCell ref="C9:C13"/>
    <mergeCell ref="D9:D13"/>
    <mergeCell ref="D14:D18"/>
    <mergeCell ref="D175:D179"/>
    <mergeCell ref="C215:C248"/>
    <mergeCell ref="D215:D248"/>
    <mergeCell ref="E215:E248"/>
    <mergeCell ref="F215:F248"/>
    <mergeCell ref="C180:R180"/>
    <mergeCell ref="L200:L204"/>
    <mergeCell ref="M200:M204"/>
    <mergeCell ref="N200:N204"/>
    <mergeCell ref="O200:O204"/>
    <mergeCell ref="P200:P204"/>
    <mergeCell ref="Q200:Q204"/>
    <mergeCell ref="R200:R204"/>
    <mergeCell ref="E200:E204"/>
    <mergeCell ref="F200:F204"/>
    <mergeCell ref="G200:G204"/>
    <mergeCell ref="H200:H204"/>
    <mergeCell ref="I200:I204"/>
    <mergeCell ref="J200:J204"/>
    <mergeCell ref="K200:K204"/>
    <mergeCell ref="AH160:AH164"/>
    <mergeCell ref="E160:E164"/>
    <mergeCell ref="F160:F164"/>
    <mergeCell ref="G160:G164"/>
    <mergeCell ref="H160:H164"/>
    <mergeCell ref="I160:I164"/>
    <mergeCell ref="J160:J164"/>
    <mergeCell ref="K160:K164"/>
    <mergeCell ref="L165:L169"/>
    <mergeCell ref="M165:M169"/>
    <mergeCell ref="N165:N169"/>
    <mergeCell ref="O165:O169"/>
    <mergeCell ref="P165:P169"/>
    <mergeCell ref="Q165:Q169"/>
    <mergeCell ref="R165:R169"/>
    <mergeCell ref="AH165:AH169"/>
    <mergeCell ref="E165:E169"/>
    <mergeCell ref="F165:F169"/>
    <mergeCell ref="G165:G169"/>
    <mergeCell ref="H165:H169"/>
    <mergeCell ref="I165:I169"/>
    <mergeCell ref="J165:J169"/>
    <mergeCell ref="K165:K169"/>
    <mergeCell ref="AH170:AH174"/>
    <mergeCell ref="E170:E174"/>
    <mergeCell ref="F170:F174"/>
    <mergeCell ref="G170:G174"/>
    <mergeCell ref="H170:H174"/>
    <mergeCell ref="I170:I174"/>
    <mergeCell ref="J170:J174"/>
    <mergeCell ref="K170:K174"/>
    <mergeCell ref="L175:L179"/>
    <mergeCell ref="M175:M179"/>
    <mergeCell ref="N175:N179"/>
    <mergeCell ref="O175:O179"/>
    <mergeCell ref="P175:P179"/>
    <mergeCell ref="Q175:Q179"/>
    <mergeCell ref="R175:R179"/>
    <mergeCell ref="F175:F179"/>
    <mergeCell ref="G175:G179"/>
    <mergeCell ref="H175:H179"/>
    <mergeCell ref="I175:I179"/>
    <mergeCell ref="J175:J179"/>
    <mergeCell ref="K175:K179"/>
    <mergeCell ref="E175:E179"/>
    <mergeCell ref="AE180:AH180"/>
    <mergeCell ref="AH215:AH248"/>
    <mergeCell ref="AE249:AH249"/>
    <mergeCell ref="AE250:AH250"/>
    <mergeCell ref="S251:AH251"/>
    <mergeCell ref="U253:Z253"/>
    <mergeCell ref="AH175:AH179"/>
    <mergeCell ref="AH181:AH185"/>
    <mergeCell ref="AH186:AH190"/>
    <mergeCell ref="AH191:AH199"/>
    <mergeCell ref="AH200:AH204"/>
    <mergeCell ref="AH205:AH209"/>
    <mergeCell ref="AH210:AH214"/>
    <mergeCell ref="S180:Z180"/>
    <mergeCell ref="S249:Z249"/>
    <mergeCell ref="S250:Z250"/>
    <mergeCell ref="U281:W281"/>
    <mergeCell ref="U282:V282"/>
    <mergeCell ref="U290:V290"/>
    <mergeCell ref="U291:V291"/>
    <mergeCell ref="U292:V292"/>
    <mergeCell ref="U293:V293"/>
    <mergeCell ref="U294:V294"/>
    <mergeCell ref="U295:V295"/>
    <mergeCell ref="U296:V296"/>
    <mergeCell ref="U283:V283"/>
    <mergeCell ref="U284:V284"/>
    <mergeCell ref="U285:V285"/>
    <mergeCell ref="U286:V286"/>
    <mergeCell ref="U287:W287"/>
    <mergeCell ref="U288:V288"/>
    <mergeCell ref="U289:V289"/>
    <mergeCell ref="N145:N149"/>
    <mergeCell ref="O145:O149"/>
    <mergeCell ref="P145:P149"/>
    <mergeCell ref="Q145:Q149"/>
    <mergeCell ref="R145:R149"/>
    <mergeCell ref="L155:L159"/>
    <mergeCell ref="M155:M159"/>
    <mergeCell ref="N155:N159"/>
    <mergeCell ref="O155:O159"/>
    <mergeCell ref="P155:P159"/>
    <mergeCell ref="Q155:Q159"/>
    <mergeCell ref="R155:R159"/>
    <mergeCell ref="AH145:AH149"/>
    <mergeCell ref="E145:E149"/>
    <mergeCell ref="F145:F149"/>
    <mergeCell ref="G145:G149"/>
    <mergeCell ref="H145:H149"/>
    <mergeCell ref="I145:I149"/>
    <mergeCell ref="J145:J149"/>
    <mergeCell ref="K145:K149"/>
    <mergeCell ref="L150:L154"/>
    <mergeCell ref="M150:M154"/>
    <mergeCell ref="N150:N154"/>
    <mergeCell ref="O150:O154"/>
    <mergeCell ref="P150:P154"/>
    <mergeCell ref="Q150:Q154"/>
    <mergeCell ref="R150:R154"/>
    <mergeCell ref="AH150:AH154"/>
    <mergeCell ref="E150:E154"/>
    <mergeCell ref="F150:F154"/>
    <mergeCell ref="G150:G154"/>
    <mergeCell ref="H150:H154"/>
    <mergeCell ref="I150:I154"/>
    <mergeCell ref="J150:J154"/>
    <mergeCell ref="L145:L149"/>
    <mergeCell ref="M145:M149"/>
    <mergeCell ref="K150:K154"/>
    <mergeCell ref="AH155:AH159"/>
    <mergeCell ref="E155:E159"/>
    <mergeCell ref="F155:F159"/>
    <mergeCell ref="G155:G159"/>
    <mergeCell ref="H155:H159"/>
    <mergeCell ref="I155:I159"/>
    <mergeCell ref="J155:J159"/>
    <mergeCell ref="K155:K159"/>
    <mergeCell ref="R205:R209"/>
    <mergeCell ref="E205:E209"/>
    <mergeCell ref="F205:F209"/>
    <mergeCell ref="G205:G209"/>
    <mergeCell ref="H205:H209"/>
    <mergeCell ref="I205:I209"/>
    <mergeCell ref="J205:J209"/>
    <mergeCell ref="K205:K209"/>
    <mergeCell ref="K181:K185"/>
    <mergeCell ref="L181:L185"/>
    <mergeCell ref="M181:M185"/>
    <mergeCell ref="N181:N185"/>
    <mergeCell ref="O181:O185"/>
    <mergeCell ref="P181:P185"/>
    <mergeCell ref="Q181:Q185"/>
    <mergeCell ref="R181:R185"/>
    <mergeCell ref="E181:E185"/>
    <mergeCell ref="F181:F185"/>
    <mergeCell ref="G181:G185"/>
    <mergeCell ref="H181:H185"/>
    <mergeCell ref="I181:I185"/>
    <mergeCell ref="J181:J185"/>
    <mergeCell ref="L186:L190"/>
    <mergeCell ref="M186:M190"/>
    <mergeCell ref="N186:N190"/>
    <mergeCell ref="Q186:Q190"/>
    <mergeCell ref="R186:R190"/>
    <mergeCell ref="E186:E190"/>
    <mergeCell ref="F186:F190"/>
    <mergeCell ref="G186:G190"/>
    <mergeCell ref="H186:H190"/>
    <mergeCell ref="I186:I190"/>
    <mergeCell ref="J186:J190"/>
    <mergeCell ref="K186:K190"/>
    <mergeCell ref="O186:O190"/>
    <mergeCell ref="P186:P190"/>
    <mergeCell ref="L191:L199"/>
    <mergeCell ref="M191:M199"/>
    <mergeCell ref="N191:N199"/>
    <mergeCell ref="O191:O199"/>
    <mergeCell ref="P191:P199"/>
    <mergeCell ref="Q191:Q199"/>
    <mergeCell ref="R191:R199"/>
    <mergeCell ref="E191:E199"/>
    <mergeCell ref="F191:F199"/>
    <mergeCell ref="G191:G199"/>
    <mergeCell ref="H191:H199"/>
    <mergeCell ref="I191:I199"/>
    <mergeCell ref="J191:J199"/>
    <mergeCell ref="K191:K199"/>
    <mergeCell ref="L210:L214"/>
    <mergeCell ref="M210:M214"/>
    <mergeCell ref="N210:N214"/>
    <mergeCell ref="O210:O214"/>
    <mergeCell ref="P210:P214"/>
    <mergeCell ref="Q210:Q214"/>
    <mergeCell ref="R210:R214"/>
    <mergeCell ref="E210:E214"/>
    <mergeCell ref="F210:F214"/>
    <mergeCell ref="G210:G214"/>
    <mergeCell ref="H210:H214"/>
    <mergeCell ref="I210:I214"/>
    <mergeCell ref="J210:J214"/>
    <mergeCell ref="K210:K214"/>
    <mergeCell ref="J6:R6"/>
    <mergeCell ref="S6:AH6"/>
    <mergeCell ref="S7:Y7"/>
    <mergeCell ref="AE7:AG7"/>
    <mergeCell ref="AH7:AH8"/>
    <mergeCell ref="A1:AG1"/>
    <mergeCell ref="A2:AG2"/>
    <mergeCell ref="A3:AG3"/>
    <mergeCell ref="A4:AG4"/>
    <mergeCell ref="A6:B8"/>
    <mergeCell ref="C6:D6"/>
    <mergeCell ref="E6:I6"/>
    <mergeCell ref="G7:G8"/>
    <mergeCell ref="H7:H8"/>
    <mergeCell ref="I7:I8"/>
    <mergeCell ref="J7:J8"/>
    <mergeCell ref="K7:K8"/>
    <mergeCell ref="L7:L8"/>
    <mergeCell ref="M7:O7"/>
    <mergeCell ref="P7:P8"/>
    <mergeCell ref="Q7:Q8"/>
    <mergeCell ref="R7:R8"/>
    <mergeCell ref="E7:E8"/>
    <mergeCell ref="Z7:AD7"/>
    <mergeCell ref="AH9:AH13"/>
    <mergeCell ref="J9:J13"/>
    <mergeCell ref="K9:K13"/>
    <mergeCell ref="L9:L13"/>
    <mergeCell ref="M9:M13"/>
    <mergeCell ref="N9:N13"/>
    <mergeCell ref="O9:O13"/>
    <mergeCell ref="P9:P13"/>
    <mergeCell ref="L14:L18"/>
    <mergeCell ref="M14:M18"/>
    <mergeCell ref="AH14:AH18"/>
    <mergeCell ref="Q9:Q13"/>
    <mergeCell ref="R9:R13"/>
    <mergeCell ref="AH19:AH23"/>
    <mergeCell ref="AH24:AH28"/>
    <mergeCell ref="AH29:AH42"/>
    <mergeCell ref="AH43:AH57"/>
    <mergeCell ref="E14:E18"/>
    <mergeCell ref="F14:F18"/>
    <mergeCell ref="G14:G18"/>
    <mergeCell ref="H14:H18"/>
    <mergeCell ref="I14:I18"/>
    <mergeCell ref="J14:J18"/>
    <mergeCell ref="K14:K18"/>
    <mergeCell ref="N14:N18"/>
    <mergeCell ref="O14:O18"/>
    <mergeCell ref="P14:P18"/>
    <mergeCell ref="Q14:Q18"/>
    <mergeCell ref="R14:R18"/>
    <mergeCell ref="Q19:Q23"/>
    <mergeCell ref="R19:R23"/>
    <mergeCell ref="J19:J23"/>
    <mergeCell ref="K19:K23"/>
    <mergeCell ref="L19:L23"/>
    <mergeCell ref="M19:M23"/>
    <mergeCell ref="N19:N23"/>
    <mergeCell ref="O19:O23"/>
    <mergeCell ref="AH58:AH70"/>
    <mergeCell ref="J58:J70"/>
    <mergeCell ref="K58:K70"/>
    <mergeCell ref="L58:L70"/>
    <mergeCell ref="M58:M70"/>
    <mergeCell ref="N58:N70"/>
    <mergeCell ref="O58:O70"/>
    <mergeCell ref="P58:P70"/>
    <mergeCell ref="N24:N28"/>
    <mergeCell ref="O24:O28"/>
    <mergeCell ref="P24:P28"/>
    <mergeCell ref="Q24:Q28"/>
    <mergeCell ref="R24:R28"/>
    <mergeCell ref="M29:M42"/>
    <mergeCell ref="N29:N42"/>
    <mergeCell ref="O29:O42"/>
    <mergeCell ref="P29:P42"/>
    <mergeCell ref="Q29:Q42"/>
    <mergeCell ref="R29:R42"/>
    <mergeCell ref="Q58:Q70"/>
    <mergeCell ref="R58:R70"/>
    <mergeCell ref="J29:J42"/>
    <mergeCell ref="K29:K42"/>
    <mergeCell ref="L29:L42"/>
    <mergeCell ref="N91:N95"/>
    <mergeCell ref="O91:O95"/>
    <mergeCell ref="P91:P95"/>
    <mergeCell ref="Q91:Q95"/>
    <mergeCell ref="R91:R95"/>
    <mergeCell ref="AH91:AH95"/>
    <mergeCell ref="E91:E95"/>
    <mergeCell ref="F91:F95"/>
    <mergeCell ref="G91:G95"/>
    <mergeCell ref="H91:H95"/>
    <mergeCell ref="I91:I95"/>
    <mergeCell ref="J91:J95"/>
    <mergeCell ref="K91:K95"/>
    <mergeCell ref="L91:L95"/>
    <mergeCell ref="M91:M95"/>
    <mergeCell ref="Q106:Q110"/>
    <mergeCell ref="R106:R110"/>
    <mergeCell ref="AH106:AH110"/>
    <mergeCell ref="S111:Z111"/>
    <mergeCell ref="AE111:AH111"/>
    <mergeCell ref="J106:J110"/>
    <mergeCell ref="K106:K110"/>
    <mergeCell ref="L106:L110"/>
    <mergeCell ref="M106:M110"/>
    <mergeCell ref="N106:N110"/>
    <mergeCell ref="O106:O110"/>
    <mergeCell ref="P106:P110"/>
    <mergeCell ref="C111:R111"/>
    <mergeCell ref="C106:C110"/>
    <mergeCell ref="D106:D110"/>
    <mergeCell ref="E106:E110"/>
    <mergeCell ref="F106:F110"/>
    <mergeCell ref="G106:G110"/>
    <mergeCell ref="H106:H110"/>
    <mergeCell ref="I106:I110"/>
    <mergeCell ref="L112:L116"/>
    <mergeCell ref="M112:M116"/>
    <mergeCell ref="N112:N116"/>
    <mergeCell ref="O112:O116"/>
    <mergeCell ref="P112:P116"/>
    <mergeCell ref="Q112:Q116"/>
    <mergeCell ref="R112:R116"/>
    <mergeCell ref="AH112:AH116"/>
    <mergeCell ref="E112:E116"/>
    <mergeCell ref="F112:F116"/>
    <mergeCell ref="G112:G116"/>
    <mergeCell ref="H112:H116"/>
    <mergeCell ref="I112:I116"/>
    <mergeCell ref="J112:J116"/>
    <mergeCell ref="K112:K116"/>
    <mergeCell ref="L117:L144"/>
    <mergeCell ref="M117:M144"/>
    <mergeCell ref="N117:N144"/>
    <mergeCell ref="O117:O144"/>
    <mergeCell ref="P117:P144"/>
    <mergeCell ref="Q117:Q144"/>
    <mergeCell ref="R117:R144"/>
    <mergeCell ref="AH117:AH144"/>
    <mergeCell ref="E117:E144"/>
    <mergeCell ref="F117:F144"/>
    <mergeCell ref="G117:G144"/>
    <mergeCell ref="H117:H144"/>
    <mergeCell ref="I117:I144"/>
    <mergeCell ref="J117:J144"/>
    <mergeCell ref="K117:K144"/>
  </mergeCells>
  <dataValidations count="3">
    <dataValidation type="list" allowBlank="1" showErrorMessage="1" sqref="F9 F14 F19 F24 F43 F58 F71 F76 F81 F86 F91 F96 F101 F106 F112 F117 F145 F150 F155 F160 F165 F170 F175 F181 F186 F191 F200 F205 F210 F215 F29" xr:uid="{00000000-0002-0000-0600-000000000000}">
      <formula1>INDIRECT($E9)</formula1>
    </dataValidation>
    <dataValidation type="list" allowBlank="1" showErrorMessage="1" sqref="E9 E14 E19 E24 E43 E58 E71 E76 E81 E86 E91 E96 E101 E106 E112 E117 E145 E150 E155 E160 E165 E170 E175 E181 E186 E191 E200 E205 E210 E215 E29" xr:uid="{00000000-0002-0000-0600-000001000000}">
      <formula1>INDIRECT($G9)</formula1>
    </dataValidation>
    <dataValidation type="decimal" allowBlank="1" showInputMessage="1" showErrorMessage="1" prompt="DPLAN - Sólo debe ingresar valores, NO porcentajes." sqref="M29:O29 M43:O43 M71:O71 M76:O76 M81:O81 M86:O86 M91:O91 M96:O96 M101:O101 M106:O106 M117:O117 M145:O145 M150:O150 M155:O155 M160:O160 M165:O165 M170:O170 M175:O175 M186:O186 M191:O191 M200:O200 M210:O210 M215:O215" xr:uid="{00000000-0002-0000-06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Bienestar Universitarioa, Arte y Cultura&amp;C&amp;P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600-000003000000}">
          <x14:formula1>
            <xm:f>'https://utmachalaeduec-my.sharepoint.com/personal/planificacion_utmachala_edu_ec/Documents/Gestión 2023/G.06 EMISION DE INSUMOS PARA ELAB. DE LA PROF, PRESUPUESTARIA Y SUS REFORMAS/REFORMA N° 002-2023/[PND]PND'!#REF!</xm:f>
          </x14:formula1>
          <xm:sqref>C9:D9 C14:D14 C19:D19 C24:D24 C29:D29 C43:D43 C58:D58 C71:D71 C76:D76 C81:D81 C86:D86 C91:D91 C96:D96 C101:D101 C106:D106</xm:sqref>
        </x14:dataValidation>
        <x14:dataValidation type="list" allowBlank="1" showErrorMessage="1" xr:uid="{00000000-0002-0000-0600-000004000000}">
          <x14:formula1>
            <xm:f>('https://utmachalaeduec-my.sharepoint.com/personal/planificacion_utmachala_edu_ec/Documents/Gestión 2023/G.06 EMISION DE INSUMOS PARA ELAB. DE LA PROF, PRESUPUESTARIA Y SUS REFORMAS/REFORMA N° 002-2023/[PEDI]PEDI'!#REF!)</xm:f>
          </x14:formula1>
          <xm:sqref>H9 H14 H19 H24 H29 H43 H58 H71 H76 H81 H86 H91 H96 H101 H106</xm:sqref>
        </x14:dataValidation>
        <x14:dataValidation type="list" allowBlank="1" showErrorMessage="1" xr:uid="{00000000-0002-0000-0600-000005000000}">
          <x14:formula1>
            <xm:f>'https://utmachalaeduec-my.sharepoint.com/personal/planificacion_utmachala_edu_ec/Documents/Gestión 2023/G.06 EMISION DE INSUMOS PARA ELAB. DE LA PROF, PRESUPUESTARIA Y SUS REFORMAS/REFORMA N° 002-2023/[PEDI]PEDI'!#REF!</xm:f>
          </x14:formula1>
          <xm:sqref>G9 G14 G19 G24 G29 G43 G58 G71 G76 G81 G86 G91 G96 G101 G106</xm:sqref>
        </x14:dataValidation>
        <x14:dataValidation type="list" allowBlank="1" showErrorMessage="1" xr:uid="{00000000-0002-0000-06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I43 I58 I71 I76 I81 I86 I91 I96 I101 I106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C09"/>
  </sheetPr>
  <dimension ref="A1:AI182"/>
  <sheetViews>
    <sheetView showGridLines="0" topLeftCell="T155" zoomScaleNormal="100" workbookViewId="0">
      <selection activeCell="C136" sqref="C136:C140"/>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3.85546875"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5" ht="39" customHeight="1">
      <c r="A1" s="8824" t="s">
        <v>0</v>
      </c>
      <c r="B1" s="8824"/>
      <c r="C1" s="8824"/>
      <c r="D1" s="8824"/>
      <c r="E1" s="8824"/>
      <c r="F1" s="8824"/>
      <c r="G1" s="8824"/>
      <c r="H1" s="8824"/>
      <c r="I1" s="8824"/>
      <c r="J1" s="8824"/>
      <c r="K1" s="8824"/>
      <c r="L1" s="8824"/>
      <c r="M1" s="8824"/>
      <c r="N1" s="8824"/>
      <c r="O1" s="8824"/>
      <c r="P1" s="8824"/>
      <c r="Q1" s="8824"/>
      <c r="R1" s="8824"/>
      <c r="S1" s="8824"/>
      <c r="T1" s="8824"/>
      <c r="U1" s="8824"/>
      <c r="V1" s="8824"/>
      <c r="W1" s="8824"/>
      <c r="X1" s="8824"/>
      <c r="Y1" s="8824"/>
      <c r="Z1" s="8824"/>
      <c r="AA1" s="8824"/>
      <c r="AB1" s="8824"/>
      <c r="AC1" s="8824"/>
      <c r="AD1" s="8824"/>
      <c r="AE1" s="8824"/>
      <c r="AF1" s="8824"/>
      <c r="AG1" s="8824"/>
      <c r="AH1" s="8824"/>
    </row>
    <row r="2" spans="1:35" ht="30">
      <c r="A2" s="8826" t="s">
        <v>1</v>
      </c>
      <c r="B2" s="8826"/>
      <c r="C2" s="8826"/>
      <c r="D2" s="8826"/>
      <c r="E2" s="8826"/>
      <c r="F2" s="8826"/>
      <c r="G2" s="8826"/>
      <c r="H2" s="8826"/>
      <c r="I2" s="8826"/>
      <c r="J2" s="8826"/>
      <c r="K2" s="8826"/>
      <c r="L2" s="8826"/>
      <c r="M2" s="8826"/>
      <c r="N2" s="8826"/>
      <c r="O2" s="8826"/>
      <c r="P2" s="8826"/>
      <c r="Q2" s="8826"/>
      <c r="R2" s="8826"/>
      <c r="S2" s="8826"/>
      <c r="T2" s="8826"/>
      <c r="U2" s="8826"/>
      <c r="V2" s="8826"/>
      <c r="W2" s="8826"/>
      <c r="X2" s="8826"/>
      <c r="Y2" s="8826"/>
      <c r="Z2" s="8826"/>
      <c r="AA2" s="8826"/>
      <c r="AB2" s="8826"/>
      <c r="AC2" s="8826"/>
      <c r="AD2" s="8826"/>
      <c r="AE2" s="8826"/>
      <c r="AF2" s="8826"/>
      <c r="AG2" s="8826"/>
      <c r="AH2" s="8826"/>
    </row>
    <row r="3" spans="1:35" ht="30.75">
      <c r="A3" s="8828" t="s">
        <v>1099</v>
      </c>
      <c r="B3" s="8828"/>
      <c r="C3" s="8828"/>
      <c r="D3" s="8828"/>
      <c r="E3" s="8828"/>
      <c r="F3" s="8828"/>
      <c r="G3" s="8828"/>
      <c r="H3" s="8828"/>
      <c r="I3" s="8828"/>
      <c r="J3" s="8828"/>
      <c r="K3" s="8828"/>
      <c r="L3" s="8828"/>
      <c r="M3" s="8828"/>
      <c r="N3" s="8828"/>
      <c r="O3" s="8828"/>
      <c r="P3" s="8828"/>
      <c r="Q3" s="8828"/>
      <c r="R3" s="8828"/>
      <c r="S3" s="8828"/>
      <c r="T3" s="8828"/>
      <c r="U3" s="8828"/>
      <c r="V3" s="8828"/>
      <c r="W3" s="8828"/>
      <c r="X3" s="8828"/>
      <c r="Y3" s="8828"/>
      <c r="Z3" s="8828"/>
      <c r="AA3" s="8828"/>
      <c r="AB3" s="8828"/>
      <c r="AC3" s="8828"/>
      <c r="AD3" s="8828"/>
      <c r="AE3" s="8828"/>
      <c r="AF3" s="8828"/>
      <c r="AG3" s="8828"/>
      <c r="AH3" s="8828"/>
    </row>
    <row r="4" spans="1:35" ht="26.25">
      <c r="A4" s="8829" t="s">
        <v>88</v>
      </c>
      <c r="B4" s="8829"/>
      <c r="C4" s="8829"/>
      <c r="D4" s="8829"/>
      <c r="E4" s="8829"/>
      <c r="F4" s="8829"/>
      <c r="G4" s="8829"/>
      <c r="H4" s="8829"/>
      <c r="I4" s="8829"/>
      <c r="J4" s="8829"/>
      <c r="K4" s="8829"/>
      <c r="L4" s="8829"/>
      <c r="M4" s="8829"/>
      <c r="N4" s="8829"/>
      <c r="O4" s="8829"/>
      <c r="P4" s="8829"/>
      <c r="Q4" s="8829"/>
      <c r="R4" s="8829"/>
      <c r="S4" s="8829"/>
      <c r="T4" s="8829"/>
      <c r="U4" s="8829"/>
      <c r="V4" s="8829"/>
      <c r="W4" s="8829"/>
      <c r="X4" s="8829"/>
      <c r="Y4" s="8829"/>
      <c r="Z4" s="8829"/>
      <c r="AA4" s="8829"/>
      <c r="AB4" s="8829"/>
      <c r="AC4" s="8829"/>
      <c r="AD4" s="8829"/>
      <c r="AE4" s="8829"/>
      <c r="AF4" s="8829"/>
      <c r="AG4" s="8829"/>
      <c r="AH4" s="8829"/>
    </row>
    <row r="5" spans="1:35" ht="16.5" customHeight="1">
      <c r="A5" s="604"/>
      <c r="B5" s="604"/>
      <c r="C5" s="604"/>
      <c r="D5" s="604"/>
      <c r="E5" s="604"/>
      <c r="F5" s="604"/>
      <c r="G5" s="604"/>
      <c r="H5" s="604"/>
      <c r="I5" s="604"/>
      <c r="J5" s="604"/>
      <c r="K5" s="604"/>
      <c r="L5" s="604"/>
      <c r="M5" s="604"/>
      <c r="N5" s="604"/>
      <c r="O5" s="604"/>
      <c r="P5" s="604"/>
      <c r="Q5" s="604"/>
      <c r="R5" s="604"/>
      <c r="S5" s="736"/>
      <c r="T5" s="736"/>
      <c r="U5" s="604"/>
      <c r="V5" s="737"/>
      <c r="W5" s="604"/>
      <c r="X5" s="604"/>
      <c r="Y5" s="604"/>
      <c r="Z5" s="604"/>
      <c r="AA5" s="604"/>
      <c r="AB5" s="604"/>
      <c r="AC5" s="738"/>
      <c r="AD5" s="738"/>
      <c r="AE5" s="604"/>
      <c r="AF5" s="604"/>
      <c r="AG5" s="604"/>
      <c r="AH5" s="604"/>
    </row>
    <row r="6" spans="1:35" ht="24.75" customHeight="1">
      <c r="A6" s="9002" t="s">
        <v>89</v>
      </c>
      <c r="B6" s="9002"/>
      <c r="C6" s="8832" t="s">
        <v>90</v>
      </c>
      <c r="D6" s="8832"/>
      <c r="E6" s="9010" t="s">
        <v>91</v>
      </c>
      <c r="F6" s="9010"/>
      <c r="G6" s="9010"/>
      <c r="H6" s="9010"/>
      <c r="I6" s="9010"/>
      <c r="J6" s="8988" t="s">
        <v>92</v>
      </c>
      <c r="K6" s="9465"/>
      <c r="L6" s="9465"/>
      <c r="M6" s="9465"/>
      <c r="N6" s="9465"/>
      <c r="O6" s="9465"/>
      <c r="P6" s="9465"/>
      <c r="Q6" s="9465"/>
      <c r="R6" s="9466"/>
      <c r="S6" s="9467" t="s">
        <v>93</v>
      </c>
      <c r="T6" s="9467"/>
      <c r="U6" s="9467"/>
      <c r="V6" s="9467"/>
      <c r="W6" s="9467"/>
      <c r="X6" s="9467"/>
      <c r="Y6" s="9467"/>
      <c r="Z6" s="9467"/>
      <c r="AA6" s="9467"/>
      <c r="AB6" s="9467"/>
      <c r="AC6" s="9467"/>
      <c r="AD6" s="9467"/>
      <c r="AE6" s="9467"/>
      <c r="AF6" s="9467"/>
      <c r="AG6" s="9467"/>
      <c r="AH6" s="9468"/>
      <c r="AI6" s="559"/>
    </row>
    <row r="7" spans="1:35" ht="39.75" customHeight="1">
      <c r="A7" s="9002"/>
      <c r="B7" s="9002"/>
      <c r="C7" s="9146" t="s">
        <v>94</v>
      </c>
      <c r="D7" s="9147" t="s">
        <v>95</v>
      </c>
      <c r="E7" s="9012" t="s">
        <v>96</v>
      </c>
      <c r="F7" s="9012" t="s">
        <v>97</v>
      </c>
      <c r="G7" s="9012" t="s">
        <v>98</v>
      </c>
      <c r="H7" s="9012" t="s">
        <v>99</v>
      </c>
      <c r="I7" s="9012" t="s">
        <v>100</v>
      </c>
      <c r="J7" s="9014" t="s">
        <v>101</v>
      </c>
      <c r="K7" s="9016" t="s">
        <v>102</v>
      </c>
      <c r="L7" s="9016" t="s">
        <v>103</v>
      </c>
      <c r="M7" s="9016" t="s">
        <v>104</v>
      </c>
      <c r="N7" s="9016"/>
      <c r="O7" s="9016"/>
      <c r="P7" s="9016" t="s">
        <v>105</v>
      </c>
      <c r="Q7" s="9016" t="s">
        <v>106</v>
      </c>
      <c r="R7" s="9019" t="s">
        <v>107</v>
      </c>
      <c r="S7" s="9469" t="s">
        <v>108</v>
      </c>
      <c r="T7" s="9469"/>
      <c r="U7" s="9469"/>
      <c r="V7" s="9469"/>
      <c r="W7" s="9469"/>
      <c r="X7" s="9469"/>
      <c r="Y7" s="9469"/>
      <c r="Z7" s="9156" t="s">
        <v>109</v>
      </c>
      <c r="AA7" s="9156"/>
      <c r="AB7" s="9156"/>
      <c r="AC7" s="9156"/>
      <c r="AD7" s="9156"/>
      <c r="AE7" s="9156" t="s">
        <v>110</v>
      </c>
      <c r="AF7" s="9156"/>
      <c r="AG7" s="9156"/>
      <c r="AH7" s="9157" t="s">
        <v>111</v>
      </c>
      <c r="AI7" s="559"/>
    </row>
    <row r="8" spans="1:35" ht="51.75" customHeight="1">
      <c r="A8" s="9002"/>
      <c r="B8" s="9002"/>
      <c r="C8" s="9146"/>
      <c r="D8" s="9147"/>
      <c r="E8" s="9475"/>
      <c r="F8" s="9475"/>
      <c r="G8" s="9475"/>
      <c r="H8" s="9475"/>
      <c r="I8" s="9475"/>
      <c r="J8" s="9476"/>
      <c r="K8" s="9470"/>
      <c r="L8" s="9470"/>
      <c r="M8" s="5086" t="s">
        <v>112</v>
      </c>
      <c r="N8" s="5086" t="s">
        <v>113</v>
      </c>
      <c r="O8" s="5086" t="s">
        <v>114</v>
      </c>
      <c r="P8" s="9470"/>
      <c r="Q8" s="9470"/>
      <c r="R8" s="9477"/>
      <c r="S8" s="5096" t="s">
        <v>115</v>
      </c>
      <c r="T8" s="5093" t="s">
        <v>116</v>
      </c>
      <c r="U8" s="5095" t="s">
        <v>117</v>
      </c>
      <c r="V8" s="5092" t="s">
        <v>118</v>
      </c>
      <c r="W8" s="5092" t="s">
        <v>119</v>
      </c>
      <c r="X8" s="5092" t="s">
        <v>372</v>
      </c>
      <c r="Y8" s="5093" t="s">
        <v>121</v>
      </c>
      <c r="Z8" s="5092" t="s">
        <v>122</v>
      </c>
      <c r="AA8" s="5092" t="s">
        <v>123</v>
      </c>
      <c r="AB8" s="5092" t="s">
        <v>124</v>
      </c>
      <c r="AC8" s="5090" t="s">
        <v>125</v>
      </c>
      <c r="AD8" s="5090" t="s">
        <v>1100</v>
      </c>
      <c r="AE8" s="5092" t="s">
        <v>112</v>
      </c>
      <c r="AF8" s="5092" t="s">
        <v>113</v>
      </c>
      <c r="AG8" s="5092" t="s">
        <v>114</v>
      </c>
      <c r="AH8" s="9157"/>
      <c r="AI8" s="559"/>
    </row>
    <row r="9" spans="1:35" ht="39.75" customHeight="1">
      <c r="A9" s="9237" t="s">
        <v>1099</v>
      </c>
      <c r="B9" s="9246" t="s">
        <v>1099</v>
      </c>
      <c r="C9" s="9124" t="s">
        <v>127</v>
      </c>
      <c r="D9" s="8835" t="s">
        <v>128</v>
      </c>
      <c r="E9" s="8835" t="s">
        <v>140</v>
      </c>
      <c r="F9" s="8835" t="s">
        <v>141</v>
      </c>
      <c r="G9" s="9164" t="s">
        <v>131</v>
      </c>
      <c r="H9" s="8835" t="s">
        <v>213</v>
      </c>
      <c r="I9" s="8835" t="s">
        <v>159</v>
      </c>
      <c r="J9" s="9474" t="s">
        <v>1101</v>
      </c>
      <c r="K9" s="8835" t="s">
        <v>1102</v>
      </c>
      <c r="L9" s="8835" t="s">
        <v>1103</v>
      </c>
      <c r="M9" s="8839">
        <v>0</v>
      </c>
      <c r="N9" s="8838">
        <v>0.25</v>
      </c>
      <c r="O9" s="8839">
        <v>0.25</v>
      </c>
      <c r="P9" s="9471" t="s">
        <v>1104</v>
      </c>
      <c r="Q9" s="9471" t="s">
        <v>1105</v>
      </c>
      <c r="R9" s="9472" t="s">
        <v>1106</v>
      </c>
      <c r="S9" s="868" t="s">
        <v>15</v>
      </c>
      <c r="T9" s="903" t="s">
        <v>1107</v>
      </c>
      <c r="U9" s="1876"/>
      <c r="V9" s="1877" t="s">
        <v>39</v>
      </c>
      <c r="W9" s="1732"/>
      <c r="X9" s="149"/>
      <c r="Y9" s="1878"/>
      <c r="Z9" s="1878"/>
      <c r="AA9" s="1878"/>
      <c r="AB9" s="5960">
        <f>SUM($AA$10:$AA$13)</f>
        <v>999.9</v>
      </c>
      <c r="AC9" s="5961" t="s">
        <v>18</v>
      </c>
      <c r="AD9" s="1146"/>
      <c r="AE9" s="1145"/>
      <c r="AF9" s="1147"/>
      <c r="AG9" s="1147"/>
      <c r="AH9" s="9473" t="s">
        <v>1108</v>
      </c>
      <c r="AI9" s="559"/>
    </row>
    <row r="10" spans="1:35" ht="39.75" customHeight="1">
      <c r="A10" s="9237"/>
      <c r="B10" s="9246"/>
      <c r="C10" s="9124"/>
      <c r="D10" s="8835"/>
      <c r="E10" s="8835"/>
      <c r="F10" s="8835"/>
      <c r="G10" s="9164"/>
      <c r="H10" s="8835"/>
      <c r="I10" s="8835"/>
      <c r="J10" s="8835"/>
      <c r="K10" s="8835"/>
      <c r="L10" s="8835"/>
      <c r="M10" s="8839"/>
      <c r="N10" s="8838"/>
      <c r="O10" s="8839"/>
      <c r="P10" s="8835"/>
      <c r="Q10" s="8835"/>
      <c r="R10" s="9472"/>
      <c r="S10" s="1879"/>
      <c r="T10" s="1738"/>
      <c r="U10" s="3228" t="s">
        <v>1109</v>
      </c>
      <c r="V10" s="3229" t="s">
        <v>1110</v>
      </c>
      <c r="W10" s="3230">
        <v>1</v>
      </c>
      <c r="X10" s="3231" t="s">
        <v>180</v>
      </c>
      <c r="Y10" s="3232">
        <f>812.4</f>
        <v>812.4</v>
      </c>
      <c r="Z10" s="3232">
        <f>Y10</f>
        <v>812.4</v>
      </c>
      <c r="AA10" s="3232">
        <f>Z10</f>
        <v>812.4</v>
      </c>
      <c r="AB10" s="5962"/>
      <c r="AC10" s="5963"/>
      <c r="AD10" s="1150"/>
      <c r="AE10" s="1151" t="s">
        <v>153</v>
      </c>
      <c r="AF10" s="1152"/>
      <c r="AG10" s="1152"/>
      <c r="AH10" s="9473"/>
      <c r="AI10" s="559"/>
    </row>
    <row r="11" spans="1:35" ht="39.75" customHeight="1">
      <c r="A11" s="9237"/>
      <c r="B11" s="9246"/>
      <c r="C11" s="9124"/>
      <c r="D11" s="8835"/>
      <c r="E11" s="8835"/>
      <c r="F11" s="8835"/>
      <c r="G11" s="9164"/>
      <c r="H11" s="8835"/>
      <c r="I11" s="8835"/>
      <c r="J11" s="8835"/>
      <c r="K11" s="8835"/>
      <c r="L11" s="8835"/>
      <c r="M11" s="8839"/>
      <c r="N11" s="8838"/>
      <c r="O11" s="8839"/>
      <c r="P11" s="8835"/>
      <c r="Q11" s="8835"/>
      <c r="R11" s="9472"/>
      <c r="S11" s="1879"/>
      <c r="T11" s="1738"/>
      <c r="U11" s="3228" t="s">
        <v>1111</v>
      </c>
      <c r="V11" s="3233" t="s">
        <v>1112</v>
      </c>
      <c r="W11" s="3230">
        <v>1</v>
      </c>
      <c r="X11" s="3231" t="s">
        <v>180</v>
      </c>
      <c r="Y11" s="3232">
        <f>187.5</f>
        <v>187.5</v>
      </c>
      <c r="Z11" s="3234">
        <f t="shared" ref="Z11:Z13" si="0">+W11*Y11</f>
        <v>187.5</v>
      </c>
      <c r="AA11" s="3232">
        <f>Z11</f>
        <v>187.5</v>
      </c>
      <c r="AB11" s="5962"/>
      <c r="AC11" s="5963"/>
      <c r="AD11" s="1150"/>
      <c r="AE11" s="1151" t="s">
        <v>153</v>
      </c>
      <c r="AF11" s="1152"/>
      <c r="AG11" s="1152"/>
      <c r="AH11" s="9473"/>
      <c r="AI11" s="559"/>
    </row>
    <row r="12" spans="1:35" ht="39.75" customHeight="1">
      <c r="A12" s="9237"/>
      <c r="B12" s="9246"/>
      <c r="C12" s="9124"/>
      <c r="D12" s="8835"/>
      <c r="E12" s="8835"/>
      <c r="F12" s="8835"/>
      <c r="G12" s="9164"/>
      <c r="H12" s="8835"/>
      <c r="I12" s="8835"/>
      <c r="J12" s="8835"/>
      <c r="K12" s="8835"/>
      <c r="L12" s="8835"/>
      <c r="M12" s="8839"/>
      <c r="N12" s="8838"/>
      <c r="O12" s="8839"/>
      <c r="P12" s="8835"/>
      <c r="Q12" s="8835"/>
      <c r="R12" s="9472"/>
      <c r="S12" s="1879"/>
      <c r="T12" s="1738"/>
      <c r="U12" s="1738" t="s">
        <v>1113</v>
      </c>
      <c r="V12" s="741" t="s">
        <v>1114</v>
      </c>
      <c r="W12" s="1733">
        <v>1</v>
      </c>
      <c r="X12" s="55" t="s">
        <v>180</v>
      </c>
      <c r="Y12" s="1880">
        <v>659</v>
      </c>
      <c r="Z12" s="1882">
        <f t="shared" si="0"/>
        <v>659</v>
      </c>
      <c r="AA12" s="1880">
        <v>0</v>
      </c>
      <c r="AB12" s="5964"/>
      <c r="AC12" s="5965"/>
      <c r="AD12" s="1154"/>
      <c r="AE12" s="1151"/>
      <c r="AF12" s="1152" t="s">
        <v>153</v>
      </c>
      <c r="AG12" s="1152"/>
      <c r="AH12" s="9473"/>
      <c r="AI12" s="559"/>
    </row>
    <row r="13" spans="1:35" ht="39.75" customHeight="1">
      <c r="A13" s="9237"/>
      <c r="B13" s="9246"/>
      <c r="C13" s="9124"/>
      <c r="D13" s="8835"/>
      <c r="E13" s="8835"/>
      <c r="F13" s="8835"/>
      <c r="G13" s="9164"/>
      <c r="H13" s="8835"/>
      <c r="I13" s="8835"/>
      <c r="J13" s="8835"/>
      <c r="K13" s="8835"/>
      <c r="L13" s="8835"/>
      <c r="M13" s="8839"/>
      <c r="N13" s="8838"/>
      <c r="O13" s="8839"/>
      <c r="P13" s="8835"/>
      <c r="Q13" s="8835"/>
      <c r="R13" s="9472"/>
      <c r="S13" s="1884"/>
      <c r="T13" s="1739"/>
      <c r="U13" s="1739" t="s">
        <v>1113</v>
      </c>
      <c r="V13" s="860" t="s">
        <v>1115</v>
      </c>
      <c r="W13" s="1734">
        <v>1</v>
      </c>
      <c r="X13" s="161" t="s">
        <v>180</v>
      </c>
      <c r="Y13" s="1885">
        <v>900</v>
      </c>
      <c r="Z13" s="1886">
        <f t="shared" si="0"/>
        <v>900</v>
      </c>
      <c r="AA13" s="1885">
        <v>0</v>
      </c>
      <c r="AB13" s="5966"/>
      <c r="AC13" s="5967"/>
      <c r="AD13" s="1157"/>
      <c r="AE13" s="1158"/>
      <c r="AF13" s="1159" t="s">
        <v>153</v>
      </c>
      <c r="AG13" s="1159"/>
      <c r="AH13" s="9473"/>
      <c r="AI13" s="559"/>
    </row>
    <row r="14" spans="1:35" ht="32.25" customHeight="1">
      <c r="A14" s="9237"/>
      <c r="B14" s="9246"/>
      <c r="C14" s="9223" t="s">
        <v>127</v>
      </c>
      <c r="D14" s="8782" t="s">
        <v>128</v>
      </c>
      <c r="E14" s="8782" t="s">
        <v>140</v>
      </c>
      <c r="F14" s="8782" t="s">
        <v>238</v>
      </c>
      <c r="G14" s="8977" t="s">
        <v>131</v>
      </c>
      <c r="H14" s="8782" t="s">
        <v>213</v>
      </c>
      <c r="I14" s="8782" t="s">
        <v>189</v>
      </c>
      <c r="J14" s="8860" t="s">
        <v>1116</v>
      </c>
      <c r="K14" s="8782" t="s">
        <v>1117</v>
      </c>
      <c r="L14" s="8782" t="s">
        <v>1118</v>
      </c>
      <c r="M14" s="9459">
        <v>0.05</v>
      </c>
      <c r="N14" s="9459">
        <v>0.1</v>
      </c>
      <c r="O14" s="9459">
        <v>0.1</v>
      </c>
      <c r="P14" s="8860" t="s">
        <v>1119</v>
      </c>
      <c r="Q14" s="9217" t="s">
        <v>1120</v>
      </c>
      <c r="R14" s="9462" t="s">
        <v>1106</v>
      </c>
      <c r="S14" s="1888" t="s">
        <v>15</v>
      </c>
      <c r="T14" s="1889" t="s">
        <v>261</v>
      </c>
      <c r="U14" s="1890"/>
      <c r="V14" s="742" t="s">
        <v>40</v>
      </c>
      <c r="W14" s="8019"/>
      <c r="X14" s="8020"/>
      <c r="Y14" s="8019"/>
      <c r="Z14" s="8019"/>
      <c r="AA14" s="8019"/>
      <c r="AB14" s="8021">
        <f>SUM($AA$15:$AA$19)</f>
        <v>513.66</v>
      </c>
      <c r="AC14" s="5969" t="s">
        <v>18</v>
      </c>
      <c r="AD14" s="1163"/>
      <c r="AE14" s="1164"/>
      <c r="AF14" s="1165"/>
      <c r="AG14" s="1165"/>
      <c r="AH14" s="9447" t="s">
        <v>1121</v>
      </c>
      <c r="AI14" s="559"/>
    </row>
    <row r="15" spans="1:35" ht="32.25" customHeight="1">
      <c r="A15" s="9237"/>
      <c r="B15" s="9246"/>
      <c r="C15" s="9125"/>
      <c r="D15" s="8834"/>
      <c r="E15" s="8834"/>
      <c r="F15" s="8834"/>
      <c r="G15" s="8974"/>
      <c r="H15" s="8834"/>
      <c r="I15" s="8834"/>
      <c r="J15" s="8834"/>
      <c r="K15" s="8834"/>
      <c r="L15" s="8834"/>
      <c r="M15" s="8838"/>
      <c r="N15" s="8838"/>
      <c r="O15" s="8838"/>
      <c r="P15" s="8834"/>
      <c r="Q15" s="9205"/>
      <c r="R15" s="9463"/>
      <c r="S15" s="1891"/>
      <c r="T15" s="740"/>
      <c r="U15" s="3228"/>
      <c r="V15" s="8013" t="s">
        <v>1122</v>
      </c>
      <c r="W15" s="8014">
        <v>1</v>
      </c>
      <c r="X15" s="8015" t="s">
        <v>479</v>
      </c>
      <c r="Y15" s="8016">
        <v>513.66</v>
      </c>
      <c r="Z15" s="8017">
        <f t="shared" ref="Z15" si="1">+W15*Y15</f>
        <v>513.66</v>
      </c>
      <c r="AA15" s="8017">
        <f>Z15</f>
        <v>513.66</v>
      </c>
      <c r="AB15" s="8018"/>
      <c r="AC15" s="5963"/>
      <c r="AD15" s="1150"/>
      <c r="AE15" s="1151" t="s">
        <v>153</v>
      </c>
      <c r="AF15" s="1152"/>
      <c r="AG15" s="1152"/>
      <c r="AH15" s="9444"/>
      <c r="AI15" s="559"/>
    </row>
    <row r="16" spans="1:35" ht="32.25" customHeight="1">
      <c r="A16" s="9237"/>
      <c r="B16" s="9246"/>
      <c r="C16" s="9125"/>
      <c r="D16" s="8834"/>
      <c r="E16" s="8834"/>
      <c r="F16" s="8834"/>
      <c r="G16" s="8974"/>
      <c r="H16" s="8834"/>
      <c r="I16" s="8834"/>
      <c r="J16" s="8834"/>
      <c r="K16" s="8834"/>
      <c r="L16" s="8834"/>
      <c r="M16" s="8838"/>
      <c r="N16" s="8838"/>
      <c r="O16" s="8838"/>
      <c r="P16" s="8834"/>
      <c r="Q16" s="9205"/>
      <c r="R16" s="9463"/>
      <c r="S16" s="1891"/>
      <c r="T16" s="740"/>
      <c r="U16" s="3228"/>
      <c r="V16" s="3233"/>
      <c r="W16" s="3230"/>
      <c r="X16" s="3231"/>
      <c r="Y16" s="3236"/>
      <c r="Z16" s="3232"/>
      <c r="AA16" s="3232"/>
      <c r="AB16" s="5962"/>
      <c r="AC16" s="5963"/>
      <c r="AD16" s="1150"/>
      <c r="AE16" s="1151" t="s">
        <v>153</v>
      </c>
      <c r="AF16" s="1152"/>
      <c r="AG16" s="1152"/>
      <c r="AH16" s="9444"/>
      <c r="AI16" s="559"/>
    </row>
    <row r="17" spans="1:35" ht="32.25" customHeight="1">
      <c r="A17" s="9237"/>
      <c r="B17" s="9246"/>
      <c r="C17" s="9125"/>
      <c r="D17" s="8834"/>
      <c r="E17" s="8834"/>
      <c r="F17" s="8834"/>
      <c r="G17" s="8974"/>
      <c r="H17" s="8834"/>
      <c r="I17" s="8834"/>
      <c r="J17" s="8834"/>
      <c r="K17" s="8834"/>
      <c r="L17" s="8834"/>
      <c r="M17" s="8838"/>
      <c r="N17" s="8838"/>
      <c r="O17" s="8838"/>
      <c r="P17" s="8834"/>
      <c r="Q17" s="9205"/>
      <c r="R17" s="9463"/>
      <c r="S17" s="1891"/>
      <c r="T17" s="740"/>
      <c r="U17" s="3228"/>
      <c r="V17" s="3237"/>
      <c r="W17" s="3230"/>
      <c r="X17" s="3231"/>
      <c r="Y17" s="3232"/>
      <c r="Z17" s="3232"/>
      <c r="AA17" s="3232"/>
      <c r="AB17" s="5962"/>
      <c r="AC17" s="5963"/>
      <c r="AD17" s="1150"/>
      <c r="AE17" s="1151" t="s">
        <v>153</v>
      </c>
      <c r="AF17" s="1152"/>
      <c r="AG17" s="1152"/>
      <c r="AH17" s="9444"/>
      <c r="AI17" s="559"/>
    </row>
    <row r="18" spans="1:35" ht="32.25" customHeight="1">
      <c r="A18" s="9237"/>
      <c r="B18" s="9246"/>
      <c r="C18" s="9125"/>
      <c r="D18" s="8834"/>
      <c r="E18" s="8834"/>
      <c r="F18" s="8834"/>
      <c r="G18" s="8974"/>
      <c r="H18" s="8834"/>
      <c r="I18" s="8834"/>
      <c r="J18" s="8834"/>
      <c r="K18" s="8834"/>
      <c r="L18" s="8834"/>
      <c r="M18" s="8838"/>
      <c r="N18" s="8838"/>
      <c r="O18" s="8838"/>
      <c r="P18" s="8834"/>
      <c r="Q18" s="9205"/>
      <c r="R18" s="9463"/>
      <c r="S18" s="1891"/>
      <c r="T18" s="740"/>
      <c r="U18" s="3228"/>
      <c r="V18" s="3233"/>
      <c r="W18" s="3230"/>
      <c r="X18" s="3231"/>
      <c r="Y18" s="3232"/>
      <c r="Z18" s="3232"/>
      <c r="AA18" s="3232"/>
      <c r="AB18" s="5962"/>
      <c r="AC18" s="5963"/>
      <c r="AD18" s="1150"/>
      <c r="AE18" s="1151" t="s">
        <v>153</v>
      </c>
      <c r="AF18" s="1152"/>
      <c r="AG18" s="1152"/>
      <c r="AH18" s="9444"/>
      <c r="AI18" s="559"/>
    </row>
    <row r="19" spans="1:35" ht="32.25" customHeight="1">
      <c r="A19" s="9237"/>
      <c r="B19" s="9246"/>
      <c r="C19" s="9126"/>
      <c r="D19" s="9127"/>
      <c r="E19" s="9127"/>
      <c r="F19" s="9127"/>
      <c r="G19" s="9165"/>
      <c r="H19" s="9127"/>
      <c r="I19" s="9127"/>
      <c r="J19" s="9127"/>
      <c r="K19" s="9127"/>
      <c r="L19" s="9127"/>
      <c r="M19" s="9460"/>
      <c r="N19" s="9460"/>
      <c r="O19" s="9460"/>
      <c r="P19" s="9127"/>
      <c r="Q19" s="9461"/>
      <c r="R19" s="9464"/>
      <c r="S19" s="1893"/>
      <c r="T19" s="1894"/>
      <c r="U19" s="3238"/>
      <c r="V19" s="3239"/>
      <c r="W19" s="3235"/>
      <c r="X19" s="3240"/>
      <c r="Y19" s="3241"/>
      <c r="Z19" s="3241"/>
      <c r="AA19" s="3241"/>
      <c r="AB19" s="5970"/>
      <c r="AC19" s="5971"/>
      <c r="AD19" s="1168"/>
      <c r="AE19" s="1021" t="s">
        <v>153</v>
      </c>
      <c r="AF19" s="1169"/>
      <c r="AG19" s="1169"/>
      <c r="AH19" s="9458"/>
      <c r="AI19" s="559"/>
    </row>
    <row r="20" spans="1:35" ht="45.75" customHeight="1">
      <c r="A20" s="9237"/>
      <c r="B20" s="9246"/>
      <c r="C20" s="9125" t="s">
        <v>127</v>
      </c>
      <c r="D20" s="8834" t="s">
        <v>128</v>
      </c>
      <c r="E20" s="8834" t="s">
        <v>140</v>
      </c>
      <c r="F20" s="8834" t="s">
        <v>238</v>
      </c>
      <c r="G20" s="8974" t="s">
        <v>131</v>
      </c>
      <c r="H20" s="8834" t="s">
        <v>213</v>
      </c>
      <c r="I20" s="8834" t="s">
        <v>159</v>
      </c>
      <c r="J20" s="9539" t="s">
        <v>1123</v>
      </c>
      <c r="K20" s="8834" t="s">
        <v>1124</v>
      </c>
      <c r="L20" s="8834" t="s">
        <v>1125</v>
      </c>
      <c r="M20" s="8856">
        <v>0</v>
      </c>
      <c r="N20" s="9526">
        <v>0</v>
      </c>
      <c r="O20" s="8856">
        <v>1</v>
      </c>
      <c r="P20" s="9523" t="s">
        <v>1126</v>
      </c>
      <c r="Q20" s="9523" t="s">
        <v>1127</v>
      </c>
      <c r="R20" s="9205" t="s">
        <v>1128</v>
      </c>
      <c r="S20" s="1896" t="s">
        <v>15</v>
      </c>
      <c r="T20" s="1897" t="s">
        <v>1129</v>
      </c>
      <c r="U20" s="1897"/>
      <c r="V20" s="743" t="s">
        <v>40</v>
      </c>
      <c r="W20" s="1737"/>
      <c r="X20" s="472"/>
      <c r="Y20" s="1898"/>
      <c r="Z20" s="1898"/>
      <c r="AA20" s="1899"/>
      <c r="AB20" s="5972">
        <f>SUM($AA$21:$AA$22)</f>
        <v>2116</v>
      </c>
      <c r="AC20" s="5973" t="s">
        <v>18</v>
      </c>
      <c r="AD20" s="1172"/>
      <c r="AE20" s="1173"/>
      <c r="AF20" s="1174"/>
      <c r="AG20" s="1174"/>
      <c r="AH20" s="9444"/>
      <c r="AI20" s="559"/>
    </row>
    <row r="21" spans="1:35" ht="45.75" customHeight="1">
      <c r="A21" s="9237"/>
      <c r="B21" s="9246"/>
      <c r="C21" s="9125"/>
      <c r="D21" s="8834"/>
      <c r="E21" s="8834"/>
      <c r="F21" s="8834"/>
      <c r="G21" s="8974"/>
      <c r="H21" s="8834"/>
      <c r="I21" s="8834"/>
      <c r="J21" s="9539"/>
      <c r="K21" s="8834"/>
      <c r="L21" s="8834"/>
      <c r="M21" s="8856"/>
      <c r="N21" s="9526"/>
      <c r="O21" s="8856"/>
      <c r="P21" s="9524"/>
      <c r="Q21" s="9524"/>
      <c r="R21" s="9205"/>
      <c r="S21" s="1879"/>
      <c r="T21" s="1738"/>
      <c r="U21" s="3228" t="s">
        <v>1130</v>
      </c>
      <c r="V21" s="3237" t="s">
        <v>1131</v>
      </c>
      <c r="W21" s="3230">
        <v>2</v>
      </c>
      <c r="X21" s="3231" t="s">
        <v>180</v>
      </c>
      <c r="Y21" s="3232">
        <v>1058</v>
      </c>
      <c r="Z21" s="3236">
        <f t="shared" ref="Z21" si="2">+W21*Y21</f>
        <v>2116</v>
      </c>
      <c r="AA21" s="3236">
        <f>Z21</f>
        <v>2116</v>
      </c>
      <c r="AB21" s="5962"/>
      <c r="AC21" s="5963"/>
      <c r="AD21" s="1150"/>
      <c r="AE21" s="1151"/>
      <c r="AF21" s="1152" t="s">
        <v>153</v>
      </c>
      <c r="AG21" s="1152"/>
      <c r="AH21" s="9444"/>
      <c r="AI21" s="559"/>
    </row>
    <row r="22" spans="1:35" ht="45.75" customHeight="1">
      <c r="A22" s="9237"/>
      <c r="B22" s="9246"/>
      <c r="C22" s="9125"/>
      <c r="D22" s="8834"/>
      <c r="E22" s="8834"/>
      <c r="F22" s="8834"/>
      <c r="G22" s="8974"/>
      <c r="H22" s="8834"/>
      <c r="I22" s="8834"/>
      <c r="J22" s="9539"/>
      <c r="K22" s="8834"/>
      <c r="L22" s="8834"/>
      <c r="M22" s="8856"/>
      <c r="N22" s="9526"/>
      <c r="O22" s="8856"/>
      <c r="P22" s="9524"/>
      <c r="Q22" s="9524"/>
      <c r="R22" s="9205"/>
      <c r="S22" s="1891"/>
      <c r="T22" s="740"/>
      <c r="U22" s="1738"/>
      <c r="V22" s="1881"/>
      <c r="W22" s="1733"/>
      <c r="X22" s="55"/>
      <c r="Y22" s="1892"/>
      <c r="Z22" s="2684"/>
      <c r="AA22" s="2684"/>
      <c r="AB22" s="5962"/>
      <c r="AC22" s="5963"/>
      <c r="AD22" s="1150"/>
      <c r="AE22" s="1151"/>
      <c r="AF22" s="2091"/>
      <c r="AG22" s="1152"/>
      <c r="AH22" s="9444"/>
      <c r="AI22" s="559"/>
    </row>
    <row r="23" spans="1:35" ht="45.75" customHeight="1">
      <c r="A23" s="9099"/>
      <c r="B23" s="9235"/>
      <c r="C23" s="9125"/>
      <c r="D23" s="8834"/>
      <c r="E23" s="8834"/>
      <c r="F23" s="8834"/>
      <c r="G23" s="8974"/>
      <c r="H23" s="8834"/>
      <c r="I23" s="8834"/>
      <c r="J23" s="9539"/>
      <c r="K23" s="8834"/>
      <c r="L23" s="8834"/>
      <c r="M23" s="8856"/>
      <c r="N23" s="9526"/>
      <c r="O23" s="8856"/>
      <c r="P23" s="9524"/>
      <c r="Q23" s="9524"/>
      <c r="R23" s="9205"/>
      <c r="S23" s="8146"/>
      <c r="T23" s="8147"/>
      <c r="U23" s="1739"/>
      <c r="V23" s="8148"/>
      <c r="W23" s="1734"/>
      <c r="X23" s="161"/>
      <c r="Y23" s="8149"/>
      <c r="Z23" s="8150"/>
      <c r="AA23" s="8150"/>
      <c r="AB23" s="7316"/>
      <c r="AC23" s="7348"/>
      <c r="AD23" s="1349"/>
      <c r="AE23" s="1158"/>
      <c r="AF23" s="8151"/>
      <c r="AG23" s="1159"/>
      <c r="AH23" s="9444"/>
      <c r="AI23" s="559"/>
    </row>
    <row r="24" spans="1:35" ht="45.75" customHeight="1">
      <c r="A24" s="9099"/>
      <c r="B24" s="9398"/>
      <c r="C24" s="9395"/>
      <c r="D24" s="9312"/>
      <c r="E24" s="9312"/>
      <c r="F24" s="9312"/>
      <c r="G24" s="9312"/>
      <c r="H24" s="9312"/>
      <c r="I24" s="9312"/>
      <c r="J24" s="9443"/>
      <c r="K24" s="9312"/>
      <c r="L24" s="9312"/>
      <c r="M24" s="9314"/>
      <c r="N24" s="9485"/>
      <c r="O24" s="9314"/>
      <c r="P24" s="9525"/>
      <c r="Q24" s="9525"/>
      <c r="R24" s="9434"/>
      <c r="S24" s="1901"/>
      <c r="T24" s="1739"/>
      <c r="U24" s="1739"/>
      <c r="V24" s="1902"/>
      <c r="W24" s="1887"/>
      <c r="X24" s="164"/>
      <c r="Y24" s="1887"/>
      <c r="Z24" s="1887"/>
      <c r="AA24" s="1887"/>
      <c r="AB24" s="5966"/>
      <c r="AC24" s="5967"/>
      <c r="AD24" s="1157"/>
      <c r="AE24" s="1158"/>
      <c r="AF24" s="1159"/>
      <c r="AG24" s="1159"/>
      <c r="AH24" s="9446"/>
      <c r="AI24" s="559"/>
    </row>
    <row r="25" spans="1:35" ht="39" customHeight="1">
      <c r="A25" s="9237"/>
      <c r="B25" s="9246"/>
      <c r="C25" s="9125" t="s">
        <v>127</v>
      </c>
      <c r="D25" s="8834" t="s">
        <v>128</v>
      </c>
      <c r="E25" s="8834" t="s">
        <v>140</v>
      </c>
      <c r="F25" s="8834" t="s">
        <v>284</v>
      </c>
      <c r="G25" s="8974" t="s">
        <v>131</v>
      </c>
      <c r="H25" s="8782" t="s">
        <v>213</v>
      </c>
      <c r="I25" s="8834" t="s">
        <v>189</v>
      </c>
      <c r="J25" s="9450" t="s">
        <v>1132</v>
      </c>
      <c r="K25" s="9258" t="s">
        <v>1133</v>
      </c>
      <c r="L25" s="8834" t="s">
        <v>1134</v>
      </c>
      <c r="M25" s="8856">
        <v>0</v>
      </c>
      <c r="N25" s="9453">
        <v>0</v>
      </c>
      <c r="O25" s="9454">
        <v>1</v>
      </c>
      <c r="P25" s="9451" t="s">
        <v>1135</v>
      </c>
      <c r="Q25" s="9451" t="s">
        <v>1136</v>
      </c>
      <c r="R25" s="9217" t="s">
        <v>1106</v>
      </c>
      <c r="S25" s="3242" t="s">
        <v>15</v>
      </c>
      <c r="T25" s="3243" t="s">
        <v>1137</v>
      </c>
      <c r="U25" s="3244"/>
      <c r="V25" s="3245" t="s">
        <v>319</v>
      </c>
      <c r="W25" s="3246"/>
      <c r="X25" s="3247"/>
      <c r="Y25" s="3248"/>
      <c r="Z25" s="3249"/>
      <c r="AA25" s="3250"/>
      <c r="AB25" s="5968">
        <v>0</v>
      </c>
      <c r="AC25" s="5974" t="s">
        <v>26</v>
      </c>
      <c r="AD25" s="1163"/>
      <c r="AE25" s="1164"/>
      <c r="AF25" s="1164"/>
      <c r="AG25" s="1164"/>
      <c r="AH25" s="9444"/>
      <c r="AI25" s="559"/>
    </row>
    <row r="26" spans="1:35" ht="33.75" customHeight="1">
      <c r="A26" s="9237"/>
      <c r="B26" s="9246"/>
      <c r="C26" s="9125"/>
      <c r="D26" s="8834"/>
      <c r="E26" s="8834"/>
      <c r="F26" s="8834"/>
      <c r="G26" s="8974"/>
      <c r="H26" s="8782"/>
      <c r="I26" s="8834"/>
      <c r="J26" s="9227"/>
      <c r="K26" s="9258"/>
      <c r="L26" s="8834"/>
      <c r="M26" s="8856"/>
      <c r="N26" s="9453"/>
      <c r="O26" s="9454"/>
      <c r="P26" s="8834"/>
      <c r="Q26" s="8834"/>
      <c r="R26" s="9217"/>
      <c r="S26" s="3251"/>
      <c r="T26" s="3252"/>
      <c r="U26" s="3228" t="s">
        <v>1138</v>
      </c>
      <c r="V26" s="3237" t="s">
        <v>1139</v>
      </c>
      <c r="W26" s="3230">
        <v>1</v>
      </c>
      <c r="X26" s="3231" t="s">
        <v>152</v>
      </c>
      <c r="Y26" s="3232">
        <f>8801.91/1.12</f>
        <v>7858.8482142857138</v>
      </c>
      <c r="Z26" s="3236">
        <f t="shared" ref="Z26" si="3">+W26*Y26</f>
        <v>7858.8482142857138</v>
      </c>
      <c r="AA26" s="3232"/>
      <c r="AB26" s="5975"/>
      <c r="AC26" s="5976"/>
      <c r="AD26" s="1150"/>
      <c r="AE26" s="1151"/>
      <c r="AF26" s="1151" t="s">
        <v>153</v>
      </c>
      <c r="AG26" s="1151" t="s">
        <v>153</v>
      </c>
      <c r="AH26" s="9447"/>
      <c r="AI26" s="559"/>
    </row>
    <row r="27" spans="1:35" ht="34.5" customHeight="1">
      <c r="A27" s="9237"/>
      <c r="B27" s="9246"/>
      <c r="C27" s="9125"/>
      <c r="D27" s="8834"/>
      <c r="E27" s="8834"/>
      <c r="F27" s="8834"/>
      <c r="G27" s="8974"/>
      <c r="H27" s="8782"/>
      <c r="I27" s="8834"/>
      <c r="J27" s="9227"/>
      <c r="K27" s="9258"/>
      <c r="L27" s="8834"/>
      <c r="M27" s="8856"/>
      <c r="N27" s="9453"/>
      <c r="O27" s="9454"/>
      <c r="P27" s="8834"/>
      <c r="Q27" s="8834"/>
      <c r="R27" s="9217"/>
      <c r="S27" s="1904" t="s">
        <v>79</v>
      </c>
      <c r="T27" s="2245" t="s">
        <v>1140</v>
      </c>
      <c r="U27" s="1727"/>
      <c r="V27" s="2246" t="s">
        <v>281</v>
      </c>
      <c r="W27" s="1695"/>
      <c r="X27" s="89"/>
      <c r="Y27" s="1905"/>
      <c r="Z27" s="2247"/>
      <c r="AA27" s="1724"/>
      <c r="AB27" s="7700">
        <f>SUM($AA$28:$AA$28)</f>
        <v>2284.9</v>
      </c>
      <c r="AC27" s="5011" t="s">
        <v>25</v>
      </c>
      <c r="AD27" s="1183"/>
      <c r="AE27" s="1052"/>
      <c r="AF27" s="1052"/>
      <c r="AG27" s="1184"/>
      <c r="AH27" s="9447"/>
      <c r="AI27" s="559"/>
    </row>
    <row r="28" spans="1:35" ht="41.25" customHeight="1">
      <c r="A28" s="9237"/>
      <c r="B28" s="9246"/>
      <c r="C28" s="9125"/>
      <c r="D28" s="8834"/>
      <c r="E28" s="8834"/>
      <c r="F28" s="8834"/>
      <c r="G28" s="8974"/>
      <c r="H28" s="8782"/>
      <c r="I28" s="8834"/>
      <c r="J28" s="9227"/>
      <c r="K28" s="9258"/>
      <c r="L28" s="8834"/>
      <c r="M28" s="8856"/>
      <c r="N28" s="9453"/>
      <c r="O28" s="9454"/>
      <c r="P28" s="8834"/>
      <c r="Q28" s="8834"/>
      <c r="R28" s="9217"/>
      <c r="S28" s="8152"/>
      <c r="T28" s="8153"/>
      <c r="U28" s="8154" t="s">
        <v>1141</v>
      </c>
      <c r="V28" s="8155" t="s">
        <v>1142</v>
      </c>
      <c r="W28" s="8156">
        <v>1</v>
      </c>
      <c r="X28" s="8157" t="s">
        <v>152</v>
      </c>
      <c r="Y28" s="8158">
        <v>2284.9</v>
      </c>
      <c r="Z28" s="8159">
        <f t="shared" ref="Z28" si="4">+W28*Y28</f>
        <v>2284.9</v>
      </c>
      <c r="AA28" s="8158">
        <f>Z28</f>
        <v>2284.9</v>
      </c>
      <c r="AB28" s="8160"/>
      <c r="AC28" s="8161"/>
      <c r="AD28" s="8162"/>
      <c r="AE28" s="8163"/>
      <c r="AF28" s="8163" t="s">
        <v>153</v>
      </c>
      <c r="AG28" s="8164" t="s">
        <v>153</v>
      </c>
      <c r="AH28" s="9447"/>
      <c r="AI28" s="559"/>
    </row>
    <row r="29" spans="1:35" ht="41.25" customHeight="1">
      <c r="A29" s="9237"/>
      <c r="B29" s="9246"/>
      <c r="C29" s="9125"/>
      <c r="D29" s="8834"/>
      <c r="E29" s="8834"/>
      <c r="F29" s="8834"/>
      <c r="G29" s="8974"/>
      <c r="H29" s="8782"/>
      <c r="I29" s="8834"/>
      <c r="J29" s="9227"/>
      <c r="K29" s="9258"/>
      <c r="L29" s="8834"/>
      <c r="M29" s="8856"/>
      <c r="N29" s="9453"/>
      <c r="O29" s="9454"/>
      <c r="P29" s="8834"/>
      <c r="Q29" s="8834"/>
      <c r="R29" s="9217"/>
      <c r="S29" s="8165" t="s">
        <v>79</v>
      </c>
      <c r="T29" s="8166" t="s">
        <v>1143</v>
      </c>
      <c r="U29" s="8167"/>
      <c r="V29" s="8168" t="s">
        <v>671</v>
      </c>
      <c r="W29" s="8169"/>
      <c r="X29" s="8170"/>
      <c r="Y29" s="8171"/>
      <c r="Z29" s="8172"/>
      <c r="AA29" s="8173"/>
      <c r="AB29" s="8174">
        <f>SUM($AA$30:$AA$32)</f>
        <v>1995.9967999999999</v>
      </c>
      <c r="AC29" s="8175" t="s">
        <v>25</v>
      </c>
      <c r="AD29" s="8176"/>
      <c r="AE29" s="8177"/>
      <c r="AF29" s="8178"/>
      <c r="AG29" s="8178"/>
      <c r="AH29" s="9447"/>
      <c r="AI29" s="559"/>
    </row>
    <row r="30" spans="1:35" ht="41.25" customHeight="1">
      <c r="A30" s="9237"/>
      <c r="B30" s="9246"/>
      <c r="C30" s="9125"/>
      <c r="D30" s="8834"/>
      <c r="E30" s="8834"/>
      <c r="F30" s="8834"/>
      <c r="G30" s="8974"/>
      <c r="H30" s="8782"/>
      <c r="I30" s="8834"/>
      <c r="J30" s="9227"/>
      <c r="K30" s="9258"/>
      <c r="L30" s="8834"/>
      <c r="M30" s="8856"/>
      <c r="N30" s="9453"/>
      <c r="O30" s="9454"/>
      <c r="P30" s="8834"/>
      <c r="Q30" s="8834"/>
      <c r="R30" s="9217"/>
      <c r="S30" s="7707"/>
      <c r="T30" s="7708"/>
      <c r="U30" s="7708" t="s">
        <v>1144</v>
      </c>
      <c r="V30" s="7709" t="s">
        <v>1145</v>
      </c>
      <c r="W30" s="7710">
        <v>4</v>
      </c>
      <c r="X30" s="7711" t="s">
        <v>1146</v>
      </c>
      <c r="Y30" s="7712">
        <v>270.25</v>
      </c>
      <c r="Z30" s="7713">
        <f t="shared" ref="Z30:Z32" si="5">+W30*Y30</f>
        <v>1081</v>
      </c>
      <c r="AA30" s="7714">
        <f>+Z30*1.12</f>
        <v>1210.72</v>
      </c>
      <c r="AB30" s="7715"/>
      <c r="AC30" s="7716"/>
      <c r="AD30" s="7717"/>
      <c r="AE30" s="7718"/>
      <c r="AF30" s="7719" t="s">
        <v>153</v>
      </c>
      <c r="AG30" s="7720" t="s">
        <v>153</v>
      </c>
      <c r="AH30" s="9447"/>
      <c r="AI30" s="559"/>
    </row>
    <row r="31" spans="1:35" ht="41.25" customHeight="1">
      <c r="A31" s="9237"/>
      <c r="B31" s="9246"/>
      <c r="C31" s="9125"/>
      <c r="D31" s="8834"/>
      <c r="E31" s="8834"/>
      <c r="F31" s="8834"/>
      <c r="G31" s="8974"/>
      <c r="H31" s="8782"/>
      <c r="I31" s="8834"/>
      <c r="J31" s="9227"/>
      <c r="K31" s="9258"/>
      <c r="L31" s="8834"/>
      <c r="M31" s="8856"/>
      <c r="N31" s="9453"/>
      <c r="O31" s="9454"/>
      <c r="P31" s="8834"/>
      <c r="Q31" s="8834"/>
      <c r="R31" s="9217"/>
      <c r="S31" s="7721"/>
      <c r="T31" s="7722"/>
      <c r="U31" s="7708" t="s">
        <v>1147</v>
      </c>
      <c r="V31" s="7709" t="s">
        <v>1148</v>
      </c>
      <c r="W31" s="7723">
        <v>4</v>
      </c>
      <c r="X31" s="7711" t="s">
        <v>1146</v>
      </c>
      <c r="Y31" s="7724">
        <v>140.25</v>
      </c>
      <c r="Z31" s="7713">
        <f t="shared" si="5"/>
        <v>561</v>
      </c>
      <c r="AA31" s="7714">
        <f t="shared" ref="AA31:AA32" si="6">+Z31*1.12</f>
        <v>628.32000000000005</v>
      </c>
      <c r="AB31" s="7725"/>
      <c r="AC31" s="7722"/>
      <c r="AD31" s="7717"/>
      <c r="AE31" s="7718"/>
      <c r="AF31" s="7719" t="s">
        <v>153</v>
      </c>
      <c r="AG31" s="7720" t="s">
        <v>153</v>
      </c>
      <c r="AH31" s="9447"/>
      <c r="AI31" s="559"/>
    </row>
    <row r="32" spans="1:35" ht="41.25" customHeight="1">
      <c r="A32" s="9237"/>
      <c r="B32" s="9246"/>
      <c r="C32" s="9125"/>
      <c r="D32" s="8834"/>
      <c r="E32" s="8834"/>
      <c r="F32" s="8834"/>
      <c r="G32" s="8974"/>
      <c r="H32" s="8782"/>
      <c r="I32" s="8834"/>
      <c r="J32" s="9227"/>
      <c r="K32" s="9258"/>
      <c r="L32" s="8834"/>
      <c r="M32" s="8856"/>
      <c r="N32" s="9453"/>
      <c r="O32" s="9454"/>
      <c r="P32" s="8834"/>
      <c r="Q32" s="8834"/>
      <c r="R32" s="9217"/>
      <c r="S32" s="7707"/>
      <c r="T32" s="7708"/>
      <c r="U32" s="7708" t="s">
        <v>1149</v>
      </c>
      <c r="V32" s="7709" t="s">
        <v>1150</v>
      </c>
      <c r="W32" s="7710">
        <v>1</v>
      </c>
      <c r="X32" s="7711" t="s">
        <v>1146</v>
      </c>
      <c r="Y32" s="7724">
        <v>140.13999999999999</v>
      </c>
      <c r="Z32" s="7713">
        <f t="shared" si="5"/>
        <v>140.13999999999999</v>
      </c>
      <c r="AA32" s="7714">
        <f t="shared" si="6"/>
        <v>156.95679999999999</v>
      </c>
      <c r="AB32" s="7725"/>
      <c r="AC32" s="7722"/>
      <c r="AD32" s="7717"/>
      <c r="AE32" s="7718"/>
      <c r="AF32" s="7719" t="s">
        <v>153</v>
      </c>
      <c r="AG32" s="7720" t="s">
        <v>153</v>
      </c>
      <c r="AH32" s="9447"/>
      <c r="AI32" s="559"/>
    </row>
    <row r="33" spans="1:35" ht="78" customHeight="1">
      <c r="A33" s="9237"/>
      <c r="B33" s="9246"/>
      <c r="C33" s="9223" t="s">
        <v>127</v>
      </c>
      <c r="D33" s="8782" t="s">
        <v>128</v>
      </c>
      <c r="E33" s="8782" t="s">
        <v>140</v>
      </c>
      <c r="F33" s="9456" t="s">
        <v>238</v>
      </c>
      <c r="G33" s="9457" t="s">
        <v>131</v>
      </c>
      <c r="H33" s="9456" t="s">
        <v>213</v>
      </c>
      <c r="I33" s="9456" t="s">
        <v>189</v>
      </c>
      <c r="J33" s="9479" t="s">
        <v>1151</v>
      </c>
      <c r="K33" s="9480" t="s">
        <v>1152</v>
      </c>
      <c r="L33" s="9481" t="s">
        <v>1153</v>
      </c>
      <c r="M33" s="9482">
        <v>1</v>
      </c>
      <c r="N33" s="9482">
        <v>1</v>
      </c>
      <c r="O33" s="9483">
        <v>2</v>
      </c>
      <c r="P33" s="9486" t="s">
        <v>1154</v>
      </c>
      <c r="Q33" s="9486" t="s">
        <v>1155</v>
      </c>
      <c r="R33" s="9490" t="s">
        <v>1106</v>
      </c>
      <c r="S33" s="7701" t="s">
        <v>79</v>
      </c>
      <c r="T33" s="7702" t="s">
        <v>1156</v>
      </c>
      <c r="U33" s="7703"/>
      <c r="V33" s="7704" t="s">
        <v>671</v>
      </c>
      <c r="W33" s="7705"/>
      <c r="X33" s="7706"/>
      <c r="Y33" s="7737"/>
      <c r="Z33" s="7738"/>
      <c r="AA33" s="7739"/>
      <c r="AB33" s="7740">
        <f>SUM($AA$34)</f>
        <v>553.99911168000006</v>
      </c>
      <c r="AC33" s="7741" t="s">
        <v>25</v>
      </c>
      <c r="AD33" s="7726"/>
      <c r="AE33" s="7727"/>
      <c r="AF33" s="7727"/>
      <c r="AG33" s="7727"/>
      <c r="AH33" s="9528"/>
      <c r="AI33" s="559"/>
    </row>
    <row r="34" spans="1:35" ht="78" customHeight="1">
      <c r="A34" s="9237"/>
      <c r="B34" s="9246"/>
      <c r="C34" s="9333"/>
      <c r="D34" s="9311"/>
      <c r="E34" s="9311"/>
      <c r="F34" s="9311"/>
      <c r="G34" s="9311"/>
      <c r="H34" s="9311"/>
      <c r="I34" s="9311"/>
      <c r="J34" s="9442"/>
      <c r="K34" s="9311"/>
      <c r="L34" s="9311"/>
      <c r="M34" s="9313"/>
      <c r="N34" s="9313"/>
      <c r="O34" s="9484"/>
      <c r="P34" s="9487"/>
      <c r="Q34" s="9487"/>
      <c r="R34" s="9433"/>
      <c r="S34" s="7728"/>
      <c r="T34" s="7729"/>
      <c r="U34" s="7729" t="s">
        <v>1157</v>
      </c>
      <c r="V34" s="7730" t="s">
        <v>1158</v>
      </c>
      <c r="W34" s="7731">
        <v>11.76</v>
      </c>
      <c r="X34" s="7769" t="s">
        <v>1159</v>
      </c>
      <c r="Y34" s="7732">
        <v>42.061399999999999</v>
      </c>
      <c r="Z34" s="7733">
        <f>+W34*Y34</f>
        <v>494.642064</v>
      </c>
      <c r="AA34" s="7734">
        <f>+Z34*1.12</f>
        <v>553.99911168000006</v>
      </c>
      <c r="AB34" s="7735"/>
      <c r="AC34" s="7736"/>
      <c r="AD34" s="7717"/>
      <c r="AE34" s="7718"/>
      <c r="AF34" s="7719" t="s">
        <v>153</v>
      </c>
      <c r="AG34" s="7720" t="s">
        <v>153</v>
      </c>
      <c r="AH34" s="9445"/>
      <c r="AI34" s="559"/>
    </row>
    <row r="35" spans="1:35" ht="78" customHeight="1">
      <c r="A35" s="9237"/>
      <c r="B35" s="9246"/>
      <c r="C35" s="9333"/>
      <c r="D35" s="9311"/>
      <c r="E35" s="9311"/>
      <c r="F35" s="9311"/>
      <c r="G35" s="9311"/>
      <c r="H35" s="9311"/>
      <c r="I35" s="9311"/>
      <c r="J35" s="9442"/>
      <c r="K35" s="9311"/>
      <c r="L35" s="9311"/>
      <c r="M35" s="9313"/>
      <c r="N35" s="9313"/>
      <c r="O35" s="9484"/>
      <c r="P35" s="9487"/>
      <c r="Q35" s="9487"/>
      <c r="R35" s="9433"/>
      <c r="S35" s="1180"/>
      <c r="T35" s="1167"/>
      <c r="U35" s="1700"/>
      <c r="V35" s="1188"/>
      <c r="W35" s="1701"/>
      <c r="X35" s="1151"/>
      <c r="Y35" s="1702"/>
      <c r="Z35" s="1702"/>
      <c r="AA35" s="1702"/>
      <c r="AB35" s="5978"/>
      <c r="AC35" s="5979"/>
      <c r="AD35" s="1150"/>
      <c r="AE35" s="1151"/>
      <c r="AF35" s="1152"/>
      <c r="AG35" s="1152"/>
      <c r="AH35" s="9445"/>
      <c r="AI35" s="559"/>
    </row>
    <row r="36" spans="1:35" ht="78" customHeight="1">
      <c r="A36" s="9237"/>
      <c r="B36" s="9246"/>
      <c r="C36" s="9333"/>
      <c r="D36" s="9311"/>
      <c r="E36" s="9311"/>
      <c r="F36" s="9311"/>
      <c r="G36" s="9311"/>
      <c r="H36" s="9311"/>
      <c r="I36" s="9311"/>
      <c r="J36" s="9442"/>
      <c r="K36" s="9311"/>
      <c r="L36" s="9311"/>
      <c r="M36" s="9313"/>
      <c r="N36" s="9313"/>
      <c r="O36" s="9484"/>
      <c r="P36" s="9487"/>
      <c r="Q36" s="9487"/>
      <c r="R36" s="9433"/>
      <c r="S36" s="1148"/>
      <c r="T36" s="1700"/>
      <c r="U36" s="1700"/>
      <c r="V36" s="1187"/>
      <c r="W36" s="1716"/>
      <c r="X36" s="1149"/>
      <c r="Y36" s="1702"/>
      <c r="Z36" s="1703"/>
      <c r="AA36" s="1702"/>
      <c r="AB36" s="5978"/>
      <c r="AC36" s="5979"/>
      <c r="AD36" s="1150"/>
      <c r="AE36" s="1151"/>
      <c r="AF36" s="1152"/>
      <c r="AG36" s="1152"/>
      <c r="AH36" s="9445"/>
      <c r="AI36" s="559"/>
    </row>
    <row r="37" spans="1:35" ht="78" customHeight="1">
      <c r="A37" s="9237"/>
      <c r="B37" s="9246"/>
      <c r="C37" s="9395"/>
      <c r="D37" s="9312"/>
      <c r="E37" s="9312"/>
      <c r="F37" s="9312"/>
      <c r="G37" s="9312"/>
      <c r="H37" s="9312"/>
      <c r="I37" s="9312"/>
      <c r="J37" s="9443"/>
      <c r="K37" s="9312"/>
      <c r="L37" s="9312"/>
      <c r="M37" s="9314"/>
      <c r="N37" s="9314"/>
      <c r="O37" s="9485"/>
      <c r="P37" s="9488"/>
      <c r="Q37" s="9488"/>
      <c r="R37" s="9434"/>
      <c r="S37" s="1176"/>
      <c r="T37" s="1706"/>
      <c r="U37" s="1706"/>
      <c r="V37" s="2695"/>
      <c r="W37" s="2696"/>
      <c r="X37" s="2697"/>
      <c r="Y37" s="2696"/>
      <c r="Z37" s="2696"/>
      <c r="AA37" s="2696"/>
      <c r="AB37" s="5980"/>
      <c r="AC37" s="5981"/>
      <c r="AD37" s="1189"/>
      <c r="AE37" s="1021"/>
      <c r="AF37" s="1169"/>
      <c r="AG37" s="1169"/>
      <c r="AH37" s="9446"/>
      <c r="AI37" s="559"/>
    </row>
    <row r="38" spans="1:35" ht="39" customHeight="1">
      <c r="A38" s="9237"/>
      <c r="B38" s="9246"/>
      <c r="C38" s="9223" t="s">
        <v>127</v>
      </c>
      <c r="D38" s="8782" t="s">
        <v>128</v>
      </c>
      <c r="E38" s="8782" t="s">
        <v>140</v>
      </c>
      <c r="F38" s="8782" t="s">
        <v>284</v>
      </c>
      <c r="G38" s="8974" t="s">
        <v>131</v>
      </c>
      <c r="H38" s="8782" t="s">
        <v>213</v>
      </c>
      <c r="I38" s="8782" t="s">
        <v>189</v>
      </c>
      <c r="J38" s="9450" t="s">
        <v>1160</v>
      </c>
      <c r="K38" s="8782" t="s">
        <v>1161</v>
      </c>
      <c r="L38" s="8782" t="s">
        <v>1162</v>
      </c>
      <c r="M38" s="8823">
        <v>1</v>
      </c>
      <c r="N38" s="8856">
        <v>1</v>
      </c>
      <c r="O38" s="8823">
        <v>1</v>
      </c>
      <c r="P38" s="9257" t="s">
        <v>1163</v>
      </c>
      <c r="Q38" s="8860" t="s">
        <v>1164</v>
      </c>
      <c r="R38" s="9217" t="s">
        <v>1106</v>
      </c>
      <c r="S38" s="1170"/>
      <c r="T38" s="1161"/>
      <c r="U38" s="1704"/>
      <c r="V38" s="1162"/>
      <c r="W38" s="1711"/>
      <c r="X38" s="1177"/>
      <c r="Y38" s="1712"/>
      <c r="Z38" s="1713"/>
      <c r="AA38" s="1714"/>
      <c r="AB38" s="5982"/>
      <c r="AC38" s="5983"/>
      <c r="AD38" s="1163"/>
      <c r="AE38" s="1164"/>
      <c r="AF38" s="1178"/>
      <c r="AG38" s="1178"/>
      <c r="AH38" s="9444"/>
      <c r="AI38" s="559"/>
    </row>
    <row r="39" spans="1:35" ht="39" customHeight="1">
      <c r="A39" s="9237"/>
      <c r="B39" s="9246"/>
      <c r="C39" s="9333"/>
      <c r="D39" s="9311"/>
      <c r="E39" s="9311"/>
      <c r="F39" s="9311"/>
      <c r="G39" s="9311"/>
      <c r="H39" s="9311"/>
      <c r="I39" s="9311"/>
      <c r="J39" s="9489"/>
      <c r="K39" s="9311"/>
      <c r="L39" s="9311"/>
      <c r="M39" s="9313"/>
      <c r="N39" s="9313"/>
      <c r="O39" s="9313"/>
      <c r="P39" s="9311"/>
      <c r="Q39" s="9311"/>
      <c r="R39" s="9433"/>
      <c r="S39" s="1175"/>
      <c r="T39" s="1710"/>
      <c r="U39" s="1700"/>
      <c r="V39" s="1187"/>
      <c r="W39" s="1701"/>
      <c r="X39" s="1149"/>
      <c r="Y39" s="1702"/>
      <c r="Z39" s="1705"/>
      <c r="AA39" s="1702"/>
      <c r="AB39" s="5978"/>
      <c r="AC39" s="5979"/>
      <c r="AD39" s="1150"/>
      <c r="AE39" s="1151"/>
      <c r="AF39" s="1151"/>
      <c r="AG39" s="1179"/>
      <c r="AH39" s="9445"/>
      <c r="AI39" s="559"/>
    </row>
    <row r="40" spans="1:35" ht="39" customHeight="1">
      <c r="A40" s="9237"/>
      <c r="B40" s="9246"/>
      <c r="C40" s="9333"/>
      <c r="D40" s="9311"/>
      <c r="E40" s="9311"/>
      <c r="F40" s="9311"/>
      <c r="G40" s="9311"/>
      <c r="H40" s="9311"/>
      <c r="I40" s="9311"/>
      <c r="J40" s="9489"/>
      <c r="K40" s="9311"/>
      <c r="L40" s="9311"/>
      <c r="M40" s="9313"/>
      <c r="N40" s="9313"/>
      <c r="O40" s="9313"/>
      <c r="P40" s="9311"/>
      <c r="Q40" s="9311"/>
      <c r="R40" s="9433"/>
      <c r="S40" s="1166"/>
      <c r="T40" s="1167"/>
      <c r="U40" s="1700"/>
      <c r="V40" s="1187"/>
      <c r="W40" s="1716"/>
      <c r="X40" s="1149"/>
      <c r="Y40" s="1702"/>
      <c r="Z40" s="1703"/>
      <c r="AA40" s="1702"/>
      <c r="AB40" s="5978"/>
      <c r="AC40" s="5979"/>
      <c r="AD40" s="1150"/>
      <c r="AE40" s="1151"/>
      <c r="AF40" s="1151"/>
      <c r="AG40" s="1152"/>
      <c r="AH40" s="9445"/>
      <c r="AI40" s="559"/>
    </row>
    <row r="41" spans="1:35" ht="39" customHeight="1">
      <c r="A41" s="9237"/>
      <c r="B41" s="9246"/>
      <c r="C41" s="9333"/>
      <c r="D41" s="9311"/>
      <c r="E41" s="9311"/>
      <c r="F41" s="9311"/>
      <c r="G41" s="9311"/>
      <c r="H41" s="9311"/>
      <c r="I41" s="9311"/>
      <c r="J41" s="9489"/>
      <c r="K41" s="9311"/>
      <c r="L41" s="9311"/>
      <c r="M41" s="9313"/>
      <c r="N41" s="9313"/>
      <c r="O41" s="9313"/>
      <c r="P41" s="9311"/>
      <c r="Q41" s="9311"/>
      <c r="R41" s="9433"/>
      <c r="S41" s="1148"/>
      <c r="T41" s="1700"/>
      <c r="U41" s="1700"/>
      <c r="V41" s="1187"/>
      <c r="W41" s="1716"/>
      <c r="X41" s="1149"/>
      <c r="Y41" s="1702"/>
      <c r="Z41" s="1703"/>
      <c r="AA41" s="1702"/>
      <c r="AB41" s="5978"/>
      <c r="AC41" s="5979"/>
      <c r="AD41" s="1150"/>
      <c r="AE41" s="1151"/>
      <c r="AF41" s="1151"/>
      <c r="AG41" s="1152"/>
      <c r="AH41" s="9445"/>
      <c r="AI41" s="559"/>
    </row>
    <row r="42" spans="1:35" ht="39" customHeight="1">
      <c r="A42" s="9237"/>
      <c r="B42" s="9246"/>
      <c r="C42" s="9395"/>
      <c r="D42" s="9312"/>
      <c r="E42" s="9312"/>
      <c r="F42" s="9312"/>
      <c r="G42" s="9312"/>
      <c r="H42" s="9312"/>
      <c r="I42" s="9312"/>
      <c r="J42" s="9443"/>
      <c r="K42" s="9312"/>
      <c r="L42" s="9312"/>
      <c r="M42" s="9314"/>
      <c r="N42" s="9314"/>
      <c r="O42" s="9314"/>
      <c r="P42" s="9312"/>
      <c r="Q42" s="9312"/>
      <c r="R42" s="9434"/>
      <c r="S42" s="1901"/>
      <c r="T42" s="1895"/>
      <c r="U42" s="1895"/>
      <c r="V42" s="1906"/>
      <c r="W42" s="1907"/>
      <c r="X42" s="59"/>
      <c r="Y42" s="1907"/>
      <c r="Z42" s="1907"/>
      <c r="AA42" s="1907"/>
      <c r="AB42" s="5984"/>
      <c r="AC42" s="5985"/>
      <c r="AD42" s="1189"/>
      <c r="AE42" s="1021"/>
      <c r="AF42" s="1021"/>
      <c r="AG42" s="1169"/>
      <c r="AH42" s="9446"/>
      <c r="AI42" s="559"/>
    </row>
    <row r="43" spans="1:35" ht="40.5" customHeight="1">
      <c r="A43" s="9237"/>
      <c r="B43" s="9246"/>
      <c r="C43" s="9223" t="s">
        <v>127</v>
      </c>
      <c r="D43" s="8782" t="s">
        <v>128</v>
      </c>
      <c r="E43" s="8782" t="s">
        <v>140</v>
      </c>
      <c r="F43" s="8782" t="s">
        <v>597</v>
      </c>
      <c r="G43" s="8974" t="s">
        <v>131</v>
      </c>
      <c r="H43" s="8782" t="s">
        <v>213</v>
      </c>
      <c r="I43" s="8782" t="s">
        <v>133</v>
      </c>
      <c r="J43" s="9450" t="s">
        <v>1165</v>
      </c>
      <c r="K43" s="8782" t="s">
        <v>1166</v>
      </c>
      <c r="L43" s="8782" t="s">
        <v>1167</v>
      </c>
      <c r="M43" s="8823">
        <v>1</v>
      </c>
      <c r="N43" s="8856">
        <v>1</v>
      </c>
      <c r="O43" s="8823">
        <v>1</v>
      </c>
      <c r="P43" s="9455" t="s">
        <v>1168</v>
      </c>
      <c r="Q43" s="8782" t="s">
        <v>1169</v>
      </c>
      <c r="R43" s="9217" t="s">
        <v>1106</v>
      </c>
      <c r="S43" s="1896" t="s">
        <v>15</v>
      </c>
      <c r="T43" s="740" t="s">
        <v>1170</v>
      </c>
      <c r="U43" s="1738"/>
      <c r="V43" s="1908" t="s">
        <v>1171</v>
      </c>
      <c r="W43" s="1733"/>
      <c r="X43" s="57"/>
      <c r="Y43" s="1880"/>
      <c r="Z43" s="1880"/>
      <c r="AA43" s="1880"/>
      <c r="AB43" s="5962">
        <f>SUM($AA$44:$AA$46)</f>
        <v>77.28</v>
      </c>
      <c r="AC43" s="5963" t="s">
        <v>26</v>
      </c>
      <c r="AD43" s="1150"/>
      <c r="AE43" s="1151"/>
      <c r="AF43" s="1174"/>
      <c r="AG43" s="1174"/>
      <c r="AH43" s="9444"/>
      <c r="AI43" s="559"/>
    </row>
    <row r="44" spans="1:35" ht="40.5" customHeight="1">
      <c r="A44" s="9237"/>
      <c r="B44" s="9246"/>
      <c r="C44" s="9333"/>
      <c r="D44" s="9311"/>
      <c r="E44" s="9311"/>
      <c r="F44" s="9311"/>
      <c r="G44" s="9311"/>
      <c r="H44" s="9311"/>
      <c r="I44" s="9311"/>
      <c r="J44" s="9442"/>
      <c r="K44" s="9311"/>
      <c r="L44" s="9311"/>
      <c r="M44" s="9313"/>
      <c r="N44" s="9313"/>
      <c r="O44" s="9313"/>
      <c r="P44" s="9311"/>
      <c r="Q44" s="9311"/>
      <c r="R44" s="9433"/>
      <c r="S44" s="1879"/>
      <c r="T44" s="1738"/>
      <c r="U44" s="1738" t="s">
        <v>1172</v>
      </c>
      <c r="V44" s="1909" t="s">
        <v>1173</v>
      </c>
      <c r="W44" s="1736">
        <v>3</v>
      </c>
      <c r="X44" s="55" t="s">
        <v>180</v>
      </c>
      <c r="Y44" s="1880">
        <v>23</v>
      </c>
      <c r="Z44" s="1882">
        <f t="shared" ref="Z44" si="7">+W44*Y44</f>
        <v>69</v>
      </c>
      <c r="AA44" s="1880">
        <f t="shared" ref="AA44" si="8">+Z44*1.12</f>
        <v>77.28</v>
      </c>
      <c r="AB44" s="5962"/>
      <c r="AC44" s="5963"/>
      <c r="AD44" s="1150"/>
      <c r="AE44" s="1151" t="s">
        <v>153</v>
      </c>
      <c r="AF44" s="1152"/>
      <c r="AG44" s="1152"/>
      <c r="AH44" s="9445"/>
      <c r="AI44" s="559"/>
    </row>
    <row r="45" spans="1:35" ht="40.5" customHeight="1">
      <c r="A45" s="9237"/>
      <c r="B45" s="9246"/>
      <c r="C45" s="9333"/>
      <c r="D45" s="9311"/>
      <c r="E45" s="9311"/>
      <c r="F45" s="9311"/>
      <c r="G45" s="9311"/>
      <c r="H45" s="9311"/>
      <c r="I45" s="9311"/>
      <c r="J45" s="9442"/>
      <c r="K45" s="9311"/>
      <c r="L45" s="9311"/>
      <c r="M45" s="9313"/>
      <c r="N45" s="9313"/>
      <c r="O45" s="9313"/>
      <c r="P45" s="9311"/>
      <c r="Q45" s="9311"/>
      <c r="R45" s="9433"/>
      <c r="S45" s="1904"/>
      <c r="T45" s="740"/>
      <c r="U45" s="1738"/>
      <c r="V45" s="1908"/>
      <c r="W45" s="1733"/>
      <c r="X45" s="57"/>
      <c r="Y45" s="1880"/>
      <c r="Z45" s="1882"/>
      <c r="AA45" s="1880"/>
      <c r="AB45" s="5962"/>
      <c r="AC45" s="5963"/>
      <c r="AD45" s="1150"/>
      <c r="AE45" s="1151"/>
      <c r="AF45" s="1152"/>
      <c r="AG45" s="1152"/>
      <c r="AH45" s="9445"/>
      <c r="AI45" s="559"/>
    </row>
    <row r="46" spans="1:35" ht="40.5" customHeight="1">
      <c r="A46" s="9237"/>
      <c r="B46" s="9246"/>
      <c r="C46" s="9333"/>
      <c r="D46" s="9311"/>
      <c r="E46" s="9311"/>
      <c r="F46" s="9311"/>
      <c r="G46" s="9311"/>
      <c r="H46" s="9311"/>
      <c r="I46" s="9311"/>
      <c r="J46" s="9442"/>
      <c r="K46" s="9311"/>
      <c r="L46" s="9311"/>
      <c r="M46" s="9313"/>
      <c r="N46" s="9313"/>
      <c r="O46" s="9313"/>
      <c r="P46" s="9311"/>
      <c r="Q46" s="9311"/>
      <c r="R46" s="9433"/>
      <c r="S46" s="1904"/>
      <c r="T46" s="740"/>
      <c r="U46" s="1738"/>
      <c r="V46" s="1908"/>
      <c r="W46" s="1733"/>
      <c r="X46" s="57"/>
      <c r="Y46" s="1880"/>
      <c r="Z46" s="1882"/>
      <c r="AA46" s="1880"/>
      <c r="AB46" s="5962"/>
      <c r="AC46" s="5963"/>
      <c r="AD46" s="1150"/>
      <c r="AE46" s="1151"/>
      <c r="AF46" s="1152"/>
      <c r="AG46" s="1152"/>
      <c r="AH46" s="9445"/>
      <c r="AI46" s="559"/>
    </row>
    <row r="47" spans="1:35" ht="40.5" customHeight="1">
      <c r="A47" s="9237"/>
      <c r="B47" s="9246"/>
      <c r="C47" s="9395"/>
      <c r="D47" s="9312"/>
      <c r="E47" s="9312"/>
      <c r="F47" s="9312"/>
      <c r="G47" s="9312"/>
      <c r="H47" s="9312"/>
      <c r="I47" s="9312"/>
      <c r="J47" s="9443"/>
      <c r="K47" s="9312"/>
      <c r="L47" s="9312"/>
      <c r="M47" s="9314"/>
      <c r="N47" s="9314"/>
      <c r="O47" s="9314"/>
      <c r="P47" s="9312"/>
      <c r="Q47" s="9312"/>
      <c r="R47" s="9434"/>
      <c r="S47" s="1901"/>
      <c r="T47" s="1739"/>
      <c r="U47" s="1739"/>
      <c r="V47" s="1902"/>
      <c r="W47" s="1887"/>
      <c r="X47" s="161"/>
      <c r="Y47" s="1887"/>
      <c r="Z47" s="1887"/>
      <c r="AA47" s="1887"/>
      <c r="AB47" s="5966"/>
      <c r="AC47" s="5967"/>
      <c r="AD47" s="1157"/>
      <c r="AE47" s="1158"/>
      <c r="AF47" s="1159"/>
      <c r="AG47" s="1159"/>
      <c r="AH47" s="9446"/>
      <c r="AI47" s="559"/>
    </row>
    <row r="48" spans="1:35" ht="32.25" customHeight="1">
      <c r="A48" s="9237"/>
      <c r="B48" s="9478" t="s">
        <v>1099</v>
      </c>
      <c r="C48" s="9125" t="s">
        <v>127</v>
      </c>
      <c r="D48" s="8834" t="s">
        <v>128</v>
      </c>
      <c r="E48" s="8834" t="s">
        <v>140</v>
      </c>
      <c r="F48" s="8834" t="s">
        <v>212</v>
      </c>
      <c r="G48" s="8974" t="s">
        <v>131</v>
      </c>
      <c r="H48" s="8782" t="s">
        <v>213</v>
      </c>
      <c r="I48" s="8834" t="s">
        <v>189</v>
      </c>
      <c r="J48" s="9450" t="s">
        <v>1174</v>
      </c>
      <c r="K48" s="9258" t="s">
        <v>1175</v>
      </c>
      <c r="L48" s="8834" t="s">
        <v>1162</v>
      </c>
      <c r="M48" s="8856">
        <v>3</v>
      </c>
      <c r="N48" s="8856">
        <v>3</v>
      </c>
      <c r="O48" s="8856">
        <v>3</v>
      </c>
      <c r="P48" s="9451" t="s">
        <v>1176</v>
      </c>
      <c r="Q48" s="9257" t="s">
        <v>1177</v>
      </c>
      <c r="R48" s="9217" t="s">
        <v>1106</v>
      </c>
      <c r="S48" s="1896"/>
      <c r="T48" s="1889"/>
      <c r="U48" s="1890"/>
      <c r="V48" s="742"/>
      <c r="W48" s="1735"/>
      <c r="X48" s="171"/>
      <c r="Y48" s="1903"/>
      <c r="Z48" s="1903"/>
      <c r="AA48" s="1903"/>
      <c r="AB48" s="5986"/>
      <c r="AC48" s="5969"/>
      <c r="AD48" s="1163"/>
      <c r="AE48" s="1190"/>
      <c r="AF48" s="1165"/>
      <c r="AG48" s="1165"/>
      <c r="AH48" s="9444"/>
      <c r="AI48" s="559"/>
    </row>
    <row r="49" spans="1:35" ht="32.25" customHeight="1">
      <c r="A49" s="9237"/>
      <c r="B49" s="9235"/>
      <c r="C49" s="9333"/>
      <c r="D49" s="9311"/>
      <c r="E49" s="9311"/>
      <c r="F49" s="9311"/>
      <c r="G49" s="9311"/>
      <c r="H49" s="9311"/>
      <c r="I49" s="9311"/>
      <c r="J49" s="9442"/>
      <c r="K49" s="9311"/>
      <c r="L49" s="9311"/>
      <c r="M49" s="9313"/>
      <c r="N49" s="9313"/>
      <c r="O49" s="9313"/>
      <c r="P49" s="9311"/>
      <c r="Q49" s="9311"/>
      <c r="R49" s="9433"/>
      <c r="S49" s="1910"/>
      <c r="T49" s="1738"/>
      <c r="U49" s="1738"/>
      <c r="V49" s="1909"/>
      <c r="W49" s="1733"/>
      <c r="X49" s="55"/>
      <c r="Y49" s="1880"/>
      <c r="Z49" s="1882"/>
      <c r="AA49" s="1880"/>
      <c r="AB49" s="5962"/>
      <c r="AC49" s="5963"/>
      <c r="AD49" s="1150"/>
      <c r="AE49" s="1151"/>
      <c r="AF49" s="1152"/>
      <c r="AG49" s="1152"/>
      <c r="AH49" s="9445"/>
      <c r="AI49" s="559"/>
    </row>
    <row r="50" spans="1:35" ht="32.25" customHeight="1">
      <c r="A50" s="9237"/>
      <c r="B50" s="9235"/>
      <c r="C50" s="9333"/>
      <c r="D50" s="9311"/>
      <c r="E50" s="9311"/>
      <c r="F50" s="9311"/>
      <c r="G50" s="9311"/>
      <c r="H50" s="9311"/>
      <c r="I50" s="9311"/>
      <c r="J50" s="9442"/>
      <c r="K50" s="9311"/>
      <c r="L50" s="9311"/>
      <c r="M50" s="9313"/>
      <c r="N50" s="9313"/>
      <c r="O50" s="9313"/>
      <c r="P50" s="9311"/>
      <c r="Q50" s="9311"/>
      <c r="R50" s="9433"/>
      <c r="S50" s="1896" t="s">
        <v>15</v>
      </c>
      <c r="T50" s="740" t="s">
        <v>1178</v>
      </c>
      <c r="U50" s="740"/>
      <c r="V50" s="1908" t="s">
        <v>1179</v>
      </c>
      <c r="W50" s="1883"/>
      <c r="X50" s="55"/>
      <c r="Y50" s="1883"/>
      <c r="Z50" s="1880"/>
      <c r="AA50" s="1880"/>
      <c r="AB50" s="5975">
        <f>SUM($AA$51:$AA$53)</f>
        <v>76</v>
      </c>
      <c r="AC50" s="5963" t="s">
        <v>18</v>
      </c>
      <c r="AD50" s="1150"/>
      <c r="AE50" s="1151"/>
      <c r="AF50" s="1152"/>
      <c r="AG50" s="1152"/>
      <c r="AH50" s="9445"/>
      <c r="AI50" s="559"/>
    </row>
    <row r="51" spans="1:35" ht="32.25" customHeight="1">
      <c r="A51" s="9237"/>
      <c r="B51" s="9235"/>
      <c r="C51" s="9333"/>
      <c r="D51" s="9311"/>
      <c r="E51" s="9311"/>
      <c r="F51" s="9311"/>
      <c r="G51" s="9311"/>
      <c r="H51" s="9311"/>
      <c r="I51" s="9311"/>
      <c r="J51" s="9442"/>
      <c r="K51" s="9311"/>
      <c r="L51" s="9311"/>
      <c r="M51" s="9313"/>
      <c r="N51" s="9313"/>
      <c r="O51" s="9313"/>
      <c r="P51" s="9311"/>
      <c r="Q51" s="9311"/>
      <c r="R51" s="9433"/>
      <c r="S51" s="1879"/>
      <c r="T51" s="1738"/>
      <c r="U51" s="3228"/>
      <c r="V51" s="3253" t="s">
        <v>1180</v>
      </c>
      <c r="W51" s="3230">
        <v>2</v>
      </c>
      <c r="X51" s="3231" t="s">
        <v>180</v>
      </c>
      <c r="Y51" s="3236">
        <v>21</v>
      </c>
      <c r="Z51" s="3232">
        <f t="shared" ref="Z51:Z53" si="9">+W51*Y51</f>
        <v>42</v>
      </c>
      <c r="AA51" s="3232">
        <f>Z51</f>
        <v>42</v>
      </c>
      <c r="AB51" s="5962"/>
      <c r="AC51" s="5963"/>
      <c r="AD51" s="1150"/>
      <c r="AE51" s="1151" t="s">
        <v>153</v>
      </c>
      <c r="AF51" s="1152"/>
      <c r="AG51" s="1152"/>
      <c r="AH51" s="9445"/>
      <c r="AI51" s="559"/>
    </row>
    <row r="52" spans="1:35" ht="32.25" customHeight="1">
      <c r="A52" s="9237"/>
      <c r="B52" s="9235"/>
      <c r="C52" s="9333"/>
      <c r="D52" s="9311"/>
      <c r="E52" s="9311"/>
      <c r="F52" s="9311"/>
      <c r="G52" s="9311"/>
      <c r="H52" s="9311"/>
      <c r="I52" s="9311"/>
      <c r="J52" s="9442"/>
      <c r="K52" s="9311"/>
      <c r="L52" s="9311"/>
      <c r="M52" s="9313"/>
      <c r="N52" s="9313"/>
      <c r="O52" s="9313"/>
      <c r="P52" s="9311"/>
      <c r="Q52" s="9311"/>
      <c r="R52" s="9433"/>
      <c r="S52" s="1911"/>
      <c r="T52" s="1912"/>
      <c r="U52" s="3254" t="s">
        <v>1181</v>
      </c>
      <c r="V52" s="3255" t="s">
        <v>1182</v>
      </c>
      <c r="W52" s="3256">
        <v>1</v>
      </c>
      <c r="X52" s="3257" t="s">
        <v>180</v>
      </c>
      <c r="Y52" s="3258">
        <v>22</v>
      </c>
      <c r="Z52" s="3259">
        <f t="shared" si="9"/>
        <v>22</v>
      </c>
      <c r="AA52" s="3259">
        <f>Z52</f>
        <v>22</v>
      </c>
      <c r="AB52" s="5987"/>
      <c r="AC52" s="5973"/>
      <c r="AD52" s="1172"/>
      <c r="AE52" s="1173" t="s">
        <v>153</v>
      </c>
      <c r="AF52" s="1152"/>
      <c r="AG52" s="1152"/>
      <c r="AH52" s="9445"/>
      <c r="AI52" s="559"/>
    </row>
    <row r="53" spans="1:35" ht="32.25" customHeight="1">
      <c r="A53" s="9237"/>
      <c r="B53" s="9235"/>
      <c r="C53" s="9395"/>
      <c r="D53" s="9312"/>
      <c r="E53" s="9312"/>
      <c r="F53" s="9312"/>
      <c r="G53" s="9312"/>
      <c r="H53" s="9312"/>
      <c r="I53" s="9312"/>
      <c r="J53" s="9443"/>
      <c r="K53" s="9312"/>
      <c r="L53" s="9312"/>
      <c r="M53" s="9314"/>
      <c r="N53" s="9314"/>
      <c r="O53" s="9314"/>
      <c r="P53" s="9312"/>
      <c r="Q53" s="9312"/>
      <c r="R53" s="9434"/>
      <c r="S53" s="1913"/>
      <c r="T53" s="1914"/>
      <c r="U53" s="3238" t="s">
        <v>1181</v>
      </c>
      <c r="V53" s="3260" t="s">
        <v>1183</v>
      </c>
      <c r="W53" s="3235">
        <v>1</v>
      </c>
      <c r="X53" s="3240" t="s">
        <v>180</v>
      </c>
      <c r="Y53" s="3261">
        <v>12</v>
      </c>
      <c r="Z53" s="3241">
        <f t="shared" si="9"/>
        <v>12</v>
      </c>
      <c r="AA53" s="3241">
        <f>Z53</f>
        <v>12</v>
      </c>
      <c r="AB53" s="5970"/>
      <c r="AC53" s="5971"/>
      <c r="AD53" s="1168"/>
      <c r="AE53" s="1021" t="s">
        <v>153</v>
      </c>
      <c r="AF53" s="1169"/>
      <c r="AG53" s="1169"/>
      <c r="AH53" s="9446"/>
      <c r="AI53" s="559"/>
    </row>
    <row r="54" spans="1:35" ht="40.5" customHeight="1">
      <c r="A54" s="9237"/>
      <c r="B54" s="9235"/>
      <c r="C54" s="9125" t="s">
        <v>127</v>
      </c>
      <c r="D54" s="8834" t="s">
        <v>128</v>
      </c>
      <c r="E54" s="8834" t="s">
        <v>140</v>
      </c>
      <c r="F54" s="8834" t="s">
        <v>284</v>
      </c>
      <c r="G54" s="8974" t="s">
        <v>131</v>
      </c>
      <c r="H54" s="8834" t="s">
        <v>213</v>
      </c>
      <c r="I54" s="8834" t="s">
        <v>159</v>
      </c>
      <c r="J54" s="9441" t="s">
        <v>1184</v>
      </c>
      <c r="K54" s="8834" t="s">
        <v>286</v>
      </c>
      <c r="L54" s="8834" t="s">
        <v>1185</v>
      </c>
      <c r="M54" s="8856">
        <v>0</v>
      </c>
      <c r="N54" s="8856">
        <v>1</v>
      </c>
      <c r="O54" s="8856">
        <v>1</v>
      </c>
      <c r="P54" s="9257" t="s">
        <v>1186</v>
      </c>
      <c r="Q54" s="9257" t="s">
        <v>1187</v>
      </c>
      <c r="R54" s="9205" t="s">
        <v>1106</v>
      </c>
      <c r="S54" s="1191"/>
      <c r="T54" s="1715"/>
      <c r="U54" s="1715"/>
      <c r="V54" s="1192"/>
      <c r="W54" s="1708"/>
      <c r="X54" s="1173"/>
      <c r="Y54" s="1709"/>
      <c r="Z54" s="1709"/>
      <c r="AA54" s="1709"/>
      <c r="AB54" s="5988"/>
      <c r="AC54" s="5989"/>
      <c r="AD54" s="1172"/>
      <c r="AE54" s="1173"/>
      <c r="AF54" s="1174"/>
      <c r="AG54" s="1174"/>
      <c r="AH54" s="9444"/>
      <c r="AI54" s="559"/>
    </row>
    <row r="55" spans="1:35" ht="40.5" customHeight="1">
      <c r="A55" s="9237"/>
      <c r="B55" s="9235"/>
      <c r="C55" s="9333"/>
      <c r="D55" s="9311"/>
      <c r="E55" s="9311"/>
      <c r="F55" s="9311"/>
      <c r="G55" s="9311"/>
      <c r="H55" s="9311"/>
      <c r="I55" s="9311"/>
      <c r="J55" s="9442"/>
      <c r="K55" s="9311"/>
      <c r="L55" s="9311"/>
      <c r="M55" s="9313"/>
      <c r="N55" s="9313"/>
      <c r="O55" s="9313"/>
      <c r="P55" s="9311"/>
      <c r="Q55" s="9311"/>
      <c r="R55" s="9433"/>
      <c r="S55" s="1148"/>
      <c r="T55" s="1700"/>
      <c r="U55" s="1700"/>
      <c r="V55" s="1153"/>
      <c r="W55" s="1701"/>
      <c r="X55" s="1151"/>
      <c r="Y55" s="1702"/>
      <c r="Z55" s="1702"/>
      <c r="AA55" s="1702"/>
      <c r="AB55" s="5978"/>
      <c r="AC55" s="5979"/>
      <c r="AD55" s="1150"/>
      <c r="AE55" s="1151"/>
      <c r="AF55" s="1152"/>
      <c r="AG55" s="1152"/>
      <c r="AH55" s="9445"/>
      <c r="AI55" s="559"/>
    </row>
    <row r="56" spans="1:35" ht="40.5" customHeight="1">
      <c r="A56" s="9237"/>
      <c r="B56" s="9235"/>
      <c r="C56" s="9333"/>
      <c r="D56" s="9311"/>
      <c r="E56" s="9311"/>
      <c r="F56" s="9311"/>
      <c r="G56" s="9311"/>
      <c r="H56" s="9311"/>
      <c r="I56" s="9311"/>
      <c r="J56" s="9442"/>
      <c r="K56" s="9311"/>
      <c r="L56" s="9311"/>
      <c r="M56" s="9313"/>
      <c r="N56" s="9313"/>
      <c r="O56" s="9313"/>
      <c r="P56" s="9311"/>
      <c r="Q56" s="9311"/>
      <c r="R56" s="9433"/>
      <c r="S56" s="1148"/>
      <c r="T56" s="1700"/>
      <c r="U56" s="1700"/>
      <c r="V56" s="1153"/>
      <c r="W56" s="1701"/>
      <c r="X56" s="1151"/>
      <c r="Y56" s="1702"/>
      <c r="Z56" s="1702"/>
      <c r="AA56" s="1702"/>
      <c r="AB56" s="5978"/>
      <c r="AC56" s="5979"/>
      <c r="AD56" s="1150"/>
      <c r="AE56" s="1151"/>
      <c r="AF56" s="1151"/>
      <c r="AG56" s="1152"/>
      <c r="AH56" s="9445"/>
      <c r="AI56" s="559"/>
    </row>
    <row r="57" spans="1:35" ht="40.5" customHeight="1">
      <c r="A57" s="9237"/>
      <c r="B57" s="9235"/>
      <c r="C57" s="9333"/>
      <c r="D57" s="9311"/>
      <c r="E57" s="9311"/>
      <c r="F57" s="9311"/>
      <c r="G57" s="9311"/>
      <c r="H57" s="9311"/>
      <c r="I57" s="9311"/>
      <c r="J57" s="9442"/>
      <c r="K57" s="9311"/>
      <c r="L57" s="9311"/>
      <c r="M57" s="9313"/>
      <c r="N57" s="9313"/>
      <c r="O57" s="9313"/>
      <c r="P57" s="9311"/>
      <c r="Q57" s="9311"/>
      <c r="R57" s="9433"/>
      <c r="S57" s="1148"/>
      <c r="T57" s="1700"/>
      <c r="U57" s="1700"/>
      <c r="V57" s="1153"/>
      <c r="W57" s="1701"/>
      <c r="X57" s="1151"/>
      <c r="Y57" s="1702"/>
      <c r="Z57" s="1702"/>
      <c r="AA57" s="1702"/>
      <c r="AB57" s="5978"/>
      <c r="AC57" s="5979"/>
      <c r="AD57" s="1150"/>
      <c r="AE57" s="1151"/>
      <c r="AF57" s="1151"/>
      <c r="AG57" s="1152"/>
      <c r="AH57" s="9445"/>
      <c r="AI57" s="559"/>
    </row>
    <row r="58" spans="1:35" ht="40.5" customHeight="1">
      <c r="A58" s="9237"/>
      <c r="B58" s="9235"/>
      <c r="C58" s="9395"/>
      <c r="D58" s="9312"/>
      <c r="E58" s="9312"/>
      <c r="F58" s="9312"/>
      <c r="G58" s="9312"/>
      <c r="H58" s="9312"/>
      <c r="I58" s="9312"/>
      <c r="J58" s="9443"/>
      <c r="K58" s="9312"/>
      <c r="L58" s="9312"/>
      <c r="M58" s="9314"/>
      <c r="N58" s="9314"/>
      <c r="O58" s="9314"/>
      <c r="P58" s="9312"/>
      <c r="Q58" s="9312"/>
      <c r="R58" s="9434"/>
      <c r="S58" s="1176"/>
      <c r="T58" s="1706"/>
      <c r="U58" s="1706"/>
      <c r="V58" s="1020"/>
      <c r="W58" s="1682"/>
      <c r="X58" s="1021"/>
      <c r="Y58" s="1707"/>
      <c r="Z58" s="1707"/>
      <c r="AA58" s="1707"/>
      <c r="AB58" s="5990"/>
      <c r="AC58" s="5991"/>
      <c r="AD58" s="1168"/>
      <c r="AE58" s="1021"/>
      <c r="AF58" s="1021"/>
      <c r="AG58" s="1169"/>
      <c r="AH58" s="9446"/>
      <c r="AI58" s="559"/>
    </row>
    <row r="59" spans="1:35" ht="39" customHeight="1">
      <c r="A59" s="9237"/>
      <c r="B59" s="9235"/>
      <c r="C59" s="9223" t="s">
        <v>127</v>
      </c>
      <c r="D59" s="8782" t="s">
        <v>128</v>
      </c>
      <c r="E59" s="8782" t="s">
        <v>129</v>
      </c>
      <c r="F59" s="8782" t="s">
        <v>268</v>
      </c>
      <c r="G59" s="8977" t="s">
        <v>131</v>
      </c>
      <c r="H59" s="8782" t="s">
        <v>213</v>
      </c>
      <c r="I59" s="8782" t="s">
        <v>159</v>
      </c>
      <c r="J59" s="9401" t="s">
        <v>1188</v>
      </c>
      <c r="K59" s="8782" t="s">
        <v>338</v>
      </c>
      <c r="L59" s="8782" t="s">
        <v>1189</v>
      </c>
      <c r="M59" s="8823">
        <v>0</v>
      </c>
      <c r="N59" s="8823">
        <v>0</v>
      </c>
      <c r="O59" s="8823">
        <v>2</v>
      </c>
      <c r="P59" s="8860" t="s">
        <v>1190</v>
      </c>
      <c r="Q59" s="8860" t="s">
        <v>1191</v>
      </c>
      <c r="R59" s="9217" t="s">
        <v>1106</v>
      </c>
      <c r="S59" s="6064"/>
      <c r="T59" s="1161"/>
      <c r="U59" s="1161"/>
      <c r="V59" s="1162"/>
      <c r="W59" s="1711"/>
      <c r="X59" s="1164"/>
      <c r="Y59" s="1714"/>
      <c r="Z59" s="1714"/>
      <c r="AA59" s="1714"/>
      <c r="AB59" s="5982"/>
      <c r="AC59" s="5983"/>
      <c r="AD59" s="1163"/>
      <c r="AE59" s="1164"/>
      <c r="AF59" s="1165"/>
      <c r="AG59" s="1165"/>
      <c r="AH59" s="9447"/>
      <c r="AI59" s="559"/>
    </row>
    <row r="60" spans="1:35" ht="39" customHeight="1">
      <c r="A60" s="9237"/>
      <c r="B60" s="9235"/>
      <c r="C60" s="9333"/>
      <c r="D60" s="9311"/>
      <c r="E60" s="9311"/>
      <c r="F60" s="9311"/>
      <c r="G60" s="9311"/>
      <c r="H60" s="9311"/>
      <c r="I60" s="9311"/>
      <c r="J60" s="9402"/>
      <c r="K60" s="9311"/>
      <c r="L60" s="9311"/>
      <c r="M60" s="9436"/>
      <c r="N60" s="9436"/>
      <c r="O60" s="9436"/>
      <c r="P60" s="9311"/>
      <c r="Q60" s="9311"/>
      <c r="R60" s="9433"/>
      <c r="S60" s="1148"/>
      <c r="T60" s="1700"/>
      <c r="U60" s="1700"/>
      <c r="V60" s="1153"/>
      <c r="W60" s="1701"/>
      <c r="X60" s="1151"/>
      <c r="Y60" s="1702"/>
      <c r="Z60" s="1702"/>
      <c r="AA60" s="1702"/>
      <c r="AB60" s="5978"/>
      <c r="AC60" s="5979"/>
      <c r="AD60" s="1150"/>
      <c r="AE60" s="1151"/>
      <c r="AF60" s="1152"/>
      <c r="AG60" s="1152"/>
      <c r="AH60" s="9445"/>
      <c r="AI60" s="559"/>
    </row>
    <row r="61" spans="1:35" ht="39" customHeight="1">
      <c r="A61" s="9237"/>
      <c r="B61" s="9235"/>
      <c r="C61" s="9333"/>
      <c r="D61" s="9311"/>
      <c r="E61" s="9311"/>
      <c r="F61" s="9311"/>
      <c r="G61" s="9311"/>
      <c r="H61" s="9311"/>
      <c r="I61" s="9311"/>
      <c r="J61" s="9402"/>
      <c r="K61" s="9311"/>
      <c r="L61" s="9311"/>
      <c r="M61" s="9436"/>
      <c r="N61" s="9436"/>
      <c r="O61" s="9436"/>
      <c r="P61" s="9311"/>
      <c r="Q61" s="9311"/>
      <c r="R61" s="9433"/>
      <c r="S61" s="1148"/>
      <c r="T61" s="1700"/>
      <c r="U61" s="1700"/>
      <c r="V61" s="1153"/>
      <c r="W61" s="1701"/>
      <c r="X61" s="1151"/>
      <c r="Y61" s="1702"/>
      <c r="Z61" s="1702"/>
      <c r="AA61" s="1702"/>
      <c r="AB61" s="5978"/>
      <c r="AC61" s="5979"/>
      <c r="AD61" s="1150"/>
      <c r="AE61" s="1151"/>
      <c r="AF61" s="1152"/>
      <c r="AG61" s="1152"/>
      <c r="AH61" s="9445"/>
      <c r="AI61" s="559"/>
    </row>
    <row r="62" spans="1:35" ht="39" customHeight="1">
      <c r="A62" s="9237"/>
      <c r="B62" s="9235"/>
      <c r="C62" s="9333"/>
      <c r="D62" s="9311"/>
      <c r="E62" s="9311"/>
      <c r="F62" s="9311"/>
      <c r="G62" s="9311"/>
      <c r="H62" s="9311"/>
      <c r="I62" s="9311"/>
      <c r="J62" s="9402"/>
      <c r="K62" s="9311"/>
      <c r="L62" s="9311"/>
      <c r="M62" s="9436"/>
      <c r="N62" s="9436"/>
      <c r="O62" s="9436"/>
      <c r="P62" s="9311"/>
      <c r="Q62" s="9311"/>
      <c r="R62" s="9433"/>
      <c r="S62" s="1148"/>
      <c r="T62" s="1700"/>
      <c r="U62" s="1700"/>
      <c r="V62" s="1153"/>
      <c r="W62" s="1701"/>
      <c r="X62" s="1151"/>
      <c r="Y62" s="1702"/>
      <c r="Z62" s="1702"/>
      <c r="AA62" s="1702"/>
      <c r="AB62" s="5978"/>
      <c r="AC62" s="5979"/>
      <c r="AD62" s="1150"/>
      <c r="AE62" s="1151"/>
      <c r="AF62" s="1152"/>
      <c r="AG62" s="1152"/>
      <c r="AH62" s="9445"/>
      <c r="AI62" s="559"/>
    </row>
    <row r="63" spans="1:35" ht="39" customHeight="1">
      <c r="A63" s="9237"/>
      <c r="B63" s="9235"/>
      <c r="C63" s="9334"/>
      <c r="D63" s="9322"/>
      <c r="E63" s="9322"/>
      <c r="F63" s="9322"/>
      <c r="G63" s="9322"/>
      <c r="H63" s="9322"/>
      <c r="I63" s="9322"/>
      <c r="J63" s="9452"/>
      <c r="K63" s="9322"/>
      <c r="L63" s="9322"/>
      <c r="M63" s="9437"/>
      <c r="N63" s="9437"/>
      <c r="O63" s="9437"/>
      <c r="P63" s="9322"/>
      <c r="Q63" s="9322"/>
      <c r="R63" s="9435"/>
      <c r="S63" s="6065"/>
      <c r="T63" s="6066"/>
      <c r="U63" s="6066"/>
      <c r="V63" s="6067"/>
      <c r="W63" s="6068"/>
      <c r="X63" s="6069"/>
      <c r="Y63" s="6070"/>
      <c r="Z63" s="6070"/>
      <c r="AA63" s="6070"/>
      <c r="AB63" s="6071"/>
      <c r="AC63" s="6072"/>
      <c r="AD63" s="6073"/>
      <c r="AE63" s="6069"/>
      <c r="AF63" s="6074"/>
      <c r="AG63" s="6074"/>
      <c r="AH63" s="9448"/>
      <c r="AI63" s="559"/>
    </row>
    <row r="64" spans="1:35" s="4835" customFormat="1" ht="22.5" customHeight="1">
      <c r="A64" s="6208"/>
      <c r="B64" s="9247"/>
      <c r="C64" s="739"/>
      <c r="D64" s="739"/>
      <c r="E64" s="739"/>
      <c r="F64" s="739"/>
      <c r="G64" s="739"/>
      <c r="H64" s="739"/>
      <c r="I64" s="739"/>
      <c r="J64" s="739"/>
      <c r="K64" s="739"/>
      <c r="L64" s="739"/>
      <c r="M64" s="699"/>
      <c r="N64" s="699"/>
      <c r="O64" s="699"/>
      <c r="P64" s="739"/>
      <c r="Q64" s="739"/>
      <c r="R64" s="739"/>
      <c r="S64" s="9428" t="s">
        <v>1192</v>
      </c>
      <c r="T64" s="9429"/>
      <c r="U64" s="9429"/>
      <c r="V64" s="9429"/>
      <c r="W64" s="9429"/>
      <c r="X64" s="9429"/>
      <c r="Y64" s="9429"/>
      <c r="Z64" s="9429"/>
      <c r="AA64" s="5959" t="s">
        <v>292</v>
      </c>
      <c r="AB64" s="5956">
        <f>SUM(AB9:AB63)</f>
        <v>8617.7359116799998</v>
      </c>
      <c r="AC64" s="700"/>
      <c r="AD64" s="700"/>
      <c r="AE64" s="9430"/>
      <c r="AF64" s="9431"/>
      <c r="AG64" s="9431"/>
      <c r="AH64" s="9449"/>
      <c r="AI64" s="5952"/>
    </row>
    <row r="65" spans="1:35" ht="25.5" customHeight="1">
      <c r="A65" s="9582" t="s">
        <v>1099</v>
      </c>
      <c r="B65" s="9585" t="s">
        <v>1193</v>
      </c>
      <c r="C65" s="9537" t="s">
        <v>127</v>
      </c>
      <c r="D65" s="9491" t="s">
        <v>128</v>
      </c>
      <c r="E65" s="9491" t="s">
        <v>140</v>
      </c>
      <c r="F65" s="9491" t="s">
        <v>141</v>
      </c>
      <c r="G65" s="9538" t="s">
        <v>131</v>
      </c>
      <c r="H65" s="9491" t="s">
        <v>213</v>
      </c>
      <c r="I65" s="9491" t="s">
        <v>159</v>
      </c>
      <c r="J65" s="9494" t="s">
        <v>1194</v>
      </c>
      <c r="K65" s="9491" t="s">
        <v>1195</v>
      </c>
      <c r="L65" s="9491" t="s">
        <v>1196</v>
      </c>
      <c r="M65" s="9544">
        <v>0</v>
      </c>
      <c r="N65" s="9547">
        <v>0</v>
      </c>
      <c r="O65" s="9544">
        <v>1</v>
      </c>
      <c r="P65" s="9550" t="s">
        <v>1197</v>
      </c>
      <c r="Q65" s="9550" t="s">
        <v>1198</v>
      </c>
      <c r="R65" s="9553" t="s">
        <v>1199</v>
      </c>
      <c r="S65" s="3464" t="s">
        <v>294</v>
      </c>
      <c r="T65" s="3427" t="s">
        <v>294</v>
      </c>
      <c r="U65" s="3427" t="s">
        <v>294</v>
      </c>
      <c r="V65" s="3428" t="s">
        <v>294</v>
      </c>
      <c r="W65" s="3429" t="s">
        <v>294</v>
      </c>
      <c r="X65" s="3430" t="s">
        <v>294</v>
      </c>
      <c r="Y65" s="3431" t="s">
        <v>294</v>
      </c>
      <c r="Z65" s="3431"/>
      <c r="AA65" s="3431"/>
      <c r="AB65" s="3432" t="s">
        <v>294</v>
      </c>
      <c r="AC65" s="3432"/>
      <c r="AD65" s="3432"/>
      <c r="AE65" s="3430" t="s">
        <v>294</v>
      </c>
      <c r="AF65" s="3433" t="s">
        <v>294</v>
      </c>
      <c r="AG65" s="3433" t="s">
        <v>294</v>
      </c>
      <c r="AH65" s="8970" t="s">
        <v>294</v>
      </c>
      <c r="AI65" s="559"/>
    </row>
    <row r="66" spans="1:35" ht="25.5" customHeight="1">
      <c r="A66" s="9583"/>
      <c r="B66" s="9586"/>
      <c r="C66" s="9498"/>
      <c r="D66" s="9492"/>
      <c r="E66" s="9492"/>
      <c r="F66" s="9492"/>
      <c r="G66" s="9503"/>
      <c r="H66" s="9492"/>
      <c r="I66" s="9492"/>
      <c r="J66" s="9495"/>
      <c r="K66" s="9492"/>
      <c r="L66" s="9492"/>
      <c r="M66" s="9545"/>
      <c r="N66" s="9548"/>
      <c r="O66" s="9545"/>
      <c r="P66" s="9551"/>
      <c r="Q66" s="9551"/>
      <c r="R66" s="9554"/>
      <c r="S66" s="3465" t="s">
        <v>294</v>
      </c>
      <c r="T66" s="3434" t="s">
        <v>294</v>
      </c>
      <c r="U66" s="3434" t="s">
        <v>294</v>
      </c>
      <c r="V66" s="3430" t="s">
        <v>294</v>
      </c>
      <c r="W66" s="3429" t="s">
        <v>294</v>
      </c>
      <c r="X66" s="3430" t="s">
        <v>294</v>
      </c>
      <c r="Y66" s="3431" t="s">
        <v>294</v>
      </c>
      <c r="Z66" s="3431"/>
      <c r="AA66" s="3431"/>
      <c r="AB66" s="3432" t="s">
        <v>294</v>
      </c>
      <c r="AC66" s="3432"/>
      <c r="AD66" s="3432"/>
      <c r="AE66" s="3430" t="s">
        <v>294</v>
      </c>
      <c r="AF66" s="3433" t="s">
        <v>294</v>
      </c>
      <c r="AG66" s="3433" t="s">
        <v>294</v>
      </c>
      <c r="AH66" s="8970"/>
      <c r="AI66" s="559"/>
    </row>
    <row r="67" spans="1:35" ht="25.5" customHeight="1">
      <c r="A67" s="9583"/>
      <c r="B67" s="9586"/>
      <c r="C67" s="9498"/>
      <c r="D67" s="9492"/>
      <c r="E67" s="9492"/>
      <c r="F67" s="9492"/>
      <c r="G67" s="9503"/>
      <c r="H67" s="9492"/>
      <c r="I67" s="9492"/>
      <c r="J67" s="9495"/>
      <c r="K67" s="9492"/>
      <c r="L67" s="9492"/>
      <c r="M67" s="9545"/>
      <c r="N67" s="9548"/>
      <c r="O67" s="9545"/>
      <c r="P67" s="9551"/>
      <c r="Q67" s="9551"/>
      <c r="R67" s="9554"/>
      <c r="S67" s="3465" t="s">
        <v>294</v>
      </c>
      <c r="T67" s="3434" t="s">
        <v>294</v>
      </c>
      <c r="U67" s="3434" t="s">
        <v>294</v>
      </c>
      <c r="V67" s="3430" t="s">
        <v>294</v>
      </c>
      <c r="W67" s="3429" t="s">
        <v>294</v>
      </c>
      <c r="X67" s="3430" t="s">
        <v>294</v>
      </c>
      <c r="Y67" s="3431" t="s">
        <v>294</v>
      </c>
      <c r="Z67" s="3431"/>
      <c r="AA67" s="3431"/>
      <c r="AB67" s="3432" t="s">
        <v>294</v>
      </c>
      <c r="AC67" s="3432"/>
      <c r="AD67" s="3432"/>
      <c r="AE67" s="3430" t="s">
        <v>294</v>
      </c>
      <c r="AF67" s="3433" t="s">
        <v>294</v>
      </c>
      <c r="AG67" s="3433" t="s">
        <v>294</v>
      </c>
      <c r="AH67" s="8970"/>
      <c r="AI67" s="559"/>
    </row>
    <row r="68" spans="1:35" ht="25.5" customHeight="1">
      <c r="A68" s="9583"/>
      <c r="B68" s="9586"/>
      <c r="C68" s="9498"/>
      <c r="D68" s="9492"/>
      <c r="E68" s="9492"/>
      <c r="F68" s="9492"/>
      <c r="G68" s="9503"/>
      <c r="H68" s="9492"/>
      <c r="I68" s="9492"/>
      <c r="J68" s="9495"/>
      <c r="K68" s="9492"/>
      <c r="L68" s="9492"/>
      <c r="M68" s="9545"/>
      <c r="N68" s="9548"/>
      <c r="O68" s="9545"/>
      <c r="P68" s="9551"/>
      <c r="Q68" s="9551"/>
      <c r="R68" s="9554"/>
      <c r="S68" s="3464" t="s">
        <v>294</v>
      </c>
      <c r="T68" s="3427" t="s">
        <v>294</v>
      </c>
      <c r="U68" s="3427" t="s">
        <v>294</v>
      </c>
      <c r="V68" s="3430" t="s">
        <v>294</v>
      </c>
      <c r="W68" s="3429" t="s">
        <v>294</v>
      </c>
      <c r="X68" s="3430" t="s">
        <v>294</v>
      </c>
      <c r="Y68" s="3431" t="s">
        <v>294</v>
      </c>
      <c r="Z68" s="3431"/>
      <c r="AA68" s="3431"/>
      <c r="AB68" s="3432" t="s">
        <v>294</v>
      </c>
      <c r="AC68" s="3432"/>
      <c r="AD68" s="3432"/>
      <c r="AE68" s="3430" t="s">
        <v>294</v>
      </c>
      <c r="AF68" s="3433" t="s">
        <v>294</v>
      </c>
      <c r="AG68" s="3433" t="s">
        <v>294</v>
      </c>
      <c r="AH68" s="8970"/>
      <c r="AI68" s="559"/>
    </row>
    <row r="69" spans="1:35" ht="25.5" customHeight="1">
      <c r="A69" s="9583"/>
      <c r="B69" s="9586"/>
      <c r="C69" s="9512"/>
      <c r="D69" s="9493"/>
      <c r="E69" s="9493"/>
      <c r="F69" s="9493"/>
      <c r="G69" s="9515"/>
      <c r="H69" s="9493"/>
      <c r="I69" s="9493"/>
      <c r="J69" s="9496"/>
      <c r="K69" s="9493"/>
      <c r="L69" s="9493"/>
      <c r="M69" s="9546"/>
      <c r="N69" s="9549"/>
      <c r="O69" s="9546"/>
      <c r="P69" s="9552"/>
      <c r="Q69" s="9552"/>
      <c r="R69" s="9555"/>
      <c r="S69" s="3466" t="s">
        <v>294</v>
      </c>
      <c r="T69" s="3435" t="s">
        <v>294</v>
      </c>
      <c r="U69" s="3435" t="s">
        <v>294</v>
      </c>
      <c r="V69" s="3436" t="s">
        <v>294</v>
      </c>
      <c r="W69" s="3437" t="s">
        <v>294</v>
      </c>
      <c r="X69" s="3436" t="s">
        <v>294</v>
      </c>
      <c r="Y69" s="3438" t="s">
        <v>294</v>
      </c>
      <c r="Z69" s="3438"/>
      <c r="AA69" s="3438"/>
      <c r="AB69" s="3439" t="s">
        <v>294</v>
      </c>
      <c r="AC69" s="3439"/>
      <c r="AD69" s="3439"/>
      <c r="AE69" s="3436" t="s">
        <v>294</v>
      </c>
      <c r="AF69" s="3440" t="s">
        <v>294</v>
      </c>
      <c r="AG69" s="3440" t="s">
        <v>294</v>
      </c>
      <c r="AH69" s="8971"/>
      <c r="AI69" s="559"/>
    </row>
    <row r="70" spans="1:35" ht="24.75" customHeight="1">
      <c r="A70" s="9583"/>
      <c r="B70" s="9586"/>
      <c r="C70" s="9497" t="s">
        <v>127</v>
      </c>
      <c r="D70" s="9500" t="s">
        <v>128</v>
      </c>
      <c r="E70" s="9500" t="s">
        <v>140</v>
      </c>
      <c r="F70" s="9500" t="s">
        <v>284</v>
      </c>
      <c r="G70" s="9502" t="s">
        <v>131</v>
      </c>
      <c r="H70" s="9505" t="s">
        <v>213</v>
      </c>
      <c r="I70" s="9505" t="s">
        <v>159</v>
      </c>
      <c r="J70" s="9508" t="s">
        <v>1200</v>
      </c>
      <c r="K70" s="9505" t="s">
        <v>1201</v>
      </c>
      <c r="L70" s="9505" t="s">
        <v>1202</v>
      </c>
      <c r="M70" s="9559">
        <v>0</v>
      </c>
      <c r="N70" s="9556">
        <v>0</v>
      </c>
      <c r="O70" s="9556">
        <v>1</v>
      </c>
      <c r="P70" s="9540" t="s">
        <v>1203</v>
      </c>
      <c r="Q70" s="9543" t="s">
        <v>1204</v>
      </c>
      <c r="R70" s="9532" t="s">
        <v>1199</v>
      </c>
      <c r="S70" s="3464" t="s">
        <v>294</v>
      </c>
      <c r="T70" s="3427" t="s">
        <v>294</v>
      </c>
      <c r="U70" s="3427" t="s">
        <v>294</v>
      </c>
      <c r="V70" s="3428" t="s">
        <v>294</v>
      </c>
      <c r="W70" s="3429" t="s">
        <v>294</v>
      </c>
      <c r="X70" s="3430" t="s">
        <v>294</v>
      </c>
      <c r="Y70" s="3431" t="s">
        <v>294</v>
      </c>
      <c r="Z70" s="3431"/>
      <c r="AA70" s="3431"/>
      <c r="AB70" s="3432" t="s">
        <v>294</v>
      </c>
      <c r="AC70" s="3432"/>
      <c r="AD70" s="3432"/>
      <c r="AE70" s="3430" t="s">
        <v>294</v>
      </c>
      <c r="AF70" s="3430" t="s">
        <v>294</v>
      </c>
      <c r="AG70" s="3430" t="s">
        <v>294</v>
      </c>
      <c r="AH70" s="8970" t="s">
        <v>294</v>
      </c>
      <c r="AI70" s="559"/>
    </row>
    <row r="71" spans="1:35" ht="24.75" customHeight="1">
      <c r="A71" s="9583"/>
      <c r="B71" s="9586"/>
      <c r="C71" s="9498"/>
      <c r="D71" s="9492"/>
      <c r="E71" s="9492"/>
      <c r="F71" s="9492"/>
      <c r="G71" s="9503"/>
      <c r="H71" s="9506"/>
      <c r="I71" s="9506"/>
      <c r="J71" s="9509"/>
      <c r="K71" s="9506"/>
      <c r="L71" s="9506"/>
      <c r="M71" s="9560"/>
      <c r="N71" s="9557"/>
      <c r="O71" s="9557"/>
      <c r="P71" s="9541"/>
      <c r="Q71" s="9541"/>
      <c r="R71" s="9533"/>
      <c r="S71" s="3465" t="s">
        <v>294</v>
      </c>
      <c r="T71" s="3434" t="s">
        <v>294</v>
      </c>
      <c r="U71" s="3434" t="s">
        <v>294</v>
      </c>
      <c r="V71" s="3430" t="s">
        <v>294</v>
      </c>
      <c r="W71" s="3429" t="s">
        <v>294</v>
      </c>
      <c r="X71" s="3430" t="s">
        <v>294</v>
      </c>
      <c r="Y71" s="3431" t="s">
        <v>294</v>
      </c>
      <c r="Z71" s="3431"/>
      <c r="AA71" s="3431"/>
      <c r="AB71" s="3432" t="s">
        <v>294</v>
      </c>
      <c r="AC71" s="3432"/>
      <c r="AD71" s="3432"/>
      <c r="AE71" s="3430" t="s">
        <v>294</v>
      </c>
      <c r="AF71" s="3430" t="s">
        <v>294</v>
      </c>
      <c r="AG71" s="3430" t="s">
        <v>294</v>
      </c>
      <c r="AH71" s="8970"/>
      <c r="AI71" s="559"/>
    </row>
    <row r="72" spans="1:35" ht="24.75" customHeight="1">
      <c r="A72" s="9583"/>
      <c r="B72" s="9586"/>
      <c r="C72" s="9498"/>
      <c r="D72" s="9492"/>
      <c r="E72" s="9492"/>
      <c r="F72" s="9492"/>
      <c r="G72" s="9503"/>
      <c r="H72" s="9506"/>
      <c r="I72" s="9506"/>
      <c r="J72" s="9509"/>
      <c r="K72" s="9506"/>
      <c r="L72" s="9506"/>
      <c r="M72" s="9560"/>
      <c r="N72" s="9557"/>
      <c r="O72" s="9557"/>
      <c r="P72" s="9541"/>
      <c r="Q72" s="9541"/>
      <c r="R72" s="9533"/>
      <c r="S72" s="3465" t="s">
        <v>294</v>
      </c>
      <c r="T72" s="3434" t="s">
        <v>294</v>
      </c>
      <c r="U72" s="3434" t="s">
        <v>294</v>
      </c>
      <c r="V72" s="3430" t="s">
        <v>294</v>
      </c>
      <c r="W72" s="3429" t="s">
        <v>294</v>
      </c>
      <c r="X72" s="3430" t="s">
        <v>294</v>
      </c>
      <c r="Y72" s="3431" t="s">
        <v>294</v>
      </c>
      <c r="Z72" s="3431"/>
      <c r="AA72" s="3431"/>
      <c r="AB72" s="3432" t="s">
        <v>294</v>
      </c>
      <c r="AC72" s="3432"/>
      <c r="AD72" s="3432"/>
      <c r="AE72" s="3430" t="s">
        <v>294</v>
      </c>
      <c r="AF72" s="3430" t="s">
        <v>294</v>
      </c>
      <c r="AG72" s="3433" t="s">
        <v>294</v>
      </c>
      <c r="AH72" s="8970"/>
      <c r="AI72" s="559"/>
    </row>
    <row r="73" spans="1:35" ht="24.75" customHeight="1">
      <c r="A73" s="9583"/>
      <c r="B73" s="9586"/>
      <c r="C73" s="9498"/>
      <c r="D73" s="9492"/>
      <c r="E73" s="9492"/>
      <c r="F73" s="9492"/>
      <c r="G73" s="9503"/>
      <c r="H73" s="9506"/>
      <c r="I73" s="9506"/>
      <c r="J73" s="9509"/>
      <c r="K73" s="9506"/>
      <c r="L73" s="9506"/>
      <c r="M73" s="9560"/>
      <c r="N73" s="9557"/>
      <c r="O73" s="9557"/>
      <c r="P73" s="9541"/>
      <c r="Q73" s="9541"/>
      <c r="R73" s="9533"/>
      <c r="S73" s="3465" t="s">
        <v>294</v>
      </c>
      <c r="T73" s="3434" t="s">
        <v>294</v>
      </c>
      <c r="U73" s="3434" t="s">
        <v>294</v>
      </c>
      <c r="V73" s="3430" t="s">
        <v>294</v>
      </c>
      <c r="W73" s="3429" t="s">
        <v>294</v>
      </c>
      <c r="X73" s="3430" t="s">
        <v>294</v>
      </c>
      <c r="Y73" s="3431" t="s">
        <v>294</v>
      </c>
      <c r="Z73" s="3431"/>
      <c r="AA73" s="3431"/>
      <c r="AB73" s="3432" t="s">
        <v>294</v>
      </c>
      <c r="AC73" s="3432"/>
      <c r="AD73" s="3432"/>
      <c r="AE73" s="3430" t="s">
        <v>294</v>
      </c>
      <c r="AF73" s="3430" t="s">
        <v>294</v>
      </c>
      <c r="AG73" s="3433" t="s">
        <v>294</v>
      </c>
      <c r="AH73" s="8970"/>
      <c r="AI73" s="559"/>
    </row>
    <row r="74" spans="1:35" ht="24.75" customHeight="1">
      <c r="A74" s="9583"/>
      <c r="B74" s="9586"/>
      <c r="C74" s="9499"/>
      <c r="D74" s="9501"/>
      <c r="E74" s="9501"/>
      <c r="F74" s="9501"/>
      <c r="G74" s="9504"/>
      <c r="H74" s="9507"/>
      <c r="I74" s="9507"/>
      <c r="J74" s="9510"/>
      <c r="K74" s="9507"/>
      <c r="L74" s="9507"/>
      <c r="M74" s="9561"/>
      <c r="N74" s="9558"/>
      <c r="O74" s="9558"/>
      <c r="P74" s="9542"/>
      <c r="Q74" s="9542"/>
      <c r="R74" s="9534"/>
      <c r="S74" s="3466" t="s">
        <v>294</v>
      </c>
      <c r="T74" s="3435" t="s">
        <v>294</v>
      </c>
      <c r="U74" s="3435" t="s">
        <v>294</v>
      </c>
      <c r="V74" s="3436" t="s">
        <v>294</v>
      </c>
      <c r="W74" s="3437" t="s">
        <v>294</v>
      </c>
      <c r="X74" s="3436" t="s">
        <v>294</v>
      </c>
      <c r="Y74" s="3438" t="s">
        <v>294</v>
      </c>
      <c r="Z74" s="3438"/>
      <c r="AA74" s="3438"/>
      <c r="AB74" s="3439" t="s">
        <v>294</v>
      </c>
      <c r="AC74" s="3439"/>
      <c r="AD74" s="3439"/>
      <c r="AE74" s="3436" t="s">
        <v>294</v>
      </c>
      <c r="AF74" s="3436" t="s">
        <v>294</v>
      </c>
      <c r="AG74" s="3440" t="s">
        <v>294</v>
      </c>
      <c r="AH74" s="8971"/>
      <c r="AI74" s="559"/>
    </row>
    <row r="75" spans="1:35" ht="37.5" customHeight="1">
      <c r="A75" s="9583"/>
      <c r="B75" s="9586"/>
      <c r="C75" s="9511" t="s">
        <v>127</v>
      </c>
      <c r="D75" s="9513" t="s">
        <v>128</v>
      </c>
      <c r="E75" s="9513" t="s">
        <v>140</v>
      </c>
      <c r="F75" s="9513" t="s">
        <v>212</v>
      </c>
      <c r="G75" s="9514" t="s">
        <v>131</v>
      </c>
      <c r="H75" s="9570" t="s">
        <v>213</v>
      </c>
      <c r="I75" s="9570" t="s">
        <v>189</v>
      </c>
      <c r="J75" s="9568" t="s">
        <v>1205</v>
      </c>
      <c r="K75" s="9570" t="s">
        <v>1206</v>
      </c>
      <c r="L75" s="9571" t="s">
        <v>1207</v>
      </c>
      <c r="M75" s="9572">
        <v>1</v>
      </c>
      <c r="N75" s="9574">
        <v>1</v>
      </c>
      <c r="O75" s="9576">
        <v>2</v>
      </c>
      <c r="P75" s="9565" t="s">
        <v>1208</v>
      </c>
      <c r="Q75" s="9565" t="s">
        <v>1209</v>
      </c>
      <c r="R75" s="9579" t="s">
        <v>1199</v>
      </c>
      <c r="S75" s="3467" t="s">
        <v>294</v>
      </c>
      <c r="T75" s="3441" t="s">
        <v>294</v>
      </c>
      <c r="U75" s="3441" t="s">
        <v>294</v>
      </c>
      <c r="V75" s="3442" t="s">
        <v>294</v>
      </c>
      <c r="W75" s="3443" t="s">
        <v>294</v>
      </c>
      <c r="X75" s="3444" t="s">
        <v>294</v>
      </c>
      <c r="Y75" s="3445" t="s">
        <v>294</v>
      </c>
      <c r="Z75" s="3431"/>
      <c r="AA75" s="3431"/>
      <c r="AB75" s="3446" t="s">
        <v>294</v>
      </c>
      <c r="AC75" s="3446"/>
      <c r="AD75" s="3446"/>
      <c r="AE75" s="3444" t="s">
        <v>294</v>
      </c>
      <c r="AF75" s="3433" t="s">
        <v>294</v>
      </c>
      <c r="AG75" s="3433" t="s">
        <v>294</v>
      </c>
      <c r="AH75" s="8970" t="s">
        <v>294</v>
      </c>
      <c r="AI75" s="559"/>
    </row>
    <row r="76" spans="1:35" ht="37.5" customHeight="1">
      <c r="A76" s="9583"/>
      <c r="B76" s="9586"/>
      <c r="C76" s="9498"/>
      <c r="D76" s="9492"/>
      <c r="E76" s="9492"/>
      <c r="F76" s="9492"/>
      <c r="G76" s="9503"/>
      <c r="H76" s="9506"/>
      <c r="I76" s="9506"/>
      <c r="J76" s="9509"/>
      <c r="K76" s="9506"/>
      <c r="L76" s="9506"/>
      <c r="M76" s="9563"/>
      <c r="N76" s="9560"/>
      <c r="O76" s="9557"/>
      <c r="P76" s="9506"/>
      <c r="Q76" s="9566"/>
      <c r="R76" s="9533"/>
      <c r="S76" s="3468" t="s">
        <v>294</v>
      </c>
      <c r="T76" s="3447" t="s">
        <v>294</v>
      </c>
      <c r="U76" s="3447" t="s">
        <v>294</v>
      </c>
      <c r="V76" s="3444" t="s">
        <v>294</v>
      </c>
      <c r="W76" s="3443" t="s">
        <v>294</v>
      </c>
      <c r="X76" s="3444" t="s">
        <v>294</v>
      </c>
      <c r="Y76" s="3445" t="s">
        <v>294</v>
      </c>
      <c r="Z76" s="3431"/>
      <c r="AA76" s="3431"/>
      <c r="AB76" s="3446" t="s">
        <v>294</v>
      </c>
      <c r="AC76" s="3446"/>
      <c r="AD76" s="3446"/>
      <c r="AE76" s="3444" t="s">
        <v>294</v>
      </c>
      <c r="AF76" s="3433" t="s">
        <v>294</v>
      </c>
      <c r="AG76" s="3433" t="s">
        <v>294</v>
      </c>
      <c r="AH76" s="8970"/>
      <c r="AI76" s="559"/>
    </row>
    <row r="77" spans="1:35" ht="37.5" customHeight="1">
      <c r="A77" s="9583"/>
      <c r="B77" s="9586"/>
      <c r="C77" s="9498"/>
      <c r="D77" s="9492"/>
      <c r="E77" s="9492"/>
      <c r="F77" s="9492"/>
      <c r="G77" s="9503"/>
      <c r="H77" s="9506"/>
      <c r="I77" s="9506"/>
      <c r="J77" s="9509"/>
      <c r="K77" s="9506"/>
      <c r="L77" s="9506"/>
      <c r="M77" s="9563"/>
      <c r="N77" s="9560"/>
      <c r="O77" s="9557"/>
      <c r="P77" s="9506"/>
      <c r="Q77" s="9566"/>
      <c r="R77" s="9533"/>
      <c r="S77" s="3468" t="s">
        <v>294</v>
      </c>
      <c r="T77" s="3447" t="s">
        <v>294</v>
      </c>
      <c r="U77" s="3447" t="s">
        <v>294</v>
      </c>
      <c r="V77" s="3444" t="s">
        <v>294</v>
      </c>
      <c r="W77" s="3443" t="s">
        <v>294</v>
      </c>
      <c r="X77" s="3444" t="s">
        <v>294</v>
      </c>
      <c r="Y77" s="3445" t="s">
        <v>294</v>
      </c>
      <c r="Z77" s="3431"/>
      <c r="AA77" s="3431"/>
      <c r="AB77" s="3446" t="s">
        <v>294</v>
      </c>
      <c r="AC77" s="3446"/>
      <c r="AD77" s="3446"/>
      <c r="AE77" s="3444" t="s">
        <v>294</v>
      </c>
      <c r="AF77" s="3433" t="s">
        <v>294</v>
      </c>
      <c r="AG77" s="3433" t="s">
        <v>294</v>
      </c>
      <c r="AH77" s="8970"/>
      <c r="AI77" s="559"/>
    </row>
    <row r="78" spans="1:35" ht="37.5" customHeight="1">
      <c r="A78" s="9583"/>
      <c r="B78" s="9586"/>
      <c r="C78" s="9498"/>
      <c r="D78" s="9492"/>
      <c r="E78" s="9492"/>
      <c r="F78" s="9492"/>
      <c r="G78" s="9503"/>
      <c r="H78" s="9506"/>
      <c r="I78" s="9506"/>
      <c r="J78" s="9509"/>
      <c r="K78" s="9506"/>
      <c r="L78" s="9506"/>
      <c r="M78" s="9563"/>
      <c r="N78" s="9560"/>
      <c r="O78" s="9557"/>
      <c r="P78" s="9506"/>
      <c r="Q78" s="9566"/>
      <c r="R78" s="9533"/>
      <c r="S78" s="3468" t="s">
        <v>294</v>
      </c>
      <c r="T78" s="3447" t="s">
        <v>294</v>
      </c>
      <c r="U78" s="3447" t="s">
        <v>294</v>
      </c>
      <c r="V78" s="3444" t="s">
        <v>294</v>
      </c>
      <c r="W78" s="3443" t="s">
        <v>294</v>
      </c>
      <c r="X78" s="3444" t="s">
        <v>294</v>
      </c>
      <c r="Y78" s="3445" t="s">
        <v>294</v>
      </c>
      <c r="Z78" s="3431"/>
      <c r="AA78" s="3431"/>
      <c r="AB78" s="3446" t="s">
        <v>294</v>
      </c>
      <c r="AC78" s="3446"/>
      <c r="AD78" s="3446"/>
      <c r="AE78" s="3444" t="s">
        <v>294</v>
      </c>
      <c r="AF78" s="3433" t="s">
        <v>294</v>
      </c>
      <c r="AG78" s="3433" t="s">
        <v>294</v>
      </c>
      <c r="AH78" s="8970"/>
      <c r="AI78" s="559"/>
    </row>
    <row r="79" spans="1:35" ht="37.5" customHeight="1">
      <c r="A79" s="9583"/>
      <c r="B79" s="9586"/>
      <c r="C79" s="9512"/>
      <c r="D79" s="9493"/>
      <c r="E79" s="9493"/>
      <c r="F79" s="9493"/>
      <c r="G79" s="9515"/>
      <c r="H79" s="9535"/>
      <c r="I79" s="9535"/>
      <c r="J79" s="9569"/>
      <c r="K79" s="9535"/>
      <c r="L79" s="9535"/>
      <c r="M79" s="9573"/>
      <c r="N79" s="9575"/>
      <c r="O79" s="9577"/>
      <c r="P79" s="9507"/>
      <c r="Q79" s="9578"/>
      <c r="R79" s="9536"/>
      <c r="S79" s="3469" t="s">
        <v>294</v>
      </c>
      <c r="T79" s="3448" t="s">
        <v>294</v>
      </c>
      <c r="U79" s="3448" t="s">
        <v>294</v>
      </c>
      <c r="V79" s="3449" t="s">
        <v>294</v>
      </c>
      <c r="W79" s="3450" t="s">
        <v>294</v>
      </c>
      <c r="X79" s="3449" t="s">
        <v>294</v>
      </c>
      <c r="Y79" s="3451" t="s">
        <v>294</v>
      </c>
      <c r="Z79" s="3438"/>
      <c r="AA79" s="3438"/>
      <c r="AB79" s="3452" t="s">
        <v>294</v>
      </c>
      <c r="AC79" s="3452"/>
      <c r="AD79" s="3452"/>
      <c r="AE79" s="3449" t="s">
        <v>294</v>
      </c>
      <c r="AF79" s="3453" t="s">
        <v>294</v>
      </c>
      <c r="AG79" s="3453" t="s">
        <v>294</v>
      </c>
      <c r="AH79" s="8971"/>
      <c r="AI79" s="559"/>
    </row>
    <row r="80" spans="1:35" ht="27" customHeight="1">
      <c r="A80" s="9583"/>
      <c r="B80" s="9586"/>
      <c r="C80" s="9497" t="s">
        <v>127</v>
      </c>
      <c r="D80" s="9500" t="s">
        <v>128</v>
      </c>
      <c r="E80" s="9500" t="s">
        <v>140</v>
      </c>
      <c r="F80" s="9500" t="s">
        <v>284</v>
      </c>
      <c r="G80" s="9502" t="s">
        <v>131</v>
      </c>
      <c r="H80" s="9505" t="s">
        <v>213</v>
      </c>
      <c r="I80" s="9505" t="s">
        <v>189</v>
      </c>
      <c r="J80" s="9508" t="s">
        <v>1210</v>
      </c>
      <c r="K80" s="9505" t="s">
        <v>1211</v>
      </c>
      <c r="L80" s="9505" t="s">
        <v>1212</v>
      </c>
      <c r="M80" s="9562">
        <v>3</v>
      </c>
      <c r="N80" s="9562">
        <v>3</v>
      </c>
      <c r="O80" s="9556">
        <v>5</v>
      </c>
      <c r="P80" s="9565" t="s">
        <v>1213</v>
      </c>
      <c r="Q80" s="9531" t="s">
        <v>1214</v>
      </c>
      <c r="R80" s="9532" t="s">
        <v>1199</v>
      </c>
      <c r="S80" s="3464" t="s">
        <v>294</v>
      </c>
      <c r="T80" s="3427" t="s">
        <v>294</v>
      </c>
      <c r="U80" s="3427" t="s">
        <v>294</v>
      </c>
      <c r="V80" s="3454" t="s">
        <v>294</v>
      </c>
      <c r="W80" s="3455" t="s">
        <v>294</v>
      </c>
      <c r="X80" s="3456" t="s">
        <v>294</v>
      </c>
      <c r="Y80" s="3457" t="s">
        <v>294</v>
      </c>
      <c r="Z80" s="3431"/>
      <c r="AA80" s="3431"/>
      <c r="AB80" s="3458" t="s">
        <v>294</v>
      </c>
      <c r="AC80" s="3458"/>
      <c r="AD80" s="3458"/>
      <c r="AE80" s="3456" t="s">
        <v>294</v>
      </c>
      <c r="AF80" s="3459" t="s">
        <v>294</v>
      </c>
      <c r="AG80" s="3459" t="s">
        <v>294</v>
      </c>
      <c r="AH80" s="8970" t="s">
        <v>294</v>
      </c>
      <c r="AI80" s="559"/>
    </row>
    <row r="81" spans="1:35" ht="27" customHeight="1">
      <c r="A81" s="9583"/>
      <c r="B81" s="9586"/>
      <c r="C81" s="9498"/>
      <c r="D81" s="9492"/>
      <c r="E81" s="9492"/>
      <c r="F81" s="9492"/>
      <c r="G81" s="9503"/>
      <c r="H81" s="9506"/>
      <c r="I81" s="9506"/>
      <c r="J81" s="9509"/>
      <c r="K81" s="9506"/>
      <c r="L81" s="9506"/>
      <c r="M81" s="9563"/>
      <c r="N81" s="9563"/>
      <c r="O81" s="9557"/>
      <c r="P81" s="9506"/>
      <c r="Q81" s="9566"/>
      <c r="R81" s="9533"/>
      <c r="S81" s="3468" t="s">
        <v>294</v>
      </c>
      <c r="T81" s="3447" t="s">
        <v>294</v>
      </c>
      <c r="U81" s="3447" t="s">
        <v>294</v>
      </c>
      <c r="V81" s="3444" t="s">
        <v>294</v>
      </c>
      <c r="W81" s="3443" t="s">
        <v>294</v>
      </c>
      <c r="X81" s="3444" t="s">
        <v>294</v>
      </c>
      <c r="Y81" s="3445" t="s">
        <v>294</v>
      </c>
      <c r="Z81" s="3431"/>
      <c r="AA81" s="3431"/>
      <c r="AB81" s="3446" t="s">
        <v>294</v>
      </c>
      <c r="AC81" s="3446"/>
      <c r="AD81" s="3446"/>
      <c r="AE81" s="3444" t="s">
        <v>294</v>
      </c>
      <c r="AF81" s="3433" t="s">
        <v>294</v>
      </c>
      <c r="AG81" s="3433" t="s">
        <v>294</v>
      </c>
      <c r="AH81" s="8970"/>
      <c r="AI81" s="559"/>
    </row>
    <row r="82" spans="1:35" ht="27" customHeight="1">
      <c r="A82" s="9583"/>
      <c r="B82" s="9586"/>
      <c r="C82" s="9498"/>
      <c r="D82" s="9492"/>
      <c r="E82" s="9492"/>
      <c r="F82" s="9492"/>
      <c r="G82" s="9503"/>
      <c r="H82" s="9506"/>
      <c r="I82" s="9506"/>
      <c r="J82" s="9509"/>
      <c r="K82" s="9506"/>
      <c r="L82" s="9506"/>
      <c r="M82" s="9563"/>
      <c r="N82" s="9563"/>
      <c r="O82" s="9557"/>
      <c r="P82" s="9506"/>
      <c r="Q82" s="9566"/>
      <c r="R82" s="9533"/>
      <c r="S82" s="3468" t="s">
        <v>294</v>
      </c>
      <c r="T82" s="3447" t="s">
        <v>294</v>
      </c>
      <c r="U82" s="3447" t="s">
        <v>294</v>
      </c>
      <c r="V82" s="3444" t="s">
        <v>294</v>
      </c>
      <c r="W82" s="3443" t="s">
        <v>294</v>
      </c>
      <c r="X82" s="3444" t="s">
        <v>294</v>
      </c>
      <c r="Y82" s="3445" t="s">
        <v>294</v>
      </c>
      <c r="Z82" s="3431"/>
      <c r="AA82" s="3431"/>
      <c r="AB82" s="3446" t="s">
        <v>294</v>
      </c>
      <c r="AC82" s="3446"/>
      <c r="AD82" s="3446"/>
      <c r="AE82" s="3444" t="s">
        <v>294</v>
      </c>
      <c r="AF82" s="3433" t="s">
        <v>294</v>
      </c>
      <c r="AG82" s="3433" t="s">
        <v>294</v>
      </c>
      <c r="AH82" s="8970"/>
      <c r="AI82" s="559"/>
    </row>
    <row r="83" spans="1:35" ht="27" customHeight="1">
      <c r="A83" s="9583"/>
      <c r="B83" s="9586"/>
      <c r="C83" s="9498"/>
      <c r="D83" s="9492"/>
      <c r="E83" s="9492"/>
      <c r="F83" s="9492"/>
      <c r="G83" s="9503"/>
      <c r="H83" s="9506"/>
      <c r="I83" s="9506"/>
      <c r="J83" s="9509"/>
      <c r="K83" s="9506"/>
      <c r="L83" s="9506"/>
      <c r="M83" s="9563"/>
      <c r="N83" s="9563"/>
      <c r="O83" s="9557"/>
      <c r="P83" s="9506"/>
      <c r="Q83" s="9566"/>
      <c r="R83" s="9533"/>
      <c r="S83" s="3468" t="s">
        <v>294</v>
      </c>
      <c r="T83" s="3447" t="s">
        <v>294</v>
      </c>
      <c r="U83" s="3447" t="s">
        <v>294</v>
      </c>
      <c r="V83" s="3444" t="s">
        <v>294</v>
      </c>
      <c r="W83" s="3443" t="s">
        <v>294</v>
      </c>
      <c r="X83" s="3444" t="s">
        <v>294</v>
      </c>
      <c r="Y83" s="3445" t="s">
        <v>294</v>
      </c>
      <c r="Z83" s="3431"/>
      <c r="AA83" s="3431"/>
      <c r="AB83" s="3446" t="s">
        <v>294</v>
      </c>
      <c r="AC83" s="3446"/>
      <c r="AD83" s="3446"/>
      <c r="AE83" s="3444" t="s">
        <v>294</v>
      </c>
      <c r="AF83" s="3433" t="s">
        <v>294</v>
      </c>
      <c r="AG83" s="3433" t="s">
        <v>294</v>
      </c>
      <c r="AH83" s="8970"/>
      <c r="AI83" s="559"/>
    </row>
    <row r="84" spans="1:35" ht="27" customHeight="1">
      <c r="A84" s="9583"/>
      <c r="B84" s="9586"/>
      <c r="C84" s="9499"/>
      <c r="D84" s="9501"/>
      <c r="E84" s="9501"/>
      <c r="F84" s="9501"/>
      <c r="G84" s="9504"/>
      <c r="H84" s="9507"/>
      <c r="I84" s="9507"/>
      <c r="J84" s="9510"/>
      <c r="K84" s="9507"/>
      <c r="L84" s="9507"/>
      <c r="M84" s="9564"/>
      <c r="N84" s="9564"/>
      <c r="O84" s="9558"/>
      <c r="P84" s="9507"/>
      <c r="Q84" s="9567"/>
      <c r="R84" s="9534"/>
      <c r="S84" s="3469" t="s">
        <v>294</v>
      </c>
      <c r="T84" s="3448" t="s">
        <v>294</v>
      </c>
      <c r="U84" s="3448" t="s">
        <v>294</v>
      </c>
      <c r="V84" s="3460" t="s">
        <v>294</v>
      </c>
      <c r="W84" s="3461" t="s">
        <v>294</v>
      </c>
      <c r="X84" s="3460" t="s">
        <v>294</v>
      </c>
      <c r="Y84" s="3462" t="s">
        <v>294</v>
      </c>
      <c r="Z84" s="3438"/>
      <c r="AA84" s="3438"/>
      <c r="AB84" s="3463" t="s">
        <v>294</v>
      </c>
      <c r="AC84" s="3463"/>
      <c r="AD84" s="3463"/>
      <c r="AE84" s="3460" t="s">
        <v>294</v>
      </c>
      <c r="AF84" s="3440" t="s">
        <v>294</v>
      </c>
      <c r="AG84" s="3440" t="s">
        <v>294</v>
      </c>
      <c r="AH84" s="8971"/>
      <c r="AI84" s="559"/>
    </row>
    <row r="85" spans="1:35" ht="49.5" customHeight="1">
      <c r="A85" s="9583"/>
      <c r="B85" s="9586"/>
      <c r="C85" s="9511" t="s">
        <v>127</v>
      </c>
      <c r="D85" s="9513" t="s">
        <v>128</v>
      </c>
      <c r="E85" s="9513" t="s">
        <v>140</v>
      </c>
      <c r="F85" s="9513" t="s">
        <v>284</v>
      </c>
      <c r="G85" s="9514" t="s">
        <v>131</v>
      </c>
      <c r="H85" s="9570" t="s">
        <v>213</v>
      </c>
      <c r="I85" s="9570" t="s">
        <v>189</v>
      </c>
      <c r="J85" s="9580" t="s">
        <v>1215</v>
      </c>
      <c r="K85" s="9570" t="s">
        <v>1216</v>
      </c>
      <c r="L85" s="9570" t="s">
        <v>1217</v>
      </c>
      <c r="M85" s="9572">
        <v>0</v>
      </c>
      <c r="N85" s="9572">
        <v>1</v>
      </c>
      <c r="O85" s="9576">
        <v>2</v>
      </c>
      <c r="P85" s="9565" t="s">
        <v>1218</v>
      </c>
      <c r="Q85" s="9565" t="s">
        <v>1219</v>
      </c>
      <c r="R85" s="9579" t="s">
        <v>1199</v>
      </c>
      <c r="S85" s="3464" t="s">
        <v>294</v>
      </c>
      <c r="T85" s="3427" t="s">
        <v>294</v>
      </c>
      <c r="U85" s="3427" t="s">
        <v>294</v>
      </c>
      <c r="V85" s="3442" t="s">
        <v>294</v>
      </c>
      <c r="W85" s="3443" t="s">
        <v>294</v>
      </c>
      <c r="X85" s="3444" t="s">
        <v>294</v>
      </c>
      <c r="Y85" s="3445" t="s">
        <v>294</v>
      </c>
      <c r="Z85" s="3431"/>
      <c r="AA85" s="3431"/>
      <c r="AB85" s="3446" t="s">
        <v>294</v>
      </c>
      <c r="AC85" s="3446"/>
      <c r="AD85" s="3446"/>
      <c r="AE85" s="3444" t="s">
        <v>294</v>
      </c>
      <c r="AF85" s="3433" t="s">
        <v>294</v>
      </c>
      <c r="AG85" s="3433" t="s">
        <v>294</v>
      </c>
      <c r="AH85" s="8970" t="s">
        <v>294</v>
      </c>
      <c r="AI85" s="559"/>
    </row>
    <row r="86" spans="1:35" ht="49.5" customHeight="1">
      <c r="A86" s="9583"/>
      <c r="B86" s="9586"/>
      <c r="C86" s="9498"/>
      <c r="D86" s="9492"/>
      <c r="E86" s="9492"/>
      <c r="F86" s="9492"/>
      <c r="G86" s="9503"/>
      <c r="H86" s="9506"/>
      <c r="I86" s="9506"/>
      <c r="J86" s="9509"/>
      <c r="K86" s="9506"/>
      <c r="L86" s="9506"/>
      <c r="M86" s="9563"/>
      <c r="N86" s="9563"/>
      <c r="O86" s="9557"/>
      <c r="P86" s="9506"/>
      <c r="Q86" s="9506"/>
      <c r="R86" s="9533"/>
      <c r="S86" s="3468" t="s">
        <v>294</v>
      </c>
      <c r="T86" s="3447" t="s">
        <v>294</v>
      </c>
      <c r="U86" s="3447" t="s">
        <v>294</v>
      </c>
      <c r="V86" s="3444" t="s">
        <v>294</v>
      </c>
      <c r="W86" s="3443" t="s">
        <v>294</v>
      </c>
      <c r="X86" s="3444" t="s">
        <v>294</v>
      </c>
      <c r="Y86" s="3445" t="s">
        <v>294</v>
      </c>
      <c r="Z86" s="3431"/>
      <c r="AA86" s="3431"/>
      <c r="AB86" s="3446" t="s">
        <v>294</v>
      </c>
      <c r="AC86" s="3446"/>
      <c r="AD86" s="3446"/>
      <c r="AE86" s="3444" t="s">
        <v>294</v>
      </c>
      <c r="AF86" s="3433" t="s">
        <v>294</v>
      </c>
      <c r="AG86" s="3433" t="s">
        <v>294</v>
      </c>
      <c r="AH86" s="8970"/>
      <c r="AI86" s="559"/>
    </row>
    <row r="87" spans="1:35" ht="49.5" customHeight="1">
      <c r="A87" s="9583"/>
      <c r="B87" s="9586"/>
      <c r="C87" s="9498"/>
      <c r="D87" s="9492"/>
      <c r="E87" s="9492"/>
      <c r="F87" s="9492"/>
      <c r="G87" s="9503"/>
      <c r="H87" s="9506"/>
      <c r="I87" s="9506"/>
      <c r="J87" s="9509"/>
      <c r="K87" s="9506"/>
      <c r="L87" s="9506"/>
      <c r="M87" s="9563"/>
      <c r="N87" s="9563"/>
      <c r="O87" s="9557"/>
      <c r="P87" s="9506"/>
      <c r="Q87" s="9506"/>
      <c r="R87" s="9533"/>
      <c r="S87" s="3468" t="s">
        <v>294</v>
      </c>
      <c r="T87" s="3447" t="s">
        <v>294</v>
      </c>
      <c r="U87" s="3447" t="s">
        <v>294</v>
      </c>
      <c r="V87" s="3444" t="s">
        <v>294</v>
      </c>
      <c r="W87" s="3443" t="s">
        <v>294</v>
      </c>
      <c r="X87" s="3444" t="s">
        <v>294</v>
      </c>
      <c r="Y87" s="3445" t="s">
        <v>294</v>
      </c>
      <c r="Z87" s="3431"/>
      <c r="AA87" s="3431"/>
      <c r="AB87" s="3446" t="s">
        <v>294</v>
      </c>
      <c r="AC87" s="3446"/>
      <c r="AD87" s="3446"/>
      <c r="AE87" s="3444" t="s">
        <v>294</v>
      </c>
      <c r="AF87" s="3433" t="s">
        <v>294</v>
      </c>
      <c r="AG87" s="3433" t="s">
        <v>294</v>
      </c>
      <c r="AH87" s="8970"/>
      <c r="AI87" s="559"/>
    </row>
    <row r="88" spans="1:35" ht="49.5" customHeight="1">
      <c r="A88" s="9583"/>
      <c r="B88" s="9586"/>
      <c r="C88" s="9498"/>
      <c r="D88" s="9492"/>
      <c r="E88" s="9492"/>
      <c r="F88" s="9492"/>
      <c r="G88" s="9503"/>
      <c r="H88" s="9506"/>
      <c r="I88" s="9506"/>
      <c r="J88" s="9509"/>
      <c r="K88" s="9506"/>
      <c r="L88" s="9506"/>
      <c r="M88" s="9563"/>
      <c r="N88" s="9563"/>
      <c r="O88" s="9557"/>
      <c r="P88" s="9506"/>
      <c r="Q88" s="9506"/>
      <c r="R88" s="9533"/>
      <c r="S88" s="3468" t="s">
        <v>294</v>
      </c>
      <c r="T88" s="3447" t="s">
        <v>294</v>
      </c>
      <c r="U88" s="3447" t="s">
        <v>294</v>
      </c>
      <c r="V88" s="3444" t="s">
        <v>294</v>
      </c>
      <c r="W88" s="3443" t="s">
        <v>294</v>
      </c>
      <c r="X88" s="3444" t="s">
        <v>294</v>
      </c>
      <c r="Y88" s="3445" t="s">
        <v>294</v>
      </c>
      <c r="Z88" s="3431"/>
      <c r="AA88" s="3431"/>
      <c r="AB88" s="3446" t="s">
        <v>294</v>
      </c>
      <c r="AC88" s="3446"/>
      <c r="AD88" s="3446"/>
      <c r="AE88" s="3444" t="s">
        <v>294</v>
      </c>
      <c r="AF88" s="3433" t="s">
        <v>294</v>
      </c>
      <c r="AG88" s="3433" t="s">
        <v>294</v>
      </c>
      <c r="AH88" s="8970"/>
      <c r="AI88" s="559"/>
    </row>
    <row r="89" spans="1:35" ht="49.5" customHeight="1">
      <c r="A89" s="9583"/>
      <c r="B89" s="9586"/>
      <c r="C89" s="9512"/>
      <c r="D89" s="9493"/>
      <c r="E89" s="9493"/>
      <c r="F89" s="9493"/>
      <c r="G89" s="9515"/>
      <c r="H89" s="9535"/>
      <c r="I89" s="9535"/>
      <c r="J89" s="9569"/>
      <c r="K89" s="9535"/>
      <c r="L89" s="9535"/>
      <c r="M89" s="9573"/>
      <c r="N89" s="9573"/>
      <c r="O89" s="9577"/>
      <c r="P89" s="9507"/>
      <c r="Q89" s="9535"/>
      <c r="R89" s="9536"/>
      <c r="S89" s="3469" t="s">
        <v>294</v>
      </c>
      <c r="T89" s="3448" t="s">
        <v>294</v>
      </c>
      <c r="U89" s="3448" t="s">
        <v>294</v>
      </c>
      <c r="V89" s="3460" t="s">
        <v>294</v>
      </c>
      <c r="W89" s="3461" t="s">
        <v>294</v>
      </c>
      <c r="X89" s="3460" t="s">
        <v>294</v>
      </c>
      <c r="Y89" s="3462" t="s">
        <v>294</v>
      </c>
      <c r="Z89" s="3438"/>
      <c r="AA89" s="3438"/>
      <c r="AB89" s="3463" t="s">
        <v>294</v>
      </c>
      <c r="AC89" s="3463"/>
      <c r="AD89" s="3463"/>
      <c r="AE89" s="3460" t="s">
        <v>294</v>
      </c>
      <c r="AF89" s="3440" t="s">
        <v>294</v>
      </c>
      <c r="AG89" s="3440" t="s">
        <v>294</v>
      </c>
      <c r="AH89" s="8971"/>
      <c r="AI89" s="559"/>
    </row>
    <row r="90" spans="1:35" ht="27" customHeight="1">
      <c r="A90" s="9583"/>
      <c r="B90" s="9586"/>
      <c r="C90" s="9497" t="s">
        <v>127</v>
      </c>
      <c r="D90" s="9500" t="s">
        <v>128</v>
      </c>
      <c r="E90" s="9500" t="s">
        <v>140</v>
      </c>
      <c r="F90" s="9500" t="s">
        <v>597</v>
      </c>
      <c r="G90" s="9502" t="s">
        <v>131</v>
      </c>
      <c r="H90" s="9505" t="s">
        <v>213</v>
      </c>
      <c r="I90" s="9505" t="s">
        <v>189</v>
      </c>
      <c r="J90" s="9508" t="s">
        <v>1220</v>
      </c>
      <c r="K90" s="9505" t="s">
        <v>1221</v>
      </c>
      <c r="L90" s="9505" t="s">
        <v>1222</v>
      </c>
      <c r="M90" s="9559">
        <v>1</v>
      </c>
      <c r="N90" s="9559">
        <v>1</v>
      </c>
      <c r="O90" s="9559">
        <v>1</v>
      </c>
      <c r="P90" s="9598" t="s">
        <v>1223</v>
      </c>
      <c r="Q90" s="9531" t="s">
        <v>1224</v>
      </c>
      <c r="R90" s="9532" t="s">
        <v>1199</v>
      </c>
      <c r="S90" s="3464" t="s">
        <v>294</v>
      </c>
      <c r="T90" s="3427" t="s">
        <v>294</v>
      </c>
      <c r="U90" s="3427" t="s">
        <v>294</v>
      </c>
      <c r="V90" s="3428" t="s">
        <v>294</v>
      </c>
      <c r="W90" s="3429" t="s">
        <v>294</v>
      </c>
      <c r="X90" s="3430" t="s">
        <v>294</v>
      </c>
      <c r="Y90" s="3431" t="s">
        <v>294</v>
      </c>
      <c r="Z90" s="3431"/>
      <c r="AA90" s="3431"/>
      <c r="AB90" s="3432" t="s">
        <v>294</v>
      </c>
      <c r="AC90" s="3432"/>
      <c r="AD90" s="3432"/>
      <c r="AE90" s="3430" t="s">
        <v>294</v>
      </c>
      <c r="AF90" s="3433" t="s">
        <v>294</v>
      </c>
      <c r="AG90" s="3433" t="s">
        <v>294</v>
      </c>
      <c r="AH90" s="8970" t="s">
        <v>294</v>
      </c>
      <c r="AI90" s="559"/>
    </row>
    <row r="91" spans="1:35" ht="27" customHeight="1">
      <c r="A91" s="9583"/>
      <c r="B91" s="9586"/>
      <c r="C91" s="9498"/>
      <c r="D91" s="9492"/>
      <c r="E91" s="9492"/>
      <c r="F91" s="9492"/>
      <c r="G91" s="9503"/>
      <c r="H91" s="9506"/>
      <c r="I91" s="9506"/>
      <c r="J91" s="9509"/>
      <c r="K91" s="9506"/>
      <c r="L91" s="9506"/>
      <c r="M91" s="9560"/>
      <c r="N91" s="9560"/>
      <c r="O91" s="9560"/>
      <c r="P91" s="9506"/>
      <c r="Q91" s="9506"/>
      <c r="R91" s="9533"/>
      <c r="S91" s="3465" t="s">
        <v>294</v>
      </c>
      <c r="T91" s="3434" t="s">
        <v>294</v>
      </c>
      <c r="U91" s="3434" t="s">
        <v>294</v>
      </c>
      <c r="V91" s="3430" t="s">
        <v>294</v>
      </c>
      <c r="W91" s="3429" t="s">
        <v>294</v>
      </c>
      <c r="X91" s="3430" t="s">
        <v>294</v>
      </c>
      <c r="Y91" s="3431" t="s">
        <v>294</v>
      </c>
      <c r="Z91" s="3431"/>
      <c r="AA91" s="3431"/>
      <c r="AB91" s="3432" t="s">
        <v>294</v>
      </c>
      <c r="AC91" s="3432"/>
      <c r="AD91" s="3432"/>
      <c r="AE91" s="3430" t="s">
        <v>294</v>
      </c>
      <c r="AF91" s="3433" t="s">
        <v>294</v>
      </c>
      <c r="AG91" s="3433" t="s">
        <v>294</v>
      </c>
      <c r="AH91" s="8970"/>
      <c r="AI91" s="559"/>
    </row>
    <row r="92" spans="1:35" ht="27" customHeight="1">
      <c r="A92" s="9583"/>
      <c r="B92" s="9586"/>
      <c r="C92" s="9498"/>
      <c r="D92" s="9492"/>
      <c r="E92" s="9492"/>
      <c r="F92" s="9492"/>
      <c r="G92" s="9503"/>
      <c r="H92" s="9506"/>
      <c r="I92" s="9506"/>
      <c r="J92" s="9509"/>
      <c r="K92" s="9506"/>
      <c r="L92" s="9506"/>
      <c r="M92" s="9560"/>
      <c r="N92" s="9560"/>
      <c r="O92" s="9560"/>
      <c r="P92" s="9506"/>
      <c r="Q92" s="9506"/>
      <c r="R92" s="9533"/>
      <c r="S92" s="3465" t="s">
        <v>294</v>
      </c>
      <c r="T92" s="3434" t="s">
        <v>294</v>
      </c>
      <c r="U92" s="3434" t="s">
        <v>294</v>
      </c>
      <c r="V92" s="3430" t="s">
        <v>294</v>
      </c>
      <c r="W92" s="3429" t="s">
        <v>294</v>
      </c>
      <c r="X92" s="3430" t="s">
        <v>294</v>
      </c>
      <c r="Y92" s="3431" t="s">
        <v>294</v>
      </c>
      <c r="Z92" s="3431"/>
      <c r="AA92" s="3431"/>
      <c r="AB92" s="3432" t="s">
        <v>294</v>
      </c>
      <c r="AC92" s="3432"/>
      <c r="AD92" s="3432"/>
      <c r="AE92" s="3430" t="s">
        <v>294</v>
      </c>
      <c r="AF92" s="3433" t="s">
        <v>294</v>
      </c>
      <c r="AG92" s="3433" t="s">
        <v>294</v>
      </c>
      <c r="AH92" s="8970"/>
      <c r="AI92" s="559"/>
    </row>
    <row r="93" spans="1:35" ht="27" customHeight="1">
      <c r="A93" s="9583"/>
      <c r="B93" s="9586"/>
      <c r="C93" s="9498"/>
      <c r="D93" s="9492"/>
      <c r="E93" s="9492"/>
      <c r="F93" s="9492"/>
      <c r="G93" s="9503"/>
      <c r="H93" s="9506"/>
      <c r="I93" s="9506"/>
      <c r="J93" s="9509"/>
      <c r="K93" s="9506"/>
      <c r="L93" s="9506"/>
      <c r="M93" s="9560"/>
      <c r="N93" s="9560"/>
      <c r="O93" s="9560"/>
      <c r="P93" s="9506"/>
      <c r="Q93" s="9506"/>
      <c r="R93" s="9533"/>
      <c r="S93" s="3464" t="s">
        <v>294</v>
      </c>
      <c r="T93" s="3427" t="s">
        <v>294</v>
      </c>
      <c r="U93" s="3427" t="s">
        <v>294</v>
      </c>
      <c r="V93" s="3430" t="s">
        <v>294</v>
      </c>
      <c r="W93" s="3429" t="s">
        <v>294</v>
      </c>
      <c r="X93" s="3430" t="s">
        <v>294</v>
      </c>
      <c r="Y93" s="3431" t="s">
        <v>294</v>
      </c>
      <c r="Z93" s="3431"/>
      <c r="AA93" s="3431"/>
      <c r="AB93" s="3432" t="s">
        <v>294</v>
      </c>
      <c r="AC93" s="3432"/>
      <c r="AD93" s="3432"/>
      <c r="AE93" s="3430" t="s">
        <v>294</v>
      </c>
      <c r="AF93" s="3433" t="s">
        <v>294</v>
      </c>
      <c r="AG93" s="3433" t="s">
        <v>294</v>
      </c>
      <c r="AH93" s="8970"/>
      <c r="AI93" s="559"/>
    </row>
    <row r="94" spans="1:35" ht="27" customHeight="1">
      <c r="A94" s="9583"/>
      <c r="B94" s="9586"/>
      <c r="C94" s="9512"/>
      <c r="D94" s="9493"/>
      <c r="E94" s="9493"/>
      <c r="F94" s="9493"/>
      <c r="G94" s="9515"/>
      <c r="H94" s="9535"/>
      <c r="I94" s="9535"/>
      <c r="J94" s="9569"/>
      <c r="K94" s="9535"/>
      <c r="L94" s="9535"/>
      <c r="M94" s="9575"/>
      <c r="N94" s="9575"/>
      <c r="O94" s="9575"/>
      <c r="P94" s="9535"/>
      <c r="Q94" s="9535"/>
      <c r="R94" s="9536"/>
      <c r="S94" s="3466" t="s">
        <v>294</v>
      </c>
      <c r="T94" s="3435" t="s">
        <v>294</v>
      </c>
      <c r="U94" s="3435" t="s">
        <v>294</v>
      </c>
      <c r="V94" s="3436" t="s">
        <v>294</v>
      </c>
      <c r="W94" s="3437" t="s">
        <v>294</v>
      </c>
      <c r="X94" s="3436" t="s">
        <v>294</v>
      </c>
      <c r="Y94" s="3438" t="s">
        <v>294</v>
      </c>
      <c r="Z94" s="3438"/>
      <c r="AA94" s="3438"/>
      <c r="AB94" s="3439" t="s">
        <v>294</v>
      </c>
      <c r="AC94" s="3439"/>
      <c r="AD94" s="3439"/>
      <c r="AE94" s="3436" t="s">
        <v>294</v>
      </c>
      <c r="AF94" s="3440" t="s">
        <v>294</v>
      </c>
      <c r="AG94" s="3440" t="s">
        <v>294</v>
      </c>
      <c r="AH94" s="8971"/>
      <c r="AI94" s="559"/>
    </row>
    <row r="95" spans="1:35" ht="27.75" customHeight="1">
      <c r="A95" s="9583"/>
      <c r="B95" s="9586"/>
      <c r="C95" s="9497" t="s">
        <v>127</v>
      </c>
      <c r="D95" s="9500" t="s">
        <v>128</v>
      </c>
      <c r="E95" s="9500" t="s">
        <v>140</v>
      </c>
      <c r="F95" s="9500" t="s">
        <v>238</v>
      </c>
      <c r="G95" s="9502" t="s">
        <v>131</v>
      </c>
      <c r="H95" s="9505" t="s">
        <v>213</v>
      </c>
      <c r="I95" s="9505" t="s">
        <v>159</v>
      </c>
      <c r="J95" s="9587" t="s">
        <v>1225</v>
      </c>
      <c r="K95" s="9505" t="s">
        <v>286</v>
      </c>
      <c r="L95" s="9505" t="s">
        <v>1185</v>
      </c>
      <c r="M95" s="9559">
        <v>1</v>
      </c>
      <c r="N95" s="9559">
        <v>0</v>
      </c>
      <c r="O95" s="9559">
        <v>2</v>
      </c>
      <c r="P95" s="9531" t="s">
        <v>1226</v>
      </c>
      <c r="Q95" s="9531" t="s">
        <v>1227</v>
      </c>
      <c r="R95" s="9532" t="s">
        <v>1199</v>
      </c>
      <c r="S95" s="3464" t="s">
        <v>294</v>
      </c>
      <c r="T95" s="3427" t="s">
        <v>294</v>
      </c>
      <c r="U95" s="3427" t="s">
        <v>294</v>
      </c>
      <c r="V95" s="3428" t="s">
        <v>294</v>
      </c>
      <c r="W95" s="3429" t="s">
        <v>294</v>
      </c>
      <c r="X95" s="3430" t="s">
        <v>294</v>
      </c>
      <c r="Y95" s="3431" t="s">
        <v>294</v>
      </c>
      <c r="Z95" s="3431"/>
      <c r="AA95" s="3431"/>
      <c r="AB95" s="3432" t="s">
        <v>294</v>
      </c>
      <c r="AC95" s="3432"/>
      <c r="AD95" s="3432"/>
      <c r="AE95" s="3430" t="s">
        <v>294</v>
      </c>
      <c r="AF95" s="3430" t="s">
        <v>294</v>
      </c>
      <c r="AG95" s="3430" t="s">
        <v>294</v>
      </c>
      <c r="AH95" s="8970" t="s">
        <v>294</v>
      </c>
      <c r="AI95" s="559"/>
    </row>
    <row r="96" spans="1:35" ht="27.75" customHeight="1">
      <c r="A96" s="9583"/>
      <c r="B96" s="9586"/>
      <c r="C96" s="9498"/>
      <c r="D96" s="9492"/>
      <c r="E96" s="9492"/>
      <c r="F96" s="9492"/>
      <c r="G96" s="9503"/>
      <c r="H96" s="9506"/>
      <c r="I96" s="9506"/>
      <c r="J96" s="9588"/>
      <c r="K96" s="9506"/>
      <c r="L96" s="9506"/>
      <c r="M96" s="9560"/>
      <c r="N96" s="9560"/>
      <c r="O96" s="9560"/>
      <c r="P96" s="9506"/>
      <c r="Q96" s="9506"/>
      <c r="R96" s="9533"/>
      <c r="S96" s="3465" t="s">
        <v>294</v>
      </c>
      <c r="T96" s="3434" t="s">
        <v>294</v>
      </c>
      <c r="U96" s="3434" t="s">
        <v>294</v>
      </c>
      <c r="V96" s="3430" t="s">
        <v>294</v>
      </c>
      <c r="W96" s="3429" t="s">
        <v>294</v>
      </c>
      <c r="X96" s="3430" t="s">
        <v>294</v>
      </c>
      <c r="Y96" s="3431" t="s">
        <v>294</v>
      </c>
      <c r="Z96" s="3431"/>
      <c r="AA96" s="3431"/>
      <c r="AB96" s="3432" t="s">
        <v>294</v>
      </c>
      <c r="AC96" s="3432"/>
      <c r="AD96" s="3432"/>
      <c r="AE96" s="3430" t="s">
        <v>294</v>
      </c>
      <c r="AF96" s="3430" t="s">
        <v>294</v>
      </c>
      <c r="AG96" s="3430" t="s">
        <v>294</v>
      </c>
      <c r="AH96" s="8970"/>
      <c r="AI96" s="559"/>
    </row>
    <row r="97" spans="1:35" ht="27.75" customHeight="1">
      <c r="A97" s="9583"/>
      <c r="B97" s="9586"/>
      <c r="C97" s="9498"/>
      <c r="D97" s="9492"/>
      <c r="E97" s="9492"/>
      <c r="F97" s="9492"/>
      <c r="G97" s="9503"/>
      <c r="H97" s="9506"/>
      <c r="I97" s="9506"/>
      <c r="J97" s="9588"/>
      <c r="K97" s="9506"/>
      <c r="L97" s="9506"/>
      <c r="M97" s="9560"/>
      <c r="N97" s="9560"/>
      <c r="O97" s="9560"/>
      <c r="P97" s="9506"/>
      <c r="Q97" s="9506"/>
      <c r="R97" s="9533"/>
      <c r="S97" s="3465" t="s">
        <v>294</v>
      </c>
      <c r="T97" s="3434" t="s">
        <v>294</v>
      </c>
      <c r="U97" s="3434" t="s">
        <v>294</v>
      </c>
      <c r="V97" s="3430" t="s">
        <v>294</v>
      </c>
      <c r="W97" s="3429" t="s">
        <v>294</v>
      </c>
      <c r="X97" s="3430" t="s">
        <v>294</v>
      </c>
      <c r="Y97" s="3431" t="s">
        <v>294</v>
      </c>
      <c r="Z97" s="3431"/>
      <c r="AA97" s="3431"/>
      <c r="AB97" s="3432" t="s">
        <v>294</v>
      </c>
      <c r="AC97" s="3432"/>
      <c r="AD97" s="3432"/>
      <c r="AE97" s="3430" t="s">
        <v>294</v>
      </c>
      <c r="AF97" s="3430" t="s">
        <v>294</v>
      </c>
      <c r="AG97" s="3433" t="s">
        <v>294</v>
      </c>
      <c r="AH97" s="8970"/>
      <c r="AI97" s="559"/>
    </row>
    <row r="98" spans="1:35" ht="27.75" customHeight="1">
      <c r="A98" s="9583"/>
      <c r="B98" s="9586"/>
      <c r="C98" s="9498"/>
      <c r="D98" s="9492"/>
      <c r="E98" s="9492"/>
      <c r="F98" s="9492"/>
      <c r="G98" s="9503"/>
      <c r="H98" s="9506"/>
      <c r="I98" s="9506"/>
      <c r="J98" s="9588"/>
      <c r="K98" s="9506"/>
      <c r="L98" s="9506"/>
      <c r="M98" s="9560"/>
      <c r="N98" s="9560"/>
      <c r="O98" s="9560"/>
      <c r="P98" s="9506"/>
      <c r="Q98" s="9506"/>
      <c r="R98" s="9533"/>
      <c r="S98" s="3465" t="s">
        <v>294</v>
      </c>
      <c r="T98" s="3434" t="s">
        <v>294</v>
      </c>
      <c r="U98" s="3434" t="s">
        <v>294</v>
      </c>
      <c r="V98" s="3430" t="s">
        <v>294</v>
      </c>
      <c r="W98" s="3429" t="s">
        <v>294</v>
      </c>
      <c r="X98" s="3430" t="s">
        <v>294</v>
      </c>
      <c r="Y98" s="3431" t="s">
        <v>294</v>
      </c>
      <c r="Z98" s="3431"/>
      <c r="AA98" s="3431"/>
      <c r="AB98" s="3432" t="s">
        <v>294</v>
      </c>
      <c r="AC98" s="3432"/>
      <c r="AD98" s="3432"/>
      <c r="AE98" s="3430" t="s">
        <v>294</v>
      </c>
      <c r="AF98" s="3430" t="s">
        <v>294</v>
      </c>
      <c r="AG98" s="3433" t="s">
        <v>294</v>
      </c>
      <c r="AH98" s="8970"/>
      <c r="AI98" s="559"/>
    </row>
    <row r="99" spans="1:35" ht="27.75" customHeight="1">
      <c r="A99" s="9583"/>
      <c r="B99" s="9586"/>
      <c r="C99" s="9499"/>
      <c r="D99" s="9501"/>
      <c r="E99" s="9501"/>
      <c r="F99" s="9501"/>
      <c r="G99" s="9504"/>
      <c r="H99" s="9507"/>
      <c r="I99" s="9507"/>
      <c r="J99" s="9589"/>
      <c r="K99" s="9507"/>
      <c r="L99" s="9507"/>
      <c r="M99" s="9561"/>
      <c r="N99" s="9561"/>
      <c r="O99" s="9561"/>
      <c r="P99" s="9507"/>
      <c r="Q99" s="9507"/>
      <c r="R99" s="9534"/>
      <c r="S99" s="3466" t="s">
        <v>294</v>
      </c>
      <c r="T99" s="3435" t="s">
        <v>294</v>
      </c>
      <c r="U99" s="3435" t="s">
        <v>294</v>
      </c>
      <c r="V99" s="3436" t="s">
        <v>294</v>
      </c>
      <c r="W99" s="3437" t="s">
        <v>294</v>
      </c>
      <c r="X99" s="3436" t="s">
        <v>294</v>
      </c>
      <c r="Y99" s="3438" t="s">
        <v>294</v>
      </c>
      <c r="Z99" s="3438"/>
      <c r="AA99" s="3438"/>
      <c r="AB99" s="3439" t="s">
        <v>294</v>
      </c>
      <c r="AC99" s="3439"/>
      <c r="AD99" s="3439"/>
      <c r="AE99" s="3436" t="s">
        <v>294</v>
      </c>
      <c r="AF99" s="3436" t="s">
        <v>294</v>
      </c>
      <c r="AG99" s="3440" t="s">
        <v>294</v>
      </c>
      <c r="AH99" s="8971"/>
      <c r="AI99" s="559"/>
    </row>
    <row r="100" spans="1:35" ht="27" customHeight="1">
      <c r="A100" s="9583"/>
      <c r="B100" s="9586"/>
      <c r="C100" s="9511" t="s">
        <v>127</v>
      </c>
      <c r="D100" s="9513" t="s">
        <v>128</v>
      </c>
      <c r="E100" s="9513" t="s">
        <v>129</v>
      </c>
      <c r="F100" s="9513" t="s">
        <v>336</v>
      </c>
      <c r="G100" s="9514" t="s">
        <v>131</v>
      </c>
      <c r="H100" s="9513" t="s">
        <v>213</v>
      </c>
      <c r="I100" s="9513" t="s">
        <v>159</v>
      </c>
      <c r="J100" s="9580" t="s">
        <v>1228</v>
      </c>
      <c r="K100" s="9513" t="s">
        <v>338</v>
      </c>
      <c r="L100" s="9591" t="s">
        <v>1229</v>
      </c>
      <c r="M100" s="9592">
        <v>0</v>
      </c>
      <c r="N100" s="9592">
        <v>0</v>
      </c>
      <c r="O100" s="9592">
        <v>2</v>
      </c>
      <c r="P100" s="9595" t="s">
        <v>1230</v>
      </c>
      <c r="Q100" s="9595" t="s">
        <v>1231</v>
      </c>
      <c r="R100" s="9596" t="s">
        <v>1199</v>
      </c>
      <c r="S100" s="3467" t="s">
        <v>294</v>
      </c>
      <c r="T100" s="3441" t="s">
        <v>294</v>
      </c>
      <c r="U100" s="3441" t="s">
        <v>294</v>
      </c>
      <c r="V100" s="3442" t="s">
        <v>294</v>
      </c>
      <c r="W100" s="3443" t="s">
        <v>294</v>
      </c>
      <c r="X100" s="3444" t="s">
        <v>294</v>
      </c>
      <c r="Y100" s="3445" t="s">
        <v>294</v>
      </c>
      <c r="Z100" s="3431"/>
      <c r="AA100" s="3431"/>
      <c r="AB100" s="3446" t="s">
        <v>294</v>
      </c>
      <c r="AC100" s="3446"/>
      <c r="AD100" s="3446"/>
      <c r="AE100" s="3444" t="s">
        <v>294</v>
      </c>
      <c r="AF100" s="3433" t="s">
        <v>294</v>
      </c>
      <c r="AG100" s="3433" t="s">
        <v>294</v>
      </c>
      <c r="AH100" s="8970" t="s">
        <v>294</v>
      </c>
      <c r="AI100" s="559"/>
    </row>
    <row r="101" spans="1:35" ht="27" customHeight="1">
      <c r="A101" s="9583"/>
      <c r="B101" s="9586"/>
      <c r="C101" s="9498"/>
      <c r="D101" s="9492"/>
      <c r="E101" s="9492"/>
      <c r="F101" s="9492"/>
      <c r="G101" s="9503"/>
      <c r="H101" s="9492"/>
      <c r="I101" s="9492"/>
      <c r="J101" s="9509"/>
      <c r="K101" s="9492"/>
      <c r="L101" s="9492"/>
      <c r="M101" s="9593"/>
      <c r="N101" s="9593"/>
      <c r="O101" s="9593"/>
      <c r="P101" s="9492"/>
      <c r="Q101" s="9492"/>
      <c r="R101" s="9554"/>
      <c r="S101" s="3468" t="s">
        <v>294</v>
      </c>
      <c r="T101" s="3447" t="s">
        <v>294</v>
      </c>
      <c r="U101" s="3447" t="s">
        <v>294</v>
      </c>
      <c r="V101" s="3444" t="s">
        <v>294</v>
      </c>
      <c r="W101" s="3443" t="s">
        <v>294</v>
      </c>
      <c r="X101" s="3444" t="s">
        <v>294</v>
      </c>
      <c r="Y101" s="3445" t="s">
        <v>294</v>
      </c>
      <c r="Z101" s="3431"/>
      <c r="AA101" s="3431"/>
      <c r="AB101" s="3446" t="s">
        <v>294</v>
      </c>
      <c r="AC101" s="3446"/>
      <c r="AD101" s="3446"/>
      <c r="AE101" s="3444" t="s">
        <v>294</v>
      </c>
      <c r="AF101" s="3433" t="s">
        <v>294</v>
      </c>
      <c r="AG101" s="3433" t="s">
        <v>294</v>
      </c>
      <c r="AH101" s="8970"/>
      <c r="AI101" s="559"/>
    </row>
    <row r="102" spans="1:35" ht="27" customHeight="1">
      <c r="A102" s="9583"/>
      <c r="B102" s="9586"/>
      <c r="C102" s="9498"/>
      <c r="D102" s="9492"/>
      <c r="E102" s="9492"/>
      <c r="F102" s="9492"/>
      <c r="G102" s="9503"/>
      <c r="H102" s="9492"/>
      <c r="I102" s="9492"/>
      <c r="J102" s="9509"/>
      <c r="K102" s="9492"/>
      <c r="L102" s="9492"/>
      <c r="M102" s="9593"/>
      <c r="N102" s="9593"/>
      <c r="O102" s="9593"/>
      <c r="P102" s="9492"/>
      <c r="Q102" s="9492"/>
      <c r="R102" s="9554"/>
      <c r="S102" s="3468" t="s">
        <v>294</v>
      </c>
      <c r="T102" s="3447" t="s">
        <v>294</v>
      </c>
      <c r="U102" s="3447" t="s">
        <v>294</v>
      </c>
      <c r="V102" s="3444" t="s">
        <v>294</v>
      </c>
      <c r="W102" s="3443" t="s">
        <v>294</v>
      </c>
      <c r="X102" s="3444" t="s">
        <v>294</v>
      </c>
      <c r="Y102" s="3445" t="s">
        <v>294</v>
      </c>
      <c r="Z102" s="3431"/>
      <c r="AA102" s="3431"/>
      <c r="AB102" s="3446" t="s">
        <v>294</v>
      </c>
      <c r="AC102" s="3446"/>
      <c r="AD102" s="3446"/>
      <c r="AE102" s="3444" t="s">
        <v>294</v>
      </c>
      <c r="AF102" s="3433" t="s">
        <v>294</v>
      </c>
      <c r="AG102" s="3433" t="s">
        <v>294</v>
      </c>
      <c r="AH102" s="8970"/>
      <c r="AI102" s="559"/>
    </row>
    <row r="103" spans="1:35" ht="27" customHeight="1">
      <c r="A103" s="9583"/>
      <c r="B103" s="9586"/>
      <c r="C103" s="9498"/>
      <c r="D103" s="9492"/>
      <c r="E103" s="9492"/>
      <c r="F103" s="9492"/>
      <c r="G103" s="9503"/>
      <c r="H103" s="9492"/>
      <c r="I103" s="9492"/>
      <c r="J103" s="9509"/>
      <c r="K103" s="9492"/>
      <c r="L103" s="9492"/>
      <c r="M103" s="9593"/>
      <c r="N103" s="9593"/>
      <c r="O103" s="9593"/>
      <c r="P103" s="9492"/>
      <c r="Q103" s="9492"/>
      <c r="R103" s="9554"/>
      <c r="S103" s="3468" t="s">
        <v>294</v>
      </c>
      <c r="T103" s="3447" t="s">
        <v>294</v>
      </c>
      <c r="U103" s="3447" t="s">
        <v>294</v>
      </c>
      <c r="V103" s="3444" t="s">
        <v>294</v>
      </c>
      <c r="W103" s="3443" t="s">
        <v>294</v>
      </c>
      <c r="X103" s="3444" t="s">
        <v>294</v>
      </c>
      <c r="Y103" s="3445" t="s">
        <v>294</v>
      </c>
      <c r="Z103" s="3431"/>
      <c r="AA103" s="3431"/>
      <c r="AB103" s="3446" t="s">
        <v>294</v>
      </c>
      <c r="AC103" s="3446"/>
      <c r="AD103" s="3446"/>
      <c r="AE103" s="3444" t="s">
        <v>294</v>
      </c>
      <c r="AF103" s="3433" t="s">
        <v>294</v>
      </c>
      <c r="AG103" s="3433" t="s">
        <v>294</v>
      </c>
      <c r="AH103" s="8970"/>
      <c r="AI103" s="559"/>
    </row>
    <row r="104" spans="1:35" ht="27" customHeight="1">
      <c r="A104" s="9583"/>
      <c r="B104" s="9586"/>
      <c r="C104" s="9516"/>
      <c r="D104" s="9517"/>
      <c r="E104" s="9517"/>
      <c r="F104" s="9517"/>
      <c r="G104" s="9590"/>
      <c r="H104" s="9517"/>
      <c r="I104" s="9517"/>
      <c r="J104" s="9581"/>
      <c r="K104" s="9517"/>
      <c r="L104" s="9517"/>
      <c r="M104" s="9594"/>
      <c r="N104" s="9594"/>
      <c r="O104" s="9594"/>
      <c r="P104" s="9517"/>
      <c r="Q104" s="9517"/>
      <c r="R104" s="9597"/>
      <c r="S104" s="3469" t="s">
        <v>294</v>
      </c>
      <c r="T104" s="3448" t="s">
        <v>294</v>
      </c>
      <c r="U104" s="3448" t="s">
        <v>294</v>
      </c>
      <c r="V104" s="3460" t="s">
        <v>294</v>
      </c>
      <c r="W104" s="3461" t="s">
        <v>294</v>
      </c>
      <c r="X104" s="3460" t="s">
        <v>294</v>
      </c>
      <c r="Y104" s="3462" t="s">
        <v>294</v>
      </c>
      <c r="Z104" s="3438"/>
      <c r="AA104" s="3438"/>
      <c r="AB104" s="3463" t="s">
        <v>294</v>
      </c>
      <c r="AC104" s="3463"/>
      <c r="AD104" s="3463"/>
      <c r="AE104" s="3460" t="s">
        <v>294</v>
      </c>
      <c r="AF104" s="3440" t="s">
        <v>294</v>
      </c>
      <c r="AG104" s="3440" t="s">
        <v>294</v>
      </c>
      <c r="AH104" s="8971"/>
      <c r="AI104" s="559"/>
    </row>
    <row r="105" spans="1:35" s="4835" customFormat="1" ht="22.5" customHeight="1">
      <c r="A105" s="9584"/>
      <c r="B105" s="6209" t="s">
        <v>294</v>
      </c>
      <c r="C105" s="3470" t="s">
        <v>294</v>
      </c>
      <c r="D105" s="3470" t="s">
        <v>294</v>
      </c>
      <c r="E105" s="3470" t="s">
        <v>294</v>
      </c>
      <c r="F105" s="3470" t="s">
        <v>294</v>
      </c>
      <c r="G105" s="3470" t="s">
        <v>294</v>
      </c>
      <c r="H105" s="3470" t="s">
        <v>294</v>
      </c>
      <c r="I105" s="3470" t="s">
        <v>294</v>
      </c>
      <c r="J105" s="3470" t="s">
        <v>294</v>
      </c>
      <c r="K105" s="3470" t="s">
        <v>294</v>
      </c>
      <c r="L105" s="3470" t="s">
        <v>294</v>
      </c>
      <c r="M105" s="3470" t="s">
        <v>294</v>
      </c>
      <c r="N105" s="3470" t="s">
        <v>294</v>
      </c>
      <c r="O105" s="3470" t="s">
        <v>294</v>
      </c>
      <c r="P105" s="3470" t="s">
        <v>294</v>
      </c>
      <c r="Q105" s="3470" t="s">
        <v>294</v>
      </c>
      <c r="R105" s="3470" t="s">
        <v>294</v>
      </c>
      <c r="S105" s="9529" t="s">
        <v>1232</v>
      </c>
      <c r="T105" s="9530"/>
      <c r="U105" s="9530"/>
      <c r="V105" s="9530"/>
      <c r="W105" s="9530"/>
      <c r="X105" s="9530"/>
      <c r="Y105" s="9530"/>
      <c r="Z105" s="9530"/>
      <c r="AA105" s="5957" t="s">
        <v>292</v>
      </c>
      <c r="AB105" s="5958">
        <v>0</v>
      </c>
      <c r="AC105" s="5953" t="s">
        <v>294</v>
      </c>
      <c r="AD105" s="5953" t="s">
        <v>294</v>
      </c>
      <c r="AE105" s="5953" t="s">
        <v>294</v>
      </c>
      <c r="AF105" s="5953"/>
      <c r="AG105" s="5953"/>
      <c r="AH105" s="5954"/>
      <c r="AI105" s="5952"/>
    </row>
    <row r="106" spans="1:35" ht="25.5" customHeight="1">
      <c r="A106" s="9518" t="s">
        <v>1099</v>
      </c>
      <c r="B106" s="9100" t="s">
        <v>1233</v>
      </c>
      <c r="C106" s="8901" t="s">
        <v>127</v>
      </c>
      <c r="D106" s="8790" t="s">
        <v>128</v>
      </c>
      <c r="E106" s="8790" t="s">
        <v>140</v>
      </c>
      <c r="F106" s="8790" t="s">
        <v>597</v>
      </c>
      <c r="G106" s="8869" t="s">
        <v>131</v>
      </c>
      <c r="H106" s="8790" t="s">
        <v>213</v>
      </c>
      <c r="I106" s="8790" t="s">
        <v>159</v>
      </c>
      <c r="J106" s="9419" t="s">
        <v>1234</v>
      </c>
      <c r="K106" s="9420" t="s">
        <v>1235</v>
      </c>
      <c r="L106" s="8790" t="s">
        <v>1236</v>
      </c>
      <c r="M106" s="8906">
        <v>1</v>
      </c>
      <c r="N106" s="9438">
        <v>0</v>
      </c>
      <c r="O106" s="8906">
        <v>0</v>
      </c>
      <c r="P106" s="8879" t="s">
        <v>1237</v>
      </c>
      <c r="Q106" s="8879" t="s">
        <v>1238</v>
      </c>
      <c r="R106" s="8792" t="s">
        <v>1239</v>
      </c>
      <c r="S106" s="694"/>
      <c r="T106" s="476"/>
      <c r="U106" s="475"/>
      <c r="V106" s="509"/>
      <c r="W106" s="471"/>
      <c r="X106" s="471"/>
      <c r="Y106" s="695"/>
      <c r="Z106" s="695"/>
      <c r="AA106" s="695"/>
      <c r="AB106" s="5992"/>
      <c r="AC106" s="5993"/>
      <c r="AD106" s="369"/>
      <c r="AE106" s="471"/>
      <c r="AF106" s="475"/>
      <c r="AG106" s="475"/>
      <c r="AH106" s="9473"/>
      <c r="AI106" s="559"/>
    </row>
    <row r="107" spans="1:35" ht="25.5" customHeight="1">
      <c r="A107" s="9244"/>
      <c r="B107" s="9101"/>
      <c r="C107" s="8901"/>
      <c r="D107" s="8790"/>
      <c r="E107" s="8790"/>
      <c r="F107" s="8790"/>
      <c r="G107" s="8869"/>
      <c r="H107" s="8790"/>
      <c r="I107" s="8790"/>
      <c r="J107" s="9033"/>
      <c r="K107" s="8790"/>
      <c r="L107" s="8790"/>
      <c r="M107" s="8906"/>
      <c r="N107" s="8906"/>
      <c r="O107" s="8906"/>
      <c r="P107" s="8879"/>
      <c r="Q107" s="8879"/>
      <c r="R107" s="8792"/>
      <c r="S107" s="150"/>
      <c r="T107" s="151"/>
      <c r="U107" s="151"/>
      <c r="V107" s="152"/>
      <c r="W107" s="57"/>
      <c r="X107" s="55"/>
      <c r="Y107" s="58"/>
      <c r="Z107" s="58"/>
      <c r="AA107" s="58"/>
      <c r="AB107" s="5994"/>
      <c r="AC107" s="5995"/>
      <c r="AD107" s="356"/>
      <c r="AE107" s="57"/>
      <c r="AF107" s="151"/>
      <c r="AG107" s="151"/>
      <c r="AH107" s="9444"/>
      <c r="AI107" s="559"/>
    </row>
    <row r="108" spans="1:35" ht="25.5" customHeight="1">
      <c r="A108" s="9244"/>
      <c r="B108" s="9101"/>
      <c r="C108" s="8901"/>
      <c r="D108" s="8790"/>
      <c r="E108" s="8790"/>
      <c r="F108" s="8790"/>
      <c r="G108" s="8869"/>
      <c r="H108" s="8790"/>
      <c r="I108" s="8790"/>
      <c r="J108" s="9033"/>
      <c r="K108" s="8790"/>
      <c r="L108" s="8790"/>
      <c r="M108" s="8906"/>
      <c r="N108" s="8906"/>
      <c r="O108" s="8906"/>
      <c r="P108" s="8879"/>
      <c r="Q108" s="8879"/>
      <c r="R108" s="8792"/>
      <c r="S108" s="150"/>
      <c r="T108" s="151"/>
      <c r="U108" s="151"/>
      <c r="V108" s="155"/>
      <c r="W108" s="57"/>
      <c r="X108" s="55"/>
      <c r="Y108" s="58"/>
      <c r="Z108" s="156"/>
      <c r="AA108" s="58"/>
      <c r="AB108" s="5994"/>
      <c r="AC108" s="5995"/>
      <c r="AD108" s="356"/>
      <c r="AE108" s="57"/>
      <c r="AF108" s="151"/>
      <c r="AG108" s="151"/>
      <c r="AH108" s="9444"/>
      <c r="AI108" s="559"/>
    </row>
    <row r="109" spans="1:35" ht="25.5" customHeight="1">
      <c r="A109" s="9244"/>
      <c r="B109" s="9101"/>
      <c r="C109" s="8901"/>
      <c r="D109" s="8790"/>
      <c r="E109" s="8790"/>
      <c r="F109" s="8790"/>
      <c r="G109" s="8869"/>
      <c r="H109" s="8790"/>
      <c r="I109" s="8790"/>
      <c r="J109" s="9033"/>
      <c r="K109" s="8790"/>
      <c r="L109" s="8790"/>
      <c r="M109" s="8906"/>
      <c r="N109" s="8906"/>
      <c r="O109" s="8906"/>
      <c r="P109" s="8879"/>
      <c r="Q109" s="8879"/>
      <c r="R109" s="8792"/>
      <c r="S109" s="150"/>
      <c r="T109" s="151"/>
      <c r="U109" s="151"/>
      <c r="V109" s="56"/>
      <c r="W109" s="57"/>
      <c r="X109" s="55"/>
      <c r="Y109" s="58"/>
      <c r="Z109" s="156"/>
      <c r="AA109" s="58"/>
      <c r="AB109" s="5996"/>
      <c r="AC109" s="5997"/>
      <c r="AD109" s="394"/>
      <c r="AE109" s="57"/>
      <c r="AF109" s="151"/>
      <c r="AG109" s="151"/>
      <c r="AH109" s="9444"/>
      <c r="AI109" s="559"/>
    </row>
    <row r="110" spans="1:35" ht="25.5" customHeight="1">
      <c r="A110" s="9244"/>
      <c r="B110" s="9101"/>
      <c r="C110" s="8902"/>
      <c r="D110" s="8886"/>
      <c r="E110" s="8886"/>
      <c r="F110" s="8886"/>
      <c r="G110" s="8903"/>
      <c r="H110" s="8886"/>
      <c r="I110" s="8886"/>
      <c r="J110" s="9034"/>
      <c r="K110" s="8886"/>
      <c r="L110" s="8886"/>
      <c r="M110" s="9421"/>
      <c r="N110" s="9421"/>
      <c r="O110" s="9421"/>
      <c r="P110" s="8904"/>
      <c r="Q110" s="8904"/>
      <c r="R110" s="8792"/>
      <c r="S110" s="157"/>
      <c r="T110" s="158"/>
      <c r="U110" s="158"/>
      <c r="V110" s="159"/>
      <c r="W110" s="160"/>
      <c r="X110" s="161"/>
      <c r="Y110" s="162"/>
      <c r="Z110" s="163"/>
      <c r="AA110" s="162"/>
      <c r="AB110" s="5998"/>
      <c r="AC110" s="5999"/>
      <c r="AD110" s="395"/>
      <c r="AE110" s="160"/>
      <c r="AF110" s="158"/>
      <c r="AG110" s="158"/>
      <c r="AH110" s="9458"/>
      <c r="AI110" s="559"/>
    </row>
    <row r="111" spans="1:35" ht="48.75" customHeight="1">
      <c r="A111" s="9244"/>
      <c r="B111" s="9101"/>
      <c r="C111" s="8901" t="s">
        <v>127</v>
      </c>
      <c r="D111" s="8790" t="s">
        <v>128</v>
      </c>
      <c r="E111" s="8790" t="s">
        <v>140</v>
      </c>
      <c r="F111" s="8790" t="s">
        <v>597</v>
      </c>
      <c r="G111" s="8869" t="s">
        <v>131</v>
      </c>
      <c r="H111" s="8790" t="s">
        <v>213</v>
      </c>
      <c r="I111" s="8790" t="s">
        <v>159</v>
      </c>
      <c r="J111" s="9035" t="s">
        <v>1240</v>
      </c>
      <c r="K111" s="8790" t="s">
        <v>1241</v>
      </c>
      <c r="L111" s="8790" t="s">
        <v>1242</v>
      </c>
      <c r="M111" s="9439">
        <v>0.05</v>
      </c>
      <c r="N111" s="9439">
        <v>0.1</v>
      </c>
      <c r="O111" s="9439">
        <v>0.1</v>
      </c>
      <c r="P111" s="8878" t="s">
        <v>1243</v>
      </c>
      <c r="Q111" s="8878" t="s">
        <v>1244</v>
      </c>
      <c r="R111" s="9416" t="s">
        <v>1245</v>
      </c>
      <c r="S111" s="728"/>
      <c r="T111" s="729"/>
      <c r="U111" s="729"/>
      <c r="V111" s="730"/>
      <c r="W111" s="731"/>
      <c r="X111" s="732"/>
      <c r="Y111" s="733"/>
      <c r="Z111" s="734"/>
      <c r="AA111" s="733"/>
      <c r="AB111" s="6000"/>
      <c r="AC111" s="6001"/>
      <c r="AD111" s="735"/>
      <c r="AE111" s="731"/>
      <c r="AF111" s="729"/>
      <c r="AG111" s="729"/>
      <c r="AH111" s="9519"/>
      <c r="AI111" s="559"/>
    </row>
    <row r="112" spans="1:35" ht="48.75" customHeight="1">
      <c r="A112" s="9244"/>
      <c r="B112" s="9101"/>
      <c r="C112" s="8901"/>
      <c r="D112" s="8790"/>
      <c r="E112" s="8790"/>
      <c r="F112" s="8790"/>
      <c r="G112" s="8869"/>
      <c r="H112" s="8790"/>
      <c r="I112" s="8790"/>
      <c r="J112" s="9035"/>
      <c r="K112" s="8790"/>
      <c r="L112" s="8790"/>
      <c r="M112" s="8906"/>
      <c r="N112" s="8906"/>
      <c r="O112" s="8906"/>
      <c r="P112" s="8878"/>
      <c r="Q112" s="8878"/>
      <c r="R112" s="8792"/>
      <c r="S112" s="694"/>
      <c r="T112" s="476"/>
      <c r="U112" s="475"/>
      <c r="V112" s="509"/>
      <c r="W112" s="471"/>
      <c r="X112" s="471"/>
      <c r="Y112" s="695"/>
      <c r="Z112" s="695"/>
      <c r="AA112" s="695"/>
      <c r="AB112" s="5992"/>
      <c r="AC112" s="5993"/>
      <c r="AD112" s="369"/>
      <c r="AE112" s="471"/>
      <c r="AF112" s="475"/>
      <c r="AG112" s="475"/>
      <c r="AH112" s="9445"/>
      <c r="AI112" s="559"/>
    </row>
    <row r="113" spans="1:35" ht="48.75" customHeight="1">
      <c r="A113" s="9244"/>
      <c r="B113" s="9101"/>
      <c r="C113" s="8901"/>
      <c r="D113" s="8790"/>
      <c r="E113" s="8790"/>
      <c r="F113" s="8790"/>
      <c r="G113" s="8869"/>
      <c r="H113" s="8790"/>
      <c r="I113" s="8790"/>
      <c r="J113" s="9035"/>
      <c r="K113" s="8790"/>
      <c r="L113" s="8790"/>
      <c r="M113" s="8906"/>
      <c r="N113" s="8906"/>
      <c r="O113" s="8906"/>
      <c r="P113" s="8878"/>
      <c r="Q113" s="8878"/>
      <c r="R113" s="8792"/>
      <c r="S113" s="150"/>
      <c r="T113" s="151"/>
      <c r="U113" s="151"/>
      <c r="V113" s="152"/>
      <c r="W113" s="57"/>
      <c r="X113" s="55"/>
      <c r="Y113" s="58"/>
      <c r="Z113" s="58"/>
      <c r="AA113" s="58"/>
      <c r="AB113" s="5994"/>
      <c r="AC113" s="5995"/>
      <c r="AD113" s="356"/>
      <c r="AE113" s="57"/>
      <c r="AF113" s="151"/>
      <c r="AG113" s="151"/>
      <c r="AH113" s="9445"/>
      <c r="AI113" s="559"/>
    </row>
    <row r="114" spans="1:35" ht="48.75" customHeight="1">
      <c r="A114" s="9244"/>
      <c r="B114" s="9101"/>
      <c r="C114" s="8901"/>
      <c r="D114" s="8790"/>
      <c r="E114" s="8790"/>
      <c r="F114" s="8790"/>
      <c r="G114" s="8869"/>
      <c r="H114" s="8790"/>
      <c r="I114" s="8790"/>
      <c r="J114" s="9035"/>
      <c r="K114" s="8790"/>
      <c r="L114" s="8790"/>
      <c r="M114" s="8906"/>
      <c r="N114" s="8906"/>
      <c r="O114" s="8906"/>
      <c r="P114" s="8878"/>
      <c r="Q114" s="8878"/>
      <c r="R114" s="8792"/>
      <c r="S114" s="150"/>
      <c r="T114" s="151"/>
      <c r="U114" s="151"/>
      <c r="V114" s="155"/>
      <c r="W114" s="57"/>
      <c r="X114" s="55"/>
      <c r="Y114" s="58"/>
      <c r="Z114" s="156"/>
      <c r="AA114" s="58"/>
      <c r="AB114" s="5994"/>
      <c r="AC114" s="5995"/>
      <c r="AD114" s="356"/>
      <c r="AE114" s="57"/>
      <c r="AF114" s="151"/>
      <c r="AG114" s="151"/>
      <c r="AH114" s="9445"/>
      <c r="AI114" s="559"/>
    </row>
    <row r="115" spans="1:35" ht="48.75" customHeight="1">
      <c r="A115" s="9244"/>
      <c r="B115" s="9101"/>
      <c r="C115" s="8902"/>
      <c r="D115" s="8886"/>
      <c r="E115" s="8886"/>
      <c r="F115" s="8886"/>
      <c r="G115" s="8903"/>
      <c r="H115" s="8886"/>
      <c r="I115" s="8886"/>
      <c r="J115" s="9036"/>
      <c r="K115" s="8886"/>
      <c r="L115" s="8886"/>
      <c r="M115" s="9421"/>
      <c r="N115" s="9421"/>
      <c r="O115" s="9421"/>
      <c r="P115" s="9440"/>
      <c r="Q115" s="9440"/>
      <c r="R115" s="9041"/>
      <c r="S115" s="176"/>
      <c r="T115" s="177"/>
      <c r="U115" s="177"/>
      <c r="V115" s="60"/>
      <c r="W115" s="61"/>
      <c r="X115" s="59"/>
      <c r="Y115" s="62"/>
      <c r="Z115" s="701"/>
      <c r="AA115" s="62"/>
      <c r="AB115" s="6002"/>
      <c r="AC115" s="6003"/>
      <c r="AD115" s="396"/>
      <c r="AE115" s="61"/>
      <c r="AF115" s="177"/>
      <c r="AG115" s="177"/>
      <c r="AH115" s="9446"/>
      <c r="AI115" s="559"/>
    </row>
    <row r="116" spans="1:35" ht="25.5" customHeight="1">
      <c r="A116" s="9244"/>
      <c r="B116" s="9101"/>
      <c r="C116" s="8901" t="s">
        <v>127</v>
      </c>
      <c r="D116" s="8790" t="s">
        <v>128</v>
      </c>
      <c r="E116" s="8790" t="s">
        <v>140</v>
      </c>
      <c r="F116" s="8790" t="s">
        <v>284</v>
      </c>
      <c r="G116" s="8869" t="s">
        <v>131</v>
      </c>
      <c r="H116" s="8790" t="s">
        <v>213</v>
      </c>
      <c r="I116" s="8790" t="s">
        <v>189</v>
      </c>
      <c r="J116" s="9035" t="s">
        <v>1246</v>
      </c>
      <c r="K116" s="8790" t="s">
        <v>1247</v>
      </c>
      <c r="L116" s="8790" t="s">
        <v>1248</v>
      </c>
      <c r="M116" s="8906">
        <v>1</v>
      </c>
      <c r="N116" s="8906">
        <v>0</v>
      </c>
      <c r="O116" s="8906">
        <v>0</v>
      </c>
      <c r="P116" s="8879" t="s">
        <v>1249</v>
      </c>
      <c r="Q116" s="8879" t="s">
        <v>1250</v>
      </c>
      <c r="R116" s="8792" t="s">
        <v>1245</v>
      </c>
      <c r="S116" s="179"/>
      <c r="T116" s="180"/>
      <c r="U116" s="180"/>
      <c r="V116" s="693"/>
      <c r="W116" s="702"/>
      <c r="X116" s="703"/>
      <c r="Y116" s="704"/>
      <c r="Z116" s="705"/>
      <c r="AA116" s="704"/>
      <c r="AB116" s="6004"/>
      <c r="AC116" s="6005"/>
      <c r="AD116" s="706"/>
      <c r="AE116" s="702"/>
      <c r="AF116" s="180"/>
      <c r="AG116" s="180"/>
      <c r="AH116" s="9519"/>
      <c r="AI116" s="559"/>
    </row>
    <row r="117" spans="1:35" ht="25.5" customHeight="1">
      <c r="A117" s="9244"/>
      <c r="B117" s="9101"/>
      <c r="C117" s="8901"/>
      <c r="D117" s="8790"/>
      <c r="E117" s="8790"/>
      <c r="F117" s="8790"/>
      <c r="G117" s="8869"/>
      <c r="H117" s="8790"/>
      <c r="I117" s="8790"/>
      <c r="J117" s="9035"/>
      <c r="K117" s="8790"/>
      <c r="L117" s="8790"/>
      <c r="M117" s="8906"/>
      <c r="N117" s="8906"/>
      <c r="O117" s="8906"/>
      <c r="P117" s="8879"/>
      <c r="Q117" s="8879"/>
      <c r="R117" s="8792"/>
      <c r="S117" s="720"/>
      <c r="T117" s="721"/>
      <c r="U117" s="721"/>
      <c r="V117" s="722"/>
      <c r="W117" s="723"/>
      <c r="X117" s="724"/>
      <c r="Y117" s="725"/>
      <c r="Z117" s="726"/>
      <c r="AA117" s="725"/>
      <c r="AB117" s="6006"/>
      <c r="AC117" s="6007"/>
      <c r="AD117" s="727"/>
      <c r="AE117" s="723"/>
      <c r="AF117" s="721"/>
      <c r="AG117" s="721"/>
      <c r="AH117" s="9445"/>
      <c r="AI117" s="559"/>
    </row>
    <row r="118" spans="1:35" ht="25.5" customHeight="1">
      <c r="A118" s="9244"/>
      <c r="B118" s="9101"/>
      <c r="C118" s="8901"/>
      <c r="D118" s="8790"/>
      <c r="E118" s="8790"/>
      <c r="F118" s="8790"/>
      <c r="G118" s="8869"/>
      <c r="H118" s="8790"/>
      <c r="I118" s="8790"/>
      <c r="J118" s="9035"/>
      <c r="K118" s="8790"/>
      <c r="L118" s="8790"/>
      <c r="M118" s="8906"/>
      <c r="N118" s="8906"/>
      <c r="O118" s="8906"/>
      <c r="P118" s="8879"/>
      <c r="Q118" s="8879"/>
      <c r="R118" s="8792"/>
      <c r="S118" s="694"/>
      <c r="T118" s="476"/>
      <c r="U118" s="475"/>
      <c r="V118" s="509"/>
      <c r="W118" s="471"/>
      <c r="X118" s="471"/>
      <c r="Y118" s="695"/>
      <c r="Z118" s="695"/>
      <c r="AA118" s="695"/>
      <c r="AB118" s="5992"/>
      <c r="AC118" s="5993"/>
      <c r="AD118" s="369"/>
      <c r="AE118" s="471"/>
      <c r="AF118" s="475"/>
      <c r="AG118" s="475"/>
      <c r="AH118" s="9445"/>
      <c r="AI118" s="559"/>
    </row>
    <row r="119" spans="1:35" ht="25.5" customHeight="1">
      <c r="A119" s="9244"/>
      <c r="B119" s="9101"/>
      <c r="C119" s="8901"/>
      <c r="D119" s="8790"/>
      <c r="E119" s="8790"/>
      <c r="F119" s="8790"/>
      <c r="G119" s="8869"/>
      <c r="H119" s="8790"/>
      <c r="I119" s="8790"/>
      <c r="J119" s="9035"/>
      <c r="K119" s="8790"/>
      <c r="L119" s="8790"/>
      <c r="M119" s="8906"/>
      <c r="N119" s="8906"/>
      <c r="O119" s="8906"/>
      <c r="P119" s="8879"/>
      <c r="Q119" s="8879"/>
      <c r="R119" s="8792"/>
      <c r="S119" s="150"/>
      <c r="T119" s="151"/>
      <c r="U119" s="151"/>
      <c r="V119" s="152"/>
      <c r="W119" s="57"/>
      <c r="X119" s="55"/>
      <c r="Y119" s="58"/>
      <c r="Z119" s="58"/>
      <c r="AA119" s="58"/>
      <c r="AB119" s="5994"/>
      <c r="AC119" s="5995"/>
      <c r="AD119" s="356"/>
      <c r="AE119" s="57"/>
      <c r="AF119" s="151"/>
      <c r="AG119" s="151"/>
      <c r="AH119" s="9445"/>
      <c r="AI119" s="559"/>
    </row>
    <row r="120" spans="1:35" ht="25.5" customHeight="1">
      <c r="A120" s="9244"/>
      <c r="B120" s="9101"/>
      <c r="C120" s="8902"/>
      <c r="D120" s="8886"/>
      <c r="E120" s="8886"/>
      <c r="F120" s="8886"/>
      <c r="G120" s="8903"/>
      <c r="H120" s="8886"/>
      <c r="I120" s="8886"/>
      <c r="J120" s="9036"/>
      <c r="K120" s="8886"/>
      <c r="L120" s="8886"/>
      <c r="M120" s="9421"/>
      <c r="N120" s="9421"/>
      <c r="O120" s="9421"/>
      <c r="P120" s="8904"/>
      <c r="Q120" s="8904"/>
      <c r="R120" s="8792"/>
      <c r="S120" s="157"/>
      <c r="T120" s="158"/>
      <c r="U120" s="158"/>
      <c r="V120" s="713"/>
      <c r="W120" s="160"/>
      <c r="X120" s="161"/>
      <c r="Y120" s="162"/>
      <c r="Z120" s="163"/>
      <c r="AA120" s="162"/>
      <c r="AB120" s="6008"/>
      <c r="AC120" s="6009"/>
      <c r="AD120" s="358"/>
      <c r="AE120" s="160"/>
      <c r="AF120" s="158"/>
      <c r="AG120" s="158"/>
      <c r="AH120" s="9446"/>
      <c r="AI120" s="559"/>
    </row>
    <row r="121" spans="1:35" ht="24.75" customHeight="1">
      <c r="A121" s="9244"/>
      <c r="B121" s="9101"/>
      <c r="C121" s="8901" t="s">
        <v>127</v>
      </c>
      <c r="D121" s="8790" t="s">
        <v>128</v>
      </c>
      <c r="E121" s="8790" t="s">
        <v>140</v>
      </c>
      <c r="F121" s="8790" t="s">
        <v>597</v>
      </c>
      <c r="G121" s="8869" t="s">
        <v>131</v>
      </c>
      <c r="H121" s="8790" t="s">
        <v>213</v>
      </c>
      <c r="I121" s="8790" t="s">
        <v>133</v>
      </c>
      <c r="J121" s="9035" t="s">
        <v>1251</v>
      </c>
      <c r="K121" s="9422" t="s">
        <v>1221</v>
      </c>
      <c r="L121" s="8790" t="s">
        <v>1252</v>
      </c>
      <c r="M121" s="8906">
        <v>2</v>
      </c>
      <c r="N121" s="8906">
        <v>1</v>
      </c>
      <c r="O121" s="8906">
        <v>1</v>
      </c>
      <c r="P121" s="8879" t="s">
        <v>1253</v>
      </c>
      <c r="Q121" s="8879" t="s">
        <v>1254</v>
      </c>
      <c r="R121" s="9416" t="s">
        <v>1245</v>
      </c>
      <c r="S121" s="710"/>
      <c r="T121" s="166"/>
      <c r="U121" s="166"/>
      <c r="V121" s="711"/>
      <c r="W121" s="171"/>
      <c r="X121" s="172"/>
      <c r="Y121" s="174"/>
      <c r="Z121" s="173"/>
      <c r="AA121" s="174"/>
      <c r="AB121" s="6010"/>
      <c r="AC121" s="6011"/>
      <c r="AD121" s="712"/>
      <c r="AE121" s="171"/>
      <c r="AF121" s="166"/>
      <c r="AG121" s="166"/>
      <c r="AH121" s="9520"/>
      <c r="AI121" s="559"/>
    </row>
    <row r="122" spans="1:35" ht="24.75" customHeight="1">
      <c r="A122" s="9244"/>
      <c r="B122" s="9101"/>
      <c r="C122" s="8901"/>
      <c r="D122" s="8790"/>
      <c r="E122" s="8790"/>
      <c r="F122" s="8790"/>
      <c r="G122" s="8869"/>
      <c r="H122" s="8790"/>
      <c r="I122" s="8790"/>
      <c r="J122" s="9035"/>
      <c r="K122" s="9422"/>
      <c r="L122" s="8790"/>
      <c r="M122" s="8906"/>
      <c r="N122" s="8906"/>
      <c r="O122" s="8906"/>
      <c r="P122" s="8879"/>
      <c r="Q122" s="8879"/>
      <c r="R122" s="8792"/>
      <c r="S122" s="157"/>
      <c r="T122" s="158"/>
      <c r="U122" s="158"/>
      <c r="V122" s="159"/>
      <c r="W122" s="160"/>
      <c r="X122" s="161"/>
      <c r="Y122" s="162"/>
      <c r="Z122" s="163"/>
      <c r="AA122" s="162"/>
      <c r="AB122" s="5998"/>
      <c r="AC122" s="5999"/>
      <c r="AD122" s="395"/>
      <c r="AE122" s="160"/>
      <c r="AF122" s="158"/>
      <c r="AG122" s="158"/>
      <c r="AH122" s="9521"/>
      <c r="AI122" s="559"/>
    </row>
    <row r="123" spans="1:35" ht="24.75" customHeight="1">
      <c r="A123" s="9244"/>
      <c r="B123" s="9101"/>
      <c r="C123" s="8901"/>
      <c r="D123" s="8790"/>
      <c r="E123" s="8790"/>
      <c r="F123" s="8790"/>
      <c r="G123" s="8869"/>
      <c r="H123" s="8790"/>
      <c r="I123" s="8790"/>
      <c r="J123" s="9035"/>
      <c r="K123" s="9422"/>
      <c r="L123" s="8790"/>
      <c r="M123" s="8906"/>
      <c r="N123" s="8906"/>
      <c r="O123" s="8906"/>
      <c r="P123" s="8879"/>
      <c r="Q123" s="8879"/>
      <c r="R123" s="8792"/>
      <c r="S123" s="720"/>
      <c r="T123" s="721"/>
      <c r="U123" s="721"/>
      <c r="V123" s="722"/>
      <c r="W123" s="723"/>
      <c r="X123" s="724"/>
      <c r="Y123" s="725"/>
      <c r="Z123" s="726"/>
      <c r="AA123" s="725"/>
      <c r="AB123" s="6006"/>
      <c r="AC123" s="6007"/>
      <c r="AD123" s="727"/>
      <c r="AE123" s="723"/>
      <c r="AF123" s="721"/>
      <c r="AG123" s="721"/>
      <c r="AH123" s="9521"/>
      <c r="AI123" s="559"/>
    </row>
    <row r="124" spans="1:35" ht="24.75" customHeight="1">
      <c r="A124" s="9244"/>
      <c r="B124" s="9101"/>
      <c r="C124" s="8901"/>
      <c r="D124" s="8790"/>
      <c r="E124" s="8790"/>
      <c r="F124" s="8790"/>
      <c r="G124" s="8869"/>
      <c r="H124" s="8790"/>
      <c r="I124" s="8790"/>
      <c r="J124" s="9035"/>
      <c r="K124" s="9422"/>
      <c r="L124" s="8790"/>
      <c r="M124" s="8906"/>
      <c r="N124" s="8906"/>
      <c r="O124" s="8906"/>
      <c r="P124" s="8879"/>
      <c r="Q124" s="8879"/>
      <c r="R124" s="8792"/>
      <c r="S124" s="694"/>
      <c r="T124" s="476"/>
      <c r="U124" s="475"/>
      <c r="V124" s="509"/>
      <c r="W124" s="471"/>
      <c r="X124" s="471"/>
      <c r="Y124" s="695"/>
      <c r="Z124" s="695"/>
      <c r="AA124" s="695"/>
      <c r="AB124" s="5992"/>
      <c r="AC124" s="5993"/>
      <c r="AD124" s="369"/>
      <c r="AE124" s="471"/>
      <c r="AF124" s="475"/>
      <c r="AG124" s="475"/>
      <c r="AH124" s="9521"/>
      <c r="AI124" s="559"/>
    </row>
    <row r="125" spans="1:35" ht="24.75" customHeight="1">
      <c r="A125" s="9244"/>
      <c r="B125" s="9101"/>
      <c r="C125" s="8902"/>
      <c r="D125" s="8886"/>
      <c r="E125" s="8886"/>
      <c r="F125" s="8886"/>
      <c r="G125" s="8903"/>
      <c r="H125" s="8886"/>
      <c r="I125" s="8886"/>
      <c r="J125" s="9036"/>
      <c r="K125" s="9423"/>
      <c r="L125" s="8886"/>
      <c r="M125" s="9421"/>
      <c r="N125" s="9421"/>
      <c r="O125" s="9421"/>
      <c r="P125" s="8904"/>
      <c r="Q125" s="8904"/>
      <c r="R125" s="9041"/>
      <c r="S125" s="176"/>
      <c r="T125" s="177"/>
      <c r="U125" s="177"/>
      <c r="V125" s="707"/>
      <c r="W125" s="61"/>
      <c r="X125" s="59"/>
      <c r="Y125" s="62"/>
      <c r="Z125" s="62"/>
      <c r="AA125" s="62"/>
      <c r="AB125" s="6012"/>
      <c r="AC125" s="6013"/>
      <c r="AD125" s="397"/>
      <c r="AE125" s="61"/>
      <c r="AF125" s="177"/>
      <c r="AG125" s="177"/>
      <c r="AH125" s="9522"/>
      <c r="AI125" s="559"/>
    </row>
    <row r="126" spans="1:35" ht="24" customHeight="1">
      <c r="A126" s="9244"/>
      <c r="B126" s="9101" t="s">
        <v>1233</v>
      </c>
      <c r="C126" s="8901" t="s">
        <v>127</v>
      </c>
      <c r="D126" s="8790" t="s">
        <v>128</v>
      </c>
      <c r="E126" s="8790" t="s">
        <v>140</v>
      </c>
      <c r="F126" s="8790" t="s">
        <v>212</v>
      </c>
      <c r="G126" s="8869" t="s">
        <v>131</v>
      </c>
      <c r="H126" s="8790" t="s">
        <v>213</v>
      </c>
      <c r="I126" s="8790" t="s">
        <v>189</v>
      </c>
      <c r="J126" s="9035" t="s">
        <v>1255</v>
      </c>
      <c r="K126" s="9422" t="s">
        <v>1256</v>
      </c>
      <c r="L126" s="8790" t="s">
        <v>1257</v>
      </c>
      <c r="M126" s="8889">
        <v>3</v>
      </c>
      <c r="N126" s="8889">
        <v>2</v>
      </c>
      <c r="O126" s="8889">
        <v>1</v>
      </c>
      <c r="P126" s="8879" t="s">
        <v>1258</v>
      </c>
      <c r="Q126" s="8879" t="s">
        <v>1259</v>
      </c>
      <c r="R126" s="8792" t="s">
        <v>1245</v>
      </c>
      <c r="S126" s="178"/>
      <c r="T126" s="475"/>
      <c r="U126" s="475"/>
      <c r="V126" s="708"/>
      <c r="W126" s="471"/>
      <c r="X126" s="472"/>
      <c r="Y126" s="473"/>
      <c r="Z126" s="709"/>
      <c r="AA126" s="473"/>
      <c r="AB126" s="5992"/>
      <c r="AC126" s="5993"/>
      <c r="AD126" s="369"/>
      <c r="AE126" s="471"/>
      <c r="AF126" s="475"/>
      <c r="AG126" s="475"/>
      <c r="AH126" s="9520"/>
      <c r="AI126" s="559"/>
    </row>
    <row r="127" spans="1:35" ht="24" customHeight="1">
      <c r="A127" s="9244"/>
      <c r="B127" s="9101"/>
      <c r="C127" s="8901"/>
      <c r="D127" s="8790"/>
      <c r="E127" s="8790"/>
      <c r="F127" s="8790"/>
      <c r="G127" s="8869"/>
      <c r="H127" s="8790"/>
      <c r="I127" s="8790"/>
      <c r="J127" s="9035"/>
      <c r="K127" s="9422"/>
      <c r="L127" s="8790"/>
      <c r="M127" s="8889"/>
      <c r="N127" s="8889"/>
      <c r="O127" s="8889"/>
      <c r="P127" s="8879"/>
      <c r="Q127" s="8879"/>
      <c r="R127" s="8792"/>
      <c r="S127" s="150"/>
      <c r="T127" s="151"/>
      <c r="U127" s="151"/>
      <c r="V127" s="56"/>
      <c r="W127" s="57"/>
      <c r="X127" s="55"/>
      <c r="Y127" s="58"/>
      <c r="Z127" s="156"/>
      <c r="AA127" s="58"/>
      <c r="AB127" s="5996"/>
      <c r="AC127" s="5997"/>
      <c r="AD127" s="394"/>
      <c r="AE127" s="57"/>
      <c r="AF127" s="151"/>
      <c r="AG127" s="151"/>
      <c r="AH127" s="9521"/>
      <c r="AI127" s="559"/>
    </row>
    <row r="128" spans="1:35" ht="24" customHeight="1">
      <c r="A128" s="9244"/>
      <c r="B128" s="9101"/>
      <c r="C128" s="8901"/>
      <c r="D128" s="8790"/>
      <c r="E128" s="8790"/>
      <c r="F128" s="8790"/>
      <c r="G128" s="8869"/>
      <c r="H128" s="8790"/>
      <c r="I128" s="8790"/>
      <c r="J128" s="9035"/>
      <c r="K128" s="9422"/>
      <c r="L128" s="8790"/>
      <c r="M128" s="8889"/>
      <c r="N128" s="8889"/>
      <c r="O128" s="8889"/>
      <c r="P128" s="8879"/>
      <c r="Q128" s="8879"/>
      <c r="R128" s="8792"/>
      <c r="S128" s="157"/>
      <c r="T128" s="158"/>
      <c r="U128" s="158"/>
      <c r="V128" s="159"/>
      <c r="W128" s="160"/>
      <c r="X128" s="161"/>
      <c r="Y128" s="162"/>
      <c r="Z128" s="163"/>
      <c r="AA128" s="162"/>
      <c r="AB128" s="5998"/>
      <c r="AC128" s="5999"/>
      <c r="AD128" s="395"/>
      <c r="AE128" s="160"/>
      <c r="AF128" s="158"/>
      <c r="AG128" s="158"/>
      <c r="AH128" s="9521"/>
      <c r="AI128" s="559"/>
    </row>
    <row r="129" spans="1:35" ht="24" customHeight="1">
      <c r="A129" s="9244"/>
      <c r="B129" s="9101"/>
      <c r="C129" s="8901"/>
      <c r="D129" s="8790"/>
      <c r="E129" s="8790"/>
      <c r="F129" s="8790"/>
      <c r="G129" s="8869"/>
      <c r="H129" s="8790"/>
      <c r="I129" s="8790"/>
      <c r="J129" s="9035"/>
      <c r="K129" s="9422"/>
      <c r="L129" s="8790"/>
      <c r="M129" s="8889"/>
      <c r="N129" s="8889"/>
      <c r="O129" s="8889"/>
      <c r="P129" s="8879"/>
      <c r="Q129" s="8879"/>
      <c r="R129" s="8792"/>
      <c r="S129" s="720"/>
      <c r="T129" s="721"/>
      <c r="U129" s="721"/>
      <c r="V129" s="722"/>
      <c r="W129" s="723"/>
      <c r="X129" s="724"/>
      <c r="Y129" s="725"/>
      <c r="Z129" s="726"/>
      <c r="AA129" s="725"/>
      <c r="AB129" s="6006"/>
      <c r="AC129" s="6007"/>
      <c r="AD129" s="727"/>
      <c r="AE129" s="723"/>
      <c r="AF129" s="721"/>
      <c r="AG129" s="721"/>
      <c r="AH129" s="9521"/>
      <c r="AI129" s="559"/>
    </row>
    <row r="130" spans="1:35" ht="24" customHeight="1">
      <c r="A130" s="9244"/>
      <c r="B130" s="9101"/>
      <c r="C130" s="8902"/>
      <c r="D130" s="8886"/>
      <c r="E130" s="8886"/>
      <c r="F130" s="8886"/>
      <c r="G130" s="8903"/>
      <c r="H130" s="8886"/>
      <c r="I130" s="8886"/>
      <c r="J130" s="9036"/>
      <c r="K130" s="9423"/>
      <c r="L130" s="8886"/>
      <c r="M130" s="8891"/>
      <c r="N130" s="8891"/>
      <c r="O130" s="8891"/>
      <c r="P130" s="8904"/>
      <c r="Q130" s="8904"/>
      <c r="R130" s="8792"/>
      <c r="S130" s="715"/>
      <c r="T130" s="716"/>
      <c r="U130" s="180"/>
      <c r="V130" s="717"/>
      <c r="W130" s="702"/>
      <c r="X130" s="702"/>
      <c r="Y130" s="718"/>
      <c r="Z130" s="718"/>
      <c r="AA130" s="718"/>
      <c r="AB130" s="6014"/>
      <c r="AC130" s="6015"/>
      <c r="AD130" s="719"/>
      <c r="AE130" s="702"/>
      <c r="AF130" s="180"/>
      <c r="AG130" s="180"/>
      <c r="AH130" s="9522"/>
      <c r="AI130" s="559"/>
    </row>
    <row r="131" spans="1:35" ht="25.5" customHeight="1">
      <c r="A131" s="9244"/>
      <c r="B131" s="9101"/>
      <c r="C131" s="8901" t="s">
        <v>127</v>
      </c>
      <c r="D131" s="8790" t="s">
        <v>128</v>
      </c>
      <c r="E131" s="8790" t="s">
        <v>140</v>
      </c>
      <c r="F131" s="8790" t="s">
        <v>284</v>
      </c>
      <c r="G131" s="8869" t="s">
        <v>131</v>
      </c>
      <c r="H131" s="8790" t="s">
        <v>213</v>
      </c>
      <c r="I131" s="8790" t="s">
        <v>159</v>
      </c>
      <c r="J131" s="9035" t="s">
        <v>1260</v>
      </c>
      <c r="K131" s="8790" t="s">
        <v>286</v>
      </c>
      <c r="L131" s="8790" t="s">
        <v>1261</v>
      </c>
      <c r="M131" s="8889">
        <v>1</v>
      </c>
      <c r="N131" s="8889">
        <v>0</v>
      </c>
      <c r="O131" s="8889">
        <v>2</v>
      </c>
      <c r="P131" s="8879" t="s">
        <v>1262</v>
      </c>
      <c r="Q131" s="8879" t="s">
        <v>1263</v>
      </c>
      <c r="R131" s="9416" t="s">
        <v>1245</v>
      </c>
      <c r="S131" s="710"/>
      <c r="T131" s="166"/>
      <c r="U131" s="166"/>
      <c r="V131" s="714"/>
      <c r="W131" s="171"/>
      <c r="X131" s="172"/>
      <c r="Y131" s="174"/>
      <c r="Z131" s="174"/>
      <c r="AA131" s="174"/>
      <c r="AB131" s="6016"/>
      <c r="AC131" s="6017"/>
      <c r="AD131" s="370"/>
      <c r="AE131" s="171"/>
      <c r="AF131" s="166"/>
      <c r="AG131" s="166"/>
      <c r="AH131" s="9520"/>
      <c r="AI131" s="559"/>
    </row>
    <row r="132" spans="1:35" ht="25.5" customHeight="1">
      <c r="A132" s="9244"/>
      <c r="B132" s="9101"/>
      <c r="C132" s="8901"/>
      <c r="D132" s="8790"/>
      <c r="E132" s="8790"/>
      <c r="F132" s="8790"/>
      <c r="G132" s="8869"/>
      <c r="H132" s="8790"/>
      <c r="I132" s="8790"/>
      <c r="J132" s="9035"/>
      <c r="K132" s="8790"/>
      <c r="L132" s="8790"/>
      <c r="M132" s="8889"/>
      <c r="N132" s="8889"/>
      <c r="O132" s="8889"/>
      <c r="P132" s="8879"/>
      <c r="Q132" s="8879"/>
      <c r="R132" s="8792"/>
      <c r="S132" s="150"/>
      <c r="T132" s="151"/>
      <c r="U132" s="151"/>
      <c r="V132" s="155"/>
      <c r="W132" s="57"/>
      <c r="X132" s="55"/>
      <c r="Y132" s="58"/>
      <c r="Z132" s="156"/>
      <c r="AA132" s="58"/>
      <c r="AB132" s="5994"/>
      <c r="AC132" s="5995"/>
      <c r="AD132" s="356"/>
      <c r="AE132" s="57"/>
      <c r="AF132" s="151"/>
      <c r="AG132" s="151"/>
      <c r="AH132" s="9521"/>
      <c r="AI132" s="559"/>
    </row>
    <row r="133" spans="1:35" ht="25.5" customHeight="1">
      <c r="A133" s="9244"/>
      <c r="B133" s="9101"/>
      <c r="C133" s="8901"/>
      <c r="D133" s="8790"/>
      <c r="E133" s="8790"/>
      <c r="F133" s="8790"/>
      <c r="G133" s="8869"/>
      <c r="H133" s="8790"/>
      <c r="I133" s="8790"/>
      <c r="J133" s="9035"/>
      <c r="K133" s="8790"/>
      <c r="L133" s="8790"/>
      <c r="M133" s="8889"/>
      <c r="N133" s="8889"/>
      <c r="O133" s="8889"/>
      <c r="P133" s="8879"/>
      <c r="Q133" s="8879"/>
      <c r="R133" s="8792"/>
      <c r="S133" s="150"/>
      <c r="T133" s="151"/>
      <c r="U133" s="151"/>
      <c r="V133" s="56"/>
      <c r="W133" s="57"/>
      <c r="X133" s="55"/>
      <c r="Y133" s="58"/>
      <c r="Z133" s="156"/>
      <c r="AA133" s="58"/>
      <c r="AB133" s="5996"/>
      <c r="AC133" s="5997"/>
      <c r="AD133" s="394"/>
      <c r="AE133" s="57"/>
      <c r="AF133" s="151"/>
      <c r="AG133" s="151"/>
      <c r="AH133" s="9521"/>
      <c r="AI133" s="559"/>
    </row>
    <row r="134" spans="1:35" ht="25.5" customHeight="1">
      <c r="A134" s="9244"/>
      <c r="B134" s="9101"/>
      <c r="C134" s="8901"/>
      <c r="D134" s="8790"/>
      <c r="E134" s="8790"/>
      <c r="F134" s="8790"/>
      <c r="G134" s="8869"/>
      <c r="H134" s="8790"/>
      <c r="I134" s="8790"/>
      <c r="J134" s="9035"/>
      <c r="K134" s="8790"/>
      <c r="L134" s="8790"/>
      <c r="M134" s="8889"/>
      <c r="N134" s="8889"/>
      <c r="O134" s="8889"/>
      <c r="P134" s="8879"/>
      <c r="Q134" s="8879"/>
      <c r="R134" s="8792"/>
      <c r="S134" s="157"/>
      <c r="T134" s="158"/>
      <c r="U134" s="158"/>
      <c r="V134" s="159"/>
      <c r="W134" s="160"/>
      <c r="X134" s="161"/>
      <c r="Y134" s="162"/>
      <c r="Z134" s="163"/>
      <c r="AA134" s="162"/>
      <c r="AB134" s="5998"/>
      <c r="AC134" s="5999"/>
      <c r="AD134" s="395"/>
      <c r="AE134" s="160"/>
      <c r="AF134" s="158"/>
      <c r="AG134" s="158"/>
      <c r="AH134" s="9521"/>
      <c r="AI134" s="559"/>
    </row>
    <row r="135" spans="1:35" ht="25.5" customHeight="1">
      <c r="A135" s="9244"/>
      <c r="B135" s="9101"/>
      <c r="C135" s="8902"/>
      <c r="D135" s="8886"/>
      <c r="E135" s="8886"/>
      <c r="F135" s="8886"/>
      <c r="G135" s="8903"/>
      <c r="H135" s="8886"/>
      <c r="I135" s="8886"/>
      <c r="J135" s="9036"/>
      <c r="K135" s="8886"/>
      <c r="L135" s="8886"/>
      <c r="M135" s="8891"/>
      <c r="N135" s="8891"/>
      <c r="O135" s="8891"/>
      <c r="P135" s="8904"/>
      <c r="Q135" s="8904"/>
      <c r="R135" s="9041"/>
      <c r="S135" s="176"/>
      <c r="T135" s="177"/>
      <c r="U135" s="177"/>
      <c r="V135" s="60"/>
      <c r="W135" s="61"/>
      <c r="X135" s="59"/>
      <c r="Y135" s="62"/>
      <c r="Z135" s="701"/>
      <c r="AA135" s="62"/>
      <c r="AB135" s="6002"/>
      <c r="AC135" s="6003"/>
      <c r="AD135" s="396"/>
      <c r="AE135" s="61"/>
      <c r="AF135" s="177"/>
      <c r="AG135" s="177"/>
      <c r="AH135" s="9522"/>
      <c r="AI135" s="559"/>
    </row>
    <row r="136" spans="1:35" ht="24" customHeight="1">
      <c r="A136" s="9244"/>
      <c r="B136" s="9101"/>
      <c r="C136" s="8901" t="s">
        <v>127</v>
      </c>
      <c r="D136" s="8790" t="s">
        <v>128</v>
      </c>
      <c r="E136" s="8790" t="s">
        <v>129</v>
      </c>
      <c r="F136" s="8790" t="s">
        <v>268</v>
      </c>
      <c r="G136" s="8869" t="s">
        <v>131</v>
      </c>
      <c r="H136" s="8790" t="s">
        <v>213</v>
      </c>
      <c r="I136" s="8790" t="s">
        <v>159</v>
      </c>
      <c r="J136" s="8879" t="s">
        <v>1264</v>
      </c>
      <c r="K136" s="8790" t="s">
        <v>338</v>
      </c>
      <c r="L136" s="8790" t="s">
        <v>1265</v>
      </c>
      <c r="M136" s="8889">
        <v>0</v>
      </c>
      <c r="N136" s="8889">
        <v>0</v>
      </c>
      <c r="O136" s="8889">
        <v>1</v>
      </c>
      <c r="P136" s="9417" t="s">
        <v>1266</v>
      </c>
      <c r="Q136" s="9417" t="s">
        <v>1267</v>
      </c>
      <c r="R136" s="8792" t="s">
        <v>1245</v>
      </c>
      <c r="S136" s="694"/>
      <c r="T136" s="476"/>
      <c r="U136" s="475"/>
      <c r="V136" s="509"/>
      <c r="W136" s="471"/>
      <c r="X136" s="471"/>
      <c r="Y136" s="695"/>
      <c r="Z136" s="695"/>
      <c r="AA136" s="695"/>
      <c r="AB136" s="5992"/>
      <c r="AC136" s="5993"/>
      <c r="AD136" s="369"/>
      <c r="AE136" s="471"/>
      <c r="AF136" s="475"/>
      <c r="AG136" s="475"/>
      <c r="AH136" s="9425"/>
      <c r="AI136" s="559"/>
    </row>
    <row r="137" spans="1:35" ht="24" customHeight="1">
      <c r="A137" s="9244"/>
      <c r="B137" s="9101"/>
      <c r="C137" s="8901"/>
      <c r="D137" s="8790"/>
      <c r="E137" s="8790"/>
      <c r="F137" s="8790"/>
      <c r="G137" s="8869"/>
      <c r="H137" s="8790"/>
      <c r="I137" s="8790"/>
      <c r="J137" s="8879"/>
      <c r="K137" s="8790"/>
      <c r="L137" s="8790"/>
      <c r="M137" s="8889"/>
      <c r="N137" s="8889"/>
      <c r="O137" s="8889"/>
      <c r="P137" s="9417"/>
      <c r="Q137" s="9417"/>
      <c r="R137" s="8792"/>
      <c r="S137" s="150"/>
      <c r="T137" s="151"/>
      <c r="U137" s="151"/>
      <c r="V137" s="152"/>
      <c r="W137" s="57"/>
      <c r="X137" s="55"/>
      <c r="Y137" s="58"/>
      <c r="Z137" s="58"/>
      <c r="AA137" s="58"/>
      <c r="AB137" s="5994"/>
      <c r="AC137" s="5995"/>
      <c r="AD137" s="356"/>
      <c r="AE137" s="57"/>
      <c r="AF137" s="151"/>
      <c r="AG137" s="151"/>
      <c r="AH137" s="9426"/>
      <c r="AI137" s="559"/>
    </row>
    <row r="138" spans="1:35" ht="24" customHeight="1">
      <c r="A138" s="9244"/>
      <c r="B138" s="9101"/>
      <c r="C138" s="8901"/>
      <c r="D138" s="8790"/>
      <c r="E138" s="8790"/>
      <c r="F138" s="8790"/>
      <c r="G138" s="8869"/>
      <c r="H138" s="8790"/>
      <c r="I138" s="8790"/>
      <c r="J138" s="8879"/>
      <c r="K138" s="8790"/>
      <c r="L138" s="8790"/>
      <c r="M138" s="8889"/>
      <c r="N138" s="8889"/>
      <c r="O138" s="8889"/>
      <c r="P138" s="9417"/>
      <c r="Q138" s="9417"/>
      <c r="R138" s="8792"/>
      <c r="S138" s="150"/>
      <c r="T138" s="151"/>
      <c r="U138" s="151"/>
      <c r="V138" s="155"/>
      <c r="W138" s="57"/>
      <c r="X138" s="55"/>
      <c r="Y138" s="58"/>
      <c r="Z138" s="156"/>
      <c r="AA138" s="58"/>
      <c r="AB138" s="5994"/>
      <c r="AC138" s="5995"/>
      <c r="AD138" s="356"/>
      <c r="AE138" s="57"/>
      <c r="AF138" s="151"/>
      <c r="AG138" s="151"/>
      <c r="AH138" s="9426"/>
      <c r="AI138" s="559"/>
    </row>
    <row r="139" spans="1:35" ht="24" customHeight="1">
      <c r="A139" s="9244"/>
      <c r="B139" s="9101"/>
      <c r="C139" s="8901"/>
      <c r="D139" s="8790"/>
      <c r="E139" s="8790"/>
      <c r="F139" s="8790"/>
      <c r="G139" s="8869"/>
      <c r="H139" s="8790"/>
      <c r="I139" s="8790"/>
      <c r="J139" s="8879"/>
      <c r="K139" s="8790"/>
      <c r="L139" s="8790"/>
      <c r="M139" s="8889"/>
      <c r="N139" s="8889"/>
      <c r="O139" s="8889"/>
      <c r="P139" s="9417"/>
      <c r="Q139" s="9417"/>
      <c r="R139" s="8792"/>
      <c r="S139" s="150"/>
      <c r="T139" s="151"/>
      <c r="U139" s="151"/>
      <c r="V139" s="56"/>
      <c r="W139" s="57"/>
      <c r="X139" s="55"/>
      <c r="Y139" s="58"/>
      <c r="Z139" s="156"/>
      <c r="AA139" s="58"/>
      <c r="AB139" s="5996"/>
      <c r="AC139" s="5997"/>
      <c r="AD139" s="394"/>
      <c r="AE139" s="57"/>
      <c r="AF139" s="151"/>
      <c r="AG139" s="151"/>
      <c r="AH139" s="9426"/>
      <c r="AI139" s="559"/>
    </row>
    <row r="140" spans="1:35" ht="24" customHeight="1">
      <c r="A140" s="9244"/>
      <c r="B140" s="9101"/>
      <c r="C140" s="8902"/>
      <c r="D140" s="8886"/>
      <c r="E140" s="8886"/>
      <c r="F140" s="8886"/>
      <c r="G140" s="8903"/>
      <c r="H140" s="8886"/>
      <c r="I140" s="8886"/>
      <c r="J140" s="8904"/>
      <c r="K140" s="8886"/>
      <c r="L140" s="8886"/>
      <c r="M140" s="8891"/>
      <c r="N140" s="8891"/>
      <c r="O140" s="8891"/>
      <c r="P140" s="9418"/>
      <c r="Q140" s="9418"/>
      <c r="R140" s="9041"/>
      <c r="S140" s="176"/>
      <c r="T140" s="177"/>
      <c r="U140" s="177"/>
      <c r="V140" s="60"/>
      <c r="W140" s="61"/>
      <c r="X140" s="59"/>
      <c r="Y140" s="62"/>
      <c r="Z140" s="701"/>
      <c r="AA140" s="62"/>
      <c r="AB140" s="6002"/>
      <c r="AC140" s="6003"/>
      <c r="AD140" s="396"/>
      <c r="AE140" s="61"/>
      <c r="AF140" s="177"/>
      <c r="AG140" s="177"/>
      <c r="AH140" s="9427"/>
      <c r="AI140" s="559"/>
    </row>
    <row r="141" spans="1:35" s="4835" customFormat="1" ht="22.5" customHeight="1">
      <c r="A141" s="9244"/>
      <c r="B141" s="6210"/>
      <c r="C141" s="699"/>
      <c r="D141" s="699"/>
      <c r="E141" s="699"/>
      <c r="F141" s="699"/>
      <c r="G141" s="699"/>
      <c r="H141" s="699"/>
      <c r="I141" s="699"/>
      <c r="J141" s="699"/>
      <c r="K141" s="699"/>
      <c r="L141" s="699"/>
      <c r="M141" s="699"/>
      <c r="N141" s="699"/>
      <c r="O141" s="699"/>
      <c r="P141" s="699"/>
      <c r="Q141" s="699"/>
      <c r="R141" s="699"/>
      <c r="S141" s="9428" t="s">
        <v>1268</v>
      </c>
      <c r="T141" s="9429"/>
      <c r="U141" s="9429"/>
      <c r="V141" s="9429"/>
      <c r="W141" s="9429"/>
      <c r="X141" s="9429"/>
      <c r="Y141" s="9429"/>
      <c r="Z141" s="9429"/>
      <c r="AA141" s="5955" t="s">
        <v>292</v>
      </c>
      <c r="AB141" s="5956">
        <v>0</v>
      </c>
      <c r="AC141" s="700"/>
      <c r="AD141" s="700"/>
      <c r="AE141" s="9430"/>
      <c r="AF141" s="9431"/>
      <c r="AG141" s="9431"/>
      <c r="AH141" s="9432"/>
      <c r="AI141" s="5952"/>
    </row>
    <row r="142" spans="1:35" s="4835" customFormat="1" ht="30" customHeight="1">
      <c r="A142" s="9245"/>
      <c r="B142" s="6211"/>
      <c r="C142" s="4838"/>
      <c r="D142" s="4838"/>
      <c r="E142" s="4838"/>
      <c r="F142" s="4838"/>
      <c r="G142" s="4838"/>
      <c r="H142" s="4838"/>
      <c r="I142" s="4838"/>
      <c r="J142" s="4838"/>
      <c r="K142" s="4838"/>
      <c r="L142" s="4838"/>
      <c r="M142" s="4838"/>
      <c r="N142" s="4838"/>
      <c r="O142" s="4838"/>
      <c r="P142" s="4838"/>
      <c r="Q142" s="4838"/>
      <c r="R142" s="4839"/>
      <c r="S142" s="8897" t="s">
        <v>1192</v>
      </c>
      <c r="T142" s="9527"/>
      <c r="U142" s="9527"/>
      <c r="V142" s="9527"/>
      <c r="W142" s="9527"/>
      <c r="X142" s="9527"/>
      <c r="Y142" s="9527"/>
      <c r="Z142" s="4841"/>
      <c r="AA142" s="5860" t="s">
        <v>292</v>
      </c>
      <c r="AB142" s="4894">
        <f>+AB64+AB105+AB141</f>
        <v>8617.7359116799998</v>
      </c>
      <c r="AC142" s="4840"/>
      <c r="AD142" s="4840"/>
      <c r="AE142" s="8898"/>
      <c r="AF142" s="9375"/>
      <c r="AG142" s="9375"/>
      <c r="AH142" s="9376"/>
      <c r="AI142" s="5952"/>
    </row>
    <row r="143" spans="1:35" ht="18" customHeight="1">
      <c r="A143" s="696"/>
      <c r="B143" s="495"/>
      <c r="C143" s="495" t="s">
        <v>1269</v>
      </c>
      <c r="D143" s="466"/>
      <c r="E143" s="466"/>
      <c r="F143" s="466"/>
      <c r="G143" s="466"/>
      <c r="H143" s="466"/>
      <c r="I143" s="466"/>
      <c r="J143" s="466"/>
      <c r="K143" s="466"/>
      <c r="L143" s="466"/>
      <c r="M143" s="466"/>
      <c r="N143" s="466"/>
      <c r="O143" s="466"/>
      <c r="P143" s="466"/>
      <c r="Q143" s="466"/>
      <c r="R143" s="466"/>
      <c r="S143" s="9424" t="s">
        <v>533</v>
      </c>
      <c r="T143" s="9378"/>
      <c r="U143" s="9378"/>
      <c r="V143" s="9378"/>
      <c r="W143" s="9378"/>
      <c r="X143" s="9378"/>
      <c r="Y143" s="9378"/>
      <c r="Z143" s="9378"/>
      <c r="AA143" s="9378"/>
      <c r="AB143" s="9378"/>
      <c r="AC143" s="9378"/>
      <c r="AD143" s="9378"/>
      <c r="AE143" s="9378"/>
      <c r="AF143" s="9378"/>
      <c r="AG143" s="9378"/>
      <c r="AH143" s="9378"/>
    </row>
    <row r="144" spans="1:35" ht="18" customHeight="1">
      <c r="A144" s="696"/>
      <c r="B144" s="495"/>
      <c r="C144" s="6" t="s">
        <v>1270</v>
      </c>
      <c r="D144" s="466"/>
      <c r="E144" s="466"/>
      <c r="F144" s="466"/>
      <c r="G144" s="466"/>
      <c r="H144" s="466"/>
      <c r="I144" s="466"/>
      <c r="J144" s="466"/>
      <c r="K144" s="466"/>
      <c r="L144" s="466"/>
      <c r="M144" s="466"/>
      <c r="N144" s="466"/>
      <c r="O144" s="466"/>
      <c r="P144" s="466"/>
      <c r="Q144" s="466"/>
      <c r="R144" s="466"/>
      <c r="S144" s="821"/>
      <c r="T144" s="559"/>
      <c r="U144" s="559"/>
      <c r="V144" s="559"/>
      <c r="W144" s="559"/>
      <c r="X144" s="559"/>
      <c r="Y144" s="559"/>
      <c r="Z144" s="559"/>
      <c r="AA144" s="559"/>
      <c r="AB144" s="559"/>
      <c r="AC144" s="559"/>
      <c r="AD144" s="559"/>
      <c r="AE144" s="559"/>
      <c r="AF144" s="559"/>
      <c r="AG144" s="559"/>
      <c r="AH144" s="559"/>
    </row>
    <row r="145" spans="1:33" ht="16.5" customHeight="1">
      <c r="A145" s="696"/>
      <c r="B145" s="495"/>
      <c r="D145" s="100"/>
      <c r="E145" s="100"/>
      <c r="F145" s="100"/>
      <c r="G145" s="100"/>
      <c r="H145" s="100"/>
      <c r="I145" s="100"/>
      <c r="J145" s="100"/>
      <c r="K145" s="100"/>
      <c r="L145" s="100"/>
      <c r="M145" s="100"/>
      <c r="N145" s="100"/>
      <c r="O145" s="100"/>
      <c r="P145" s="100"/>
      <c r="Q145" s="100"/>
      <c r="R145" s="100"/>
      <c r="S145" s="143"/>
      <c r="T145" s="143"/>
      <c r="U145" s="8775" t="s">
        <v>351</v>
      </c>
      <c r="V145" s="9379"/>
      <c r="W145" s="9379"/>
      <c r="X145" s="9379"/>
      <c r="Y145" s="9379"/>
      <c r="Z145" s="9379"/>
      <c r="AA145" s="231"/>
      <c r="AB145" s="231"/>
      <c r="AC145" s="231"/>
      <c r="AD145"/>
      <c r="AE145" s="143"/>
      <c r="AF145" s="143"/>
      <c r="AG145" s="143"/>
    </row>
    <row r="146" spans="1:33" ht="16.5">
      <c r="A146" s="696"/>
      <c r="B146" s="697"/>
      <c r="C146" s="100"/>
      <c r="D146" s="100"/>
      <c r="E146" s="100"/>
      <c r="F146" s="100"/>
      <c r="G146" s="100"/>
      <c r="H146" s="100"/>
      <c r="I146" s="100"/>
      <c r="J146" s="100"/>
      <c r="K146" s="100"/>
      <c r="L146" s="100"/>
      <c r="M146" s="100"/>
      <c r="N146" s="100"/>
      <c r="O146" s="100"/>
      <c r="P146" s="100"/>
      <c r="Q146" s="100"/>
      <c r="R146" s="100"/>
      <c r="S146" s="143"/>
      <c r="U146" s="28"/>
      <c r="V146" s="28"/>
      <c r="W146" s="28"/>
      <c r="X146" s="28"/>
      <c r="Y146" s="28"/>
      <c r="Z146" s="28"/>
      <c r="AA146" s="100"/>
      <c r="AB146" s="363"/>
      <c r="AC146" s="363"/>
      <c r="AD146" s="100"/>
      <c r="AE146" s="143"/>
      <c r="AF146" s="143"/>
      <c r="AG146" s="143"/>
    </row>
    <row r="147" spans="1:33" ht="18" customHeight="1">
      <c r="A147" s="696"/>
      <c r="B147" s="697"/>
      <c r="C147" s="100"/>
      <c r="D147" s="100"/>
      <c r="E147" s="100"/>
      <c r="F147" s="100"/>
      <c r="G147" s="100"/>
      <c r="H147" s="100"/>
      <c r="I147" s="100"/>
      <c r="J147" s="100"/>
      <c r="K147" s="100"/>
      <c r="L147" s="100"/>
      <c r="M147" s="100"/>
      <c r="N147" s="100"/>
      <c r="O147" s="100"/>
      <c r="P147" s="100"/>
      <c r="Q147" s="100"/>
      <c r="R147" s="100"/>
      <c r="S147" s="125"/>
      <c r="T147" s="28"/>
      <c r="U147" s="5882" t="s">
        <v>5</v>
      </c>
      <c r="V147" s="5883" t="s">
        <v>6</v>
      </c>
      <c r="W147" s="5884" t="s">
        <v>7</v>
      </c>
      <c r="X147" s="5885" t="s">
        <v>352</v>
      </c>
      <c r="Y147" s="5885" t="s">
        <v>9</v>
      </c>
      <c r="Z147" s="5886" t="s">
        <v>353</v>
      </c>
      <c r="AA147" s="334"/>
      <c r="AB147" s="9"/>
      <c r="AC147" s="9"/>
      <c r="AD147" s="334"/>
      <c r="AE147" s="143"/>
      <c r="AF147" s="143"/>
      <c r="AG147" s="143"/>
    </row>
    <row r="148" spans="1:33" ht="49.5">
      <c r="A148" s="696"/>
      <c r="B148" s="697"/>
      <c r="C148" s="100"/>
      <c r="D148" s="100"/>
      <c r="E148" s="100"/>
      <c r="F148" s="100"/>
      <c r="G148" s="100"/>
      <c r="H148" s="100"/>
      <c r="I148" s="100"/>
      <c r="J148" s="100"/>
      <c r="K148" s="100"/>
      <c r="L148" s="100"/>
      <c r="M148" s="100"/>
      <c r="N148" s="100"/>
      <c r="O148" s="100"/>
      <c r="P148" s="100"/>
      <c r="Q148" s="100"/>
      <c r="R148" s="100"/>
      <c r="S148" s="125"/>
      <c r="T148" s="28"/>
      <c r="U148" s="760" t="s">
        <v>15</v>
      </c>
      <c r="V148" s="552" t="s">
        <v>319</v>
      </c>
      <c r="W148" s="690" t="s">
        <v>1137</v>
      </c>
      <c r="X148" s="690" t="s">
        <v>17</v>
      </c>
      <c r="Y148" s="1678" t="s">
        <v>26</v>
      </c>
      <c r="Z148" s="2819">
        <f>AB25</f>
        <v>0</v>
      </c>
      <c r="AA148" s="334"/>
      <c r="AB148" s="9"/>
      <c r="AC148" s="9"/>
      <c r="AD148" s="334"/>
      <c r="AE148" s="143"/>
      <c r="AF148" s="143"/>
      <c r="AG148" s="143"/>
    </row>
    <row r="149" spans="1:33" ht="33">
      <c r="A149" s="696"/>
      <c r="B149" s="697"/>
      <c r="C149" s="100"/>
      <c r="D149" s="100"/>
      <c r="E149" s="100"/>
      <c r="F149" s="100"/>
      <c r="G149" s="100"/>
      <c r="H149" s="100"/>
      <c r="I149" s="100"/>
      <c r="J149" s="100"/>
      <c r="K149" s="100"/>
      <c r="L149" s="100"/>
      <c r="M149" s="100"/>
      <c r="N149" s="100"/>
      <c r="O149" s="100"/>
      <c r="U149" s="760" t="s">
        <v>15</v>
      </c>
      <c r="V149" s="552" t="s">
        <v>1171</v>
      </c>
      <c r="W149" s="690" t="s">
        <v>1170</v>
      </c>
      <c r="X149" s="690" t="s">
        <v>17</v>
      </c>
      <c r="Y149" s="1678" t="s">
        <v>26</v>
      </c>
      <c r="Z149" s="136">
        <f>AB43</f>
        <v>77.28</v>
      </c>
      <c r="AA149" s="143"/>
      <c r="AB149" s="364"/>
      <c r="AC149" s="364"/>
      <c r="AD149" s="143"/>
      <c r="AE149" s="143"/>
      <c r="AF149" s="143"/>
      <c r="AG149" s="143"/>
    </row>
    <row r="150" spans="1:33" ht="33">
      <c r="A150" s="696"/>
      <c r="B150" s="697"/>
      <c r="C150" s="100"/>
      <c r="D150" s="100"/>
      <c r="E150" s="100"/>
      <c r="F150" s="100"/>
      <c r="G150" s="100"/>
      <c r="H150" s="100"/>
      <c r="I150" s="100"/>
      <c r="J150" s="100"/>
      <c r="K150" s="100"/>
      <c r="L150" s="100"/>
      <c r="M150" s="100"/>
      <c r="N150" s="100"/>
      <c r="O150" s="100"/>
      <c r="U150" s="760" t="s">
        <v>15</v>
      </c>
      <c r="V150" s="552" t="s">
        <v>1179</v>
      </c>
      <c r="W150" s="690" t="s">
        <v>1178</v>
      </c>
      <c r="X150" s="690" t="s">
        <v>17</v>
      </c>
      <c r="Y150" s="1678" t="s">
        <v>18</v>
      </c>
      <c r="Z150" s="136">
        <f>AB50</f>
        <v>76</v>
      </c>
      <c r="AA150" s="143"/>
      <c r="AB150" s="364"/>
      <c r="AC150" s="364"/>
      <c r="AD150" s="143"/>
      <c r="AE150" s="143"/>
      <c r="AF150" s="143"/>
      <c r="AG150" s="143"/>
    </row>
    <row r="151" spans="1:33" ht="33">
      <c r="A151" s="696"/>
      <c r="B151" s="697"/>
      <c r="C151" s="100"/>
      <c r="D151" s="100"/>
      <c r="E151" s="100"/>
      <c r="F151" s="100"/>
      <c r="G151" s="100"/>
      <c r="H151" s="100"/>
      <c r="I151" s="100"/>
      <c r="J151" s="100"/>
      <c r="K151" s="100"/>
      <c r="L151" s="100"/>
      <c r="M151" s="100"/>
      <c r="N151" s="100"/>
      <c r="O151" s="100"/>
      <c r="U151" s="760" t="s">
        <v>15</v>
      </c>
      <c r="V151" s="552" t="s">
        <v>40</v>
      </c>
      <c r="W151" s="690" t="s">
        <v>261</v>
      </c>
      <c r="X151" s="690" t="s">
        <v>17</v>
      </c>
      <c r="Y151" s="1678" t="s">
        <v>18</v>
      </c>
      <c r="Z151" s="136">
        <f>AB14</f>
        <v>513.66</v>
      </c>
      <c r="AA151" s="143"/>
      <c r="AB151" s="364"/>
      <c r="AC151" s="364"/>
      <c r="AD151" s="143"/>
      <c r="AE151" s="143"/>
      <c r="AF151" s="143"/>
      <c r="AG151" s="143"/>
    </row>
    <row r="152" spans="1:33" ht="33">
      <c r="A152" s="696"/>
      <c r="B152" s="697"/>
      <c r="C152" s="100"/>
      <c r="D152" s="100"/>
      <c r="E152" s="100"/>
      <c r="F152" s="100"/>
      <c r="G152" s="100"/>
      <c r="H152" s="100"/>
      <c r="I152" s="100"/>
      <c r="J152" s="100"/>
      <c r="K152" s="100"/>
      <c r="L152" s="100"/>
      <c r="M152" s="100"/>
      <c r="N152" s="100"/>
      <c r="O152" s="100"/>
      <c r="U152" s="760" t="s">
        <v>15</v>
      </c>
      <c r="V152" s="758" t="s">
        <v>39</v>
      </c>
      <c r="W152" s="690" t="s">
        <v>1107</v>
      </c>
      <c r="X152" s="690" t="s">
        <v>17</v>
      </c>
      <c r="Y152" s="1678" t="s">
        <v>18</v>
      </c>
      <c r="Z152" s="136">
        <f>AB9</f>
        <v>999.9</v>
      </c>
      <c r="AA152" s="143"/>
      <c r="AB152" s="364"/>
      <c r="AC152" s="364"/>
      <c r="AD152" s="143"/>
      <c r="AE152" s="143"/>
      <c r="AF152" s="143"/>
      <c r="AG152" s="143"/>
    </row>
    <row r="153" spans="1:33" ht="33">
      <c r="A153" s="696"/>
      <c r="B153" s="697"/>
      <c r="C153" s="100"/>
      <c r="D153" s="100"/>
      <c r="E153" s="100"/>
      <c r="F153" s="100"/>
      <c r="G153" s="100"/>
      <c r="H153" s="100"/>
      <c r="I153" s="100"/>
      <c r="J153" s="100"/>
      <c r="K153" s="100"/>
      <c r="L153" s="100"/>
      <c r="M153" s="100"/>
      <c r="N153" s="100"/>
      <c r="O153" s="100"/>
      <c r="U153" s="760" t="s">
        <v>15</v>
      </c>
      <c r="V153" s="552" t="s">
        <v>40</v>
      </c>
      <c r="W153" s="690" t="s">
        <v>1129</v>
      </c>
      <c r="X153" s="690" t="s">
        <v>17</v>
      </c>
      <c r="Y153" s="1678" t="s">
        <v>18</v>
      </c>
      <c r="Z153" s="136">
        <f>AB20</f>
        <v>2116</v>
      </c>
      <c r="AA153" s="143"/>
      <c r="AB153" s="364"/>
      <c r="AC153" s="364"/>
      <c r="AD153" s="143"/>
      <c r="AE153" s="143"/>
      <c r="AF153" s="143"/>
      <c r="AG153" s="143"/>
    </row>
    <row r="154" spans="1:33" ht="49.5">
      <c r="A154" s="696"/>
      <c r="B154" s="697"/>
      <c r="C154" s="100"/>
      <c r="D154" s="100"/>
      <c r="E154" s="100"/>
      <c r="F154" s="100"/>
      <c r="G154" s="100"/>
      <c r="H154" s="100"/>
      <c r="I154" s="100"/>
      <c r="J154" s="100"/>
      <c r="K154" s="100"/>
      <c r="L154" s="100"/>
      <c r="M154" s="100"/>
      <c r="N154" s="100"/>
      <c r="O154" s="100"/>
      <c r="U154" s="760" t="s">
        <v>79</v>
      </c>
      <c r="V154" s="552" t="s">
        <v>281</v>
      </c>
      <c r="W154" s="690" t="s">
        <v>1140</v>
      </c>
      <c r="X154" s="690" t="s">
        <v>17</v>
      </c>
      <c r="Y154" s="1678" t="s">
        <v>25</v>
      </c>
      <c r="Z154" s="136">
        <f>AB27</f>
        <v>2284.9</v>
      </c>
      <c r="AA154" s="143"/>
      <c r="AB154" s="364"/>
      <c r="AC154" s="364"/>
      <c r="AD154" s="143"/>
      <c r="AE154" s="143"/>
      <c r="AF154" s="143"/>
      <c r="AG154" s="143"/>
    </row>
    <row r="155" spans="1:33" ht="33">
      <c r="A155" s="696"/>
      <c r="B155" s="697"/>
      <c r="C155" s="100"/>
      <c r="D155" s="100"/>
      <c r="E155" s="100"/>
      <c r="F155" s="100"/>
      <c r="G155" s="100"/>
      <c r="H155" s="100"/>
      <c r="I155" s="100"/>
      <c r="J155" s="100"/>
      <c r="K155" s="100"/>
      <c r="L155" s="100"/>
      <c r="M155" s="100"/>
      <c r="N155" s="100"/>
      <c r="O155" s="100"/>
      <c r="U155" s="760" t="s">
        <v>79</v>
      </c>
      <c r="V155" s="5946" t="s">
        <v>591</v>
      </c>
      <c r="W155" s="4414" t="s">
        <v>1156</v>
      </c>
      <c r="X155" s="4414" t="s">
        <v>17</v>
      </c>
      <c r="Y155" s="1755" t="s">
        <v>25</v>
      </c>
      <c r="Z155" s="7877">
        <f>AB33</f>
        <v>553.99911168000006</v>
      </c>
      <c r="AA155" s="143"/>
      <c r="AB155" s="364"/>
      <c r="AC155" s="364"/>
      <c r="AD155" s="143"/>
      <c r="AE155" s="143"/>
      <c r="AF155" s="143"/>
      <c r="AG155" s="143"/>
    </row>
    <row r="156" spans="1:33" ht="33">
      <c r="A156" s="696"/>
      <c r="B156" s="697"/>
      <c r="C156" s="100"/>
      <c r="D156" s="100"/>
      <c r="E156" s="100"/>
      <c r="F156" s="100"/>
      <c r="G156" s="100"/>
      <c r="H156" s="100"/>
      <c r="I156" s="100"/>
      <c r="J156" s="100"/>
      <c r="K156" s="100"/>
      <c r="L156" s="100"/>
      <c r="M156" s="100"/>
      <c r="N156" s="100"/>
      <c r="O156" s="100"/>
      <c r="P156" s="100"/>
      <c r="Q156" s="100"/>
      <c r="R156" s="100"/>
      <c r="S156" s="126"/>
      <c r="U156" s="5945" t="s">
        <v>79</v>
      </c>
      <c r="V156" s="5946" t="s">
        <v>591</v>
      </c>
      <c r="W156" s="5933" t="s">
        <v>1143</v>
      </c>
      <c r="X156" s="5933" t="s">
        <v>17</v>
      </c>
      <c r="Y156" s="5947" t="s">
        <v>25</v>
      </c>
      <c r="Z156" s="5948">
        <f>AB29</f>
        <v>1995.9967999999999</v>
      </c>
      <c r="AA156" s="2086"/>
      <c r="AB156" s="10"/>
      <c r="AC156" s="10"/>
      <c r="AD156" s="335"/>
      <c r="AE156" s="143"/>
      <c r="AF156" s="143"/>
      <c r="AG156" s="143"/>
    </row>
    <row r="157" spans="1:33" ht="18" customHeight="1">
      <c r="A157" s="696"/>
      <c r="B157" s="697"/>
      <c r="C157" s="100"/>
      <c r="D157" s="100"/>
      <c r="E157" s="100"/>
      <c r="F157" s="100"/>
      <c r="G157" s="100"/>
      <c r="H157" s="100"/>
      <c r="I157" s="100"/>
      <c r="J157" s="100"/>
      <c r="K157" s="100"/>
      <c r="L157" s="100"/>
      <c r="M157" s="100"/>
      <c r="N157" s="100"/>
      <c r="O157" s="100"/>
      <c r="U157" s="5942"/>
      <c r="V157" s="5943" t="s">
        <v>67</v>
      </c>
      <c r="W157" s="5944"/>
      <c r="X157" s="5944"/>
      <c r="Y157" s="5926" t="s">
        <v>292</v>
      </c>
      <c r="Z157" s="5937">
        <f>SUM(Z148:Z156)</f>
        <v>8617.7359116799998</v>
      </c>
      <c r="AA157" s="7878"/>
      <c r="AB157" s="364"/>
      <c r="AC157" s="364"/>
      <c r="AD157" s="143"/>
      <c r="AE157" s="143"/>
      <c r="AF157" s="143"/>
      <c r="AG157" s="143"/>
    </row>
    <row r="158" spans="1:33" ht="16.5" customHeight="1">
      <c r="A158" s="696"/>
      <c r="B158" s="697"/>
      <c r="C158" s="100"/>
      <c r="D158" s="100"/>
      <c r="E158" s="100"/>
      <c r="F158" s="100"/>
      <c r="G158" s="100"/>
      <c r="H158" s="100"/>
      <c r="I158" s="100"/>
      <c r="J158" s="100"/>
      <c r="K158" s="100"/>
      <c r="L158" s="100"/>
      <c r="M158" s="100"/>
      <c r="N158" s="100"/>
      <c r="O158" s="100"/>
      <c r="U158" s="28"/>
      <c r="V158" s="34"/>
      <c r="W158" s="35"/>
      <c r="X158" s="28"/>
      <c r="Y158" s="28"/>
      <c r="Z158" s="28"/>
      <c r="AA158" s="143"/>
      <c r="AB158" s="364"/>
      <c r="AC158" s="364"/>
      <c r="AD158" s="145"/>
      <c r="AE158" s="143"/>
      <c r="AF158" s="143"/>
      <c r="AG158" s="143"/>
    </row>
    <row r="159" spans="1:33" ht="16.5" customHeight="1">
      <c r="A159" s="696"/>
      <c r="B159" s="697"/>
      <c r="C159" s="100"/>
      <c r="D159" s="100"/>
      <c r="E159" s="100"/>
      <c r="F159" s="100"/>
      <c r="G159" s="100"/>
      <c r="H159" s="100"/>
      <c r="I159" s="100"/>
      <c r="J159" s="100"/>
      <c r="K159" s="100"/>
      <c r="L159" s="100"/>
      <c r="M159" s="100"/>
      <c r="N159" s="100"/>
      <c r="O159" s="100"/>
      <c r="P159" s="100"/>
      <c r="Q159" s="100"/>
      <c r="R159" s="100"/>
      <c r="T159" s="28"/>
      <c r="U159" s="28"/>
      <c r="V159" s="28"/>
      <c r="W159" s="28"/>
      <c r="X159" s="28"/>
      <c r="Y159" s="28"/>
      <c r="Z159" s="28"/>
      <c r="AA159" s="28"/>
      <c r="AB159" s="368"/>
      <c r="AC159" s="368"/>
      <c r="AD159" s="143"/>
      <c r="AE159" s="143"/>
      <c r="AF159" s="143"/>
      <c r="AG159" s="143"/>
    </row>
    <row r="160" spans="1:33" ht="16.5">
      <c r="A160" s="696"/>
      <c r="B160" s="697"/>
      <c r="C160" s="100"/>
      <c r="D160" s="100"/>
      <c r="E160" s="100"/>
      <c r="F160" s="100"/>
      <c r="G160" s="100"/>
      <c r="H160" s="100"/>
      <c r="I160" s="100"/>
      <c r="J160" s="100"/>
      <c r="K160" s="100"/>
      <c r="L160" s="100"/>
      <c r="M160" s="100"/>
      <c r="N160" s="100"/>
      <c r="O160" s="100"/>
      <c r="P160" s="100"/>
      <c r="Q160" s="100"/>
      <c r="R160" s="100"/>
      <c r="U160" s="8764" t="s">
        <v>356</v>
      </c>
      <c r="V160" s="9366"/>
      <c r="W160" s="9367"/>
      <c r="X160" s="28"/>
      <c r="Y160" s="36" t="s">
        <v>357</v>
      </c>
      <c r="Z160" s="37" t="str">
        <f>IF(Z157=AB142,"OK","NO")</f>
        <v>OK</v>
      </c>
      <c r="AA160" s="28"/>
      <c r="AB160" s="368"/>
      <c r="AC160" s="368"/>
      <c r="AD160" s="146"/>
      <c r="AE160" s="143"/>
      <c r="AF160" s="143"/>
      <c r="AG160" s="143"/>
    </row>
    <row r="161" spans="1:33" ht="16.5" customHeight="1">
      <c r="A161" s="696"/>
      <c r="B161" s="697"/>
      <c r="C161" s="100"/>
      <c r="D161" s="100"/>
      <c r="E161" s="100"/>
      <c r="F161" s="100"/>
      <c r="G161" s="100"/>
      <c r="H161" s="100"/>
      <c r="I161" s="100"/>
      <c r="J161" s="100"/>
      <c r="K161" s="100"/>
      <c r="L161" s="100"/>
      <c r="M161" s="100"/>
      <c r="N161" s="100"/>
      <c r="O161" s="100"/>
      <c r="P161" s="100"/>
      <c r="Q161" s="100"/>
      <c r="R161" s="100"/>
      <c r="U161" s="8766" t="s">
        <v>358</v>
      </c>
      <c r="V161" s="9368"/>
      <c r="W161" s="750">
        <f>Z154+Z156+Z155</f>
        <v>4834.8959116800006</v>
      </c>
      <c r="X161" s="35"/>
      <c r="Y161" s="28"/>
      <c r="Z161" s="37" t="str">
        <f>IF(W165=AB142,"OK","NO")</f>
        <v>OK</v>
      </c>
      <c r="AA161" s="28"/>
      <c r="AB161" s="368"/>
      <c r="AC161" s="368"/>
      <c r="AD161" s="146"/>
      <c r="AE161" s="143"/>
      <c r="AF161" s="143"/>
      <c r="AG161" s="143"/>
    </row>
    <row r="162" spans="1:33" ht="16.5" customHeight="1">
      <c r="A162" s="696"/>
      <c r="B162" s="697"/>
      <c r="C162" s="100"/>
      <c r="D162" s="100"/>
      <c r="E162" s="100"/>
      <c r="F162" s="100"/>
      <c r="G162" s="100"/>
      <c r="H162" s="100"/>
      <c r="I162" s="100"/>
      <c r="J162" s="100"/>
      <c r="K162" s="100"/>
      <c r="L162" s="100"/>
      <c r="M162" s="100"/>
      <c r="N162" s="100"/>
      <c r="O162" s="100"/>
      <c r="P162" s="100"/>
      <c r="Q162" s="100"/>
      <c r="R162" s="100"/>
      <c r="S162" s="143"/>
      <c r="T162" s="143"/>
      <c r="U162" s="8755" t="s">
        <v>359</v>
      </c>
      <c r="V162" s="9369"/>
      <c r="W162" s="751">
        <f>Z148+Z149</f>
        <v>77.28</v>
      </c>
      <c r="X162" s="35"/>
      <c r="Y162" s="28"/>
      <c r="Z162" s="37" t="str">
        <f>IF(W175=AB142,"OK","NO")</f>
        <v>OK</v>
      </c>
      <c r="AA162" s="28"/>
      <c r="AB162" s="368"/>
      <c r="AC162" s="368"/>
      <c r="AD162" s="146"/>
      <c r="AE162" s="143"/>
      <c r="AF162" s="143"/>
      <c r="AG162" s="143"/>
    </row>
    <row r="163" spans="1:33" ht="16.5" customHeight="1">
      <c r="A163" s="696"/>
      <c r="B163" s="697"/>
      <c r="C163" s="100"/>
      <c r="D163" s="100"/>
      <c r="E163" s="100"/>
      <c r="F163" s="100"/>
      <c r="G163" s="100"/>
      <c r="H163" s="100"/>
      <c r="I163" s="100"/>
      <c r="J163" s="100"/>
      <c r="K163" s="100"/>
      <c r="L163" s="100"/>
      <c r="M163" s="100"/>
      <c r="N163" s="100"/>
      <c r="O163" s="100"/>
      <c r="P163" s="100"/>
      <c r="Q163" s="100"/>
      <c r="R163" s="100"/>
      <c r="S163" s="143"/>
      <c r="T163" s="143"/>
      <c r="U163" s="8755" t="s">
        <v>360</v>
      </c>
      <c r="V163" s="9369"/>
      <c r="W163" s="751">
        <f>+Z150+Z151+Z152+Z153</f>
        <v>3705.56</v>
      </c>
      <c r="X163" s="35"/>
      <c r="Y163" s="35"/>
      <c r="Z163" s="37" t="str">
        <f>IF(Resumen!C407=AB64,"OK","NO")</f>
        <v>OK</v>
      </c>
      <c r="AA163" s="28"/>
      <c r="AB163" s="368"/>
      <c r="AC163" s="368"/>
      <c r="AD163" s="146"/>
      <c r="AE163" s="143"/>
      <c r="AF163" s="143"/>
      <c r="AG163" s="143"/>
    </row>
    <row r="164" spans="1:33" ht="16.5" customHeight="1">
      <c r="A164" s="696"/>
      <c r="B164" s="697"/>
      <c r="C164" s="100"/>
      <c r="D164" s="100"/>
      <c r="E164" s="100"/>
      <c r="F164" s="100"/>
      <c r="G164" s="100"/>
      <c r="H164" s="100"/>
      <c r="I164" s="100"/>
      <c r="J164" s="100"/>
      <c r="K164" s="100"/>
      <c r="L164" s="100"/>
      <c r="M164" s="100"/>
      <c r="N164" s="100"/>
      <c r="O164" s="100"/>
      <c r="P164" s="100"/>
      <c r="Q164" s="100"/>
      <c r="R164" s="100"/>
      <c r="S164" s="143"/>
      <c r="T164" s="143"/>
      <c r="U164" s="8755" t="s">
        <v>361</v>
      </c>
      <c r="V164" s="9369"/>
      <c r="W164" s="752">
        <v>0</v>
      </c>
      <c r="X164" s="35"/>
      <c r="Y164" s="35"/>
      <c r="Z164" s="28"/>
      <c r="AA164" s="28"/>
      <c r="AB164" s="368"/>
      <c r="AC164" s="368"/>
      <c r="AD164" s="146"/>
      <c r="AE164" s="143"/>
      <c r="AF164" s="143"/>
      <c r="AG164" s="143"/>
    </row>
    <row r="165" spans="1:33" ht="16.5" customHeight="1">
      <c r="A165" s="696"/>
      <c r="B165" s="697"/>
      <c r="C165" s="100"/>
      <c r="D165" s="100"/>
      <c r="E165" s="100"/>
      <c r="F165" s="100"/>
      <c r="G165" s="100"/>
      <c r="H165" s="100"/>
      <c r="I165" s="100"/>
      <c r="J165" s="100"/>
      <c r="K165" s="100"/>
      <c r="L165" s="100"/>
      <c r="M165" s="100"/>
      <c r="N165" s="100"/>
      <c r="O165" s="100"/>
      <c r="P165" s="100"/>
      <c r="Q165" s="100"/>
      <c r="R165" s="100"/>
      <c r="S165" s="143"/>
      <c r="T165" s="143"/>
      <c r="U165" s="9371" t="s">
        <v>67</v>
      </c>
      <c r="V165" s="9372"/>
      <c r="W165" s="753">
        <f>SUM(W161:W164)</f>
        <v>8617.7359116799998</v>
      </c>
      <c r="X165" s="35"/>
      <c r="Y165" s="35"/>
      <c r="Z165" s="28"/>
      <c r="AA165" s="28"/>
      <c r="AB165" s="368"/>
      <c r="AC165" s="368"/>
      <c r="AD165" s="146"/>
      <c r="AE165" s="143"/>
      <c r="AF165" s="143"/>
      <c r="AG165" s="143"/>
    </row>
    <row r="166" spans="1:33" ht="16.5" customHeight="1">
      <c r="A166" s="696"/>
      <c r="B166" s="697"/>
      <c r="C166" s="100"/>
      <c r="D166" s="100"/>
      <c r="E166" s="100"/>
      <c r="F166" s="100"/>
      <c r="G166" s="100"/>
      <c r="H166" s="100"/>
      <c r="I166" s="100"/>
      <c r="J166" s="100"/>
      <c r="K166" s="100"/>
      <c r="L166" s="100"/>
      <c r="M166" s="100"/>
      <c r="N166" s="100"/>
      <c r="O166" s="100"/>
      <c r="P166" s="100"/>
      <c r="Q166" s="100"/>
      <c r="R166" s="100"/>
      <c r="S166" s="143"/>
      <c r="T166" s="143"/>
      <c r="U166" s="8758" t="s">
        <v>362</v>
      </c>
      <c r="V166" s="9373"/>
      <c r="W166" s="9374"/>
      <c r="X166" s="38"/>
      <c r="Y166" s="38"/>
      <c r="Z166" s="28"/>
      <c r="AA166" s="28"/>
      <c r="AB166" s="368"/>
      <c r="AC166" s="368"/>
      <c r="AD166" s="146"/>
      <c r="AE166" s="143"/>
      <c r="AF166" s="143"/>
      <c r="AG166" s="143"/>
    </row>
    <row r="167" spans="1:33" ht="16.5" customHeight="1">
      <c r="A167" s="696"/>
      <c r="B167" s="697"/>
      <c r="C167" s="100"/>
      <c r="D167" s="100"/>
      <c r="E167" s="100"/>
      <c r="F167" s="100"/>
      <c r="G167" s="100"/>
      <c r="H167" s="100"/>
      <c r="I167" s="100"/>
      <c r="J167" s="100"/>
      <c r="K167" s="100"/>
      <c r="L167" s="100"/>
      <c r="M167" s="100"/>
      <c r="N167" s="100"/>
      <c r="O167" s="100"/>
      <c r="P167" s="100"/>
      <c r="Q167" s="100"/>
      <c r="R167" s="100"/>
      <c r="S167" s="143"/>
      <c r="T167" s="143"/>
      <c r="U167" s="8760" t="s">
        <v>363</v>
      </c>
      <c r="V167" s="9368"/>
      <c r="W167" s="750">
        <v>0</v>
      </c>
      <c r="X167" s="38"/>
      <c r="Y167" s="38"/>
      <c r="Z167" s="28"/>
      <c r="AA167" s="28"/>
      <c r="AB167" s="368"/>
      <c r="AC167" s="368"/>
      <c r="AD167" s="146"/>
      <c r="AE167" s="143"/>
      <c r="AF167" s="143"/>
      <c r="AG167" s="143"/>
    </row>
    <row r="168" spans="1:33" ht="16.5" customHeight="1">
      <c r="A168" s="697"/>
      <c r="B168" s="697"/>
      <c r="C168" s="100"/>
      <c r="D168" s="100"/>
      <c r="E168" s="100"/>
      <c r="F168" s="100"/>
      <c r="G168" s="100"/>
      <c r="H168" s="100"/>
      <c r="I168" s="100"/>
      <c r="J168" s="100"/>
      <c r="K168" s="100"/>
      <c r="L168" s="100"/>
      <c r="M168" s="100"/>
      <c r="N168" s="100"/>
      <c r="O168" s="100"/>
      <c r="P168" s="100"/>
      <c r="Q168" s="100"/>
      <c r="R168" s="100"/>
      <c r="S168" s="143"/>
      <c r="T168" s="143"/>
      <c r="U168" s="8762" t="s">
        <v>364</v>
      </c>
      <c r="V168" s="9369"/>
      <c r="W168" s="751">
        <f>Z148+Z149+Z150+Z151+Z154+Z155</f>
        <v>3505.8391116800003</v>
      </c>
      <c r="X168" s="38"/>
      <c r="Y168" s="38"/>
      <c r="Z168" s="28"/>
      <c r="AA168" s="28"/>
      <c r="AB168" s="368"/>
      <c r="AC168" s="368"/>
      <c r="AD168" s="146"/>
      <c r="AE168" s="143"/>
      <c r="AF168" s="143"/>
      <c r="AG168" s="143"/>
    </row>
    <row r="169" spans="1:33" ht="16.5" customHeight="1">
      <c r="A169" s="697"/>
      <c r="B169" s="697"/>
      <c r="C169" s="100"/>
      <c r="D169" s="100"/>
      <c r="E169" s="100"/>
      <c r="F169" s="100"/>
      <c r="G169" s="100"/>
      <c r="H169" s="100"/>
      <c r="I169" s="100"/>
      <c r="J169" s="100"/>
      <c r="K169" s="100"/>
      <c r="L169" s="100"/>
      <c r="M169" s="100"/>
      <c r="N169" s="100"/>
      <c r="O169" s="100"/>
      <c r="P169" s="100"/>
      <c r="Q169" s="100"/>
      <c r="R169" s="100"/>
      <c r="S169" s="143"/>
      <c r="T169" s="143"/>
      <c r="U169" s="8762" t="s">
        <v>365</v>
      </c>
      <c r="V169" s="9369"/>
      <c r="W169" s="751">
        <v>0</v>
      </c>
      <c r="X169" s="39"/>
      <c r="Y169" s="39"/>
      <c r="Z169" s="28"/>
      <c r="AA169" s="28"/>
      <c r="AB169" s="368"/>
      <c r="AC169" s="368"/>
      <c r="AD169" s="146"/>
      <c r="AE169" s="143"/>
      <c r="AF169" s="143"/>
      <c r="AG169" s="143"/>
    </row>
    <row r="170" spans="1:33" ht="16.5" customHeight="1">
      <c r="A170" s="697"/>
      <c r="B170" s="697"/>
      <c r="C170" s="100"/>
      <c r="D170" s="100"/>
      <c r="E170" s="100"/>
      <c r="F170" s="100"/>
      <c r="G170" s="100"/>
      <c r="H170" s="100"/>
      <c r="I170" s="100"/>
      <c r="J170" s="100"/>
      <c r="K170" s="100"/>
      <c r="L170" s="100"/>
      <c r="M170" s="100"/>
      <c r="N170" s="100"/>
      <c r="O170" s="100"/>
      <c r="P170" s="100"/>
      <c r="Q170" s="100"/>
      <c r="R170" s="100"/>
      <c r="S170" s="143"/>
      <c r="T170" s="143"/>
      <c r="U170" s="8762" t="s">
        <v>366</v>
      </c>
      <c r="V170" s="9369"/>
      <c r="W170" s="751">
        <v>0</v>
      </c>
      <c r="X170" s="35"/>
      <c r="Y170" s="35"/>
      <c r="Z170" s="28"/>
      <c r="AA170" s="28"/>
      <c r="AB170" s="368"/>
      <c r="AC170" s="368"/>
      <c r="AD170" s="146"/>
      <c r="AE170" s="143"/>
      <c r="AF170" s="143"/>
      <c r="AG170" s="143"/>
    </row>
    <row r="171" spans="1:33" ht="16.5" customHeight="1">
      <c r="A171" s="697"/>
      <c r="B171" s="697"/>
      <c r="C171" s="100"/>
      <c r="D171" s="100"/>
      <c r="E171" s="100"/>
      <c r="F171" s="100"/>
      <c r="G171" s="100"/>
      <c r="H171" s="100"/>
      <c r="I171" s="100"/>
      <c r="J171" s="100"/>
      <c r="K171" s="100"/>
      <c r="L171" s="100"/>
      <c r="M171" s="100"/>
      <c r="N171" s="100"/>
      <c r="O171" s="100"/>
      <c r="P171" s="100"/>
      <c r="Q171" s="100"/>
      <c r="R171" s="100"/>
      <c r="S171" s="143"/>
      <c r="T171" s="143"/>
      <c r="U171" s="8762" t="s">
        <v>367</v>
      </c>
      <c r="V171" s="9369"/>
      <c r="W171" s="751">
        <v>0</v>
      </c>
      <c r="X171" s="40"/>
      <c r="Y171" s="40"/>
      <c r="Z171" s="1745"/>
      <c r="AC171"/>
      <c r="AD171"/>
      <c r="AE171" s="143"/>
      <c r="AF171" s="143"/>
      <c r="AG171" s="143"/>
    </row>
    <row r="172" spans="1:33" ht="16.5" customHeight="1">
      <c r="A172" s="697"/>
      <c r="B172" s="697"/>
      <c r="C172" s="100"/>
      <c r="D172" s="100"/>
      <c r="E172" s="100"/>
      <c r="F172" s="100"/>
      <c r="G172" s="100"/>
      <c r="H172" s="100"/>
      <c r="I172" s="100"/>
      <c r="J172" s="100"/>
      <c r="K172" s="100"/>
      <c r="L172" s="100"/>
      <c r="M172" s="100"/>
      <c r="N172" s="100"/>
      <c r="O172" s="100"/>
      <c r="P172" s="100"/>
      <c r="Q172" s="100"/>
      <c r="R172" s="100"/>
      <c r="S172" s="143"/>
      <c r="T172" s="143"/>
      <c r="U172" s="8762" t="s">
        <v>368</v>
      </c>
      <c r="V172" s="9369"/>
      <c r="W172" s="751">
        <v>0</v>
      </c>
      <c r="X172" s="40"/>
      <c r="Y172" s="40"/>
      <c r="Z172" s="2067"/>
      <c r="AA172" s="2067"/>
      <c r="AB172" s="2066"/>
      <c r="AC172" s="2066"/>
      <c r="AD172" s="2067"/>
      <c r="AE172" s="143"/>
      <c r="AF172" s="143"/>
      <c r="AG172" s="143"/>
    </row>
    <row r="173" spans="1:33" ht="16.5" customHeight="1">
      <c r="A173" s="697"/>
      <c r="B173" s="697"/>
      <c r="C173" s="100"/>
      <c r="D173" s="100"/>
      <c r="E173" s="100"/>
      <c r="F173" s="100"/>
      <c r="G173" s="100"/>
      <c r="H173" s="100"/>
      <c r="I173" s="100"/>
      <c r="J173" s="100"/>
      <c r="K173" s="100"/>
      <c r="L173" s="100"/>
      <c r="M173" s="100"/>
      <c r="N173" s="100"/>
      <c r="O173" s="100"/>
      <c r="P173" s="100"/>
      <c r="Q173" s="100"/>
      <c r="R173" s="100"/>
      <c r="S173" s="143"/>
      <c r="T173" s="143"/>
      <c r="U173" s="8762" t="s">
        <v>369</v>
      </c>
      <c r="V173" s="9369"/>
      <c r="W173" s="751">
        <f>Z152+Z153+Z156</f>
        <v>5111.8968000000004</v>
      </c>
      <c r="X173" s="40"/>
      <c r="Y173" s="40"/>
      <c r="Z173" s="2073"/>
      <c r="AA173" s="85"/>
      <c r="AB173" s="2068"/>
      <c r="AC173" s="2068"/>
      <c r="AD173" s="2069"/>
      <c r="AE173" s="143"/>
      <c r="AF173" s="143"/>
      <c r="AG173" s="143"/>
    </row>
    <row r="174" spans="1:33" ht="16.5" customHeight="1">
      <c r="A174" s="697"/>
      <c r="B174" s="697"/>
      <c r="C174" s="100"/>
      <c r="D174" s="100"/>
      <c r="E174" s="100"/>
      <c r="F174" s="100"/>
      <c r="G174" s="100"/>
      <c r="H174" s="100"/>
      <c r="I174" s="100"/>
      <c r="J174" s="100"/>
      <c r="K174" s="100"/>
      <c r="L174" s="100"/>
      <c r="M174" s="100"/>
      <c r="N174" s="100"/>
      <c r="O174" s="100"/>
      <c r="P174" s="100"/>
      <c r="Q174" s="100"/>
      <c r="R174" s="100"/>
      <c r="S174" s="143"/>
      <c r="T174" s="143"/>
      <c r="U174" s="8762" t="s">
        <v>370</v>
      </c>
      <c r="V174" s="9369"/>
      <c r="W174" s="752">
        <v>0</v>
      </c>
      <c r="X174" s="41"/>
      <c r="Y174" s="41"/>
      <c r="Z174" s="2075"/>
      <c r="AA174" s="2075"/>
      <c r="AB174" s="2070"/>
      <c r="AC174" s="2070"/>
      <c r="AD174" s="146"/>
      <c r="AE174" s="143"/>
      <c r="AF174" s="143"/>
      <c r="AG174" s="143"/>
    </row>
    <row r="175" spans="1:33" ht="16.5" customHeight="1">
      <c r="A175" s="697"/>
      <c r="B175" s="697"/>
      <c r="C175" s="100"/>
      <c r="D175" s="100"/>
      <c r="E175" s="100"/>
      <c r="F175" s="100"/>
      <c r="G175" s="100"/>
      <c r="H175" s="100"/>
      <c r="I175" s="100"/>
      <c r="J175" s="100"/>
      <c r="K175" s="100"/>
      <c r="L175" s="100"/>
      <c r="M175" s="100"/>
      <c r="N175" s="100"/>
      <c r="O175" s="100"/>
      <c r="P175" s="100"/>
      <c r="Q175" s="100"/>
      <c r="R175" s="100"/>
      <c r="S175" s="143"/>
      <c r="T175" s="143"/>
      <c r="U175" s="8927" t="s">
        <v>67</v>
      </c>
      <c r="V175" s="9370"/>
      <c r="W175" s="754">
        <f>SUM(W167:W174)</f>
        <v>8617.7359116799998</v>
      </c>
      <c r="X175" s="39"/>
      <c r="Y175" s="39"/>
      <c r="Z175" s="28"/>
      <c r="AA175" s="28"/>
      <c r="AB175" s="368"/>
      <c r="AC175" s="368"/>
      <c r="AD175" s="146"/>
      <c r="AE175" s="143"/>
      <c r="AF175" s="143"/>
      <c r="AG175" s="143"/>
    </row>
    <row r="176" spans="1:33" ht="15.75" customHeight="1">
      <c r="A176" s="559"/>
      <c r="AB176" s="365"/>
      <c r="AD176"/>
    </row>
    <row r="177" spans="28:30" ht="15.75" customHeight="1">
      <c r="AB177" s="365"/>
      <c r="AD177"/>
    </row>
    <row r="178" spans="28:30" ht="15.75" customHeight="1">
      <c r="AB178" s="365"/>
      <c r="AD178"/>
    </row>
    <row r="179" spans="28:30" ht="15.75" customHeight="1">
      <c r="AB179" s="365"/>
      <c r="AD179"/>
    </row>
    <row r="180" spans="28:30" ht="15.75" customHeight="1">
      <c r="AB180" s="365"/>
      <c r="AD180"/>
    </row>
    <row r="181" spans="28:30" ht="15.75" customHeight="1">
      <c r="AB181" s="365"/>
      <c r="AD181"/>
    </row>
    <row r="182" spans="28:30" ht="15.75" customHeight="1">
      <c r="AB182" s="365"/>
      <c r="AD182"/>
    </row>
  </sheetData>
  <mergeCells count="485">
    <mergeCell ref="L100:L104"/>
    <mergeCell ref="M100:M104"/>
    <mergeCell ref="N100:N104"/>
    <mergeCell ref="O100:O104"/>
    <mergeCell ref="P100:P104"/>
    <mergeCell ref="Q100:Q104"/>
    <mergeCell ref="R100:R104"/>
    <mergeCell ref="L85:L89"/>
    <mergeCell ref="M85:M89"/>
    <mergeCell ref="N85:N89"/>
    <mergeCell ref="O85:O89"/>
    <mergeCell ref="P85:P89"/>
    <mergeCell ref="Q85:Q89"/>
    <mergeCell ref="R85:R89"/>
    <mergeCell ref="L95:L99"/>
    <mergeCell ref="M95:M99"/>
    <mergeCell ref="N95:N99"/>
    <mergeCell ref="O95:O99"/>
    <mergeCell ref="P95:P99"/>
    <mergeCell ref="L90:L94"/>
    <mergeCell ref="M90:M94"/>
    <mergeCell ref="N90:N94"/>
    <mergeCell ref="O90:O94"/>
    <mergeCell ref="P90:P94"/>
    <mergeCell ref="A65:A105"/>
    <mergeCell ref="B65:B104"/>
    <mergeCell ref="J85:J89"/>
    <mergeCell ref="K85:K89"/>
    <mergeCell ref="K70:K74"/>
    <mergeCell ref="H95:H99"/>
    <mergeCell ref="I95:I99"/>
    <mergeCell ref="J95:J99"/>
    <mergeCell ref="K95:K99"/>
    <mergeCell ref="C80:C84"/>
    <mergeCell ref="D80:D84"/>
    <mergeCell ref="H75:H79"/>
    <mergeCell ref="I75:I79"/>
    <mergeCell ref="G80:G84"/>
    <mergeCell ref="H80:H84"/>
    <mergeCell ref="I80:I84"/>
    <mergeCell ref="H65:H69"/>
    <mergeCell ref="J90:J94"/>
    <mergeCell ref="K90:K94"/>
    <mergeCell ref="E100:E104"/>
    <mergeCell ref="F100:F104"/>
    <mergeCell ref="G100:G104"/>
    <mergeCell ref="H100:H104"/>
    <mergeCell ref="I100:I104"/>
    <mergeCell ref="J100:J104"/>
    <mergeCell ref="K100:K104"/>
    <mergeCell ref="C85:C89"/>
    <mergeCell ref="D85:D89"/>
    <mergeCell ref="E85:E89"/>
    <mergeCell ref="F85:F89"/>
    <mergeCell ref="G85:G89"/>
    <mergeCell ref="H85:H89"/>
    <mergeCell ref="I85:I89"/>
    <mergeCell ref="C90:C94"/>
    <mergeCell ref="D90:D94"/>
    <mergeCell ref="E90:E94"/>
    <mergeCell ref="F90:F94"/>
    <mergeCell ref="G90:G94"/>
    <mergeCell ref="H90:H94"/>
    <mergeCell ref="I90:I94"/>
    <mergeCell ref="M80:M84"/>
    <mergeCell ref="N80:N84"/>
    <mergeCell ref="O80:O84"/>
    <mergeCell ref="P80:P84"/>
    <mergeCell ref="Q80:Q84"/>
    <mergeCell ref="R80:R84"/>
    <mergeCell ref="AH80:AH84"/>
    <mergeCell ref="J75:J79"/>
    <mergeCell ref="K75:K79"/>
    <mergeCell ref="L75:L79"/>
    <mergeCell ref="M75:M79"/>
    <mergeCell ref="N75:N79"/>
    <mergeCell ref="O75:O79"/>
    <mergeCell ref="L80:L84"/>
    <mergeCell ref="P75:P79"/>
    <mergeCell ref="Q75:Q79"/>
    <mergeCell ref="R75:R79"/>
    <mergeCell ref="J80:J84"/>
    <mergeCell ref="K80:K84"/>
    <mergeCell ref="P70:P74"/>
    <mergeCell ref="Q70:Q74"/>
    <mergeCell ref="R70:R74"/>
    <mergeCell ref="AH70:AH74"/>
    <mergeCell ref="K65:K69"/>
    <mergeCell ref="L65:L69"/>
    <mergeCell ref="M65:M69"/>
    <mergeCell ref="N65:N69"/>
    <mergeCell ref="O65:O69"/>
    <mergeCell ref="P65:P69"/>
    <mergeCell ref="Q65:Q69"/>
    <mergeCell ref="R65:R69"/>
    <mergeCell ref="AH65:AH69"/>
    <mergeCell ref="N70:N74"/>
    <mergeCell ref="O70:O74"/>
    <mergeCell ref="L70:L74"/>
    <mergeCell ref="M70:M74"/>
    <mergeCell ref="L20:L24"/>
    <mergeCell ref="K20:K24"/>
    <mergeCell ref="J20:J24"/>
    <mergeCell ref="J25:J32"/>
    <mergeCell ref="J43:J47"/>
    <mergeCell ref="C25:C32"/>
    <mergeCell ref="D25:D32"/>
    <mergeCell ref="C38:C42"/>
    <mergeCell ref="D38:D42"/>
    <mergeCell ref="C33:C37"/>
    <mergeCell ref="D33:D37"/>
    <mergeCell ref="H33:H37"/>
    <mergeCell ref="I33:I37"/>
    <mergeCell ref="E25:E32"/>
    <mergeCell ref="F25:F32"/>
    <mergeCell ref="G25:G32"/>
    <mergeCell ref="H25:H32"/>
    <mergeCell ref="I25:I32"/>
    <mergeCell ref="K25:K32"/>
    <mergeCell ref="L25:L32"/>
    <mergeCell ref="C43:C47"/>
    <mergeCell ref="D43:D47"/>
    <mergeCell ref="E43:E47"/>
    <mergeCell ref="F43:F47"/>
    <mergeCell ref="G59:G63"/>
    <mergeCell ref="C65:C69"/>
    <mergeCell ref="D65:D69"/>
    <mergeCell ref="E65:E69"/>
    <mergeCell ref="F65:F69"/>
    <mergeCell ref="G65:G69"/>
    <mergeCell ref="C59:C63"/>
    <mergeCell ref="D59:D63"/>
    <mergeCell ref="C48:C53"/>
    <mergeCell ref="E54:E58"/>
    <mergeCell ref="F54:F58"/>
    <mergeCell ref="G54:G58"/>
    <mergeCell ref="AH25:AH32"/>
    <mergeCell ref="Q25:Q32"/>
    <mergeCell ref="R25:R32"/>
    <mergeCell ref="AH33:AH37"/>
    <mergeCell ref="R43:R47"/>
    <mergeCell ref="R111:R115"/>
    <mergeCell ref="AH75:AH79"/>
    <mergeCell ref="AH85:AH89"/>
    <mergeCell ref="AH90:AH94"/>
    <mergeCell ref="S105:Z105"/>
    <mergeCell ref="AH38:AH42"/>
    <mergeCell ref="AH43:AH47"/>
    <mergeCell ref="Q95:Q99"/>
    <mergeCell ref="R95:R99"/>
    <mergeCell ref="AH95:AH99"/>
    <mergeCell ref="AH100:AH104"/>
    <mergeCell ref="Q90:Q94"/>
    <mergeCell ref="R90:R94"/>
    <mergeCell ref="A9:A63"/>
    <mergeCell ref="A106:A142"/>
    <mergeCell ref="AH106:AH110"/>
    <mergeCell ref="AH111:AH115"/>
    <mergeCell ref="AH116:AH120"/>
    <mergeCell ref="AH121:AH125"/>
    <mergeCell ref="AH126:AH130"/>
    <mergeCell ref="AH131:AH135"/>
    <mergeCell ref="I20:I24"/>
    <mergeCell ref="H20:H24"/>
    <mergeCell ref="G20:G24"/>
    <mergeCell ref="F20:F24"/>
    <mergeCell ref="E20:E24"/>
    <mergeCell ref="D20:D24"/>
    <mergeCell ref="C20:C24"/>
    <mergeCell ref="P20:P24"/>
    <mergeCell ref="O20:O24"/>
    <mergeCell ref="N20:N24"/>
    <mergeCell ref="M20:M24"/>
    <mergeCell ref="R20:R24"/>
    <mergeCell ref="Q20:Q24"/>
    <mergeCell ref="AH20:AH24"/>
    <mergeCell ref="P38:P42"/>
    <mergeCell ref="S142:Y142"/>
    <mergeCell ref="C111:C115"/>
    <mergeCell ref="D111:D115"/>
    <mergeCell ref="E111:E115"/>
    <mergeCell ref="F111:F115"/>
    <mergeCell ref="G111:G115"/>
    <mergeCell ref="C75:C79"/>
    <mergeCell ref="D75:D79"/>
    <mergeCell ref="E75:E79"/>
    <mergeCell ref="F75:F79"/>
    <mergeCell ref="G75:G79"/>
    <mergeCell ref="C106:C110"/>
    <mergeCell ref="D106:D110"/>
    <mergeCell ref="E106:E110"/>
    <mergeCell ref="F106:F110"/>
    <mergeCell ref="G106:G110"/>
    <mergeCell ref="C95:C99"/>
    <mergeCell ref="D95:D99"/>
    <mergeCell ref="E95:E99"/>
    <mergeCell ref="F95:F99"/>
    <mergeCell ref="G95:G99"/>
    <mergeCell ref="C100:C104"/>
    <mergeCell ref="D100:D104"/>
    <mergeCell ref="E80:E84"/>
    <mergeCell ref="F80:F84"/>
    <mergeCell ref="I65:I69"/>
    <mergeCell ref="J65:J69"/>
    <mergeCell ref="C70:C74"/>
    <mergeCell ref="D70:D74"/>
    <mergeCell ref="E70:E74"/>
    <mergeCell ref="F70:F74"/>
    <mergeCell ref="G70:G74"/>
    <mergeCell ref="H70:H74"/>
    <mergeCell ref="I70:I74"/>
    <mergeCell ref="J70:J74"/>
    <mergeCell ref="B9:B47"/>
    <mergeCell ref="B48:B64"/>
    <mergeCell ref="Q38:Q42"/>
    <mergeCell ref="R38:R42"/>
    <mergeCell ref="J33:J37"/>
    <mergeCell ref="K33:K37"/>
    <mergeCell ref="L33:L37"/>
    <mergeCell ref="M33:M37"/>
    <mergeCell ref="N33:N37"/>
    <mergeCell ref="O33:O37"/>
    <mergeCell ref="P33:P37"/>
    <mergeCell ref="J38:J42"/>
    <mergeCell ref="K38:K42"/>
    <mergeCell ref="Q33:Q37"/>
    <mergeCell ref="R33:R37"/>
    <mergeCell ref="L38:L42"/>
    <mergeCell ref="M38:M42"/>
    <mergeCell ref="N38:N42"/>
    <mergeCell ref="O38:O42"/>
    <mergeCell ref="D48:D53"/>
    <mergeCell ref="C54:C58"/>
    <mergeCell ref="D54:D58"/>
    <mergeCell ref="E59:E63"/>
    <mergeCell ref="F59:F63"/>
    <mergeCell ref="G43:G47"/>
    <mergeCell ref="E48:E53"/>
    <mergeCell ref="F48:F53"/>
    <mergeCell ref="G48:G53"/>
    <mergeCell ref="A1:AH1"/>
    <mergeCell ref="A2:AH2"/>
    <mergeCell ref="A3:AH3"/>
    <mergeCell ref="A4:AH4"/>
    <mergeCell ref="A6:B8"/>
    <mergeCell ref="C6:D6"/>
    <mergeCell ref="E6:I6"/>
    <mergeCell ref="G7:G8"/>
    <mergeCell ref="H7:H8"/>
    <mergeCell ref="I7:I8"/>
    <mergeCell ref="J7:J8"/>
    <mergeCell ref="M7:O7"/>
    <mergeCell ref="P7:P8"/>
    <mergeCell ref="Q7:Q8"/>
    <mergeCell ref="R7:R8"/>
    <mergeCell ref="E7:E8"/>
    <mergeCell ref="F7:F8"/>
    <mergeCell ref="C7:C8"/>
    <mergeCell ref="D7:D8"/>
    <mergeCell ref="Z7:AD7"/>
    <mergeCell ref="J6:R6"/>
    <mergeCell ref="S6:AH6"/>
    <mergeCell ref="S7:Y7"/>
    <mergeCell ref="AE7:AG7"/>
    <mergeCell ref="AH7:AH8"/>
    <mergeCell ref="K7:K8"/>
    <mergeCell ref="L7:L8"/>
    <mergeCell ref="Q9:Q13"/>
    <mergeCell ref="R9:R13"/>
    <mergeCell ref="AH9:AH13"/>
    <mergeCell ref="O9:O13"/>
    <mergeCell ref="P9:P13"/>
    <mergeCell ref="J9:J13"/>
    <mergeCell ref="C9:C13"/>
    <mergeCell ref="D9:D13"/>
    <mergeCell ref="C14:C19"/>
    <mergeCell ref="D14:D19"/>
    <mergeCell ref="AH14:AH19"/>
    <mergeCell ref="E14:E19"/>
    <mergeCell ref="F14:F19"/>
    <mergeCell ref="G14:G19"/>
    <mergeCell ref="H14:H19"/>
    <mergeCell ref="I14:I19"/>
    <mergeCell ref="J14:J19"/>
    <mergeCell ref="K14:K19"/>
    <mergeCell ref="N14:N19"/>
    <mergeCell ref="O14:O19"/>
    <mergeCell ref="P14:P19"/>
    <mergeCell ref="Q14:Q19"/>
    <mergeCell ref="R14:R19"/>
    <mergeCell ref="L14:L19"/>
    <mergeCell ref="M14:M19"/>
    <mergeCell ref="K9:K13"/>
    <mergeCell ref="L9:L13"/>
    <mergeCell ref="M9:M13"/>
    <mergeCell ref="N9:N13"/>
    <mergeCell ref="E9:E13"/>
    <mergeCell ref="F9:F13"/>
    <mergeCell ref="G9:G13"/>
    <mergeCell ref="H9:H13"/>
    <mergeCell ref="I9:I13"/>
    <mergeCell ref="E38:E42"/>
    <mergeCell ref="F38:F42"/>
    <mergeCell ref="G38:G42"/>
    <mergeCell ref="H38:H42"/>
    <mergeCell ref="I38:I42"/>
    <mergeCell ref="E33:E37"/>
    <mergeCell ref="F33:F37"/>
    <mergeCell ref="G33:G37"/>
    <mergeCell ref="M25:M32"/>
    <mergeCell ref="N25:N32"/>
    <mergeCell ref="O25:O32"/>
    <mergeCell ref="P25:P32"/>
    <mergeCell ref="H43:H47"/>
    <mergeCell ref="I43:I47"/>
    <mergeCell ref="Q43:Q47"/>
    <mergeCell ref="K43:K47"/>
    <mergeCell ref="L43:L47"/>
    <mergeCell ref="M43:M47"/>
    <mergeCell ref="N43:N47"/>
    <mergeCell ref="O43:O47"/>
    <mergeCell ref="P43:P47"/>
    <mergeCell ref="H54:H58"/>
    <mergeCell ref="I54:I58"/>
    <mergeCell ref="J54:J58"/>
    <mergeCell ref="K54:K58"/>
    <mergeCell ref="AH54:AH58"/>
    <mergeCell ref="AH59:AH63"/>
    <mergeCell ref="S64:Z64"/>
    <mergeCell ref="AE64:AH64"/>
    <mergeCell ref="AH48:AH53"/>
    <mergeCell ref="Q48:Q53"/>
    <mergeCell ref="R48:R53"/>
    <mergeCell ref="J48:J53"/>
    <mergeCell ref="K48:K53"/>
    <mergeCell ref="L48:L53"/>
    <mergeCell ref="M48:M53"/>
    <mergeCell ref="N48:N53"/>
    <mergeCell ref="O48:O53"/>
    <mergeCell ref="P48:P53"/>
    <mergeCell ref="H48:H53"/>
    <mergeCell ref="I48:I53"/>
    <mergeCell ref="H59:H63"/>
    <mergeCell ref="I59:I63"/>
    <mergeCell ref="J59:J63"/>
    <mergeCell ref="K59:K63"/>
    <mergeCell ref="L106:L110"/>
    <mergeCell ref="M106:M110"/>
    <mergeCell ref="N106:N110"/>
    <mergeCell ref="O106:O110"/>
    <mergeCell ref="P106:P110"/>
    <mergeCell ref="Q106:Q110"/>
    <mergeCell ref="R106:R110"/>
    <mergeCell ref="L111:L115"/>
    <mergeCell ref="M111:M115"/>
    <mergeCell ref="N111:N115"/>
    <mergeCell ref="O111:O115"/>
    <mergeCell ref="P111:P115"/>
    <mergeCell ref="Q111:Q115"/>
    <mergeCell ref="L54:L58"/>
    <mergeCell ref="M54:M58"/>
    <mergeCell ref="N54:N58"/>
    <mergeCell ref="O54:O58"/>
    <mergeCell ref="P54:P58"/>
    <mergeCell ref="Q54:Q58"/>
    <mergeCell ref="R54:R58"/>
    <mergeCell ref="Q59:Q63"/>
    <mergeCell ref="R59:R63"/>
    <mergeCell ref="L59:L63"/>
    <mergeCell ref="M59:M63"/>
    <mergeCell ref="N59:N63"/>
    <mergeCell ref="O59:O63"/>
    <mergeCell ref="P59:P63"/>
    <mergeCell ref="H111:H115"/>
    <mergeCell ref="I111:I115"/>
    <mergeCell ref="J111:J115"/>
    <mergeCell ref="K111:K115"/>
    <mergeCell ref="I121:I125"/>
    <mergeCell ref="J121:J125"/>
    <mergeCell ref="K121:K125"/>
    <mergeCell ref="U145:Z145"/>
    <mergeCell ref="U160:W160"/>
    <mergeCell ref="S143:AH143"/>
    <mergeCell ref="AH136:AH140"/>
    <mergeCell ref="L116:L120"/>
    <mergeCell ref="M116:M120"/>
    <mergeCell ref="N116:N120"/>
    <mergeCell ref="O116:O120"/>
    <mergeCell ref="P116:P120"/>
    <mergeCell ref="AE142:AH142"/>
    <mergeCell ref="S141:Z141"/>
    <mergeCell ref="AE141:AH141"/>
    <mergeCell ref="Q116:Q120"/>
    <mergeCell ref="R116:R120"/>
    <mergeCell ref="R121:R125"/>
    <mergeCell ref="Q126:Q130"/>
    <mergeCell ref="R126:R130"/>
    <mergeCell ref="C116:C120"/>
    <mergeCell ref="D116:D120"/>
    <mergeCell ref="H126:H130"/>
    <mergeCell ref="U175:V175"/>
    <mergeCell ref="U164:V164"/>
    <mergeCell ref="U165:V165"/>
    <mergeCell ref="U166:W166"/>
    <mergeCell ref="U167:V167"/>
    <mergeCell ref="U168:V168"/>
    <mergeCell ref="U169:V169"/>
    <mergeCell ref="U170:V170"/>
    <mergeCell ref="U161:V161"/>
    <mergeCell ref="U162:V162"/>
    <mergeCell ref="U163:V163"/>
    <mergeCell ref="U171:V171"/>
    <mergeCell ref="U172:V172"/>
    <mergeCell ref="U173:V173"/>
    <mergeCell ref="U174:V174"/>
    <mergeCell ref="C131:C135"/>
    <mergeCell ref="D131:D135"/>
    <mergeCell ref="E131:E135"/>
    <mergeCell ref="F131:F135"/>
    <mergeCell ref="G131:G135"/>
    <mergeCell ref="H131:H135"/>
    <mergeCell ref="P131:P135"/>
    <mergeCell ref="Q131:Q135"/>
    <mergeCell ref="L121:L125"/>
    <mergeCell ref="M121:M125"/>
    <mergeCell ref="N121:N125"/>
    <mergeCell ref="O121:O125"/>
    <mergeCell ref="P121:P125"/>
    <mergeCell ref="Q121:Q125"/>
    <mergeCell ref="I126:I130"/>
    <mergeCell ref="J126:J130"/>
    <mergeCell ref="K126:K130"/>
    <mergeCell ref="L126:L130"/>
    <mergeCell ref="M126:M130"/>
    <mergeCell ref="N126:N130"/>
    <mergeCell ref="O126:O130"/>
    <mergeCell ref="P126:P130"/>
    <mergeCell ref="E116:E120"/>
    <mergeCell ref="F116:F120"/>
    <mergeCell ref="G116:G120"/>
    <mergeCell ref="H116:H120"/>
    <mergeCell ref="I116:I120"/>
    <mergeCell ref="J116:J120"/>
    <mergeCell ref="K116:K120"/>
    <mergeCell ref="B106:B125"/>
    <mergeCell ref="B126:B140"/>
    <mergeCell ref="H106:H110"/>
    <mergeCell ref="I106:I110"/>
    <mergeCell ref="J106:J110"/>
    <mergeCell ref="K106:K110"/>
    <mergeCell ref="C121:C125"/>
    <mergeCell ref="D121:D125"/>
    <mergeCell ref="E121:E125"/>
    <mergeCell ref="F121:F125"/>
    <mergeCell ref="G121:G125"/>
    <mergeCell ref="H121:H125"/>
    <mergeCell ref="C126:C130"/>
    <mergeCell ref="D126:D130"/>
    <mergeCell ref="E126:E130"/>
    <mergeCell ref="F126:F130"/>
    <mergeCell ref="G126:G130"/>
    <mergeCell ref="R131:R135"/>
    <mergeCell ref="C136:C140"/>
    <mergeCell ref="D136:D140"/>
    <mergeCell ref="E136:E140"/>
    <mergeCell ref="F136:F140"/>
    <mergeCell ref="G136:G140"/>
    <mergeCell ref="H136:H140"/>
    <mergeCell ref="I136:I140"/>
    <mergeCell ref="J136:J140"/>
    <mergeCell ref="K136:K140"/>
    <mergeCell ref="L136:L140"/>
    <mergeCell ref="M136:M140"/>
    <mergeCell ref="N136:N140"/>
    <mergeCell ref="O136:O140"/>
    <mergeCell ref="P136:P140"/>
    <mergeCell ref="Q136:Q140"/>
    <mergeCell ref="R136:R140"/>
    <mergeCell ref="I131:I135"/>
    <mergeCell ref="J131:J135"/>
    <mergeCell ref="K131:K135"/>
    <mergeCell ref="L131:L135"/>
    <mergeCell ref="M131:M135"/>
    <mergeCell ref="N131:N135"/>
    <mergeCell ref="O131:O135"/>
  </mergeCells>
  <dataValidations count="3">
    <dataValidation type="list" allowBlank="1" showErrorMessage="1" sqref="F9 F14 F20 F25 F33 F38 F43 F48 F54 F59" xr:uid="{00000000-0002-0000-0700-000000000000}">
      <formula1>INDIRECT($E9)</formula1>
    </dataValidation>
    <dataValidation type="list" allowBlank="1" showErrorMessage="1" sqref="E9 E14 E20 E25 E33 E38 E43 E48 E54 E59" xr:uid="{00000000-0002-0000-0700-000001000000}">
      <formula1>INDIRECT($G9)</formula1>
    </dataValidation>
    <dataValidation type="decimal" allowBlank="1" showInputMessage="1" showErrorMessage="1" prompt="DPLAN - Sólo debe ingresar valores, NO porcentajes." sqref="M25:O25 M33:O33 M38:O38 M43:O43 M54:O54 M59:O59" xr:uid="{00000000-0002-0000-0700-000002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&amp;LDirección de Aseguramiento de la Calidad&amp;C&amp;P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700-000003000000}">
          <x14:formula1>
            <xm:f>'https://utmachalaeduec-my.sharepoint.com/personal/planificacion_utmachala_edu_ec/Documents/Gestión 2023/G.06 EMISION DE INSUMOS PARA ELAB. DE LA PROF, PRESUPUESTARIA Y SUS REFORMAS/REFORMA N° 002-2023/[PND]PND'!#REF!</xm:f>
          </x14:formula1>
          <xm:sqref>C9:D9 C14:D14 C20:D20 C25:D25 C33:D33 C38:D38 C43:D43 C48:D48 C54:D54 C59:D59</xm:sqref>
        </x14:dataValidation>
        <x14:dataValidation type="list" allowBlank="1" showErrorMessage="1" xr:uid="{00000000-0002-0000-0700-000004000000}">
          <x14:formula1>
            <xm:f>('https://utmachalaeduec-my.sharepoint.com/personal/planificacion_utmachala_edu_ec/Documents/Gestión 2023/G.06 EMISION DE INSUMOS PARA ELAB. DE LA PROF, PRESUPUESTARIA Y SUS REFORMAS/REFORMA N° 002-2023/[PEDI]PEDI'!#REF!)</xm:f>
          </x14:formula1>
          <xm:sqref>H9 H14 H20 H25 H33 H38 H43 H48 H54 H59</xm:sqref>
        </x14:dataValidation>
        <x14:dataValidation type="list" allowBlank="1" showErrorMessage="1" xr:uid="{00000000-0002-0000-0700-000005000000}">
          <x14:formula1>
            <xm:f>'https://utmachalaeduec-my.sharepoint.com/personal/planificacion_utmachala_edu_ec/Documents/Gestión 2023/G.06 EMISION DE INSUMOS PARA ELAB. DE LA PROF, PRESUPUESTARIA Y SUS REFORMAS/REFORMA N° 002-2023/[PEDI]PEDI'!#REF!</xm:f>
          </x14:formula1>
          <xm:sqref>G9 G14 G20 G25 G33 G38 G43 G48 G54 G59</xm:sqref>
        </x14:dataValidation>
        <x14:dataValidation type="list" allowBlank="1" showErrorMessage="1" xr:uid="{00000000-0002-0000-0700-000006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I20 I25 I33 I38 I43 I48 I54 I59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C09"/>
  </sheetPr>
  <dimension ref="A1:AI204"/>
  <sheetViews>
    <sheetView showGridLines="0" topLeftCell="T181" zoomScaleNormal="100" workbookViewId="0">
      <selection activeCell="W182" sqref="W182"/>
    </sheetView>
  </sheetViews>
  <sheetFormatPr baseColWidth="10" defaultColWidth="12.7109375" defaultRowHeight="15.75" customHeight="1"/>
  <cols>
    <col min="1" max="2" width="5" customWidth="1"/>
    <col min="3" max="6" width="25.7109375" customWidth="1"/>
    <col min="7" max="7" width="26.7109375" customWidth="1"/>
    <col min="8" max="12" width="25.7109375" customWidth="1"/>
    <col min="13" max="15" width="8.7109375" customWidth="1"/>
    <col min="16" max="18" width="25.7109375" customWidth="1"/>
    <col min="19" max="19" width="22.7109375" customWidth="1"/>
    <col min="20" max="21" width="18.7109375" customWidth="1"/>
    <col min="22" max="22" width="40.7109375" customWidth="1"/>
    <col min="23" max="23" width="20.7109375" customWidth="1"/>
    <col min="24" max="28" width="12.7109375" customWidth="1"/>
    <col min="29" max="29" width="12.140625" style="365" customWidth="1"/>
    <col min="30" max="30" width="10.28515625" style="365" customWidth="1"/>
    <col min="31" max="33" width="8.7109375" customWidth="1"/>
    <col min="34" max="34" width="19.7109375" customWidth="1"/>
  </cols>
  <sheetData>
    <row r="1" spans="1:35" ht="39" customHeight="1">
      <c r="A1" s="8824" t="s">
        <v>0</v>
      </c>
      <c r="B1" s="8825"/>
      <c r="C1" s="8825"/>
      <c r="D1" s="8825"/>
      <c r="E1" s="8825"/>
      <c r="F1" s="8825"/>
      <c r="G1" s="8825"/>
      <c r="H1" s="8825"/>
      <c r="I1" s="8825"/>
      <c r="J1" s="8825"/>
      <c r="K1" s="8825"/>
      <c r="L1" s="8825"/>
      <c r="M1" s="8825"/>
      <c r="N1" s="8825"/>
      <c r="O1" s="8825"/>
      <c r="P1" s="8825"/>
      <c r="Q1" s="8825"/>
      <c r="R1" s="8825"/>
      <c r="S1" s="8825"/>
      <c r="T1" s="8825"/>
      <c r="U1" s="8825"/>
      <c r="V1" s="8825"/>
      <c r="W1" s="8825"/>
      <c r="X1" s="8825"/>
      <c r="Y1" s="8825"/>
      <c r="Z1" s="8825"/>
      <c r="AA1" s="8825"/>
      <c r="AB1" s="8825"/>
      <c r="AC1" s="9639"/>
      <c r="AD1" s="9639"/>
      <c r="AE1" s="8825"/>
      <c r="AF1" s="8825"/>
      <c r="AG1" s="8825"/>
      <c r="AH1" s="8825"/>
    </row>
    <row r="2" spans="1:35" ht="30">
      <c r="A2" s="8826" t="s">
        <v>1</v>
      </c>
      <c r="B2" s="9350"/>
      <c r="C2" s="9350"/>
      <c r="D2" s="9350"/>
      <c r="E2" s="9350"/>
      <c r="F2" s="9350"/>
      <c r="G2" s="9350"/>
      <c r="H2" s="9350"/>
      <c r="I2" s="9350"/>
      <c r="J2" s="9350"/>
      <c r="K2" s="9350"/>
      <c r="L2" s="9350"/>
      <c r="M2" s="9350"/>
      <c r="N2" s="9350"/>
      <c r="O2" s="9350"/>
      <c r="P2" s="9350"/>
      <c r="Q2" s="9350"/>
      <c r="R2" s="9350"/>
      <c r="S2" s="9350"/>
      <c r="T2" s="9350"/>
      <c r="U2" s="9350"/>
      <c r="V2" s="9350"/>
      <c r="W2" s="9350"/>
      <c r="X2" s="9350"/>
      <c r="Y2" s="9350"/>
      <c r="Z2" s="9350"/>
      <c r="AA2" s="9350"/>
      <c r="AB2" s="9350"/>
      <c r="AC2" s="9640"/>
      <c r="AD2" s="9640"/>
      <c r="AE2" s="9350"/>
      <c r="AF2" s="9350"/>
      <c r="AG2" s="9350"/>
      <c r="AH2" s="9350"/>
    </row>
    <row r="3" spans="1:35" ht="30.75">
      <c r="A3" s="8828" t="s">
        <v>1271</v>
      </c>
      <c r="B3" s="8825"/>
      <c r="C3" s="8825"/>
      <c r="D3" s="8825"/>
      <c r="E3" s="8825"/>
      <c r="F3" s="8825"/>
      <c r="G3" s="8825"/>
      <c r="H3" s="8825"/>
      <c r="I3" s="8825"/>
      <c r="J3" s="8825"/>
      <c r="K3" s="8825"/>
      <c r="L3" s="8825"/>
      <c r="M3" s="8825"/>
      <c r="N3" s="8825"/>
      <c r="O3" s="8825"/>
      <c r="P3" s="8825"/>
      <c r="Q3" s="8825"/>
      <c r="R3" s="8825"/>
      <c r="S3" s="8825"/>
      <c r="T3" s="8825"/>
      <c r="U3" s="8825"/>
      <c r="V3" s="8825"/>
      <c r="W3" s="8825"/>
      <c r="X3" s="8825"/>
      <c r="Y3" s="8825"/>
      <c r="Z3" s="8825"/>
      <c r="AA3" s="8825"/>
      <c r="AB3" s="8825"/>
      <c r="AC3" s="9639"/>
      <c r="AD3" s="9639"/>
      <c r="AE3" s="8825"/>
      <c r="AF3" s="8825"/>
      <c r="AG3" s="8825"/>
      <c r="AH3" s="8825"/>
    </row>
    <row r="4" spans="1:35" ht="26.25">
      <c r="A4" s="8829" t="s">
        <v>88</v>
      </c>
      <c r="B4" s="8825"/>
      <c r="C4" s="8825"/>
      <c r="D4" s="8825"/>
      <c r="E4" s="8825"/>
      <c r="F4" s="8825"/>
      <c r="G4" s="8825"/>
      <c r="H4" s="8825"/>
      <c r="I4" s="8825"/>
      <c r="J4" s="8825"/>
      <c r="K4" s="8825"/>
      <c r="L4" s="8825"/>
      <c r="M4" s="8825"/>
      <c r="N4" s="8825"/>
      <c r="O4" s="8825"/>
      <c r="P4" s="8825"/>
      <c r="Q4" s="8825"/>
      <c r="R4" s="8825"/>
      <c r="S4" s="8825"/>
      <c r="T4" s="8825"/>
      <c r="U4" s="8825"/>
      <c r="V4" s="8825"/>
      <c r="W4" s="8825"/>
      <c r="X4" s="8825"/>
      <c r="Y4" s="8825"/>
      <c r="Z4" s="8825"/>
      <c r="AA4" s="8825"/>
      <c r="AB4" s="8825"/>
      <c r="AC4" s="9639"/>
      <c r="AD4" s="9639"/>
      <c r="AE4" s="8825"/>
      <c r="AF4" s="8825"/>
      <c r="AG4" s="8825"/>
      <c r="AH4" s="8825"/>
    </row>
    <row r="5" spans="1:35" ht="16.5" customHeight="1">
      <c r="A5" s="762"/>
      <c r="B5" s="822"/>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738"/>
      <c r="AD5" s="738"/>
      <c r="AE5" s="604"/>
      <c r="AF5" s="861"/>
      <c r="AG5" s="604"/>
      <c r="AH5" s="604"/>
    </row>
    <row r="6" spans="1:35" ht="24.75" customHeight="1">
      <c r="A6" s="9002" t="s">
        <v>89</v>
      </c>
      <c r="B6" s="9641"/>
      <c r="C6" s="9645" t="s">
        <v>90</v>
      </c>
      <c r="D6" s="9641"/>
      <c r="E6" s="9010" t="s">
        <v>91</v>
      </c>
      <c r="F6" s="9357"/>
      <c r="G6" s="9357"/>
      <c r="H6" s="9357"/>
      <c r="I6" s="9357"/>
      <c r="J6" s="8988" t="s">
        <v>92</v>
      </c>
      <c r="K6" s="9343"/>
      <c r="L6" s="9343"/>
      <c r="M6" s="9343"/>
      <c r="N6" s="9343"/>
      <c r="O6" s="9343"/>
      <c r="P6" s="9343"/>
      <c r="Q6" s="9343"/>
      <c r="R6" s="9344"/>
      <c r="S6" s="9150" t="s">
        <v>93</v>
      </c>
      <c r="T6" s="9345"/>
      <c r="U6" s="9345"/>
      <c r="V6" s="9345"/>
      <c r="W6" s="9345"/>
      <c r="X6" s="9345"/>
      <c r="Y6" s="9345"/>
      <c r="Z6" s="9345"/>
      <c r="AA6" s="9345"/>
      <c r="AB6" s="9345"/>
      <c r="AC6" s="9649"/>
      <c r="AD6" s="9649"/>
      <c r="AE6" s="9345"/>
      <c r="AF6" s="9345"/>
      <c r="AG6" s="9345"/>
      <c r="AH6" s="9346"/>
      <c r="AI6" s="559"/>
    </row>
    <row r="7" spans="1:35" ht="39.75" customHeight="1">
      <c r="A7" s="9352"/>
      <c r="B7" s="9642"/>
      <c r="C7" s="9600" t="s">
        <v>94</v>
      </c>
      <c r="D7" s="9147" t="s">
        <v>95</v>
      </c>
      <c r="E7" s="9012" t="s">
        <v>96</v>
      </c>
      <c r="F7" s="9012" t="s">
        <v>97</v>
      </c>
      <c r="G7" s="9012" t="s">
        <v>98</v>
      </c>
      <c r="H7" s="9012" t="s">
        <v>99</v>
      </c>
      <c r="I7" s="9012" t="s">
        <v>100</v>
      </c>
      <c r="J7" s="9014" t="s">
        <v>101</v>
      </c>
      <c r="K7" s="9016" t="s">
        <v>102</v>
      </c>
      <c r="L7" s="9016" t="s">
        <v>103</v>
      </c>
      <c r="M7" s="9016" t="s">
        <v>104</v>
      </c>
      <c r="N7" s="9361"/>
      <c r="O7" s="9361"/>
      <c r="P7" s="9016" t="s">
        <v>105</v>
      </c>
      <c r="Q7" s="9016" t="s">
        <v>106</v>
      </c>
      <c r="R7" s="9019" t="s">
        <v>107</v>
      </c>
      <c r="S7" s="9153" t="s">
        <v>108</v>
      </c>
      <c r="T7" s="9347"/>
      <c r="U7" s="9347"/>
      <c r="V7" s="9347"/>
      <c r="W7" s="5097"/>
      <c r="X7" s="5097"/>
      <c r="Y7" s="5098"/>
      <c r="Z7" s="9180" t="s">
        <v>109</v>
      </c>
      <c r="AA7" s="9181"/>
      <c r="AB7" s="9181"/>
      <c r="AC7" s="9181"/>
      <c r="AD7" s="9182"/>
      <c r="AE7" s="9156" t="s">
        <v>110</v>
      </c>
      <c r="AF7" s="9347"/>
      <c r="AG7" s="9348"/>
      <c r="AH7" s="9157" t="s">
        <v>111</v>
      </c>
      <c r="AI7" s="559"/>
    </row>
    <row r="8" spans="1:35" ht="51.75" customHeight="1">
      <c r="A8" s="9643"/>
      <c r="B8" s="9644"/>
      <c r="C8" s="9601"/>
      <c r="D8" s="9415"/>
      <c r="E8" s="9358"/>
      <c r="F8" s="9358"/>
      <c r="G8" s="9358"/>
      <c r="H8" s="9358"/>
      <c r="I8" s="9358"/>
      <c r="J8" s="9359"/>
      <c r="K8" s="9360"/>
      <c r="L8" s="9360"/>
      <c r="M8" s="5086" t="s">
        <v>112</v>
      </c>
      <c r="N8" s="5086" t="s">
        <v>113</v>
      </c>
      <c r="O8" s="5086" t="s">
        <v>114</v>
      </c>
      <c r="P8" s="9360"/>
      <c r="Q8" s="9360"/>
      <c r="R8" s="9362"/>
      <c r="S8" s="5087" t="s">
        <v>115</v>
      </c>
      <c r="T8" s="5088" t="s">
        <v>116</v>
      </c>
      <c r="U8" s="5089" t="s">
        <v>117</v>
      </c>
      <c r="V8" s="5088" t="s">
        <v>118</v>
      </c>
      <c r="W8" s="5088" t="s">
        <v>119</v>
      </c>
      <c r="X8" s="5088" t="s">
        <v>372</v>
      </c>
      <c r="Y8" s="5090" t="s">
        <v>121</v>
      </c>
      <c r="Z8" s="5088" t="s">
        <v>122</v>
      </c>
      <c r="AA8" s="5099" t="s">
        <v>123</v>
      </c>
      <c r="AB8" s="5088" t="s">
        <v>124</v>
      </c>
      <c r="AC8" s="5085" t="s">
        <v>125</v>
      </c>
      <c r="AD8" s="5088" t="s">
        <v>373</v>
      </c>
      <c r="AE8" s="5088" t="s">
        <v>112</v>
      </c>
      <c r="AF8" s="5088" t="s">
        <v>113</v>
      </c>
      <c r="AG8" s="5088" t="s">
        <v>114</v>
      </c>
      <c r="AH8" s="9349"/>
      <c r="AI8" s="559"/>
    </row>
    <row r="9" spans="1:35" ht="33" customHeight="1">
      <c r="A9" s="9599" t="s">
        <v>1271</v>
      </c>
      <c r="B9" s="9602"/>
      <c r="C9" s="8973" t="s">
        <v>127</v>
      </c>
      <c r="D9" s="8834" t="s">
        <v>128</v>
      </c>
      <c r="E9" s="8834" t="s">
        <v>129</v>
      </c>
      <c r="F9" s="8834" t="s">
        <v>268</v>
      </c>
      <c r="G9" s="8974" t="s">
        <v>131</v>
      </c>
      <c r="H9" s="8834" t="s">
        <v>132</v>
      </c>
      <c r="I9" s="8834" t="s">
        <v>159</v>
      </c>
      <c r="J9" s="9646" t="s">
        <v>1272</v>
      </c>
      <c r="K9" s="9648" t="s">
        <v>1273</v>
      </c>
      <c r="L9" s="8834" t="s">
        <v>1274</v>
      </c>
      <c r="M9" s="8856">
        <v>2</v>
      </c>
      <c r="N9" s="8856">
        <v>2</v>
      </c>
      <c r="O9" s="8856">
        <v>2</v>
      </c>
      <c r="P9" s="8834" t="s">
        <v>1275</v>
      </c>
      <c r="Q9" s="8834" t="s">
        <v>1276</v>
      </c>
      <c r="R9" s="9205" t="s">
        <v>1277</v>
      </c>
      <c r="S9" s="1080"/>
      <c r="T9" s="4965"/>
      <c r="U9" s="6434"/>
      <c r="V9" s="1047"/>
      <c r="W9" s="6464"/>
      <c r="X9" s="1227"/>
      <c r="Y9" s="6504"/>
      <c r="Z9" s="6504"/>
      <c r="AA9" s="6504"/>
      <c r="AB9" s="5041"/>
      <c r="AC9" s="6548"/>
      <c r="AD9" s="1228"/>
      <c r="AE9" s="1049"/>
      <c r="AF9" s="1049"/>
      <c r="AG9" s="1049"/>
      <c r="AH9" s="9638"/>
      <c r="AI9" s="559"/>
    </row>
    <row r="10" spans="1:35" ht="30.75" customHeight="1">
      <c r="A10" s="9392"/>
      <c r="B10" s="9603"/>
      <c r="C10" s="9402"/>
      <c r="D10" s="9311"/>
      <c r="E10" s="9311"/>
      <c r="F10" s="9311"/>
      <c r="G10" s="9311"/>
      <c r="H10" s="9311"/>
      <c r="I10" s="9311"/>
      <c r="J10" s="9647"/>
      <c r="K10" s="9647"/>
      <c r="L10" s="9311"/>
      <c r="M10" s="9607"/>
      <c r="N10" s="9607"/>
      <c r="O10" s="9607"/>
      <c r="P10" s="9311"/>
      <c r="Q10" s="9311"/>
      <c r="R10" s="9433"/>
      <c r="S10" s="1083"/>
      <c r="T10" s="4959"/>
      <c r="U10" s="4959"/>
      <c r="V10" s="1204"/>
      <c r="W10" s="6465"/>
      <c r="X10" s="1229"/>
      <c r="Y10" s="5043"/>
      <c r="Z10" s="6505"/>
      <c r="AA10" s="6505"/>
      <c r="AB10" s="5044"/>
      <c r="AC10" s="4993"/>
      <c r="AD10" s="1183"/>
      <c r="AE10" s="1229"/>
      <c r="AF10" s="1074"/>
      <c r="AG10" s="1074"/>
      <c r="AH10" s="9636"/>
      <c r="AI10" s="559"/>
    </row>
    <row r="11" spans="1:35" ht="30.75" customHeight="1">
      <c r="A11" s="9392"/>
      <c r="B11" s="9603"/>
      <c r="C11" s="9402"/>
      <c r="D11" s="9311"/>
      <c r="E11" s="9311"/>
      <c r="F11" s="9311"/>
      <c r="G11" s="9311"/>
      <c r="H11" s="9311"/>
      <c r="I11" s="9311"/>
      <c r="J11" s="9647"/>
      <c r="K11" s="9647"/>
      <c r="L11" s="9311"/>
      <c r="M11" s="9607"/>
      <c r="N11" s="9607"/>
      <c r="O11" s="9607"/>
      <c r="P11" s="9311"/>
      <c r="Q11" s="9311"/>
      <c r="R11" s="9433"/>
      <c r="S11" s="1083"/>
      <c r="T11" s="4959"/>
      <c r="U11" s="4959"/>
      <c r="V11" s="1204"/>
      <c r="W11" s="6465"/>
      <c r="X11" s="1229"/>
      <c r="Y11" s="5043"/>
      <c r="Z11" s="6505"/>
      <c r="AA11" s="6505"/>
      <c r="AB11" s="5044"/>
      <c r="AC11" s="4993"/>
      <c r="AD11" s="1183"/>
      <c r="AE11" s="1229"/>
      <c r="AF11" s="1074"/>
      <c r="AG11" s="1074"/>
      <c r="AH11" s="9636"/>
      <c r="AI11" s="559"/>
    </row>
    <row r="12" spans="1:35" ht="30.75" customHeight="1">
      <c r="A12" s="9392"/>
      <c r="B12" s="9603"/>
      <c r="C12" s="9402"/>
      <c r="D12" s="9311"/>
      <c r="E12" s="9311"/>
      <c r="F12" s="9311"/>
      <c r="G12" s="9311"/>
      <c r="H12" s="9311"/>
      <c r="I12" s="9311"/>
      <c r="J12" s="9647"/>
      <c r="K12" s="9647"/>
      <c r="L12" s="9311"/>
      <c r="M12" s="9607"/>
      <c r="N12" s="9607"/>
      <c r="O12" s="9607"/>
      <c r="P12" s="9311"/>
      <c r="Q12" s="9311"/>
      <c r="R12" s="9433"/>
      <c r="S12" s="1083"/>
      <c r="T12" s="4959"/>
      <c r="U12" s="4959"/>
      <c r="V12" s="1204"/>
      <c r="W12" s="6465"/>
      <c r="X12" s="1229"/>
      <c r="Y12" s="5043"/>
      <c r="Z12" s="6505"/>
      <c r="AA12" s="6505"/>
      <c r="AB12" s="5044"/>
      <c r="AC12" s="4993"/>
      <c r="AD12" s="1183"/>
      <c r="AE12" s="1229"/>
      <c r="AF12" s="1074"/>
      <c r="AG12" s="1074"/>
      <c r="AH12" s="9636"/>
      <c r="AI12" s="559"/>
    </row>
    <row r="13" spans="1:35" ht="30.75" customHeight="1">
      <c r="A13" s="9392"/>
      <c r="B13" s="9603"/>
      <c r="C13" s="9402"/>
      <c r="D13" s="9312"/>
      <c r="E13" s="9311"/>
      <c r="F13" s="9311"/>
      <c r="G13" s="9311"/>
      <c r="H13" s="9311"/>
      <c r="I13" s="9311"/>
      <c r="J13" s="9647"/>
      <c r="K13" s="9647"/>
      <c r="L13" s="9311"/>
      <c r="M13" s="9607"/>
      <c r="N13" s="9607"/>
      <c r="O13" s="9607"/>
      <c r="P13" s="9311"/>
      <c r="Q13" s="9311"/>
      <c r="R13" s="9433"/>
      <c r="S13" s="1083"/>
      <c r="T13" s="4959"/>
      <c r="U13" s="4959"/>
      <c r="V13" s="1204"/>
      <c r="W13" s="6465"/>
      <c r="X13" s="1229"/>
      <c r="Y13" s="5043"/>
      <c r="Z13" s="6505"/>
      <c r="AA13" s="6505"/>
      <c r="AB13" s="5044"/>
      <c r="AC13" s="4993"/>
      <c r="AD13" s="1183"/>
      <c r="AE13" s="1229"/>
      <c r="AF13" s="1074"/>
      <c r="AG13" s="1074"/>
      <c r="AH13" s="9637"/>
      <c r="AI13" s="559"/>
    </row>
    <row r="14" spans="1:35" ht="51" customHeight="1">
      <c r="A14" s="9392"/>
      <c r="B14" s="9603"/>
      <c r="C14" s="8976" t="s">
        <v>183</v>
      </c>
      <c r="D14" s="8834" t="s">
        <v>184</v>
      </c>
      <c r="E14" s="8782" t="s">
        <v>1278</v>
      </c>
      <c r="F14" s="8782" t="s">
        <v>1279</v>
      </c>
      <c r="G14" s="8977" t="s">
        <v>187</v>
      </c>
      <c r="H14" s="8782" t="s">
        <v>247</v>
      </c>
      <c r="I14" s="8782" t="s">
        <v>133</v>
      </c>
      <c r="J14" s="9652" t="s">
        <v>1280</v>
      </c>
      <c r="K14" s="9653" t="s">
        <v>1281</v>
      </c>
      <c r="L14" s="8782" t="s">
        <v>1282</v>
      </c>
      <c r="M14" s="8823">
        <v>0</v>
      </c>
      <c r="N14" s="8823">
        <v>0</v>
      </c>
      <c r="O14" s="9613">
        <v>1</v>
      </c>
      <c r="P14" s="8782" t="s">
        <v>1283</v>
      </c>
      <c r="Q14" s="8782" t="s">
        <v>1284</v>
      </c>
      <c r="R14" s="9217" t="s">
        <v>1285</v>
      </c>
      <c r="S14" s="1086" t="s">
        <v>80</v>
      </c>
      <c r="T14" s="4956">
        <v>530204</v>
      </c>
      <c r="U14" s="6435"/>
      <c r="V14" s="1915" t="s">
        <v>16</v>
      </c>
      <c r="W14" s="6466"/>
      <c r="X14" s="1916"/>
      <c r="Y14" s="6506"/>
      <c r="Z14" s="6507"/>
      <c r="AA14" s="6507"/>
      <c r="AB14" s="6508">
        <f>SUM(AA15:AA16)</f>
        <v>4378.8599999999997</v>
      </c>
      <c r="AC14" s="5008" t="s">
        <v>25</v>
      </c>
      <c r="AD14" s="1917"/>
      <c r="AE14" s="1076"/>
      <c r="AF14" s="1076"/>
      <c r="AG14" s="1076"/>
      <c r="AH14" s="9650" t="s">
        <v>1286</v>
      </c>
      <c r="AI14" s="559"/>
    </row>
    <row r="15" spans="1:35" ht="42.75" customHeight="1">
      <c r="A15" s="9392"/>
      <c r="B15" s="9603"/>
      <c r="C15" s="9402"/>
      <c r="D15" s="9311"/>
      <c r="E15" s="9311"/>
      <c r="F15" s="9311"/>
      <c r="G15" s="9311"/>
      <c r="H15" s="9311"/>
      <c r="I15" s="9311"/>
      <c r="J15" s="9647"/>
      <c r="K15" s="9647"/>
      <c r="L15" s="9311"/>
      <c r="M15" s="9607"/>
      <c r="N15" s="9607"/>
      <c r="O15" s="9614"/>
      <c r="P15" s="9311"/>
      <c r="Q15" s="9311"/>
      <c r="R15" s="9433"/>
      <c r="S15" s="1083"/>
      <c r="T15" s="4958"/>
      <c r="U15" s="4958">
        <v>891210911</v>
      </c>
      <c r="V15" s="3262" t="s">
        <v>1287</v>
      </c>
      <c r="W15" s="6467">
        <v>1</v>
      </c>
      <c r="X15" s="3192" t="s">
        <v>1288</v>
      </c>
      <c r="Y15" s="6509">
        <f>1080/1.12</f>
        <v>964.28571428571422</v>
      </c>
      <c r="Z15" s="6509">
        <f t="shared" ref="Z15" si="0">+W15*Y15</f>
        <v>964.28571428571422</v>
      </c>
      <c r="AA15" s="6509">
        <f>Z15*1.12</f>
        <v>1080</v>
      </c>
      <c r="AB15" s="6510"/>
      <c r="AC15" s="6549"/>
      <c r="AD15" s="92"/>
      <c r="AE15" s="1229" t="s">
        <v>153</v>
      </c>
      <c r="AF15" s="1229" t="s">
        <v>153</v>
      </c>
      <c r="AG15" s="1229" t="s">
        <v>153</v>
      </c>
      <c r="AH15" s="9651"/>
      <c r="AI15" s="559"/>
    </row>
    <row r="16" spans="1:35" ht="41.25" customHeight="1">
      <c r="A16" s="9392"/>
      <c r="B16" s="9603"/>
      <c r="C16" s="9402"/>
      <c r="D16" s="9311"/>
      <c r="E16" s="9311"/>
      <c r="F16" s="9311"/>
      <c r="G16" s="9311"/>
      <c r="H16" s="9311"/>
      <c r="I16" s="9311"/>
      <c r="J16" s="9647"/>
      <c r="K16" s="9647"/>
      <c r="L16" s="9311"/>
      <c r="M16" s="9607"/>
      <c r="N16" s="9607"/>
      <c r="O16" s="9614"/>
      <c r="P16" s="9311"/>
      <c r="Q16" s="9311"/>
      <c r="R16" s="9433"/>
      <c r="S16" s="8179"/>
      <c r="T16" s="8180"/>
      <c r="U16" s="8180"/>
      <c r="V16" s="8181" t="s">
        <v>1289</v>
      </c>
      <c r="W16" s="8182">
        <v>1</v>
      </c>
      <c r="X16" s="8183" t="s">
        <v>152</v>
      </c>
      <c r="Y16" s="8184">
        <f>(1398.86+1400+500)/1.12</f>
        <v>2945.4107142857138</v>
      </c>
      <c r="Z16" s="8184">
        <f>W16*Y16</f>
        <v>2945.4107142857138</v>
      </c>
      <c r="AA16" s="8184">
        <f>Z16*1.12</f>
        <v>3298.8599999999997</v>
      </c>
      <c r="AB16" s="8185"/>
      <c r="AC16" s="8186"/>
      <c r="AD16" s="8187"/>
      <c r="AE16" s="1229"/>
      <c r="AF16" s="1229"/>
      <c r="AG16" s="1229" t="s">
        <v>153</v>
      </c>
      <c r="AH16" s="9651"/>
      <c r="AI16" s="559"/>
    </row>
    <row r="17" spans="1:35" ht="59.25" customHeight="1">
      <c r="A17" s="9392"/>
      <c r="B17" s="9603"/>
      <c r="C17" s="9402"/>
      <c r="D17" s="9311"/>
      <c r="E17" s="9311"/>
      <c r="F17" s="9311"/>
      <c r="G17" s="9311"/>
      <c r="H17" s="9311"/>
      <c r="I17" s="9311"/>
      <c r="J17" s="9647"/>
      <c r="K17" s="9647"/>
      <c r="L17" s="9311"/>
      <c r="M17" s="9607"/>
      <c r="N17" s="9607"/>
      <c r="O17" s="9614"/>
      <c r="P17" s="9311"/>
      <c r="Q17" s="9311"/>
      <c r="R17" s="9433"/>
      <c r="S17" s="3384" t="s">
        <v>80</v>
      </c>
      <c r="T17" s="4952">
        <v>530204</v>
      </c>
      <c r="U17" s="4961"/>
      <c r="V17" s="8188" t="s">
        <v>16</v>
      </c>
      <c r="W17" s="8189"/>
      <c r="X17" s="8190"/>
      <c r="Y17" s="8191"/>
      <c r="Z17" s="8192"/>
      <c r="AA17" s="8192"/>
      <c r="AB17" s="8193">
        <f>+AA18</f>
        <v>2352</v>
      </c>
      <c r="AC17" s="4979" t="s">
        <v>26</v>
      </c>
      <c r="AD17" s="8194"/>
      <c r="AE17" s="3383"/>
      <c r="AF17" s="3383"/>
      <c r="AG17" s="3383"/>
      <c r="AH17" s="9651"/>
      <c r="AI17" s="559"/>
    </row>
    <row r="18" spans="1:35" ht="26.25" customHeight="1">
      <c r="A18" s="9392"/>
      <c r="B18" s="9603"/>
      <c r="C18" s="9402"/>
      <c r="D18" s="9312"/>
      <c r="E18" s="9311"/>
      <c r="F18" s="9311"/>
      <c r="G18" s="9311"/>
      <c r="H18" s="9311"/>
      <c r="I18" s="9311"/>
      <c r="J18" s="9647"/>
      <c r="K18" s="9647"/>
      <c r="L18" s="9311"/>
      <c r="M18" s="9607"/>
      <c r="N18" s="9607"/>
      <c r="O18" s="9614"/>
      <c r="P18" s="9311"/>
      <c r="Q18" s="9311"/>
      <c r="R18" s="9433"/>
      <c r="S18" s="3208"/>
      <c r="T18" s="4953"/>
      <c r="U18" s="4953"/>
      <c r="V18" s="3262" t="s">
        <v>1290</v>
      </c>
      <c r="W18" s="6467">
        <v>1</v>
      </c>
      <c r="X18" s="3192" t="s">
        <v>152</v>
      </c>
      <c r="Y18" s="6509">
        <f>2352/1.12</f>
        <v>2100</v>
      </c>
      <c r="Z18" s="6509">
        <f t="shared" ref="Z18" si="1">+W18*Y18</f>
        <v>2100</v>
      </c>
      <c r="AA18" s="6509">
        <f>Z18*1.12</f>
        <v>2352</v>
      </c>
      <c r="AB18" s="6512"/>
      <c r="AC18" s="6550"/>
      <c r="AD18" s="3382"/>
      <c r="AE18" s="3383"/>
      <c r="AF18" s="3383"/>
      <c r="AG18" s="3383" t="s">
        <v>153</v>
      </c>
      <c r="AH18" s="9651"/>
      <c r="AI18" s="559"/>
    </row>
    <row r="19" spans="1:35" ht="33.75" customHeight="1">
      <c r="A19" s="9392"/>
      <c r="B19" s="9603"/>
      <c r="C19" s="8976" t="s">
        <v>183</v>
      </c>
      <c r="D19" s="8834" t="s">
        <v>1291</v>
      </c>
      <c r="E19" s="8782" t="s">
        <v>1292</v>
      </c>
      <c r="F19" s="8782" t="s">
        <v>1293</v>
      </c>
      <c r="G19" s="8977" t="s">
        <v>1294</v>
      </c>
      <c r="H19" s="8782" t="s">
        <v>132</v>
      </c>
      <c r="I19" s="8782" t="s">
        <v>133</v>
      </c>
      <c r="J19" s="8860" t="s">
        <v>1295</v>
      </c>
      <c r="K19" s="8782" t="s">
        <v>1296</v>
      </c>
      <c r="L19" s="8782" t="s">
        <v>1297</v>
      </c>
      <c r="M19" s="8823">
        <v>0</v>
      </c>
      <c r="N19" s="8823">
        <v>1</v>
      </c>
      <c r="O19" s="8823">
        <v>0</v>
      </c>
      <c r="P19" s="8782" t="s">
        <v>1298</v>
      </c>
      <c r="Q19" s="8782" t="s">
        <v>1299</v>
      </c>
      <c r="R19" s="9217" t="s">
        <v>1300</v>
      </c>
      <c r="S19" s="1086" t="s">
        <v>80</v>
      </c>
      <c r="T19" s="4956">
        <v>530302</v>
      </c>
      <c r="U19" s="4956"/>
      <c r="V19" s="1915" t="s">
        <v>1301</v>
      </c>
      <c r="W19" s="6470"/>
      <c r="X19" s="93"/>
      <c r="Y19" s="7833"/>
      <c r="Z19" s="7833"/>
      <c r="AA19" s="7833"/>
      <c r="AB19" s="7834">
        <f>SUM($AA$20:$AA$20)</f>
        <v>13567.6</v>
      </c>
      <c r="AC19" s="5008" t="s">
        <v>25</v>
      </c>
      <c r="AD19" s="1917"/>
      <c r="AE19" s="1230"/>
      <c r="AF19" s="1076"/>
      <c r="AG19" s="1076"/>
      <c r="AH19" s="9635"/>
      <c r="AI19" s="559"/>
    </row>
    <row r="20" spans="1:35" ht="40.5" customHeight="1">
      <c r="A20" s="9392"/>
      <c r="B20" s="9603"/>
      <c r="C20" s="9402"/>
      <c r="D20" s="9311"/>
      <c r="E20" s="9311"/>
      <c r="F20" s="9311"/>
      <c r="G20" s="9311"/>
      <c r="H20" s="9311"/>
      <c r="I20" s="9311"/>
      <c r="J20" s="9311"/>
      <c r="K20" s="9311"/>
      <c r="L20" s="9311"/>
      <c r="M20" s="9607"/>
      <c r="N20" s="9607"/>
      <c r="O20" s="9607"/>
      <c r="P20" s="9311"/>
      <c r="Q20" s="9311"/>
      <c r="R20" s="9433"/>
      <c r="S20" s="1211"/>
      <c r="T20" s="4958"/>
      <c r="U20" s="6436"/>
      <c r="V20" s="1918" t="s">
        <v>1302</v>
      </c>
      <c r="W20" s="6468">
        <v>1</v>
      </c>
      <c r="X20" s="90" t="s">
        <v>180</v>
      </c>
      <c r="Y20" s="7831">
        <v>13567.6</v>
      </c>
      <c r="Z20" s="7831">
        <f t="shared" ref="Z20" si="2">+W20*Y20</f>
        <v>13567.6</v>
      </c>
      <c r="AA20" s="7831">
        <f>Z20</f>
        <v>13567.6</v>
      </c>
      <c r="AB20" s="7835"/>
      <c r="AC20" s="6549"/>
      <c r="AD20" s="92"/>
      <c r="AE20" s="2097" t="s">
        <v>153</v>
      </c>
      <c r="AF20" s="1229"/>
      <c r="AG20" s="1229"/>
      <c r="AH20" s="9636"/>
      <c r="AI20" s="559"/>
    </row>
    <row r="21" spans="1:35" ht="33.75" customHeight="1">
      <c r="A21" s="9392"/>
      <c r="B21" s="9603"/>
      <c r="C21" s="9402"/>
      <c r="D21" s="9311"/>
      <c r="E21" s="9311"/>
      <c r="F21" s="9311"/>
      <c r="G21" s="9311"/>
      <c r="H21" s="9311"/>
      <c r="I21" s="9311"/>
      <c r="J21" s="9311"/>
      <c r="K21" s="9311"/>
      <c r="L21" s="9311"/>
      <c r="M21" s="9607"/>
      <c r="N21" s="9607"/>
      <c r="O21" s="9607"/>
      <c r="P21" s="9311"/>
      <c r="Q21" s="9311"/>
      <c r="R21" s="9433"/>
      <c r="S21" s="1080" t="s">
        <v>80</v>
      </c>
      <c r="T21" s="6436">
        <v>530304</v>
      </c>
      <c r="U21" s="4958"/>
      <c r="V21" s="1919" t="s">
        <v>30</v>
      </c>
      <c r="W21" s="6468"/>
      <c r="X21" s="90"/>
      <c r="Y21" s="6511"/>
      <c r="Z21" s="6511"/>
      <c r="AA21" s="6511"/>
      <c r="AB21" s="6508">
        <f>SUM($AA$22)</f>
        <v>3826</v>
      </c>
      <c r="AC21" s="5008" t="s">
        <v>25</v>
      </c>
      <c r="AD21" s="1920"/>
      <c r="AE21" s="1229"/>
      <c r="AF21" s="1074"/>
      <c r="AG21" s="1074"/>
      <c r="AH21" s="9636"/>
      <c r="AI21" s="559"/>
    </row>
    <row r="22" spans="1:35" ht="33.75" customHeight="1">
      <c r="A22" s="9392"/>
      <c r="B22" s="9603"/>
      <c r="C22" s="9402"/>
      <c r="D22" s="9311"/>
      <c r="E22" s="9311"/>
      <c r="F22" s="9311"/>
      <c r="G22" s="9311"/>
      <c r="H22" s="9311"/>
      <c r="I22" s="9311"/>
      <c r="J22" s="9311"/>
      <c r="K22" s="9311"/>
      <c r="L22" s="9311"/>
      <c r="M22" s="9607"/>
      <c r="N22" s="9607"/>
      <c r="O22" s="9607"/>
      <c r="P22" s="9311"/>
      <c r="Q22" s="9311"/>
      <c r="R22" s="9433"/>
      <c r="S22" s="1231"/>
      <c r="T22" s="6437"/>
      <c r="U22" s="6438"/>
      <c r="V22" s="3262" t="s">
        <v>1303</v>
      </c>
      <c r="W22" s="6467">
        <v>1</v>
      </c>
      <c r="X22" s="3192" t="s">
        <v>180</v>
      </c>
      <c r="Y22" s="6509">
        <f>3826/1.12</f>
        <v>3416.0714285714284</v>
      </c>
      <c r="Z22" s="6509">
        <f>+W22*Y22</f>
        <v>3416.0714285714284</v>
      </c>
      <c r="AA22" s="6509">
        <f>+Z22*1.12</f>
        <v>3826</v>
      </c>
      <c r="AB22" s="6510"/>
      <c r="AC22" s="6549"/>
      <c r="AD22" s="92"/>
      <c r="AE22" s="1229"/>
      <c r="AF22" s="2097" t="s">
        <v>153</v>
      </c>
      <c r="AG22" s="1229"/>
      <c r="AH22" s="9636"/>
      <c r="AI22" s="559"/>
    </row>
    <row r="23" spans="1:35" ht="18" customHeight="1">
      <c r="A23" s="9392"/>
      <c r="B23" s="9603"/>
      <c r="C23" s="9402"/>
      <c r="D23" s="9311"/>
      <c r="E23" s="9311"/>
      <c r="F23" s="9311"/>
      <c r="G23" s="9311"/>
      <c r="H23" s="9311"/>
      <c r="I23" s="9311"/>
      <c r="J23" s="9311"/>
      <c r="K23" s="9311"/>
      <c r="L23" s="9311"/>
      <c r="M23" s="9607"/>
      <c r="N23" s="9607"/>
      <c r="O23" s="9607"/>
      <c r="P23" s="9311"/>
      <c r="Q23" s="9311"/>
      <c r="R23" s="9433"/>
      <c r="S23" s="1085"/>
      <c r="T23" s="4967"/>
      <c r="U23" s="6439"/>
      <c r="V23" s="1206"/>
      <c r="W23" s="6471"/>
      <c r="X23" s="1069"/>
      <c r="Y23" s="6514"/>
      <c r="Z23" s="6514"/>
      <c r="AA23" s="6514"/>
      <c r="AB23" s="6515"/>
      <c r="AC23" s="6551"/>
      <c r="AD23" s="1079"/>
      <c r="AE23" s="1232"/>
      <c r="AF23" s="1232"/>
      <c r="AG23" s="1232"/>
      <c r="AH23" s="9637"/>
      <c r="AI23" s="559"/>
    </row>
    <row r="24" spans="1:35" ht="24.75" customHeight="1">
      <c r="A24" s="9392"/>
      <c r="B24" s="9603"/>
      <c r="C24" s="8976" t="s">
        <v>127</v>
      </c>
      <c r="D24" s="8782" t="s">
        <v>128</v>
      </c>
      <c r="E24" s="8782" t="s">
        <v>140</v>
      </c>
      <c r="F24" s="8782" t="s">
        <v>597</v>
      </c>
      <c r="G24" s="8977" t="s">
        <v>131</v>
      </c>
      <c r="H24" s="8782" t="s">
        <v>1304</v>
      </c>
      <c r="I24" s="8782" t="s">
        <v>214</v>
      </c>
      <c r="J24" s="8860" t="s">
        <v>1305</v>
      </c>
      <c r="K24" s="8782" t="s">
        <v>1306</v>
      </c>
      <c r="L24" s="8782" t="s">
        <v>1307</v>
      </c>
      <c r="M24" s="8823">
        <v>0</v>
      </c>
      <c r="N24" s="8823">
        <v>0</v>
      </c>
      <c r="O24" s="8823">
        <v>1</v>
      </c>
      <c r="P24" s="9455" t="s">
        <v>1308</v>
      </c>
      <c r="Q24" s="8782" t="s">
        <v>1309</v>
      </c>
      <c r="R24" s="9217" t="s">
        <v>1300</v>
      </c>
      <c r="S24" s="1086"/>
      <c r="T24" s="4957"/>
      <c r="U24" s="4957"/>
      <c r="V24" s="1060"/>
      <c r="W24" s="6472"/>
      <c r="X24" s="1233"/>
      <c r="Y24" s="6516"/>
      <c r="Z24" s="6516"/>
      <c r="AA24" s="6516"/>
      <c r="AB24" s="6517"/>
      <c r="AC24" s="4990"/>
      <c r="AD24" s="1218"/>
      <c r="AE24" s="1230"/>
      <c r="AF24" s="1076"/>
      <c r="AG24" s="1076"/>
      <c r="AH24" s="9635"/>
      <c r="AI24" s="559"/>
    </row>
    <row r="25" spans="1:35" ht="24.75" customHeight="1">
      <c r="A25" s="9392"/>
      <c r="B25" s="9603"/>
      <c r="C25" s="9402"/>
      <c r="D25" s="9311"/>
      <c r="E25" s="9311"/>
      <c r="F25" s="9311"/>
      <c r="G25" s="9311"/>
      <c r="H25" s="9311"/>
      <c r="I25" s="9311"/>
      <c r="J25" s="9311"/>
      <c r="K25" s="9311"/>
      <c r="L25" s="9311"/>
      <c r="M25" s="9607"/>
      <c r="N25" s="9607"/>
      <c r="O25" s="9607"/>
      <c r="P25" s="9616"/>
      <c r="Q25" s="9311"/>
      <c r="R25" s="9433"/>
      <c r="S25" s="1083"/>
      <c r="T25" s="4959"/>
      <c r="U25" s="6439"/>
      <c r="V25" s="1204"/>
      <c r="W25" s="6465"/>
      <c r="X25" s="1052"/>
      <c r="Y25" s="6505"/>
      <c r="Z25" s="6505"/>
      <c r="AA25" s="6505"/>
      <c r="AB25" s="5044"/>
      <c r="AC25" s="4993"/>
      <c r="AD25" s="1183"/>
      <c r="AE25" s="1229"/>
      <c r="AF25" s="1229"/>
      <c r="AG25" s="1229"/>
      <c r="AH25" s="9636"/>
      <c r="AI25" s="559"/>
    </row>
    <row r="26" spans="1:35" ht="24.75" customHeight="1">
      <c r="A26" s="9392"/>
      <c r="B26" s="9603"/>
      <c r="C26" s="9402"/>
      <c r="D26" s="9311"/>
      <c r="E26" s="9311"/>
      <c r="F26" s="9311"/>
      <c r="G26" s="9311"/>
      <c r="H26" s="9311"/>
      <c r="I26" s="9311"/>
      <c r="J26" s="9311"/>
      <c r="K26" s="9311"/>
      <c r="L26" s="9311"/>
      <c r="M26" s="9607"/>
      <c r="N26" s="9607"/>
      <c r="O26" s="9607"/>
      <c r="P26" s="9616"/>
      <c r="Q26" s="9311"/>
      <c r="R26" s="9433"/>
      <c r="S26" s="1083"/>
      <c r="T26" s="4959"/>
      <c r="U26" s="4959"/>
      <c r="V26" s="1204"/>
      <c r="W26" s="6465"/>
      <c r="X26" s="1052"/>
      <c r="Y26" s="6505"/>
      <c r="Z26" s="6505"/>
      <c r="AA26" s="6505"/>
      <c r="AB26" s="5044"/>
      <c r="AC26" s="4993"/>
      <c r="AD26" s="1183"/>
      <c r="AE26" s="1229"/>
      <c r="AF26" s="1074"/>
      <c r="AG26" s="1074"/>
      <c r="AH26" s="9636"/>
      <c r="AI26" s="559"/>
    </row>
    <row r="27" spans="1:35" ht="24.75" customHeight="1">
      <c r="A27" s="9392"/>
      <c r="B27" s="9603"/>
      <c r="C27" s="9402"/>
      <c r="D27" s="9311"/>
      <c r="E27" s="9311"/>
      <c r="F27" s="9311"/>
      <c r="G27" s="9311"/>
      <c r="H27" s="9311"/>
      <c r="I27" s="9311"/>
      <c r="J27" s="9311"/>
      <c r="K27" s="9311"/>
      <c r="L27" s="9311"/>
      <c r="M27" s="9607"/>
      <c r="N27" s="9607"/>
      <c r="O27" s="9607"/>
      <c r="P27" s="9616"/>
      <c r="Q27" s="9311"/>
      <c r="R27" s="9433"/>
      <c r="S27" s="1083"/>
      <c r="T27" s="4959"/>
      <c r="U27" s="4959"/>
      <c r="V27" s="1051"/>
      <c r="W27" s="6473"/>
      <c r="X27" s="1052"/>
      <c r="Y27" s="5043"/>
      <c r="Z27" s="5043"/>
      <c r="AA27" s="5043"/>
      <c r="AB27" s="5044"/>
      <c r="AC27" s="4993"/>
      <c r="AD27" s="1183"/>
      <c r="AE27" s="1052"/>
      <c r="AF27" s="1074"/>
      <c r="AG27" s="1074"/>
      <c r="AH27" s="9636"/>
      <c r="AI27" s="559"/>
    </row>
    <row r="28" spans="1:35" ht="24.75" customHeight="1">
      <c r="A28" s="9392"/>
      <c r="B28" s="9603"/>
      <c r="C28" s="9403"/>
      <c r="D28" s="9312"/>
      <c r="E28" s="9312"/>
      <c r="F28" s="9312"/>
      <c r="G28" s="9312"/>
      <c r="H28" s="9312"/>
      <c r="I28" s="9312"/>
      <c r="J28" s="9312"/>
      <c r="K28" s="9312"/>
      <c r="L28" s="9312"/>
      <c r="M28" s="9608"/>
      <c r="N28" s="9608"/>
      <c r="O28" s="9608"/>
      <c r="P28" s="9617"/>
      <c r="Q28" s="9312"/>
      <c r="R28" s="9434"/>
      <c r="S28" s="1085"/>
      <c r="T28" s="4967"/>
      <c r="U28" s="4967"/>
      <c r="V28" s="1068"/>
      <c r="W28" s="6474"/>
      <c r="X28" s="1069"/>
      <c r="Y28" s="5046"/>
      <c r="Z28" s="5046"/>
      <c r="AA28" s="5046"/>
      <c r="AB28" s="5047"/>
      <c r="AC28" s="5005"/>
      <c r="AD28" s="1222"/>
      <c r="AE28" s="1069"/>
      <c r="AF28" s="1079"/>
      <c r="AG28" s="1079"/>
      <c r="AH28" s="9637"/>
      <c r="AI28" s="559"/>
    </row>
    <row r="29" spans="1:35" ht="42.75" customHeight="1">
      <c r="A29" s="9392"/>
      <c r="B29" s="9603"/>
      <c r="C29" s="8976" t="s">
        <v>183</v>
      </c>
      <c r="D29" s="8834" t="s">
        <v>1291</v>
      </c>
      <c r="E29" s="8782" t="s">
        <v>1292</v>
      </c>
      <c r="F29" s="8782" t="s">
        <v>1310</v>
      </c>
      <c r="G29" s="8977" t="s">
        <v>1294</v>
      </c>
      <c r="H29" s="8782" t="s">
        <v>1304</v>
      </c>
      <c r="I29" s="8782" t="s">
        <v>189</v>
      </c>
      <c r="J29" s="8860" t="s">
        <v>1311</v>
      </c>
      <c r="K29" s="8782" t="s">
        <v>1312</v>
      </c>
      <c r="L29" s="8782" t="s">
        <v>1313</v>
      </c>
      <c r="M29" s="8823">
        <v>0</v>
      </c>
      <c r="N29" s="8823">
        <v>0</v>
      </c>
      <c r="O29" s="8823">
        <v>1</v>
      </c>
      <c r="P29" s="8782" t="s">
        <v>1314</v>
      </c>
      <c r="Q29" s="9455" t="s">
        <v>1315</v>
      </c>
      <c r="R29" s="9217" t="s">
        <v>1300</v>
      </c>
      <c r="S29" s="1234" t="s">
        <v>81</v>
      </c>
      <c r="T29" s="6440">
        <v>570102</v>
      </c>
      <c r="U29" s="6440"/>
      <c r="V29" s="1921" t="s">
        <v>680</v>
      </c>
      <c r="W29" s="6475"/>
      <c r="X29" s="1922"/>
      <c r="Y29" s="6518"/>
      <c r="Z29" s="6518"/>
      <c r="AA29" s="6518"/>
      <c r="AB29" s="6519">
        <f>+AA30</f>
        <v>1120</v>
      </c>
      <c r="AC29" s="6552" t="s">
        <v>18</v>
      </c>
      <c r="AD29" s="1923"/>
      <c r="AE29" s="1924"/>
      <c r="AF29" s="1235"/>
      <c r="AG29" s="1235"/>
      <c r="AH29" s="9380"/>
      <c r="AI29" s="559"/>
    </row>
    <row r="30" spans="1:35" ht="21.75" customHeight="1">
      <c r="A30" s="9392"/>
      <c r="B30" s="9603"/>
      <c r="C30" s="9402"/>
      <c r="D30" s="9311"/>
      <c r="E30" s="9311"/>
      <c r="F30" s="9311"/>
      <c r="G30" s="9311"/>
      <c r="H30" s="9311"/>
      <c r="I30" s="9311"/>
      <c r="J30" s="9311"/>
      <c r="K30" s="9311"/>
      <c r="L30" s="9311"/>
      <c r="M30" s="9607"/>
      <c r="N30" s="9607"/>
      <c r="O30" s="9607"/>
      <c r="P30" s="9311"/>
      <c r="Q30" s="9616"/>
      <c r="R30" s="9433"/>
      <c r="S30" s="1194"/>
      <c r="T30" s="6305"/>
      <c r="U30" s="4686"/>
      <c r="V30" s="575" t="s">
        <v>1316</v>
      </c>
      <c r="W30" s="6476">
        <v>1</v>
      </c>
      <c r="X30" s="48" t="s">
        <v>180</v>
      </c>
      <c r="Y30" s="6520">
        <v>1000</v>
      </c>
      <c r="Z30" s="6520">
        <f t="shared" ref="Z30" si="3">+W30*Y30</f>
        <v>1000</v>
      </c>
      <c r="AA30" s="6520">
        <f t="shared" ref="AA30" si="4">+Z30*1.12</f>
        <v>1120</v>
      </c>
      <c r="AB30" s="6521"/>
      <c r="AC30" s="4880"/>
      <c r="AD30" s="1925"/>
      <c r="AE30" s="1926"/>
      <c r="AF30" s="1236"/>
      <c r="AG30" s="1236" t="s">
        <v>153</v>
      </c>
      <c r="AH30" s="9381"/>
      <c r="AI30" s="559"/>
    </row>
    <row r="31" spans="1:35" ht="21.75" customHeight="1">
      <c r="A31" s="9392"/>
      <c r="B31" s="9603"/>
      <c r="C31" s="9402"/>
      <c r="D31" s="9311"/>
      <c r="E31" s="9311"/>
      <c r="F31" s="9311"/>
      <c r="G31" s="9311"/>
      <c r="H31" s="9311"/>
      <c r="I31" s="9311"/>
      <c r="J31" s="9311"/>
      <c r="K31" s="9311"/>
      <c r="L31" s="9311"/>
      <c r="M31" s="9607"/>
      <c r="N31" s="9607"/>
      <c r="O31" s="9607"/>
      <c r="P31" s="9311"/>
      <c r="Q31" s="9616"/>
      <c r="R31" s="9433"/>
      <c r="S31" s="943"/>
      <c r="T31" s="6313"/>
      <c r="U31" s="6313"/>
      <c r="V31" s="583"/>
      <c r="W31" s="6476"/>
      <c r="X31" s="48"/>
      <c r="Y31" s="6520"/>
      <c r="Z31" s="6520"/>
      <c r="AA31" s="6520"/>
      <c r="AB31" s="6521"/>
      <c r="AC31" s="4880"/>
      <c r="AD31" s="1925"/>
      <c r="AE31" s="1926"/>
      <c r="AF31" s="1013"/>
      <c r="AG31" s="1013"/>
      <c r="AH31" s="9381"/>
      <c r="AI31" s="559"/>
    </row>
    <row r="32" spans="1:35" ht="21.75" customHeight="1">
      <c r="A32" s="9392"/>
      <c r="B32" s="9603"/>
      <c r="C32" s="9402"/>
      <c r="D32" s="9311"/>
      <c r="E32" s="9311"/>
      <c r="F32" s="9311"/>
      <c r="G32" s="9311"/>
      <c r="H32" s="9311"/>
      <c r="I32" s="9311"/>
      <c r="J32" s="9311"/>
      <c r="K32" s="9311"/>
      <c r="L32" s="9311"/>
      <c r="M32" s="9607"/>
      <c r="N32" s="9607"/>
      <c r="O32" s="9607"/>
      <c r="P32" s="9311"/>
      <c r="Q32" s="9616"/>
      <c r="R32" s="9433"/>
      <c r="S32" s="943"/>
      <c r="T32" s="6313"/>
      <c r="U32" s="6313"/>
      <c r="V32" s="583"/>
      <c r="W32" s="6476"/>
      <c r="X32" s="48"/>
      <c r="Y32" s="6520"/>
      <c r="Z32" s="6520"/>
      <c r="AA32" s="6520"/>
      <c r="AB32" s="6521"/>
      <c r="AC32" s="4880"/>
      <c r="AD32" s="1925"/>
      <c r="AE32" s="1926"/>
      <c r="AF32" s="1013"/>
      <c r="AG32" s="1013"/>
      <c r="AH32" s="9381"/>
      <c r="AI32" s="559"/>
    </row>
    <row r="33" spans="1:35" ht="21.75" customHeight="1">
      <c r="A33" s="9392"/>
      <c r="B33" s="9603"/>
      <c r="C33" s="9403"/>
      <c r="D33" s="9312"/>
      <c r="E33" s="9312"/>
      <c r="F33" s="9312"/>
      <c r="G33" s="9312"/>
      <c r="H33" s="9312"/>
      <c r="I33" s="9312"/>
      <c r="J33" s="9312"/>
      <c r="K33" s="9312"/>
      <c r="L33" s="9311"/>
      <c r="M33" s="9608"/>
      <c r="N33" s="9608"/>
      <c r="O33" s="9608"/>
      <c r="P33" s="9312"/>
      <c r="Q33" s="9617"/>
      <c r="R33" s="9434"/>
      <c r="S33" s="1197"/>
      <c r="T33" s="4856"/>
      <c r="U33" s="6441"/>
      <c r="V33" s="577"/>
      <c r="W33" s="6477"/>
      <c r="X33" s="64"/>
      <c r="Y33" s="6522"/>
      <c r="Z33" s="6522"/>
      <c r="AA33" s="6522"/>
      <c r="AB33" s="6523"/>
      <c r="AC33" s="4882"/>
      <c r="AD33" s="1927"/>
      <c r="AE33" s="1928"/>
      <c r="AF33" s="1238"/>
      <c r="AG33" s="1238"/>
      <c r="AH33" s="9388"/>
      <c r="AI33" s="559"/>
    </row>
    <row r="34" spans="1:35" ht="41.25" customHeight="1">
      <c r="A34" s="9392"/>
      <c r="B34" s="9603"/>
      <c r="C34" s="8976" t="s">
        <v>183</v>
      </c>
      <c r="D34" s="8834" t="s">
        <v>184</v>
      </c>
      <c r="E34" s="8782" t="s">
        <v>185</v>
      </c>
      <c r="F34" s="8782" t="s">
        <v>1317</v>
      </c>
      <c r="G34" s="8977" t="s">
        <v>187</v>
      </c>
      <c r="H34" s="8782" t="s">
        <v>1304</v>
      </c>
      <c r="I34" s="8782" t="s">
        <v>133</v>
      </c>
      <c r="J34" s="8860" t="s">
        <v>1318</v>
      </c>
      <c r="K34" s="8782" t="s">
        <v>1319</v>
      </c>
      <c r="L34" s="8782" t="s">
        <v>1320</v>
      </c>
      <c r="M34" s="8823">
        <v>0</v>
      </c>
      <c r="N34" s="9613">
        <v>0</v>
      </c>
      <c r="O34" s="9613">
        <v>3</v>
      </c>
      <c r="P34" s="8782" t="s">
        <v>1321</v>
      </c>
      <c r="Q34" s="9455" t="s">
        <v>1322</v>
      </c>
      <c r="R34" s="9217" t="s">
        <v>1285</v>
      </c>
      <c r="S34" s="1234" t="s">
        <v>81</v>
      </c>
      <c r="T34" s="6319">
        <v>530239</v>
      </c>
      <c r="U34" s="6319"/>
      <c r="V34" s="1929" t="s">
        <v>1323</v>
      </c>
      <c r="W34" s="6478"/>
      <c r="X34" s="76"/>
      <c r="Y34" s="6524"/>
      <c r="Z34" s="6524"/>
      <c r="AA34" s="6524"/>
      <c r="AB34" s="6525">
        <f>+AA35</f>
        <v>560</v>
      </c>
      <c r="AC34" s="4883" t="s">
        <v>26</v>
      </c>
      <c r="AD34" s="1930"/>
      <c r="AE34" s="1931"/>
      <c r="AF34" s="1038"/>
      <c r="AG34" s="1038"/>
      <c r="AH34" s="9380"/>
      <c r="AI34" s="559"/>
    </row>
    <row r="35" spans="1:35" ht="25.5">
      <c r="A35" s="9392"/>
      <c r="B35" s="9603"/>
      <c r="C35" s="9402"/>
      <c r="D35" s="9311"/>
      <c r="E35" s="9311"/>
      <c r="F35" s="9311"/>
      <c r="G35" s="9311"/>
      <c r="H35" s="9311"/>
      <c r="I35" s="9311"/>
      <c r="J35" s="9311"/>
      <c r="K35" s="9311"/>
      <c r="L35" s="9311"/>
      <c r="M35" s="9607"/>
      <c r="N35" s="9614"/>
      <c r="O35" s="9614"/>
      <c r="P35" s="9311"/>
      <c r="Q35" s="9616"/>
      <c r="R35" s="9433"/>
      <c r="S35" s="1194"/>
      <c r="T35" s="6305"/>
      <c r="U35" s="4686"/>
      <c r="V35" s="1932" t="s">
        <v>1324</v>
      </c>
      <c r="W35" s="6476">
        <v>1</v>
      </c>
      <c r="X35" s="48" t="s">
        <v>180</v>
      </c>
      <c r="Y35" s="6520">
        <v>500</v>
      </c>
      <c r="Z35" s="6520">
        <f t="shared" ref="Z35" si="5">+W35*Y35</f>
        <v>500</v>
      </c>
      <c r="AA35" s="6520">
        <f t="shared" ref="AA35" si="6">+Z35*1.12</f>
        <v>560</v>
      </c>
      <c r="AB35" s="6526"/>
      <c r="AC35" s="6425"/>
      <c r="AD35" s="51"/>
      <c r="AE35" s="48"/>
      <c r="AF35" s="1013"/>
      <c r="AG35" s="1013" t="s">
        <v>153</v>
      </c>
      <c r="AH35" s="9381"/>
      <c r="AI35" s="559"/>
    </row>
    <row r="36" spans="1:35" ht="20.25" customHeight="1">
      <c r="A36" s="9392"/>
      <c r="B36" s="9603"/>
      <c r="C36" s="9402"/>
      <c r="D36" s="9311"/>
      <c r="E36" s="9311"/>
      <c r="F36" s="9311"/>
      <c r="G36" s="9311"/>
      <c r="H36" s="9311"/>
      <c r="I36" s="9311"/>
      <c r="J36" s="9311"/>
      <c r="K36" s="9311"/>
      <c r="L36" s="9311"/>
      <c r="M36" s="9607"/>
      <c r="N36" s="9614"/>
      <c r="O36" s="9614"/>
      <c r="P36" s="9311"/>
      <c r="Q36" s="9616"/>
      <c r="R36" s="9433"/>
      <c r="S36" s="1194"/>
      <c r="T36" s="6305"/>
      <c r="U36" s="4686"/>
      <c r="V36" s="1932"/>
      <c r="W36" s="6476"/>
      <c r="X36" s="48"/>
      <c r="Y36" s="6520"/>
      <c r="Z36" s="6520"/>
      <c r="AA36" s="6520"/>
      <c r="AB36" s="6526"/>
      <c r="AC36" s="6425"/>
      <c r="AD36" s="51"/>
      <c r="AE36" s="48"/>
      <c r="AF36" s="1013"/>
      <c r="AG36" s="1013"/>
      <c r="AH36" s="9381"/>
      <c r="AI36" s="559"/>
    </row>
    <row r="37" spans="1:35" ht="20.25" customHeight="1">
      <c r="A37" s="9392"/>
      <c r="B37" s="9603"/>
      <c r="C37" s="9402"/>
      <c r="D37" s="9311"/>
      <c r="E37" s="9311"/>
      <c r="F37" s="9311"/>
      <c r="G37" s="9311"/>
      <c r="H37" s="9311"/>
      <c r="I37" s="9311"/>
      <c r="J37" s="9311"/>
      <c r="K37" s="9311"/>
      <c r="L37" s="9311"/>
      <c r="M37" s="9607"/>
      <c r="N37" s="9614"/>
      <c r="O37" s="9614"/>
      <c r="P37" s="9311"/>
      <c r="Q37" s="9616"/>
      <c r="R37" s="9433"/>
      <c r="S37" s="943"/>
      <c r="T37" s="6313"/>
      <c r="U37" s="6313"/>
      <c r="V37" s="583"/>
      <c r="W37" s="6476"/>
      <c r="X37" s="48"/>
      <c r="Y37" s="6520"/>
      <c r="Z37" s="6520"/>
      <c r="AA37" s="6520"/>
      <c r="AB37" s="6521"/>
      <c r="AC37" s="4880"/>
      <c r="AD37" s="1925"/>
      <c r="AE37" s="1926"/>
      <c r="AF37" s="1013"/>
      <c r="AG37" s="1013"/>
      <c r="AH37" s="9381"/>
      <c r="AI37" s="559"/>
    </row>
    <row r="38" spans="1:35" ht="20.25" customHeight="1">
      <c r="A38" s="9392"/>
      <c r="B38" s="9603"/>
      <c r="C38" s="9403"/>
      <c r="D38" s="9312"/>
      <c r="E38" s="9312"/>
      <c r="F38" s="9312"/>
      <c r="G38" s="9312"/>
      <c r="H38" s="9312"/>
      <c r="I38" s="9312"/>
      <c r="J38" s="9312"/>
      <c r="K38" s="9312"/>
      <c r="L38" s="9311"/>
      <c r="M38" s="9608"/>
      <c r="N38" s="9615"/>
      <c r="O38" s="9615"/>
      <c r="P38" s="9312"/>
      <c r="Q38" s="9617"/>
      <c r="R38" s="9434"/>
      <c r="S38" s="1240"/>
      <c r="T38" s="6442"/>
      <c r="U38" s="6443"/>
      <c r="V38" s="1241"/>
      <c r="W38" s="6479"/>
      <c r="X38" s="1242"/>
      <c r="Y38" s="6527"/>
      <c r="Z38" s="6527"/>
      <c r="AA38" s="6527"/>
      <c r="AB38" s="6528"/>
      <c r="AC38" s="6423"/>
      <c r="AD38" s="1024"/>
      <c r="AE38" s="1242"/>
      <c r="AF38" s="1243"/>
      <c r="AG38" s="1024"/>
      <c r="AH38" s="9388"/>
      <c r="AI38" s="559"/>
    </row>
    <row r="39" spans="1:35" ht="33" customHeight="1">
      <c r="A39" s="9392"/>
      <c r="B39" s="9603"/>
      <c r="C39" s="8976" t="s">
        <v>183</v>
      </c>
      <c r="D39" s="8782" t="s">
        <v>1291</v>
      </c>
      <c r="E39" s="8782" t="s">
        <v>1292</v>
      </c>
      <c r="F39" s="8782" t="s">
        <v>1293</v>
      </c>
      <c r="G39" s="8977" t="s">
        <v>1294</v>
      </c>
      <c r="H39" s="8782" t="s">
        <v>247</v>
      </c>
      <c r="I39" s="8782" t="s">
        <v>133</v>
      </c>
      <c r="J39" s="8860" t="s">
        <v>1325</v>
      </c>
      <c r="K39" s="8782" t="s">
        <v>1326</v>
      </c>
      <c r="L39" s="8782" t="s">
        <v>1327</v>
      </c>
      <c r="M39" s="8823">
        <v>0</v>
      </c>
      <c r="N39" s="9613">
        <v>11</v>
      </c>
      <c r="O39" s="9613">
        <v>2</v>
      </c>
      <c r="P39" s="8782" t="s">
        <v>1328</v>
      </c>
      <c r="Q39" s="9455" t="s">
        <v>1329</v>
      </c>
      <c r="R39" s="9217" t="s">
        <v>1330</v>
      </c>
      <c r="S39" s="1086"/>
      <c r="T39" s="4957"/>
      <c r="U39" s="4957"/>
      <c r="V39" s="1060"/>
      <c r="W39" s="6480"/>
      <c r="X39" s="1061"/>
      <c r="Y39" s="5053"/>
      <c r="Z39" s="5053"/>
      <c r="AA39" s="5053"/>
      <c r="AB39" s="5041"/>
      <c r="AC39" s="6548"/>
      <c r="AD39" s="1228"/>
      <c r="AE39" s="1061"/>
      <c r="AF39" s="1076"/>
      <c r="AG39" s="1076"/>
      <c r="AH39" s="9635"/>
      <c r="AI39" s="559"/>
    </row>
    <row r="40" spans="1:35" ht="33" customHeight="1">
      <c r="A40" s="9392"/>
      <c r="B40" s="9603"/>
      <c r="C40" s="9402"/>
      <c r="D40" s="9311"/>
      <c r="E40" s="9311"/>
      <c r="F40" s="9311"/>
      <c r="G40" s="9311"/>
      <c r="H40" s="9311"/>
      <c r="I40" s="9311"/>
      <c r="J40" s="9311"/>
      <c r="K40" s="9311"/>
      <c r="L40" s="9311"/>
      <c r="M40" s="9607"/>
      <c r="N40" s="9614"/>
      <c r="O40" s="9614"/>
      <c r="P40" s="9311"/>
      <c r="Q40" s="9616"/>
      <c r="R40" s="9433"/>
      <c r="S40" s="1083"/>
      <c r="T40" s="4959"/>
      <c r="U40" s="4959"/>
      <c r="V40" s="1051"/>
      <c r="W40" s="6473"/>
      <c r="X40" s="1052"/>
      <c r="Y40" s="5043"/>
      <c r="Z40" s="5043"/>
      <c r="AA40" s="5043"/>
      <c r="AB40" s="5044"/>
      <c r="AC40" s="4993"/>
      <c r="AD40" s="1183"/>
      <c r="AE40" s="1229"/>
      <c r="AF40" s="1074"/>
      <c r="AG40" s="1074"/>
      <c r="AH40" s="9636"/>
      <c r="AI40" s="559"/>
    </row>
    <row r="41" spans="1:35" ht="33" customHeight="1">
      <c r="A41" s="9392"/>
      <c r="B41" s="9603"/>
      <c r="C41" s="9402"/>
      <c r="D41" s="9311"/>
      <c r="E41" s="9311"/>
      <c r="F41" s="9311"/>
      <c r="G41" s="9311"/>
      <c r="H41" s="9311"/>
      <c r="I41" s="9311"/>
      <c r="J41" s="9311"/>
      <c r="K41" s="9311"/>
      <c r="L41" s="9311"/>
      <c r="M41" s="9607"/>
      <c r="N41" s="9614"/>
      <c r="O41" s="9614"/>
      <c r="P41" s="9311"/>
      <c r="Q41" s="9616"/>
      <c r="R41" s="9433"/>
      <c r="S41" s="1083"/>
      <c r="T41" s="4959"/>
      <c r="U41" s="4959"/>
      <c r="V41" s="1051"/>
      <c r="W41" s="6473"/>
      <c r="X41" s="1052"/>
      <c r="Y41" s="5043"/>
      <c r="Z41" s="5043"/>
      <c r="AA41" s="5043"/>
      <c r="AB41" s="5044"/>
      <c r="AC41" s="4993"/>
      <c r="AD41" s="1183"/>
      <c r="AE41" s="1229"/>
      <c r="AF41" s="1074"/>
      <c r="AG41" s="1074"/>
      <c r="AH41" s="9636"/>
      <c r="AI41" s="559"/>
    </row>
    <row r="42" spans="1:35" ht="33" customHeight="1">
      <c r="A42" s="9392"/>
      <c r="B42" s="9603"/>
      <c r="C42" s="9402"/>
      <c r="D42" s="9311"/>
      <c r="E42" s="9311"/>
      <c r="F42" s="9311"/>
      <c r="G42" s="9311"/>
      <c r="H42" s="9311"/>
      <c r="I42" s="9311"/>
      <c r="J42" s="9311"/>
      <c r="K42" s="9311"/>
      <c r="L42" s="9311"/>
      <c r="M42" s="9607"/>
      <c r="N42" s="9614"/>
      <c r="O42" s="9614"/>
      <c r="P42" s="9311"/>
      <c r="Q42" s="9616"/>
      <c r="R42" s="9433"/>
      <c r="S42" s="1083"/>
      <c r="T42" s="4959"/>
      <c r="U42" s="4959"/>
      <c r="V42" s="1051"/>
      <c r="W42" s="6473"/>
      <c r="X42" s="1052"/>
      <c r="Y42" s="5043"/>
      <c r="Z42" s="5043"/>
      <c r="AA42" s="5043"/>
      <c r="AB42" s="5044"/>
      <c r="AC42" s="4993"/>
      <c r="AD42" s="1183"/>
      <c r="AE42" s="1229"/>
      <c r="AF42" s="1074"/>
      <c r="AG42" s="1074"/>
      <c r="AH42" s="9636"/>
      <c r="AI42" s="559"/>
    </row>
    <row r="43" spans="1:35" ht="33" customHeight="1">
      <c r="A43" s="9392"/>
      <c r="B43" s="9603"/>
      <c r="C43" s="9402"/>
      <c r="D43" s="9312"/>
      <c r="E43" s="9311"/>
      <c r="F43" s="9311"/>
      <c r="G43" s="9311"/>
      <c r="H43" s="9311"/>
      <c r="I43" s="9311"/>
      <c r="J43" s="9311"/>
      <c r="K43" s="9311"/>
      <c r="L43" s="9311"/>
      <c r="M43" s="9607"/>
      <c r="N43" s="9614"/>
      <c r="O43" s="9614"/>
      <c r="P43" s="9311"/>
      <c r="Q43" s="9616"/>
      <c r="R43" s="9433"/>
      <c r="S43" s="1244"/>
      <c r="T43" s="4955"/>
      <c r="U43" s="4955"/>
      <c r="V43" s="1056"/>
      <c r="W43" s="6481"/>
      <c r="X43" s="1057"/>
      <c r="Y43" s="6529"/>
      <c r="Z43" s="6529"/>
      <c r="AA43" s="6529"/>
      <c r="AB43" s="6530"/>
      <c r="AC43" s="4987"/>
      <c r="AD43" s="1245"/>
      <c r="AE43" s="1229"/>
      <c r="AF43" s="1075"/>
      <c r="AG43" s="1075"/>
      <c r="AH43" s="9637"/>
      <c r="AI43" s="559"/>
    </row>
    <row r="44" spans="1:35" ht="32.25" customHeight="1">
      <c r="A44" s="9392"/>
      <c r="B44" s="9603"/>
      <c r="C44" s="8976" t="s">
        <v>127</v>
      </c>
      <c r="D44" s="8834" t="s">
        <v>128</v>
      </c>
      <c r="E44" s="8782" t="s">
        <v>129</v>
      </c>
      <c r="F44" s="8782" t="s">
        <v>268</v>
      </c>
      <c r="G44" s="8977" t="s">
        <v>131</v>
      </c>
      <c r="H44" s="8782" t="s">
        <v>132</v>
      </c>
      <c r="I44" s="8782" t="s">
        <v>159</v>
      </c>
      <c r="J44" s="8860" t="s">
        <v>1331</v>
      </c>
      <c r="K44" s="8782" t="s">
        <v>1332</v>
      </c>
      <c r="L44" s="8782" t="s">
        <v>1333</v>
      </c>
      <c r="M44" s="8823">
        <v>3</v>
      </c>
      <c r="N44" s="9613">
        <v>1</v>
      </c>
      <c r="O44" s="9613">
        <v>2</v>
      </c>
      <c r="P44" s="8782" t="s">
        <v>1334</v>
      </c>
      <c r="Q44" s="9455" t="s">
        <v>1335</v>
      </c>
      <c r="R44" s="9217" t="s">
        <v>1300</v>
      </c>
      <c r="S44" s="1086"/>
      <c r="T44" s="4956"/>
      <c r="U44" s="4956"/>
      <c r="V44" s="815"/>
      <c r="W44" s="6482"/>
      <c r="X44" s="1933"/>
      <c r="Y44" s="6507"/>
      <c r="Z44" s="6507"/>
      <c r="AA44" s="6507"/>
      <c r="AB44" s="6513"/>
      <c r="AC44" s="5008"/>
      <c r="AD44" s="1218"/>
      <c r="AE44" s="1230"/>
      <c r="AF44" s="1076"/>
      <c r="AG44" s="1076"/>
      <c r="AH44" s="9638"/>
      <c r="AI44" s="559"/>
    </row>
    <row r="45" spans="1:35" ht="32.25" customHeight="1">
      <c r="A45" s="9392"/>
      <c r="B45" s="9603"/>
      <c r="C45" s="9402"/>
      <c r="D45" s="9311"/>
      <c r="E45" s="9311"/>
      <c r="F45" s="9311"/>
      <c r="G45" s="9311"/>
      <c r="H45" s="9311"/>
      <c r="I45" s="9311"/>
      <c r="J45" s="9311"/>
      <c r="K45" s="9311"/>
      <c r="L45" s="9311"/>
      <c r="M45" s="9607"/>
      <c r="N45" s="9614"/>
      <c r="O45" s="9614"/>
      <c r="P45" s="9311"/>
      <c r="Q45" s="9616"/>
      <c r="R45" s="9433"/>
      <c r="S45" s="1083"/>
      <c r="T45" s="4958"/>
      <c r="U45" s="4958"/>
      <c r="V45" s="585"/>
      <c r="W45" s="6468"/>
      <c r="X45" s="1934"/>
      <c r="Y45" s="6511"/>
      <c r="Z45" s="6511"/>
      <c r="AA45" s="6511"/>
      <c r="AB45" s="6531"/>
      <c r="AC45" s="5011"/>
      <c r="AD45" s="1213"/>
      <c r="AE45" s="1229"/>
      <c r="AF45" s="1229"/>
      <c r="AG45" s="1074"/>
      <c r="AH45" s="9636"/>
      <c r="AI45" s="559"/>
    </row>
    <row r="46" spans="1:35" ht="32.25" customHeight="1">
      <c r="A46" s="9392"/>
      <c r="B46" s="9603"/>
      <c r="C46" s="9402"/>
      <c r="D46" s="9311"/>
      <c r="E46" s="9311"/>
      <c r="F46" s="9311"/>
      <c r="G46" s="9311"/>
      <c r="H46" s="9311"/>
      <c r="I46" s="9311"/>
      <c r="J46" s="9311"/>
      <c r="K46" s="9311"/>
      <c r="L46" s="9311"/>
      <c r="M46" s="9607"/>
      <c r="N46" s="9614"/>
      <c r="O46" s="9614"/>
      <c r="P46" s="9311"/>
      <c r="Q46" s="9616"/>
      <c r="R46" s="9433"/>
      <c r="S46" s="1083"/>
      <c r="T46" s="4958"/>
      <c r="U46" s="4958"/>
      <c r="V46" s="585"/>
      <c r="W46" s="6468"/>
      <c r="X46" s="1934"/>
      <c r="Y46" s="6511"/>
      <c r="Z46" s="6511"/>
      <c r="AA46" s="6511"/>
      <c r="AB46" s="6531"/>
      <c r="AC46" s="5011"/>
      <c r="AD46" s="1213"/>
      <c r="AE46" s="1229"/>
      <c r="AF46" s="1229"/>
      <c r="AG46" s="1074"/>
      <c r="AH46" s="9636"/>
      <c r="AI46" s="559"/>
    </row>
    <row r="47" spans="1:35" ht="32.25" customHeight="1">
      <c r="A47" s="9392"/>
      <c r="B47" s="9603"/>
      <c r="C47" s="9402"/>
      <c r="D47" s="9311"/>
      <c r="E47" s="9311"/>
      <c r="F47" s="9311"/>
      <c r="G47" s="9311"/>
      <c r="H47" s="9311"/>
      <c r="I47" s="9311"/>
      <c r="J47" s="9311"/>
      <c r="K47" s="9311"/>
      <c r="L47" s="9311"/>
      <c r="M47" s="9607"/>
      <c r="N47" s="9614"/>
      <c r="O47" s="9614"/>
      <c r="P47" s="9311"/>
      <c r="Q47" s="9616"/>
      <c r="R47" s="9433"/>
      <c r="S47" s="1083"/>
      <c r="T47" s="4958"/>
      <c r="U47" s="4958"/>
      <c r="V47" s="585"/>
      <c r="W47" s="6483"/>
      <c r="X47" s="90"/>
      <c r="Y47" s="6501"/>
      <c r="Z47" s="6511"/>
      <c r="AA47" s="6511"/>
      <c r="AB47" s="5977"/>
      <c r="AC47" s="5011"/>
      <c r="AD47" s="1183"/>
      <c r="AE47" s="1052"/>
      <c r="AF47" s="1074"/>
      <c r="AG47" s="1074"/>
      <c r="AH47" s="9636"/>
      <c r="AI47" s="559"/>
    </row>
    <row r="48" spans="1:35" ht="32.25" customHeight="1">
      <c r="A48" s="9392"/>
      <c r="B48" s="9603"/>
      <c r="C48" s="9403"/>
      <c r="D48" s="9312"/>
      <c r="E48" s="9312"/>
      <c r="F48" s="9312"/>
      <c r="G48" s="9312"/>
      <c r="H48" s="9312"/>
      <c r="I48" s="9312"/>
      <c r="J48" s="9312"/>
      <c r="K48" s="9312"/>
      <c r="L48" s="9312"/>
      <c r="M48" s="9608"/>
      <c r="N48" s="9615"/>
      <c r="O48" s="9615"/>
      <c r="P48" s="9312"/>
      <c r="Q48" s="9617"/>
      <c r="R48" s="9434"/>
      <c r="S48" s="1085"/>
      <c r="T48" s="4967"/>
      <c r="U48" s="4967"/>
      <c r="V48" s="1068"/>
      <c r="W48" s="6474"/>
      <c r="X48" s="1069"/>
      <c r="Y48" s="5046"/>
      <c r="Z48" s="5046"/>
      <c r="AA48" s="5046"/>
      <c r="AB48" s="5047"/>
      <c r="AC48" s="5005"/>
      <c r="AD48" s="1222"/>
      <c r="AE48" s="1069"/>
      <c r="AF48" s="1079"/>
      <c r="AG48" s="1079"/>
      <c r="AH48" s="9637"/>
      <c r="AI48" s="559"/>
    </row>
    <row r="49" spans="1:35" ht="32.25" customHeight="1">
      <c r="A49" s="9392"/>
      <c r="B49" s="9603"/>
      <c r="C49" s="8976" t="s">
        <v>127</v>
      </c>
      <c r="D49" s="8834" t="s">
        <v>128</v>
      </c>
      <c r="E49" s="8782" t="s">
        <v>129</v>
      </c>
      <c r="F49" s="8782" t="s">
        <v>130</v>
      </c>
      <c r="G49" s="8977" t="s">
        <v>131</v>
      </c>
      <c r="H49" s="8782" t="s">
        <v>132</v>
      </c>
      <c r="I49" s="8782" t="s">
        <v>214</v>
      </c>
      <c r="J49" s="8860" t="s">
        <v>1336</v>
      </c>
      <c r="K49" s="8782" t="s">
        <v>1337</v>
      </c>
      <c r="L49" s="8782" t="s">
        <v>1338</v>
      </c>
      <c r="M49" s="8823">
        <v>0</v>
      </c>
      <c r="N49" s="9613">
        <v>3</v>
      </c>
      <c r="O49" s="9613">
        <v>3</v>
      </c>
      <c r="P49" s="9455" t="s">
        <v>1339</v>
      </c>
      <c r="Q49" s="9455" t="s">
        <v>1340</v>
      </c>
      <c r="R49" s="9217" t="s">
        <v>1300</v>
      </c>
      <c r="S49" s="1086"/>
      <c r="T49" s="4957"/>
      <c r="U49" s="6444"/>
      <c r="V49" s="1216"/>
      <c r="W49" s="6484"/>
      <c r="X49" s="1061"/>
      <c r="Y49" s="6516"/>
      <c r="Z49" s="6516"/>
      <c r="AA49" s="6516"/>
      <c r="AB49" s="6517"/>
      <c r="AC49" s="4990"/>
      <c r="AD49" s="1218"/>
      <c r="AE49" s="1230"/>
      <c r="AF49" s="1076"/>
      <c r="AG49" s="1076"/>
      <c r="AH49" s="9635"/>
      <c r="AI49" s="559"/>
    </row>
    <row r="50" spans="1:35" ht="32.25" customHeight="1">
      <c r="A50" s="9392"/>
      <c r="B50" s="9603"/>
      <c r="C50" s="9402"/>
      <c r="D50" s="9311"/>
      <c r="E50" s="9311"/>
      <c r="F50" s="9311"/>
      <c r="G50" s="9311"/>
      <c r="H50" s="9311"/>
      <c r="I50" s="9311"/>
      <c r="J50" s="9311"/>
      <c r="K50" s="9311"/>
      <c r="L50" s="9311"/>
      <c r="M50" s="9607"/>
      <c r="N50" s="9614"/>
      <c r="O50" s="9614"/>
      <c r="P50" s="9616"/>
      <c r="Q50" s="9616"/>
      <c r="R50" s="9433"/>
      <c r="S50" s="1083"/>
      <c r="T50" s="4959"/>
      <c r="U50" s="4959"/>
      <c r="V50" s="1051"/>
      <c r="W50" s="6465"/>
      <c r="X50" s="1052"/>
      <c r="Y50" s="6505"/>
      <c r="Z50" s="6505"/>
      <c r="AA50" s="6505"/>
      <c r="AB50" s="6532"/>
      <c r="AC50" s="4993"/>
      <c r="AD50" s="1213"/>
      <c r="AE50" s="1229"/>
      <c r="AF50" s="1229"/>
      <c r="AG50" s="1074"/>
      <c r="AH50" s="9636"/>
      <c r="AI50" s="559"/>
    </row>
    <row r="51" spans="1:35" ht="32.25" customHeight="1">
      <c r="A51" s="9392"/>
      <c r="B51" s="9603"/>
      <c r="C51" s="9402"/>
      <c r="D51" s="9311"/>
      <c r="E51" s="9311"/>
      <c r="F51" s="9311"/>
      <c r="G51" s="9311"/>
      <c r="H51" s="9311"/>
      <c r="I51" s="9311"/>
      <c r="J51" s="9311"/>
      <c r="K51" s="9311"/>
      <c r="L51" s="9311"/>
      <c r="M51" s="9607"/>
      <c r="N51" s="9614"/>
      <c r="O51" s="9614"/>
      <c r="P51" s="9616"/>
      <c r="Q51" s="9616"/>
      <c r="R51" s="9433"/>
      <c r="S51" s="1083"/>
      <c r="T51" s="4959"/>
      <c r="U51" s="4959"/>
      <c r="V51" s="1051"/>
      <c r="W51" s="6465"/>
      <c r="X51" s="1229"/>
      <c r="Y51" s="6505"/>
      <c r="Z51" s="6505"/>
      <c r="AA51" s="6505"/>
      <c r="AB51" s="6532"/>
      <c r="AC51" s="4993"/>
      <c r="AD51" s="1213"/>
      <c r="AE51" s="1229"/>
      <c r="AF51" s="1074"/>
      <c r="AG51" s="1074"/>
      <c r="AH51" s="9636"/>
      <c r="AI51" s="559"/>
    </row>
    <row r="52" spans="1:35" ht="32.25" customHeight="1">
      <c r="A52" s="9392"/>
      <c r="B52" s="9603"/>
      <c r="C52" s="9402"/>
      <c r="D52" s="9311"/>
      <c r="E52" s="9311"/>
      <c r="F52" s="9311"/>
      <c r="G52" s="9311"/>
      <c r="H52" s="9311"/>
      <c r="I52" s="9311"/>
      <c r="J52" s="9311"/>
      <c r="K52" s="9311"/>
      <c r="L52" s="9311"/>
      <c r="M52" s="9607"/>
      <c r="N52" s="9614"/>
      <c r="O52" s="9614"/>
      <c r="P52" s="9616"/>
      <c r="Q52" s="9616"/>
      <c r="R52" s="9433"/>
      <c r="S52" s="1083"/>
      <c r="T52" s="4959"/>
      <c r="U52" s="4959"/>
      <c r="V52" s="1051"/>
      <c r="W52" s="6473"/>
      <c r="X52" s="1052"/>
      <c r="Y52" s="5043"/>
      <c r="Z52" s="5043"/>
      <c r="AA52" s="5043"/>
      <c r="AB52" s="5044"/>
      <c r="AC52" s="4993"/>
      <c r="AD52" s="1183"/>
      <c r="AE52" s="1052"/>
      <c r="AF52" s="1074"/>
      <c r="AG52" s="1074"/>
      <c r="AH52" s="9636"/>
      <c r="AI52" s="559"/>
    </row>
    <row r="53" spans="1:35" ht="32.25" customHeight="1">
      <c r="A53" s="9392"/>
      <c r="B53" s="9603"/>
      <c r="C53" s="9403"/>
      <c r="D53" s="9312"/>
      <c r="E53" s="9312"/>
      <c r="F53" s="9312"/>
      <c r="G53" s="9312"/>
      <c r="H53" s="9312"/>
      <c r="I53" s="9312"/>
      <c r="J53" s="9312"/>
      <c r="K53" s="9312"/>
      <c r="L53" s="9312"/>
      <c r="M53" s="9608"/>
      <c r="N53" s="9615"/>
      <c r="O53" s="9615"/>
      <c r="P53" s="9617"/>
      <c r="Q53" s="9617"/>
      <c r="R53" s="9434"/>
      <c r="S53" s="1085"/>
      <c r="T53" s="4967"/>
      <c r="U53" s="4967"/>
      <c r="V53" s="1068"/>
      <c r="W53" s="6474"/>
      <c r="X53" s="1069"/>
      <c r="Y53" s="5046"/>
      <c r="Z53" s="5046"/>
      <c r="AA53" s="5046"/>
      <c r="AB53" s="5047"/>
      <c r="AC53" s="5005"/>
      <c r="AD53" s="1222"/>
      <c r="AE53" s="1069"/>
      <c r="AF53" s="1079"/>
      <c r="AG53" s="1079"/>
      <c r="AH53" s="9637"/>
      <c r="AI53" s="559"/>
    </row>
    <row r="54" spans="1:35" ht="22.5" customHeight="1">
      <c r="A54" s="9392"/>
      <c r="B54" s="9603"/>
      <c r="C54" s="8976" t="s">
        <v>183</v>
      </c>
      <c r="D54" s="8834" t="s">
        <v>1291</v>
      </c>
      <c r="E54" s="8782" t="s">
        <v>1292</v>
      </c>
      <c r="F54" s="8782" t="s">
        <v>1341</v>
      </c>
      <c r="G54" s="8977" t="s">
        <v>1294</v>
      </c>
      <c r="H54" s="8782" t="s">
        <v>1304</v>
      </c>
      <c r="I54" s="8782" t="s">
        <v>189</v>
      </c>
      <c r="J54" s="8860" t="s">
        <v>1342</v>
      </c>
      <c r="K54" s="8782" t="s">
        <v>1343</v>
      </c>
      <c r="L54" s="8782" t="s">
        <v>1344</v>
      </c>
      <c r="M54" s="8823">
        <v>0</v>
      </c>
      <c r="N54" s="8823">
        <v>0</v>
      </c>
      <c r="O54" s="8823">
        <v>1</v>
      </c>
      <c r="P54" s="8782" t="s">
        <v>1345</v>
      </c>
      <c r="Q54" s="8782" t="s">
        <v>1346</v>
      </c>
      <c r="R54" s="9217" t="s">
        <v>1347</v>
      </c>
      <c r="S54" s="1086"/>
      <c r="T54" s="4957"/>
      <c r="U54" s="4957"/>
      <c r="V54" s="1060"/>
      <c r="W54" s="6472"/>
      <c r="X54" s="1233"/>
      <c r="Y54" s="6516"/>
      <c r="Z54" s="6516"/>
      <c r="AA54" s="6516"/>
      <c r="AB54" s="6517"/>
      <c r="AC54" s="4990"/>
      <c r="AD54" s="1218"/>
      <c r="AE54" s="1061"/>
      <c r="AF54" s="1076"/>
      <c r="AG54" s="1076"/>
      <c r="AH54" s="9635"/>
      <c r="AI54" s="559"/>
    </row>
    <row r="55" spans="1:35" ht="22.5" customHeight="1">
      <c r="A55" s="9392"/>
      <c r="B55" s="9603"/>
      <c r="C55" s="9402"/>
      <c r="D55" s="9311"/>
      <c r="E55" s="9311"/>
      <c r="F55" s="9311"/>
      <c r="G55" s="9311"/>
      <c r="H55" s="9311"/>
      <c r="I55" s="9311"/>
      <c r="J55" s="9311"/>
      <c r="K55" s="9311"/>
      <c r="L55" s="9311"/>
      <c r="M55" s="9607"/>
      <c r="N55" s="9607"/>
      <c r="O55" s="9607"/>
      <c r="P55" s="9311"/>
      <c r="Q55" s="9311"/>
      <c r="R55" s="9433"/>
      <c r="S55" s="1046"/>
      <c r="T55" s="4968"/>
      <c r="U55" s="4968"/>
      <c r="V55" s="1051"/>
      <c r="W55" s="6465"/>
      <c r="X55" s="1052"/>
      <c r="Y55" s="6505"/>
      <c r="Z55" s="6505"/>
      <c r="AA55" s="6505"/>
      <c r="AB55" s="5044"/>
      <c r="AC55" s="4993"/>
      <c r="AD55" s="1183"/>
      <c r="AE55" s="1229"/>
      <c r="AF55" s="1229"/>
      <c r="AG55" s="1074"/>
      <c r="AH55" s="9636"/>
      <c r="AI55" s="559"/>
    </row>
    <row r="56" spans="1:35" ht="22.5" customHeight="1">
      <c r="A56" s="9392"/>
      <c r="B56" s="9603"/>
      <c r="C56" s="9402"/>
      <c r="D56" s="9311"/>
      <c r="E56" s="9311"/>
      <c r="F56" s="9311"/>
      <c r="G56" s="9311"/>
      <c r="H56" s="9311"/>
      <c r="I56" s="9311"/>
      <c r="J56" s="9311"/>
      <c r="K56" s="9311"/>
      <c r="L56" s="9311"/>
      <c r="M56" s="9607"/>
      <c r="N56" s="9607"/>
      <c r="O56" s="9607"/>
      <c r="P56" s="9311"/>
      <c r="Q56" s="9311"/>
      <c r="R56" s="9433"/>
      <c r="S56" s="1046"/>
      <c r="T56" s="4968"/>
      <c r="U56" s="4968"/>
      <c r="V56" s="1181"/>
      <c r="W56" s="6473"/>
      <c r="X56" s="1052"/>
      <c r="Y56" s="5043"/>
      <c r="Z56" s="5043"/>
      <c r="AA56" s="5043"/>
      <c r="AB56" s="5044"/>
      <c r="AC56" s="4993"/>
      <c r="AD56" s="1183"/>
      <c r="AE56" s="1052"/>
      <c r="AF56" s="1074"/>
      <c r="AG56" s="1074"/>
      <c r="AH56" s="9636"/>
      <c r="AI56" s="559"/>
    </row>
    <row r="57" spans="1:35" ht="22.5" customHeight="1">
      <c r="A57" s="9392"/>
      <c r="B57" s="9603"/>
      <c r="C57" s="9402"/>
      <c r="D57" s="9311"/>
      <c r="E57" s="9311"/>
      <c r="F57" s="9311"/>
      <c r="G57" s="9311"/>
      <c r="H57" s="9311"/>
      <c r="I57" s="9311"/>
      <c r="J57" s="9311"/>
      <c r="K57" s="9311"/>
      <c r="L57" s="9311"/>
      <c r="M57" s="9607"/>
      <c r="N57" s="9607"/>
      <c r="O57" s="9607"/>
      <c r="P57" s="9311"/>
      <c r="Q57" s="9311"/>
      <c r="R57" s="9433"/>
      <c r="S57" s="1083"/>
      <c r="T57" s="4959"/>
      <c r="U57" s="4959"/>
      <c r="V57" s="1051"/>
      <c r="W57" s="6473"/>
      <c r="X57" s="1052"/>
      <c r="Y57" s="5043"/>
      <c r="Z57" s="5043"/>
      <c r="AA57" s="5043"/>
      <c r="AB57" s="5044"/>
      <c r="AC57" s="4993"/>
      <c r="AD57" s="1183"/>
      <c r="AE57" s="1052"/>
      <c r="AF57" s="1074"/>
      <c r="AG57" s="1074"/>
      <c r="AH57" s="9636"/>
      <c r="AI57" s="559"/>
    </row>
    <row r="58" spans="1:35" ht="22.5" customHeight="1">
      <c r="A58" s="9392"/>
      <c r="B58" s="9603"/>
      <c r="C58" s="9403"/>
      <c r="D58" s="9312"/>
      <c r="E58" s="9312"/>
      <c r="F58" s="9312"/>
      <c r="G58" s="9312"/>
      <c r="H58" s="9312"/>
      <c r="I58" s="9312"/>
      <c r="J58" s="9312"/>
      <c r="K58" s="9312"/>
      <c r="L58" s="9312"/>
      <c r="M58" s="9608"/>
      <c r="N58" s="9608"/>
      <c r="O58" s="9608"/>
      <c r="P58" s="9312"/>
      <c r="Q58" s="9312"/>
      <c r="R58" s="9434"/>
      <c r="S58" s="1085"/>
      <c r="T58" s="4967"/>
      <c r="U58" s="4967"/>
      <c r="V58" s="1068"/>
      <c r="W58" s="6474"/>
      <c r="X58" s="1069"/>
      <c r="Y58" s="5046"/>
      <c r="Z58" s="5046"/>
      <c r="AA58" s="5046"/>
      <c r="AB58" s="5047"/>
      <c r="AC58" s="5005"/>
      <c r="AD58" s="1222"/>
      <c r="AE58" s="1069"/>
      <c r="AF58" s="1079"/>
      <c r="AG58" s="1079"/>
      <c r="AH58" s="9637"/>
      <c r="AI58" s="559"/>
    </row>
    <row r="59" spans="1:35" ht="21" customHeight="1">
      <c r="A59" s="9392"/>
      <c r="B59" s="9603"/>
      <c r="C59" s="8976" t="s">
        <v>183</v>
      </c>
      <c r="D59" s="8834" t="s">
        <v>1291</v>
      </c>
      <c r="E59" s="8782" t="s">
        <v>1292</v>
      </c>
      <c r="F59" s="8782" t="s">
        <v>1348</v>
      </c>
      <c r="G59" s="8977" t="s">
        <v>1294</v>
      </c>
      <c r="H59" s="8782" t="s">
        <v>171</v>
      </c>
      <c r="I59" s="8834" t="s">
        <v>133</v>
      </c>
      <c r="J59" s="9257" t="s">
        <v>1349</v>
      </c>
      <c r="K59" s="8834" t="s">
        <v>1350</v>
      </c>
      <c r="L59" s="8782" t="s">
        <v>1351</v>
      </c>
      <c r="M59" s="8823">
        <v>2</v>
      </c>
      <c r="N59" s="8823">
        <v>1</v>
      </c>
      <c r="O59" s="8823">
        <v>1</v>
      </c>
      <c r="P59" s="8782" t="s">
        <v>1352</v>
      </c>
      <c r="Q59" s="8782" t="s">
        <v>1353</v>
      </c>
      <c r="R59" s="9217" t="s">
        <v>1300</v>
      </c>
      <c r="S59" s="1086"/>
      <c r="T59" s="4957"/>
      <c r="U59" s="4957"/>
      <c r="V59" s="1060"/>
      <c r="W59" s="6480"/>
      <c r="X59" s="1061"/>
      <c r="Y59" s="5053"/>
      <c r="Z59" s="5043"/>
      <c r="AA59" s="5043"/>
      <c r="AB59" s="5063"/>
      <c r="AC59" s="4990"/>
      <c r="AD59" s="1246"/>
      <c r="AE59" s="1061"/>
      <c r="AF59" s="1076"/>
      <c r="AG59" s="1076"/>
      <c r="AH59" s="9635"/>
      <c r="AI59" s="559"/>
    </row>
    <row r="60" spans="1:35" ht="21" customHeight="1">
      <c r="A60" s="9392"/>
      <c r="B60" s="9603"/>
      <c r="C60" s="9402"/>
      <c r="D60" s="9311"/>
      <c r="E60" s="9311"/>
      <c r="F60" s="9311"/>
      <c r="G60" s="9311"/>
      <c r="H60" s="9311"/>
      <c r="I60" s="9311"/>
      <c r="J60" s="9311"/>
      <c r="K60" s="9311"/>
      <c r="L60" s="9311"/>
      <c r="M60" s="9607"/>
      <c r="N60" s="9607"/>
      <c r="O60" s="9607"/>
      <c r="P60" s="9311"/>
      <c r="Q60" s="9311"/>
      <c r="R60" s="9433"/>
      <c r="S60" s="1083"/>
      <c r="T60" s="4959"/>
      <c r="U60" s="4959"/>
      <c r="V60" s="1051"/>
      <c r="W60" s="6473"/>
      <c r="X60" s="1052"/>
      <c r="Y60" s="5043"/>
      <c r="Z60" s="5043"/>
      <c r="AA60" s="5043"/>
      <c r="AB60" s="5044"/>
      <c r="AC60" s="4993"/>
      <c r="AD60" s="1183"/>
      <c r="AE60" s="1052"/>
      <c r="AF60" s="1074"/>
      <c r="AG60" s="1074"/>
      <c r="AH60" s="9636"/>
      <c r="AI60" s="559"/>
    </row>
    <row r="61" spans="1:35" ht="21" customHeight="1">
      <c r="A61" s="9392"/>
      <c r="B61" s="9603"/>
      <c r="C61" s="9402"/>
      <c r="D61" s="9311"/>
      <c r="E61" s="9311"/>
      <c r="F61" s="9311"/>
      <c r="G61" s="9311"/>
      <c r="H61" s="9311"/>
      <c r="I61" s="9311"/>
      <c r="J61" s="9311"/>
      <c r="K61" s="9311"/>
      <c r="L61" s="9311"/>
      <c r="M61" s="9607"/>
      <c r="N61" s="9607"/>
      <c r="O61" s="9607"/>
      <c r="P61" s="9311"/>
      <c r="Q61" s="9311"/>
      <c r="R61" s="9433"/>
      <c r="S61" s="1083"/>
      <c r="T61" s="4959"/>
      <c r="U61" s="4959"/>
      <c r="V61" s="1051"/>
      <c r="W61" s="6473"/>
      <c r="X61" s="1052"/>
      <c r="Y61" s="5043"/>
      <c r="Z61" s="5043"/>
      <c r="AA61" s="5043"/>
      <c r="AB61" s="5044"/>
      <c r="AC61" s="4993"/>
      <c r="AD61" s="1183"/>
      <c r="AE61" s="1052"/>
      <c r="AF61" s="1074"/>
      <c r="AG61" s="1074"/>
      <c r="AH61" s="9636"/>
      <c r="AI61" s="559"/>
    </row>
    <row r="62" spans="1:35" ht="21" customHeight="1">
      <c r="A62" s="9392"/>
      <c r="B62" s="9603"/>
      <c r="C62" s="9402"/>
      <c r="D62" s="9311"/>
      <c r="E62" s="9311"/>
      <c r="F62" s="9311"/>
      <c r="G62" s="9311"/>
      <c r="H62" s="9311"/>
      <c r="I62" s="9311"/>
      <c r="J62" s="9311"/>
      <c r="K62" s="9311"/>
      <c r="L62" s="9311"/>
      <c r="M62" s="9607"/>
      <c r="N62" s="9607"/>
      <c r="O62" s="9607"/>
      <c r="P62" s="9311"/>
      <c r="Q62" s="9311"/>
      <c r="R62" s="9433"/>
      <c r="S62" s="1083"/>
      <c r="T62" s="4959"/>
      <c r="U62" s="4959"/>
      <c r="V62" s="1051"/>
      <c r="W62" s="6473"/>
      <c r="X62" s="1052"/>
      <c r="Y62" s="5043"/>
      <c r="Z62" s="5043"/>
      <c r="AA62" s="5043"/>
      <c r="AB62" s="5044"/>
      <c r="AC62" s="4993"/>
      <c r="AD62" s="1183"/>
      <c r="AE62" s="1052"/>
      <c r="AF62" s="1074"/>
      <c r="AG62" s="1074"/>
      <c r="AH62" s="9636"/>
      <c r="AI62" s="559"/>
    </row>
    <row r="63" spans="1:35" ht="21" customHeight="1">
      <c r="A63" s="9392"/>
      <c r="B63" s="9603"/>
      <c r="C63" s="9403"/>
      <c r="D63" s="9312"/>
      <c r="E63" s="9312"/>
      <c r="F63" s="9312"/>
      <c r="G63" s="9312"/>
      <c r="H63" s="9312"/>
      <c r="I63" s="9312"/>
      <c r="J63" s="9312"/>
      <c r="K63" s="9312"/>
      <c r="L63" s="9312"/>
      <c r="M63" s="9608"/>
      <c r="N63" s="9608"/>
      <c r="O63" s="9608"/>
      <c r="P63" s="9312"/>
      <c r="Q63" s="9312"/>
      <c r="R63" s="9434"/>
      <c r="S63" s="1085"/>
      <c r="T63" s="4967"/>
      <c r="U63" s="4967"/>
      <c r="V63" s="1068"/>
      <c r="W63" s="6474"/>
      <c r="X63" s="1069"/>
      <c r="Y63" s="5046"/>
      <c r="Z63" s="5046"/>
      <c r="AA63" s="5046"/>
      <c r="AB63" s="5080"/>
      <c r="AC63" s="5005"/>
      <c r="AD63" s="1222"/>
      <c r="AE63" s="1069"/>
      <c r="AF63" s="1079"/>
      <c r="AG63" s="1079"/>
      <c r="AH63" s="9637"/>
      <c r="AI63" s="559"/>
    </row>
    <row r="64" spans="1:35" ht="30" customHeight="1">
      <c r="A64" s="9392"/>
      <c r="B64" s="9603"/>
      <c r="C64" s="8976" t="s">
        <v>127</v>
      </c>
      <c r="D64" s="8834" t="s">
        <v>128</v>
      </c>
      <c r="E64" s="8782" t="s">
        <v>140</v>
      </c>
      <c r="F64" s="8782" t="s">
        <v>141</v>
      </c>
      <c r="G64" s="8977" t="s">
        <v>131</v>
      </c>
      <c r="H64" s="8782" t="s">
        <v>132</v>
      </c>
      <c r="I64" s="8782" t="s">
        <v>133</v>
      </c>
      <c r="J64" s="8860" t="s">
        <v>1354</v>
      </c>
      <c r="K64" s="8782" t="s">
        <v>1355</v>
      </c>
      <c r="L64" s="8782" t="s">
        <v>1356</v>
      </c>
      <c r="M64" s="9613">
        <v>0</v>
      </c>
      <c r="N64" s="9613">
        <v>5</v>
      </c>
      <c r="O64" s="9613">
        <v>5</v>
      </c>
      <c r="P64" s="9455" t="s">
        <v>1357</v>
      </c>
      <c r="Q64" s="8782" t="s">
        <v>1358</v>
      </c>
      <c r="R64" s="9217" t="s">
        <v>1359</v>
      </c>
      <c r="S64" s="943" t="s">
        <v>80</v>
      </c>
      <c r="T64" s="4965">
        <v>530612</v>
      </c>
      <c r="U64" s="4963"/>
      <c r="V64" s="3263" t="s">
        <v>1360</v>
      </c>
      <c r="W64" s="6485"/>
      <c r="X64" s="461"/>
      <c r="Y64" s="7832"/>
      <c r="Z64" s="7832"/>
      <c r="AA64" s="7832"/>
      <c r="AB64" s="7837">
        <f>+AA65</f>
        <v>13494.74</v>
      </c>
      <c r="AC64" s="6548" t="s">
        <v>25</v>
      </c>
      <c r="AD64" s="1930"/>
      <c r="AE64" s="1931"/>
      <c r="AF64" s="79"/>
      <c r="AG64" s="79"/>
      <c r="AH64" s="9380"/>
      <c r="AI64" s="559"/>
    </row>
    <row r="65" spans="1:35" ht="30" customHeight="1">
      <c r="A65" s="9392"/>
      <c r="B65" s="9603"/>
      <c r="C65" s="9402"/>
      <c r="D65" s="9311"/>
      <c r="E65" s="9311"/>
      <c r="F65" s="9311"/>
      <c r="G65" s="9311"/>
      <c r="H65" s="9311"/>
      <c r="I65" s="9311"/>
      <c r="J65" s="9311"/>
      <c r="K65" s="9311"/>
      <c r="L65" s="9311"/>
      <c r="M65" s="9614"/>
      <c r="N65" s="9614"/>
      <c r="O65" s="9614"/>
      <c r="P65" s="9616"/>
      <c r="Q65" s="9311"/>
      <c r="R65" s="9433"/>
      <c r="S65" s="8195"/>
      <c r="T65" s="8196"/>
      <c r="U65" s="8197"/>
      <c r="V65" s="8198" t="s">
        <v>1361</v>
      </c>
      <c r="W65" s="8199">
        <v>1</v>
      </c>
      <c r="X65" s="8200" t="s">
        <v>479</v>
      </c>
      <c r="Y65" s="8201">
        <v>13494.74</v>
      </c>
      <c r="Z65" s="8201">
        <f>Y65*W65</f>
        <v>13494.74</v>
      </c>
      <c r="AA65" s="8201">
        <f>Z65</f>
        <v>13494.74</v>
      </c>
      <c r="AB65" s="8202"/>
      <c r="AC65" s="8203"/>
      <c r="AD65" s="8204"/>
      <c r="AE65" s="1926"/>
      <c r="AF65" s="1926" t="s">
        <v>153</v>
      </c>
      <c r="AG65" s="2083"/>
      <c r="AH65" s="9381"/>
      <c r="AI65" s="559"/>
    </row>
    <row r="66" spans="1:35" ht="30" customHeight="1">
      <c r="A66" s="9392"/>
      <c r="B66" s="9603"/>
      <c r="C66" s="9402"/>
      <c r="D66" s="9311"/>
      <c r="E66" s="9311"/>
      <c r="F66" s="9311"/>
      <c r="G66" s="9311"/>
      <c r="H66" s="9311"/>
      <c r="I66" s="9311"/>
      <c r="J66" s="9311"/>
      <c r="K66" s="9311"/>
      <c r="L66" s="9311"/>
      <c r="M66" s="9614"/>
      <c r="N66" s="9614"/>
      <c r="O66" s="9614"/>
      <c r="P66" s="9616"/>
      <c r="Q66" s="9311"/>
      <c r="R66" s="9433"/>
      <c r="S66" s="939" t="s">
        <v>80</v>
      </c>
      <c r="T66" s="6312">
        <v>530612</v>
      </c>
      <c r="U66" s="6312"/>
      <c r="V66" s="578" t="s">
        <v>1360</v>
      </c>
      <c r="W66" s="8205"/>
      <c r="X66" s="8206"/>
      <c r="Y66" s="6706"/>
      <c r="Z66" s="6706"/>
      <c r="AA66" s="6706"/>
      <c r="AB66" s="8207">
        <f>+AA67</f>
        <v>150</v>
      </c>
      <c r="AC66" s="4875" t="s">
        <v>26</v>
      </c>
      <c r="AD66" s="1198"/>
      <c r="AE66" s="48"/>
      <c r="AF66" s="51"/>
      <c r="AG66" s="51"/>
      <c r="AH66" s="9381"/>
      <c r="AI66" s="559"/>
    </row>
    <row r="67" spans="1:35" ht="30" customHeight="1">
      <c r="A67" s="9392"/>
      <c r="B67" s="9603"/>
      <c r="C67" s="9402"/>
      <c r="D67" s="9311"/>
      <c r="E67" s="9311"/>
      <c r="F67" s="9311"/>
      <c r="G67" s="9311"/>
      <c r="H67" s="9311"/>
      <c r="I67" s="9311"/>
      <c r="J67" s="9311"/>
      <c r="K67" s="9311"/>
      <c r="L67" s="9311"/>
      <c r="M67" s="9614"/>
      <c r="N67" s="9614"/>
      <c r="O67" s="9614"/>
      <c r="P67" s="9616"/>
      <c r="Q67" s="9311"/>
      <c r="R67" s="9433"/>
      <c r="S67" s="876"/>
      <c r="T67" s="6305"/>
      <c r="U67" s="4686"/>
      <c r="V67" s="1932" t="s">
        <v>1361</v>
      </c>
      <c r="W67" s="6487">
        <v>1</v>
      </c>
      <c r="X67" s="48" t="s">
        <v>180</v>
      </c>
      <c r="Y67" s="6520">
        <f>150/1.12</f>
        <v>133.92857142857142</v>
      </c>
      <c r="Z67" s="6520">
        <f>+W67*Y67</f>
        <v>133.92857142857142</v>
      </c>
      <c r="AA67" s="6520">
        <f t="shared" ref="AA67" si="7">+Z67*1.12</f>
        <v>150</v>
      </c>
      <c r="AB67" s="6521"/>
      <c r="AC67" s="4880"/>
      <c r="AD67" s="374"/>
      <c r="AE67" s="48" t="s">
        <v>153</v>
      </c>
      <c r="AF67" s="51"/>
      <c r="AG67" s="2083"/>
      <c r="AH67" s="9381"/>
      <c r="AI67" s="559"/>
    </row>
    <row r="68" spans="1:35" ht="30" customHeight="1">
      <c r="A68" s="9392"/>
      <c r="B68" s="9603"/>
      <c r="C68" s="9403"/>
      <c r="D68" s="9312"/>
      <c r="E68" s="9312"/>
      <c r="F68" s="9312"/>
      <c r="G68" s="9312"/>
      <c r="H68" s="9312"/>
      <c r="I68" s="9312"/>
      <c r="J68" s="9312"/>
      <c r="K68" s="9312"/>
      <c r="L68" s="9312"/>
      <c r="M68" s="9615"/>
      <c r="N68" s="9615"/>
      <c r="O68" s="9615"/>
      <c r="P68" s="9617"/>
      <c r="Q68" s="9312"/>
      <c r="R68" s="9434"/>
      <c r="S68" s="1197"/>
      <c r="T68" s="6326"/>
      <c r="U68" s="6326"/>
      <c r="V68" s="581"/>
      <c r="W68" s="4870"/>
      <c r="X68" s="453"/>
      <c r="Y68" s="4912"/>
      <c r="Z68" s="4912"/>
      <c r="AA68" s="4912"/>
      <c r="AB68" s="4913"/>
      <c r="AC68" s="4881"/>
      <c r="AD68" s="1028"/>
      <c r="AE68" s="1023"/>
      <c r="AF68" s="1024"/>
      <c r="AG68" s="1024"/>
      <c r="AH68" s="9388"/>
      <c r="AI68" s="559"/>
    </row>
    <row r="69" spans="1:35" ht="27" customHeight="1">
      <c r="A69" s="9392"/>
      <c r="B69" s="9603"/>
      <c r="C69" s="8976" t="s">
        <v>127</v>
      </c>
      <c r="D69" s="8834" t="s">
        <v>128</v>
      </c>
      <c r="E69" s="8782" t="s">
        <v>140</v>
      </c>
      <c r="F69" s="8782" t="s">
        <v>284</v>
      </c>
      <c r="G69" s="8977" t="s">
        <v>131</v>
      </c>
      <c r="H69" s="8782" t="s">
        <v>132</v>
      </c>
      <c r="I69" s="8782" t="s">
        <v>189</v>
      </c>
      <c r="J69" s="8860" t="s">
        <v>1362</v>
      </c>
      <c r="K69" s="8782" t="s">
        <v>1363</v>
      </c>
      <c r="L69" s="8782" t="s">
        <v>1356</v>
      </c>
      <c r="M69" s="8823">
        <v>0</v>
      </c>
      <c r="N69" s="9613">
        <v>0</v>
      </c>
      <c r="O69" s="9613">
        <v>1</v>
      </c>
      <c r="P69" s="8782" t="s">
        <v>1364</v>
      </c>
      <c r="Q69" s="8782" t="s">
        <v>1365</v>
      </c>
      <c r="R69" s="9217" t="s">
        <v>1366</v>
      </c>
      <c r="S69" s="2822"/>
      <c r="T69" s="5692"/>
      <c r="U69" s="5692"/>
      <c r="V69" s="2929"/>
      <c r="W69" s="5505"/>
      <c r="X69" s="2930"/>
      <c r="Y69" s="5798"/>
      <c r="Z69" s="5798"/>
      <c r="AA69" s="5798"/>
      <c r="AB69" s="5799"/>
      <c r="AC69" s="5824"/>
      <c r="AD69" s="2934"/>
      <c r="AE69" s="2823"/>
      <c r="AF69" s="1076"/>
      <c r="AG69" s="1076"/>
      <c r="AH69" s="9635"/>
      <c r="AI69" s="559"/>
    </row>
    <row r="70" spans="1:35" ht="27" customHeight="1">
      <c r="A70" s="9392"/>
      <c r="B70" s="9603"/>
      <c r="C70" s="9402"/>
      <c r="D70" s="9311"/>
      <c r="E70" s="9311"/>
      <c r="F70" s="9311"/>
      <c r="G70" s="9311"/>
      <c r="H70" s="9311"/>
      <c r="I70" s="9311"/>
      <c r="J70" s="9311"/>
      <c r="K70" s="9311"/>
      <c r="L70" s="9311"/>
      <c r="M70" s="9607"/>
      <c r="N70" s="9614"/>
      <c r="O70" s="9614"/>
      <c r="P70" s="9311"/>
      <c r="Q70" s="9311"/>
      <c r="R70" s="9433"/>
      <c r="S70" s="2822"/>
      <c r="T70" s="6446"/>
      <c r="U70" s="6446"/>
      <c r="V70" s="2931"/>
      <c r="W70" s="6488"/>
      <c r="X70" s="2931"/>
      <c r="Y70" s="6533"/>
      <c r="Z70" s="6533"/>
      <c r="AA70" s="6533"/>
      <c r="AB70" s="6533"/>
      <c r="AC70" s="6555"/>
      <c r="AD70" s="2935"/>
      <c r="AE70" s="2824"/>
      <c r="AF70" s="1074"/>
      <c r="AG70" s="1074"/>
      <c r="AH70" s="9636"/>
      <c r="AI70" s="559"/>
    </row>
    <row r="71" spans="1:35" ht="27" customHeight="1">
      <c r="A71" s="9392"/>
      <c r="B71" s="9603"/>
      <c r="C71" s="9402"/>
      <c r="D71" s="9311"/>
      <c r="E71" s="9311"/>
      <c r="F71" s="9311"/>
      <c r="G71" s="9311"/>
      <c r="H71" s="9311"/>
      <c r="I71" s="9311"/>
      <c r="J71" s="9311"/>
      <c r="K71" s="9311"/>
      <c r="L71" s="9311"/>
      <c r="M71" s="9607"/>
      <c r="N71" s="9614"/>
      <c r="O71" s="9614"/>
      <c r="P71" s="9311"/>
      <c r="Q71" s="9311"/>
      <c r="R71" s="9433"/>
      <c r="S71" s="2822"/>
      <c r="T71" s="6446"/>
      <c r="U71" s="6446"/>
      <c r="V71" s="2931"/>
      <c r="W71" s="6488"/>
      <c r="X71" s="2931"/>
      <c r="Y71" s="6533"/>
      <c r="Z71" s="6533"/>
      <c r="AA71" s="6533"/>
      <c r="AB71" s="6533"/>
      <c r="AC71" s="6555"/>
      <c r="AD71" s="2935"/>
      <c r="AE71" s="2824"/>
      <c r="AF71" s="1074"/>
      <c r="AG71" s="1074"/>
      <c r="AH71" s="9636"/>
      <c r="AI71" s="559"/>
    </row>
    <row r="72" spans="1:35" ht="27" customHeight="1">
      <c r="A72" s="9392"/>
      <c r="B72" s="9603"/>
      <c r="C72" s="9402"/>
      <c r="D72" s="9311"/>
      <c r="E72" s="9311"/>
      <c r="F72" s="9311"/>
      <c r="G72" s="9311"/>
      <c r="H72" s="9311"/>
      <c r="I72" s="9311"/>
      <c r="J72" s="9311"/>
      <c r="K72" s="9311"/>
      <c r="L72" s="9311"/>
      <c r="M72" s="9607"/>
      <c r="N72" s="9614"/>
      <c r="O72" s="9614"/>
      <c r="P72" s="9311"/>
      <c r="Q72" s="9311"/>
      <c r="R72" s="9433"/>
      <c r="S72" s="2822"/>
      <c r="T72" s="6446"/>
      <c r="U72" s="6446"/>
      <c r="V72" s="2931"/>
      <c r="W72" s="6488"/>
      <c r="X72" s="2931"/>
      <c r="Y72" s="6533"/>
      <c r="Z72" s="6533"/>
      <c r="AA72" s="6533"/>
      <c r="AB72" s="6533"/>
      <c r="AC72" s="6555"/>
      <c r="AD72" s="2935"/>
      <c r="AE72" s="2824"/>
      <c r="AF72" s="1074"/>
      <c r="AG72" s="1074"/>
      <c r="AH72" s="9636"/>
      <c r="AI72" s="559"/>
    </row>
    <row r="73" spans="1:35" ht="27" customHeight="1">
      <c r="A73" s="9392"/>
      <c r="B73" s="9603"/>
      <c r="C73" s="9403"/>
      <c r="D73" s="9312"/>
      <c r="E73" s="9312"/>
      <c r="F73" s="9312"/>
      <c r="G73" s="9312"/>
      <c r="H73" s="9312"/>
      <c r="I73" s="9312"/>
      <c r="J73" s="9312"/>
      <c r="K73" s="9312"/>
      <c r="L73" s="9312"/>
      <c r="M73" s="9608"/>
      <c r="N73" s="9615"/>
      <c r="O73" s="9615"/>
      <c r="P73" s="9312"/>
      <c r="Q73" s="9312"/>
      <c r="R73" s="9434"/>
      <c r="S73" s="2822"/>
      <c r="T73" s="5688"/>
      <c r="U73" s="5688"/>
      <c r="V73" s="2932"/>
      <c r="W73" s="5506"/>
      <c r="X73" s="2933"/>
      <c r="Y73" s="5792"/>
      <c r="Z73" s="5792"/>
      <c r="AA73" s="5792"/>
      <c r="AB73" s="5793"/>
      <c r="AC73" s="5826"/>
      <c r="AD73" s="2936"/>
      <c r="AE73" s="2825"/>
      <c r="AF73" s="1079"/>
      <c r="AG73" s="1079"/>
      <c r="AH73" s="9637"/>
      <c r="AI73" s="559"/>
    </row>
    <row r="74" spans="1:35" ht="27" customHeight="1">
      <c r="A74" s="9392"/>
      <c r="B74" s="9603"/>
      <c r="C74" s="8976" t="s">
        <v>127</v>
      </c>
      <c r="D74" s="8834" t="s">
        <v>128</v>
      </c>
      <c r="E74" s="8782" t="s">
        <v>140</v>
      </c>
      <c r="F74" s="8782" t="s">
        <v>284</v>
      </c>
      <c r="G74" s="8977" t="s">
        <v>131</v>
      </c>
      <c r="H74" s="8782" t="s">
        <v>132</v>
      </c>
      <c r="I74" s="8782" t="s">
        <v>133</v>
      </c>
      <c r="J74" s="8860" t="s">
        <v>1367</v>
      </c>
      <c r="K74" s="8782" t="s">
        <v>1368</v>
      </c>
      <c r="L74" s="8782" t="s">
        <v>1369</v>
      </c>
      <c r="M74" s="8823">
        <v>0</v>
      </c>
      <c r="N74" s="9613">
        <v>0</v>
      </c>
      <c r="O74" s="9613">
        <v>10</v>
      </c>
      <c r="P74" s="8782" t="s">
        <v>1370</v>
      </c>
      <c r="Q74" s="8782" t="s">
        <v>1371</v>
      </c>
      <c r="R74" s="9217" t="s">
        <v>1300</v>
      </c>
      <c r="S74" s="1090"/>
      <c r="T74" s="4966"/>
      <c r="U74" s="6434"/>
      <c r="V74" s="1208"/>
      <c r="W74" s="6489"/>
      <c r="X74" s="2826"/>
      <c r="Y74" s="6504"/>
      <c r="Z74" s="5040"/>
      <c r="AA74" s="5040"/>
      <c r="AB74" s="6534"/>
      <c r="AC74" s="6548"/>
      <c r="AD74" s="1209"/>
      <c r="AE74" s="1230"/>
      <c r="AF74" s="1076"/>
      <c r="AG74" s="1076"/>
      <c r="AH74" s="9635"/>
      <c r="AI74" s="559"/>
    </row>
    <row r="75" spans="1:35" ht="27" customHeight="1">
      <c r="A75" s="9392"/>
      <c r="B75" s="9603"/>
      <c r="C75" s="9402"/>
      <c r="D75" s="9311"/>
      <c r="E75" s="9311"/>
      <c r="F75" s="9311"/>
      <c r="G75" s="9311"/>
      <c r="H75" s="9311"/>
      <c r="I75" s="9311"/>
      <c r="J75" s="9311"/>
      <c r="K75" s="9311"/>
      <c r="L75" s="9311"/>
      <c r="M75" s="9607"/>
      <c r="N75" s="9614"/>
      <c r="O75" s="9614"/>
      <c r="P75" s="9311"/>
      <c r="Q75" s="9311"/>
      <c r="R75" s="9433"/>
      <c r="S75" s="1083"/>
      <c r="T75" s="4959"/>
      <c r="U75" s="4959"/>
      <c r="V75" s="1204"/>
      <c r="W75" s="6465"/>
      <c r="X75" s="1052"/>
      <c r="Y75" s="6505"/>
      <c r="Z75" s="5043"/>
      <c r="AA75" s="5043"/>
      <c r="AB75" s="6532"/>
      <c r="AC75" s="4993"/>
      <c r="AD75" s="1213"/>
      <c r="AE75" s="1229"/>
      <c r="AF75" s="1074"/>
      <c r="AG75" s="1074"/>
      <c r="AH75" s="9636"/>
      <c r="AI75" s="559"/>
    </row>
    <row r="76" spans="1:35" ht="27" customHeight="1">
      <c r="A76" s="9392"/>
      <c r="B76" s="9603"/>
      <c r="C76" s="9402"/>
      <c r="D76" s="9311"/>
      <c r="E76" s="9311"/>
      <c r="F76" s="9311"/>
      <c r="G76" s="9311"/>
      <c r="H76" s="9311"/>
      <c r="I76" s="9311"/>
      <c r="J76" s="9311"/>
      <c r="K76" s="9311"/>
      <c r="L76" s="9311"/>
      <c r="M76" s="9607"/>
      <c r="N76" s="9614"/>
      <c r="O76" s="9614"/>
      <c r="P76" s="9311"/>
      <c r="Q76" s="9311"/>
      <c r="R76" s="9433"/>
      <c r="S76" s="1083"/>
      <c r="T76" s="4959"/>
      <c r="U76" s="4959"/>
      <c r="V76" s="1204"/>
      <c r="W76" s="6465"/>
      <c r="X76" s="1052"/>
      <c r="Y76" s="6505"/>
      <c r="Z76" s="5043"/>
      <c r="AA76" s="5043"/>
      <c r="AB76" s="6532"/>
      <c r="AC76" s="4993"/>
      <c r="AD76" s="1213"/>
      <c r="AE76" s="1229"/>
      <c r="AF76" s="1074"/>
      <c r="AG76" s="1074"/>
      <c r="AH76" s="9636"/>
      <c r="AI76" s="559"/>
    </row>
    <row r="77" spans="1:35" ht="27" customHeight="1">
      <c r="A77" s="9392"/>
      <c r="B77" s="9603"/>
      <c r="C77" s="9402"/>
      <c r="D77" s="9311"/>
      <c r="E77" s="9311"/>
      <c r="F77" s="9311"/>
      <c r="G77" s="9311"/>
      <c r="H77" s="9311"/>
      <c r="I77" s="9311"/>
      <c r="J77" s="9311"/>
      <c r="K77" s="9311"/>
      <c r="L77" s="9311"/>
      <c r="M77" s="9607"/>
      <c r="N77" s="9614"/>
      <c r="O77" s="9614"/>
      <c r="P77" s="9311"/>
      <c r="Q77" s="9311"/>
      <c r="R77" s="9433"/>
      <c r="S77" s="1083"/>
      <c r="T77" s="4959"/>
      <c r="U77" s="4959"/>
      <c r="V77" s="1051"/>
      <c r="W77" s="6473"/>
      <c r="X77" s="1052"/>
      <c r="Y77" s="5043"/>
      <c r="Z77" s="5043"/>
      <c r="AA77" s="5043"/>
      <c r="AB77" s="5044"/>
      <c r="AC77" s="4993"/>
      <c r="AD77" s="1183"/>
      <c r="AE77" s="1052"/>
      <c r="AF77" s="1074"/>
      <c r="AG77" s="1074"/>
      <c r="AH77" s="9636"/>
      <c r="AI77" s="559"/>
    </row>
    <row r="78" spans="1:35" ht="27" customHeight="1">
      <c r="A78" s="9392"/>
      <c r="B78" s="9603"/>
      <c r="C78" s="9403"/>
      <c r="D78" s="9312"/>
      <c r="E78" s="9312"/>
      <c r="F78" s="9312"/>
      <c r="G78" s="9312"/>
      <c r="H78" s="9312"/>
      <c r="I78" s="9312"/>
      <c r="J78" s="9312"/>
      <c r="K78" s="9312"/>
      <c r="L78" s="9312"/>
      <c r="M78" s="9608"/>
      <c r="N78" s="9615"/>
      <c r="O78" s="9615"/>
      <c r="P78" s="9312"/>
      <c r="Q78" s="9312"/>
      <c r="R78" s="9434"/>
      <c r="S78" s="1085"/>
      <c r="T78" s="4967"/>
      <c r="U78" s="4967"/>
      <c r="V78" s="1068"/>
      <c r="W78" s="6474"/>
      <c r="X78" s="1069"/>
      <c r="Y78" s="5046"/>
      <c r="Z78" s="5046"/>
      <c r="AA78" s="5046"/>
      <c r="AB78" s="5047"/>
      <c r="AC78" s="5005"/>
      <c r="AD78" s="1222"/>
      <c r="AE78" s="1069"/>
      <c r="AF78" s="1079"/>
      <c r="AG78" s="1079"/>
      <c r="AH78" s="9637"/>
      <c r="AI78" s="559"/>
    </row>
    <row r="79" spans="1:35" ht="27.75" customHeight="1">
      <c r="A79" s="9392"/>
      <c r="B79" s="9603"/>
      <c r="C79" s="8976" t="s">
        <v>127</v>
      </c>
      <c r="D79" s="8834" t="s">
        <v>128</v>
      </c>
      <c r="E79" s="8782" t="s">
        <v>129</v>
      </c>
      <c r="F79" s="8782" t="s">
        <v>268</v>
      </c>
      <c r="G79" s="8977" t="s">
        <v>131</v>
      </c>
      <c r="H79" s="8782" t="s">
        <v>132</v>
      </c>
      <c r="I79" s="8782" t="s">
        <v>159</v>
      </c>
      <c r="J79" s="8860" t="s">
        <v>1372</v>
      </c>
      <c r="K79" s="8782" t="s">
        <v>1373</v>
      </c>
      <c r="L79" s="8782" t="s">
        <v>1374</v>
      </c>
      <c r="M79" s="8823">
        <v>0</v>
      </c>
      <c r="N79" s="8823">
        <v>1</v>
      </c>
      <c r="O79" s="8823">
        <v>1</v>
      </c>
      <c r="P79" s="8782" t="s">
        <v>1375</v>
      </c>
      <c r="Q79" s="8782" t="s">
        <v>1376</v>
      </c>
      <c r="R79" s="9217" t="s">
        <v>1300</v>
      </c>
      <c r="S79" s="1086"/>
      <c r="T79" s="4957"/>
      <c r="U79" s="4957"/>
      <c r="V79" s="1060"/>
      <c r="W79" s="6480"/>
      <c r="X79" s="1061"/>
      <c r="Y79" s="5053"/>
      <c r="Z79" s="5053"/>
      <c r="AA79" s="5053"/>
      <c r="AB79" s="5063"/>
      <c r="AC79" s="4990"/>
      <c r="AD79" s="1246"/>
      <c r="AE79" s="1061"/>
      <c r="AF79" s="1076"/>
      <c r="AG79" s="1076"/>
      <c r="AH79" s="9635"/>
      <c r="AI79" s="559"/>
    </row>
    <row r="80" spans="1:35" ht="27.75" customHeight="1">
      <c r="A80" s="9392"/>
      <c r="B80" s="9603"/>
      <c r="C80" s="9402"/>
      <c r="D80" s="9311"/>
      <c r="E80" s="9311"/>
      <c r="F80" s="9311"/>
      <c r="G80" s="9311"/>
      <c r="H80" s="9311"/>
      <c r="I80" s="9311"/>
      <c r="J80" s="9311"/>
      <c r="K80" s="9311"/>
      <c r="L80" s="9311"/>
      <c r="M80" s="9607"/>
      <c r="N80" s="9607"/>
      <c r="O80" s="9607"/>
      <c r="P80" s="9311"/>
      <c r="Q80" s="9311"/>
      <c r="R80" s="9433"/>
      <c r="S80" s="1083"/>
      <c r="T80" s="4959"/>
      <c r="U80" s="4959"/>
      <c r="V80" s="1051"/>
      <c r="W80" s="6473"/>
      <c r="X80" s="1052"/>
      <c r="Y80" s="5043"/>
      <c r="Z80" s="5043"/>
      <c r="AA80" s="5043"/>
      <c r="AB80" s="5044"/>
      <c r="AC80" s="4993"/>
      <c r="AD80" s="1183"/>
      <c r="AE80" s="1052"/>
      <c r="AF80" s="1074"/>
      <c r="AG80" s="1074"/>
      <c r="AH80" s="9636"/>
      <c r="AI80" s="559"/>
    </row>
    <row r="81" spans="1:35" ht="27.75" customHeight="1">
      <c r="A81" s="9392"/>
      <c r="B81" s="9603"/>
      <c r="C81" s="9402"/>
      <c r="D81" s="9311"/>
      <c r="E81" s="9311"/>
      <c r="F81" s="9311"/>
      <c r="G81" s="9311"/>
      <c r="H81" s="9311"/>
      <c r="I81" s="9311"/>
      <c r="J81" s="9311"/>
      <c r="K81" s="9311"/>
      <c r="L81" s="9311"/>
      <c r="M81" s="9607"/>
      <c r="N81" s="9607"/>
      <c r="O81" s="9607"/>
      <c r="P81" s="9311"/>
      <c r="Q81" s="9311"/>
      <c r="R81" s="9433"/>
      <c r="S81" s="1083"/>
      <c r="T81" s="4959"/>
      <c r="U81" s="4959"/>
      <c r="V81" s="1051"/>
      <c r="W81" s="6473"/>
      <c r="X81" s="1052"/>
      <c r="Y81" s="5043"/>
      <c r="Z81" s="5043"/>
      <c r="AA81" s="5043"/>
      <c r="AB81" s="5044"/>
      <c r="AC81" s="4993"/>
      <c r="AD81" s="1183"/>
      <c r="AE81" s="1052"/>
      <c r="AF81" s="1074"/>
      <c r="AG81" s="1074"/>
      <c r="AH81" s="9636"/>
      <c r="AI81" s="559"/>
    </row>
    <row r="82" spans="1:35" ht="27.75" customHeight="1">
      <c r="A82" s="9392"/>
      <c r="B82" s="9603"/>
      <c r="C82" s="9402"/>
      <c r="D82" s="9311"/>
      <c r="E82" s="9311"/>
      <c r="F82" s="9311"/>
      <c r="G82" s="9311"/>
      <c r="H82" s="9311"/>
      <c r="I82" s="9311"/>
      <c r="J82" s="9311"/>
      <c r="K82" s="9311"/>
      <c r="L82" s="9311"/>
      <c r="M82" s="9607"/>
      <c r="N82" s="9607"/>
      <c r="O82" s="9607"/>
      <c r="P82" s="9311"/>
      <c r="Q82" s="9311"/>
      <c r="R82" s="9433"/>
      <c r="S82" s="1083"/>
      <c r="T82" s="4959"/>
      <c r="U82" s="4959"/>
      <c r="V82" s="1051"/>
      <c r="W82" s="6473"/>
      <c r="X82" s="1052"/>
      <c r="Y82" s="5043"/>
      <c r="Z82" s="5043"/>
      <c r="AA82" s="5043"/>
      <c r="AB82" s="5044"/>
      <c r="AC82" s="4993"/>
      <c r="AD82" s="1183"/>
      <c r="AE82" s="1052"/>
      <c r="AF82" s="1074"/>
      <c r="AG82" s="1074"/>
      <c r="AH82" s="9636"/>
      <c r="AI82" s="559"/>
    </row>
    <row r="83" spans="1:35" ht="27.75" customHeight="1">
      <c r="A83" s="9392"/>
      <c r="B83" s="9603"/>
      <c r="C83" s="9403"/>
      <c r="D83" s="9312"/>
      <c r="E83" s="9312"/>
      <c r="F83" s="9312"/>
      <c r="G83" s="9312"/>
      <c r="H83" s="9312"/>
      <c r="I83" s="9312"/>
      <c r="J83" s="9312"/>
      <c r="K83" s="9312"/>
      <c r="L83" s="9312"/>
      <c r="M83" s="9608"/>
      <c r="N83" s="9608"/>
      <c r="O83" s="9608"/>
      <c r="P83" s="9312"/>
      <c r="Q83" s="9312"/>
      <c r="R83" s="9434"/>
      <c r="S83" s="1085"/>
      <c r="T83" s="4967"/>
      <c r="U83" s="4967"/>
      <c r="V83" s="1068"/>
      <c r="W83" s="6474"/>
      <c r="X83" s="1069"/>
      <c r="Y83" s="5046"/>
      <c r="Z83" s="5046"/>
      <c r="AA83" s="5046"/>
      <c r="AB83" s="5047"/>
      <c r="AC83" s="5005"/>
      <c r="AD83" s="1222"/>
      <c r="AE83" s="1069"/>
      <c r="AF83" s="1079"/>
      <c r="AG83" s="1079"/>
      <c r="AH83" s="9637"/>
      <c r="AI83" s="559"/>
    </row>
    <row r="84" spans="1:35" ht="25.5" customHeight="1">
      <c r="A84" s="9392"/>
      <c r="B84" s="9603"/>
      <c r="C84" s="8976" t="s">
        <v>127</v>
      </c>
      <c r="D84" s="8834" t="s">
        <v>128</v>
      </c>
      <c r="E84" s="8782" t="s">
        <v>129</v>
      </c>
      <c r="F84" s="8782" t="s">
        <v>268</v>
      </c>
      <c r="G84" s="8977" t="s">
        <v>131</v>
      </c>
      <c r="H84" s="8782" t="s">
        <v>132</v>
      </c>
      <c r="I84" s="8782" t="s">
        <v>159</v>
      </c>
      <c r="J84" s="8860" t="s">
        <v>1377</v>
      </c>
      <c r="K84" s="8782" t="s">
        <v>1378</v>
      </c>
      <c r="L84" s="8782" t="s">
        <v>1379</v>
      </c>
      <c r="M84" s="8823">
        <v>0</v>
      </c>
      <c r="N84" s="8823">
        <v>0</v>
      </c>
      <c r="O84" s="8823">
        <v>2</v>
      </c>
      <c r="P84" s="8782" t="s">
        <v>1380</v>
      </c>
      <c r="Q84" s="8782" t="s">
        <v>1381</v>
      </c>
      <c r="R84" s="9217" t="s">
        <v>1300</v>
      </c>
      <c r="S84" s="1086"/>
      <c r="T84" s="4957"/>
      <c r="U84" s="4957"/>
      <c r="V84" s="1060"/>
      <c r="W84" s="6480"/>
      <c r="X84" s="1061"/>
      <c r="Y84" s="5053"/>
      <c r="Z84" s="5043"/>
      <c r="AA84" s="5043"/>
      <c r="AB84" s="5063"/>
      <c r="AC84" s="4990"/>
      <c r="AD84" s="1246"/>
      <c r="AE84" s="1061"/>
      <c r="AF84" s="1076"/>
      <c r="AG84" s="1076"/>
      <c r="AH84" s="9635"/>
      <c r="AI84" s="559"/>
    </row>
    <row r="85" spans="1:35" ht="25.5" customHeight="1">
      <c r="A85" s="9392"/>
      <c r="B85" s="9603"/>
      <c r="C85" s="9402"/>
      <c r="D85" s="9311"/>
      <c r="E85" s="9311"/>
      <c r="F85" s="9311"/>
      <c r="G85" s="9311"/>
      <c r="H85" s="9311"/>
      <c r="I85" s="9311"/>
      <c r="J85" s="9311"/>
      <c r="K85" s="9311"/>
      <c r="L85" s="9311"/>
      <c r="M85" s="9607"/>
      <c r="N85" s="9607"/>
      <c r="O85" s="9607"/>
      <c r="P85" s="9311"/>
      <c r="Q85" s="9311"/>
      <c r="R85" s="9433"/>
      <c r="S85" s="1083"/>
      <c r="T85" s="4959"/>
      <c r="U85" s="4959"/>
      <c r="V85" s="1051"/>
      <c r="W85" s="6473"/>
      <c r="X85" s="1052"/>
      <c r="Y85" s="5043"/>
      <c r="Z85" s="5043"/>
      <c r="AA85" s="5043"/>
      <c r="AB85" s="5044"/>
      <c r="AC85" s="4993"/>
      <c r="AD85" s="1183"/>
      <c r="AE85" s="1052"/>
      <c r="AF85" s="1074"/>
      <c r="AG85" s="1074"/>
      <c r="AH85" s="9636"/>
      <c r="AI85" s="559"/>
    </row>
    <row r="86" spans="1:35" ht="25.5" customHeight="1">
      <c r="A86" s="9392"/>
      <c r="B86" s="9603"/>
      <c r="C86" s="9402"/>
      <c r="D86" s="9311"/>
      <c r="E86" s="9311"/>
      <c r="F86" s="9311"/>
      <c r="G86" s="9311"/>
      <c r="H86" s="9311"/>
      <c r="I86" s="9311"/>
      <c r="J86" s="9311"/>
      <c r="K86" s="9311"/>
      <c r="L86" s="9311"/>
      <c r="M86" s="9607"/>
      <c r="N86" s="9607"/>
      <c r="O86" s="9607"/>
      <c r="P86" s="9311"/>
      <c r="Q86" s="9311"/>
      <c r="R86" s="9433"/>
      <c r="S86" s="1083"/>
      <c r="T86" s="4959"/>
      <c r="U86" s="4959"/>
      <c r="V86" s="1051"/>
      <c r="W86" s="6473"/>
      <c r="X86" s="1052"/>
      <c r="Y86" s="5043"/>
      <c r="Z86" s="5043"/>
      <c r="AA86" s="5043"/>
      <c r="AB86" s="5044"/>
      <c r="AC86" s="4993"/>
      <c r="AD86" s="1183"/>
      <c r="AE86" s="1052"/>
      <c r="AF86" s="1074"/>
      <c r="AG86" s="1074"/>
      <c r="AH86" s="9636"/>
      <c r="AI86" s="559"/>
    </row>
    <row r="87" spans="1:35" ht="25.5" customHeight="1">
      <c r="A87" s="9392"/>
      <c r="B87" s="9603"/>
      <c r="C87" s="9402"/>
      <c r="D87" s="9311"/>
      <c r="E87" s="9311"/>
      <c r="F87" s="9311"/>
      <c r="G87" s="9311"/>
      <c r="H87" s="9311"/>
      <c r="I87" s="9311"/>
      <c r="J87" s="9311"/>
      <c r="K87" s="9311"/>
      <c r="L87" s="9311"/>
      <c r="M87" s="9607"/>
      <c r="N87" s="9607"/>
      <c r="O87" s="9607"/>
      <c r="P87" s="9311"/>
      <c r="Q87" s="9311"/>
      <c r="R87" s="9433"/>
      <c r="S87" s="1083"/>
      <c r="T87" s="4959"/>
      <c r="U87" s="4959"/>
      <c r="V87" s="1051"/>
      <c r="W87" s="6473"/>
      <c r="X87" s="1052"/>
      <c r="Y87" s="5043"/>
      <c r="Z87" s="5043"/>
      <c r="AA87" s="5043"/>
      <c r="AB87" s="5044"/>
      <c r="AC87" s="4993"/>
      <c r="AD87" s="1183"/>
      <c r="AE87" s="1052"/>
      <c r="AF87" s="1074"/>
      <c r="AG87" s="1074"/>
      <c r="AH87" s="9636"/>
      <c r="AI87" s="559"/>
    </row>
    <row r="88" spans="1:35" ht="25.5" customHeight="1">
      <c r="A88" s="9392"/>
      <c r="B88" s="9603"/>
      <c r="C88" s="9403"/>
      <c r="D88" s="9312"/>
      <c r="E88" s="9312"/>
      <c r="F88" s="9312"/>
      <c r="G88" s="9312"/>
      <c r="H88" s="9312"/>
      <c r="I88" s="9312"/>
      <c r="J88" s="9312"/>
      <c r="K88" s="9312"/>
      <c r="L88" s="9312"/>
      <c r="M88" s="9608"/>
      <c r="N88" s="9608"/>
      <c r="O88" s="9608"/>
      <c r="P88" s="9312"/>
      <c r="Q88" s="9312"/>
      <c r="R88" s="9434"/>
      <c r="S88" s="1244"/>
      <c r="T88" s="4955"/>
      <c r="U88" s="4955"/>
      <c r="V88" s="1056"/>
      <c r="W88" s="6481"/>
      <c r="X88" s="1057"/>
      <c r="Y88" s="6529"/>
      <c r="Z88" s="6529"/>
      <c r="AA88" s="5046"/>
      <c r="AB88" s="5047"/>
      <c r="AC88" s="4987"/>
      <c r="AD88" s="1245"/>
      <c r="AE88" s="1057"/>
      <c r="AF88" s="1075"/>
      <c r="AG88" s="1075"/>
      <c r="AH88" s="9637"/>
      <c r="AI88" s="559"/>
    </row>
    <row r="89" spans="1:35" s="4835" customFormat="1" ht="22.5" customHeight="1">
      <c r="A89" s="9604"/>
      <c r="B89" s="9605"/>
      <c r="C89" s="6246"/>
      <c r="D89" s="6018"/>
      <c r="E89" s="6018"/>
      <c r="F89" s="6018"/>
      <c r="G89" s="6018"/>
      <c r="H89" s="6018"/>
      <c r="I89" s="6018"/>
      <c r="J89" s="6018"/>
      <c r="K89" s="6018"/>
      <c r="L89" s="6018"/>
      <c r="M89" s="6019"/>
      <c r="N89" s="6019"/>
      <c r="O89" s="6019"/>
      <c r="P89" s="6018"/>
      <c r="Q89" s="6018"/>
      <c r="R89" s="6018"/>
      <c r="S89" s="9654" t="s">
        <v>1382</v>
      </c>
      <c r="T89" s="9627"/>
      <c r="U89" s="9627"/>
      <c r="V89" s="9627"/>
      <c r="W89" s="9627"/>
      <c r="X89" s="9627"/>
      <c r="Y89" s="9627"/>
      <c r="Z89" s="9627"/>
      <c r="AA89" s="6020" t="s">
        <v>292</v>
      </c>
      <c r="AB89" s="6498">
        <f>SUM(AB9:AB88)</f>
        <v>39449.199999999997</v>
      </c>
      <c r="AC89" s="6021"/>
      <c r="AD89" s="6022"/>
      <c r="AE89" s="9655"/>
      <c r="AF89" s="9629"/>
      <c r="AG89" s="9629"/>
      <c r="AH89" s="8774"/>
      <c r="AI89" s="5952"/>
    </row>
    <row r="90" spans="1:35" ht="29.25" customHeight="1">
      <c r="A90" s="9599" t="s">
        <v>1271</v>
      </c>
      <c r="B90" s="9246" t="s">
        <v>1383</v>
      </c>
      <c r="C90" s="9223" t="s">
        <v>183</v>
      </c>
      <c r="D90" s="8782" t="s">
        <v>1291</v>
      </c>
      <c r="E90" s="8782" t="s">
        <v>1292</v>
      </c>
      <c r="F90" s="8782" t="s">
        <v>1348</v>
      </c>
      <c r="G90" s="8977" t="s">
        <v>1294</v>
      </c>
      <c r="H90" s="8782" t="s">
        <v>1304</v>
      </c>
      <c r="I90" s="8782" t="s">
        <v>189</v>
      </c>
      <c r="J90" s="9217" t="s">
        <v>1384</v>
      </c>
      <c r="K90" s="8782" t="s">
        <v>1385</v>
      </c>
      <c r="L90" s="8782" t="s">
        <v>1386</v>
      </c>
      <c r="M90" s="8823">
        <v>0</v>
      </c>
      <c r="N90" s="9169">
        <v>1</v>
      </c>
      <c r="O90" s="8823">
        <v>1</v>
      </c>
      <c r="P90" s="8782" t="s">
        <v>1387</v>
      </c>
      <c r="Q90" s="8782" t="s">
        <v>1388</v>
      </c>
      <c r="R90" s="9217" t="s">
        <v>1389</v>
      </c>
      <c r="S90" s="1193"/>
      <c r="T90" s="4845"/>
      <c r="U90" s="4850"/>
      <c r="V90" s="940"/>
      <c r="W90" s="4863"/>
      <c r="X90" s="794"/>
      <c r="Y90" s="4900"/>
      <c r="Z90" s="4900"/>
      <c r="AA90" s="4900"/>
      <c r="AB90" s="4906"/>
      <c r="AC90" s="4878"/>
      <c r="AD90" s="1009"/>
      <c r="AE90" s="794"/>
      <c r="AF90" s="1033"/>
      <c r="AG90" s="1033"/>
      <c r="AH90" s="9625"/>
      <c r="AI90" s="559"/>
    </row>
    <row r="91" spans="1:35" ht="29.25" customHeight="1">
      <c r="A91" s="9244"/>
      <c r="B91" s="9398"/>
      <c r="C91" s="9333"/>
      <c r="D91" s="9311"/>
      <c r="E91" s="9311"/>
      <c r="F91" s="9311"/>
      <c r="G91" s="9311"/>
      <c r="H91" s="9311"/>
      <c r="I91" s="9311"/>
      <c r="J91" s="9433"/>
      <c r="K91" s="9311"/>
      <c r="L91" s="9311"/>
      <c r="M91" s="9607"/>
      <c r="N91" s="8856"/>
      <c r="O91" s="9607"/>
      <c r="P91" s="9311"/>
      <c r="Q91" s="9311"/>
      <c r="R91" s="9433"/>
      <c r="S91" s="1193"/>
      <c r="T91" s="4845"/>
      <c r="U91" s="4844"/>
      <c r="V91" s="798"/>
      <c r="W91" s="4862"/>
      <c r="X91" s="799"/>
      <c r="Y91" s="4898"/>
      <c r="Z91" s="4898"/>
      <c r="AA91" s="4898"/>
      <c r="AB91" s="4899"/>
      <c r="AC91" s="4876"/>
      <c r="AD91" s="1012"/>
      <c r="AE91" s="799"/>
      <c r="AF91" s="1013"/>
      <c r="AG91" s="1013"/>
      <c r="AH91" s="9623"/>
      <c r="AI91" s="559"/>
    </row>
    <row r="92" spans="1:35" ht="29.25" customHeight="1">
      <c r="A92" s="9244"/>
      <c r="B92" s="9398"/>
      <c r="C92" s="9333"/>
      <c r="D92" s="9311"/>
      <c r="E92" s="9311"/>
      <c r="F92" s="9311"/>
      <c r="G92" s="9311"/>
      <c r="H92" s="9311"/>
      <c r="I92" s="9311"/>
      <c r="J92" s="9433"/>
      <c r="K92" s="9311"/>
      <c r="L92" s="9311"/>
      <c r="M92" s="9607"/>
      <c r="N92" s="8856"/>
      <c r="O92" s="9607"/>
      <c r="P92" s="9311"/>
      <c r="Q92" s="9311"/>
      <c r="R92" s="9433"/>
      <c r="S92" s="1194"/>
      <c r="T92" s="4845"/>
      <c r="U92" s="4845"/>
      <c r="V92" s="1015"/>
      <c r="W92" s="4863"/>
      <c r="X92" s="794"/>
      <c r="Y92" s="4900"/>
      <c r="Z92" s="4898"/>
      <c r="AA92" s="4898"/>
      <c r="AB92" s="4899"/>
      <c r="AC92" s="4876"/>
      <c r="AD92" s="1012"/>
      <c r="AE92" s="799"/>
      <c r="AF92" s="1013"/>
      <c r="AG92" s="1013"/>
      <c r="AH92" s="9623"/>
      <c r="AI92" s="559"/>
    </row>
    <row r="93" spans="1:35" ht="29.25" customHeight="1">
      <c r="A93" s="9244"/>
      <c r="B93" s="9398"/>
      <c r="C93" s="9333"/>
      <c r="D93" s="9311"/>
      <c r="E93" s="9311"/>
      <c r="F93" s="9311"/>
      <c r="G93" s="9311"/>
      <c r="H93" s="9311"/>
      <c r="I93" s="9311"/>
      <c r="J93" s="9433"/>
      <c r="K93" s="9311"/>
      <c r="L93" s="9311"/>
      <c r="M93" s="9607"/>
      <c r="N93" s="8856"/>
      <c r="O93" s="9607"/>
      <c r="P93" s="9311"/>
      <c r="Q93" s="9311"/>
      <c r="R93" s="9433"/>
      <c r="S93" s="1193"/>
      <c r="T93" s="4850"/>
      <c r="U93" s="4850"/>
      <c r="V93" s="1015"/>
      <c r="W93" s="4863"/>
      <c r="X93" s="794"/>
      <c r="Y93" s="4900"/>
      <c r="Z93" s="4898"/>
      <c r="AA93" s="4898"/>
      <c r="AB93" s="4899"/>
      <c r="AC93" s="4876"/>
      <c r="AD93" s="1012"/>
      <c r="AE93" s="799"/>
      <c r="AF93" s="1013"/>
      <c r="AG93" s="1013"/>
      <c r="AH93" s="9623"/>
      <c r="AI93" s="559"/>
    </row>
    <row r="94" spans="1:35" ht="29.25" customHeight="1">
      <c r="A94" s="9244"/>
      <c r="B94" s="9398"/>
      <c r="C94" s="9395"/>
      <c r="D94" s="9312"/>
      <c r="E94" s="9312"/>
      <c r="F94" s="9312"/>
      <c r="G94" s="9312"/>
      <c r="H94" s="9312"/>
      <c r="I94" s="9312"/>
      <c r="J94" s="9434"/>
      <c r="K94" s="9312"/>
      <c r="L94" s="9312"/>
      <c r="M94" s="9608"/>
      <c r="N94" s="9170"/>
      <c r="O94" s="9608"/>
      <c r="P94" s="9312"/>
      <c r="Q94" s="9312"/>
      <c r="R94" s="9434"/>
      <c r="S94" s="1195"/>
      <c r="T94" s="4852"/>
      <c r="U94" s="4852"/>
      <c r="V94" s="1031"/>
      <c r="W94" s="4868"/>
      <c r="X94" s="1023"/>
      <c r="Y94" s="4909"/>
      <c r="Z94" s="4909"/>
      <c r="AA94" s="4909"/>
      <c r="AB94" s="4905"/>
      <c r="AC94" s="4877"/>
      <c r="AD94" s="1022"/>
      <c r="AE94" s="1023"/>
      <c r="AF94" s="1024"/>
      <c r="AG94" s="1024"/>
      <c r="AH94" s="9624"/>
      <c r="AI94" s="559"/>
    </row>
    <row r="95" spans="1:35" ht="25.5" customHeight="1">
      <c r="A95" s="9244"/>
      <c r="B95" s="9398"/>
      <c r="C95" s="9223" t="s">
        <v>183</v>
      </c>
      <c r="D95" s="8782" t="s">
        <v>1291</v>
      </c>
      <c r="E95" s="8782" t="s">
        <v>1292</v>
      </c>
      <c r="F95" s="8782" t="s">
        <v>1348</v>
      </c>
      <c r="G95" s="8977" t="s">
        <v>1294</v>
      </c>
      <c r="H95" s="8782" t="s">
        <v>1304</v>
      </c>
      <c r="I95" s="8782" t="s">
        <v>189</v>
      </c>
      <c r="J95" s="9261" t="s">
        <v>1390</v>
      </c>
      <c r="K95" s="8782" t="s">
        <v>1391</v>
      </c>
      <c r="L95" s="8782" t="s">
        <v>1392</v>
      </c>
      <c r="M95" s="8823">
        <v>1</v>
      </c>
      <c r="N95" s="8823">
        <v>1</v>
      </c>
      <c r="O95" s="8823">
        <v>1</v>
      </c>
      <c r="P95" s="8834" t="s">
        <v>1393</v>
      </c>
      <c r="Q95" s="8782" t="s">
        <v>1394</v>
      </c>
      <c r="R95" s="9217" t="s">
        <v>1395</v>
      </c>
      <c r="S95" s="1196"/>
      <c r="T95" s="6447"/>
      <c r="U95" s="6447"/>
      <c r="V95" s="1113"/>
      <c r="W95" s="6383"/>
      <c r="X95" s="1036"/>
      <c r="Y95" s="6413"/>
      <c r="Z95" s="6413"/>
      <c r="AA95" s="6413"/>
      <c r="AB95" s="6414"/>
      <c r="AC95" s="6291"/>
      <c r="AD95" s="1037"/>
      <c r="AE95" s="1036"/>
      <c r="AF95" s="980"/>
      <c r="AG95" s="980"/>
      <c r="AH95" s="9622"/>
      <c r="AI95" s="559"/>
    </row>
    <row r="96" spans="1:35" ht="25.5" customHeight="1">
      <c r="A96" s="9244"/>
      <c r="B96" s="9398"/>
      <c r="C96" s="9333"/>
      <c r="D96" s="9311"/>
      <c r="E96" s="9311"/>
      <c r="F96" s="9311"/>
      <c r="G96" s="9311"/>
      <c r="H96" s="9311"/>
      <c r="I96" s="9311"/>
      <c r="J96" s="9489"/>
      <c r="K96" s="9311"/>
      <c r="L96" s="9311"/>
      <c r="M96" s="9607"/>
      <c r="N96" s="8856"/>
      <c r="O96" s="9607"/>
      <c r="P96" s="9311"/>
      <c r="Q96" s="9311"/>
      <c r="R96" s="9433"/>
      <c r="S96" s="1194"/>
      <c r="T96" s="4844"/>
      <c r="U96" s="4844"/>
      <c r="V96" s="798"/>
      <c r="W96" s="4862"/>
      <c r="X96" s="799"/>
      <c r="Y96" s="4898"/>
      <c r="Z96" s="4898"/>
      <c r="AA96" s="4898"/>
      <c r="AB96" s="4899"/>
      <c r="AC96" s="4876"/>
      <c r="AD96" s="1012"/>
      <c r="AE96" s="799"/>
      <c r="AF96" s="799"/>
      <c r="AG96" s="972"/>
      <c r="AH96" s="9623"/>
      <c r="AI96" s="559"/>
    </row>
    <row r="97" spans="1:35" ht="25.5" customHeight="1">
      <c r="A97" s="9244"/>
      <c r="B97" s="9398"/>
      <c r="C97" s="9333"/>
      <c r="D97" s="9311"/>
      <c r="E97" s="9311"/>
      <c r="F97" s="9311"/>
      <c r="G97" s="9311"/>
      <c r="H97" s="9311"/>
      <c r="I97" s="9311"/>
      <c r="J97" s="9489"/>
      <c r="K97" s="9311"/>
      <c r="L97" s="9311"/>
      <c r="M97" s="9607"/>
      <c r="N97" s="8856"/>
      <c r="O97" s="9607"/>
      <c r="P97" s="9311"/>
      <c r="Q97" s="9311"/>
      <c r="R97" s="9433"/>
      <c r="S97" s="1194"/>
      <c r="T97" s="4844"/>
      <c r="U97" s="4844"/>
      <c r="V97" s="798"/>
      <c r="W97" s="4862"/>
      <c r="X97" s="799"/>
      <c r="Y97" s="4898"/>
      <c r="Z97" s="4898"/>
      <c r="AA97" s="4898"/>
      <c r="AB97" s="4899"/>
      <c r="AC97" s="4876"/>
      <c r="AD97" s="1012"/>
      <c r="AE97" s="799"/>
      <c r="AF97" s="799"/>
      <c r="AG97" s="1013"/>
      <c r="AH97" s="9623"/>
      <c r="AI97" s="559"/>
    </row>
    <row r="98" spans="1:35" ht="25.5" customHeight="1">
      <c r="A98" s="9244"/>
      <c r="B98" s="9398"/>
      <c r="C98" s="9333"/>
      <c r="D98" s="9311"/>
      <c r="E98" s="9311"/>
      <c r="F98" s="9311"/>
      <c r="G98" s="9311"/>
      <c r="H98" s="9311"/>
      <c r="I98" s="9311"/>
      <c r="J98" s="9489"/>
      <c r="K98" s="9311"/>
      <c r="L98" s="9311"/>
      <c r="M98" s="9607"/>
      <c r="N98" s="8856"/>
      <c r="O98" s="9607"/>
      <c r="P98" s="9311"/>
      <c r="Q98" s="9311"/>
      <c r="R98" s="9433"/>
      <c r="S98" s="1194"/>
      <c r="T98" s="4844"/>
      <c r="U98" s="4844"/>
      <c r="V98" s="798"/>
      <c r="W98" s="4862"/>
      <c r="X98" s="799"/>
      <c r="Y98" s="4898"/>
      <c r="Z98" s="4898"/>
      <c r="AA98" s="4898"/>
      <c r="AB98" s="4899"/>
      <c r="AC98" s="4876"/>
      <c r="AD98" s="1012"/>
      <c r="AE98" s="799"/>
      <c r="AF98" s="799"/>
      <c r="AG98" s="1013"/>
      <c r="AH98" s="9623"/>
      <c r="AI98" s="559"/>
    </row>
    <row r="99" spans="1:35" ht="25.5" customHeight="1">
      <c r="A99" s="9244"/>
      <c r="B99" s="9398"/>
      <c r="C99" s="9395"/>
      <c r="D99" s="9312"/>
      <c r="E99" s="9312"/>
      <c r="F99" s="9312"/>
      <c r="G99" s="9312"/>
      <c r="H99" s="9312"/>
      <c r="I99" s="9312"/>
      <c r="J99" s="9443"/>
      <c r="K99" s="9312"/>
      <c r="L99" s="9312"/>
      <c r="M99" s="9608"/>
      <c r="N99" s="9170"/>
      <c r="O99" s="9608"/>
      <c r="P99" s="9312"/>
      <c r="Q99" s="9312"/>
      <c r="R99" s="9434"/>
      <c r="S99" s="1197"/>
      <c r="T99" s="4852"/>
      <c r="U99" s="4852"/>
      <c r="V99" s="1031"/>
      <c r="W99" s="4868"/>
      <c r="X99" s="1023"/>
      <c r="Y99" s="4909"/>
      <c r="Z99" s="4909"/>
      <c r="AA99" s="4909"/>
      <c r="AB99" s="4905"/>
      <c r="AC99" s="4877"/>
      <c r="AD99" s="1022"/>
      <c r="AE99" s="1023"/>
      <c r="AF99" s="1023"/>
      <c r="AG99" s="1024"/>
      <c r="AH99" s="9624"/>
      <c r="AI99" s="559"/>
    </row>
    <row r="100" spans="1:35" ht="28.5" customHeight="1">
      <c r="A100" s="9244"/>
      <c r="B100" s="9398"/>
      <c r="C100" s="9223" t="s">
        <v>183</v>
      </c>
      <c r="D100" s="8782" t="s">
        <v>1291</v>
      </c>
      <c r="E100" s="8782" t="s">
        <v>1292</v>
      </c>
      <c r="F100" s="8782" t="s">
        <v>1348</v>
      </c>
      <c r="G100" s="8977" t="s">
        <v>1294</v>
      </c>
      <c r="H100" s="8782" t="s">
        <v>1304</v>
      </c>
      <c r="I100" s="8782" t="s">
        <v>189</v>
      </c>
      <c r="J100" s="9028" t="s">
        <v>1396</v>
      </c>
      <c r="K100" s="8782" t="s">
        <v>1397</v>
      </c>
      <c r="L100" s="8782" t="s">
        <v>1398</v>
      </c>
      <c r="M100" s="8823">
        <v>4</v>
      </c>
      <c r="N100" s="8823">
        <v>0</v>
      </c>
      <c r="O100" s="8823">
        <v>0</v>
      </c>
      <c r="P100" s="8782" t="s">
        <v>1399</v>
      </c>
      <c r="Q100" s="8782" t="s">
        <v>1400</v>
      </c>
      <c r="R100" s="9217" t="s">
        <v>1401</v>
      </c>
      <c r="S100" s="939"/>
      <c r="T100" s="4850"/>
      <c r="U100" s="4850"/>
      <c r="V100" s="1032"/>
      <c r="W100" s="4863"/>
      <c r="X100" s="794"/>
      <c r="Y100" s="4900"/>
      <c r="Z100" s="4900"/>
      <c r="AA100" s="4900"/>
      <c r="AB100" s="4906"/>
      <c r="AC100" s="4878"/>
      <c r="AD100" s="1009"/>
      <c r="AE100" s="794"/>
      <c r="AF100" s="1033"/>
      <c r="AG100" s="1033"/>
      <c r="AH100" s="9625"/>
      <c r="AI100" s="559"/>
    </row>
    <row r="101" spans="1:35" ht="28.5" customHeight="1">
      <c r="A101" s="9244"/>
      <c r="B101" s="9398"/>
      <c r="C101" s="9333"/>
      <c r="D101" s="9311"/>
      <c r="E101" s="9311"/>
      <c r="F101" s="9311"/>
      <c r="G101" s="9311"/>
      <c r="H101" s="9311"/>
      <c r="I101" s="9311"/>
      <c r="J101" s="9489"/>
      <c r="K101" s="9311"/>
      <c r="L101" s="9311"/>
      <c r="M101" s="9607"/>
      <c r="N101" s="8856"/>
      <c r="O101" s="9607"/>
      <c r="P101" s="9311"/>
      <c r="Q101" s="9311"/>
      <c r="R101" s="9433"/>
      <c r="S101" s="1193"/>
      <c r="T101" s="4845"/>
      <c r="U101" s="4845"/>
      <c r="V101" s="798"/>
      <c r="W101" s="4862"/>
      <c r="X101" s="799"/>
      <c r="Y101" s="4898"/>
      <c r="Z101" s="4898"/>
      <c r="AA101" s="4898"/>
      <c r="AB101" s="4899"/>
      <c r="AC101" s="4876"/>
      <c r="AD101" s="1012"/>
      <c r="AE101" s="799"/>
      <c r="AF101" s="1013"/>
      <c r="AG101" s="1013"/>
      <c r="AH101" s="9623"/>
      <c r="AI101" s="559"/>
    </row>
    <row r="102" spans="1:35" ht="28.5" customHeight="1">
      <c r="A102" s="9244"/>
      <c r="B102" s="9398"/>
      <c r="C102" s="9333"/>
      <c r="D102" s="9311"/>
      <c r="E102" s="9311"/>
      <c r="F102" s="9311"/>
      <c r="G102" s="9311"/>
      <c r="H102" s="9311"/>
      <c r="I102" s="9311"/>
      <c r="J102" s="9489"/>
      <c r="K102" s="9311"/>
      <c r="L102" s="9311"/>
      <c r="M102" s="9607"/>
      <c r="N102" s="8856"/>
      <c r="O102" s="9607"/>
      <c r="P102" s="9311"/>
      <c r="Q102" s="9311"/>
      <c r="R102" s="9433"/>
      <c r="S102" s="1194"/>
      <c r="T102" s="4844"/>
      <c r="U102" s="4844"/>
      <c r="V102" s="798"/>
      <c r="W102" s="4862"/>
      <c r="X102" s="799"/>
      <c r="Y102" s="4898"/>
      <c r="Z102" s="4898"/>
      <c r="AA102" s="4898"/>
      <c r="AB102" s="4899"/>
      <c r="AC102" s="4876"/>
      <c r="AD102" s="1012"/>
      <c r="AE102" s="799"/>
      <c r="AF102" s="1013"/>
      <c r="AG102" s="1013"/>
      <c r="AH102" s="9623"/>
      <c r="AI102" s="559"/>
    </row>
    <row r="103" spans="1:35" ht="28.5" customHeight="1">
      <c r="A103" s="9244"/>
      <c r="B103" s="9398"/>
      <c r="C103" s="9333"/>
      <c r="D103" s="9311"/>
      <c r="E103" s="9311"/>
      <c r="F103" s="9311"/>
      <c r="G103" s="9311"/>
      <c r="H103" s="9311"/>
      <c r="I103" s="9311"/>
      <c r="J103" s="9489"/>
      <c r="K103" s="9311"/>
      <c r="L103" s="9311"/>
      <c r="M103" s="9607"/>
      <c r="N103" s="8856"/>
      <c r="O103" s="9607"/>
      <c r="P103" s="9311"/>
      <c r="Q103" s="9311"/>
      <c r="R103" s="9433"/>
      <c r="S103" s="1194"/>
      <c r="T103" s="4844"/>
      <c r="U103" s="4844"/>
      <c r="V103" s="798"/>
      <c r="W103" s="4862"/>
      <c r="X103" s="799"/>
      <c r="Y103" s="4898"/>
      <c r="Z103" s="4898"/>
      <c r="AA103" s="4898"/>
      <c r="AB103" s="4899"/>
      <c r="AC103" s="4876"/>
      <c r="AD103" s="1012"/>
      <c r="AE103" s="799"/>
      <c r="AF103" s="1013"/>
      <c r="AG103" s="1013"/>
      <c r="AH103" s="9623"/>
      <c r="AI103" s="559"/>
    </row>
    <row r="104" spans="1:35" ht="28.5" customHeight="1">
      <c r="A104" s="9244"/>
      <c r="B104" s="9398"/>
      <c r="C104" s="9395"/>
      <c r="D104" s="9312"/>
      <c r="E104" s="9312"/>
      <c r="F104" s="9312"/>
      <c r="G104" s="9312"/>
      <c r="H104" s="9312"/>
      <c r="I104" s="9312"/>
      <c r="J104" s="9443"/>
      <c r="K104" s="9312"/>
      <c r="L104" s="9312"/>
      <c r="M104" s="9608"/>
      <c r="N104" s="9170"/>
      <c r="O104" s="9608"/>
      <c r="P104" s="9312"/>
      <c r="Q104" s="9312"/>
      <c r="R104" s="9434"/>
      <c r="S104" s="1197"/>
      <c r="T104" s="4852"/>
      <c r="U104" s="6260"/>
      <c r="V104" s="1027"/>
      <c r="W104" s="4867"/>
      <c r="X104" s="1018"/>
      <c r="Y104" s="4902"/>
      <c r="Z104" s="4909"/>
      <c r="AA104" s="4909"/>
      <c r="AB104" s="4908"/>
      <c r="AC104" s="4879"/>
      <c r="AD104" s="1028"/>
      <c r="AE104" s="1018"/>
      <c r="AF104" s="1029"/>
      <c r="AG104" s="1029"/>
      <c r="AH104" s="9624"/>
      <c r="AI104" s="559"/>
    </row>
    <row r="105" spans="1:35" ht="21.75" customHeight="1">
      <c r="A105" s="9244"/>
      <c r="B105" s="9398"/>
      <c r="C105" s="9223" t="s">
        <v>183</v>
      </c>
      <c r="D105" s="8782" t="s">
        <v>1291</v>
      </c>
      <c r="E105" s="8782" t="s">
        <v>1292</v>
      </c>
      <c r="F105" s="8782" t="s">
        <v>1348</v>
      </c>
      <c r="G105" s="8977" t="s">
        <v>1294</v>
      </c>
      <c r="H105" s="8782" t="s">
        <v>1304</v>
      </c>
      <c r="I105" s="8782" t="s">
        <v>189</v>
      </c>
      <c r="J105" s="9612" t="s">
        <v>1402</v>
      </c>
      <c r="K105" s="8782" t="s">
        <v>1403</v>
      </c>
      <c r="L105" s="8782" t="s">
        <v>1404</v>
      </c>
      <c r="M105" s="8823">
        <v>3</v>
      </c>
      <c r="N105" s="8823">
        <v>3</v>
      </c>
      <c r="O105" s="8823">
        <v>3</v>
      </c>
      <c r="P105" s="8782" t="s">
        <v>1405</v>
      </c>
      <c r="Q105" s="8782" t="s">
        <v>1406</v>
      </c>
      <c r="R105" s="9217" t="s">
        <v>1395</v>
      </c>
      <c r="S105" s="939"/>
      <c r="T105" s="4850"/>
      <c r="U105" s="4850"/>
      <c r="V105" s="1113"/>
      <c r="W105" s="6383"/>
      <c r="X105" s="1036"/>
      <c r="Y105" s="6413"/>
      <c r="Z105" s="4900"/>
      <c r="AA105" s="4900"/>
      <c r="AB105" s="6414"/>
      <c r="AC105" s="6291"/>
      <c r="AD105" s="1037"/>
      <c r="AE105" s="1036"/>
      <c r="AF105" s="1038"/>
      <c r="AG105" s="1038"/>
      <c r="AH105" s="9622"/>
      <c r="AI105" s="559"/>
    </row>
    <row r="106" spans="1:35" ht="21.75" customHeight="1">
      <c r="A106" s="9244"/>
      <c r="B106" s="9398"/>
      <c r="C106" s="9333"/>
      <c r="D106" s="9311"/>
      <c r="E106" s="9311"/>
      <c r="F106" s="9311"/>
      <c r="G106" s="9311"/>
      <c r="H106" s="9311"/>
      <c r="I106" s="9311"/>
      <c r="J106" s="9489"/>
      <c r="K106" s="9311"/>
      <c r="L106" s="9311"/>
      <c r="M106" s="9607"/>
      <c r="N106" s="8856"/>
      <c r="O106" s="9607"/>
      <c r="P106" s="9311"/>
      <c r="Q106" s="9311"/>
      <c r="R106" s="9433"/>
      <c r="S106" s="1194"/>
      <c r="T106" s="4844"/>
      <c r="U106" s="4844"/>
      <c r="V106" s="798"/>
      <c r="W106" s="4862"/>
      <c r="X106" s="799"/>
      <c r="Y106" s="4898"/>
      <c r="Z106" s="4898"/>
      <c r="AA106" s="4898"/>
      <c r="AB106" s="4899"/>
      <c r="AC106" s="4876"/>
      <c r="AD106" s="1012"/>
      <c r="AE106" s="799"/>
      <c r="AF106" s="1013"/>
      <c r="AG106" s="1013"/>
      <c r="AH106" s="9623"/>
      <c r="AI106" s="559"/>
    </row>
    <row r="107" spans="1:35" ht="21.75" customHeight="1">
      <c r="A107" s="9244"/>
      <c r="B107" s="9398"/>
      <c r="C107" s="9333"/>
      <c r="D107" s="9311"/>
      <c r="E107" s="9311"/>
      <c r="F107" s="9311"/>
      <c r="G107" s="9311"/>
      <c r="H107" s="9311"/>
      <c r="I107" s="9311"/>
      <c r="J107" s="9489"/>
      <c r="K107" s="9311"/>
      <c r="L107" s="9311"/>
      <c r="M107" s="9607"/>
      <c r="N107" s="8856"/>
      <c r="O107" s="9607"/>
      <c r="P107" s="9311"/>
      <c r="Q107" s="9311"/>
      <c r="R107" s="9433"/>
      <c r="S107" s="1194"/>
      <c r="T107" s="4844"/>
      <c r="U107" s="4844"/>
      <c r="V107" s="798"/>
      <c r="W107" s="4862"/>
      <c r="X107" s="799"/>
      <c r="Y107" s="4898"/>
      <c r="Z107" s="4898"/>
      <c r="AA107" s="4898"/>
      <c r="AB107" s="4899"/>
      <c r="AC107" s="4876"/>
      <c r="AD107" s="1012"/>
      <c r="AE107" s="799"/>
      <c r="AF107" s="1013"/>
      <c r="AG107" s="1013"/>
      <c r="AH107" s="9623"/>
      <c r="AI107" s="559"/>
    </row>
    <row r="108" spans="1:35" ht="21.75" customHeight="1">
      <c r="A108" s="9244"/>
      <c r="B108" s="9398"/>
      <c r="C108" s="9333"/>
      <c r="D108" s="9311"/>
      <c r="E108" s="9311"/>
      <c r="F108" s="9311"/>
      <c r="G108" s="9311"/>
      <c r="H108" s="9311"/>
      <c r="I108" s="9311"/>
      <c r="J108" s="9489"/>
      <c r="K108" s="9311"/>
      <c r="L108" s="9311"/>
      <c r="M108" s="9607"/>
      <c r="N108" s="8856"/>
      <c r="O108" s="9607"/>
      <c r="P108" s="9311"/>
      <c r="Q108" s="9311"/>
      <c r="R108" s="9433"/>
      <c r="S108" s="1194"/>
      <c r="T108" s="4844"/>
      <c r="U108" s="4844"/>
      <c r="V108" s="798"/>
      <c r="W108" s="4862"/>
      <c r="X108" s="799"/>
      <c r="Y108" s="4898"/>
      <c r="Z108" s="4898"/>
      <c r="AA108" s="4898"/>
      <c r="AB108" s="4899"/>
      <c r="AC108" s="4876"/>
      <c r="AD108" s="1012"/>
      <c r="AE108" s="799"/>
      <c r="AF108" s="1013"/>
      <c r="AG108" s="1013"/>
      <c r="AH108" s="9623"/>
      <c r="AI108" s="559"/>
    </row>
    <row r="109" spans="1:35" ht="21.75" customHeight="1">
      <c r="A109" s="9244"/>
      <c r="B109" s="9398"/>
      <c r="C109" s="9395"/>
      <c r="D109" s="9312"/>
      <c r="E109" s="9312"/>
      <c r="F109" s="9312"/>
      <c r="G109" s="9312"/>
      <c r="H109" s="9312"/>
      <c r="I109" s="9312"/>
      <c r="J109" s="9443"/>
      <c r="K109" s="9312"/>
      <c r="L109" s="9312"/>
      <c r="M109" s="9608"/>
      <c r="N109" s="9170"/>
      <c r="O109" s="9608"/>
      <c r="P109" s="9312"/>
      <c r="Q109" s="9312"/>
      <c r="R109" s="9434"/>
      <c r="S109" s="1197"/>
      <c r="T109" s="4852"/>
      <c r="U109" s="4852"/>
      <c r="V109" s="1031"/>
      <c r="W109" s="4868"/>
      <c r="X109" s="1023"/>
      <c r="Y109" s="4909"/>
      <c r="Z109" s="4909"/>
      <c r="AA109" s="4909"/>
      <c r="AB109" s="4905"/>
      <c r="AC109" s="4877"/>
      <c r="AD109" s="1022"/>
      <c r="AE109" s="1023"/>
      <c r="AF109" s="1024"/>
      <c r="AG109" s="1024"/>
      <c r="AH109" s="9624"/>
      <c r="AI109" s="559"/>
    </row>
    <row r="110" spans="1:35" ht="22.5" customHeight="1">
      <c r="A110" s="9244"/>
      <c r="B110" s="9398"/>
      <c r="C110" s="9223" t="s">
        <v>183</v>
      </c>
      <c r="D110" s="8782" t="s">
        <v>1291</v>
      </c>
      <c r="E110" s="8782" t="s">
        <v>1292</v>
      </c>
      <c r="F110" s="8782" t="s">
        <v>1348</v>
      </c>
      <c r="G110" s="8977" t="s">
        <v>1294</v>
      </c>
      <c r="H110" s="8782" t="s">
        <v>1304</v>
      </c>
      <c r="I110" s="8782" t="s">
        <v>189</v>
      </c>
      <c r="J110" s="9612" t="s">
        <v>1407</v>
      </c>
      <c r="K110" s="8782" t="s">
        <v>1408</v>
      </c>
      <c r="L110" s="8782" t="s">
        <v>1409</v>
      </c>
      <c r="M110" s="8823">
        <v>3</v>
      </c>
      <c r="N110" s="8823">
        <v>3</v>
      </c>
      <c r="O110" s="8823">
        <v>3</v>
      </c>
      <c r="P110" s="8782" t="s">
        <v>1410</v>
      </c>
      <c r="Q110" s="8782" t="s">
        <v>1411</v>
      </c>
      <c r="R110" s="9217" t="s">
        <v>1395</v>
      </c>
      <c r="S110" s="939"/>
      <c r="T110" s="4850"/>
      <c r="U110" s="4850"/>
      <c r="V110" s="1113"/>
      <c r="W110" s="6383"/>
      <c r="X110" s="1036"/>
      <c r="Y110" s="6413"/>
      <c r="Z110" s="4900"/>
      <c r="AA110" s="4900"/>
      <c r="AB110" s="6414"/>
      <c r="AC110" s="6291"/>
      <c r="AD110" s="1037"/>
      <c r="AE110" s="1036"/>
      <c r="AF110" s="1038"/>
      <c r="AG110" s="1038"/>
      <c r="AH110" s="9622"/>
      <c r="AI110" s="559"/>
    </row>
    <row r="111" spans="1:35" ht="22.5" customHeight="1">
      <c r="A111" s="9244"/>
      <c r="B111" s="9398"/>
      <c r="C111" s="9333"/>
      <c r="D111" s="9311"/>
      <c r="E111" s="9311"/>
      <c r="F111" s="9311"/>
      <c r="G111" s="9311"/>
      <c r="H111" s="9311"/>
      <c r="I111" s="9311"/>
      <c r="J111" s="9489"/>
      <c r="K111" s="9311"/>
      <c r="L111" s="9311"/>
      <c r="M111" s="9607"/>
      <c r="N111" s="8856"/>
      <c r="O111" s="9607"/>
      <c r="P111" s="9311"/>
      <c r="Q111" s="9311"/>
      <c r="R111" s="9433"/>
      <c r="S111" s="1194"/>
      <c r="T111" s="4844"/>
      <c r="U111" s="4844"/>
      <c r="V111" s="798"/>
      <c r="W111" s="4862"/>
      <c r="X111" s="799"/>
      <c r="Y111" s="4898"/>
      <c r="Z111" s="4898"/>
      <c r="AA111" s="4898"/>
      <c r="AB111" s="4899"/>
      <c r="AC111" s="4876"/>
      <c r="AD111" s="1012"/>
      <c r="AE111" s="799"/>
      <c r="AF111" s="1013"/>
      <c r="AG111" s="1013"/>
      <c r="AH111" s="9623"/>
      <c r="AI111" s="559"/>
    </row>
    <row r="112" spans="1:35" ht="22.5" customHeight="1">
      <c r="A112" s="9244"/>
      <c r="B112" s="9398"/>
      <c r="C112" s="9333"/>
      <c r="D112" s="9311"/>
      <c r="E112" s="9311"/>
      <c r="F112" s="9311"/>
      <c r="G112" s="9311"/>
      <c r="H112" s="9311"/>
      <c r="I112" s="9311"/>
      <c r="J112" s="9489"/>
      <c r="K112" s="9311"/>
      <c r="L112" s="9311"/>
      <c r="M112" s="9607"/>
      <c r="N112" s="8856"/>
      <c r="O112" s="9607"/>
      <c r="P112" s="9311"/>
      <c r="Q112" s="9311"/>
      <c r="R112" s="9433"/>
      <c r="S112" s="1194"/>
      <c r="T112" s="4844"/>
      <c r="U112" s="4844"/>
      <c r="V112" s="798"/>
      <c r="W112" s="4862"/>
      <c r="X112" s="799"/>
      <c r="Y112" s="4898"/>
      <c r="Z112" s="4898"/>
      <c r="AA112" s="4898"/>
      <c r="AB112" s="4899"/>
      <c r="AC112" s="4876"/>
      <c r="AD112" s="1012"/>
      <c r="AE112" s="799"/>
      <c r="AF112" s="1013"/>
      <c r="AG112" s="1013"/>
      <c r="AH112" s="9623"/>
      <c r="AI112" s="559"/>
    </row>
    <row r="113" spans="1:35" ht="22.5" customHeight="1">
      <c r="A113" s="9244"/>
      <c r="B113" s="9398"/>
      <c r="C113" s="9333"/>
      <c r="D113" s="9311"/>
      <c r="E113" s="9311"/>
      <c r="F113" s="9311"/>
      <c r="G113" s="9311"/>
      <c r="H113" s="9311"/>
      <c r="I113" s="9311"/>
      <c r="J113" s="9489"/>
      <c r="K113" s="9311"/>
      <c r="L113" s="9311"/>
      <c r="M113" s="9607"/>
      <c r="N113" s="8856"/>
      <c r="O113" s="9607"/>
      <c r="P113" s="9311"/>
      <c r="Q113" s="9311"/>
      <c r="R113" s="9433"/>
      <c r="S113" s="1194"/>
      <c r="T113" s="4844"/>
      <c r="U113" s="4844"/>
      <c r="V113" s="798"/>
      <c r="W113" s="4862"/>
      <c r="X113" s="799"/>
      <c r="Y113" s="4898"/>
      <c r="Z113" s="4898"/>
      <c r="AA113" s="4898"/>
      <c r="AB113" s="4899"/>
      <c r="AC113" s="4876"/>
      <c r="AD113" s="1012"/>
      <c r="AE113" s="799"/>
      <c r="AF113" s="1013"/>
      <c r="AG113" s="1013"/>
      <c r="AH113" s="9623"/>
      <c r="AI113" s="559"/>
    </row>
    <row r="114" spans="1:35" ht="22.5" customHeight="1">
      <c r="A114" s="9244"/>
      <c r="B114" s="9398"/>
      <c r="C114" s="9395"/>
      <c r="D114" s="9312"/>
      <c r="E114" s="9312"/>
      <c r="F114" s="9312"/>
      <c r="G114" s="9312"/>
      <c r="H114" s="9312"/>
      <c r="I114" s="9312"/>
      <c r="J114" s="9443"/>
      <c r="K114" s="9312"/>
      <c r="L114" s="9312"/>
      <c r="M114" s="9608"/>
      <c r="N114" s="9170"/>
      <c r="O114" s="9608"/>
      <c r="P114" s="9312"/>
      <c r="Q114" s="9312"/>
      <c r="R114" s="9434"/>
      <c r="S114" s="877"/>
      <c r="T114" s="4855"/>
      <c r="U114" s="4855"/>
      <c r="V114" s="577"/>
      <c r="W114" s="4871"/>
      <c r="X114" s="64"/>
      <c r="Y114" s="4914"/>
      <c r="Z114" s="4914"/>
      <c r="AA114" s="4914"/>
      <c r="AB114" s="4916"/>
      <c r="AC114" s="4882"/>
      <c r="AD114" s="376"/>
      <c r="AE114" s="1023"/>
      <c r="AF114" s="1024"/>
      <c r="AG114" s="1024"/>
      <c r="AH114" s="9624"/>
      <c r="AI114" s="559"/>
    </row>
    <row r="115" spans="1:35" ht="28.5" customHeight="1">
      <c r="A115" s="9244"/>
      <c r="B115" s="9398"/>
      <c r="C115" s="9223" t="s">
        <v>183</v>
      </c>
      <c r="D115" s="8782" t="s">
        <v>1291</v>
      </c>
      <c r="E115" s="8782" t="s">
        <v>1292</v>
      </c>
      <c r="F115" s="8782" t="s">
        <v>1348</v>
      </c>
      <c r="G115" s="8977" t="s">
        <v>1294</v>
      </c>
      <c r="H115" s="8782" t="s">
        <v>1304</v>
      </c>
      <c r="I115" s="8782" t="s">
        <v>189</v>
      </c>
      <c r="J115" s="9612" t="s">
        <v>1412</v>
      </c>
      <c r="K115" s="8834" t="s">
        <v>1413</v>
      </c>
      <c r="L115" s="8834" t="s">
        <v>1414</v>
      </c>
      <c r="M115" s="8856">
        <v>1</v>
      </c>
      <c r="N115" s="8823">
        <v>0</v>
      </c>
      <c r="O115" s="8823">
        <v>1</v>
      </c>
      <c r="P115" s="8782" t="s">
        <v>1415</v>
      </c>
      <c r="Q115" s="8782" t="s">
        <v>1416</v>
      </c>
      <c r="R115" s="9217" t="s">
        <v>1401</v>
      </c>
      <c r="S115" s="5121" t="s">
        <v>80</v>
      </c>
      <c r="T115" s="6448">
        <v>840104</v>
      </c>
      <c r="U115" s="6449"/>
      <c r="V115" s="5103" t="s">
        <v>39</v>
      </c>
      <c r="W115" s="6490"/>
      <c r="X115" s="6023"/>
      <c r="Y115" s="6535"/>
      <c r="Z115" s="6535"/>
      <c r="AA115" s="6535"/>
      <c r="AB115" s="6536">
        <f>SUM($AA$116:$AA$123)</f>
        <v>10710</v>
      </c>
      <c r="AC115" s="6556" t="s">
        <v>18</v>
      </c>
      <c r="AD115" s="6024"/>
      <c r="AE115" s="6025"/>
      <c r="AF115" s="6026"/>
      <c r="AG115" s="6027"/>
      <c r="AH115" s="9380"/>
      <c r="AI115" s="559"/>
    </row>
    <row r="116" spans="1:35" ht="28.5" customHeight="1">
      <c r="A116" s="9244"/>
      <c r="B116" s="9398"/>
      <c r="C116" s="9333"/>
      <c r="D116" s="9311"/>
      <c r="E116" s="9311"/>
      <c r="F116" s="9311"/>
      <c r="G116" s="9311"/>
      <c r="H116" s="9311"/>
      <c r="I116" s="9311"/>
      <c r="J116" s="9489"/>
      <c r="K116" s="9311"/>
      <c r="L116" s="9311"/>
      <c r="M116" s="9607"/>
      <c r="N116" s="9607"/>
      <c r="O116" s="9607"/>
      <c r="P116" s="9311"/>
      <c r="Q116" s="9311"/>
      <c r="R116" s="9433"/>
      <c r="S116" s="6028"/>
      <c r="T116" s="6450"/>
      <c r="U116" s="6451">
        <v>483530011</v>
      </c>
      <c r="V116" s="6029" t="s">
        <v>1417</v>
      </c>
      <c r="W116" s="6491">
        <v>0</v>
      </c>
      <c r="X116" s="5109" t="s">
        <v>180</v>
      </c>
      <c r="Y116" s="6537">
        <v>500</v>
      </c>
      <c r="Z116" s="6538">
        <f>Y116*W116</f>
        <v>0</v>
      </c>
      <c r="AA116" s="6538">
        <f>+Z116*1.12</f>
        <v>0</v>
      </c>
      <c r="AB116" s="6537"/>
      <c r="AC116" s="6557"/>
      <c r="AD116" s="6030"/>
      <c r="AE116" s="6031"/>
      <c r="AF116" s="6032" t="s">
        <v>153</v>
      </c>
      <c r="AG116" s="6033"/>
      <c r="AH116" s="9381"/>
      <c r="AI116" s="559"/>
    </row>
    <row r="117" spans="1:35" ht="28.5" customHeight="1">
      <c r="A117" s="9244"/>
      <c r="B117" s="9398"/>
      <c r="C117" s="9333"/>
      <c r="D117" s="9311"/>
      <c r="E117" s="9311"/>
      <c r="F117" s="9311"/>
      <c r="G117" s="9311"/>
      <c r="H117" s="9311"/>
      <c r="I117" s="9311"/>
      <c r="J117" s="9489"/>
      <c r="K117" s="9311"/>
      <c r="L117" s="9311"/>
      <c r="M117" s="9607"/>
      <c r="N117" s="9607"/>
      <c r="O117" s="9607"/>
      <c r="P117" s="9311"/>
      <c r="Q117" s="9311"/>
      <c r="R117" s="9433"/>
      <c r="S117" s="6028"/>
      <c r="T117" s="6450"/>
      <c r="U117" s="6451">
        <v>464200012</v>
      </c>
      <c r="V117" s="6029" t="s">
        <v>1418</v>
      </c>
      <c r="W117" s="6491">
        <v>0</v>
      </c>
      <c r="X117" s="5109" t="s">
        <v>180</v>
      </c>
      <c r="Y117" s="6537">
        <v>350</v>
      </c>
      <c r="Z117" s="6538">
        <f t="shared" ref="Z117:Z122" si="8">Y117*W117</f>
        <v>0</v>
      </c>
      <c r="AA117" s="6538">
        <f t="shared" ref="AA117:AA121" si="9">+Z117*1.12</f>
        <v>0</v>
      </c>
      <c r="AB117" s="6537"/>
      <c r="AC117" s="6557"/>
      <c r="AD117" s="6030"/>
      <c r="AE117" s="6031"/>
      <c r="AF117" s="6032" t="s">
        <v>153</v>
      </c>
      <c r="AG117" s="6033"/>
      <c r="AH117" s="9381"/>
      <c r="AI117" s="559"/>
    </row>
    <row r="118" spans="1:35" ht="28.5" customHeight="1">
      <c r="A118" s="9244"/>
      <c r="B118" s="9398"/>
      <c r="C118" s="9333"/>
      <c r="D118" s="9311"/>
      <c r="E118" s="9311"/>
      <c r="F118" s="9311"/>
      <c r="G118" s="9311"/>
      <c r="H118" s="9311"/>
      <c r="I118" s="9311"/>
      <c r="J118" s="9489"/>
      <c r="K118" s="9311"/>
      <c r="L118" s="9311"/>
      <c r="M118" s="9607"/>
      <c r="N118" s="9607"/>
      <c r="O118" s="9607"/>
      <c r="P118" s="9311"/>
      <c r="Q118" s="9311"/>
      <c r="R118" s="9433"/>
      <c r="S118" s="6028"/>
      <c r="T118" s="6451"/>
      <c r="U118" s="6451">
        <v>732900012</v>
      </c>
      <c r="V118" s="6029" t="s">
        <v>1419</v>
      </c>
      <c r="W118" s="6491">
        <v>0</v>
      </c>
      <c r="X118" s="5109" t="s">
        <v>180</v>
      </c>
      <c r="Y118" s="6537">
        <v>3400</v>
      </c>
      <c r="Z118" s="6538">
        <f t="shared" si="8"/>
        <v>0</v>
      </c>
      <c r="AA118" s="6538">
        <f t="shared" si="9"/>
        <v>0</v>
      </c>
      <c r="AB118" s="6539"/>
      <c r="AC118" s="6558"/>
      <c r="AD118" s="6034"/>
      <c r="AE118" s="6035"/>
      <c r="AF118" s="6032" t="s">
        <v>153</v>
      </c>
      <c r="AG118" s="6033"/>
      <c r="AH118" s="9381"/>
      <c r="AI118" s="559"/>
    </row>
    <row r="119" spans="1:35" ht="28.5" customHeight="1">
      <c r="A119" s="9244"/>
      <c r="B119" s="9398"/>
      <c r="C119" s="9333"/>
      <c r="D119" s="9311"/>
      <c r="E119" s="9311"/>
      <c r="F119" s="9311"/>
      <c r="G119" s="9311"/>
      <c r="H119" s="9311"/>
      <c r="I119" s="9311"/>
      <c r="J119" s="9489"/>
      <c r="K119" s="9311"/>
      <c r="L119" s="9311"/>
      <c r="M119" s="9607"/>
      <c r="N119" s="9607"/>
      <c r="O119" s="9607"/>
      <c r="P119" s="9311"/>
      <c r="Q119" s="9311"/>
      <c r="R119" s="9433"/>
      <c r="S119" s="6028"/>
      <c r="T119" s="6451"/>
      <c r="U119" s="6451">
        <v>732900012</v>
      </c>
      <c r="V119" s="6029" t="s">
        <v>1420</v>
      </c>
      <c r="W119" s="6491">
        <v>0</v>
      </c>
      <c r="X119" s="5109" t="s">
        <v>180</v>
      </c>
      <c r="Y119" s="6537">
        <v>1045.7139999999999</v>
      </c>
      <c r="Z119" s="6538">
        <f t="shared" si="8"/>
        <v>0</v>
      </c>
      <c r="AA119" s="6538">
        <f t="shared" si="9"/>
        <v>0</v>
      </c>
      <c r="AB119" s="6539"/>
      <c r="AC119" s="6558"/>
      <c r="AD119" s="6034"/>
      <c r="AE119" s="6035"/>
      <c r="AF119" s="6032" t="s">
        <v>153</v>
      </c>
      <c r="AG119" s="6033"/>
      <c r="AH119" s="9381"/>
      <c r="AI119" s="559"/>
    </row>
    <row r="120" spans="1:35" ht="28.5" customHeight="1">
      <c r="A120" s="9244"/>
      <c r="B120" s="9398"/>
      <c r="C120" s="9333"/>
      <c r="D120" s="9311"/>
      <c r="E120" s="9311"/>
      <c r="F120" s="9311"/>
      <c r="G120" s="9311"/>
      <c r="H120" s="9311"/>
      <c r="I120" s="9311"/>
      <c r="J120" s="9489"/>
      <c r="K120" s="9311"/>
      <c r="L120" s="9311"/>
      <c r="M120" s="9607"/>
      <c r="N120" s="9607"/>
      <c r="O120" s="9607"/>
      <c r="P120" s="9311"/>
      <c r="Q120" s="9311"/>
      <c r="R120" s="9433"/>
      <c r="S120" s="6028"/>
      <c r="T120" s="6451"/>
      <c r="U120" s="6451">
        <v>732900012</v>
      </c>
      <c r="V120" s="6029" t="s">
        <v>1421</v>
      </c>
      <c r="W120" s="6491">
        <v>0</v>
      </c>
      <c r="X120" s="5109" t="s">
        <v>180</v>
      </c>
      <c r="Y120" s="6537">
        <v>1795.7139999999999</v>
      </c>
      <c r="Z120" s="6538">
        <f t="shared" si="8"/>
        <v>0</v>
      </c>
      <c r="AA120" s="6538">
        <f t="shared" si="9"/>
        <v>0</v>
      </c>
      <c r="AB120" s="6539"/>
      <c r="AC120" s="6558"/>
      <c r="AD120" s="6034"/>
      <c r="AE120" s="6035"/>
      <c r="AF120" s="6032" t="s">
        <v>153</v>
      </c>
      <c r="AG120" s="6033"/>
      <c r="AH120" s="9381"/>
      <c r="AI120" s="559"/>
    </row>
    <row r="121" spans="1:35" ht="28.5" customHeight="1">
      <c r="A121" s="9244"/>
      <c r="B121" s="9398"/>
      <c r="C121" s="9333"/>
      <c r="D121" s="9311"/>
      <c r="E121" s="9311"/>
      <c r="F121" s="9311"/>
      <c r="G121" s="9311"/>
      <c r="H121" s="9311"/>
      <c r="I121" s="9311"/>
      <c r="J121" s="9489"/>
      <c r="K121" s="9311"/>
      <c r="L121" s="9311"/>
      <c r="M121" s="9607"/>
      <c r="N121" s="9607"/>
      <c r="O121" s="9607"/>
      <c r="P121" s="9311"/>
      <c r="Q121" s="9311"/>
      <c r="R121" s="9433"/>
      <c r="S121" s="5123"/>
      <c r="T121" s="6452"/>
      <c r="U121" s="6451">
        <v>732900012</v>
      </c>
      <c r="V121" s="5108" t="s">
        <v>1422</v>
      </c>
      <c r="W121" s="6492">
        <v>0</v>
      </c>
      <c r="X121" s="6036" t="s">
        <v>180</v>
      </c>
      <c r="Y121" s="6537">
        <v>1300</v>
      </c>
      <c r="Z121" s="6538">
        <f t="shared" si="8"/>
        <v>0</v>
      </c>
      <c r="AA121" s="6538">
        <f t="shared" si="9"/>
        <v>0</v>
      </c>
      <c r="AB121" s="6540"/>
      <c r="AC121" s="6558"/>
      <c r="AD121" s="6037"/>
      <c r="AE121" s="6031"/>
      <c r="AF121" s="6032" t="s">
        <v>153</v>
      </c>
      <c r="AG121" s="6033"/>
      <c r="AH121" s="9381"/>
      <c r="AI121" s="559"/>
    </row>
    <row r="122" spans="1:35" ht="28.5" customHeight="1">
      <c r="A122" s="9244"/>
      <c r="B122" s="9398"/>
      <c r="C122" s="9333"/>
      <c r="D122" s="9311"/>
      <c r="E122" s="9311"/>
      <c r="F122" s="9311"/>
      <c r="G122" s="9311"/>
      <c r="H122" s="9311"/>
      <c r="I122" s="9311"/>
      <c r="J122" s="9489"/>
      <c r="K122" s="9311"/>
      <c r="L122" s="9311"/>
      <c r="M122" s="9607"/>
      <c r="N122" s="9607"/>
      <c r="O122" s="9607"/>
      <c r="P122" s="9311"/>
      <c r="Q122" s="9311"/>
      <c r="R122" s="9433"/>
      <c r="S122" s="5123"/>
      <c r="T122" s="6452"/>
      <c r="U122" s="6451">
        <v>732900012</v>
      </c>
      <c r="V122" s="6029" t="s">
        <v>1423</v>
      </c>
      <c r="W122" s="6491">
        <v>0</v>
      </c>
      <c r="X122" s="5109" t="s">
        <v>180</v>
      </c>
      <c r="Y122" s="6537">
        <v>1500</v>
      </c>
      <c r="Z122" s="6538">
        <f t="shared" si="8"/>
        <v>0</v>
      </c>
      <c r="AA122" s="6538">
        <f t="shared" ref="AA122" si="10">+Z122*1.12</f>
        <v>0</v>
      </c>
      <c r="AB122" s="6540"/>
      <c r="AC122" s="6558"/>
      <c r="AD122" s="6037"/>
      <c r="AE122" s="6031"/>
      <c r="AF122" s="6032" t="s">
        <v>153</v>
      </c>
      <c r="AG122" s="6033"/>
      <c r="AH122" s="9390"/>
      <c r="AI122" s="559"/>
    </row>
    <row r="123" spans="1:35" ht="28.5" customHeight="1">
      <c r="A123" s="9244"/>
      <c r="B123" s="9398"/>
      <c r="C123" s="9333"/>
      <c r="D123" s="9311"/>
      <c r="E123" s="9311"/>
      <c r="F123" s="9311"/>
      <c r="G123" s="9311"/>
      <c r="H123" s="9311"/>
      <c r="I123" s="9311"/>
      <c r="J123" s="9489"/>
      <c r="K123" s="9311"/>
      <c r="L123" s="9311"/>
      <c r="M123" s="9607"/>
      <c r="N123" s="9607"/>
      <c r="O123" s="9607"/>
      <c r="P123" s="9311"/>
      <c r="Q123" s="9311"/>
      <c r="R123" s="9433"/>
      <c r="S123" s="8208"/>
      <c r="T123" s="8209"/>
      <c r="U123" s="8210"/>
      <c r="V123" s="8211" t="s">
        <v>1424</v>
      </c>
      <c r="W123" s="8212">
        <v>3</v>
      </c>
      <c r="X123" s="8213" t="s">
        <v>180</v>
      </c>
      <c r="Y123" s="8214">
        <v>10710</v>
      </c>
      <c r="Z123" s="8215">
        <f>Y123</f>
        <v>10710</v>
      </c>
      <c r="AA123" s="8215">
        <f>Z123</f>
        <v>10710</v>
      </c>
      <c r="AB123" s="8216"/>
      <c r="AC123" s="8217"/>
      <c r="AD123" s="8218"/>
      <c r="AE123" s="6038"/>
      <c r="AF123" s="6039" t="s">
        <v>153</v>
      </c>
      <c r="AG123" s="6033"/>
      <c r="AH123" s="9390"/>
      <c r="AI123" s="559"/>
    </row>
    <row r="124" spans="1:35" ht="22.5" customHeight="1">
      <c r="A124" s="9244"/>
      <c r="B124" s="9398"/>
      <c r="C124" s="9223" t="s">
        <v>183</v>
      </c>
      <c r="D124" s="8782" t="s">
        <v>1291</v>
      </c>
      <c r="E124" s="8782" t="s">
        <v>1292</v>
      </c>
      <c r="F124" s="8782" t="s">
        <v>1348</v>
      </c>
      <c r="G124" s="8977" t="s">
        <v>1294</v>
      </c>
      <c r="H124" s="8782" t="s">
        <v>1304</v>
      </c>
      <c r="I124" s="8782" t="s">
        <v>189</v>
      </c>
      <c r="J124" s="9612" t="s">
        <v>1425</v>
      </c>
      <c r="K124" s="8782" t="s">
        <v>1426</v>
      </c>
      <c r="L124" s="8782" t="s">
        <v>1427</v>
      </c>
      <c r="M124" s="8823">
        <v>4</v>
      </c>
      <c r="N124" s="8823">
        <v>4</v>
      </c>
      <c r="O124" s="8823">
        <v>2</v>
      </c>
      <c r="P124" s="8782" t="s">
        <v>1428</v>
      </c>
      <c r="Q124" s="8782" t="s">
        <v>1429</v>
      </c>
      <c r="R124" s="9217" t="s">
        <v>1401</v>
      </c>
      <c r="S124" s="621"/>
      <c r="T124" s="4849"/>
      <c r="U124" s="4849"/>
      <c r="V124" s="578"/>
      <c r="W124" s="4872"/>
      <c r="X124" s="53"/>
      <c r="Y124" s="4917"/>
      <c r="Z124" s="4917"/>
      <c r="AA124" s="4917"/>
      <c r="AB124" s="4918"/>
      <c r="AC124" s="4875"/>
      <c r="AD124" s="377"/>
      <c r="AE124" s="794"/>
      <c r="AF124" s="1033"/>
      <c r="AG124" s="1038"/>
      <c r="AH124" s="9622"/>
      <c r="AI124" s="559"/>
    </row>
    <row r="125" spans="1:35" ht="22.5" customHeight="1">
      <c r="A125" s="9244"/>
      <c r="B125" s="9398"/>
      <c r="C125" s="9333"/>
      <c r="D125" s="9311"/>
      <c r="E125" s="9311"/>
      <c r="F125" s="9311"/>
      <c r="G125" s="9311"/>
      <c r="H125" s="9311"/>
      <c r="I125" s="9311"/>
      <c r="J125" s="9489"/>
      <c r="K125" s="9311"/>
      <c r="L125" s="9311"/>
      <c r="M125" s="9607"/>
      <c r="N125" s="8856"/>
      <c r="O125" s="9607"/>
      <c r="P125" s="9311"/>
      <c r="Q125" s="9311"/>
      <c r="R125" s="9433"/>
      <c r="S125" s="876"/>
      <c r="T125" s="4853"/>
      <c r="U125" s="4853"/>
      <c r="V125" s="575"/>
      <c r="W125" s="4869"/>
      <c r="X125" s="48"/>
      <c r="Y125" s="4910"/>
      <c r="Z125" s="4910"/>
      <c r="AA125" s="4910"/>
      <c r="AB125" s="4911"/>
      <c r="AC125" s="4880"/>
      <c r="AD125" s="374"/>
      <c r="AE125" s="799"/>
      <c r="AF125" s="1013"/>
      <c r="AG125" s="1013"/>
      <c r="AH125" s="9623"/>
      <c r="AI125" s="559"/>
    </row>
    <row r="126" spans="1:35" ht="22.5" customHeight="1">
      <c r="A126" s="9244"/>
      <c r="B126" s="9398"/>
      <c r="C126" s="9333"/>
      <c r="D126" s="9311"/>
      <c r="E126" s="9311"/>
      <c r="F126" s="9311"/>
      <c r="G126" s="9311"/>
      <c r="H126" s="9311"/>
      <c r="I126" s="9311"/>
      <c r="J126" s="9489"/>
      <c r="K126" s="9311"/>
      <c r="L126" s="9311"/>
      <c r="M126" s="9607"/>
      <c r="N126" s="8856"/>
      <c r="O126" s="9607"/>
      <c r="P126" s="9311"/>
      <c r="Q126" s="9311"/>
      <c r="R126" s="9433"/>
      <c r="S126" s="1194"/>
      <c r="T126" s="4844"/>
      <c r="U126" s="4844"/>
      <c r="V126" s="798"/>
      <c r="W126" s="4862"/>
      <c r="X126" s="799"/>
      <c r="Y126" s="4898"/>
      <c r="Z126" s="4898"/>
      <c r="AA126" s="4898"/>
      <c r="AB126" s="4899"/>
      <c r="AC126" s="4876"/>
      <c r="AD126" s="1012"/>
      <c r="AE126" s="799"/>
      <c r="AF126" s="1013"/>
      <c r="AG126" s="1013"/>
      <c r="AH126" s="9623"/>
      <c r="AI126" s="559"/>
    </row>
    <row r="127" spans="1:35" ht="22.5" customHeight="1">
      <c r="A127" s="9244"/>
      <c r="B127" s="9398"/>
      <c r="C127" s="9333"/>
      <c r="D127" s="9311"/>
      <c r="E127" s="9311"/>
      <c r="F127" s="9311"/>
      <c r="G127" s="9311"/>
      <c r="H127" s="9311"/>
      <c r="I127" s="9311"/>
      <c r="J127" s="9489"/>
      <c r="K127" s="9311"/>
      <c r="L127" s="9311"/>
      <c r="M127" s="9607"/>
      <c r="N127" s="8856"/>
      <c r="O127" s="9607"/>
      <c r="P127" s="9311"/>
      <c r="Q127" s="9311"/>
      <c r="R127" s="9433"/>
      <c r="S127" s="1194"/>
      <c r="T127" s="4844"/>
      <c r="U127" s="4844"/>
      <c r="V127" s="798"/>
      <c r="W127" s="4862"/>
      <c r="X127" s="799"/>
      <c r="Y127" s="4898"/>
      <c r="Z127" s="4898"/>
      <c r="AA127" s="4898"/>
      <c r="AB127" s="4899"/>
      <c r="AC127" s="4876"/>
      <c r="AD127" s="1012"/>
      <c r="AE127" s="799"/>
      <c r="AF127" s="1013"/>
      <c r="AG127" s="1013"/>
      <c r="AH127" s="9623"/>
      <c r="AI127" s="559"/>
    </row>
    <row r="128" spans="1:35" ht="22.5" customHeight="1">
      <c r="A128" s="9244"/>
      <c r="B128" s="9398"/>
      <c r="C128" s="9395"/>
      <c r="D128" s="9312"/>
      <c r="E128" s="9312"/>
      <c r="F128" s="9312"/>
      <c r="G128" s="9312"/>
      <c r="H128" s="9312"/>
      <c r="I128" s="9312"/>
      <c r="J128" s="9443"/>
      <c r="K128" s="9312"/>
      <c r="L128" s="9312"/>
      <c r="M128" s="9608"/>
      <c r="N128" s="9170"/>
      <c r="O128" s="9608"/>
      <c r="P128" s="9312"/>
      <c r="Q128" s="9312"/>
      <c r="R128" s="9434"/>
      <c r="S128" s="1197"/>
      <c r="T128" s="4852"/>
      <c r="U128" s="4852"/>
      <c r="V128" s="1031"/>
      <c r="W128" s="4868"/>
      <c r="X128" s="1023"/>
      <c r="Y128" s="4909"/>
      <c r="Z128" s="4909"/>
      <c r="AA128" s="4909"/>
      <c r="AB128" s="4905"/>
      <c r="AC128" s="4877"/>
      <c r="AD128" s="1201"/>
      <c r="AE128" s="1023"/>
      <c r="AF128" s="1024"/>
      <c r="AG128" s="1024"/>
      <c r="AH128" s="9624"/>
      <c r="AI128" s="559"/>
    </row>
    <row r="129" spans="1:35" ht="21.75" customHeight="1">
      <c r="A129" s="9244"/>
      <c r="B129" s="9398"/>
      <c r="C129" s="9223" t="s">
        <v>183</v>
      </c>
      <c r="D129" s="8782" t="s">
        <v>1291</v>
      </c>
      <c r="E129" s="8782" t="s">
        <v>1292</v>
      </c>
      <c r="F129" s="8782" t="s">
        <v>1348</v>
      </c>
      <c r="G129" s="8977" t="s">
        <v>1294</v>
      </c>
      <c r="H129" s="8782" t="s">
        <v>1304</v>
      </c>
      <c r="I129" s="8782" t="s">
        <v>189</v>
      </c>
      <c r="J129" s="9612" t="s">
        <v>1430</v>
      </c>
      <c r="K129" s="8782" t="s">
        <v>1431</v>
      </c>
      <c r="L129" s="8782" t="s">
        <v>1432</v>
      </c>
      <c r="M129" s="8823">
        <v>1</v>
      </c>
      <c r="N129" s="8823">
        <v>2</v>
      </c>
      <c r="O129" s="8823">
        <v>3</v>
      </c>
      <c r="P129" s="8782" t="s">
        <v>1433</v>
      </c>
      <c r="Q129" s="8782" t="s">
        <v>1434</v>
      </c>
      <c r="R129" s="9217" t="s">
        <v>1435</v>
      </c>
      <c r="S129" s="1046"/>
      <c r="T129" s="4968"/>
      <c r="U129" s="6453"/>
      <c r="V129" s="1202"/>
      <c r="W129" s="6493"/>
      <c r="X129" s="1203"/>
      <c r="Y129" s="5043"/>
      <c r="Z129" s="5043"/>
      <c r="AA129" s="5043"/>
      <c r="AB129" s="5044"/>
      <c r="AC129" s="4993"/>
      <c r="AD129" s="1183"/>
      <c r="AE129" s="1203"/>
      <c r="AF129" s="1182"/>
      <c r="AG129" s="1038"/>
      <c r="AH129" s="9622"/>
      <c r="AI129" s="559"/>
    </row>
    <row r="130" spans="1:35" ht="21.75" customHeight="1">
      <c r="A130" s="9244"/>
      <c r="B130" s="9398"/>
      <c r="C130" s="9333"/>
      <c r="D130" s="9311"/>
      <c r="E130" s="9311"/>
      <c r="F130" s="9311"/>
      <c r="G130" s="9311"/>
      <c r="H130" s="9311"/>
      <c r="I130" s="9311"/>
      <c r="J130" s="9489"/>
      <c r="K130" s="9311"/>
      <c r="L130" s="9311"/>
      <c r="M130" s="9607"/>
      <c r="N130" s="9607"/>
      <c r="O130" s="9607"/>
      <c r="P130" s="9311"/>
      <c r="Q130" s="9311"/>
      <c r="R130" s="9433"/>
      <c r="S130" s="1083"/>
      <c r="T130" s="6453"/>
      <c r="U130" s="4959"/>
      <c r="V130" s="1204"/>
      <c r="W130" s="6473"/>
      <c r="X130" s="1052"/>
      <c r="Y130" s="5043"/>
      <c r="Z130" s="5043"/>
      <c r="AA130" s="5043"/>
      <c r="AB130" s="5043"/>
      <c r="AC130" s="6559"/>
      <c r="AD130" s="1205"/>
      <c r="AE130" s="1203"/>
      <c r="AF130" s="1182"/>
      <c r="AG130" s="1013"/>
      <c r="AH130" s="9623"/>
      <c r="AI130" s="559"/>
    </row>
    <row r="131" spans="1:35" ht="21.75" customHeight="1">
      <c r="A131" s="9244"/>
      <c r="B131" s="9398"/>
      <c r="C131" s="9333"/>
      <c r="D131" s="9311"/>
      <c r="E131" s="9311"/>
      <c r="F131" s="9311"/>
      <c r="G131" s="9311"/>
      <c r="H131" s="9311"/>
      <c r="I131" s="9311"/>
      <c r="J131" s="9489"/>
      <c r="K131" s="9311"/>
      <c r="L131" s="9311"/>
      <c r="M131" s="9607"/>
      <c r="N131" s="9607"/>
      <c r="O131" s="9607"/>
      <c r="P131" s="9311"/>
      <c r="Q131" s="9311"/>
      <c r="R131" s="9433"/>
      <c r="S131" s="1083"/>
      <c r="T131" s="6453"/>
      <c r="U131" s="4959"/>
      <c r="V131" s="1204"/>
      <c r="W131" s="6473"/>
      <c r="X131" s="1052"/>
      <c r="Y131" s="5043"/>
      <c r="Z131" s="5043"/>
      <c r="AA131" s="5043"/>
      <c r="AB131" s="5043"/>
      <c r="AC131" s="6559"/>
      <c r="AD131" s="1205"/>
      <c r="AE131" s="1203"/>
      <c r="AF131" s="1182"/>
      <c r="AG131" s="1013"/>
      <c r="AH131" s="9623"/>
      <c r="AI131" s="559"/>
    </row>
    <row r="132" spans="1:35" ht="21.75" customHeight="1">
      <c r="A132" s="9244"/>
      <c r="B132" s="9398"/>
      <c r="C132" s="9333"/>
      <c r="D132" s="9311"/>
      <c r="E132" s="9311"/>
      <c r="F132" s="9311"/>
      <c r="G132" s="9311"/>
      <c r="H132" s="9311"/>
      <c r="I132" s="9311"/>
      <c r="J132" s="9489"/>
      <c r="K132" s="9311"/>
      <c r="L132" s="9311"/>
      <c r="M132" s="9607"/>
      <c r="N132" s="9607"/>
      <c r="O132" s="9607"/>
      <c r="P132" s="9311"/>
      <c r="Q132" s="9311"/>
      <c r="R132" s="9433"/>
      <c r="S132" s="1083"/>
      <c r="T132" s="6453"/>
      <c r="U132" s="4959"/>
      <c r="V132" s="1204"/>
      <c r="W132" s="6473"/>
      <c r="X132" s="1052"/>
      <c r="Y132" s="5043"/>
      <c r="Z132" s="5043"/>
      <c r="AA132" s="5043"/>
      <c r="AB132" s="5043"/>
      <c r="AC132" s="6559"/>
      <c r="AD132" s="1205"/>
      <c r="AE132" s="1203"/>
      <c r="AF132" s="1182"/>
      <c r="AG132" s="1013"/>
      <c r="AH132" s="9623"/>
      <c r="AI132" s="559"/>
    </row>
    <row r="133" spans="1:35" ht="21.75" customHeight="1">
      <c r="A133" s="9244"/>
      <c r="B133" s="9398"/>
      <c r="C133" s="9395"/>
      <c r="D133" s="9312"/>
      <c r="E133" s="9312"/>
      <c r="F133" s="9312"/>
      <c r="G133" s="9312"/>
      <c r="H133" s="9312"/>
      <c r="I133" s="9312"/>
      <c r="J133" s="9443"/>
      <c r="K133" s="9312"/>
      <c r="L133" s="9312"/>
      <c r="M133" s="9608"/>
      <c r="N133" s="9608"/>
      <c r="O133" s="9608"/>
      <c r="P133" s="9312"/>
      <c r="Q133" s="9312"/>
      <c r="R133" s="9434"/>
      <c r="S133" s="1085"/>
      <c r="T133" s="6454"/>
      <c r="U133" s="4967"/>
      <c r="V133" s="1206"/>
      <c r="W133" s="6474"/>
      <c r="X133" s="1069"/>
      <c r="Y133" s="5046"/>
      <c r="Z133" s="5046"/>
      <c r="AA133" s="5046"/>
      <c r="AB133" s="5046"/>
      <c r="AC133" s="6551"/>
      <c r="AD133" s="1186"/>
      <c r="AE133" s="1207"/>
      <c r="AF133" s="1185"/>
      <c r="AG133" s="1024"/>
      <c r="AH133" s="9624"/>
      <c r="AI133" s="559"/>
    </row>
    <row r="134" spans="1:35" ht="54" customHeight="1">
      <c r="A134" s="9244"/>
      <c r="B134" s="9398"/>
      <c r="C134" s="9223" t="s">
        <v>183</v>
      </c>
      <c r="D134" s="8782" t="s">
        <v>1291</v>
      </c>
      <c r="E134" s="8782" t="s">
        <v>1292</v>
      </c>
      <c r="F134" s="8782" t="s">
        <v>1348</v>
      </c>
      <c r="G134" s="8977" t="s">
        <v>1294</v>
      </c>
      <c r="H134" s="8782" t="s">
        <v>1304</v>
      </c>
      <c r="I134" s="8782" t="s">
        <v>189</v>
      </c>
      <c r="J134" s="9028" t="s">
        <v>1436</v>
      </c>
      <c r="K134" s="8782" t="s">
        <v>1437</v>
      </c>
      <c r="L134" s="8782" t="s">
        <v>1438</v>
      </c>
      <c r="M134" s="8823">
        <v>4</v>
      </c>
      <c r="N134" s="8823">
        <v>4</v>
      </c>
      <c r="O134" s="8823">
        <v>4</v>
      </c>
      <c r="P134" s="8782" t="s">
        <v>1439</v>
      </c>
      <c r="Q134" s="8782" t="s">
        <v>1440</v>
      </c>
      <c r="R134" s="9217" t="s">
        <v>1395</v>
      </c>
      <c r="S134" s="1080" t="s">
        <v>81</v>
      </c>
      <c r="T134" s="4965">
        <v>530204</v>
      </c>
      <c r="U134" s="4965"/>
      <c r="V134" s="1208" t="s">
        <v>16</v>
      </c>
      <c r="W134" s="6494"/>
      <c r="X134" s="1048"/>
      <c r="Y134" s="5040"/>
      <c r="Z134" s="5040"/>
      <c r="AA134" s="5040"/>
      <c r="AB134" s="6534">
        <f>SUM($AA$135:$AA$135)</f>
        <v>0</v>
      </c>
      <c r="AC134" s="6548" t="s">
        <v>26</v>
      </c>
      <c r="AD134" s="1209"/>
      <c r="AE134" s="1048"/>
      <c r="AF134" s="1049"/>
      <c r="AG134" s="1210"/>
      <c r="AH134" s="9625"/>
      <c r="AI134" s="559"/>
    </row>
    <row r="135" spans="1:35" ht="40.5" customHeight="1">
      <c r="A135" s="9244"/>
      <c r="B135" s="9398"/>
      <c r="C135" s="9333"/>
      <c r="D135" s="9311"/>
      <c r="E135" s="9311"/>
      <c r="F135" s="9311"/>
      <c r="G135" s="9311"/>
      <c r="H135" s="9311"/>
      <c r="I135" s="9311"/>
      <c r="J135" s="9489"/>
      <c r="K135" s="9311"/>
      <c r="L135" s="9311"/>
      <c r="M135" s="9607"/>
      <c r="N135" s="9607"/>
      <c r="O135" s="9607"/>
      <c r="P135" s="9311"/>
      <c r="Q135" s="9311"/>
      <c r="R135" s="9433"/>
      <c r="S135" s="1211"/>
      <c r="T135" s="6453"/>
      <c r="U135" s="4959">
        <v>891210911</v>
      </c>
      <c r="V135" s="1204" t="s">
        <v>1441</v>
      </c>
      <c r="W135" s="6473"/>
      <c r="X135" s="1052" t="s">
        <v>180</v>
      </c>
      <c r="Y135" s="5043">
        <v>8000</v>
      </c>
      <c r="Z135" s="6505">
        <f t="shared" ref="Z135" si="11">+W135*Y135</f>
        <v>0</v>
      </c>
      <c r="AA135" s="6505">
        <f t="shared" ref="AA135" si="12">+Z135*1.12</f>
        <v>0</v>
      </c>
      <c r="AB135" s="5043"/>
      <c r="AC135" s="6559"/>
      <c r="AD135" s="1205"/>
      <c r="AE135" s="1203"/>
      <c r="AF135" s="1182" t="s">
        <v>153</v>
      </c>
      <c r="AG135" s="1212"/>
      <c r="AH135" s="9623"/>
      <c r="AI135" s="559"/>
    </row>
    <row r="136" spans="1:35" ht="27.75" customHeight="1">
      <c r="A136" s="9244"/>
      <c r="B136" s="9398"/>
      <c r="C136" s="9333"/>
      <c r="D136" s="9311"/>
      <c r="E136" s="9311"/>
      <c r="F136" s="9311"/>
      <c r="G136" s="9311"/>
      <c r="H136" s="9311"/>
      <c r="I136" s="9311"/>
      <c r="J136" s="9489"/>
      <c r="K136" s="9311"/>
      <c r="L136" s="9311"/>
      <c r="M136" s="9607"/>
      <c r="N136" s="9607"/>
      <c r="O136" s="9607"/>
      <c r="P136" s="9311"/>
      <c r="Q136" s="9311"/>
      <c r="R136" s="9433"/>
      <c r="S136" s="1080" t="s">
        <v>80</v>
      </c>
      <c r="T136" s="6436">
        <v>530702</v>
      </c>
      <c r="U136" s="6455"/>
      <c r="V136" s="1919" t="s">
        <v>33</v>
      </c>
      <c r="W136" s="6495"/>
      <c r="X136" s="1935"/>
      <c r="Y136" s="6501"/>
      <c r="Z136" s="6501"/>
      <c r="AA136" s="6501"/>
      <c r="AB136" s="6542">
        <f>SUM($AA$137:$AA$138)</f>
        <v>5880</v>
      </c>
      <c r="AC136" s="5011" t="s">
        <v>26</v>
      </c>
      <c r="AD136" s="1920"/>
      <c r="AE136" s="1203"/>
      <c r="AF136" s="1182"/>
      <c r="AG136" s="1214"/>
      <c r="AH136" s="9623"/>
      <c r="AI136" s="559"/>
    </row>
    <row r="137" spans="1:35" ht="24" customHeight="1">
      <c r="A137" s="9244"/>
      <c r="B137" s="9398"/>
      <c r="C137" s="9333"/>
      <c r="D137" s="9311"/>
      <c r="E137" s="9311"/>
      <c r="F137" s="9311"/>
      <c r="G137" s="9311"/>
      <c r="H137" s="9311"/>
      <c r="I137" s="9311"/>
      <c r="J137" s="9489"/>
      <c r="K137" s="9311"/>
      <c r="L137" s="9311"/>
      <c r="M137" s="9607"/>
      <c r="N137" s="9607"/>
      <c r="O137" s="9607"/>
      <c r="P137" s="9311"/>
      <c r="Q137" s="9311"/>
      <c r="R137" s="9433"/>
      <c r="S137" s="1083"/>
      <c r="T137" s="6455"/>
      <c r="U137" s="4958">
        <v>512900021</v>
      </c>
      <c r="V137" s="1918" t="s">
        <v>1442</v>
      </c>
      <c r="W137" s="6483">
        <v>3</v>
      </c>
      <c r="X137" s="90" t="s">
        <v>180</v>
      </c>
      <c r="Y137" s="6501">
        <v>450</v>
      </c>
      <c r="Z137" s="6511">
        <f t="shared" ref="Z137:Z138" si="13">+W137*Y137</f>
        <v>1350</v>
      </c>
      <c r="AA137" s="6511">
        <f t="shared" ref="AA137:AA138" si="14">+Z137*1.12</f>
        <v>1512.0000000000002</v>
      </c>
      <c r="AB137" s="6501"/>
      <c r="AC137" s="6549"/>
      <c r="AD137" s="1936"/>
      <c r="AE137" s="1182"/>
      <c r="AF137" s="1182"/>
      <c r="AG137" s="1214" t="s">
        <v>153</v>
      </c>
      <c r="AH137" s="9623"/>
      <c r="AI137" s="559"/>
    </row>
    <row r="138" spans="1:35" ht="54" customHeight="1">
      <c r="A138" s="9244"/>
      <c r="B138" s="9398"/>
      <c r="C138" s="9333"/>
      <c r="D138" s="9311"/>
      <c r="E138" s="9311"/>
      <c r="F138" s="9311"/>
      <c r="G138" s="9311"/>
      <c r="H138" s="9311"/>
      <c r="I138" s="9311"/>
      <c r="J138" s="9489"/>
      <c r="K138" s="9311"/>
      <c r="L138" s="9311"/>
      <c r="M138" s="9607"/>
      <c r="N138" s="9607"/>
      <c r="O138" s="9607"/>
      <c r="P138" s="9311"/>
      <c r="Q138" s="9311"/>
      <c r="R138" s="9433"/>
      <c r="S138" s="1085"/>
      <c r="T138" s="6456"/>
      <c r="U138" s="6457">
        <v>512900021</v>
      </c>
      <c r="V138" s="3262" t="s">
        <v>1443</v>
      </c>
      <c r="W138" s="6496">
        <v>1</v>
      </c>
      <c r="X138" s="3192" t="s">
        <v>180</v>
      </c>
      <c r="Y138" s="5056">
        <v>3900</v>
      </c>
      <c r="Z138" s="6509">
        <f t="shared" si="13"/>
        <v>3900</v>
      </c>
      <c r="AA138" s="6509">
        <f t="shared" si="14"/>
        <v>4368</v>
      </c>
      <c r="AB138" s="6501"/>
      <c r="AC138" s="6549"/>
      <c r="AD138" s="1936"/>
      <c r="AE138" s="1182"/>
      <c r="AF138" s="1185"/>
      <c r="AG138" s="1215" t="s">
        <v>153</v>
      </c>
      <c r="AH138" s="9623"/>
      <c r="AI138" s="559"/>
    </row>
    <row r="139" spans="1:35" ht="21.75" customHeight="1">
      <c r="A139" s="9244"/>
      <c r="B139" s="9398"/>
      <c r="C139" s="9223" t="s">
        <v>183</v>
      </c>
      <c r="D139" s="8782" t="s">
        <v>1291</v>
      </c>
      <c r="E139" s="8782" t="s">
        <v>1292</v>
      </c>
      <c r="F139" s="8782" t="s">
        <v>1348</v>
      </c>
      <c r="G139" s="8977" t="s">
        <v>1294</v>
      </c>
      <c r="H139" s="8782" t="s">
        <v>1304</v>
      </c>
      <c r="I139" s="8782" t="s">
        <v>189</v>
      </c>
      <c r="J139" s="9612" t="s">
        <v>1444</v>
      </c>
      <c r="K139" s="8782" t="s">
        <v>1445</v>
      </c>
      <c r="L139" s="9217" t="s">
        <v>1446</v>
      </c>
      <c r="M139" s="8823">
        <v>1</v>
      </c>
      <c r="N139" s="9610">
        <v>1</v>
      </c>
      <c r="O139" s="8823">
        <v>2</v>
      </c>
      <c r="P139" s="9217" t="s">
        <v>1447</v>
      </c>
      <c r="Q139" s="9217" t="s">
        <v>1448</v>
      </c>
      <c r="R139" s="9217" t="s">
        <v>1449</v>
      </c>
      <c r="S139" s="1080"/>
      <c r="T139" s="4956"/>
      <c r="U139" s="6458"/>
      <c r="V139" s="1915"/>
      <c r="W139" s="6497"/>
      <c r="X139" s="1937"/>
      <c r="Y139" s="6543"/>
      <c r="Z139" s="6543"/>
      <c r="AA139" s="6543"/>
      <c r="AB139" s="6513"/>
      <c r="AC139" s="5008"/>
      <c r="AD139" s="1917"/>
      <c r="AE139" s="1217"/>
      <c r="AF139" s="1219"/>
      <c r="AG139" s="1220"/>
      <c r="AH139" s="9622"/>
      <c r="AI139" s="559"/>
    </row>
    <row r="140" spans="1:35" ht="21.75" customHeight="1">
      <c r="A140" s="9244"/>
      <c r="B140" s="9398"/>
      <c r="C140" s="9333"/>
      <c r="D140" s="9311"/>
      <c r="E140" s="9311"/>
      <c r="F140" s="9311"/>
      <c r="G140" s="9311"/>
      <c r="H140" s="9311"/>
      <c r="I140" s="9311"/>
      <c r="J140" s="9442"/>
      <c r="K140" s="9311"/>
      <c r="L140" s="9433"/>
      <c r="M140" s="9607"/>
      <c r="N140" s="9611"/>
      <c r="O140" s="9607"/>
      <c r="P140" s="9433"/>
      <c r="Q140" s="9433"/>
      <c r="R140" s="9433"/>
      <c r="S140" s="1083"/>
      <c r="T140" s="6455"/>
      <c r="U140" s="4958"/>
      <c r="V140" s="1918"/>
      <c r="W140" s="4869"/>
      <c r="X140" s="90"/>
      <c r="Y140" s="6544"/>
      <c r="Z140" s="6511"/>
      <c r="AA140" s="6511"/>
      <c r="AB140" s="6501"/>
      <c r="AC140" s="6549"/>
      <c r="AD140" s="1936"/>
      <c r="AE140" s="1203"/>
      <c r="AF140" s="1182"/>
      <c r="AG140" s="1212"/>
      <c r="AH140" s="9623"/>
      <c r="AI140" s="559"/>
    </row>
    <row r="141" spans="1:35" ht="21.75" customHeight="1">
      <c r="A141" s="9244"/>
      <c r="B141" s="9398"/>
      <c r="C141" s="9333"/>
      <c r="D141" s="9311"/>
      <c r="E141" s="9311"/>
      <c r="F141" s="9311"/>
      <c r="G141" s="9311"/>
      <c r="H141" s="9311"/>
      <c r="I141" s="9311"/>
      <c r="J141" s="9442"/>
      <c r="K141" s="9311"/>
      <c r="L141" s="9433"/>
      <c r="M141" s="9607"/>
      <c r="N141" s="9611"/>
      <c r="O141" s="9607"/>
      <c r="P141" s="9433"/>
      <c r="Q141" s="9433"/>
      <c r="R141" s="9433"/>
      <c r="S141" s="1083"/>
      <c r="T141" s="6455"/>
      <c r="U141" s="4958"/>
      <c r="V141" s="1918"/>
      <c r="W141" s="4869"/>
      <c r="X141" s="90"/>
      <c r="Y141" s="6544"/>
      <c r="Z141" s="6511"/>
      <c r="AA141" s="6511"/>
      <c r="AB141" s="6501"/>
      <c r="AC141" s="6549"/>
      <c r="AD141" s="1936"/>
      <c r="AE141" s="1203"/>
      <c r="AF141" s="1182"/>
      <c r="AG141" s="1212"/>
      <c r="AH141" s="9623"/>
      <c r="AI141" s="559"/>
    </row>
    <row r="142" spans="1:35" ht="21.75" customHeight="1">
      <c r="A142" s="9244"/>
      <c r="B142" s="9398"/>
      <c r="C142" s="9333"/>
      <c r="D142" s="9311"/>
      <c r="E142" s="9311"/>
      <c r="F142" s="9311"/>
      <c r="G142" s="9311"/>
      <c r="H142" s="9311"/>
      <c r="I142" s="9311"/>
      <c r="J142" s="9442"/>
      <c r="K142" s="9311"/>
      <c r="L142" s="9433"/>
      <c r="M142" s="9607"/>
      <c r="N142" s="9611"/>
      <c r="O142" s="9607"/>
      <c r="P142" s="9433"/>
      <c r="Q142" s="9433"/>
      <c r="R142" s="9433"/>
      <c r="S142" s="1083"/>
      <c r="T142" s="6455"/>
      <c r="U142" s="6459"/>
      <c r="V142" s="1938"/>
      <c r="W142" s="4870"/>
      <c r="X142" s="1939"/>
      <c r="Y142" s="6544"/>
      <c r="Z142" s="6511"/>
      <c r="AA142" s="6511"/>
      <c r="AB142" s="6501"/>
      <c r="AC142" s="6549"/>
      <c r="AD142" s="1936"/>
      <c r="AE142" s="1203"/>
      <c r="AF142" s="1182"/>
      <c r="AG142" s="1212"/>
      <c r="AH142" s="9623"/>
      <c r="AI142" s="559"/>
    </row>
    <row r="143" spans="1:35" ht="21.75" customHeight="1">
      <c r="A143" s="9244"/>
      <c r="B143" s="9398"/>
      <c r="C143" s="9333"/>
      <c r="D143" s="9311"/>
      <c r="E143" s="9311"/>
      <c r="F143" s="9311"/>
      <c r="G143" s="9311"/>
      <c r="H143" s="9311"/>
      <c r="I143" s="9311"/>
      <c r="J143" s="9442"/>
      <c r="K143" s="9311"/>
      <c r="L143" s="9433"/>
      <c r="M143" s="9607"/>
      <c r="N143" s="9611"/>
      <c r="O143" s="9607"/>
      <c r="P143" s="9433"/>
      <c r="Q143" s="9433"/>
      <c r="R143" s="9433"/>
      <c r="S143" s="1221"/>
      <c r="T143" s="6460"/>
      <c r="U143" s="6461"/>
      <c r="V143" s="1940"/>
      <c r="W143" s="4871"/>
      <c r="X143" s="95"/>
      <c r="Y143" s="6545"/>
      <c r="Z143" s="6546"/>
      <c r="AA143" s="6546"/>
      <c r="AB143" s="5080"/>
      <c r="AC143" s="5014"/>
      <c r="AD143" s="936"/>
      <c r="AE143" s="1207"/>
      <c r="AF143" s="1185"/>
      <c r="AG143" s="1223"/>
      <c r="AH143" s="9624"/>
      <c r="AI143" s="559"/>
    </row>
    <row r="144" spans="1:35" ht="41.25" customHeight="1">
      <c r="A144" s="9244"/>
      <c r="B144" s="9398"/>
      <c r="C144" s="9223" t="s">
        <v>183</v>
      </c>
      <c r="D144" s="8782" t="s">
        <v>1291</v>
      </c>
      <c r="E144" s="8782" t="s">
        <v>1292</v>
      </c>
      <c r="F144" s="8782" t="s">
        <v>1348</v>
      </c>
      <c r="G144" s="8977" t="s">
        <v>1294</v>
      </c>
      <c r="H144" s="8782" t="s">
        <v>1304</v>
      </c>
      <c r="I144" s="8782" t="s">
        <v>189</v>
      </c>
      <c r="J144" s="8940" t="s">
        <v>1450</v>
      </c>
      <c r="K144" s="8782" t="s">
        <v>1451</v>
      </c>
      <c r="L144" s="8782" t="s">
        <v>1452</v>
      </c>
      <c r="M144" s="8823">
        <v>0</v>
      </c>
      <c r="N144" s="8823">
        <v>0</v>
      </c>
      <c r="O144" s="8823">
        <v>1</v>
      </c>
      <c r="P144" s="8782" t="s">
        <v>1453</v>
      </c>
      <c r="Q144" s="8782" t="s">
        <v>1454</v>
      </c>
      <c r="R144" s="9217" t="s">
        <v>1449</v>
      </c>
      <c r="S144" s="939" t="s">
        <v>80</v>
      </c>
      <c r="T144" s="4849">
        <v>840107</v>
      </c>
      <c r="U144" s="6462"/>
      <c r="V144" s="587" t="s">
        <v>40</v>
      </c>
      <c r="W144" s="6485"/>
      <c r="X144" s="461"/>
      <c r="Y144" s="6499"/>
      <c r="Z144" s="6499"/>
      <c r="AA144" s="6499"/>
      <c r="AB144" s="6500">
        <f>+SUM(AA145:AA148)</f>
        <v>11441.8256</v>
      </c>
      <c r="AC144" s="6560" t="s">
        <v>18</v>
      </c>
      <c r="AD144" s="1941"/>
      <c r="AE144" s="1081"/>
      <c r="AF144" s="1226"/>
      <c r="AG144" s="1033"/>
      <c r="AH144" s="9625"/>
      <c r="AI144" s="559"/>
    </row>
    <row r="145" spans="1:35" ht="41.25" customHeight="1">
      <c r="A145" s="9244"/>
      <c r="B145" s="9398"/>
      <c r="C145" s="9125"/>
      <c r="D145" s="8834"/>
      <c r="E145" s="8834"/>
      <c r="F145" s="8834"/>
      <c r="G145" s="8974"/>
      <c r="H145" s="8834"/>
      <c r="I145" s="8834"/>
      <c r="J145" s="9609"/>
      <c r="K145" s="8834"/>
      <c r="L145" s="8834"/>
      <c r="M145" s="8856"/>
      <c r="N145" s="8856"/>
      <c r="O145" s="8856"/>
      <c r="P145" s="8834"/>
      <c r="Q145" s="8834"/>
      <c r="R145" s="9205"/>
      <c r="S145" s="2098"/>
      <c r="T145" s="4844"/>
      <c r="U145" s="4844"/>
      <c r="V145" s="798" t="s">
        <v>1455</v>
      </c>
      <c r="W145" s="4862">
        <v>2</v>
      </c>
      <c r="X145" s="799" t="s">
        <v>180</v>
      </c>
      <c r="Y145" s="4898">
        <v>800</v>
      </c>
      <c r="Z145" s="4898">
        <f>Y145*W145</f>
        <v>1600</v>
      </c>
      <c r="AA145" s="4898">
        <f>+Z145*1.12</f>
        <v>1792.0000000000002</v>
      </c>
      <c r="AB145" s="4899"/>
      <c r="AC145" s="4876"/>
      <c r="AD145" s="1012"/>
      <c r="AE145" s="799"/>
      <c r="AF145" s="1182" t="s">
        <v>153</v>
      </c>
      <c r="AG145" s="1033"/>
      <c r="AH145" s="9625"/>
      <c r="AI145" s="559"/>
    </row>
    <row r="146" spans="1:35" ht="41.25" customHeight="1">
      <c r="A146" s="9244"/>
      <c r="B146" s="9398"/>
      <c r="C146" s="9125"/>
      <c r="D146" s="8834"/>
      <c r="E146" s="8834"/>
      <c r="F146" s="8834"/>
      <c r="G146" s="8974"/>
      <c r="H146" s="8834"/>
      <c r="I146" s="8834"/>
      <c r="J146" s="9609"/>
      <c r="K146" s="8834"/>
      <c r="L146" s="8834"/>
      <c r="M146" s="8856"/>
      <c r="N146" s="8856"/>
      <c r="O146" s="8856"/>
      <c r="P146" s="8834"/>
      <c r="Q146" s="8834"/>
      <c r="R146" s="9205"/>
      <c r="S146" s="2098"/>
      <c r="T146" s="4844"/>
      <c r="U146" s="4844"/>
      <c r="V146" s="798" t="s">
        <v>1456</v>
      </c>
      <c r="W146" s="4862">
        <v>1</v>
      </c>
      <c r="X146" s="799" t="s">
        <v>180</v>
      </c>
      <c r="Y146" s="4910">
        <f>1500/1.12</f>
        <v>1339.2857142857142</v>
      </c>
      <c r="Z146" s="4910">
        <f>Y146*W146</f>
        <v>1339.2857142857142</v>
      </c>
      <c r="AA146" s="4910">
        <f>+Z146*1.12</f>
        <v>1500</v>
      </c>
      <c r="AB146" s="4899"/>
      <c r="AC146" s="4876"/>
      <c r="AD146" s="1012"/>
      <c r="AE146" s="799"/>
      <c r="AF146" s="1182" t="s">
        <v>153</v>
      </c>
      <c r="AG146" s="1033"/>
      <c r="AH146" s="9625"/>
      <c r="AI146" s="559"/>
    </row>
    <row r="147" spans="1:35" ht="41.25" customHeight="1">
      <c r="A147" s="9244"/>
      <c r="B147" s="9398"/>
      <c r="C147" s="9333"/>
      <c r="D147" s="9311"/>
      <c r="E147" s="9311"/>
      <c r="F147" s="9311"/>
      <c r="G147" s="9311"/>
      <c r="H147" s="9311"/>
      <c r="I147" s="9311"/>
      <c r="J147" s="9402"/>
      <c r="K147" s="9311"/>
      <c r="L147" s="9311"/>
      <c r="M147" s="9607"/>
      <c r="N147" s="9607"/>
      <c r="O147" s="9607"/>
      <c r="P147" s="9311"/>
      <c r="Q147" s="9311"/>
      <c r="R147" s="9433"/>
      <c r="S147" s="2098"/>
      <c r="T147" s="4844"/>
      <c r="U147" s="4844"/>
      <c r="V147" s="1027" t="s">
        <v>1457</v>
      </c>
      <c r="W147" s="4867">
        <v>3</v>
      </c>
      <c r="X147" s="1018" t="s">
        <v>180</v>
      </c>
      <c r="Y147" s="4902">
        <v>400</v>
      </c>
      <c r="Z147" s="4902">
        <v>1200</v>
      </c>
      <c r="AA147" s="4902">
        <f t="shared" ref="AA147" si="15">+Z147*1.12</f>
        <v>1344.0000000000002</v>
      </c>
      <c r="AB147" s="4899"/>
      <c r="AC147" s="4876"/>
      <c r="AD147" s="1012"/>
      <c r="AE147" s="799"/>
      <c r="AF147" s="1182" t="s">
        <v>153</v>
      </c>
      <c r="AG147" s="1013"/>
      <c r="AH147" s="9623"/>
      <c r="AI147" s="559"/>
    </row>
    <row r="148" spans="1:35" ht="41.25" customHeight="1">
      <c r="A148" s="9244"/>
      <c r="B148" s="9398"/>
      <c r="C148" s="9333"/>
      <c r="D148" s="9311"/>
      <c r="E148" s="9311"/>
      <c r="F148" s="9311"/>
      <c r="G148" s="9311"/>
      <c r="H148" s="9311"/>
      <c r="I148" s="9311"/>
      <c r="J148" s="9402"/>
      <c r="K148" s="9311"/>
      <c r="L148" s="9311"/>
      <c r="M148" s="9607"/>
      <c r="N148" s="9607"/>
      <c r="O148" s="9607"/>
      <c r="P148" s="9311"/>
      <c r="Q148" s="9311"/>
      <c r="R148" s="9433"/>
      <c r="S148" s="2098"/>
      <c r="T148" s="4844"/>
      <c r="U148" s="6463"/>
      <c r="V148" s="798" t="s">
        <v>1458</v>
      </c>
      <c r="W148" s="4862">
        <v>1</v>
      </c>
      <c r="X148" s="799" t="s">
        <v>180</v>
      </c>
      <c r="Y148" s="4898">
        <v>6076.63</v>
      </c>
      <c r="Z148" s="4898">
        <f>Y148*W148</f>
        <v>6076.63</v>
      </c>
      <c r="AA148" s="4909">
        <f>Z148*1.12</f>
        <v>6805.825600000001</v>
      </c>
      <c r="AB148" s="6547"/>
      <c r="AC148" s="4876"/>
      <c r="AD148" s="1012"/>
      <c r="AE148" s="799"/>
      <c r="AF148" s="1182" t="s">
        <v>153</v>
      </c>
      <c r="AG148" s="1013"/>
      <c r="AH148" s="9623"/>
      <c r="AI148" s="559"/>
    </row>
    <row r="149" spans="1:35" ht="40.5" customHeight="1">
      <c r="A149" s="9244"/>
      <c r="B149" s="9398"/>
      <c r="C149" s="9223" t="s">
        <v>183</v>
      </c>
      <c r="D149" s="8782" t="s">
        <v>1291</v>
      </c>
      <c r="E149" s="8782" t="s">
        <v>1292</v>
      </c>
      <c r="F149" s="8782" t="s">
        <v>1348</v>
      </c>
      <c r="G149" s="8977" t="s">
        <v>1294</v>
      </c>
      <c r="H149" s="8782" t="s">
        <v>1304</v>
      </c>
      <c r="I149" s="8782" t="s">
        <v>189</v>
      </c>
      <c r="J149" s="9217" t="s">
        <v>1459</v>
      </c>
      <c r="K149" s="8782" t="s">
        <v>1460</v>
      </c>
      <c r="L149" s="8782" t="s">
        <v>1461</v>
      </c>
      <c r="M149" s="8823">
        <v>1</v>
      </c>
      <c r="N149" s="8823">
        <v>2</v>
      </c>
      <c r="O149" s="8823">
        <v>1</v>
      </c>
      <c r="P149" s="8782" t="s">
        <v>1462</v>
      </c>
      <c r="Q149" s="8782" t="s">
        <v>1463</v>
      </c>
      <c r="R149" s="9217" t="s">
        <v>1401</v>
      </c>
      <c r="S149" s="1127"/>
      <c r="T149" s="6447"/>
      <c r="U149" s="6447"/>
      <c r="V149" s="1035"/>
      <c r="W149" s="6383"/>
      <c r="X149" s="1036"/>
      <c r="Y149" s="6413"/>
      <c r="Z149" s="6413"/>
      <c r="AA149" s="5040"/>
      <c r="AB149" s="6414"/>
      <c r="AC149" s="6291"/>
      <c r="AD149" s="1037"/>
      <c r="AE149" s="1036"/>
      <c r="AF149" s="1038"/>
      <c r="AG149" s="1038"/>
      <c r="AH149" s="9622"/>
      <c r="AI149" s="559"/>
    </row>
    <row r="150" spans="1:35" ht="40.5" customHeight="1">
      <c r="A150" s="9244"/>
      <c r="B150" s="9398"/>
      <c r="C150" s="9333"/>
      <c r="D150" s="9311"/>
      <c r="E150" s="9311"/>
      <c r="F150" s="9311"/>
      <c r="G150" s="9311"/>
      <c r="H150" s="9311"/>
      <c r="I150" s="9311"/>
      <c r="J150" s="9433"/>
      <c r="K150" s="9311"/>
      <c r="L150" s="9311"/>
      <c r="M150" s="9607"/>
      <c r="N150" s="8856"/>
      <c r="O150" s="9607"/>
      <c r="P150" s="9311"/>
      <c r="Q150" s="9311"/>
      <c r="R150" s="9433"/>
      <c r="S150" s="1193"/>
      <c r="T150" s="4845"/>
      <c r="U150" s="4845"/>
      <c r="V150" s="798"/>
      <c r="W150" s="4862"/>
      <c r="X150" s="799"/>
      <c r="Y150" s="4898"/>
      <c r="Z150" s="4898"/>
      <c r="AA150" s="4898"/>
      <c r="AB150" s="4899"/>
      <c r="AC150" s="4876"/>
      <c r="AD150" s="1012"/>
      <c r="AE150" s="799"/>
      <c r="AF150" s="1013"/>
      <c r="AG150" s="1013"/>
      <c r="AH150" s="9623"/>
      <c r="AI150" s="559"/>
    </row>
    <row r="151" spans="1:35" ht="40.5" customHeight="1">
      <c r="A151" s="9244"/>
      <c r="B151" s="9398"/>
      <c r="C151" s="9333"/>
      <c r="D151" s="9311"/>
      <c r="E151" s="9311"/>
      <c r="F151" s="9311"/>
      <c r="G151" s="9311"/>
      <c r="H151" s="9311"/>
      <c r="I151" s="9311"/>
      <c r="J151" s="9433"/>
      <c r="K151" s="9311"/>
      <c r="L151" s="9311"/>
      <c r="M151" s="9607"/>
      <c r="N151" s="8856"/>
      <c r="O151" s="9607"/>
      <c r="P151" s="9311"/>
      <c r="Q151" s="9311"/>
      <c r="R151" s="9433"/>
      <c r="S151" s="1194"/>
      <c r="T151" s="4844"/>
      <c r="U151" s="4844"/>
      <c r="V151" s="798"/>
      <c r="W151" s="4862"/>
      <c r="X151" s="799"/>
      <c r="Y151" s="4898"/>
      <c r="Z151" s="4898"/>
      <c r="AA151" s="4898"/>
      <c r="AB151" s="4899"/>
      <c r="AC151" s="4876"/>
      <c r="AD151" s="1012"/>
      <c r="AE151" s="799"/>
      <c r="AF151" s="1013"/>
      <c r="AG151" s="1013"/>
      <c r="AH151" s="9623"/>
      <c r="AI151" s="559"/>
    </row>
    <row r="152" spans="1:35" ht="40.5" customHeight="1">
      <c r="A152" s="9244"/>
      <c r="B152" s="9398"/>
      <c r="C152" s="9333"/>
      <c r="D152" s="9311"/>
      <c r="E152" s="9311"/>
      <c r="F152" s="9311"/>
      <c r="G152" s="9311"/>
      <c r="H152" s="9311"/>
      <c r="I152" s="9311"/>
      <c r="J152" s="9433"/>
      <c r="K152" s="9311"/>
      <c r="L152" s="9311"/>
      <c r="M152" s="9607"/>
      <c r="N152" s="8856"/>
      <c r="O152" s="9607"/>
      <c r="P152" s="9311"/>
      <c r="Q152" s="9311"/>
      <c r="R152" s="9433"/>
      <c r="S152" s="1194"/>
      <c r="T152" s="4844"/>
      <c r="U152" s="4844"/>
      <c r="V152" s="798"/>
      <c r="W152" s="4862"/>
      <c r="X152" s="799"/>
      <c r="Y152" s="4898"/>
      <c r="Z152" s="4898"/>
      <c r="AA152" s="4898"/>
      <c r="AB152" s="4899"/>
      <c r="AC152" s="4876"/>
      <c r="AD152" s="1012"/>
      <c r="AE152" s="799"/>
      <c r="AF152" s="1013"/>
      <c r="AG152" s="1013"/>
      <c r="AH152" s="9623"/>
      <c r="AI152" s="559"/>
    </row>
    <row r="153" spans="1:35" ht="40.5" customHeight="1">
      <c r="A153" s="9244"/>
      <c r="B153" s="9398"/>
      <c r="C153" s="9395"/>
      <c r="D153" s="9312"/>
      <c r="E153" s="9312"/>
      <c r="F153" s="9312"/>
      <c r="G153" s="9312"/>
      <c r="H153" s="9312"/>
      <c r="I153" s="9312"/>
      <c r="J153" s="9434"/>
      <c r="K153" s="9312"/>
      <c r="L153" s="9312"/>
      <c r="M153" s="9608"/>
      <c r="N153" s="9170"/>
      <c r="O153" s="9608"/>
      <c r="P153" s="9312"/>
      <c r="Q153" s="9312"/>
      <c r="R153" s="9434"/>
      <c r="S153" s="1197"/>
      <c r="T153" s="4852"/>
      <c r="U153" s="4852"/>
      <c r="V153" s="1031"/>
      <c r="W153" s="4868"/>
      <c r="X153" s="1023"/>
      <c r="Y153" s="4909"/>
      <c r="Z153" s="4909"/>
      <c r="AA153" s="4909"/>
      <c r="AB153" s="4905"/>
      <c r="AC153" s="4877"/>
      <c r="AD153" s="1022"/>
      <c r="AE153" s="1023"/>
      <c r="AF153" s="1024"/>
      <c r="AG153" s="1024"/>
      <c r="AH153" s="9624"/>
      <c r="AI153" s="559"/>
    </row>
    <row r="154" spans="1:35" ht="33.75" customHeight="1">
      <c r="A154" s="9244"/>
      <c r="B154" s="9398"/>
      <c r="C154" s="9223" t="s">
        <v>127</v>
      </c>
      <c r="D154" s="8782" t="s">
        <v>128</v>
      </c>
      <c r="E154" s="8782" t="s">
        <v>129</v>
      </c>
      <c r="F154" s="8782" t="s">
        <v>130</v>
      </c>
      <c r="G154" s="8977" t="s">
        <v>131</v>
      </c>
      <c r="H154" s="8782" t="s">
        <v>1304</v>
      </c>
      <c r="I154" s="8782" t="s">
        <v>159</v>
      </c>
      <c r="J154" s="9217" t="s">
        <v>1464</v>
      </c>
      <c r="K154" s="8782" t="s">
        <v>1465</v>
      </c>
      <c r="L154" s="8782" t="s">
        <v>1466</v>
      </c>
      <c r="M154" s="8823">
        <v>0</v>
      </c>
      <c r="N154" s="8823">
        <v>1</v>
      </c>
      <c r="O154" s="8823">
        <v>1</v>
      </c>
      <c r="P154" s="8834" t="s">
        <v>1467</v>
      </c>
      <c r="Q154" s="8782" t="s">
        <v>1468</v>
      </c>
      <c r="R154" s="9217" t="s">
        <v>1401</v>
      </c>
      <c r="S154" s="1127"/>
      <c r="T154" s="6447"/>
      <c r="U154" s="6447"/>
      <c r="V154" s="1035"/>
      <c r="W154" s="6383"/>
      <c r="X154" s="1036"/>
      <c r="Y154" s="6413"/>
      <c r="Z154" s="6413"/>
      <c r="AA154" s="6413"/>
      <c r="AB154" s="6414"/>
      <c r="AC154" s="6291"/>
      <c r="AD154" s="1037"/>
      <c r="AE154" s="1036"/>
      <c r="AF154" s="1038"/>
      <c r="AG154" s="1038"/>
      <c r="AH154" s="9622"/>
      <c r="AI154" s="559"/>
    </row>
    <row r="155" spans="1:35" ht="33.75" customHeight="1">
      <c r="A155" s="9244"/>
      <c r="B155" s="9398"/>
      <c r="C155" s="9333"/>
      <c r="D155" s="9311"/>
      <c r="E155" s="9311"/>
      <c r="F155" s="9311"/>
      <c r="G155" s="9311"/>
      <c r="H155" s="9311"/>
      <c r="I155" s="9311"/>
      <c r="J155" s="9433"/>
      <c r="K155" s="9311"/>
      <c r="L155" s="9311"/>
      <c r="M155" s="9607"/>
      <c r="N155" s="8856"/>
      <c r="O155" s="9607"/>
      <c r="P155" s="9311"/>
      <c r="Q155" s="9311"/>
      <c r="R155" s="9433"/>
      <c r="S155" s="1193"/>
      <c r="T155" s="4845"/>
      <c r="U155" s="4845"/>
      <c r="V155" s="798"/>
      <c r="W155" s="4862"/>
      <c r="X155" s="799"/>
      <c r="Y155" s="4898"/>
      <c r="Z155" s="4898"/>
      <c r="AA155" s="4898"/>
      <c r="AB155" s="4899"/>
      <c r="AC155" s="4876"/>
      <c r="AD155" s="1012"/>
      <c r="AE155" s="799"/>
      <c r="AF155" s="1013"/>
      <c r="AG155" s="1013"/>
      <c r="AH155" s="9623"/>
      <c r="AI155" s="559"/>
    </row>
    <row r="156" spans="1:35" ht="33.75" customHeight="1">
      <c r="A156" s="9244"/>
      <c r="B156" s="9398"/>
      <c r="C156" s="9333"/>
      <c r="D156" s="9311"/>
      <c r="E156" s="9311"/>
      <c r="F156" s="9311"/>
      <c r="G156" s="9311"/>
      <c r="H156" s="9311"/>
      <c r="I156" s="9311"/>
      <c r="J156" s="9433"/>
      <c r="K156" s="9311"/>
      <c r="L156" s="9311"/>
      <c r="M156" s="9607"/>
      <c r="N156" s="8856"/>
      <c r="O156" s="9607"/>
      <c r="P156" s="9311"/>
      <c r="Q156" s="9311"/>
      <c r="R156" s="9433"/>
      <c r="S156" s="1194"/>
      <c r="T156" s="4844"/>
      <c r="U156" s="4844"/>
      <c r="V156" s="798"/>
      <c r="W156" s="4862"/>
      <c r="X156" s="799"/>
      <c r="Y156" s="4898"/>
      <c r="Z156" s="4898"/>
      <c r="AA156" s="4898"/>
      <c r="AB156" s="4899"/>
      <c r="AC156" s="4876"/>
      <c r="AD156" s="1012"/>
      <c r="AE156" s="799"/>
      <c r="AF156" s="1013"/>
      <c r="AG156" s="1013"/>
      <c r="AH156" s="9623"/>
      <c r="AI156" s="559"/>
    </row>
    <row r="157" spans="1:35" ht="33.75" customHeight="1">
      <c r="A157" s="9244"/>
      <c r="B157" s="9398"/>
      <c r="C157" s="9333"/>
      <c r="D157" s="9311"/>
      <c r="E157" s="9311"/>
      <c r="F157" s="9311"/>
      <c r="G157" s="9311"/>
      <c r="H157" s="9311"/>
      <c r="I157" s="9311"/>
      <c r="J157" s="9433"/>
      <c r="K157" s="9311"/>
      <c r="L157" s="9311"/>
      <c r="M157" s="9607"/>
      <c r="N157" s="8856"/>
      <c r="O157" s="9607"/>
      <c r="P157" s="9311"/>
      <c r="Q157" s="9311"/>
      <c r="R157" s="9433"/>
      <c r="S157" s="1194"/>
      <c r="T157" s="4844"/>
      <c r="U157" s="4844"/>
      <c r="V157" s="798"/>
      <c r="W157" s="4862"/>
      <c r="X157" s="799"/>
      <c r="Y157" s="4898"/>
      <c r="Z157" s="4898"/>
      <c r="AA157" s="4898"/>
      <c r="AB157" s="4899"/>
      <c r="AC157" s="4876"/>
      <c r="AD157" s="1012"/>
      <c r="AE157" s="799"/>
      <c r="AF157" s="1013"/>
      <c r="AG157" s="1013"/>
      <c r="AH157" s="9623"/>
      <c r="AI157" s="559"/>
    </row>
    <row r="158" spans="1:35" ht="33.75" customHeight="1">
      <c r="A158" s="9244"/>
      <c r="B158" s="9398"/>
      <c r="C158" s="9395"/>
      <c r="D158" s="9312"/>
      <c r="E158" s="9312"/>
      <c r="F158" s="9312"/>
      <c r="G158" s="9312"/>
      <c r="H158" s="9312"/>
      <c r="I158" s="9312"/>
      <c r="J158" s="9434"/>
      <c r="K158" s="9312"/>
      <c r="L158" s="9312"/>
      <c r="M158" s="9608"/>
      <c r="N158" s="9170"/>
      <c r="O158" s="9608"/>
      <c r="P158" s="9312"/>
      <c r="Q158" s="9312"/>
      <c r="R158" s="9434"/>
      <c r="S158" s="1197"/>
      <c r="T158" s="4852"/>
      <c r="U158" s="4852"/>
      <c r="V158" s="1031"/>
      <c r="W158" s="4868"/>
      <c r="X158" s="1023"/>
      <c r="Y158" s="4909"/>
      <c r="Z158" s="4909"/>
      <c r="AA158" s="4909"/>
      <c r="AB158" s="4905"/>
      <c r="AC158" s="4877"/>
      <c r="AD158" s="1022"/>
      <c r="AE158" s="1023"/>
      <c r="AF158" s="1024"/>
      <c r="AG158" s="1024"/>
      <c r="AH158" s="9624"/>
      <c r="AI158" s="559"/>
    </row>
    <row r="159" spans="1:35" ht="26.25" customHeight="1">
      <c r="A159" s="9244"/>
      <c r="B159" s="9398"/>
      <c r="C159" s="9223" t="s">
        <v>127</v>
      </c>
      <c r="D159" s="8782" t="s">
        <v>128</v>
      </c>
      <c r="E159" s="8782" t="s">
        <v>129</v>
      </c>
      <c r="F159" s="8782" t="s">
        <v>336</v>
      </c>
      <c r="G159" s="8977" t="s">
        <v>131</v>
      </c>
      <c r="H159" s="8782" t="s">
        <v>1304</v>
      </c>
      <c r="I159" s="8782" t="s">
        <v>159</v>
      </c>
      <c r="J159" s="9217" t="s">
        <v>1469</v>
      </c>
      <c r="K159" s="8782" t="s">
        <v>338</v>
      </c>
      <c r="L159" s="8782" t="s">
        <v>1470</v>
      </c>
      <c r="M159" s="8823">
        <v>0</v>
      </c>
      <c r="N159" s="9252">
        <v>0</v>
      </c>
      <c r="O159" s="8823">
        <v>1</v>
      </c>
      <c r="P159" s="8782" t="s">
        <v>1471</v>
      </c>
      <c r="Q159" s="8782" t="s">
        <v>1472</v>
      </c>
      <c r="R159" s="9217" t="s">
        <v>1401</v>
      </c>
      <c r="S159" s="1127"/>
      <c r="T159" s="6447"/>
      <c r="U159" s="6447"/>
      <c r="V159" s="1035"/>
      <c r="W159" s="6383"/>
      <c r="X159" s="1036"/>
      <c r="Y159" s="6413"/>
      <c r="Z159" s="6413"/>
      <c r="AA159" s="6413"/>
      <c r="AB159" s="6414"/>
      <c r="AC159" s="6291"/>
      <c r="AD159" s="1037"/>
      <c r="AE159" s="1036"/>
      <c r="AF159" s="1038"/>
      <c r="AG159" s="1038"/>
      <c r="AH159" s="9622"/>
      <c r="AI159" s="559"/>
    </row>
    <row r="160" spans="1:35" ht="26.25" customHeight="1">
      <c r="A160" s="9244"/>
      <c r="B160" s="9398"/>
      <c r="C160" s="9333"/>
      <c r="D160" s="9311"/>
      <c r="E160" s="9311"/>
      <c r="F160" s="9311"/>
      <c r="G160" s="9311"/>
      <c r="H160" s="9311"/>
      <c r="I160" s="9311"/>
      <c r="J160" s="9433"/>
      <c r="K160" s="9311"/>
      <c r="L160" s="9311"/>
      <c r="M160" s="9436"/>
      <c r="N160" s="9256"/>
      <c r="O160" s="9436"/>
      <c r="P160" s="9311"/>
      <c r="Q160" s="9311"/>
      <c r="R160" s="9433"/>
      <c r="S160" s="1193"/>
      <c r="T160" s="4845"/>
      <c r="U160" s="4845"/>
      <c r="V160" s="798"/>
      <c r="W160" s="4862"/>
      <c r="X160" s="799"/>
      <c r="Y160" s="4898"/>
      <c r="Z160" s="4898"/>
      <c r="AA160" s="4898"/>
      <c r="AB160" s="4899"/>
      <c r="AC160" s="4876"/>
      <c r="AD160" s="1012"/>
      <c r="AE160" s="799"/>
      <c r="AF160" s="1013"/>
      <c r="AG160" s="1013"/>
      <c r="AH160" s="9623"/>
      <c r="AI160" s="559"/>
    </row>
    <row r="161" spans="1:35" ht="26.25" customHeight="1">
      <c r="A161" s="9244"/>
      <c r="B161" s="9398"/>
      <c r="C161" s="9333"/>
      <c r="D161" s="9311"/>
      <c r="E161" s="9311"/>
      <c r="F161" s="9311"/>
      <c r="G161" s="9311"/>
      <c r="H161" s="9311"/>
      <c r="I161" s="9311"/>
      <c r="J161" s="9433"/>
      <c r="K161" s="9311"/>
      <c r="L161" s="9311"/>
      <c r="M161" s="9436"/>
      <c r="N161" s="9256"/>
      <c r="O161" s="9436"/>
      <c r="P161" s="9311"/>
      <c r="Q161" s="9311"/>
      <c r="R161" s="9433"/>
      <c r="S161" s="1194"/>
      <c r="T161" s="4844"/>
      <c r="U161" s="4844"/>
      <c r="V161" s="798"/>
      <c r="W161" s="4862"/>
      <c r="X161" s="799"/>
      <c r="Y161" s="4898"/>
      <c r="Z161" s="4898"/>
      <c r="AA161" s="4898"/>
      <c r="AB161" s="4899"/>
      <c r="AC161" s="4876"/>
      <c r="AD161" s="1012"/>
      <c r="AE161" s="799"/>
      <c r="AF161" s="1013"/>
      <c r="AG161" s="1013"/>
      <c r="AH161" s="9623"/>
      <c r="AI161" s="559"/>
    </row>
    <row r="162" spans="1:35" ht="26.25" customHeight="1">
      <c r="A162" s="9244"/>
      <c r="B162" s="9398"/>
      <c r="C162" s="9333"/>
      <c r="D162" s="9311"/>
      <c r="E162" s="9311"/>
      <c r="F162" s="9311"/>
      <c r="G162" s="9311"/>
      <c r="H162" s="9311"/>
      <c r="I162" s="9311"/>
      <c r="J162" s="9433"/>
      <c r="K162" s="9311"/>
      <c r="L162" s="9311"/>
      <c r="M162" s="9436"/>
      <c r="N162" s="9256"/>
      <c r="O162" s="9436"/>
      <c r="P162" s="9311"/>
      <c r="Q162" s="9311"/>
      <c r="R162" s="9433"/>
      <c r="S162" s="1194"/>
      <c r="T162" s="4844"/>
      <c r="U162" s="4844"/>
      <c r="V162" s="798"/>
      <c r="W162" s="4862"/>
      <c r="X162" s="799"/>
      <c r="Y162" s="4898"/>
      <c r="Z162" s="4898"/>
      <c r="AA162" s="4898"/>
      <c r="AB162" s="4899"/>
      <c r="AC162" s="4876"/>
      <c r="AD162" s="1012"/>
      <c r="AE162" s="799"/>
      <c r="AF162" s="1013"/>
      <c r="AG162" s="1013"/>
      <c r="AH162" s="9623"/>
      <c r="AI162" s="559"/>
    </row>
    <row r="163" spans="1:35" ht="26.25" customHeight="1">
      <c r="A163" s="9244"/>
      <c r="B163" s="9398"/>
      <c r="C163" s="9395"/>
      <c r="D163" s="9312"/>
      <c r="E163" s="9312"/>
      <c r="F163" s="9312"/>
      <c r="G163" s="9312"/>
      <c r="H163" s="9312"/>
      <c r="I163" s="9312"/>
      <c r="J163" s="9434"/>
      <c r="K163" s="9312"/>
      <c r="L163" s="9312"/>
      <c r="M163" s="9606"/>
      <c r="N163" s="9265"/>
      <c r="O163" s="9606"/>
      <c r="P163" s="9312"/>
      <c r="Q163" s="9312"/>
      <c r="R163" s="9434"/>
      <c r="S163" s="1197"/>
      <c r="T163" s="4852"/>
      <c r="U163" s="4852"/>
      <c r="V163" s="1031"/>
      <c r="W163" s="4868"/>
      <c r="X163" s="1023"/>
      <c r="Y163" s="4909"/>
      <c r="Z163" s="4909"/>
      <c r="AA163" s="4909"/>
      <c r="AB163" s="4905"/>
      <c r="AC163" s="4877"/>
      <c r="AD163" s="1022"/>
      <c r="AE163" s="1023"/>
      <c r="AF163" s="1024"/>
      <c r="AG163" s="1024"/>
      <c r="AH163" s="9624"/>
      <c r="AI163" s="559"/>
    </row>
    <row r="164" spans="1:35" s="4835" customFormat="1" ht="22.5" customHeight="1">
      <c r="A164" s="9244"/>
      <c r="B164" s="9399"/>
      <c r="C164" s="465"/>
      <c r="D164" s="465"/>
      <c r="E164" s="465"/>
      <c r="F164" s="465"/>
      <c r="G164" s="465"/>
      <c r="H164" s="465"/>
      <c r="I164" s="465"/>
      <c r="J164" s="465"/>
      <c r="K164" s="465"/>
      <c r="L164" s="465"/>
      <c r="M164" s="465"/>
      <c r="N164" s="465"/>
      <c r="O164" s="465"/>
      <c r="P164" s="465"/>
      <c r="Q164" s="465"/>
      <c r="R164" s="465"/>
      <c r="S164" s="9626" t="s">
        <v>1473</v>
      </c>
      <c r="T164" s="9627"/>
      <c r="U164" s="9627"/>
      <c r="V164" s="9627"/>
      <c r="W164" s="9627"/>
      <c r="X164" s="9627"/>
      <c r="Y164" s="9627"/>
      <c r="Z164" s="9627"/>
      <c r="AA164" s="5857" t="s">
        <v>292</v>
      </c>
      <c r="AB164" s="5018">
        <f>SUM(AB90:AB163)</f>
        <v>28031.8256</v>
      </c>
      <c r="AC164" s="5019"/>
      <c r="AD164" s="5020"/>
      <c r="AE164" s="9628"/>
      <c r="AF164" s="9629"/>
      <c r="AG164" s="9629"/>
      <c r="AH164" s="9630"/>
      <c r="AI164" s="5952"/>
    </row>
    <row r="165" spans="1:35" s="4835" customFormat="1" ht="25.5" customHeight="1">
      <c r="A165" s="9245"/>
      <c r="B165" s="6212"/>
      <c r="C165" s="865"/>
      <c r="D165" s="191"/>
      <c r="E165" s="191"/>
      <c r="F165" s="191"/>
      <c r="G165" s="191"/>
      <c r="H165" s="191"/>
      <c r="I165" s="191"/>
      <c r="J165" s="191"/>
      <c r="K165" s="191"/>
      <c r="L165" s="191"/>
      <c r="M165" s="191"/>
      <c r="N165" s="191"/>
      <c r="O165" s="191"/>
      <c r="P165" s="191"/>
      <c r="Q165" s="191"/>
      <c r="R165" s="192"/>
      <c r="S165" s="9631" t="s">
        <v>1474</v>
      </c>
      <c r="T165" s="9527"/>
      <c r="U165" s="9527"/>
      <c r="V165" s="9527"/>
      <c r="W165" s="9527"/>
      <c r="X165" s="9527"/>
      <c r="Y165" s="9527"/>
      <c r="Z165" s="9527"/>
      <c r="AA165" s="5858" t="s">
        <v>292</v>
      </c>
      <c r="AB165" s="867">
        <f>SUM(AB89,AB164)</f>
        <v>67481.025599999994</v>
      </c>
      <c r="AC165" s="422"/>
      <c r="AD165" s="866"/>
      <c r="AE165" s="8898"/>
      <c r="AF165" s="9375"/>
      <c r="AG165" s="9375"/>
      <c r="AH165" s="9376"/>
      <c r="AI165" s="5952"/>
    </row>
    <row r="166" spans="1:35" ht="16.5">
      <c r="A166" s="862"/>
      <c r="B166" s="863"/>
      <c r="C166" s="1725" t="s">
        <v>1475</v>
      </c>
      <c r="D166" s="864"/>
      <c r="E166" s="864"/>
      <c r="F166" s="864"/>
      <c r="G166" s="864"/>
      <c r="H166" s="864"/>
      <c r="I166" s="864"/>
      <c r="J166" s="864"/>
      <c r="K166" s="864"/>
      <c r="L166" s="864"/>
      <c r="M166" s="864"/>
      <c r="N166" s="864"/>
      <c r="O166" s="864"/>
      <c r="P166" s="864"/>
      <c r="Q166" s="864"/>
      <c r="R166" s="864"/>
      <c r="S166" s="9424" t="s">
        <v>533</v>
      </c>
      <c r="T166" s="9378"/>
      <c r="U166" s="9378"/>
      <c r="V166" s="9378"/>
      <c r="W166" s="9378"/>
      <c r="X166" s="9378"/>
      <c r="Y166" s="9378"/>
      <c r="Z166" s="9378"/>
      <c r="AA166" s="9378"/>
      <c r="AB166" s="9378"/>
      <c r="AC166" s="9618"/>
      <c r="AD166" s="9618"/>
      <c r="AE166" s="9378"/>
      <c r="AF166" s="9378"/>
      <c r="AG166" s="9378"/>
      <c r="AH166" s="9378"/>
    </row>
    <row r="167" spans="1:35" ht="16.5">
      <c r="A167" s="862"/>
      <c r="B167" s="863"/>
      <c r="C167" s="1725" t="s">
        <v>1476</v>
      </c>
      <c r="D167" s="864"/>
      <c r="E167" s="864"/>
      <c r="F167" s="864"/>
      <c r="G167" s="864"/>
      <c r="H167" s="864"/>
      <c r="I167" s="864"/>
      <c r="J167" s="864"/>
      <c r="K167" s="864"/>
      <c r="L167" s="864"/>
      <c r="M167" s="864"/>
      <c r="N167" s="864"/>
      <c r="O167" s="864"/>
      <c r="P167" s="864"/>
      <c r="Q167" s="864"/>
      <c r="R167" s="864"/>
      <c r="S167" s="821"/>
      <c r="T167" s="559"/>
      <c r="U167" s="559"/>
      <c r="V167" s="559"/>
      <c r="W167" s="559"/>
      <c r="X167" s="559"/>
      <c r="Y167" s="559"/>
      <c r="Z167" s="559"/>
      <c r="AA167" s="559"/>
      <c r="AB167" s="559"/>
      <c r="AC167" s="2099"/>
      <c r="AD167" s="2099"/>
      <c r="AE167" s="559"/>
      <c r="AF167" s="559"/>
      <c r="AG167" s="559"/>
      <c r="AH167" s="559"/>
    </row>
    <row r="168" spans="1:35" ht="16.5" customHeight="1">
      <c r="A168" s="193"/>
      <c r="B168" s="194"/>
      <c r="C168" s="2102" t="s">
        <v>1477</v>
      </c>
      <c r="D168" s="2101"/>
      <c r="E168" s="143"/>
      <c r="F168" s="143"/>
      <c r="G168" s="143"/>
      <c r="H168" s="143"/>
      <c r="I168" s="143"/>
      <c r="J168" s="143"/>
      <c r="K168" s="143"/>
      <c r="L168" s="143"/>
      <c r="M168" s="143"/>
      <c r="N168" s="143"/>
      <c r="O168" s="143"/>
      <c r="P168" s="143"/>
      <c r="Q168" s="143"/>
      <c r="R168" s="143"/>
      <c r="S168" s="143"/>
      <c r="T168" s="143"/>
      <c r="U168" s="8775" t="s">
        <v>351</v>
      </c>
      <c r="V168" s="9379"/>
      <c r="W168" s="9379"/>
      <c r="X168" s="9379"/>
      <c r="Y168" s="9379"/>
      <c r="Z168" s="9379"/>
      <c r="AA168" s="231"/>
      <c r="AB168" s="362"/>
      <c r="AC168" s="362"/>
      <c r="AD168"/>
      <c r="AE168" s="195"/>
      <c r="AF168" s="143"/>
      <c r="AG168" s="143"/>
    </row>
    <row r="169" spans="1:35" ht="16.5">
      <c r="A169" s="193"/>
      <c r="B169" s="143"/>
      <c r="D169" s="143"/>
      <c r="E169" s="143"/>
      <c r="F169" s="143"/>
      <c r="G169" s="143"/>
      <c r="H169" s="143"/>
      <c r="I169" s="143"/>
      <c r="J169" s="143"/>
      <c r="K169" s="143"/>
      <c r="L169" s="143"/>
      <c r="M169" s="143"/>
      <c r="N169" s="143"/>
      <c r="O169" s="143"/>
      <c r="P169" s="143"/>
      <c r="Q169" s="143"/>
      <c r="R169" s="143"/>
      <c r="S169" s="143"/>
      <c r="U169" s="28"/>
      <c r="V169" s="28"/>
      <c r="W169" s="28"/>
      <c r="X169" s="28"/>
      <c r="Y169" s="28"/>
      <c r="Z169" s="28"/>
      <c r="AA169" s="100"/>
      <c r="AB169" s="363"/>
      <c r="AC169" s="363"/>
      <c r="AD169" s="100"/>
      <c r="AE169" s="195"/>
      <c r="AF169" s="143"/>
      <c r="AG169" s="143"/>
    </row>
    <row r="170" spans="1:35" ht="18" customHeight="1">
      <c r="A170" s="193"/>
      <c r="B170" s="143"/>
      <c r="C170" s="143"/>
      <c r="D170" s="143"/>
      <c r="E170" s="143"/>
      <c r="F170" s="143"/>
      <c r="G170" s="143"/>
      <c r="H170" s="143"/>
      <c r="I170" s="143"/>
      <c r="J170" s="143"/>
      <c r="K170" s="143"/>
      <c r="L170" s="143"/>
      <c r="M170" s="143"/>
      <c r="N170" s="143"/>
      <c r="O170" s="143"/>
      <c r="P170" s="143"/>
      <c r="Q170" s="143"/>
      <c r="R170" s="143"/>
      <c r="S170" s="125"/>
      <c r="T170" s="28"/>
      <c r="U170" s="5882" t="s">
        <v>5</v>
      </c>
      <c r="V170" s="5883" t="s">
        <v>6</v>
      </c>
      <c r="W170" s="5884" t="s">
        <v>7</v>
      </c>
      <c r="X170" s="5885" t="s">
        <v>352</v>
      </c>
      <c r="Y170" s="5885" t="s">
        <v>9</v>
      </c>
      <c r="Z170" s="5886" t="s">
        <v>353</v>
      </c>
      <c r="AA170" s="334"/>
      <c r="AB170" s="9"/>
      <c r="AC170" s="9"/>
      <c r="AD170" s="334"/>
      <c r="AE170" s="195"/>
      <c r="AF170" s="143"/>
      <c r="AG170" s="143"/>
    </row>
    <row r="171" spans="1:35" ht="66.75" customHeight="1">
      <c r="A171" s="193"/>
      <c r="B171" s="143"/>
      <c r="C171" s="143"/>
      <c r="D171" s="143"/>
      <c r="E171" s="143"/>
      <c r="F171" s="143"/>
      <c r="G171" s="143"/>
      <c r="H171" s="143"/>
      <c r="I171" s="143"/>
      <c r="J171" s="143"/>
      <c r="K171" s="143"/>
      <c r="L171" s="143"/>
      <c r="M171" s="143"/>
      <c r="N171" s="143"/>
      <c r="O171" s="143"/>
      <c r="T171" s="29"/>
      <c r="U171" s="601" t="s">
        <v>80</v>
      </c>
      <c r="V171" s="441" t="s">
        <v>16</v>
      </c>
      <c r="W171" s="926">
        <v>530204</v>
      </c>
      <c r="X171" s="690" t="s">
        <v>17</v>
      </c>
      <c r="Y171" s="1678" t="s">
        <v>25</v>
      </c>
      <c r="Z171" s="136">
        <f>AB14</f>
        <v>4378.8599999999997</v>
      </c>
      <c r="AA171" s="101"/>
      <c r="AB171" s="10"/>
      <c r="AC171" s="10"/>
      <c r="AD171" s="335"/>
      <c r="AE171" s="195"/>
      <c r="AF171" s="143"/>
      <c r="AG171" s="143"/>
    </row>
    <row r="172" spans="1:35" ht="66.75" customHeight="1">
      <c r="A172" s="193"/>
      <c r="B172" s="143"/>
      <c r="C172" s="143"/>
      <c r="D172" s="143"/>
      <c r="E172" s="143"/>
      <c r="F172" s="143"/>
      <c r="G172" s="143"/>
      <c r="H172" s="143"/>
      <c r="I172" s="143"/>
      <c r="J172" s="143"/>
      <c r="K172" s="143"/>
      <c r="L172" s="143"/>
      <c r="M172" s="143"/>
      <c r="N172" s="143"/>
      <c r="O172" s="143"/>
      <c r="T172" s="29"/>
      <c r="U172" s="601" t="s">
        <v>80</v>
      </c>
      <c r="V172" s="441" t="s">
        <v>16</v>
      </c>
      <c r="W172" s="926">
        <v>530204</v>
      </c>
      <c r="X172" s="690" t="s">
        <v>17</v>
      </c>
      <c r="Y172" s="1678" t="s">
        <v>26</v>
      </c>
      <c r="Z172" s="136">
        <f>AB17</f>
        <v>2352</v>
      </c>
      <c r="AA172" s="101"/>
      <c r="AB172" s="10"/>
      <c r="AC172" s="10"/>
      <c r="AD172" s="335"/>
      <c r="AE172" s="195"/>
      <c r="AF172" s="143"/>
      <c r="AG172" s="143"/>
    </row>
    <row r="173" spans="1:35" ht="33">
      <c r="A173" s="193"/>
      <c r="B173" s="143"/>
      <c r="C173" s="143"/>
      <c r="D173" s="143"/>
      <c r="E173" s="143"/>
      <c r="F173" s="143"/>
      <c r="G173" s="143"/>
      <c r="H173" s="143"/>
      <c r="I173" s="143"/>
      <c r="J173" s="143"/>
      <c r="K173" s="143"/>
      <c r="L173" s="143"/>
      <c r="M173" s="143"/>
      <c r="N173" s="143"/>
      <c r="O173" s="143"/>
      <c r="T173" s="29"/>
      <c r="U173" s="601" t="s">
        <v>80</v>
      </c>
      <c r="V173" s="441" t="s">
        <v>1301</v>
      </c>
      <c r="W173" s="926">
        <v>530302</v>
      </c>
      <c r="X173" s="690" t="s">
        <v>17</v>
      </c>
      <c r="Y173" s="1678" t="s">
        <v>25</v>
      </c>
      <c r="Z173" s="136">
        <f>AB19</f>
        <v>13567.6</v>
      </c>
      <c r="AA173" s="100"/>
      <c r="AB173" s="363"/>
      <c r="AC173" s="363"/>
      <c r="AD173" s="143"/>
      <c r="AE173" s="195"/>
      <c r="AF173" s="143"/>
      <c r="AG173" s="143"/>
    </row>
    <row r="174" spans="1:35" ht="33">
      <c r="A174" s="193"/>
      <c r="B174" s="143"/>
      <c r="C174" s="143"/>
      <c r="D174" s="143"/>
      <c r="E174" s="143"/>
      <c r="F174" s="143"/>
      <c r="G174" s="143"/>
      <c r="H174" s="143"/>
      <c r="I174" s="143"/>
      <c r="J174" s="143"/>
      <c r="K174" s="143"/>
      <c r="L174" s="143"/>
      <c r="M174" s="143"/>
      <c r="N174" s="143"/>
      <c r="O174" s="143"/>
      <c r="T174" s="29"/>
      <c r="U174" s="601" t="s">
        <v>80</v>
      </c>
      <c r="V174" s="441" t="s">
        <v>30</v>
      </c>
      <c r="W174" s="926">
        <v>530304</v>
      </c>
      <c r="X174" s="690" t="s">
        <v>17</v>
      </c>
      <c r="Y174" s="1678" t="s">
        <v>25</v>
      </c>
      <c r="Z174" s="136">
        <f>AB21</f>
        <v>3826</v>
      </c>
      <c r="AA174" s="100"/>
      <c r="AB174" s="363"/>
      <c r="AC174" s="363"/>
      <c r="AD174" s="143"/>
      <c r="AE174" s="195"/>
      <c r="AF174" s="143"/>
      <c r="AG174" s="143"/>
    </row>
    <row r="175" spans="1:35" ht="33">
      <c r="A175" s="193"/>
      <c r="B175" s="143"/>
      <c r="C175" s="143"/>
      <c r="D175" s="143"/>
      <c r="E175" s="143"/>
      <c r="F175" s="143"/>
      <c r="G175" s="143"/>
      <c r="H175" s="143"/>
      <c r="I175" s="143"/>
      <c r="J175" s="143"/>
      <c r="K175" s="143"/>
      <c r="L175" s="143"/>
      <c r="M175" s="143"/>
      <c r="N175" s="143"/>
      <c r="O175" s="143"/>
      <c r="T175" s="29"/>
      <c r="U175" s="601" t="s">
        <v>80</v>
      </c>
      <c r="V175" s="442" t="s">
        <v>1360</v>
      </c>
      <c r="W175" s="926">
        <v>530612</v>
      </c>
      <c r="X175" s="690" t="s">
        <v>17</v>
      </c>
      <c r="Y175" s="1678" t="s">
        <v>25</v>
      </c>
      <c r="Z175" s="136">
        <f>AB64</f>
        <v>13494.74</v>
      </c>
      <c r="AA175" s="100"/>
      <c r="AB175" s="363"/>
      <c r="AC175" s="363"/>
      <c r="AD175" s="143"/>
      <c r="AE175" s="195"/>
      <c r="AF175" s="143"/>
      <c r="AG175" s="143"/>
    </row>
    <row r="176" spans="1:35" ht="33">
      <c r="A176" s="193"/>
      <c r="B176" s="143"/>
      <c r="C176" s="143"/>
      <c r="D176" s="143"/>
      <c r="E176" s="143"/>
      <c r="F176" s="143"/>
      <c r="G176" s="143"/>
      <c r="H176" s="143"/>
      <c r="I176" s="143"/>
      <c r="J176" s="143"/>
      <c r="K176" s="143"/>
      <c r="L176" s="143"/>
      <c r="M176" s="143"/>
      <c r="N176" s="143"/>
      <c r="O176" s="143"/>
      <c r="T176" s="29"/>
      <c r="U176" s="601" t="s">
        <v>80</v>
      </c>
      <c r="V176" s="442" t="s">
        <v>1360</v>
      </c>
      <c r="W176" s="926">
        <v>530612</v>
      </c>
      <c r="X176" s="690" t="s">
        <v>17</v>
      </c>
      <c r="Y176" s="1678" t="s">
        <v>26</v>
      </c>
      <c r="Z176" s="136">
        <f>AB66</f>
        <v>150</v>
      </c>
      <c r="AA176" s="100"/>
      <c r="AB176" s="363"/>
      <c r="AC176" s="363"/>
      <c r="AD176" s="143"/>
      <c r="AE176" s="195"/>
      <c r="AF176" s="143"/>
      <c r="AG176" s="143"/>
    </row>
    <row r="177" spans="1:33" ht="33">
      <c r="A177" s="193"/>
      <c r="B177" s="143"/>
      <c r="C177" s="143"/>
      <c r="D177" s="143"/>
      <c r="E177" s="143"/>
      <c r="F177" s="143"/>
      <c r="G177" s="143"/>
      <c r="H177" s="143"/>
      <c r="I177" s="143"/>
      <c r="J177" s="143"/>
      <c r="K177" s="143"/>
      <c r="L177" s="143"/>
      <c r="M177" s="143"/>
      <c r="N177" s="143"/>
      <c r="O177" s="143"/>
      <c r="T177" s="29"/>
      <c r="U177" s="601" t="s">
        <v>80</v>
      </c>
      <c r="V177" s="441" t="s">
        <v>33</v>
      </c>
      <c r="W177" s="926">
        <v>530702</v>
      </c>
      <c r="X177" s="690" t="s">
        <v>17</v>
      </c>
      <c r="Y177" s="1678" t="s">
        <v>26</v>
      </c>
      <c r="Z177" s="136">
        <f>AB136</f>
        <v>5880</v>
      </c>
      <c r="AA177" s="100"/>
      <c r="AB177" s="363"/>
      <c r="AC177" s="363"/>
      <c r="AD177" s="143"/>
      <c r="AE177" s="195"/>
      <c r="AF177" s="143"/>
      <c r="AG177" s="143"/>
    </row>
    <row r="178" spans="1:33" ht="33">
      <c r="A178" s="193"/>
      <c r="B178" s="143"/>
      <c r="C178" s="143"/>
      <c r="D178" s="143"/>
      <c r="E178" s="143"/>
      <c r="F178" s="143"/>
      <c r="G178" s="143"/>
      <c r="H178" s="143"/>
      <c r="I178" s="143"/>
      <c r="J178" s="143"/>
      <c r="K178" s="143"/>
      <c r="L178" s="143"/>
      <c r="M178" s="143"/>
      <c r="N178" s="143"/>
      <c r="O178" s="143"/>
      <c r="T178" s="29"/>
      <c r="U178" s="601" t="s">
        <v>80</v>
      </c>
      <c r="V178" s="442" t="s">
        <v>39</v>
      </c>
      <c r="W178" s="926">
        <v>840104</v>
      </c>
      <c r="X178" s="690" t="s">
        <v>17</v>
      </c>
      <c r="Y178" s="1678" t="s">
        <v>18</v>
      </c>
      <c r="Z178" s="136">
        <f>AB115</f>
        <v>10710</v>
      </c>
      <c r="AA178" s="100"/>
      <c r="AB178" s="363"/>
      <c r="AC178" s="363"/>
      <c r="AD178" s="143"/>
      <c r="AE178" s="195"/>
      <c r="AF178" s="143"/>
      <c r="AG178" s="143"/>
    </row>
    <row r="179" spans="1:33" ht="33">
      <c r="A179" s="193"/>
      <c r="B179" s="143"/>
      <c r="C179" s="143"/>
      <c r="D179" s="143"/>
      <c r="E179" s="143"/>
      <c r="F179" s="143"/>
      <c r="G179" s="143"/>
      <c r="H179" s="143"/>
      <c r="I179" s="143"/>
      <c r="J179" s="143"/>
      <c r="K179" s="143"/>
      <c r="L179" s="143"/>
      <c r="M179" s="143"/>
      <c r="N179" s="143"/>
      <c r="O179" s="143"/>
      <c r="T179" s="29"/>
      <c r="U179" s="601" t="s">
        <v>80</v>
      </c>
      <c r="V179" s="442" t="s">
        <v>40</v>
      </c>
      <c r="W179" s="926">
        <v>840107</v>
      </c>
      <c r="X179" s="690" t="s">
        <v>17</v>
      </c>
      <c r="Y179" s="1678" t="s">
        <v>18</v>
      </c>
      <c r="Z179" s="136">
        <f>AB144</f>
        <v>11441.8256</v>
      </c>
      <c r="AA179" s="100"/>
      <c r="AB179" s="363"/>
      <c r="AC179" s="363"/>
      <c r="AD179" s="143"/>
      <c r="AE179" s="195"/>
      <c r="AF179" s="143"/>
      <c r="AG179" s="143"/>
    </row>
    <row r="180" spans="1:33" ht="49.5">
      <c r="A180" s="193"/>
      <c r="B180" s="143"/>
      <c r="C180" s="143"/>
      <c r="D180" s="143"/>
      <c r="E180" s="143"/>
      <c r="F180" s="143"/>
      <c r="G180" s="143"/>
      <c r="H180" s="143"/>
      <c r="I180" s="143"/>
      <c r="J180" s="143"/>
      <c r="K180" s="143"/>
      <c r="L180" s="143"/>
      <c r="M180" s="143"/>
      <c r="N180" s="143"/>
      <c r="O180" s="143"/>
      <c r="T180" s="29"/>
      <c r="U180" s="601" t="s">
        <v>81</v>
      </c>
      <c r="V180" s="441" t="s">
        <v>1323</v>
      </c>
      <c r="W180" s="926">
        <v>530239</v>
      </c>
      <c r="X180" s="690" t="s">
        <v>17</v>
      </c>
      <c r="Y180" s="1678" t="s">
        <v>26</v>
      </c>
      <c r="Z180" s="136">
        <f>AB34</f>
        <v>560</v>
      </c>
      <c r="AA180" s="334"/>
      <c r="AB180" s="334"/>
      <c r="AC180" s="334"/>
      <c r="AD180" s="2085"/>
      <c r="AE180" s="195"/>
      <c r="AF180" s="143"/>
      <c r="AG180" s="143"/>
    </row>
    <row r="181" spans="1:33" ht="49.5">
      <c r="A181" s="193"/>
      <c r="B181" s="143"/>
      <c r="C181" s="143"/>
      <c r="D181" s="143"/>
      <c r="E181" s="143"/>
      <c r="F181" s="143"/>
      <c r="G181" s="143"/>
      <c r="H181" s="143"/>
      <c r="I181" s="143"/>
      <c r="J181" s="143"/>
      <c r="K181" s="143"/>
      <c r="L181" s="143"/>
      <c r="M181" s="143"/>
      <c r="N181" s="143"/>
      <c r="O181" s="143"/>
      <c r="T181" s="29"/>
      <c r="U181" s="601" t="s">
        <v>81</v>
      </c>
      <c r="V181" s="441" t="s">
        <v>33</v>
      </c>
      <c r="W181" s="926">
        <v>530702</v>
      </c>
      <c r="X181" s="690" t="s">
        <v>17</v>
      </c>
      <c r="Y181" s="1678" t="s">
        <v>25</v>
      </c>
      <c r="Z181" s="136">
        <f>AB139</f>
        <v>0</v>
      </c>
      <c r="AA181" s="100"/>
      <c r="AB181" s="100"/>
      <c r="AC181" s="100"/>
      <c r="AD181" s="143"/>
      <c r="AE181" s="195"/>
      <c r="AF181" s="143"/>
      <c r="AG181" s="143"/>
    </row>
    <row r="182" spans="1:33" ht="49.5">
      <c r="A182" s="193"/>
      <c r="B182" s="143"/>
      <c r="C182" s="143"/>
      <c r="D182" s="143"/>
      <c r="E182" s="143"/>
      <c r="F182" s="143"/>
      <c r="G182" s="143"/>
      <c r="H182" s="143"/>
      <c r="I182" s="143"/>
      <c r="J182" s="143"/>
      <c r="K182" s="143"/>
      <c r="L182" s="143"/>
      <c r="M182" s="143"/>
      <c r="N182" s="143"/>
      <c r="O182" s="143"/>
      <c r="T182" s="29"/>
      <c r="U182" s="601" t="s">
        <v>81</v>
      </c>
      <c r="V182" s="442" t="s">
        <v>680</v>
      </c>
      <c r="W182" s="926">
        <v>570102</v>
      </c>
      <c r="X182" s="690" t="s">
        <v>17</v>
      </c>
      <c r="Y182" s="1678" t="s">
        <v>18</v>
      </c>
      <c r="Z182" s="136">
        <f>AB29</f>
        <v>1120</v>
      </c>
      <c r="AA182" s="920"/>
      <c r="AB182" s="100"/>
      <c r="AC182" s="100"/>
      <c r="AD182" s="143"/>
      <c r="AE182" s="195"/>
      <c r="AF182" s="143"/>
      <c r="AG182" s="143"/>
    </row>
    <row r="183" spans="1:33" ht="18" customHeight="1">
      <c r="A183" s="193"/>
      <c r="B183" s="143"/>
      <c r="C183" s="143"/>
      <c r="D183" s="143"/>
      <c r="E183" s="143"/>
      <c r="F183" s="143"/>
      <c r="G183" s="143"/>
      <c r="H183" s="143"/>
      <c r="I183" s="143"/>
      <c r="J183" s="143"/>
      <c r="K183" s="143"/>
      <c r="L183" s="143"/>
      <c r="M183" s="143"/>
      <c r="N183" s="143"/>
      <c r="O183" s="143"/>
      <c r="P183" s="143"/>
      <c r="Q183" s="242"/>
      <c r="R183" s="2188"/>
      <c r="S183" s="2189"/>
      <c r="T183" s="29"/>
      <c r="U183" s="5930"/>
      <c r="V183" s="5931" t="s">
        <v>67</v>
      </c>
      <c r="W183" s="5932"/>
      <c r="X183" s="5932"/>
      <c r="Y183" s="5926" t="s">
        <v>292</v>
      </c>
      <c r="Z183" s="5939">
        <f>SUM(Z171:Z182)</f>
        <v>67481.025599999994</v>
      </c>
      <c r="AA183" s="100"/>
      <c r="AB183" s="363"/>
      <c r="AC183" s="363"/>
      <c r="AD183" s="143"/>
      <c r="AE183" s="195"/>
      <c r="AF183" s="143"/>
      <c r="AG183" s="143"/>
    </row>
    <row r="184" spans="1:33" ht="16.5" customHeight="1">
      <c r="A184" s="193"/>
      <c r="B184" s="143"/>
      <c r="C184" s="143"/>
      <c r="D184" s="143"/>
      <c r="E184" s="143"/>
      <c r="F184" s="143"/>
      <c r="G184" s="143"/>
      <c r="H184" s="143"/>
      <c r="I184" s="143"/>
      <c r="J184" s="143"/>
      <c r="K184" s="143"/>
      <c r="L184" s="143"/>
      <c r="M184" s="143"/>
      <c r="N184" s="143"/>
      <c r="O184" s="143"/>
      <c r="P184" s="143"/>
      <c r="Q184" s="143"/>
      <c r="R184" s="143"/>
      <c r="T184" s="29"/>
      <c r="U184" s="28"/>
      <c r="V184" s="34"/>
      <c r="W184" s="35"/>
      <c r="X184" s="28"/>
      <c r="Y184" s="28"/>
      <c r="Z184" s="28"/>
      <c r="AA184" s="100"/>
      <c r="AB184" s="363"/>
      <c r="AC184" s="363"/>
      <c r="AD184" s="145"/>
      <c r="AE184" s="195"/>
      <c r="AF184" s="143"/>
      <c r="AG184" s="143"/>
    </row>
    <row r="185" spans="1:33" ht="16.5" customHeight="1">
      <c r="A185" s="193"/>
      <c r="B185" s="143"/>
      <c r="C185" s="143"/>
      <c r="D185" s="143"/>
      <c r="E185" s="143"/>
      <c r="F185" s="143"/>
      <c r="G185" s="143"/>
      <c r="H185" s="143"/>
      <c r="I185" s="143"/>
      <c r="J185" s="143"/>
      <c r="K185" s="143"/>
      <c r="L185" s="143"/>
      <c r="M185" s="143"/>
      <c r="N185" s="143"/>
      <c r="O185" s="143"/>
      <c r="P185" s="143"/>
      <c r="Q185" s="143"/>
      <c r="R185" s="143"/>
      <c r="T185" s="28"/>
      <c r="U185" s="28"/>
      <c r="V185" s="28"/>
      <c r="W185" s="28"/>
      <c r="X185" s="28"/>
      <c r="Y185" s="28"/>
      <c r="Z185" s="28"/>
      <c r="AA185" s="28"/>
      <c r="AB185" s="368"/>
      <c r="AC185" s="368"/>
      <c r="AD185" s="100"/>
      <c r="AE185" s="195"/>
      <c r="AF185" s="143"/>
      <c r="AG185" s="143"/>
    </row>
    <row r="186" spans="1:33" ht="16.5" customHeight="1">
      <c r="A186" s="193"/>
      <c r="B186" s="143"/>
      <c r="C186" s="143"/>
      <c r="D186" s="143"/>
      <c r="E186" s="143"/>
      <c r="F186" s="143"/>
      <c r="G186" s="143"/>
      <c r="H186" s="143"/>
      <c r="I186" s="143"/>
      <c r="J186" s="143"/>
      <c r="K186" s="143"/>
      <c r="L186" s="143"/>
      <c r="M186" s="143"/>
      <c r="N186" s="143"/>
      <c r="O186" s="143"/>
      <c r="P186" s="143"/>
      <c r="Q186" s="143"/>
      <c r="R186" s="143"/>
      <c r="U186" s="8764" t="s">
        <v>356</v>
      </c>
      <c r="V186" s="9366"/>
      <c r="W186" s="9367"/>
      <c r="X186" s="28"/>
      <c r="Y186" s="36" t="s">
        <v>357</v>
      </c>
      <c r="Z186" s="37" t="str">
        <f>IF(Z183=AB165,"OK","NO")</f>
        <v>OK</v>
      </c>
      <c r="AA186" s="28"/>
      <c r="AB186" s="368"/>
      <c r="AC186" s="368"/>
      <c r="AD186" s="127"/>
      <c r="AE186" s="143"/>
      <c r="AF186" s="195"/>
      <c r="AG186" s="143"/>
    </row>
    <row r="187" spans="1:33" ht="16.5" customHeight="1">
      <c r="A187" s="193"/>
      <c r="B187" s="143"/>
      <c r="C187" s="143"/>
      <c r="D187" s="143"/>
      <c r="E187" s="143"/>
      <c r="F187" s="143"/>
      <c r="G187" s="143"/>
      <c r="H187" s="143"/>
      <c r="I187" s="143"/>
      <c r="J187" s="143"/>
      <c r="K187" s="143"/>
      <c r="L187" s="143"/>
      <c r="M187" s="143"/>
      <c r="N187" s="143"/>
      <c r="O187" s="143"/>
      <c r="P187" s="143"/>
      <c r="Q187" s="143"/>
      <c r="R187" s="143"/>
      <c r="U187" s="9619" t="s">
        <v>358</v>
      </c>
      <c r="V187" s="9620"/>
      <c r="W187" s="2904">
        <f>+Z171+Z173+Z174+Z175+Z181</f>
        <v>35267.199999999997</v>
      </c>
      <c r="X187" s="35"/>
      <c r="Y187" s="28"/>
      <c r="Z187" s="37" t="str">
        <f>IF(W191=AB165,"OK","NO")</f>
        <v>OK</v>
      </c>
      <c r="AA187" s="28"/>
      <c r="AB187" s="368"/>
      <c r="AC187" s="368"/>
      <c r="AD187" s="127"/>
      <c r="AE187" s="143"/>
      <c r="AF187" s="195"/>
      <c r="AG187" s="143"/>
    </row>
    <row r="188" spans="1:33" ht="16.5" customHeight="1">
      <c r="A188" s="193"/>
      <c r="B188" s="143"/>
      <c r="C188" s="143"/>
      <c r="D188" s="143"/>
      <c r="E188" s="143"/>
      <c r="F188" s="143"/>
      <c r="G188" s="143"/>
      <c r="H188" s="143"/>
      <c r="I188" s="143"/>
      <c r="J188" s="143"/>
      <c r="K188" s="143"/>
      <c r="L188" s="143"/>
      <c r="M188" s="143"/>
      <c r="N188" s="143"/>
      <c r="O188" s="143"/>
      <c r="P188" s="143"/>
      <c r="Q188" s="143"/>
      <c r="R188" s="143"/>
      <c r="S188" s="143"/>
      <c r="T188" s="143"/>
      <c r="U188" s="9619" t="s">
        <v>359</v>
      </c>
      <c r="V188" s="9620"/>
      <c r="W188" s="2904">
        <f>+Z172+Z176+Z177+Z180</f>
        <v>8942</v>
      </c>
      <c r="X188" s="35"/>
      <c r="Y188" s="28"/>
      <c r="Z188" s="37" t="str">
        <f>IF(W201=AB165,"OK","NO")</f>
        <v>OK</v>
      </c>
      <c r="AA188" s="28"/>
      <c r="AB188" s="368"/>
      <c r="AC188" s="368"/>
      <c r="AD188" s="127"/>
      <c r="AE188" s="143"/>
      <c r="AF188" s="195"/>
      <c r="AG188" s="143"/>
    </row>
    <row r="189" spans="1:33" ht="16.5" customHeight="1">
      <c r="A189" s="193"/>
      <c r="B189" s="143"/>
      <c r="C189" s="143"/>
      <c r="D189" s="143"/>
      <c r="E189" s="143"/>
      <c r="F189" s="143"/>
      <c r="G189" s="143"/>
      <c r="H189" s="143"/>
      <c r="I189" s="143"/>
      <c r="J189" s="143"/>
      <c r="K189" s="143"/>
      <c r="L189" s="143"/>
      <c r="M189" s="143"/>
      <c r="N189" s="143"/>
      <c r="O189" s="143"/>
      <c r="P189" s="143"/>
      <c r="Q189" s="143"/>
      <c r="R189" s="143"/>
      <c r="S189" s="143"/>
      <c r="T189" s="143"/>
      <c r="U189" s="9619" t="s">
        <v>360</v>
      </c>
      <c r="V189" s="9620"/>
      <c r="W189" s="2904">
        <f>+Z178+Z179+Z182</f>
        <v>23271.8256</v>
      </c>
      <c r="X189" s="35"/>
      <c r="Y189" s="35"/>
      <c r="Z189" s="37" t="str">
        <f>IF(Resumen!C408=AB165,"OK","NO")</f>
        <v>OK</v>
      </c>
      <c r="AA189" s="28"/>
      <c r="AB189" s="368"/>
      <c r="AC189" s="368"/>
      <c r="AD189" s="127"/>
      <c r="AE189" s="143"/>
      <c r="AF189" s="195"/>
      <c r="AG189" s="143"/>
    </row>
    <row r="190" spans="1:33" ht="16.5" customHeight="1">
      <c r="A190" s="193"/>
      <c r="B190" s="143"/>
      <c r="C190" s="143"/>
      <c r="D190" s="143"/>
      <c r="E190" s="143"/>
      <c r="F190" s="143"/>
      <c r="G190" s="143"/>
      <c r="H190" s="143"/>
      <c r="I190" s="143"/>
      <c r="J190" s="143"/>
      <c r="K190" s="143"/>
      <c r="L190" s="143"/>
      <c r="M190" s="143"/>
      <c r="N190" s="143"/>
      <c r="O190" s="143"/>
      <c r="P190" s="143"/>
      <c r="Q190" s="143"/>
      <c r="R190" s="143"/>
      <c r="S190" s="143"/>
      <c r="T190" s="143"/>
      <c r="U190" s="9619" t="s">
        <v>361</v>
      </c>
      <c r="V190" s="9620"/>
      <c r="W190" s="2879">
        <v>0</v>
      </c>
      <c r="X190" s="35"/>
      <c r="Y190" s="35"/>
      <c r="Z190" s="28"/>
      <c r="AA190" s="28"/>
      <c r="AB190" s="368"/>
      <c r="AC190" s="368"/>
      <c r="AD190" s="127"/>
      <c r="AE190" s="143"/>
      <c r="AF190" s="195"/>
      <c r="AG190" s="143"/>
    </row>
    <row r="191" spans="1:33" ht="16.5" customHeight="1">
      <c r="A191" s="193"/>
      <c r="B191" s="143"/>
      <c r="C191" s="143"/>
      <c r="D191" s="143"/>
      <c r="E191" s="143"/>
      <c r="F191" s="143"/>
      <c r="G191" s="143"/>
      <c r="H191" s="143"/>
      <c r="I191" s="143"/>
      <c r="J191" s="143"/>
      <c r="K191" s="143"/>
      <c r="L191" s="143"/>
      <c r="M191" s="143"/>
      <c r="N191" s="143"/>
      <c r="O191" s="143"/>
      <c r="P191" s="143"/>
      <c r="Q191" s="143"/>
      <c r="R191" s="143"/>
      <c r="S191" s="143"/>
      <c r="T191" s="143"/>
      <c r="U191" s="8757" t="s">
        <v>67</v>
      </c>
      <c r="V191" s="9633"/>
      <c r="W191" s="753">
        <f>SUM(W187:W190)</f>
        <v>67481.025599999994</v>
      </c>
      <c r="X191" s="35"/>
      <c r="Y191" s="35"/>
      <c r="Z191" s="28"/>
      <c r="AA191" s="28"/>
      <c r="AB191" s="368"/>
      <c r="AC191" s="368"/>
      <c r="AD191" s="127"/>
      <c r="AE191" s="143"/>
      <c r="AF191" s="195"/>
      <c r="AG191" s="143"/>
    </row>
    <row r="192" spans="1:33" ht="16.5" customHeight="1">
      <c r="A192" s="193"/>
      <c r="B192" s="143"/>
      <c r="C192" s="143"/>
      <c r="D192" s="143"/>
      <c r="E192" s="143"/>
      <c r="F192" s="143"/>
      <c r="G192" s="143"/>
      <c r="H192" s="143"/>
      <c r="I192" s="143"/>
      <c r="J192" s="143"/>
      <c r="K192" s="143"/>
      <c r="L192" s="143"/>
      <c r="M192" s="143"/>
      <c r="N192" s="143"/>
      <c r="O192" s="143"/>
      <c r="P192" s="143"/>
      <c r="Q192" s="143"/>
      <c r="R192" s="143"/>
      <c r="S192" s="143"/>
      <c r="T192" s="143"/>
      <c r="U192" s="8758" t="s">
        <v>362</v>
      </c>
      <c r="V192" s="9373"/>
      <c r="W192" s="9374"/>
      <c r="X192" s="38"/>
      <c r="Y192" s="38"/>
      <c r="Z192" s="28"/>
      <c r="AA192" s="28"/>
      <c r="AB192" s="368"/>
      <c r="AC192" s="368"/>
      <c r="AD192" s="127"/>
      <c r="AE192" s="143"/>
      <c r="AF192" s="195"/>
      <c r="AG192" s="143"/>
    </row>
    <row r="193" spans="1:33" ht="16.5" customHeight="1">
      <c r="A193" s="193"/>
      <c r="B193" s="143"/>
      <c r="C193" s="143"/>
      <c r="D193" s="143"/>
      <c r="E193" s="143"/>
      <c r="F193" s="143"/>
      <c r="G193" s="143"/>
      <c r="H193" s="143"/>
      <c r="I193" s="143"/>
      <c r="J193" s="143"/>
      <c r="K193" s="143"/>
      <c r="L193" s="143"/>
      <c r="M193" s="143"/>
      <c r="N193" s="143"/>
      <c r="O193" s="143"/>
      <c r="P193" s="143"/>
      <c r="Q193" s="143"/>
      <c r="R193" s="143"/>
      <c r="S193" s="143"/>
      <c r="T193" s="143"/>
      <c r="U193" s="9634" t="s">
        <v>363</v>
      </c>
      <c r="V193" s="9620"/>
      <c r="W193" s="2904">
        <v>0</v>
      </c>
      <c r="X193" s="38"/>
      <c r="Y193" s="38"/>
      <c r="Z193" s="28"/>
      <c r="AA193" s="28"/>
      <c r="AB193" s="368"/>
      <c r="AC193" s="368"/>
      <c r="AD193" s="127"/>
      <c r="AE193" s="143"/>
      <c r="AF193" s="195"/>
      <c r="AG193" s="143"/>
    </row>
    <row r="194" spans="1:33" ht="16.5" customHeight="1">
      <c r="A194" s="193"/>
      <c r="B194" s="143"/>
      <c r="C194" s="143"/>
      <c r="D194" s="143"/>
      <c r="E194" s="143"/>
      <c r="F194" s="143"/>
      <c r="G194" s="143"/>
      <c r="H194" s="143"/>
      <c r="I194" s="143"/>
      <c r="J194" s="143"/>
      <c r="K194" s="143"/>
      <c r="L194" s="143"/>
      <c r="M194" s="143"/>
      <c r="N194" s="143"/>
      <c r="O194" s="143"/>
      <c r="P194" s="143"/>
      <c r="Q194" s="143"/>
      <c r="R194" s="143"/>
      <c r="S194" s="143"/>
      <c r="T194" s="143"/>
      <c r="U194" s="9621" t="s">
        <v>364</v>
      </c>
      <c r="V194" s="9620"/>
      <c r="W194" s="2904">
        <f>+SUM(Z171:Z177)+Z180+Z181</f>
        <v>44209.2</v>
      </c>
      <c r="X194" s="38"/>
      <c r="Y194" s="38"/>
      <c r="Z194" s="28"/>
      <c r="AA194" s="28"/>
      <c r="AB194" s="368"/>
      <c r="AC194" s="368"/>
      <c r="AD194" s="127"/>
      <c r="AE194" s="143"/>
      <c r="AF194" s="195"/>
      <c r="AG194" s="143"/>
    </row>
    <row r="195" spans="1:33" ht="16.5" customHeight="1">
      <c r="A195" s="193"/>
      <c r="B195" s="143"/>
      <c r="C195" s="143"/>
      <c r="D195" s="143"/>
      <c r="E195" s="143"/>
      <c r="F195" s="143"/>
      <c r="G195" s="143"/>
      <c r="H195" s="143"/>
      <c r="I195" s="143"/>
      <c r="J195" s="143"/>
      <c r="K195" s="143"/>
      <c r="L195" s="143"/>
      <c r="M195" s="143"/>
      <c r="N195" s="143"/>
      <c r="O195" s="143"/>
      <c r="P195" s="143"/>
      <c r="Q195" s="143"/>
      <c r="R195" s="143"/>
      <c r="S195" s="143"/>
      <c r="T195" s="143"/>
      <c r="U195" s="9621" t="s">
        <v>365</v>
      </c>
      <c r="V195" s="9620"/>
      <c r="W195" s="2904">
        <f>Z182</f>
        <v>1120</v>
      </c>
      <c r="X195" s="39"/>
      <c r="Y195" s="39"/>
      <c r="Z195" s="28"/>
      <c r="AA195" s="28"/>
      <c r="AB195" s="368"/>
      <c r="AC195" s="368"/>
      <c r="AD195" s="127"/>
      <c r="AE195" s="143"/>
      <c r="AF195" s="195"/>
      <c r="AG195" s="143"/>
    </row>
    <row r="196" spans="1:33" ht="16.5" customHeight="1">
      <c r="A196" s="193"/>
      <c r="B196" s="143"/>
      <c r="C196" s="143"/>
      <c r="D196" s="143"/>
      <c r="E196" s="143"/>
      <c r="F196" s="143"/>
      <c r="G196" s="143"/>
      <c r="H196" s="143"/>
      <c r="I196" s="143"/>
      <c r="J196" s="143"/>
      <c r="K196" s="143"/>
      <c r="L196" s="143"/>
      <c r="M196" s="143"/>
      <c r="N196" s="143"/>
      <c r="O196" s="143"/>
      <c r="P196" s="143"/>
      <c r="Q196" s="143"/>
      <c r="R196" s="143"/>
      <c r="S196" s="143"/>
      <c r="T196" s="143"/>
      <c r="U196" s="9621" t="s">
        <v>366</v>
      </c>
      <c r="V196" s="9620"/>
      <c r="W196" s="2904">
        <v>0</v>
      </c>
      <c r="X196" s="35"/>
      <c r="Y196" s="35"/>
      <c r="Z196" s="28"/>
      <c r="AA196" s="28"/>
      <c r="AB196" s="368"/>
      <c r="AC196" s="368"/>
      <c r="AD196" s="127"/>
      <c r="AE196" s="143"/>
      <c r="AF196" s="195"/>
      <c r="AG196" s="143"/>
    </row>
    <row r="197" spans="1:33" ht="16.5" customHeight="1">
      <c r="A197" s="193"/>
      <c r="B197" s="143"/>
      <c r="C197" s="143"/>
      <c r="D197" s="143"/>
      <c r="E197" s="143"/>
      <c r="F197" s="143"/>
      <c r="G197" s="143"/>
      <c r="H197" s="143"/>
      <c r="I197" s="143"/>
      <c r="J197" s="143"/>
      <c r="K197" s="143"/>
      <c r="L197" s="143"/>
      <c r="M197" s="143"/>
      <c r="N197" s="143"/>
      <c r="O197" s="143"/>
      <c r="P197" s="143"/>
      <c r="Q197" s="143"/>
      <c r="R197" s="143"/>
      <c r="S197" s="143"/>
      <c r="T197" s="143"/>
      <c r="U197" s="9621" t="s">
        <v>367</v>
      </c>
      <c r="V197" s="9620"/>
      <c r="W197" s="2904">
        <v>0</v>
      </c>
      <c r="X197" s="40"/>
      <c r="Y197" s="40"/>
      <c r="Z197" s="1745"/>
      <c r="AB197" s="365"/>
      <c r="AD197"/>
      <c r="AE197" s="143"/>
      <c r="AF197" s="195"/>
      <c r="AG197" s="143"/>
    </row>
    <row r="198" spans="1:33" ht="16.5" customHeight="1">
      <c r="A198" s="193"/>
      <c r="B198" s="143"/>
      <c r="C198" s="143"/>
      <c r="D198" s="143"/>
      <c r="E198" s="143"/>
      <c r="F198" s="143"/>
      <c r="G198" s="143"/>
      <c r="H198" s="143"/>
      <c r="I198" s="143"/>
      <c r="J198" s="143"/>
      <c r="K198" s="143"/>
      <c r="L198" s="143"/>
      <c r="M198" s="143"/>
      <c r="N198" s="143"/>
      <c r="O198" s="143"/>
      <c r="P198" s="143"/>
      <c r="Q198" s="143"/>
      <c r="R198" s="143"/>
      <c r="S198" s="143"/>
      <c r="T198" s="143"/>
      <c r="U198" s="9621" t="s">
        <v>368</v>
      </c>
      <c r="V198" s="9620"/>
      <c r="W198" s="2904">
        <v>0</v>
      </c>
      <c r="X198" s="40"/>
      <c r="Y198" s="40"/>
      <c r="Z198" s="2067"/>
      <c r="AA198" s="2067"/>
      <c r="AB198" s="2066"/>
      <c r="AC198" s="2066"/>
      <c r="AD198" s="2067"/>
      <c r="AE198" s="143"/>
      <c r="AF198" s="195"/>
      <c r="AG198" s="143"/>
    </row>
    <row r="199" spans="1:33" ht="16.5" customHeight="1">
      <c r="A199" s="193"/>
      <c r="B199" s="143"/>
      <c r="C199" s="143"/>
      <c r="D199" s="143"/>
      <c r="E199" s="143"/>
      <c r="F199" s="143"/>
      <c r="G199" s="143"/>
      <c r="H199" s="143"/>
      <c r="I199" s="143"/>
      <c r="J199" s="143"/>
      <c r="K199" s="143"/>
      <c r="L199" s="143"/>
      <c r="M199" s="143"/>
      <c r="N199" s="143"/>
      <c r="O199" s="143"/>
      <c r="P199" s="143"/>
      <c r="Q199" s="143"/>
      <c r="R199" s="143"/>
      <c r="S199" s="143"/>
      <c r="T199" s="143"/>
      <c r="U199" s="9621" t="s">
        <v>369</v>
      </c>
      <c r="V199" s="9620"/>
      <c r="W199" s="2904">
        <f>Z178+Z179</f>
        <v>22151.8256</v>
      </c>
      <c r="X199" s="40"/>
      <c r="Y199" s="40"/>
      <c r="Z199" s="2073"/>
      <c r="AA199" s="85"/>
      <c r="AB199" s="2068"/>
      <c r="AC199" s="2068"/>
      <c r="AD199" s="2100"/>
      <c r="AE199" s="143"/>
      <c r="AF199" s="195"/>
      <c r="AG199" s="143"/>
    </row>
    <row r="200" spans="1:33" ht="16.5" customHeight="1">
      <c r="A200" s="193"/>
      <c r="B200" s="143"/>
      <c r="C200" s="143"/>
      <c r="D200" s="143"/>
      <c r="E200" s="143"/>
      <c r="F200" s="143"/>
      <c r="G200" s="143"/>
      <c r="H200" s="143"/>
      <c r="I200" s="143"/>
      <c r="J200" s="143"/>
      <c r="K200" s="143"/>
      <c r="L200" s="143"/>
      <c r="M200" s="143"/>
      <c r="N200" s="143"/>
      <c r="O200" s="143"/>
      <c r="P200" s="143"/>
      <c r="Q200" s="143"/>
      <c r="R200" s="143"/>
      <c r="S200" s="143"/>
      <c r="T200" s="143"/>
      <c r="U200" s="9621" t="s">
        <v>370</v>
      </c>
      <c r="V200" s="9620"/>
      <c r="W200" s="2879">
        <v>0</v>
      </c>
      <c r="X200" s="41"/>
      <c r="Y200" s="41"/>
      <c r="Z200" s="29"/>
      <c r="AA200" s="29"/>
      <c r="AB200" s="372"/>
      <c r="AC200" s="372"/>
      <c r="AD200" s="127"/>
      <c r="AE200" s="143"/>
      <c r="AF200" s="195"/>
      <c r="AG200" s="143"/>
    </row>
    <row r="201" spans="1:33" ht="16.5" customHeight="1">
      <c r="A201" s="193"/>
      <c r="B201" s="143"/>
      <c r="C201" s="143"/>
      <c r="D201" s="143"/>
      <c r="E201" s="143"/>
      <c r="F201" s="143"/>
      <c r="G201" s="143"/>
      <c r="H201" s="143"/>
      <c r="I201" s="143"/>
      <c r="J201" s="143"/>
      <c r="K201" s="143"/>
      <c r="L201" s="143"/>
      <c r="M201" s="143"/>
      <c r="N201" s="143"/>
      <c r="O201" s="143"/>
      <c r="P201" s="143"/>
      <c r="Q201" s="143"/>
      <c r="R201" s="143"/>
      <c r="S201" s="143"/>
      <c r="T201" s="143"/>
      <c r="U201" s="8754" t="s">
        <v>67</v>
      </c>
      <c r="V201" s="9632"/>
      <c r="W201" s="754">
        <f>SUM(W193:W200)</f>
        <v>67481.025599999994</v>
      </c>
      <c r="X201" s="39"/>
      <c r="Y201" s="39"/>
      <c r="Z201" s="28"/>
      <c r="AA201" s="28"/>
      <c r="AB201" s="368"/>
      <c r="AC201" s="368"/>
      <c r="AD201" s="127"/>
      <c r="AE201" s="143"/>
      <c r="AF201" s="195"/>
      <c r="AG201" s="143"/>
    </row>
    <row r="202" spans="1:33" ht="16.5" customHeight="1">
      <c r="A202" s="193"/>
      <c r="B202" s="143"/>
      <c r="C202" s="143"/>
      <c r="D202" s="143"/>
      <c r="E202" s="143"/>
      <c r="F202" s="143"/>
      <c r="G202" s="143"/>
      <c r="H202" s="143"/>
      <c r="I202" s="143"/>
      <c r="J202" s="143"/>
      <c r="K202" s="143"/>
      <c r="L202" s="143"/>
      <c r="M202" s="143"/>
      <c r="N202" s="143"/>
      <c r="O202" s="143"/>
      <c r="P202" s="143"/>
      <c r="Q202" s="143"/>
      <c r="R202" s="143"/>
      <c r="S202" s="143"/>
      <c r="T202" s="143"/>
      <c r="AB202" s="365"/>
      <c r="AD202" s="143"/>
      <c r="AE202" s="143"/>
      <c r="AF202" s="195"/>
      <c r="AG202" s="143"/>
    </row>
    <row r="203" spans="1:33" ht="15.75" customHeight="1">
      <c r="AB203" s="365"/>
      <c r="AD203"/>
    </row>
    <row r="204" spans="1:33" ht="15.75" customHeight="1">
      <c r="AB204" s="365"/>
      <c r="AD204"/>
    </row>
  </sheetData>
  <mergeCells count="564">
    <mergeCell ref="AH64:AH68"/>
    <mergeCell ref="AH69:AH73"/>
    <mergeCell ref="AH74:AH78"/>
    <mergeCell ref="AH79:AH83"/>
    <mergeCell ref="AH84:AH88"/>
    <mergeCell ref="S89:Z89"/>
    <mergeCell ref="AE89:AH89"/>
    <mergeCell ref="AH24:AH28"/>
    <mergeCell ref="AH29:AH33"/>
    <mergeCell ref="O29:O33"/>
    <mergeCell ref="P29:P33"/>
    <mergeCell ref="R34:R38"/>
    <mergeCell ref="AH49:AH53"/>
    <mergeCell ref="AH54:AH58"/>
    <mergeCell ref="AH59:AH63"/>
    <mergeCell ref="Q59:Q63"/>
    <mergeCell ref="R59:R63"/>
    <mergeCell ref="C29:C33"/>
    <mergeCell ref="D29:D33"/>
    <mergeCell ref="E29:E33"/>
    <mergeCell ref="F29:F33"/>
    <mergeCell ref="G29:G33"/>
    <mergeCell ref="H29:H33"/>
    <mergeCell ref="I29:I33"/>
    <mergeCell ref="Q29:Q33"/>
    <mergeCell ref="R29:R33"/>
    <mergeCell ref="J29:J33"/>
    <mergeCell ref="K29:K33"/>
    <mergeCell ref="L29:L33"/>
    <mergeCell ref="M29:M33"/>
    <mergeCell ref="N29:N33"/>
    <mergeCell ref="J34:J38"/>
    <mergeCell ref="K34:K38"/>
    <mergeCell ref="L24:L28"/>
    <mergeCell ref="M24:M28"/>
    <mergeCell ref="N24:N28"/>
    <mergeCell ref="O24:O28"/>
    <mergeCell ref="P24:P28"/>
    <mergeCell ref="Q24:Q28"/>
    <mergeCell ref="R24:R28"/>
    <mergeCell ref="C24:C28"/>
    <mergeCell ref="D24:D28"/>
    <mergeCell ref="E24:E28"/>
    <mergeCell ref="F24:F28"/>
    <mergeCell ref="G24:G28"/>
    <mergeCell ref="H24:H28"/>
    <mergeCell ref="I24:I28"/>
    <mergeCell ref="J24:J28"/>
    <mergeCell ref="K24:K28"/>
    <mergeCell ref="L34:L38"/>
    <mergeCell ref="M34:M38"/>
    <mergeCell ref="N34:N38"/>
    <mergeCell ref="O34:O38"/>
    <mergeCell ref="P34:P38"/>
    <mergeCell ref="AH34:AH38"/>
    <mergeCell ref="J6:R6"/>
    <mergeCell ref="S6:AH6"/>
    <mergeCell ref="S7:V7"/>
    <mergeCell ref="AE7:AG7"/>
    <mergeCell ref="AH7:AH8"/>
    <mergeCell ref="L14:L18"/>
    <mergeCell ref="M14:M18"/>
    <mergeCell ref="AH14:AH18"/>
    <mergeCell ref="J14:J18"/>
    <mergeCell ref="K14:K18"/>
    <mergeCell ref="Q14:Q18"/>
    <mergeCell ref="R14:R18"/>
    <mergeCell ref="Q7:Q8"/>
    <mergeCell ref="R7:R8"/>
    <mergeCell ref="L7:L8"/>
    <mergeCell ref="Z7:AD7"/>
    <mergeCell ref="Q19:Q23"/>
    <mergeCell ref="R19:R23"/>
    <mergeCell ref="A1:AH1"/>
    <mergeCell ref="A2:AH2"/>
    <mergeCell ref="A3:AH3"/>
    <mergeCell ref="A4:AH4"/>
    <mergeCell ref="A6:B8"/>
    <mergeCell ref="C6:D6"/>
    <mergeCell ref="E6:I6"/>
    <mergeCell ref="Q9:Q13"/>
    <mergeCell ref="R9:R13"/>
    <mergeCell ref="AH9:AH13"/>
    <mergeCell ref="J9:J13"/>
    <mergeCell ref="K9:K13"/>
    <mergeCell ref="L9:L13"/>
    <mergeCell ref="M9:M13"/>
    <mergeCell ref="N9:N13"/>
    <mergeCell ref="O9:O13"/>
    <mergeCell ref="P9:P13"/>
    <mergeCell ref="G7:G8"/>
    <mergeCell ref="H7:H8"/>
    <mergeCell ref="I7:I8"/>
    <mergeCell ref="J7:J8"/>
    <mergeCell ref="M7:O7"/>
    <mergeCell ref="P7:P8"/>
    <mergeCell ref="K7:K8"/>
    <mergeCell ref="J39:J43"/>
    <mergeCell ref="K39:K43"/>
    <mergeCell ref="AH39:AH43"/>
    <mergeCell ref="AH44:AH48"/>
    <mergeCell ref="J44:J48"/>
    <mergeCell ref="K44:K48"/>
    <mergeCell ref="K19:K23"/>
    <mergeCell ref="AH19:AH23"/>
    <mergeCell ref="C19:C23"/>
    <mergeCell ref="D19:D23"/>
    <mergeCell ref="E19:E23"/>
    <mergeCell ref="F19:F23"/>
    <mergeCell ref="G19:G23"/>
    <mergeCell ref="H19:H23"/>
    <mergeCell ref="I19:I23"/>
    <mergeCell ref="C34:C38"/>
    <mergeCell ref="D34:D38"/>
    <mergeCell ref="E34:E38"/>
    <mergeCell ref="F34:F38"/>
    <mergeCell ref="G34:G38"/>
    <mergeCell ref="H34:H38"/>
    <mergeCell ref="I34:I38"/>
    <mergeCell ref="J19:J23"/>
    <mergeCell ref="Q34:Q38"/>
    <mergeCell ref="L39:L43"/>
    <mergeCell ref="M39:M43"/>
    <mergeCell ref="N39:N43"/>
    <mergeCell ref="O39:O43"/>
    <mergeCell ref="P39:P43"/>
    <mergeCell ref="Q39:Q43"/>
    <mergeCell ref="R39:R43"/>
    <mergeCell ref="Q44:Q48"/>
    <mergeCell ref="R44:R48"/>
    <mergeCell ref="L44:L48"/>
    <mergeCell ref="M44:M48"/>
    <mergeCell ref="N44:N48"/>
    <mergeCell ref="O44:O48"/>
    <mergeCell ref="P44:P48"/>
    <mergeCell ref="C39:C43"/>
    <mergeCell ref="D39:D43"/>
    <mergeCell ref="C44:C48"/>
    <mergeCell ref="D44:D48"/>
    <mergeCell ref="E44:E48"/>
    <mergeCell ref="F44:F48"/>
    <mergeCell ref="G44:G48"/>
    <mergeCell ref="H44:H48"/>
    <mergeCell ref="I44:I48"/>
    <mergeCell ref="E39:E43"/>
    <mergeCell ref="F39:F43"/>
    <mergeCell ref="G39:G43"/>
    <mergeCell ref="H39:H43"/>
    <mergeCell ref="I39:I43"/>
    <mergeCell ref="C49:C53"/>
    <mergeCell ref="D49:D53"/>
    <mergeCell ref="E49:E53"/>
    <mergeCell ref="F49:F53"/>
    <mergeCell ref="G49:G53"/>
    <mergeCell ref="H49:H53"/>
    <mergeCell ref="I49:I53"/>
    <mergeCell ref="Q49:Q53"/>
    <mergeCell ref="R49:R53"/>
    <mergeCell ref="J49:J53"/>
    <mergeCell ref="K49:K53"/>
    <mergeCell ref="L49:L53"/>
    <mergeCell ref="M49:M53"/>
    <mergeCell ref="N49:N53"/>
    <mergeCell ref="O49:O53"/>
    <mergeCell ref="P49:P53"/>
    <mergeCell ref="U198:V198"/>
    <mergeCell ref="U199:V199"/>
    <mergeCell ref="U200:V200"/>
    <mergeCell ref="U201:V201"/>
    <mergeCell ref="U190:V190"/>
    <mergeCell ref="U191:V191"/>
    <mergeCell ref="U192:W192"/>
    <mergeCell ref="U193:V193"/>
    <mergeCell ref="U194:V194"/>
    <mergeCell ref="U195:V195"/>
    <mergeCell ref="U196:V196"/>
    <mergeCell ref="I74:I78"/>
    <mergeCell ref="AH139:AH143"/>
    <mergeCell ref="AH144:AH148"/>
    <mergeCell ref="AH149:AH153"/>
    <mergeCell ref="AH154:AH158"/>
    <mergeCell ref="AH159:AH163"/>
    <mergeCell ref="S164:Z164"/>
    <mergeCell ref="AE164:AH164"/>
    <mergeCell ref="S165:Z165"/>
    <mergeCell ref="AE165:AH165"/>
    <mergeCell ref="AH90:AH94"/>
    <mergeCell ref="AH95:AH99"/>
    <mergeCell ref="AH100:AH104"/>
    <mergeCell ref="AH105:AH109"/>
    <mergeCell ref="AH110:AH114"/>
    <mergeCell ref="AH115:AH123"/>
    <mergeCell ref="AH124:AH128"/>
    <mergeCell ref="AH129:AH133"/>
    <mergeCell ref="AH134:AH138"/>
    <mergeCell ref="N100:N104"/>
    <mergeCell ref="N105:N109"/>
    <mergeCell ref="N110:N114"/>
    <mergeCell ref="N124:N128"/>
    <mergeCell ref="N149:N153"/>
    <mergeCell ref="S166:AH166"/>
    <mergeCell ref="U168:Z168"/>
    <mergeCell ref="U186:W186"/>
    <mergeCell ref="U187:V187"/>
    <mergeCell ref="U188:V188"/>
    <mergeCell ref="U189:V189"/>
    <mergeCell ref="U197:V197"/>
    <mergeCell ref="L105:L109"/>
    <mergeCell ref="M105:M109"/>
    <mergeCell ref="O105:O109"/>
    <mergeCell ref="P105:P109"/>
    <mergeCell ref="Q105:Q109"/>
    <mergeCell ref="R105:R109"/>
    <mergeCell ref="L110:L114"/>
    <mergeCell ref="M110:M114"/>
    <mergeCell ref="O110:O114"/>
    <mergeCell ref="P110:P114"/>
    <mergeCell ref="Q110:Q114"/>
    <mergeCell ref="R110:R114"/>
    <mergeCell ref="P115:P123"/>
    <mergeCell ref="Q115:Q123"/>
    <mergeCell ref="R115:R123"/>
    <mergeCell ref="N154:N158"/>
    <mergeCell ref="N159:N163"/>
    <mergeCell ref="N69:N73"/>
    <mergeCell ref="O69:O73"/>
    <mergeCell ref="P69:P73"/>
    <mergeCell ref="Q69:Q73"/>
    <mergeCell ref="R69:R73"/>
    <mergeCell ref="E69:E73"/>
    <mergeCell ref="F69:F73"/>
    <mergeCell ref="G69:G73"/>
    <mergeCell ref="H69:H73"/>
    <mergeCell ref="I69:I73"/>
    <mergeCell ref="J69:J73"/>
    <mergeCell ref="K69:K73"/>
    <mergeCell ref="L69:L73"/>
    <mergeCell ref="M69:M73"/>
    <mergeCell ref="J74:J78"/>
    <mergeCell ref="K74:K78"/>
    <mergeCell ref="L74:L78"/>
    <mergeCell ref="M74:M78"/>
    <mergeCell ref="Q79:Q83"/>
    <mergeCell ref="R79:R83"/>
    <mergeCell ref="E79:E83"/>
    <mergeCell ref="F79:F83"/>
    <mergeCell ref="G79:G83"/>
    <mergeCell ref="H79:H83"/>
    <mergeCell ref="I79:I83"/>
    <mergeCell ref="J79:J83"/>
    <mergeCell ref="K79:K83"/>
    <mergeCell ref="L79:L83"/>
    <mergeCell ref="M79:M83"/>
    <mergeCell ref="N74:N78"/>
    <mergeCell ref="O74:O78"/>
    <mergeCell ref="P74:P78"/>
    <mergeCell ref="Q74:Q78"/>
    <mergeCell ref="R74:R78"/>
    <mergeCell ref="E74:E78"/>
    <mergeCell ref="F74:F78"/>
    <mergeCell ref="G74:G78"/>
    <mergeCell ref="H74:H78"/>
    <mergeCell ref="E100:E104"/>
    <mergeCell ref="F100:F104"/>
    <mergeCell ref="G100:G104"/>
    <mergeCell ref="H100:H104"/>
    <mergeCell ref="I100:I104"/>
    <mergeCell ref="J100:J104"/>
    <mergeCell ref="K100:K104"/>
    <mergeCell ref="E110:E114"/>
    <mergeCell ref="F110:F114"/>
    <mergeCell ref="G110:G114"/>
    <mergeCell ref="H110:H114"/>
    <mergeCell ref="I110:I114"/>
    <mergeCell ref="J110:J114"/>
    <mergeCell ref="K110:K114"/>
    <mergeCell ref="E105:E109"/>
    <mergeCell ref="F105:F109"/>
    <mergeCell ref="G105:G109"/>
    <mergeCell ref="H105:H109"/>
    <mergeCell ref="I105:I109"/>
    <mergeCell ref="J105:J109"/>
    <mergeCell ref="K105:K109"/>
    <mergeCell ref="I115:I123"/>
    <mergeCell ref="J115:J123"/>
    <mergeCell ref="K115:K123"/>
    <mergeCell ref="L115:L123"/>
    <mergeCell ref="M115:M123"/>
    <mergeCell ref="N115:N123"/>
    <mergeCell ref="O115:O123"/>
    <mergeCell ref="D105:D109"/>
    <mergeCell ref="D110:D114"/>
    <mergeCell ref="D115:D123"/>
    <mergeCell ref="E115:E123"/>
    <mergeCell ref="F115:F123"/>
    <mergeCell ref="G115:G123"/>
    <mergeCell ref="H115:H123"/>
    <mergeCell ref="E129:E133"/>
    <mergeCell ref="F129:F133"/>
    <mergeCell ref="G129:G133"/>
    <mergeCell ref="H129:H133"/>
    <mergeCell ref="I129:I133"/>
    <mergeCell ref="J129:J133"/>
    <mergeCell ref="K129:K133"/>
    <mergeCell ref="O124:O128"/>
    <mergeCell ref="P124:P128"/>
    <mergeCell ref="E124:E128"/>
    <mergeCell ref="F124:F128"/>
    <mergeCell ref="G124:G128"/>
    <mergeCell ref="H124:H128"/>
    <mergeCell ref="I124:I128"/>
    <mergeCell ref="J124:J128"/>
    <mergeCell ref="K124:K128"/>
    <mergeCell ref="M124:M128"/>
    <mergeCell ref="L124:L128"/>
    <mergeCell ref="L129:L133"/>
    <mergeCell ref="M129:M133"/>
    <mergeCell ref="N129:N133"/>
    <mergeCell ref="O129:O133"/>
    <mergeCell ref="P129:P133"/>
    <mergeCell ref="Q129:Q133"/>
    <mergeCell ref="R129:R133"/>
    <mergeCell ref="Q124:Q128"/>
    <mergeCell ref="R124:R128"/>
    <mergeCell ref="O100:O104"/>
    <mergeCell ref="P100:P104"/>
    <mergeCell ref="Q100:Q104"/>
    <mergeCell ref="R100:R104"/>
    <mergeCell ref="L100:L104"/>
    <mergeCell ref="M100:M104"/>
    <mergeCell ref="N79:N83"/>
    <mergeCell ref="O79:O83"/>
    <mergeCell ref="P79:P83"/>
    <mergeCell ref="L19:L23"/>
    <mergeCell ref="M19:M23"/>
    <mergeCell ref="N19:N23"/>
    <mergeCell ref="O19:O23"/>
    <mergeCell ref="P19:P23"/>
    <mergeCell ref="E7:E8"/>
    <mergeCell ref="F7:F8"/>
    <mergeCell ref="E9:E13"/>
    <mergeCell ref="F9:F13"/>
    <mergeCell ref="G9:G13"/>
    <mergeCell ref="H9:H13"/>
    <mergeCell ref="I9:I13"/>
    <mergeCell ref="N14:N18"/>
    <mergeCell ref="O14:O18"/>
    <mergeCell ref="P14:P18"/>
    <mergeCell ref="E14:E18"/>
    <mergeCell ref="F14:F18"/>
    <mergeCell ref="G14:G18"/>
    <mergeCell ref="H14:H18"/>
    <mergeCell ref="I14:I18"/>
    <mergeCell ref="N64:N68"/>
    <mergeCell ref="C54:C58"/>
    <mergeCell ref="D54:D58"/>
    <mergeCell ref="E54:E58"/>
    <mergeCell ref="F54:F58"/>
    <mergeCell ref="G54:G58"/>
    <mergeCell ref="H54:H58"/>
    <mergeCell ref="I54:I58"/>
    <mergeCell ref="Q54:Q58"/>
    <mergeCell ref="R54:R58"/>
    <mergeCell ref="J54:J58"/>
    <mergeCell ref="K54:K58"/>
    <mergeCell ref="L54:L58"/>
    <mergeCell ref="M54:M58"/>
    <mergeCell ref="N54:N58"/>
    <mergeCell ref="O54:O58"/>
    <mergeCell ref="P54:P58"/>
    <mergeCell ref="O64:O68"/>
    <mergeCell ref="P64:P68"/>
    <mergeCell ref="Q64:Q68"/>
    <mergeCell ref="R64:R68"/>
    <mergeCell ref="J59:J63"/>
    <mergeCell ref="K59:K63"/>
    <mergeCell ref="L59:L63"/>
    <mergeCell ref="M59:M63"/>
    <mergeCell ref="N59:N63"/>
    <mergeCell ref="O59:O63"/>
    <mergeCell ref="P59:P63"/>
    <mergeCell ref="J64:J68"/>
    <mergeCell ref="K64:K68"/>
    <mergeCell ref="C59:C63"/>
    <mergeCell ref="D59:D63"/>
    <mergeCell ref="E59:E63"/>
    <mergeCell ref="F59:F63"/>
    <mergeCell ref="G59:G63"/>
    <mergeCell ref="H59:H63"/>
    <mergeCell ref="I59:I63"/>
    <mergeCell ref="L84:L88"/>
    <mergeCell ref="M84:M88"/>
    <mergeCell ref="C69:C73"/>
    <mergeCell ref="D69:D73"/>
    <mergeCell ref="C74:C78"/>
    <mergeCell ref="D74:D78"/>
    <mergeCell ref="C79:C83"/>
    <mergeCell ref="D79:D83"/>
    <mergeCell ref="L64:L68"/>
    <mergeCell ref="M64:M68"/>
    <mergeCell ref="C64:C68"/>
    <mergeCell ref="D64:D68"/>
    <mergeCell ref="E64:E68"/>
    <mergeCell ref="F64:F68"/>
    <mergeCell ref="G64:G68"/>
    <mergeCell ref="H64:H68"/>
    <mergeCell ref="I64:I68"/>
    <mergeCell ref="N84:N88"/>
    <mergeCell ref="O84:O88"/>
    <mergeCell ref="P84:P88"/>
    <mergeCell ref="Q84:Q88"/>
    <mergeCell ref="R84:R88"/>
    <mergeCell ref="E84:E88"/>
    <mergeCell ref="F84:F88"/>
    <mergeCell ref="G84:G88"/>
    <mergeCell ref="H84:H88"/>
    <mergeCell ref="I84:I88"/>
    <mergeCell ref="J84:J88"/>
    <mergeCell ref="K84:K88"/>
    <mergeCell ref="O90:O94"/>
    <mergeCell ref="P90:P94"/>
    <mergeCell ref="Q90:Q94"/>
    <mergeCell ref="R90:R94"/>
    <mergeCell ref="E90:E94"/>
    <mergeCell ref="F90:F94"/>
    <mergeCell ref="G90:G94"/>
    <mergeCell ref="H90:H94"/>
    <mergeCell ref="I90:I94"/>
    <mergeCell ref="J90:J94"/>
    <mergeCell ref="K90:K94"/>
    <mergeCell ref="L90:L94"/>
    <mergeCell ref="M90:M94"/>
    <mergeCell ref="N90:N94"/>
    <mergeCell ref="O95:O99"/>
    <mergeCell ref="P95:P99"/>
    <mergeCell ref="Q95:Q99"/>
    <mergeCell ref="R95:R99"/>
    <mergeCell ref="E95:E99"/>
    <mergeCell ref="F95:F99"/>
    <mergeCell ref="G95:G99"/>
    <mergeCell ref="H95:H99"/>
    <mergeCell ref="I95:I99"/>
    <mergeCell ref="J95:J99"/>
    <mergeCell ref="K95:K99"/>
    <mergeCell ref="L95:L99"/>
    <mergeCell ref="M95:M99"/>
    <mergeCell ref="N95:N99"/>
    <mergeCell ref="L134:L138"/>
    <mergeCell ref="M134:M138"/>
    <mergeCell ref="N134:N138"/>
    <mergeCell ref="O134:O138"/>
    <mergeCell ref="P134:P138"/>
    <mergeCell ref="Q134:Q138"/>
    <mergeCell ref="R134:R138"/>
    <mergeCell ref="E134:E138"/>
    <mergeCell ref="F134:F138"/>
    <mergeCell ref="G134:G138"/>
    <mergeCell ref="H134:H138"/>
    <mergeCell ref="I134:I138"/>
    <mergeCell ref="J134:J138"/>
    <mergeCell ref="K134:K138"/>
    <mergeCell ref="L139:L143"/>
    <mergeCell ref="M139:M143"/>
    <mergeCell ref="N139:N143"/>
    <mergeCell ref="O139:O143"/>
    <mergeCell ref="P139:P143"/>
    <mergeCell ref="Q139:Q143"/>
    <mergeCell ref="R139:R143"/>
    <mergeCell ref="E139:E143"/>
    <mergeCell ref="F139:F143"/>
    <mergeCell ref="G139:G143"/>
    <mergeCell ref="H139:H143"/>
    <mergeCell ref="I139:I143"/>
    <mergeCell ref="J139:J143"/>
    <mergeCell ref="K139:K143"/>
    <mergeCell ref="N144:N148"/>
    <mergeCell ref="O144:O148"/>
    <mergeCell ref="P144:P148"/>
    <mergeCell ref="Q144:Q148"/>
    <mergeCell ref="R144:R148"/>
    <mergeCell ref="O154:O158"/>
    <mergeCell ref="O159:O163"/>
    <mergeCell ref="P159:P163"/>
    <mergeCell ref="Q159:Q163"/>
    <mergeCell ref="R159:R163"/>
    <mergeCell ref="O149:O153"/>
    <mergeCell ref="P149:P153"/>
    <mergeCell ref="Q149:Q153"/>
    <mergeCell ref="R149:R153"/>
    <mergeCell ref="P154:P158"/>
    <mergeCell ref="Q154:Q158"/>
    <mergeCell ref="R154:R158"/>
    <mergeCell ref="C100:C104"/>
    <mergeCell ref="C105:C109"/>
    <mergeCell ref="C110:C114"/>
    <mergeCell ref="C115:C123"/>
    <mergeCell ref="C124:C128"/>
    <mergeCell ref="D124:D128"/>
    <mergeCell ref="D129:D133"/>
    <mergeCell ref="C129:C133"/>
    <mergeCell ref="C134:C138"/>
    <mergeCell ref="D134:D138"/>
    <mergeCell ref="C144:C148"/>
    <mergeCell ref="D144:D148"/>
    <mergeCell ref="L149:L153"/>
    <mergeCell ref="M149:M153"/>
    <mergeCell ref="E149:E153"/>
    <mergeCell ref="F149:F153"/>
    <mergeCell ref="G149:G153"/>
    <mergeCell ref="H149:H153"/>
    <mergeCell ref="I149:I153"/>
    <mergeCell ref="J149:J153"/>
    <mergeCell ref="K149:K153"/>
    <mergeCell ref="E144:E148"/>
    <mergeCell ref="F144:F148"/>
    <mergeCell ref="G144:G148"/>
    <mergeCell ref="H144:H148"/>
    <mergeCell ref="I144:I148"/>
    <mergeCell ref="J144:J148"/>
    <mergeCell ref="K144:K148"/>
    <mergeCell ref="L144:L148"/>
    <mergeCell ref="M144:M148"/>
    <mergeCell ref="L154:L158"/>
    <mergeCell ref="M154:M158"/>
    <mergeCell ref="E154:E158"/>
    <mergeCell ref="F154:F158"/>
    <mergeCell ref="G154:G158"/>
    <mergeCell ref="H154:H158"/>
    <mergeCell ref="I154:I158"/>
    <mergeCell ref="J154:J158"/>
    <mergeCell ref="K154:K158"/>
    <mergeCell ref="L159:L163"/>
    <mergeCell ref="M159:M163"/>
    <mergeCell ref="E159:E163"/>
    <mergeCell ref="F159:F163"/>
    <mergeCell ref="G159:G163"/>
    <mergeCell ref="H159:H163"/>
    <mergeCell ref="I159:I163"/>
    <mergeCell ref="J159:J163"/>
    <mergeCell ref="K159:K163"/>
    <mergeCell ref="A90:A165"/>
    <mergeCell ref="B90:B164"/>
    <mergeCell ref="C7:C8"/>
    <mergeCell ref="D7:D8"/>
    <mergeCell ref="A9:B89"/>
    <mergeCell ref="C9:C13"/>
    <mergeCell ref="D9:D13"/>
    <mergeCell ref="C14:C18"/>
    <mergeCell ref="D14:D18"/>
    <mergeCell ref="C84:C88"/>
    <mergeCell ref="D84:D88"/>
    <mergeCell ref="C90:C94"/>
    <mergeCell ref="D90:D94"/>
    <mergeCell ref="C95:C99"/>
    <mergeCell ref="D95:D99"/>
    <mergeCell ref="D100:D104"/>
    <mergeCell ref="C149:C153"/>
    <mergeCell ref="D149:D153"/>
    <mergeCell ref="C154:C158"/>
    <mergeCell ref="D154:D158"/>
    <mergeCell ref="C159:C163"/>
    <mergeCell ref="D159:D163"/>
    <mergeCell ref="C139:C143"/>
    <mergeCell ref="D139:D143"/>
  </mergeCells>
  <dataValidations count="5">
    <dataValidation type="list" allowBlank="1" showInputMessage="1" showErrorMessage="1" prompt="Orientación: - Escoja un Lineamiento Estratégico de la lista despegable." sqref="F90" xr:uid="{00000000-0002-0000-0800-000000000000}">
      <formula1>INDIRECT($E90)</formula1>
    </dataValidation>
    <dataValidation type="list" allowBlank="1" showErrorMessage="1" sqref="F9 F14 F19 F24 F29 F34 F39 F44 F49 F54 F59 F64 F69 F74 F79 F84 F95 F100 F105 F110 F115 F124 F129 F134 F139 F149 F154 F159 F144:F146" xr:uid="{00000000-0002-0000-0800-000001000000}">
      <formula1>INDIRECT($E9)</formula1>
    </dataValidation>
    <dataValidation type="list" allowBlank="1" showInputMessage="1" showErrorMessage="1" prompt="Orientación: - Escoja un Eje Estratégico de la lista despegable." sqref="E90" xr:uid="{00000000-0002-0000-0800-000002000000}">
      <formula1>INDIRECT($G90)</formula1>
    </dataValidation>
    <dataValidation type="list" allowBlank="1" showErrorMessage="1" sqref="E9 E14 E19 E24 E29 E34 E39 E44 E49 E54 E59 E64 E69 E74 E79 E84 E95 E100 E105 E110 E115 E124 E129 E134 E139 E149 E154 E159 E144:E146" xr:uid="{00000000-0002-0000-0800-000003000000}">
      <formula1>INDIRECT($G9)</formula1>
    </dataValidation>
    <dataValidation type="decimal" allowBlank="1" showInputMessage="1" showErrorMessage="1" prompt="DPLAN - Sólo debe ingresar valores, NO porcentajes." sqref="M9:O9 M14:O14 M19:O19 M24:O24 M29:O29 M34:O34 M39:O39 M44:O44 M49:O49 M54:O54 M59:O59 M64:O64 M69:O69 M74:O74 M79:O79 M84:O84 M115:O115 M129:O129 M134:O134 M95:O95 M100:O100 M105:O105 M110:O110 M124:O124 M149:O149 M154:O154 M159:O159 M144:O146" xr:uid="{00000000-0002-0000-0800-000004000000}">
      <formula1>0</formula1>
      <formula2>1000000</formula2>
    </dataValidation>
  </dataValidations>
  <printOptions horizontalCentered="1"/>
  <pageMargins left="0" right="0" top="0.78740157480314965" bottom="0.35433070866141736" header="0" footer="0"/>
  <pageSetup paperSize="9" scale="70" pageOrder="overThenDown" orientation="landscape" horizontalDpi="300" verticalDpi="300" r:id="rId1"/>
  <headerFooter>
    <oddHeader>&amp;LVicerrectorado de Investigación, Vinculación y Posgrado&amp;C&amp;P</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ErrorMessage="1" xr:uid="{00000000-0002-0000-0800-000005000000}">
          <x14:formula1>
            <xm:f>'https://utmachalaeduec-my.sharepoint.com/personal/planificacion_utmachala_edu_ec/Documents/Gestión 2023/G.06 EMISION DE INSUMOS PARA ELAB. DE LA PROF, PRESUPUESTARIA Y SUS REFORMAS/REFORMA N° 002-2023/[PND]PND'!#REF!</xm:f>
          </x14:formula1>
          <xm:sqref>C9:D9 C14:D14 C19:D19 C24:D24 C29:D29 C34:D34 C39:D39 C44:D44 C49:D49 C54:D54 C59:D59 C64:D64 C69:D69 C74:D74 C79:D79 C84:D84</xm:sqref>
        </x14:dataValidation>
        <x14:dataValidation type="list" allowBlank="1" showErrorMessage="1" xr:uid="{00000000-0002-0000-0800-000006000000}">
          <x14:formula1>
            <xm:f>('https://utmachalaeduec-my.sharepoint.com/personal/planificacion_utmachala_edu_ec/Documents/Gestión 2023/G.06 EMISION DE INSUMOS PARA ELAB. DE LA PROF, PRESUPUESTARIA Y SUS REFORMAS/REFORMA N° 002-2023/[PEDI]PEDI'!#REF!)</xm:f>
          </x14:formula1>
          <xm:sqref>H9 H14 H19 H24 H29 H34 H39 H44 H49 H54 H59 H64 H69 H74 H79 H84</xm:sqref>
        </x14:dataValidation>
        <x14:dataValidation type="list" allowBlank="1" showErrorMessage="1" xr:uid="{00000000-0002-0000-0800-000007000000}">
          <x14:formula1>
            <xm:f>'https://utmachalaeduec-my.sharepoint.com/personal/planificacion_utmachala_edu_ec/Documents/Gestión 2023/G.06 EMISION DE INSUMOS PARA ELAB. DE LA PROF, PRESUPUESTARIA Y SUS REFORMAS/REFORMA N° 002-2023/[PEDI]PEDI'!#REF!</xm:f>
          </x14:formula1>
          <xm:sqref>G9 G14 G19 G24 G29 G34 G39 G44 G49 G54 G59 G64 G69 G74 G79 G84</xm:sqref>
        </x14:dataValidation>
        <x14:dataValidation type="list" allowBlank="1" showErrorMessage="1" xr:uid="{00000000-0002-0000-0800-000008000000}">
          <x14:formula1>
            <xm:f>INDIRECT('https://utmachalaeduec-my.sharepoint.com/personal/planificacion_utmachala_edu_ec/Documents/Gestión 2023/G.06 EMISION DE INSUMOS PARA ELAB. DE LA PROF, PRESUPUESTARIA Y SUS REFORMAS/REFORMA N° 002-2023/[Estrategias DAFO]Estrategias DAFO'!#REF!)</xm:f>
          </x14:formula1>
          <xm:sqref>I9 I14 I19 I24 I29 I34 I39 I44 I49 I54 I59 I64 I69 I74 I79 I84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A6259F2D23FC842B0490C5B4AFC0282" ma:contentTypeVersion="11" ma:contentTypeDescription="Crear nuevo documento." ma:contentTypeScope="" ma:versionID="437159a92f3c292b90922276db7d8901">
  <xsd:schema xmlns:xsd="http://www.w3.org/2001/XMLSchema" xmlns:xs="http://www.w3.org/2001/XMLSchema" xmlns:p="http://schemas.microsoft.com/office/2006/metadata/properties" xmlns:ns2="6191aa15-6593-4d6c-a8a9-187481b1a21c" xmlns:ns3="f241facd-cee7-427a-a679-e01f3567aea2" targetNamespace="http://schemas.microsoft.com/office/2006/metadata/properties" ma:root="true" ma:fieldsID="eb65d7b46d4ebc8234002f77aa7de9be" ns2:_="" ns3:_="">
    <xsd:import namespace="6191aa15-6593-4d6c-a8a9-187481b1a21c"/>
    <xsd:import namespace="f241facd-cee7-427a-a679-e01f3567aea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91aa15-6593-4d6c-a8a9-187481b1a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94f470-02b7-437a-a447-01b26f887aa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41facd-cee7-427a-a679-e01f3567aea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3e51306-9386-4809-aa8c-26fc8ed7da5c}" ma:internalName="TaxCatchAll" ma:showField="CatchAllData" ma:web="f241facd-cee7-427a-a679-e01f3567ae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1F1CE1-51F0-4E6B-A550-AB505A1731F9}">
  <ds:schemaRefs>
    <ds:schemaRef ds:uri="http://schemas.microsoft.com/sharepoint/v3/contenttype/forms"/>
  </ds:schemaRefs>
</ds:datastoreItem>
</file>

<file path=customXml/itemProps2.xml><?xml version="1.0" encoding="utf-8"?>
<ds:datastoreItem xmlns:ds="http://schemas.openxmlformats.org/officeDocument/2006/customXml" ds:itemID="{8A62BF4C-D8D5-4804-A1E4-7FA76CB58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91aa15-6593-4d6c-a8a9-187481b1a21c"/>
    <ds:schemaRef ds:uri="f241facd-cee7-427a-a679-e01f3567ae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42</vt:i4>
      </vt:variant>
    </vt:vector>
  </HeadingPairs>
  <TitlesOfParts>
    <vt:vector size="85" baseType="lpstr">
      <vt:lpstr>Resumen</vt:lpstr>
      <vt:lpstr>1. REC</vt:lpstr>
      <vt:lpstr>2. PG</vt:lpstr>
      <vt:lpstr>3. DCOM</vt:lpstr>
      <vt:lpstr>4. SG</vt:lpstr>
      <vt:lpstr>5. DPLAN</vt:lpstr>
      <vt:lpstr>6. DBUAC</vt:lpstr>
      <vt:lpstr>7. DAC</vt:lpstr>
      <vt:lpstr>8. VIVP</vt:lpstr>
      <vt:lpstr>9. DIDI</vt:lpstr>
      <vt:lpstr>10. DPOS</vt:lpstr>
      <vt:lpstr>11. DV</vt:lpstr>
      <vt:lpstr>12. VAC</vt:lpstr>
      <vt:lpstr>13. DA</vt:lpstr>
      <vt:lpstr>14. DFP</vt:lpstr>
      <vt:lpstr>15. DEC</vt:lpstr>
      <vt:lpstr>16. VAD</vt:lpstr>
      <vt:lpstr>17. DTIC</vt:lpstr>
      <vt:lpstr>18. DTH</vt:lpstr>
      <vt:lpstr>19. DFIN</vt:lpstr>
      <vt:lpstr>20. DADM</vt:lpstr>
      <vt:lpstr>21.1. FCA</vt:lpstr>
      <vt:lpstr>21.2. FCE</vt:lpstr>
      <vt:lpstr>21.3. FCQS</vt:lpstr>
      <vt:lpstr>21.4. FCS</vt:lpstr>
      <vt:lpstr>21.5. FIC</vt:lpstr>
      <vt:lpstr>Presupuesto solicitado</vt:lpstr>
      <vt:lpstr>R 01</vt:lpstr>
      <vt:lpstr>Solicitudes R1</vt:lpstr>
      <vt:lpstr>R 02</vt:lpstr>
      <vt:lpstr>Incr Red R2</vt:lpstr>
      <vt:lpstr>R 03</vt:lpstr>
      <vt:lpstr>Incr Red R3</vt:lpstr>
      <vt:lpstr>Solicitudes R3</vt:lpstr>
      <vt:lpstr>R 04</vt:lpstr>
      <vt:lpstr>Incr Red 004</vt:lpstr>
      <vt:lpstr>Solicitudes R4</vt:lpstr>
      <vt:lpstr>R 05</vt:lpstr>
      <vt:lpstr>Incr Red R5</vt:lpstr>
      <vt:lpstr>Solicitudes R5</vt:lpstr>
      <vt:lpstr>R 06</vt:lpstr>
      <vt:lpstr>Incr Red R6</vt:lpstr>
      <vt:lpstr>Solicitudes R6</vt:lpstr>
      <vt:lpstr>'21.3. FCQS'!AA230aa244</vt:lpstr>
      <vt:lpstr>'Incr Red 004'!Área_de_impresión</vt:lpstr>
      <vt:lpstr>'Incr Red R2'!Área_de_impresión</vt:lpstr>
      <vt:lpstr>'Incr Red R3'!Área_de_impresión</vt:lpstr>
      <vt:lpstr>'Incr Red R5'!Área_de_impresión</vt:lpstr>
      <vt:lpstr>'R 01'!Área_de_impresión</vt:lpstr>
      <vt:lpstr>'R 02'!Área_de_impresión</vt:lpstr>
      <vt:lpstr>'R 03'!Área_de_impresión</vt:lpstr>
      <vt:lpstr>'R 04'!Área_de_impresión</vt:lpstr>
      <vt:lpstr>'R 05'!Área_de_impresión</vt:lpstr>
      <vt:lpstr>'R 06'!Área_de_impresión</vt:lpstr>
      <vt:lpstr>'1. REC'!Títulos_a_imprimir</vt:lpstr>
      <vt:lpstr>'10. DPOS'!Títulos_a_imprimir</vt:lpstr>
      <vt:lpstr>'11. DV'!Títulos_a_imprimir</vt:lpstr>
      <vt:lpstr>'12. VAC'!Títulos_a_imprimir</vt:lpstr>
      <vt:lpstr>'13. DA'!Títulos_a_imprimir</vt:lpstr>
      <vt:lpstr>'14. DFP'!Títulos_a_imprimir</vt:lpstr>
      <vt:lpstr>'15. DEC'!Títulos_a_imprimir</vt:lpstr>
      <vt:lpstr>'16. VAD'!Títulos_a_imprimir</vt:lpstr>
      <vt:lpstr>'17. DTIC'!Títulos_a_imprimir</vt:lpstr>
      <vt:lpstr>'18. DTH'!Títulos_a_imprimir</vt:lpstr>
      <vt:lpstr>'19. DFIN'!Títulos_a_imprimir</vt:lpstr>
      <vt:lpstr>'2. PG'!Títulos_a_imprimir</vt:lpstr>
      <vt:lpstr>'20. DADM'!Títulos_a_imprimir</vt:lpstr>
      <vt:lpstr>'21.1. FCA'!Títulos_a_imprimir</vt:lpstr>
      <vt:lpstr>'21.2. FCE'!Títulos_a_imprimir</vt:lpstr>
      <vt:lpstr>'21.3. FCQS'!Títulos_a_imprimir</vt:lpstr>
      <vt:lpstr>'21.4. FCS'!Títulos_a_imprimir</vt:lpstr>
      <vt:lpstr>'21.5. FIC'!Títulos_a_imprimir</vt:lpstr>
      <vt:lpstr>'3. DCOM'!Títulos_a_imprimir</vt:lpstr>
      <vt:lpstr>'4. SG'!Títulos_a_imprimir</vt:lpstr>
      <vt:lpstr>'5. DPLAN'!Títulos_a_imprimir</vt:lpstr>
      <vt:lpstr>'6. DBUAC'!Títulos_a_imprimir</vt:lpstr>
      <vt:lpstr>'7. DAC'!Títulos_a_imprimir</vt:lpstr>
      <vt:lpstr>'8. VIVP'!Títulos_a_imprimir</vt:lpstr>
      <vt:lpstr>'9. DIDI'!Títulos_a_imprimir</vt:lpstr>
      <vt:lpstr>Resumen!Títulos_a_imprimir</vt:lpstr>
      <vt:lpstr>'Solicitudes R3'!Títulos_a_imprimir</vt:lpstr>
      <vt:lpstr>'Solicitudes R4'!Títulos_a_imprimir</vt:lpstr>
      <vt:lpstr>'Solicitudes R5'!Títulos_a_imprimir</vt:lpstr>
      <vt:lpstr>'Solicitudes R6'!Títulos_a_imprimir</vt:lpstr>
      <vt:lpstr>Z436ab288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Eunice Basilio</dc:creator>
  <cp:keywords/>
  <dc:description/>
  <cp:lastModifiedBy>Fanny Eunice Basilio Banchon</cp:lastModifiedBy>
  <cp:revision/>
  <dcterms:created xsi:type="dcterms:W3CDTF">2023-01-23T18:07:28Z</dcterms:created>
  <dcterms:modified xsi:type="dcterms:W3CDTF">2023-11-01T18:57:58Z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0x0101009A6259F2D23FC842B0490C5B4AFC0282</vt:lpwstr>
  </property>
  <property fmtid="{D5CDD505-2E9C-101B-9397-08002B2CF9AE}" pid="3" name="lcf76f155ced4ddcb4097134ff3c332f">
    <vt:lpwstr/>
  </property>
  <property fmtid="{D5CDD505-2E9C-101B-9397-08002B2CF9AE}" pid="4" name="TaxCatchAll">
    <vt:lpwstr/>
  </property>
</Properties>
</file>